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 ENTRY FORM2" sheetId="1" r:id="rId5"/>
    <sheet state="hidden" name="July 2024" sheetId="2" r:id="rId6"/>
    <sheet state="hidden" name="raw report" sheetId="3" r:id="rId7"/>
    <sheet state="hidden" name="raw report copy" sheetId="4" r:id="rId8"/>
    <sheet state="visible" name="DATA ENTRY FORM (JERIC)" sheetId="5" r:id="rId9"/>
    <sheet state="visible" name="DATA ENTRY FORM (VENEDIC)" sheetId="6" r:id="rId10"/>
    <sheet state="visible" name="DATABASE" sheetId="7" r:id="rId11"/>
    <sheet state="visible" name="Supplier Lists" sheetId="8" r:id="rId12"/>
    <sheet state="visible" name="PRF Details" sheetId="9" r:id="rId13"/>
    <sheet state="hidden" name="DATA ENTRY FORM1" sheetId="10" r:id="rId14"/>
    <sheet state="hidden" name="current report" sheetId="11" r:id="rId15"/>
    <sheet state="visible" name="PRF Details v2" sheetId="12" r:id="rId16"/>
    <sheet state="visible" name="Summary" sheetId="13" r:id="rId17"/>
    <sheet state="visible" name="Summary AY 2025-2026" sheetId="14" r:id="rId18"/>
    <sheet state="hidden" name="PO for Evaluation" sheetId="15" r:id="rId19"/>
    <sheet state="hidden" name="Requisitioner Details" sheetId="16" r:id="rId20"/>
    <sheet state="hidden" name="Requisitioner Details1" sheetId="17" r:id="rId21"/>
    <sheet state="visible" name="Recommendations" sheetId="18" r:id="rId22"/>
    <sheet state="visible" name="name sheet" sheetId="19" r:id="rId23"/>
    <sheet state="hidden" name="MONTLY RATINGS" sheetId="20" r:id="rId24"/>
    <sheet state="visible" name="Average Summary" sheetId="21" r:id="rId25"/>
    <sheet state="hidden" name="August 2021" sheetId="22" r:id="rId26"/>
    <sheet state="hidden" name="Sheet10" sheetId="23" r:id="rId27"/>
    <sheet state="hidden" name="Sheet11" sheetId="24" r:id="rId28"/>
    <sheet state="hidden" name="Copy of DATABASE" sheetId="25" r:id="rId29"/>
    <sheet state="hidden" name="DATABASE1" sheetId="26" r:id="rId30"/>
    <sheet state="hidden" name="SEARCH" sheetId="27" r:id="rId31"/>
    <sheet state="hidden" name="Sheet4" sheetId="28" r:id="rId32"/>
  </sheets>
  <definedNames>
    <definedName hidden="1" localSheetId="6" name="Z_5C7276FA_5674_445F_8BBF_4A49D391B765_.wvu.FilterData">DATABASE!$A$1:$AC$1357</definedName>
  </definedNames>
  <calcPr/>
  <customWorkbookViews>
    <customWorkbookView activeSheetId="0" maximized="1" windowHeight="0" windowWidth="0" guid="{5C7276FA-5674-445F-8BBF-4A49D391B765}" name="Filter from dec 2023 - july 2024"/>
  </customWorkbookViews>
</workbook>
</file>

<file path=xl/sharedStrings.xml><?xml version="1.0" encoding="utf-8"?>
<sst xmlns="http://schemas.openxmlformats.org/spreadsheetml/2006/main" count="14820" uniqueCount="6608">
  <si>
    <t>2024-2025</t>
  </si>
  <si>
    <t>2023-2024</t>
  </si>
  <si>
    <t>2022-2023</t>
  </si>
  <si>
    <t>Average Ratings</t>
  </si>
  <si>
    <t>Averagt Ratings</t>
  </si>
  <si>
    <t>SOUTHVILLE INTERNATIONAL SCHOOL AND COLLEGES</t>
  </si>
  <si>
    <t>SUPPLIER EVALUATION FORM</t>
  </si>
  <si>
    <t>March</t>
  </si>
  <si>
    <t>Average:</t>
  </si>
  <si>
    <t>Evaluation Date:</t>
  </si>
  <si>
    <t>Company Name</t>
  </si>
  <si>
    <t>Company</t>
  </si>
  <si>
    <t>Month Start</t>
  </si>
  <si>
    <t>Month End</t>
  </si>
  <si>
    <t>Year</t>
  </si>
  <si>
    <t>COMPANY</t>
  </si>
  <si>
    <t>Company Name:</t>
  </si>
  <si>
    <t>Atlas Super Flags</t>
  </si>
  <si>
    <t>Amazon</t>
  </si>
  <si>
    <t>July</t>
  </si>
  <si>
    <t>December</t>
  </si>
  <si>
    <t>PRF No.:</t>
  </si>
  <si>
    <t>Supplier Evalution Report for the Month of July 2024</t>
  </si>
  <si>
    <t>Requisitioner Details</t>
  </si>
  <si>
    <t>Address:</t>
  </si>
  <si>
    <t>PO Number:</t>
  </si>
  <si>
    <t>PO29704</t>
  </si>
  <si>
    <t>Requisitioner Name:</t>
  </si>
  <si>
    <t>Item/s Delivered:</t>
  </si>
  <si>
    <t>Books</t>
  </si>
  <si>
    <t>Remarks:</t>
  </si>
  <si>
    <t>Email Address:</t>
  </si>
  <si>
    <t>#</t>
  </si>
  <si>
    <t>Advertisement Printing</t>
  </si>
  <si>
    <t>CRITERIA</t>
  </si>
  <si>
    <t>PRF#</t>
  </si>
  <si>
    <t>Purchasing</t>
  </si>
  <si>
    <t>PO#</t>
  </si>
  <si>
    <t>Requisitioner</t>
  </si>
  <si>
    <t>AMD</t>
  </si>
  <si>
    <t>DATE</t>
  </si>
  <si>
    <r>
      <rPr>
        <rFont val="Arial"/>
        <b/>
        <color theme="1"/>
      </rPr>
      <t xml:space="preserve">REMARKS
</t>
    </r>
    <r>
      <rPr>
        <rFont val="Arial"/>
        <b val="0"/>
        <color theme="1"/>
      </rPr>
      <t>(Kindly put reasons for item below 4)</t>
    </r>
  </si>
  <si>
    <t>AVERAGE</t>
  </si>
  <si>
    <t>A. Accurate Delivery/quality</t>
  </si>
  <si>
    <t>B. Competitive Price</t>
  </si>
  <si>
    <t>C. Timeliness of Delivery</t>
  </si>
  <si>
    <t>SUPPLIER</t>
  </si>
  <si>
    <t>D. After Sales Service</t>
  </si>
  <si>
    <t>REX Book Store</t>
  </si>
  <si>
    <t>E. Compliance with Regulatory Requirements and School Policies</t>
  </si>
  <si>
    <t>N/A</t>
  </si>
  <si>
    <t>Creative Juice Digital Printing</t>
  </si>
  <si>
    <t>FINAL RATING</t>
  </si>
  <si>
    <t xml:space="preserve">BELVIEW CO., INC. </t>
  </si>
  <si>
    <t>RUBRIC</t>
  </si>
  <si>
    <t>Luneta Advertisement Inc.</t>
  </si>
  <si>
    <t>RECOMMENDATIONS</t>
  </si>
  <si>
    <r>
      <rPr>
        <rFont val="Arial"/>
        <b/>
        <color theme="1"/>
      </rPr>
      <t xml:space="preserve">5     </t>
    </r>
    <r>
      <rPr>
        <rFont val="Arial"/>
        <color theme="1"/>
      </rPr>
      <t xml:space="preserve"> </t>
    </r>
    <r>
      <rPr>
        <rFont val="Arial"/>
        <b/>
        <color theme="1"/>
      </rPr>
      <t>EXCELLENT -</t>
    </r>
    <r>
      <rPr>
        <rFont val="Arial"/>
        <color theme="1"/>
      </rPr>
      <t xml:space="preserve"> Supplier conformed to all requirements, accurate delivery, good quality, competitive 
                                 price, timeliness of delivery, after sales, compliance to regulatory requirements.</t>
    </r>
  </si>
  <si>
    <r>
      <rPr>
        <rFont val="Arial"/>
        <b/>
        <color theme="1"/>
      </rPr>
      <t xml:space="preserve">4.5 - 5.0 </t>
    </r>
    <r>
      <rPr>
        <rFont val="Arial"/>
        <color theme="1"/>
      </rPr>
      <t xml:space="preserve">    ||  Strongly Recommended</t>
    </r>
  </si>
  <si>
    <r>
      <rPr>
        <rFont val="Arial"/>
        <b/>
        <color theme="1"/>
      </rPr>
      <t>4      VERY GOOD</t>
    </r>
    <r>
      <rPr>
        <rFont val="Arial"/>
        <color theme="1"/>
      </rPr>
      <t xml:space="preserve"> - Supplier conformed to all requirements, accurate delivery, good quality, competitive 
                                 price, timeliness of delivery, after sales, compliance to regulatory requirements.</t>
    </r>
  </si>
  <si>
    <r>
      <rPr>
        <rFont val="Arial"/>
        <b/>
        <color theme="1"/>
      </rPr>
      <t>4.0 - 4.49</t>
    </r>
    <r>
      <rPr>
        <rFont val="Arial"/>
        <color theme="1"/>
      </rPr>
      <t xml:space="preserve">   ||  Recommended</t>
    </r>
  </si>
  <si>
    <t>CD Books International, Inc.</t>
  </si>
  <si>
    <t xml:space="preserve"> </t>
  </si>
  <si>
    <t>Doo Graphic Services</t>
  </si>
  <si>
    <r>
      <rPr>
        <rFont val="Arial"/>
        <b/>
        <color theme="1"/>
      </rPr>
      <t>3      GOOD</t>
    </r>
    <r>
      <rPr>
        <rFont val="Arial"/>
        <color theme="1"/>
      </rPr>
      <t xml:space="preserve"> - Supplier conformed to all requirements, accurate delivery, good quality, competitive price, 
                       timeliness of delivery, after sales, compliance to regulatory requirements (1-2 deviations).</t>
    </r>
  </si>
  <si>
    <r>
      <rPr>
        <rFont val="Arial"/>
        <b/>
        <color theme="1"/>
      </rPr>
      <t xml:space="preserve">3.5 - 3.99   </t>
    </r>
    <r>
      <rPr>
        <rFont val="Arial"/>
        <color theme="1"/>
      </rPr>
      <t>||  Acceptable</t>
    </r>
  </si>
  <si>
    <r>
      <rPr>
        <rFont val="Arial"/>
        <b/>
        <color theme="1"/>
      </rPr>
      <t>2      FAIR</t>
    </r>
    <r>
      <rPr>
        <rFont val="Arial"/>
        <color theme="1"/>
      </rPr>
      <t xml:space="preserve"> - Supplier conformed to requirements, specifications and standards of good 
                   with 3-4 non-conformance issues.</t>
    </r>
  </si>
  <si>
    <r>
      <rPr>
        <rFont val="Arial"/>
        <b/>
        <color theme="1"/>
      </rPr>
      <t xml:space="preserve">3.0 - 3.49 </t>
    </r>
    <r>
      <rPr>
        <rFont val="Arial"/>
        <color theme="1"/>
      </rPr>
      <t xml:space="preserve">  ||  Acceptable w/ some Reservation</t>
    </r>
  </si>
  <si>
    <r>
      <rPr>
        <rFont val="Arial"/>
        <b/>
        <color theme="1"/>
      </rPr>
      <t>1      POOR</t>
    </r>
    <r>
      <rPr>
        <rFont val="Arial"/>
        <color theme="1"/>
      </rPr>
      <t xml:space="preserve"> - Supplier conformed to few requirements, specifications and standards of good workmanship
                      with 6 or more non-conformance. </t>
    </r>
  </si>
  <si>
    <r>
      <rPr>
        <rFont val="Arial"/>
        <b/>
        <color theme="1"/>
      </rPr>
      <t>Below 3.0</t>
    </r>
    <r>
      <rPr>
        <rFont val="Arial"/>
        <color theme="1"/>
      </rPr>
      <t xml:space="preserve">  ||  Not Recommended</t>
    </r>
  </si>
  <si>
    <r>
      <rPr>
        <rFont val="Arial"/>
        <b/>
        <color theme="1"/>
      </rPr>
      <t xml:space="preserve">Note: </t>
    </r>
    <r>
      <rPr>
        <rFont val="Arial"/>
        <color theme="1"/>
      </rPr>
      <t>This form is used after the delivery of item/s. This will be done per transaction w/ supplier</t>
    </r>
  </si>
  <si>
    <t>CONFORMED BY</t>
  </si>
  <si>
    <t>Forefront Book Co</t>
  </si>
  <si>
    <t>Audio Visual and Equipment</t>
  </si>
  <si>
    <t>EVALUATOR</t>
  </si>
  <si>
    <t>NOTED BY</t>
  </si>
  <si>
    <t>APPROVED BY</t>
  </si>
  <si>
    <t>Dr. Jocelyn P. Tizon</t>
  </si>
  <si>
    <t>Name &amp; Signature</t>
  </si>
  <si>
    <t>Next Level Head/Manager</t>
  </si>
  <si>
    <t>President</t>
  </si>
  <si>
    <t>Phoenix Publishing House</t>
  </si>
  <si>
    <t>Lovell de Mesa</t>
  </si>
  <si>
    <t>Booktrends Enterprises</t>
  </si>
  <si>
    <t>Cleaning Materials</t>
  </si>
  <si>
    <t>School/Office Supplies</t>
  </si>
  <si>
    <t>C &amp; E Publishing Inc</t>
  </si>
  <si>
    <t>Rivchem Enterprises</t>
  </si>
  <si>
    <t>Abacus Book and Card Corporation</t>
  </si>
  <si>
    <t>National Book Store, Inc</t>
  </si>
  <si>
    <t>Chemtrust Global Market</t>
  </si>
  <si>
    <t>Contrade Integrated Depot, Inc,</t>
  </si>
  <si>
    <t>Rex Bookstore</t>
  </si>
  <si>
    <t xml:space="preserve">          </t>
  </si>
  <si>
    <t>Times Trading Co., Inc.</t>
  </si>
  <si>
    <t>Paper Tree Marketing Group, Inc.</t>
  </si>
  <si>
    <t>F &amp; J De Jesus, Inc</t>
  </si>
  <si>
    <t>3/192026</t>
  </si>
  <si>
    <t>EA Intertrade General Merchandising, Inc.</t>
  </si>
  <si>
    <t>BOOK TRENDS ENTERPRISES</t>
  </si>
  <si>
    <r>
      <rPr>
        <color rgb="FF000000"/>
      </rPr>
      <t xml:space="preserve">Printing Shop </t>
    </r>
    <r>
      <rPr>
        <color rgb="FF1155CC"/>
        <u/>
      </rPr>
      <t>PrintPilipinas.com</t>
    </r>
  </si>
  <si>
    <t>One Supply</t>
  </si>
  <si>
    <t>CD Books International, Inc</t>
  </si>
  <si>
    <t>Commerce Asia Inc.</t>
  </si>
  <si>
    <t>CREATIVE MIND BOOKS CENTER</t>
  </si>
  <si>
    <t>PO33344</t>
  </si>
  <si>
    <t>EXPRESS CARDS ENTERPRISES, CO.</t>
  </si>
  <si>
    <t>Forefront Book Co., Inc.</t>
  </si>
  <si>
    <t>Computer/Peripherals/Software</t>
  </si>
  <si>
    <r>
      <rPr>
        <rFont val="Arial"/>
        <b/>
        <color theme="1"/>
      </rPr>
      <t xml:space="preserve">REMARKS
</t>
    </r>
    <r>
      <rPr>
        <rFont val="Arial"/>
        <b val="0"/>
        <color theme="1"/>
      </rPr>
      <t>(Kindly put reasons for item below 4)</t>
    </r>
  </si>
  <si>
    <t>NetAd IT Solutions</t>
  </si>
  <si>
    <t>Commerce Asia Inc</t>
  </si>
  <si>
    <t xml:space="preserve">                                 </t>
  </si>
  <si>
    <t>Alpha-Cored Technology Systems, Inc.</t>
  </si>
  <si>
    <t>IEquity Technologies Corporation</t>
  </si>
  <si>
    <t>Amalgamated Specialties Corp</t>
  </si>
  <si>
    <t>Microsmith Technology Systems, Inc.</t>
  </si>
  <si>
    <t>Columbia Technologies ,Inc</t>
  </si>
  <si>
    <r>
      <rPr>
        <rFont val="Arial"/>
        <b/>
        <color theme="1"/>
      </rPr>
      <t xml:space="preserve">5     </t>
    </r>
    <r>
      <rPr>
        <rFont val="Arial"/>
        <color theme="1"/>
      </rPr>
      <t xml:space="preserve"> </t>
    </r>
    <r>
      <rPr>
        <rFont val="Arial"/>
        <b/>
        <color theme="1"/>
      </rPr>
      <t>EXCELLENT -</t>
    </r>
    <r>
      <rPr>
        <rFont val="Arial"/>
        <color theme="1"/>
      </rPr>
      <t xml:space="preserve"> Supplier conformed to all requirements, accurate delivery, good quality, competitive 
                                 price, timeliness of delivery, after sales, compliance to regulatory requirements.</t>
    </r>
  </si>
  <si>
    <r>
      <rPr>
        <rFont val="Arial"/>
        <b/>
        <color theme="1"/>
      </rPr>
      <t xml:space="preserve">4.5 - 5.0 </t>
    </r>
    <r>
      <rPr>
        <rFont val="Arial"/>
        <color theme="1"/>
      </rPr>
      <t xml:space="preserve">    ||  Strongly Recommended</t>
    </r>
  </si>
  <si>
    <r>
      <rPr>
        <rFont val="Arial"/>
        <b/>
        <color theme="1"/>
      </rPr>
      <t>4      VERY GOOD</t>
    </r>
    <r>
      <rPr>
        <rFont val="Arial"/>
        <color theme="1"/>
      </rPr>
      <t xml:space="preserve"> - Supplier conformed to all requirements, accurate delivery, good quality, competitive 
                                 price, timeliness of delivery, after sales, compliance to regulatory requirements.</t>
    </r>
  </si>
  <si>
    <r>
      <rPr>
        <rFont val="Arial"/>
        <b/>
        <color theme="1"/>
      </rPr>
      <t>4.0 - 4.49</t>
    </r>
    <r>
      <rPr>
        <rFont val="Arial"/>
        <color theme="1"/>
      </rPr>
      <t xml:space="preserve">   ||  Recommended</t>
    </r>
  </si>
  <si>
    <t>MOSTACO</t>
  </si>
  <si>
    <r>
      <rPr>
        <rFont val="Arial"/>
        <b/>
        <color theme="1"/>
      </rPr>
      <t>3      GOOD</t>
    </r>
    <r>
      <rPr>
        <rFont val="Arial"/>
        <color theme="1"/>
      </rPr>
      <t xml:space="preserve"> - Supplier conformed to all requirements, accurate delivery, good quality, competitive price, 
                       timeliness of delivery, after sales, compliance to regulatory requirements (1-2 deviations).</t>
    </r>
  </si>
  <si>
    <r>
      <rPr>
        <rFont val="Arial"/>
        <b/>
        <color theme="1"/>
      </rPr>
      <t xml:space="preserve">3.5 - 3.99   </t>
    </r>
    <r>
      <rPr>
        <rFont val="Arial"/>
        <color theme="1"/>
      </rPr>
      <t>||  Acceptable</t>
    </r>
  </si>
  <si>
    <t>Columbia Technologies, Inc.</t>
  </si>
  <si>
    <r>
      <rPr>
        <rFont val="Arial"/>
        <b/>
        <color theme="1"/>
      </rPr>
      <t>2      FAIR</t>
    </r>
    <r>
      <rPr>
        <rFont val="Arial"/>
        <color theme="1"/>
      </rPr>
      <t xml:space="preserve"> - Supplier conformed to requirements, specifications and standards of good 
                   with 3-4 non-conformance issues.</t>
    </r>
  </si>
  <si>
    <t>Microsmith Technologies</t>
  </si>
  <si>
    <r>
      <rPr>
        <rFont val="Arial"/>
        <b/>
        <color theme="1"/>
      </rPr>
      <t xml:space="preserve">3.0 - 3.49 </t>
    </r>
    <r>
      <rPr>
        <rFont val="Arial"/>
        <color theme="1"/>
      </rPr>
      <t xml:space="preserve">  ||  Acceptable w/ some Reservation</t>
    </r>
  </si>
  <si>
    <r>
      <rPr>
        <rFont val="Arial"/>
        <b/>
        <color theme="1"/>
      </rPr>
      <t>1      POOR</t>
    </r>
    <r>
      <rPr>
        <rFont val="Arial"/>
        <color theme="1"/>
      </rPr>
      <t xml:space="preserve"> - Supplier conformed to few requirements, specifications and standards of good workmanship
                      with 6 or more non-conformance. </t>
    </r>
  </si>
  <si>
    <r>
      <rPr>
        <rFont val="Arial"/>
        <b/>
        <color theme="1"/>
      </rPr>
      <t>Below 3.0</t>
    </r>
    <r>
      <rPr>
        <rFont val="Arial"/>
        <color theme="1"/>
      </rPr>
      <t xml:space="preserve">  ||  Not Recommended</t>
    </r>
  </si>
  <si>
    <r>
      <rPr>
        <rFont val="Arial"/>
        <b/>
        <color theme="1"/>
      </rPr>
      <t xml:space="preserve">Note: </t>
    </r>
    <r>
      <rPr>
        <rFont val="Arial"/>
        <color theme="1"/>
      </rPr>
      <t>This form is used after the delivery of item/s. This will be done per transaction w/ supplier</t>
    </r>
  </si>
  <si>
    <t>iEquity Technologies Corporation</t>
  </si>
  <si>
    <t>Printing and Publication</t>
  </si>
  <si>
    <t>Sert Technology Inc.</t>
  </si>
  <si>
    <t>Velprint Corporation</t>
  </si>
  <si>
    <t>Alpha-Cored Technology Systems Inc.</t>
  </si>
  <si>
    <t>Luminaire Printing and Publication Corp.</t>
  </si>
  <si>
    <t>Cleaning Supplies &amp; Equipment</t>
  </si>
  <si>
    <t>JARM Printing Press</t>
  </si>
  <si>
    <t>Belvedere Cleanvironment Phils., Inc.</t>
  </si>
  <si>
    <t>Sprintec Printing Press, Inc.</t>
  </si>
  <si>
    <t>Goldlink Industrial Sales</t>
  </si>
  <si>
    <t>Leonard Prints, Inc.</t>
  </si>
  <si>
    <t>Palces Manufacturing, Inc.</t>
  </si>
  <si>
    <t>Sales Trojan Manufacturing MFG. Corp</t>
  </si>
  <si>
    <t>\</t>
  </si>
  <si>
    <t>.</t>
  </si>
  <si>
    <t>MPLUS</t>
  </si>
  <si>
    <t>Chemtrust Global Market Inc.</t>
  </si>
  <si>
    <t>17th St. Maxiprint Co</t>
  </si>
  <si>
    <t>WISECHOICE CLEANING SUPPLIES AND TRADING CORP.</t>
  </si>
  <si>
    <r>
      <rPr>
        <rFont val="Arial"/>
        <b/>
        <color theme="1"/>
      </rPr>
      <t xml:space="preserve">REMARKS
</t>
    </r>
    <r>
      <rPr>
        <rFont val="Arial"/>
        <b val="0"/>
        <color theme="1"/>
      </rPr>
      <t>(Kindly put reasons for item below 4)</t>
    </r>
  </si>
  <si>
    <t>Print Depot, Inc.</t>
  </si>
  <si>
    <t>Hospeco Philippines, Inc.</t>
  </si>
  <si>
    <t>Gleam Photography Studio</t>
  </si>
  <si>
    <t>Falcon Waterfree Philippines, Inc.</t>
  </si>
  <si>
    <t>POSH Studio</t>
  </si>
  <si>
    <t>Constructions and Electrical Materials</t>
  </si>
  <si>
    <r>
      <rPr>
        <rFont val="Arial"/>
        <b/>
        <color theme="1"/>
      </rPr>
      <t xml:space="preserve">5     </t>
    </r>
    <r>
      <rPr>
        <rFont val="Arial"/>
        <color theme="1"/>
      </rPr>
      <t xml:space="preserve"> </t>
    </r>
    <r>
      <rPr>
        <rFont val="Arial"/>
        <b/>
        <color theme="1"/>
      </rPr>
      <t>EXCELLENT -</t>
    </r>
    <r>
      <rPr>
        <rFont val="Arial"/>
        <color theme="1"/>
      </rPr>
      <t xml:space="preserve"> Supplier conformed to all requirements, accurate delivery, good quality, competitive 
                                 price, timeliness of delivery, after sales, compliance to regulatory requirements.</t>
    </r>
  </si>
  <si>
    <r>
      <rPr>
        <rFont val="Arial"/>
        <b/>
        <color theme="1"/>
      </rPr>
      <t xml:space="preserve">4.5 - 5.0 </t>
    </r>
    <r>
      <rPr>
        <rFont val="Arial"/>
        <color theme="1"/>
      </rPr>
      <t xml:space="preserve">    ||  Strongly Recommended</t>
    </r>
  </si>
  <si>
    <r>
      <rPr>
        <rFont val="Arial"/>
        <b/>
        <color theme="1"/>
      </rPr>
      <t>4      VERY GOOD</t>
    </r>
    <r>
      <rPr>
        <rFont val="Arial"/>
        <color theme="1"/>
      </rPr>
      <t xml:space="preserve"> - Supplier conformed to all requirements, accurate delivery, good quality, competitive 
                                 price, timeliness of delivery, after sales, compliance to regulatory requirements.</t>
    </r>
  </si>
  <si>
    <r>
      <rPr>
        <rFont val="Arial"/>
        <b/>
        <color theme="1"/>
      </rPr>
      <t>4.0 - 4.49</t>
    </r>
    <r>
      <rPr>
        <rFont val="Arial"/>
        <color theme="1"/>
      </rPr>
      <t xml:space="preserve">   ||  Recommended</t>
    </r>
  </si>
  <si>
    <t>Laboratory Supplies &amp; Equipment</t>
  </si>
  <si>
    <r>
      <rPr>
        <rFont val="Arial"/>
        <b/>
        <color theme="1"/>
      </rPr>
      <t>3      GOOD</t>
    </r>
    <r>
      <rPr>
        <rFont val="Arial"/>
        <color theme="1"/>
      </rPr>
      <t xml:space="preserve"> - Supplier conformed to all requirements, accurate delivery, good quality, competitive price, 
                       timeliness of delivery, after sales, compliance to regulatory requirements (1-2 deviations).</t>
    </r>
  </si>
  <si>
    <r>
      <rPr>
        <rFont val="Arial"/>
        <b/>
        <color theme="1"/>
      </rPr>
      <t xml:space="preserve">3.5 - 3.99   </t>
    </r>
    <r>
      <rPr>
        <rFont val="Arial"/>
        <color theme="1"/>
      </rPr>
      <t>||  Acceptable</t>
    </r>
  </si>
  <si>
    <t>ARKIN HARDWARE</t>
  </si>
  <si>
    <r>
      <rPr>
        <rFont val="Arial"/>
        <b/>
        <color theme="1"/>
      </rPr>
      <t>2      FAIR</t>
    </r>
    <r>
      <rPr>
        <rFont val="Arial"/>
        <color theme="1"/>
      </rPr>
      <t xml:space="preserve"> - Supplier conformed to requirements, specifications and standards of good 
                   with 3-4 non-conformance issues.</t>
    </r>
  </si>
  <si>
    <r>
      <rPr>
        <rFont val="Arial"/>
        <b/>
        <color theme="1"/>
      </rPr>
      <t xml:space="preserve">3.0 - 3.49 </t>
    </r>
    <r>
      <rPr>
        <rFont val="Arial"/>
        <color theme="1"/>
      </rPr>
      <t xml:space="preserve">  ||  Acceptable w/ some Reservation</t>
    </r>
  </si>
  <si>
    <r>
      <rPr>
        <rFont val="Arial"/>
        <b/>
        <color theme="1"/>
      </rPr>
      <t>1      POOR</t>
    </r>
    <r>
      <rPr>
        <rFont val="Arial"/>
        <color theme="1"/>
      </rPr>
      <t xml:space="preserve"> - Supplier conformed to few requirements, specifications and standards of good workmanship
                      with 6 or more non-conformance. </t>
    </r>
  </si>
  <si>
    <r>
      <rPr>
        <rFont val="Arial"/>
        <b/>
        <color theme="1"/>
      </rPr>
      <t>Below 3.0</t>
    </r>
    <r>
      <rPr>
        <rFont val="Arial"/>
        <color theme="1"/>
      </rPr>
      <t xml:space="preserve">  ||  Not Recommended</t>
    </r>
  </si>
  <si>
    <r>
      <rPr>
        <rFont val="Arial"/>
        <b/>
        <color theme="1"/>
      </rPr>
      <t xml:space="preserve">Note: </t>
    </r>
    <r>
      <rPr>
        <rFont val="Arial"/>
        <color theme="1"/>
      </rPr>
      <t>This form is used after the delivery of item/s. This will be done per transaction w/ supplier</t>
    </r>
  </si>
  <si>
    <t>Premier Physic Metrologie</t>
  </si>
  <si>
    <t>ACE HARDWARE PHILIPPINES, INC.</t>
  </si>
  <si>
    <t>Tadeo's Marketing</t>
  </si>
  <si>
    <t>ALL HOME</t>
  </si>
  <si>
    <t>Printing Shop PrintPilipinas</t>
  </si>
  <si>
    <t>Yana Chemodities, Incorporated</t>
  </si>
  <si>
    <t>Jamex</t>
  </si>
  <si>
    <t>Paddington Trading</t>
  </si>
  <si>
    <t>Prescriptive Constructions</t>
  </si>
  <si>
    <t>Mars Laboratory</t>
  </si>
  <si>
    <t>Microlynx Systems Enterprises</t>
  </si>
  <si>
    <t>Labotech Trading</t>
  </si>
  <si>
    <t>Personalized Materials</t>
  </si>
  <si>
    <t>Roavsan General Merchandise</t>
  </si>
  <si>
    <t>PRF No</t>
  </si>
  <si>
    <t>PO Number</t>
  </si>
  <si>
    <t>Item/s Delivered</t>
  </si>
  <si>
    <t>Evaluation Date</t>
  </si>
  <si>
    <t>Supplier</t>
  </si>
  <si>
    <t>Remarks</t>
  </si>
  <si>
    <t>Address</t>
  </si>
  <si>
    <t>Ahrcel's Gift Shop</t>
  </si>
  <si>
    <t>YKP General Merchandise</t>
  </si>
  <si>
    <t>PURCHASING</t>
  </si>
  <si>
    <t>Average</t>
  </si>
  <si>
    <t>REQUISITIONER</t>
  </si>
  <si>
    <t>Awardextremes, Inc.</t>
  </si>
  <si>
    <t>Wilcon Depot Sucat</t>
  </si>
  <si>
    <t>REMARKS</t>
  </si>
  <si>
    <t>Monthly Rating</t>
  </si>
  <si>
    <t>Raynard's Enterprise</t>
  </si>
  <si>
    <t>Circuit Solutions, Inc.</t>
  </si>
  <si>
    <t>A</t>
  </si>
  <si>
    <t>B</t>
  </si>
  <si>
    <t>C</t>
  </si>
  <si>
    <t>D</t>
  </si>
  <si>
    <t>E</t>
  </si>
  <si>
    <t>EIG Metal Engravers</t>
  </si>
  <si>
    <t>CW Marketing &amp; Development Corporation</t>
  </si>
  <si>
    <t>PO29464</t>
  </si>
  <si>
    <t>VIENETCH UCM (PROJECTOR BRACKET); HDMI CABLE; 1.8 HDMI CABLE</t>
  </si>
  <si>
    <t>Maximum Solutions Corporation</t>
  </si>
  <si>
    <t>MMP Friendly Gift Ideas Store</t>
  </si>
  <si>
    <t>Polaris Integrated Industries, Inc.</t>
  </si>
  <si>
    <t>PO29319</t>
  </si>
  <si>
    <t xml:space="preserve">Box of Crayons - Stanford (8pcs) 				
Glue Stick Stanford, Leeho 8g (.28oz.)                       				
Scissors, Stanford - Maped Stainless				
Pencil, Stanford 				
Water Color Stanford, Tempera 				
Ruler, Stanford Faber-Castel 6 inches 				</t>
  </si>
  <si>
    <t>JAVAMMP</t>
  </si>
  <si>
    <t>Amalgamated Specialties Corporation</t>
  </si>
  <si>
    <t>Cloth &amp; Uniforms</t>
  </si>
  <si>
    <t>PO29322</t>
  </si>
  <si>
    <t>POLARIS PRIME AIR TECH CORPORATION</t>
  </si>
  <si>
    <t>PO29312</t>
  </si>
  <si>
    <t xml:space="preserve">G1, My ABC and ACT				
G2, I Can Do It ACT				
G3, The Achiever in Me ACT				
G4, I am Me! ACT				
G5, Journeying Into Me ACT				
G6, The Whole ME ACT				
G7, My Achievement Journey ACT				
G8, I am a Gift ACT				
G10, One Step at a Time ACT				</t>
  </si>
  <si>
    <t>Jarm Printing Press</t>
  </si>
  <si>
    <t>PO29313</t>
  </si>
  <si>
    <t xml:space="preserve">G1, My ABC of EQ				
G2, My Family and I EQ				
G3, All About Me EQ				
G4, I am Me! EQ				
G5, Journeying Into Me EQ				
G6, The Whole Me EQ				
G7, My EQ Factor 				
G8, I am a Gift EQ				
G9, The Joy of Being Me				
G10, One Step at a Time EQ				</t>
  </si>
  <si>
    <t>PO29316</t>
  </si>
  <si>
    <t xml:space="preserve">Standford Skillbook Math  C				
Standford Skillbook Math  D				
Standford Skillbook Reading B				
Standford Skillbook Reading C				
Standford Skillbook Reading D				</t>
  </si>
  <si>
    <t>Tropical Palms Fashion House, Inc</t>
  </si>
  <si>
    <t>Eyarti Construction Services</t>
  </si>
  <si>
    <t>STA0869</t>
  </si>
  <si>
    <t>Oray Copier Solutions</t>
  </si>
  <si>
    <t>Big League Sports Wear Shop, The</t>
  </si>
  <si>
    <t>Non-Residential Building Construction Lucky Construction</t>
  </si>
  <si>
    <t>PO29323</t>
  </si>
  <si>
    <t>Crown Supply Corporation</t>
  </si>
  <si>
    <t>PO29433</t>
  </si>
  <si>
    <t>TARPAULIN 10X20FT WITHOUT EYELET AND SEAMING</t>
  </si>
  <si>
    <t>Tieline, Inc</t>
  </si>
  <si>
    <t>Cesar T. Bandoy Construction Services</t>
  </si>
  <si>
    <t>PO29407</t>
  </si>
  <si>
    <t>PRESSURE TANK 315 GALLONS</t>
  </si>
  <si>
    <t>Supertank Internatioanl Company</t>
  </si>
  <si>
    <t>PO29445</t>
  </si>
  <si>
    <t>Math new syllabus grade 98 e-book</t>
  </si>
  <si>
    <t>REX Bookstore, Inc.</t>
  </si>
  <si>
    <t>Furniture</t>
  </si>
  <si>
    <t>PO29434</t>
  </si>
  <si>
    <t>Becabs Electrical Engineering Services</t>
  </si>
  <si>
    <t xml:space="preserve">Lenovo 82C40161PH; i5, WINDOWS 10 HOME OS; 4GB+4GB MEMORY; ITB SATA HARD DISK				</t>
  </si>
  <si>
    <t>PO29940</t>
  </si>
  <si>
    <t>Lenovo V1482C40161PH i3</t>
  </si>
  <si>
    <t>Microsmith Technology System,Inc.</t>
  </si>
  <si>
    <t>PO29440</t>
  </si>
  <si>
    <t>PO29450</t>
  </si>
  <si>
    <t>Level up your career tarp 12x14 with seaming eyelet all over</t>
  </si>
  <si>
    <t>Alpha Steel Office &amp; Home Furnishing Company Inc.</t>
  </si>
  <si>
    <t>Takumina</t>
  </si>
  <si>
    <t>PO29451</t>
  </si>
  <si>
    <t>3.5X13.5 WITH EYELET EVERY ONE FOOT SEAMING ALL OVER</t>
  </si>
  <si>
    <t>PO29444</t>
  </si>
  <si>
    <t>Time Cards</t>
  </si>
  <si>
    <t>Elle Tech &amp; Trend</t>
  </si>
  <si>
    <t>Leonard Prints Inc.</t>
  </si>
  <si>
    <t>Office Supplies and Equipment</t>
  </si>
  <si>
    <t>PO29446</t>
  </si>
  <si>
    <t>WIFI CARD PCIE</t>
  </si>
  <si>
    <t>PO29455</t>
  </si>
  <si>
    <t>Tarpaulin 24x18</t>
  </si>
  <si>
    <t>PO29456</t>
  </si>
  <si>
    <t>TOPS TARP 6.5X13.5 FT WITH SEAMING EYELET ALL OVER 10 OUNCE THICKNESS</t>
  </si>
  <si>
    <t>ARKWOOD PLUS FINE FURNITURE</t>
  </si>
  <si>
    <t>Inkonvert Enterprise</t>
  </si>
  <si>
    <t>PO29457</t>
  </si>
  <si>
    <t>Congratulatory tarps 7x10 FT with seaming eyelet all over, 18 ounce thickness</t>
  </si>
  <si>
    <t>PO29447</t>
  </si>
  <si>
    <t xml:space="preserve">Lenovo 82C40161PH; IntelCorei5, WINDOWS 10 HOME OS; 4GB+4GB MEMORY; ITB SATA HARD DISK				</t>
  </si>
  <si>
    <t>Construction and Engineering Supplies/Equipments</t>
  </si>
  <si>
    <t>PO29449</t>
  </si>
  <si>
    <t>Asahi Design Centre Inc.</t>
  </si>
  <si>
    <t>Abacus Book &amp; Card Corp</t>
  </si>
  <si>
    <t>PO29452</t>
  </si>
  <si>
    <t>Grade 4 EQ and ACT books, G6 EQ and ACT books, G7 EQ and Act books</t>
  </si>
  <si>
    <t>Farm Printing Press</t>
  </si>
  <si>
    <t>Cursive Writing (G3 G4 G5)</t>
  </si>
  <si>
    <t>Ergo Contracts Phil., Inc.</t>
  </si>
  <si>
    <t>PO29454</t>
  </si>
  <si>
    <t>BLINDS (MATERIAL AND INSTALLATION)</t>
  </si>
  <si>
    <t>PO29462</t>
  </si>
  <si>
    <t>TRODATS (For check payment, For Miss Chona and MIss Queene</t>
  </si>
  <si>
    <t>PO29439</t>
  </si>
  <si>
    <t>WAKE UP SUN / TEENY TINY WOMAN</t>
  </si>
  <si>
    <t>National Bookstore, Inc.</t>
  </si>
  <si>
    <t>Contrade Integrated Depot</t>
  </si>
  <si>
    <t>PO29461</t>
  </si>
  <si>
    <t>MULTI PURPOSE SHREDDER DIEESEL ENGINE</t>
  </si>
  <si>
    <t>NTDC 888 Global Enterprise</t>
  </si>
  <si>
    <t>PO29463</t>
  </si>
  <si>
    <t>GRADUATE SCHOOL TOR PAPER</t>
  </si>
  <si>
    <t>PO29466</t>
  </si>
  <si>
    <t>OFFICIAL RECEIPT (ATP0</t>
  </si>
  <si>
    <t>Crosspoint Paper, Inc</t>
  </si>
  <si>
    <t>PO29428</t>
  </si>
  <si>
    <t>EQUIPPE NOUVELLE 1</t>
  </si>
  <si>
    <t>C &amp; E Publishing Inc.</t>
  </si>
  <si>
    <t>PO29473</t>
  </si>
  <si>
    <t>Plaque</t>
  </si>
  <si>
    <t>Gift Republic, Inc.</t>
  </si>
  <si>
    <t>PO29467</t>
  </si>
  <si>
    <t>Plastic Safety Barrier</t>
  </si>
  <si>
    <t>Tropical Palms Fashion House, Inc.</t>
  </si>
  <si>
    <t>PO29469</t>
  </si>
  <si>
    <t>Ventilator / IV Pump / Feeding Pump / Nursing Doll / Pleur-evac / Foley Cther / IV Arm</t>
  </si>
  <si>
    <t>Progressive Medical Corporation</t>
  </si>
  <si>
    <t>Western Grand Central Co, Inc</t>
  </si>
  <si>
    <t>PO29470</t>
  </si>
  <si>
    <t>Waller International, Inc.</t>
  </si>
  <si>
    <t>PO29474</t>
  </si>
  <si>
    <t>*HP PROCURVE SWITCH 2650 OR UP / CISCO Catalyst Switch / cisco switch</t>
  </si>
  <si>
    <t>ABENSON VENTURES INC.,</t>
  </si>
  <si>
    <t xml:space="preserve">Box of Paper, Continuous - 11 X 14-7/8 1ply
Box of Paper, Continuous 11 X 14-7/8 2ply
Box of Paper, Continuous - 11 X 9.5 4ply
</t>
  </si>
  <si>
    <t>Times Trading, Inc</t>
  </si>
  <si>
    <t>PO29478</t>
  </si>
  <si>
    <t xml:space="preserve"> APC BV800I</t>
  </si>
  <si>
    <t>iEquity Technologies Corp.</t>
  </si>
  <si>
    <t>PO29480</t>
  </si>
  <si>
    <t>LUX SIDE TARP 83X190 INCHESWITH SEAMING AND EYELET ALL OVER</t>
  </si>
  <si>
    <t>PO29481</t>
  </si>
  <si>
    <t xml:space="preserve">ACER   AMD Ryzen 5 3400g 3.6 ghz Vega 11                                
Built - in/ Integrated Graphics Motherboard:A320 DDR4                                
Ram: 120 gb ssd operating system                                 
Storage: 500 gb hdd                                
wih ordina asing and spower supply                                
19 inches VRAND NEW LED WIDE Monitor                                  
WEB CAM , AVR, Mouse an Kyeboard                                 
Mouse Pad, Head set,   free lan cable and wifi dongle                                 </t>
  </si>
  <si>
    <t>PO29485</t>
  </si>
  <si>
    <t>LUX GIANT TARP10.127X40.349 FT</t>
  </si>
  <si>
    <t>PO29486</t>
  </si>
  <si>
    <t>DOCTORS BANNER 6.5X13.5 FT</t>
  </si>
  <si>
    <t>PO29484</t>
  </si>
  <si>
    <t>CMOS BATTERY ; DDR3 12800 4GB MEMORY KINSTON</t>
  </si>
  <si>
    <t>PO29487</t>
  </si>
  <si>
    <t xml:space="preserve"> CONGRATULATORY TARP FOR CHELSEA 7X10 FT</t>
  </si>
  <si>
    <t>Majesty Builders &amp; Electrical Supply</t>
  </si>
  <si>
    <t>Print Depot Inc.</t>
  </si>
  <si>
    <t>PO29483</t>
  </si>
  <si>
    <t>LAN CARD PCI ; LAN CARD PCIE</t>
  </si>
  <si>
    <t>PO29496</t>
  </si>
  <si>
    <t>Acoustic Board 2ftx4ft white</t>
  </si>
  <si>
    <t>PO29495</t>
  </si>
  <si>
    <t>LOPEZ TARP 6.25X17.6 ft</t>
  </si>
  <si>
    <t>Megabuilders &amp; Building Care Services</t>
  </si>
  <si>
    <t>Cosmotech Philippines, Inc.</t>
  </si>
  <si>
    <t>PO29497</t>
  </si>
  <si>
    <t xml:space="preserve">Toner, Cartridge CF210A Black				
Toner, Cartridge CF211A Cyan				
</t>
  </si>
  <si>
    <t>PO29494</t>
  </si>
  <si>
    <t xml:space="preserve">Towel, Hand - Good Morning				
</t>
  </si>
  <si>
    <t>PO29501</t>
  </si>
  <si>
    <t>Congratulatory tarp of Gen Mark 7x10 FT with seaming eyelet all over, 18 ounce thickness</t>
  </si>
  <si>
    <t>PO29505</t>
  </si>
  <si>
    <t>SKILL COAT / SAND PAPER/ HACKSAW BLADE / EPOXY PRIMER / THINNER / FLAT LATEX / SEMI GLOSS LATEX / QDE CHOCOLATE BROWN / ACRI COLOR LAMP BLACK / ACRO COLOR RAW SIENNA / PAINT ROLLER / PAINT BRUSH /  PAINT THINNER / PAINT ROLLER 4 COTTON / TUBULAR BARS / SQUARE BAR / WELDING ROD / CUTTING DISK / PLAIN SHEET / BLIND RIVET / DRILL BIT METAL</t>
  </si>
  <si>
    <t>Inkonvert Enterprises</t>
  </si>
  <si>
    <t>PO29502</t>
  </si>
  <si>
    <t>Clearbook, Unrefillable 20's Long                                
Clip, Paper (50gms/box), Prince Vinyl Coated - Small                                
Frame, Certificate Ordinary - Brown                                
Highlighter, Stabilo Green                                
Highlighter, Stabilo Pink                                
Tape, Duct Tape (2in x 10m)                                
Highlighter, Stabilo Yellow                                
Ballpen, Dong-A My Gel Black 0.5                                
Ballpen, Dong-A My Gel Blue 0.5                                
Paper, Fortune Groundwove  Mimeo Long (500pcs)                                
Paper, Fortune Groundwove  Mimeo Short (500pcs)                                
Pilot Ballpen Blue Pilot ballpen black</t>
  </si>
  <si>
    <t>Abacus Book &amp; Card Corp.</t>
  </si>
  <si>
    <t>PO29499</t>
  </si>
  <si>
    <t>17th Street Maxiprint Co.</t>
  </si>
  <si>
    <t>PO29506</t>
  </si>
  <si>
    <t xml:space="preserve">Tape, Scotch 3M (1")                                        TAPE-GEN-10-0001                        
Tape, 3M Masking Tape Big (1")                     TAPE-GEN-10-0002                        
Tape, Packaging (2")                                        TAPE-GEN-10-0006                        
</t>
  </si>
  <si>
    <t>PO29516</t>
  </si>
  <si>
    <t>ROPE FOR MUNICH TARP</t>
  </si>
  <si>
    <t>Luminaire Printing and Publishing Corp</t>
  </si>
  <si>
    <t>PO29507</t>
  </si>
  <si>
    <t xml:space="preserve">TRASH BAG, EXTRA EXTRA LARGE (37" x 40") CLEAR                                        BAGS-RIV-10-0018                        
TRASH BAG, MEDIUM (22" x 24") CLEAR                                        BAGS-RIV-10-0015                        
TRASH BAG, LARGE (26" x 32") CLEAR                                        BAGS-RIV-10-0016                        
TRASH BAG, EXTRA LARGE (36" x 40")/(30" x 37") CLEAR                                        BAGS-RIV-10-0017                        
GEM Toilet Bowl Cleaner (RJM)                                        CLEA-GEM-10-0001                        
Baygon Fly Paper                                        PAPR-BAY-10-0001   </t>
  </si>
  <si>
    <t>PO29508</t>
  </si>
  <si>
    <t>Leonard Prints Inc</t>
  </si>
  <si>
    <t>PO29526</t>
  </si>
  <si>
    <t>120X286 STAR/ELI TARP</t>
  </si>
  <si>
    <t>PO29532</t>
  </si>
  <si>
    <t xml:space="preserve">Paper, Parchment - 9 X 12 Ordinary                                        PAPR-GEN-10-0025                        
Paper, Parchment - 8.5x11 Ordinary                                        PAPR-GEN-10-0041                        
Paper, SISC Letterhead Colored Short                                        PAPR-SIS-10-0001                        
Plastic Cover, Gauge 4 48'W                                        COVR-GEN-10-0001                        
Ballpen, Dong-A My Gel Black 0.5					PENS-DON-10-0001	
</t>
  </si>
  <si>
    <t>PO29493</t>
  </si>
  <si>
    <t>APC 1000VA RACK MOUNT UPS230 VOLT /</t>
  </si>
  <si>
    <t>PO29537</t>
  </si>
  <si>
    <t xml:space="preserve">Paper, Copy-Laser Sub. 20 Long White					PAPR-COP-10-0001			
Paper, Copy-Laser Sub. 20 Short White					PAPR-COP-10-0002			
Paper, Copy-Laser A4 Sub. 20 White					PAPR-COP-10-0003			
</t>
  </si>
  <si>
    <t>Crosspoint Paper, Inc.</t>
  </si>
  <si>
    <t>PO29673</t>
  </si>
  <si>
    <t>CALLING CARDS FOR THE FOLLOWING EMPLOYEES: RORY STEPHEN P. MANSBRIDGE; QI MAO ROMUALDO; ENGR. PETER JAMES AGADA</t>
  </si>
  <si>
    <t>Prettie Prints Graphic Arts</t>
  </si>
  <si>
    <t>PO29533</t>
  </si>
  <si>
    <t>Outsource Services</t>
  </si>
  <si>
    <t>PO29524</t>
  </si>
  <si>
    <t>ADMISSION ENROLLMENT AY 21-22 6.5 X 13.5 FT</t>
  </si>
  <si>
    <t>ADVANCE COMPUTER FORMS</t>
  </si>
  <si>
    <t>PO29520</t>
  </si>
  <si>
    <t xml:space="preserve">CMOS Battery                                
Video Splitter 2-way                         
Hard Disk 1TB                                
USB Keyboard                                
USB Mouse Logitech                                
Power Supply Generic 600watts                                
</t>
  </si>
  <si>
    <t>PO29525</t>
  </si>
  <si>
    <t>OVERHEAD DOOR CLOSER</t>
  </si>
  <si>
    <t>JAC Aluminum and Glass Supply and Services</t>
  </si>
  <si>
    <t>Maximum Security and Services Corp</t>
  </si>
  <si>
    <t>PO29510</t>
  </si>
  <si>
    <t>Rubber Matts</t>
  </si>
  <si>
    <t>Manila Rubber Corporation</t>
  </si>
  <si>
    <t>Data Computer Forms, Inc.</t>
  </si>
  <si>
    <t>PO29511</t>
  </si>
  <si>
    <t>G/F Lux Building Entrance, 2/F Lux CR, 5/F Lux CR  College Concessionaire CR, 2/F College CR Tropical G/F Gate Entrance, Stairs, Elevator lobby Tropical 2/F. 3/F Male/Female CR Design: Coil mat, color: Green Features: Less abrasive, high grade PVC, Super scraping function, looped layers can trap dirt</t>
  </si>
  <si>
    <t>Altaserv Inc.</t>
  </si>
  <si>
    <t>PO29512</t>
  </si>
  <si>
    <t>SPRINTEC PRINTING PRESS, INC.</t>
  </si>
  <si>
    <t>PO29513</t>
  </si>
  <si>
    <t>PO29517</t>
  </si>
  <si>
    <t>LENOVO IDEA PADSLIM i3 ; ACER ASPIRE A-31-54K-35V8 i3</t>
  </si>
  <si>
    <t>PO29521</t>
  </si>
  <si>
    <t>Trojan Computer Forms Mfg. Corp.</t>
  </si>
  <si>
    <t>PO29515</t>
  </si>
  <si>
    <t>EZ LABELLER</t>
  </si>
  <si>
    <t>National Bookstore</t>
  </si>
  <si>
    <t>PO29514</t>
  </si>
  <si>
    <t>Bidet ; Rat catcher ; rain coat ; baby oil ; hand soap ; ariel ; hand wash ; mr. muscle</t>
  </si>
  <si>
    <t>Soap King, Inc.</t>
  </si>
  <si>
    <t>M-PLUS PRINTGRAPHICS</t>
  </si>
  <si>
    <t>PO29540</t>
  </si>
  <si>
    <t>CONGRATULATORY TARPS ; MATH ACHIEVER BIG TARP</t>
  </si>
  <si>
    <t>PO29543</t>
  </si>
  <si>
    <t>Toner, Cartridge Inkonvert T660 for Brother HL-L2300D</t>
  </si>
  <si>
    <t>GBert Pest Control</t>
  </si>
  <si>
    <t>PO29542</t>
  </si>
  <si>
    <t>Alcohol gallons 70% Isophrophyl</t>
  </si>
  <si>
    <t>PO29551</t>
  </si>
  <si>
    <t xml:space="preserve">STICK BROOM, TRASH BAG MEDIUM CLEAR, TRASH BAG EXTRA LARGE, CLEAR </t>
  </si>
  <si>
    <t>PO29556</t>
  </si>
  <si>
    <t xml:space="preserve">BOWL CARE, SCOTCH BRITE, TOILET BOWL CLEANER, GLOW FURNITURE CLEANER,Trash Bag, Extra Extra Large (37X40) Clear  DUST MOP HANDLE, Polisher Head with Brush 16" White,'STATE SCRAM, Mr. Muscle Cleaner </t>
  </si>
  <si>
    <t>Chemtrust Global Market, Inc.</t>
  </si>
  <si>
    <t>Klad Sanitation Services</t>
  </si>
  <si>
    <t>ANESCHEM TECHNOLOGIES, INC.</t>
  </si>
  <si>
    <t>PO29560</t>
  </si>
  <si>
    <t>UV STERILIZATION BOX</t>
  </si>
  <si>
    <t>Officelandia Enterprises, Inc.</t>
  </si>
  <si>
    <t>PO29557</t>
  </si>
  <si>
    <t>Jmarsean junkshop</t>
  </si>
  <si>
    <t>PO29565</t>
  </si>
  <si>
    <t>IVERMECTIN AND ANTIGEN KIT</t>
  </si>
  <si>
    <t>Philippine Blue Cross Biotech Corporation</t>
  </si>
  <si>
    <t>PO29569</t>
  </si>
  <si>
    <t>TONER CARTRIDGE CF210A BLACK, TONER CARTRIDGE CF210A YELLOW</t>
  </si>
  <si>
    <t>Sports Supplies &amp; Equipment</t>
  </si>
  <si>
    <t>PO29567</t>
  </si>
  <si>
    <t>MIFARE 1K BIT- CONTACTLESS CARD, MODEL- IOT CRDM65</t>
  </si>
  <si>
    <t>Express Cards Enterprises Co.</t>
  </si>
  <si>
    <t>PO29562</t>
  </si>
  <si>
    <t xml:space="preserve">NAS DEVISE AND 8 PCS. 4 TB SEAGATE HARD DRIVE </t>
  </si>
  <si>
    <t>PO29574</t>
  </si>
  <si>
    <t>ALCOHOL 70% ISOPROPYL (PER GALLONS)</t>
  </si>
  <si>
    <t>PO29581</t>
  </si>
  <si>
    <t>Glue, Elmer's - 130gs, Pad paper, Fortune Quiz Pad Whole, Intermediate (80 leaves), Marker, Pilot Black Fine,Paper, Construction - asst'd 20's,Periodic Table of Elements- Big,Political World Map,'Ruler, Plastic - Orion 12 inches,Paper, book short 20/pack,Paper, book long 20/pack, 'Tape, Scotch  3M (1") (Transparent Tape 500 24mmx50m),'Yarn, Yarn Asstd Color,'Popsicle Stick, pack (100 sticks)</t>
  </si>
  <si>
    <t>PO29577</t>
  </si>
  <si>
    <t xml:space="preserve">,Colored Pens (10s),Prang Watercolor, Paper Best Buy colored asstd 9x12,Poster paint (mightee) </t>
  </si>
  <si>
    <t>PO29589</t>
  </si>
  <si>
    <t xml:space="preserve">Lil Hand Modelling Clay Scented Neon Colors 10s 180g, Box of Crayons - Crayola Double (16pcs), Pencil, SISCPaper, B&amp;E Bond Paper 8.5x11 (50per pack), Colored Pencils (12s) Li'l Hands </t>
  </si>
  <si>
    <t>Bobman Trading</t>
  </si>
  <si>
    <t>PO29575</t>
  </si>
  <si>
    <t xml:space="preserve">Facemask </t>
  </si>
  <si>
    <t>Oxychem Corporation</t>
  </si>
  <si>
    <t>PO2960</t>
  </si>
  <si>
    <t>CONGRATULATORY BANNER FOR 2LT. Jan Hernan Perez (7 x10 feet)</t>
  </si>
  <si>
    <t>PO29168</t>
  </si>
  <si>
    <t>PO29621</t>
  </si>
  <si>
    <t xml:space="preserve">SOON TO OFFER TARP 6.5 X 13 FT. WITH SEAMING AND EYELET ALL OVER , 18 INCHES </t>
  </si>
  <si>
    <t>Yana Chemodities, Inc.</t>
  </si>
  <si>
    <t>PO29619</t>
  </si>
  <si>
    <t xml:space="preserve">SOON TO OFFER TARP 10 X 10 FT. WITH SEAMING , 24 INCHES </t>
  </si>
  <si>
    <t>PO29618</t>
  </si>
  <si>
    <t>PO29624</t>
  </si>
  <si>
    <t>MEDALS, DEANS MERIT, HONORABLE MENTION, CUM LAUDE, LOYALTY MEDALS (GOLD PIN)</t>
  </si>
  <si>
    <t>PO29625</t>
  </si>
  <si>
    <t>1.Apple M1 chip with 8-core CPU, 8-core GPU and 16-core Neural Engine,   8GB unified memory,  256GB SSD storage,  Gigabit Ethernet , 2.   USB-C Digital AV Multiport Adapter , 3.   Dell Monitor    Dell S2721HN 27-inch IPS Display | 75Hz Refresh Rate | AMD FreeSync | Full HD (1920 x 1080) | 4ms (grey to grey extreme) | 2 x HDMI Connectors | 300cdm/2</t>
  </si>
  <si>
    <t>PO29623</t>
  </si>
  <si>
    <t>Bidet, Rinse Tech Heritage Model - Cream, All Purpose Powder, 800 grams per Pack, Champion,Baby Oil, 125 ml (Johnson and Johnson),Soft Broom</t>
  </si>
  <si>
    <t>PO29632</t>
  </si>
  <si>
    <t>GLOW FURNITURE CLEANER &amp; POLISH (RIVCHEM), HANDSOAP ANTIBACTERIAL (RIVCHEM), ZONROX BLEACH 1.9 L, ODOR MASCANT (WISE CHOICE) PLEASANT AEROSENSE</t>
  </si>
  <si>
    <t>PO29634</t>
  </si>
  <si>
    <t>Toner, Cartridge CF211A Cyan, Toner, Cartridge CF213A Magenta, Ribbon, Cartridge Epson LQ 2180 #1553, 'Ribbon, Cartridge Epson LX310 SO15632</t>
  </si>
  <si>
    <t>PO29636</t>
  </si>
  <si>
    <t>Magazine box color black;size long</t>
  </si>
  <si>
    <t>CALLING CARD</t>
  </si>
  <si>
    <t>PO29627</t>
  </si>
  <si>
    <t>Paper, Copy-Laser Sub. 20 Long White</t>
  </si>
  <si>
    <t>PO29633</t>
  </si>
  <si>
    <t>Wisechoice Cleaning Supplies and Trading Corp.</t>
  </si>
  <si>
    <t>PO29682</t>
  </si>
  <si>
    <t>Eraser, Maped (Big) (3154140117245), Scissors, Students 5', Maped (463010 8)</t>
  </si>
  <si>
    <t>PO29642</t>
  </si>
  <si>
    <t>Polaris Prime Air Tech Corporation</t>
  </si>
  <si>
    <t>PO29641</t>
  </si>
  <si>
    <t>PO29628</t>
  </si>
  <si>
    <t xml:space="preserve">SERVICE APPRECIATION AWARD PLAQUE (5 YEARS, 10 YEARS, 15 YEARS)  </t>
  </si>
  <si>
    <t>PO29629</t>
  </si>
  <si>
    <t xml:space="preserve">SERVICE APPRECIATION AWARD PLAQUE (5 YEARS, 10 YEARS, 15 YEARS, 20 YEARS AND 25 YEARS) </t>
  </si>
  <si>
    <t>PO29630</t>
  </si>
  <si>
    <t>Plaque- parents of Rosales, Handog,Castañeda and Calpo</t>
  </si>
  <si>
    <t>Raynard's Enterprises</t>
  </si>
  <si>
    <t>PO29626</t>
  </si>
  <si>
    <t xml:space="preserve">TOR PAPER </t>
  </si>
  <si>
    <t>PO29644</t>
  </si>
  <si>
    <t>Toner, Cartridge Inkonvert T660 for Brother HL-L2300D, 'Toner, Cartridge Inkonvert LBP6000 85A</t>
  </si>
  <si>
    <t>PO29640</t>
  </si>
  <si>
    <t xml:space="preserve">LONG BROWN ENVELOPE </t>
  </si>
  <si>
    <t>PO29643</t>
  </si>
  <si>
    <t>CONGRATULATORY TARP OF GWYN STANDARD SIZE</t>
  </si>
  <si>
    <t>PO29645</t>
  </si>
  <si>
    <t>PAPER, BEST BUY COLORED ASSORTED (9''X 11'')</t>
  </si>
  <si>
    <t>PO29631</t>
  </si>
  <si>
    <t>IRC jacket and Polo shirts</t>
  </si>
  <si>
    <t>Awardextremes, Inc,</t>
  </si>
  <si>
    <t>PO29638</t>
  </si>
  <si>
    <t>Paper, SISC Letterhead Colored A4 (8.27x11.69in)</t>
  </si>
  <si>
    <t>PO29647</t>
  </si>
  <si>
    <t>TUBULAR BAR 2.0"X2", TUBULAR  BAR 2.0"X 1"X2" WELDING ROD (SPECIAL) , CUTTING DISK NO. 4, SQUARE BAR #12 MM, SEMI GLOSS LATEX WHITE, PAINT THINNER,M POLITUFF WITH HARDENER , SANDING PAPER#100, SKIM COAT</t>
  </si>
  <si>
    <t>PO29635</t>
  </si>
  <si>
    <t>PO29648</t>
  </si>
  <si>
    <t>Clip, Paper (50gms/box), Prince Vinyl Coated - Small, Folder, Pressboard Green Long, Ink, Stamp Pad-Eveready Black, 'Marker, Pilot Broad Black, 'Paper, Fortune Groundwove  Mimeo Long (500pcs),'Paper, Fortune Groundwove  Mimeo Long (500pcs) Record Book, 300 Pages, Scissors, for Employee (6inches),Tape, Packaging Tape (2"), Tape, Scotch  3M (1"), Battery, Eveready Size AAA, 'Clip, Paper (50gms/box), Prince Vinyl Coated - Small, Cutter, Handy-Big L-300 GRP, Cutter, L-500 GRP Big</t>
  </si>
  <si>
    <t>PO29649</t>
  </si>
  <si>
    <t>GREEN FOLDER PLAIN (LONG) 250 PCS</t>
  </si>
  <si>
    <t>PO29654</t>
  </si>
  <si>
    <t>ACRYLIC GLASS FOR STUDENT'S DESK, 24"w X24"w X 32" W USING 3MM ACRYLIC  GLASS</t>
  </si>
  <si>
    <t>PO29653</t>
  </si>
  <si>
    <t>COLLEGE STUDENT JACKET FORMAT ( BROWN ENVELOPE LONG)</t>
  </si>
  <si>
    <t>Luminaire Printing And Publishing Corp.</t>
  </si>
  <si>
    <t>PO29652</t>
  </si>
  <si>
    <t>SCENTED BAYGON PROTECTOR MULTI INSECT KILLER 500 ML</t>
  </si>
  <si>
    <t>PO29662</t>
  </si>
  <si>
    <t>PLASTIC FOR ID WITH SEAL 10X5</t>
  </si>
  <si>
    <t>PO29661</t>
  </si>
  <si>
    <t>Rapid Test Kit (Viva Diag Pro)</t>
  </si>
  <si>
    <t>PO29660</t>
  </si>
  <si>
    <t xml:space="preserve">SPRAY GUN (TRANSPARENT) </t>
  </si>
  <si>
    <t>PO29639</t>
  </si>
  <si>
    <t>ASSESSMENT FORMS IN TRIPLICATE, SERIES # 322001-322500, 322501-323000,323001-323500,323501-324000,324001-324500</t>
  </si>
  <si>
    <t>PO29665</t>
  </si>
  <si>
    <t>TRODAT SIZE 4910</t>
  </si>
  <si>
    <t>PO29667</t>
  </si>
  <si>
    <t>PAPER, LASER SUB. 20 SHORT WHITE</t>
  </si>
  <si>
    <t>PO29668</t>
  </si>
  <si>
    <t>MAGAZINE BOX BLACK 162 PCS</t>
  </si>
  <si>
    <t>PO29656</t>
  </si>
  <si>
    <t xml:space="preserve">Teaching Profession (PATEF), Foundation of Special and Inclusive Education, Foundation of Special and Inclusive Education ,  Assessment of Learning 1 ,Assessment of Learning 2, The Teacher and The School Curriculum: A guide to Curriculum Development Practice, Teaching Profession, Field Study 1, Teaching Strategies for Elementary Science (Physical and Earth Science), Content and Pedagogy for the Mother Tongue                                                                                                                                             </t>
  </si>
  <si>
    <t>BOOKS: GRADE 11- ONE BIG LEAP ACT WB, GRADE 12- SOARING HIGH ACT WB</t>
  </si>
  <si>
    <t>ASPIRATIONS INTERNATIONAL INC.</t>
  </si>
  <si>
    <t>PO29671</t>
  </si>
  <si>
    <t xml:space="preserve">RJ45 CONNECTOR (COMSCOPE CATSE) </t>
  </si>
  <si>
    <t>PO29672</t>
  </si>
  <si>
    <t>CO2 METER PORTABLE DETECTOR - AIR QUALITY MONITOR (LUX-1; EAST WING -3; CHAPTER ZONE -3; WEST WING -3; MUNICH -3)</t>
  </si>
  <si>
    <t>Oxychem</t>
  </si>
  <si>
    <t>PO29674</t>
  </si>
  <si>
    <t>COVER PROGRAMME SIZE 12.625  X 8.25 (C2S#220 LBS) GUEST PASS 2 SIDES PRINT DESIGN A</t>
  </si>
  <si>
    <t>PO29657</t>
  </si>
  <si>
    <t xml:space="preserve">TARPS FOR LAMP POST BANNERS 10X4 FT. </t>
  </si>
  <si>
    <t>PO29663</t>
  </si>
  <si>
    <t>CONGRATULATORY TARP 7x10 FT</t>
  </si>
  <si>
    <t>PO29962</t>
  </si>
  <si>
    <t>PO29679</t>
  </si>
  <si>
    <t xml:space="preserve">HDP500 YMCK RIBBON </t>
  </si>
  <si>
    <t>Commerce Asia, Inc.</t>
  </si>
  <si>
    <t>PO29681</t>
  </si>
  <si>
    <t xml:space="preserve">BOX OF CRAYONS- CRAYOLA DOUBLE 16 PCS </t>
  </si>
  <si>
    <t>PO29683</t>
  </si>
  <si>
    <t>GLUE, ELMERS 130 GS; SCOTCH TAPE 3M 1"; PEN, COLORED FABER CASTEL 10S; MAP WORLD BIG POLITICAL; RULER, PLASTIC ORION 12", PAPER CONSTRUCTION ASSTD. COLOR 20 PCS; MARKER PILOT PERMANENT BLACK;</t>
  </si>
  <si>
    <t>PO29678</t>
  </si>
  <si>
    <t xml:space="preserve">STAR CAMPUS TARP 10FT. X 16.4 FT </t>
  </si>
  <si>
    <t>Services</t>
  </si>
  <si>
    <t>PO29675</t>
  </si>
  <si>
    <t>LANYARD, SISC PRINT WITH ID PROTECTOR LANDSCAPE (NEW LOGO) 20 CM</t>
  </si>
  <si>
    <t>PO29684</t>
  </si>
  <si>
    <t>BOX OF COLOR POSTER PAINT - MIGATEE BRILIANT 20M 12'S; PAPER BEST BUY COLORED ASSORTED 9x11</t>
  </si>
  <si>
    <t>JAC Aluminum &amp; Glass Supply &amp; Services</t>
  </si>
  <si>
    <t>PO29676</t>
  </si>
  <si>
    <t xml:space="preserve">CPU:  Intel core 13-1010100 Quadcore 8GB ram 1TB HDD, Monitor, AOC M2470SWH 26.6IN 1920x1080 Monitor VGA HDMI DP VESA , Kingston 8GB single DDR4 2666 MHZ KVR26N19S8/8    KVR26N19S6/8,   Western Digital WD Green 2400GB M.2 SSD 3D NAND WDS 2.40 G2GOB,  Logitech C270 Plug and Play HD 720P video cam   Webcam </t>
  </si>
  <si>
    <t>PO29687</t>
  </si>
  <si>
    <t>HDP500 Film (for ID Printer HDP5000)</t>
  </si>
  <si>
    <t>JJACS Design &amp; Construction</t>
  </si>
  <si>
    <t>PO29680</t>
  </si>
  <si>
    <t>RAIN COAT (MULTI PURPOSE, ANY COLOR)</t>
  </si>
  <si>
    <t>PO29677</t>
  </si>
  <si>
    <t>RAINBOOTS BLACK 18 PCS; SCOTCH BRITE 170 PCS; TRASHBAG LARGE (26"X 32") CLEAR 15 PCS, TRASHBAG SMALL (18"X 18")CLEAR 30 PCS; ALCOHOL GALLONS 70% ISOPROPYL 20 PCS;</t>
  </si>
  <si>
    <t>Polaris Integrated Industries , Inc.</t>
  </si>
  <si>
    <t>PO29694</t>
  </si>
  <si>
    <t xml:space="preserve">ANVIZ C2 PRO </t>
  </si>
  <si>
    <t>Elygrace Glass Aluminum &amp; Iron Works</t>
  </si>
  <si>
    <t>PO29698</t>
  </si>
  <si>
    <t>PO29695</t>
  </si>
  <si>
    <t>EPSON WORKFORCE DS.- 410 SCANNER, STARPOINT S-170 PAPER SHREDDER</t>
  </si>
  <si>
    <t>OUTSOURCE SERVICES (Twice a year evaluation)</t>
  </si>
  <si>
    <t>PO29700</t>
  </si>
  <si>
    <t>BIG UMBRELLA WITH WIND BREAKER DARK GREEN/ BLACK) WITH SISC LOGO PRINTED 45 PCS</t>
  </si>
  <si>
    <t>Envelope, Expanding Plastic-Short, Adventurer, Clip, Binder Joy 1", Clip, Binder Joy 2"</t>
  </si>
  <si>
    <t>PO29701</t>
  </si>
  <si>
    <t>PO29703</t>
  </si>
  <si>
    <t xml:space="preserve">SALIVA ANTIGEN TEST KIT  - JOINSTAR COLLOIDAL GOLD SALIVA ANTIGEN  </t>
  </si>
  <si>
    <t>Altaserv</t>
  </si>
  <si>
    <t>PO29706</t>
  </si>
  <si>
    <t>RAINCOAT 15PCS; GEM TOILET CLEANER BOWL CARE 10 PCS;</t>
  </si>
  <si>
    <t>PO29707</t>
  </si>
  <si>
    <t>CARPET CLEANER SHAMPOO &amp; CONDITIONER 10 PCS</t>
  </si>
  <si>
    <t>PO29709</t>
  </si>
  <si>
    <t>ISOPROPHYL ALCOHOL 70 % 50PCS.</t>
  </si>
  <si>
    <t>Pinnacle Technologies, Inc.</t>
  </si>
  <si>
    <t xml:space="preserve">INTERNATIONAL FLAGS </t>
  </si>
  <si>
    <t>Atlas Superflags</t>
  </si>
  <si>
    <t>PO29713</t>
  </si>
  <si>
    <t>Ballpen, Panda Black, Glue, Elmer's - 130gs (OSSUP), Battery, Energizer Size AAA</t>
  </si>
  <si>
    <t>ORAY COPIER SOLUTIONS</t>
  </si>
  <si>
    <t>PO29712</t>
  </si>
  <si>
    <t>Paper, Copy-Laser Sub. 20 Short White, 'Paper, Copy-Laser Sub. 20 Long White</t>
  </si>
  <si>
    <t>PO29715</t>
  </si>
  <si>
    <t>BIOMETRIC DEVICE ANVIZ C2 PRO SPECS:  SKU C2 PRO, PROFESSIONAL POE FINGER PRINT AND CARD TERMINAL 3.5" TFT LCD DISPLAY LINUX PLATFORM, DUAL CORE 1G PROCESSOR, 512 MDDR 3 8GB FLASH LESS THAN 0.5S, AUTHENTICATION, 5000 FINGERPRINTS, 100000 RECORDS 1XRELAY, 1XRS 232,TCP /IP,  WIFI USB HOST, POE DC 5-12 V/1A WEB SERVER EM PROXIMITY,  AUTHENTICATIONS: ID + PW, FP, ID+PW,  PW+CARD, FP+CARD, FP+PW</t>
  </si>
  <si>
    <t>PO29714</t>
  </si>
  <si>
    <t>TOWEL, HAND - GOOD MORNING</t>
  </si>
  <si>
    <t>PO29716</t>
  </si>
  <si>
    <t>Tissue, Roll Bath 2ply (Sanicare)</t>
  </si>
  <si>
    <t>PO29719</t>
  </si>
  <si>
    <t>STANDARD CONGRATULATORY TARP (MEATYOUR WONDER, PAYLENGKE APP)</t>
  </si>
  <si>
    <t>PO29723</t>
  </si>
  <si>
    <t>PO29727</t>
  </si>
  <si>
    <t>FLANELLA BLUE, PINK, YELLOW 200 PCS EACH (TROPICAL PALMS)</t>
  </si>
  <si>
    <t>PO29736</t>
  </si>
  <si>
    <t>Tape, Double Adhesive W/ Foam 1X1M, Battery, Energizer Size AA</t>
  </si>
  <si>
    <t>PO29728</t>
  </si>
  <si>
    <t>SISC RIBBON</t>
  </si>
  <si>
    <t>PO29735</t>
  </si>
  <si>
    <t>DESKTOP COMPUTER OF SIR CHRISTIAN ANDRES</t>
  </si>
  <si>
    <t>Net Ad IT Solutions</t>
  </si>
  <si>
    <t>PO29737</t>
  </si>
  <si>
    <t>C5 EXTENSION MIGUEL ALZONA TARP 10X20 FT (NO SEAMING, NO EYELET, LOWEST OUNCE WEIGHT)</t>
  </si>
  <si>
    <t>PO29738</t>
  </si>
  <si>
    <t>Tape, 3M Masking Tape Big (1"), Tape, Packaging Tape (2"), Tape, Scotch  3M (1"), BATTERY, MAXELL CR2032</t>
  </si>
  <si>
    <t>PO29739</t>
  </si>
  <si>
    <t>USB EXTENDDER 15 METERS (M TO F) 8 PCS; USB PORT HUB 4 PORTS 8 PCS; HDMI CABLE 20 METERS 8PCS;</t>
  </si>
  <si>
    <t>PO29741</t>
  </si>
  <si>
    <t>ACER ASPIRE LAPTOP- INTEL  CORE CORE I3- 1115G4</t>
  </si>
  <si>
    <t>PO29742</t>
  </si>
  <si>
    <t>TARPS CONGRATULATORY TARP (10 X 20 FT W/ SEAMING AND EYELET ALL OVER 18 OUNCES</t>
  </si>
  <si>
    <t>PO29743</t>
  </si>
  <si>
    <t>( TARPS)COLLEGE SECOND SEMESTER AY 2020- 2022 ANNOUNCEMENT 6.5 X 13.5 FT WITH EYELETSAND SEAMING</t>
  </si>
  <si>
    <t>PO29744</t>
  </si>
  <si>
    <t xml:space="preserve">(TARPS) SEARCH FOR THE TOPS 6.5 X 13.5 FT WITH EYELET AND SEAMING </t>
  </si>
  <si>
    <t>PO29751</t>
  </si>
  <si>
    <t>4 PCS. DESKTOP COMPUTERS SYSTEM UNIT ONLY   (INTEL CORE I5 11TH GEN, ASUS MOTHERBOARD, KINGSTON 8GB, 256 SSD TOWER CASING, TRUE RATED 700 WATTS POWER SUPPLY)</t>
  </si>
  <si>
    <t>PO29747</t>
  </si>
  <si>
    <t>SOUTHVILLE FLAG 3X5 NYLON, INDONESIA FLAG 3X5 NYLON</t>
  </si>
  <si>
    <t>P.O#: 0086</t>
  </si>
  <si>
    <t>FLEXIBLE PIPE 50 METERS 1/2", WIDE SERIES OUTLET 1 GANG, AMCO BOX, THHN P.D. # 12/7, TOX AND SCREW # 6, ELECTRICAL TAPE</t>
  </si>
  <si>
    <t>Arkin Hardware</t>
  </si>
  <si>
    <t>PO29778</t>
  </si>
  <si>
    <t>Envelope, Expanding Plastic-Long, Adventurer</t>
  </si>
  <si>
    <t>PO29776</t>
  </si>
  <si>
    <t>Battery, Energizer Size AAA, Battery, Eveready Size D</t>
  </si>
  <si>
    <t>PO29779</t>
  </si>
  <si>
    <t>Tape, Duct Tape (2in x 10m), Inks, Trodat Red, Inks, Trodat Black, Ink, Whiteboard-Pilot Blue, Ink, Whiteboard-Pilot Black</t>
  </si>
  <si>
    <t>PO29780</t>
  </si>
  <si>
    <t>CONGRATULATORY TARPS FOR TOURISM 7X10</t>
  </si>
  <si>
    <t>PO29783</t>
  </si>
  <si>
    <t xml:space="preserve">CHLORINE 1KG PER PACK 50 PER/PACKS; FABRIC CONDITIONER KINGWASH 10 GALS; SOFT BROOM 40 PCS; RUBBER CHAMOIS 40 PCS; HAND PUMP BOTTE DISPENSER 1L 5 BOTTLES; </t>
  </si>
  <si>
    <t>PO29820</t>
  </si>
  <si>
    <t>TARP PANEL 001 (LUX GATE 2) 10.2 X 2.2 M, PANEL 002 (INFRONT OF ACCOUNTING) 5 X 2.4 M, PANEL 003 (INFRONT OF LUX HALL) 9MX2.4 M</t>
  </si>
  <si>
    <t>PO29822</t>
  </si>
  <si>
    <t>LANYARD AND SOUTHVILLE PIN</t>
  </si>
  <si>
    <t>PO29828</t>
  </si>
  <si>
    <t xml:space="preserve">Reusable Organizer draw string pouch </t>
  </si>
  <si>
    <t>PO29816</t>
  </si>
  <si>
    <t>SISC STUDENT AMBASSADOR SHIRT</t>
  </si>
  <si>
    <t>PO29835</t>
  </si>
  <si>
    <t>Clip, ID -Alligator Plastic,  Ballpen, Dong-A My Gel Black 0.5, Pen, Sign - Pilot BX-V5 Black, 'Battery, Energizer Size AA, 'Battery, Energizer Size AAA</t>
  </si>
  <si>
    <t>PO29837</t>
  </si>
  <si>
    <t>TRODAT FOR: EDGAR D. REBELLON, RONALDO D. VERDE, ARCH. TEMOTIE JOHN L. DIOSAY</t>
  </si>
  <si>
    <t>PO29836</t>
  </si>
  <si>
    <t>Paper, Water Color Paper Canson A4 (20pcs/pack)</t>
  </si>
  <si>
    <t>PO29841</t>
  </si>
  <si>
    <t xml:space="preserve">Mifare 1k bit - contactless card  Model IOT CRDM65 </t>
  </si>
  <si>
    <t>PO29834</t>
  </si>
  <si>
    <t>Alcohol gallons 70% Isopropyl (BABY SCENT)</t>
  </si>
  <si>
    <t>PO29848</t>
  </si>
  <si>
    <t>USB EXTENDER 10 METERS 2.0</t>
  </si>
  <si>
    <t>PO29844</t>
  </si>
  <si>
    <t>GOVERNANCE, BUSINESS ETHICS, RISK MANAGEMENT &amp; INTERNAL CONTROL
MANAGEMENT SCIENCE
BASIC MICROECONOMICS
GOOD GOVERNANCE AND SOCIAL RESPONSIBILITY
BUSINESS RESEARCH WITH STATISTICAL APPLICATION; TEXTBOOK AND GUIDEBOOKFOR DOING &amp; WRITING RESEARCH
STRATEGIC MANAGEMENT
HUMAN RESOURCES MANAGEMENT
OPERATION &amp; TOOL QUALITY MANAGEMENT</t>
  </si>
  <si>
    <t>PO29846</t>
  </si>
  <si>
    <t>Supply Chain Management in Hospitality Industry, Transportation Management, Fundamentals in Lodging Operations, Entrepreneurship in Tourism &amp; Hospitality, Research in Tourism, Heritage Tourism</t>
  </si>
  <si>
    <t>PO29847</t>
  </si>
  <si>
    <t>COST ACCOUNTING AND CONTROL
INCOME TAXATION 
COMPENSATION ADMINISTRATION
REGUALATORY FRAMEWORK FOR BUSINESS TRANSACTION (RFTB) MCQ CPA REVIEWER
INCOME TAXATION 
BUSINESS AND TRANSFER TAXATION 
REG FRAMEWORK AND LEGAL ISSUES IN BUSINESS IN BUSINESS 1</t>
  </si>
  <si>
    <t>BUSINESS LAW AND REGULATION
REG REAMEWORK AND LEGAL ISSUES IN BUSENESS 1 (2ND EDITION)
THE LAW ON OBLIGATION AND CONTRACTS
PARTNERSHIP REVISED CORPORATION AND COOPERATIVE
REG FRAMEWORK AND LEGAL ISSUES IN BUSINESS 2
THE LAW ON OBLIGATION AND CONTRACTS
BUSINESS LAWS AND REGULATION: PARTNERSHIP REVISED CORPORATION AND COOPERATIVE
STUDENT MANUAL IN THE PHILIPPINE CONSTITUTION
CONSTITUTION MAD SIMPLE</t>
  </si>
  <si>
    <t>PO29853</t>
  </si>
  <si>
    <t>FIRE EXTINGUISHER DRY CHEMICAL 10LBS</t>
  </si>
  <si>
    <t>PO29849</t>
  </si>
  <si>
    <t>PO#0145</t>
  </si>
  <si>
    <t>BOOK - MANAGEMENT CASES: THRIVING ORGANIZATION IN THE NEW NORMAL</t>
  </si>
  <si>
    <t>PNB Credit Card</t>
  </si>
  <si>
    <t>PO29856</t>
  </si>
  <si>
    <t>1. STANFORD SKILL BOOK MATH - C (JK)
2. STANFORD SKILL BOOK MATH - D (SK)
3. G1, MY ABC OF EQ
4. G1, MY ABC OF ACT
5. G2, MY FAMILY AND I EQ
6. G2, I CAN DO IT ACT
7. G3, ALL ABOUT ME EQ
8. G3, THE ACHIEVER IN ME ACT
9. G4, I AM ME EQ
10, G4, I AM ME ACT
11. G5, JOURNEYING ITO ME EQ
12. G5, JOURNEYING ITO ME ACT
13. G6, THE WHOLE OF ME EQ
14. G6, THE WHOLE OF ME ACT
15. G7, MY EQ FACTOR
16. G7, MY ACHIEVEMENT JOURNEY
17. G8, I AM GIFT 
19. G9, THE JOY OF BEING ME EQ
20. G9, THE JOY OF BEING ME ACT
21. G10, ONE STEP AT A TIME EQ
22. G10, ONE STEP AT A TIME ACT
23. G11, ONE BIG LEAP EQ-ACT AND CAREER GUIDANCE WORKBOOK
24. G12, SOARING HIGH: EQ-ACT CAREER GUIDANCE WORKBOOK
25. G3, CURSIVE WRITING
26. G4, CURSIVE WRITING
27. G5, CURSIVE WRITING</t>
  </si>
  <si>
    <t>PO29833</t>
  </si>
  <si>
    <t>Booklet, Spelling SISC, Notebook, High School Mathematics Abstract Small SQ.,'Notebook, Grade School Mathematics Abstract Big Square, 'Notebook, Grade School Mathematics Abstract Small Square, 'Notebook, High School Composition Purple, 'Notebook, Writing SISC R/B Lines Purple Portrait, 'Notebooklet, Writing SISC Landscape Purple</t>
  </si>
  <si>
    <t>PO29852</t>
  </si>
  <si>
    <t>Diary,  Preparatory (Kinder to SK), Diary,  Grade 1 and 2, 'Diary, Grade 3-10 Silver September to January , 'Diary, Grade 3-10 Gold February to July,'Diary, SHS Apple Green Linen  Sept. to July</t>
  </si>
  <si>
    <t>PO29857</t>
  </si>
  <si>
    <t>NOTEBOOK - SISC LEATHERETTE (LACOSTE VIOLET), PENS - EXECUTIVE BLACK W/ SISC PRINT</t>
  </si>
  <si>
    <t>PO29781</t>
  </si>
  <si>
    <t>GRADE 12 GRADUATION TOGA FOR BATCH 21-22</t>
  </si>
  <si>
    <t>PO29873</t>
  </si>
  <si>
    <t xml:space="preserve">INVITATION WITH ENVELOPE </t>
  </si>
  <si>
    <t>PO29868</t>
  </si>
  <si>
    <t>RISING WITH THE FILIPINO</t>
  </si>
  <si>
    <t>Brown Movement for Cultural Advancement, Inc.</t>
  </si>
  <si>
    <t>PO29870</t>
  </si>
  <si>
    <t>2022 LICENSURE EXAMINATION BACK TO BACK 100% PASSING RATE 6.5X13.5 FEET BLACKOUT W/ SEAMING EYELET ALL OVER</t>
  </si>
  <si>
    <t>PO29877</t>
  </si>
  <si>
    <t>TARP- 10 FT X 12 FT KNU TARP (EYELET AND SEAMING ALL OVER)</t>
  </si>
  <si>
    <t>PO29871</t>
  </si>
  <si>
    <t>TRODAT 4924, TRODAT 4913</t>
  </si>
  <si>
    <t>PO29866</t>
  </si>
  <si>
    <t>MEDALS - ACADEMIC EXCELLENCE : GOLD (GREEN LACE), SILVER (PURPLE LACE), BRONZE (PINK LACE) , SUBJECT EXCELLENCE (TRICOLOR), LOYALTY AWARD (TRICOLOR) AFSL AWARD (LEADERSHIP) BLUE RIBBBON</t>
  </si>
  <si>
    <t>PO29876</t>
  </si>
  <si>
    <t>CALLING CARDS</t>
  </si>
  <si>
    <t>PO29875</t>
  </si>
  <si>
    <t>EZ Labeller</t>
  </si>
  <si>
    <t>PO29879</t>
  </si>
  <si>
    <t>BOARD, Vellum (Long), BOARD, Vellum (Short)</t>
  </si>
  <si>
    <t>PO29885</t>
  </si>
  <si>
    <t>Aspire 5 A514-54-35EB Sakura Pink L Intel Core™ I3</t>
  </si>
  <si>
    <t>PO29886</t>
  </si>
  <si>
    <t>MOUSE LOGITECH 30 PCS;</t>
  </si>
  <si>
    <t>PO29881</t>
  </si>
  <si>
    <t xml:space="preserve">GOOD MORNING TOWEL </t>
  </si>
  <si>
    <t>PO29855</t>
  </si>
  <si>
    <t xml:space="preserve">BAG-EXPANDABLE ECOBAG PURPLE 14"X13" W/ BOARD, BAG-EXPANDABLE ECOBAG PURPLE 14"X16" W/O BOARD </t>
  </si>
  <si>
    <t>PO29889</t>
  </si>
  <si>
    <t>Paint brush - Nylon Soft Brush Flat #10, Eraser, Maped (Big)</t>
  </si>
  <si>
    <t>PO29887</t>
  </si>
  <si>
    <t>Envelope, Brown Short, Envelope, Expanding Plastic-Long, Adventurer, Folder, Pressboard Green Long, Folder, Fortune White Long</t>
  </si>
  <si>
    <t>PO29891</t>
  </si>
  <si>
    <t>PO29895</t>
  </si>
  <si>
    <t>PO29882</t>
  </si>
  <si>
    <t>MEDALS:  Academic Excellence (green lace) Gold, Academic Excellence (purple lace) Silver, Academic Excellence (pink lace) Bronze, Values Excellence (white lace), Gen. Scholastic (tricolor) GOLD, AFSL Awards (blue ribbon), Loyalty Awardees (tricolor), Subject Excellence, Athletes of the Year</t>
  </si>
  <si>
    <t>PO29878</t>
  </si>
  <si>
    <t>Lanyard, SISC Print w/ IDPRO Landscape (New Logo) 20cm</t>
  </si>
  <si>
    <t>PO29858</t>
  </si>
  <si>
    <t>Envelope, leather SISC Long w/handle (purple), Envelope, leather SISC Long w/handle (navy blue)</t>
  </si>
  <si>
    <t>PO29897</t>
  </si>
  <si>
    <t>VENUS CREAM LITE 8.5" X 11" ROYAL FIBER (R) NATURAL</t>
  </si>
  <si>
    <t>PO29896</t>
  </si>
  <si>
    <t>PO29874</t>
  </si>
  <si>
    <t>G1-TOWPEP JOURNAL-35 PAGES
G2-TOWPEP JOURNAL-35 PAGES
G3-TOWPEP JOURNAL-35 PAGES
G4-TOWPEP JOURNAL-36 PAGES
G5-TOWPEP JOURNAL-25 PAGES
G6-TOWPEP JOURNAL-25 PAGES
G7-TOWPEP JOURNAL-32 PAGES
G8-TOWPEP JOURNAL-30 PAGES
G9-TOWPEP JOURNAL-28 PAGES
G10-TOWPEP JOURNAL-25 PAGES
G11-TOWPEP JOURNAL-34 PAGES
G12-TOWPEP JOURNAL-17 PAGES</t>
  </si>
  <si>
    <t>PO29902</t>
  </si>
  <si>
    <t>SCRUBBING PAD SCOTCH BRITE 200 PCS; DUST PAN 30 PCS; GLOW FURNITURE CLEANER AND POLISHER 10 GALS; ARIEL DETERGENT POWDER 3KG 20 PACKS; BAYGON WATERBASED MULTI INSECT KILLER 500ML 20 BOTTLES; TOPLUSTER HIGH GRADE LIQUID WAX 10 GALS; TOILET BOWL BRUSH WITH HANDLE 50 PCS;</t>
  </si>
  <si>
    <t>PO29914</t>
  </si>
  <si>
    <t>MEDALS: ACADEMIC EXCELLENCE (GREEN LACE) GOLD, ACADEMIC EXCELLENCE (PURPLE LACE) SILVER, ACADEMIC EXCELLENCE (PINK LACE BRONZE, VALUES EXCELLENCE (WHITE LACE)</t>
  </si>
  <si>
    <t>PO29892</t>
  </si>
  <si>
    <t xml:space="preserve">INTERNATIONAL FLAGS (AUSTRALIA, BANGLADESH, CANADA, CHINA, EGYPT, GERMANY, HONGKONG, INDIA, IRELAND, INDONESIA, ITALY,JAPAN, JORDAN, KOREA, LIBERIA, NETHERLANDS, NIGERIA, PAKISTAN, PHILIPPINES, RUSSIA, SOUTHVILLE INTERNATIONAL SCHOOL AND COLLEGES, SRI LANKA, SWITZERLAND, THAILAND, UK AND USA. </t>
  </si>
  <si>
    <t>PO29918</t>
  </si>
  <si>
    <t xml:space="preserve">PHILIPPINE FLAG, SISC FLAG  3X5- SIZE SUPPLIER: ATLAS </t>
  </si>
  <si>
    <t>PO29951</t>
  </si>
  <si>
    <t xml:space="preserve">ENGLISH A: LANGUAGE AND LITERATURE COURSE COMPANION, ENGLISH A: 
CAMBRIDGE ENGLISH A: LANGUAGE AND LITERATURE FOR IB DIPLOMA </t>
  </si>
  <si>
    <t>Marguerita Maria Nina I. Kanapi</t>
  </si>
  <si>
    <t>PO29943</t>
  </si>
  <si>
    <t>ALCOHOL  gallons 70% Isopropyl (BABY SCENT)</t>
  </si>
  <si>
    <t>PO29939</t>
  </si>
  <si>
    <t>ACCOUNTING MODULE FOR GRADE 8 (COLOR PRINT AND RING BIND)</t>
  </si>
  <si>
    <t>PO29956</t>
  </si>
  <si>
    <t>KOSS SB45 USB HEADSET</t>
  </si>
  <si>
    <t xml:space="preserve"> PO29955 </t>
  </si>
  <si>
    <t>500 PCS. BATTERY ENERGIZER, 2A</t>
  </si>
  <si>
    <t>PO29954</t>
  </si>
  <si>
    <t>TISSUE, ROLL BATH 2 PLY SANICARE</t>
  </si>
  <si>
    <t>PO29947</t>
  </si>
  <si>
    <t>POSITIVE PSYCHOLOGY: THE SICIENCE OF WELL-BEING, PREDICTING PERSONALITY: USIGN AI TO UNDERSTAND PEOPLE, PSYCHOLOGICAL TESTING AND ASSESSMENT, A0 E, PSYCHOLOGY FOR ACTORS, APA STYLE SIMPLIFIED: WRITING IN PSYCHOLOGY EDUCATION 2E, COUNSELLNG SKILLS, CRITICAL THEORIES FOR SCHOOL PSYCHOLOGY &amp; COUN, DIGITAL PLAY THERAPY, A CLINICIAN'S GUIDE, DOING RESEARCH IN COUNSELLING $ PSYCHOTHERAPY, ESSENTIALS OF SOCIAL EMOTIONAL LEARNING</t>
  </si>
  <si>
    <t>Belview Co., Inc.</t>
  </si>
  <si>
    <t>PO29948</t>
  </si>
  <si>
    <t>ETIHCS IN PSYCHOTHERAPY &amp; COUNSELLING, FUNDAMENTALS OF COGNITIVE PSYCHOLOGY, GUIDANCE AND COUNSELLING, IMPLEMENTINGPLAY THERAPY WITH GROUPS INTRODCTION TO CBT RESEARCH, INTRODUCTION TO HUMA BEHAVIOR W/ DVD, PROFESSIONAL COUNSELLNG EXCELLENCE THROUGH LEADERSHIP, THEPEUTICS USE OF SELF, THE WIEY HANDBOOK OF PSYCHOMETRIC TESTING, A MULTIDISCIPLINARY 2 VOL SET, BIOLOGICAL PSYCHOLOGY 2E</t>
  </si>
  <si>
    <t>PO29945</t>
  </si>
  <si>
    <t xml:space="preserve">PENCIL SISC PURPLE 3000 PCS. </t>
  </si>
  <si>
    <t>PO29959</t>
  </si>
  <si>
    <t>PO29952</t>
  </si>
  <si>
    <t>2 PCS PLAQUE 5 YRS. (6"), 3 PCS. PLAQUE 10 YRS (8"), 1 PC PLAQUE 15 YRS (10")</t>
  </si>
  <si>
    <t>PO29953</t>
  </si>
  <si>
    <t xml:space="preserve">13 PCS PLAQUE 5 YRS (6"), 5 PCS. PLAQUE 10 YRS (8"), 1 PC. PLAQUE 15 YRS (10"),7 PCS.  PLAQUE 20 YRS. (12"),  6 PCS. PLAQUE 25 YRS (14"), 1 PC. PLAQUE 30 YRS. (16") </t>
  </si>
  <si>
    <t>not for long term</t>
  </si>
  <si>
    <t>price is not atain with the quality</t>
  </si>
  <si>
    <t>on due event</t>
  </si>
  <si>
    <t>not refuse or returned</t>
  </si>
  <si>
    <t>PO29970</t>
  </si>
  <si>
    <t>PLAQUE FOR COLLEGE COMMENCEMENT SPEAKER</t>
  </si>
  <si>
    <t>PO29972</t>
  </si>
  <si>
    <t>PLAQUE OF APPRECIATION LOYALTY AWARDS</t>
  </si>
  <si>
    <t>PO29991</t>
  </si>
  <si>
    <t>GRADUATION COLLATERALS:  500 PCS. INVITATION, 550 SOUVENIR PROGRAM, 550 ENVELOPE</t>
  </si>
  <si>
    <t>PO29988</t>
  </si>
  <si>
    <t xml:space="preserve">Ballpen, Panda Black
Ballpen, Panda Blue
Ballpen, Panda Red
Ballpen, Panda Green
Eraser, Whiteboard-Sterling
Correction Tape, Joy
Pad Paper, Yellow (per pad)
Pen, Sign - Pilot BX-V5 Black
Pen, Sign - Pilot BX-V5 Green
Ink, Permanent Marker - Pilot Black
Ink, Whiteboard-Pilot Black
Ink, Whiteboard-Pilot Blue
Ink, Whiteboard-Pilot Red
Marker, Whiteboard - Pilot Black
Marker, Whiteboard - Pilot Blue
Marker, Whiteboard - Pilot Red
Marker, Pilot Permanent Fine Black
Marker, Pilot Permanent Broad Black
</t>
  </si>
  <si>
    <t>PO29993</t>
  </si>
  <si>
    <t>PO29992</t>
  </si>
  <si>
    <t>HANDSOAP, ANTIBACTERIAL (RED) 60 GAL
PEST-OFF RAT CATCHER GLUE BOARD 20 PCS
TRASHBAG 2XL CLEAR 20 PCS
STICK BROOM 80 PCS
SCENTED BAYGON 500ML CAN 90 PCS</t>
  </si>
  <si>
    <t>PO29998</t>
  </si>
  <si>
    <t>50 PCS. BATTERY ENELOOP AAA, 50 PCS. BATTERY EVEREADY C, CUTTER BLADE BIG</t>
  </si>
  <si>
    <t>PO29984</t>
  </si>
  <si>
    <t>1 PC FLAG LIBERIA, 1 PC FLAG CANADA</t>
  </si>
  <si>
    <t>PO29997</t>
  </si>
  <si>
    <t>TOR PAPER COLLEGE (BORDERLESS)</t>
  </si>
  <si>
    <t>PO30016</t>
  </si>
  <si>
    <t>CAT6 CABLE BLUE - 3
Hard Disk 1TB - 15
Headset Rapoo H100 with Noise Cancelling Mic - 50
USB Mouse Logitech - 40
Mouse Pad - 100 
Patch Cord CAT6 5 meters -50 
Patch Cord CAT6 2 meters  - 50 
Thermal Paste - 15 
USB Extender 5 Meters- 5
USB Extender 10 Meters -5 
VGA Cord 10 meters - 10</t>
  </si>
  <si>
    <t>PO#0208</t>
  </si>
  <si>
    <t>3 CONNECTING THE DOTS OF COORDINATION, LEADERSHIP, COHERENCE AND CONTINUOUS IMPROVEMENT 2022</t>
  </si>
  <si>
    <t>PO#0209</t>
  </si>
  <si>
    <t xml:space="preserve">DP MATHs MAP POSTER, IB ACADEMIC INTEGRITY POSTER </t>
  </si>
  <si>
    <t>PO30055</t>
  </si>
  <si>
    <t>100 UNITS TLC SMART ANDROID TV 55", 100 PCS. TV BRACKET</t>
  </si>
  <si>
    <t>Abenson Ventures, Inc.</t>
  </si>
  <si>
    <t>PO30057</t>
  </si>
  <si>
    <t>TRODAT STAMP OF LORRAINE ALMAZAN &amp; JULIUS PAGDATO</t>
  </si>
  <si>
    <t>PO30062</t>
  </si>
  <si>
    <t>N-VISION V190H 19" VGA HDMI HDMI</t>
  </si>
  <si>
    <t>PO30063</t>
  </si>
  <si>
    <t>RIBBON, CARTRIDGE LX310 S015632 (20 PCS)</t>
  </si>
  <si>
    <t>PO30003</t>
  </si>
  <si>
    <t>REPORT CARD HOLDER FOR BED</t>
  </si>
  <si>
    <t>PO30073</t>
  </si>
  <si>
    <t>5 UNITS CEILING CASSETE TYPE 3.0 HP INVERTER</t>
  </si>
  <si>
    <t>PO30091</t>
  </si>
  <si>
    <t>70% ISOPHROPYL ALCOHOL GALLON</t>
  </si>
  <si>
    <t>PO30101</t>
  </si>
  <si>
    <t>TRODAT (ANNA MARIA R. VILLARUZ</t>
  </si>
  <si>
    <t>PO30079</t>
  </si>
  <si>
    <t>25 pcs. UBIQUITY ACCESS POINT PRO, 2 PCS. UBIQUITY UNIFI AP-OUTDOOR 5G</t>
  </si>
  <si>
    <t>PO320098</t>
  </si>
  <si>
    <t>EQ- G2 MY FAMILY  AND I - 20 PCS
EG - G4 I AM ME - 20 PCS
EG - G6 THE WHOLE ME 11 PCS
EG - G7 MY EG FACTOR 20 PCS
EG - G8 I AM A GIFT 15 PCS
EG - THE OY OF BEING ME 11 PCS
ACT - G2 I CAN DO IT 20 PCS
ACT - G5 JOURNEYING INTO ME 20 PCS
ACT - G7 MY ACHIEVEMENT JOURNEY 20 PCS
ACT - G8 I AM A GIFT 16 PCS
ACT - G9 THE JOY OF ACHIEVING 20 PCS
ACT - G10 ONE STEP OUT A TIME 20 PCS</t>
  </si>
  <si>
    <t>PO30113</t>
  </si>
  <si>
    <t xml:space="preserve">2 FLASHDRIVE, 2 CLICKER </t>
  </si>
  <si>
    <t>PO30115</t>
  </si>
  <si>
    <t>CALLING CARD FOR JAYVEN, BEA, GERLIE, HEYZZ AND DAN</t>
  </si>
  <si>
    <t>PO30124</t>
  </si>
  <si>
    <t xml:space="preserve">VIEWSONIC VA2215-H 22" MONITOR 7 PCS. </t>
  </si>
  <si>
    <t>PO30135</t>
  </si>
  <si>
    <t xml:space="preserve">Beads with big hole
Popsicle Stick, pack (100 sticks)
Yarn, Yarn Asstd Color
Box of Crayons - Crayola Double (16pcs)
Paper bond, 8.5"x11" 50/pk
Paper, Book Short 20/pk
Paper, Book Long 20/pk
Glue, Elmer's - 130gs
</t>
  </si>
  <si>
    <t>PO30114</t>
  </si>
  <si>
    <t>HANDWASH ANTIBAC LEMON 50 GALS; STRIPPOL  SUPER FLOOR WAX STRIPPER 20 GALS; CHLORINE PER KILO  70 PACKS; SCRUBBING PAD BIG SCOTCH BRITE 200PCS; BOWL CARE GEM TOILET BOWL CLEANER  50 GALS; TRASHBAG SMALL CLEAR 50 PACKS; TRASHBAG MEDIUM CLEAR; 50 PACKS; TRASH BAG SMALL YELLOW 30 PACKS; TRASHBAG MEDIUM YELLOW 30 PACKS; SPRAY GUN 200 PCS; BAYGON WATERBASE AQUA MULTI INSECT KILLER 500 ML 50 CANS;</t>
  </si>
  <si>
    <t>PO30160</t>
  </si>
  <si>
    <t>NVISION 19" MONITOR, VIEWSONIC VA 2215-H FULL HD MONITOR, 10 METERS HDMI CABLE, 15 METERS USB EXTENDER</t>
  </si>
  <si>
    <t>PO30159</t>
  </si>
  <si>
    <t>A4 TECH PK940HA WEB CAMERA</t>
  </si>
  <si>
    <t>PO30158</t>
  </si>
  <si>
    <t xml:space="preserve">Battery, Energizer Size 9V
Clip, ID -Alligator Plastic
Clip, Paper (50gms/box), Prince Vinyl Coated - Small
Envelope, Expanding Plastic-Short, Adventurer
Ribbon, Ink Cartridge CE-315150 (Single Color)
</t>
  </si>
  <si>
    <t>PO30161</t>
  </si>
  <si>
    <t>14 PCS. CORE I5 SYSTEM UNIT,  MAONA CONFEFERNCE MICHROPHONE 17 PCS</t>
  </si>
  <si>
    <t>SOME OF THE UNITS ARE DEFECTIVE BUT</t>
  </si>
  <si>
    <t>THEY SEND SUPPORT RIGHT AWAY</t>
  </si>
  <si>
    <t>PO30170</t>
  </si>
  <si>
    <t>RAPOO H120 USB HEADSET, DVI- VGA ADAPTER</t>
  </si>
  <si>
    <t>PO30147</t>
  </si>
  <si>
    <t>BLIND SPOT: THE GLOBAL VISE OF UNHAPPINESS AND HOW LEADERS MISSED IT</t>
  </si>
  <si>
    <t>PO30148</t>
  </si>
  <si>
    <t>BLIND SPOLT: THE GLOBAL VISE OF UNHAPPINESS AND HOW LEADERS MISSED IT</t>
  </si>
  <si>
    <t>P.O # 0288</t>
  </si>
  <si>
    <t>1 ROLL OF EXTENSION WIRE (150M), 4 GANG OUTLET, MALE PLUG</t>
  </si>
  <si>
    <t>JC Campit And Michael Berza</t>
  </si>
  <si>
    <t>PO30165</t>
  </si>
  <si>
    <t>TRASHBAG SMALL CLEAR - 50 PCS
TRASHBAG MEDIUM CLEAR - 50 PCS
TRASHBAG LARGE CLEAR - 50 PCS
TRASHBAG XLARGE CLEAR - 50 PCS</t>
  </si>
  <si>
    <t>PO30167</t>
  </si>
  <si>
    <t>CHAMOIS RUBBER - 100 PCS
TOILET PUMP - 40 PCS
TOILET BOWL BRUSH - 50 PCS
LIQUID HAND SOAP LEMON SCENT (YELLOW) - 20 PCS
BOWL CARE - 20 PCS
HAND SOAP - 20 PCS
DUST PAN - 50 PCS
STRIPPER PAD BLACK (3M) - 20 PCS
STRPPER PAD WHITE (3M) - 20 PCS
TRASHBAG YELLOW SMALL - 20 PCS
TRASHBAG YELLOW MEDIU - 20PCS</t>
  </si>
  <si>
    <t>PO30173</t>
  </si>
  <si>
    <t>MIS/ICT</t>
  </si>
  <si>
    <t>PO30183</t>
  </si>
  <si>
    <t>TCL 55" SMART ANDROID TV 55P736</t>
  </si>
  <si>
    <t>PO30154</t>
  </si>
  <si>
    <t xml:space="preserve">ROUND TABLE 1 PC. </t>
  </si>
  <si>
    <t>Arkwood Plus Fine Furniture</t>
  </si>
  <si>
    <t>PO30192</t>
  </si>
  <si>
    <t>INSTAGRAM AND FACEBOOK FRAME</t>
  </si>
  <si>
    <t>PO30212</t>
  </si>
  <si>
    <t>1 pc. SOUTHVILLE STRANGER THINGS BACKDROP 8X8 FT.</t>
  </si>
  <si>
    <t>PO30201</t>
  </si>
  <si>
    <t>(8 PCS) NEKO SWISS M2 9W TF2 4000K PUND FIXED LED DOWNLIGHT WHITE 40 DEG. W/ TRIDONIC DRIVER PHASE WITH WHITE REFLECTOR AND FROSTED FILM, (5SETS) 60X61 CM SQUARE TROFFER BY SPARKLIGHT W/ LED LIGHTS TUBE, (1PC) LD SERIES EXHAUST FAN, (1SET) TAPELIGHT 1.12 M, 2SET TAPELIGHT 2.53 M</t>
  </si>
  <si>
    <t>Sparklight Marketing Incorporated</t>
  </si>
  <si>
    <t>5.3.5</t>
  </si>
  <si>
    <t xml:space="preserve">Notebook, Grade School Mathematics Abstract Big SQ.
Notebook, Writing SISC R/B Lines Purple Portrait
Notebooklet, Writing SISC Landscape Purple
Notebook, Composition SISC Blue Lines Purple
Notebook, High School Composition Purple
Notebook, High School Mathematics Abstract Small SQ.
</t>
  </si>
  <si>
    <t>delayed</t>
  </si>
  <si>
    <t>PO30194</t>
  </si>
  <si>
    <t xml:space="preserve">EDIFIER  X100 SPEAKERS 10 PCS. VOLT CAMERA : A4 TECH PK925H </t>
  </si>
  <si>
    <t>PO30195</t>
  </si>
  <si>
    <t>PO30210</t>
  </si>
  <si>
    <t>SWEET SENSASTION - 30 PCS
ECOLUTION DISENFECTANT - 10PCS
STATE LIME SOLVENT - 10PCS</t>
  </si>
  <si>
    <t>PO30197</t>
  </si>
  <si>
    <t>FLANELLA BLUE - 500PCS
FLANELLA PINK - 500 PCS
FLANELLA YELLOW - 500 PCS</t>
  </si>
  <si>
    <t>CONFIDENTIAL PAYSLIPS 9-1/2" X 5- 1/2" 2 PLY</t>
  </si>
  <si>
    <t>PO30244</t>
  </si>
  <si>
    <t xml:space="preserve">IB LABORATORY MATERIALS </t>
  </si>
  <si>
    <t>DKL Laboratory Supplies</t>
  </si>
  <si>
    <t>PO29801</t>
  </si>
  <si>
    <t>SISC UMBRELLA</t>
  </si>
  <si>
    <t>PO29819</t>
  </si>
  <si>
    <t>RISING WITH FILIPINO</t>
  </si>
  <si>
    <t>PO29804</t>
  </si>
  <si>
    <t>Glue, Elmer's - 130gs, Map, World (big) Political, Marker, Pilot Permanent Fine Black, Pad paper, Fortune Quiz Pad Whole, Intermediate (80 leaves),Paper, Oslo (Drawing) Fortune (20's), Paper, Construction -Asstd. Color (20pcs), Paper, Bond Long 20/pk, Paper, Bond Short 20/pk, Periodic Table of Elements, Big, Ruler, Plastic - Orion 12 inches, Scissors, Students 5', Maped, Popsicle Stick, pack (100 sticks), Yarn, Yarn Asstd Color</t>
  </si>
  <si>
    <t>PO29810</t>
  </si>
  <si>
    <t>PO29864</t>
  </si>
  <si>
    <t xml:space="preserve">TRODAT PRINTY 4727 BLACK, TRODAT PRINTY 4910 BLACK </t>
  </si>
  <si>
    <t>PO29865</t>
  </si>
  <si>
    <t>Record Book, 500 Pages, Record Book, 300 Pages, Ballpen, Panda Black</t>
  </si>
  <si>
    <t>PO29809</t>
  </si>
  <si>
    <t>ISO TARP (6.5 X 13.5 FT), ISO STANDEES (2 X 6 FT) 3 PCS. FOR SISC, 1 PC FOR SISFU)</t>
  </si>
  <si>
    <t>PO29880</t>
  </si>
  <si>
    <t>PO29883</t>
  </si>
  <si>
    <t>MEDALS:  Academic Excellence (green lace) Gold, Academic Excellence (purple lace) Silver, Academic Excellence (pink lace) Bronze, Values Excellence (white lace), Gen. Scholastic (tricolor) GOLD, Gen. Scholastic (tricolor) SILVER, Gen. Scholastic (tricolor) BRONZE , Subject Excellence TRICOLOR</t>
  </si>
  <si>
    <t>PO29811</t>
  </si>
  <si>
    <t>COLLEGE DIPLOMA HOLDER (A4), BASIC ED DIPLOMA HOLDER  (SHORT)</t>
  </si>
  <si>
    <t>PO29845</t>
  </si>
  <si>
    <t xml:space="preserve">NOTEPAD WITH 20 SHEETS </t>
  </si>
  <si>
    <t>PO30240</t>
  </si>
  <si>
    <t>SOUTHVILLE GENERIC FLYER</t>
  </si>
  <si>
    <t>PO29832</t>
  </si>
  <si>
    <t xml:space="preserve">MONITOR (VIEWSONIC, 19.5") </t>
  </si>
  <si>
    <t>PO29807</t>
  </si>
  <si>
    <t>Beads with big hole, Box of Color Poster Paints - Mightee Brilliant 20ML 12's, 'Paper, Best Buy Colored Assorted 9"x11", 'Pen, Colored Faber Castel (10s),'Sketch Book, Landscape Non Spiral,'Water Color, Prang 16's, 'Envelope, Expanding Plastic Long Purpe Adventurer Push Lock</t>
  </si>
  <si>
    <t>PO29860</t>
  </si>
  <si>
    <t>FAN MOTOR ACU, MODEL # CS PC24DKQ SERIAL # 7160202285</t>
  </si>
  <si>
    <t>PO29823</t>
  </si>
  <si>
    <t>5.0 HP CEILING CASSETTE ACU PANASONIC WITH WIRELESS REMOTE CONTROLLER. R-32 REFRIGERANT, FCU MODEL- S43PU3Q6, ACCU MODEL - U43PU3Q6</t>
  </si>
  <si>
    <t>PO29863</t>
  </si>
  <si>
    <t>TRASHBAG YELLOW SMALL 20 PCS; TRASHBAG YELLOW MEDIUM 20 PCS; TRASHBAG YELLOW LARGE 20 PCS; GEM TOILET BOWL CLEANER (BOWL CARE) 25 PCS; MR MUSCLE 500ML 50 PCS;</t>
  </si>
  <si>
    <t>PO29859</t>
  </si>
  <si>
    <t>3 PCS BIOMETRIC DEVICE- ANVIZ C2 PRO SKU: C2 PRO</t>
  </si>
  <si>
    <t>PO29851</t>
  </si>
  <si>
    <t>EMPLOYEE UNIFORMS FOR AY 2021-2022 (1ST BATCH)</t>
  </si>
  <si>
    <t>PO29884</t>
  </si>
  <si>
    <t>IB TOGA XS 2 PCS; IB TOGA HOOD 3 PCS;P</t>
  </si>
  <si>
    <t>PO30242</t>
  </si>
  <si>
    <t>CHAMPION 800G CITRUS - 100PCS
CARTRIDGE SEALANT - 20 PCS
FABRIC CONITIONER DEL (PURPLE) - 20 PCS</t>
  </si>
  <si>
    <t>PO30268</t>
  </si>
  <si>
    <t>KRI TARPAULINE FOR G6-9, GRADE 10, GRADE 11-12</t>
  </si>
  <si>
    <t>PO30263</t>
  </si>
  <si>
    <t>- 4 TL SG 1W8MP V3(8 PORT GIGABIT POE SWITCH)
- 4 TL SG 1W5P V4(5 PORT GIGABIT POE SWITCH)</t>
  </si>
  <si>
    <t>PO29831</t>
  </si>
  <si>
    <t>APC 1000VA Rack Mount UPS 230V Output 700u, APC BV 800I-MS Back-UPS 800VA 450w</t>
  </si>
  <si>
    <t>PO29838</t>
  </si>
  <si>
    <t>FOOD FEST TARP (6.5 X 13.5 FT), FOOD FEST X-STAND (2X6 FT), PANEL BOARD TARP (61.5 X 33 INCHES), PHOTO BOOTH BACKDROP (95 X 98 INCHES)</t>
  </si>
  <si>
    <t>PO29839</t>
  </si>
  <si>
    <t xml:space="preserve">COLLEGE BANNERS 2X5 FT. WITH EYELET AND SEAMING ON 4 CORNERS </t>
  </si>
  <si>
    <t>PO29840</t>
  </si>
  <si>
    <t>SPARK ATC BANNERS 15 X48 INCHES (DONGLIM PARK, GEN MARK TANNO, HYO SANG KWAK, MIGUEL ALZONA, SEAN BORJA</t>
  </si>
  <si>
    <t>PO29867</t>
  </si>
  <si>
    <t>CONGRATULATORY TARPS FOR PSYCLIPS 7X10 FT. SEAMING WITH EYELET ALL OVER 1 PCS;</t>
  </si>
  <si>
    <t>PO29869</t>
  </si>
  <si>
    <t>GWYN TANGOG CONGRATULATORY TARP (7X10 FT), AUAP CONGRATULATORY TARP (*7 X10 FT) BOTH WITH EYELET AND SEAMING ALL OVER</t>
  </si>
  <si>
    <t>PO29893</t>
  </si>
  <si>
    <t>SOUTHVILLE PRIDE TARP (JUDE JOSEPH AGUON) 6.5 X 13.5 FEET SEAMING W/ EYELET ALLOVER BLACK OUT</t>
  </si>
  <si>
    <t>PO29842</t>
  </si>
  <si>
    <t xml:space="preserve">GENERIC FLYER (5.5 IN X 8.5 IN (W X H ) </t>
  </si>
  <si>
    <t>4..5</t>
  </si>
  <si>
    <t>PO29890</t>
  </si>
  <si>
    <t xml:space="preserve">SISC NOTEPAD 5X4 INCHES </t>
  </si>
  <si>
    <t>PO29821</t>
  </si>
  <si>
    <t>VIEWSONIC MONITOR (19 INCHES)</t>
  </si>
  <si>
    <t>PO29825</t>
  </si>
  <si>
    <t>PO30269</t>
  </si>
  <si>
    <t>1 SISC FLAG(HEAVY DUTY) FOR FRONT DOOR</t>
  </si>
  <si>
    <t>PO30179</t>
  </si>
  <si>
    <t xml:space="preserve">EPSON EB- FH52 (4000 LUMENS) PROJECTOR </t>
  </si>
  <si>
    <t>PO30308</t>
  </si>
  <si>
    <t xml:space="preserve">Scissors, Students 5', Maped
Paper, Construction -Asstd. Color (20pcs)
Pencil, Colored (12's) Li'l Hands
Pen, Colored Faber Castel (10s)
Pad paper, Fortune Quiz Pad Whole, Intermediate (80 leaves)
Water Color, Prang 8's
</t>
  </si>
  <si>
    <t>PO30330</t>
  </si>
  <si>
    <t>320 JS PROM INVITES</t>
  </si>
  <si>
    <t>PO30350</t>
  </si>
  <si>
    <t>SGEN TARP 
- LENGTH: 114" INCHES
- WIDTH: 210" INCHES</t>
  </si>
  <si>
    <t>PO30326</t>
  </si>
  <si>
    <t>30 GAL SWEET SUNSATION</t>
  </si>
  <si>
    <t>different from previous</t>
  </si>
  <si>
    <t>expensive</t>
  </si>
  <si>
    <t>PO30334</t>
  </si>
  <si>
    <t>GLOW FURNITURE CLEANER &amp; POLISH 25 PCS; LAUNDRY BRUSH 30 PCS;</t>
  </si>
  <si>
    <t>PO30341</t>
  </si>
  <si>
    <t>GRAPHICS DRAWIN TABLET 10"X6" 15 PCS., AIR MOUSE (MDT) 50 PCS</t>
  </si>
  <si>
    <t>PO30357</t>
  </si>
  <si>
    <t>EMPLOYEE UNIFORM(BATCH 1) AY 2022-2023</t>
  </si>
  <si>
    <t>PO30320</t>
  </si>
  <si>
    <t>- 1 PC EXECUTIVE CHAIR - DR. JO
- 1 PC SWIVEL CHAIR(RE-ORDER)</t>
  </si>
  <si>
    <t>PO30262</t>
  </si>
  <si>
    <t>- 10 SMART MOTOR
- 6 ROBOT BRAIN 
- 20 BATTERY
- 2 RUBBER SHAFT COLLARS PACK
- 2 WHEEL KIT
- 1 GEAR BASE PACK
- 2 BASIC MOTION ACCESSORY PACK
- 10 USB CABLE</t>
  </si>
  <si>
    <t>Hytec Power, Inc.</t>
  </si>
  <si>
    <t>PO30578</t>
  </si>
  <si>
    <t>- 3 GALLONS EPOXY ENAMEL WHITE
- 2 GALLONS EPOXY REDUCER</t>
  </si>
  <si>
    <t>Lordfel Marketing</t>
  </si>
  <si>
    <t>PO30594</t>
  </si>
  <si>
    <t>- 400 SOUVENIR PROGRAM
- 400 SOUVENIR PROGRAM ENVELOPE
- 400 GRADUATION INVITATION
- 200 RECOGNITION INVITATION</t>
  </si>
  <si>
    <t>PO30641</t>
  </si>
  <si>
    <t>3 PCS VERTIV LIEBERT EDGE - 1000IRM1U</t>
  </si>
  <si>
    <t>PO30590</t>
  </si>
  <si>
    <t>- 1 PC ARTICIAL INTELLIGENCE PROGRAMMING WITH PYTHON: FROM ZERO TO HERO
- 1 PC COMPUTING ESSENTIALS 2023 \29ED: MAKING IT WORK FOR YOU
- 1 PC CONNECTING DISCRETE MATHEMATICS AND COMPUTER SCIENCE \2ED
- 1 PC DATABASE DESIGN USING ENTITY-RELATIONSHIP DIAGRAMS
- 1 PC DATABASE SYSTEM \3ED
- 1 PC DISCOVERING COMPUTERS \17ED
- 1 PC ESSENTIALS OF DISCRETE MATHEMATICS \4ED
- 1 PC ETHICS IN INFORMATION TECHNOLOGY \1ED: A PRACTICAL GUIDE
- 1 PC EVIDENCE-BASED CYBERSECURITY \1ED: FOUNDATIONS RESEARCH, AND PRACTICE
- 1 PC FUNDAMENTAL OF INFORMATION SYSTEMS SECURITY \4ED
- 1 PC MASTERING C# \1ED; A BEGINNER'S GUIDE
- 1 PC MASTERING MYSQL FOR WEB \1ED; A BEGINNER'S GUIDE
- 1 PC OPERATING AI: BRIDGE THE GAP BETWEEN TECHNOLOGY AND BUSINESS
- 1 PC SOFTWARE ENGINEERING BASIC PRINCIPLES AND BEST PRACTICES
- 1 PC SURVEY OF OPERATING SYSTEMS
- 1 PC WEB ENGINEERING HANDBOOK</t>
  </si>
  <si>
    <t>PO30643</t>
  </si>
  <si>
    <t>1 PC TRODAT(DATE) COLLEGE DIRECTOR TRODAT</t>
  </si>
  <si>
    <t>PO30654</t>
  </si>
  <si>
    <t xml:space="preserve">3 PCS. CAT6 CABLE BLUE </t>
  </si>
  <si>
    <t>PO30684</t>
  </si>
  <si>
    <t>EMPLOYEE UNIFORMS (ATTACHED FILE)</t>
  </si>
  <si>
    <t>PO30663</t>
  </si>
  <si>
    <t>1 PC PLAQUE FOR GRADUATION SPEAKER</t>
  </si>
  <si>
    <t>PO30674</t>
  </si>
  <si>
    <t xml:space="preserve">400 Paper, Colored Fortune Blue
400 Paper, Colored Fortune Green
400 Paper, Colored Fortune Orange
400 Paper, Colored Fortune Pink
400 Paper, Colored Fortune Red
400 Paper, Colored Fortune Violet
400 Paper, Colored Fortune Yellow
300 Cartolina, Black
300 Cartolina, Neon Blue
300 Cartolina, Neon Green
300 Cartolina, Neon Orange
300 Cartolina, Neon Pink
300 Cartolina, White
300 Cartolina, Neon Yellow
72 Glue, Elmer's - 130gs (OSSUP)
400 Paper, Manila - 37 X 45
327 Marker, Pilot Permanent Fine Black
327 Marker, Pilot Fine Blue
327 Marker, Pilot Fine Red
72 Tape, 3M Masking Tape Big (1")
400 METERS Plastic Cover, Gauge 4 48'W (per meter)
71 Staple Wire, Max #35- 5M (Box of 5000pcs)
71 Thumb Tacks - Mitsuya /box
255 Ballpen, Panda Black
255 Ballpen, Panda Blue
255 Ballpen, Panda Red
255 Ballpen, Panda Green
255 Eraser, Whiteboard-Sterling255 
255 Correction Tape, Joy
160 Pad Paper, Yellow (per pad)
255 Pen, Sign - Pilot BX-V5 Black
255 Pen, Sign - Pilot BX-V5 Green
30 Ink, Marking - Pilot Black
30 Ink, Marking - Pilot Blue
30 Ink, Marking - Pilot Red
30 Ink, Whiteboard-Pilot Black
30 Ink, Whiteboard-Pilot Blue
30 Ink, Whiteboard-Pilot Red
255 Marker, Whiteboard - Pilot Black
255 Marker, Whiteboard - Pilot Blue
255 Marker, Whiteboard - Pilot Red
255 Marker, Pilot Broad Black
255 Marker, Pilot Broad Blue
255 Marker, Pilot Broad Red
</t>
  </si>
  <si>
    <t>PO30680</t>
  </si>
  <si>
    <t>RAKE</t>
  </si>
  <si>
    <t>PO30673</t>
  </si>
  <si>
    <t>TRASH BAG XXL CLEAR
HAND SOAP, LEMON
ZONROX GALLON
BAYGON SCENTED 500 ML
TRASHBAG CLEAR MEDIUM</t>
  </si>
  <si>
    <t>4.2.</t>
  </si>
  <si>
    <t>PO30676</t>
  </si>
  <si>
    <t>XXL TRASH BAG, POLISHER HEAD WITH BRUSH #16</t>
  </si>
  <si>
    <t>PO30695</t>
  </si>
  <si>
    <t>P-TRAP STAINLESS
P-TRAP (PVC TYPE)</t>
  </si>
  <si>
    <t>PO30701</t>
  </si>
  <si>
    <t>PR/LIBRARY TILES 60CM X 60CM, CEMENT, TILE ADHESIVE, GROUT BIEGE</t>
  </si>
  <si>
    <t>PO30702</t>
  </si>
  <si>
    <t>CHECKERED PLATE # 1/8 X 4X8, ANGLE BAR # 3/16 X 2X2, WELDING ROD, G.I. PIPE # 1 1/2, FLAT BAR # 3/16 X 1", CUTTING DESH #4", EPOXY PRIMER GRAY, LACQUER THINNER, PAINT ROLLER #4" COTTON, PAINT ROLLER # 1 1/2</t>
  </si>
  <si>
    <t>PO30703</t>
  </si>
  <si>
    <t>ROOF SEALER, 12" X 2" FLOOR DRAIN STEEL PLATE CEMENT</t>
  </si>
  <si>
    <t>PO30704</t>
  </si>
  <si>
    <t>SEALANT CLEAR, SEMI GLOSS LATEX BIEGE</t>
  </si>
  <si>
    <t>PO30697</t>
  </si>
  <si>
    <t>TRODAT FOR OFICIALLY ENROLLED STUDENTS</t>
  </si>
  <si>
    <t>PO30696</t>
  </si>
  <si>
    <t>4 UNITS 1.0 HP DAIKIN WALL MOUNTED TYPE INVERTER WITH WIRELESS REMOTE CONTROLLER R32 REFRIGERANT,  1 UNIT 4.0 HP DAIKIN MULTI SPLIT OUTDOOR UNIT</t>
  </si>
  <si>
    <t>PO30705</t>
  </si>
  <si>
    <t>3 RING BINDER - LONG, BLACK, 3" THICK</t>
  </si>
  <si>
    <t>PO30725</t>
  </si>
  <si>
    <t>NETWORK RACK TRAY</t>
  </si>
  <si>
    <t>PO30729</t>
  </si>
  <si>
    <t>PCX GFH GRIFFIN PRO DESKTOP</t>
  </si>
  <si>
    <t>PO29985</t>
  </si>
  <si>
    <t>1 PC SISC FLAG, 1 PC. PHILIPPINE FLAG</t>
  </si>
  <si>
    <t>PO30735</t>
  </si>
  <si>
    <t>EZ LABELER 
HARD DISK 2TB
HDMI TO VGA CONVERTER</t>
  </si>
  <si>
    <t>PO30794</t>
  </si>
  <si>
    <t>40 PCS. VGA SPLITTER 2 WAY</t>
  </si>
  <si>
    <t>PO30795</t>
  </si>
  <si>
    <t>INTEL 2 PORT LAN CARD</t>
  </si>
  <si>
    <t>PO30811</t>
  </si>
  <si>
    <t xml:space="preserve">SKETCH BOOK, LANDSCAPE NON SPIRAL </t>
  </si>
  <si>
    <t>PO30814</t>
  </si>
  <si>
    <t>SCOTHCH BRITE BIG 500PCS
STRIPPOL 20GAL
HAND WASH ANTIBAC BOENAS 30GAL
SPRAY GUN 50PCS
SWEET SUNSATION 50GAL
BAYGON SCENTED 50PCS
MR MUSCLE SUPER TOILET BOWL CLEANER 50PCS
DISPENSER HANDPUFF BOTTLE 20PCS
CHLORINE 1KG PER PACK 50PACKS</t>
  </si>
  <si>
    <t>PO30816</t>
  </si>
  <si>
    <t xml:space="preserve">BAYGON WATER BASED 500ML 100PCS
BOWL CARE 50GAL
TRASH BAG MEDIUM CLEAR 50PACKS
TRASH BAG LARGE CLEAR 50PACKS
TRASH BAG XL CLEAR 50PACKS
TRASH BAG XXL CLEAR 50PACKS
ZONROX BLEACH 1 GAL 50GAL
ECOLUTION DISINFECTANT 50GAL
FURNITURE POLISH GLOW 30GAL
D-DTROY 20GAL
</t>
  </si>
  <si>
    <t>PO30809</t>
  </si>
  <si>
    <t>PO30813</t>
  </si>
  <si>
    <t>PO30817</t>
  </si>
  <si>
    <t xml:space="preserve">BALLPEN PANDA BLACK 500
ENVELOPE BROWN LONG 1000
HIGHLIGHTER STABILO GREEN 30
HIGHLIGHTER STABILO ORANGE 30
MARKER WHITEBOARD PILOT BLACK 250
BALLPEN PANDA GREEN 500
PEN, OVERHEAD PROJECTOR PILOT BLACK 20
RIBBON , CARTRIDGE EPSON LX310-8015632 20 </t>
  </si>
  <si>
    <t>PO30839</t>
  </si>
  <si>
    <t xml:space="preserve">BOOKS- INTERMEDIATE ACCOUNTING 1 (A&amp;B), MANAGEMENT SERVICES- A COMPREHENSIVE GUIDE, MANAGERIAL ACCOUNTING -INTERGRATED APPROACH, OBLIGATION AND CONTACTS(LAW AND APPLICATION), PARTNERSHIP AND PRIVATE CORPORATION(LAW AND APPLICATION), PRACTICAL FINANCIAL ACCOUNTING VOLUME 1, PRACTICAL FINANCIAL ACCOUNTING VOLUME 2, STRATEGIC COST MANAGEMENT 2021 ED., STRATEGIC MANAGEMENT, THEORY FINANCIAL ACCOUNTING. </t>
  </si>
  <si>
    <t>Booktrens Enterprises</t>
  </si>
  <si>
    <t>PO30661</t>
  </si>
  <si>
    <t>2.5 HP WALL MOUNTED INVERTER</t>
  </si>
  <si>
    <t>PO30864</t>
  </si>
  <si>
    <t>COLLEGE OPEN HOUSE TARP W-218" H-78" THICKNESS - 18 ONZ; 1 PC</t>
  </si>
  <si>
    <t>PO30865</t>
  </si>
  <si>
    <t>SPARKTACULAR TARP W-157.56" H-78" 1 PC</t>
  </si>
  <si>
    <t>PO30869</t>
  </si>
  <si>
    <t>FOLDER, PRESSBOARD US LONG GREEN PLAIN 2000PCS
STOCK ON HAND 0PCS
BOARD VELLUM LONG 
STOCK ON HAND 3PACKS</t>
  </si>
  <si>
    <t>PO30836</t>
  </si>
  <si>
    <t>ART APPRECIATION SOLMERANO, ART APPRECIATION SANCHEZ, ETHICS THEORY AND PRACTICE, ETHICS: A TEXTBOOK FOR NEW GENERAL EDUCATION CURRICULUM, ETHICS: EXPLORING MORAL PHILOSOPHY, JOSE RIZAL: A REVIEW ON THE LIFE AND WORKS OF THE FIRST FILIPINO, LIFE AND WORKS OF DR. JOSE RIZAL, NATIONAL SERVICE TRAINING PROGRAM (NSTP) NSTP A, NSTP CWTS: A TEXTBOOK FOR THE NEW GENERAL EDUCATION CURRICULUM</t>
  </si>
  <si>
    <t>EESM Bookstore</t>
  </si>
  <si>
    <t>PO30838</t>
  </si>
  <si>
    <t>BOOKS - AUDITING AND ASSURANCE CONCEPTS AND APPLICATION, AUDITING THEORY (GUIDE IN UNDERSTANDING THE PSA),CONCEPTUAL FRAMEWORK AND ACCOUNTING STANDARDS, COST ACCOUNTING AND CONTROL, CPA EXAMINATION REVIEWER IN AUDITIONG PTROBLEMS, CPA EXAMINATION REVIEWER: AUDITING PRACTICE, HORNGEN'S COST ACCOUNTING, INCOME TAXATION 2022 EDITION, INTERMEDIATE ACCOUNTING VOLUME 1, INTERMEDIATE ACCOUNTING VOLUME 2</t>
  </si>
  <si>
    <t>PO309829</t>
  </si>
  <si>
    <t>A COURSE FOR ART APPRECIATION, BORDERLESS PURPOSIVE COMMUNICATION IN THE 21ST CENTURY, A COURSE MODULE FOR ETHICS, A MODULAR APPORACH TO TEACHING GRAMMAR AND COMPOSITION A- FORM MEANING AND USE, ART APPRECIATION,NSTP CWTS 2: A TEXTBOOK FOR NEW GENERAL EDUCATION, NSTP-CWTS A, NSTP-CWTS 2, PHYSICAL FITNESS, PURPOSIVE COMMUNICATION IK DIVERSE CONTEXTS</t>
  </si>
  <si>
    <t>STATE LIME SOLVENT 20 GAL</t>
  </si>
  <si>
    <t>PO30875</t>
  </si>
  <si>
    <t>PO30878</t>
  </si>
  <si>
    <t xml:space="preserve">BPI BIDA 2023 CONGRATULATORY TARP 1 PC </t>
  </si>
  <si>
    <t>PO30863</t>
  </si>
  <si>
    <t>WASTE SEGRAGATION SIGNAGES 31</t>
  </si>
  <si>
    <t>PO30851</t>
  </si>
  <si>
    <t>RAINBOOTS FEMALE 25PCS</t>
  </si>
  <si>
    <t>PO30858</t>
  </si>
  <si>
    <t>CARTRIDGE URINAL FALCON WATERLESS 20PCS</t>
  </si>
  <si>
    <t>PO30872</t>
  </si>
  <si>
    <t>TAPE, DUCT TAPE (2in x 10m) 70PCS
BATTERY, EVEREADY SIZE C 100PCS
DISPENSER, TAPE BIG 50PCS
CLIP, BINDER JOY 3/4" 120 PCS
BATTERY, MAXWELL CR2032 100PCS</t>
  </si>
  <si>
    <t>PO30871</t>
  </si>
  <si>
    <t xml:space="preserve">SCISSORS FOR EMPLOYEE (6INCHES) 100
GLUE ELMERS- 130 GRAMS (OSSUP) 80
RULER, PLASTIC ORION 12 INCHES 200                                                                                                        MARKER, WHITEBOARD PILOT BLACK 255                                                                                                                                    ENVELOPE BROWN LONG 1000 </t>
  </si>
  <si>
    <t>PO30862</t>
  </si>
  <si>
    <t>INTRODUCTION TO CULINARY ARTS, KITCHEN ESSENTIALS AND BASIC FOOD PREPARATION, MICRO PERSPECTIVE OF TOURISM AND HOSPITALITY MANAGEMENT, RESEARCH IN TOURISM AND HOSPITALITY, TOUR GUIDING, TOURISM AND HOSPITALITY MARKETING, TRANSPORTATION MANAGEMENT, TRAVEL WRITING AND PHOTOGRAPHY</t>
  </si>
  <si>
    <t>PO30876</t>
  </si>
  <si>
    <t>HAND SOAP ANTIBACTERIAL (YELLOW)
METAL POLISH 30PCS
TRASH BAG SMALL(CLEAR) 50x100
TRASH BAG MEDIUM(CLEAR) 50x100
TRASH BAG LARGE(CLEAR) 50x100
TRASH BAG XL(CLEAR) 50x100
TRASH BAG XXL(CLEAR) 50x100</t>
  </si>
  <si>
    <t>PO30860</t>
  </si>
  <si>
    <t>HAND SOAP (BUENAS)  50 GL</t>
  </si>
  <si>
    <t>Marrbont Corporation</t>
  </si>
  <si>
    <t>PO30859</t>
  </si>
  <si>
    <t>ODOR MASCANT 50GAL</t>
  </si>
  <si>
    <t>PO30907</t>
  </si>
  <si>
    <t>FOLDER, PRESSBOARD GREEN LONG 2000PCS</t>
  </si>
  <si>
    <t>PO30919</t>
  </si>
  <si>
    <t>IHBB ASIAN CHAMPIONSHIPS 2023 ANNOUNCEMENT TARP</t>
  </si>
  <si>
    <t>PO30908</t>
  </si>
  <si>
    <t>PAPER, COPY-LASER SUB. 20SHORT WHITE 200 PCS
TISSUE, ROLL BATH 2PLY (SANICARE) 250PCS</t>
  </si>
  <si>
    <t>PO30914</t>
  </si>
  <si>
    <t>MOPHEAD 50
RAIN BOOTS 50 PAIRS
RAIN COAT 2-PC 50PCS (HIGH QUALITY)
DUST PAN PLASTIC 50PCS
MR MUSCLE SUPER RILE BOWL CLEANER 100 PCS
DUST MOP HEAD #30 (MANSION) 50
POLISHER HEAD WITH BRUSH (BLK #16) 15 PCS
POLISHER HEAD WITH BRUSH (WHITE #16) 15 PCS
TOP LUSTER 50 GAL
METAL POLISH 20 CANS</t>
  </si>
  <si>
    <t>PO30912</t>
  </si>
  <si>
    <t>BIGET RIUSE TECH 50
SOFT BROOM 50
STICKBROOM  (THICKER PLS) 50 
ZONROX BLEACH 1 GALLON 50 GAL
WET FLOOR SIGNAGES 50
SPATULA SMALL 50
ZIM GLASS CLEANER 500 ML 50</t>
  </si>
  <si>
    <t>PO30917</t>
  </si>
  <si>
    <t>TOWEL,HAND-GOOD MORNING 300PCS
REFERENCE: PO30478</t>
  </si>
  <si>
    <t>PO30911</t>
  </si>
  <si>
    <t xml:space="preserve">HDP500 YUCK RIBBON (FOR ID PRINTER) 10PCS
FILM HDP500 FILM FOR ID PRINTER HDP500 7 PCS. </t>
  </si>
  <si>
    <t>PO30916</t>
  </si>
  <si>
    <t xml:space="preserve">SOUTHVILLE MONARCH TSHIRT 
 WHITE
S- 50
M- 50
L- 50
XL- 50
PURPLE
S-50
M-50
L-50
XL-50
</t>
  </si>
  <si>
    <t>Ronald Personalized Fashion Specialist</t>
  </si>
  <si>
    <t>PO30909</t>
  </si>
  <si>
    <t>PO3918</t>
  </si>
  <si>
    <t>G6- TOWPEP JOURNAL 10PCS
G7- TOWPEP JOURNAL 20PCS
G5- TOWPEP JOURNAL 20PCS</t>
  </si>
  <si>
    <t>PO30913</t>
  </si>
  <si>
    <t>ENVELOPE , EXPANDING  PLASTIC SHORT, ADVENTURER 1000PCS
PAPER, COPY-LASER SUB. 20 SHORT WHITE 100PCS
PAPER, COPY-LASER A4 SUB. 20 WHITE 100PCS</t>
  </si>
  <si>
    <t>PO30935</t>
  </si>
  <si>
    <t>HIGHLIGHTER, STABILO BLUE 50PCS
HIGHLIGHTER, STABILO PINK 50PCS
HIGHLIGHTER, STABILO YELLOW 50PCS
MONGOL PENCIL NO.1 240PCS</t>
  </si>
  <si>
    <t>INK, WHITEBOARD-PILOT BLACK 70PCS
CLEARBOOK, SPIRAL REFILLABLE 20'S BLACK SHORT 100PCS
ENVELOPE, EXPANDING PLASTIC-LONG, ADVENTURER 2000PCS
ENVELOPE, BROWN LONG 1000PCS</t>
  </si>
  <si>
    <t>PO30941</t>
  </si>
  <si>
    <t>500 PCS. BATTERY ENERGIZER AA</t>
  </si>
  <si>
    <t>PO30949</t>
  </si>
  <si>
    <t>33RD ANNIVERSARY PHOTO WALL TARP 
230x350 CM
EYELET ALL OVER OUTSIDE DESIGN
13oz TARP</t>
  </si>
  <si>
    <t>PO30946</t>
  </si>
  <si>
    <t>BATTERY, ENELOOP SIZE AAA RECHARGABLE 500 PCS
BATTERY, ENELOOP SIZE AA RECHARGABLE 500 PCS
GLUE, MIGHTY BOND 50PCS</t>
  </si>
  <si>
    <t>PO30936</t>
  </si>
  <si>
    <t>STAPLER, MAX HD-50  WITH STAPLE WIRE REMOVER (USE WITH#35 STAPLE WIRE 50 PCS
STAPLE WIRE, MAX #35-5M 200BOXES</t>
  </si>
  <si>
    <t>PO30937</t>
  </si>
  <si>
    <t>PO30934</t>
  </si>
  <si>
    <t>COLLEGE EXAM PERMIT (100PCS PER BUNDLE) 20 BUNDLE</t>
  </si>
  <si>
    <t>PO30933</t>
  </si>
  <si>
    <t>MOP HEAD 50PCS
DUST MOP HEAD #30 (MANSION) 50PCS
SPATULA, SMALL 50PCS</t>
  </si>
  <si>
    <t>PO30948</t>
  </si>
  <si>
    <t>FALCON ORIGINAL CARTRIDGE 30PCS</t>
  </si>
  <si>
    <t>PO30950</t>
  </si>
  <si>
    <t>STICK BROOM 50PCS
SOFT BROOM 50PCS
BIDET, RINSE TECH HERITAGE MODEL- CREAM 50PCS
FLOOR/ LAUNDRY BRUSH 100PCS
LONG HANDLED SCRUB BRUSH 50PCS
DUST PAN 50PCS
RUBBER GLOVES 100PCS
MR. MUSCLE SUPER BOWL CLEANER 100PCS</t>
  </si>
  <si>
    <t>PO30952</t>
  </si>
  <si>
    <t>EASY FLOW HANDRYER 10PCS
FLANELLA, BLUE 500PCS
FLANELLA, PINK 500PCS
FLANELLA YELLOW 500PCS</t>
  </si>
  <si>
    <t>PO30954</t>
  </si>
  <si>
    <t>TRASH BAG, SMALL(18"x18") CLEAR 50PACKS
ZIM GLASS CLEANER, 500ML 100PCS
SPRAY GUN 50PCS</t>
  </si>
  <si>
    <t>PO30947</t>
  </si>
  <si>
    <t>Beyond Global Multiales Corp.</t>
  </si>
  <si>
    <t>PO30942</t>
  </si>
  <si>
    <t>UPS (BLACKBOX FOR SECURITY GATE AS REQUESTED BY MIS) REPLACEMENT 1
NOTED BY: LARRAINE D. ALMAZAN
NOTES: PLEASE SEE ATTACHED FILE</t>
  </si>
  <si>
    <t>PO30989</t>
  </si>
  <si>
    <t>6.0 HP DAIKEN CEIKING CASSETTE INVERTER 1 UNIT</t>
  </si>
  <si>
    <t>PO30965</t>
  </si>
  <si>
    <t>INKS, TRODAT RED 10PCS
INKS, TRODAT PURPLE 10PCS
INKS, TRODAT BLACK 10PCS</t>
  </si>
  <si>
    <t>PO30978</t>
  </si>
  <si>
    <t>TOPS POSTER /COLLEGE RECRUITEMENT 11.687X16.5" POSTER 100 PCS'</t>
  </si>
  <si>
    <t>PO#0604</t>
  </si>
  <si>
    <t>4 PULL UP BANNERS</t>
  </si>
  <si>
    <t>Printing Shop PrintPilipinas.com</t>
  </si>
  <si>
    <t>PO30977</t>
  </si>
  <si>
    <t>SPRAY GUN 100PCS
HANDSOAP YELLOW 50PCS
TRASH BAG SMALL 50 PACKS
RUBBER CHAMOIS 100PCS</t>
  </si>
  <si>
    <t>PO30926</t>
  </si>
  <si>
    <t>SOUTHVILLE INTERNATIONAL SCHOOL COLLEGES INC. OFFICIAL RECEIPT 20BOX</t>
  </si>
  <si>
    <t>PO30985</t>
  </si>
  <si>
    <t>TAPE, DUCT TAPE(2IN x 10M) 70PCS</t>
  </si>
  <si>
    <t>FOLDER, FORUTNE WHITE SHORT 600PCS</t>
  </si>
  <si>
    <t>PO30986</t>
  </si>
  <si>
    <t>PUSH PINS 30'S 30BXS</t>
  </si>
  <si>
    <t>PO30990</t>
  </si>
  <si>
    <t>5.0 HP CEILING CASSETTE INVERTER</t>
  </si>
  <si>
    <t>PO30988</t>
  </si>
  <si>
    <t>FLO SOFT DISPENSER 20 PCS</t>
  </si>
  <si>
    <t>Goldlink Indsutrial Sales</t>
  </si>
  <si>
    <t>PO30997</t>
  </si>
  <si>
    <t>FRAME, CERTIFICATE ORDINARY BROWN 8.5x11 70PCS</t>
  </si>
  <si>
    <t>PO31000</t>
  </si>
  <si>
    <t>BOARD, VELLUM (SHORT) 70 PACKS</t>
  </si>
  <si>
    <t>Mostaco Printing</t>
  </si>
  <si>
    <t>PO30999</t>
  </si>
  <si>
    <t>2ND SEMESTER ADMISSION ANOUNCMENT TARP 13.13X6.5 FT 13 OUNCE</t>
  </si>
  <si>
    <t>PO30998</t>
  </si>
  <si>
    <t>LIME SOLVENT 50GAL</t>
  </si>
  <si>
    <t>PO30992</t>
  </si>
  <si>
    <t>SPRAY GUN 50 PCS</t>
  </si>
  <si>
    <t>PO30993</t>
  </si>
  <si>
    <t>TISSUE, ROLL BATH 2 PLY, SANICARE</t>
  </si>
  <si>
    <t>PO30945</t>
  </si>
  <si>
    <t>LAMINATING FILM , DL951 FRONT/ BACK 3M  20PCS
STOCK ON HAND 3PCS</t>
  </si>
  <si>
    <t>PO30996</t>
  </si>
  <si>
    <t>PAYSLIP 5BOXES
SEE ATTACHED</t>
  </si>
  <si>
    <t>PO31005</t>
  </si>
  <si>
    <t>MBA JOURNALS 3
MIT JOURNALS 3
MAP 3
BSA 1
MMA 5</t>
  </si>
  <si>
    <t>World Magazine Exchange Marketing Corp.</t>
  </si>
  <si>
    <t>28 LAPTOPS
ACER SWIFT 3 SF314-4 3-R06N LAPTOP
AMD RYZEN TM 5
8GB RAM
512GB NVMe SSD</t>
  </si>
  <si>
    <t>PO31033</t>
  </si>
  <si>
    <t>IT FLYER 1000 PCS
BUSINESS SCHOOL FLYER 1000 PCS
MATERIAL (C2S180) 230-250 GSM BACK TO BACK
FULL COLOR 8.5x5.5 INCH</t>
  </si>
  <si>
    <t>PO30635</t>
  </si>
  <si>
    <t>30 COPIES KAIZEN JOURNAL 21-22</t>
  </si>
  <si>
    <t>PO31053</t>
  </si>
  <si>
    <t>- 1000 PCS COMPUTER ENGINEERING COURSE FLYER(3.48 x 8. 247 INCHES)
- 1000 PCS REAL ESTATE MANAGEMENT COURSE FLYER(3.78 x 8.267 INCHES)</t>
  </si>
  <si>
    <t>PO31065</t>
  </si>
  <si>
    <t>GRADE 6 BATCH SHIRT 70</t>
  </si>
  <si>
    <t>Chronos Athletics Shop</t>
  </si>
  <si>
    <t>PO31064</t>
  </si>
  <si>
    <t xml:space="preserve">NAVAL CRUZ TARP (NCA) 1
6.4x16.9 FT WITH SEAMING AND EYELET </t>
  </si>
  <si>
    <t>PO31063</t>
  </si>
  <si>
    <t xml:space="preserve">REORDER OF X-STAND WITH CHILD TO ADULT DESIGN 15
2.5 x 6FEET TARP WITH STANDEE
GWYN- 1
HYO SANG 2
GEN MARK 2
SEAN BORJA 2
wynwyn 1
jodi 2
miguel 2
donglim2
wallen tan 2
</t>
  </si>
  <si>
    <t>PO31061</t>
  </si>
  <si>
    <t>PLEASANT AEROSENSE 30GAL</t>
  </si>
  <si>
    <t>PO31067</t>
  </si>
  <si>
    <t>*MOP HANDLE 4FT ALUMINUM 
#GREEN      = 20PCS
#YELLOW    = 20PCS
#RED           = 20PCS
#BLUE          = 20PCS
*DUST MOP HANDLE WITH FRAME = 5 PCS</t>
  </si>
  <si>
    <t>PO31088</t>
  </si>
  <si>
    <t>BASIC ED TRANSCRIPT OF RECORD PAPER 5000
REPORT CARD HOLDER 2500</t>
  </si>
  <si>
    <t>PO31074</t>
  </si>
  <si>
    <t>TOPLUSTER 50</t>
  </si>
  <si>
    <t>PO31090</t>
  </si>
  <si>
    <t>PO31091</t>
  </si>
  <si>
    <t>PARKING TARP ENTRANCE
120x56INCH
NO SEAMING
NO EYELET
NO BLACKOUT</t>
  </si>
  <si>
    <t>PO31089</t>
  </si>
  <si>
    <t>STAR CAMPUS TARP
10x24FT
EYELET ALL OVER
WITH SEAMING
BLACKOUT</t>
  </si>
  <si>
    <t>PO31069</t>
  </si>
  <si>
    <t>TRODAT S- 826D  2</t>
  </si>
  <si>
    <t>PO31075</t>
  </si>
  <si>
    <t>TOILET BOWL CLEANER 50</t>
  </si>
  <si>
    <t>PO31101</t>
  </si>
  <si>
    <t>ULTRA SONIC RANGING SENSOR HC-SR04 40
BREADBOARD MB 102 830 POINT 40
BREADBOARD 400 TIE POINT INTERLOCKING SOLDERLESS 40
LCD I2C 1602 DISPLAY MODULE YELLOW 40
COLOR SENSOR TCS3200 40
LED 3MM YELLOW 5PCS 20
LED 3MM RED 5PCS 20
LES 3MM GREEN 5PCS 20
DC MOTOR 130 10
SERVO MINI TOWER PRO 9G SG- 90 10</t>
  </si>
  <si>
    <t>Circuitrocks Electronic Store</t>
  </si>
  <si>
    <t>PO31083</t>
  </si>
  <si>
    <t>AEROSENSE 30</t>
  </si>
  <si>
    <t>PO31068</t>
  </si>
  <si>
    <t>V.M Industries Corp.</t>
  </si>
  <si>
    <t>PO31084</t>
  </si>
  <si>
    <t>TISSUE, ROLL BATH 2PLY (SANICARE) - 288 PCS</t>
  </si>
  <si>
    <t>PO31087</t>
  </si>
  <si>
    <t>STAR CAMPUS ALONG THE HIGWAY TARP (1)
10x17 FT</t>
  </si>
  <si>
    <t>PO30276</t>
  </si>
  <si>
    <t>- 100 PCS BOARD, VELLUM(LONG)
- 100 PCS BOARD, VELLUM(SHORT)
- 100 PCS CARTOLINA, RED
- 300 PCS BATTERY, ENERGIZER SIZE AAA
- 30 PCS BATTERY, MAXWELL CR2032
- 20 PCS CLEARBOOK, UNREFILLABLE 40'S LONG
- 50 PCS CUTTER BLADE, BIG
- 180 PCS PEN, SIGN - PILOT BX-V5 BLUE
- 240 PCS PEN, SIGN - PILOT BX-V5 BLACK
- 120 PCS PEN, SIGN - PILOT BX-V5 RED
- 20 PCS PEN, OVERHEAD PROJECTOR - PILOT BLACK</t>
  </si>
  <si>
    <t>PO30318</t>
  </si>
  <si>
    <t>100 PCS CLEARBOOK, REFILLER LONG 3 HOLES</t>
  </si>
  <si>
    <t>PO30316</t>
  </si>
  <si>
    <t>1 ROLL PROPERTY STICKER BEGINNING NUMBER WITH 66006</t>
  </si>
  <si>
    <t>PO30324</t>
  </si>
  <si>
    <t>RJ45 CONNECTOR</t>
  </si>
  <si>
    <t>PO31104</t>
  </si>
  <si>
    <t>WALL FAN 16" COLOR BLUE-GRAY (1)</t>
  </si>
  <si>
    <t>PO31112</t>
  </si>
  <si>
    <t>COLLEGE LIBRAY MMA BOOKS FOR PACUCOA
CRITICAL MEDIA STUDIES: AN INTRO (1)
FILM HISTORY: AN INTRO (1)
INSTAGRAM (1)
JOURNALISM IN THE DATA AGE (1)
LITERARINESS OF MEDIA ARTS (1)
MIXED METHODS PERSPECTIVE ON COMMUNICATION  (1)
PERFORMING TRAINING RECOMFIGURED (1)
POETRIES OF DIGITAL MEDIA (1)
SCENE WRITING (1)
SOUND EFFECT: USER GUIDE (1)
USING FILM AND MEDIA IN THE LANGUAGE CLASSROOM (1)
VIDEO THEORIES (1)
VISUAL ARTS (1)
WRITING FOR ANIMATION (1)</t>
  </si>
  <si>
    <t>PO31107</t>
  </si>
  <si>
    <t xml:space="preserve">TAPE, DOUBLE SIDED TAPE W/O FOAM, 70 PCS. </t>
  </si>
  <si>
    <t>PO31118</t>
  </si>
  <si>
    <t>PEN, SIGN-PILOT BX-V5 BLUE 240 pcs
PEN, SIGN-PILOT BX-V5 GREEN 300 pcs
PEN, SIGN-PILOT BX-V5 RED 240 pcs
BALLPEN, DONG-A MY GEL PEN BLACK 0.5 240 pcs
BALLPEN, DONG-A MY GEL PEN BLUE 0.5 240 pcs</t>
  </si>
  <si>
    <t>PO31114</t>
  </si>
  <si>
    <t xml:space="preserve">MARKER, WHITEBOARD- PILOT BLUE 300 PCS.
MARKER, WHITEBOARD- PILOT RED 120 PCS. 
</t>
  </si>
  <si>
    <t>PO31137</t>
  </si>
  <si>
    <t xml:space="preserve"> GEN ED SUBJECTS (10) PACUCOA
APPLIED ETHICS: AN INTRODUCTION 
CHEMISTRY FOR 
ESSETIALS FO WRITING : THE TEN CORE CONCEPTS
PRACTICAL AND PROFESSIONAL ETHICS
PURPISIVE COMMUNICATION
THIS IS ENVIRONMENTAL ETHICS: AN INTRO
VIRTUE OF ETHICS AND CONTEMPORARY 
IMPROVE YOUR GRAMMAR: ESSETIAL  GUIDE
LEARNIGN TO TEACH ENGLUSH AND LANGUAGE ARTS
PHILOSPHY OF : AN INTRO</t>
  </si>
  <si>
    <t>PO31125</t>
  </si>
  <si>
    <t>TOURISM BOOKS (28):
FUNDAMENTALS IN LODGING OPERATIONS  (2)
TOURISM POLICY PLANNING  (2)
FUNDAMENTALS IN FODD SERVICES  (2)
SUPPLY CHAIN MANAGEMENT IN HOSPITALITY  (2)
TRANSPORTATION MANAGEMENT  (2)
TOURISM AND TRAVEL MANAGEMENT   (2)
FUNDAMENTALS IN LODGING OPERATIONS  (2)
ENTREPRENEURSHIP IN TOURISM AND HOSPITALITY  (2)
RESEARCH IN TOURISM   (2)
HERITAGE TOURISM  (2)
TOURISM AND HOSPITALITY MARKETING  (2)  
ERGONOMICS AND FACILITIES PLANNING FOR THE HOSPITALITY  (2)
LEGAL ASPECTS IN TOURISM AND HOSPITALITY  (2)
KITCHEN ESSENTIALS AND BASIC FOOD PREPARATIONS  (2)</t>
  </si>
  <si>
    <t>PO31133</t>
  </si>
  <si>
    <t xml:space="preserve">ACCOUNTANCY AND BUSINESS BOOKS (46): 
MANAGEMENT SCIENCE  (2)
BASIC MICROECONOMICS  (2)
GOOD GOVERNANCE AND SOCIAL RESPONSIBILITY  (2)
REGULATORY FRAMEWORK AND LEGAL ISSUES IN BUSINESS 2  (2)
THE LAW ON INCOME TAXATION  (2)
 THE LAW ON TRANSFER AND BUSINESS TAXATION   (2)
REGULATORY  FRAMEWORK AND LEGAL ISSUES IN BUSINESS 1  (2)
THE LAW ON OBLIGATION AND CONTRACTS  (2)
PARTNERSHIP REVISED CORPORATION AND COOPERATIVE  (2)
THE LAW ON OBLIGATION AND CONTRACTS  (2)
ACCOUNTING RESEARCH METHODS  (2)
ACCOUNTANCY RESEARCH   (2)  
MANAGERIAL ECONOMICS  (2)
BUSINESS LAWS AND REGULATIONS  (2)
COST ACCOUNTING AND CONTROL  (2)
INCOME TAXATION REVISED ED   (2)
STRATEGIC REVISED ED  (2)
STRATEGIC MANAGEMENT REVISED ED  (2)
ECONOMIC DEVELOPMENT  (2)
FUNDAMENTALS OF TAXATIONS  (2)
GOVERNANCE, BUSINESS ETHICS, RISK MANAGEMENT   (2)
HUMAN RESOURCE MANAGEMENT   (2)
BUSINESS RESEARCH WITH STATISTICAL APPLICATION  (2)
OPERATIONS MANAGEMENT AND TQM  (2)
</t>
  </si>
  <si>
    <t>PO31113</t>
  </si>
  <si>
    <t>TRASH BAG XXL CLEAR 50</t>
  </si>
  <si>
    <t>PO31128</t>
  </si>
  <si>
    <t>PO31129</t>
  </si>
  <si>
    <t>MIT TITLES (6) PACUCOA
CYBERSECURITY ALL IN ONE FOR 
DATA COMMUNICATION AND COMPUTER NETWORK
DISCOVERING COMPUTERS 
PROBABILITY AND STAT IN RELIABILITY QUEUEING AND COMPUTER SCIENCE
PROGRAMMING LOGIC AND DESIGN
TEACH YOURSELF VSUALLY WINDOWS</t>
  </si>
  <si>
    <t>PO31148</t>
  </si>
  <si>
    <t>LED BULB 8W DAYLIGHT -PHILIPS 300PCS
LED TUBE 16W DAYLIGHT-PHILIPS 400PCS
LED TUBE 8W DAYLIGHT-PHILIPS 400PCS
LAVATORY FAUCET (CRESTON) 30PCS)</t>
  </si>
  <si>
    <t>ADBM Lightning Equipment Trading</t>
  </si>
  <si>
    <t>PO31176</t>
  </si>
  <si>
    <t>MISSION VISSION TUV RHEILAND CERTIFICATE
SIZE: COLLEGE CLASSROOM (W-53CM xL-66CM) 10
OFFICES (28.5x42.5CM) 5</t>
  </si>
  <si>
    <t>PO31172</t>
  </si>
  <si>
    <t>SIGNAGE SINTRA BOARD (2)</t>
  </si>
  <si>
    <t>PO31175</t>
  </si>
  <si>
    <t>MUNICH BIG TARP 10 x 24 FT  (RE-ORDER)</t>
  </si>
  <si>
    <t>PO31136</t>
  </si>
  <si>
    <t>SPOTLESS CLAENING PASTE (5O)</t>
  </si>
  <si>
    <t>Primeline Products Philippines, Inc.</t>
  </si>
  <si>
    <t>PO31151</t>
  </si>
  <si>
    <t>PAPER, COPY-LASER SUB. 20 SHORT WHITE 150 REAMS</t>
  </si>
  <si>
    <t>PO31157</t>
  </si>
  <si>
    <t>CARTOLINA, BLACK 500PCS
CARTOLINA, WHITE 400PCS</t>
  </si>
  <si>
    <t>PO31158</t>
  </si>
  <si>
    <t xml:space="preserve">RIBBON, CARTRIDGE EPSON LX310 SO15632 10PCS
</t>
  </si>
  <si>
    <t>PO31160</t>
  </si>
  <si>
    <t>ENVELOPE, BROWN LONG 3000PCS
ENVELOPE, BROWN SHORT 1000PCS</t>
  </si>
  <si>
    <t>PO31180</t>
  </si>
  <si>
    <t>STATE LIME SOLVENT (50)</t>
  </si>
  <si>
    <t>PO31182</t>
  </si>
  <si>
    <t>BATTERY, ENERGIZER SIZE AA 700PCS
BATTERY, EVEREADY SIZE C 100PCS</t>
  </si>
  <si>
    <t>PO31096</t>
  </si>
  <si>
    <t>LETTER ENVELOPE (PLEASE SEE ATTACHED SAMPLE)</t>
  </si>
  <si>
    <t>PO31085</t>
  </si>
  <si>
    <t>ENVELOPE, SISC LETTER COLORED W/O WINDOW - 3000 pcs
ENVELOPE, SISC LETTER COLORED W/ WINDOW - 2000 pcs</t>
  </si>
  <si>
    <t>PO31163</t>
  </si>
  <si>
    <t>PO31156</t>
  </si>
  <si>
    <t>PAPER, CARBON PAPER SHORT 100 pcs
PAPER, CARBON PAPER LONG 100 pcs</t>
  </si>
  <si>
    <t>PO31159</t>
  </si>
  <si>
    <t>PAPER, SISC LETTERHEAD COLORED SHORT 2500 pcs
PAPER, SISC LETTERHEAD COLORED 4A 2500 pcs</t>
  </si>
  <si>
    <t>PO31185</t>
  </si>
  <si>
    <t>TCL 55P735 4K HD HDR GOOGLE TV 1
BAIERDI 32070 INCH TV STAND 1</t>
  </si>
  <si>
    <t>PO31193</t>
  </si>
  <si>
    <t>HAND SOAP, ANTIBACTERIAL YELLOW (50)</t>
  </si>
  <si>
    <t>PO31178</t>
  </si>
  <si>
    <t>CLEAR SHEET PROTECTORS (SHORT)</t>
  </si>
  <si>
    <t>PO31179</t>
  </si>
  <si>
    <t>FARGO HDP500 YMCK COLOR RIBBON 15PCS</t>
  </si>
  <si>
    <t>PO31146</t>
  </si>
  <si>
    <t>IB LABORATORY MATERIALS</t>
  </si>
  <si>
    <t>PO31147</t>
  </si>
  <si>
    <t xml:space="preserve">Patagonian Enterprises </t>
  </si>
  <si>
    <t>PO31191</t>
  </si>
  <si>
    <t>FOLDER, PRESSBOARD GREEN SHORT PLAIN 1000PCS</t>
  </si>
  <si>
    <t>PO31190</t>
  </si>
  <si>
    <t>CLIP, ID-ALLIGATOR PLASTIC 500PCS</t>
  </si>
  <si>
    <t>PO31155</t>
  </si>
  <si>
    <t>BOARD, VELLUM (LONG) 100PACKS
BOARD, VELLUM(SHORT) 30PACKS</t>
  </si>
  <si>
    <t>PO31173</t>
  </si>
  <si>
    <t>TAPE, DOUBLE SIDED TAPE WITH FOAM 200PCS</t>
  </si>
  <si>
    <t>PO31174</t>
  </si>
  <si>
    <t>TAPE, DUCT TAPE (2IN x 10M) 200PCS</t>
  </si>
  <si>
    <t>PO31203</t>
  </si>
  <si>
    <t>LUX BIG TARP 54x13FT W/ SEAMING (1)</t>
  </si>
  <si>
    <t>PO31199</t>
  </si>
  <si>
    <t>RIGOR IN THE CLASSROOM TARPAULIN
STAR CAMPUS 18
MUNICH CAMPUS 38
HIGHSCHOOL (7-10) 13
SENIOR HIGHSCHOOL (11-12) 24
IB 1&amp;2 10
OTHER OFFICES/ ROOMS 17
WIDTH 31 INCHES
HEIGHT 25 INCHES</t>
  </si>
  <si>
    <t>PO31211</t>
  </si>
  <si>
    <t>TISSUE, JUMBO ROLL, 200 METERS - 100ROLLS</t>
  </si>
  <si>
    <t>PO31192</t>
  </si>
  <si>
    <t>TOLIET RUBBER PUMP BLACK (30)</t>
  </si>
  <si>
    <t>STRIPPOL SUPER FLOOR WAX STRIPPER (30)</t>
  </si>
  <si>
    <t>PO31181</t>
  </si>
  <si>
    <t>FSAM MANUAL
8"x11" AND 5.5" x 8.5"
COLORED COVER
INSIDE PAGES- BLACK AND WHITE
NO. OF PAGES- 350
100 COPIES AND 500 COPIES</t>
  </si>
  <si>
    <t>PO31131</t>
  </si>
  <si>
    <t>GRADE SCHOOL REPORT CARD PAPER 1000PCS
JUNIOR HIGHSCHOOL REPORT CARD PAPER 1000PCS
SENIOR HIGHSCHOOL REPORT CARD PAPER 800PCS
IB REPORT CARD PAPER 100PCS</t>
  </si>
  <si>
    <t>PO31200</t>
  </si>
  <si>
    <t>TOPLUSTER HIGH GRADE LIQUID WAX (RIVCHEM) 50</t>
  </si>
  <si>
    <t>PO31230</t>
  </si>
  <si>
    <t>IQA POLO SHIRT 80</t>
  </si>
  <si>
    <t>PO31212</t>
  </si>
  <si>
    <t>SCENTED-BAYGON PROTECTOR MULTI-INSECT KILLER 500ML, CAN 50</t>
  </si>
  <si>
    <t>PO31213</t>
  </si>
  <si>
    <t>PO31217</t>
  </si>
  <si>
    <t xml:space="preserve">PLAIN SHEET GAUGE 18 4"x 8" (15)
BLIND RIVETS #1/8 x 1/2 1BOX
DRILL BIT METAL #1/2 10PCS
EPOXY PRIMER GRAY 1GAL
LACQUER THINNER 1GAL
</t>
  </si>
  <si>
    <t>Dynamics Electrical Supply and Hardware</t>
  </si>
  <si>
    <t>PO31241</t>
  </si>
  <si>
    <t>EXTENSION WIRES (5METERS OMNI)  5PCS
KINGSTON SOLID SOLID STATE DRIVE 256GB 10PCS
UGREEN DVI TO VGA CONVERTER 30PCS
CAT6 CABLE BLUE 4PCS
AVR SECURE (ECOPOWER) 100PCS
USB KEYBOARD(LOGITECH) 30PCS
STRIP WIRE 8 INCHES 30PKS</t>
  </si>
  <si>
    <t>PO31204</t>
  </si>
  <si>
    <t>SPOTLESS HOUSEHOLD CLAENING PASTE (5O)</t>
  </si>
  <si>
    <t>PO#0681</t>
  </si>
  <si>
    <t>INTRAMS SHIRTS : faculty shirt 33, grade 3- 81, grade 4 - 73, grade 5-89, grade 6 - 20</t>
  </si>
  <si>
    <t>PO31222</t>
  </si>
  <si>
    <t>EXTERNAL HARD DRIVE 2TB 1
ANDOER ACK E6, DUMMY BATTERY FOR CANON BOD, MUST BE US PLUG 1
7PORT USB HUB 2
MEMORY CARD READER 2</t>
  </si>
  <si>
    <t>PO31221</t>
  </si>
  <si>
    <t>TRODAT ( AUDITED) 1
TRODAT ( CLOSED) 1</t>
  </si>
  <si>
    <t>PO31228</t>
  </si>
  <si>
    <t>SWEET SUNSATION 50</t>
  </si>
  <si>
    <t>PO31219</t>
  </si>
  <si>
    <t>KRI TARP 
 ROOM 101-108 (8)
ROOM 201-210 (10)
ROOM 306-316 (16)
SPARE (3)
SIZE: 17" x 26"</t>
  </si>
  <si>
    <t>I-Stop Graphics and Business Center</t>
  </si>
  <si>
    <t>PO31220</t>
  </si>
  <si>
    <t>RE PRINT KRI FOR CLASSROOMS 12</t>
  </si>
  <si>
    <t>PO#0680</t>
  </si>
  <si>
    <t xml:space="preserve">NURSING PINS </t>
  </si>
  <si>
    <t>RSAZ Corporation</t>
  </si>
  <si>
    <t>PO31229</t>
  </si>
  <si>
    <t>GEM TOILET BOWLL CLEANER (RJM) 50</t>
  </si>
  <si>
    <t>PO31245</t>
  </si>
  <si>
    <t>BALLPEN, PANDA BLACK 750PCS
PEN, SIGN-PILOT BX-V5 BLACK</t>
  </si>
  <si>
    <t>PO31244</t>
  </si>
  <si>
    <t xml:space="preserve">Scissors, Students 5', Maped - 887
Popsicle Stick, pack (100 sticks) - 191
</t>
  </si>
  <si>
    <t>PO31243</t>
  </si>
  <si>
    <t>PO#0687</t>
  </si>
  <si>
    <t>GR 3 INTRAMS SHIRT (RED) 6
GR 4 INTRAMS SHIRT (PURPLE) 1
GR 5 INTRAMS SHIRT (GREEN) 4
GR 6 INTRAMS SHIRT (BLUE) 1</t>
  </si>
  <si>
    <t>JLY Garment Trading</t>
  </si>
  <si>
    <t>PO#0685</t>
  </si>
  <si>
    <t>SPORTSFEST TSHIRTS
* STAR CAMPUS (GREEN)
- NPK = 6
- SK = 9
- G1 = 11
- G2 = 15
*MUNICH CAMPUS (RED)
- NPK = 15
- JK = 25
- SK = 36
(PURPLE)
- G1 = 60
- G2 = 41
*FACULTY 
- TEAL SHIRT = 32</t>
  </si>
  <si>
    <t>PO31242</t>
  </si>
  <si>
    <t>TRASH BAG, LARGE (26x32) CLEAR 50</t>
  </si>
  <si>
    <t>PO#0686</t>
  </si>
  <si>
    <t>STAR 28
MUNICH PRESCHOOL 31
MUNICH GRS 1-2 5PCS
FACULTY 6</t>
  </si>
  <si>
    <t>PO31207</t>
  </si>
  <si>
    <t>INVITATIONS, 100</t>
  </si>
  <si>
    <t>STEEL SHELVING OPEN TYPE 7 LAYER METAL 4PCS</t>
  </si>
  <si>
    <t>Alpha Steel Office and Home Furnishing Company</t>
  </si>
  <si>
    <t>PO31214</t>
  </si>
  <si>
    <t>PO31261</t>
  </si>
  <si>
    <t>BATANG PINOY TARP  (1)
6.4 x 16.9 FT
W/ SEAMING EYELET ALL OVER BLACK OUT</t>
  </si>
  <si>
    <t>PO31249</t>
  </si>
  <si>
    <t>PARKING LOT BIG TARP 13x78FT</t>
  </si>
  <si>
    <t>PO31263</t>
  </si>
  <si>
    <t>FREE TARP SITE W/ MS. GINANG
1 5x6 FEET TARP
2. W/ SEAMING
3. EYELET ALL OVER</t>
  </si>
  <si>
    <t>PO31248</t>
  </si>
  <si>
    <t>6.5 x 13.5 TROPICAL WITH SEAMING AND EYELET ALL OVER 24OUNCE
10x10 FT GATCHALION WITH SEAMING AND EYELET ALL OVER 24OUNCE</t>
  </si>
  <si>
    <t>PO31257</t>
  </si>
  <si>
    <t xml:space="preserve">TISSUE, ROLL BATH 2PLY (SANICARE) 600 ROLLS
</t>
  </si>
  <si>
    <t>PO31252</t>
  </si>
  <si>
    <t>LANYARD FOR GUEST SPEAKER</t>
  </si>
  <si>
    <t>PO31184</t>
  </si>
  <si>
    <t xml:space="preserve">Envelope, leather SISC Long w/handle (purple)
Envelope, leather SISC long w/ Handle navy blue
</t>
  </si>
  <si>
    <t>PO31258</t>
  </si>
  <si>
    <t>TOWEL, HAND-GOOD MORNING 360PCS</t>
  </si>
  <si>
    <t>PO31262</t>
  </si>
  <si>
    <t>HANDSOAP, ANTIBACTERIAL (YELLOW) 50GALS</t>
  </si>
  <si>
    <t>PO31254</t>
  </si>
  <si>
    <t>CLIP, PAPER (120GMS/BOX) PRINCE VENYL COATED- BIG 100BXS
CLIP, PAPER (50GMS/ BOX) PRINCE VENYL COAED- SMALL 70BXS</t>
  </si>
  <si>
    <t>PO31255</t>
  </si>
  <si>
    <t>SCISSORS, FOR EMPLOYEE 100</t>
  </si>
  <si>
    <t>PO31256</t>
  </si>
  <si>
    <t>RUBBER BAND, MULTICOLOR 50G/ BOX 40BOXES</t>
  </si>
  <si>
    <t>FLO SOFT SOAP DISPENSER 30</t>
  </si>
  <si>
    <t>PO#0695</t>
  </si>
  <si>
    <t>PURPLE SOUTHVILLE TABLE CLOTH 4</t>
  </si>
  <si>
    <t>Zariah's Non-Specialized Wholesale Trading</t>
  </si>
  <si>
    <t>PO31289</t>
  </si>
  <si>
    <t>TISSUE, JUMBO ROLL, 200 METERS  100ROLLS</t>
  </si>
  <si>
    <t>PO31277</t>
  </si>
  <si>
    <t>TAPE, SCOTH 3M (1") 400PCS
TAPE, 3M MASKING TAPE BIG (1") 988 PCS</t>
  </si>
  <si>
    <t>PO31286</t>
  </si>
  <si>
    <t xml:space="preserve">ESL FLYER. </t>
  </si>
  <si>
    <t>PO#0699</t>
  </si>
  <si>
    <t>PLY BOARD 3/4" X 4'X8X 7PCS
DRAWER LOCK YALE 4PCS
DOOR HANDLE 8 PCS
CONCEALED HINGS C-3  8PAIRS
PLYWOOD 1/4" X 4' X 8 2PCS
BURREL BOLT 3" 4PCS
S4S KD 2X3X8 4 PCS
POLI TUFF W HARDENER 1 LITER
SANDING PAPER #100 1 METER</t>
  </si>
  <si>
    <t>PO#0718</t>
  </si>
  <si>
    <t>ACHIEVERS X-STAND (10)
-WITH SEAMING
-EYE 4CORNERS
-2.5 x 6 FEET</t>
  </si>
  <si>
    <t>PO31305</t>
  </si>
  <si>
    <t>TOILET BOWL CLEANER - BOWL CARE, 96 GALS</t>
  </si>
  <si>
    <t>PO31309</t>
  </si>
  <si>
    <t>PAPER, COPY-LASER SUB. 20 SHORT WHITE 621 REAMS</t>
  </si>
  <si>
    <t>PO31302</t>
  </si>
  <si>
    <t>ORBIT FAN (CEILING FAN) 3</t>
  </si>
  <si>
    <t>PO31310</t>
  </si>
  <si>
    <t>EXHAUSTFAN  #10 CEILING TYPE WHITE OMNI 2</t>
  </si>
  <si>
    <t>PO31307</t>
  </si>
  <si>
    <t>ORBIT FAN 1</t>
  </si>
  <si>
    <t>PO31315</t>
  </si>
  <si>
    <t>EMPLOYEE UNIFORM FOR AY 2023-2024</t>
  </si>
  <si>
    <t>PO31301</t>
  </si>
  <si>
    <t>ACOUSTIC BOARDS 
LUX 50
COLLEGE 50
TROPICAL 50
MUNICH 50
STAR CAMPUS 50</t>
  </si>
  <si>
    <t>ULTRA PETRONNE INTERIOR SUPPLY CORPORATION</t>
  </si>
  <si>
    <t>PO31283</t>
  </si>
  <si>
    <t>GLUE, ELMER'S 130 SKIT 812
MAP, WORLD (BIG) POLITICAL 343
MARKER, PILOT PERMANENT FINE BLACK 580
MARKER, WHITEBOARD- PILOT BLACK 383
PAD PAPER, FORTUNE QUIZ PAD WHOLE, INTERMEDIATE (80LEAVES) 527
PAPER, OSLO (DRAWING) FORTUNE 1247
PAPER, CONSTRUCTION-ASSTD COLOR (20PCS) 1772
PAPER, BOOK LONG 20/PK584
PAPER, WATERCOLOR PAPER CANSON A4 (10PCS/PACKS) 199</t>
  </si>
  <si>
    <t>PO31311</t>
  </si>
  <si>
    <t>HARD DISK 2TB SEAGATE 10PCS</t>
  </si>
  <si>
    <t>PO31304</t>
  </si>
  <si>
    <t>REPLACE TRASH CAN (4pcs)
BLACK 50L</t>
  </si>
  <si>
    <t>PO31313</t>
  </si>
  <si>
    <t>AIR FRESHENER REFILL FRESH BAMBOO 3
GREEN TEA 3</t>
  </si>
  <si>
    <t>PO31282</t>
  </si>
  <si>
    <t>GLUE, ELMER'S 130 SKIT 812
MAP, WORLD (BIG) POLITICAL 343 - DELIVERED
MARKER, PILOT PERMANENT FINE BLACK 580
MARKER, WHITEBOARD- PILOT BLACK 383
PAD PAPER, FORTUNE QUIZ PAD WHOLE, INTERMEDIATE (80LEAVES) 527
PAPER, OSLO (DRAWING) FORTUNE 1247
PAPER, CONSTRUCTION-ASSTD COLOR (20PCS) 1772
PAPER, BOOK LONG 20/PK584
PAPER, WATERCOLOR PAPER CANSON A4 (10PCS/PACKS) 199 - DELIVERED</t>
  </si>
  <si>
    <t>PO31303</t>
  </si>
  <si>
    <t xml:space="preserve">Clearbook, Spiral Refillable 20's Black Long - 343- DELIVERED
Box of Chalk, Colorfed -  Corona 12s - 393 - DELIVERED
Staedtler blending stumps size 1,4,6,8 (pack) - 180
Paint Pallete Small - 231
</t>
  </si>
  <si>
    <t>PO31323</t>
  </si>
  <si>
    <t>VACUUM CLEANER HEAVY DUTY 1 UNIT</t>
  </si>
  <si>
    <t>PO31324</t>
  </si>
  <si>
    <t>WASTE SEGREGATION LABEL 1 LOT</t>
  </si>
  <si>
    <t>DOOPLO ADVERTISING</t>
  </si>
  <si>
    <t>PO#0714</t>
  </si>
  <si>
    <t>PLYBOARD 3/4, 4/ 8 3
CONCEALED HINGES C2 10 PAIRS
DRAWER LOCK YALE 6PCS</t>
  </si>
  <si>
    <t>PO#0713</t>
  </si>
  <si>
    <t>PVC PIPE #4 (2)
PVC ELBOW #4 90 (6)
SOLVENT CEMENT 400CC (1CAN)</t>
  </si>
  <si>
    <t>PO31331</t>
  </si>
  <si>
    <t>PO31297</t>
  </si>
  <si>
    <t>ACRYLIC FRAMES 30PCS</t>
  </si>
  <si>
    <t>PO#0724</t>
  </si>
  <si>
    <t>CR SIGNAGE 
-MALE 27
-FEMALE 27
-COMFORT ROOM 25
-FACULTY / STAFF 8</t>
  </si>
  <si>
    <t>PO#0725</t>
  </si>
  <si>
    <t>ROOF GUARD 3TIN
BABY ROLLER COTTON 5PCS
PAINT BRUSH 5pcs</t>
  </si>
  <si>
    <t>PO31296</t>
  </si>
  <si>
    <t xml:space="preserve">Clay, Modelling Clay Dong-A 6's Assorted Colors - 177 - DELIVERED
Lil Hand Modelling Clay Scented Neon Colors 10s 180g - 1392
Box of Crayons - Crayola Double (16pcs)-1170
Box of Crayons - Crayola Jumbo 8s - 245
Pencil, SISC Purple - 1925
Pencil, Jumbo - 368
Pencil, Faber Castel Colored (12s) - 357 - DELIVERED
Pen, Colored Faber Castel (10s) - 1074 - DELIVERED
Water Color, Prang 8's - 191 - DELIVERED
Water Color Lilhands 12’s - 288
</t>
  </si>
  <si>
    <t>PO31352</t>
  </si>
  <si>
    <t>MISSION &amp; VISION TARP 1
SIZE: 5FT x 5FT</t>
  </si>
  <si>
    <t>PO31337</t>
  </si>
  <si>
    <t>ISAC BANNER REPRINTING 12 PCS</t>
  </si>
  <si>
    <t>PO31344</t>
  </si>
  <si>
    <t>TUBULAR BAR 2 x 2 x 4 (70)
TUBULAR BAR 2 x 1 x 2 (5)
SQUARE BAR 5
WELDING ROD  10
CUTTING DISK 30
PLAIN SHEET 10
BLIND RIVET 5
DRILL BIT 20
EPOXY PRIMIER GRAY 8
LACQUER THINNER 1 TIN
SEMI GLOSS LATEX WHITE 40
QDE- CHOCOLATE BROWN 12
ACRI COLOR LAMP BLACK 5
ACRI COLOR RAW SIENNA 12
PAINT ROLLER #7 ACRYLON 10
PAINT BRUSH 10
PAINT THINNER 2
PAINT ROLLER #4 COTTON 10
SKIM COAT 3
SAND PAPER 10
HACK SAW BLADE 5</t>
  </si>
  <si>
    <t>PO31348</t>
  </si>
  <si>
    <t>MIGHTY SPARKLE DIAMOND PRO 25 (4GAL)  FLOOR FINISH</t>
  </si>
  <si>
    <t>PO#0736</t>
  </si>
  <si>
    <t>BUSINESS SCHOOL TARP
-WITH SEAMING
-BLACK OUT
-EYELET ALLOVER
-368 x 480CM</t>
  </si>
  <si>
    <t>PO31373</t>
  </si>
  <si>
    <t>1 WAY SWITCH 2PCS
PD #12 WIRE (BLACK) 10M</t>
  </si>
  <si>
    <t>PO31372</t>
  </si>
  <si>
    <t>18INCH CEILING FAN 3PCS</t>
  </si>
  <si>
    <t>PO31341</t>
  </si>
  <si>
    <t>AUTOMATIC AIR FRESHENER 14</t>
  </si>
  <si>
    <t>PO31381</t>
  </si>
  <si>
    <t>TRASH BAG, XXL (37"x40") CLEAR 120 PACKS</t>
  </si>
  <si>
    <t>PO31356</t>
  </si>
  <si>
    <t>STANDFORD SKILLBOOK MATH- 2 (KINDER) NEW EDITION 25
PS, SKILLBOOK STANDFORN READING- B (KINDER) NEW EDITION 20
STANDFORD SKILL BOOK MATH-3 (JK) NEW EDITION 45
SKILLBOOK STANDFORN READING- C (JK) NEW EDITION 45
STANFORD SKILLBOOK MATH-4 (SK) NEW EDITION 70
PS, SKILLBOOK STANFORD READING- D (SENIOR PREP) 65</t>
  </si>
  <si>
    <t>PO31358</t>
  </si>
  <si>
    <t>G1, MY ABC EQ AND ACT 100
G2, MY FAMILY AND I EQ, ICAN DO IT ACT 140
G3, ALL ABOUT ME EQ, THE ACHIEVER IN ME ACT120
G4, I AM ME! EQ, I AM ME ACT 120
G5, JOURNEYING INTO ME EQ, ACT
G6, THE WHOLE ME EQ, ACT 125
G7, MY EQ FACTOR, G7, MY ACHIEVEMENT JOURNEY ACT
G8, I AM A GIFT EQ, ACT
G9, THE JOY OF BEING ME EQ, ACT 155
G10, ONE STEP AT A TIME EQ/ACT 195
G11, ONE BIG LEAP: EQ-ACT AND CAREER GUIDANCE 190
G12, SOARING HIGH: EQ-ACT AND CAREER GUINDANCE WORKBOOK 145</t>
  </si>
  <si>
    <t>PO31359</t>
  </si>
  <si>
    <t>G1, TOWPEP JOURNAL 100
G2, TOWPEP JOURNAL 140
G3, TOWPEP JOURNAL 120
G4, TOWPEP JOURNAL 110
G5, TOWPEP JOURNAL 85
G6, TOWPEP JOURNAL 110
G7, TOWPEP JOURNAL 130
G8, TOWPEP JOURNAL 155
G9, TOWPEP JOURNAL 145
G10, TOWPEP JOURNAL 200
G11, TOWPEP JOURNAL165
G12, TOTWPEP JOURNAL 190</t>
  </si>
  <si>
    <t>PO31357</t>
  </si>
  <si>
    <t>CURSIVE WRITING 3 (115)
CURSIVE WRITING 4 (115)
CURSIVE WRITING 5 (70)
CURSIVE WRITING 6 (140)</t>
  </si>
  <si>
    <t>PO31407</t>
  </si>
  <si>
    <t>STATE MIGHTY SPARKLE DIAMOND - 4 GALONS</t>
  </si>
  <si>
    <t>PO31411</t>
  </si>
  <si>
    <t>STANDARD CEILING FAN 18INCH 1</t>
  </si>
  <si>
    <t>PO31413</t>
  </si>
  <si>
    <t>3M NOMAD MATTING (GREEN) 1 ROLL
SIZE: 1.2M x 12 M x7-10M</t>
  </si>
  <si>
    <t>PO31412</t>
  </si>
  <si>
    <t>3 M NOMAD MATTING (GREEN)</t>
  </si>
  <si>
    <t>PO#0745</t>
  </si>
  <si>
    <t>SPLASH ISLAND TARP:
1. 84X 240 INCH
2. EYELET ALL-OVER
3. BLACKOUT
4. WITH SEAMING</t>
  </si>
  <si>
    <t>PO31420</t>
  </si>
  <si>
    <t>EMERGENCY LIGHTS 13</t>
  </si>
  <si>
    <t>PO#0751</t>
  </si>
  <si>
    <t>SCAPP STARDEE TARP 3PCS (2.5X6FT)
SCAPP STARDEE FRAVE 3PCS</t>
  </si>
  <si>
    <t>PO#0750</t>
  </si>
  <si>
    <t>SPLASH ISLAND TARP BATCH 2 6PCS
1 84x240 INCH
2 WITH SEAMING
3 EYELET ALL OVER
4 BLACKOUT</t>
  </si>
  <si>
    <t>PO31447</t>
  </si>
  <si>
    <t>PO31442</t>
  </si>
  <si>
    <t>4TB HARD DRIVE 2
GUNTACKER 1</t>
  </si>
  <si>
    <t>PO31501</t>
  </si>
  <si>
    <t>SINTRA FOR STAND 32
ACRYLIC 30</t>
  </si>
  <si>
    <t>PO31496</t>
  </si>
  <si>
    <t>MATERIALS FOR REPAINTING
SEMI-GLOSS 5TIN
ROOF GUARD CHOCO BROWN 1 TIN
ROCIENA 5QRT
PAINT BRUSH 2 5PCS
PAINT ROLLER 7 5PCS
SANDING PAPER 120  5 METERS
RAGS 2KGS</t>
  </si>
  <si>
    <t>PO31448</t>
  </si>
  <si>
    <t>SGEN MEDALS
1. GOLD 50
2. SILVER 50</t>
  </si>
  <si>
    <t>PO31517</t>
  </si>
  <si>
    <t>MATERIALS FOR REPAINTING
SEMIGLOSS 15TIN
FLAT LATEX 3TIN
CHOCOLATE BROWN (ROOF GUARD) 2 TIN
ROCIENA 5QRT
LAMP BLACK 5QRT
BULLETIN RED 5QRT
THALO BLUE 5QRT
HANSA YELLOW 5QRT
ENAMEL WHITE 2 TIN
PAINT ROLLER #8 10PCS
SANDING PAPER 10METERS
PAINT BRUSH #2 10PCS
BORAL 3BAGS
POLITUFF W/ HARDINER 4LITERS</t>
  </si>
  <si>
    <t>PO31510</t>
  </si>
  <si>
    <t xml:space="preserve">SRA 1: SCHOOL HOUSE 5
SRA 2: POWER BUILDER 1A 5
SRA 3: POWER BUILDER 1B 5
SRA 4: POWER BUILDER 1C 5
SRA 5: POWER BUILDER 1D 5
 SRA 6: POWER BUILDER 1E 5
SRA 7: POWER BUILDER 1F 5
MARK 2B (GR8: RECORD BOOK 5
 MARK 2C (GR9: RECORD BOOK 5
READING LAB 3A (GR10: RECORD BOOK 5
READING LAB 3B(GR11: RECORD BOOK 5
</t>
  </si>
  <si>
    <t>Abiva Publishing House, Inc.</t>
  </si>
  <si>
    <t>PO31528</t>
  </si>
  <si>
    <t>CLIP, BINDER JOY 1" 150BOXES</t>
  </si>
  <si>
    <t>PO31521</t>
  </si>
  <si>
    <t>COMMA BOOKS
-10 Step Drawing Cats: Draw Over 50 Fabolous Felines In 10 Easy Steps
-Active Landscape Photography Diverse Practices
-Digital Storytelling For Brands
-Event Planning: Music Fests
-Podcasting In a Platform Age
-Researching Digital Media and Society
-Scrip Analyis For Actors, Directors, and Designers
-Scene Shift U.S, Set Designers In Conversation
-The Color Management Handbook For Visual Effects Artists Digital Color Principles, Color Management Fundamentals &amp; ACES Workflows
-Understanding Interactive Digital Narrative Immersive Expressions for A Complex Time
-Watercolour Landscapes for the Absolute Beginner
-Writing for Interactive Media Social, Websites, Applications, E-
Learning, Games
MMA BOOKS
-Changing Models For Journalism Reinventing the Newsroom
-Communicating The Multiple Modes Of Human Communication
-Communication and Organizational Changemaking For Diversity, Equity, And Inclusion a Case Studies Approach 
- Conversations With Women In Musical Theatre Leadership
-Ethics For Journalists
-Gender In Media, Art and Culture
-Identity And Digital Communication Concepts, Theories, Practices
-Introducing Language And Intercultural Communication
-A First Look At Communication Theory
-Live Digital Theatre Interdisciplinary Performative Pedagogies
-New Media And Public Diplomacy Political Communication In India, the United States And China
-New Quality In The Digital Age
-Performance Art Education and Practice
-Strategic Social Media As Activism Repression, Resistance, Rebellion, Reform
-The Broadcast News Toolkit Inside The Digital Newsroom
IT BOOKS
-Basic Of Cloud Computing
-Circuits and Systems: A Modern Approach
-CompTIA A+ Guide to IT Technical Support
-Computer Concepts Comprehensive
-Computer Systems Application
-Cybersecurity All-In-One Dummies
-Database Systems Design, Implementation, and Management 14e
-Elementary Number Theory
-Fundamentals Of Database Systems
-Fundamentals Of Python First Programs
-HTML, CSS, &amp; JavaScript All-In-One Dummies
-Information Security
-Information Systems
-Information Technology Project Management
-Machine Learning With OneAPI</t>
  </si>
  <si>
    <t>PO31554</t>
  </si>
  <si>
    <t>AI BOOKS (ICT) 2
BUSINESS 12</t>
  </si>
  <si>
    <t>PO31555</t>
  </si>
  <si>
    <t xml:space="preserve">TOURISM BOOKS
A.
Medical and Wellness Tourism                                        
Methods and Strategies For Tourism Demand                                        
Macro Perspectiveas of Tourism and Hospitality                                        
Research In Hospitality                                        
Role Of Social Media and Internet In Tourism And Hospitality                                        
Strategic Management For Tourism, Hospitality and Events                                        
Strategic Management Theory &amp; Cases An Integrated Approach 14e                                        
Tourism and Heritage Attractions                                        
Tourism An International Approach                                        
Tourism Planning Policies, Processes and Relationships                                        
Tourism Management an Introduction                                        
Tourism Product Development                                        
Training Manpower For Cruising and Ship Industry                                        
Travel Agency and Tour Operations                                        
B.
3G Handy Guide: Hotel Facilities Management                                        
Accommodation Operations And Management In Tourism And Hospitality                                        
Applied Business Tools and Technology In Tourism                                        
Ceative Tourism                                        
Cruise Tourism                                        
Contemporary Tourism an International Approach                                        
Customer Care, Service &amp; Hospitality Ethics                                        
Community Based Tourism                                        
Effective Project Management                                        
Events Management                                        
Global Culture And Tourism Geography                                        
Hospitality Financial Management                                        
An Intedgrateds Approach To Tourism, Hotel Management and Hospitality                                        
Introduction to Tourism and Hospitality Management                                        
Legal aspects in tourism and hospitality                                         </t>
  </si>
  <si>
    <t>PO31529</t>
  </si>
  <si>
    <t>PAPER, COPY-FORTUNE SUB. 24 SHORT GREEN 2 REAMS</t>
  </si>
  <si>
    <t>PO31492</t>
  </si>
  <si>
    <t>BIG UMBRELLA W/ WIND BREAKER DARKBLUE 45PCS</t>
  </si>
  <si>
    <t>Javammp Printing Services</t>
  </si>
  <si>
    <t>PO31438</t>
  </si>
  <si>
    <t>5 STAR TSHIRT 73PCS</t>
  </si>
  <si>
    <t>BIG LEAGUE SPORTS WEAR SHOP. INC.</t>
  </si>
  <si>
    <t>PO31585</t>
  </si>
  <si>
    <t>1 EACH
AMADEUS CONGRATULATORY TARPS (184 IN X 77 IN)
TATAD CONGRATULATORY  TARP (144 IN X 72 IN)
MANO CONGRATULATORY TARP (144 X 72 IN)
ALZONA CONGRATULATORY TARPM (144 X 72 IN)</t>
  </si>
  <si>
    <t>PO31597</t>
  </si>
  <si>
    <t>HIGHLIGHTER, STABILO GREEN 40PCS</t>
  </si>
  <si>
    <t>PO31592</t>
  </si>
  <si>
    <t>PAPER, COPY-FORTUNE SUB. 24 SHORT BLUE 1 REAM
PAPER, COLORED FORTUNE ORANGE 500PCS</t>
  </si>
  <si>
    <t>PO31606</t>
  </si>
  <si>
    <t xml:space="preserve">ABCOM
A Beginnerds's guide to Watercolour Mixed Media With Inspiration Projects And Innovattive Techniques                                        
Becoming Readers And Writers Literate Identifies Across Childhood and Adolescent                                        
Blogging and Vlogging A, Professional Guide                                        
Broadcast Promotion and Merchandising                                        
Broadcast Journalism Technique Of Radio and Television News                                        
Broadcast Journalism Basic Principles                                        
Communicating The Multiple Modes of Human Communication                                        
Collaborative Screeen Writing and Story Development A Global Guide for Writers, Story Teams an Creative Executives                                        
Creative Writing                                        
Composing for the Screen                                        
Communitating Ethically Character, Duties, Consequences, and Relationships                                        
Everyday Media Literacy an Analog Guide for Your Digital Life                                        
Editor and Columnist                                        
Field Reporting                                        
Findingf Your Voice In Radio, Audio, and Podcast Production                                        
Introduction to Broadcasting                                        
Introduction to Media Distribution Film, Television, and New Media                                        
Introduction to Journalism                                        
Voicw Made Visible Multi-Octave Voice Training and Techniques for Performers                                        
Newswriting                                        
Modern Electronic Media and Broadcasting                                        
Writing For Interactive Media Social Media, Websites, Application, E-Learning, Games                                        
Read, Reason, Write An Argument Text and Reader                                        
Sports Broadcasting With HK ropel Access                                        
MMA
Adobe Indesign Revealed                                        
A Handbook Of World Art                                        
An Introduction To Film and TV Production                                        
Arts-Based Research Across Visual Media In Education Expanding Visual Epistemology-Volume 2                                        
A Companion To Contemporary Art In A Global Framework                                        
Cinematic Style Fashion, Architecture And Interior Design On Film                                        
Comics and Graphis Novels                                        
Computer Graphics Theory and Practice                                        
Designing Brand Identity                                        
Dyeing For entertainment Dyeing, Painting, Breakdown, and Special Effects for Costumes                                        
Ecologies of Creative Music Practice Mattering Music                                        
Elements of Game Design                                        
3G Handy Guide: Digital Production and Editing                                        
Film and Television analysis an Introduction to Mehods, theories, and Approaches                                        
Good: An Introduction To Ethics In Graphic Design                                        
Modern Recording Techniques a Practical Guide To Modern Music Production                                        
Performance In Popular Culture                                        
Pastels for the Absolute Beginner                                        
Seizing the Light A Social &amp; Aesthetic History Of Photography                                        
Social Media Communication Concepts, Practices, Data, Law and Ethics                                        
The VES Handbook Of Virtual Production                                        
The Communicator's Guide To Media Law and Ethics a Handbook For Australian Professionals                                        
The Additive Sketcher                                        
MMA
The Complete Guide to Film and Digital Production The People and The Process                                        
Translation Revision And Post-Editing                                        
Technology and Digital Media                                        
The Prop Building Guidebook For Theatre, Film, And TV                                        
The Ultimate Career Guide Graphic Designing                                        
The Art of Game Design                                        
Technical animation In Video Games                                        
Writing for Interactive Media Social Media, Websites, Applications, E-Learning, Games                                        
World Music Traditions and Transformations                                        
Video Theories A Transdisciplinary Reader Vol. 14                                        
MMA
Histories of Exhibition Design In the Museum Makers, Process, and Practice                                        
History On Film/ Film On History                                        
Information Visualisation From Theory, To Research, To Practice and Back                                        
Leonardo Da Vinci A closer Look                                        
Milestones in Music Education                                        
Milestones in Asian American Theatre                                        
Motion Picture and Video Lighting For Cinematographers, Gaffers, and Lighting Technicians                                        
Music Technology in Live Performance Tools, Techniques, and Interaction                                        
Popular Culture In Everday Life A Critical Introduction                                        
Practical Musicology                                        
The Art Of Dance Composition Writing The Body                                        </t>
  </si>
  <si>
    <t>PO31588</t>
  </si>
  <si>
    <t>CORKBOARD- 2x3 (1/4T) mmmm W/O FRAME 20PCS</t>
  </si>
  <si>
    <t>PO31596</t>
  </si>
  <si>
    <t>PAPER, CARBON PAPER LONG (COLOR BLUE) 100PCS</t>
  </si>
  <si>
    <t>PO31618</t>
  </si>
  <si>
    <t xml:space="preserve">30 pcs TONER CARTRIDGE CF210A BLACK </t>
  </si>
  <si>
    <t>PO31617</t>
  </si>
  <si>
    <t>250 REAMS PAPER COPY LASER SUB. 20 LONG WHITE, 600 REAMS PAPER COPY LASER SUB. 20 SHORT WHITE,  80 REAMS PAPER COPY LASER SUB. 20 A4 WHITE</t>
  </si>
  <si>
    <t>PO31608</t>
  </si>
  <si>
    <t>MARKER PILOT FINE RED 275 PCS
MARKER PILOT BROAD BLACK 275 PCS
MARKER PILOT BROAD BLUE 275 PCS
MARKER PILOT BROAD RED 275 PCS
PAPER, COLORED FORTUNE NEON BLUE  410 PCS
PAPER, COLORED FORTUNE NEON GREEN 410 PCS
PAPER, COLORED FORTUNE NEON PINK 410 PCS
PAPER, COLORED FORTUNE NEON RED 410 PCS
PAPER, COLORED FORTUNE NEON VIOLET 410 PCS
PAPER, COLORED FORTUNE NEON YELLOW 410 PCS
CARTOLINA BLACK 270 PCS
CARTOLINA NEON BLUE 270 PCS
CARTOLINA NEON GREEN 270 PCS
CARTOLINA NEON ORANGE 270 PCS
CARTOLINA NEON PINK 270 PCS
CARTOLINA NEON YELLOW 270 PCS
CARTOLINA WHITE 270 PCS
GLUE, ELMERS 130GS (OSSUP) 90 PCS
TAPE, 3M MARKING TAPE BIG (1") 270 PCS
PLASTIC COVER, GAUGE 4 48" W ( PER METER)
STAPLE WIRE #35- 5M 90 BOXES
THUMBTACKS 90 BOXES</t>
  </si>
  <si>
    <t>PO31609</t>
  </si>
  <si>
    <t>PO31610</t>
  </si>
  <si>
    <t>BALLPEN PANDA BLK , 275 PCS
BALLPEN PANDA BLUE , 275 PCS
BALLPEN PANDA RED, 275 PCS
BALLPEN PANDA GREEN, 275 PCS
ERASER, WHITEBOARD STERLING, 275 PCS
CORRECTION TAPE, JOY 275 PCS. 
PAD PAPER YELLOW, (PER PAD) 
PEN SIGN-PILOT BX V5 BLACK 275 PCS.
PEN SIGN- PILOT BX V5 GREEN 275 PCS.
INK, MARKING PILOT BLACK 30 BOTTLES
INK, MARKING PILOT BLUE 30 BOTTLES
INK, MARKING PILOT RED 30 BOTTLES
INK, WHITEBOARD PILOT BLACK 30 BOTTLES
INK, WHITEBOARD PILOT BLUE 30 BOTTLES
INK, WHITEBOARD PILOT RED 30 BOTTLES
WHITEBOARD MARKER, PILOT BLACK 275 PCS
WHITEBOARD MARKER, PILOT BLUE 365 PCS
WHITEBOARD MARKER, PILOT RED 365 PCS
MARKER PILOT FINE BLACK 365 PCS
MARKER PILOT FINE BLUE 275 PCS</t>
  </si>
  <si>
    <t>PO31644</t>
  </si>
  <si>
    <t xml:space="preserve">REGULAR MEDAL (LOGO) WITH PURPLE RIBBON 25 PCS. </t>
  </si>
  <si>
    <t>PO31639</t>
  </si>
  <si>
    <t xml:space="preserve">2 ROLLS HDP5000 YMCK, 500 </t>
  </si>
  <si>
    <t>PO31648</t>
  </si>
  <si>
    <t>1 My Summer of Love and Misfortune
1 Natalie Tan's Book of Luck &amp; Fortune
1 Of Princes and Promises
1 Prom Theory
1 The Hoodie Girl
1 The Lost Ticket
1 The Falling
1 The Next Boy Story
1 The Mighty-Nein Origins
1 The Map of Stories
1 The Lucky List
1 The Other Side of Perfect
1 The Torchbearers
1 THE WHITE COAT DIARIES
1 THIS IS MY BRAIN IN LOVE
1 TOKYO EVER AFTER
1 TOKYO DREAMING
1 UNPLUGGED PLAY
1 100+ Little Habits of Happy, Successful Relationships
1 A Baby Sitter's Guide to Monster Hunting: Mission to Monster Island
1 A Pilgrimage to Eternity
1 A Sky Beyond the Storm
1 Adult Assembly Required
1 All Together Now
1 All the Pretty Things
1 Cupid's Match
1 Dr. Disaster's Guide to Surviving Everythig
1 Dragonfly Girl
1 Elizabeth Webster and the Chamber of Stolen Ghosts
1 Elizabeth Webster and the Court of Uncommon Pleas
1 Elizabeth Webster and the Portal of Doom
1 Enola Holmes and the Black Barouche
1 FIN AND THE TIME TRAVELING PAJAMAS
1 GIRL, UNFRAMED
1 HOW TO BE THE BEST THIRD WHEEL
1 28 Summers
1 A Taste for Love
1 After the End
1 Bring Me Back
1 From Little Tokyo, with Love
1 Lockdown on London Lane
1 The Jane Austen Society
1 Take Me with You when You Go
1 8 Secrets to Raising Successful Kids
1 Be Dazzled
1 How to Talk when Kids Won't Listen
1 Raising them Ready
1 Taking the Stress Out of Homework
1 The Brave Learner
1 The Opposite of Falling Apart</t>
  </si>
  <si>
    <t>Shelves and Cups Book Store</t>
  </si>
  <si>
    <t>PO31642</t>
  </si>
  <si>
    <t>240 PCS BALLPEN, DONG A MY EL BLK 0.05</t>
  </si>
  <si>
    <t>PO31664</t>
  </si>
  <si>
    <t>PQA BACKDROP W/ SEAMING AND EYELET ALL OVER (PER 1 FOOT) 7FT X 7 FT W/ 1.5 FT ALLOWANCE THICKNESS: 13</t>
  </si>
  <si>
    <t>PO31640</t>
  </si>
  <si>
    <t>STUDENT HANDBOOK  FOR AY 24-25</t>
  </si>
  <si>
    <t>PO31663</t>
  </si>
  <si>
    <t xml:space="preserve">20000 pcs. SISC GENERIC FLYERS </t>
  </si>
  <si>
    <t>PO31645</t>
  </si>
  <si>
    <t xml:space="preserve">SRA 1: SCHOOL HOUSE 35
SRA 2: POWER BUILDER 1A 35
SRA 3: POWER BUILDER 1B 35
SRA 4: POWER BUILDER 1C 35
SRA 5: POWER BUILDER 1D 35
SRA 6: POWER BUILDER 1E 35
SRA 1: SCHOOL HOUSE 25
SRA 2: POWER BUILDER 1A 25
SRA 3: POWER BUILDER 1B 25
SRA 4: POWER BUILDER 1C 25
</t>
  </si>
  <si>
    <t>PO31656</t>
  </si>
  <si>
    <t>ART MATERIALS AND EQUIPMENT 1 LOT</t>
  </si>
  <si>
    <t>PO31672</t>
  </si>
  <si>
    <t>1 PC. PQA BACKDROP 5.5M X 2.5 M</t>
  </si>
  <si>
    <t>PO31660</t>
  </si>
  <si>
    <t>FARGO HDP6600 RETRANSFER FILM (FOR ID PRINTING) 20PCS
FARGO HDP6600 YMCK COLOR RIBBON (FOR ID PRINTER) 20PCS</t>
  </si>
  <si>
    <t>PO31665</t>
  </si>
  <si>
    <t>10 REAMS PAPER, FORTUNE COPY 11 X 17 WHITE A3</t>
  </si>
  <si>
    <t>PO31666</t>
  </si>
  <si>
    <t xml:space="preserve">PAPER COLORED FORTUNE BLUE 500 PCS. PAPER COLORED FORTUNE PINK 500 PCS. , PAPER COLORED FORTUNE YELLOW  500 PCS. </t>
  </si>
  <si>
    <t>PO31667</t>
  </si>
  <si>
    <t xml:space="preserve">500 pcs BROWN ENVELOPE LONG COLLEGE </t>
  </si>
  <si>
    <t>PO31668</t>
  </si>
  <si>
    <t>MOP HANDLE, 4FT, YELLOY 15PCS
MOP HANDLE, 4FT, RED 15PCS
MOP HANDLE, 4FT, GREEN 20PCS
MOP HANDLE, 4FT,  BLUE 15PCS</t>
  </si>
  <si>
    <t>PO31686</t>
  </si>
  <si>
    <t>HAIER M53 TABLET 30</t>
  </si>
  <si>
    <t>PO31680</t>
  </si>
  <si>
    <t xml:space="preserve">1000 PCS ENVELOPE EXPANDING PLASTIC SHORT </t>
  </si>
  <si>
    <t>PO31679</t>
  </si>
  <si>
    <t>HDMI EXTENDER (LAN TO HDMI) 3 PCS. 
WIRELESS HDMI 2 PCS. 
AUDIO INTERFACE (BEHRINGED)</t>
  </si>
  <si>
    <t>PO31683</t>
  </si>
  <si>
    <t xml:space="preserve">2X2 VIDEO WALL CONTROLLER 1 PC.
TCL LED TV 55 INCH 4 PCS </t>
  </si>
  <si>
    <t>PO31681</t>
  </si>
  <si>
    <t>PO31708</t>
  </si>
  <si>
    <t>SISC PULL UP BANNER
1. SISC CONTACT BANNER 3
2. FLEX PROGRAMS 3
3. COLLEGE PROGRAMS 3
SIZE: ALL
3FT x 6.5FT</t>
  </si>
  <si>
    <t>PO31725</t>
  </si>
  <si>
    <t>CCTV CAMERA C200 1080P RESOLUTION 1080P HIGH RESOLUTION SD CARD 64GB/128GB 21PCS</t>
  </si>
  <si>
    <t>PO31696</t>
  </si>
  <si>
    <t>CLONED CORE I5 PCs (REORDER: PRF 104789) 5
EPSON IB X51 XGA 3 LCD PROJECTOR (REORDER: PRF 104787) 5
VIEWSONIC VA1903H 18.5" 60HZ VGA/HDMI MONITORS (PRF: 104789) 9
65 INCH TCL UHD 65P635 SMART ANDROID TV 1
55 INCH TCL UHD 55P7IB SMART ANDROID TV 4
LOGITECH C270 HD WEB CAM 5
MAONO AUBM10 CONFERENCE MIC 5
UGREEN HDMI CABLE 2.0 10M 6
ACTIVE USB 2.0/3.0 EXTENDER 15M 6</t>
  </si>
  <si>
    <t>PO31694</t>
  </si>
  <si>
    <t>ACER CB314-P700 CHROMEBOOK- SILVER</t>
  </si>
  <si>
    <t>PO#0795</t>
  </si>
  <si>
    <t>TARPAULIN SCOREBOARD 50" x 30" 1</t>
  </si>
  <si>
    <t>PO31745</t>
  </si>
  <si>
    <t>5000 PCS. STICKER PAPER GLOSSY A4 100S</t>
  </si>
  <si>
    <t>PO31758</t>
  </si>
  <si>
    <t>PULL UP BANNER FOR COLLEGE SIZE: W- 3FT X H- 6.5 FT</t>
  </si>
  <si>
    <t>PO31721</t>
  </si>
  <si>
    <t xml:space="preserve">BEELINK MINI PC 3 PCS
TCL LED 55PG35 55 INCHES 3 PCS </t>
  </si>
  <si>
    <t>PO31722</t>
  </si>
  <si>
    <t>PO31768</t>
  </si>
  <si>
    <t>TOPLUSTER HIGH GRADE LIQUID WAX (RIVCHEM) CODE: WAXX-RIV-10-0002 60GALS</t>
  </si>
  <si>
    <t>PO31709</t>
  </si>
  <si>
    <t>100 PCS. (OR 1 BOX) CALLING CARD FOR MENELEO DE MESA</t>
  </si>
  <si>
    <t>PO31707</t>
  </si>
  <si>
    <t>PAPER, SISC LETTER HEAD COLORED A4 8.27x11.69in 2500 PCS</t>
  </si>
  <si>
    <t>PO31711</t>
  </si>
  <si>
    <t>BUSINESS CARD
-DR. MANABAT 500
-MS. BACULAO
-MS. CASIS
-MR. BUGATAN</t>
  </si>
  <si>
    <t>PO31793</t>
  </si>
  <si>
    <t xml:space="preserve">45PCS (3 PCS EACH 3X15) LAMP POST (ALL 3X9FT) 
-MMA               -NURSING
-ADMISSION    -MARKETING 
-ACCOUNTANCY   -IT
-ELEM EDUC         -PSYCH
-COM                    -REM
-ENTREP               -GRAD PROG 
-COM ENGR.        -TOURISM 
-FM  </t>
  </si>
  <si>
    <t>PO31724</t>
  </si>
  <si>
    <t>BOARD, VELLUM (SHORT)</t>
  </si>
  <si>
    <t>PO31794</t>
  </si>
  <si>
    <t>SPARKTACULAR BANNER/TARP
1. LOCATION: MCDO FRONT 16.83 FT X 6.41 FT. 13 OZ. 
2.LOCATION : TROPICAL 13FT X 6.5 FT, THICKNESS 13 OZ WITH SEAMING AND EYELET ALL OVER</t>
  </si>
  <si>
    <t>PO31759</t>
  </si>
  <si>
    <t>20 PCS. RAIN BOOTS, 25 PCS RAIN COAT 1 -PC</t>
  </si>
  <si>
    <t>PO31753</t>
  </si>
  <si>
    <t>500 PCS. FOLDER FORTUNE WHITE SHORT</t>
  </si>
  <si>
    <t>PO31754</t>
  </si>
  <si>
    <t>50 PCS. STAPLER, MAX HD-50 (USE WITH #35 STAPLE WIRE) W/ STAPLE WIRE REMOVER</t>
  </si>
  <si>
    <t>PO31749</t>
  </si>
  <si>
    <t>2000 PCS, ENVELOPE, EXPANDING PLASTIC- LONG, ADVENTURER</t>
  </si>
  <si>
    <t>PO31756</t>
  </si>
  <si>
    <t>70 CLIP BINDER JOY 2"</t>
  </si>
  <si>
    <t>PO31752</t>
  </si>
  <si>
    <t>2 BOXES PEN, SIGN - PILOT BX - V5 PURPLE</t>
  </si>
  <si>
    <t>PO31755</t>
  </si>
  <si>
    <t>3000 PCS., ENVELOPE BROWN LONG</t>
  </si>
  <si>
    <t>PO31750</t>
  </si>
  <si>
    <t>750 PCS. BALLPEN, PANDA BLACK</t>
  </si>
  <si>
    <t>PO31751</t>
  </si>
  <si>
    <t>140 GALS HANDSOAP ANTIBACTERIAL  (YELLOW)</t>
  </si>
  <si>
    <t>PO31757</t>
  </si>
  <si>
    <t>STRIPPER PAD, RED (3M) 10PCS
STRIPPER PAD, BLACK (3M) 20PCS</t>
  </si>
  <si>
    <t>PO31787</t>
  </si>
  <si>
    <t>60 GALS SWEET SUNSATION</t>
  </si>
  <si>
    <t>PO31790</t>
  </si>
  <si>
    <t xml:space="preserve">STATE SHARK </t>
  </si>
  <si>
    <t>PO31791</t>
  </si>
  <si>
    <t>100 PACKS TRASH BAG SMALL (18X18) CLEAR
110 PACKS TRASH BAGS XXL (37"X40") CLEAR
40 GALS STRIPPOL SUPER FLOOR WAX STRIPPER (RIVCHEM)
200 PACKS CHLORINE, 1KG PER PACK
90 PCS MOP HEAD</t>
  </si>
  <si>
    <t>PO31797</t>
  </si>
  <si>
    <t xml:space="preserve">40 PCS TOILET BOWL BRUSH WITH HOLDER </t>
  </si>
  <si>
    <t>PO31788</t>
  </si>
  <si>
    <t>45 PCS DUST PAN</t>
  </si>
  <si>
    <t>PO31796</t>
  </si>
  <si>
    <t>28 GLS GLOW FURNITURE CLEANER AND POLISH (RIVCHEM)</t>
  </si>
  <si>
    <t>PO31789</t>
  </si>
  <si>
    <t>80 PCS STICK BROOM</t>
  </si>
  <si>
    <t>PO31795</t>
  </si>
  <si>
    <t xml:space="preserve">15 PCS PEST- OFF RAT CATCHER GLUE BOARD </t>
  </si>
  <si>
    <t>PO31811</t>
  </si>
  <si>
    <t>CONGRATULATORY TARP PSYCHOLOGY ALUMNI 100% PASSING RATE 
W-20FT
H-10FT</t>
  </si>
  <si>
    <t>PO31798</t>
  </si>
  <si>
    <t>CLIP, ID-ALLIGATOR PLASTIC CODE: CLIP-ALL-10-0001 500PCS</t>
  </si>
  <si>
    <t>PO31814</t>
  </si>
  <si>
    <t>LEARNING VILLAGE TARPS (3) 
SIZES= W=3FT X H=6.5FT
THICKNESS 18oz
1 LEARNING THROUGH PLAY, DISCOVERY, &amp; CREATIVITY 
1 EMPOWERING MINDS THROUGH EXECUTIVE FUNCTIONS
1 SPARKLING LOVE FOR READING</t>
  </si>
  <si>
    <t>PO31786</t>
  </si>
  <si>
    <t xml:space="preserve">4 CHROMEBOOK CHARGING STATION </t>
  </si>
  <si>
    <t>PO31792</t>
  </si>
  <si>
    <t>30 PADS PAD PAPER YELLOW (PER PAD)</t>
  </si>
  <si>
    <t>PO#0819</t>
  </si>
  <si>
    <t>1 CRITICAL CARE NURSING JOURNAL 
1 AMERICAN JOURNAL OF NURSING 
1 JOURNAL OF NURSING ADMINISTRATION</t>
  </si>
  <si>
    <t>Litera Trading Inc.</t>
  </si>
  <si>
    <t>PO31713</t>
  </si>
  <si>
    <t>PE MATERIALS AND EQUIPMENT 1 LOT</t>
  </si>
  <si>
    <t>PO31803</t>
  </si>
  <si>
    <t xml:space="preserve">SPOTLESS HOUSEHOLD CLEANING PASTE </t>
  </si>
  <si>
    <t>PO31810</t>
  </si>
  <si>
    <t>CALLING CARD 
1- MS. PAT BELLEZA
1- MS. ANNABEL VASQUEZ</t>
  </si>
  <si>
    <t>PO31809</t>
  </si>
  <si>
    <t xml:space="preserve">2 REAMS PAPER COPY-FORTUNE SUB 24 SHORT BLUE 
2 REAMS PAPER COPY-FORTUNE SUB 24 LONG BLUE </t>
  </si>
  <si>
    <t>PO31808</t>
  </si>
  <si>
    <t>180 PCS. SPRAY GUN</t>
  </si>
  <si>
    <t>PO31799</t>
  </si>
  <si>
    <t>5 PCS. HANDHELD RADIO (RE-ORDER)</t>
  </si>
  <si>
    <t>Northwind Communications and Electronics</t>
  </si>
  <si>
    <t>PO#0818</t>
  </si>
  <si>
    <t xml:space="preserve">2 PCS《Chinese Textbook》(1)					
2 PCS《Chinese Textbook》Practice Book (1)					
2 PCS《Chinese Textbook》Writing Book (1)					
2 PCS《Chinese Textbook》Lesson Plan* (1)					
2 PCS《Chinese Textbook》(2)					
2 PCS《Chinese Textbook》Practice Book (2)					
2 PCS《Chinese Textbook》Writing Book (2)					
2 PCS《Chinese Textbook》Lesson Plan* (2)					
2 PCSChinese Textbook - Teachers Manual 1					
2 PCSChinese Textbook - Teachers Manual 2					
2 PCS.《Chinese Textbook》(3)                                        
2 PCS.《Chinese Textbook》Practice Book (3)                                        
2 PCS.《Chinese Textbook》Writing Book (3)                                        
2 PCS.《Chinese Textbook》Lesson Plan* (3)                                        
2 PCS.《Chinese Textbook》(4)                                        
2 PCS.《Chinese Textbook》Practice Book (4)                                        
2 PCS.《Chinese Textbook》Writing Book (4)                                        
2 PCS.《Chinese Textbook》Lesson Plan* (4)                                        
2 PCS.《Chinese Textbook》Teacher Manual (3)                                        
2 PCS.《Chinese Textbook》Teacher Manual (4)                                        
</t>
  </si>
  <si>
    <t>Philippine Chinese Education Research Center Inc.</t>
  </si>
  <si>
    <t>PO31873</t>
  </si>
  <si>
    <t xml:space="preserve">1 ICONS OF CHANGE 
SIZE 8 X 8 FT (1 FT ALLOWANCE ) THICKNESS 13OZ W/ SEAMING EYELET ALL OVER </t>
  </si>
  <si>
    <t>PO31868</t>
  </si>
  <si>
    <t>1 PC TARPAULIN NEAR FRONT GATE, 1 PC. TARPAULINE NEAR BACK GATE, 1 PARKING AREA</t>
  </si>
  <si>
    <t>PO31870</t>
  </si>
  <si>
    <t>SOUTHVILLE ALUMNI TARPAULIN 
1. NAME: SAYSON LANCE
SIZE W= 184IN X H= 77IN
THICKNESS 18OZ W/ EYELET ALL COVER
2. NAME JESSICA LEE
SIZE: W= 2.5FT X H= 6FT
THICKNESS 18 OZ
EYELET ON 4 CORNERS</t>
  </si>
  <si>
    <t>PO31862</t>
  </si>
  <si>
    <t xml:space="preserve">4 ACER LAPTOP </t>
  </si>
  <si>
    <t>PO31807</t>
  </si>
  <si>
    <t>1000 PCS LANYARD K2-IB SISC PRINT WITH ID PRO LANDSCAPE (NEW LOGO) 20 CM</t>
  </si>
  <si>
    <t>PO31827</t>
  </si>
  <si>
    <t>COCKBOARD - 2X3 (1/4T)MMMM W/O FRAME CODE: BOAR-GEN-10-0007 40PCS</t>
  </si>
  <si>
    <t>PO31817</t>
  </si>
  <si>
    <t>40 PCS FALCON WATERLESS URINAL CARTRIDGE</t>
  </si>
  <si>
    <t>PO31863</t>
  </si>
  <si>
    <t>1 8 PORT GIGABIT DESKTOP 
1 SWITCH TL-SG108</t>
  </si>
  <si>
    <t>PO31866</t>
  </si>
  <si>
    <t xml:space="preserve">10 CANS SEALER ENHANCER </t>
  </si>
  <si>
    <t xml:space="preserve">Ma Espiritu Tiles Trading </t>
  </si>
  <si>
    <t>PO31856</t>
  </si>
  <si>
    <t>8 EPSON EB X 51</t>
  </si>
  <si>
    <t>PO31884</t>
  </si>
  <si>
    <t>150 LONG PLASTIC ENVELOPE (NOT EXPANDED)</t>
  </si>
  <si>
    <t>PO31871</t>
  </si>
  <si>
    <t>400 PCS. MICROFIBER TOWEL BLUE
400 PCS. MICROFIBER TOWEL PINK</t>
  </si>
  <si>
    <t>PO31872</t>
  </si>
  <si>
    <t>85 PACKS TRASH BAG LARGE (26" X 32") CLEAR</t>
  </si>
  <si>
    <t>PO31867</t>
  </si>
  <si>
    <t xml:space="preserve">1 SMART TV (70 INCH) AT QUADRANGLE </t>
  </si>
  <si>
    <t>PO31717</t>
  </si>
  <si>
    <t>PO31891</t>
  </si>
  <si>
    <t>13 ACER ASPIRE 3 A315-510-33C0 I3 LAPTOP</t>
  </si>
  <si>
    <t>PO31885</t>
  </si>
  <si>
    <t>4 BOXES BOX OF PAPER, CONTINOUS - 11 X 9.5 4PLY</t>
  </si>
  <si>
    <t>PO31887</t>
  </si>
  <si>
    <t>MICROFIBER TOWEL, YELLOW,  400</t>
  </si>
  <si>
    <t>PO31906</t>
  </si>
  <si>
    <t>500 K12 STUDENT HANDBOOK A.Y. 24 25</t>
  </si>
  <si>
    <t>PO31918</t>
  </si>
  <si>
    <t>GRADUATION INVITE ( PLEASE SEE ATTACHED SAMPLE PAPER INSERT) 1500PCS</t>
  </si>
  <si>
    <t>PO31912</t>
  </si>
  <si>
    <t>15 PCS RECORD BOOK,300 PAGES</t>
  </si>
  <si>
    <t>PO31907</t>
  </si>
  <si>
    <t>1 AUTONOMOUS STATUS TARP 
SIZE W= 54FT X H= 13FT
THICKNESS= 24OZ
1 PQA LEVEL 3 TARP
SIZE W= 20FT H= 10FT 
THICKNESS: 24OZ 
W/SEAMING &amp;EYELET ALL OVER</t>
  </si>
  <si>
    <t>PO31899</t>
  </si>
  <si>
    <t>3 IWATA</t>
  </si>
  <si>
    <t>Colent Marketing Philippines, Inc.</t>
  </si>
  <si>
    <t>PO31898</t>
  </si>
  <si>
    <t>3PCS SWIVEL CHAIR (SAME WITH PURCHASING)</t>
  </si>
  <si>
    <t>Elle Tech and Trend Office Furniture and Interiors</t>
  </si>
  <si>
    <t>PO31934</t>
  </si>
  <si>
    <t>BOOK POCKET, BOOK CARD</t>
  </si>
  <si>
    <t>PO31959</t>
  </si>
  <si>
    <t>400 PCS TAPE SCOTCH 3M(1")
150 PCS TAPE DOUBLE SIDED TAPE W/O FOAM 
100 PCS TAPE PACKAGING TAPE (2")</t>
  </si>
  <si>
    <t>PO31960</t>
  </si>
  <si>
    <t>10PCS CUTTER, HANDY BIG L300 GRP</t>
  </si>
  <si>
    <t>PO31961</t>
  </si>
  <si>
    <t>3 REAMS PAPER FORTUNE GROUNDWOVE MIMEO LONG (500PCS)</t>
  </si>
  <si>
    <t>PO31962</t>
  </si>
  <si>
    <t xml:space="preserve">100 BOXES CLIP BINDER JOY 3/4 </t>
  </si>
  <si>
    <t>PO31958</t>
  </si>
  <si>
    <t>1000 PCS BATTERY ENERGIZER SIZE AA</t>
  </si>
  <si>
    <t>PO31935</t>
  </si>
  <si>
    <t xml:space="preserve">2 IWATA TORNADO PAN </t>
  </si>
  <si>
    <t>PO31932</t>
  </si>
  <si>
    <t xml:space="preserve">2 RADIO CIGNUS V85 PRO </t>
  </si>
  <si>
    <t>PO31969</t>
  </si>
  <si>
    <t xml:space="preserve">20 PCS HDMI CABLE 5M (UGREEN)
10 PCS HDMI CABLE 10M (UGREEN)
15PCS HDMI VIDEO SPLITTER (VENTION 1IN4OUT)
40 PCS A4TECH WEBCAM (PK-925H FULL HD)
2PCS VIEWSONIC MONITOR (VA1903A)
20 PCS KINGSTON SOLID STATE DRIVE 512GB </t>
  </si>
  <si>
    <t>PO31975</t>
  </si>
  <si>
    <t>TAPO C200 CCTV WITH 128GB MEMORY CARD</t>
  </si>
  <si>
    <t>PO31966</t>
  </si>
  <si>
    <t xml:space="preserve">2 RFC SPEAKER 
2 SPEAKER BRACKET 
1 6 CHANNEL BLUETOOTH MIXER </t>
  </si>
  <si>
    <t>PO31965</t>
  </si>
  <si>
    <t xml:space="preserve">3 PROJECTOR SCREEN </t>
  </si>
  <si>
    <t>PO31964</t>
  </si>
  <si>
    <t>20 PROJECTOR SCREEN (60 X 60)</t>
  </si>
  <si>
    <t>PO31974</t>
  </si>
  <si>
    <t>20 VGA 15 PINS PORT</t>
  </si>
  <si>
    <t>PO31977</t>
  </si>
  <si>
    <t xml:space="preserve">15PCS RIBBON CARTRIDGE EPSON LX310 SO15632 </t>
  </si>
  <si>
    <t>PO31986</t>
  </si>
  <si>
    <t>1 ROLLS 100 METERS PLASTIC COVER GAUGE 4 48'W (PER METER)</t>
  </si>
  <si>
    <t>PO31980</t>
  </si>
  <si>
    <t>70PCS CLEARBOOK REFILLER LONG 3 HOLES
300PCS CLEARBOOK REFILLER SHORT 3 HOLES</t>
  </si>
  <si>
    <t>PO31978</t>
  </si>
  <si>
    <t>60 PCS PENCIL MONGOL REGULAR NO. 1 (OSSUP)</t>
  </si>
  <si>
    <t>PO31955</t>
  </si>
  <si>
    <t xml:space="preserve">177 UTILITY BASKET
177 PEEKABOO LAMPSHADE
177 3 LAYER ORGANIZER 
177 HEAVY DUTY EXTENSION CORD (3METER)
</t>
  </si>
  <si>
    <t>Montesan Enterprises</t>
  </si>
  <si>
    <t>PO32017</t>
  </si>
  <si>
    <t xml:space="preserve">72 TOILET BOWL CLEANER - BOWL CARE (RIV CHEM)
144 SCENTED BAYGON PROTECTOR MULTI INSECT KILLER 500 ML, CAN 
84 ZIM GLASS CLEANER, 500 ML </t>
  </si>
  <si>
    <t>PO32087</t>
  </si>
  <si>
    <t xml:space="preserve">10 GALS FLOOR FINISH (STATE) MIGHTY SPARKLE DIAMOND 25 1 U.S GAL </t>
  </si>
  <si>
    <t>PO32049</t>
  </si>
  <si>
    <t>20 PCS. TONER, CARTRIDGE CF213A MAGENTA</t>
  </si>
  <si>
    <t>PO32035</t>
  </si>
  <si>
    <t xml:space="preserve">90PCS MR MUSCLE SUPER TOILET BOWL CLEANER 500ML </t>
  </si>
  <si>
    <t>PO32038</t>
  </si>
  <si>
    <t xml:space="preserve">1PC SHEREEN AHMED TARP
SIZE: 184 X 77 IN 
THICKNESS 18 OZ </t>
  </si>
  <si>
    <t>PO302039</t>
  </si>
  <si>
    <t xml:space="preserve">2ND SEM ADMISSION TARP, THICKNESS: 18 OZ
WITH SEAMING AND EYELET ALL OVER
247 X 78 INCHES 1 PC. 
156 X 78 INCHES 1 PC. </t>
  </si>
  <si>
    <t>PO32040</t>
  </si>
  <si>
    <t>PSYCHOLOGY ALUMNI PASSING RATE TARP
SIZE: 20FT X 10 FT 
THICKNESS:20 OZ WITH EYELET ALL OVER AND SEAMING</t>
  </si>
  <si>
    <t>PO32042</t>
  </si>
  <si>
    <t>1 UNIT PRINTER COLORED - BROTHER</t>
  </si>
  <si>
    <t>PO32057</t>
  </si>
  <si>
    <t>GAS STOVE 2 BURNER</t>
  </si>
  <si>
    <t>PO32055</t>
  </si>
  <si>
    <t>3PCS BOX OF PAPER CONTINOUS 11X9.5 4PLY</t>
  </si>
  <si>
    <t>PO32052</t>
  </si>
  <si>
    <t>200 PCS PAPER, MANILA 37X45</t>
  </si>
  <si>
    <t>PO32048</t>
  </si>
  <si>
    <t>5 PCS. FLASHDRIVE USB 64GB, SANDISK</t>
  </si>
  <si>
    <t>PO32061</t>
  </si>
  <si>
    <t>ILLUSTRATION BOARD BLK/WH 1 WHOLE</t>
  </si>
  <si>
    <t>PO32059</t>
  </si>
  <si>
    <t>5PCS RECORD BOOK 500 PAGES</t>
  </si>
  <si>
    <t>PO32064</t>
  </si>
  <si>
    <t xml:space="preserve">PLASTIC FOLDER LONG, L-TYPE SEALED </t>
  </si>
  <si>
    <t>PO32062</t>
  </si>
  <si>
    <t>100 PACKS BOARD VELLUM (A4 SIZE) (10 PCS PER PACK)</t>
  </si>
  <si>
    <t>PO32050</t>
  </si>
  <si>
    <t xml:space="preserve">200PCS CARTOLINA NEON PURPLE
200 PCS CARTOLINA NEON BROWN
200 PCS ENVELOPE UNEXPANDED PLASTIC LONG ADVENTURER </t>
  </si>
  <si>
    <t>PO32065</t>
  </si>
  <si>
    <t>100 BOXES CLIP BINDER JOY 1 1/2" (12 PCS PER BOX)</t>
  </si>
  <si>
    <t>PO32067</t>
  </si>
  <si>
    <t xml:space="preserve">20 PACKS STICKER PAPER GLOSSY LETTER SIZE FSI (10 PCS PER PACK) </t>
  </si>
  <si>
    <t>PO32058</t>
  </si>
  <si>
    <t>1000 PCS FOLDER FORTUNE WHITE LONG
500 PCS FOLDER FORTUNE WHITE SHORT</t>
  </si>
  <si>
    <t>PO32086</t>
  </si>
  <si>
    <t xml:space="preserve">84 BAYGON WATERBASED MULTI INSECT KILLER 500 ML BOTTLE </t>
  </si>
  <si>
    <t>PO32054</t>
  </si>
  <si>
    <t>200 PACKS CHLORINE 1KG PER PACK</t>
  </si>
  <si>
    <t>PO32053</t>
  </si>
  <si>
    <t xml:space="preserve">15PCS PEST OFF RAT CATCHER GLUE BOARD 
450 PACKS ALL PURPOSE POWDER 800 GRAMS PER PACK CHAMPION </t>
  </si>
  <si>
    <t>PO32036</t>
  </si>
  <si>
    <t>3 SWIVEL CHAIRS - REGULAR CHAIRS MESS BACK REST FABRIC NYLON BASE</t>
  </si>
  <si>
    <t>PO32056</t>
  </si>
  <si>
    <t>300 PACKS BOARD VELLUM SHORT</t>
  </si>
  <si>
    <t>PO32051</t>
  </si>
  <si>
    <t>PO32085</t>
  </si>
  <si>
    <t>15 MOP HANDLE 4FT YELLOW
13 MOP HANDLE 4FT RED
19 MOP HANDLE 4FT GREEN 
14 MOP HANDLE 4FT BLUE 
2 DUST MOP HANDLE &amp; FRAME WITH MOP HEAD #30</t>
  </si>
  <si>
    <t>PO32084</t>
  </si>
  <si>
    <t>PO32073</t>
  </si>
  <si>
    <t>144 GALS HAND SOAP ANTIBACTERIAL (YELLOW)</t>
  </si>
  <si>
    <t>PO32091</t>
  </si>
  <si>
    <t>20 PCS EZ LABELER (12 MM)
20PCS KINGSTON SOLID STATE DRIVE 240GB
20 PCS HDMI VIDEO SPLITTER</t>
  </si>
  <si>
    <t>PO32071</t>
  </si>
  <si>
    <t>2 STEEL MATTING
2 ANGLE BAR 1 1/2 
1KL WELDING ROD
20 ARTIFICIAL GRASS GREEN PLANT
250 ARTIFICIAL DIFFERENT PLANTS</t>
  </si>
  <si>
    <t>Average Rating</t>
  </si>
  <si>
    <t>PO32070</t>
  </si>
  <si>
    <t xml:space="preserve">500 PCS SISC MEMO PAD 20 LVS (8.5"X5.5)
500 PCS SISC MEMO PAD 20 LVS (5"X4") </t>
  </si>
  <si>
    <t>PO32068</t>
  </si>
  <si>
    <t>1000 SOUTHVILLE FOLDER(RECORDER)</t>
  </si>
  <si>
    <t>PO32099</t>
  </si>
  <si>
    <t>40 UNITS, ACER VERITON X47106 DESKTOP COMPUTER WITH ACER KEYBOARD, MOUSE AND MONITOR</t>
  </si>
  <si>
    <t>PO32111</t>
  </si>
  <si>
    <t>1 UNIT TABLET HONOR PAD X8A, 4GB RAMM/128GB W/ KEYBOARD</t>
  </si>
  <si>
    <t>Supplier Name</t>
  </si>
  <si>
    <t>PO32136</t>
  </si>
  <si>
    <t xml:space="preserve">5 PULL UP BANNERS </t>
  </si>
  <si>
    <t>PO32113</t>
  </si>
  <si>
    <t>ACCOUNTING MODULE FOR GRADE 8 (COLOR PRINT AND RINGBIND) 120 PCS.</t>
  </si>
  <si>
    <t>PO32155</t>
  </si>
  <si>
    <t>SOUTHVILLE SUMMERFEST Y3 TARPS 
1 BEAT THE HEAT 1 (SIZE: 206 IN X 77 IN)
1 BEAT THE HEAT 2 (SIZE: 13FT X 6.5 FT)
2 BEAT THE HEAT X STAND (SIZE: 2FTX 5FT) 
THICNESS (ALL) 13OZ W/ SEAMING AND EYELET ALL OVER</t>
  </si>
  <si>
    <t>PO32153</t>
  </si>
  <si>
    <t>1 NSTP WELCOME TARP 
SIZE: W= 13FT X H= 6.5 FT THICK= 13OZ W/ SEAMING AND EYELET ALL OVER</t>
  </si>
  <si>
    <t>PO32156</t>
  </si>
  <si>
    <t xml:space="preserve">1 SOUTHVILLE NURSING TARP 98% PR 
SIZE: W=20FT X H 10FT THICKNESS 18 OZ W/SEAMING &amp;EYELET ALL OVER </t>
  </si>
  <si>
    <t>PO32154</t>
  </si>
  <si>
    <t>1 APPLIED HE TARP (BACOOR) 
SIZE: W= 50FT X H= 50FT THICKNESS: 18OZ W/ SEAMING AND EYELET ALL OVER</t>
  </si>
  <si>
    <t>PO32157</t>
  </si>
  <si>
    <t>1 BOX EACH PR &amp; MARKETING CALLING CARDS
ELYDIA REYES
MARVIN MARASIGAN
ELLA CARAMOAN
DEXTER BODOSO 
ANA DE GUZMAN
PETER AGADA</t>
  </si>
  <si>
    <t>PO32168</t>
  </si>
  <si>
    <t>APPLIED HE INTERNAL TARP
1 COLLEGE AREA SIZE: W= 430C,X H= 368CM
1 GATCHALIAN SIZE: W=10FT X H= 10FT 
1 STAR CAMPUS SIZE:W=24FT X H=10FT
1 TROPICAL PALMS SIZE: W 78FT  X H= 13 FT
THICKNESS ALL = 18OZ W/SEAMING &amp;EYELET ALL OVER</t>
  </si>
  <si>
    <t>PO31785</t>
  </si>
  <si>
    <t>PO32174</t>
  </si>
  <si>
    <t xml:space="preserve">5PC PANASONIC WIRED TELEPHONE
5PCS PANASONIC WIRELESS TELEPHONE SINGLE UNIT 
5PCS PANASONIC WIRELESS TELEPHONE 2IN1 </t>
  </si>
  <si>
    <t>PO32183</t>
  </si>
  <si>
    <t xml:space="preserve">ACCREDITATION BANNER 
1 APPLIED HE LUX (2FT X 6FT) 180Z
1 AUTONOMOUS LUX (2FT X 6FT ) 18 OZ
1 PQA LUX (2FT X 6FT) 18OZ
1 APPLIED HE TROPICAL (3FT X 8FT) 18 OZ 
1 AUTONOMOUS TROPICAL (3FT X 8FT) 18OZ
1 PQA TROPICAL (3FT X 8FT) 18OZ 
ADD SEAMING AND EYELET ALL OVER </t>
  </si>
  <si>
    <t>PO32163</t>
  </si>
  <si>
    <t>900 PCS TISSUE JUMBO ROLL 200 METERS</t>
  </si>
  <si>
    <t>PO32123</t>
  </si>
  <si>
    <t>10 BOXES CHECK VOUCHER FOR ERF (2PLY)</t>
  </si>
  <si>
    <t>PO32181</t>
  </si>
  <si>
    <t>10 GALS FLOOR FINISH (STATE) MIGHTY SPARKLE DIAMOND 25 1 U.S GAL</t>
  </si>
  <si>
    <t>PO32196</t>
  </si>
  <si>
    <t xml:space="preserve">TROPICAL SIGNAGE TARP 
SIZE: 110 IN X 110 IN THICNESS: 18OZ </t>
  </si>
  <si>
    <t>PO32195</t>
  </si>
  <si>
    <t xml:space="preserve">1 VOLLEYBALL GIRLS CONGRATULATORY TARP (184 X 77 IN)
1 VOLLEYBALL BOYS CONGRATULATORY TARP (184 X 77 IN)
</t>
  </si>
  <si>
    <t>PO32178</t>
  </si>
  <si>
    <t>60 BOTTLES HIGIENECO PREMIUM ODOR COUNTERACTANT ANTI BACTERIAL SPRAY 3000 SHOTS 280 ML
6PCS SQUEEGEE W/ EXTENDABLE HANDLE 
5PCS FLOOR SQUEEGEE</t>
  </si>
  <si>
    <t>PO32182</t>
  </si>
  <si>
    <t xml:space="preserve">90 PCS. , RINSE TECH HERITAGE MODEL CREAM </t>
  </si>
  <si>
    <t>Ace Hardware</t>
  </si>
  <si>
    <t>PO32222</t>
  </si>
  <si>
    <t>1 BOX - DR. JERRY'S CALLING CARD</t>
  </si>
  <si>
    <t>PO32221</t>
  </si>
  <si>
    <t>REORDER OF VOLLEYBALL ISHC 
1 EACH
BOYS AND GIRLS VOLLEYBALL CONGRATULATORY TARP 
SIZE: W= 184 IN X H= 77 IN THICK=13OZ</t>
  </si>
  <si>
    <t>PO31952</t>
  </si>
  <si>
    <t xml:space="preserve">20 GALS ODOR MASCANT (WISE CHOICE)- PLEASANT </t>
  </si>
  <si>
    <t>PO32204</t>
  </si>
  <si>
    <t xml:space="preserve">15,000 PCS SISC GENERIC FLYER 24-25 SIZE: W= 5.5 IN X H= 8.5 IN
PAPER &amp; THICKNESS: SAME AS PREVIOUS GENERIC FLYERS </t>
  </si>
  <si>
    <t>PO32180</t>
  </si>
  <si>
    <t>30 PCS SQUEEGEE W/ EXTENDABLE HANDLE , MR. CLEAN
30 PCS. FLOOR SQUEEGEE, 3M</t>
  </si>
  <si>
    <t>PO32212</t>
  </si>
  <si>
    <t xml:space="preserve">7PCS MEGA BOX 15SL WHITE </t>
  </si>
  <si>
    <t>PO32211</t>
  </si>
  <si>
    <t>MEGA BOX 15SL</t>
  </si>
  <si>
    <t>PO32234</t>
  </si>
  <si>
    <t>ISAC FOOTBALL TARP 1 PC. 184" X 77 "</t>
  </si>
  <si>
    <t>PO32220</t>
  </si>
  <si>
    <t>3 REAMS PER COLOR LEGAL PHIL CATALINA PAPER (YELLOW, GREEN, GRAY, ORANGE, BLUE, PURPLE,)</t>
  </si>
  <si>
    <t>PO32237</t>
  </si>
  <si>
    <t xml:space="preserve">2000 PCS SOUTHVILLE INDUSTRIAL ENGINEERING FLYER 
SIZE: W=5.5 INCHES X H: 8.5 IN, THICKNESS AND PAPER: SAME AS THE SISC GENERIC FLYER </t>
  </si>
  <si>
    <t>PO32191</t>
  </si>
  <si>
    <t>500 PCS FOR BASIC ED EXAM PERMIT
20 PCS FOR IB</t>
  </si>
  <si>
    <t>PO32245</t>
  </si>
  <si>
    <t xml:space="preserve">1 STANDARD 16" WALL FAN METAL BLADE </t>
  </si>
  <si>
    <t>PO32254</t>
  </si>
  <si>
    <t>500 PCS EXAM PERMIT</t>
  </si>
  <si>
    <t>PO32236</t>
  </si>
  <si>
    <t>72 GALS TOILET BOWL CLEANER - BOWL CARE (RIV CHEM)</t>
  </si>
  <si>
    <t>126 PCS TRASH BAG MEDIUM (22" X 24") CLEAR
126 PCS TRASH BAG XL (36" X 40") / (30" X 37") CLEAR
123 PCS TRASH BAG XXL (37" X 40") CLEAR
20 DEL FABRIC SOFTENER 1000 ML 
48 ARIEL WASHING DETERGENT POWDER 2.465KG
105 MOP HEAD</t>
  </si>
  <si>
    <t>PO29637</t>
  </si>
  <si>
    <t>PO20333</t>
  </si>
  <si>
    <t>GENSET BATTERY 6SM, N100L, E4IL 2PCS</t>
  </si>
  <si>
    <t>PO32096</t>
  </si>
  <si>
    <t xml:space="preserve">1LOT LABORATORY MATERIALS </t>
  </si>
  <si>
    <t>Tadeos Scientific Industries OPC</t>
  </si>
  <si>
    <t>PO32093</t>
  </si>
  <si>
    <t>PO32251</t>
  </si>
  <si>
    <t>1,000 PCS BATTERY ENERGIZER SIZE AA</t>
  </si>
  <si>
    <t>PO# 0891</t>
  </si>
  <si>
    <t xml:space="preserve">IB LABORATORY MATERIALS - PLEASE SEE NEXT PAGE </t>
  </si>
  <si>
    <t xml:space="preserve">Velca Equipment And Engineered </t>
  </si>
  <si>
    <t>PO32280</t>
  </si>
  <si>
    <t xml:space="preserve">DRAIN MAINTAINER AND DEODORIZER (STATE) D-STROY 1 U.S. GAL </t>
  </si>
  <si>
    <t>120 CANS SCENTED BAYGON PROTECTOR MULTI INSECT KILLER 500 ML CAN
80 PACKS TRASH BAG SMALL (18" X 18")
200 PACKS CHLORINE 1KG PER PACK</t>
  </si>
  <si>
    <t>PO32322</t>
  </si>
  <si>
    <t>20 PCS FEATHER DUST</t>
  </si>
  <si>
    <t xml:space="preserve">5PCS BOSTIK SUPER VULCASEAL SEALANT 500ML 
20PCS PAINT BRUSH #2
1ROLL FLAT CORD EXTENSION  WIRE #16 
1 ROLL FLAT CORD EXTENSION WIRE #18 
5PCS BOSTIK PREMIUM RUGBY 750ML </t>
  </si>
  <si>
    <t>PO31973</t>
  </si>
  <si>
    <t>HEAVY DUTY FLAGS
2PCS. THAILAND, VIETNAM
4PCS. ETHIOPIA, VENEZUELA, BRAZIL, PARAGUAY
3PCS. SPAIN, FRANCE, NORWAY
3PCS. CANADA, RUSSIA, ALBANIA
2PCS. SOUTH KOREA, UKRAINE</t>
  </si>
  <si>
    <t>PO31933</t>
  </si>
  <si>
    <t xml:space="preserve">200 PCS KEY TAGS (PURPLE)
200 PCS KEY TAGS (RED)
200 PCS KEY TAGS (YELLOW) 
200 PCS KEY TAGS (WHITE)
200 PCS KEY TAGS (BLUE) </t>
  </si>
  <si>
    <t>PO32240</t>
  </si>
  <si>
    <t>100 PCS ELECTRICAL TAPE 3M
40PCS TEFLON TAPE</t>
  </si>
  <si>
    <t>50PCS OMNI  EXTENSION 2 GANG OUTLET 
20PCS PANASONIC WALL SWITCH 2 GANG WITH PLATE 
20PCS PANASONIC WALL SWITCH 1 GANG WITH PLATE</t>
  </si>
  <si>
    <t>105600B</t>
  </si>
  <si>
    <t>PO32343</t>
  </si>
  <si>
    <t>PO32381</t>
  </si>
  <si>
    <t>500 REAMS COPY LASER SUB 20 SHORT WHITE</t>
  </si>
  <si>
    <t>PO32382</t>
  </si>
  <si>
    <t>MANAGEMENT UNIFORM 
15 PCS
-FEMALE PANTS, BLOUSE, BLAZER
10 PCS
-MALE PANTS, BLOUSE, COAT</t>
  </si>
  <si>
    <t>105600A</t>
  </si>
  <si>
    <t>PO32344</t>
  </si>
  <si>
    <t>PO32342</t>
  </si>
  <si>
    <t>102 PCS PAINT BRUSH NYLON SOFT BRUSH FLAT #10 
63 PCS PAINT PALLETE SMALL
713 PCS SCISSORS STUDENT 5' MAPED</t>
  </si>
  <si>
    <t>105597B</t>
  </si>
  <si>
    <t>PO32346</t>
  </si>
  <si>
    <t>PO31851</t>
  </si>
  <si>
    <t>4 CABLE COMPUTER LAPTOP SECURITY NOTEBOOK
60 MOLDING</t>
  </si>
  <si>
    <t>1 security lock not working</t>
  </si>
  <si>
    <t>PO32235</t>
  </si>
  <si>
    <t>BUSINESS CARD FOR:
ENGR. JORDAN C JORDAN
SGEN FACILITIES, BUILDINGS AND GROUNDS MANAGER
CONTACT NO. 09524856394
EMAIL : jordan_jordan@southville.edu.ph</t>
  </si>
  <si>
    <t>105448A</t>
  </si>
  <si>
    <t>PO32205</t>
  </si>
  <si>
    <t>PO31761</t>
  </si>
  <si>
    <t>PO31815</t>
  </si>
  <si>
    <t xml:space="preserve">PQA TARPAULIN (2)
SIZE 
1. W=  12FT X H= 6FT (1)
2. W=628CM X H= 198 CM (1) 
W/ SEAMING &amp; EYELET ALL OVER </t>
  </si>
  <si>
    <t>PO31908</t>
  </si>
  <si>
    <t xml:space="preserve">10PCS G5, EQ-ACT 5 JOURNEYING INTO ME REVISE EDITION 
20 PCS G9, EQ-ACT THE JOY OF BEING ME REVISE EDITION 
10 PCS G12, EQ-ACT 12 SOARING HIGH 
G9, TOWPEP JOURNAL 
G5, TOWPEP JOURNAL 
G6, TOWPEP JOURNAL </t>
  </si>
  <si>
    <t>PO31490</t>
  </si>
  <si>
    <t>ASSESSMENT FORM 10 BOX
ASSESSMENT START # 329501</t>
  </si>
  <si>
    <t>I requested 3 times but the most recent one was completely incorrect, despite providing sample for reference. Thank you!</t>
  </si>
  <si>
    <t>PO31869</t>
  </si>
  <si>
    <t xml:space="preserve">BUSINESS CARDHOLDER CASE LEATHER SLIM METAL PURPLE- 100 PCS., BLACK - 100 PCS. </t>
  </si>
  <si>
    <t>Nathanizastef Corporate Giveaways Trading</t>
  </si>
  <si>
    <t>PO31850</t>
  </si>
  <si>
    <t xml:space="preserve">30 PCS. TP LINK 150MBPS WIRELESS N NANO USB ADAPTER
20 PCS. HDMI TO VGA CONVERTER </t>
  </si>
  <si>
    <t>PO31687</t>
  </si>
  <si>
    <t>AV MATRIX PT2 1271- POE- 20x CAMERA
8 CHANNEL WIRELESS GOOSENECK MICROPHONES
12INCH PROJECTOR SCREEN</t>
  </si>
  <si>
    <t>PO31453</t>
  </si>
  <si>
    <t>HDP6600 DUAL SIDED ID RETRANSFER PRINTER 1</t>
  </si>
  <si>
    <t>PO31849</t>
  </si>
  <si>
    <t>PO31812</t>
  </si>
  <si>
    <t xml:space="preserve">5 PANASONIC WIRED TELEPHONE 
5 PANASONIC WIRELESS TELEPHONE (SINGLE UNIT)
5 PANASONIC WIRELESS DOUBLE 2IN1 </t>
  </si>
  <si>
    <t>PO31784</t>
  </si>
  <si>
    <t>AMP IO JACK KEYSTONE CAT 6 80PCS
AMP 1 GANG RJ45 FACE PLATE 25PCS
AMP 2 RJ45 FACE PLATE 25PCS 
AMP RJ45 FACE PLATE CONNECTOR CATS5E OR 6
*FACEPLATE MUST COMPATIBLE TO 10 JACK, THANKS!</t>
  </si>
  <si>
    <t>PO31692</t>
  </si>
  <si>
    <t>BELDEN CAT6 LAN CABLE BLUE 3</t>
  </si>
  <si>
    <t>PO31647</t>
  </si>
  <si>
    <t xml:space="preserve">2 UNITS  CANON PIXMA 67070 WIRELESS ALL IN ONE W/ FAX, 1 UNIT HP OFFCIEJET 200 MOBILE WIRELESS PRINTER </t>
  </si>
  <si>
    <t>PO31465</t>
  </si>
  <si>
    <t>BATTERY ENERGIZER TRIPLE A</t>
  </si>
  <si>
    <t>PO31464</t>
  </si>
  <si>
    <t>PAPER, SISC LETTERHEAD COLORED A4 2500PCS</t>
  </si>
  <si>
    <t>PO31463</t>
  </si>
  <si>
    <t>70% ISOPHROPYL ALCOHOL GALLON 200GALLONS</t>
  </si>
  <si>
    <t>Amson Pharmaceuticals</t>
  </si>
  <si>
    <t>PO31462</t>
  </si>
  <si>
    <t>GLUE, ELMER'S - 130GS (OSSUP) 150</t>
  </si>
  <si>
    <t>PO31461</t>
  </si>
  <si>
    <t>FRAME, CERTIFICATE ORDINARY- BROWN 8.5x11 50PCS</t>
  </si>
  <si>
    <t>PO31459</t>
  </si>
  <si>
    <t>TOWEL, HAND- GOOD MORNING 360 PCS</t>
  </si>
  <si>
    <t>PO31436</t>
  </si>
  <si>
    <t>BOARD, VELLUM (LONG) 200PACKS</t>
  </si>
  <si>
    <t>Mostaco Marketing</t>
  </si>
  <si>
    <t>PO31434</t>
  </si>
  <si>
    <t>ENVELOPE, SISC LETTER COLORED W/O WINDOW 3000PCS</t>
  </si>
  <si>
    <t>PO31433</t>
  </si>
  <si>
    <t>BALLPEN, PANDA BLUE 255PCS
MARKER, WHITEBOARD- PILOT BLACK 255
GLUE, MIGHTY BOND 40PCS</t>
  </si>
  <si>
    <t>PO31432</t>
  </si>
  <si>
    <t>BATTERY, ENERGIZER SIZE AA 700PCS</t>
  </si>
  <si>
    <t>1PC FILING CABINET 40 LATERAL
3PCS SWIVEL CHAIRS 
1 PC EXECUTIVE CHAIR
1PC DCP-T820DW BROTHER COLORED PRINTER 
3PCS OFFICE TABLE W=24 L= 47.3 H= 26.8</t>
  </si>
  <si>
    <t>PO31399</t>
  </si>
  <si>
    <t>ILLUSTRATION BOARD- BLK/WH (1/2) 20x30 30PCS</t>
  </si>
  <si>
    <t>PO31167</t>
  </si>
  <si>
    <t>NETGATE 4100 MAX PFSENSE SECURITY GATEWAY (1)</t>
  </si>
  <si>
    <t>PO32185</t>
  </si>
  <si>
    <t xml:space="preserve">2 MSI THIN GF63 12UCX-868PH INTEL CORE I5-12450H RTX 2050 4GB </t>
  </si>
  <si>
    <t>PO32306</t>
  </si>
  <si>
    <t xml:space="preserve">3PCS UBIQUITY U7 PRO ACCESS POINT </t>
  </si>
  <si>
    <t>COMPUTECHNOLOGIES CORP.</t>
  </si>
  <si>
    <t>PO31398</t>
  </si>
  <si>
    <t>BOX OF PAPER, CONTINUOUS - 11x9.5 4PLY 3BOXES</t>
  </si>
  <si>
    <t>PO31514</t>
  </si>
  <si>
    <t>5 PCS TPLINK TL SG108 8 PORT GIGABIT HUB,
3 PCS. TL SG1005LP 5 PORT POF GIGABT HUB</t>
  </si>
  <si>
    <t>PO31972</t>
  </si>
  <si>
    <t>CIRCUIT BREAKER 60AMP SINGLE PHASE BOLT ON IN NEMA 3 ENCLOSURE ( 1SET)
THHN #10 P.D (4 ROLLS)
JUNCTION BOX (20PCS)
PVVC PIPE 3/4  NELTEX (75PCS)
PVC ELBOW 3/4 NELTEX (10PCS)
PVC CLAMP 3/4 (20PCS)
 GI WIRE #16 (1KG)
ELECTRICAL TAPE ( 2 ROLL)
LOCK NUT 3 BUSHING 3/4 (40PCS)
ANGLE BAR 1 1/4 x 3/16 x 20 10PCS
WELDING ROD SPECIAL (2KGS)
EPOXY PRIMER (SPHERO) 1 QUART
BOLT &amp; NUT 3/8x1 W/ WASHER (20SETS)
DYNA BOLT 1/4 (16PCS)
MASONRY BIT 1/4 (2PCS)
DRILL BIT 3/8 (2PCS)</t>
  </si>
  <si>
    <t>PO31472</t>
  </si>
  <si>
    <t>PSU PS-3221 9AE 1PC</t>
  </si>
  <si>
    <t>PO32407</t>
  </si>
  <si>
    <t>6 PCS KEVLER  DUAL CHANNEL W-MIC 
1PC PRESONUS AIRIZ Z-WAY ACTIVE SOUND</t>
  </si>
  <si>
    <t>5/72025</t>
  </si>
  <si>
    <t>PO31676</t>
  </si>
  <si>
    <t>UTILITY BOX 5
LIIGHT SWITCH 5
VGA CABLE 10 METERS 10
BOATON THHN / THWN WIRES (#12) 1 BOX</t>
  </si>
  <si>
    <t>PO31698</t>
  </si>
  <si>
    <t>ACER VERITON X 2680G INTEL CORE i5 35PCS</t>
  </si>
  <si>
    <t>PO32337</t>
  </si>
  <si>
    <t>BATTLE OF THE BAND BANNER 
SIZE: H=197 CM W=84 CM THICKNESS 13 OZ
1 PC EACH
-SANRAYA &amp; SEGWAY
-SWEET CHILD &amp; TGC
-THE SONADA AND WATTATOPS
-THE ZION AND ONE DARK LIE
-AZELEAH PH AND HIRAYA BAND
-KORNERZ STONE AND LUCID ANGELS
-NEPTHALIE AND REDROSE</t>
  </si>
  <si>
    <t>PO32387</t>
  </si>
  <si>
    <t>1PC EACH COLLEGE COURSES TARP ALL THICKNESS: 18 OZ
-CITE W=206 IN X H=77 IN
-BUSINESS W=206 IN X H=77 IN
-TOURISM W= 186 IN H=78 IN
-COMMA W= 202 IN H= 77IN
-EDUC W= 205 IN H=77 IN
-GRAD PROGRAMS W=205 IN H= 77 IN
-NURSING W=186 IN H= 78 IN
-PSYCH W=186 IN H=78 IN
-SSLC W=186 IN H= 78 IN
-ASAT W=186 IN H=78 IN</t>
  </si>
  <si>
    <t>PO31397</t>
  </si>
  <si>
    <t>CORRECTION TAPE, JOY 200PCS</t>
  </si>
  <si>
    <t>PO31396</t>
  </si>
  <si>
    <t>TAPE, PACKAGING TAPE (2") 50PCS</t>
  </si>
  <si>
    <t>PO32308</t>
  </si>
  <si>
    <t>1 STAR CAMPUS OPEN HOUSE 2025 TARP W=305CM X H=197CM 
THICKNESS= 18 OZ ADD SEAMING AND EYELET ALL OVER</t>
  </si>
  <si>
    <t>PO31395</t>
  </si>
  <si>
    <t>RIBBON, CARTRIDGE EPSON LX310 SO15632 20PCS</t>
  </si>
  <si>
    <t>PO32336</t>
  </si>
  <si>
    <t>COLLEGE COURSES BANNER SIZE H=62.5 IN X W=32 IN THICKNESS 13 OZ
1 EACH:
- INDUSTRIAL ENGINEERING
-HRM
-ENTREP</t>
  </si>
  <si>
    <t>PO32385</t>
  </si>
  <si>
    <t>1 MONARCHELLA 2025 TARP
W=202 IN X H= 77IN THICKNESS 18OZ ADD SEAMING AND EYELET ALL OVER</t>
  </si>
  <si>
    <t>PO32386</t>
  </si>
  <si>
    <t>1 ISO WELCOME TARP W=13FT X H= 6.5FT THICKNESS=13 OZ
6 PCS ISO WELCOME SISC 
2 PCS ISO WELCOME SISFU
W= 2.5FT X H= 6FT THICKNESS 13OZ ADD SEAMING AND EYELET ALL OVER</t>
  </si>
  <si>
    <t>PO32384</t>
  </si>
  <si>
    <t>1 STUDENT ATHLETE TARP SIZE= W:186 IN X H: 78 IN THICKNESS 13OZ ADD SEAMING AND EYELET ALL OVER</t>
  </si>
  <si>
    <t>PO31900</t>
  </si>
  <si>
    <t xml:space="preserve">3 ILLUMINATED EXIT SIGN </t>
  </si>
  <si>
    <t>PO32217</t>
  </si>
  <si>
    <t>1 SKIZ GOAL 12X6
10PCS FOOTBALL SIZE 
10 PCS VOLLEYBALL V 200
10 PCS BASKETBALL SIZE 6</t>
  </si>
  <si>
    <t>PO31731</t>
  </si>
  <si>
    <t>VICTOR FLOOR POLISHER</t>
  </si>
  <si>
    <t>10./4/2024</t>
  </si>
  <si>
    <t>PO31859</t>
  </si>
  <si>
    <t xml:space="preserve">1 WASHING MACHINE WITH DRYER </t>
  </si>
  <si>
    <t>PO31822</t>
  </si>
  <si>
    <t>SINGLE BED MATTRESS (NORMAL SIGLE BED SIZE) 1PC
SINGLE FOAM WITH COVER SIZE: 178CM x 71CM x 8CM 1PC</t>
  </si>
  <si>
    <t>Multiflex RNC Philippines inc.</t>
  </si>
  <si>
    <t>PO31530</t>
  </si>
  <si>
    <t>OFFICE TABLE - 2 PCS
OFFICE CHAIR - 2PCS</t>
  </si>
  <si>
    <t>PO32001</t>
  </si>
  <si>
    <t xml:space="preserve">20 PCS MOPULDING WHITE 1" X 12" </t>
  </si>
  <si>
    <t>PO#0769</t>
  </si>
  <si>
    <t>COLLEGE FLAGS TO BE REPLACED IN COLLEGE GRADUATION 3 PCS. 
EXTERIOR FLAGS (3FT X 18 FT) CLOTH BASE</t>
  </si>
  <si>
    <t>PO31584</t>
  </si>
  <si>
    <t xml:space="preserve">COLLEGE TARPAULINS:
PLANT BOX (6M X1.5 M) 2 PCS. 
T-STAND (4 FT X 8 FT) 1 PC.
RAILING (4M X 3.4 M) 2 PCS. 
</t>
  </si>
  <si>
    <t>PO31611</t>
  </si>
  <si>
    <t xml:space="preserve">GRADUATION BACKDROP SIZE: 7FT X 7 FT WITH EYELET EVERY 1/2 FOOT 1 PC. </t>
  </si>
  <si>
    <t>PO31417</t>
  </si>
  <si>
    <t>IWATA TORNADO MIST 26 3PCS</t>
  </si>
  <si>
    <t>PO31391</t>
  </si>
  <si>
    <t>PAPER, COPY-LASER SUB. 20 LONG WHITE 200 REAMS</t>
  </si>
  <si>
    <t>PO31901</t>
  </si>
  <si>
    <t>10P[CS 10 PCS ACRYLIC HOLDER FOR RESTROOM CHECKLIST 
SIZE: SHORT BONDPAPER</t>
  </si>
  <si>
    <t>PO31390</t>
  </si>
  <si>
    <t>CORKBOARD- 2x3 (1/4T) mmmm WITHOUT FRAME 20PCS</t>
  </si>
  <si>
    <t>PO31371</t>
  </si>
  <si>
    <t>KINGSTON SOLID STATE DRIVE 240GB 10PCS</t>
  </si>
  <si>
    <t>PO31338</t>
  </si>
  <si>
    <t>TRASHBAG 2XL CLEAR  120 PACKS</t>
  </si>
  <si>
    <t>PO31332</t>
  </si>
  <si>
    <t>MALE PLUG RUBBER (EAGLE) 30</t>
  </si>
  <si>
    <t>PO31895</t>
  </si>
  <si>
    <t xml:space="preserve">4 EMERGENCY LIGHTS </t>
  </si>
  <si>
    <t>10/2402024</t>
  </si>
  <si>
    <t>30 PACKS CABLE TIE 200MM (100 PCS PER PACK)
22 PCS VGA SPLITTER2 WAY IN 2 WAY OUT</t>
  </si>
  <si>
    <t>105828A</t>
  </si>
  <si>
    <t>PO32528</t>
  </si>
  <si>
    <t>Wilcon Depot Inc.</t>
  </si>
  <si>
    <t>PO32170</t>
  </si>
  <si>
    <t>150 PCS DUCT TAPE - optima tape brand or 3M scotch</t>
  </si>
  <si>
    <t>PO32179</t>
  </si>
  <si>
    <t>50 PCS POUCH FOR ADAPTOR SMALL</t>
  </si>
  <si>
    <t>PO32169</t>
  </si>
  <si>
    <t>300PCS MARKER WHITEBOARD PILOT BLACK
300 PCS PEN SIGN PILOT BX V5BLACK</t>
  </si>
  <si>
    <t>PO32144</t>
  </si>
  <si>
    <t>200 REAMS PAPER COPY LASER SUB. 20 LONG WHITE</t>
  </si>
  <si>
    <t>PO32199</t>
  </si>
  <si>
    <t>100 BOXES CLIP PAPER BIG
50 BOXES CLIP PAPER SMALL
1 REAM PAPER COPY-FORTUNE SUB .24 LONG YELLOW
20 PADS PAD PAPER YELLOW</t>
  </si>
  <si>
    <t>PO32197</t>
  </si>
  <si>
    <t>2 PCS PUNCHER PAPER HD 1 HOLE
2 PCS PUNCHER PAPER HD 3 HOLES (ADJUSTABLE)</t>
  </si>
  <si>
    <t>PO31720</t>
  </si>
  <si>
    <t>CORK BOARD 4FT x 8FT 4 PCS</t>
  </si>
  <si>
    <t>PO#0788</t>
  </si>
  <si>
    <t xml:space="preserve">15PCS. 3MM THK SILVERWOON RECON WOOD VEENER BOARD </t>
  </si>
  <si>
    <t>ARCHITRAVE TRADING</t>
  </si>
  <si>
    <t>PO31685</t>
  </si>
  <si>
    <t>ARM CHAIRS WITH WHEEL (ROOM 502)  48PCS</t>
  </si>
  <si>
    <t>4..8</t>
  </si>
  <si>
    <t>PO32198</t>
  </si>
  <si>
    <t xml:space="preserve">500 PCS SISC PIN </t>
  </si>
  <si>
    <t>PO32282</t>
  </si>
  <si>
    <t>125 PCS FRAME CERTIFICATE ORDINARY- BROWN 8.5 X 11</t>
  </si>
  <si>
    <t>PO32309</t>
  </si>
  <si>
    <t>70 PCS TONER CARTRIDGE INKONVERT TN660 FOR BROTHER HL L2300D</t>
  </si>
  <si>
    <t>PO32279</t>
  </si>
  <si>
    <t>1,011 PCS LANYARD K12-IB, SISC PRINT WITH ID PRO LANDSCAPE (NEW LOGO) 20 CM</t>
  </si>
  <si>
    <t>PO32265</t>
  </si>
  <si>
    <t>200PCS DONG A MY GEL BLACK 0.5
3,000 ENVELOPE BROWN LONG 
5 REAMS PAPER FORTUNE GROUNDWOVE MIMEO SHORT (500PCS)
20PCS CUTTER HANDY BIG L300 GRP
5 PCS SHARPENER PENCIL CARL ANGEL 5</t>
  </si>
  <si>
    <t>PO32281</t>
  </si>
  <si>
    <t xml:space="preserve">200 PCS CORRECTION TAPE, JOY, 30 PCS PUSH PINS 30'S </t>
  </si>
  <si>
    <t>PO31919</t>
  </si>
  <si>
    <t>1 WATER DISPENSER</t>
  </si>
  <si>
    <t>PO31804</t>
  </si>
  <si>
    <t>HIGIENECO AIR FRESHENER REFILL LAVANDER 7 PCS. BAMBOO 7 PCS. SPLASH WATER 7 PCS.</t>
  </si>
  <si>
    <t>PO31690</t>
  </si>
  <si>
    <t xml:space="preserve">HEAVY DUTY FLAGS:
CANADA 2, CHINA 2, INDIA 2, JAPAN 2, RUSSIA 2
LIBERIA 2, NETHERLANDS 2, PAKISTAN 2
KOREA 2, UK 2, US 2, PHIL 2, SISC 2
AUSTRALIA, BANGLADESH, EGYPT 1 EACH
GERMANY,. HONGKONG, INDONESIA 1 EACH
IRELAND, ITALY, LONDON 1EACH
NIGERIA, SRI LANKA, SWITZERLAND 1 EACH
THAILAND 1 EACH
</t>
  </si>
  <si>
    <t>PO32112</t>
  </si>
  <si>
    <t>3 CHINA FLAG HEAVY DUTY 
1 INDIA FLAG HEAVY DUTY
1 UK FLAG HEAVY DUTY</t>
  </si>
  <si>
    <t>PO31948</t>
  </si>
  <si>
    <t>50 BOXES CLIP, PAPER (50GMS/BOX), PRINCE VINYL COATED SMALL</t>
  </si>
  <si>
    <t>PO31915</t>
  </si>
  <si>
    <t>500 PCS. TAPE 3M MASKING TAPE BIG, (1")</t>
  </si>
  <si>
    <t>PO31910</t>
  </si>
  <si>
    <t xml:space="preserve">2000 PCS FOLDER PRESSBOARD GREEN LONG </t>
  </si>
  <si>
    <t>PO31911</t>
  </si>
  <si>
    <t xml:space="preserve">1000PCS ENVELOPE BROWN SHORT </t>
  </si>
  <si>
    <t>PO31913</t>
  </si>
  <si>
    <t>288 ROLLS TISSUE, ROLL BATH 2PLU (SANICARE)</t>
  </si>
  <si>
    <t>PO31914</t>
  </si>
  <si>
    <t>50 PCS FRAME CERTIFICATE ORDINARY - BROWN 8.5 X 11</t>
  </si>
  <si>
    <t>PO31909</t>
  </si>
  <si>
    <t>30 PCS INK, WHIITEBOARD - PILOT BLUE</t>
  </si>
  <si>
    <t>PO31805</t>
  </si>
  <si>
    <t>HIGIENECO AIR FRESHENER REFILL LAVANDER 6 PCS. BAMBOO 6 PCS. SPLASH WATER 6 PCS.</t>
  </si>
  <si>
    <t>PO31954</t>
  </si>
  <si>
    <t>SOUTHVILLE INTERNARTIONAL SCHOOL AND COLLEGES PROPERTY STICKER 
1ROLL/3000 STICKERS PROPERTY NO. 72011-75010
1 ROLL/3000 STICKERS PROPERTY NO. 75011-78010</t>
  </si>
  <si>
    <t>PO31951</t>
  </si>
  <si>
    <t xml:space="preserve">20 PCS TOILET RUBBER PUMP BLACK </t>
  </si>
  <si>
    <t>4David's Book Trading</t>
  </si>
  <si>
    <t>PO31953</t>
  </si>
  <si>
    <t>10GALS FLOOR FINISH (STATE) MIGHTY SPARKLE DIAMOND 25</t>
  </si>
  <si>
    <t>PO31936</t>
  </si>
  <si>
    <t>10 GALS DRAIN MAINTAINER AND DEODORIZER (STATE) D-STOY</t>
  </si>
  <si>
    <t>Eprayim Granite and Marble Inc.</t>
  </si>
  <si>
    <t>PO31621</t>
  </si>
  <si>
    <t>888 Tile Phil Corp</t>
  </si>
  <si>
    <t xml:space="preserve">a. 
3D Printing for Dummies                                        
Analog Communications                                        
An Integrated Approach To Artificial Intelligence                                        
Basic Of Cloud Computing                                        
Basic Computer Coding: CSS                                        
Basic Computer Coding: Python                                        
Basic Computer Coding: Responsive Design                                        
Big Data Analytics A Guide To Datya Science Practioners Making the Transition To Big Data                                        
Big Data Management and Analytics                                        
C Programming                                        
Cloud Computing                                        
Computer Networks                                        
Core Concepts In Computer Science: Database Management Systems                                        
The Creation and Management Of Database Systems                                        
Database Systems A Practical Approach                                        
Deep Learning And Its Applications Using Python                                        
Design and Analysis Of Algorithms                                        
Embedded Software System Testing Authomatic Testing Solution Based On Formal Method                                        
Exploring Robotics and Robotic Systems                                        
File Processing And Database Systems                                        
b.
Fundamentals Of Artificial Neural Ndetwork And Fuzzy Logic                                        
HTML, CSS, &amp; JavaScript All-In-One for Dummies                                        
Introrduction To Computer Programming                                        
Introduction To Software Engineering                                        
Learn Programming With C An Easy Step-By-Step Self-Practice Book For Learning C                                        
Machine Learning Applications From Computer Vision To Robotics                                        
Mathematical Foundations Of Computer Science                                        
Multuimedia Applications and Web Designing                                        
Object Oriented Software Engineering                                        
Professional Javascript For Web Developers                                        
Programming with Python and Its Applications To Physical Systems                                        
Python All-In-One For Dummies                                        
Python for Data Science For Dummies                                        
SQL Server Database Programming With C# Desktop and Web Applications                                        
Teach Yourself visually HTML and CSS                                        
Theory, Practice and Techniques in Computer Science                                        
Theory, Practice and Techniques in MTML and CSS                                        
Theory, Practice and Techniques in Web Development                                        
Web Coding &amp; Development All-In-One for Dummies                                        
c.
Android Boot Camp for Developers Using Java A guide To Creating Your First Android Apps                                        
Basic Cloud Computing                                        
Basic Networking                                        
Cryptography Algorithms, Protocol, and Standard s for Computer Security                                        
Computer Networking                                        
Core Concepts in Computer Science: Computer Networks                                        
Core Concepts in Computer Science: Cloud Computing                                        
Core Concepts in Computer Science: Operating Systems                                        
Core Concepts in Computer Science: Software Engineering                                        
CompTIA Cloud+ Guide to Cloud Computing                                        
CompTIA Network+ Guide To Networks                                        
CompTIA PenTest+ Guide To Penetration Testing                                        
CompTIA CySA+ Guide To Cybersecurity Analyst                                        
Fundamentals of Data Base Systems                                        
Fundamentals of Internet Programming                                        
Fundamentals Of Computer Architecture                                        
Foundation of Information Security                                        
Fundamentals of Programming                                        
d.
Human-Computer Interaction Fundamentals and Practice                                        
Information Technology Project Management                                        
Information Technology Service Management                                        
Illustrated Handbook Of Advanced Operating Systems and Kernel Applications                                        
Introduction to Artificial Intelligence                                        
Introduction to Information Technology                                        
Introduction to Numerical Analysis                                        
Object Oriented Programming                                        
Operating Systems                                        
Textbook of Computer Information Science                                        
Systems Analysis and Design                                        
Software Architecture An Introduction                                        
Software Development Metrics                                        
Software Design                                        
Software Engineering Principles and Practices                                        
Software Testing and User Experience                                        </t>
  </si>
  <si>
    <t>105368A</t>
  </si>
  <si>
    <t>PO32098</t>
  </si>
  <si>
    <t>PO31990</t>
  </si>
  <si>
    <t xml:space="preserve">10 BSA BOOKS 
Financial Accounting for Managerial 2024                                
Financial Accounting, 2024,12e, PB                                
Financial Accounting: The Cornerstone of Business Decission-Making 2025,6e, PB                                
Financial Management: Partner in Driving Performance and Value, 2024, HB                                
Financial Markets &amp; Institutions, 2025, 14e PB                                
FinTech Research &amp; Applications 2023                                
Focus On Personal Finance. 2024, PB                                
Foresinc : Accounting &amp; Fraud Examination 3e 2024                                
Fundamentals  of Corporate Finance, 2024, PB                                
Fundamentals  of Financial Accounting, 2025,8e, PB                                </t>
  </si>
  <si>
    <t>ECOSHIFT CORPORATION</t>
  </si>
  <si>
    <t>Asahl Design Centre Inc.</t>
  </si>
  <si>
    <t>Golden Advance Marketing</t>
  </si>
  <si>
    <t>PO31999</t>
  </si>
  <si>
    <t>6 PCS EDIFIER SPEAKER ( X100B)
5 PCS POWER SUPPLY TRUE RATED 750 WATTS(INPLAY GS750)
10 PCS EXTENSION CORD 5 METERS (OMNI 6GANG)</t>
  </si>
  <si>
    <t>105390A</t>
  </si>
  <si>
    <t>Jassen Harris  Industries Corp.</t>
  </si>
  <si>
    <t>PO32115</t>
  </si>
  <si>
    <t>PO31571</t>
  </si>
  <si>
    <t>A4TECH 1080P WEBCAM 20PCS
MAONO CONFERENCE MIC 20PCS</t>
  </si>
  <si>
    <t>Almagated Specialties Corp.</t>
  </si>
  <si>
    <t>PO32261</t>
  </si>
  <si>
    <t>100 PCS HEADSET RAPOO H101 WITH NOISE REDUCTION MIC</t>
  </si>
  <si>
    <t>Manos Allied Corporation</t>
  </si>
  <si>
    <t>PO32317</t>
  </si>
  <si>
    <t xml:space="preserve">90 PCS. AVR POWER LOGIC </t>
  </si>
  <si>
    <t>Philippine Educational Theater Association, Inc.</t>
  </si>
  <si>
    <t>105193A</t>
  </si>
  <si>
    <t>PO31996</t>
  </si>
  <si>
    <t>PO32323</t>
  </si>
  <si>
    <t>1PC OPENING OF CLASS AY 25-26 SIZE W=206 IN X H=77IN THICKNESS 18 OZ
ADD SEAMING AND EYELET ALL OVER</t>
  </si>
  <si>
    <t>Bookquick Marketing</t>
  </si>
  <si>
    <t>ASTC Electronics Services And Supply</t>
  </si>
  <si>
    <t>PO32321</t>
  </si>
  <si>
    <t xml:space="preserve">2 PCS AISAC 2025 WELCOME BANNER SIZE W= 13FT X H= 6.5FT THICKNESS 13 OZ 
ADD EYELET ALLOVER &amp; SEAMING </t>
  </si>
  <si>
    <t>O&amp;J Global Trading</t>
  </si>
  <si>
    <t>PO31443</t>
  </si>
  <si>
    <t>KINGSTON SOLID STATE DRIVE 240GB (20PCS)</t>
  </si>
  <si>
    <t>Gleam Multimedia  Post-Production SER</t>
  </si>
  <si>
    <t>PO31574</t>
  </si>
  <si>
    <t>8/82024</t>
  </si>
  <si>
    <t>JMD International Corp</t>
  </si>
  <si>
    <t>PO31903</t>
  </si>
  <si>
    <t>10 PCS DOOR CLOSER (YALE 85KG)
30 PCS FAUCET TANSO
30 PCS GOOSE NECK FAUCET (CRESTON)
10 PCS WD40 MULTI PURPOSE LUBRICANT 382 ML</t>
  </si>
  <si>
    <t>PO31425</t>
  </si>
  <si>
    <t>VIDEO CARD 2GB DDR3 64BIT (NVIDIA) 20PCS</t>
  </si>
  <si>
    <t>JW Summit Group Inc.</t>
  </si>
  <si>
    <t>PO31150</t>
  </si>
  <si>
    <t>HDMI CABLE 5M (UGREEN) 10PCS
HDMI CABLE 10M (UNGREEN) 10PCS</t>
  </si>
  <si>
    <t>WS Pacific Publications Inc.</t>
  </si>
  <si>
    <t>PO31216</t>
  </si>
  <si>
    <t>VIDEO CARD 2GB DDR3 64BIT (NVIDIA) 5PCS</t>
  </si>
  <si>
    <t>Eco Hygiene Institutional Sales Corp.</t>
  </si>
  <si>
    <t>PO32264</t>
  </si>
  <si>
    <t xml:space="preserve">3000 PAPER SISC LETTERHEAD COLORED A4 (8.27X11.69IN) NEW LAY OUT </t>
  </si>
  <si>
    <t>Barcaman Couture Corporation</t>
  </si>
  <si>
    <t>PO32383</t>
  </si>
  <si>
    <t xml:space="preserve">20 PCS DEL FABRIC SOFTENER 1000ML
408 PCS ALL PURPOSE POWDER 800 GRAMS PER PACK
210 PCS BABY OIL 125 ML </t>
  </si>
  <si>
    <t>Office Warehouse inc.</t>
  </si>
  <si>
    <t>PO32338</t>
  </si>
  <si>
    <t>144 GALS HAND SOAP ANTIBACTERIAL YELLOW
2PCS DUST MOP HANDLE &amp; FRAME WITH OP HEAD #30
5 PCS STRIPPER PAD RED 3M
350 PCS SCRUBBING PAD BIG SCOTCH BRITE 
180 PCS SPRAY GUN
100 PAIRS RUBBER GLOVES DURAFRESH ANTI BACTERIAL 
24 PCS SPATULA SMALL SCRAPER</t>
  </si>
  <si>
    <t>PO32339</t>
  </si>
  <si>
    <t>PO32348</t>
  </si>
  <si>
    <t xml:space="preserve">50 GALS LIQUID DEODORIZER STATE SWEET SUNSATION </t>
  </si>
  <si>
    <t>PO31285</t>
  </si>
  <si>
    <t>VALUES EXCELLENCE (WHITE LACE)= 130PCS
PERFECT ATTENDANCE (YELLOW LACE) = 18PCS
LOYALTY MEDAL = 17PCS
SUBJECT EXCELLENCE (TRI-COLOR) = 40PCS
ACADEMIC EXCELLENCE (GREEN LACE) - GOLD = 120PCS
ACADEMIC EXCELLENCE (PURPLE LACE) - SILVER = 55PCS
ACADEMIC EXCELLENCE (PINK LACE) - BRONZE = 31PCS
GENERAL SCHOLASTIC AWARD (TRI-COLOR) - GOLD = 18PCS
AFSL = 15PCS
ATHLETE OF YEAR = 2PCS</t>
  </si>
  <si>
    <t>PO31004</t>
  </si>
  <si>
    <t>PO31620</t>
  </si>
  <si>
    <t xml:space="preserve">GENERAL EDUCATION
A.
Core Concepts in Biology: Immunology                                        
Fundamentals Of Microbiology                                        
Analytical Chemistry                                        
Basic Of Organic Chemistry                                        
Core Concepts in Chemistry: Organic Chemistry                                        
Core Concepts in Chemistry: Analytical Chemistry                                        
Fundamentals of BioChemistry                                        
Inorganic Chemistry The Basics                                        
Principles of Chemistry                                        
Core Concepts in Physics: Classical Mechanics                                        
Fundamental Physics                                        
Introduction To Physics                                        
University Physics With Modern Physics                                        
Algebra An Introduction                                        
Core Concepts in Mathematics: Algebra                                        
B.
High-Impact Design For Online Courses Blueprinting Quality Digital Learning In Eight Practical Steps                                        
Just Teaching Feedback, Engagement, &amp; Well-being For Each Student                                        
Illustrated Dictionary Of Biology                                        
Illustrated Dictionary Of Statistics                                        
Introducing Language and Intercultural Communication                                        
Inclusive Education Theory And Policy Moving From Special Educational Needs To Equity                                        
Innovation, Literacy, and Arts Integration in Multicultural Classroom Theory and Practice for Designers of K-8 Learning Environments                                        
Innovating Assessment and Feedback Design in Teacher Education Transforming Practice                                        
Functional Approaches to Language: A Comprehensive                                        
Language Modeling An Applications-Oriented Approach Using Lexical Data                                        
L.S. Vygotsky and English in Education and the Language Arts                                        
Student Affairs Assessment Theory To Practice                                        
Teaching Secondary Mathematics                                        
Transforming Education With Virtual Reality                                        
Teaching And Learning Source-Based Writing Current Perspectives and Future Directions                                        
C.
A Guide to Curriculum Mapping Creating ACollaborative, Transformative, and Learner-Centered Curriculum                                        
Acing Online Assessment Your Guide to Success                                        
A Practical Guide To Teaching Foreign Lanuages in the Secondary School                                        
Curriculum Design and Lesson Planning                                        
A Different View Of Curriculum And Assesstment for Severe, Complex and Profound Learning Disabilities                                        
Educational Administration                                        
Educational Guidance                                        
Educating The Developing Mind A Developmental Theory of Instruction                                        
Encylopedia of Science and Technology                                        
Effective Classroom Management                                        
Educational Testing &amp; Measurement                                        
Differentiated Instruction A Guide for World Language Teachers                                        
Formal Grammar Theory and Variation Accross Language                                        
D.
Basic Communication Skills
Beginning Teaching With Digital Technology
Critical Memetic Literacies In English Education How Do You Meme?
Experiencing English Literature Shaping Authentic Student Response In Thinking And Writing
Fundamental Of English Language and Grammar
Introduction to the Theory of Grammar
Introducing English Language: a Resource Book For Students
Must Know High School Grammar And Composiion
Legal Writing
Principles and Theories Of Language Acquisition And Learning
Punctuation in Context-Past And Present Perspectives
Purposive Communication
Teaching And Assessment of Grammar
Read, Reason, Write An Argument Text and Reader
Teaching and Learning In The Digital Era Issues and Studies
Teaching What You Want To Learn a Guidebook for Dance and Movement Teachers
Technical Writing
Technology For Teaching and Learning
The Diagnosis Of Writing In A Second Or Foreign Language
r, The Theory Of Educational Technology Towards a Dialogic Foundation For Design
Understanding English Language And Acquisition
E.
Fundamentals of Algebra                                        
College Geometry                                        
Core Concepts in Mathematics Geometry                                        
Foundations of Geometry                                        
Introduction to Algebraic Geometry                                        
Modern Geometry                                        
Core Concepts in Mathematics: Trigometry                                        
Calculus A Comprehensive Course                                        
Calculus Essentials                                        
Core Concepts in Mathematics: Calculus                                        
Differential Calculus Problems and Solutions From Fundamentals To Nuances                                        
Pre-Calculus All-In-One for Dummies                                        
Core Concepts In Mathematics: Statistics                                        
Foundation of Statistics                                        
Introduction To Statistics                                        
Introductory Statistics                                        
Introduction To Statistics &amp; Data Analysis                                        
Practical Statistics                                        
F.
Probability and Statistics For Science And Engineering                                        
Core Concepts in Mathematics: Differential Equations                                        
Core Concepts in Mathematics: Probability                                        
Differntial Equations and Applications                                        
Foundation of Mathematics                                        
Foundation of Mathematics                                        
Graphs &amp; Digraphs                                        
Introduction To Differential Equations                                        
Mathematics The Basics                                        
Ordinary Differential Equations With Applications                                        
Principle of Ethics                                        
Introductory Logic And Critical Thinking                                        
An Introduction to Philosophy                                        
Philosophy of Education                                        
Philosophical Foundations of Mixed Methods Research Dialogues Between Researchers and Philosophers                                        
Philosophy of Mind a Contemporary Introduction                                        
Philosophy The Basics                                        
Applied Communication Research Methods Getting Started As A Researcher                                        
Arts-Baseds Research Across Visual Media In Education Expanding Visual Epistemology-Volume 2                                        
Centering Youth, Family And Community in School Leadership Case Studies For Education Equity and Justice                                        
Communication Research Methods                                        
Dissertation Research Mehods A Step-By-Step Guide To Writing Up Your Research In the Social Sciences                                        
Essential French Grammar                                        
Tranformative Moments in Qualitative Research Method, Theory, and Reflection                                        </t>
  </si>
  <si>
    <t>PO31400</t>
  </si>
  <si>
    <t>NURSING BOOKS 5
ACCOUNTING BOOKS 2
TOURISM 3
GEN ED BOOKS 21</t>
  </si>
  <si>
    <t>PO31551</t>
  </si>
  <si>
    <t>GEN ED SUBJECTS 20
PSYCH BOOKS 29</t>
  </si>
  <si>
    <t>PO31537</t>
  </si>
  <si>
    <t>ACRYLIC COVER OF THE MANUSCRIPTS (1), SIGNAGES OF BARTHOLOMEWS SPECIAL COLLECTION (1), ADDtl SIGNAGES BAGGAGE COUNTER FOR BED LIBRARY, IB COLLECTION SIGNAGES</t>
  </si>
  <si>
    <t>PO31605</t>
  </si>
  <si>
    <t xml:space="preserve">BUSINESS BOOKS
A.
Research Ethics in Applied Economics A Practical Guide                                        
Introduction To Macroeconomics                                        
Marcroeconomics                                        
Practical Macroeconomics for Non-Economics Question-And-Answer Approach                                        
Principles Of Macroeconomics                                        
Essential Of Microeconomics                                        
Introduction To Microeconomics                                        
Microeconomics Principles and Problems A Pluralist Introduction                                        
Microeconomics                                        
Digital Consumer Management Understanding and Managing Consumer Engagement in the Digital Environment                                        
Essential Of Supply Chain Management                                        
Fundamentals of Management Science                                        
Investment Management                                        
Management Research Applying the Principles of Business Research Methods                                        
Managerial Economics                                        
Materials and Inventory Management                                        
Project Management Planning and Scheduling Techniques                                        
Project Based Problem Solving and Desicion Making A Guide For Project Managers                                        
Production and Operations Management                                        
Strategic Managementy Text &amp; Cases                                        
B.
Financial Accounting                                        
Financial Management                                        
Foundations Of Sustainable Business                                        
Behavioral Economics                                        
Fundamentals Of Public Relations                                        
Organizational Behavior                                        
Organizational Theory And Behavior                                        
Disciplined Entrepreneurship 24 Steps To A Successful Startup                                        
Disciplined Entrepreneurship Startup Tactics                                        
Introduction Agribusiness Management and Entrepreneurship                                        
Development Economic                                        
Environmental and Resource Economics Theory and Practice                                        
International Economics Global Market Competition                                        
Labor Economics                                        
Managerial Economics Foundation of Business Analysis and Strategy                                        
C.
Praise For Breakthrough Supply Chains                                        
Digital Analytics for Marketing                                        
E-Commerce Business, Technology and Society                                        
Marketing Plans Profitable Stragies In the Digital Age                                        
Project Based Problem Solcving and Decision Making A Guide For Project Managers                                        
Strategic Content Marketing Creating Effective Content In Practice                                        
The Marketing Analytics Practitioner's Guide Volume 1 Brand and Consumer                                        
The Marketing Analytics Practitioner's Guide Volume 4 Retail and Statistics                                        
The Marketing Analytics Practitioner's Guide Volume 2 Product, Advdertising, Packiging, Biometric, Price and Promotion                                        
The Marketing Analytics Practitioner's Guide Volume 3 Digital Marketing                                        
A Guide To Business Mathematics                                        
Business Mathematics Using Excel A Complete Course In Data Analytics                                        
Statistics For Economist                                        
Statistical Techniques In Business And Economics                                        </t>
  </si>
  <si>
    <t>PO31520</t>
  </si>
  <si>
    <t>NURSING BOOKS
• Anatomy and Physiology for Nursing
• Clinical Judgement and Decision Making in Nursing
• Criticall Care Nursing
• Clinical Nursing Skills
• Health Promotion and Health Education in Nursing
• Health Education
• Health Promotion for Nursing Students
• Intensive Nursing Practicum Hospital and Community Settings
• Introduction to Nursing Research
• Just Teaching feedback, Engagement, &amp; Well-Being For Each Student
• Microbiology and Parasitology for Nurses
• Nester's Microbiology A Human Perspective
• Nurse Digest: Guide to Head-to-Toe Physical Assessment
• Nurse Digest: Guide to Specimen Collexction, Preparation, and Handling Procedures
• Nurse Digest: Hospital Diets for Select Disease Conditions
• Nurse Digest: Normal Pediatric Developmental Milestones
• Nurse Digest: Intravenous (IV) Therapy Technique
• Nursing Interventions</t>
  </si>
  <si>
    <t>PO31603</t>
  </si>
  <si>
    <t>IT BOOKS
GEN ED BOOKS</t>
  </si>
  <si>
    <t>PO31556</t>
  </si>
  <si>
    <t xml:space="preserve">PSYCH BOOKS
An Introduction To Psychometrics and Psychological Assessment Using, Interpreting and Developing Test                                        
Assessment of Children with Special Needs                                        
School and Peer Contexxt of Bullying: An Introduction and Exploration                                        
Coaching in Gifted Education Tools for Building Capacity and Catalyzing Change                                        
DataProof Your School how to Use Assessment Data Effectivity                                        
Effective Learning and Mental Wellbeing Improving the Mental Health and Trauma-Reslilience of Learners in A Trauma-Impact World                                        
Educating Exceptional Children                                        
Engaging in Narrative Inquiry                                        
Educational Psychology                                        
Educational Psychology                                        
Educational Psychology                                        
How to Use SPSS A Step-By-Step Guide To Analysis and Interpretation                                        
Observing Learning In Early Childhood                                        
Positive Child Guidance                                        
Psychological Disorders and Therapies DSM5 Perspective                                        
School-Based Family Counseling With Refugees And Immigrants                                        
The Child and Adolescent Learners and Learning Principles                                        
Week By Week Plans For Documenting Children's Development                                        </t>
  </si>
  <si>
    <t>PO31545</t>
  </si>
  <si>
    <t>PSYCHOLOGY BOOKS
• Abnormal Psychology
• Acceptance and Commitment Therapy and Brain Injury: A Practical Guide For Clinicians
• An At-Home Guide To Children's Sensory And Behavioral Problems: Qigong Sensory Treatment for Parents and Clinicians
• Anxiety &amp; Depression Workbook For Dummies
• Applied Behavior Analysis In Early Childhood: An Introduction To Evidence-Based Interventions And Teaching Strategies
• A Topical Approach to Life-Span Development
• Bullying Beyond The Schoolyard: Preventing And Responding to Cyberbullying
• 101 Career Myths Debunked: The Ultimate Career Planning Workbook
• Child Development
• Cognitive Psychology: Revisiting The Classic Studies
• Community Psychology: Emerging Issues and Challenges
• Compassion Focused Therapy: Clinical Practice and Applications
• Culture and Psychology
• Developmental Cognitive Neuroscience: An Introduction
• Doing Research In Psychological Therapies: A Step-By-Step Guide
• Doing Statistical Analysis: A Student's Guide To Quantitative Research
• Environmental Psychology: An Introduction
• Essential Research Methods in Psychology
• Evolution &amp; Psychology
• Fostering the Mental Health of Athletes, Coaches, and Staff: A Systems Approach to Developing A Mentally Healthy Sport Organization
• Fundamentals of Psychological Assessment and Testing
• How to Read, Evaluate, and Use Research
• Human Resources Kit For Dummies
• Industrial/Organizational Psychology: An Applied Approach
• Introductional Systems Design: Theory and Practice
• Introducing Mindfulness-Based Wellbeing Enhancement
• Issues in Learning And Behavior
• The Essentials of Human Development
• Lifespan Development In Context: A Topical Approach
• Managing Careers &amp; Employability
• Mastering Competencies in Family Therapy: A Practical Approach To Theories &amp; Clinical Case Documentation
• Perfect Table Settings: Styling Techniques
• Person-Centred Experiential Counselling for Depression
• Psychiatric Mental Health Assessment and Diagnosis Of Adults for Advanced Practice Mental Health Nurses
• Psychology: An Introduction
• Quantitative Research Methods in Psychology
• Social Media and Mental Health
• Statistics For Psychology: A Beginner's Guide
• Supervision In School Psychology: The Developmental, Ecological, Problem-Solving Model
• The Language Of The Soul In Narrative Therapy: Spirituality In Clinical Theory and Practice
• Understanding Children's Behavior: Learning to Be With Others in the Early Years
Week by Week Plans for documenting Children's Development
What is Psychology? Foundations, Applications, and Integration
GEN-ED BOOKS
• An Introduction to English Language: Word, Sound and Sentence. PB
• Biochemestry Laboratory, HB
• Brilliant Teaching Using Culture And Artful Thinking to Close Equipy Gaps
• Chemistry Atoms First
• Children's Literature In the Classroom
• Commercial Dance An Essential Guide
• Dance Research Methodologies Ethics, Orientations, and Practices
• Even You Can Learn Statistics and Analytics An Easy To Undesstand Guide
• Explicit English Teaching
• First Class Teaching 10 Lessons You Don't Learn In College
• Introducing Intercultural Communication Global Cultures and Context
• Key Concepts In Biochemistry
• Natural Disaster
• Neurodiversity and Education
• Principles Of Chemistry
• Purposive Communication
• Introductory Physics Summaries, Examples,a nd Practice Problems
• Teaching Mathematics Conceptually Guiding Instructural Principles for 5-10-Years-Olds
• Text Structures And Fables Teaching Students to Write About What They Read
• The Practice Educator's Handbook
• The Trainee Teachers's Handbook
• Using Theories For Second Language Teaching And Learning</t>
  </si>
  <si>
    <t>PO3160</t>
  </si>
  <si>
    <t xml:space="preserve">NURSING BOOKS
A Practical Guide for Nurse Practicioner Faculty Using Simulation Compentency-Based Education                                        
Adult Development and Aging                                        
Ambulatory Surgical Nursing                                        
Anatomy &amp; Physiology Made Incredibly Easy!                                        
Anatomy Physiology The Unity of Form and Function                                        
Bates' Guide Physical Examination and History Taking                                        
Bioetechs: A Nursing Perspective 8e                                        
Clinical Judgement and Test-Taking Strategies Passing Nursing Schopol and the NCLEX Exam                                        
Clinical Nursing Calculations                                        
Clinical Nursing Skills &amp; Techniques                                        
Community Public Health Nursing Promoting the Health of Populations                                        
Core Curriculum for Oncology Nursing                                        
Core Curriculum for Maternal-Newborn Nursing                                        
ECGs For Acute, Critical And Emergency Care                                        
Emergency &amp; Critical Care Pocket Guide ACLS Version                                        
Environmental Hazards Assesting Risk And Reducing Disaster                                        
Evidence-Based Practice in Nursing &amp; Healthcare A Guide to Best Practice                                        
Evidence-Based Practice For Nurses Appraisal and Application of Research                                        
Geriatic Education For Emergency Medical Services Course Manual                                        
Hamric &amp; Hansons's Advanced Practice Nursing an Integrative Approach                                        
Health Education                                        
Lehnes's Pharmacology for Nursing Care                                        
Levinson's Review Of Medical Microbiology and Immunology A Guide to Clinical Infectious Diseases                                        
Medical Surgical Nursing Concepts for Clinical Judgement and Collaborative Care                                        
Clinical Companion Medical Surgical Nursing Concepts for Clinical Judgement and Collaborative Care                                        
Microbiology A systems Approach                                        
Nursing Informatics and The Foundation of Knowledge                                        
Nursing Outcomes Classification (NOC) Measurement of Health Outcomes                                        
Illustrated Study Guide for the NCLEX-PN EXAM                                        
Q&amp;A Review for the NCLEX-RN Examination                                        
Qualittative Research in Nursing And Healthcare                                        
Prioritization, Delegation, and Assignment in LPN/LVN Nursing Practice Exercises for the NCLEX-PN Examination                                        
Professional Governance for Nursing The Framework for Accountability, Engamenet, and Excellence                                        
Psychiatric Mental Health Nursing An Interpersonal Approach                                        
Sheehy's Manual of Emergency Care                                        
Refern's Nursing Older People                                        
Swearinges's All-In-One Nursing Care Planning Resource Medical-Surgical, Psychiatric, Maternity, and Psychiatric-Mental Health                                        
Teaching in Nursing A Guide for Faculty                                        
Wong's Nursing Care of Infants and Children                                        
Artist's Guide to human Anatomy                                        
ECG Core Curriculum                                        </t>
  </si>
  <si>
    <t>PO31904</t>
  </si>
  <si>
    <t xml:space="preserve">3 ROLLS FLAT CORD </t>
  </si>
  <si>
    <t>PO31877</t>
  </si>
  <si>
    <t xml:space="preserve">1 WATER DISPENSER </t>
  </si>
  <si>
    <t>PO32132</t>
  </si>
  <si>
    <t>3PCS EMPERADOR LIGHTS MARBLE</t>
  </si>
  <si>
    <t>PO31365</t>
  </si>
  <si>
    <t>3 PCS PLYWOOD #3/4" X 4"X8", 1 TR POLITUFF W/ HARDENER, 4 PCS S4S KD #2X2X8, 1 GAL PAINT THINNER, 1 GAL LACQUER THINNER, 2 PCS PAINT BRUSH #1, 2 PCS PAINT ROLLER #4 (COTTON)</t>
  </si>
  <si>
    <t>PO32008</t>
  </si>
  <si>
    <t xml:space="preserve">5 PCS. 1/2 PLYWOOD 1/2 X 4 X 8
10 PCS. METAL PARRING 0.8 X 5 METERS
10 LITERS SEALANT/VULCASEAL
500 BAGS BINISTAY
5 PCS. DIAMOND DISK (SUPER THIN)
5 PCS. PLYWOOD 3/4 X 4 X 8
</t>
  </si>
  <si>
    <t>PO31830</t>
  </si>
  <si>
    <t xml:space="preserve">250 BAGS ADHESIVE
250 BAGS CEMENT 
1250 SACKS BINISTAY
20 BAGS GROUT 2KL PER BAG
10 PCS SEALER 100G PER PC
3 PCS PLYWOOD HARDIFLEX 1/2 X 4 X 8
2PCS BOY  TUFF 
1GAL QDE WHITE </t>
  </si>
  <si>
    <t>PO31997</t>
  </si>
  <si>
    <t>2 IWATA</t>
  </si>
  <si>
    <t>PO31902</t>
  </si>
  <si>
    <t xml:space="preserve">CLASSROOM CHAIRS 
28 RM 1
49 RM 2
40 RM 4 
40 RM 5
16 SPED </t>
  </si>
  <si>
    <t>PO31677</t>
  </si>
  <si>
    <t xml:space="preserve">1 PC TOWER FAN </t>
  </si>
  <si>
    <t>PO31837</t>
  </si>
  <si>
    <t>1PC PODIUM</t>
  </si>
  <si>
    <t>PO#0828</t>
  </si>
  <si>
    <t>60PCS TERRAZO
REORDER:
70 BAGS ADHESIVE
40 BAGS CEMENT
250 BAGS BINISTAY
10 LT SEALER</t>
  </si>
  <si>
    <t>PO31916</t>
  </si>
  <si>
    <t>6.5 X 13.5 FT WITH SEAMING AND EYELET ALL OVER 1PC SMART SUMMER TARP</t>
  </si>
  <si>
    <t>PO32031</t>
  </si>
  <si>
    <t xml:space="preserve">SOLAR LIGHTS 80 WATTS </t>
  </si>
  <si>
    <t>PO31888</t>
  </si>
  <si>
    <t xml:space="preserve">1 PODIUM </t>
  </si>
  <si>
    <t>PO32105</t>
  </si>
  <si>
    <t xml:space="preserve">1 BOX THHN #12 
3PCS ELECTRICAL TAPE 
50PCS BLACK SCREW #2
10 PCS AMCO BOX 
4PCS PIN LIGHT 
</t>
  </si>
  <si>
    <t>PO32379</t>
  </si>
  <si>
    <t>1 PC TARPAULIN 3FT H X 2FT W</t>
  </si>
  <si>
    <t>PO32029</t>
  </si>
  <si>
    <t xml:space="preserve">1 AMCO BOX 
8 MOLDING 3/4 
2 SACHETS NO MORE NAILS MEDIUM PACK 
80METERS FLAT CORE #16 
13 PCS WIDE SERIES OUTLET 2 GANG OMNI </t>
  </si>
  <si>
    <t>PO31740</t>
  </si>
  <si>
    <t>WATER DISPENSER 3PCS.</t>
  </si>
  <si>
    <t>PO32034</t>
  </si>
  <si>
    <t>7 ORBIT FANS 16" GRAY COLOR</t>
  </si>
  <si>
    <t>PO32078</t>
  </si>
  <si>
    <t xml:space="preserve">1 ORBIT FAN </t>
  </si>
  <si>
    <t>PO31806</t>
  </si>
  <si>
    <t xml:space="preserve">COMPUTER TABLE CHAIRS (PLS SEE ATTACHED ACTUAL IMAGE) 28 PCS. </t>
  </si>
  <si>
    <t>PO31659</t>
  </si>
  <si>
    <t>TEACHER'S TABLE (REORDER) SUPPLIER ELLETECH</t>
  </si>
  <si>
    <t>PO32307</t>
  </si>
  <si>
    <t>1 WOOD PAPER CUTTER A3 SIZE</t>
  </si>
  <si>
    <t>PO32266</t>
  </si>
  <si>
    <t>1 RE-ORDER OF 
-TAMRON SP 17-50MM F/2.8 XR FOR CANON</t>
  </si>
  <si>
    <t>PO31746</t>
  </si>
  <si>
    <t>ETIC WHITE NATURALE TILE  RM21203 - 2400 PCS</t>
  </si>
  <si>
    <t>PO32164</t>
  </si>
  <si>
    <t>10 AUDIO VISUAL GUIDELINES - A3 SINTRA BOARD (11.7"X 11.5") 3 MM
140 E-CLASSROOM GUIDELINES - A3 SINTRA BOARD(11.7" X 16.5") 3MM
COMPUTER LABORATORY POLICY- A3 SINTRA BOARD (11.7"X16.5") 3MM</t>
  </si>
  <si>
    <t>PO31864</t>
  </si>
  <si>
    <t>10 TIN FLAT LATEX (BOYSEN)
2 TIN QDE WHITE (BOYSEN) 
2 GAL PAINT THINNER (ANY BRAND )
5 PCS PAINT BRUSH #2
5 PCS PAINT BRUSH #7
5 METERS SANDING PAPER #100
5 KGS RAGS 
3 LITERS POLITUFF W/ HARDENER 
3 GALLON EMMISION 
2 GALLON VULCASEAL
5 QNT SOLVENT</t>
  </si>
  <si>
    <r>
      <rPr>
        <rFont val="Arial"/>
        <b/>
        <color theme="1"/>
      </rPr>
      <t xml:space="preserve">REMARKS
</t>
    </r>
    <r>
      <rPr>
        <rFont val="Arial"/>
        <b val="0"/>
        <color theme="1"/>
      </rPr>
      <t>(Kindly put reasons for item below 4)</t>
    </r>
  </si>
  <si>
    <t>PO31771</t>
  </si>
  <si>
    <t>RUBBERIZED PAINT (BEIGE) 10 GALLONS SEE ATTACHED SAMPLE 
SUPPLIER: WILCON
BABY RULLER 2PCS
PAINT BRUSH #2 2PCS</t>
  </si>
  <si>
    <t>PO31769</t>
  </si>
  <si>
    <t>FLEXIBOND (DAVIES BRAND) 10 GALLONS
BABY RULER 2PCS
PAINT BRUSH 2PCS</t>
  </si>
  <si>
    <t>PO#0935</t>
  </si>
  <si>
    <t>115 NURSING PINS
115 INVITATIONS 8.5 IN X 11 IN FOLDED INTO HALF</t>
  </si>
  <si>
    <t>PO32173</t>
  </si>
  <si>
    <t>40PCS LED LIGHTS 50 WATTS
150 METERS ROYAL CORD 3 PHASE #16
20 PCS TABULAR 1X1 
1 BOX WELDING ROD
10 PCS BOLT NUTS 1/4X2</t>
  </si>
  <si>
    <t>PO31569</t>
  </si>
  <si>
    <t>4 CLONE CORE I5 PC (SAME W/ PO3006) 4
-INTEL CORE I5 12TH GEN W/ LATEST VIDEO CARD
VIEWSONIC VA1903H- 18.5" TN 60HZ VGA/ HDMI MONITOR 9</t>
  </si>
  <si>
    <t>PO31860</t>
  </si>
  <si>
    <t>VEX IQ POSTER 
PRINT ON SINTRA BOARD
9 PCS 1ST GENERATION (SIZE 60CM X 85 CM )
6 PCS 2ND GENERATION (SIZE 60CM X 85 CM )
4 PCS IQ COMPETITION KIT (SIZE 60CM X 85 CM )</t>
  </si>
  <si>
    <t>PO32403</t>
  </si>
  <si>
    <t>3 BOXES CALLING CARD FOR DR JO</t>
  </si>
  <si>
    <t>PO32300</t>
  </si>
  <si>
    <t>15 PCS 2 GANG CONVENIENCE OUTLET
4PCS LED PANNEL LIGHT 60X60
5 SETS P TRAP DRAIN PIPE 
5PCS BLANK PLATE (COVER)
12 PCS ANGLE VALVE (TWO WAY)</t>
  </si>
  <si>
    <r>
      <rPr>
        <rFont val="Arial"/>
        <b/>
        <color theme="1"/>
      </rPr>
      <t xml:space="preserve">5     </t>
    </r>
    <r>
      <rPr>
        <rFont val="Arial"/>
        <color theme="1"/>
      </rPr>
      <t xml:space="preserve"> </t>
    </r>
    <r>
      <rPr>
        <rFont val="Arial"/>
        <b/>
        <color theme="1"/>
      </rPr>
      <t>EXCELLENT -</t>
    </r>
    <r>
      <rPr>
        <rFont val="Arial"/>
        <color theme="1"/>
      </rPr>
      <t xml:space="preserve"> Supplier conformed to all requirements, accurate delivery, good quality, competitive 
                                 price, timeliness of delivery, after sales, compliance to regulatory requirements.</t>
    </r>
  </si>
  <si>
    <t>PO32114</t>
  </si>
  <si>
    <t>6PCS TEACHER'S TABLE</t>
  </si>
  <si>
    <r>
      <rPr>
        <rFont val="Arial"/>
        <b/>
        <color theme="1"/>
      </rPr>
      <t xml:space="preserve">4.5 - 5.0 </t>
    </r>
    <r>
      <rPr>
        <rFont val="Arial"/>
        <color theme="1"/>
      </rPr>
      <t xml:space="preserve">    ||  Strongly Recommended</t>
    </r>
  </si>
  <si>
    <t>PO#0892</t>
  </si>
  <si>
    <t>Terazzo Beige Matte (reorder)</t>
  </si>
  <si>
    <t>PO32223</t>
  </si>
  <si>
    <t>9 PCS UV LIGHT STERILIZATION LAMP (3 PCS/ FLOOR)</t>
  </si>
  <si>
    <r>
      <rPr>
        <rFont val="Arial"/>
        <b/>
        <color theme="1"/>
      </rPr>
      <t>4      VERY GOOD</t>
    </r>
    <r>
      <rPr>
        <rFont val="Arial"/>
        <color theme="1"/>
      </rPr>
      <t xml:space="preserve"> - Supplier conformed to all requirements, accurate delivery, good quality, competitive 
                                 price, timeliness of delivery, after sales, compliance to regulatory requirements.</t>
    </r>
  </si>
  <si>
    <r>
      <rPr>
        <rFont val="Arial"/>
        <b/>
        <color theme="1"/>
      </rPr>
      <t>4.0 - 4.49</t>
    </r>
    <r>
      <rPr>
        <rFont val="Arial"/>
        <color theme="1"/>
      </rPr>
      <t xml:space="preserve">   ||  Recommended</t>
    </r>
  </si>
  <si>
    <t>PO#0890</t>
  </si>
  <si>
    <t xml:space="preserve">20 BOXES TERRAZO TILES </t>
  </si>
  <si>
    <r>
      <rPr>
        <rFont val="Arial"/>
        <b/>
        <color theme="1"/>
      </rPr>
      <t>3      GOOD</t>
    </r>
    <r>
      <rPr>
        <rFont val="Arial"/>
        <color theme="1"/>
      </rPr>
      <t xml:space="preserve"> - Supplier conformed to all requirements, accurate delivery, good quality, competitive price, 
                       timeliness of delivery, after sales, compliance to regulatory requirements (1-2 deviations).</t>
    </r>
  </si>
  <si>
    <r>
      <rPr>
        <rFont val="Arial"/>
        <b/>
        <color theme="1"/>
      </rPr>
      <t xml:space="preserve">3.5 - 3.99   </t>
    </r>
    <r>
      <rPr>
        <rFont val="Arial"/>
        <color theme="1"/>
      </rPr>
      <t>||  Acceptable</t>
    </r>
  </si>
  <si>
    <r>
      <rPr>
        <rFont val="Arial"/>
        <b/>
        <color theme="1"/>
      </rPr>
      <t>2      FAIR</t>
    </r>
    <r>
      <rPr>
        <rFont val="Arial"/>
        <color theme="1"/>
      </rPr>
      <t xml:space="preserve"> - Supplier conformed to requirements, specifications and standards of good 
                   with 3-4 non-conformance issues.</t>
    </r>
  </si>
  <si>
    <t>PO32033</t>
  </si>
  <si>
    <t xml:space="preserve">2 PCS WHITE QUARTZ 300CM X 140 CM 
4 GALS SEALER </t>
  </si>
  <si>
    <r>
      <rPr>
        <rFont val="Arial"/>
        <b/>
        <color theme="1"/>
      </rPr>
      <t xml:space="preserve">3.0 - 3.49 </t>
    </r>
    <r>
      <rPr>
        <rFont val="Arial"/>
        <color theme="1"/>
      </rPr>
      <t xml:space="preserve">  ||  Acceptable w/ some Reservation</t>
    </r>
  </si>
  <si>
    <r>
      <rPr>
        <rFont val="Arial"/>
        <b/>
        <color theme="1"/>
      </rPr>
      <t>1      POOR</t>
    </r>
    <r>
      <rPr>
        <rFont val="Arial"/>
        <color theme="1"/>
      </rPr>
      <t xml:space="preserve"> - Supplier conformed to few requirements, specifications and standards of good workmanship
                      with 6 or more non-conformance. </t>
    </r>
  </si>
  <si>
    <r>
      <rPr>
        <rFont val="Arial"/>
        <b/>
        <color theme="1"/>
      </rPr>
      <t>Below 3.0</t>
    </r>
    <r>
      <rPr>
        <rFont val="Arial"/>
        <color theme="1"/>
      </rPr>
      <t xml:space="preserve">  ||  Not Recommended</t>
    </r>
  </si>
  <si>
    <r>
      <rPr>
        <rFont val="Arial"/>
        <b/>
        <color theme="1"/>
      </rPr>
      <t xml:space="preserve">Note: </t>
    </r>
    <r>
      <rPr>
        <rFont val="Arial"/>
        <color theme="1"/>
      </rPr>
      <t>This form is used after the delivery of item/s. This will be done per transaction w/ supplier</t>
    </r>
  </si>
  <si>
    <t>105351B</t>
  </si>
  <si>
    <t>PO32214</t>
  </si>
  <si>
    <t>PO31674</t>
  </si>
  <si>
    <t>TABLES 30
CHAIRS 30</t>
  </si>
  <si>
    <t>PO31970</t>
  </si>
  <si>
    <t>1 ORBIT FAN</t>
  </si>
  <si>
    <t>PO32230</t>
  </si>
  <si>
    <t>HEAVY DUTY FLAGS 3X5
4 EACH CANADA, CHINA, INDIA, JAPAN, LIBERIA, NETHERLANDS, PAKISTAN, KOREA, UK, USA, PHILIPPINES, SOUTHVILLE
2 EACH AUSTRALIA, BANGLADESH, EGYPT, GERMANY, HONGKONG, INDONESIA, IRELAND, ITALY, JORDAN, NIGERA, RUSSIA, SRI LANKA, SWITZERLAND, THAILAND</t>
  </si>
  <si>
    <t>PO32231</t>
  </si>
  <si>
    <t>4 SETS BADMINTON NET SET
20 PCS BADMINTON RACKET
20 TUBES BADMINTON SHUTTLECOCK
20 SETS CHESS SET (PORTABLE +FOLDABLE) 50X50 CM (TOURNAMENT SIZE)</t>
  </si>
  <si>
    <t>PO32499</t>
  </si>
  <si>
    <t xml:space="preserve">4 PCS BIG TRASHBIN 240 L
2 PCS OROCAN BASIN 23"
4 PCS BROOM STICKS
1 MOP 360 DEG TORNADO MOP
4 PCS PUSHBRUSH PLATIC
5 PCS HANDBRUSH PLASTI HEAVY DUTY
4 PCS SOFTBROOM </t>
  </si>
  <si>
    <t>PO32500</t>
  </si>
  <si>
    <t>2 PCS BED FOAM 190 X 70 X 10 CM / 70 X 28 INCH</t>
  </si>
  <si>
    <t>PO32498</t>
  </si>
  <si>
    <t>PO31828</t>
  </si>
  <si>
    <t>1SET VEX IQ RAPID RELAY KIT, 4 SETS VEX IQ COMPETITON KIT (2ND GEN), 10 PACKS RUBBER SHAFT COLLAR (VEX IQ), 1 UNIT BAMBU LAB PIS COMPBO US 3D PRINTER. 1 UNIT CREALITY FILAMENT DRY BOX VER. 2</t>
  </si>
  <si>
    <t>PO32089</t>
  </si>
  <si>
    <t>2 PCS EACH COLOR ESUN PLA+ FILAMENT 1.75MM PLA PLUS 1KG SPOOL FOR 3D PRINTER (PURPLE, GREEN, WHITE, BLACK, GRAY, RED, PINK, BLUE, BROWN, GOLD, SILVER, ORANGE) 
2PCS PLATO PCAFC 170 WISHFUL CLAMP SHEAR SIDE CUTTER</t>
  </si>
  <si>
    <t>PO31824</t>
  </si>
  <si>
    <t>PO31206</t>
  </si>
  <si>
    <t>EPSON EBX51 XGA 3LCD PROJECTOR 3800 LUMENS (3)
-ROOM 406
-BIO LAB
-MPH C</t>
  </si>
  <si>
    <t>PO32447</t>
  </si>
  <si>
    <t>1 PC RUIJIE REYES RG-EG210G-P-V3 IPSEC ROUTER</t>
  </si>
  <si>
    <t>PO32450</t>
  </si>
  <si>
    <t>20 MERCUSYS MU6H AC650 WIFI USB ADAPTER 200 MBPS 2.4 GU2 400 MBPS ON 5GHZ</t>
  </si>
  <si>
    <t>PO31747</t>
  </si>
  <si>
    <t xml:space="preserve"> Homogenous white tiles 270 pcs CODE: JBC-B9Q</t>
  </si>
  <si>
    <t>PO32332</t>
  </si>
  <si>
    <t>48 8GB RAM DDR4-2133 MHZ
24 KINGSTON SSD 256 GB</t>
  </si>
  <si>
    <t>CLASSIFICATION</t>
  </si>
  <si>
    <t>PO32393</t>
  </si>
  <si>
    <t>2PCS UGREEN HDMI SPLITTER (1 IN 4 OUT)</t>
  </si>
  <si>
    <t>PO32411</t>
  </si>
  <si>
    <t>1 CLONED CORE I5 SYSTEM UNIT, 
1 MERI WALL SCREEN MANUAL PULL, 
1 EB-X51 XGA 3 LCD PROJECTOR
1 EDIFIER X100 SPEAKER
2 VA1903H-2 19" MONITOR VIEWSONIC
3 TCL UHD 55P71B SMART ANDROID TV
1 MAONA AU-BM10 CONFERENCE MIC
1 VENTION 10M HDMI CABLE
1 ACTIVE USB 2.0 EXTENSION CABLE 
2 LOGITECH C270 HD WEB CAM
1 VENTION VGA CABLE 15m</t>
  </si>
  <si>
    <t>2024
-2025</t>
  </si>
  <si>
    <t>2023
-2024</t>
  </si>
  <si>
    <t>PO32406 D</t>
  </si>
  <si>
    <t>PO32409 B</t>
  </si>
  <si>
    <t>PO31290</t>
  </si>
  <si>
    <t>30 BOXES TILES (60X60)
750 BAGS BINISTAY (151 KL./BAG)
2 PCS. WHITE QUARTZ 4X8
20 BAGS CEMENT
20 BAGS ADHESIVE</t>
  </si>
  <si>
    <t>PO31928</t>
  </si>
  <si>
    <t>28 PCS PAR20 10W - 220 V-60HZ (GARDEN SPIKE LIGHT MODEL:ZEAT)
1 BOX ELECTRONIC WIRE #14</t>
  </si>
  <si>
    <t>PO32410 A</t>
  </si>
  <si>
    <t>PO31893</t>
  </si>
  <si>
    <t>3 PCS MARINE PLYWOOD #3/4 X 4' X 8'
50 PCS BLOCK SCREW METAL #1 1/2</t>
  </si>
  <si>
    <t>PO31748</t>
  </si>
  <si>
    <t xml:space="preserve">160 SACKS ADHESIVE (FOR SUBWAY TILES AND SOME CLADDING)
7 TIN  SKIM COAT (WHITE)
120 PCS GROUT (CLADDING &amp; SUBWAY TILES) </t>
  </si>
  <si>
    <t>PO31457</t>
  </si>
  <si>
    <t>KIINGSTON RAM DDR3 (4GB) 47
KINGSTON RAM DDR4 (4GB) 25</t>
  </si>
  <si>
    <t>PO32013</t>
  </si>
  <si>
    <t xml:space="preserve">35PCS VIRO RF1011 ROUND FIXED RECESSED LED DOWNLIGHT W/VIRO M23000K 60D WARM WHITE ON/OFF LED DRIVER 
265PCS VIRO T-GRID ASO6-N13-9M840 AROSA 600MM BASIC TGRID FLEX LIGHTING SYSTEM 13W 90 DEG. BEAM ANGLE 48V 1280LM 4000K COOLWHITE
20PCS EPO UFO CEILING MOUNTED EMERGENCY LIGHT 3W HEAVY DUTYWITH SELF TEST FEATURE LITHIUM ION BATTERY DAYLIGHT </t>
  </si>
  <si>
    <t>PO31654</t>
  </si>
  <si>
    <t>COMPUTER SET 2
-AMD RYZEN 55600 TRAY 
-ASROCK ASROCK B550M PRO4
-PNY GEFORCE RTXX 3050 8GB
-TFORCE DELTA RGB 16GB
-KINGSTON 500GB NV2
-THERMLARIGHT THERMAL COOLER
-NVISION FRAMELESS MONITOR</t>
  </si>
  <si>
    <t>PO31616</t>
  </si>
  <si>
    <t xml:space="preserve">TCL TV 55 SMART W/ BRACKET WALL MOUNTED </t>
  </si>
  <si>
    <t>PO31499</t>
  </si>
  <si>
    <t>IMOU BULLET WIFI CAM - 4MP IP-NONPOE WITH SD CARD 256GB
- LUX CAMPUS 49 PCS
- COLLEGE CAMPUS 27 PCS
- TROPICAL CAMPUS 27PCS
- EXTRA SD CARD 256GB 20 PCS</t>
  </si>
  <si>
    <t>PO31561</t>
  </si>
  <si>
    <t xml:space="preserve">TCL UHD 55PG35 SMART ANDROID TV 8
</t>
  </si>
  <si>
    <t>PO31929</t>
  </si>
  <si>
    <t>12 TINS ROOF GUARD BEIGE 
5 GALONS PAINT THINNER 
5PCS PAINT BRUSH #5</t>
  </si>
  <si>
    <t>PO32241</t>
  </si>
  <si>
    <t xml:space="preserve">2TIN FLAT WALL ENAMEL WHITE
2TIN QDE WHITE 
2GAL LAQUER THINNER 
2TIN CHOCOLATE BROWN </t>
  </si>
  <si>
    <t>PO31880</t>
  </si>
  <si>
    <t>GE CIRCUIT BREAKERS 
2PCS 20 A
2 PCS 30 A
2PCS 40 A
2PCS 60 A</t>
  </si>
  <si>
    <t>PO31573</t>
  </si>
  <si>
    <t xml:space="preserve">UGREEN HDMI CABLE 2.0 10METERS 10PCS
ACTIVE USB  2.0/ 3.0 EXTENDER 15 METERS 10
</t>
  </si>
  <si>
    <t>PO31419</t>
  </si>
  <si>
    <t>EPSON EB-X51 XGA 3LCD PROJECTOR 25PCS</t>
  </si>
  <si>
    <t>Total Average</t>
  </si>
  <si>
    <t>PO31444</t>
  </si>
  <si>
    <t xml:space="preserve">
JOLLY PLASTIC PALLET (SIZE 120 x 99x 15CM) 5PCS</t>
  </si>
  <si>
    <t>PO31452</t>
  </si>
  <si>
    <t>KINGSTON SSD (256GB) 228PCS</t>
  </si>
  <si>
    <t>PO31586</t>
  </si>
  <si>
    <t xml:space="preserve">6 LOGITECH C270 HD WEB CAM 6
6 LOGITECH H390 HEADSET 6
</t>
  </si>
  <si>
    <t>PO32740</t>
  </si>
  <si>
    <t>LENOVO IDEACENTRE 3 071RB8 INTEL CORE I5 DESKTOP</t>
  </si>
  <si>
    <t>PO32515</t>
  </si>
  <si>
    <t>40 PCS HDMI TO VGA CONVERTER 
40 PCS UGREEN DVI TO VGA CONVERTER
5PCS FLASHDRIVE USB 64GB SANDISK ULTRA 3.0</t>
  </si>
  <si>
    <t>PO32825</t>
  </si>
  <si>
    <t>CABLE TIE BLACK 200MM (100PCS PER PACK)</t>
  </si>
  <si>
    <t>PO32824</t>
  </si>
  <si>
    <t>MERCUSYS MUA6H WIFI RECEIVER</t>
  </si>
  <si>
    <t>182 PACKS PAPER WATER COLOR PAPER CANSON A4 10PCS/PACK</t>
  </si>
  <si>
    <t>PO32654</t>
  </si>
  <si>
    <t>300 PCS SIGN PEN PILOT BLACK</t>
  </si>
  <si>
    <t>PO32352</t>
  </si>
  <si>
    <t>1243 PCS LIL HAND MODELING CLAY SCENTED NEON COLORS 10S 180G 
1284 PCS BOX OF CRAYONS CRAYOLA DOUBLE 16 PCS
344 PCS PENCIL COLORED 12S LIL HANDS
2249 PCS PENCIL SISC PURPLE 
33 PCS WATER COLOR PRANG 8S
139 PCS WATER COLOR LIL HANDS</t>
  </si>
  <si>
    <t>PO32870</t>
  </si>
  <si>
    <t>500 PCS WHITE CARTOLINA
500 PCS BLACK CARTOLINA</t>
  </si>
  <si>
    <t>PO31979</t>
  </si>
  <si>
    <t xml:space="preserve">USB FLASHDRIVE 64 GB </t>
  </si>
  <si>
    <t>Office Supplies &amp; Equipment</t>
  </si>
  <si>
    <t>PO32101</t>
  </si>
  <si>
    <t>1 MANUAL SERIES: CREATIVE EDUCATION FOR CHILDREN
1 TEACHERS MANUAL ON SPECIALIZED WORKSHOPS FOR CHILDREN 
1 BITAW MANUAL
1 AWARENESS OF LIGHT</t>
  </si>
  <si>
    <t>PO32695</t>
  </si>
  <si>
    <t xml:space="preserve">1 EACH:
Teaching and Learning Shakespeare through Theatre-based Practice, 2024, PB					
Textbook of Digital Media and Communication, 2025, PB					
Theatre In a Post-Truth World, 2024, PB					
Therizing Mediated Information Distortion, 2024, PB					
Ultimate Beginner's Guide to Photography, The, 2023, PB					
Understanding Broadcast Journalism, 2024, PB					
Video Theories, 2022, PB					
Visual Activism In the 21st Century, 2024, PB					
Visual Communication: From Theory to Practice, 2025, PB					
Visual Methodologies, 5e, 2023, PB					
Web Design: A Beginner's Gde., 2025, PB					
World Design for 20 Action-Adventures, 2025, PB					
Writing for Media-Theory, 2025, HB					
Writing for News &amp; Public Affairs, 2025, PB					</t>
  </si>
  <si>
    <t>PO32694</t>
  </si>
  <si>
    <t xml:space="preserve">1 EACH:
Principles and Processes of Interactive Design, The, 2e, 2024, PB					
Principles of Intercultural Communication, 3e, 2025, PB					
Print, Newspapers and the Public, 2025, PB					
Public Relations for Dummies, 3e, 2025, PB					
Routledge Companion to Theatre and Performance, The, 3e, 2025, PB					
Scene-Writing for FILM and TV, 2025, PB					
Screen Writing: The Sequence Approach, 2e, 2024, PB					
Screenwriters Advice, 2024, PB					
Seeing it on Television, 2022, PB					
Selling Online for Dummies, 2025, PB					
Show and Biz: The Market Economy In TV Series..., 2025, PB					
Social Media Communication, 2022, PB					
Social Media: A Critical Introduction, 4e, 2024, PB					
Story Mode: The Creative Writer's Guide to Narrative Video Game Design, 2024, PB					
Strategic Brand Design, 2025, PB					</t>
  </si>
  <si>
    <t>PO32833</t>
  </si>
  <si>
    <t xml:space="preserve">1 EACH:
Journalism Tools and Techniques					
Media of Communication: Radio, TV, and Video					</t>
  </si>
  <si>
    <t>PO32834</t>
  </si>
  <si>
    <t xml:space="preserve">1 EACH:
Real Estate  Investment and Finance: Strategies ,Structure, Decision					
Real Estate Game Changers					
Real Estate Finance and Investment Risk &amp; Opportunities					</t>
  </si>
  <si>
    <t>PO32702</t>
  </si>
  <si>
    <t xml:space="preserve">1 EACH:
Integrative Arts Psychotherapy, 2022, PB					
Intentional Interviewing &amp; Counseling, 2023, 10e, PB					
Introduction to Culture and Psychology, An, 2025, PB					
Introduction to Educational Philosophy , 2025, PB					
Introduction to Family Therapy, An: Systemic Theory and Practice , 2024, 5e, PB					
Introduction to Human Factors: Applying Psychology to Design , 2025, 2e , PB					
Introduction to Stress &amp; Health, 2023, 2e, PB					
Introduction to the Practice of Psychoanalytic Psychotherapy , 2025, 3e , PB					
Low-Intensity CBT Skills &amp; Interventions, 2025, 2e, PB					
Making Research Relevant: Applied Research Designs for the Mental Health.., 2025, PB					
Managing Intense Emotions and Overcoming Self-Destructive Habits , 2025, PB					
Nonviolent Resistance in Trauma-Focused Practice , 2025, PB					
Organisational Behaviour: Core Concepts and Applications , 2025, 6e , PB					
Organization Development: The Process of Leading.., 2020, 5e, PB					
Organizational Behavior, 2025, PB					</t>
  </si>
  <si>
    <t>Advance Solutions Inc.</t>
  </si>
  <si>
    <t>PO32835</t>
  </si>
  <si>
    <t xml:space="preserve">1 EACH:
Encyclopedia of Journalism and Mass Communication					
Journalism of Public Relations					
Writing for Media Theory					
Photo Journalism Theory					
Media  Society and Communication					
Impact of Social Media in Peace and Security					
Multimedia System and Peripheral Devices					
Journalism and Mass Communication					
Mass Media And Communication					
Freedom of Press and Journalism					
Social Dynamics of Mass Communication					
Journalism In New Millenium					
Media and Democracy					</t>
  </si>
  <si>
    <t>PO32703</t>
  </si>
  <si>
    <t xml:space="preserve">1 EACH:
Organizational Behavior: Managing People and Organizations, 2020, 13e, PB					
ORGB7:  Organizational Behavior, 2025, PB					
Personality, 2023, 11e, PB					
Philosophical Foundations of Psychotherapy , 2025, PB					
Positive Psychology, 2025, 2e, PB					
Practice of Clinical and Counselling Supervision, The , 2025, 3e , PB					
Psychmapping in Sport, Exercise and Performance , 2025, PB					
Psychoanalysis and Severe Disorders in Young Children , 2025, PB					
Psychodynamic Counselling in Action, 2024, PB					
Psychological Digital Practice: The Basics and Beyond , 2025, PB					
Psychological Disorders and Therapies: DSM5 Perspective, 2024, HB					
Psychological Process in Social Media , 2025, PB					
Psychology and Educational Inclusion , 2024, PB					
Psychology of Eating , 2025, 3e , PB					
Psychology of Human Sexuality, The , 2024, 3e, PB					</t>
  </si>
  <si>
    <t>PO32704</t>
  </si>
  <si>
    <t xml:space="preserve">1 EACH:
Psychology of Prenatal Development, The , 2025, PB					
Psychology: A Complete Introduction, 2025, PB					
Psychology: Perspectives and Connections , 2024, PB					
Psychology: World Edition, 2023, 2e, PB					
Psychopathology and Mental Distress: Contrasting Perspectives, 2024, 2e, PB					
Psychopathology: An Introduction , 2025, HB					
Rational Emotive Behavior Therapy Integrated , 2025, 2e , HB					
Relational Counselling &amp; Psychotherapy, 2025, PB					
Relational Team Coaching, 2024, PB					
Reporting in Counselling and Psychotherapy , 2025, PB					
Research Methods for Behavioral Sciences, 2026, 7e, PB					
Rethinking the Psychoanalysis of Masculinity, 2024, PB					
Schizophrenia: An Unfinished History, 2022, HB					
Science of Psychology 6, The, 2023, PB					
Sensation &amp; Perception, 2022, 2e, PB					</t>
  </si>
  <si>
    <t>PO32829</t>
  </si>
  <si>
    <t xml:space="preserve">1 EACH:
Real Estate Planning and Development					
Real Estate Investment and Financial Analysis					
Real Estate Planning How to Buy a House					
Commmercial Real Estate: Analysis and Investment					
Fundamental of Real Estate Management					
Foundation of Real Estate Financial Modelling					
Real Estate  Markeing And Brokerage					
Real Estate  Consulting and Investment Analysis					
Real Estate  Finance					
Legal Aspect of Real Estate 					
Real Estate  Consulting 					
Real Estate  Laws					
Real Estate  Appraisal and Property Management					</t>
  </si>
  <si>
    <t>PO32562</t>
  </si>
  <si>
    <t>1 PC OXFORD IB DIPLOMA PROGRAMME:CAUSES AND EFFECTS OF 20TH CENTURY WAR COMPANION
1 PC OXFORD IB DIPLOMA PROGRAMME:HISTORY OF THE AMERICAS 1880-1981 COURSE COMPANION
1 PC OXFORD IB DIPLOMA PROGRAMME:IB PREPARED: HISTORY
1 PC OXFORD IB DIPLOMA PROGRAMME:IB ECONOMICS COURSE BOOK
1 PC OXFORD IB DIPLOMA PROGRAMME:BUSINESS AND MANAGEMENT COURSE BOOK
1 PC OXFORD IB DIPLOMA PROGRAMME:IB DP EXTENDED ESSAY COURSE BOOK 
1 PC OXFORD IB DIPLOMA PROGRAMME:IB DP VISUAL ARTS COURSE BOOK
1 PC OXFORD IB DIPLOMA PROGRAMME:IB PREPARED: THEORY OF KNOWLEDGE
1 PC OXFORD IB DIPLOMA PROGRAMME:IB PREPARED: ENGLISH A LANGUAGE AND LITERATURE
1 PC OXFORD IB DIPLOMA PROGRAMME:IB PREPARED: ENGLISH A LITERATURE 
1 PC OXFORD IB DIPLOMA PROGRAMME:IB PREPARED: ENGLISH B
1 PC OXFORD IB DIPLOMA PROGRAMME:IB PREPARED ECONOMICS</t>
  </si>
  <si>
    <t>PO32561</t>
  </si>
  <si>
    <t>PO32563</t>
  </si>
  <si>
    <t>PO32805</t>
  </si>
  <si>
    <t>PO32633</t>
  </si>
  <si>
    <t>PO32624</t>
  </si>
  <si>
    <t>PO32919</t>
  </si>
  <si>
    <t>5 PCS PTZ CAMERA 
BRAND TENVEO NAME AUTO TRACKING CAMERA MODEL NO. TEVO UHD620A 4K</t>
  </si>
  <si>
    <t>PO32129</t>
  </si>
  <si>
    <t xml:space="preserve">2 MUNICH OPEN HOUSE TARP 
DETAILS:
SIZE W= 184 INCHES X H= 77 INCHES
THICKNESS 13OZ
ADD SEAMING AND EYELET ALL OVER </t>
  </si>
  <si>
    <t>PO32128</t>
  </si>
  <si>
    <t>PO31575</t>
  </si>
  <si>
    <t>PO32683</t>
  </si>
  <si>
    <t>4 CLONED PC 
8 MONITOR
6 TCL TV 55"
2 PTZ CAMERA 
1 MAC MINI M4 512GB
2 CLICKER 
2 MONITOR 24"
1 TCL TV 75"
1 BLACK MAGIC DESIGN ATEM MINI PRO HDMI VIDEO SWITCHER</t>
  </si>
  <si>
    <t>PO32706</t>
  </si>
  <si>
    <t>1 EPSON EB -X51</t>
  </si>
  <si>
    <t>PO32686</t>
  </si>
  <si>
    <t>PO#0970</t>
  </si>
  <si>
    <t>PROJECTOR SCREEN W= 117 INCHES H= 79 INCHES</t>
  </si>
  <si>
    <t>PO32730</t>
  </si>
  <si>
    <t>12 PAIRS RAIN BOOTS FOR MALE
1 PAIR RAINBOOTS FOR FEMALE
123 PACKS TRASHBAG 2XL (34" X 40 " ) CLEAR</t>
  </si>
  <si>
    <t>PO32327</t>
  </si>
  <si>
    <t>10 GALS FLOOR FINISH (STATE) MIGHTY SPARKLE DIAMOND 25 1 US GAL</t>
  </si>
  <si>
    <t>PO32988</t>
  </si>
  <si>
    <t>10 LONG ARCHIVE OR COMPARTMENT BOX BLACK 
2 PLASTIC STORAGE BOX 250 LITERS AND 160 LITERS IF 250 LITERS IS UNAVAILABLE</t>
  </si>
  <si>
    <t>PO32650</t>
  </si>
  <si>
    <t>500 PCS ENVELOPE BROWN SHORT
1000 PCS ENVELOPE PLASTIC EXPANDABLE LONG
300 PCS BALLPEN DONG A BLACK</t>
  </si>
  <si>
    <t>PO32712</t>
  </si>
  <si>
    <t xml:space="preserve">390 PCS MARKER WHITEBOARD PILOT BLACK </t>
  </si>
  <si>
    <t>PO32748</t>
  </si>
  <si>
    <t>20 PCS TONER CARTRIDGE CF212A YELLOW</t>
  </si>
  <si>
    <t>PO33140</t>
  </si>
  <si>
    <t>1 LOT LUX HALL AV SYSTEM EQUIPMENT</t>
  </si>
  <si>
    <t>PO33086</t>
  </si>
  <si>
    <t xml:space="preserve">10 PCS LED PAR LIGHT 
-54LED
-FRONT HEIGHT 22 CM
-BACK HEIGHT 20 CM
3 PCS LED PAR LIGHT STAND
-CAPACITY 4 PCS OF PAR LIGHTS
-HEIGHT 4FT UP TO 11.5 FT </t>
  </si>
  <si>
    <t>PO33082</t>
  </si>
  <si>
    <t>7 PCS DYNAMIC MICROPHONE
5 PCS MICROPHONE STAND</t>
  </si>
  <si>
    <t>PO32958</t>
  </si>
  <si>
    <t>1 SET SARAMONIC WITALK</t>
  </si>
  <si>
    <t>PO33030</t>
  </si>
  <si>
    <t>1 PC PTZ CAMERA CLAYSTICK BRAND TENVEO MODEL KB200PRO</t>
  </si>
  <si>
    <t xml:space="preserve">4 PCS HDMI EXTENDER LAN TO HDMI </t>
  </si>
  <si>
    <t>PO33038</t>
  </si>
  <si>
    <t>1 PC PER COUNTRY FLAG 
SPAIN, TUNISIA, DOMINICAN REPUBLIC, USA, ARGENTINA, AUSTRALIA, EGYPT, SURINAME, SPAIN, ZIMBABWE, ARGENTINA, PERU, BOLIVIA, CUBA, HAITI, JAPAN, SOUTH KOREA, ECUADOR</t>
  </si>
  <si>
    <t>PO32667</t>
  </si>
  <si>
    <t>10 PCS PANEL LIGHT DAY LIGHT
24 PCS DAWN LIGHT DAYLIGHT
6 BOX 60 X 120 ACOUSTIC BOARD 
150 PCS CROSS TEE
12 PCS WALL ANGLE
27 PCS T-RUNNER 
2 PCS ORBIT FAN
1 BOX EACH THHN THWW #12,#8,#10</t>
  </si>
  <si>
    <t>PO32418</t>
  </si>
  <si>
    <t>5 SET 3 GANG 1 WAY SWITCH
5 PCS 2 BLANK PLATE COVER ( BLACK)
7 PCS PVC ORANGE 1"
1 ROLL FLAT CORD #16
2 BX EACH SIZE ELECTRICAL WIRE #14 &amp; #12</t>
  </si>
  <si>
    <t>PO32419</t>
  </si>
  <si>
    <t>PO32504</t>
  </si>
  <si>
    <t>5 PCS UFO EMERGENCY LIGHT 3 WATTS 220 V
1 BOX ELECTRICAL WIRE #14 
1 ROLL FLEXIBLE CONDUIT 1/2 ORANGE</t>
  </si>
  <si>
    <t>PO32605</t>
  </si>
  <si>
    <t>66 PCS VIRO T-GRID ASO6-N13-9M840 ARO S2 600MM BASIC T-GRID FLEX LIGHTING SYSTEM 13W 90 DEG BE AN ANGLE 48V 1280 CM 400K COOL WHITE
27 PCS VIRO RF 1011 ROUND RECESSED LED DOWN LIGHT WITH VIRO M2 12W 3000 K 60 D WARM WHITE ON/OFF LEDDRIVER 1000LP</t>
  </si>
  <si>
    <t>PO32604</t>
  </si>
  <si>
    <t>5 PCS 11M CONTINOUS LED STRIPLIGHT 300K W/ MEAN WELL SUPPLY 24V 150 W MAX 10M 11 METERS
18 PCS EPO UFO CEILING MOUNTED EMERGENCY LIGHT 3W HEAVY DUTY W/ SELF TEST FEATURE LITHIUM ION BATTERY DAYLIGHT 
55 PCS PANEL LIGHT 60 X 60 40W 3000 K 230 V</t>
  </si>
  <si>
    <t>PO31816</t>
  </si>
  <si>
    <t xml:space="preserve">WOOD FLYERS HOLDER WITH ACRYLIC
96CM x 21CM, 1 pc. </t>
  </si>
  <si>
    <t>PO32937</t>
  </si>
  <si>
    <t>24 TOILET BOWL CLEANER STATE SHARK 1 U.S QUART 946ML</t>
  </si>
  <si>
    <t>PO32649</t>
  </si>
  <si>
    <t xml:space="preserve">1 EACH:
Innovative Teaching Strategies in Nursing, 2026, 9e, PB					
Leadrship, Mgt. &amp; Team Working in Nursing, 2025, 5e, PB					
Medical Terminology &amp; Anatomy, 2025, 5e, PB					
Nursing Care Plans: Diagnosis, Interventions, &amp; Outcomes, 2026, 11e, PB					
Nursing Ethics, 2023, 6e, PB					
Nursing Leadership and Management , 2025, PB					
Pathophysiology made Incredibly Easy! , 2025, 7e , PB					
Psychiatric Nursing , 2025, HB					
Role Development in Professional Nursing Practice, 2026, 7e, PB					
Succeeding in Literature Reviews &amp; Research Project in Nursing Students, 2025, 5e, PB					
Transcultural Concepts in Nursing Care, 2025, 9e, PB					</t>
  </si>
  <si>
    <t>PO33138</t>
  </si>
  <si>
    <t>10 - Paper, Fortune Copy 11X17 White A3</t>
  </si>
  <si>
    <t>12/1512025</t>
  </si>
  <si>
    <t xml:space="preserve">Lofex Construction &amp; Development </t>
  </si>
  <si>
    <t>PO33168</t>
  </si>
  <si>
    <t>3900 - Envelope, Expanding Plastic-Long, Adventurer</t>
  </si>
  <si>
    <t>PO33137</t>
  </si>
  <si>
    <t>1700 Folder, Pressboard Green Long Plain</t>
  </si>
  <si>
    <t>PO33190</t>
  </si>
  <si>
    <t>16 - Box of Paper, Continuous - 11 X 9.5 4ply</t>
  </si>
  <si>
    <t>PO33005</t>
  </si>
  <si>
    <t xml:space="preserve">Undergrad Toga Gown M, L, XL		71
Masteral Toga Gown MBA S, M, XL		12
Masteral Toga Gown MAP L		1
Hood Velvet MAP and MBA		8
Faculty Doctorate Toga Gown M		3
Faculty Doctorate Hood		3
Faculty Doctorate Cap		3
Doctorate Toga Set MAP (Doc Gene)		1
Masteral Toga Set MIT (Sir. Wallen)		1
</t>
  </si>
  <si>
    <t>Sales Trojan Manufacturing MFG. Corp.</t>
  </si>
  <si>
    <t>PO33004</t>
  </si>
  <si>
    <t>SISC Toga Gown Purple SHS		47 pcs.
SISC Stole SHS		63 pcs.
SISC Cap SHS		29 pcs.</t>
  </si>
  <si>
    <t>PO33131</t>
  </si>
  <si>
    <t>2028 pcs Clip, Binder Joy 1" (Medium)
2400 pcs Clip, Binder Joy 3/4" (Small)</t>
  </si>
  <si>
    <t>PO33145</t>
  </si>
  <si>
    <t>187 - Tape, Double Adhesive W/ Foam 1X1M</t>
  </si>
  <si>
    <t>PO33150</t>
  </si>
  <si>
    <t>240 - Paper, Carbon Paper Long, blue</t>
  </si>
  <si>
    <t>PO33147</t>
  </si>
  <si>
    <t>Print pilipinas</t>
  </si>
  <si>
    <t>200 Frame, Certificate Wood 8.5x11
57 Frame, Certificate Glass 11x14</t>
  </si>
  <si>
    <t>PO33148</t>
  </si>
  <si>
    <t>5000 Envelope, SISC Letter Colored w/o Window</t>
  </si>
  <si>
    <t>PO33035</t>
  </si>
  <si>
    <t>50 - Clipboard, Leather Long with Cover
"New Warehouse Item"</t>
  </si>
  <si>
    <t>PO33130</t>
  </si>
  <si>
    <t>PO33136</t>
  </si>
  <si>
    <t>1550 - Paper, Parchment - 8.5 x 11 Ordinary</t>
  </si>
  <si>
    <t>PO33422</t>
  </si>
  <si>
    <t>Frame, Certificate Glass 11 x 14        FRAM-GEN-10-0002        35 pcs.
Frame, Certificate Ordinary Brown A3        FRAM-GEN-10-0004        30 pcs.</t>
  </si>
  <si>
    <t>PO33282</t>
  </si>
  <si>
    <t>1300 Marker, Pilot Whiteboard - Black
700 Marker, Pilot Whiteboard - Blue
600 Marker, Pilot Whiteboard - Red
240 Tape, Double Adhesive w/ Foam - Polar Bear
500 Tape, Double Sided w/o Foam - Polar Bear
120 Push Pins 30'S
40 Notebook, Spiral Corona 8.5X11
800 Correction Tape, Joy
50 Cutter, Handy-Big L-300 GRP
2350 Envelope, Brown Short
25 Sharpener, Pencil - Carl Angel 5</t>
  </si>
  <si>
    <t>PO33405</t>
  </si>
  <si>
    <t>Paper, SISC Letterhead Colored A4        PAPR-SIS-10-0002        6 reams.</t>
  </si>
  <si>
    <t>PO33343</t>
  </si>
  <si>
    <t>Ballpen, Panda Black        PENS-PAN-10-0001        875 pcs.
Ballpen, Panda Blue        PENS-PAN-10-0002        375 pcs.
Pen, Overhead Projector - Pilot Black        PENS-PIL-10-0006        20 pcs.
Pencil, Mongol Regular No. 1 (OSSUP)        PENC-MGL-10-0001        60 pcs.
Clearbook, Unrefillable 40's Long        CLBK-GEN-10-0006        30 pcs.
Clearbook, Unrefillable 40's Short        CLBK-GEN-10-0008        12 pcs.
Cartolina, Black        CART-GEN-10-0001        700 pcs.
Cartolina, Pink        CART-GEN-10-0005        200 pcs.
Cartolina, Red        CART-GEN-10-0006        200 pcs.
Cartolina, White        CART-GEN-10-0007        200 pcs.
Cartolina, Neon Blue        CART-GEN-10-0009        300 pcs.
Cartolina, Neon Green        CART-GEN-10-0010        400 pcs.
Cartolina, Neon Yellow        CART-GEN-10-0013        400 pcs.</t>
  </si>
  <si>
    <t>PO33342</t>
  </si>
  <si>
    <t>200 Frame, Certificate Wood Black 8.5 x 11
66 Corkboard - 2 X 3 (1/4T)mmmm w/ Frame
200 Thumb Tacks - Mitsuya /box No. 153 20g
100 Glue, Mighty Bond
600 Tape, 3M Masking Tape Big (1")
400 Tape, Duct Tape (2in x 10m) - Optima Brand
125 Tape, Packaging Tape (2")</t>
  </si>
  <si>
    <t>PO33229</t>
  </si>
  <si>
    <t>8 Toner, Cartridge CF500A Black
8 Toner, Cartridge CF501A Cyan
8 Toner, Cartridge CF502A Yellow
8 Toner, Cartridge CF503A Magenta</t>
  </si>
  <si>
    <t>Officelandia Enteprises, Inc.</t>
  </si>
  <si>
    <t>PO33226</t>
  </si>
  <si>
    <t xml:space="preserve">555 Alcohol, 70% Isophropyl Gallon
</t>
  </si>
  <si>
    <t>PO33227</t>
  </si>
  <si>
    <t>200 Scissors, Stanford - Maped Stainless</t>
  </si>
  <si>
    <t>PO33435</t>
  </si>
  <si>
    <t>Clip, Binder Joy 2" (Large)        CLIP-JOY-10-0002        12 bxs.
Clip, Paper (120gms/box), Prince - Big        CLIP-PRI-10-0001        105 bxs.
Glue Stick Big (for glue gun)        GLUE-STF-10-0001        72 pcs.
Ribbon, Cartridge Epson LX310 SO15632        RIBB-EPS-10-0003        21 pcs.</t>
  </si>
  <si>
    <t>PO33025</t>
  </si>
  <si>
    <t>10 PCS HDMI CABLE 5M UGREEN
5 PCS FLASHDRIVE USB 64GB SANDISK ULTRA 3.0
20 PCS VGA SPILITTER WAY IN 2 WAY OUT</t>
  </si>
  <si>
    <t>PO33026</t>
  </si>
  <si>
    <t>PO33260</t>
  </si>
  <si>
    <t>20 PCS KINGSTON SOLID STATE DRIVE 512GB
10 PCS VIDEOCARD 2GB DDR3 64BIT NVIDIA</t>
  </si>
  <si>
    <t>PO33431</t>
  </si>
  <si>
    <t>20 PCS A4TECH WEB CAM PK 980HA</t>
  </si>
  <si>
    <t>PO33001</t>
  </si>
  <si>
    <t>5 UNITS VIEWSONIC VA2215-H 22" MONITOR</t>
  </si>
  <si>
    <t>PO33161</t>
  </si>
  <si>
    <t>5 PCS PANASONIC WIRED TELEPHONE
5 PCS PANASONIC WIRELESS TELEPHONE SINGLE
5 PCS PANASONIC WIRELESS TELEPHONE 2N1</t>
  </si>
  <si>
    <t>PO33093</t>
  </si>
  <si>
    <t>10 EACH SIZE HDMI CABLE 5M AND 10M
5 PCS HARD DISK 2TB
15 PCS MODULAR JACK CAT6 
20 PCS MAONO CONFERENCE MIC
50 PCS MOUSEPAD UGREEN 
20 PCS A4TECH WEB CAM PK 980HA
5 PCS FLASHDRIVE USB 64GB SANDISK ULTRA 3.0 `</t>
  </si>
  <si>
    <t>PO33094</t>
  </si>
  <si>
    <t>4 BOXES BELDEN CAT6 CABLE BLUE
25 PCS A4TECH HU 10 HEADSET</t>
  </si>
  <si>
    <t>PO33095</t>
  </si>
  <si>
    <t>PO33092</t>
  </si>
  <si>
    <t>PO33091</t>
  </si>
  <si>
    <t>Sid-Ann printing Services, Inc.</t>
  </si>
  <si>
    <t>PO33433</t>
  </si>
  <si>
    <t>50 PCS USB MOUSE ( LOGITECH M100R )
5 PCS PANASONIC WIRELESS TELEPHONE ( SINGLE) 
5 PCS TELEPHONE WIRELESS (2N1)
5 PCS TP LINK SWITCH HUB 8 PORT 
5 PCS FLASHDRIVE USB 64GB SANDISK ULTRA 3.0</t>
  </si>
  <si>
    <t>PO33434</t>
  </si>
  <si>
    <t>PO33432</t>
  </si>
  <si>
    <t>PO33291</t>
  </si>
  <si>
    <t>PO33197</t>
  </si>
  <si>
    <t>1 EACH
The Cia World Factbook 2025-2026					
Guiness World Records Gamer's ED 2026					
The Sports Book					
Machines					
Amazing Space					
The Vietnam War					
STAR WARS ENCYCLOPEDIA
EYE WITNESS FLIGHT
EARTH KNOWLEDGE GENIUS
PLANET EARTH
OCEAN
HISTORY OF BRITAIN AND IRELAND
MENTAL HEALTH IN A DIGITAL AGE: SOCIAL MEDIA AND STRESS</t>
  </si>
  <si>
    <t>PO33207</t>
  </si>
  <si>
    <t xml:space="preserve">1 EACH
Demon Slayer :  book 1					
Demon Slayer :  book 5					
Demon Slayer :  book7					
Demon Slayer :  book 10					
Demon Slayer :  book 11					
The isle of the lost (novel) : book 1					
Return to the  isle of the lost (novel) : book 2					
Rise of the  isle of the lost (novel) : book 3					
Jujutsu Kaisen: book 2					
Jujutsu Kaisen: book 3					
Jujutsu Kaisen: book4					
Jujutsu Kaisen: book 5					
Jujutsu Kaisen: book 13					
Jujutsu Kaisen: book 15					
Jujutsu Kaisen: book 24					
1 EACH
One piece : vols. 19-20-21					
One piece : vols. 25-26-27					
One piece : vols. 49-50-51					
Sakamoto days: 15					
Sakamoto days: vol 17					
Sakamoto days: vol 18					
Spy Family book 3					
Spy Family book4					
Spy Family book 6					
Spy Family book 7					
Spy Family book 8					
Jujutsu Kaisen: book 5					
Jujutsu Kaisen: book 13					
Jujutsu Kaisen: book 15					
Jujutsu Kaisen: book 24					</t>
  </si>
  <si>
    <t>PO33186</t>
  </si>
  <si>
    <t xml:space="preserve">1 EACH
The World's Most Mysterious Places					
National Geographic for Kids Almanac 2026					
Journey through Space					
Odd Jobs					
How do you feel?					
Pop-Planet Animals					
Pop-Planet Oceans					
Peek-a-flap Zoo					
Peek-a-flap ABC					
Peek-a-flap DINO					
See, Feel, Touch, Create					
Brave Like Me					
1 EACH
Lift a Flap Look and Find					
How to stay happy					
Ecology for Kids					
Aesop's Fables					
Chutes and Ladders					
What's the point of Math &amp; Science					
Maker Lab Science and Math					
The Unofficial Battle Station Prime Set					
A Mighty Marvel Chapter Book Collection					
Berenstein Bears School Days Collection					
1 EACH
Welcome to the Neighborhood Sesame Street					
Junior Encyclopedia					
The Books oF Clash					
Unicorns and Rainbows					
Peek-flap-flap Words					
Vehicles					</t>
  </si>
  <si>
    <t>PO33187</t>
  </si>
  <si>
    <t xml:space="preserve">1 EACH
I am not very brave					
Sweet Dreams I love you					
Little chick					
Little snow flake					
Little pumpkin					
I love you to the moon and beyond					
The power of love					
Just one more hug					
Snugggle up tight					
Little acorn					
Little caterpillar					
Little raindrop					
1 EACH
Little sunflower					
Goodnight sleepy fairy					
Little bear					
I love more than					
Watch out little narwal					
Unicorn and me					
Llamas go bananas					
Goodnight, sleep tight					
When a trex comes to play					
I am not a sleepy sloth					
Too shy to sing					
Too clumsy to climb					
1 EACH
Too timid to talk					
Too tall to twirl					
I love my mommy					
Love goes a long way					
When tiger tells the truth					
When cheetah makes good choices					
When whale wont wait					
When shark learns to share					
When monkey feels sad					
When llama learns to listen					
When meerkat learns some manners					
When fox feels happy					
1 EACH
When panda feels small					
When lipon feels shy					
When hippo gets angry					
When bears feels worried					
When owls feels scared					
Can predicting the weather saves lives?					
How do oceans help us breathe?					
Is this the biggest dinosaur ever?					
Can trees talk to each  other?					
Is there alien life outer space?					
Can mushrooms saves the world?					
Are birds modern-day dinosaurs?					
1 EACH
Are whales and dolphins smarter than humans?					
Are bees nature's tiny heroes?					
Can snakes predict earthquakes?					
Will we ever live on the moon?					
Can volcanoes turn the moon blue?					
Elephant learns to share					
Giraffe is left out					
Hippo owns up					
Lion's in a flap					
Tiger has a tantrums 					
Sloth gets busy					
Gecko is frustrated					
1 EACH
Kiwi tidies up					
Lemur feels let down					
Monkey needs to listen					
Crocs need to wait					
Flamingo is brave					
Llama stops teasing					
Panda feels jealous					
Wolf thinks of others					
Zebra can cope					
I hate everything					
I don't want to wait					
I'm not happy					
1 EACH
Why should I?					
Not fair to share					
I want to win					
I didn't do it					
Who feels scared					
Take a deep breath					
I don't want to play nicely					
But why can't I?					
But what if?					
Harry and Dinosaurs united					
Harry and Dinosaurs go wild					
Harry and Dinosaurs have a happy birthday					
Harry and Dinoasurs at the museum					
Harry and Dinosaurs say raahh					
Harry and Dinosaur go on holiday					</t>
  </si>
  <si>
    <t>PO33176</t>
  </si>
  <si>
    <t>84 BOTTLES ZIM GLASS CLEANER 500 ML</t>
  </si>
  <si>
    <t>PO33167</t>
  </si>
  <si>
    <t>100 PACKS TRASH BAG XXL 37" X 40" CLEAR
17 GALS ZONROX BLEACH 1 GALLON</t>
  </si>
  <si>
    <t>PO33166</t>
  </si>
  <si>
    <t>GIFT REPUBLIC, INC.</t>
  </si>
  <si>
    <t>1200 PCS TISSUE JUMBO ROLL 200 METERS
100 PCS MOP HEAD</t>
  </si>
  <si>
    <t>PO33149</t>
  </si>
  <si>
    <t>200 PACKS CHLORINE 1 KG PER PACK</t>
  </si>
  <si>
    <t>PO33104</t>
  </si>
  <si>
    <t>100 PCS MOP HEAD
350 PCS SCRUBBING PAD BIG SCOTCH BRITE</t>
  </si>
  <si>
    <t>PO33088</t>
  </si>
  <si>
    <t>1 TCL 55" SMART TV</t>
  </si>
  <si>
    <t>PO33087</t>
  </si>
  <si>
    <t>1 TCL ANDROID GOOGLE TV COLLEGE LIB BED LUX
1 TV BRACHET MOVABLE FLOOR CEILING WHEEL UNIVERSAL</t>
  </si>
  <si>
    <t>PO33129</t>
  </si>
  <si>
    <t>25 BOTTLES HIGIENECO PREMIUM ODOR COUNTERACTANT ANTIBACTERIAL SPRAY GREEN TEA SCENT
25 BOTTLES HIGIENECO PREMIUM ODOR COUNTERACTANT ANTIBACTERIAL SPRAY LAVENDER SCENT</t>
  </si>
  <si>
    <t>PO33120</t>
  </si>
  <si>
    <t>72 GALS TOILET BOWL CLEANER BOWL CARE RIV CHEM
288 PCS BABY OIL 125 ML 
100 PACKS TRASH BAGS XL 36" X 40" / 30" X 37" CLEAR</t>
  </si>
  <si>
    <t>PO32534</t>
  </si>
  <si>
    <t xml:space="preserve">1 EPSON EB 810 E </t>
  </si>
  <si>
    <t>PO33192</t>
  </si>
  <si>
    <t>70 PCS STICK BROOM
72 PCS SOFT SOFT BROOM 3M</t>
  </si>
  <si>
    <t>PO33046</t>
  </si>
  <si>
    <t xml:space="preserve">10 GALS FLOOR FINISH STATE MIGHTY SPARKLE DIAMOND 25 </t>
  </si>
  <si>
    <t>PO33261</t>
  </si>
  <si>
    <t>15 PCS MOP HANDLE 4FT YELLOW
13 PCS MOP HANDLE 4FT RED</t>
  </si>
  <si>
    <t>PO33231</t>
  </si>
  <si>
    <t>12 PCS DIPPER OROCAN WHITE
7 PCS PAIL OROCAN WHITE</t>
  </si>
  <si>
    <t>PO33232</t>
  </si>
  <si>
    <t>20 PCS DEL FABRIC SOFTENER
408 PCS ALL PURPOSE POWDER 800 GRAMS PER PACK CHAMPION
5 PCS DUST MOP HANDLE AND FRAME WITH MOP HEAD #30</t>
  </si>
  <si>
    <t>PO33191</t>
  </si>
  <si>
    <t>PO33295</t>
  </si>
  <si>
    <t>804 PCS TISSUE JUMBO ROLL 200 METERS</t>
  </si>
  <si>
    <t>PO33294</t>
  </si>
  <si>
    <t>120 GALS HAND SOAP ANTIBACTERIAL
200 KILOS CHLORINE 1KG PER PACK</t>
  </si>
  <si>
    <t>PO33288</t>
  </si>
  <si>
    <t>15 PCS MOP HANDLE 4FT GREEN
70 PACKS TRASH BAG LARGE 26 X 32 CLEAR</t>
  </si>
  <si>
    <t>PO33289</t>
  </si>
  <si>
    <t>40 PCS SPATULA SMALL 
30 PCS TOILET RUBBER PUMP MULTICOLORED</t>
  </si>
  <si>
    <t>PO33216</t>
  </si>
  <si>
    <t>10 GALS FLOOR FINISH MIGHTY SPARKLE DIAMOND 25 1 U.S GAL</t>
  </si>
  <si>
    <t>PO33217</t>
  </si>
  <si>
    <t>23 GALS DRAIN MAINTAINER AND DEODORIZER STATE D-STROY 1 U.S GAL</t>
  </si>
  <si>
    <t>PO33339</t>
  </si>
  <si>
    <t>30 GALS ZONROX BLEACH 1 GALLON</t>
  </si>
  <si>
    <t>OUTSOURCE SERVICES</t>
  </si>
  <si>
    <t>PO33340</t>
  </si>
  <si>
    <t xml:space="preserve">15 PCS RAIN BOOTS MEN
7 PCS RAIN BOOTS FEMALE
11 PCS RAINCOAT </t>
  </si>
  <si>
    <t>PO33341</t>
  </si>
  <si>
    <t>204 SPRAY GUN</t>
  </si>
  <si>
    <t>PO33424</t>
  </si>
  <si>
    <t>20 PCS MOP HANDLE 4FT BLUE MANSION
4 PCS STRIPPER PAD RED 3M</t>
  </si>
  <si>
    <t>PO33427</t>
  </si>
  <si>
    <t>150 PACKS TRASH BAG XXL 37" X 40" CLEAR</t>
  </si>
  <si>
    <t>PO33428</t>
  </si>
  <si>
    <t>105 PACKS TRASHBAG MEDIUM 22" X 24" CLEAR</t>
  </si>
  <si>
    <t>PO33404</t>
  </si>
  <si>
    <t>1716 PCS TISSUE JUMBO ROLL 200 METERS</t>
  </si>
  <si>
    <t>PO32756</t>
  </si>
  <si>
    <t xml:space="preserve">8 PCS  15  METERS HDMI UGREEN, 6 PCS 20 METER HDMI UGREEN </t>
  </si>
  <si>
    <t>PO32484</t>
  </si>
  <si>
    <t>135 KINGSTON SSD 256 GB</t>
  </si>
  <si>
    <t>PO32646</t>
  </si>
  <si>
    <t xml:space="preserve">1 EACH:
Strategic Brand Design, 2025, PB					
Strategic Change Management, 2025, PB					
Strategic Management, 2024, 11e, PB					
Strategic Management, 2024, Se PB					
Strategic Management: Text &amp; Cases, 2024, 11c, PB					
Strategic Management: Theory &amp; Practice, 2025, PB					
Strategic Management: World Edition, 2023, 2a, PB					
"Strategic Planning for Public and Nobprofit Organizations,2024, 
6a , HB "					
Transforming PR: Public Relations to People Relations 2025, PB					</t>
  </si>
  <si>
    <t xml:space="preserve">1 EACH:
Child &amp; Adolescent Development in Your Classroom, 2025, 4e, PB					
Child Language Development , 2025, HB					
Classroom Management for Students w/ Learning..., 2025, PB					
Clinical Social Work with Individuals, Families &amp; Groups, 2023, PB					
Coaching Values and Life Skills through Physical Education &amp; Sports , 2025, PB					
Collaboration for Multilingual Learners...., 2024, PB					
Collaborative Assessment for Multilingual Learners &amp; Teachers, 2025, PB					
Communication &amp; Language in Early Childhood Today, 2025, PB					
Community Development Planning , 2025, PB					
Community Governance and Mobilization Strategies , 2025, PB					
Community-Led Development in Practice , 2025, PB					
Completing Your Research Project, 2025, PB					
Constitutional Law and the Criminal Justice System , 2026, 8e, PB					
Creative Research Methods for Critical Event Studies , 2025, PB					
Crime, Science and Policing, 2024, PB					</t>
  </si>
  <si>
    <t>PO32613</t>
  </si>
  <si>
    <t xml:space="preserve">1 EACH:
Critical Race Studies in Physical Education, 2023, PB					
Cultural History of the World, 2025, PB					
Cultures &amp; Values: A Global View of the Humanities (2-vol. set) , 2026, 10e , PB					
Current Perspectives on Learning Disabilities, 2025, HB					
Designing and Implementing Program Evaluation for Teaching &amp; Learning.., 2025, PB					
Early Literacy: Foundations and Instructional Practices , 2025, PB					
Early Years Foundation Stage (EYFS) 2024, The , 2023, 2e , PB					
Economic History of the World , 2025, PB					
Education Futures for School Leadership , 2025, PB					
Educational Assessment in a Changing World , 2025, PB					
Educational Disparities: A Critical Look at Schooling Inequities , 2025, HB					
Educational Leadership and Critical Theory, 2024, HB					
Educational Management, 2025, PB					
Educational Testing &amp; Measurement , 2024, 12e, PB					
Effective Classroom Management, 2025, PB					</t>
  </si>
  <si>
    <t>PO32832</t>
  </si>
  <si>
    <t xml:space="preserve">1 EACH:
The Photographers's Guide to Drones					
The Photographers's Guide to Drones					
Globalization Media Culture and Society					
A Companion to New Media Dynamics					
Media  Publicity and Coverage					
Editor and Columnist					
Photo Journalism Theory					
Broadcast Journalism: Basic Principles					
Journalism of Public Relations					
 Online News					
Internet Journalism					
Mass Communication and Media Studies An Introduction					
Computer Application for Journalism					</t>
  </si>
  <si>
    <t>PO32690</t>
  </si>
  <si>
    <t xml:space="preserve">1 EACH:
Comedy In Literature and Popular Culture, 2025, PB					
Communication and Media Laws and Ethics, 2025, PB					
Communication and Misinformation, 2025, PB					
Communication Theory at the Crossroads, 2025, PB					
Companion to Critical and Cultural Theory, A, 2025, HB					
Computer Applications for Journalism Management, 2025, HB					
Computer Graphics, 2025, PB					
Cross-Media Communications: An Intro., 2025, PB					
Design &amp; Agency, 2025, PB					
Design History Reader, The, 2e, 2025					
Designing Knowledge, 2024, PB					
Digital Drawing for Designers, 2024, PB					
Dramatic Storytelling &amp; Narrative Design, 2e, 2025, PB					
Essential Journalism, 2024, PB					
Essentials of Consumer Behavior, 2025, PB					</t>
  </si>
  <si>
    <t>PO32696</t>
  </si>
  <si>
    <t xml:space="preserve">1 EACH:
3D Printing for Dummies, 2024, 3e , PB					
3D Printing Handbook, The, 2025, HB					
3D Printing in Architecture, 2025, PB					
Design &amp; Agency, 2025, PB					
More-Than-Human Design in Practice, 2025, PB					
Towards 4D Bloprinting, 2023, PB					
Zen and the Art of Digital Transformation, 2025, HB					</t>
  </si>
  <si>
    <t>PO32692</t>
  </si>
  <si>
    <t xml:space="preserve">1 EACH:
Introduction to Advertising Theory, 2025, HB					
Introduction to Communication &amp; Medical In Global..., 2025, PB					
Introduction to Mass Communication: Media Literacy and Culture, 2024, PB					
Introduction to Visual Arts, 2025, PB					
Journalism and Public Relations, 2025, HB					
Journalism Handbook, The, 2025, PB					
Knowledge Management, 2025, PB					
Level Up! The Guide to Great Video Game Design, 3E, 2025, PB					
Lighting Design Basics, 4e, 2024, PB					
Managing Your Gaming and Social Media Habits, 2025, PB					
Mass Communications and Media Studies: An Introduction, 2025, HB					
Mastering the Craft of Diverse and Inclusive Screenwriting, 2025, PB					
Mastering Type: The Essential Guide to Typography, 2e, 2025, PB					
Media and Society: An Introduction, 2025, PB					
Media Now: Understanding Media, Culture and Technology, 11e, 2025, PB					</t>
  </si>
  <si>
    <t>PO32693</t>
  </si>
  <si>
    <t xml:space="preserve">1 EACH:
Media, Culture and Technology: An Integrated Approach, 2025, PB					
Media, Society and Communication, 2025, HB					
Media/Impact: An Introduction to Mass Media, 13e, 2025, PB					
Milestones in Asian American Theatre, 2023, PB					
Motion Picture and Vedio-Lighting, 2024, PB					
Multimedia Applications and Web Designing, 2024, HB					
Miultimedia: The Internet and Beyond, 2025, PB					
Online Journalism, 2025, PB					
Organisational Behaviour: Core Concepts and Applications, 6e, 2025, PB					
Organisational Behaviour: Engaging People and Organisations, 2e, 2024, PB					
Photography Resistance: Securing Evidence in Nazi-Occupied Europe, 2025, PB					
Photography for Architects, 2024, PB					
Photojournalism Theory, 2025, HB					
Photoshop Elements 2025 for Dummies, 2025, PB					
Practical Introduction to Virtual Reality, A, 2025, PB					</t>
  </si>
  <si>
    <t>PO32626</t>
  </si>
  <si>
    <t xml:space="preserve">1 EACH:
Teaching: Making a Difference, 2025, 6e , PB					
Techniques of Classroom Teaching , 2024, HB					
Technology Integration in Education , 2025, HB					
Trauma, Primitivism, and The First World War, 2022, PB					
Trauma-Informed Practices for the Classroom &amp; Beyond, 2024, PB					
Trends of Distance Education 2 Vol. Set , 2025, HB					
Trigonometry: Functions and Applications, 2025, PB					
Undergraduate Research in Dance , 2025, 2e , PB					
Understanding Data Culture &amp; Society, 2025, PB					
Understanding Geometry, 2025, PB					
Understanding Philosopy, 2025, PB					
Understanding the World Economy, 2025, PB					
Urban Climate Change and Heat Islands, 2023, PB					
Welfare of Future Children, The: Reproductive Ethics &amp; Disability Screening , 2025, PB					
World Heritage &amp; Sustainable Development: A Global..., 2025, PB					</t>
  </si>
  <si>
    <t>PO32625</t>
  </si>
  <si>
    <t xml:space="preserve">1 EACH:
Responsibility-Centered Discipline, 2025, PB                                        
Secondary Curriculum Design &amp; Delivery, 2025, HB                                        
Secondary Curriculum Design &amp; Delivery, 2025, PB                                        
Social Science: The Basics, 2025, PB                                        
Solving Problems in Point Geometry Vol. 23, 2025, PB                                        
Sports and Exercise Nutrition, 2025, PB                                        
Sports Management , 2025, PB                                        
Student Assessment, 2024, PB                                        
Taking Moral Action, 2024, PB                                        
Teacher Training for Inclusive Education , 2025, PB                                        
Teaching 6-12 Math Intervention , 2025, PB                                        
Teaching Beyond the Diagnosis: Empowering Students w/ Dyslexia , 2025, PB                                        
Teaching Dance Improvisation , 2025, PB                                        
Teaching Fantasy Writing, 2024, PB                                        
Teaching Methods and Strategies, 2025, PB                                        </t>
  </si>
  <si>
    <t>PO32622</t>
  </si>
  <si>
    <t xml:space="preserve">1 EACH:
Introduction to Sport Law, 2023, 3e, PB					
Language and Literacy Development in Early Childhood, 2025, PB					
Linear Regression Analysis, 2025, PB					
Local Government &amp; Administration, 2025, PB					
Making Technology Work in Schools , 2025, PB					
Mathematics Tasks for the Thinking Classroom, 2024, PB					
Personal Best Running, 2024, PB					
Physical Education and Health, 2025, PB					
Physical Education and Social Skills Development , 2025, HB					
Physical Education for Lifelong Fitness and Health , 2024, PB					
Playbook for Self-Directed Learning, The , 2025, PB					
Poverty and Unemployment , 2025, HB					
Power of Groups in Youth Sport, The , 2020, PB					
Precalculus and Trigonometry , 2025, PB					
Primary Science Knowledge &amp; Understanding, 2024, 10e, PB					</t>
  </si>
  <si>
    <t>PO32607</t>
  </si>
  <si>
    <t xml:space="preserve">1 EACH:
5 Steps to A 5: AP English Language &amp; Composition, 2022, PB					
ACT: English, Reading, &amp; Science Skills, 2022, PB					
Communication Theory at the Crossroads , 2025, PB					
Concise Companion to Language Assessment , The, 2025, PB					
Critical Perspectives in English Literature , 2025, HB					
Dramatic Storytelling &amp; Narrative Design , 2025, 2e, PB					
English for Academic Purposes , 2025, HB					
English Grammar and Composition , 2025, PB					
English Language Testing &amp; Assessment, 2025, PB					
Formal Grammar: Theory and Variation Across Language , 2024, PB					
Global Englishes , 2025, PB					
Grammaticalization: A Conceptual Framework, 2024, PB					
Introduction to Contemporary English Literature , 2025, HB					
Language Development, 2025, PB					
Linguistics Across Disciplinary Borders , 2024, HB					</t>
  </si>
  <si>
    <t>PO32614</t>
  </si>
  <si>
    <t xml:space="preserve">1 EACH:
Emotional and Social Development, 2025, HB					
Employment Relations and Global Governance , 2024, PB					
English Grammar &amp; Writing Skills, 2025, HB					
Essence of Anthropology, The, 2025, PB					
Essential Trigonometry, 2024, PB					
Estes Health Assessment &amp; Physical Exam., 2024, 4e, PB					
Ethics in Business Decisions and Comparative Advantage, 2025, PB					
Evaluating Educational Development , 2025, PB					
First Adventures on Differential Geometry, The , 2025, HB					
Fit to be Well: Essential Concepts, 2023, 6e, PB					
Fixing Education Initiatives in Crisis, 2024, PB					
Foundation of Instructional Technology , 2025, PB					
Foundations of Early Childhood Education, 2025, PB					
Foundations of Physical Education, Exercise Science &amp; Sport, 2024, 21e, PB					
Foundations of Physical Education, Exercise Science, and Sport, 2024, PB					</t>
  </si>
  <si>
    <t>PO32619</t>
  </si>
  <si>
    <t xml:space="preserve">1 EACH:
Fundamentals of Early Childhood Assessment , 2025, PB					
Gardner's Art through the Ages, 2023, 5e, PB					
Gender-Inclusive Curriculum Devt., 2025, PB					
Generative AI for Academics, 2025, PB					
Generative AI for Students, 2025, PB					
Globalization: A Basic Textbook, 2025, PB					
Handbook for Behavioral Skills Training, 2025, PB					
History and Philosophy of Education , 2025, PB					
Humor in Global Contemporary Art , 2024, HB					
Inclusive Pedagogy Strategies, 2025, PB					
International Human Rights, 2025, PB					
Introduction to Community Development , 2025, PB					
Introduction to Contemporary Art, 2025, PB					
Introduction to Educational Philosophy , 2025, PB					
Introduction to Physical Education, Exercise Science and Sport, 2024, PB					</t>
  </si>
  <si>
    <t>PO32609</t>
  </si>
  <si>
    <t xml:space="preserve">1 EACH:
Linguistics Approaches in English for Academic Purposes, 2024, HB					
Literary Criticism and Theory , 2025, PB					
Literature and Creative Writing, 2025, PB					
Mytholody Around the World, 2025, PB					
Navigating English Grammar , 2025, 2e , PB					
Plain Language: A Psycholinguistic Approach , 2025, PB					
Practical Grammar Teaching for the Second Language Classroom , 2025, PB					
Practical Guide to Language Assessment, A , 2025, PB					
Practical Langauge Testing , 2025, 2e , PB					
Research Methods in English Language and Literature , 2025, PB					
Sage Handbook of Qualitative Research Quality, The, 2025, HB					
Stylistics and Literary Analysis , 2025, PB					
Syntax: Knowledge to Practice , 2024, PB					
Task-based English Language Teaching in the Digital Age , 2025, PB					
Teaching and Learning the English Language: A Problem-Solving Approach, 2024, 2e, PB					</t>
  </si>
  <si>
    <t>PO32611</t>
  </si>
  <si>
    <t xml:space="preserve">1 EACH:
Academic Advising Administration, 2024, 2e, PB					
Academic Writing Skills for International Students, 2024, 2e, PB					
Advanced Theory and Practice in Sport Marketing, 2022, 4e, PB					
Art Appreciation, 2023, HB					
Assessing Students, Not Standards, 2024, PB					
Assessment and Evaluation in Early Childhood Settings , 2025, PB					
Assessment in Early Childhood Special Education , 2025, PB					
Assessment of 21st Century Learning, 2025, HB					
Authentic Opportunities for Writing About Math in High School , 2025, PB					
Authentic Opportunities for Writing About Math in Upper Elementary , 2025, PB					
Authentic School Improvement for Authentic Leaders , 2025, PB					
Becoming the Writer You Already Are, 2023, PB					
Bringing Talk to Life , 2025, PB					
Business Ethics: Ethical Decision Making and Cases , 2026, 14e , PB					
Challenges of Educational Technology , 2024, HB					</t>
  </si>
  <si>
    <t>PO32638</t>
  </si>
  <si>
    <t xml:space="preserve">1 EACH:
Guide to Business Mathematics, A, 2023, PB					
Handbook of Research on Strategic Performance Management and..., 2024, HB					
How to Read a Financial Report , 2025, 10e , PB					
How to Write a Financial Reports , 2025, PB					
HR6: Human Resources, 2025, PB					
Human Resource Management, 2025, PB					
Innovation and Entrepreneurship, 2024, 4e, PB					
Intermediate Accounting , 2024, 5e , PB					
International Bank Crisis Management, 2024, PB					
International Business &amp; Trade, 2025, PB					
International Management, 2024, 12e, PB					
International Marketing Management , 2025, PB					
International Marketing, 2024, 19e, PB					
Intrapreneurship Management , 2024, HB					
Introduction to Advertising Theory , 2025, HB					</t>
  </si>
  <si>
    <t>PO32637</t>
  </si>
  <si>
    <t xml:space="preserve">1 EACH:
Export Import Management , 2025, HB					
Finance Essentials for Managers , 2024, PB					
Financial Accounting, 2022, 7e, PB					
Financial Institutions Management: A Risk Management Approach, 2021, 10e, PB					
Financial Markets &amp; Institutions, 2025, 14e , PB					
Financial Services Technology , 2025, 3e, PB					
Fintech and Financial Innovations , 2025, PB					
Foundations of Financial Management , 2024, PB					
Foundations of Investment Management , 2024, PB					
Foundations of Real Estate Financial Modelling , 2024, 3e, PB					
Foundations of Real Estate Financial Modelling , 2025, HB					
Fundamental Financial Accounting Concepts , 2024, PB					
Fundamentals of Auditing , 2025, PB					
Fundamentals of Case Management Practice, 2025, 6e, PB					
Global Marketing Management , 2025, PB					</t>
  </si>
  <si>
    <t>PO32596</t>
  </si>
  <si>
    <t>3 PCS MINI PC BEELINK MODEL MINI 5</t>
  </si>
  <si>
    <t>PO32687</t>
  </si>
  <si>
    <t>1 TCL 55 INCHES TV FOR E CLASSROOM</t>
  </si>
  <si>
    <t>PO32732</t>
  </si>
  <si>
    <t>10 MONITOR FOR OFFICES AND E CLASSROOM VIEWSONIC VA1903H-2</t>
  </si>
  <si>
    <t>PO33061</t>
  </si>
  <si>
    <t>5 PCS UGREEN USB 3.0 TO B-MALE CABLE 2 METERS
2 PCS ORICO 2 BAYS DOCKING STATION
2PCS 10 BAYS HDD STORAGE BOX 
1 PC ORICO 20 BAYS HDD STORAGE BOX</t>
  </si>
  <si>
    <t>72 PCS BAYGON WATERBASED MULTI INSECT KILLER 500ML BOTTLE
15 PCS MOP HANDLE 4FT YELLOW MANSION
19 PCS MOP HANDLE 4FT GREEN MANSION
14 PCS MOP HANDLE 4FT BLUE MANSION</t>
  </si>
  <si>
    <t>PO33063</t>
  </si>
  <si>
    <t>1 PC RJ45 CRIMPING TOOL 
1 PC FIBER TOOL KITS
1 PC NETWORK LAN TESTER 
1 PC NOZZLE PLIERS CUTTER</t>
  </si>
  <si>
    <t>PO33027</t>
  </si>
  <si>
    <t>10 RG-NBS 3200 48GT4XS P</t>
  </si>
  <si>
    <t>PO33134</t>
  </si>
  <si>
    <t>50 Illustration Board - Blk/Wh (1/2) 20X30
10 Illustration Board - Blk/Wh 1 whole</t>
  </si>
  <si>
    <t>PO33125</t>
  </si>
  <si>
    <t>3150 Board, Vellum Long , (10pcs per pack)
2278 Board, Vellum Short, (10pcs per pack)</t>
  </si>
  <si>
    <t>PO33160</t>
  </si>
  <si>
    <t>2 Toner, Cartridge CF500A Black
2 Toner, Cartridge CF501A Cyan
2 Toner, Cartridge CF502A Yellow
2 Toner, Cartridge CF503A Magenta</t>
  </si>
  <si>
    <t>PO33121</t>
  </si>
  <si>
    <t>500 - Paper, Copy-Laser Sub. 20 Long White
700 - Paper, Copy-Laser Sub. 20 Short White</t>
  </si>
  <si>
    <t>PO33175</t>
  </si>
  <si>
    <t>15 Inks, Trodat Red
15 Inks, Trodat Purple
15 Inks, Trodat Black</t>
  </si>
  <si>
    <t>PO33185</t>
  </si>
  <si>
    <t xml:space="preserve">1 EACH
National Geographic Kids                                        
Junior Encyclopedia                                        
Sesame Street Welcome to the Neighborhood                                        
Ecology for Kids                                        
Unicorns and Rainbows                                        
Vehicles                                        
How do you feel?                                        
Odd Jobs                                        
Chutes and Ladders                                        
Aesop's Fables                                        
Pop-Up Planet Oceans                                        
A Mighty Marvel Chapter Book Collection                                        
Brave Like Me                                        
Unofficial Battle Station Prime Set                                        
What's the point of Math and Science  
1					The Books of Clash					
2					Geronimo Stilton Graphic Novels 					
1					Worlds Most Mysterious Places					
1					Journey Through Space					
1 EACH
Peek-a-flap Dino					
Peek-a-flap Words					
Peek-a-flap Zoo					
Peek-a-flap ABC					
Lift a Flap-an Look &amp; Find					
How to stay happy					
Maker Lab Science &amp; Math					
Pop-Up Planet Animals					
Berenstein Bears School Days					
See, Touch, Feel, Create					                                      </t>
  </si>
  <si>
    <t>PO33188</t>
  </si>
  <si>
    <t xml:space="preserve">1 EACH
Percy Jackson and the Olympians: The Lightning Thief					
Generation Anxiety					
"Attention Span: A GroundBreaking Way to Restore Balance					"					
Your Pocket Theraspist					
Cinder: The Collector's Edition					
Last Violent Call					
Psych: The Story of The Human Mind					
The Farewell Tour					
The Iron Vow					
Every Stars That Fall					
Fall of Ruin and Wrath					
Lies We Sing To The Sea					
1 EACH
The National Gallery: Alia's Adventures in Wonderland					
The Vampire Slayer's Survival Guide					
A Thousand Steps Into Night					
Prophet Song					
The Grandest Game					
Someone Else's Shoes					
City of Bones					
The Half King					
Foul Lady Fortune					
What Would Harry Do?					
Emotional Intelligence: Game Changers					
The Dark Psychology Playbook					</t>
  </si>
  <si>
    <t>PO33189</t>
  </si>
  <si>
    <t xml:space="preserve">1 EACH
I am not very brave					
Sweet Dreams I love you					
Little chick					
Little snow flake					
Little pumpkin					
I love you to the moon and beyond					
The power of love					
Just one more hug					
Snugggle up tight					
Little acorn					
Little caterpillar					
Little raindrop					
1 EACH
Little sunflower					
Goodnight sleepy fairy					
Little bear					
I love more than					
Watch out little narwal					
Unicorn and me					
Llamas go bananas					
Goodnight, sleep tight					
When a trex comes to play					
I am not a sleepy sloth					
Too shy to sing					
Too clumsy to climb					
1 EACH
Too timid to talk					
Too tall to twirl					
I love my mommy					
Love goes a long way					
When tiger tells the truth					
When cheetah makes good choices					
When whale wont wait					
When shark learns to share					
When monkey feels sad					
When llama learns to listen					
When meerkat learns some manners					
When fox feels happy					
1 EACH
When panda feels small					
When lipon feels shy					
When hippo gets angry					
When bears feels worried					
When owls feels scared					
Can predicting the weather saves lives?					
How do oceans help us breathe?					
Is this the biggest dinosaur ever?					
Can trees talk to each  other?					
Is there alien life outer space?					
Can mushrooms saves the world?					
Are birds modern-day dinosaurs?					
1 EACH
Are whales and dolphins smarter than humans?					
Are bees nature's tiny heroes?					
Can snakes predict earthquakes?					
Will we ever live on the moon?					
Can volcanoes turn the moon blue?					
Elephant learns to share					
Giraffe is left out					
Hippo owns up					
Lion's in a flap					
Tiger has a tantrums 					
Sloth gets busy					
Gecko is frustrated					
1 EACH
Kiwi tidies up					
Lemur feels let down					
Monkey needs to listen					
Crocs need to wait					
Flamingo is brave					
Llama stops teasing					
Panda feels jealous					
Wolf thinks of others					
Zebra can cope					
I hate everything					
I don't want to wait					
I'm not happy					
1 EACH
Why should I?					
Not fair to share					
I want to win					
I didn't do it					
Who feels scared					
Take a deep breath					
I don't want to play nicely					
But why can't I?					
But what if?					
Harry and Dinosaurs united					
Harry and Dinosaurs go wild					
Harry and Dinosaurs have a happy birthday					
Harry and Dinoasurs at the museum					
Harry and Dinosaurs say raahh					
Harry and Dinosaur go on holiday					
1 EACH 
Ultimate Questions &amp; Answers Human Body					
Ultimate Questions &amp; Answers History and Culture					
Ultimate Questions &amp; Answers Animal and Nature					
Ultimate Questions &amp; Answers Planet Earth					
Ultimate Questions &amp; Answers Space					
Ultimate Questions and Answers Science					
Ultimate Questions and Answers Science					</t>
  </si>
  <si>
    <t>PO33205</t>
  </si>
  <si>
    <t xml:space="preserve">1 EACH
Splatoon  Book 4					
Splatoon  Book 10					
Splatoon  Book 12					
Splatoon  Book 13					
Splatoon  Book 14					
Captain underpants and revolting revenge					
Dogman: fetch -22					
Dog man: brawl of the wild					
Dogman: mothering heights					
Dogman: crime and punishment					
Danny Dingles: fantastic finds: the farts of gratitude					
Danny Dingles: fantastic finds: the jet of justice					
Danny Dingles: fantastic finds: the jet of justice: the mighty iron foot					
1 EACH
Dork diaries: holiday heartbreak					
Dork diaries:TV star					
Dork diariescrush catastrophe					
Dork diaries:OMG					
Geronimo Stilton: get your paws off our sea!  book 4					
Geronimo Stilton: clea operation!					
Geronimo Stilton: the reasure of the dark forest!					
Geronimo Stilton: a bat for a friend!					
Sakamoto days : vol 14					
Sakamoto days: 15					
Sakamoto days: vol 17					
Sakamoto days: vol 18					
One piece : vols. 1-2-3					
One piece : vols. 4-5-6					</t>
  </si>
  <si>
    <t>PO33204</t>
  </si>
  <si>
    <t>130 CLIP PAPER 120 GMS/BOX PRINCE SMALL</t>
  </si>
  <si>
    <t>PO32855</t>
  </si>
  <si>
    <t xml:space="preserve">1 EACH:
Advanced Convention &amp; Events Management, 2025, PB					
Adventure Tourism Sports, 2025 PB					
Applied Business  Tools &amp; Technological in Tourism, 2025					
Banguents and Conferences in the Digital Age: Innovations in Event Mgt. 2025, PB					
Beverages Products &amp; Bar Operations, 2025, PB					
Boutique Hotels and Local Tourism Develoment, 2025, PB					
Consumer Behavior in Hospitality and Tourism, 2025, PB					
Cruise Tourism Environmental Impact, 2025, PB					
Cultural Heritage Touirism, 2025, PB					
Cultural Tourism The Partnership Between Tourism &amp; Cultural Heritage Mgt. 2025, PB					
Development of Smart Tourism Destination, 2025, PB					
Digital Marketing in the Intl. Tourism &amp; Hospitality Industry 2025, PB					
Dining Experiences Beyond the Plate: Restaurants Innoivation, 2025, PB					
Diversity and Inclusion in the Hospitality, Workforce, 2025, PB					
Educational Tourism Learning Journeys, 2025, PB					</t>
  </si>
  <si>
    <t>PO31353</t>
  </si>
  <si>
    <t>SISC UMBRELLA 2 FOLDS COSTUMIZED (PURPLE AND WHITE) 1728PCS</t>
  </si>
  <si>
    <t>PO32691</t>
  </si>
  <si>
    <t xml:space="preserve">1 EACH:
Fakes News on the Internet, 2024, PB					
Fifty Key Theatre Designs, 2024, PB					
Film Art: An Introduction, 13e, 2024, PB					
Foundations of Computer Graphics, 2025, PB					
Foundations of Stage Makeup, 2e, 2025, PB					
From the Margins to the Mainstream, 2024, PB					
Fundamentals of Journalism, 2025, HB					
Gardner's Art through the Ages, 5e, 2023, PB					
Giving Tyoe Meaning: Context and Craft in Typography, 2024, PB					
Global Media and Politics, 2025, PB					
Graphic Design for Dummies, 2025, PB					
Guide to Post-Classical Narration, A, 2024, PB					
Human Behavior in Organization, 2025, PB					
Introducing Communication Research, 5e, 2025, PB					
Introducing Communication Theory: Analysis and Application, 2024, PB					</t>
  </si>
  <si>
    <t>PO32689</t>
  </si>
  <si>
    <t xml:space="preserve">1 EACH:
Adobe Photoshop: Classroom in a Book, 2024, PB					
Advertising &amp; Integrated Brand Promotion, 9e, 2023, PB					
Advertising and Promotion: An Integrated Marketing.., 13e, 2024, PB					
Advertising, Promotion and Other Aspects of Integrated Mktg. Communications, 11e, 2025, PB					
Aerial Photography and Videography Using Drones, 2025, HB					
Aesthetics and Video Games, 2025, PB					
Algorithms and Networking for Computer Games, 2025, HB					
Art and Practice Directing for Theatre, The, 2e, 2025, PB					
Audio and Video Editing, 2025, PB					
Becoming Rhetorical, 2e, 2024, PB					
Brand Management, 2025, HB					
Broadcast Journalism: Techniques of Radio and Television News, 2024, PB					
Celebrity Culture, 3e, 2024, PB					
Cinematography and Lighting for Television, 2025, PB					
Collaborative Screenwriting and Story Development, 2024, PB					</t>
  </si>
  <si>
    <t>PO32803</t>
  </si>
  <si>
    <t xml:space="preserve">1 EACH:
Flying with Feathers and Wings, 2018, HB                                        
How Do Waves Move?, 2019, HB                                        
How Do Heat Move?, 2019, HB                                        
How Do Light Move?, 2019, HB                                        
How Do Sound Move?, 2019, HB                                        
Keeping Warm with Fur and Fat, 2018, HB                                        
Mind vs Muscle: Baseball, 2019, HB                                        
Mind vs Muscle: Football, 2019, HB                                        
Mind vs Muscle: Soccer, 2019, HB                                        
Swimming with Fins and Flippers, 2018, HB                                        
I Don't Want to Waitl, 2019, HB                                        
Communication &amp; Language in Early Childhood Today, 2025, PB                                        
3 PCSEducation Disability and Inclusion, 2025, PB                                        
2 PCS Effective Classroom Management, 2025, PB                                        </t>
  </si>
  <si>
    <t>PO32804</t>
  </si>
  <si>
    <t xml:space="preserve">1 EACH:
20 Fun Facts About: Astronomy, 2018, HB                                        
20 Fun Facts About: Earth's Resources, 2018, HB                                        
20 Fun Facts About: Fossils, 2018, HB                                        
20 Fun Facts About: Geology, 2018, HB                                        
20 Fun Facts About: Rocks and Gems, 2018, HB                                        
20 Fun Facts About: Weather, 2018, HB                                        
Inside Guide, The: Stem in Sports (5-vol. set), 2025, HB                                        
2 PCS On the Job: Creative Career(6-vol. set), 2025, HB                                        
Controlling Invasive Species, 2017, HB                                        
2 PCS Countries of the World: Set 2 (6-vol. set), 2025, HB                                        
How Do Objects Move?, 2019, HB                                        
How Do Planets Move?, 2019, HB                                        
Exploring Space (4-vol. set), 2024, HB                                        
Fighting  with Fangs and Claws, 2018, HB                                        </t>
  </si>
  <si>
    <t>PO32630</t>
  </si>
  <si>
    <t xml:space="preserve">1 EACH:
Earth Science: An Introduction, 2025, PB					
Environmental Microbiology, 2025, PB					
Environmental Protection &amp; Mgt., 2025, PB					
Essentials of Biology, 7e, 2024, PB					
Essentials of Human Anatomy &amp; Physiology, 2025, PB					
Fundamentals of Cell Biology, 2025, PB					
DFundamentals of Chemistry for Today, 2025, PB					
Fundamentals of Ecology, 2025, PB					
Fundamentals of Physics, 2025, PB					
General Microbiology, 2025, PB					
Guide to Assesing Learning Outcomes, 5e, 2026, PB					
Introduction to Biochemistry, An, 2025, PB					
Introduction to Environmental Science, 2025, PB					
Lippincott Illustrated Reviews: Biochemistry, 9e, 2025, PB					
Molecular Biology and Genetics: An Integrated Textbook, 2025, PB					</t>
  </si>
  <si>
    <t>PO32636</t>
  </si>
  <si>
    <t xml:space="preserve">1 EACH:
Crisis Management Strategies, 2025, HB					
Design and Assessment of Sustainable Products , 2025, PB					
Digital Banking and Finance: A Handbook , 2025, HB					
Digital Marketing , 2024, PB					
Dissertation Practice , 2025, PB					
Diversity in Organizations , 2025, 5e, HB					
e-Commerce, w/ DVD, 2023, 3e, PB					
Entrepreneurial Challenges and Opportunities in Emerging Markets , 2025, HB					
Entrepreneurial Financial Management , 2025, 6e , PB					
Entrepreneurship, 2024, 12e, PB					
Entrepreneurship: The Art, Science and Process of Success , 2024, PB					
Entrerpreneurial Thinking , 2025, HB					
Essentials of Marketing Analytics , 2024, PB					
Ethics in Business Decisions and Comparative Advantage, 2025, PB					
Export and Import Management, w/ DVD, 2022, PB					
</t>
  </si>
  <si>
    <t>PO32635</t>
  </si>
  <si>
    <t xml:space="preserve">1 EACH:
Business Information Systems , 2025, PB					
Business Intelligence and Analytics , 2025, PB					
Business Law and the Regulation of Business, 2025, 14e, HB					
Business Writing with AI for Dummies , 2024, PB					
Commercial Real Estate: Analysis &amp; Investments , 2025, HB					
Community Leadership and Organizational Development , 2025, PB					
Conflict Management Solutions , 2025, HB					
Consumer Behavior, 2023, 5e, PB					
Consumer Behavior: Analysis in E-commerce Platforms , 2025, HB					
Consumer Preferences in Sustainable Accomodations , 2025, PB					
Contemporary Management , 2024, PB					
Corporate Finance, 2022, 3e, HB					
Corporate Training and Employee Skill Development , 2025, HB					
Cost Management: A Strategic Emphasis , 2024, PB					
Creating a Business Plan for Dummies , 2025, 2e , PB					</t>
  </si>
  <si>
    <t>PO32634</t>
  </si>
  <si>
    <t xml:space="preserve">1 EACH:
Accounting Information Systems, 2024, 4e, PB					
Advertising and Promotion: An Integrated Marketing..., 2024, 13e, PB					
Advertising, Promotion and Other Aspects of Integrated Mktg. Communications , 2025, 11e , PB					
AI and Innovation , 2025, PB					
Applied Marketing Analytics Using R, 2024, PB					
Approaches to Corporate Social Responsibility , 2024, PB					
Basic Business Statistics, 2025, PB					
Basic Finance, 2025, 13e, PB					
Behavioral Finance: Beyond the Basics , 2025, HB					
Blockchain Technology and Its Applications, 2025, PB					
Brand Management , 2025, HB					
Business - to - Business Marketing, 2024, 6e, PB					
Business Driven Technology, 2024, 10e, PB					
Business Economics , 2024, 4e, PB					
Business Ethics: Ethical Decision Making and Cases , 2026, 14e , PB					</t>
  </si>
  <si>
    <t>PO32700</t>
  </si>
  <si>
    <t xml:space="preserve">1 EACH:
Exploring Cross-Cultural Psychology , 2024, 2e , PB					
Exploring Lifespan Development, 2023, 4e, PB					
Forensic Psychology: Crime, Justice, Law, Interventions , 2024, 4e, PB					
Fundamentals of Anatomy &amp; Physiology , 2026, 5e, PB					
Fundamentals of Cultural Psychology , 2025, PB					
Fundamentals of Developmental Psychology , 2024, PB					
Fundamentals of Human Resource Management , 2024, 15e , PB					
Gender and Cognitive Development, 2025, PB					
Gender Identity Formation, 2025, PB					
Gender Stereotyping, 2025, PB					
Gender Transition for Dummies , 2025, PB					
Global Encyclopedia of Theoritical..., 2023, HB					
Group and Team Coaching , 2025, 3e , PB					
Group Communication: An Advanced Introduction , 2024, PB					
Group Counseling , 2025, 7e , PB					</t>
  </si>
  <si>
    <t>PO32680</t>
  </si>
  <si>
    <t xml:space="preserve">1 EACH:
5 Steps to A5: AP Psychology, 2023, PB					
Abnormal Psychology , 2025, PB					
Abnormal Psychology: An Integrative Approach, 2025, PB					
Addressing Diversity Dynamics in Group Therapy , 2025, PB					
Adolescent Psychosis, 2023, PB					
Adolescent Psychotherapy: Homework Planner , 2024, 6e, PB					
Applied Pathophysiology, 2024, 2e, PB					
Applied Positive Psychology, 2024, HB					
Autism: A Student's Guide, 2023, PB					
Best Practices in School Neuropsychology, 2022, 2e, HB					
Biopsychology: The Basics , 2025, PB					
Brain and Behaviour, 2023, PB					
Child &amp; Adolescent Development for Educators, 2023, 2e, PB					
Child &amp; Adolescent Development in Your Classroom, 2025, 4e, PB					
Child Development, 2024, 16e, PB					</t>
  </si>
  <si>
    <t>PO32711</t>
  </si>
  <si>
    <t xml:space="preserve">1 EACH:
Teaching Psychology: A Step by Step Guide , 2025, 4e, PB					
Theories of Personality, 2025, 12e, PB					
Theory and Practice of Counseling and Psychotherapy, 2024, 11e, PB					
Theory and Practice of Positive Neuropsychology, The , 2025, PB					
Transgender Youth Development , 2025, PB					
Understanding Autism , 2025, PB					
Understanding Psychological Disorders , 2025, HB					</t>
  </si>
  <si>
    <t>PO32684</t>
  </si>
  <si>
    <t xml:space="preserve">1 EACH:
Disability Support Worker , 2024, 4e, PB					
Discovering Psychology: The Science of Mind, 2022, 4e, PB					
Educational Psychology , 2025, PB					
Educational Psychology, 2024, PB					
Elements of Psychology, 2023, PB					
Emotional and Social Development, 2025, HB					
Emotional Intelligence , 2025, 2e, PB					
Empire of Depression, The: A New History , 2023, PB					
Essentials of Culture in Psychological Assessment , 2025, PB					
Essentials of Educational Psychology, 2025, PB					
Essentials of Understanding Psychology , 2024, PB					
Evidence-based Education and Psychology , 2025, HB					
Evolutionary Psychology: An Introduction, 2024, PB					
Exercise Physiology: Integrating Theory and Applications , 2025, 4e , HB					
Experimental Psychology , 2025, PB					</t>
  </si>
  <si>
    <t>PO31956</t>
  </si>
  <si>
    <t>BED MALE UNIFORM 44
-SLACKS
-POLO
-COAT</t>
  </si>
  <si>
    <t>PO32750</t>
  </si>
  <si>
    <t xml:space="preserve">SISC EMPLOYEE UNIFORMS </t>
  </si>
  <si>
    <t>6//5/2025</t>
  </si>
  <si>
    <t>PO32671</t>
  </si>
  <si>
    <t>PO32816</t>
  </si>
  <si>
    <t>4 PCS BELDEN CAT6 CABLE BLUE
20 PCS CMOS BATTERY 
50 PCS HEADSET RAPOO H101 W/ NOISE REDUCTION MIC</t>
  </si>
  <si>
    <t>PO32723</t>
  </si>
  <si>
    <t>1 HEAVY DUTY IRON CHAIN 8MMX1M
2 HOODED PLASTIC TRASHBIN</t>
  </si>
  <si>
    <t>PO32927</t>
  </si>
  <si>
    <t>17 ACER EXTENSA EX215-23-R2MB</t>
  </si>
  <si>
    <t>PO32934</t>
  </si>
  <si>
    <t>100 PCS UMBRELLA FOLDABLE AUTOMATIC PURPLE WITH LOGO SMALL</t>
  </si>
  <si>
    <t>PO33060</t>
  </si>
  <si>
    <t>100 PCS WHISTLE SISC GOLD</t>
  </si>
  <si>
    <t>PO33067</t>
  </si>
  <si>
    <t>1 USB 3.0 TO SATA DUAL BAY HDD DOCKING STATION DUPLICATOR CLONER UGREEN</t>
  </si>
  <si>
    <t>PO33122</t>
  </si>
  <si>
    <t>1 STRANGER THINGS 2.0 TARP 12FT X 6.5FT THICKNESS 13 OZ
1 STRANGER THINGS 2.0 TARP 13FT X 6FT THICKNESS 13 OZ 
WITH SEAMING AND EYELET ALL OVER</t>
  </si>
  <si>
    <t>PO33128</t>
  </si>
  <si>
    <t>BUSINESS TARP 2025
1 BIDA 2025 W 144 IN X 72 IN
1 ALSA BERDE 2025 W 144 IN H 72 IN
1 JUANDER CONFERENCE 2025 W 144 IN X H 72 IN
1 CPA PASSERS 2025 W 240 IN X 120 IN</t>
  </si>
  <si>
    <t>PO33123</t>
  </si>
  <si>
    <t>1 NEW FACILITIES TARP SIZE 110 IN X H 110IN THICKNESS 18OZ ADD SEAMING AND EYELET ALL OVER</t>
  </si>
  <si>
    <t>PO33126</t>
  </si>
  <si>
    <t>1 SOUTHVILLE ALUMNI AWARDS 2025 PULL UP BANNER W 3FT X H 6.5 FT ADD STRUCTURE</t>
  </si>
  <si>
    <t>PO33124</t>
  </si>
  <si>
    <t>1 ISAC VOLLEYBALL 2025 W= 184 IN X H= 77 IN ADD SEAMING AND EYELET ALLOVER</t>
  </si>
  <si>
    <t>PO33103</t>
  </si>
  <si>
    <t xml:space="preserve">1 PULL UP BANNER FOR MS. EARTH 2025 W/ STRUCTURE </t>
  </si>
  <si>
    <t>PO33164</t>
  </si>
  <si>
    <t>10000 GENERIC FLYER</t>
  </si>
  <si>
    <t>PO33172</t>
  </si>
  <si>
    <t xml:space="preserve">10 SHS JOURNEY POSTER SIZE W 36 CM X H 48 CM </t>
  </si>
  <si>
    <t>PO32610</t>
  </si>
  <si>
    <t xml:space="preserve">1 EACH:
Teaching English Grammar in Asian Contexts , 2025, PB					
Teaching Reading and Literature with Classroom Talk , 2025, PB					
Technical English: A Practical Approach , 2024, PB					
Technical Writing, 2024, PB					
Textbook of Literary Criticism and Feminism , 2025, HB					
the history of english, 2024, 3rd ed, PB					
Writer's Harbrace Handbook, The , 2025, 7e, PB					
Writing Analytically , 2024, 9e, PB					
Writing and Communication Skills, 2025, PB					</t>
  </si>
  <si>
    <t>PO32701</t>
  </si>
  <si>
    <t>PO32682</t>
  </si>
  <si>
    <t xml:space="preserve">1 EACH:
Children , 2024, PB					
Clinical Management of Sex Addiction, 2020, PB					
Cognitive Psychology , 2025, PB					
Cognitive Psychology, 2023, 2e, PB					
Cognitive Psychology: Connecting Mind, Research &amp; Everyday Experience , 2026, 6e , PB					
Conducting Applied Psychological Research: A Practical Guide , 2024, PB					
Counseling for Peripartum Depression , 2024, PB					
Counselling Children, 2024, PB					
Crime and Psychology: Foundations of Forensic Practice , 2024, PB					
Culture and Psychology, 2023, 7e, PB					
Culture By Design , 2025, PB					
Death &amp; Dying, Life &amp; Living, 2025, 9e, PB					
Developmental Psychology of Personal Indentity, The , 2024, HB					
Developmental Psychology, 2025, PB					
Differential and Developmental Psychology , 2025, HB					</t>
  </si>
  <si>
    <t>PO32708</t>
  </si>
  <si>
    <t xml:space="preserve">1 EACH:
Sexuality Now: Embracing Diversity, 2025, 7e, PB					
Shared Mass Trauma in Social Work, 2023, PB					
Skilled Helper, The: A Client-Centered Approach, 2024, 4e, PB					
Social Psychology , 2025, 2e , PB					
Social Psychology , 2025, PB					
Social Psychology and Human Nature , 2025, 6e, PB					
Social Psychology, 2025, 2e, PB					
Social Psychology, 2025, PB					
Solution-focused Practice in Outdoor Therapy, 2023, PB					
Strategic Human Resource Management , 2025, PB					
Strategic Human Resource Management, 2025, PB					
Student's Guide to Developmental Psychology, A , 2025, 2e, PB					
Supervision in School Psychology, 2023, 2e, PB					
Sustainable Use Disorders &amp; Addictions, 2025, 2e, PB					
Systemic Multi-Family Therapy , 2025, PB					</t>
  </si>
  <si>
    <t>PO32659</t>
  </si>
  <si>
    <t xml:space="preserve">1 EACH:
Abstract Algebra , 2025, PB					
Advanced Data Analytics and Visualization , 2025, PB					
Agile Management and Development , 2025, PB					
Analog and Digital Communication, 2025, HB					
Analytic Methods of Systems &amp; Software Testing, 2021, HB					
Applied Linear Algebra , 2025, HB					
Artificial Intelligence and Cybersecurity , 2025, PB					
Artificial Intelligence and Deep Learning , 2025, PB					
Artificial Intelligence and Society: Ethics and Implications , 2025, PB					
Artificial Intelligence Applications for Brain-Computer Interfaces, 2025, PB					
Artificial Intelligence in Wireless Sensors and Instruments , 2025, HB					
Artificial Intelligence: A Complete Guide for Thinking Humans , 2025, HB					
Artificial Intelligence-based 6G Networking , 2025, PB					
Attribute-based Encryption (ABE), 2024, HB					
Automated Data Analytics, 2024, HB					</t>
  </si>
  <si>
    <t>PO32665</t>
  </si>
  <si>
    <t xml:space="preserve">1 EACH:
Essence of Software Engineering, The, 2025, PB					
Essentials of Marketing Analytics , 2024, PB					
Fast &amp; Effective Embedded Systems Design, 2025, 3e, PB					
First Course in Artificial Intelligence, A , 2025, HB					
Foundations of informations Security, 2025, PB					
Fundamentals of Algorithmic Processes, The, 2023, HB					
Fundamentals of Case Management Practice, 2025, 6e, PB					
Fundamentals of Corporate Finance, 2022, 13e, PB					
Fundamentals of Finance , 2025, PB					
Fundamentals of Machine Learning for Predictive Data Analytics, 2025, HB					
Fundamentals of Programming , 2025, PB					
Fuzzy Logic: An Introductory Text, 2025, PB					
Globalization and Dynamics of Urban Production , 2023, HB					
Guide to Computer Forensics and Investigations , 2025, 17e, PB					
Hacking Multi Factor Authentication , 2025, HB					</t>
  </si>
  <si>
    <t>PO32668</t>
  </si>
  <si>
    <t xml:space="preserve">1 EACH:
CompTIA CySA+: Gde. to Cybersecurity, 2022, 2e, HB                                        
CompTIA Security+ Guide to Network Security Fundamentals, 2025, 8e, PB                                        
Computer Arithmetic: Key Insights, 2024, HB                                        
Computer Networking: An Essential Approach, 2025, PB                                        
Computer Science: An Interdisciplinary Approach , 2024, PB                                        
Computer System Architecture , 2025, PB                                        
Computing Essentials 2025: Making IT Work for You , 2024, PB                                        
Concepts in Mathematical Reasoning , 2025, PB                                        
Concepts in Programming Languages , 2025, HB                                        
Core Concepts in Computer Science: Software Engineering, 2024, 2e, PB                                        
Criminalization of Politics and Corruption, 2024, HB                                        
Critical Theory of AI , 2024, PB                                        
Cryptography , 2025, PB                                        
Cyber Intelligence and Threat Analysis , 2025, PB                                        
Cybersecurity and Artificial Intelligence , 2025, PB                                        </t>
  </si>
  <si>
    <t>PO32655</t>
  </si>
  <si>
    <t xml:space="preserve">1PC EACH:
AI and Innovation, 2025, PB					
Artificial Intellligence in Cybersecurity, 2025, PB					
Artificial Intellligence &amp; Work, 2025, PB					
Artificial Intellligence for Business Efficiency, 2025, PB					
Artificial Intellligence: A Complete Guide for Thinking Humans, 2025, HB					
Business Writing with AI for Dummies, 2024, PB					
Learning with Artificial Intelligence, 2025, PB					</t>
  </si>
  <si>
    <t>PO32648</t>
  </si>
  <si>
    <t xml:space="preserve">1 EACH:
Alexander's Nursing Practice: Hospital and Home, 2025, 6e, PB                                        
Anatomy &amp; Physiology Made Incredibly Easy, 2024, 6e, PB                                        
Applied Nutrition and Dietetics for Nursing , 2025, PB                                        
Applying Pathophysiological Concepts for the NCLEX-RN, 2025, PB                                        
Core Curriculum for Oncology Nursing, 2024, 7e, PB                                        
Disaster Nursing, 2025, PB                                        
Essentials of Human Anatomy &amp; Physiology, 2025, PB                                        
Essentials of Maternity, Newborn and Women's Health Nursing , 2025, 6e , PB                                        
Essentials of Pediatric Nursing , 2025, 5e , PB                                        
Ethics &amp; Issues in Contemporary Nursing, 2025, 2e, PB                                        
Fundamental Concepts &amp; Skills for Nursing, 2026, 7e, PB                                        
Health Assessment in Nursing , 2025, PB                                        
Hemodynamic Monitoring made Incredibly Easy! , 2025, 5e , PB                                        
Informatics and Nursing: Opportunities and Challenges , 2025, 7e , PB                                        
Infusion Therapy made Incredibly Easy! , 2025, 6e , PB                                        </t>
  </si>
  <si>
    <t>PO32647</t>
  </si>
  <si>
    <t xml:space="preserve">1 EACH:
Cores of Strategic Managhement, The, 2025, 2e, PB					
Creating a Business Plan for Dummies, 2025, 2e, PB					
Current Progress in Artificial Intelligence, 2024, HB					
"Effective Workplace Communications: Mastering the Basics,
2024, PB"					
Entrepreneurship: A Contemporary &amp; Global Approach, 2025, PB					
Essentials of Strategic Management, 2025, PB					
"Financial Accounting: The Cornerstone of Business 
Decision-Making, 2025, 6e. PB"					
Financial Planning Essentials, 2025, 2e, PB					
Mastering Strategic Management, 2025, HB					
Mind Over Meetings, 2025, HB					
Product Management in the Digital Era, 2025, PB					
Public Relations and Strategic Comminication in 2050, 2025, PB					
Real Estate Investment &amp; Financial Analysis, 2025, HB					
Real Estate Laws, 2025, HB					
"Strategic and Sustainable Management of Workplace Faciltiies, 
2025, PB"					</t>
  </si>
  <si>
    <t>PO32639</t>
  </si>
  <si>
    <t xml:space="preserve">1 EACH:
Introduction to Agribusiness Management and Entreprenuership, 2024, PB					
Introduction to Islamic Banking &amp; Finance , 2025, HB					
Introduction to Logistics &amp; Supply Chain Mgt., 2025, PB					
Investment Analysis &amp; Portfolio Management , 2025, 12e, PB					
Investment Management , 2025, HB					
Macroeconomic Theory, 2025, PB					
Management , 2026, 14e , PB					
Management Accounting , 2025, 5e , PB					
Management: A Practical Introduction , 2024, PB					
Managerial Accounting: The Cornerstone of Business Decision-Making , 2026, 9e, PB					
Managerial Economics, 2025, PB					
Marketing Research, 2025, PB					
Marketing Strategies in the Digital Age , 2025, HB					
Matching Supply with Demand, 2024, 5e, PB					
MGMT13: Principles of Management , 2026, 13e, PB					</t>
  </si>
  <si>
    <t>PO32640</t>
  </si>
  <si>
    <t xml:space="preserve">1 EACH:
Microeconomic Principles and Problems, 2024, 2e, PB					
Microeconomics: The Basics , 2025, PB					
Modern Production Management, 2024, PB					
Monetary Economics in Emerging and Developing Countries , 2025, PB					
Organizational Risk Management , 2025, HB					
Organizational Structure and Design , 2025, PB					
ORGB7:  Organizational Behavior, 2025, PB					
Performance Appraisals &amp; Phrases for Dummies , 2025, 2e , PB					
Personal Financial Planning, 2025, 16e, PB					
Portfolio Selection &amp; Asset Pricing, 2022, HB					
Principles of Customer Relationship Mgt., 2025, PB					
Principles of Economics , 2024, PB					
Principles of Managerial Finance, 2025, PB					
Principles of Microeconomics, 2024, 9e, PB					
Professional Selling: Because Everyone is a Salesperson , 2024, PB					</t>
  </si>
  <si>
    <t>PO32641</t>
  </si>
  <si>
    <t xml:space="preserve">1 EACH:
Project Based Problem Solving and Decision Making , 2024, HB					
Project Management Case Studies , 2025, 7e , PB					
Project Management in Practice , 2025, 8e , PB					
Project Management Toolbox , 2025, 3e , HB					
Public Relations for Dummies , 2025, 3e , PB					
Qualitative Research in Marketing and Management , 2025, 3e , PB					
Quality Management Essentials, 2024, PB					
Real Estate Finance &amp; Investments , 2024, PB					
Real Estate Finance and Investments: Risk and Opportunities , 2025, HB					
Real Estate Investment and Finance Strategies, Structures, Decisions , 2025, HB					
Real Estate Laws , 2025, HB					
Real Estate Planning: How to Buy a House , 2025, HB					
Real Estatte Game Changers, 2025, HB					
Risk Management Simplified , 2025, HB					
Security Analysis, Principles and Techniques, 2023, 7e, HB					</t>
  </si>
  <si>
    <t>PO32642</t>
  </si>
  <si>
    <t xml:space="preserve">1 EACH:
SELL 6: Trust Based Professional Selling, 2020, PB					
Selling and Negotiation Skills , 2025, 2e , PB					
Selling Online for Dummies , 2025, PB					
Service Management for Business Excellence, 2025, PB					
Service Operations Management, 2025, PB					
Social Entrepreneurship for Development , 2025, 2e , PB					
Social Media: A Critical Introduction, 2024, 4e, PB					
Strategic Human Resource Management , 2025, PB					
Strategic International Marketing, 2025, HB					
Strategic Management, 2024, 6e, PB					
Strategic Management: Text &amp; Cases, 2024, 11e, PB					
Supply Chain Management: A Logistics Perspective, 2025, 12e, PB					
Supply Chain Management: Principles &amp; Practice, 2025, PB					
Sustainable Management: A Complete Guide for Faculty and Students, 2023, 3e, PB					
Total Quality Management and Lean Thinking 5.0, 2025, PB					</t>
  </si>
  <si>
    <t>PO32643</t>
  </si>
  <si>
    <t xml:space="preserve">1 EACH:
Ultimate Guide to Responsible Franchising, The , 2025, HB					
Understanding Business, 2024, PB					
Understanding International Politics: The Student Toolkit, 2024, PB					
Wiley GAAP 2025, 2025, PB					</t>
  </si>
  <si>
    <t>PO33080</t>
  </si>
  <si>
    <t>50 PCS BUSINESS CARD SISC DESIGN</t>
  </si>
  <si>
    <t>PO33355</t>
  </si>
  <si>
    <t>88	Beads with big hole
1392	Box of Crayons - Crayola Double (16pcs)
662	Marker, Pilot Permanent Fine Black (SKIT)
312	Marker, Whiteboard-Pilot black (SKIT)
199	Paper, Water Color Paper Canson A4 (10pcs/pack)
1970	Paper bond, 8.5"x11" 50/pk
423	Pencil, Colored (12's) Li'l Hands
56	Popsicle Stick, pack (100 sticks)
255	Water Color Lilhands 12s
140	Staedtler blending stumps size 1,4,6,8 (pack)
120	Tape, Scotch 3M 1 inch (SKIT)
2093	Whistle, SISC Gold</t>
  </si>
  <si>
    <t>PO33361</t>
  </si>
  <si>
    <t>618	Notebook, High School Mathematics Abstract Small SQ.
741	Notebook, Grade School Mathematics Abstract Big SQ.
124	Notebook, Grade School Mathematics Abstract, Small Sq.
613	Notebook, High School Composition Purple
705	Notebook, Grade School Composition SISC Blue Lines Purple
2749	Notebook, Writing SISC R/B Lines Purple Portrait
565	Notebooklet, Writing SISC Landscape Purple
330	Notebook, SISC Leatherette - Lacoste Violet (SKIT)
209	Diary, Grade 1 &amp; 2
103	Diary, Preparatory (Pre-K to SK)
1048	Diary, Grade 3-10 Set A Silver August to January
1042	Diary, Grade 3-10 Set B Gold February to July
7135	Folder, Plastic Cover Long
7135	Folder, White Long w/ SISC Logo
502	Spelling Booklet</t>
  </si>
  <si>
    <t>PO33352</t>
  </si>
  <si>
    <t>PO33356</t>
  </si>
  <si>
    <t>360	Eraser, Maped (Big)
542	Pad paper, Fortune Quiz Pad Whole, Intermediate (80 leaves)
1149	Paper, Oslo (Drawing) Fortune (20's)
1325	Paper, Construction -Asstd. Color (20pcs)
371	Paper, Book Long 20/pk
141	Ballpen, HBW Ballpoint Stick 2000 Black Fine (Grade 5 Only)
232	Illustration Board - Blk/Wh (1/8) 10X15</t>
  </si>
  <si>
    <t>PO33354</t>
  </si>
  <si>
    <t>PO33367</t>
  </si>
  <si>
    <t>134	Clay, Modelling Clay Dong-A 6's Assorted Colors
763	Lil Hand Modelling Clay Scented Neon Colors 10s 180g
303	Map, World (big) Political
868	Paper, Best Buy Colored Assorted 9"x11"
2858	Pencil, SISC Purple (SKIT)
398	Pencil, Faber Castel Colored (12s)
1146	Pen, Colored Faber Castel (10s)
141	Periodic Table of Elements, Big
506	Ruler, Plastic - Faber Castle
783	Ruler, Plastic- Orion 12 inches
232	Ruler, Protractor-Orion
119	Sketch Book, 9x12
211	Water Color, Prang 8's</t>
  </si>
  <si>
    <t>PO33365</t>
  </si>
  <si>
    <t>PO33337</t>
  </si>
  <si>
    <t>202	Paint brush - Nylon Soft Brush Flat #10
729	Glue, Elmer's - 130gs (SKIT)
27	Paint Pallete, Small
645	Scissors, Students 5', Maped</t>
  </si>
  <si>
    <t>PO#827</t>
  </si>
  <si>
    <t>50 MAGAZINE BOX 
-HORIZONTAL
-BLACK
-SIZE LEGAL</t>
  </si>
  <si>
    <t>PO32037</t>
  </si>
  <si>
    <t xml:space="preserve">2000 BOOK CARDS 
2000 BOOK POCKETS </t>
  </si>
  <si>
    <t>PO32274</t>
  </si>
  <si>
    <t>-3PCS PROFESSIONAL SALESMANSHIP 
-3PCS PSYCHOLOGICAL STATISTICS 
-3PCS RECRUITMENT AND SELECTION
-3PCS RETAIL AND WHOLESALE ENTERPRISES 
-3PCS SAFETY MANAGEMENT 
-3PCS STATISTICAL ANALYSIS FOR BUSINESS
-3PCS STATISTICS FOR BUSINESS AND MANAGEMENT 
-3PCS STRATEGIC BUSINESS ANALYSIS WITH MANAGEMENT 
-3PCS STRATEGIC MANAGEMENT 
-3CS STRATEGIC MANAGEMENT ESSENTIALS (TOOLS TECHNIQUE AND BEST PRACTICES)</t>
  </si>
  <si>
    <t>PO32219</t>
  </si>
  <si>
    <t xml:space="preserve">1 IB LANG LITERATURE 
1 IB PREP  ENG LITERATURE 
1 IB PREP BIOLOGY 
1 IB PREP CHEMISTRY 
1 IB PREP PHYSICS
1 ENG LITERATURE FOR THE IB DIPLOMA: HODDER EDUCATION GROUP </t>
  </si>
  <si>
    <t>PO32233</t>
  </si>
  <si>
    <t>10 REAL ESTATE BOOKS:
1 Q&amp;A ON HOMEOWNERS' ASSOCIATION, FEDERATION, AND CONFEDERATION
1 Q&amp;A ON HOUSING AND LAND USE FOR SUBDIVISION &amp; CONDOMINIUM BUYERS AND REAL ESTATE PRACTITIONERS
1 REAL ESTATE ANF HOMEOWNERSHI: LAWS, RULES AND REGULATIONS
1 REAL ESTATE APPRAISAL REVIEW QUIZZER
1 REAL ESTATE EXAM REVIEWER: BROKERAGE PRACTICE
1 REAL ESTATE EXAM REVIEWER: LEGAL ASPECTS OF REAL ESTATE SALES 
1 REAL ESTATE LAWS: FOCUS ON THE PHIL.
1 REAL ESTATE PRACTICE IN THE PHIL.
1 THE REAL ESTATE SERVICE ACT OF THE PHIL.
1 THE PRACTICE OF REAL ESTATE IN THE PHIL.</t>
  </si>
  <si>
    <t>PO32268</t>
  </si>
  <si>
    <t>-3PCS ADVANCED PRODUCTION AND OPERATIONS MANAGEMENT 
-3PCS ADVANCED STRATEGIC MANAGEMENT
-3PCS BANKING AND FINANCIAL INSTITUTIONS
-3PCS BASIC FINANCIAL MANAGEMENT 
-3PCS BASIC FINANCIAL MANAGEMENT IN THE PHIL. SETTING
-3PCS BUSINESS MATHEMATICS
-3PCS BUSINESS PRINCIPLE AND MERCHANDISING ACCOUNTING
-3PCS CAPITAL MARKETS 
-3CS CONTEMPORARY TRENDS IN PUBLIC ADMINISTRATION
-3PCS CORPORATE SOCIAL RESPONSIBILITY</t>
  </si>
  <si>
    <t>PO32269</t>
  </si>
  <si>
    <t>-3PCS CREDIT &amp; COLLECTION 
-3PCS DATA ANALYTICS &amp;BUSINESS INTELLIGENCE
-3PCS E-GOVERNANCE FOR DEVELOPMENT ADMINISTRATION
-3CS ENTREPRENEURAL BEHAVIOR GROWTH MINDSET AND FIXED MINDSET 
-3PCS ENTREPRENEURAL MANAGEMENT 
-3PCS ENTREPRENEURAL MIND 
-3PCS ENTREPRENEURAL MINDSET 
-3PCS ENTREPRENEURSHIP 
-3PCS ENTREPRENEURSHIP 2022 EDITION</t>
  </si>
  <si>
    <t>PO32270</t>
  </si>
  <si>
    <t>-3PCS ESSENTIALS IN LAW ON OBLIGATION AND CONTRACT (FOR ABM STUDENTS)
-3PCS ESSENTIALS OF ADMINISTRATIVE OFFICE MANAGEMENT 
-3PCS ESSENTIALS OF ORGANIZATIONAL COMMUNICATION
-3PCS ESSENTIALS OF RISK MANAGEMENT
-3CS FACILITIES PLANNING &amp; MANAGEMENT, 2E
-3PC FACT CHECK:21ST CENTURY TECHNICAL COMMUNICATION 
-3PCS FINANCIAL ANALYSIS AND REPORTING 
-3PCS FINANCIAL MANAGEMENT 
-3PCS FINANCIAL MARKETS 
-3PCS FOUNDATIONS OF OPERATIONS MANAGEMENT: A PRACTICAL GUIDE FOR HIGHER LEARNING</t>
  </si>
  <si>
    <t>PO32272</t>
  </si>
  <si>
    <t>-3PCS INTERNATIONAL BUSINESS TRADE 
-3PCS INTERNET MARKETING
-3PCS INTRODUCTION TO CONSUMER BEHAVIOR
-3PCS INTRODUCTION TO PROJECT MANAGEMENT
-3PCS INVENTORY MANAGEMENT AND CONTRO 2E
-3PCS LABOR LAWS AND SOCIAL LEGISLATIONS 2E
-3PCS LABOR RELATIONS MANAGEMENT AND NEGOTIATIONS 2E
-3PCS MACROECONOMICS
-3PCS MASTERING PRICING AND COSTING: STRATEGIES FOR PROFITABLE BUSINESS GROWTH
-3PCS MICROECONOMICS NUMERICAL AND COMPUTATIONAL APPROACH</t>
  </si>
  <si>
    <t>PO32271</t>
  </si>
  <si>
    <t>-3PCS FUNDAMENTAL OF ACCOUNTING VOLUME I: SERVICE AND MERCHANDISE 
-3PCS FUNDAMENTALS OF ACCOUNTING VOLUME II: PARTNERSHIP AND CORPORATION
-3PCS FUNDAMENTAL OF BUSINESS ANALYTICS 
-3PCS FUNDAMENTALS OF MANAGEMENT
-3PCS FUN DAMENTALS OF PERFORMANCE MANAGEMENT 
-3PCS HUMAN RESOURCE DEVELOPMENT
-3PCS HUMAN RESOURCE MANAGEMENT 
-3PCS HUMAN RESOURCE MANAGEMENT, 2E
-3PCS INCOME AND BUSINESS TAXATION
-3PCS INTELLIGENT LEADERSHIP RESILIENCE</t>
  </si>
  <si>
    <t>PO32273</t>
  </si>
  <si>
    <t>-3PCS MICROECONOMICS PRICE THEORY REVISED EDITION
-3PCS MICROECONOMICS THEORIES AND APPLICATIONS 2E
-3PCS NAVIGATING THE LANDSCAPE OF MARKETING RESEARCH
-3PCS ORGANIZATION DEVELOPMENT 2E
-3PCS PRICING STRATEGY 
-3PCS PRINCIPLES TOTAL QUALITY MANAGEMENT 
-3PCS PRODUCTION MANAGEMENT 
-3PCS PRODUCTIVITY AND QUALITY MANAGEMENT 2E
-3PCS PROFESSIONAL DEVELOPMENT A GUIDE TO CAREER SUCCESS
-3PCS PROFESSIONAL DEVELOPMENT AND APPLIED ETHICS</t>
  </si>
  <si>
    <t>PO32278</t>
  </si>
  <si>
    <t>-3PCS UNDERSTANDING MARKETING RESEARCH 
-3PCS EMPOWERMENT TECHNOLOGIES
-3PCS EMPOWERMENT TECHNOLOGIES</t>
  </si>
  <si>
    <t>PO32276</t>
  </si>
  <si>
    <t>-3PCS STRATEGIC MARKETING MANAGEMENT 
-3PCS STRATEGIC MANAGEMENT: SIMPLIFIED MOVES FOR ROOKIES
-3PCS STRATEGIC OPERATIONS MANAGEMENT 2E
-3PCS SYNERGIZING E-COMMERCE SOCIAL MEDIA AND DROOP SHIPPING 
-3PCS TEXTBOOK IN AUDITING PRACTICE 2021 EDITION 
-3PCS TEXTBOOK IN BUSINESS FINANCE 3E
-3PCS THE ENTREPRENEUR 
-3PCS THE EVOLVING LANDSCAPE OF STRATEGIC MANAGEMENT AND LEADERSHIP
-3PCS TOTAL QUALITY MANAGEMENT 2E
-3CS TRAINING AND DEVELOPMENT 2E</t>
  </si>
  <si>
    <t>PO32921</t>
  </si>
  <si>
    <t xml:space="preserve">1 500 A4 LETTER HEAD </t>
  </si>
  <si>
    <t>PO31336</t>
  </si>
  <si>
    <t>CONQUEROR PAPER LEGAL SIZE 5 REAMS (IVORY COLOR, 90 GSM)</t>
  </si>
  <si>
    <t>PO32709</t>
  </si>
  <si>
    <t>COACHES UNIFORMS</t>
  </si>
  <si>
    <t>PO32436</t>
  </si>
  <si>
    <t>500 PCS EXAM PERMIT BASIC ED</t>
  </si>
  <si>
    <t>PO33039</t>
  </si>
  <si>
    <t>2,000 EXAM PERMIT</t>
  </si>
  <si>
    <t>PO32560</t>
  </si>
  <si>
    <t>100 BOOKLET ACKNOWLEDGEMENT RECEIPT TUITION FEE</t>
  </si>
  <si>
    <t>PO32743</t>
  </si>
  <si>
    <t>EPSON LX310 POT MATRIX PRINTER</t>
  </si>
  <si>
    <t>PO32380</t>
  </si>
  <si>
    <t xml:space="preserve">100 PADS EXAMINATION PERMIT 100 PCS PER PAD </t>
  </si>
  <si>
    <t>40 PADS EXAMINATION PERMIT FOR COLLEGE (100 SHEETS PER PAD)</t>
  </si>
  <si>
    <t>PO32767</t>
  </si>
  <si>
    <t>1 ROLL PLASTIC COVER VINYL</t>
  </si>
  <si>
    <t>PO33043</t>
  </si>
  <si>
    <t>PLASTIC COVER
THICK: 4 HARD
WIDTH: 48" (1.2M)
LENGTH:50</t>
  </si>
  <si>
    <t>PO32788</t>
  </si>
  <si>
    <t xml:space="preserve">SISC SISFU GENERIC FLYER 1Y 25-26 W 5.5INX H 8.5 IN </t>
  </si>
  <si>
    <t>PO32717</t>
  </si>
  <si>
    <t>15 PCS S4S 2X2 X12
1/2 KG CWNUL #2
1/2 KG CWNU #3
1 LITER STICKWEL</t>
  </si>
  <si>
    <t>PO32440</t>
  </si>
  <si>
    <t>1 BUSINESS ENTREP INNOMETRIX TARP 
W= 12FT X H= 6FT THICKNESS 13OZ</t>
  </si>
  <si>
    <t>PO32864</t>
  </si>
  <si>
    <t>1 BOX JUNG KANGHEE CALLING CARD</t>
  </si>
  <si>
    <t>PO32433</t>
  </si>
  <si>
    <t xml:space="preserve">1000 PCS REM FLYER SIZE: W= 3.78 IN X H=8.27 IN </t>
  </si>
  <si>
    <t xml:space="preserve">1 PC EACH:
-ACCREDITATION VERTICAL BUSINESS 
-LUX TARP W:2FT H:6FT THICKNESS 18OZ
-TROPICAL TARPS W:3FT H:8FT THICKNESS 18OZ </t>
  </si>
  <si>
    <t>16 SISC COURSES BANNER 2026 32 IN X 62.5 IN 13 OZ ADD SEAMING ONLY</t>
  </si>
  <si>
    <t>PO33277</t>
  </si>
  <si>
    <t>1 AISAC WELCOME TARP 13 FT X 13 FT 18 OZ
2 AISAC 2026 BANNER 13 FT X 6.5 FT 18 OZ 
ADD SEAMING AND EYELET ALL OVER</t>
  </si>
  <si>
    <t>PO33239</t>
  </si>
  <si>
    <t>1 WURI GIANT TARP W 54FT X H 13 FT 0 OZ ADD SEAMING AND EYELET ALLOVER AND ROPE</t>
  </si>
  <si>
    <t>Final Rating</t>
  </si>
  <si>
    <t>Recommendations</t>
  </si>
  <si>
    <t>SUPPLIER EVALUATION RESULTS FOR AY 2025-2026</t>
  </si>
  <si>
    <t>PURCHASING DEPARTMENT</t>
  </si>
  <si>
    <t>Strongly Recommended</t>
  </si>
  <si>
    <t>Recommended</t>
  </si>
  <si>
    <t>Acceptable</t>
  </si>
  <si>
    <t>Ma Espiritu Tiles Trading</t>
  </si>
  <si>
    <t>Acceptable with Reservation</t>
  </si>
  <si>
    <t>Gleam Multimedia Post-Production SER</t>
  </si>
  <si>
    <t>Acceptable with some reservation</t>
  </si>
  <si>
    <t>PRF Number</t>
  </si>
  <si>
    <t>Items Delivered</t>
  </si>
  <si>
    <t>Requisitioner Name</t>
  </si>
  <si>
    <t>Email Address</t>
  </si>
  <si>
    <t>Date to Send</t>
  </si>
  <si>
    <t>Email Sent</t>
  </si>
  <si>
    <t>Date Emailed</t>
  </si>
  <si>
    <t>PO30142</t>
  </si>
  <si>
    <t>HALLMARKS TARP LUX CAMPUS 5.3 X 3.11 FT. BLACK OUT, NO ALLOWANCE, NO EYELET</t>
  </si>
  <si>
    <t>PO30139</t>
  </si>
  <si>
    <t>9X7 INCHES PLAQUE 2 PCS</t>
  </si>
  <si>
    <t>PO29996</t>
  </si>
  <si>
    <t>TOR PAPER GRADUATE SCHOOL (BORDERLESS)</t>
  </si>
  <si>
    <t>Data Computer forms, Inc.</t>
  </si>
  <si>
    <t>Columcia Technologies, Inc.</t>
  </si>
  <si>
    <t>PO30180</t>
  </si>
  <si>
    <t>ACY SPLIT TYPE (1 HP 3PCS;  2HP 1PC; 2.5 HP 6PCS)</t>
  </si>
  <si>
    <t>P.O # 0275</t>
  </si>
  <si>
    <t xml:space="preserve">GROW LIGHT 8 PCS. </t>
  </si>
  <si>
    <t>John Carlo S. Campit and Michael Berza</t>
  </si>
  <si>
    <t>PO30168</t>
  </si>
  <si>
    <t>PO30207</t>
  </si>
  <si>
    <t>PO30189</t>
  </si>
  <si>
    <t xml:space="preserve">DESK CHAIR </t>
  </si>
  <si>
    <t>Elle Tech And Trend Office Furniture and Interiors</t>
  </si>
  <si>
    <t>PO30134</t>
  </si>
  <si>
    <t>CEILING CASSETTE TYPE ACU 6.0 HP</t>
  </si>
  <si>
    <t xml:space="preserve">Beads with big hole
Popsicle Stick, pack (100 sticks)
Yarn, Yarn Asstd Color
Box of Crayons - Crayola Double (16pcs)
Paper bond, 8.5"x11" 50/pk
Paper, Book Short 20/pk
Paper, Book Long 20/pk
Glue, Elmer's - 130gs
</t>
  </si>
  <si>
    <t>PO30070</t>
  </si>
  <si>
    <t>ACKNOWLEDGEMENT RECEIPT (LUX) 100 BOOKLETS -STARTING NUMBER 30,001 ENDING NUMBER 35,000</t>
  </si>
  <si>
    <t>PO29955</t>
  </si>
  <si>
    <t>PO30107</t>
  </si>
  <si>
    <t xml:space="preserve">MONARCH T-SHIRTS WHITE - 20 PCS., PURPLE 20 PCS. </t>
  </si>
  <si>
    <t>PO30112</t>
  </si>
  <si>
    <t xml:space="preserve">G4, I AM ME EQ WORKBOOK, G4, I AM ME ACT WORKBOOK </t>
  </si>
  <si>
    <t>PO30111</t>
  </si>
  <si>
    <t>EXTRA WORKSHEETS FOR JUNIOR KINDER (15 PCS) , EXTRA WORKSHEETS FOR SENIOR KINDER (23 PCS), PURPLE MOROCCO ENVELOPES (38 PCS)</t>
  </si>
  <si>
    <t>Oray Copiers Solutions</t>
  </si>
  <si>
    <t>PO30125</t>
  </si>
  <si>
    <t>WINDOW TYPE ACU 1.5 HP MODEL CW SCI25VPH</t>
  </si>
  <si>
    <t>PO30004</t>
  </si>
  <si>
    <t>LOGO (STAINLESS) MISSION-VISION ACRYLIC CUT OUT LETTERS</t>
  </si>
  <si>
    <t>PO30127</t>
  </si>
  <si>
    <t xml:space="preserve">CONGRATULATORY TARP 13.5 X 6.5 FEET EYELET ALL OVER W/ SEAMING </t>
  </si>
  <si>
    <t>PO30129</t>
  </si>
  <si>
    <t>ACU CEILING CONCEALED DUCTED TYPE INVERTER 6.0 HP</t>
  </si>
  <si>
    <t>PO30005</t>
  </si>
  <si>
    <t>ANTEL TARP 4X10 FEET (RE-ORDER) LAMP POST BANNERS (BACK TO BACK)</t>
  </si>
  <si>
    <t>Abacus Book &amp; Card Corporation</t>
  </si>
  <si>
    <t>Contrade</t>
  </si>
  <si>
    <t>PO29888</t>
  </si>
  <si>
    <t>D-STROY DRAIN MAINTAINIER AND DEODORIZER 10 GALS; SWEET SUNSATION 20 GALS</t>
  </si>
  <si>
    <t>Express Cards Enterprises, Co.</t>
  </si>
  <si>
    <t>PO29843</t>
  </si>
  <si>
    <t>Full name</t>
  </si>
  <si>
    <t>First Name [Required]</t>
  </si>
  <si>
    <t>Last Name [Required]</t>
  </si>
  <si>
    <t>Email Address [Required]</t>
  </si>
  <si>
    <t>5S</t>
  </si>
  <si>
    <t>Team</t>
  </si>
  <si>
    <t>5steam@southville.edu.ph</t>
  </si>
  <si>
    <t>Aaron</t>
  </si>
  <si>
    <t>Aguinaldo</t>
  </si>
  <si>
    <t>aaron_aguinaldo@southville.edu.ph</t>
  </si>
  <si>
    <t>Pastidio</t>
  </si>
  <si>
    <t>aaron_pastidio@southville.edu.ph</t>
  </si>
  <si>
    <t>Abigail</t>
  </si>
  <si>
    <t>Tobalado</t>
  </si>
  <si>
    <t>abigail_bay@southville.edu.ph</t>
  </si>
  <si>
    <t>Vallente</t>
  </si>
  <si>
    <t>abigailv@southville.edu.ph</t>
  </si>
  <si>
    <t>Abregale Joseph</t>
  </si>
  <si>
    <t>Monzon</t>
  </si>
  <si>
    <t>ajmonzon@southville.edu.ph</t>
  </si>
  <si>
    <t>AC</t>
  </si>
  <si>
    <t>Calado</t>
  </si>
  <si>
    <t>anthonyc@southville.edu.ph</t>
  </si>
  <si>
    <t>Accounts</t>
  </si>
  <si>
    <t>Manager</t>
  </si>
  <si>
    <t>protocol@southville.edu.ph</t>
  </si>
  <si>
    <t>Adewale</t>
  </si>
  <si>
    <t>Leongson</t>
  </si>
  <si>
    <t>adewale_leongson@southville.edu.ph</t>
  </si>
  <si>
    <t>Adrian</t>
  </si>
  <si>
    <t>Vela</t>
  </si>
  <si>
    <t>adrian_vela@southville.edu.ph</t>
  </si>
  <si>
    <t>Aida</t>
  </si>
  <si>
    <t>Dizon</t>
  </si>
  <si>
    <t>aida_dizon@southville.edu.ph</t>
  </si>
  <si>
    <t>Aileen</t>
  </si>
  <si>
    <t>Sejas</t>
  </si>
  <si>
    <t>aileen_sejas@southville.edu.ph</t>
  </si>
  <si>
    <t>Ailene</t>
  </si>
  <si>
    <t>Fulgencio</t>
  </si>
  <si>
    <t>ailenef@southville.edu.ph</t>
  </si>
  <si>
    <t>Aiza</t>
  </si>
  <si>
    <t>Natal</t>
  </si>
  <si>
    <t>aiza_natal@southville.edu.ph</t>
  </si>
  <si>
    <t>Al Dave</t>
  </si>
  <si>
    <t>Lozano</t>
  </si>
  <si>
    <t>dave_lozano@southville.edu.ph</t>
  </si>
  <si>
    <t>Alaiza Jaice</t>
  </si>
  <si>
    <t>Guinihin</t>
  </si>
  <si>
    <t>alaiza_guinihin@southville.edu.ph</t>
  </si>
  <si>
    <t>Albert</t>
  </si>
  <si>
    <t>Lupisan</t>
  </si>
  <si>
    <t>albertl@southville.edu.ph</t>
  </si>
  <si>
    <t>Aldrie</t>
  </si>
  <si>
    <t>Dominguez</t>
  </si>
  <si>
    <t>aldrie_dominguez@southville.edu.ph</t>
  </si>
  <si>
    <t>Scissors, for Employee (6inches), Ballpen, Panda Blue, Inks, Trodat Purple</t>
  </si>
  <si>
    <t>Aldrin</t>
  </si>
  <si>
    <t>Balite</t>
  </si>
  <si>
    <t>aldrin_balite@southville.edu.ph</t>
  </si>
  <si>
    <t>Aleli</t>
  </si>
  <si>
    <t>Baes</t>
  </si>
  <si>
    <t>aleli_baes@southville.edu.ph</t>
  </si>
  <si>
    <t>Alexandra</t>
  </si>
  <si>
    <t>Lopez</t>
  </si>
  <si>
    <t>alexandra_lopez@southville.edu.ph</t>
  </si>
  <si>
    <t>Alexandra Nicole</t>
  </si>
  <si>
    <t>Rafer</t>
  </si>
  <si>
    <t>alexandra_rafer@southville.edu.ph</t>
  </si>
  <si>
    <t>Alfa</t>
  </si>
  <si>
    <t>De Leon</t>
  </si>
  <si>
    <t>alfad@southville.edu.ph</t>
  </si>
  <si>
    <t>Alfonso</t>
  </si>
  <si>
    <t>IÃ±igo Yusingco</t>
  </si>
  <si>
    <t>aiyusingco@southville.edu.ph</t>
  </si>
  <si>
    <t>Alfred</t>
  </si>
  <si>
    <t>Libunao</t>
  </si>
  <si>
    <t>alfred_libunao@southville.edu.ph</t>
  </si>
  <si>
    <t>Alice</t>
  </si>
  <si>
    <t>Arellano</t>
  </si>
  <si>
    <t>aparellano@southville.edu.ph</t>
  </si>
  <si>
    <t>Alicia</t>
  </si>
  <si>
    <t>Lopena</t>
  </si>
  <si>
    <t>alicia_lopena@southville.edu.ph</t>
  </si>
  <si>
    <t>Allisson Eunice</t>
  </si>
  <si>
    <t>Adajar</t>
  </si>
  <si>
    <t>allisson_adajar@southville.edu.ph</t>
  </si>
  <si>
    <t>Allistine</t>
  </si>
  <si>
    <t>Perez</t>
  </si>
  <si>
    <t>allistine_perez@southville.edu.ph</t>
  </si>
  <si>
    <t>Alma Grace</t>
  </si>
  <si>
    <t>Apura</t>
  </si>
  <si>
    <t>almagrace_apura@southville.edu.ph</t>
  </si>
  <si>
    <t>Alogena</t>
  </si>
  <si>
    <t>Bele</t>
  </si>
  <si>
    <t>alogena.bele@southville.edu.ph</t>
  </si>
  <si>
    <t>Aloja</t>
  </si>
  <si>
    <t>Sabidor</t>
  </si>
  <si>
    <t>aloja_sabidor@southville.edu.ph</t>
  </si>
  <si>
    <t>Alona</t>
  </si>
  <si>
    <t>Macahia</t>
  </si>
  <si>
    <t>alona_macahia@southville.edu.ph</t>
  </si>
  <si>
    <t>Alvin John</t>
  </si>
  <si>
    <t>Eugenio</t>
  </si>
  <si>
    <t>ajeugenio@southville.edu.ph</t>
  </si>
  <si>
    <t>Alvin Rey</t>
  </si>
  <si>
    <t>Cana</t>
  </si>
  <si>
    <t>alvin_cana@southville.edu.ph</t>
  </si>
  <si>
    <t>Ami</t>
  </si>
  <si>
    <t>Salanguit</t>
  </si>
  <si>
    <t>amis@southville.edu.ph</t>
  </si>
  <si>
    <t>Amiel</t>
  </si>
  <si>
    <t>Yacon</t>
  </si>
  <si>
    <t>amiel_yacon@southville.edu.ph</t>
  </si>
  <si>
    <t>Amina</t>
  </si>
  <si>
    <t>Tan</t>
  </si>
  <si>
    <t>amina.tan@southville.edu.ph</t>
  </si>
  <si>
    <t>Amir</t>
  </si>
  <si>
    <t>Tohid</t>
  </si>
  <si>
    <t>amirtohid@southville.edu.ph</t>
  </si>
  <si>
    <t>Ana Rizchel</t>
  </si>
  <si>
    <t>Cordero</t>
  </si>
  <si>
    <t>Rizchel.Cordero@southville.edu.ph</t>
  </si>
  <si>
    <t>Anabel</t>
  </si>
  <si>
    <t>Cortez</t>
  </si>
  <si>
    <t>anabel_cortez@southville.edu.ph</t>
  </si>
  <si>
    <t>Analiza</t>
  </si>
  <si>
    <t>Kaalim</t>
  </si>
  <si>
    <t>analiza_kaalim@southville.edu.ph</t>
  </si>
  <si>
    <t>Andrei Irwin</t>
  </si>
  <si>
    <t>Maghirang</t>
  </si>
  <si>
    <t>andrei_maghirang@southville.edu.ph</t>
  </si>
  <si>
    <t>Andrettimari</t>
  </si>
  <si>
    <t>Stevens</t>
  </si>
  <si>
    <t>andrettimari_stevens@southville.edu.ph</t>
  </si>
  <si>
    <t>Angel Gabriel</t>
  </si>
  <si>
    <t>Cuaresma</t>
  </si>
  <si>
    <t>angel_cuaresma@southville.edu.ph</t>
  </si>
  <si>
    <t>Angela</t>
  </si>
  <si>
    <t>Vidal</t>
  </si>
  <si>
    <t>angela_vidal@southville.edu.ph</t>
  </si>
  <si>
    <t>Angela Maita</t>
  </si>
  <si>
    <t>Ramos</t>
  </si>
  <si>
    <t>angelamaita_ramos@southville.edu.ph</t>
  </si>
  <si>
    <t>Angelaine</t>
  </si>
  <si>
    <t>Palada</t>
  </si>
  <si>
    <t>angelaine.palada@southville.edu.ph</t>
  </si>
  <si>
    <t>Angeli</t>
  </si>
  <si>
    <t>Acenas</t>
  </si>
  <si>
    <t>angeli_acenas@southville.edu.ph</t>
  </si>
  <si>
    <t>Angelica Rose</t>
  </si>
  <si>
    <t>angelica_tan@southville.edu.ph</t>
  </si>
  <si>
    <t>Angelie</t>
  </si>
  <si>
    <t>Madanlog</t>
  </si>
  <si>
    <t>angelie_madanlog@southville.edu.ph</t>
  </si>
  <si>
    <t>Angelo Lance</t>
  </si>
  <si>
    <t>Ingco</t>
  </si>
  <si>
    <t>lance_ingco@southville.edu.ph</t>
  </si>
  <si>
    <t>Angelo Rae</t>
  </si>
  <si>
    <t>Santos</t>
  </si>
  <si>
    <t>angelo_santos@southville.edu.ph</t>
  </si>
  <si>
    <t>Angelou</t>
  </si>
  <si>
    <t>angelou_perez@southville.edu.ph</t>
  </si>
  <si>
    <t>Anita</t>
  </si>
  <si>
    <t>Ancot</t>
  </si>
  <si>
    <t>anitaa@southville.edu.ph</t>
  </si>
  <si>
    <t>Anjenette</t>
  </si>
  <si>
    <t>Noarin</t>
  </si>
  <si>
    <t>anjenette_noarin@southville.edu.ph</t>
  </si>
  <si>
    <t>Anjer May</t>
  </si>
  <si>
    <t>Bermejo</t>
  </si>
  <si>
    <t>anjer_bermejo@southville.edu.ph</t>
  </si>
  <si>
    <t>Ann Felice</t>
  </si>
  <si>
    <t>Redondo</t>
  </si>
  <si>
    <t>ann_redondo@southville.edu.ph</t>
  </si>
  <si>
    <t>Ann Kathrina</t>
  </si>
  <si>
    <t>Nazario</t>
  </si>
  <si>
    <t>ann_nazario@southville.edu.ph</t>
  </si>
  <si>
    <t>Anna Katrina</t>
  </si>
  <si>
    <t>Maaba</t>
  </si>
  <si>
    <t>anna_maaba@southville.edu.ph</t>
  </si>
  <si>
    <t>Anna Maria</t>
  </si>
  <si>
    <t>Villarruz</t>
  </si>
  <si>
    <t>annav@southville.edu.ph</t>
  </si>
  <si>
    <t>Anna Marie</t>
  </si>
  <si>
    <t>Seva</t>
  </si>
  <si>
    <t>anna_seva@southville.edu.ph</t>
  </si>
  <si>
    <t>Annabelle</t>
  </si>
  <si>
    <t>Lesaca</t>
  </si>
  <si>
    <t>alesaca@southville.edu.ph</t>
  </si>
  <si>
    <t>Anparo</t>
  </si>
  <si>
    <t>Liwag</t>
  </si>
  <si>
    <t>anparo_liwag@southville.edu.ph</t>
  </si>
  <si>
    <t>Anrica</t>
  </si>
  <si>
    <t>Malbas</t>
  </si>
  <si>
    <t>anrica_malbas@southville.edu.ph</t>
  </si>
  <si>
    <t>Anthea Jean</t>
  </si>
  <si>
    <t>Arante</t>
  </si>
  <si>
    <t>anthea_arante@southville.edu.ph</t>
  </si>
  <si>
    <t>Anthony</t>
  </si>
  <si>
    <t>Bragais</t>
  </si>
  <si>
    <t>anthony_bragais@southville.edu.ph</t>
  </si>
  <si>
    <t>Anthony Laurence</t>
  </si>
  <si>
    <t>Blanca</t>
  </si>
  <si>
    <t>anthony_blanca@southville.edu.ph</t>
  </si>
  <si>
    <t>Apollo</t>
  </si>
  <si>
    <t>Mance</t>
  </si>
  <si>
    <t>apollom@southville.edu.ph</t>
  </si>
  <si>
    <t>Apple</t>
  </si>
  <si>
    <t>Vagallon</t>
  </si>
  <si>
    <t>apple_delgado@southville.edu.ph</t>
  </si>
  <si>
    <t>Apriel Marvie Anne M.</t>
  </si>
  <si>
    <t>Alcazarin</t>
  </si>
  <si>
    <t>18-000028@southville.edu.ph</t>
  </si>
  <si>
    <t>April</t>
  </si>
  <si>
    <t>Trajico</t>
  </si>
  <si>
    <t>april_trajico@southville.edu.ph</t>
  </si>
  <si>
    <t>April Anne</t>
  </si>
  <si>
    <t>Alberto</t>
  </si>
  <si>
    <t>april_alberto@southville.edu.ph</t>
  </si>
  <si>
    <t>April Joy</t>
  </si>
  <si>
    <t>Frias</t>
  </si>
  <si>
    <t>april_frias@southville.edu.ph</t>
  </si>
  <si>
    <t>Ar-Jay</t>
  </si>
  <si>
    <t>Tambis</t>
  </si>
  <si>
    <t>ar-jay_tambis@southville.edu.ph</t>
  </si>
  <si>
    <t>Ara Anissa</t>
  </si>
  <si>
    <t>Vivo</t>
  </si>
  <si>
    <t>araanissa.vivo@southville.edu.ph</t>
  </si>
  <si>
    <t>Ardee</t>
  </si>
  <si>
    <t>Donato</t>
  </si>
  <si>
    <t>ardeed@southville.edu.ph</t>
  </si>
  <si>
    <t>Arianne Mae</t>
  </si>
  <si>
    <t>Camba</t>
  </si>
  <si>
    <t>arianne_camba@southville.edu.ph</t>
  </si>
  <si>
    <t>Ariel</t>
  </si>
  <si>
    <t>Gozon</t>
  </si>
  <si>
    <t>ariel_gozon@southville.edu.ph</t>
  </si>
  <si>
    <t>Aris</t>
  </si>
  <si>
    <t>Ignacio</t>
  </si>
  <si>
    <t>aris_ignacio@southville.edu.ph</t>
  </si>
  <si>
    <t>Aristeo</t>
  </si>
  <si>
    <t>aristeo_santos@southville.edu.ph</t>
  </si>
  <si>
    <t>Aristheo</t>
  </si>
  <si>
    <t>Lacuna</t>
  </si>
  <si>
    <t>aristheol@southville.edu.ph</t>
  </si>
  <si>
    <t>Arjay</t>
  </si>
  <si>
    <t>Almanzor</t>
  </si>
  <si>
    <t>arjay.almanzor@southville.edu.ph</t>
  </si>
  <si>
    <t>Arjumand</t>
  </si>
  <si>
    <t>Nageen</t>
  </si>
  <si>
    <t>arjumand_nageen@southville.edu.ph</t>
  </si>
  <si>
    <t>Arlene</t>
  </si>
  <si>
    <t>Serdinia</t>
  </si>
  <si>
    <t>arlene_serdinia@southville.edu.ph</t>
  </si>
  <si>
    <t>Armie</t>
  </si>
  <si>
    <t>Ababa</t>
  </si>
  <si>
    <t>armiec@southville.edu.ph</t>
  </si>
  <si>
    <t>Arnel</t>
  </si>
  <si>
    <t>Montablan</t>
  </si>
  <si>
    <t>arnel_montablan@southville.edu.ph</t>
  </si>
  <si>
    <t>Arnelle Nihkael</t>
  </si>
  <si>
    <t>Oqueno</t>
  </si>
  <si>
    <t>arnelle_oqueno@southville.edu.ph</t>
  </si>
  <si>
    <t>Austin</t>
  </si>
  <si>
    <t>Angcos</t>
  </si>
  <si>
    <t>austin_angcos@southville.edu.ph</t>
  </si>
  <si>
    <t>Avic</t>
  </si>
  <si>
    <t>Suarez</t>
  </si>
  <si>
    <t>avics@southville.edu.ph</t>
  </si>
  <si>
    <t>Baby</t>
  </si>
  <si>
    <t>Bolanos</t>
  </si>
  <si>
    <t>baby_bolanos@southville.edu.ph</t>
  </si>
  <si>
    <t>Beatrice Thea</t>
  </si>
  <si>
    <t>Orteza</t>
  </si>
  <si>
    <t>beatrice_orteza@southville.edu.ph</t>
  </si>
  <si>
    <t>Belen</t>
  </si>
  <si>
    <t>Mandin</t>
  </si>
  <si>
    <t>belenm@southville.edu.ph</t>
  </si>
  <si>
    <t>Beng</t>
  </si>
  <si>
    <t>Yague</t>
  </si>
  <si>
    <t>bengy@southville.edu.ph</t>
  </si>
  <si>
    <t>Benjo</t>
  </si>
  <si>
    <t>Dela Cruz</t>
  </si>
  <si>
    <t>benjo_delacruz@southville.edu.ph</t>
  </si>
  <si>
    <t>Bernadeth</t>
  </si>
  <si>
    <t>Dasalla</t>
  </si>
  <si>
    <t>bernadeth_dasalla@southville.edu.ph</t>
  </si>
  <si>
    <t>Bernadette Nicole</t>
  </si>
  <si>
    <t>bernadette_lopez@southville.edu.ph</t>
  </si>
  <si>
    <t>Bernardo</t>
  </si>
  <si>
    <t>bernardor@southville.edu.ph</t>
  </si>
  <si>
    <t>Bernice</t>
  </si>
  <si>
    <t>Mata</t>
  </si>
  <si>
    <t>bernice_mata@southville.edu.ph</t>
  </si>
  <si>
    <t>Beth</t>
  </si>
  <si>
    <t>Sullano</t>
  </si>
  <si>
    <t>bsullano@southville.edu.ph</t>
  </si>
  <si>
    <t>Betina Faye</t>
  </si>
  <si>
    <t>Manuel</t>
  </si>
  <si>
    <t>betina_manuel@southville.edu.ph</t>
  </si>
  <si>
    <t>Bin</t>
  </si>
  <si>
    <t>Yan</t>
  </si>
  <si>
    <t>yanbin@southville.edu.ph</t>
  </si>
  <si>
    <t>Bin Yang</t>
  </si>
  <si>
    <t>binyang_yan@southville.edu.ph</t>
  </si>
  <si>
    <t>Bistro</t>
  </si>
  <si>
    <t>Lima</t>
  </si>
  <si>
    <t>bistrolima@southville.edu.ph</t>
  </si>
  <si>
    <t>Bless Ann</t>
  </si>
  <si>
    <t>Mea</t>
  </si>
  <si>
    <t>bless_mea@southville.edu.ph</t>
  </si>
  <si>
    <t>Bob James</t>
  </si>
  <si>
    <t>Carreon</t>
  </si>
  <si>
    <t>bob_carreon@southville.edu.ph</t>
  </si>
  <si>
    <t>Bryan Arvin</t>
  </si>
  <si>
    <t>Acob</t>
  </si>
  <si>
    <t>bryan_acob@southville.edu.ph</t>
  </si>
  <si>
    <t>Bryan S.</t>
  </si>
  <si>
    <t>Beato</t>
  </si>
  <si>
    <t>bryan_beato@southville.edu.ph</t>
  </si>
  <si>
    <t>Calixto Terence Jr.</t>
  </si>
  <si>
    <t>Obong</t>
  </si>
  <si>
    <t>calixto_obong@southville.edu.ph</t>
  </si>
  <si>
    <t>Camille</t>
  </si>
  <si>
    <t>Catanyag</t>
  </si>
  <si>
    <t>camille_catanyag@southville.edu.ph</t>
  </si>
  <si>
    <t>Camille Angela</t>
  </si>
  <si>
    <t>Zulueta</t>
  </si>
  <si>
    <t>camille_zulueta@southville.edu.ph</t>
  </si>
  <si>
    <t>Candy Rose</t>
  </si>
  <si>
    <t>Sundian</t>
  </si>
  <si>
    <t>rose_sundian@southville.edu.ph</t>
  </si>
  <si>
    <t>Carl</t>
  </si>
  <si>
    <t>Ladica</t>
  </si>
  <si>
    <t>carl_ladica@southville.edu.ph</t>
  </si>
  <si>
    <t>Carl Jovi</t>
  </si>
  <si>
    <t>Sasot</t>
  </si>
  <si>
    <t>carl_sasot@southville.edu.ph</t>
  </si>
  <si>
    <t>Carla</t>
  </si>
  <si>
    <t>Zapanta</t>
  </si>
  <si>
    <t>carla_zapanta@southville.edu.ph</t>
  </si>
  <si>
    <t>Guinto</t>
  </si>
  <si>
    <t>carlag@southville.edu.ph</t>
  </si>
  <si>
    <t>Carlito</t>
  </si>
  <si>
    <t>Dela Vega</t>
  </si>
  <si>
    <t>carlitodv@southville.edu.ph</t>
  </si>
  <si>
    <t>Carlo</t>
  </si>
  <si>
    <t>Murillo</t>
  </si>
  <si>
    <t>carlo_murillo@southville.edu.ph</t>
  </si>
  <si>
    <t>Carlos</t>
  </si>
  <si>
    <t>Dela Rosa</t>
  </si>
  <si>
    <t>carlos_delarosa@southville.edu.ph</t>
  </si>
  <si>
    <t>Carlson</t>
  </si>
  <si>
    <t>Lomotan</t>
  </si>
  <si>
    <t>carlson_lomotan@southville.edu.ph</t>
  </si>
  <si>
    <t>Carol</t>
  </si>
  <si>
    <t>Lacerna</t>
  </si>
  <si>
    <t>carolr@southville.edu.ph</t>
  </si>
  <si>
    <t>Pido</t>
  </si>
  <si>
    <t>cpido@southville.edu.ph</t>
  </si>
  <si>
    <t>Carolina</t>
  </si>
  <si>
    <t>Manga</t>
  </si>
  <si>
    <t>carolina_manga@southville.edu.ph</t>
  </si>
  <si>
    <t>Caroline</t>
  </si>
  <si>
    <t>Mediodia</t>
  </si>
  <si>
    <t>cmediodia@southville.edu.ph</t>
  </si>
  <si>
    <t>Catalina Fe</t>
  </si>
  <si>
    <t>Quinto</t>
  </si>
  <si>
    <t>fe_quinto@southville.edu.ph</t>
  </si>
  <si>
    <t>Celia</t>
  </si>
  <si>
    <t>Olmedo</t>
  </si>
  <si>
    <t>celia_olmedo@southville.edu.ph</t>
  </si>
  <si>
    <t>Celina Angelica</t>
  </si>
  <si>
    <t>Canaber</t>
  </si>
  <si>
    <t>celina_canaber@southville.edu.ph</t>
  </si>
  <si>
    <t>Ceshyr</t>
  </si>
  <si>
    <t>Bauzon</t>
  </si>
  <si>
    <t>ceshyr_bauzon@southville.edu.ph</t>
  </si>
  <si>
    <t>Charisma</t>
  </si>
  <si>
    <t>Lomat</t>
  </si>
  <si>
    <t>charisma_lomat@southville.edu.ph</t>
  </si>
  <si>
    <t>Charito</t>
  </si>
  <si>
    <t>Ilagan</t>
  </si>
  <si>
    <t>charito_ilagan@southville.edu.ph</t>
  </si>
  <si>
    <t>Charlaine</t>
  </si>
  <si>
    <t>Maternal</t>
  </si>
  <si>
    <t>charlaine_maternal@southville.edu.ph</t>
  </si>
  <si>
    <t>Charlene</t>
  </si>
  <si>
    <t>Episcope</t>
  </si>
  <si>
    <t>charlene_episcope@southville.edu.ph</t>
  </si>
  <si>
    <t>Charlito</t>
  </si>
  <si>
    <t>Abedejos</t>
  </si>
  <si>
    <t>charlito_abedejos@southville.edu.ph</t>
  </si>
  <si>
    <t>Charlyn</t>
  </si>
  <si>
    <t>Ambay</t>
  </si>
  <si>
    <t>charlyn_ambay@southville.edu.ph</t>
  </si>
  <si>
    <t>Charmagne</t>
  </si>
  <si>
    <t>Vidallon</t>
  </si>
  <si>
    <t>charmagne_vidallon@southville.edu.ph</t>
  </si>
  <si>
    <t>Charmaine</t>
  </si>
  <si>
    <t>Retuya</t>
  </si>
  <si>
    <t>charmaine_retuya@southville.edu.ph</t>
  </si>
  <si>
    <t>Cherry Rose</t>
  </si>
  <si>
    <t>Venturillo</t>
  </si>
  <si>
    <t>cherry_venturillo@southville.edu.ph</t>
  </si>
  <si>
    <t>Cheyenne</t>
  </si>
  <si>
    <t>Buitizon</t>
  </si>
  <si>
    <t>cheyenne_buitizon@southville.edu.ph</t>
  </si>
  <si>
    <t>Chin Jean</t>
  </si>
  <si>
    <t>Du</t>
  </si>
  <si>
    <t>chin_du@southville.edu.ph</t>
  </si>
  <si>
    <t>PO203333</t>
  </si>
  <si>
    <t>Chona</t>
  </si>
  <si>
    <t>Alday</t>
  </si>
  <si>
    <t>chona_alday@southville.edu.ph</t>
  </si>
  <si>
    <t>de los Trinos</t>
  </si>
  <si>
    <t>chona@southville.edu.ph</t>
  </si>
  <si>
    <t>Christar Joy</t>
  </si>
  <si>
    <t>Cadion</t>
  </si>
  <si>
    <t>christar_cadion@southville.edu.ph</t>
  </si>
  <si>
    <t>Christelle Mae</t>
  </si>
  <si>
    <t>Aya</t>
  </si>
  <si>
    <t>christelle_aya@southville.edu.ph</t>
  </si>
  <si>
    <t>Christian</t>
  </si>
  <si>
    <t>Andres</t>
  </si>
  <si>
    <t>christian_andres@southville.edu.ph</t>
  </si>
  <si>
    <t>Dio</t>
  </si>
  <si>
    <t>christian_dio@southville.edu.ph</t>
  </si>
  <si>
    <t>Christian Dante</t>
  </si>
  <si>
    <t>Tapuro</t>
  </si>
  <si>
    <t>christiant@southville.edu.ph</t>
  </si>
  <si>
    <t>Christian George</t>
  </si>
  <si>
    <t>Melitante</t>
  </si>
  <si>
    <t>georgem@southville.edu.ph</t>
  </si>
  <si>
    <t>Christian Mark</t>
  </si>
  <si>
    <t>Marbibi</t>
  </si>
  <si>
    <t>christian_marbibi@southville.edu.ph</t>
  </si>
  <si>
    <t>Lorenzana</t>
  </si>
  <si>
    <t>christian_lorenzana@southville.edu.ph</t>
  </si>
  <si>
    <t>Christian Paul</t>
  </si>
  <si>
    <t>Peligro</t>
  </si>
  <si>
    <t>christian_peligro@southville.edu.ph</t>
  </si>
  <si>
    <t>Christie</t>
  </si>
  <si>
    <t>Babor</t>
  </si>
  <si>
    <t>christieb@southville.edu.ph</t>
  </si>
  <si>
    <t>Christina</t>
  </si>
  <si>
    <t>Camacho</t>
  </si>
  <si>
    <t>christina_camacho@southville.edu.ph</t>
  </si>
  <si>
    <t>Christine</t>
  </si>
  <si>
    <t>Villacarlos</t>
  </si>
  <si>
    <t>cvillacarlos@southville.edu.ph</t>
  </si>
  <si>
    <t>Christine Ivy</t>
  </si>
  <si>
    <t>Baculao</t>
  </si>
  <si>
    <t>ivy_baculao@southville.edu.ph</t>
  </si>
  <si>
    <t>Christoff</t>
  </si>
  <si>
    <t>Graza</t>
  </si>
  <si>
    <t>christoff_graza@southville.edu.ph</t>
  </si>
  <si>
    <t>Christopher</t>
  </si>
  <si>
    <t>Trinidad</t>
  </si>
  <si>
    <t>christopher_trinidad@southville.edu.ph</t>
  </si>
  <si>
    <t>Slough</t>
  </si>
  <si>
    <t>christopher_slough@southville.edu.ph</t>
  </si>
  <si>
    <t>Mortel</t>
  </si>
  <si>
    <t>christopher_mortel@southville.edu.ph</t>
  </si>
  <si>
    <t>Cindy</t>
  </si>
  <si>
    <t>Jurado</t>
  </si>
  <si>
    <t>cindy_jurado@southville.edu.ph</t>
  </si>
  <si>
    <t>Clarissa</t>
  </si>
  <si>
    <t>Rubio</t>
  </si>
  <si>
    <t>clarissa_rubio@southville.edu.ph</t>
  </si>
  <si>
    <t>Soriao</t>
  </si>
  <si>
    <t>clarissa_soriao@southville.edu.ph</t>
  </si>
  <si>
    <t>Claudine</t>
  </si>
  <si>
    <t>Lumactud</t>
  </si>
  <si>
    <t>claudine_lumactud@southville.edu.ph</t>
  </si>
  <si>
    <t>Claudine Jade</t>
  </si>
  <si>
    <t>Geronimo</t>
  </si>
  <si>
    <t>claudine_guerrero@southville.edu.ph</t>
  </si>
  <si>
    <t>Clyde</t>
  </si>
  <si>
    <t>Rebadulla</t>
  </si>
  <si>
    <t>clyde_rebadulla@southville.edu.ph</t>
  </si>
  <si>
    <t>Colleen</t>
  </si>
  <si>
    <t>Reyes</t>
  </si>
  <si>
    <t>colleen_reyes@southville.edu.ph</t>
  </si>
  <si>
    <t>Conchita</t>
  </si>
  <si>
    <t>Crisostomo</t>
  </si>
  <si>
    <t>chit_crisostomo@southville.edu.ph</t>
  </si>
  <si>
    <t>Connie</t>
  </si>
  <si>
    <t>Ponce</t>
  </si>
  <si>
    <t>connie_ponce@southville.edu.ph</t>
  </si>
  <si>
    <t>Consuelo</t>
  </si>
  <si>
    <t>Cena</t>
  </si>
  <si>
    <t>consuelo_cena@southville.edu.ph</t>
  </si>
  <si>
    <t>Criselda</t>
  </si>
  <si>
    <t>Cueto</t>
  </si>
  <si>
    <t>criselda_cueto@southville.edu.ph</t>
  </si>
  <si>
    <t>Crismarie</t>
  </si>
  <si>
    <t>Espinosa</t>
  </si>
  <si>
    <t>crismarie_espinosa@southville.edu.ph</t>
  </si>
  <si>
    <t>Cristina Aguilar</t>
  </si>
  <si>
    <t>Borja</t>
  </si>
  <si>
    <t>cristina@southville.edu.ph</t>
  </si>
  <si>
    <t>Cristine</t>
  </si>
  <si>
    <t>Yap</t>
  </si>
  <si>
    <t>cristine_yap@southville.edu.ph</t>
  </si>
  <si>
    <t>Culinary Institute</t>
  </si>
  <si>
    <t>Southville</t>
  </si>
  <si>
    <t>cis@southville.edu.ph</t>
  </si>
  <si>
    <t>Czarina</t>
  </si>
  <si>
    <t>Cabrera</t>
  </si>
  <si>
    <t>czarina_cabrera@southville.edu.ph</t>
  </si>
  <si>
    <t>Dabereth</t>
  </si>
  <si>
    <t>Baller</t>
  </si>
  <si>
    <t>dabereth_baller@southville.edu.ph</t>
  </si>
  <si>
    <t>Daisyrie</t>
  </si>
  <si>
    <t>daisyrie_delacruz@southville.edu.ph</t>
  </si>
  <si>
    <t>Dang</t>
  </si>
  <si>
    <t>Abanador</t>
  </si>
  <si>
    <t>dang_abanador@southville.edu.ph</t>
  </si>
  <si>
    <t>Danica</t>
  </si>
  <si>
    <t>Gupit</t>
  </si>
  <si>
    <t>danica_gupit@southville.edu.ph</t>
  </si>
  <si>
    <t>Daniel</t>
  </si>
  <si>
    <t>Steel</t>
  </si>
  <si>
    <t>daniel_steel@southville.edu.ph</t>
  </si>
  <si>
    <t>Danielle Jay</t>
  </si>
  <si>
    <t>Gurbuxani</t>
  </si>
  <si>
    <t>djgurbuxani@southville.edu.ph</t>
  </si>
  <si>
    <t>Danielle Mae N.</t>
  </si>
  <si>
    <t>Mordeno</t>
  </si>
  <si>
    <t>18-0001t@southville.edu.ph</t>
  </si>
  <si>
    <t>Darlene</t>
  </si>
  <si>
    <t>Roxas</t>
  </si>
  <si>
    <t>darlene_roxas@southville.edu.ph</t>
  </si>
  <si>
    <t>Darwin</t>
  </si>
  <si>
    <t>Engracia</t>
  </si>
  <si>
    <t>darwin_engracia@southville.edu.ph</t>
  </si>
  <si>
    <t>Daryl</t>
  </si>
  <si>
    <t>Paderogo</t>
  </si>
  <si>
    <t>daryl_paderogo@southville.edu.ph</t>
  </si>
  <si>
    <t>Daryl Jim</t>
  </si>
  <si>
    <t>daryl_delacruz@southville.edu.ph</t>
  </si>
  <si>
    <t>Dave Anthon</t>
  </si>
  <si>
    <t>Base</t>
  </si>
  <si>
    <t>dave_base@southville.edu.ph</t>
  </si>
  <si>
    <t>Davy Rose</t>
  </si>
  <si>
    <t>Falceso</t>
  </si>
  <si>
    <t>davy_falceso@southville.edu.ph</t>
  </si>
  <si>
    <t>DCO/ISO</t>
  </si>
  <si>
    <t>Department</t>
  </si>
  <si>
    <t>dco-iso@southville.edu.ph</t>
  </si>
  <si>
    <t>Debbie</t>
  </si>
  <si>
    <t>Almarez</t>
  </si>
  <si>
    <t>debbie_almarez@southville.edu.ph</t>
  </si>
  <si>
    <t>Blanco</t>
  </si>
  <si>
    <t>debbie_blanco@southville.edu.ph</t>
  </si>
  <si>
    <t>Denise Charleen</t>
  </si>
  <si>
    <t>Molinar</t>
  </si>
  <si>
    <t>denise_molinar@southville.edu.ph</t>
  </si>
  <si>
    <t>Dennis</t>
  </si>
  <si>
    <t>Rinon</t>
  </si>
  <si>
    <t>dennisr@southville.edu.ph</t>
  </si>
  <si>
    <t>Denver Bingski Dumanil</t>
  </si>
  <si>
    <t>Daradar</t>
  </si>
  <si>
    <t>dbdaradar@southville.edu.ph</t>
  </si>
  <si>
    <t>Devika Ann</t>
  </si>
  <si>
    <t>Saycon</t>
  </si>
  <si>
    <t>devika_saycon@southville.edu.ph</t>
  </si>
  <si>
    <t>Diana</t>
  </si>
  <si>
    <t>Imperio</t>
  </si>
  <si>
    <t>diana_imperio@southville.edu.ph</t>
  </si>
  <si>
    <t>Diana Joy</t>
  </si>
  <si>
    <t>Meneses</t>
  </si>
  <si>
    <t>diana_meneses@southville.edu.ph</t>
  </si>
  <si>
    <t>Diana Marie</t>
  </si>
  <si>
    <t>Libinting</t>
  </si>
  <si>
    <t>diana_libinting@southville.edu.ph</t>
  </si>
  <si>
    <t>Diana Rose</t>
  </si>
  <si>
    <t>Tremedal</t>
  </si>
  <si>
    <t>diana_tremedal@southville.edu.ph</t>
  </si>
  <si>
    <t>Diane Trixia</t>
  </si>
  <si>
    <t>Palicpic</t>
  </si>
  <si>
    <t>diane_palicpic@southville.edu.ph</t>
  </si>
  <si>
    <t>Digital</t>
  </si>
  <si>
    <t>Marketing</t>
  </si>
  <si>
    <t>digital@southville.edu.ph</t>
  </si>
  <si>
    <t>Dollydane Joyce</t>
  </si>
  <si>
    <t>Doronila</t>
  </si>
  <si>
    <t>dollydane_doronila@southville.edu.ph</t>
  </si>
  <si>
    <t>Don Allen</t>
  </si>
  <si>
    <t>Matienzo</t>
  </si>
  <si>
    <t>don_matienzo@southville.edu.ph</t>
  </si>
  <si>
    <t>DONTREPLY</t>
  </si>
  <si>
    <t>TO THIS EMAIL</t>
  </si>
  <si>
    <t>dontreply@southville.edu.ph</t>
  </si>
  <si>
    <t>Donna</t>
  </si>
  <si>
    <t>Lingao</t>
  </si>
  <si>
    <t>donna.lingao@southville.edu.ph</t>
  </si>
  <si>
    <t>Dorina</t>
  </si>
  <si>
    <t>Pelayo</t>
  </si>
  <si>
    <t>dorina_pelayo@southville.edu.ph</t>
  </si>
  <si>
    <t>Dulce</t>
  </si>
  <si>
    <t>Gonda</t>
  </si>
  <si>
    <t>dulce_gonda@southville.edu.ph</t>
  </si>
  <si>
    <t>Dyan Jennifer</t>
  </si>
  <si>
    <t>Chavez</t>
  </si>
  <si>
    <t>dchavez@southville.edu.ph</t>
  </si>
  <si>
    <t>Dynesa</t>
  </si>
  <si>
    <t>Rosales</t>
  </si>
  <si>
    <t>dynesa_rosales@southville.edu.ph</t>
  </si>
  <si>
    <t>e-Admin</t>
  </si>
  <si>
    <t>P.O# 0080</t>
  </si>
  <si>
    <t>e-admin.services@southville.edu.ph</t>
  </si>
  <si>
    <t>TRASH BIN FOOT LEVER (30 PCS)</t>
  </si>
  <si>
    <t>Alfa De Leon / Ronaldo Verde</t>
  </si>
  <si>
    <t>Eddielyn</t>
  </si>
  <si>
    <t>Bote</t>
  </si>
  <si>
    <t>eddielyn_bote@southville.edu.ph</t>
  </si>
  <si>
    <t>Ederissa</t>
  </si>
  <si>
    <t>P.O # 0067</t>
  </si>
  <si>
    <t>UV STERILIZATION BOX (PR, FACULTY AND DP'S OFFICE) 3 PCS.</t>
  </si>
  <si>
    <t>ederissar@southville.edu.ph</t>
  </si>
  <si>
    <t>Leah Buhay / JC Campit</t>
  </si>
  <si>
    <t>Edgar</t>
  </si>
  <si>
    <t>Rebellon</t>
  </si>
  <si>
    <t>edgar_rebellon@southville.edu.ph</t>
  </si>
  <si>
    <t>Edgardo Rene</t>
  </si>
  <si>
    <t>Pekson</t>
  </si>
  <si>
    <t>epekson@southville.edu.ph</t>
  </si>
  <si>
    <t>Edlyn</t>
  </si>
  <si>
    <t>Asi</t>
  </si>
  <si>
    <t>edlyn_asi@southville.edu.ph</t>
  </si>
  <si>
    <t>P.O # 0153</t>
  </si>
  <si>
    <t>POTS MEDIUM</t>
  </si>
  <si>
    <t>Edmund</t>
  </si>
  <si>
    <t>Bahinting</t>
  </si>
  <si>
    <t>edmund_bahinting@southville.edu.ph</t>
  </si>
  <si>
    <t>Edna</t>
  </si>
  <si>
    <t>Sagala</t>
  </si>
  <si>
    <t>edna_sagala@southville.edu.ph</t>
  </si>
  <si>
    <t>P.O # 0308</t>
  </si>
  <si>
    <t>(3 PCS) CHRISTMAS THREE 8 TO 10 FT, (25 PCS) ASSORTED BALLS 70-100 MM, (7 DOZ) POINSETTIA, (10 DOZ) PICKS,(52 SWAG) GARLAND, (9PCS) SINAMAY, (50PCS) NOIST TWINE, (11 DOZ) TWIGS ASSTD., (5 DOZ) LEAVES, (5 DOZ) ASSORTED FLOWERS</t>
  </si>
  <si>
    <t>Ehric</t>
  </si>
  <si>
    <t>Alfa De Leon / Sheree Espinosa</t>
  </si>
  <si>
    <t>Quintana</t>
  </si>
  <si>
    <t>ehric_quintana@southville.edu.ph</t>
  </si>
  <si>
    <t>Eisen Lewis L.</t>
  </si>
  <si>
    <t>Sy</t>
  </si>
  <si>
    <t>ellsy@southville.edu.ph</t>
  </si>
  <si>
    <t>Elaine Irish</t>
  </si>
  <si>
    <t>Barrion</t>
  </si>
  <si>
    <t>elaine_barrion@southville.edu.ph</t>
  </si>
  <si>
    <t>Elaine Marie</t>
  </si>
  <si>
    <t>Alejar</t>
  </si>
  <si>
    <t>elaine_alejar@southville.edu.ph</t>
  </si>
  <si>
    <t>Elisha</t>
  </si>
  <si>
    <t>Payumo</t>
  </si>
  <si>
    <t>elisha_payumo@southville.edu.ph</t>
  </si>
  <si>
    <t>Ella Cecilia</t>
  </si>
  <si>
    <t>Balina</t>
  </si>
  <si>
    <t>ella_balina@southville.edu.ph</t>
  </si>
  <si>
    <t>Ella Marie</t>
  </si>
  <si>
    <t>Pilapil</t>
  </si>
  <si>
    <t>ella_pilapil@southville.edu.ph</t>
  </si>
  <si>
    <t>Ellyssa</t>
  </si>
  <si>
    <t>Verzosa</t>
  </si>
  <si>
    <t>ellyssa_verzosa@southville.edu.ph</t>
  </si>
  <si>
    <t>Elona Jean</t>
  </si>
  <si>
    <t>Dela Iglesia</t>
  </si>
  <si>
    <t>elona_pedrozo@southville.edu.ph</t>
  </si>
  <si>
    <t>Elvie</t>
  </si>
  <si>
    <t>Quiazon</t>
  </si>
  <si>
    <t>elvie_quiazon@southville.edu.ph</t>
  </si>
  <si>
    <t>Elydia</t>
  </si>
  <si>
    <t>elyds@southville.edu.ph</t>
  </si>
  <si>
    <t>Emelito</t>
  </si>
  <si>
    <t>Ercilla</t>
  </si>
  <si>
    <t>emelito_ercilla@southville.edu.ph</t>
  </si>
  <si>
    <t>Emelu Majahrani</t>
  </si>
  <si>
    <t>Montinola</t>
  </si>
  <si>
    <t>emelu_montinola@southville.edu.ph</t>
  </si>
  <si>
    <t>Emiliana</t>
  </si>
  <si>
    <t>Ylagan</t>
  </si>
  <si>
    <t>emiliana_ylagan@southville.edu.ph</t>
  </si>
  <si>
    <t>Emjay Sheryll</t>
  </si>
  <si>
    <t>Carandang</t>
  </si>
  <si>
    <t>emjay_carandang@southville.edu.ph</t>
  </si>
  <si>
    <t>Emmanuel</t>
  </si>
  <si>
    <t>Surbano</t>
  </si>
  <si>
    <t>emmanuel_surbano@southville.edu.ph</t>
  </si>
  <si>
    <t>Corsame</t>
  </si>
  <si>
    <t>emmanuel_corsame@southville.edu.ph</t>
  </si>
  <si>
    <t>Emmanuel Javier</t>
  </si>
  <si>
    <t>ejcorsame@southville.edu.ph</t>
  </si>
  <si>
    <t>Engelbert</t>
  </si>
  <si>
    <t>Canceran</t>
  </si>
  <si>
    <t>engelbert_canceran@southville.edu.ph</t>
  </si>
  <si>
    <t>Epifania</t>
  </si>
  <si>
    <t>Indac</t>
  </si>
  <si>
    <t>fanny_indac@southville.edu.ph</t>
  </si>
  <si>
    <t>Erika</t>
  </si>
  <si>
    <t>Larcia</t>
  </si>
  <si>
    <t>erika_larcia@southville.edu.ph</t>
  </si>
  <si>
    <t>Erika Jane</t>
  </si>
  <si>
    <t>Saguil</t>
  </si>
  <si>
    <t>erika_saguil@southville.edu.ph</t>
  </si>
  <si>
    <t>Ernest</t>
  </si>
  <si>
    <t>Levanza</t>
  </si>
  <si>
    <t>ernest_levanza@southville.edu.ph</t>
  </si>
  <si>
    <t>Ernie</t>
  </si>
  <si>
    <t>Magno</t>
  </si>
  <si>
    <t>emagno@southville.edu.ph</t>
  </si>
  <si>
    <t>Esaly</t>
  </si>
  <si>
    <t>Banitak</t>
  </si>
  <si>
    <t>esaly_banitak@southville.edu.ph</t>
  </si>
  <si>
    <t>P.O # 0311</t>
  </si>
  <si>
    <t>25 PCS CURTAIN LIGHTS, 105 PCS CHRISTMAS LIGHTS LED</t>
  </si>
  <si>
    <t>Esther Joy</t>
  </si>
  <si>
    <t>Larita</t>
  </si>
  <si>
    <t>esther_larita@southville.edu.ph</t>
  </si>
  <si>
    <t>Estrella</t>
  </si>
  <si>
    <t>Cruz</t>
  </si>
  <si>
    <t>esther_cruz@southville.edu.ph</t>
  </si>
  <si>
    <t>P.O # 0321</t>
  </si>
  <si>
    <t xml:space="preserve">POTS XXL 6 PCS, POTS XL 12 PCS.  </t>
  </si>
  <si>
    <t>Sheree Espinosa / Alfa De Leon</t>
  </si>
  <si>
    <t>Eudier</t>
  </si>
  <si>
    <t>Yoingco</t>
  </si>
  <si>
    <t>eudiery@southville.edu.ph</t>
  </si>
  <si>
    <t>Eugene</t>
  </si>
  <si>
    <t>Masilungan</t>
  </si>
  <si>
    <t>eugenem@southville.edu.ph</t>
  </si>
  <si>
    <t>P.O # 0320</t>
  </si>
  <si>
    <t xml:space="preserve">FURUDAN 2 PCS., KARATE 2 PCS., COMPLETE 1 PC. </t>
  </si>
  <si>
    <t>Eula Ivory Grace</t>
  </si>
  <si>
    <t>Raymundo</t>
  </si>
  <si>
    <t>eula_raymundo@southville.edu.ph</t>
  </si>
  <si>
    <t>Eulalia</t>
  </si>
  <si>
    <t>eulalia_rosales@southville.edu.ph</t>
  </si>
  <si>
    <t>PO30155</t>
  </si>
  <si>
    <t xml:space="preserve">WATER DISPENSER 2 PCS. </t>
  </si>
  <si>
    <t>Eunice</t>
  </si>
  <si>
    <t>Resurrecion</t>
  </si>
  <si>
    <t>eunice_resurrecion@southville.edu.ph</t>
  </si>
  <si>
    <t>Eunice Joy</t>
  </si>
  <si>
    <t>Fernandez</t>
  </si>
  <si>
    <t>eunice_fernandez@southville.edu.ph</t>
  </si>
  <si>
    <t>P.O # 0319</t>
  </si>
  <si>
    <t>Eva</t>
  </si>
  <si>
    <t>BULB 5A, LED ROPE LIGHT WARM WHITE, ROPE LIGHT GREEN, ROPE LIGHT BLUE, ROPE LIGHT RED, ROPE LIGHT YELLOW, CABLE TIE</t>
  </si>
  <si>
    <t>Necosia</t>
  </si>
  <si>
    <t>eva_necosia@southville.edu.ph</t>
  </si>
  <si>
    <t>Eve</t>
  </si>
  <si>
    <t>Fresnel</t>
  </si>
  <si>
    <t>eve_fresnel@southville.edu.ph</t>
  </si>
  <si>
    <t>Extended</t>
  </si>
  <si>
    <t>Essay</t>
  </si>
  <si>
    <t>extended_essay@southville.edu.ph</t>
  </si>
  <si>
    <t>Fatima</t>
  </si>
  <si>
    <t>Campaner</t>
  </si>
  <si>
    <t>fatima_campaner@southville.edu.ph</t>
  </si>
  <si>
    <t>P.O # 0286</t>
  </si>
  <si>
    <t>Federico</t>
  </si>
  <si>
    <t>POTS LARGE</t>
  </si>
  <si>
    <t>Colar</t>
  </si>
  <si>
    <t>fccolar@southville.edu.ph</t>
  </si>
  <si>
    <t>Felix</t>
  </si>
  <si>
    <t>Barqueros</t>
  </si>
  <si>
    <t>felix_barqueros@southville.edu.ph</t>
  </si>
  <si>
    <t>Ferdinand</t>
  </si>
  <si>
    <t>ferdinand.delaruz@southville.edu.ph</t>
  </si>
  <si>
    <t>Fernan</t>
  </si>
  <si>
    <t>Fortunato</t>
  </si>
  <si>
    <t>fernanf@southville.edu.ph</t>
  </si>
  <si>
    <t>Fides</t>
  </si>
  <si>
    <t>Adiviso</t>
  </si>
  <si>
    <t>fidesa@southville.edu.ph</t>
  </si>
  <si>
    <t>Fiel Aldous</t>
  </si>
  <si>
    <t>Evidente</t>
  </si>
  <si>
    <t>faevidente@southville.edu.ph</t>
  </si>
  <si>
    <t>P.O # 0234</t>
  </si>
  <si>
    <t>Flor Mae</t>
  </si>
  <si>
    <t>1 ROLL FLAT CORD 16</t>
  </si>
  <si>
    <t>Espina</t>
  </si>
  <si>
    <t>JC Campit</t>
  </si>
  <si>
    <t>flor_espina@southville.edu.ph</t>
  </si>
  <si>
    <t>Floramae</t>
  </si>
  <si>
    <t>Aguilos</t>
  </si>
  <si>
    <t>floramae_aguilos@southville.edu.ph</t>
  </si>
  <si>
    <t>P.O # 0233</t>
  </si>
  <si>
    <t>Floyd</t>
  </si>
  <si>
    <t xml:space="preserve">10 PCS. CAPIZ PAROL 42" LED LIGHT COLOR PURPLE </t>
  </si>
  <si>
    <t>Paguio</t>
  </si>
  <si>
    <t>floyd_paguio@southville.edu.ph</t>
  </si>
  <si>
    <t>Franklin</t>
  </si>
  <si>
    <t>Quiachon</t>
  </si>
  <si>
    <t>franklin_quiachon@southville.edu.ph</t>
  </si>
  <si>
    <t>Ducut</t>
  </si>
  <si>
    <t>fulgenciod@southville.edu.ph</t>
  </si>
  <si>
    <t>Garry</t>
  </si>
  <si>
    <t>Gonzalo</t>
  </si>
  <si>
    <t>ggonzalo@southville.edu.ph</t>
  </si>
  <si>
    <t>Geneca</t>
  </si>
  <si>
    <t>Barola</t>
  </si>
  <si>
    <t>geneca_barola@southville.edu.ph</t>
  </si>
  <si>
    <t>Geneva Winona</t>
  </si>
  <si>
    <t>Vila Elago</t>
  </si>
  <si>
    <t>geneva_vilaelago@southville.edu.ph</t>
  </si>
  <si>
    <t>Genevieve</t>
  </si>
  <si>
    <t>gene@southville.edu.ph</t>
  </si>
  <si>
    <t>Gennevic</t>
  </si>
  <si>
    <t>Ona</t>
  </si>
  <si>
    <t>gennevic_ona@southville.edu.ph</t>
  </si>
  <si>
    <t>Georgina</t>
  </si>
  <si>
    <t>georgina_cruz@southville.edu.ph</t>
  </si>
  <si>
    <t>Gerald</t>
  </si>
  <si>
    <t>Gamboa</t>
  </si>
  <si>
    <t>gerald_gamboa@southville.edu.ph</t>
  </si>
  <si>
    <t>Geraldine</t>
  </si>
  <si>
    <t>Cacapit</t>
  </si>
  <si>
    <t>gigic@southville.edu.ph</t>
  </si>
  <si>
    <t>Gerardo</t>
  </si>
  <si>
    <t>Plana</t>
  </si>
  <si>
    <t>gerardo_plana@southville.edu.ph</t>
  </si>
  <si>
    <t>Gerlie</t>
  </si>
  <si>
    <t>Agravante</t>
  </si>
  <si>
    <t>gerlie_agravante@southville.edu.ph</t>
  </si>
  <si>
    <t>Gerrimel</t>
  </si>
  <si>
    <t>Hernandez</t>
  </si>
  <si>
    <t>gerrimel_hernandez@southville.edu.ph</t>
  </si>
  <si>
    <t>Gia</t>
  </si>
  <si>
    <t>Sogitao</t>
  </si>
  <si>
    <t>gia_sogitao@southville.edu.ph</t>
  </si>
  <si>
    <t>GianPaolo</t>
  </si>
  <si>
    <t>Rivera</t>
  </si>
  <si>
    <t>gian_rivera@southville.edu.ph</t>
  </si>
  <si>
    <t>Gina</t>
  </si>
  <si>
    <t>Caneo</t>
  </si>
  <si>
    <t>ginacaneo@southville.edu.ph</t>
  </si>
  <si>
    <t>Gladys</t>
  </si>
  <si>
    <t>Mintu</t>
  </si>
  <si>
    <t>gladysm@southville.edu.ph</t>
  </si>
  <si>
    <t>Gliceria</t>
  </si>
  <si>
    <t>Kilapkilap</t>
  </si>
  <si>
    <t>gly@southville.edu.ph</t>
  </si>
  <si>
    <t>Gloria Flor</t>
  </si>
  <si>
    <t>Tayco</t>
  </si>
  <si>
    <t>gloriaflor_tayco@southville.edu.ph</t>
  </si>
  <si>
    <t>Godfrey</t>
  </si>
  <si>
    <t>Caccam</t>
  </si>
  <si>
    <t>godfrey_caccam@southville.edu.ph</t>
  </si>
  <si>
    <t>Gou</t>
  </si>
  <si>
    <t>Lisha</t>
  </si>
  <si>
    <t>gou_lisha@southville.edu.ph</t>
  </si>
  <si>
    <t>Grace</t>
  </si>
  <si>
    <t>Chong</t>
  </si>
  <si>
    <t>grace_chong@southville.edu.ph</t>
  </si>
  <si>
    <t>Grace Fe</t>
  </si>
  <si>
    <t>Tomas</t>
  </si>
  <si>
    <t>maj_tomas@southville.edu.ph</t>
  </si>
  <si>
    <t>Gregoria Reyes</t>
  </si>
  <si>
    <t>Smith</t>
  </si>
  <si>
    <t>grsmith@southville.edu.ph</t>
  </si>
  <si>
    <t>Gwen</t>
  </si>
  <si>
    <t>Faminialagao</t>
  </si>
  <si>
    <t>gwen_faminialagao@southville.edu.ph</t>
  </si>
  <si>
    <t>SG004</t>
  </si>
  <si>
    <t>SGE0004</t>
  </si>
  <si>
    <t>Haney Val</t>
  </si>
  <si>
    <t>Benlayo</t>
  </si>
  <si>
    <t>haney_benlayo@southville.edu.ph</t>
  </si>
  <si>
    <t>Elle Tech and Trend Furniture and Interiors</t>
  </si>
  <si>
    <t>Hannah Jean</t>
  </si>
  <si>
    <t>Torralba</t>
  </si>
  <si>
    <t>hannah_torralba@southville.edu.ph</t>
  </si>
  <si>
    <t>P.O # 0318</t>
  </si>
  <si>
    <t>Hannah Louise</t>
  </si>
  <si>
    <t>Sto. Domingo</t>
  </si>
  <si>
    <t xml:space="preserve">CAPIZ PAROL 42" WARM WHITE STEADY 3 PCS, CAPIZ PAROL 24' WARM WHITE STEADY 5 PCS, CABBAGE CAPIZ PAROL 10 PCS. </t>
  </si>
  <si>
    <t>hannah_sto.domingo@southville.edu.ph</t>
  </si>
  <si>
    <t>Hannamie</t>
  </si>
  <si>
    <t>Luching</t>
  </si>
  <si>
    <t>hannamie_luching@southville.edu.ph</t>
  </si>
  <si>
    <t>P.O # 0133</t>
  </si>
  <si>
    <t>Harold</t>
  </si>
  <si>
    <t>POTS XL</t>
  </si>
  <si>
    <t>Sabanal</t>
  </si>
  <si>
    <t>harold.sabanal@southville.edu.ph</t>
  </si>
  <si>
    <t>Haydee</t>
  </si>
  <si>
    <t>haydee_cueto@southville.edu.ph</t>
  </si>
  <si>
    <t>P.O # 0134</t>
  </si>
  <si>
    <t>Hayyakallah Jameel Kristin</t>
  </si>
  <si>
    <t>ROPE 1/4 BLACK</t>
  </si>
  <si>
    <t>Engbino</t>
  </si>
  <si>
    <t>jameel_engbino@southville.edu.ph</t>
  </si>
  <si>
    <t>Hazel</t>
  </si>
  <si>
    <t>Camposano</t>
  </si>
  <si>
    <t>hazel_camposano@southville.edu.ph</t>
  </si>
  <si>
    <t>PO29872</t>
  </si>
  <si>
    <t>LAWN MOVER HEAVY DUTY</t>
  </si>
  <si>
    <t>Help</t>
  </si>
  <si>
    <t>Desk</t>
  </si>
  <si>
    <t>help@southville.edu.ph</t>
  </si>
  <si>
    <t>Herman</t>
  </si>
  <si>
    <t>Constantino Jr.</t>
  </si>
  <si>
    <t>herman_cjr@southville.edu.ph</t>
  </si>
  <si>
    <t>P.O # 0157</t>
  </si>
  <si>
    <t>6.0 HP CEILING DUCTED INVERTER (4 UNITS)</t>
  </si>
  <si>
    <t>Michael Berza / Leah Buhay</t>
  </si>
  <si>
    <t>HR</t>
  </si>
  <si>
    <t>Hiring</t>
  </si>
  <si>
    <t>hr_hiring@southville.edu.ph</t>
  </si>
  <si>
    <t>Humphrey</t>
  </si>
  <si>
    <t>Soliman Jr.</t>
  </si>
  <si>
    <t>humpsoliman@southville.edu.ph</t>
  </si>
  <si>
    <t>PO30345</t>
  </si>
  <si>
    <t>1 WALL FAN</t>
  </si>
  <si>
    <t>Michael Berza / JC Campit</t>
  </si>
  <si>
    <t>IB</t>
  </si>
  <si>
    <t>Secretary</t>
  </si>
  <si>
    <t>ibsec@southville.edu.ph</t>
  </si>
  <si>
    <t>Imee</t>
  </si>
  <si>
    <t>Quitasol</t>
  </si>
  <si>
    <t>P.O # 0363</t>
  </si>
  <si>
    <t>imee_quitasol@southville.edu.ph</t>
  </si>
  <si>
    <t>1 AFRICAN TALISAY 8FT - 10FT</t>
  </si>
  <si>
    <t>Imelda</t>
  </si>
  <si>
    <t>Devesa</t>
  </si>
  <si>
    <t>imelda_devesa@southville.edu.ph</t>
  </si>
  <si>
    <t>P.O # 0350</t>
  </si>
  <si>
    <t>Irene</t>
  </si>
  <si>
    <t>Ramirez</t>
  </si>
  <si>
    <t>ADDTL PLANTS - DURANTA, FORGET ME NOT, BEACH LILY, PICARRA, BANGKOK SCHLEFFERA, DWARF PANDAKAKI, HELICONIA, SELLOUM, PEANUT, SPIDER LILY, PHILODENDRON</t>
  </si>
  <si>
    <t>irene_ramirez@southville.edu.ph</t>
  </si>
  <si>
    <t>Ilaga</t>
  </si>
  <si>
    <t>irene_ilaga@southville.edu.ph</t>
  </si>
  <si>
    <t>P.O # 0074</t>
  </si>
  <si>
    <t xml:space="preserve">POTS XL </t>
  </si>
  <si>
    <t>Isabelo</t>
  </si>
  <si>
    <t>Alfa De Leon / Mersheil Ballela</t>
  </si>
  <si>
    <t>Leopoldo</t>
  </si>
  <si>
    <t>biloy@southville.edu.ph</t>
  </si>
  <si>
    <t>Ivy</t>
  </si>
  <si>
    <t>Echano</t>
  </si>
  <si>
    <t>iechano@southville.edu.ph</t>
  </si>
  <si>
    <t>P.O # 0061</t>
  </si>
  <si>
    <t xml:space="preserve">ROPE LIGHT COL RED, ROPE LIGHT COL GREEN, ROPE LIGHT COL YELLOW, ROPE LIGHT COL PURPLE, ROPE LIGHT COL BLUE, CONTROL PANEL  </t>
  </si>
  <si>
    <t>Augusto Buhay / Alfa De Leon</t>
  </si>
  <si>
    <t>Jackie Mary Lynne</t>
  </si>
  <si>
    <t>Tullao</t>
  </si>
  <si>
    <t>jmltullao@southville.edu.ph</t>
  </si>
  <si>
    <t>Jackquero</t>
  </si>
  <si>
    <t>Datinguinoo</t>
  </si>
  <si>
    <t>P.O # 0060</t>
  </si>
  <si>
    <t>jack_datinguinoo@southville.edu.ph</t>
  </si>
  <si>
    <t>ROPE LIGHT COLOR WARM WHITE, BULB, CABLE TIE</t>
  </si>
  <si>
    <t>Jahrel</t>
  </si>
  <si>
    <t>Tampil</t>
  </si>
  <si>
    <t>jahrel_tampil@southville.edu.ph</t>
  </si>
  <si>
    <t>Jake</t>
  </si>
  <si>
    <t>Sagun</t>
  </si>
  <si>
    <t>P.O # 0071</t>
  </si>
  <si>
    <t>jake_sagun@southville.edu.ph</t>
  </si>
  <si>
    <t>STANCHION WITH RETRACTABLE POST</t>
  </si>
  <si>
    <t>January</t>
  </si>
  <si>
    <t>Gutierrez</t>
  </si>
  <si>
    <t>jang@southville.edu.ph</t>
  </si>
  <si>
    <t>Jaqueline</t>
  </si>
  <si>
    <t>Errea</t>
  </si>
  <si>
    <t>P.O # 0077</t>
  </si>
  <si>
    <t>jaqueline_errea@southville.edu.ph</t>
  </si>
  <si>
    <t>SQUARE BAR 12 MM, WHITE SAND, CUTTING DISC #4", GI WIRE # 16, PAINT THINNER, PAINT BRUSH 1.5</t>
  </si>
  <si>
    <t>Jasmin</t>
  </si>
  <si>
    <t>Amurao</t>
  </si>
  <si>
    <t>jasmin_amurao@southville.edu.ph</t>
  </si>
  <si>
    <t>Jason</t>
  </si>
  <si>
    <t>Balatbat</t>
  </si>
  <si>
    <t>jason_balatbat@southville.edu.ph</t>
  </si>
  <si>
    <t>Bugatan</t>
  </si>
  <si>
    <t>jason_bugatan@southville.edu.ph</t>
  </si>
  <si>
    <t>jason_trinidad@southville.edu.ph</t>
  </si>
  <si>
    <t>JC Campit / Michael Berza</t>
  </si>
  <si>
    <t>Jay</t>
  </si>
  <si>
    <t>Masangcay</t>
  </si>
  <si>
    <t>jmasangcay@southville.edu.ph</t>
  </si>
  <si>
    <t>Ayala</t>
  </si>
  <si>
    <t>P.O # 0079</t>
  </si>
  <si>
    <t>jay_ayala@southville.edu.ph</t>
  </si>
  <si>
    <t xml:space="preserve">AUTOMATIC ALCOHOL DISPENSER WITH STAND FOR G/F LOBBY, CLINIC, ISOLATION, PR AND WAITING AREA, FOR 1ST 2ND FLOOR LANDING AREA,FOR CLASSROOMS, EAST WINGS, WEST LOBBY GF AND CR ENTRANCE </t>
  </si>
  <si>
    <t>Jay-Nieca</t>
  </si>
  <si>
    <t>Mercado</t>
  </si>
  <si>
    <t>jay-nieca_mercado@southville.edu.ph</t>
  </si>
  <si>
    <t>Jaylou</t>
  </si>
  <si>
    <t>jperez@southville.edu.ph</t>
  </si>
  <si>
    <t>Jaypee</t>
  </si>
  <si>
    <t>Gonzales</t>
  </si>
  <si>
    <t>jaypee_gonzales@southville.edu.ph</t>
  </si>
  <si>
    <t>Jayson</t>
  </si>
  <si>
    <t>P.O # 0084</t>
  </si>
  <si>
    <t>Robellano</t>
  </si>
  <si>
    <t>jaysonr@southville.edu.ph</t>
  </si>
  <si>
    <t xml:space="preserve">SCISSORS LONG, SCISSORS SHORT,SCISSORS SMALL,KUTSARA, ITAK   </t>
  </si>
  <si>
    <t>Mersheil Ballela And Alfa De Leon</t>
  </si>
  <si>
    <t>Mark Jayven</t>
  </si>
  <si>
    <t>Poblete</t>
  </si>
  <si>
    <t>jayven_poblete@southville.edu.ph</t>
  </si>
  <si>
    <t>Jealyn</t>
  </si>
  <si>
    <t>Manalo</t>
  </si>
  <si>
    <t>jealyn_manalo@southville.edu.ph</t>
  </si>
  <si>
    <t>Jeanel</t>
  </si>
  <si>
    <t>Sanchez</t>
  </si>
  <si>
    <t>jeanel_sanchez@southville.edu.ph</t>
  </si>
  <si>
    <t>Jeanie</t>
  </si>
  <si>
    <t>Lubis</t>
  </si>
  <si>
    <t>jeanie_lubis@southville.edu.ph</t>
  </si>
  <si>
    <t>Jeannette</t>
  </si>
  <si>
    <t>jeannette_asi@southville.edu.ph</t>
  </si>
  <si>
    <t>Jehnie</t>
  </si>
  <si>
    <t>Agorilla</t>
  </si>
  <si>
    <t>jehnie_agorilla@southville.edu.ph</t>
  </si>
  <si>
    <t>Jeline</t>
  </si>
  <si>
    <t>Pagdonsolan</t>
  </si>
  <si>
    <t>jeline_pagdonsolan@southville.edu.ph</t>
  </si>
  <si>
    <t>Jemalyn</t>
  </si>
  <si>
    <t>Caguicla</t>
  </si>
  <si>
    <t>jemalyn_caguicla@southville.edu.ph</t>
  </si>
  <si>
    <t>Jemimah Joy</t>
  </si>
  <si>
    <t>Macarubbo</t>
  </si>
  <si>
    <t>jemimah_macarubbo@southville.edu.ph</t>
  </si>
  <si>
    <t>Jennifer</t>
  </si>
  <si>
    <t>Pre</t>
  </si>
  <si>
    <t>jennifer_pre@southville.edu.ph</t>
  </si>
  <si>
    <t>Hilario</t>
  </si>
  <si>
    <t>jennifer_hilario@southville.edu.ph</t>
  </si>
  <si>
    <t>Bajamundi</t>
  </si>
  <si>
    <t>jennieb@southville.edu.ph</t>
  </si>
  <si>
    <t>Tibayan</t>
  </si>
  <si>
    <t>jennifer_tibayan@southville.edu.ph</t>
  </si>
  <si>
    <t>Jenny</t>
  </si>
  <si>
    <t>Fonte</t>
  </si>
  <si>
    <t>jfonte@southville.edu.ph</t>
  </si>
  <si>
    <t>Tecson</t>
  </si>
  <si>
    <t>jtecson@southville.edu.ph</t>
  </si>
  <si>
    <t>Jermaine</t>
  </si>
  <si>
    <t>Rabot</t>
  </si>
  <si>
    <t>jermaine_rabot@southville.edu.ph</t>
  </si>
  <si>
    <t>Jerome</t>
  </si>
  <si>
    <t>Bonifacio</t>
  </si>
  <si>
    <t>jeromeb@southville.edu.ph</t>
  </si>
  <si>
    <t>Jerry</t>
  </si>
  <si>
    <t>Aguilar</t>
  </si>
  <si>
    <t>jerry.aguilar@southville.edu.ph</t>
  </si>
  <si>
    <t>Jerwin</t>
  </si>
  <si>
    <t>Derilo</t>
  </si>
  <si>
    <t>jerwin_derilo@southville.edu.ph</t>
  </si>
  <si>
    <t>Jesulito</t>
  </si>
  <si>
    <t>Cornejo</t>
  </si>
  <si>
    <t>jpcornejo@southville.edu.ph</t>
  </si>
  <si>
    <t>Jesus Rafael</t>
  </si>
  <si>
    <t>Canlas</t>
  </si>
  <si>
    <t>jesus_canlas@southville.edu.ph</t>
  </si>
  <si>
    <t>Jesusa</t>
  </si>
  <si>
    <t>Alulod</t>
  </si>
  <si>
    <t>jesusa_alulod@southville.edu.ph</t>
  </si>
  <si>
    <t>Jesyl Origen</t>
  </si>
  <si>
    <t>jesyl_yague@southville.edu.ph</t>
  </si>
  <si>
    <t>Jhun Lerry</t>
  </si>
  <si>
    <t>Tayan</t>
  </si>
  <si>
    <t>jhun_tayan@southville.edu.ph</t>
  </si>
  <si>
    <t>Jhun Paul</t>
  </si>
  <si>
    <t>Arana</t>
  </si>
  <si>
    <t>paul_arana@southville.edu.ph</t>
  </si>
  <si>
    <t>Jhunnie Ann May</t>
  </si>
  <si>
    <t>Balajadia</t>
  </si>
  <si>
    <t>jam_balajadia@southville.edu.ph</t>
  </si>
  <si>
    <t>Jimmu</t>
  </si>
  <si>
    <t>Mediavillo</t>
  </si>
  <si>
    <t>jimmu_mediavillo@southville.edu.ph</t>
  </si>
  <si>
    <t>Jin</t>
  </si>
  <si>
    <t>Zhanjuan</t>
  </si>
  <si>
    <t>jin_zhanjuan@southville.edu.ph</t>
  </si>
  <si>
    <t>Jirah</t>
  </si>
  <si>
    <t>Porras</t>
  </si>
  <si>
    <t>jirah_porras@southville.edu.ph</t>
  </si>
  <si>
    <t>Joan Mariel</t>
  </si>
  <si>
    <t>De Castro</t>
  </si>
  <si>
    <t>joan_decastro@southville.edu.ph</t>
  </si>
  <si>
    <t>Joana Marie</t>
  </si>
  <si>
    <t>Gajardo</t>
  </si>
  <si>
    <t>joana_gajardo@southville.edu.ph</t>
  </si>
  <si>
    <t>Joanne</t>
  </si>
  <si>
    <t>Miranda</t>
  </si>
  <si>
    <t>joanne_miranda@southville.edu.ph</t>
  </si>
  <si>
    <t>Joanne Mae</t>
  </si>
  <si>
    <t>Martizano</t>
  </si>
  <si>
    <t>joanne_martizano@southville.edu.ph</t>
  </si>
  <si>
    <t>Jocelyn</t>
  </si>
  <si>
    <t>Tizon</t>
  </si>
  <si>
    <t>jocelyn_tizon@southville.edu.ph</t>
  </si>
  <si>
    <t>Joebert</t>
  </si>
  <si>
    <t>Pagdato</t>
  </si>
  <si>
    <t>joebert_pagdato@southville.edu.ph</t>
  </si>
  <si>
    <t>Joey</t>
  </si>
  <si>
    <t>Reboredo</t>
  </si>
  <si>
    <t>joey_reboredo@southville.edu.ph</t>
  </si>
  <si>
    <t>John</t>
  </si>
  <si>
    <t>Chan</t>
  </si>
  <si>
    <t>john_chan@southville.edu.ph</t>
  </si>
  <si>
    <t>Wraith</t>
  </si>
  <si>
    <t>john_wraith@southville.edu.ph</t>
  </si>
  <si>
    <t>John Christian</t>
  </si>
  <si>
    <t>Escamillas</t>
  </si>
  <si>
    <t>john_escamillas@southville.edu.ph</t>
  </si>
  <si>
    <t>John George</t>
  </si>
  <si>
    <t>Pastor</t>
  </si>
  <si>
    <t>john_pastor@southville.edu.ph</t>
  </si>
  <si>
    <t>John Henry</t>
  </si>
  <si>
    <t>Balaoro</t>
  </si>
  <si>
    <t>john_balaoro@southville.edu.ph</t>
  </si>
  <si>
    <t>John Kenny</t>
  </si>
  <si>
    <t>Benosa</t>
  </si>
  <si>
    <t>john_benosa@southville.edu.ph</t>
  </si>
  <si>
    <t>John Michael</t>
  </si>
  <si>
    <t>Manansala</t>
  </si>
  <si>
    <t>michael_manansala@southville.edu.ph</t>
  </si>
  <si>
    <t>John Paul</t>
  </si>
  <si>
    <t>Ragot</t>
  </si>
  <si>
    <t>john_ragot@southville.edu.ph</t>
  </si>
  <si>
    <t>John Philip</t>
  </si>
  <si>
    <t>Napal</t>
  </si>
  <si>
    <t>john_napal@southville.edu.ph</t>
  </si>
  <si>
    <t>John Rod</t>
  </si>
  <si>
    <t>Balagtas</t>
  </si>
  <si>
    <t>john_balagtas@southville.edu.ph</t>
  </si>
  <si>
    <t>John Wraith</t>
  </si>
  <si>
    <t>IBDPC</t>
  </si>
  <si>
    <t>john_wraithibdpc@southville.edu.ph</t>
  </si>
  <si>
    <t>Joie Iryll</t>
  </si>
  <si>
    <t>Balmes</t>
  </si>
  <si>
    <t>PO30261</t>
  </si>
  <si>
    <t>joie_balmes@southville.edu.ph</t>
  </si>
  <si>
    <t xml:space="preserve">BLANKETS AND BEDSHEETS, PILLOWS. CLEANING MATERIALS </t>
  </si>
  <si>
    <t>JC Campit / Edilberto Hidalgo</t>
  </si>
  <si>
    <t>Joji</t>
  </si>
  <si>
    <t>Dela Pena</t>
  </si>
  <si>
    <t>jojidp@southville.edu.ph</t>
  </si>
  <si>
    <t>Jojo</t>
  </si>
  <si>
    <t>T</t>
  </si>
  <si>
    <t>Nones@southville.edu.ph</t>
  </si>
  <si>
    <t>Custudio</t>
  </si>
  <si>
    <t>ASAT0071</t>
  </si>
  <si>
    <t>jcustodio@southville.edu.ph</t>
  </si>
  <si>
    <t>SA0087</t>
  </si>
  <si>
    <t>Jomar</t>
  </si>
  <si>
    <t>Aranilla</t>
  </si>
  <si>
    <t>jomar_aranilla@southville.edu.ph</t>
  </si>
  <si>
    <t>Jonamae</t>
  </si>
  <si>
    <t>Ampong</t>
  </si>
  <si>
    <t>jonamae_ampong@southville.edu.ph</t>
  </si>
  <si>
    <t>Jonathan</t>
  </si>
  <si>
    <t>Villaluz</t>
  </si>
  <si>
    <t>ASAT0070</t>
  </si>
  <si>
    <t>jonathan_villaluz@southville.edu.ph</t>
  </si>
  <si>
    <t>SA0086</t>
  </si>
  <si>
    <t>jdborja@southville.edu.ph</t>
  </si>
  <si>
    <t>Joralyn</t>
  </si>
  <si>
    <t>Casis</t>
  </si>
  <si>
    <t>joralyn_casis@southville.edu.ph</t>
  </si>
  <si>
    <t>Joratio Jose</t>
  </si>
  <si>
    <t>Nuyda</t>
  </si>
  <si>
    <t>joratio_nuyda@southville.edu.ph</t>
  </si>
  <si>
    <t>ASAT0072</t>
  </si>
  <si>
    <t>SA0085</t>
  </si>
  <si>
    <t>Jose</t>
  </si>
  <si>
    <t>Longasa</t>
  </si>
  <si>
    <t>jose_longasa@southville.edu.ph</t>
  </si>
  <si>
    <t>joser@southville.edu.ph</t>
  </si>
  <si>
    <t>Jose Nestor</t>
  </si>
  <si>
    <t>Guevara II</t>
  </si>
  <si>
    <t>jose_guevara@southville.edu.ph</t>
  </si>
  <si>
    <t>ASAT0069</t>
  </si>
  <si>
    <t>SA0082</t>
  </si>
  <si>
    <t>Josellie</t>
  </si>
  <si>
    <t>Opao</t>
  </si>
  <si>
    <t>josellie_opao@southville.edu.ph</t>
  </si>
  <si>
    <t>Joseph</t>
  </si>
  <si>
    <t>Cipriano</t>
  </si>
  <si>
    <t>joseph_cipriano@southville.edu.ph</t>
  </si>
  <si>
    <t>Joseph Aristole</t>
  </si>
  <si>
    <t>Gregorio</t>
  </si>
  <si>
    <t>joseph_gregorio@southville.edu.ph</t>
  </si>
  <si>
    <t>SA0083</t>
  </si>
  <si>
    <t>Joseph Nicolai</t>
  </si>
  <si>
    <t>Gabriel</t>
  </si>
  <si>
    <t>joseph_gabriel@southville.edu.ph</t>
  </si>
  <si>
    <t>Josephine</t>
  </si>
  <si>
    <t>Rogelio</t>
  </si>
  <si>
    <t>josephine_rogelio@southville.edu.ph</t>
  </si>
  <si>
    <t>ASAT0062</t>
  </si>
  <si>
    <t>SA0075</t>
  </si>
  <si>
    <t>josephine_delapena@southville.edu.ph</t>
  </si>
  <si>
    <t>Petin</t>
  </si>
  <si>
    <t>josephinep@southville.edu.ph</t>
  </si>
  <si>
    <t>Jovenil</t>
  </si>
  <si>
    <t>Sacop</t>
  </si>
  <si>
    <t>jovenil_sacop@southville.edu.ph</t>
  </si>
  <si>
    <t>Jovit</t>
  </si>
  <si>
    <t>PO30039</t>
  </si>
  <si>
    <t>Mantala</t>
  </si>
  <si>
    <t>jovit_mantala@southville.edu.ph</t>
  </si>
  <si>
    <t>4 UNITS OF STAND FAN, 1 UNIT OF GAS STOVE</t>
  </si>
  <si>
    <t>Jovit John Troy</t>
  </si>
  <si>
    <t>Clutario</t>
  </si>
  <si>
    <t>jclutario@southville.edu.ph</t>
  </si>
  <si>
    <t>Joy</t>
  </si>
  <si>
    <t>Oracion</t>
  </si>
  <si>
    <t>joy_oracion@southville.edu.ph</t>
  </si>
  <si>
    <t>Aben</t>
  </si>
  <si>
    <t>joy_aben@southville.edu.ph</t>
  </si>
  <si>
    <t>PO29928</t>
  </si>
  <si>
    <t>Joyce</t>
  </si>
  <si>
    <t>FLAT IRON</t>
  </si>
  <si>
    <t>Tubo</t>
  </si>
  <si>
    <t>Leah Buhay / Michael Berza</t>
  </si>
  <si>
    <t>joyce_tubo@southville.edu.ph</t>
  </si>
  <si>
    <t>Joyce Ann</t>
  </si>
  <si>
    <t>Ladra</t>
  </si>
  <si>
    <t>joyce_ladra@southville.edu.ph</t>
  </si>
  <si>
    <t>Jozen</t>
  </si>
  <si>
    <t>Caliwagan</t>
  </si>
  <si>
    <t>jozen_caliwagan@southville.edu.ph</t>
  </si>
  <si>
    <t>Jude Justino</t>
  </si>
  <si>
    <t>Agsalon</t>
  </si>
  <si>
    <t>PO29926</t>
  </si>
  <si>
    <t>jude_agsalon@southville.edu.ph</t>
  </si>
  <si>
    <t xml:space="preserve">ASAHI STAND FAN </t>
  </si>
  <si>
    <t>Jude Russel</t>
  </si>
  <si>
    <t>Cuntapay</t>
  </si>
  <si>
    <t>jude_cuntapay@southville.edu.ph</t>
  </si>
  <si>
    <t>Judy</t>
  </si>
  <si>
    <t>Arguelles</t>
  </si>
  <si>
    <t>judya@southville.edu.ph</t>
  </si>
  <si>
    <t>Judy Mariel</t>
  </si>
  <si>
    <t>Barja</t>
  </si>
  <si>
    <t>judy_barja@southville.edu.ph</t>
  </si>
  <si>
    <t>PO29734</t>
  </si>
  <si>
    <t>Juli-Ann</t>
  </si>
  <si>
    <t>ELECTRIC FLAT IRON 1PC; METAL BLADE STAND FAN 5 PCS;</t>
  </si>
  <si>
    <t>Alonso</t>
  </si>
  <si>
    <t>juli-ann_alonso@southville.edu.ph</t>
  </si>
  <si>
    <t>Julian Antonio</t>
  </si>
  <si>
    <t>Laspona</t>
  </si>
  <si>
    <t>julian_laspona@southville.edu.ph</t>
  </si>
  <si>
    <t>Julien</t>
  </si>
  <si>
    <t>Friedel</t>
  </si>
  <si>
    <t>julien_friedel@southville.edu.ph</t>
  </si>
  <si>
    <t>Juliet</t>
  </si>
  <si>
    <t>julietp@southville.edu.ph</t>
  </si>
  <si>
    <t>Julieta</t>
  </si>
  <si>
    <t>Catungal</t>
  </si>
  <si>
    <t>julietac@southville.edu.ph</t>
  </si>
  <si>
    <t>Julius Anthony</t>
  </si>
  <si>
    <t>Segovia</t>
  </si>
  <si>
    <t>julius_segovia@southville.edu.ph</t>
  </si>
  <si>
    <t>Jully Belle</t>
  </si>
  <si>
    <t>Carman</t>
  </si>
  <si>
    <t>jully_carman@southville.edu.ph</t>
  </si>
  <si>
    <t>Junessa</t>
  </si>
  <si>
    <t>Lumbres</t>
  </si>
  <si>
    <t>junessal@southville.edu.ph</t>
  </si>
  <si>
    <t>Juvelyn</t>
  </si>
  <si>
    <t>Detalla</t>
  </si>
  <si>
    <t>juvelyn.detalla@southville.edu.ph</t>
  </si>
  <si>
    <t>Juvy</t>
  </si>
  <si>
    <t>Celestial</t>
  </si>
  <si>
    <t>mdjhc@southville.edu.ph</t>
  </si>
  <si>
    <t>Kamille</t>
  </si>
  <si>
    <t>Gamaya</t>
  </si>
  <si>
    <t>kamille_gamaya@southville.edu.ph</t>
  </si>
  <si>
    <t>Kareen</t>
  </si>
  <si>
    <t>Quindoza</t>
  </si>
  <si>
    <t>kareen_quindoza@southville.edu.ph</t>
  </si>
  <si>
    <t>Karen</t>
  </si>
  <si>
    <t>Africano</t>
  </si>
  <si>
    <t>karen_africano@southville.edu.ph</t>
  </si>
  <si>
    <t>Landicho</t>
  </si>
  <si>
    <t>karen_landicho@southville.edu.ph</t>
  </si>
  <si>
    <t>Leyson</t>
  </si>
  <si>
    <t>karen_leyson@southville.edu.ph</t>
  </si>
  <si>
    <t>Karen Joy</t>
  </si>
  <si>
    <t>Intano</t>
  </si>
  <si>
    <t>karen_intano@southville.edu.ph</t>
  </si>
  <si>
    <t>Karl Cole</t>
  </si>
  <si>
    <t>Velhagen</t>
  </si>
  <si>
    <t>karl_velhagen@southville.edu.ph</t>
  </si>
  <si>
    <t>Karla Mae</t>
  </si>
  <si>
    <t>Lumaad</t>
  </si>
  <si>
    <t>karlamae.lumaad@southville.edu.ph</t>
  </si>
  <si>
    <t>Karlo May</t>
  </si>
  <si>
    <t>Portento</t>
  </si>
  <si>
    <t>karlo_portento@southville.edu.ph</t>
  </si>
  <si>
    <t>Karren</t>
  </si>
  <si>
    <t>karren.napal@southville.edu.ph</t>
  </si>
  <si>
    <t>Katelyn</t>
  </si>
  <si>
    <t>Tapel</t>
  </si>
  <si>
    <t>kate_tapel@southville.edu.ph</t>
  </si>
  <si>
    <t>Katherine</t>
  </si>
  <si>
    <t>Corona</t>
  </si>
  <si>
    <t>katherine_corona@southville.edu.ph</t>
  </si>
  <si>
    <t>Kathrina</t>
  </si>
  <si>
    <t>kzsantos@southville.edu.ph</t>
  </si>
  <si>
    <t>Katricia</t>
  </si>
  <si>
    <t>Leonardo</t>
  </si>
  <si>
    <t>katricia_leonardo@southville.edu.ph</t>
  </si>
  <si>
    <t>Katrina</t>
  </si>
  <si>
    <t>Malabanan</t>
  </si>
  <si>
    <t>kat_malabanan@southville.edu.ph</t>
  </si>
  <si>
    <t>Tubiano</t>
  </si>
  <si>
    <t>katrina_tubiano@southville.edu.ph</t>
  </si>
  <si>
    <t>Correa</t>
  </si>
  <si>
    <t>katrina_correa@southville.edu.ph</t>
  </si>
  <si>
    <t>Katrina Mariz</t>
  </si>
  <si>
    <t>katrina_malabanan@southville.edu.ph</t>
  </si>
  <si>
    <t>Keifer</t>
  </si>
  <si>
    <t>keifer_hernandez@southville.edu.ph</t>
  </si>
  <si>
    <t>Kenji Janssen</t>
  </si>
  <si>
    <t>Ronquillo</t>
  </si>
  <si>
    <t>kenji_ronquillo@southville.edu.ph</t>
  </si>
  <si>
    <t>Kezia Jillian</t>
  </si>
  <si>
    <t>Viray</t>
  </si>
  <si>
    <t>kezia_viray@southville.edu.ph</t>
  </si>
  <si>
    <t>P.O #:0232</t>
  </si>
  <si>
    <t>Khristine Angelica</t>
  </si>
  <si>
    <t>DIESEL ENGINE OIL, FUEL FILTER, OLFILTER, HEAD GASKET, GASKET MAKER</t>
  </si>
  <si>
    <t>Josephine Petin / Ronaldo Verde</t>
  </si>
  <si>
    <t>khristine_santos@southville.edu.ph</t>
  </si>
  <si>
    <t>Kim</t>
  </si>
  <si>
    <t>Magallon</t>
  </si>
  <si>
    <t>kdmagallon@southville.edu.ph</t>
  </si>
  <si>
    <t>Kimberley</t>
  </si>
  <si>
    <t>P.O #:0338</t>
  </si>
  <si>
    <t>Pedge</t>
  </si>
  <si>
    <t>kpedge@southville.edu.ph</t>
  </si>
  <si>
    <t>KARATE (RE-ORDER), 1 BOTTLE</t>
  </si>
  <si>
    <t>Kimberly</t>
  </si>
  <si>
    <t>Favor</t>
  </si>
  <si>
    <t>kimberly_favor@southville.edu.ph</t>
  </si>
  <si>
    <t>King Paul</t>
  </si>
  <si>
    <t>Autor</t>
  </si>
  <si>
    <t>king_autor@southville.edu.ph</t>
  </si>
  <si>
    <t>P.O #:0162</t>
  </si>
  <si>
    <t>Kings</t>
  </si>
  <si>
    <t>Server</t>
  </si>
  <si>
    <t>BREAKER 30 AMP W/ ENCLOSURE-METAL WIRE 3.5- BOLT ON</t>
  </si>
  <si>
    <t>kingsserver@southville.edu.ph</t>
  </si>
  <si>
    <t>E-Comm</t>
  </si>
  <si>
    <t>kings.e-comm@southville.edu.ph</t>
  </si>
  <si>
    <t>Kit John</t>
  </si>
  <si>
    <t>Del Mundo</t>
  </si>
  <si>
    <t>kit_delmundo@southville.edu.ph</t>
  </si>
  <si>
    <t>PO29930</t>
  </si>
  <si>
    <t>TELEPHONE UNIT - MOTOROLA MODEL CT202 BLACK)</t>
  </si>
  <si>
    <t>Leah Buhay And Michael Berza</t>
  </si>
  <si>
    <t>Kristen</t>
  </si>
  <si>
    <t>Gabutero</t>
  </si>
  <si>
    <t>keiichi_gabutero@southville.edu.ph</t>
  </si>
  <si>
    <t>Kristen Joy</t>
  </si>
  <si>
    <t>Viloria</t>
  </si>
  <si>
    <t>kristen_viloria@southville.edu.ph</t>
  </si>
  <si>
    <t>P.O #:0396</t>
  </si>
  <si>
    <t xml:space="preserve">1 PC. DRILLING MACHINE </t>
  </si>
  <si>
    <t>Kristine</t>
  </si>
  <si>
    <t>MIchael Berza And JC Campit</t>
  </si>
  <si>
    <t>Lim</t>
  </si>
  <si>
    <t>kristine_lim@southville.edu.ph</t>
  </si>
  <si>
    <t>Kristine Anne</t>
  </si>
  <si>
    <t>Gumatay</t>
  </si>
  <si>
    <t>kristine_gumatay@southville.edu.ph</t>
  </si>
  <si>
    <t>Kristine Kayne</t>
  </si>
  <si>
    <t>TRE0063</t>
  </si>
  <si>
    <t>Libat</t>
  </si>
  <si>
    <t>TX0152</t>
  </si>
  <si>
    <t>kristine_libat@southville.edu.ph</t>
  </si>
  <si>
    <t>Mizela Corporation</t>
  </si>
  <si>
    <t>Kristyne</t>
  </si>
  <si>
    <t>Capumpue</t>
  </si>
  <si>
    <t>kristyne_capumpue@southville.edu.ph</t>
  </si>
  <si>
    <t>Kurt Ross M.</t>
  </si>
  <si>
    <t>Castañeda</t>
  </si>
  <si>
    <t>18-0002t@southville.edu.ph</t>
  </si>
  <si>
    <t>TRE0087</t>
  </si>
  <si>
    <t>Lady Ruth</t>
  </si>
  <si>
    <t>Onato</t>
  </si>
  <si>
    <t>ruth_onato@southville.edu.ph</t>
  </si>
  <si>
    <t>Lara Krissel</t>
  </si>
  <si>
    <t>lara_deleon@southville.edu.ph</t>
  </si>
  <si>
    <t>Lara Mae</t>
  </si>
  <si>
    <t>Ebora</t>
  </si>
  <si>
    <t>lara_ebora@southville.edu.ph</t>
  </si>
  <si>
    <t>Lawrence Jr.</t>
  </si>
  <si>
    <t>Dulawan</t>
  </si>
  <si>
    <t>bong_dulawan@southville.edu.ph</t>
  </si>
  <si>
    <t>Lawrey Cielle</t>
  </si>
  <si>
    <t>Nopuente</t>
  </si>
  <si>
    <t>lawrey_nopuente@southville.edu.ph</t>
  </si>
  <si>
    <t>Lea</t>
  </si>
  <si>
    <t>Becerral</t>
  </si>
  <si>
    <t>lea_becerral@southville.edu.ph</t>
  </si>
  <si>
    <t>Lea S.</t>
  </si>
  <si>
    <t>Mariquina</t>
  </si>
  <si>
    <t>lea.mariquina@southville.edu.ph</t>
  </si>
  <si>
    <t>Leah</t>
  </si>
  <si>
    <t>leah_ilagan@southville.edu.ph</t>
  </si>
  <si>
    <t>Buhay</t>
  </si>
  <si>
    <t>leahb@southville.edu.ph</t>
  </si>
  <si>
    <t>Leo</t>
  </si>
  <si>
    <t>Anoche</t>
  </si>
  <si>
    <t>lanoche@southville.edu.ph</t>
  </si>
  <si>
    <t>De Mesa</t>
  </si>
  <si>
    <t>leodm@southville.edu.ph</t>
  </si>
  <si>
    <t>leoanoche@southville.edu.ph</t>
  </si>
  <si>
    <t>Leslie</t>
  </si>
  <si>
    <t>Dayupay</t>
  </si>
  <si>
    <t>leslie_dayupay@southville.edu.ph</t>
  </si>
  <si>
    <t>Leslie Anne</t>
  </si>
  <si>
    <t>Vicente</t>
  </si>
  <si>
    <t>leslie_vicente@southville.edu.ph</t>
  </si>
  <si>
    <t>Lester Mark</t>
  </si>
  <si>
    <t>Tongohan</t>
  </si>
  <si>
    <t>tom@southville.edu.ph</t>
  </si>
  <si>
    <t>Lia Amor</t>
  </si>
  <si>
    <t>Arcaina-Nuyda</t>
  </si>
  <si>
    <t>lia_arcaina@southville.edu.ph</t>
  </si>
  <si>
    <t>Library</t>
  </si>
  <si>
    <t>Clerk</t>
  </si>
  <si>
    <t>library@southville.edu.ph</t>
  </si>
  <si>
    <t>Licel</t>
  </si>
  <si>
    <t>Bandelaria</t>
  </si>
  <si>
    <t>licel_bandelaria@southville.edu.ph</t>
  </si>
  <si>
    <t>Lisandro</t>
  </si>
  <si>
    <t>Adamos</t>
  </si>
  <si>
    <t>lisandro_adamos@southville.edu.ph</t>
  </si>
  <si>
    <t>Liza</t>
  </si>
  <si>
    <t>Bulay</t>
  </si>
  <si>
    <t>liza_bulay@southville.edu.ph</t>
  </si>
  <si>
    <t>Lorebelle</t>
  </si>
  <si>
    <t>Bautista</t>
  </si>
  <si>
    <t>lorebelle_bautista@southville.edu.ph</t>
  </si>
  <si>
    <t>Lorelie</t>
  </si>
  <si>
    <t>Cam</t>
  </si>
  <si>
    <t>lorelie_cam@southville.edu.ph</t>
  </si>
  <si>
    <t>Lorie</t>
  </si>
  <si>
    <t>Paguia</t>
  </si>
  <si>
    <t>lcpaguia@southville.edu.ph</t>
  </si>
  <si>
    <t>Lorraine</t>
  </si>
  <si>
    <t>Almazan</t>
  </si>
  <si>
    <t>lorraine_almazan@southville.edu.ph</t>
  </si>
  <si>
    <t>Lougene</t>
  </si>
  <si>
    <t>lougene_hilario@southville.edu.ph</t>
  </si>
  <si>
    <t>Lucille</t>
  </si>
  <si>
    <t>Beyer</t>
  </si>
  <si>
    <t>lucille_beyer@southville.edu.ph</t>
  </si>
  <si>
    <t>Ludy</t>
  </si>
  <si>
    <t>De Asis</t>
  </si>
  <si>
    <t>ludyda@southville.edu.ph</t>
  </si>
  <si>
    <t>Luke Matthew</t>
  </si>
  <si>
    <t>Alcaide</t>
  </si>
  <si>
    <t>luke.alcaide@southville.edu.ph</t>
  </si>
  <si>
    <t>Luzviminda</t>
  </si>
  <si>
    <t>Octaviano</t>
  </si>
  <si>
    <t>luzviminda_octaviano@southville.edu.ph</t>
  </si>
  <si>
    <t>Lyka</t>
  </si>
  <si>
    <t>Maquidato</t>
  </si>
  <si>
    <t>lyka_maquidato@southville.edu.ph</t>
  </si>
  <si>
    <t>Lyzsa Mae Ritz</t>
  </si>
  <si>
    <t>Choa</t>
  </si>
  <si>
    <t>lyzsa_choa@southville.edu.ph</t>
  </si>
  <si>
    <t>Ma</t>
  </si>
  <si>
    <t>Li</t>
  </si>
  <si>
    <t>ma_li@southville.edu.ph</t>
  </si>
  <si>
    <t>Ma Cecilia</t>
  </si>
  <si>
    <t>Belleza</t>
  </si>
  <si>
    <t>mcbelleza@southville.edu.ph</t>
  </si>
  <si>
    <t>Ma. Ana</t>
  </si>
  <si>
    <t>Tango</t>
  </si>
  <si>
    <t>ana_tango@southville.edu.ph</t>
  </si>
  <si>
    <t>Ma. Carmelita</t>
  </si>
  <si>
    <t>Villegas</t>
  </si>
  <si>
    <t>carmelita_villegas@southville.edu.ph</t>
  </si>
  <si>
    <t>Ma. Corazon Josette</t>
  </si>
  <si>
    <t>Guzman</t>
  </si>
  <si>
    <t>corazon_guzman@southville.edu.ph</t>
  </si>
  <si>
    <t>Ma. Elena</t>
  </si>
  <si>
    <t>Ibañez</t>
  </si>
  <si>
    <t>malen_ibanez@southville.edu.ph</t>
  </si>
  <si>
    <t>Ma. Felma</t>
  </si>
  <si>
    <t>Tria</t>
  </si>
  <si>
    <t>fctria@southville.edu.ph</t>
  </si>
  <si>
    <t>Ma. Geraldine</t>
  </si>
  <si>
    <t>Pasia</t>
  </si>
  <si>
    <t>geraldine_pasia@southville.edu.ph</t>
  </si>
  <si>
    <t>Ma. Gerlie</t>
  </si>
  <si>
    <t>Montellano</t>
  </si>
  <si>
    <t>gerlie_montellano@southville.edu.ph</t>
  </si>
  <si>
    <t>Ma. Isabel</t>
  </si>
  <si>
    <t>miareyes@southville.edu.ph</t>
  </si>
  <si>
    <t>Ma. Liza</t>
  </si>
  <si>
    <t>Jimenez</t>
  </si>
  <si>
    <t>liza_jimenez@southville.edu.ph</t>
  </si>
  <si>
    <t>Ma. Lourdes</t>
  </si>
  <si>
    <t>Boco</t>
  </si>
  <si>
    <t>lourdes_boco@southville.edu.ph</t>
  </si>
  <si>
    <t>Ma. Monica Rosario</t>
  </si>
  <si>
    <t>Sarao</t>
  </si>
  <si>
    <t>monica_sarao@southville.edu.ph</t>
  </si>
  <si>
    <t>Ma. Narsisalyn</t>
  </si>
  <si>
    <t>Gorospe</t>
  </si>
  <si>
    <t>narsisalyn_gorospe@southville.edu.ph</t>
  </si>
  <si>
    <t>Ma. Priscilla Jessica</t>
  </si>
  <si>
    <t>priscilla_hernandez@southville.edu.ph</t>
  </si>
  <si>
    <t>Ma. Theresa</t>
  </si>
  <si>
    <t>Ansano</t>
  </si>
  <si>
    <t>matheresa_ansano@southville.edu.ph</t>
  </si>
  <si>
    <t>Ma. Theresa Danna</t>
  </si>
  <si>
    <t>Rilloza</t>
  </si>
  <si>
    <t>theresa_rilloza@southville.edu.ph</t>
  </si>
  <si>
    <t>Ma. Veronica</t>
  </si>
  <si>
    <t>veronica_cabrera@southville.edu.ph</t>
  </si>
  <si>
    <t>Mafe</t>
  </si>
  <si>
    <t>Rebong</t>
  </si>
  <si>
    <t>mrebong@southville.edu.ph</t>
  </si>
  <si>
    <t>Maggi</t>
  </si>
  <si>
    <t>Sanapo</t>
  </si>
  <si>
    <t>maggi_sanapo@southville.edu.ph</t>
  </si>
  <si>
    <t>Mar</t>
  </si>
  <si>
    <t>Masias</t>
  </si>
  <si>
    <t>marm@southville.edu.ph</t>
  </si>
  <si>
    <t>Mara Denisse</t>
  </si>
  <si>
    <t>Diwa</t>
  </si>
  <si>
    <t>mara_diwa@southville.edu.ph</t>
  </si>
  <si>
    <t>Mara Princess</t>
  </si>
  <si>
    <t>Maravilla</t>
  </si>
  <si>
    <t>mara_maravilla@southville.edu.ph</t>
  </si>
  <si>
    <t>Marc Alvin</t>
  </si>
  <si>
    <t>Yee</t>
  </si>
  <si>
    <t>marc_yee@southville.edu.ph</t>
  </si>
  <si>
    <t>Marc Anthony</t>
  </si>
  <si>
    <t>Marquez</t>
  </si>
  <si>
    <t>mafmarquez@southville.edu.ph</t>
  </si>
  <si>
    <t>Margarita</t>
  </si>
  <si>
    <t>San Jose</t>
  </si>
  <si>
    <t>margarita_sanjose@southville.edu.ph</t>
  </si>
  <si>
    <t>Maria Carmen</t>
  </si>
  <si>
    <t>Jamias</t>
  </si>
  <si>
    <t>choyj@southville.edu.ph</t>
  </si>
  <si>
    <t>Maria Christina Cynthia</t>
  </si>
  <si>
    <t>Romulo</t>
  </si>
  <si>
    <t>christina_romulo@southville.edu.ph</t>
  </si>
  <si>
    <t>Maria Cristina</t>
  </si>
  <si>
    <t>Molera</t>
  </si>
  <si>
    <t>cristina_molera@southville.edu.ph</t>
  </si>
  <si>
    <t>Maria Elena</t>
  </si>
  <si>
    <t>Magracia</t>
  </si>
  <si>
    <t>elena_magracia@southville.edu.ph</t>
  </si>
  <si>
    <t>Maria Hannah</t>
  </si>
  <si>
    <t>Asuncion</t>
  </si>
  <si>
    <t>hannah_asuncion@southville.edu.ph</t>
  </si>
  <si>
    <t>Maria Janette</t>
  </si>
  <si>
    <t>Lavarino</t>
  </si>
  <si>
    <t>janette_lavarino@southville.edu.ph</t>
  </si>
  <si>
    <t>Maria Jessica</t>
  </si>
  <si>
    <t>maria_dominguez@southville.edu.ph</t>
  </si>
  <si>
    <t>Maria Jesusa</t>
  </si>
  <si>
    <t>mariaj_jose@southville.edu.ph</t>
  </si>
  <si>
    <t>Maria Kassandra</t>
  </si>
  <si>
    <t>Garcia</t>
  </si>
  <si>
    <t>kassandra_garcia@southville.edu.ph</t>
  </si>
  <si>
    <t>Maria Loribel</t>
  </si>
  <si>
    <t>Marco</t>
  </si>
  <si>
    <t>loribel_marco@southville.edu.ph</t>
  </si>
  <si>
    <t>Maria Marguerita Nina</t>
  </si>
  <si>
    <t>Kanapi</t>
  </si>
  <si>
    <t>nina_kanapi@southville.edu.ph</t>
  </si>
  <si>
    <t>Maria Patricia</t>
  </si>
  <si>
    <t>patricia_belleza@southville.edu.ph</t>
  </si>
  <si>
    <t>Maria Pilar</t>
  </si>
  <si>
    <t>pilar_lopez@southville.edu.ph</t>
  </si>
  <si>
    <t>Maria Seniz</t>
  </si>
  <si>
    <t>Calma</t>
  </si>
  <si>
    <t>seniz_calma@southville.edu.ph</t>
  </si>
  <si>
    <t>Maria Viola</t>
  </si>
  <si>
    <t>Villena</t>
  </si>
  <si>
    <t>viola.villena@southville.edu.ph</t>
  </si>
  <si>
    <t>Marianne Joy</t>
  </si>
  <si>
    <t>Ligaya</t>
  </si>
  <si>
    <t>marianne_ligaya@southville.edu.ph</t>
  </si>
  <si>
    <t>Marianne Therese</t>
  </si>
  <si>
    <t>Cadiz</t>
  </si>
  <si>
    <t>marianne_cadiz@southville.edu.ph</t>
  </si>
  <si>
    <t>Marianne Trina Trinidad</t>
  </si>
  <si>
    <t>Peralta</t>
  </si>
  <si>
    <t>mtperalta@southville.edu.ph</t>
  </si>
  <si>
    <t>Maribeth</t>
  </si>
  <si>
    <t>Magpantay</t>
  </si>
  <si>
    <t>maribeth_magpantay@southville.edu.ph</t>
  </si>
  <si>
    <t>Maricar</t>
  </si>
  <si>
    <t>Abaricia</t>
  </si>
  <si>
    <t>maricar_abaricia@southville.edu.ph</t>
  </si>
  <si>
    <t>Marie</t>
  </si>
  <si>
    <t>Mirando</t>
  </si>
  <si>
    <t>mariem@southville.edu.ph</t>
  </si>
  <si>
    <t>Marie Astrid</t>
  </si>
  <si>
    <t>De leon</t>
  </si>
  <si>
    <t>astrid_deleon@southville.edu.ph</t>
  </si>
  <si>
    <t>Marie Rose</t>
  </si>
  <si>
    <t>Oesman</t>
  </si>
  <si>
    <t>rose_oesman@southville.edu.ph</t>
  </si>
  <si>
    <t>Mariel</t>
  </si>
  <si>
    <t>Estanislao</t>
  </si>
  <si>
    <t>mariel_estanislao@southville.edu.ph</t>
  </si>
  <si>
    <t>Marielle Janica</t>
  </si>
  <si>
    <t>Galvez</t>
  </si>
  <si>
    <t>marielle_galvez@southville.edu.ph</t>
  </si>
  <si>
    <t>Marietta</t>
  </si>
  <si>
    <t>Candor</t>
  </si>
  <si>
    <t>marietta_candor@southville.edu.ph</t>
  </si>
  <si>
    <t>Marieven</t>
  </si>
  <si>
    <t>Remojo</t>
  </si>
  <si>
    <t>marieven_remojo@southville.edu.ph</t>
  </si>
  <si>
    <t>Marilou</t>
  </si>
  <si>
    <t>maui_gonzales@southville.edu.ph</t>
  </si>
  <si>
    <t>Marinela</t>
  </si>
  <si>
    <t>Paulino</t>
  </si>
  <si>
    <t>marinela_paulino@southville.edu.ph</t>
  </si>
  <si>
    <t>Marissa</t>
  </si>
  <si>
    <t>marissa_gutierrez@southville.edu.ph</t>
  </si>
  <si>
    <t>Marjorie S.</t>
  </si>
  <si>
    <t>Gutierrez-Tangog</t>
  </si>
  <si>
    <t>msgt@southville.edu.ph</t>
  </si>
  <si>
    <t>Mark Adrian</t>
  </si>
  <si>
    <t>Ho</t>
  </si>
  <si>
    <t>mark_ho@southville.edu.ph</t>
  </si>
  <si>
    <t>Mark Anthony</t>
  </si>
  <si>
    <t>Casanova</t>
  </si>
  <si>
    <t>macasanova@southville.edu.ph</t>
  </si>
  <si>
    <t>Mark Edward</t>
  </si>
  <si>
    <t>Paulo</t>
  </si>
  <si>
    <t>mark_paulo@southville.edu.ph</t>
  </si>
  <si>
    <t>Mark Ernest</t>
  </si>
  <si>
    <t>mark_isabelo@southville.edu.ph</t>
  </si>
  <si>
    <t>Mark Gerard</t>
  </si>
  <si>
    <t>Austria</t>
  </si>
  <si>
    <t>mark_austria@southville.edu.ph</t>
  </si>
  <si>
    <t>Mark Gessie</t>
  </si>
  <si>
    <t>Dalogdog</t>
  </si>
  <si>
    <t>mark_dalogdog@southville.edu.ph</t>
  </si>
  <si>
    <t>Mark Jonathan</t>
  </si>
  <si>
    <t>Salibio</t>
  </si>
  <si>
    <t>marky@southville.edu.ph</t>
  </si>
  <si>
    <t>Mark Joseph</t>
  </si>
  <si>
    <t>Asoy</t>
  </si>
  <si>
    <t>joseph_asoy@southville.edu.ph</t>
  </si>
  <si>
    <t>Marl</t>
  </si>
  <si>
    <t>Ferenal</t>
  </si>
  <si>
    <t>marl@southville.edu.ph</t>
  </si>
  <si>
    <t>marl_ferenal@southville.edu.ph</t>
  </si>
  <si>
    <t>Marlo</t>
  </si>
  <si>
    <t>Borromeo</t>
  </si>
  <si>
    <t>marlo_borromeo@southville.edu.ph</t>
  </si>
  <si>
    <t>Martin Dee</t>
  </si>
  <si>
    <t>Migue</t>
  </si>
  <si>
    <t>martin_migue@southville.edu.ph</t>
  </si>
  <si>
    <t>Marvin</t>
  </si>
  <si>
    <t>Domasian</t>
  </si>
  <si>
    <t>marvind@southville.edu.ph</t>
  </si>
  <si>
    <t>Mary</t>
  </si>
  <si>
    <t>Magsino</t>
  </si>
  <si>
    <t>mary_magsino@southville.edu.ph</t>
  </si>
  <si>
    <t>Mary Arlyn</t>
  </si>
  <si>
    <t>Alino</t>
  </si>
  <si>
    <t>arlyn_alino@southville.edu.ph</t>
  </si>
  <si>
    <t>Mary Beth</t>
  </si>
  <si>
    <t>Untalan</t>
  </si>
  <si>
    <t>beth_untalan@southville.edu.ph</t>
  </si>
  <si>
    <t>Mary Gay</t>
  </si>
  <si>
    <t>Mondoy</t>
  </si>
  <si>
    <t>mary_mondoy@southville.edu.ph</t>
  </si>
  <si>
    <t>Mary Grace</t>
  </si>
  <si>
    <t>mary_asi@southville.edu.ph</t>
  </si>
  <si>
    <t>La Rosa</t>
  </si>
  <si>
    <t>mary_larosa@southville.edu.ph</t>
  </si>
  <si>
    <t>Mary Iphigene Dumanil</t>
  </si>
  <si>
    <t>midaradar@southville.edu.ph</t>
  </si>
  <si>
    <t>Mary Joy</t>
  </si>
  <si>
    <t>Martinez</t>
  </si>
  <si>
    <t>joy_martinez@southville.edu.ph</t>
  </si>
  <si>
    <t>joy_ramirez@southville.edu.ph</t>
  </si>
  <si>
    <t>Mary Mae</t>
  </si>
  <si>
    <t>Gigantoni</t>
  </si>
  <si>
    <t>mary_gigantoni@southville.edu.ph</t>
  </si>
  <si>
    <t>Mary Rose</t>
  </si>
  <si>
    <t>Mendoza</t>
  </si>
  <si>
    <t>maryrose_mendoza@southville.edu.ph</t>
  </si>
  <si>
    <t>Pastrana</t>
  </si>
  <si>
    <t>mary_pastrana@southville.edu.ph</t>
  </si>
  <si>
    <t>Kuan</t>
  </si>
  <si>
    <t>mrckuan@southville.edu.ph</t>
  </si>
  <si>
    <t>Mary Trisha</t>
  </si>
  <si>
    <t>trisha_abedejos@southville.edu.ph</t>
  </si>
  <si>
    <t>Mary-Ann</t>
  </si>
  <si>
    <t>Guilleno</t>
  </si>
  <si>
    <t>mary-ann_guilleno@southville.edu.ph</t>
  </si>
  <si>
    <t>Maryknoll</t>
  </si>
  <si>
    <t>San Pedro</t>
  </si>
  <si>
    <t>maryknoll_sanpedro@southville.edu.ph</t>
  </si>
  <si>
    <t>Maryrdes Joy</t>
  </si>
  <si>
    <t>Soropia</t>
  </si>
  <si>
    <t>maryrdes_soropia@southville.edu.ph</t>
  </si>
  <si>
    <t>Mat Rupert</t>
  </si>
  <si>
    <t>mat_miranda@southville.edu.ph</t>
  </si>
  <si>
    <t>May Anne</t>
  </si>
  <si>
    <t>Lacse</t>
  </si>
  <si>
    <t>may_lacse@southville.edu.ph</t>
  </si>
  <si>
    <t>Aves</t>
  </si>
  <si>
    <t>may_anne_aves@southville.edu.ph</t>
  </si>
  <si>
    <t>Mc Daryl</t>
  </si>
  <si>
    <t>Pedro</t>
  </si>
  <si>
    <t>daryl_pedro@southville.edu.ph</t>
  </si>
  <si>
    <t>Melanie</t>
  </si>
  <si>
    <t>melanie_mendoza@southville.edu.ph</t>
  </si>
  <si>
    <t>Melisa</t>
  </si>
  <si>
    <t>Arcamo</t>
  </si>
  <si>
    <t>melisaa@southville.edu.ph</t>
  </si>
  <si>
    <t>Melissa</t>
  </si>
  <si>
    <t>Odoño</t>
  </si>
  <si>
    <t>melissao@southville.edu.ph</t>
  </si>
  <si>
    <t>Melva</t>
  </si>
  <si>
    <t>Diamante</t>
  </si>
  <si>
    <t>mdiamante@southville.edu.ph</t>
  </si>
  <si>
    <t>Melvin</t>
  </si>
  <si>
    <t>Moso</t>
  </si>
  <si>
    <t>melvin_moso@southville.edu.ph</t>
  </si>
  <si>
    <t>Mersheil</t>
  </si>
  <si>
    <t>Balela</t>
  </si>
  <si>
    <t>jorgeb@southville.edu.ph</t>
  </si>
  <si>
    <t>Mhems</t>
  </si>
  <si>
    <t>Monfort</t>
  </si>
  <si>
    <t>mhemss@southville.edu.ph</t>
  </si>
  <si>
    <t>Michael</t>
  </si>
  <si>
    <t>Montecillo</t>
  </si>
  <si>
    <t>mmontecillo@southville.edu.ph</t>
  </si>
  <si>
    <t>Berza</t>
  </si>
  <si>
    <t>michael_berza@southville.edu.ph</t>
  </si>
  <si>
    <t>Blando</t>
  </si>
  <si>
    <t>michael.blando@southville.edu.ph</t>
  </si>
  <si>
    <t>Gravamen</t>
  </si>
  <si>
    <t>michael_gravamen@southville.edu.ph</t>
  </si>
  <si>
    <t>Michael James</t>
  </si>
  <si>
    <t>Drilon</t>
  </si>
  <si>
    <t>michael.drilon@southville.edu.ph</t>
  </si>
  <si>
    <t>Michelle</t>
  </si>
  <si>
    <t>Panopio</t>
  </si>
  <si>
    <t>michelle_panopio@southville.edu.ph</t>
  </si>
  <si>
    <t>michelle_lopez@southville.edu.ph</t>
  </si>
  <si>
    <t>Mickey</t>
  </si>
  <si>
    <t>Macasaet</t>
  </si>
  <si>
    <t>mickey_macasaet@southville.edu.ph</t>
  </si>
  <si>
    <t>Mico</t>
  </si>
  <si>
    <t>Macandog</t>
  </si>
  <si>
    <t>mico_macandog@southville.edu.ph</t>
  </si>
  <si>
    <t>Mikael Rae</t>
  </si>
  <si>
    <t>Robrigado</t>
  </si>
  <si>
    <t>mikael_robrigado@southville.edu.ph</t>
  </si>
  <si>
    <t>Mikka Angela</t>
  </si>
  <si>
    <t>ElviÃ±a</t>
  </si>
  <si>
    <t>mikka_elvina@southville.edu.ph</t>
  </si>
  <si>
    <t>Mia</t>
  </si>
  <si>
    <t>Ganaden</t>
  </si>
  <si>
    <t>mj_ganaden@southville.edu.ph</t>
  </si>
  <si>
    <t>Miriam</t>
  </si>
  <si>
    <t>Hapiz</t>
  </si>
  <si>
    <t>miriam_hapiz@southville.edu.ph</t>
  </si>
  <si>
    <t>MIS</t>
  </si>
  <si>
    <t>misteam@southville.edu.ph</t>
  </si>
  <si>
    <t>Monica</t>
  </si>
  <si>
    <t>Oas</t>
  </si>
  <si>
    <t>monica.oas@southville.edu.ph</t>
  </si>
  <si>
    <t>Myca</t>
  </si>
  <si>
    <t>myca_hernandez@southville.edu.ph</t>
  </si>
  <si>
    <t>Mylene</t>
  </si>
  <si>
    <t>Cu</t>
  </si>
  <si>
    <t>mylene_cu@southville.edu.ph</t>
  </si>
  <si>
    <t>mylene_manalo@southville.edu.ph</t>
  </si>
  <si>
    <t>Mylyn</t>
  </si>
  <si>
    <t>Botalon</t>
  </si>
  <si>
    <t>mylynb@southville.edu.ph</t>
  </si>
  <si>
    <t>Myredeth Xyryll</t>
  </si>
  <si>
    <t>myredeth_deleon@southville.edu.ph</t>
  </si>
  <si>
    <t>Myrna</t>
  </si>
  <si>
    <t>myrna_gutierrez@southville.edu.ph</t>
  </si>
  <si>
    <t>Nancy</t>
  </si>
  <si>
    <t>De Guia</t>
  </si>
  <si>
    <t>nancydg@southville.edu.ph</t>
  </si>
  <si>
    <t>nancy_montecillo@southville.edu.ph</t>
  </si>
  <si>
    <t>Natalie</t>
  </si>
  <si>
    <t>Relampagos</t>
  </si>
  <si>
    <t>natalie_relampagos@southville.edu.ph</t>
  </si>
  <si>
    <t>Nelson</t>
  </si>
  <si>
    <t>Locquiao</t>
  </si>
  <si>
    <t>nelson_locquiao@southville.edu.ph</t>
  </si>
  <si>
    <t>Nerissa</t>
  </si>
  <si>
    <t>De Guzman</t>
  </si>
  <si>
    <t>nerissa_deguzman@southville.edu.ph</t>
  </si>
  <si>
    <t>Aumentado</t>
  </si>
  <si>
    <t>nerissaa@southville.edu.ph</t>
  </si>
  <si>
    <t>Tagulao</t>
  </si>
  <si>
    <t>nerissa_tagulao@southville.edu.ph</t>
  </si>
  <si>
    <t>Nerra Joy</t>
  </si>
  <si>
    <t>Romero</t>
  </si>
  <si>
    <t>nerrajoy.romero@southville.edu.ph</t>
  </si>
  <si>
    <t>Nikki</t>
  </si>
  <si>
    <t>Banzon</t>
  </si>
  <si>
    <t>nbanzon@southville.edu.ph</t>
  </si>
  <si>
    <t>Norielle</t>
  </si>
  <si>
    <t>Roldan</t>
  </si>
  <si>
    <t>norielle_roldan@southville.edu.ph</t>
  </si>
  <si>
    <t>Norielyn</t>
  </si>
  <si>
    <t>Maristanez</t>
  </si>
  <si>
    <t>norielyn_maristanez@southville.edu.ph</t>
  </si>
  <si>
    <t>Nursing</t>
  </si>
  <si>
    <t>College</t>
  </si>
  <si>
    <t>nursing4a2_2013@southville.edu.ph</t>
  </si>
  <si>
    <t>Office of the Security</t>
  </si>
  <si>
    <t>- SISC</t>
  </si>
  <si>
    <t>officeofthesecurity@southville.edu.ph</t>
  </si>
  <si>
    <t>Onette</t>
  </si>
  <si>
    <t>Ventocilla</t>
  </si>
  <si>
    <t>onette_ventocilla@southville.edu.ph</t>
  </si>
  <si>
    <t>Online</t>
  </si>
  <si>
    <t>Blended Learning</t>
  </si>
  <si>
    <t>obl@southville.edu.ph</t>
  </si>
  <si>
    <t>online@southville.edu.ph</t>
  </si>
  <si>
    <t>Oscalon</t>
  </si>
  <si>
    <t>Baltazar</t>
  </si>
  <si>
    <t>oscalon_baltazar@southville.edu.ph</t>
  </si>
  <si>
    <t>Oscar Jr.</t>
  </si>
  <si>
    <t>oscar_agorilla@southville.edu.ph</t>
  </si>
  <si>
    <t>Osticket</t>
  </si>
  <si>
    <t>Client</t>
  </si>
  <si>
    <t>osticket_client@southville.edu.ph</t>
  </si>
  <si>
    <t>osticket</t>
  </si>
  <si>
    <t>support</t>
  </si>
  <si>
    <t>osticket-support@southville.edu.ph</t>
  </si>
  <si>
    <t>Overseas</t>
  </si>
  <si>
    <t>Linkages</t>
  </si>
  <si>
    <t>overseaslinkages@southville.edu.ph</t>
  </si>
  <si>
    <t>Pablo Tito</t>
  </si>
  <si>
    <t>David Jr</t>
  </si>
  <si>
    <t>pablo_david@southville.edu.ph</t>
  </si>
  <si>
    <t>Pamela</t>
  </si>
  <si>
    <t>Morales</t>
  </si>
  <si>
    <t>pamela_morales@southville.edu.ph</t>
  </si>
  <si>
    <t>Paolo Angelo</t>
  </si>
  <si>
    <t>Leyva</t>
  </si>
  <si>
    <t>paolo_leyva@southville.edu.ph</t>
  </si>
  <si>
    <t>Patricia</t>
  </si>
  <si>
    <t>patricia.cortez@southville.edu.ph</t>
  </si>
  <si>
    <t>Patricia Anne</t>
  </si>
  <si>
    <t>Camandang</t>
  </si>
  <si>
    <t>patricia_camandang@southville.edu.ph</t>
  </si>
  <si>
    <t>Patricia Camille</t>
  </si>
  <si>
    <t>Patron</t>
  </si>
  <si>
    <t>patricia_patron@southville.edu.ph</t>
  </si>
  <si>
    <t>patriciacamille_ponce@southville.edu.ph</t>
  </si>
  <si>
    <t>Patrick</t>
  </si>
  <si>
    <t>Loyola</t>
  </si>
  <si>
    <t>patrick_loyola@southville.edu.ph</t>
  </si>
  <si>
    <t>Patrick Edward</t>
  </si>
  <si>
    <t>Corvera</t>
  </si>
  <si>
    <t>patrick_corvera@southville.edu.ph</t>
  </si>
  <si>
    <t>Paula Bianca</t>
  </si>
  <si>
    <t>Tantay</t>
  </si>
  <si>
    <t>pbtantay@southville.edu.ph</t>
  </si>
  <si>
    <t>Paula Denise</t>
  </si>
  <si>
    <t>paula_hernandez@southville.edu.ph</t>
  </si>
  <si>
    <t>Pauline</t>
  </si>
  <si>
    <t>Navarro</t>
  </si>
  <si>
    <t>pauline_navarro@southville.edu.ph</t>
  </si>
  <si>
    <t>Pauline Alexis</t>
  </si>
  <si>
    <t>Arevalo</t>
  </si>
  <si>
    <t>pauline_arevalo@southville.edu.ph</t>
  </si>
  <si>
    <t>Pauline Rose</t>
  </si>
  <si>
    <t>pauline_gregorio@southville.edu.ph</t>
  </si>
  <si>
    <t>Quiniquini</t>
  </si>
  <si>
    <t>paulo_quiniquini@southville.edu.ph</t>
  </si>
  <si>
    <t>Pedrito</t>
  </si>
  <si>
    <t>Salvador</t>
  </si>
  <si>
    <t>pedrito_salvador@southville.edu.ph</t>
  </si>
  <si>
    <t>Penelope</t>
  </si>
  <si>
    <t>Agustin</t>
  </si>
  <si>
    <t>penelope_agustin@southville.edu.ph</t>
  </si>
  <si>
    <t>Valdez</t>
  </si>
  <si>
    <t>penelope_valdez@southville.edu.ph</t>
  </si>
  <si>
    <t>Penny</t>
  </si>
  <si>
    <t>Penny_Mercado@southville.edu.ph</t>
  </si>
  <si>
    <t>Phi anh</t>
  </si>
  <si>
    <t>Tatlonghari</t>
  </si>
  <si>
    <t>phianht@southville.edu.ph</t>
  </si>
  <si>
    <t>Precious</t>
  </si>
  <si>
    <t>Daluz</t>
  </si>
  <si>
    <t>precious_daluz@southville.edu.ph</t>
  </si>
  <si>
    <t>Pretzel</t>
  </si>
  <si>
    <t>10-0077c@southville.edu.ph</t>
  </si>
  <si>
    <t>Qi Mao</t>
  </si>
  <si>
    <t>Romualdo</t>
  </si>
  <si>
    <t>qi_romualdo@southville.edu.ph</t>
  </si>
  <si>
    <t>Queene</t>
  </si>
  <si>
    <t>queene_balaoro@southville.edu.ph</t>
  </si>
  <si>
    <t>Quennie</t>
  </si>
  <si>
    <t>Flores</t>
  </si>
  <si>
    <t>quennie_flores@southville.edu.ph</t>
  </si>
  <si>
    <t>Raccine Marie</t>
  </si>
  <si>
    <t>Tiangco</t>
  </si>
  <si>
    <t>raccine_tiangco@southville.edu.ph</t>
  </si>
  <si>
    <t>Rachel</t>
  </si>
  <si>
    <t>Chua</t>
  </si>
  <si>
    <t>rachelc@southville.edu.ph</t>
  </si>
  <si>
    <t>Rahima</t>
  </si>
  <si>
    <t>rahima_ona@southville.edu.ph</t>
  </si>
  <si>
    <t>Ranulfa</t>
  </si>
  <si>
    <t>Duran</t>
  </si>
  <si>
    <t>nolie_duran@southville.edu.ph</t>
  </si>
  <si>
    <t>Raquel</t>
  </si>
  <si>
    <t>Yu</t>
  </si>
  <si>
    <t>raquelyu@southville.edu.ph</t>
  </si>
  <si>
    <t>Plata</t>
  </si>
  <si>
    <t>raquelplata@southville.edu.ph</t>
  </si>
  <si>
    <t>Colangoy</t>
  </si>
  <si>
    <t>rax_colangoy@southville.edu.ph</t>
  </si>
  <si>
    <t>Raquelyn</t>
  </si>
  <si>
    <t>Nunez</t>
  </si>
  <si>
    <t>raquelyn_nunez@southville.edu.ph</t>
  </si>
  <si>
    <t>Raul</t>
  </si>
  <si>
    <t>Boledo</t>
  </si>
  <si>
    <t>raul_boledo@southville.edu.ph</t>
  </si>
  <si>
    <t>Raymond</t>
  </si>
  <si>
    <t>Cuneta</t>
  </si>
  <si>
    <t>raymond_cuneta@southville.edu.ph</t>
  </si>
  <si>
    <t>Raymond Joseph</t>
  </si>
  <si>
    <t>Calingasan</t>
  </si>
  <si>
    <t>raymond_calingasan@southville.edu.ph</t>
  </si>
  <si>
    <t>rea celine</t>
  </si>
  <si>
    <t>villa</t>
  </si>
  <si>
    <t>villa@southville.edu.ph</t>
  </si>
  <si>
    <t>Rebekah</t>
  </si>
  <si>
    <t>Canicosa</t>
  </si>
  <si>
    <t>rebekah_canicosa@southville.edu.ph</t>
  </si>
  <si>
    <t>Rechelle</t>
  </si>
  <si>
    <t>Sabalza</t>
  </si>
  <si>
    <t>rechelle_sabalza@southville.edu.ph</t>
  </si>
  <si>
    <t>Redante</t>
  </si>
  <si>
    <t>Gabanan</t>
  </si>
  <si>
    <t>red.gabanan@southville.edu.ph</t>
  </si>
  <si>
    <t>Registration</t>
  </si>
  <si>
    <t>Support</t>
  </si>
  <si>
    <t>registrationsupport@southville.edu.ph</t>
  </si>
  <si>
    <t>Remy</t>
  </si>
  <si>
    <t>Lagera</t>
  </si>
  <si>
    <t>remyl@southville.edu.ph</t>
  </si>
  <si>
    <t>Rene</t>
  </si>
  <si>
    <t>Aligonero</t>
  </si>
  <si>
    <t>renea@southville.edu.ph</t>
  </si>
  <si>
    <t>Rene Jun</t>
  </si>
  <si>
    <t>rene_decastro@southville.edu.ph</t>
  </si>
  <si>
    <t>Rennel Ardley</t>
  </si>
  <si>
    <t>Musni</t>
  </si>
  <si>
    <t>rennel_musni@southville.edu.ph</t>
  </si>
  <si>
    <t>Rex</t>
  </si>
  <si>
    <t>Llonora</t>
  </si>
  <si>
    <t>rex_llonora@southville.edu.ph</t>
  </si>
  <si>
    <t>Rex Wallen</t>
  </si>
  <si>
    <t>wallen_tan@southville.edu.ph</t>
  </si>
  <si>
    <t>Rey</t>
  </si>
  <si>
    <t>Soledad</t>
  </si>
  <si>
    <t>rey_soledad@southville.edu.ph</t>
  </si>
  <si>
    <t>Rey Victor</t>
  </si>
  <si>
    <t>victor_deleon@southville.edu.ph</t>
  </si>
  <si>
    <t>Reynaldo</t>
  </si>
  <si>
    <t>Cabuslay</t>
  </si>
  <si>
    <t>reynaldo_cabuslay@southville.edu.ph</t>
  </si>
  <si>
    <t>Nograles</t>
  </si>
  <si>
    <t>rrnograles@southville.edu.ph</t>
  </si>
  <si>
    <t>Rhea</t>
  </si>
  <si>
    <t>Benedicto</t>
  </si>
  <si>
    <t>rhea_ybanez@southville.edu.ph</t>
  </si>
  <si>
    <t>Rhena NiÃ±a</t>
  </si>
  <si>
    <t>rhena_gonzales@southville.edu.ph</t>
  </si>
  <si>
    <t>Rhoda</t>
  </si>
  <si>
    <t>Vallado</t>
  </si>
  <si>
    <t>rvallado@southville.edu.ph</t>
  </si>
  <si>
    <t>Rhoderick</t>
  </si>
  <si>
    <t>rrsantos@southville.edu.ph</t>
  </si>
  <si>
    <t>Ria</t>
  </si>
  <si>
    <t>Caronongan</t>
  </si>
  <si>
    <t>riacaronongan@southville.edu.ph</t>
  </si>
  <si>
    <t>Richard</t>
  </si>
  <si>
    <t>Nadera</t>
  </si>
  <si>
    <t>richard_nadera@southville.edu.ph</t>
  </si>
  <si>
    <t>Richardo</t>
  </si>
  <si>
    <t>richardp@southville.edu.ph</t>
  </si>
  <si>
    <t>Richelle</t>
  </si>
  <si>
    <t>Millave</t>
  </si>
  <si>
    <t>richelle_millave@southville.edu.ph</t>
  </si>
  <si>
    <t>Richmond</t>
  </si>
  <si>
    <t>Dela Vina</t>
  </si>
  <si>
    <t>richmond_delavina@southville.edu.ph</t>
  </si>
  <si>
    <t>Rikki Joi</t>
  </si>
  <si>
    <t>Capioso</t>
  </si>
  <si>
    <t>rikki_capioso@southville.edu.ph</t>
  </si>
  <si>
    <t>Riza</t>
  </si>
  <si>
    <t>riza_ho@southville.edu.ph</t>
  </si>
  <si>
    <t>Robert</t>
  </si>
  <si>
    <t>Catequista</t>
  </si>
  <si>
    <t>robert_catequista@southville.edu.ph</t>
  </si>
  <si>
    <t>Norberte</t>
  </si>
  <si>
    <t>robert_norberte@southville.edu.ph</t>
  </si>
  <si>
    <t>Arkin</t>
  </si>
  <si>
    <t>Robert Elrey</t>
  </si>
  <si>
    <t>Goce</t>
  </si>
  <si>
    <t>robert_goce@southville.edu.ph</t>
  </si>
  <si>
    <t>Rocella Lourdes</t>
  </si>
  <si>
    <t>Santiago</t>
  </si>
  <si>
    <t>rlsantiago@southville.edu.ph</t>
  </si>
  <si>
    <t>Rod Allan A</t>
  </si>
  <si>
    <t>de Lara</t>
  </si>
  <si>
    <t>raadelara@southville.edu.ph</t>
  </si>
  <si>
    <t>Rodel</t>
  </si>
  <si>
    <t>AcuÃ±a</t>
  </si>
  <si>
    <t>rodel_acuna@southville.edu.ph</t>
  </si>
  <si>
    <t>rodelc_mendoza@southville.edu.ph</t>
  </si>
  <si>
    <t>Roderick</t>
  </si>
  <si>
    <t>Plastow</t>
  </si>
  <si>
    <t>rhplastow@southville.edu.ph</t>
  </si>
  <si>
    <t>Rodolfo</t>
  </si>
  <si>
    <t>Tanuan Jr</t>
  </si>
  <si>
    <t>rodolfo_tanuan@southville.edu.ph</t>
  </si>
  <si>
    <t>Rogel</t>
  </si>
  <si>
    <t>Bico</t>
  </si>
  <si>
    <t>rbico@southville.edu.ph</t>
  </si>
  <si>
    <t>Rogelia</t>
  </si>
  <si>
    <t>Cañizares</t>
  </si>
  <si>
    <t>rcanizares@southville.edu.ph</t>
  </si>
  <si>
    <t>Roger</t>
  </si>
  <si>
    <t>Bartholomew</t>
  </si>
  <si>
    <t>rogerb@southville.edu.ph</t>
  </si>
  <si>
    <t>Roie Rolice</t>
  </si>
  <si>
    <t>roie_raymundo@southville.edu.ph</t>
  </si>
  <si>
    <t>Roman</t>
  </si>
  <si>
    <t>Baluyot</t>
  </si>
  <si>
    <t>roman_baluyot@southville.edu.ph</t>
  </si>
  <si>
    <t>Roman Christopher</t>
  </si>
  <si>
    <t>Tismo</t>
  </si>
  <si>
    <t>roman_tismo@southville.edu.ph</t>
  </si>
  <si>
    <t>Roman Erricson</t>
  </si>
  <si>
    <t>Ogdol</t>
  </si>
  <si>
    <t>roman_ogdol@southville.edu.ph</t>
  </si>
  <si>
    <t>Romel</t>
  </si>
  <si>
    <t>romel_delmundo@southville.edu.ph</t>
  </si>
  <si>
    <t>Rommel</t>
  </si>
  <si>
    <t>Nicolas</t>
  </si>
  <si>
    <t>rommel_nicolas@southville.edu.ph</t>
  </si>
  <si>
    <t>Romyr</t>
  </si>
  <si>
    <t>romyr.reyes@southville.edu.ph</t>
  </si>
  <si>
    <t>Ron</t>
  </si>
  <si>
    <t>Haarms</t>
  </si>
  <si>
    <t>rhaarms@southville.edu.ph</t>
  </si>
  <si>
    <t>ron_haarms@southville.edu.ph</t>
  </si>
  <si>
    <t>Ronald</t>
  </si>
  <si>
    <t>Ariate</t>
  </si>
  <si>
    <t>ronald_ariate@southville.edu.ph</t>
  </si>
  <si>
    <t>Obleno</t>
  </si>
  <si>
    <t>ronald_obleno@southville.edu.ph</t>
  </si>
  <si>
    <t>Ronaldo</t>
  </si>
  <si>
    <t>Brigino</t>
  </si>
  <si>
    <t>ronaldo_brigino@southville.edu.ph</t>
  </si>
  <si>
    <t>Verde</t>
  </si>
  <si>
    <t>ronald_verde@southville.edu.ph</t>
  </si>
  <si>
    <t>Ronna</t>
  </si>
  <si>
    <t>Mirabueno</t>
  </si>
  <si>
    <t>ronna_mirabueno@southville.edu.ph</t>
  </si>
  <si>
    <t>Rory Stephen</t>
  </si>
  <si>
    <t>Mansbridge</t>
  </si>
  <si>
    <t>rory_mansbridge@southville.edu.ph</t>
  </si>
  <si>
    <t>Rosalinda</t>
  </si>
  <si>
    <t>Caoile</t>
  </si>
  <si>
    <t>rosalinda_caoile@southville.edu.ph</t>
  </si>
  <si>
    <t>Rosanne</t>
  </si>
  <si>
    <t>Luancing</t>
  </si>
  <si>
    <t>rosanne_luancing@southville.edu.ph</t>
  </si>
  <si>
    <t>Roschelle</t>
  </si>
  <si>
    <t>Salinas</t>
  </si>
  <si>
    <t>roschelle_salinas@southville.edu.ph</t>
  </si>
  <si>
    <t>Rose</t>
  </si>
  <si>
    <t>Arenas</t>
  </si>
  <si>
    <t>rose_arenas@southville.edu.ph</t>
  </si>
  <si>
    <t>Rose Anne</t>
  </si>
  <si>
    <t>Laydia</t>
  </si>
  <si>
    <t>rose_laydia@southville.edu.ph</t>
  </si>
  <si>
    <t>Rosebell</t>
  </si>
  <si>
    <t>Remigio</t>
  </si>
  <si>
    <t>rosebell_remigio@southville.edu.ph</t>
  </si>
  <si>
    <t>Rosita</t>
  </si>
  <si>
    <t>Manimtim</t>
  </si>
  <si>
    <t>rosita_manimtim@southville.edu.ph</t>
  </si>
  <si>
    <t>Rowell</t>
  </si>
  <si>
    <t>Abello</t>
  </si>
  <si>
    <t>rowell_abello@southville.edu.ph</t>
  </si>
  <si>
    <t>Rowelle</t>
  </si>
  <si>
    <t>Legaspi</t>
  </si>
  <si>
    <t>rowelle_legaspi@southville.edu.ph</t>
  </si>
  <si>
    <t>Rowena</t>
  </si>
  <si>
    <t>Sagaysay</t>
  </si>
  <si>
    <t>rowena_sagaysay@southville.edu.ph</t>
  </si>
  <si>
    <t>Castro</t>
  </si>
  <si>
    <t>rowenac@southville.edu.ph</t>
  </si>
  <si>
    <t>Rowena Sonza</t>
  </si>
  <si>
    <t>Kakilala</t>
  </si>
  <si>
    <t>rowena_kakilala@southville.edu.ph</t>
  </si>
  <si>
    <t>Roxan</t>
  </si>
  <si>
    <t>Victoriano</t>
  </si>
  <si>
    <t>roxan_victoriano@southville.edu.ph</t>
  </si>
  <si>
    <t>Roy Mark</t>
  </si>
  <si>
    <t>Recomendable</t>
  </si>
  <si>
    <t>roy_recomendable@southville.edu.ph</t>
  </si>
  <si>
    <t>Ruben</t>
  </si>
  <si>
    <t>Bernardo IV</t>
  </si>
  <si>
    <t>rbernardo@southville.edu.ph</t>
  </si>
  <si>
    <t>Rudolph</t>
  </si>
  <si>
    <t>Benitez</t>
  </si>
  <si>
    <t>rudolph_benitez@southville.edu.ph</t>
  </si>
  <si>
    <t>Rudy</t>
  </si>
  <si>
    <t>Ibanez</t>
  </si>
  <si>
    <t>rudy@southville.edu.ph</t>
  </si>
  <si>
    <t>Ruel</t>
  </si>
  <si>
    <t>Cajili</t>
  </si>
  <si>
    <t>ruelc@southville.edu.ph</t>
  </si>
  <si>
    <t>Maningas</t>
  </si>
  <si>
    <t>ruel_maningas@southville.edu.ph</t>
  </si>
  <si>
    <t>Par</t>
  </si>
  <si>
    <t>ruelp@southville.edu.ph</t>
  </si>
  <si>
    <t>Rushel</t>
  </si>
  <si>
    <t>Masilang</t>
  </si>
  <si>
    <t>rushel_masilang@southville.edu.ph</t>
  </si>
  <si>
    <t>Russel</t>
  </si>
  <si>
    <t>Del Campo</t>
  </si>
  <si>
    <t>russeldc@southville.edu.ph</t>
  </si>
  <si>
    <t>Russelle Jolo</t>
  </si>
  <si>
    <t>Aramo</t>
  </si>
  <si>
    <t>russelle_aramo@southville.edu.ph</t>
  </si>
  <si>
    <t>Rustan Jay</t>
  </si>
  <si>
    <t>Mabico</t>
  </si>
  <si>
    <t>rustan_mabico@southville.edu.ph</t>
  </si>
  <si>
    <t>Ryan Jeff</t>
  </si>
  <si>
    <t>ryan_mercado@southville.edu.ph</t>
  </si>
  <si>
    <t>Ryan King</t>
  </si>
  <si>
    <t>Palma</t>
  </si>
  <si>
    <t>ryan.palma@southville.edu.ph</t>
  </si>
  <si>
    <t>Ryk</t>
  </si>
  <si>
    <t>ryk_ramos@southville.edu.ph</t>
  </si>
  <si>
    <t>Sabina</t>
  </si>
  <si>
    <t>Panique</t>
  </si>
  <si>
    <t>sabina_panique@southville.edu.ph</t>
  </si>
  <si>
    <t>Sam</t>
  </si>
  <si>
    <t>Bendo</t>
  </si>
  <si>
    <t>samb@southville.edu.ph</t>
  </si>
  <si>
    <t>Sam Cedrick</t>
  </si>
  <si>
    <t>Velasco</t>
  </si>
  <si>
    <t>sam_velasco@southville.edu.ph</t>
  </si>
  <si>
    <t>Samantha</t>
  </si>
  <si>
    <t>Ferol</t>
  </si>
  <si>
    <t>samantha_ferol@southville.edu.ph</t>
  </si>
  <si>
    <t>Samuel</t>
  </si>
  <si>
    <t>sgalvez@southville.edu.ph</t>
  </si>
  <si>
    <t>Sandra</t>
  </si>
  <si>
    <t>Roque</t>
  </si>
  <si>
    <t>sroque@southville.edu.ph</t>
  </si>
  <si>
    <t>Sandra Claire</t>
  </si>
  <si>
    <t>Dupio</t>
  </si>
  <si>
    <t>sandra_dupio@southville.edu.ph</t>
  </si>
  <si>
    <t>Santiana</t>
  </si>
  <si>
    <t>Garong</t>
  </si>
  <si>
    <t>santiana_garong@southville.edu.ph</t>
  </si>
  <si>
    <t>Sarah</t>
  </si>
  <si>
    <t>Tecon</t>
  </si>
  <si>
    <t>sarah_tecon@southville.edu.ph</t>
  </si>
  <si>
    <t>Sarah Mae</t>
  </si>
  <si>
    <t>Velasquez</t>
  </si>
  <si>
    <t>sarah_velasquez@southville.edu.ph</t>
  </si>
  <si>
    <t>Sary Ann</t>
  </si>
  <si>
    <t>Escurel</t>
  </si>
  <si>
    <t>sary_escurel@southville.edu.ph</t>
  </si>
  <si>
    <t>Selena Monique</t>
  </si>
  <si>
    <t>Vista</t>
  </si>
  <si>
    <t>selena_vista@southville.edu.ph</t>
  </si>
  <si>
    <t>SGEN</t>
  </si>
  <si>
    <t>support@southville.edu.ph</t>
  </si>
  <si>
    <t>Research Review</t>
  </si>
  <si>
    <t>sgen_research_review@southville.edu.ph</t>
  </si>
  <si>
    <t>Sharjan</t>
  </si>
  <si>
    <t>Gatchalian</t>
  </si>
  <si>
    <t>sgatchalian@southville.edu.ph</t>
  </si>
  <si>
    <t>Sharlyn</t>
  </si>
  <si>
    <t>Asajar</t>
  </si>
  <si>
    <t>sharlyn_asajar@southville.edu.ph</t>
  </si>
  <si>
    <t>Sharmaine Kristine</t>
  </si>
  <si>
    <t>Ginete</t>
  </si>
  <si>
    <t>maine_ginete@southville.edu.ph</t>
  </si>
  <si>
    <t>Sharon</t>
  </si>
  <si>
    <t>FabaliÃ±a</t>
  </si>
  <si>
    <t>sharon_fabalina@southville.edu.ph</t>
  </si>
  <si>
    <t>Sharri Anne Loraine</t>
  </si>
  <si>
    <t>Perolina</t>
  </si>
  <si>
    <t>sharri_perolina@southville.edu.ph</t>
  </si>
  <si>
    <t>Sharys</t>
  </si>
  <si>
    <t>Unica</t>
  </si>
  <si>
    <t>sharys_unica@southville.edu.ph</t>
  </si>
  <si>
    <t>Shayne Camille Bianca</t>
  </si>
  <si>
    <t>Oliva</t>
  </si>
  <si>
    <t>shayne_oliva@southville.edu.ph</t>
  </si>
  <si>
    <t>Sheela Marie</t>
  </si>
  <si>
    <t>Aromin</t>
  </si>
  <si>
    <t>sheela_aromin@southville.edu.ph</t>
  </si>
  <si>
    <t>Sheree</t>
  </si>
  <si>
    <t>sheree_espinosa@southville.edu.ph</t>
  </si>
  <si>
    <t>Sherry Marie</t>
  </si>
  <si>
    <t>Saclot</t>
  </si>
  <si>
    <t>sherrymarie_saclot@southville.edu.ph</t>
  </si>
  <si>
    <t>Sheryl</t>
  </si>
  <si>
    <t>smanalo@southville.edu.ph</t>
  </si>
  <si>
    <t>Shiela</t>
  </si>
  <si>
    <t>Azon</t>
  </si>
  <si>
    <t>shiela_azon@southville.edu.ph</t>
  </si>
  <si>
    <t>Shiela Mae J.</t>
  </si>
  <si>
    <t>Antalan</t>
  </si>
  <si>
    <t>shiela_antalan@southville.edu.ph</t>
  </si>
  <si>
    <t>Shiela May</t>
  </si>
  <si>
    <t>Cetron</t>
  </si>
  <si>
    <t>shiela_cetron@southville.edu.ph</t>
  </si>
  <si>
    <t>SISC</t>
  </si>
  <si>
    <t>Grammarly</t>
  </si>
  <si>
    <t>grammarly@southville.edu.ph</t>
  </si>
  <si>
    <t>Admin</t>
  </si>
  <si>
    <t>admin-sisc@southville.edu.ph</t>
  </si>
  <si>
    <t>BIR Emails</t>
  </si>
  <si>
    <t>sisc-bir@southville.edu.ph</t>
  </si>
  <si>
    <t>SISFU</t>
  </si>
  <si>
    <t>Senior High School</t>
  </si>
  <si>
    <t>sisfuseniorhigh@southville.edu.ph</t>
  </si>
  <si>
    <t>culinaryinstitute@southville.edu.ph</t>
  </si>
  <si>
    <t>Transportation</t>
  </si>
  <si>
    <t>transportation@southville.edu.ph</t>
  </si>
  <si>
    <t>Academic Support</t>
  </si>
  <si>
    <t>acad_support@southville.edu.ph</t>
  </si>
  <si>
    <t>Alumni</t>
  </si>
  <si>
    <t>sisfualumni@southville.edu.ph</t>
  </si>
  <si>
    <t>Competition</t>
  </si>
  <si>
    <t>sisfucompetition@southville.edu.ph</t>
  </si>
  <si>
    <t>SOBC</t>
  </si>
  <si>
    <t>sisfubusiness@southville.edu.ph</t>
  </si>
  <si>
    <t>Hospitality</t>
  </si>
  <si>
    <t>sisfuhospitality@southville.edu.ph</t>
  </si>
  <si>
    <t>registration@southville.edu.ph</t>
  </si>
  <si>
    <t>SNX</t>
  </si>
  <si>
    <t>snx@southville.edu.ph</t>
  </si>
  <si>
    <t>HR Support</t>
  </si>
  <si>
    <t>hrsupport@southville.edu.ph</t>
  </si>
  <si>
    <t>HR Support 2</t>
  </si>
  <si>
    <t>hrsupport2@southville.edu.ph</t>
  </si>
  <si>
    <t>SISFU IT</t>
  </si>
  <si>
    <t>itsupport@southville.edu.ph</t>
  </si>
  <si>
    <t>SISFU Marketing</t>
  </si>
  <si>
    <t>mktgsupport@southville.edu.ph</t>
  </si>
  <si>
    <t>sisfu</t>
  </si>
  <si>
    <t>backup</t>
  </si>
  <si>
    <t>sisfubackup@southville.edu.ph</t>
  </si>
  <si>
    <t>SJFinMan</t>
  </si>
  <si>
    <t>sjfinman@southville.edu.ph</t>
  </si>
  <si>
    <t>South SEED</t>
  </si>
  <si>
    <t>LPDH College</t>
  </si>
  <si>
    <t>pr-sslc@southville.edu.ph</t>
  </si>
  <si>
    <t>Privacy</t>
  </si>
  <si>
    <t>privacy@southville.edu.ph</t>
  </si>
  <si>
    <t>MBA</t>
  </si>
  <si>
    <t>mba@southville.edu.ph</t>
  </si>
  <si>
    <t>support-sisc@southville.edu.ph</t>
  </si>
  <si>
    <t>Computer Society</t>
  </si>
  <si>
    <t>computersociety@southville.edu.ph</t>
  </si>
  <si>
    <t>Southville For Others</t>
  </si>
  <si>
    <t>sfo-sgen@southville.edu.ph</t>
  </si>
  <si>
    <t>SSLC</t>
  </si>
  <si>
    <t>Email</t>
  </si>
  <si>
    <t>sslc@southville.edu.ph</t>
  </si>
  <si>
    <t>Sulayman Plaridel</t>
  </si>
  <si>
    <t>sulayman_peralta@southville.edu.ph</t>
  </si>
  <si>
    <t>Sunny</t>
  </si>
  <si>
    <t>Ban</t>
  </si>
  <si>
    <t>sunny_ban@southville.edu.ph</t>
  </si>
  <si>
    <t>Staff</t>
  </si>
  <si>
    <t>supportstaff@southville.edu.ph</t>
  </si>
  <si>
    <t>Susan</t>
  </si>
  <si>
    <t>Lara</t>
  </si>
  <si>
    <t>sclara@southville.edu.ph</t>
  </si>
  <si>
    <t>Suzette</t>
  </si>
  <si>
    <t>Bongalosa</t>
  </si>
  <si>
    <t>student.affairs@southville.edu.ph</t>
  </si>
  <si>
    <t>Syra</t>
  </si>
  <si>
    <t>Logatoc</t>
  </si>
  <si>
    <t>aya@southville.edu.ph</t>
  </si>
  <si>
    <t>Syra Jean</t>
  </si>
  <si>
    <t>syra_palma@southville.edu.ph</t>
  </si>
  <si>
    <t>Tala</t>
  </si>
  <si>
    <t>Alzona</t>
  </si>
  <si>
    <t>talaa@southville.edu.ph</t>
  </si>
  <si>
    <t>Taylor</t>
  </si>
  <si>
    <t>Center</t>
  </si>
  <si>
    <t>tcpd@southville.edu.ph</t>
  </si>
  <si>
    <t>Test</t>
  </si>
  <si>
    <t>Account</t>
  </si>
  <si>
    <t>test_account@southville.edu.ph</t>
  </si>
  <si>
    <t>Thefanie</t>
  </si>
  <si>
    <t>Balon</t>
  </si>
  <si>
    <t>thefanie_balon@southville.edu.ph</t>
  </si>
  <si>
    <t>Thelma</t>
  </si>
  <si>
    <t>Anteola</t>
  </si>
  <si>
    <t>thelma_anteola@southville.edu.ph</t>
  </si>
  <si>
    <t>Badon</t>
  </si>
  <si>
    <t>thelma_badon@southville.edu.ph</t>
  </si>
  <si>
    <t>Timothy L.</t>
  </si>
  <si>
    <t>Tabanao</t>
  </si>
  <si>
    <t>18-0281c@southville.edu.ph</t>
  </si>
  <si>
    <t>Titania Marie</t>
  </si>
  <si>
    <t>Telado</t>
  </si>
  <si>
    <t>titania_telado@southville.edu.ph</t>
  </si>
  <si>
    <t>Toribio</t>
  </si>
  <si>
    <t>Cayanan</t>
  </si>
  <si>
    <t>toribio_cayanan@southville.edu.ph</t>
  </si>
  <si>
    <t>TQM</t>
  </si>
  <si>
    <t>Steering Committee</t>
  </si>
  <si>
    <t>tqm@southville.edu.ph</t>
  </si>
  <si>
    <t>Trisha</t>
  </si>
  <si>
    <t>trisha.tan@southville.edu.ph</t>
  </si>
  <si>
    <t>Trisha Frances</t>
  </si>
  <si>
    <t>Abarrientos</t>
  </si>
  <si>
    <t>trisha_abarrientos@southville.edu.ph</t>
  </si>
  <si>
    <t>Trishia Janine</t>
  </si>
  <si>
    <t>Atienza</t>
  </si>
  <si>
    <t>trishia_atienza@southville.edu.ph</t>
  </si>
  <si>
    <t>Valine</t>
  </si>
  <si>
    <t>Divinagracia</t>
  </si>
  <si>
    <t>valine_divinagracia@southville.edu.ph</t>
  </si>
  <si>
    <t>Vanessa</t>
  </si>
  <si>
    <t>Gazzingan</t>
  </si>
  <si>
    <t>vanessa_gazzingan@southville.edu.ph</t>
  </si>
  <si>
    <t>Kabigting</t>
  </si>
  <si>
    <t>vtkabigting@southville.edu.ph</t>
  </si>
  <si>
    <t>Andal</t>
  </si>
  <si>
    <t>vanessa_andal@southville.edu.ph</t>
  </si>
  <si>
    <t>Venice</t>
  </si>
  <si>
    <t>Chiao</t>
  </si>
  <si>
    <t>venice_chiao@southville.edu.ph</t>
  </si>
  <si>
    <t>Verianne Gel</t>
  </si>
  <si>
    <t>verianne_gutierrez@southville.edu.ph</t>
  </si>
  <si>
    <t>Vhince</t>
  </si>
  <si>
    <t>Manaloto</t>
  </si>
  <si>
    <t>vhince@southville.edu.ph</t>
  </si>
  <si>
    <t>Vic</t>
  </si>
  <si>
    <t>Manabat</t>
  </si>
  <si>
    <t>vic_manabat@southville.edu.ph</t>
  </si>
  <si>
    <t>Vina</t>
  </si>
  <si>
    <t>Gavilano</t>
  </si>
  <si>
    <t>vina_gavilano@southville.edu.ph</t>
  </si>
  <si>
    <t>Vincent</t>
  </si>
  <si>
    <t>Halili</t>
  </si>
  <si>
    <t>vhalili@southville.edu.ph</t>
  </si>
  <si>
    <t>Violeta</t>
  </si>
  <si>
    <t>Revoltar</t>
  </si>
  <si>
    <t>vye_revoltar@southville.edu.ph</t>
  </si>
  <si>
    <t>Alducente</t>
  </si>
  <si>
    <t>violetaa@southville.edu.ph</t>
  </si>
  <si>
    <t>Virgil Josef</t>
  </si>
  <si>
    <t>virgil_morales@southville.edu.ph</t>
  </si>
  <si>
    <t>Virginia</t>
  </si>
  <si>
    <t>Lineses</t>
  </si>
  <si>
    <t>vlineses@southville.edu.ph</t>
  </si>
  <si>
    <t>Virna Angelly</t>
  </si>
  <si>
    <t>Magbitang</t>
  </si>
  <si>
    <t>virnam@southville.edu.ph</t>
  </si>
  <si>
    <t>Voz Patrick</t>
  </si>
  <si>
    <t>Andrada</t>
  </si>
  <si>
    <t>voz_andrada@southville.edu.ph</t>
  </si>
  <si>
    <t>Wilbert</t>
  </si>
  <si>
    <t>Beltran</t>
  </si>
  <si>
    <t>wilbert.beltran@southville.edu.ph</t>
  </si>
  <si>
    <t>William</t>
  </si>
  <si>
    <t>Njiondo</t>
  </si>
  <si>
    <t>william_njiondo@southville.edu.ph</t>
  </si>
  <si>
    <t>Ynna Majella</t>
  </si>
  <si>
    <t>Panganiban</t>
  </si>
  <si>
    <t>ynna_panganiban@southville.edu.ph</t>
  </si>
  <si>
    <t>Yzelle Xaira</t>
  </si>
  <si>
    <t>Dela Rea</t>
  </si>
  <si>
    <t>yzelle_delarea@southville.edu.ph</t>
  </si>
  <si>
    <t>Zarah Eunice</t>
  </si>
  <si>
    <t>zarah_velasquez@southville.edu.ph</t>
  </si>
  <si>
    <t>Zendel Ann</t>
  </si>
  <si>
    <t>Zuniga</t>
  </si>
  <si>
    <t>zendel_zuniga@southville.edu.ph</t>
  </si>
  <si>
    <t>Zhang</t>
  </si>
  <si>
    <t>Yaya</t>
  </si>
  <si>
    <t>zhang_yaya@southville.edu.ph</t>
  </si>
  <si>
    <t>Eleazar</t>
  </si>
  <si>
    <t>Guevarra</t>
  </si>
  <si>
    <t>eleazar_guevarra@southville.edu.ph</t>
  </si>
  <si>
    <t>Ronnel</t>
  </si>
  <si>
    <t>Calvendra</t>
  </si>
  <si>
    <t>ronnel_calvendra@southville.edu.ph</t>
  </si>
  <si>
    <t>Delos Reyes</t>
  </si>
  <si>
    <t>darwin_delosreyes@southville.edu.ph</t>
  </si>
  <si>
    <t>Jossa Marie</t>
  </si>
  <si>
    <t>Gallanosa</t>
  </si>
  <si>
    <t>jossa_gallanosa@southville.edu.ph</t>
  </si>
  <si>
    <t>Lotino</t>
  </si>
  <si>
    <t>sharonlotino@gmail.com</t>
  </si>
  <si>
    <t>Irish</t>
  </si>
  <si>
    <t>Fernando</t>
  </si>
  <si>
    <t>irish_fernando@southville.edu.ph</t>
  </si>
  <si>
    <t>Raceter</t>
  </si>
  <si>
    <t>ray.necosia@gmail.com</t>
  </si>
  <si>
    <t>olivagenevieve@gmail.com</t>
  </si>
  <si>
    <t>Sheila Mae</t>
  </si>
  <si>
    <t>Fabellar</t>
  </si>
  <si>
    <t>sheila_fabellar@southville.edu.ph</t>
  </si>
  <si>
    <t>Donna Rose</t>
  </si>
  <si>
    <t>Ocampo</t>
  </si>
  <si>
    <t>donna_ocampo@southville.edu.ph</t>
  </si>
  <si>
    <t>Windy Lyn</t>
  </si>
  <si>
    <t>Puli</t>
  </si>
  <si>
    <t>windylyninsigne@gmail.com</t>
  </si>
  <si>
    <t>Gilbert</t>
  </si>
  <si>
    <t>Magallanes</t>
  </si>
  <si>
    <t>gilbert_magallanes@southville.edu.ph</t>
  </si>
  <si>
    <t>Marinel</t>
  </si>
  <si>
    <t>marinel_martinez@southville.edu.ph</t>
  </si>
  <si>
    <t>Nhyssa</t>
  </si>
  <si>
    <t>Adaoag</t>
  </si>
  <si>
    <t>nhyssaadaoag10230@gmail.com</t>
  </si>
  <si>
    <t>Raiz</t>
  </si>
  <si>
    <t>samuel_raiz@southville.edu.ph</t>
  </si>
  <si>
    <t>Angeline</t>
  </si>
  <si>
    <t>Dumlao</t>
  </si>
  <si>
    <t>angelinedumlao@gmail.com</t>
  </si>
  <si>
    <t>Kayziel</t>
  </si>
  <si>
    <t>Tadiaque</t>
  </si>
  <si>
    <t>tadiaque.zeille@gmail.com</t>
  </si>
  <si>
    <t>katrina_delacruz@southville.edu.ph</t>
  </si>
  <si>
    <t>Ann Christonette</t>
  </si>
  <si>
    <t>Dela Isla</t>
  </si>
  <si>
    <t>ann_delaisla@southville.edu.ph</t>
  </si>
  <si>
    <t>Jairel Marvin</t>
  </si>
  <si>
    <t>Marasigan</t>
  </si>
  <si>
    <t>jairel_marasigan@southville.edu.ph</t>
  </si>
  <si>
    <t>Jordan</t>
  </si>
  <si>
    <t>Manlapaz</t>
  </si>
  <si>
    <t>jordan_manlapaz@southville.edu.ph</t>
  </si>
  <si>
    <t>Reba Jeanne</t>
  </si>
  <si>
    <t>Casapao</t>
  </si>
  <si>
    <t>reba_casapao@southville.edu.ph</t>
  </si>
  <si>
    <t>Wen Charls</t>
  </si>
  <si>
    <t>Macmac</t>
  </si>
  <si>
    <t>wencharls_macmac@southville.edu.ph</t>
  </si>
  <si>
    <t>Wong</t>
  </si>
  <si>
    <t>joseph_wong@southville.edu.ph</t>
  </si>
  <si>
    <t>John Carlo</t>
  </si>
  <si>
    <t>Campit</t>
  </si>
  <si>
    <t>john_campit@southville.edu.ph</t>
  </si>
  <si>
    <t>Elaine Mae</t>
  </si>
  <si>
    <t>Mejos</t>
  </si>
  <si>
    <t>elaine_mejos@southville.edu.ph</t>
  </si>
  <si>
    <t>Esperanza</t>
  </si>
  <si>
    <t>Modesto</t>
  </si>
  <si>
    <t>esperanza_modesto@southville.edu.ph</t>
  </si>
  <si>
    <t>Kathleen Anne</t>
  </si>
  <si>
    <t>Calison</t>
  </si>
  <si>
    <t>kathleen_calison@southville.edu.ph</t>
  </si>
  <si>
    <t>Madrid</t>
  </si>
  <si>
    <t>christopher_madrid@southville.edu.ph</t>
  </si>
  <si>
    <t>Elmie</t>
  </si>
  <si>
    <t>Laudiato</t>
  </si>
  <si>
    <t>elmie_laudiato@southville.edu.ph</t>
  </si>
  <si>
    <t>Abegael</t>
  </si>
  <si>
    <t>Labradores</t>
  </si>
  <si>
    <t>abegael_labradores@southville.edu.ph</t>
  </si>
  <si>
    <t>James Edward</t>
  </si>
  <si>
    <t>Banate</t>
  </si>
  <si>
    <t>james_banate@southville.edu.ph</t>
  </si>
  <si>
    <t>Ma. Raquel</t>
  </si>
  <si>
    <t>Dagami</t>
  </si>
  <si>
    <t>raquel_dagami@southville.edu.ph</t>
  </si>
  <si>
    <t>Arvin</t>
  </si>
  <si>
    <t>Ello</t>
  </si>
  <si>
    <t>arvin_ello@southville.edu.ph</t>
  </si>
  <si>
    <t>Rochel Ann</t>
  </si>
  <si>
    <t>rochel_gregorio@southville.edu.ph</t>
  </si>
  <si>
    <t>Paulino Nathaniel</t>
  </si>
  <si>
    <t>Zamesa III</t>
  </si>
  <si>
    <t>paulino_zamesa@southville.edu.ph</t>
  </si>
  <si>
    <t>Peter James</t>
  </si>
  <si>
    <t>Agada</t>
  </si>
  <si>
    <t>peter_agada@southville.edu.ph</t>
  </si>
  <si>
    <t>Edilberto</t>
  </si>
  <si>
    <t>Hidalgo Jr.</t>
  </si>
  <si>
    <t>edilberto_hidalgo@southville.edu.ph</t>
  </si>
  <si>
    <t xml:space="preserve">Dan Lo </t>
  </si>
  <si>
    <t>Famador</t>
  </si>
  <si>
    <t>dan_famador@southville.edu.ph</t>
  </si>
  <si>
    <t>jeremiah_tirol@southville.edu.ph</t>
  </si>
  <si>
    <t>hazel_deguzman@southville.edu.ph</t>
  </si>
  <si>
    <t>joybasia07@gmail.com</t>
  </si>
  <si>
    <t xml:space="preserve">Christina </t>
  </si>
  <si>
    <t>Canong</t>
  </si>
  <si>
    <t>christina_canong@southville.edu.ph</t>
  </si>
  <si>
    <t>Ador</t>
  </si>
  <si>
    <t>Marinda</t>
  </si>
  <si>
    <t>ador_marinda@southville.edu.ph</t>
  </si>
  <si>
    <t>Temotie</t>
  </si>
  <si>
    <t>Diosay</t>
  </si>
  <si>
    <t>temotie_diosay@southville.edu.ph</t>
  </si>
  <si>
    <t>Jomel</t>
  </si>
  <si>
    <t>Butial</t>
  </si>
  <si>
    <t>Jomel_butial@southville.edu.ph</t>
  </si>
  <si>
    <t>Jomarie</t>
  </si>
  <si>
    <t>Torres</t>
  </si>
  <si>
    <t>jomarietorres134@gmail.com</t>
  </si>
  <si>
    <t>Beatrice</t>
  </si>
  <si>
    <t>Saminiano</t>
  </si>
  <si>
    <t>beatrice_saminiano@southville.edu.ph</t>
  </si>
  <si>
    <t>Vergilio Jr.</t>
  </si>
  <si>
    <t>De Villa</t>
  </si>
  <si>
    <t>verge_devilla@southville.edu.ph</t>
  </si>
  <si>
    <t>Jyster</t>
  </si>
  <si>
    <t>Residuo</t>
  </si>
  <si>
    <t>19-0172c@sgen.edu.ph</t>
  </si>
  <si>
    <t>Maurine</t>
  </si>
  <si>
    <t>Dollesin</t>
  </si>
  <si>
    <t>maurine_dollesin@southville.edu.ph</t>
  </si>
  <si>
    <t>John Roezel</t>
  </si>
  <si>
    <t>Fuentes</t>
  </si>
  <si>
    <t>john_fuentes@southville.edu.ph</t>
  </si>
  <si>
    <t>Dominic</t>
  </si>
  <si>
    <t>Javier</t>
  </si>
  <si>
    <t>dominic_javier@southville.edu.ph</t>
  </si>
  <si>
    <t>Jancel</t>
  </si>
  <si>
    <t>Pradillada</t>
  </si>
  <si>
    <t>jancelpradillada19@gmail.com</t>
  </si>
  <si>
    <t>Hazel Loui</t>
  </si>
  <si>
    <t>Darcy Anne</t>
  </si>
  <si>
    <t>Encabo</t>
  </si>
  <si>
    <t>darcy_encabo@southville.edu.ph</t>
  </si>
  <si>
    <t>Jommel</t>
  </si>
  <si>
    <t>Espigol</t>
  </si>
  <si>
    <t>jommel_espigol@southville.edu.ph</t>
  </si>
  <si>
    <t>Elizamae</t>
  </si>
  <si>
    <t>Gaw</t>
  </si>
  <si>
    <t>elizamae_gaw@southville.edu.ph</t>
  </si>
  <si>
    <t>Rica Jeena</t>
  </si>
  <si>
    <t>rica_bautista@southville.edu.ph</t>
  </si>
  <si>
    <t>Ellaine</t>
  </si>
  <si>
    <t>Gimenez</t>
  </si>
  <si>
    <t>ellaine_gimenez@southville.edu.ph</t>
  </si>
  <si>
    <t>Bea</t>
  </si>
  <si>
    <t>bea_delacruz@southville.edu.ph</t>
  </si>
  <si>
    <t>Orbeso</t>
  </si>
  <si>
    <t>joseph_orbeso@southville.edu.ph</t>
  </si>
  <si>
    <t>Erik Lloyd</t>
  </si>
  <si>
    <t>Timpug</t>
  </si>
  <si>
    <t>erik_timpug@southville.edu.ph</t>
  </si>
  <si>
    <t>Tamika Kiarra</t>
  </si>
  <si>
    <t>tamika_fernandez@southville.edu.ph</t>
  </si>
  <si>
    <t>Klariza Jisele</t>
  </si>
  <si>
    <t>klariza_crisostomo@southville.edu.ph</t>
  </si>
  <si>
    <t>Rivhcem Enterprises</t>
  </si>
  <si>
    <t>Jeanefer</t>
  </si>
  <si>
    <t>Lee</t>
  </si>
  <si>
    <t>jeanefer_lee@southville.edu.ph</t>
  </si>
  <si>
    <t>Hanna Grace</t>
  </si>
  <si>
    <t>San Esteban</t>
  </si>
  <si>
    <t>hanna_sanesteban@southville.edu.ph</t>
  </si>
  <si>
    <t>Ronalyn</t>
  </si>
  <si>
    <t>ronalyn_cortez@southville.edu.ph</t>
  </si>
  <si>
    <t>JR</t>
  </si>
  <si>
    <t>Padre</t>
  </si>
  <si>
    <t>jose_padre@southville.edu.ph</t>
  </si>
  <si>
    <t>Jessabel</t>
  </si>
  <si>
    <t>Ariscon</t>
  </si>
  <si>
    <t>jessabel_ariscon@southville.edu.ph</t>
  </si>
  <si>
    <t>Abeer</t>
  </si>
  <si>
    <t>Napoco</t>
  </si>
  <si>
    <t>abeer_napoco@southville.edu.ph</t>
  </si>
  <si>
    <t>Jesuit Christian</t>
  </si>
  <si>
    <t>Galicia</t>
  </si>
  <si>
    <t>christian_galicia@southville.edu.ph</t>
  </si>
  <si>
    <t>Gio</t>
  </si>
  <si>
    <t>oscar_fuentes@southville.edu.ph</t>
  </si>
  <si>
    <t>Name</t>
  </si>
  <si>
    <t>Julien Friedel</t>
  </si>
  <si>
    <t>carolr</t>
  </si>
  <si>
    <t>Angelo C. Paras</t>
  </si>
  <si>
    <t>angelo_paras@southville.edu.ph</t>
  </si>
  <si>
    <t>ceshyr_bauzon</t>
  </si>
  <si>
    <t>Julian Antonio Laspona</t>
  </si>
  <si>
    <t>charlene_episcope</t>
  </si>
  <si>
    <t>Arnelle Nihkael Oqueno</t>
  </si>
  <si>
    <t>charmaine_macaspac</t>
  </si>
  <si>
    <t>charmaine_macaspac@southville.edu.ph</t>
  </si>
  <si>
    <t>Angelou Langga</t>
  </si>
  <si>
    <t>angelou_langga@southville.edu.ph</t>
  </si>
  <si>
    <t>cherry_venturillo</t>
  </si>
  <si>
    <t>Kim Leonard Pascual</t>
  </si>
  <si>
    <t>kim_pascual@southville.edu.ph</t>
  </si>
  <si>
    <t>chin_du</t>
  </si>
  <si>
    <t>Angelica Rose Tan</t>
  </si>
  <si>
    <t>chona</t>
  </si>
  <si>
    <t>Eliz Nellas</t>
  </si>
  <si>
    <t>kristine_nellas@southville.edu.ph</t>
  </si>
  <si>
    <t>choyj</t>
  </si>
  <si>
    <t>Jan Dalawampu</t>
  </si>
  <si>
    <t>jan_dalawampu@southville.edu.ph</t>
  </si>
  <si>
    <t>chris_dolor</t>
  </si>
  <si>
    <t>chris_dolor@southville.edu.ph</t>
  </si>
  <si>
    <t>Randy Roncales</t>
  </si>
  <si>
    <t>randy_roncales@southville.edu.ph</t>
  </si>
  <si>
    <t>christian_hizon</t>
  </si>
  <si>
    <t>christian_hizon@southville.edu.ph</t>
  </si>
  <si>
    <t>Michelle Anne N. Sto. Tomas</t>
  </si>
  <si>
    <t>michelle_sto.tomas@southville.edu.ph</t>
  </si>
  <si>
    <t>christian_repuyan</t>
  </si>
  <si>
    <t>christian_repuyan@southville.edu.ph</t>
  </si>
  <si>
    <t>Alyssa Mamburam</t>
  </si>
  <si>
    <t>alyssa_mamburam@southville.edu.ph</t>
  </si>
  <si>
    <t>christiant</t>
  </si>
  <si>
    <t>Ayanna Aisha Mance</t>
  </si>
  <si>
    <t>ayanna_mance@southville.edu.ph</t>
  </si>
  <si>
    <t>christieb</t>
  </si>
  <si>
    <t>Mikael Rae Robrigado</t>
  </si>
  <si>
    <t>christopher_madrid</t>
  </si>
  <si>
    <t>Denned Pinza</t>
  </si>
  <si>
    <t>denned_pinza@southville.edu.ph</t>
  </si>
  <si>
    <t>claro_ramirez</t>
  </si>
  <si>
    <t>claro_ramirez@southville.edu.ph</t>
  </si>
  <si>
    <t>Ronald Verde</t>
  </si>
  <si>
    <t>claudine_guerrero</t>
  </si>
  <si>
    <t>Elmie Laudiato</t>
  </si>
  <si>
    <t>claudine_lumactud</t>
  </si>
  <si>
    <t>Hazel Loui De Guzman</t>
  </si>
  <si>
    <t>clyde_rebadulla</t>
  </si>
  <si>
    <t>Verge H. De Villa</t>
  </si>
  <si>
    <t>con_aguinaldo</t>
  </si>
  <si>
    <t>con_aguinaldo@southville.edu.ph</t>
  </si>
  <si>
    <t>Beverly Fulgosino</t>
  </si>
  <si>
    <t>beverly_fulgosino@southville.edu.ph</t>
  </si>
  <si>
    <t>mylynb</t>
  </si>
  <si>
    <t>Nina Kanapi</t>
  </si>
  <si>
    <t>myra_abiog</t>
  </si>
  <si>
    <t>myra_abiog@southville.edu.ph</t>
  </si>
  <si>
    <t>Angelie D. Madanlog</t>
  </si>
  <si>
    <t>myrna_gutierrez</t>
  </si>
  <si>
    <t>Francis Adrian Viernes</t>
  </si>
  <si>
    <t>francis_viernes@southville.edu.ph</t>
  </si>
  <si>
    <t>nancydg</t>
  </si>
  <si>
    <t>John Kenny Benosa</t>
  </si>
  <si>
    <t>nathaliep</t>
  </si>
  <si>
    <t>nathaliep@southville.edu.ph</t>
  </si>
  <si>
    <t>Copernicus P. Pepito</t>
  </si>
  <si>
    <t>copernicus_pepito@southville.edu.ph</t>
  </si>
  <si>
    <t>nelson_locquaio</t>
  </si>
  <si>
    <t>nelson_locquaio@southville.edu.ph</t>
  </si>
  <si>
    <t>Darcy Anne C. Encabo</t>
  </si>
  <si>
    <t>nerissaa</t>
  </si>
  <si>
    <t>Paul Araña</t>
  </si>
  <si>
    <t>nesrin_al-barodi</t>
  </si>
  <si>
    <t>nesrin_al-barodi@southville.edu.ph</t>
  </si>
  <si>
    <t>Marvin C. Revilla</t>
  </si>
  <si>
    <t>marvin_revilla@southville.edu.ph</t>
  </si>
  <si>
    <t>nicole_valladolid</t>
  </si>
  <si>
    <t>nicole_valladolid@southville.edu.ph</t>
  </si>
  <si>
    <t>Tim Diosay</t>
  </si>
  <si>
    <t>noel_ligaya</t>
  </si>
  <si>
    <t>noel_ligaya@southville.edu.ph</t>
  </si>
  <si>
    <t>John Paulo N. Pagkalinawan</t>
  </si>
  <si>
    <t>john_pagkalinawan@southville.edu.ph</t>
  </si>
  <si>
    <t>nolie_duran</t>
  </si>
  <si>
    <t>Abigail E. Palisoc</t>
  </si>
  <si>
    <t>abigail_palisoc@southville.edu.ph</t>
  </si>
  <si>
    <t>normant</t>
  </si>
  <si>
    <t>normant@southville.edu.ph</t>
  </si>
  <si>
    <t>Christian Aron G. Tuppal</t>
  </si>
  <si>
    <t>christian_tuppal@southville.edu.ph</t>
  </si>
  <si>
    <t>npoyugao</t>
  </si>
  <si>
    <t>npoyugao@southville.edu.ph</t>
  </si>
  <si>
    <t>Niña Mae U. Siy</t>
  </si>
  <si>
    <t>nina_siy@southville.edu.ph</t>
  </si>
  <si>
    <t>odessa_besa</t>
  </si>
  <si>
    <t>odessa_besa@southville.edu.ph</t>
  </si>
  <si>
    <t>Arnel Montablan</t>
  </si>
  <si>
    <t>oscalon_baltazar</t>
  </si>
  <si>
    <t>Charlaine Maternal</t>
  </si>
  <si>
    <t>pablo_david</t>
  </si>
  <si>
    <t>Julius Ralph Pizzaro</t>
  </si>
  <si>
    <t>julius_pizzaro@southville.edu.ph</t>
  </si>
  <si>
    <t>pamela_morales</t>
  </si>
  <si>
    <t>Joyce B. Pabrigaras</t>
  </si>
  <si>
    <t>joyce_pabrigaras@southville.edu.ph</t>
  </si>
  <si>
    <t>pamela_villaescusa</t>
  </si>
  <si>
    <t>pamela_villaescusa@southville.edu.ph</t>
  </si>
  <si>
    <t>Joralyn Casis</t>
  </si>
  <si>
    <t>paraluman_zulueta</t>
  </si>
  <si>
    <t>paraluman_zulueta@southville.edu.ph</t>
  </si>
  <si>
    <t>Christian Andres</t>
  </si>
  <si>
    <t>corazon_guzman</t>
  </si>
  <si>
    <t>Maria Anne Bernadette De Vela</t>
  </si>
  <si>
    <t>anne_devela@southville.edu.ph</t>
  </si>
  <si>
    <t>cristine_yap</t>
  </si>
  <si>
    <t>Rosalyn Calapitche</t>
  </si>
  <si>
    <t>rosalyn_calapitche@southville.edu.ph</t>
  </si>
  <si>
    <t>czarina_cabrera</t>
  </si>
  <si>
    <t>Alyssa Joyce H. Peña</t>
  </si>
  <si>
    <t>alyssa_pena@southville.edu.ph</t>
  </si>
  <si>
    <t>dabereth_baller</t>
  </si>
  <si>
    <t>Anna Romina A. Reunilla</t>
  </si>
  <si>
    <t>anna_reunilla@southville.edu.ph</t>
  </si>
  <si>
    <t>danilo_chua</t>
  </si>
  <si>
    <t>danilo_chua@southville.edu.ph</t>
  </si>
  <si>
    <t>Toribio Cayanan</t>
  </si>
  <si>
    <t>dannielle_ignacio</t>
  </si>
  <si>
    <t>dannielle_ignacio@southville.edu.ph</t>
  </si>
  <si>
    <t>Cindy Lopez</t>
  </si>
  <si>
    <t>darren_ferenal</t>
  </si>
  <si>
    <t>darren_ferenal@southville.edu.ph</t>
  </si>
  <si>
    <t>Jiselle Ann M. Magbanua</t>
  </si>
  <si>
    <t>jiselle_magbanua@southville.edu.ph</t>
  </si>
  <si>
    <t>daryl_delacruz</t>
  </si>
  <si>
    <t>Sheila Mae C. Fabellar</t>
  </si>
  <si>
    <t>daryl_paderogo</t>
  </si>
  <si>
    <t>Aldrin Balite</t>
  </si>
  <si>
    <t>daryt</t>
  </si>
  <si>
    <t>daryt@southville.edu.ph</t>
  </si>
  <si>
    <t>Jason Bugatan</t>
  </si>
  <si>
    <t>dchavez</t>
  </si>
  <si>
    <t>Keith Vernon B. Yorac</t>
  </si>
  <si>
    <t>keith_yorac@southville.edu.ph</t>
  </si>
  <si>
    <t>denissep</t>
  </si>
  <si>
    <t>denissep@southville.edu.ph</t>
  </si>
  <si>
    <t>Abeer Napoco</t>
  </si>
  <si>
    <t>desiree_dado</t>
  </si>
  <si>
    <t>desiree_dado@southville.edu.ph</t>
  </si>
  <si>
    <t>Arnold D. Cheng</t>
  </si>
  <si>
    <t>arnold_cheng@southville.edu.ph</t>
  </si>
  <si>
    <t>dhenjeryl_ibanez</t>
  </si>
  <si>
    <t>dhenjeryl_ibanez@southville.edu.ph</t>
  </si>
  <si>
    <t>Raben Arne Reyes</t>
  </si>
  <si>
    <t>raben_reyes@southville.edu.ph</t>
  </si>
  <si>
    <t>diana_imperio</t>
  </si>
  <si>
    <t>Eduard Joseph D. Palmiano</t>
  </si>
  <si>
    <t>eduard_palmiano@southville.edu.ph</t>
  </si>
  <si>
    <t>dollydane_doronila</t>
  </si>
  <si>
    <t>JR Padre</t>
  </si>
  <si>
    <t>doree_arzadon</t>
  </si>
  <si>
    <t>doree_arzadon@southville.edu.ph</t>
  </si>
  <si>
    <t>Carmina Kaye M. Gado</t>
  </si>
  <si>
    <t>carmina_gado@southville.edu.ph</t>
  </si>
  <si>
    <t>eddieson_orcullo</t>
  </si>
  <si>
    <t>eddieson_orcullo@southville.edu.ph</t>
  </si>
  <si>
    <t>Allistine C. Perez</t>
  </si>
  <si>
    <t>ederissar</t>
  </si>
  <si>
    <t>Precious Daluz</t>
  </si>
  <si>
    <t>edgar_barroga</t>
  </si>
  <si>
    <t>edgar_barroga@southville.edu.ph</t>
  </si>
  <si>
    <t>Beatrice L. Saminiano</t>
  </si>
  <si>
    <t>edgar_rebellon</t>
  </si>
  <si>
    <t>Monching Dela Vina</t>
  </si>
  <si>
    <t>edison_ramos</t>
  </si>
  <si>
    <t>edison_ramos@southville.edu.ph</t>
  </si>
  <si>
    <t>Robert A. Abanador</t>
  </si>
  <si>
    <t>robert_abanador@southville.edu.ph</t>
  </si>
  <si>
    <t>edmund_bahinting</t>
  </si>
  <si>
    <t>Ma. Ana Tango</t>
  </si>
  <si>
    <t>eduard_mutuc</t>
  </si>
  <si>
    <t>eduard_mutuc@southville.edu.ph</t>
  </si>
  <si>
    <t>Esther Joy Larita</t>
  </si>
  <si>
    <t>edwin_guillermo</t>
  </si>
  <si>
    <t>edwin_guillermo@southville.edu.ph</t>
  </si>
  <si>
    <t>Anna Kathrina Santiaguel</t>
  </si>
  <si>
    <t>ann_santiaguel@southville.edu.ph</t>
  </si>
  <si>
    <t>ehric_quintana</t>
  </si>
  <si>
    <t>Jake Sagun</t>
  </si>
  <si>
    <t>ejcorsame</t>
  </si>
  <si>
    <t>Eddielyn Bote</t>
  </si>
  <si>
    <t>elaine_dimacali</t>
  </si>
  <si>
    <t>elaine_dimacali@southville.edu.ph</t>
  </si>
  <si>
    <t>Jude Justino Agsalon</t>
  </si>
  <si>
    <t>elona_pedrozo</t>
  </si>
  <si>
    <t>Ms. Mayi S.</t>
  </si>
  <si>
    <t>ely_vermudez</t>
  </si>
  <si>
    <t>ely_vermudez@southville.edu.ph</t>
  </si>
  <si>
    <t>Hannah Louise Sto. Domingo</t>
  </si>
  <si>
    <t>elyds</t>
  </si>
  <si>
    <t>Maria Loribel Marco</t>
  </si>
  <si>
    <t>emily_manlangit</t>
  </si>
  <si>
    <t>emily_manlangit@southville.edu.ph</t>
  </si>
  <si>
    <t>Kim Elizabeth O. Tiujongco</t>
  </si>
  <si>
    <t>kim_tiujongco@southville.edu.ph</t>
  </si>
  <si>
    <t>emmanuel_corsame</t>
  </si>
  <si>
    <t>Roy Mark A. Recomendable</t>
  </si>
  <si>
    <t>erneline_joaquin</t>
  </si>
  <si>
    <t>erneline_joaquin@southville.edu.ph</t>
  </si>
  <si>
    <t>Rico P. Llandelar</t>
  </si>
  <si>
    <t>rico_llandelar@southville.edu.ph</t>
  </si>
  <si>
    <t>ervin_sotto</t>
  </si>
  <si>
    <t>ervin_sotto@southville.edu.ph</t>
  </si>
  <si>
    <t>Jamie M. Ramos</t>
  </si>
  <si>
    <t>jamie_ramos@southville.edu.ph</t>
  </si>
  <si>
    <t>esaly_banitak</t>
  </si>
  <si>
    <t>Raul Boledo</t>
  </si>
  <si>
    <t>estanislao_mozo</t>
  </si>
  <si>
    <t>estanislao_mozo@southville.edu.ph</t>
  </si>
  <si>
    <t>James Adam D. Vecino</t>
  </si>
  <si>
    <t>james_vecino@southville.edu.ph</t>
  </si>
  <si>
    <t>ethelbirth_ignacio</t>
  </si>
  <si>
    <t>ethelbirth_ignacio@southville.edu.ph</t>
  </si>
  <si>
    <t>Shaira Bravo</t>
  </si>
  <si>
    <t>shaira_bravo@southville.edu.ph</t>
  </si>
  <si>
    <t>eudiery</t>
  </si>
  <si>
    <t>Lady Jamie B. Estropigan</t>
  </si>
  <si>
    <t>lady_estropigan@southville.edu.ph</t>
  </si>
  <si>
    <t>eugenem</t>
  </si>
  <si>
    <t>Jully Belle Carman</t>
  </si>
  <si>
    <t>eulalia_rosales</t>
  </si>
  <si>
    <t>Ador G. Marinda</t>
  </si>
  <si>
    <t>eunice_entegro</t>
  </si>
  <si>
    <t>eunice_entegro@southville.edu.ph</t>
  </si>
  <si>
    <t>Frances Mae A. Capili</t>
  </si>
  <si>
    <t>frances_capili@southville.edu.ph</t>
  </si>
  <si>
    <t>eva_necosia</t>
  </si>
  <si>
    <t>Angelo H. Pera</t>
  </si>
  <si>
    <t>angelo_pera@southville.edu.ph</t>
  </si>
  <si>
    <t>patricia_belleza</t>
  </si>
  <si>
    <t>Jhona A. de los Santos</t>
  </si>
  <si>
    <t>jhona_delossantos@southville.edu.ph</t>
  </si>
  <si>
    <t>patricia_patron</t>
  </si>
  <si>
    <t>Irish Nicole Fernando</t>
  </si>
  <si>
    <t>patricia_valdoz</t>
  </si>
  <si>
    <t>patricia_valdoz@southville.edu.ph</t>
  </si>
  <si>
    <t>Christina Canong</t>
  </si>
  <si>
    <t>patricia_velasquez</t>
  </si>
  <si>
    <t>patricia_velasquez@southville.edu.ph</t>
  </si>
  <si>
    <t>Emelu Majahrani Montinola</t>
  </si>
  <si>
    <t>patrick_corvera</t>
  </si>
  <si>
    <t>Karla Patricia D. Cristobal</t>
  </si>
  <si>
    <t>karla_cristobal@southville.edu.ph</t>
  </si>
  <si>
    <t>patrick_loyola</t>
  </si>
  <si>
    <t>Ranier V. Abengana</t>
  </si>
  <si>
    <t>ranier_abengana@southville.edu.ph</t>
  </si>
  <si>
    <t>pauline_gregorio</t>
  </si>
  <si>
    <t>Rochel Ann G. Ledesma</t>
  </si>
  <si>
    <t>rochel_ledesma@southville.edu.ph</t>
  </si>
  <si>
    <t>pearl_culanag</t>
  </si>
  <si>
    <t>pearl_culanag@southville.edu.ph</t>
  </si>
  <si>
    <t>Emellyn Cunanan</t>
  </si>
  <si>
    <t>emellyn_cunanan@southville.edu.ph</t>
  </si>
  <si>
    <t>penelope_agustin</t>
  </si>
  <si>
    <t>Edilberto Hidalgo</t>
  </si>
  <si>
    <t>phianht</t>
  </si>
  <si>
    <t>Jose Jr. L. Palisoc</t>
  </si>
  <si>
    <t>jose_palisoc@southville.edu.ph</t>
  </si>
  <si>
    <t>philip_bennett</t>
  </si>
  <si>
    <t>philip_bennett@southville.edu.ph</t>
  </si>
  <si>
    <t>Flazzie Rey Del Campo</t>
  </si>
  <si>
    <t>flazzie_delcampo@southville.edu.ph</t>
  </si>
  <si>
    <t>pocholo_castro</t>
  </si>
  <si>
    <t>pocholo_castro@southville.edu.ph</t>
  </si>
  <si>
    <t>Wen Charls Macmac</t>
  </si>
  <si>
    <t>princess_echano</t>
  </si>
  <si>
    <t>princess_echano@southville.edu.ph</t>
  </si>
  <si>
    <t>Richelle Bautista</t>
  </si>
  <si>
    <t>richelle_bautista@southville.edu.ph</t>
  </si>
  <si>
    <t>princess_limos</t>
  </si>
  <si>
    <t>princess_limos@southville.edu.ph</t>
  </si>
  <si>
    <t>Vivian Hermo</t>
  </si>
  <si>
    <t>vivian_hermo@southville.edu.ph</t>
  </si>
  <si>
    <t>rachel_estrabo</t>
  </si>
  <si>
    <t>rachel_estrabo@southville.edu.ph</t>
  </si>
  <si>
    <t>Jovit B. Mantala</t>
  </si>
  <si>
    <t>rachelc</t>
  </si>
  <si>
    <t>Charito Ilagan</t>
  </si>
  <si>
    <t>rachellep</t>
  </si>
  <si>
    <t>rachellep@southville.edu.ph</t>
  </si>
  <si>
    <t>Dorina Pelayo</t>
  </si>
  <si>
    <t>ralph_vicedo</t>
  </si>
  <si>
    <t>ralph_vicedo@southville.edu.ph</t>
  </si>
  <si>
    <t>Alma Hernandez</t>
  </si>
  <si>
    <t>alma_hernandez@southville.edu.ph</t>
  </si>
  <si>
    <t>ramon_ganlim</t>
  </si>
  <si>
    <t>ramon_ganlim@southville.edu.ph</t>
  </si>
  <si>
    <t>Ann Dela Isla</t>
  </si>
  <si>
    <t>ramsey_ferrer</t>
  </si>
  <si>
    <t>ramsey_ferrer@southville.edu.ph</t>
  </si>
  <si>
    <t>Madonna C. Beler</t>
  </si>
  <si>
    <t>madonna_beler@southville.edu.ph</t>
  </si>
  <si>
    <t>randolph_nonato</t>
  </si>
  <si>
    <t>randolph_nonato@southville.edu.ph</t>
  </si>
  <si>
    <t>Annabel Vasquez</t>
  </si>
  <si>
    <t>annabel_vasquez@southville.edu.ph</t>
  </si>
  <si>
    <t>raphael_fernando</t>
  </si>
  <si>
    <t>raphael_fernando@southville.edu.ph</t>
  </si>
  <si>
    <t>Bernice Mata</t>
  </si>
  <si>
    <t>raquelm</t>
  </si>
  <si>
    <t>raquelm@southville.edu.ph</t>
  </si>
  <si>
    <t>Kate Tapel</t>
  </si>
  <si>
    <t>raul_migrino</t>
  </si>
  <si>
    <t>raul_migrino@southville.edu.ph</t>
  </si>
  <si>
    <t>Mie Luching</t>
  </si>
  <si>
    <t>rax_colangoy</t>
  </si>
  <si>
    <t>Julius D. Pagdato</t>
  </si>
  <si>
    <t>julius_pagdato@southville.edu.ph</t>
  </si>
  <si>
    <t>raymond_cuneta</t>
  </si>
  <si>
    <t>Maurine Jhoy S. Dollesin</t>
  </si>
  <si>
    <t>raymund_escala</t>
  </si>
  <si>
    <t>raymund_escala@southville.edu.ph</t>
  </si>
  <si>
    <t>Raquelyn Nunez</t>
  </si>
  <si>
    <t>rcanizares</t>
  </si>
  <si>
    <t>Mark Anthony Sabili</t>
  </si>
  <si>
    <t>mark_sabili@southville.edu.ph</t>
  </si>
  <si>
    <t>rching</t>
  </si>
  <si>
    <t>rching@southville.edu.ph</t>
  </si>
  <si>
    <t>Cedrick Velasco</t>
  </si>
  <si>
    <t>rebekah_canicosa</t>
  </si>
  <si>
    <t>Bea Dela Cruz</t>
  </si>
  <si>
    <t>red.gabanan</t>
  </si>
  <si>
    <t>Gil Morales</t>
  </si>
  <si>
    <t>remyl</t>
  </si>
  <si>
    <t>Jovenil Sacop</t>
  </si>
  <si>
    <t>renea</t>
  </si>
  <si>
    <t>Franklin Quiachon</t>
  </si>
  <si>
    <t>rex_llonora</t>
  </si>
  <si>
    <t>Roselet G. Reynoso</t>
  </si>
  <si>
    <t>roselet_reynoso@southville.edu.ph</t>
  </si>
  <si>
    <t>rey_soledad</t>
  </si>
  <si>
    <t>Arjay Almanzor</t>
  </si>
  <si>
    <t>reynaldo_cabuslay</t>
  </si>
  <si>
    <t>Darlyn Mae B. Diaz</t>
  </si>
  <si>
    <t>darlyn_diaz@southville.edu.ph</t>
  </si>
  <si>
    <t>reynaldo_inojosa</t>
  </si>
  <si>
    <t>reynaldo_inojosa@southville.edu.ph</t>
  </si>
  <si>
    <t>Alyssa N. Ambat</t>
  </si>
  <si>
    <t>alyssa_ambat@southville.edu.ph</t>
  </si>
  <si>
    <t>reynalen_inojosa</t>
  </si>
  <si>
    <t>reynalen_inojosa@southville.edu.ph</t>
  </si>
  <si>
    <t>Rico M. Ros</t>
  </si>
  <si>
    <t>rico_ros@southville.edu.ph</t>
  </si>
  <si>
    <t>rezza_jimenez</t>
  </si>
  <si>
    <t>rezza_jimenez@southville.edu.ph</t>
  </si>
  <si>
    <t>Crismarie Espinosa</t>
  </si>
  <si>
    <t>rhea_abat</t>
  </si>
  <si>
    <t>rhea_abat@southville.edu.ph</t>
  </si>
  <si>
    <t>Sean Hernandez</t>
  </si>
  <si>
    <t>sean_hernandez@southville.edu.ph</t>
  </si>
  <si>
    <t>rhuby_vergara</t>
  </si>
  <si>
    <t>rhuby_vergara@southville.edu.ph</t>
  </si>
  <si>
    <t>Jirah Porras</t>
  </si>
  <si>
    <t>riacaronongan</t>
  </si>
  <si>
    <t>Roie Rolice Raymundo</t>
  </si>
  <si>
    <t>richard_nadera</t>
  </si>
  <si>
    <t>Kristen Gabutero</t>
  </si>
  <si>
    <t>evelyn_sevilla</t>
  </si>
  <si>
    <t>evelyn_sevilla@southville.edu.ph</t>
  </si>
  <si>
    <t>Alicia Lopena</t>
  </si>
  <si>
    <t>famia_fabiana</t>
  </si>
  <si>
    <t>famia_fabiana@southville.edu.ph</t>
  </si>
  <si>
    <t>Mc Daryl Pedro</t>
  </si>
  <si>
    <t>fanny_indac</t>
  </si>
  <si>
    <t>Claudine R. Adraque</t>
  </si>
  <si>
    <t>claudine_adraque@southville.edu.ph</t>
  </si>
  <si>
    <t>fctria</t>
  </si>
  <si>
    <t>Joy Oracion</t>
  </si>
  <si>
    <t>felina_ilao</t>
  </si>
  <si>
    <t>felina_ilao@southville.edu.ph</t>
  </si>
  <si>
    <t>Juan Carlos Evangelista</t>
  </si>
  <si>
    <t>jaycee_evangelista@southville.edu.ph</t>
  </si>
  <si>
    <t>fidesa</t>
  </si>
  <si>
    <t>Donna Rose Ocampo</t>
  </si>
  <si>
    <t>fj_deboer</t>
  </si>
  <si>
    <t>fj_deboer@southville.edu.ph</t>
  </si>
  <si>
    <t>Celina Andrea M. Basilio</t>
  </si>
  <si>
    <t>celina_basilio@southville.edu.ph</t>
  </si>
  <si>
    <t>flor_espina</t>
  </si>
  <si>
    <t>Esperanza M. Modesto</t>
  </si>
  <si>
    <t>floribelf</t>
  </si>
  <si>
    <t>floribelf@southville.edu.ph</t>
  </si>
  <si>
    <t>Raven Mae H. Luganob</t>
  </si>
  <si>
    <t>raven_luganob@southville.edu.ph</t>
  </si>
  <si>
    <t>francisa</t>
  </si>
  <si>
    <t>francisa@southville.edu.ph</t>
  </si>
  <si>
    <t>Jason Trinidad</t>
  </si>
  <si>
    <t>fulgenciod</t>
  </si>
  <si>
    <t>Rudolph Benitez</t>
  </si>
  <si>
    <t>gabriel_rosales</t>
  </si>
  <si>
    <t>gabriel_rosales@southville.edu.ph</t>
  </si>
  <si>
    <t>Marinel S. Martinez</t>
  </si>
  <si>
    <t>gelica_lopera</t>
  </si>
  <si>
    <t>gelica_lopera@southville.edu.ph</t>
  </si>
  <si>
    <t>Daryl Ann Laboc</t>
  </si>
  <si>
    <t>daryl_laboc@southville.edu.ph</t>
  </si>
  <si>
    <t>gene</t>
  </si>
  <si>
    <t>Shiela Mae J. Antalan</t>
  </si>
  <si>
    <t>georgem</t>
  </si>
  <si>
    <t>Klariza Jisele S. Crisostomo</t>
  </si>
  <si>
    <t>gerlie_montellano</t>
  </si>
  <si>
    <t>Gilbert Clause H. Magallanes</t>
  </si>
  <si>
    <t>ggonzalo</t>
  </si>
  <si>
    <t>Angela Marie M. Ferrer</t>
  </si>
  <si>
    <t>angela_ferrer@southville.edu.ph</t>
  </si>
  <si>
    <t>gia_sogitao</t>
  </si>
  <si>
    <t>Michael Gravamen</t>
  </si>
  <si>
    <t>gian_rivera</t>
  </si>
  <si>
    <t>Christoff Graza</t>
  </si>
  <si>
    <t>gigic</t>
  </si>
  <si>
    <t>Gerardo Plana</t>
  </si>
  <si>
    <t>gillian_coronado</t>
  </si>
  <si>
    <t>gillian_coronado@southville.edu.ph</t>
  </si>
  <si>
    <t>Bokz Calvendra</t>
  </si>
  <si>
    <t>gina_laurenciano</t>
  </si>
  <si>
    <t>gina_laurenciano@southville.edu.ph</t>
  </si>
  <si>
    <t>Shayne Camille Bianca C. Oliva</t>
  </si>
  <si>
    <t>gina_navarro</t>
  </si>
  <si>
    <t>gina_navarro@southville.edu.ph</t>
  </si>
  <si>
    <t>Christian R. Lucas</t>
  </si>
  <si>
    <t>christian_lucas@southville.edu.ph</t>
  </si>
  <si>
    <t>ginacaneo</t>
  </si>
  <si>
    <t>Jordan Manlapaz</t>
  </si>
  <si>
    <t>girlie_cbrillantes</t>
  </si>
  <si>
    <t>girlie_cbrillantes@southville.edu.ph</t>
  </si>
  <si>
    <t>Andre Estanislao</t>
  </si>
  <si>
    <t>andre_estanislao@southville.edu.ph</t>
  </si>
  <si>
    <t>gladysm</t>
  </si>
  <si>
    <t>glenn_biasca</t>
  </si>
  <si>
    <t>glenn_biasca@southville.edu.ph</t>
  </si>
  <si>
    <t>richardp</t>
  </si>
  <si>
    <t>gly</t>
  </si>
  <si>
    <t>PO32203</t>
  </si>
  <si>
    <t>rikki_capioso</t>
  </si>
  <si>
    <t>gparado</t>
  </si>
  <si>
    <t>gparado@southville.edu.ph</t>
  </si>
  <si>
    <t>riza_ho</t>
  </si>
  <si>
    <t>grace_daulat</t>
  </si>
  <si>
    <t>grace_daulat@southville.edu.ph</t>
  </si>
  <si>
    <t>riza_lastimosa</t>
  </si>
  <si>
    <t>riza_lastimosa@southville.edu.ph</t>
  </si>
  <si>
    <t>grace_medina</t>
  </si>
  <si>
    <t>grace_medina@southville.edu.ph</t>
  </si>
  <si>
    <t>robert_norberte</t>
  </si>
  <si>
    <t>harold.sabanal</t>
  </si>
  <si>
    <t>roberto_millonte</t>
  </si>
  <si>
    <t>roberto_millonte@southville.edu.ph</t>
  </si>
  <si>
    <t>humpsoliman</t>
  </si>
  <si>
    <t>humphreysolimanjr@southville.edu.ph</t>
  </si>
  <si>
    <t>rodelc_mendoza</t>
  </si>
  <si>
    <t>ian_nibalvos</t>
  </si>
  <si>
    <t>ian_nibalvos@southville.edu.ph</t>
  </si>
  <si>
    <t>roderick_ramos</t>
  </si>
  <si>
    <t>roderick_ramos@southville.edu.ph</t>
  </si>
  <si>
    <t>ianna_garong</t>
  </si>
  <si>
    <t>ianna_garong@southville.edu.ph</t>
  </si>
  <si>
    <t>rogerb</t>
  </si>
  <si>
    <t>ideza_sison</t>
  </si>
  <si>
    <t>ideza_sison@southville.edu.ph</t>
  </si>
  <si>
    <t>rominaf</t>
  </si>
  <si>
    <t>rominaf@southville.edu.ph</t>
  </si>
  <si>
    <t>imelda_miguel</t>
  </si>
  <si>
    <t>imelda_miguel@southville.edu.ph</t>
  </si>
  <si>
    <t>romyr.reyes</t>
  </si>
  <si>
    <t>ingrid_romano</t>
  </si>
  <si>
    <t>ingrid_romano@southville.edu.ph</t>
  </si>
  <si>
    <t>ronald_obleno</t>
  </si>
  <si>
    <t>ronaldv</t>
  </si>
  <si>
    <t>ronaldv@southville.edu.ph</t>
  </si>
  <si>
    <t>ronalisa_catanduanes</t>
  </si>
  <si>
    <t>ronalisa_catanduanes@southville.edu.ph</t>
  </si>
  <si>
    <t>ronnie_credo</t>
  </si>
  <si>
    <t>ronnie_credo@southville.edu.ph</t>
  </si>
  <si>
    <t>rory_mansbridge</t>
  </si>
  <si>
    <t>rosalina_catanduanes</t>
  </si>
  <si>
    <t>rosalina_catanduanes@southville.edu.ph</t>
  </si>
  <si>
    <t>rose_atienza</t>
  </si>
  <si>
    <t>ann_atienza@southville.edu.ph</t>
  </si>
  <si>
    <t>rosita_manimtim</t>
  </si>
  <si>
    <t>sara_sanjuan</t>
  </si>
  <si>
    <t>sara_sanjuan@southville.edu.ph</t>
  </si>
  <si>
    <t>rowena_castro</t>
  </si>
  <si>
    <t>rowena_castro@southville.edu.ph</t>
  </si>
  <si>
    <t>sarah_mangabat</t>
  </si>
  <si>
    <t>sarah_mangabat@southville.edu.ph</t>
  </si>
  <si>
    <t>rowena_pena</t>
  </si>
  <si>
    <t>rowena_pena@southville.edu.ph</t>
  </si>
  <si>
    <t>sarah_velasquez</t>
  </si>
  <si>
    <t>rowena_sagaysay</t>
  </si>
  <si>
    <t>sary_escurel</t>
  </si>
  <si>
    <t>rowenac</t>
  </si>
  <si>
    <t>severina_misch</t>
  </si>
  <si>
    <t>severina_misch@southville.edu.ph</t>
  </si>
  <si>
    <t>russelb</t>
  </si>
  <si>
    <t>russelb@southville.edu.ph</t>
  </si>
  <si>
    <t>sgalvez</t>
  </si>
  <si>
    <t>russeldc</t>
  </si>
  <si>
    <t>sharmaine_gogolin</t>
  </si>
  <si>
    <t>sharmaine_gogolin@southville.edu.ph</t>
  </si>
  <si>
    <t>ruth_onato</t>
  </si>
  <si>
    <t>rowenar</t>
  </si>
  <si>
    <t>rowenar@southville.edu.ph</t>
  </si>
  <si>
    <t>ryan_mercado</t>
  </si>
  <si>
    <t>roxan_victoriano</t>
  </si>
  <si>
    <t>sabina_panique</t>
  </si>
  <si>
    <t>roxanne_suarez</t>
  </si>
  <si>
    <t>roxanne_suarez@southville.edu.ph</t>
  </si>
  <si>
    <t>samb</t>
  </si>
  <si>
    <t>roy_bataque</t>
  </si>
  <si>
    <t>roy_bataque@southville.edu.ph</t>
  </si>
  <si>
    <t>santiana_garong</t>
  </si>
  <si>
    <t>rrnograles</t>
  </si>
  <si>
    <t>ruby_evangelista</t>
  </si>
  <si>
    <t>ruby_evangelista@southville.edu.ph</t>
  </si>
  <si>
    <t>ruelc</t>
  </si>
  <si>
    <t>ruelp</t>
  </si>
  <si>
    <t>sheela_aromin</t>
  </si>
  <si>
    <t>Erik Lloyd Timpug</t>
  </si>
  <si>
    <t>sheree_espinosa</t>
  </si>
  <si>
    <t>Miriam Hapiz</t>
  </si>
  <si>
    <t>sherralyn_lorenzo</t>
  </si>
  <si>
    <t>sherralyn_lorenzo@southville.edu.ph</t>
  </si>
  <si>
    <t>John Carlo S. Campit</t>
  </si>
  <si>
    <t>sherryl_ecobisag</t>
  </si>
  <si>
    <t>sherryl_ecobisag@southville.edu.ph</t>
  </si>
  <si>
    <t>Mark Joseph Asoy</t>
  </si>
  <si>
    <t>shhong</t>
  </si>
  <si>
    <t>shhong@southville.edu.ph</t>
  </si>
  <si>
    <t>Jose Ramon Pablo V. Fababaer</t>
  </si>
  <si>
    <t>jose_fababaer@southville.edu.ph</t>
  </si>
  <si>
    <t>shiela_azon</t>
  </si>
  <si>
    <t>shiela_pasamba</t>
  </si>
  <si>
    <t>shiela_pasamba@southville.edu.ph</t>
  </si>
  <si>
    <t>Jay Anne Marie I. Sacaben-Carbonera</t>
  </si>
  <si>
    <t>jay_sacaben-carbonera@southville.edu.ph</t>
  </si>
  <si>
    <t>smanalo</t>
  </si>
  <si>
    <t>Jomel Butial</t>
  </si>
  <si>
    <t>jomel_butial@southville.edu.ph</t>
  </si>
  <si>
    <t>socorro_santos</t>
  </si>
  <si>
    <t>socorro_santos@southville.edu.ph</t>
  </si>
  <si>
    <t>sofia_shalaby</t>
  </si>
  <si>
    <t>sofia_shalaby@southville.edu.ph</t>
  </si>
  <si>
    <t>Peter James Agada</t>
  </si>
  <si>
    <t>stephen_banares</t>
  </si>
  <si>
    <t>stephen_banares@southville.edu.ph</t>
  </si>
  <si>
    <t>Abigail Vallente</t>
  </si>
  <si>
    <t>sunny_ban</t>
  </si>
  <si>
    <t>Abegael Labradores</t>
  </si>
  <si>
    <t>talaa</t>
  </si>
  <si>
    <t>Darwin Delos Reyes</t>
  </si>
  <si>
    <t>thelma_anteola</t>
  </si>
  <si>
    <t>Roshelle O. Gamboa</t>
  </si>
  <si>
    <t>roshelle_gamboa@southville.edu.ph</t>
  </si>
  <si>
    <t>thelma_badon</t>
  </si>
  <si>
    <t>Bernadette Julia Mina</t>
  </si>
  <si>
    <t>bernadette_mina@southville.edu.ph</t>
  </si>
  <si>
    <t>theresa_calubag</t>
  </si>
  <si>
    <t>theresa_calubag@southville.edu.ph</t>
  </si>
  <si>
    <t>Pedrito Salvador</t>
  </si>
  <si>
    <t>tobi</t>
  </si>
  <si>
    <t>tobi@southville.edu.ph</t>
  </si>
  <si>
    <t>Maynard Chua</t>
  </si>
  <si>
    <t>maynard_chua@southville.edu.ph</t>
  </si>
  <si>
    <t>tom</t>
  </si>
  <si>
    <t>Marie Abigail O. Caneo</t>
  </si>
  <si>
    <t>marie_caneo@southville.edu.ph</t>
  </si>
  <si>
    <t>tonetramos</t>
  </si>
  <si>
    <t>tonetramos@southville.edu.ph</t>
  </si>
  <si>
    <t>Ana Carydel Tamayo</t>
  </si>
  <si>
    <t>ana_tamayo@southville.edu.ph</t>
  </si>
  <si>
    <t>trisha.tan</t>
  </si>
  <si>
    <t>Malen Ibañez</t>
  </si>
  <si>
    <t>twiggy_quijada</t>
  </si>
  <si>
    <t>twiggy_quijada@southville.edu.ph</t>
  </si>
  <si>
    <t>Maria Monet M. Masalonga</t>
  </si>
  <si>
    <t>monet_masalonga@southville.edu.ph</t>
  </si>
  <si>
    <t>venice_chiao</t>
  </si>
  <si>
    <t>Adewale Leongson</t>
  </si>
  <si>
    <t>vic_manabat</t>
  </si>
  <si>
    <t>Khristine Santos</t>
  </si>
  <si>
    <t>violetaa</t>
  </si>
  <si>
    <t>virnam</t>
  </si>
  <si>
    <t>Prackie Jay T. Acaylar</t>
  </si>
  <si>
    <t>prackie_acaylar@southville.edu.ph</t>
  </si>
  <si>
    <t>vivian_villa</t>
  </si>
  <si>
    <t>vivian_villa@southville.edu.ph</t>
  </si>
  <si>
    <t>voz_andrada</t>
  </si>
  <si>
    <t>Queene Balaoro</t>
  </si>
  <si>
    <t>vye_revoltar</t>
  </si>
  <si>
    <t>Hanna Grace San Esteban</t>
  </si>
  <si>
    <t>waki.tenorio</t>
  </si>
  <si>
    <t>waki.tenorio@southville.edu.ph</t>
  </si>
  <si>
    <t>Jesus P. Briones</t>
  </si>
  <si>
    <t>jesus_briones@southville.edu.ph</t>
  </si>
  <si>
    <t>wallen_tan</t>
  </si>
  <si>
    <t>Jestine Ara Soria</t>
  </si>
  <si>
    <t>jestine_soria@southville.edu.ph</t>
  </si>
  <si>
    <t>wilbert.beltran</t>
  </si>
  <si>
    <t>william_njiondo</t>
  </si>
  <si>
    <t>Kathleen Anne Calison</t>
  </si>
  <si>
    <t>ymmat_gonzales</t>
  </si>
  <si>
    <t>ymmat_gonzales@southville.edu.ph</t>
  </si>
  <si>
    <t>help desk</t>
  </si>
  <si>
    <t>yzelle_delarea</t>
  </si>
  <si>
    <t>Kier Pelonia</t>
  </si>
  <si>
    <t>kier_pelonia@southville.edu.ph</t>
  </si>
  <si>
    <t>zarah_velasquez</t>
  </si>
  <si>
    <t>Jeline Pagdonsolan</t>
  </si>
  <si>
    <t>zendel_zuniga</t>
  </si>
  <si>
    <t>Raymond Joseph V. Mercado</t>
  </si>
  <si>
    <t>raymond_mercado@southville.edu.ph</t>
  </si>
  <si>
    <t>Angelica Marie T. Rodulfo</t>
  </si>
  <si>
    <t>angelica_rodulfo@southville.edu.ph</t>
  </si>
  <si>
    <t>Mara Lyka R. De Leon</t>
  </si>
  <si>
    <t>mara_deleon@southville.edu.ph</t>
  </si>
  <si>
    <t>Michelle Albarillo</t>
  </si>
  <si>
    <t>michelle_albarillo@southville.edu.ph</t>
  </si>
  <si>
    <t>Michael F. Berza</t>
  </si>
  <si>
    <t>Maria Janette Lavarino</t>
  </si>
  <si>
    <t>Christian Aguinaldo</t>
  </si>
  <si>
    <t>christian_aguinaldo@southville.edu.ph</t>
  </si>
  <si>
    <t>Kimberly Du</t>
  </si>
  <si>
    <t>kimberly_du@southville.edu.ph</t>
  </si>
  <si>
    <t>Carl Jovi Sasot</t>
  </si>
  <si>
    <t>aiel_...@southville.edu.ph</t>
  </si>
  <si>
    <t>aiel_glodo@southville.edu.ph</t>
  </si>
  <si>
    <t>Marivile Uy</t>
  </si>
  <si>
    <t>marivile_uy@southville.edu.ph</t>
  </si>
  <si>
    <t>Maria Pilar Lopez</t>
  </si>
  <si>
    <t>Rahima Ona</t>
  </si>
  <si>
    <t>Oscar Jr. P. Agorilla</t>
  </si>
  <si>
    <t>Ellaine Gimenez</t>
  </si>
  <si>
    <t>Diego III B. Cruz</t>
  </si>
  <si>
    <t>diego_cruz@southville.edu.ph</t>
  </si>
  <si>
    <t>Eileen Gelica M. Empalmado</t>
  </si>
  <si>
    <t>eileen_empalmado@southville.edu.ph</t>
  </si>
  <si>
    <t>Emmanuel Surbano</t>
  </si>
  <si>
    <t>Qi Mao Romualdo</t>
  </si>
  <si>
    <t>Garry M. Batao-ey</t>
  </si>
  <si>
    <t>garry_batao-ey@southville.edu.ph</t>
  </si>
  <si>
    <t>Kurt Ross Castañeda</t>
  </si>
  <si>
    <t>kurt_castaneda@southville.edu.ph</t>
  </si>
  <si>
    <t>Adrian De Guinto</t>
  </si>
  <si>
    <t>adrian_deguinto@southville.edu.ph</t>
  </si>
  <si>
    <t>arvin...@southville.edu.ph</t>
  </si>
  <si>
    <t>Maricel F. Flores</t>
  </si>
  <si>
    <t>maricel_flores@southville.edu.ph</t>
  </si>
  <si>
    <t>Joseph P. Wong</t>
  </si>
  <si>
    <t>rhaiza_...@southville.edu</t>
  </si>
  <si>
    <t>rhaiza_maglojos@southville.edu</t>
  </si>
  <si>
    <t>danielle_mordeno@southville.edu.ph</t>
  </si>
  <si>
    <t>Joie Iryll Balmes</t>
  </si>
  <si>
    <t>Ma. Veronica Cabrera</t>
  </si>
  <si>
    <t>Southville - Marvin Marasigan</t>
  </si>
  <si>
    <t>Mark Ceasar M. Candiasan</t>
  </si>
  <si>
    <t>mark_candiasan@southville.edu.ph</t>
  </si>
  <si>
    <t>Angelica Joyce R. Buenaventura</t>
  </si>
  <si>
    <t>angelica_buenaventura@southville.edu.ph</t>
  </si>
  <si>
    <t>John Roezel Fuentes</t>
  </si>
  <si>
    <t>jienelle...@southville.edu.ph</t>
  </si>
  <si>
    <t>jienelle_gallardo@southville.edu.ph</t>
  </si>
  <si>
    <t>Jinky Jenny Joy Tubadeza</t>
  </si>
  <si>
    <t>jinky_tubadeza@southville.edu.ph</t>
  </si>
  <si>
    <t>Ann V. Villareal</t>
  </si>
  <si>
    <t>ann_villareal@southville.edu.ph</t>
  </si>
  <si>
    <t>Maria Gisella Galisanao</t>
  </si>
  <si>
    <t>gisella_galisanao@southville.edu.ph</t>
  </si>
  <si>
    <t>Manuel C. Adiova</t>
  </si>
  <si>
    <t>manuel_adiova@southville.edu.ph</t>
  </si>
  <si>
    <t>jaezel_...@southville.edu.ph</t>
  </si>
  <si>
    <t>jaezel_villota@southville.edu.ph</t>
  </si>
  <si>
    <t>Betina Faye P. Manuel</t>
  </si>
  <si>
    <t>Joebert Pagdato</t>
  </si>
  <si>
    <t>Mauriel Grezzel J. Camplon</t>
  </si>
  <si>
    <t>mauriel_camplon@southville.edu.ph</t>
  </si>
  <si>
    <t>Sharri Anne Loraine Perolina</t>
  </si>
  <si>
    <t>Dan Lo Igor Famador</t>
  </si>
  <si>
    <t>Maryknoll San Pedro</t>
  </si>
  <si>
    <t>Jossa Marie F. Gallanosa</t>
  </si>
  <si>
    <t>Matthew Joseph A. Yango</t>
  </si>
  <si>
    <t>matthew_yango@southville.edu.ph</t>
  </si>
  <si>
    <t>Sophia Balajadia</t>
  </si>
  <si>
    <t>sophia_balajadia@southville.edu.ph</t>
  </si>
  <si>
    <t>Ma. Gliedel S. Sulabo</t>
  </si>
  <si>
    <t>gliedel_sulabo@southville.edu.ph</t>
  </si>
  <si>
    <t>yuuki_y...@southville.edu.ph</t>
  </si>
  <si>
    <t>yuuki_yamamoto@southville.edu.ph</t>
  </si>
  <si>
    <t>Christine Ivy Baculao</t>
  </si>
  <si>
    <t>maryrdes...@southville.edu.ph</t>
  </si>
  <si>
    <t>william_...@southville.edu.ph</t>
  </si>
  <si>
    <t>william_johnston@southville.edu.ph</t>
  </si>
  <si>
    <t>Conchita Crisostomo</t>
  </si>
  <si>
    <t>lea_becerral</t>
  </si>
  <si>
    <t>Joshua Baller</t>
  </si>
  <si>
    <t>lea_martinez</t>
  </si>
  <si>
    <t>joshua_baller@southville.edu.ph</t>
  </si>
  <si>
    <t>lea_martinez@southville.edu.ph</t>
  </si>
  <si>
    <t>jack_dat...@southville.edu.ph</t>
  </si>
  <si>
    <t>leahb</t>
  </si>
  <si>
    <t>Lorraine Almazan</t>
  </si>
  <si>
    <t>lean_aquino</t>
  </si>
  <si>
    <t>lean_aquino@southville.edu.ph</t>
  </si>
  <si>
    <t>Jessa Kristina Intano</t>
  </si>
  <si>
    <t>leila_ejercito</t>
  </si>
  <si>
    <t>jessa_intano@southville.edu.ph</t>
  </si>
  <si>
    <t>leila_ejercito@southville.edu.ph</t>
  </si>
  <si>
    <t>audrey_...@southville.edu.ph</t>
  </si>
  <si>
    <t>leodm</t>
  </si>
  <si>
    <t>audrey_ordonez@southville.edu.ph</t>
  </si>
  <si>
    <t>Jeremiah Tirol</t>
  </si>
  <si>
    <t>leonardor</t>
  </si>
  <si>
    <t>leonardor@southville.edu.ph</t>
  </si>
  <si>
    <t>mark_d...@southville.edu.ph</t>
  </si>
  <si>
    <t>leslie_vicente</t>
  </si>
  <si>
    <t>Tamika Kiarra A. Fernandez</t>
  </si>
  <si>
    <t>lhizza_siladan</t>
  </si>
  <si>
    <t>lhizza_siladan@southville.edu.ph</t>
  </si>
  <si>
    <t>paula_h...@southville.edu.ph</t>
  </si>
  <si>
    <t>lia_arcaina</t>
  </si>
  <si>
    <t>elaine...@southville.edu.ph</t>
  </si>
  <si>
    <t>liezell_tumlod</t>
  </si>
  <si>
    <t>liezell_tumlod@southville.edu.ph</t>
  </si>
  <si>
    <t>Jing Jing Jia</t>
  </si>
  <si>
    <t>liza_bulay</t>
  </si>
  <si>
    <t>jing_jia@southville.edu.ph</t>
  </si>
  <si>
    <t>Rosevelita Tumayan</t>
  </si>
  <si>
    <t>liza_jimenez</t>
  </si>
  <si>
    <t>rosevelita_tumayan@southville.edu.ph</t>
  </si>
  <si>
    <t>drvic....@southville.edu.ph</t>
  </si>
  <si>
    <t>lizav</t>
  </si>
  <si>
    <t>drvic.manabat@southville.edu.ph</t>
  </si>
  <si>
    <t>lizav@southville.edu.ph</t>
  </si>
  <si>
    <t>Karl Cole Velhagen</t>
  </si>
  <si>
    <t>lloyd_mumar</t>
  </si>
  <si>
    <t>lloyd_mumar@southville.edu.ph</t>
  </si>
  <si>
    <t>Ethel Grace Pagatpatan</t>
  </si>
  <si>
    <t>lorebelle_bautista</t>
  </si>
  <si>
    <t>ethel_pagatpatan@southville.edu.ph</t>
  </si>
  <si>
    <t>jillian...@southville.edu.ph</t>
  </si>
  <si>
    <t>lorenar</t>
  </si>
  <si>
    <t>jillian_quinto@southville.edu.ph</t>
  </si>
  <si>
    <t>lorenar@southville.edu.ph</t>
  </si>
  <si>
    <t>louisa_...@southville.edu.ph</t>
  </si>
  <si>
    <t>lorenz_delgra</t>
  </si>
  <si>
    <t>louisa_leocadio@southville.edu.ph</t>
  </si>
  <si>
    <t>lorenz_delgra@southville.edu.ph</t>
  </si>
  <si>
    <t>Samuel A. Raiz</t>
  </si>
  <si>
    <t>louie_camral</t>
  </si>
  <si>
    <t>louie_camral@southville.edu.ph</t>
  </si>
  <si>
    <t>christa...@southville.edu.ph</t>
  </si>
  <si>
    <t>louie_dollente</t>
  </si>
  <si>
    <t>louie_dollente@southville.edu.ph</t>
  </si>
  <si>
    <t>rosemar...@southville.edu.ph</t>
  </si>
  <si>
    <t>louie_rodenas</t>
  </si>
  <si>
    <t>rosemarie_junio@southville.edu.ph</t>
  </si>
  <si>
    <t>louie_rodenas@southville.edu.ph</t>
  </si>
  <si>
    <t>jam_ba...@southville.edu.ph</t>
  </si>
  <si>
    <t>lourdes_boco</t>
  </si>
  <si>
    <t>Danilo C. Relosa</t>
  </si>
  <si>
    <t>lourdes_credo</t>
  </si>
  <si>
    <t>danilo_relosa@southville.edu.ph</t>
  </si>
  <si>
    <t>lourdes_credo@southville.edu.ph</t>
  </si>
  <si>
    <t>Valine Divinagracia</t>
  </si>
  <si>
    <t>love_acebuche</t>
  </si>
  <si>
    <t>love_acebuche@southville.edu.ph</t>
  </si>
  <si>
    <t>Angelaine Palada</t>
  </si>
  <si>
    <t>lucast</t>
  </si>
  <si>
    <t>lucast@southville.edu.ph</t>
  </si>
  <si>
    <t>Maria Hannah Asuncion</t>
  </si>
  <si>
    <t>lucille_beyer</t>
  </si>
  <si>
    <t>Aileen Sejas</t>
  </si>
  <si>
    <t>ludyda</t>
  </si>
  <si>
    <t>Ronald Ariate</t>
  </si>
  <si>
    <t>luis_monfort</t>
  </si>
  <si>
    <t>luis_monfort@southville.edu.ph</t>
  </si>
  <si>
    <t>Dominic O. Javier</t>
  </si>
  <si>
    <t>lynette_leaban</t>
  </si>
  <si>
    <t>lynette_leaban@southville.edu.ph</t>
  </si>
  <si>
    <t>Renz Blanca</t>
  </si>
  <si>
    <t>lynore_ruiz</t>
  </si>
  <si>
    <t>lynore_ruiz@southville.edu.ph</t>
  </si>
  <si>
    <t>Venus V. Padua</t>
  </si>
  <si>
    <t>mabelle.mercado</t>
  </si>
  <si>
    <t>venus_padua@southville.edu.ph</t>
  </si>
  <si>
    <t>mabelle.mercado@yahoo.com</t>
  </si>
  <si>
    <t>Angeline Dumlao</t>
  </si>
  <si>
    <t>mabelle_mercado</t>
  </si>
  <si>
    <t>angeline_dumlao@southville.edu.ph</t>
  </si>
  <si>
    <t>mabelle_mercado@southville.edu.ph</t>
  </si>
  <si>
    <t>Russelle Jolo Aramo</t>
  </si>
  <si>
    <t>mabelle_pascual</t>
  </si>
  <si>
    <t>mabelle_pascual@southville.edu.ph</t>
  </si>
  <si>
    <t>Selena Monique Vista</t>
  </si>
  <si>
    <t>maj_tomas</t>
  </si>
  <si>
    <t>DCO / ISO</t>
  </si>
  <si>
    <t>marc_onate</t>
  </si>
  <si>
    <t>glendee_gaviola@southville.edu.ph</t>
  </si>
  <si>
    <t>marc_onate@southville.edu.ph</t>
  </si>
  <si>
    <t>Nones</t>
  </si>
  <si>
    <t>marc_sanjose</t>
  </si>
  <si>
    <t>marc_sanjose@southville.edu.ph</t>
  </si>
  <si>
    <t>Rommel_Dinoso</t>
  </si>
  <si>
    <t>marck_cayas</t>
  </si>
  <si>
    <t>Rommel_Dinoso@southville.edu.ph</t>
  </si>
  <si>
    <t>marck_cayas@southville.edu.ph</t>
  </si>
  <si>
    <t>abigail_bay</t>
  </si>
  <si>
    <t>margiem</t>
  </si>
  <si>
    <t>margiem@southville.edu.ph</t>
  </si>
  <si>
    <t>ahlea_pandain</t>
  </si>
  <si>
    <t>maria_cerezo</t>
  </si>
  <si>
    <t>ahlea_pandain@southville.edu.ph</t>
  </si>
  <si>
    <t>maria_cerezo@southville.edu.ph</t>
  </si>
  <si>
    <t>alaeza_alabado</t>
  </si>
  <si>
    <t>maria_cordero</t>
  </si>
  <si>
    <t>alaeza_alabado@southville.edu.ph</t>
  </si>
  <si>
    <t>maria_cordero@southville.edu.ph</t>
  </si>
  <si>
    <t>aldrin_dabu</t>
  </si>
  <si>
    <t>maria_dominguez</t>
  </si>
  <si>
    <t>aldrin_dabu@southville.edu.ph</t>
  </si>
  <si>
    <t>alejo_borja</t>
  </si>
  <si>
    <t>mariaj_jose</t>
  </si>
  <si>
    <t>alejo_borja@southville.edu.ph</t>
  </si>
  <si>
    <t>alexandra_lopez</t>
  </si>
  <si>
    <t>maricar_abarica</t>
  </si>
  <si>
    <t>maricar_abarica@southville.edu.ph</t>
  </si>
  <si>
    <t>alfad</t>
  </si>
  <si>
    <t>maricar_abaricia</t>
  </si>
  <si>
    <t>alfonso_inocencio</t>
  </si>
  <si>
    <t>maricris_espiritu</t>
  </si>
  <si>
    <t>alfonso_inocencio@southville.edu.ph</t>
  </si>
  <si>
    <t>maricris_espiritu@southville.edu.ph</t>
  </si>
  <si>
    <t>allen_bartolome</t>
  </si>
  <si>
    <t>marie_constantino</t>
  </si>
  <si>
    <t>allen_bartolome@southville.edu.ph</t>
  </si>
  <si>
    <t>roxanne_constantino@southville.edu.ph</t>
  </si>
  <si>
    <t>alvin_bontile</t>
  </si>
  <si>
    <t>mariel_estanislao</t>
  </si>
  <si>
    <t>alvin_bontile@southville.edu.ph</t>
  </si>
  <si>
    <t>alvin_cana</t>
  </si>
  <si>
    <t>marielle_galvez</t>
  </si>
  <si>
    <t>alvin_santos</t>
  </si>
  <si>
    <t>mariem</t>
  </si>
  <si>
    <t>alvin_santos@southville.edu.ph</t>
  </si>
  <si>
    <t>am_jimenez</t>
  </si>
  <si>
    <t>marilynt</t>
  </si>
  <si>
    <t>am_jimenez@southville.edu.ph</t>
  </si>
  <si>
    <t>marilynt@southville.edu.ph</t>
  </si>
  <si>
    <t>amis</t>
  </si>
  <si>
    <t>marion_adeza</t>
  </si>
  <si>
    <t>marion_adeza@southville.edu.ph</t>
  </si>
  <si>
    <t>ana_alcala</t>
  </si>
  <si>
    <t>marissa_handugan</t>
  </si>
  <si>
    <t>ana_alcala@southville.edu.ph</t>
  </si>
  <si>
    <t>marissa_handugan@southville.edu.ph</t>
  </si>
  <si>
    <t>angela_morales</t>
  </si>
  <si>
    <t>marissahandugan13</t>
  </si>
  <si>
    <t>angela_morales@southville.edu.ph</t>
  </si>
  <si>
    <t>marissahandugan13@gmail.com</t>
  </si>
  <si>
    <t>angelicae</t>
  </si>
  <si>
    <t>marites_orcullo</t>
  </si>
  <si>
    <t>angelicae@southville.edu.ph</t>
  </si>
  <si>
    <t>marites_orcullo@southville.edu.ph</t>
  </si>
  <si>
    <t>angelined</t>
  </si>
  <si>
    <t>mariza_alimbon</t>
  </si>
  <si>
    <t>angelined@southville.edu.ph</t>
  </si>
  <si>
    <t>mariza_alimbon@southville.edu.ph</t>
  </si>
  <si>
    <t>anitaa</t>
  </si>
  <si>
    <t>mark_ho</t>
  </si>
  <si>
    <t>anjenette_noarin</t>
  </si>
  <si>
    <t>mark_isabelo</t>
  </si>
  <si>
    <t>annav</t>
  </si>
  <si>
    <t>mark_juane</t>
  </si>
  <si>
    <t>mark_juane@yahoo.com</t>
  </si>
  <si>
    <t>Owner</t>
  </si>
  <si>
    <t>annie_olarte</t>
  </si>
  <si>
    <t>mark_paulo</t>
  </si>
  <si>
    <t>annie_olarte@southville.edu.ph</t>
  </si>
  <si>
    <t>anparo_liwag</t>
  </si>
  <si>
    <t>marl</t>
  </si>
  <si>
    <t>antonio_tiongson</t>
  </si>
  <si>
    <t>marlo_borromeo</t>
  </si>
  <si>
    <t>antonio_tiongson@southville.edu.ph</t>
  </si>
  <si>
    <t>apollom</t>
  </si>
  <si>
    <t>marm</t>
  </si>
  <si>
    <t>apple_delgado</t>
  </si>
  <si>
    <t>martin_migue</t>
  </si>
  <si>
    <t>aprille_flores</t>
  </si>
  <si>
    <t>marvind</t>
  </si>
  <si>
    <t>aprille_flores@southville.edu.ph</t>
  </si>
  <si>
    <t>ardeed</t>
  </si>
  <si>
    <t>mary-ann_guilleno</t>
  </si>
  <si>
    <t>arhnie_delacruz</t>
  </si>
  <si>
    <t>mary_delosreyes</t>
  </si>
  <si>
    <t>arhnie_delacruz@southville.edu.ph</t>
  </si>
  <si>
    <t>mary_delosreyes@southville.edu.ph</t>
  </si>
  <si>
    <t>arianna_cruz</t>
  </si>
  <si>
    <t>mary_jadloc</t>
  </si>
  <si>
    <t>arianna_cruz@southville.edu.ph</t>
  </si>
  <si>
    <t>mary_jadloc@southville.edu.ph</t>
  </si>
  <si>
    <t>arianne_escaro</t>
  </si>
  <si>
    <t>mary_michelle</t>
  </si>
  <si>
    <t>arianne_escaro@smc.edu.ph</t>
  </si>
  <si>
    <t>mary_michelle@southville.edu.ph</t>
  </si>
  <si>
    <t>aris_ignacio</t>
  </si>
  <si>
    <t>mary_murillo</t>
  </si>
  <si>
    <t>mary_murillo@southville.edu.ph</t>
  </si>
  <si>
    <t>aristeo_santos</t>
  </si>
  <si>
    <t>maryann_buzeta</t>
  </si>
  <si>
    <t>maryann_buzeta@southville.edu.ph</t>
  </si>
  <si>
    <t>aristheol</t>
  </si>
  <si>
    <t>maui_gonzales</t>
  </si>
  <si>
    <t>arleenbarrera</t>
  </si>
  <si>
    <t>may_aves</t>
  </si>
  <si>
    <t>arleenbarrera@southville.edu.ph</t>
  </si>
  <si>
    <t>armiec</t>
  </si>
  <si>
    <t>may_lacse</t>
  </si>
  <si>
    <t>arnel_villanueva</t>
  </si>
  <si>
    <t>mayme_galindez</t>
  </si>
  <si>
    <t>arnel_villanueva@southville.edu.ph</t>
  </si>
  <si>
    <t>mayme_galindez@southville.edu.ph</t>
  </si>
  <si>
    <t>astrid_moreno</t>
  </si>
  <si>
    <t>melanie_mendoza</t>
  </si>
  <si>
    <t>astrid_moreno@southville.edu.ph</t>
  </si>
  <si>
    <t>audrey_alejandro</t>
  </si>
  <si>
    <t>melchor_conde</t>
  </si>
  <si>
    <t>audrey_alejandro@southville.edu.ph</t>
  </si>
  <si>
    <t>melchor_conde@southville.edu.ph</t>
  </si>
  <si>
    <t>auggie</t>
  </si>
  <si>
    <t>melisaa</t>
  </si>
  <si>
    <t>auggie@southville.edu.ph</t>
  </si>
  <si>
    <t>avics</t>
  </si>
  <si>
    <t>melissao</t>
  </si>
  <si>
    <t>beatrice_orteza</t>
  </si>
  <si>
    <t>mellanny_aquino</t>
  </si>
  <si>
    <t>mellanny_aquino@southville.edu.ph</t>
  </si>
  <si>
    <t>belenm</t>
  </si>
  <si>
    <t>melvin_moso</t>
  </si>
  <si>
    <t>bencarlo_atim</t>
  </si>
  <si>
    <t>meredith_rogelio</t>
  </si>
  <si>
    <t>bencarlo_atim@southville.edu.ph</t>
  </si>
  <si>
    <t>meredith_rogelio@southville.edu.ph</t>
  </si>
  <si>
    <t>bengy</t>
  </si>
  <si>
    <t>mhemss</t>
  </si>
  <si>
    <t>bernadette_reyes</t>
  </si>
  <si>
    <t>mhey</t>
  </si>
  <si>
    <t>dette_lopez@southville.edu.ph</t>
  </si>
  <si>
    <t>mhey@southville.edu.ph</t>
  </si>
  <si>
    <t>biloy</t>
  </si>
  <si>
    <t>michael_manansala</t>
  </si>
  <si>
    <t>bob_carreon</t>
  </si>
  <si>
    <t>michaelm</t>
  </si>
  <si>
    <t>michaelm@southville.edu.ph</t>
  </si>
  <si>
    <t>bryan_rubio</t>
  </si>
  <si>
    <t>michel_jlailaty</t>
  </si>
  <si>
    <t>bryan_rubio@southville.edu.ph</t>
  </si>
  <si>
    <t>michel_jlailaty@southville.edu.ph</t>
  </si>
  <si>
    <t>bsullano</t>
  </si>
  <si>
    <t>michelle_calixtro</t>
  </si>
  <si>
    <t>michelle_calixtro@southville.edu.ph</t>
  </si>
  <si>
    <t>byron_festin</t>
  </si>
  <si>
    <t>mikey_llorin</t>
  </si>
  <si>
    <t>byron_festin@southville.edu.ph</t>
  </si>
  <si>
    <t>mikey_llorin@southville.edu.ph</t>
  </si>
  <si>
    <t>camille_advincula</t>
  </si>
  <si>
    <t>miletg</t>
  </si>
  <si>
    <t>camille_advincula@southville.edu.ph</t>
  </si>
  <si>
    <t>miletg@southville.edu.ph</t>
  </si>
  <si>
    <t>carlag</t>
  </si>
  <si>
    <t>minerva_ganaden</t>
  </si>
  <si>
    <t>mia_ganaden@southville.edu.ph</t>
  </si>
  <si>
    <t>carlitodv</t>
  </si>
  <si>
    <t>miriam_marasigan</t>
  </si>
  <si>
    <t>miriam_marasigan@southville.edu.ph</t>
  </si>
  <si>
    <t>carlos_cerdena</t>
  </si>
  <si>
    <t>misch_severina</t>
  </si>
  <si>
    <t>carlos_cerdena@southville.edu.ph</t>
  </si>
  <si>
    <t>misch_severina@southville.edu.ph</t>
  </si>
  <si>
    <t>carlos_delarosa</t>
  </si>
  <si>
    <t>mitch.espiritu</t>
  </si>
  <si>
    <t>mitch.espiritu@southville.edu.ph</t>
  </si>
  <si>
    <t>carmelita_villegas</t>
  </si>
  <si>
    <t>mona_valencia</t>
  </si>
  <si>
    <t>mona_valencia@southville.edu.ph</t>
  </si>
  <si>
    <t>carmichael_soria</t>
  </si>
  <si>
    <t>monetteagbulos</t>
  </si>
  <si>
    <t>carmichael_soria@southville.edu.ph</t>
  </si>
  <si>
    <t>monetteagbulos@southville.edu.ph</t>
  </si>
  <si>
    <t>carolina_manga</t>
  </si>
  <si>
    <t>moneza_delossantos</t>
  </si>
  <si>
    <t>moneza_delossantos@southville.edu.ph</t>
  </si>
  <si>
    <t>monica_sarao</t>
  </si>
  <si>
    <t>msgt</t>
  </si>
  <si>
    <t>myleen_marasigan</t>
  </si>
  <si>
    <t>myleen_marasigan@southville.edu.ph</t>
  </si>
  <si>
    <t>mylene_manalo</t>
  </si>
  <si>
    <r>
      <rPr>
        <rFont val="Arial"/>
        <b/>
        <color theme="1"/>
      </rPr>
      <t xml:space="preserve">4.5 - 5.0 </t>
    </r>
    <r>
      <rPr>
        <rFont val="Arial"/>
        <color theme="1"/>
      </rPr>
      <t xml:space="preserve">    ||  Strongly Recommended</t>
    </r>
  </si>
  <si>
    <r>
      <rPr>
        <rFont val="Arial"/>
        <b/>
        <color theme="1"/>
      </rPr>
      <t>4.0 - 4.49</t>
    </r>
    <r>
      <rPr>
        <rFont val="Arial"/>
        <color theme="1"/>
      </rPr>
      <t xml:space="preserve">   ||  Recommended</t>
    </r>
  </si>
  <si>
    <r>
      <rPr>
        <rFont val="Arial"/>
        <b/>
        <color theme="1"/>
      </rPr>
      <t xml:space="preserve">3.5 - 3.99   </t>
    </r>
    <r>
      <rPr>
        <rFont val="Arial"/>
        <color theme="1"/>
      </rPr>
      <t>||  Acceptable</t>
    </r>
  </si>
  <si>
    <r>
      <rPr>
        <rFont val="Arial"/>
        <b/>
        <color theme="1"/>
      </rPr>
      <t xml:space="preserve">3.0 - 3.49 </t>
    </r>
    <r>
      <rPr>
        <rFont val="Arial"/>
        <color theme="1"/>
      </rPr>
      <t xml:space="preserve">  ||  Acceptable w/ some Reservation</t>
    </r>
  </si>
  <si>
    <r>
      <rPr>
        <rFont val="Arial"/>
        <b/>
        <color theme="1"/>
      </rPr>
      <t>Below 3.0</t>
    </r>
    <r>
      <rPr>
        <rFont val="Arial"/>
        <color theme="1"/>
      </rPr>
      <t xml:space="preserve">  ||  Not Recommended</t>
    </r>
  </si>
  <si>
    <t>Choose Month with Correspondng Year</t>
  </si>
  <si>
    <t>Monthly Average:</t>
  </si>
  <si>
    <t>From</t>
  </si>
  <si>
    <t>To</t>
  </si>
  <si>
    <t xml:space="preserve">Final Rating </t>
  </si>
  <si>
    <t>Select Date Range</t>
  </si>
  <si>
    <t>Start</t>
  </si>
  <si>
    <t>End</t>
  </si>
  <si>
    <t>Soon to offer Tarp - 6.5ft x 13ft w. seaming and eyelet all ones</t>
  </si>
  <si>
    <t>Folder, Pressboard Green Long</t>
  </si>
  <si>
    <t>Spray Gun Clear 500ml</t>
  </si>
  <si>
    <t>TARPS FOR LAMP POST BANNER - 10ft x 14ft</t>
  </si>
  <si>
    <t xml:space="preserve">Creative Juice Digital Printing </t>
  </si>
  <si>
    <t>PO29659</t>
  </si>
  <si>
    <t>Envelope, Brown Long
Tape, Duct Tape (2"x10m)</t>
  </si>
  <si>
    <t>STUDENT ID PLASTIC (OPP PLASTIC)</t>
  </si>
  <si>
    <t>Trodat Size 4910</t>
  </si>
  <si>
    <t>Antigen Test Kit</t>
  </si>
  <si>
    <t xml:space="preserve">Philippine Blue Cross Biotech Corporation </t>
  </si>
  <si>
    <t>Magazine File Holder Single Black (Long)</t>
  </si>
  <si>
    <t>RECOMMENDATION</t>
  </si>
  <si>
    <t>TEST</t>
  </si>
  <si>
    <t>TEST4</t>
  </si>
  <si>
    <t>TEST3</t>
  </si>
  <si>
    <t>TEST1</t>
  </si>
  <si>
    <t>TEST2</t>
  </si>
  <si>
    <t>TEST5</t>
  </si>
  <si>
    <t>TEST6</t>
  </si>
  <si>
    <t>TEST7</t>
  </si>
  <si>
    <t>TEST8</t>
  </si>
  <si>
    <t>TEST9</t>
  </si>
  <si>
    <t xml:space="preserve">JOHN CARLO </t>
  </si>
  <si>
    <t>CAMPIT</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</si>
</sst>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d/yyyy"/>
    <numFmt numFmtId="165" formatCode="M/d/yyyy"/>
    <numFmt numFmtId="166" formatCode="mm/dd/yyyy"/>
    <numFmt numFmtId="167" formatCode="mmmm&quot; &quot;d&quot;, &quot;yyyy"/>
    <numFmt numFmtId="168" formatCode="mmm d, yyyy"/>
    <numFmt numFmtId="169" formatCode="mmmm d, yyyy"/>
    <numFmt numFmtId="170" formatCode="yyyy-mm-dd"/>
  </numFmts>
  <fonts count="40">
    <font>
      <sz val="10.0"/>
      <color rgb="FF000000"/>
      <name val="Arial"/>
      <scheme val="minor"/>
    </font>
    <font>
      <b/>
      <sz val="18.0"/>
      <color theme="1"/>
      <name val="Geo"/>
    </font>
    <font>
      <sz val="11.0"/>
      <color theme="1"/>
      <name val="Calibri"/>
    </font>
    <font>
      <color theme="1"/>
      <name val="Arial"/>
      <scheme val="minor"/>
    </font>
    <font>
      <b/>
      <sz val="18.0"/>
      <color theme="1"/>
      <name val="Arial"/>
    </font>
    <font>
      <b/>
      <sz val="11.0"/>
      <color theme="1"/>
      <name val="Calibri"/>
    </font>
    <font>
      <b/>
      <color theme="1"/>
      <name val="Arial"/>
      <scheme val="minor"/>
    </font>
    <font>
      <b/>
      <color theme="1"/>
      <name val="Arial"/>
    </font>
    <font>
      <b/>
      <sz val="18.0"/>
      <color theme="1"/>
      <name val="Arial"/>
      <scheme val="minor"/>
    </font>
    <font>
      <sz val="10.0"/>
      <color theme="1"/>
      <name val="Arial"/>
      <scheme val="minor"/>
    </font>
    <font>
      <b/>
      <sz val="10.0"/>
      <color theme="1"/>
      <name val="Arial"/>
      <scheme val="minor"/>
    </font>
    <font>
      <b/>
      <sz val="11.0"/>
      <color theme="1"/>
      <name val="Arial"/>
    </font>
    <font>
      <color theme="1"/>
      <name val="Arial"/>
    </font>
    <font>
      <sz val="11.0"/>
      <color theme="1"/>
      <name val="Arial"/>
      <scheme val="minor"/>
    </font>
    <font/>
    <font>
      <b/>
      <sz val="11.0"/>
      <color theme="1"/>
      <name val="Arial"/>
      <scheme val="minor"/>
    </font>
    <font>
      <color theme="1"/>
      <name val="Calibri"/>
    </font>
    <font>
      <color rgb="FF000000"/>
    </font>
    <font>
      <color rgb="FF000000"/>
      <name val="Arial"/>
    </font>
    <font>
      <sz val="18.0"/>
      <color theme="1"/>
      <name val="Geo"/>
    </font>
    <font>
      <sz val="12.0"/>
      <color theme="1"/>
      <name val="Calibri"/>
    </font>
    <font>
      <sz val="11.0"/>
      <color rgb="FF000000"/>
      <name val="Arial"/>
    </font>
    <font>
      <b/>
      <sz val="13.0"/>
      <color theme="1"/>
      <name val="Arial"/>
      <scheme val="minor"/>
    </font>
    <font>
      <b/>
      <sz val="11.0"/>
      <color rgb="FF000000"/>
      <name val="Calibri"/>
    </font>
    <font>
      <sz val="11.0"/>
      <color rgb="FF000000"/>
      <name val="Calibri"/>
    </font>
    <font>
      <u/>
      <color rgb="FF263238"/>
      <name val="Roboto"/>
    </font>
    <font>
      <u/>
      <color rgb="FF3C4043"/>
      <name val="Roboto"/>
    </font>
    <font>
      <sz val="11.0"/>
      <color rgb="FF202124"/>
      <name val="Roboto"/>
    </font>
    <font>
      <u/>
      <sz val="11.0"/>
      <color rgb="FF202124"/>
      <name val="Roboto"/>
    </font>
    <font>
      <u/>
      <color rgb="FF202124"/>
      <name val="Roboto"/>
    </font>
    <font>
      <u/>
      <sz val="11.0"/>
      <color rgb="FF202124"/>
      <name val="Roboto"/>
    </font>
    <font>
      <u/>
      <sz val="11.0"/>
      <color rgb="FF202124"/>
      <name val="Roboto"/>
    </font>
    <font>
      <u/>
      <sz val="11.0"/>
      <color rgb="FF202124"/>
      <name val="Roboto"/>
    </font>
    <font>
      <color rgb="FF202124"/>
      <name val="Roboto"/>
    </font>
    <font>
      <b/>
      <i/>
      <sz val="10.0"/>
      <color theme="1"/>
      <name val="Arial"/>
      <scheme val="minor"/>
    </font>
    <font>
      <color rgb="FF000000"/>
      <name val="Arial"/>
      <scheme val="minor"/>
    </font>
    <font>
      <sz val="11.0"/>
      <color rgb="FF008000"/>
      <name val="Inconsolata"/>
    </font>
    <font>
      <b/>
      <sz val="11.0"/>
      <color rgb="FF000000"/>
      <name val="Inconsolata"/>
    </font>
    <font>
      <sz val="11.0"/>
      <color rgb="FF000000"/>
      <name val="Inconsolata"/>
    </font>
    <font>
      <u/>
      <color rgb="FF0000FF"/>
    </font>
  </fonts>
  <fills count="12">
    <fill>
      <patternFill patternType="none"/>
    </fill>
    <fill>
      <patternFill patternType="lightGray"/>
    </fill>
    <fill>
      <patternFill patternType="solid">
        <fgColor theme="9"/>
        <bgColor theme="9"/>
      </patternFill>
    </fill>
    <fill>
      <patternFill patternType="solid">
        <fgColor theme="8"/>
        <bgColor theme="8"/>
      </patternFill>
    </fill>
    <fill>
      <patternFill patternType="solid">
        <fgColor rgb="FFCFE2F3"/>
        <bgColor rgb="FFCFE2F3"/>
      </patternFill>
    </fill>
    <fill>
      <patternFill patternType="solid">
        <fgColor theme="6"/>
        <bgColor theme="6"/>
      </patternFill>
    </fill>
    <fill>
      <patternFill patternType="solid">
        <fgColor rgb="FFFFFFFF"/>
        <bgColor rgb="FFFFFFFF"/>
      </patternFill>
    </fill>
    <fill>
      <patternFill patternType="solid">
        <fgColor rgb="FF00FF00"/>
        <bgColor rgb="FF00FF00"/>
      </patternFill>
    </fill>
    <fill>
      <patternFill patternType="solid">
        <fgColor rgb="FFFEF7E0"/>
        <bgColor rgb="FFFEF7E0"/>
      </patternFill>
    </fill>
    <fill>
      <patternFill patternType="solid">
        <fgColor rgb="FFFFFF00"/>
        <bgColor rgb="FFFFFF00"/>
      </patternFill>
    </fill>
    <fill>
      <patternFill patternType="solid">
        <fgColor rgb="FF00FFFF"/>
        <bgColor rgb="FF00FFFF"/>
      </patternFill>
    </fill>
    <fill>
      <patternFill patternType="solid">
        <fgColor rgb="FFCCCCCC"/>
        <bgColor rgb="FFCCCCCC"/>
      </patternFill>
    </fill>
  </fills>
  <borders count="3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top style="thin">
        <color rgb="FF000000"/>
      </top>
      <bottom style="thin">
        <color rgb="FF000000"/>
      </bottom>
    </border>
    <border>
      <left style="dotted">
        <color rgb="FF000000"/>
      </left>
      <right style="dotted">
        <color rgb="FF000000"/>
      </right>
      <top style="dotted">
        <color rgb="FF000000"/>
      </top>
      <bottom style="dotted">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dotted">
        <color rgb="FF000000"/>
      </left>
      <top style="dotted">
        <color rgb="FF000000"/>
      </top>
    </border>
    <border>
      <top style="dotted">
        <color rgb="FF000000"/>
      </top>
    </border>
    <border>
      <right style="dotted">
        <color rgb="FF000000"/>
      </right>
      <top style="dotted">
        <color rgb="FF000000"/>
      </top>
    </border>
    <border>
      <left style="dotted">
        <color rgb="FF000000"/>
      </left>
    </border>
    <border>
      <right style="dotted">
        <color rgb="FF000000"/>
      </right>
    </border>
    <border>
      <left style="dotted">
        <color rgb="FF000000"/>
      </left>
      <right style="dotted">
        <color rgb="FF000000"/>
      </right>
      <top style="dotted">
        <color rgb="FF000000"/>
      </top>
    </border>
    <border>
      <left style="dotted">
        <color rgb="FF000000"/>
      </left>
      <right style="dotted">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dotted">
        <color rgb="FF000000"/>
      </left>
      <bottom style="dotted">
        <color rgb="FF000000"/>
      </bottom>
    </border>
    <border>
      <bottom style="dotted">
        <color rgb="FF000000"/>
      </bottom>
    </border>
    <border>
      <right style="dotted">
        <color rgb="FF000000"/>
      </right>
      <bottom style="dotted">
        <color rgb="FF000000"/>
      </bottom>
    </border>
    <border>
      <left style="dotted">
        <color rgb="FF000000"/>
      </left>
      <right style="dotted">
        <color rgb="FF000000"/>
      </right>
      <bottom style="dotted">
        <color rgb="FF000000"/>
      </bottom>
    </border>
    <border>
      <left style="thin">
        <color rgb="FF000000"/>
      </left>
      <right style="thin">
        <color rgb="FF000000"/>
      </right>
      <bottom style="thin">
        <color rgb="FF000000"/>
      </bottom>
    </border>
    <border>
      <bottom style="double">
        <color rgb="FF000000"/>
      </bottom>
    </border>
    <border>
      <top style="thin">
        <color rgb="FF000000"/>
      </top>
      <bottom style="thin">
        <color rgb="FF000000"/>
      </bottom>
    </border>
    <border>
      <left style="hair">
        <color rgb="FF000000"/>
      </left>
      <right style="hair">
        <color rgb="FF000000"/>
      </right>
      <top style="hair">
        <color rgb="FF000000"/>
      </top>
      <bottom style="hair">
        <color rgb="FF000000"/>
      </bottom>
    </border>
    <border>
      <left style="thin">
        <color rgb="FF000000"/>
      </left>
      <right style="thin">
        <color rgb="FF000000"/>
      </right>
      <top style="thin">
        <color rgb="FF000000"/>
      </top>
    </border>
    <border>
      <left style="hair">
        <color rgb="FF000000"/>
      </left>
      <right style="hair">
        <color rgb="FF000000"/>
      </right>
      <bottom style="hair">
        <color rgb="FF000000"/>
      </bottom>
    </border>
    <border>
      <left/>
      <right/>
      <top/>
      <bottom/>
    </border>
    <border>
      <left/>
      <right style="thin">
        <color rgb="FF000000"/>
      </right>
      <top/>
      <bottom style="thin">
        <color rgb="FF000000"/>
      </bottom>
    </border>
    <border>
      <left style="thin">
        <color rgb="FF000000"/>
      </left>
      <bottom style="dotted">
        <color rgb="FF000000"/>
      </bottom>
    </border>
    <border>
      <left style="dotted">
        <color rgb="FF000000"/>
      </left>
      <right style="thin">
        <color rgb="FF000000"/>
      </right>
      <bottom style="dotted">
        <color rgb="FF000000"/>
      </bottom>
    </border>
    <border>
      <left style="thin">
        <color rgb="FF000000"/>
      </left>
      <top style="dotted">
        <color rgb="FF000000"/>
      </top>
      <bottom style="dotted">
        <color rgb="FF000000"/>
      </bottom>
    </border>
    <border>
      <left style="dotted">
        <color rgb="FF000000"/>
      </left>
      <right style="thin">
        <color rgb="FF000000"/>
      </right>
      <top style="dotted">
        <color rgb="FF000000"/>
      </top>
      <bottom style="dotted">
        <color rgb="FF000000"/>
      </bottom>
    </border>
  </borders>
  <cellStyleXfs count="1">
    <xf borderId="0" fillId="0" fontId="0" numFmtId="0" applyAlignment="1" applyFont="1"/>
  </cellStyleXfs>
  <cellXfs count="388">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2" xfId="0" applyAlignment="1" applyFont="1" applyNumberFormat="1">
      <alignment shrinkToFit="0" wrapText="1"/>
    </xf>
    <xf borderId="0" fillId="0" fontId="1" numFmtId="0" xfId="0" applyAlignment="1" applyFont="1">
      <alignment horizontal="center"/>
    </xf>
    <xf borderId="0" fillId="0" fontId="3" numFmtId="2" xfId="0" applyFont="1" applyNumberFormat="1"/>
    <xf borderId="0" fillId="0" fontId="4" numFmtId="0" xfId="0" applyAlignment="1" applyFont="1">
      <alignment horizontal="center" vertical="bottom"/>
    </xf>
    <xf borderId="0" fillId="0" fontId="5" numFmtId="2" xfId="0" applyAlignment="1" applyFont="1" applyNumberFormat="1">
      <alignment horizontal="center" shrinkToFit="0" wrapText="1"/>
    </xf>
    <xf borderId="0" fillId="0" fontId="4" numFmtId="2" xfId="0" applyAlignment="1" applyFont="1" applyNumberFormat="1">
      <alignment horizontal="center"/>
    </xf>
    <xf borderId="0" fillId="0" fontId="5" numFmtId="0" xfId="0" applyAlignment="1" applyFont="1">
      <alignment horizontal="center" shrinkToFit="0" wrapText="1"/>
    </xf>
    <xf borderId="0" fillId="0" fontId="4" numFmtId="2" xfId="0" applyAlignment="1" applyFont="1" applyNumberFormat="1">
      <alignment horizontal="center" vertical="bottom"/>
    </xf>
    <xf borderId="0" fillId="2" fontId="4" numFmtId="0" xfId="0" applyAlignment="1" applyFill="1" applyFont="1">
      <alignment horizontal="center" readingOrder="0" vertical="bottom"/>
    </xf>
    <xf borderId="0" fillId="3" fontId="4" numFmtId="2" xfId="0" applyAlignment="1" applyFill="1" applyFont="1" applyNumberFormat="1">
      <alignment horizontal="center" readingOrder="0"/>
    </xf>
    <xf borderId="0" fillId="4" fontId="3" numFmtId="0" xfId="0" applyFill="1" applyFont="1"/>
    <xf borderId="0" fillId="5" fontId="4" numFmtId="2" xfId="0" applyAlignment="1" applyFill="1" applyFont="1" applyNumberFormat="1">
      <alignment horizontal="center" readingOrder="0" vertical="bottom"/>
    </xf>
    <xf borderId="0" fillId="3" fontId="4" numFmtId="2" xfId="0" applyAlignment="1" applyFill="1" applyFont="1" applyNumberFormat="1">
      <alignment horizontal="center" readingOrder="0" vertical="bottom"/>
    </xf>
    <xf borderId="0" fillId="2" fontId="4" numFmtId="2" xfId="0" applyAlignment="1" applyFill="1" applyFont="1" applyNumberFormat="1">
      <alignment horizontal="center" readingOrder="0" vertical="bottom"/>
    </xf>
    <xf borderId="1" fillId="4" fontId="3" numFmtId="0" xfId="0" applyBorder="1" applyFill="1" applyFont="1"/>
    <xf borderId="0" fillId="0" fontId="5" numFmtId="0" xfId="0" applyAlignment="1" applyFont="1">
      <alignment vertical="bottom"/>
    </xf>
    <xf borderId="2" fillId="4" fontId="3" numFmtId="0" xfId="0" applyBorder="1" applyFill="1" applyFont="1"/>
    <xf borderId="0" fillId="0" fontId="5" numFmtId="0" xfId="0" applyAlignment="1" applyFont="1">
      <alignment horizontal="left" vertical="bottom"/>
    </xf>
    <xf borderId="0" fillId="0" fontId="5" numFmtId="2" xfId="0" applyAlignment="1" applyFont="1" applyNumberFormat="1">
      <alignment horizontal="center" readingOrder="0" shrinkToFit="0" vertical="center" wrapText="1"/>
    </xf>
    <xf borderId="0" fillId="0" fontId="6" numFmtId="0" xfId="0" applyFont="1"/>
    <xf borderId="3" fillId="4" fontId="3" numFmtId="0" xfId="0" applyBorder="1" applyFill="1" applyFont="1"/>
    <xf borderId="0" fillId="0" fontId="7" numFmtId="0" xfId="0" applyFont="1"/>
    <xf borderId="0" fillId="0" fontId="5" numFmtId="2" xfId="0" applyAlignment="1" applyFont="1" applyNumberFormat="1">
      <alignment readingOrder="0" shrinkToFit="0" wrapText="1"/>
    </xf>
    <xf borderId="4" fillId="4" fontId="3" numFmtId="0" xfId="0" applyBorder="1" applyFill="1" applyFont="1"/>
    <xf borderId="0" fillId="0" fontId="7" numFmtId="17" xfId="0" applyAlignment="1" applyFont="1" applyNumberFormat="1">
      <alignment vertical="bottom"/>
    </xf>
    <xf borderId="0" fillId="4" fontId="3" numFmtId="0" xfId="0" applyAlignment="1" applyFill="1" applyFont="1">
      <alignment horizontal="center" readingOrder="0"/>
    </xf>
    <xf borderId="0" fillId="4" fontId="8" numFmtId="0" xfId="0" applyAlignment="1" applyFill="1" applyFont="1">
      <alignment horizontal="center" readingOrder="0"/>
    </xf>
    <xf borderId="5" fillId="4" fontId="3" numFmtId="0" xfId="0" applyBorder="1" applyFill="1" applyFont="1"/>
    <xf borderId="0" fillId="0" fontId="9" numFmtId="0" xfId="0" applyAlignment="1" applyFont="1">
      <alignment horizontal="center" vertical="center"/>
    </xf>
    <xf borderId="0" fillId="4" fontId="6" numFmtId="0" xfId="0" applyAlignment="1" applyFill="1" applyFont="1">
      <alignment horizontal="center" readingOrder="0"/>
    </xf>
    <xf borderId="0" fillId="4" fontId="3" numFmtId="0" xfId="0" applyAlignment="1" applyFill="1" applyFont="1">
      <alignment readingOrder="0"/>
    </xf>
    <xf borderId="4" fillId="4" fontId="3" numFmtId="0" xfId="0" applyAlignment="1" applyBorder="1" applyFill="1" applyFont="1">
      <alignment readingOrder="0"/>
    </xf>
    <xf borderId="0" fillId="4" fontId="3" numFmtId="0" xfId="0" applyAlignment="1" applyFill="1" applyFont="1">
      <alignment readingOrder="0"/>
    </xf>
    <xf borderId="0" fillId="4" fontId="3" numFmtId="14" xfId="0" applyAlignment="1" applyFill="1" applyFont="1" applyNumberFormat="1">
      <alignment readingOrder="0"/>
    </xf>
    <xf borderId="0" fillId="0" fontId="6" numFmtId="2" xfId="0" applyFont="1" applyNumberFormat="1"/>
    <xf borderId="0" fillId="0" fontId="9" numFmtId="0" xfId="0" applyAlignment="1" applyFont="1">
      <alignment horizontal="center" readingOrder="0" vertical="center"/>
    </xf>
    <xf borderId="5" fillId="4" fontId="3" numFmtId="0" xfId="0" applyAlignment="1" applyBorder="1" applyFill="1" applyFont="1">
      <alignment readingOrder="0"/>
    </xf>
    <xf borderId="0" fillId="4" fontId="6" numFmtId="0" xfId="0" applyAlignment="1" applyFill="1" applyFont="1">
      <alignment horizontal="right" readingOrder="0"/>
    </xf>
    <xf borderId="0" fillId="0" fontId="9" numFmtId="0" xfId="0" applyAlignment="1" applyFont="1">
      <alignment horizontal="center" readingOrder="0" vertical="center"/>
    </xf>
    <xf borderId="0" fillId="0" fontId="10" numFmtId="0" xfId="0" applyAlignment="1" applyFont="1">
      <alignment horizontal="right" readingOrder="0" vertical="center"/>
    </xf>
    <xf borderId="0" fillId="4" fontId="6" numFmtId="0" xfId="0" applyAlignment="1" applyFill="1" applyFont="1">
      <alignment horizontal="right" readingOrder="0" vertical="center"/>
    </xf>
    <xf borderId="6" fillId="0" fontId="2" numFmtId="0" xfId="0" applyAlignment="1" applyBorder="1" applyFont="1">
      <alignment vertical="bottom"/>
    </xf>
    <xf borderId="7" fillId="0" fontId="3" numFmtId="164" xfId="0" applyAlignment="1" applyBorder="1" applyFont="1" applyNumberFormat="1">
      <alignment readingOrder="0"/>
    </xf>
    <xf borderId="6" fillId="0" fontId="11" numFmtId="0" xfId="0" applyAlignment="1" applyBorder="1" applyFont="1">
      <alignment horizontal="left" shrinkToFit="0" vertical="bottom" wrapText="1"/>
    </xf>
    <xf borderId="0" fillId="0" fontId="10" numFmtId="2" xfId="0" applyAlignment="1" applyFont="1" applyNumberFormat="1">
      <alignment horizontal="left" vertical="center"/>
    </xf>
    <xf borderId="6" fillId="0" fontId="12" numFmtId="0" xfId="0" applyBorder="1" applyFont="1"/>
    <xf borderId="6" fillId="0" fontId="11" numFmtId="0" xfId="0" applyAlignment="1" applyBorder="1" applyFont="1">
      <alignment horizontal="center" shrinkToFit="0" wrapText="1"/>
    </xf>
    <xf borderId="7" fillId="0" fontId="3" numFmtId="0" xfId="0" applyAlignment="1" applyBorder="1" applyFont="1">
      <alignment readingOrder="0"/>
    </xf>
    <xf borderId="0" fillId="0" fontId="2" numFmtId="2" xfId="0" applyAlignment="1" applyFont="1" applyNumberFormat="1">
      <alignment readingOrder="0" shrinkToFit="0" wrapText="1"/>
    </xf>
    <xf borderId="0" fillId="0" fontId="13" numFmtId="0" xfId="0" applyAlignment="1" applyFont="1">
      <alignment readingOrder="0"/>
    </xf>
    <xf borderId="0" fillId="0" fontId="13" numFmtId="0" xfId="0" applyFont="1"/>
    <xf borderId="8" fillId="0" fontId="5" numFmtId="17" xfId="0" applyAlignment="1" applyBorder="1" applyFont="1" applyNumberFormat="1">
      <alignment horizontal="center" shrinkToFit="0" wrapText="1"/>
    </xf>
    <xf borderId="9" fillId="0" fontId="14" numFmtId="0" xfId="0" applyBorder="1" applyFont="1"/>
    <xf borderId="6" fillId="0" fontId="5" numFmtId="2" xfId="0" applyAlignment="1" applyBorder="1" applyFont="1" applyNumberFormat="1">
      <alignment horizontal="center" readingOrder="0" shrinkToFit="0" wrapText="1"/>
    </xf>
    <xf borderId="10" fillId="0" fontId="3" numFmtId="0" xfId="0" applyAlignment="1" applyBorder="1" applyFont="1">
      <alignment readingOrder="0"/>
    </xf>
    <xf borderId="11" fillId="0" fontId="14" numFmtId="0" xfId="0" applyBorder="1" applyFont="1"/>
    <xf borderId="12" fillId="0" fontId="14" numFmtId="0" xfId="0" applyBorder="1" applyFont="1"/>
    <xf borderId="0" fillId="0" fontId="3" numFmtId="0" xfId="0" applyFont="1"/>
    <xf borderId="0" fillId="0" fontId="3" numFmtId="14" xfId="0" applyFont="1" applyNumberFormat="1"/>
    <xf borderId="0" fillId="0" fontId="15" numFmtId="0" xfId="0" applyAlignment="1" applyFont="1">
      <alignment horizontal="center" readingOrder="0"/>
    </xf>
    <xf borderId="7" fillId="0" fontId="3" numFmtId="0" xfId="0" applyAlignment="1" applyBorder="1" applyFont="1">
      <alignment horizontal="left" readingOrder="0"/>
    </xf>
    <xf borderId="13" fillId="0" fontId="3" numFmtId="0" xfId="0" applyAlignment="1" applyBorder="1" applyFont="1">
      <alignment readingOrder="0"/>
    </xf>
    <xf borderId="14" fillId="0" fontId="14" numFmtId="0" xfId="0" applyBorder="1" applyFont="1"/>
    <xf borderId="15" fillId="0" fontId="14" numFmtId="0" xfId="0" applyBorder="1" applyFont="1"/>
    <xf borderId="0" fillId="0" fontId="3" numFmtId="0" xfId="0" applyAlignment="1" applyFont="1">
      <alignment readingOrder="0"/>
    </xf>
    <xf borderId="11" fillId="4" fontId="3" numFmtId="0" xfId="0" applyBorder="1" applyFill="1" applyFont="1"/>
    <xf borderId="0" fillId="4" fontId="6" numFmtId="0" xfId="0" applyAlignment="1" applyFill="1" applyFont="1">
      <alignment horizontal="right" readingOrder="0" vertical="top"/>
    </xf>
    <xf borderId="16" fillId="4" fontId="3" numFmtId="0" xfId="0" applyAlignment="1" applyBorder="1" applyFill="1" applyFont="1">
      <alignment readingOrder="0" shrinkToFit="0" vertical="top" wrapText="1"/>
    </xf>
    <xf borderId="17" fillId="0" fontId="14" numFmtId="0" xfId="0" applyBorder="1" applyFont="1"/>
    <xf borderId="8" fillId="0" fontId="5" numFmtId="0" xfId="0" applyAlignment="1" applyBorder="1" applyFont="1">
      <alignment horizontal="center" shrinkToFit="0" vertical="bottom" wrapText="1"/>
    </xf>
    <xf borderId="18" fillId="0" fontId="3" numFmtId="0" xfId="0" applyAlignment="1" applyBorder="1" applyFont="1">
      <alignment readingOrder="0" vertical="top"/>
    </xf>
    <xf borderId="16" fillId="0" fontId="14" numFmtId="0" xfId="0" applyBorder="1" applyFont="1"/>
    <xf borderId="19" fillId="0" fontId="14" numFmtId="0" xfId="0" applyBorder="1" applyFont="1"/>
    <xf borderId="20" fillId="4" fontId="3" numFmtId="0" xfId="0" applyBorder="1" applyFill="1" applyFont="1"/>
    <xf borderId="21" fillId="4" fontId="3" numFmtId="0" xfId="0" applyBorder="1" applyFill="1" applyFont="1"/>
    <xf borderId="22" fillId="4" fontId="3" numFmtId="0" xfId="0" applyBorder="1" applyFill="1" applyFont="1"/>
    <xf borderId="8" fillId="0" fontId="5" numFmtId="0" xfId="0" applyAlignment="1" applyBorder="1" applyFont="1">
      <alignment shrinkToFit="0" wrapText="1"/>
    </xf>
    <xf borderId="23" fillId="0" fontId="14" numFmtId="0" xfId="0" applyBorder="1" applyFont="1"/>
    <xf borderId="24" fillId="0" fontId="14" numFmtId="0" xfId="0" applyBorder="1" applyFont="1"/>
    <xf borderId="25" fillId="0" fontId="14" numFmtId="0" xfId="0" applyBorder="1" applyFont="1"/>
    <xf borderId="26" fillId="0" fontId="14" numFmtId="0" xfId="0" applyBorder="1" applyFont="1"/>
    <xf borderId="20" fillId="0" fontId="5" numFmtId="0" xfId="0" applyAlignment="1" applyBorder="1" applyFont="1">
      <alignment shrinkToFit="0" wrapText="1"/>
    </xf>
    <xf borderId="0" fillId="4" fontId="6" numFmtId="0" xfId="0" applyAlignment="1" applyFill="1" applyFont="1">
      <alignment horizontal="center" vertical="center"/>
    </xf>
    <xf borderId="22" fillId="0" fontId="14" numFmtId="0" xfId="0" applyBorder="1" applyFont="1"/>
    <xf borderId="4" fillId="4" fontId="6" numFmtId="0" xfId="0" applyAlignment="1" applyBorder="1" applyFill="1" applyFont="1">
      <alignment horizontal="center" vertical="center"/>
    </xf>
    <xf borderId="0" fillId="0" fontId="15" numFmtId="0" xfId="0" applyAlignment="1" applyFont="1">
      <alignment horizontal="center" readingOrder="0" shrinkToFit="0" vertical="center" wrapText="0"/>
    </xf>
    <xf borderId="10" fillId="4" fontId="6" numFmtId="0" xfId="0" applyAlignment="1" applyBorder="1" applyFill="1" applyFont="1">
      <alignment horizontal="center" readingOrder="0" vertical="center"/>
    </xf>
    <xf borderId="6" fillId="0" fontId="5" numFmtId="2" xfId="0" applyAlignment="1" applyBorder="1" applyFont="1" applyNumberFormat="1">
      <alignment horizontal="left" readingOrder="0" shrinkToFit="0" wrapText="1"/>
    </xf>
    <xf borderId="7" fillId="4" fontId="6" numFmtId="0" xfId="0" applyAlignment="1" applyBorder="1" applyFill="1" applyFont="1">
      <alignment horizontal="center" readingOrder="0" vertical="center"/>
    </xf>
    <xf borderId="5" fillId="4" fontId="6" numFmtId="0" xfId="0" applyAlignment="1" applyBorder="1" applyFill="1" applyFont="1">
      <alignment horizontal="center" vertical="center"/>
    </xf>
    <xf borderId="10" fillId="4" fontId="3" numFmtId="0" xfId="0" applyAlignment="1" applyBorder="1" applyFill="1" applyFont="1">
      <alignment readingOrder="0"/>
    </xf>
    <xf borderId="0" fillId="0" fontId="10" numFmtId="0" xfId="0" applyAlignment="1" applyFont="1">
      <alignment horizontal="center"/>
    </xf>
    <xf borderId="7" fillId="0" fontId="3" numFmtId="0" xfId="0" applyAlignment="1" applyBorder="1" applyFont="1">
      <alignment horizontal="center" readingOrder="0"/>
    </xf>
    <xf borderId="6" fillId="0" fontId="2" numFmtId="0" xfId="0" applyAlignment="1" applyBorder="1" applyFont="1">
      <alignment horizontal="center" shrinkToFit="0" vertical="bottom" wrapText="1"/>
    </xf>
    <xf borderId="0" fillId="0" fontId="15" numFmtId="49" xfId="0" applyAlignment="1" applyFont="1" applyNumberFormat="1">
      <alignment horizontal="center" readingOrder="0" shrinkToFit="0" vertical="center" wrapText="0"/>
    </xf>
    <xf borderId="6" fillId="0" fontId="2" numFmtId="0" xfId="0" applyAlignment="1" applyBorder="1" applyFont="1">
      <alignment horizontal="left" shrinkToFit="0" vertical="bottom" wrapText="1"/>
    </xf>
    <xf borderId="6" fillId="0" fontId="2" numFmtId="0" xfId="0" applyAlignment="1" applyBorder="1" applyFont="1">
      <alignment shrinkToFit="0" wrapText="1"/>
    </xf>
    <xf borderId="7" fillId="4" fontId="3" numFmtId="0" xfId="0" applyAlignment="1" applyBorder="1" applyFill="1" applyFont="1">
      <alignment horizontal="center" readingOrder="0"/>
    </xf>
    <xf borderId="0" fillId="0" fontId="15" numFmtId="0" xfId="0" applyAlignment="1" applyFont="1">
      <alignment horizontal="center"/>
    </xf>
    <xf borderId="27" fillId="0" fontId="5" numFmtId="0" xfId="0" applyAlignment="1" applyBorder="1" applyFont="1">
      <alignment horizontal="right" shrinkToFit="0" wrapText="1"/>
    </xf>
    <xf borderId="22" fillId="0" fontId="16" numFmtId="0" xfId="0" applyAlignment="1" applyBorder="1" applyFont="1">
      <alignment shrinkToFit="0" wrapText="1"/>
    </xf>
    <xf borderId="0" fillId="0" fontId="13" numFmtId="0" xfId="0" applyAlignment="1" applyFont="1">
      <alignment horizontal="center" readingOrder="0" shrinkToFit="0" vertical="center" wrapText="0"/>
    </xf>
    <xf borderId="21" fillId="4" fontId="6" numFmtId="2" xfId="0" applyAlignment="1" applyBorder="1" applyFill="1" applyFont="1" applyNumberFormat="1">
      <alignment horizontal="center" readingOrder="0"/>
    </xf>
    <xf borderId="0" fillId="0" fontId="13" numFmtId="0" xfId="0" applyAlignment="1" applyFont="1">
      <alignment horizontal="center" shrinkToFit="0" vertical="center" wrapText="0"/>
    </xf>
    <xf borderId="28" fillId="4" fontId="6" numFmtId="2" xfId="0" applyAlignment="1" applyBorder="1" applyFill="1" applyFont="1" applyNumberFormat="1">
      <alignment horizontal="center" readingOrder="0"/>
    </xf>
    <xf borderId="0" fillId="0" fontId="13" numFmtId="0" xfId="0" applyAlignment="1" applyFont="1">
      <alignment horizontal="center" shrinkToFit="0" vertical="center" wrapText="0"/>
    </xf>
    <xf borderId="27" fillId="0" fontId="16" numFmtId="0" xfId="0" applyAlignment="1" applyBorder="1" applyFont="1">
      <alignment horizontal="right" shrinkToFit="0" wrapText="1"/>
    </xf>
    <xf borderId="8" fillId="4" fontId="6" numFmtId="0" xfId="0" applyAlignment="1" applyBorder="1" applyFill="1" applyFont="1">
      <alignment horizontal="center" readingOrder="0" vertical="center"/>
    </xf>
    <xf borderId="29" fillId="0" fontId="14" numFmtId="0" xfId="0" applyBorder="1" applyFont="1"/>
    <xf borderId="22" fillId="0" fontId="2" numFmtId="0" xfId="0" applyAlignment="1" applyBorder="1" applyFont="1">
      <alignment shrinkToFit="0" wrapText="1"/>
    </xf>
    <xf borderId="0" fillId="4" fontId="6" numFmtId="0" xfId="0" applyAlignment="1" applyFill="1" applyFont="1">
      <alignment horizontal="center" readingOrder="0" vertical="center"/>
    </xf>
    <xf borderId="6" fillId="4" fontId="6" numFmtId="0" xfId="0" applyAlignment="1" applyBorder="1" applyFill="1" applyFont="1">
      <alignment horizontal="center" readingOrder="0"/>
    </xf>
    <xf borderId="0" fillId="0" fontId="13" numFmtId="14" xfId="0" applyAlignment="1" applyFont="1" applyNumberFormat="1">
      <alignment horizontal="center" shrinkToFit="0" vertical="center" wrapText="0"/>
    </xf>
    <xf borderId="8" fillId="4" fontId="3" numFmtId="0" xfId="0" applyAlignment="1" applyBorder="1" applyFill="1" applyFont="1">
      <alignment readingOrder="0"/>
    </xf>
    <xf borderId="6" fillId="4" fontId="3" numFmtId="0" xfId="0" applyAlignment="1" applyBorder="1" applyFill="1" applyFont="1">
      <alignment readingOrder="0" vertical="center"/>
    </xf>
    <xf borderId="8" fillId="4" fontId="3" numFmtId="0" xfId="0" applyAlignment="1" applyBorder="1" applyFill="1" applyFont="1">
      <alignment readingOrder="0" vertical="top"/>
    </xf>
    <xf borderId="0" fillId="0" fontId="13" numFmtId="2" xfId="0" applyAlignment="1" applyFont="1" applyNumberFormat="1">
      <alignment horizontal="center" shrinkToFit="0" vertical="center" wrapText="0"/>
    </xf>
    <xf borderId="0" fillId="4" fontId="3" numFmtId="0" xfId="0" applyAlignment="1" applyFill="1" applyFont="1">
      <alignment readingOrder="0" vertical="top"/>
    </xf>
    <xf borderId="0" fillId="0" fontId="13" numFmtId="165" xfId="0" applyAlignment="1" applyFont="1" applyNumberFormat="1">
      <alignment horizontal="center" shrinkToFit="0" vertical="center" wrapText="0"/>
    </xf>
    <xf borderId="0" fillId="4" fontId="6" numFmtId="0" xfId="0" applyAlignment="1" applyFill="1" applyFont="1">
      <alignment readingOrder="0"/>
    </xf>
    <xf borderId="21" fillId="0" fontId="14" numFmtId="0" xfId="0" applyBorder="1" applyFont="1"/>
    <xf borderId="2" fillId="4" fontId="6" numFmtId="0" xfId="0" applyAlignment="1" applyBorder="1" applyFill="1" applyFont="1">
      <alignment horizontal="center" readingOrder="0"/>
    </xf>
    <xf borderId="2" fillId="0" fontId="14" numFmtId="0" xfId="0" applyBorder="1" applyFont="1"/>
    <xf borderId="0" fillId="0" fontId="5" numFmtId="2" xfId="0" applyAlignment="1" applyFont="1" applyNumberFormat="1">
      <alignment shrinkToFit="0" wrapText="1"/>
    </xf>
    <xf borderId="0" fillId="0" fontId="9" numFmtId="0" xfId="0" applyFont="1"/>
    <xf borderId="0" fillId="0" fontId="3" numFmtId="2" xfId="0" applyAlignment="1" applyFont="1" applyNumberFormat="1">
      <alignment readingOrder="0" shrinkToFit="0" wrapText="1"/>
    </xf>
    <xf borderId="0" fillId="0" fontId="3" numFmtId="2" xfId="0" applyAlignment="1" applyFont="1" applyNumberFormat="1">
      <alignment shrinkToFit="0" wrapText="1"/>
    </xf>
    <xf borderId="0" fillId="4" fontId="3" numFmtId="164" xfId="0" applyAlignment="1" applyFill="1" applyFont="1" applyNumberFormat="1">
      <alignment readingOrder="0"/>
    </xf>
    <xf borderId="30" fillId="0" fontId="3" numFmtId="0" xfId="0" applyAlignment="1" applyBorder="1" applyFont="1">
      <alignment readingOrder="0" vertical="center"/>
    </xf>
    <xf borderId="10" fillId="0" fontId="17" numFmtId="0" xfId="0" applyAlignment="1" applyBorder="1" applyFont="1">
      <alignment readingOrder="0"/>
    </xf>
    <xf borderId="0" fillId="6" fontId="18" numFmtId="0" xfId="0" applyAlignment="1" applyFill="1" applyFont="1">
      <alignment horizontal="left" readingOrder="0"/>
    </xf>
    <xf borderId="7" fillId="0" fontId="12" numFmtId="0" xfId="0" applyAlignment="1" applyBorder="1" applyFont="1">
      <alignment horizontal="center" readingOrder="0" vertical="bottom"/>
    </xf>
    <xf borderId="5" fillId="4" fontId="3" numFmtId="0" xfId="0" applyAlignment="1" applyBorder="1" applyFill="1" applyFont="1">
      <alignment readingOrder="0"/>
    </xf>
    <xf borderId="7" fillId="4" fontId="12" numFmtId="0" xfId="0" applyAlignment="1" applyBorder="1" applyFill="1" applyFont="1">
      <alignment horizontal="center" vertical="bottom"/>
    </xf>
    <xf borderId="21" fillId="4" fontId="3" numFmtId="0" xfId="0" applyAlignment="1" applyBorder="1" applyFill="1" applyFont="1">
      <alignment readingOrder="0"/>
    </xf>
    <xf borderId="0" fillId="0" fontId="13" numFmtId="165" xfId="0" applyAlignment="1" applyFont="1" applyNumberFormat="1">
      <alignment horizontal="center" readingOrder="0" shrinkToFit="0" vertical="center" wrapText="0"/>
    </xf>
    <xf borderId="30" fillId="0" fontId="3" numFmtId="164" xfId="0" applyAlignment="1" applyBorder="1" applyFont="1" applyNumberFormat="1">
      <alignment readingOrder="0" vertical="center"/>
    </xf>
    <xf borderId="10" fillId="0" fontId="3" numFmtId="0" xfId="0" applyAlignment="1" applyBorder="1" applyFont="1">
      <alignment readingOrder="0"/>
    </xf>
    <xf borderId="6" fillId="6" fontId="2" numFmtId="0" xfId="0" applyAlignment="1" applyBorder="1" applyFill="1" applyFont="1">
      <alignment shrinkToFit="0" wrapText="1"/>
    </xf>
    <xf borderId="0" fillId="0" fontId="3" numFmtId="2" xfId="0" applyAlignment="1" applyFont="1" applyNumberFormat="1">
      <alignment readingOrder="0"/>
    </xf>
    <xf borderId="6" fillId="0" fontId="2" numFmtId="0" xfId="0" applyAlignment="1" applyBorder="1" applyFont="1">
      <alignment horizontal="left" readingOrder="0" shrinkToFit="0" vertical="bottom" wrapText="1"/>
    </xf>
    <xf borderId="31" fillId="0" fontId="6" numFmtId="0" xfId="0" applyAlignment="1" applyBorder="1" applyFont="1">
      <alignment horizontal="center" readingOrder="0" shrinkToFit="0" vertical="center" wrapText="1"/>
    </xf>
    <xf borderId="0" fillId="0" fontId="3" numFmtId="164" xfId="0" applyFont="1" applyNumberFormat="1"/>
    <xf borderId="8" fillId="0" fontId="6" numFmtId="2" xfId="0" applyAlignment="1" applyBorder="1" applyFont="1" applyNumberFormat="1">
      <alignment horizontal="center" readingOrder="0" vertical="center"/>
    </xf>
    <xf borderId="31" fillId="0" fontId="6" numFmtId="2" xfId="0" applyAlignment="1" applyBorder="1" applyFont="1" applyNumberFormat="1">
      <alignment horizontal="center" readingOrder="0" vertical="center"/>
    </xf>
    <xf borderId="8" fillId="0" fontId="6" numFmtId="0" xfId="0" applyAlignment="1" applyBorder="1" applyFont="1">
      <alignment horizontal="center" readingOrder="0" shrinkToFit="0" vertical="center" wrapText="1"/>
    </xf>
    <xf borderId="1" fillId="0" fontId="6" numFmtId="2" xfId="0" applyAlignment="1" applyBorder="1" applyFont="1" applyNumberFormat="1">
      <alignment horizontal="center" readingOrder="0" shrinkToFit="0" vertical="center" wrapText="1"/>
    </xf>
    <xf borderId="6" fillId="0" fontId="6" numFmtId="2" xfId="0" applyAlignment="1" applyBorder="1" applyFont="1" applyNumberFormat="1">
      <alignment horizontal="center" readingOrder="0" shrinkToFit="0" vertical="center" wrapText="1"/>
    </xf>
    <xf borderId="27" fillId="0" fontId="14" numFmtId="0" xfId="0" applyBorder="1" applyFont="1"/>
    <xf borderId="27" fillId="0" fontId="6" numFmtId="14" xfId="0" applyAlignment="1" applyBorder="1" applyFont="1" applyNumberFormat="1">
      <alignment horizontal="center" readingOrder="0" shrinkToFit="0" vertical="center" wrapText="1"/>
    </xf>
    <xf borderId="20" fillId="0" fontId="14" numFmtId="0" xfId="0" applyBorder="1" applyFont="1"/>
    <xf borderId="32" fillId="0" fontId="6" numFmtId="2" xfId="0" applyAlignment="1" applyBorder="1" applyFont="1" applyNumberFormat="1">
      <alignment horizontal="center" readingOrder="0" shrinkToFit="0" vertical="center" wrapText="1"/>
    </xf>
    <xf borderId="32" fillId="0" fontId="3" numFmtId="0" xfId="0" applyAlignment="1" applyBorder="1" applyFont="1">
      <alignment horizontal="center" readingOrder="0" vertical="center"/>
    </xf>
    <xf borderId="32" fillId="0" fontId="3" numFmtId="0" xfId="0" applyAlignment="1" applyBorder="1" applyFont="1">
      <alignment horizontal="center" readingOrder="0" vertical="center"/>
    </xf>
    <xf borderId="32" fillId="0" fontId="3" numFmtId="0" xfId="0" applyAlignment="1" applyBorder="1" applyFont="1">
      <alignment readingOrder="0" shrinkToFit="0" vertical="center" wrapText="1"/>
    </xf>
    <xf borderId="32" fillId="0" fontId="3" numFmtId="14" xfId="0" applyAlignment="1" applyBorder="1" applyFont="1" applyNumberFormat="1">
      <alignment readingOrder="0" vertical="center"/>
    </xf>
    <xf borderId="32" fillId="0" fontId="3" numFmtId="0" xfId="0" applyAlignment="1" applyBorder="1" applyFont="1">
      <alignment shrinkToFit="0" vertical="center" wrapText="1"/>
    </xf>
    <xf borderId="30" fillId="0" fontId="3" numFmtId="2" xfId="0" applyAlignment="1" applyBorder="1" applyFont="1" applyNumberFormat="1">
      <alignment readingOrder="0" vertical="center"/>
    </xf>
    <xf borderId="32" fillId="0" fontId="3" numFmtId="2" xfId="0" applyAlignment="1" applyBorder="1" applyFont="1" applyNumberFormat="1">
      <alignment readingOrder="0" vertical="center"/>
    </xf>
    <xf borderId="30" fillId="0" fontId="3" numFmtId="0" xfId="0" applyAlignment="1" applyBorder="1" applyFont="1">
      <alignment shrinkToFit="0" vertical="center" wrapText="1"/>
    </xf>
    <xf borderId="30" fillId="0" fontId="3" numFmtId="0" xfId="0" applyAlignment="1" applyBorder="1" applyFont="1">
      <alignment horizontal="center" readingOrder="0" vertical="center"/>
    </xf>
    <xf borderId="30" fillId="0" fontId="3" numFmtId="0" xfId="0" applyAlignment="1" applyBorder="1" applyFont="1">
      <alignment horizontal="center" readingOrder="0" vertical="center"/>
    </xf>
    <xf borderId="30" fillId="0" fontId="3" numFmtId="0" xfId="0" applyAlignment="1" applyBorder="1" applyFont="1">
      <alignment readingOrder="0" shrinkToFit="0" vertical="center" wrapText="1"/>
    </xf>
    <xf borderId="30" fillId="0" fontId="3" numFmtId="14" xfId="0" applyAlignment="1" applyBorder="1" applyFont="1" applyNumberFormat="1">
      <alignment readingOrder="0" vertical="center"/>
    </xf>
    <xf borderId="8" fillId="0" fontId="5" numFmtId="0" xfId="0" applyAlignment="1" applyBorder="1" applyFont="1">
      <alignment shrinkToFit="0" vertical="bottom" wrapText="1"/>
    </xf>
    <xf borderId="6" fillId="0" fontId="5" numFmtId="0" xfId="0" applyAlignment="1" applyBorder="1" applyFont="1">
      <alignment shrinkToFit="0" wrapText="1"/>
    </xf>
    <xf borderId="20" fillId="0" fontId="5" numFmtId="0" xfId="0" applyAlignment="1" applyBorder="1" applyFont="1">
      <alignment horizontal="right" shrinkToFit="0" wrapText="1"/>
    </xf>
    <xf borderId="30" fillId="0" fontId="3" numFmtId="0" xfId="0" applyAlignment="1" applyBorder="1" applyFont="1">
      <alignment horizontal="center" vertical="center"/>
    </xf>
    <xf borderId="6" fillId="0" fontId="5" numFmtId="0" xfId="0" applyAlignment="1" applyBorder="1" applyFont="1">
      <alignment horizontal="center" shrinkToFit="0" vertical="bottom" wrapText="1"/>
    </xf>
    <xf borderId="30" fillId="0" fontId="3" numFmtId="2" xfId="0" applyAlignment="1" applyBorder="1" applyFont="1" applyNumberFormat="1">
      <alignment vertical="center"/>
    </xf>
    <xf borderId="0" fillId="0" fontId="3" numFmtId="165" xfId="0" applyFont="1" applyNumberFormat="1"/>
    <xf borderId="6" fillId="0" fontId="16" numFmtId="0" xfId="0" applyAlignment="1" applyBorder="1" applyFont="1">
      <alignment shrinkToFit="0" wrapText="1"/>
    </xf>
    <xf borderId="6" fillId="0" fontId="2" numFmtId="0" xfId="0" applyAlignment="1" applyBorder="1" applyFont="1">
      <alignment horizontal="left" vertical="bottom"/>
    </xf>
    <xf borderId="8" fillId="0" fontId="5" numFmtId="0" xfId="0" applyAlignment="1" applyBorder="1" applyFont="1">
      <alignment horizontal="center"/>
    </xf>
    <xf borderId="6" fillId="0" fontId="12" numFmtId="0" xfId="0" applyAlignment="1" applyBorder="1" applyFont="1">
      <alignment horizontal="center" shrinkToFit="0" wrapText="1"/>
    </xf>
    <xf borderId="6" fillId="0" fontId="2" numFmtId="0" xfId="0" applyAlignment="1" applyBorder="1" applyFont="1">
      <alignment horizontal="center" vertical="bottom"/>
    </xf>
    <xf borderId="6" fillId="0" fontId="12" numFmtId="0" xfId="0" applyAlignment="1" applyBorder="1" applyFont="1">
      <alignment horizontal="right" shrinkToFit="0" wrapText="1"/>
    </xf>
    <xf borderId="0" fillId="0" fontId="2" numFmtId="0" xfId="0" applyAlignment="1" applyFont="1">
      <alignment vertical="bottom"/>
    </xf>
    <xf borderId="0" fillId="0" fontId="2" numFmtId="0" xfId="0" applyAlignment="1" applyFont="1">
      <alignment horizontal="left" vertical="bottom"/>
    </xf>
    <xf borderId="0" fillId="0" fontId="12" numFmtId="0" xfId="0" applyFont="1"/>
    <xf borderId="6" fillId="0" fontId="5" numFmtId="0" xfId="0" applyAlignment="1" applyBorder="1" applyFont="1">
      <alignment horizontal="right" shrinkToFit="0" wrapText="1"/>
    </xf>
    <xf borderId="33" fillId="6" fontId="2" numFmtId="0" xfId="0" applyAlignment="1" applyBorder="1" applyFill="1" applyFont="1">
      <alignment vertical="bottom"/>
    </xf>
    <xf borderId="0" fillId="6" fontId="12" numFmtId="0" xfId="0" applyFill="1" applyFont="1"/>
    <xf borderId="30" fillId="0" fontId="6" numFmtId="2" xfId="0" applyAlignment="1" applyBorder="1" applyFont="1" applyNumberFormat="1">
      <alignment readingOrder="0" vertical="center"/>
    </xf>
    <xf borderId="27" fillId="0" fontId="2" numFmtId="0" xfId="0" applyAlignment="1" applyBorder="1" applyFont="1">
      <alignment horizontal="right" shrinkToFit="0" wrapText="1"/>
    </xf>
    <xf borderId="6" fillId="0" fontId="2" numFmtId="0" xfId="0" applyAlignment="1" applyBorder="1" applyFont="1">
      <alignment horizontal="right" shrinkToFit="0" wrapText="1"/>
    </xf>
    <xf borderId="0" fillId="0" fontId="2" numFmtId="0" xfId="0" applyAlignment="1" applyFont="1">
      <alignment shrinkToFit="0" wrapText="1"/>
    </xf>
    <xf borderId="30" fillId="0" fontId="3" numFmtId="14" xfId="0" applyAlignment="1" applyBorder="1" applyFont="1" applyNumberFormat="1">
      <alignment horizontal="center" readingOrder="0" vertical="center"/>
    </xf>
    <xf borderId="0" fillId="0" fontId="12" numFmtId="0" xfId="0" applyAlignment="1" applyFont="1">
      <alignment vertical="bottom"/>
    </xf>
    <xf borderId="30" fillId="0" fontId="3" numFmtId="165" xfId="0" applyAlignment="1" applyBorder="1" applyFont="1" applyNumberFormat="1">
      <alignment readingOrder="0" vertical="center"/>
    </xf>
    <xf borderId="0" fillId="0" fontId="3" numFmtId="0" xfId="0" applyAlignment="1" applyFont="1">
      <alignment readingOrder="0" shrinkToFit="0" vertical="center" wrapText="1"/>
    </xf>
    <xf borderId="0" fillId="0" fontId="3" numFmtId="0" xfId="0" applyAlignment="1" applyFont="1">
      <alignment horizontal="center" readingOrder="0" vertical="center"/>
    </xf>
    <xf borderId="0" fillId="0" fontId="3" numFmtId="0" xfId="0" applyAlignment="1" applyFont="1">
      <alignment horizontal="center" readingOrder="0" vertical="center"/>
    </xf>
    <xf borderId="0" fillId="0" fontId="3" numFmtId="14" xfId="0" applyAlignment="1" applyFont="1" applyNumberFormat="1">
      <alignment readingOrder="0" vertical="center"/>
    </xf>
    <xf borderId="0" fillId="0" fontId="3" numFmtId="0" xfId="0" applyAlignment="1" applyFont="1">
      <alignment shrinkToFit="0" vertical="center" wrapText="1"/>
    </xf>
    <xf borderId="0" fillId="0" fontId="3" numFmtId="2" xfId="0" applyAlignment="1" applyFont="1" applyNumberFormat="1">
      <alignment readingOrder="0" vertical="center"/>
    </xf>
    <xf borderId="0" fillId="0" fontId="3" numFmtId="2" xfId="0" applyAlignment="1" applyFont="1" applyNumberFormat="1">
      <alignment vertical="center"/>
    </xf>
    <xf borderId="0" fillId="4" fontId="3" numFmtId="0" xfId="0" applyAlignment="1" applyFill="1" applyFont="1">
      <alignment vertical="center"/>
    </xf>
    <xf borderId="0" fillId="4" fontId="6" numFmtId="0" xfId="0" applyAlignment="1" applyFill="1" applyFont="1">
      <alignment horizontal="center" readingOrder="0" shrinkToFit="0" vertical="center" wrapText="1"/>
    </xf>
    <xf borderId="0" fillId="4" fontId="3" numFmtId="0" xfId="0" applyAlignment="1" applyFill="1" applyFont="1">
      <alignment horizontal="right" vertical="center"/>
    </xf>
    <xf borderId="0" fillId="4" fontId="3" numFmtId="0" xfId="0" applyAlignment="1" applyFill="1" applyFont="1">
      <alignment horizontal="center" vertical="center"/>
    </xf>
    <xf borderId="0" fillId="4" fontId="3" numFmtId="4" xfId="0" applyAlignment="1" applyFill="1" applyFont="1" applyNumberFormat="1">
      <alignment horizontal="center" vertical="center"/>
    </xf>
    <xf borderId="0" fillId="4" fontId="3" numFmtId="0" xfId="0" applyAlignment="1" applyFill="1" applyFont="1">
      <alignment horizontal="left" shrinkToFit="0" vertical="center" wrapText="1"/>
    </xf>
    <xf borderId="0" fillId="4" fontId="3" numFmtId="4" xfId="0" applyAlignment="1" applyFill="1" applyFont="1" applyNumberFormat="1">
      <alignment horizontal="center"/>
    </xf>
    <xf borderId="12" fillId="0" fontId="6" numFmtId="0" xfId="0" applyAlignment="1" applyBorder="1" applyFont="1">
      <alignment horizontal="left" readingOrder="0" vertical="center"/>
    </xf>
    <xf borderId="0" fillId="4" fontId="3" numFmtId="166" xfId="0" applyAlignment="1" applyFill="1" applyFont="1" applyNumberFormat="1">
      <alignment horizontal="center" readingOrder="0" vertical="center"/>
    </xf>
    <xf borderId="0" fillId="4" fontId="3" numFmtId="164" xfId="0" applyAlignment="1" applyFill="1" applyFont="1" applyNumberFormat="1">
      <alignment horizontal="center" readingOrder="0" vertical="center"/>
    </xf>
    <xf borderId="0" fillId="4" fontId="6" numFmtId="0" xfId="0" applyAlignment="1" applyFill="1" applyFont="1">
      <alignment horizontal="right" readingOrder="0" shrinkToFit="0" vertical="center" wrapText="1"/>
    </xf>
    <xf borderId="0" fillId="0" fontId="6" numFmtId="4" xfId="0" applyAlignment="1" applyFont="1" applyNumberFormat="1">
      <alignment horizontal="right" vertical="center"/>
    </xf>
    <xf borderId="0" fillId="4" fontId="3" numFmtId="0" xfId="0" applyAlignment="1" applyFill="1" applyFont="1">
      <alignment shrinkToFit="0" vertical="center" wrapText="1"/>
    </xf>
    <xf borderId="0" fillId="4" fontId="3" numFmtId="4" xfId="0" applyAlignment="1" applyFill="1" applyFont="1" applyNumberFormat="1">
      <alignment vertical="center"/>
    </xf>
    <xf borderId="0" fillId="4" fontId="3" numFmtId="4" xfId="0" applyFill="1" applyFont="1" applyNumberFormat="1"/>
    <xf borderId="31" fillId="0" fontId="6" numFmtId="0" xfId="0" applyAlignment="1" applyBorder="1" applyFont="1">
      <alignment horizontal="center" readingOrder="0" vertical="center"/>
    </xf>
    <xf borderId="8" fillId="0" fontId="6" numFmtId="4" xfId="0" applyAlignment="1" applyBorder="1" applyFont="1" applyNumberFormat="1">
      <alignment horizontal="center" readingOrder="0" vertical="center"/>
    </xf>
    <xf borderId="31" fillId="0" fontId="6" numFmtId="4" xfId="0" applyAlignment="1" applyBorder="1" applyFont="1" applyNumberFormat="1">
      <alignment horizontal="center" readingOrder="0" vertical="center"/>
    </xf>
    <xf borderId="31" fillId="0" fontId="6" numFmtId="4" xfId="0" applyAlignment="1" applyBorder="1" applyFont="1" applyNumberFormat="1">
      <alignment horizontal="center" readingOrder="0" shrinkToFit="0" vertical="center" wrapText="1"/>
    </xf>
    <xf borderId="0" fillId="0" fontId="6" numFmtId="4" xfId="0" applyAlignment="1" applyFont="1" applyNumberFormat="1">
      <alignment horizontal="center" readingOrder="0" shrinkToFit="0" vertical="center" wrapText="1"/>
    </xf>
    <xf borderId="6" fillId="0" fontId="6" numFmtId="4" xfId="0" applyAlignment="1" applyBorder="1" applyFont="1" applyNumberFormat="1">
      <alignment horizontal="center" readingOrder="0" vertical="center"/>
    </xf>
    <xf borderId="32" fillId="0" fontId="3" numFmtId="0" xfId="0" applyAlignment="1" applyBorder="1" applyFont="1">
      <alignment vertical="center"/>
    </xf>
    <xf borderId="32" fillId="0" fontId="3" numFmtId="0" xfId="0" applyAlignment="1" applyBorder="1" applyFont="1">
      <alignment readingOrder="0" vertical="center"/>
    </xf>
    <xf borderId="32" fillId="0" fontId="3" numFmtId="14" xfId="0" applyAlignment="1" applyBorder="1" applyFont="1" applyNumberFormat="1">
      <alignment horizontal="right" readingOrder="0" vertical="center"/>
    </xf>
    <xf borderId="32" fillId="0" fontId="3" numFmtId="4" xfId="0" applyAlignment="1" applyBorder="1" applyFont="1" applyNumberFormat="1">
      <alignment readingOrder="0" vertical="center"/>
    </xf>
    <xf borderId="30" fillId="0" fontId="3" numFmtId="4" xfId="0" applyAlignment="1" applyBorder="1" applyFont="1" applyNumberFormat="1">
      <alignment readingOrder="0" vertical="center"/>
    </xf>
    <xf borderId="30" fillId="0" fontId="3" numFmtId="0" xfId="0" applyAlignment="1" applyBorder="1" applyFont="1">
      <alignment horizontal="left" readingOrder="0" shrinkToFit="0" vertical="center" wrapText="1"/>
    </xf>
    <xf borderId="0" fillId="0" fontId="2" numFmtId="0" xfId="0" applyFont="1"/>
    <xf borderId="0" fillId="0" fontId="2" numFmtId="0" xfId="0" applyAlignment="1" applyFont="1">
      <alignment horizontal="left" shrinkToFit="0" wrapText="1"/>
    </xf>
    <xf borderId="0" fillId="0" fontId="3" numFmtId="4" xfId="0" applyAlignment="1" applyFont="1" applyNumberFormat="1">
      <alignment readingOrder="0"/>
    </xf>
    <xf borderId="30" fillId="0" fontId="3" numFmtId="0" xfId="0" applyAlignment="1" applyBorder="1" applyFont="1">
      <alignment vertical="center"/>
    </xf>
    <xf borderId="30" fillId="0" fontId="3" numFmtId="14" xfId="0" applyAlignment="1" applyBorder="1" applyFont="1" applyNumberFormat="1">
      <alignment horizontal="right" readingOrder="0" vertical="center"/>
    </xf>
    <xf borderId="30" fillId="0" fontId="3" numFmtId="0" xfId="0" applyAlignment="1" applyBorder="1" applyFont="1">
      <alignment horizontal="left" readingOrder="0" shrinkToFit="0" vertical="center" wrapText="1"/>
    </xf>
    <xf borderId="30" fillId="0" fontId="3" numFmtId="0" xfId="0" applyAlignment="1" applyBorder="1" applyFont="1">
      <alignment horizontal="left" shrinkToFit="0" vertical="center" wrapText="1"/>
    </xf>
    <xf borderId="0" fillId="7" fontId="6" numFmtId="0" xfId="0" applyAlignment="1" applyFill="1" applyFont="1">
      <alignment horizontal="center" shrinkToFit="0" vertical="center" wrapText="1"/>
    </xf>
    <xf borderId="0" fillId="0" fontId="3" numFmtId="0" xfId="0" applyAlignment="1" applyFont="1">
      <alignment horizontal="center" vertical="center"/>
    </xf>
    <xf borderId="0" fillId="0" fontId="3" numFmtId="0" xfId="0" applyAlignment="1" applyFont="1">
      <alignment vertical="center"/>
    </xf>
    <xf borderId="0" fillId="0" fontId="3" numFmtId="4" xfId="0" applyFont="1" applyNumberFormat="1"/>
    <xf borderId="0" fillId="0" fontId="6" numFmtId="0" xfId="0" applyAlignment="1" applyFont="1">
      <alignment horizontal="center" shrinkToFit="0" vertical="center" wrapText="1"/>
    </xf>
    <xf borderId="0" fillId="0" fontId="3" numFmtId="164" xfId="0" applyAlignment="1" applyFont="1" applyNumberFormat="1">
      <alignment readingOrder="0" vertical="center"/>
    </xf>
    <xf borderId="0" fillId="4" fontId="3" numFmtId="0" xfId="0" applyAlignment="1" applyFill="1" applyFont="1">
      <alignment horizontal="center" readingOrder="0" vertical="center"/>
    </xf>
    <xf borderId="0" fillId="4" fontId="3" numFmtId="0" xfId="0" applyAlignment="1" applyFill="1" applyFont="1">
      <alignment readingOrder="0" vertical="center"/>
    </xf>
    <xf borderId="0" fillId="4" fontId="3" numFmtId="0" xfId="0" applyAlignment="1" applyFill="1" applyFont="1">
      <alignment readingOrder="0" shrinkToFit="0" vertical="center" wrapText="1"/>
    </xf>
    <xf borderId="0" fillId="4" fontId="3" numFmtId="14" xfId="0" applyAlignment="1" applyFill="1" applyFont="1" applyNumberFormat="1">
      <alignment horizontal="right" readingOrder="0" vertical="center"/>
    </xf>
    <xf borderId="0" fillId="4" fontId="3" numFmtId="4" xfId="0" applyAlignment="1" applyFill="1" applyFont="1" applyNumberFormat="1">
      <alignment readingOrder="0" vertical="center"/>
    </xf>
    <xf borderId="0" fillId="0" fontId="3" numFmtId="0" xfId="0" applyAlignment="1" applyFont="1">
      <alignment readingOrder="0" vertical="center"/>
    </xf>
    <xf borderId="0" fillId="0" fontId="3" numFmtId="14" xfId="0" applyAlignment="1" applyFont="1" applyNumberFormat="1">
      <alignment horizontal="center" readingOrder="0" vertical="center"/>
    </xf>
    <xf borderId="1" fillId="0" fontId="3" numFmtId="0" xfId="0" applyBorder="1" applyFont="1"/>
    <xf borderId="2" fillId="0" fontId="3" numFmtId="0" xfId="0" applyBorder="1" applyFont="1"/>
    <xf borderId="3" fillId="0" fontId="3" numFmtId="0" xfId="0" applyBorder="1" applyFont="1"/>
    <xf borderId="4" fillId="0" fontId="3" numFmtId="0" xfId="0" applyBorder="1" applyFont="1"/>
    <xf borderId="0" fillId="0" fontId="3" numFmtId="0" xfId="0" applyAlignment="1" applyFont="1">
      <alignment horizontal="center" readingOrder="0"/>
    </xf>
    <xf borderId="0" fillId="0" fontId="8" numFmtId="0" xfId="0" applyAlignment="1" applyFont="1">
      <alignment horizontal="center" readingOrder="0"/>
    </xf>
    <xf borderId="5" fillId="0" fontId="3" numFmtId="0" xfId="0" applyBorder="1" applyFont="1"/>
    <xf borderId="0" fillId="0" fontId="6" numFmtId="0" xfId="0" applyAlignment="1" applyFont="1">
      <alignment horizontal="center" readingOrder="0"/>
    </xf>
    <xf borderId="0" fillId="0" fontId="6" numFmtId="0" xfId="0" applyAlignment="1" applyFont="1">
      <alignment horizontal="right" readingOrder="0"/>
    </xf>
    <xf borderId="11" fillId="0" fontId="3" numFmtId="0" xfId="0" applyBorder="1" applyFont="1"/>
    <xf borderId="0" fillId="0" fontId="6" numFmtId="0" xfId="0" applyAlignment="1" applyFont="1">
      <alignment horizontal="right" readingOrder="0" vertical="top"/>
    </xf>
    <xf borderId="16" fillId="0" fontId="3" numFmtId="0" xfId="0" applyAlignment="1" applyBorder="1" applyFont="1">
      <alignment readingOrder="0" vertical="top"/>
    </xf>
    <xf borderId="0" fillId="0" fontId="6" numFmtId="0" xfId="0" applyAlignment="1" applyFont="1">
      <alignment horizontal="center" vertical="center"/>
    </xf>
    <xf borderId="4" fillId="0" fontId="6" numFmtId="0" xfId="0" applyAlignment="1" applyBorder="1" applyFont="1">
      <alignment horizontal="center" vertical="center"/>
    </xf>
    <xf borderId="10" fillId="0" fontId="6" numFmtId="0" xfId="0" applyAlignment="1" applyBorder="1" applyFont="1">
      <alignment horizontal="center" readingOrder="0" vertical="center"/>
    </xf>
    <xf borderId="7" fillId="0" fontId="6" numFmtId="0" xfId="0" applyAlignment="1" applyBorder="1" applyFont="1">
      <alignment horizontal="center" readingOrder="0" vertical="center"/>
    </xf>
    <xf borderId="5" fillId="0" fontId="6" numFmtId="0" xfId="0" applyAlignment="1" applyBorder="1" applyFont="1">
      <alignment horizontal="center" vertical="center"/>
    </xf>
    <xf borderId="21" fillId="0" fontId="6" numFmtId="2" xfId="0" applyAlignment="1" applyBorder="1" applyFont="1" applyNumberFormat="1">
      <alignment horizontal="center"/>
    </xf>
    <xf borderId="28" fillId="0" fontId="6" numFmtId="2" xfId="0" applyAlignment="1" applyBorder="1" applyFont="1" applyNumberFormat="1">
      <alignment horizontal="center"/>
    </xf>
    <xf borderId="8" fillId="0" fontId="6" numFmtId="0" xfId="0" applyAlignment="1" applyBorder="1" applyFont="1">
      <alignment horizontal="center" readingOrder="0" vertical="center"/>
    </xf>
    <xf borderId="0" fillId="0" fontId="6" numFmtId="0" xfId="0" applyAlignment="1" applyFont="1">
      <alignment horizontal="center" readingOrder="0" vertical="center"/>
    </xf>
    <xf borderId="6" fillId="0" fontId="6" numFmtId="0" xfId="0" applyAlignment="1" applyBorder="1" applyFont="1">
      <alignment horizontal="center" readingOrder="0"/>
    </xf>
    <xf borderId="8" fillId="0" fontId="3" numFmtId="0" xfId="0" applyAlignment="1" applyBorder="1" applyFont="1">
      <alignment readingOrder="0"/>
    </xf>
    <xf borderId="6" fillId="0" fontId="3" numFmtId="0" xfId="0" applyAlignment="1" applyBorder="1" applyFont="1">
      <alignment readingOrder="0" vertical="center"/>
    </xf>
    <xf borderId="8" fillId="0" fontId="3" numFmtId="0" xfId="0" applyAlignment="1" applyBorder="1" applyFont="1">
      <alignment readingOrder="0" vertical="top"/>
    </xf>
    <xf borderId="0" fillId="0" fontId="3" numFmtId="0" xfId="0" applyAlignment="1" applyFont="1">
      <alignment readingOrder="0" vertical="top"/>
    </xf>
    <xf borderId="4" fillId="0" fontId="3" numFmtId="0" xfId="0" applyAlignment="1" applyBorder="1" applyFont="1">
      <alignment readingOrder="0"/>
    </xf>
    <xf borderId="0" fillId="0" fontId="6" numFmtId="0" xfId="0" applyAlignment="1" applyFont="1">
      <alignment readingOrder="0"/>
    </xf>
    <xf borderId="21" fillId="0" fontId="3" numFmtId="0" xfId="0" applyBorder="1" applyFont="1"/>
    <xf borderId="2" fillId="0" fontId="6" numFmtId="0" xfId="0" applyAlignment="1" applyBorder="1" applyFont="1">
      <alignment horizontal="center" readingOrder="0"/>
    </xf>
    <xf borderId="20" fillId="0" fontId="3" numFmtId="0" xfId="0" applyBorder="1" applyFont="1"/>
    <xf borderId="22" fillId="0" fontId="3" numFmtId="0" xfId="0" applyBorder="1" applyFont="1"/>
    <xf borderId="0" fillId="0" fontId="2" numFmtId="2" xfId="0" applyFont="1" applyNumberFormat="1"/>
    <xf borderId="0" fillId="0" fontId="19" numFmtId="0" xfId="0" applyAlignment="1" applyFont="1">
      <alignment horizontal="center"/>
    </xf>
    <xf borderId="1" fillId="0" fontId="5" numFmtId="0" xfId="0" applyAlignment="1" applyBorder="1" applyFont="1">
      <alignment horizontal="center" shrinkToFit="0" wrapText="1"/>
    </xf>
    <xf borderId="3" fillId="0" fontId="14" numFmtId="0" xfId="0" applyBorder="1" applyFont="1"/>
    <xf borderId="9" fillId="0" fontId="5" numFmtId="0" xfId="0" applyAlignment="1" applyBorder="1" applyFont="1">
      <alignment horizontal="center" shrinkToFit="0" wrapText="1"/>
    </xf>
    <xf borderId="1" fillId="0" fontId="5" numFmtId="2" xfId="0" applyAlignment="1" applyBorder="1" applyFont="1" applyNumberFormat="1">
      <alignment horizontal="center" readingOrder="0" shrinkToFit="0" wrapText="1"/>
    </xf>
    <xf borderId="9" fillId="0" fontId="5" numFmtId="2" xfId="0" applyAlignment="1" applyBorder="1" applyFont="1" applyNumberFormat="1">
      <alignment horizontal="center" shrinkToFit="0" wrapText="1"/>
    </xf>
    <xf borderId="6" fillId="0" fontId="5" numFmtId="2" xfId="0" applyAlignment="1" applyBorder="1" applyFont="1" applyNumberFormat="1">
      <alignment horizontal="center" shrinkToFit="0" wrapText="1"/>
    </xf>
    <xf borderId="6" fillId="0" fontId="2" numFmtId="2" xfId="0" applyBorder="1" applyFont="1" applyNumberFormat="1"/>
    <xf borderId="0" fillId="0" fontId="12" numFmtId="17" xfId="0" applyFont="1" applyNumberFormat="1"/>
    <xf borderId="6" fillId="0" fontId="2" numFmtId="0" xfId="0" applyAlignment="1" applyBorder="1" applyFont="1">
      <alignment horizontal="center" shrinkToFit="0" wrapText="1"/>
    </xf>
    <xf borderId="6" fillId="0" fontId="2" numFmtId="2" xfId="0" applyAlignment="1" applyBorder="1" applyFont="1" applyNumberFormat="1">
      <alignment readingOrder="0"/>
    </xf>
    <xf borderId="21" fillId="0" fontId="12" numFmtId="17" xfId="0" applyBorder="1" applyFont="1" applyNumberFormat="1"/>
    <xf borderId="21" fillId="0" fontId="12" numFmtId="0" xfId="0" applyBorder="1" applyFont="1"/>
    <xf borderId="20" fillId="0" fontId="2" numFmtId="0" xfId="0" applyAlignment="1" applyBorder="1" applyFont="1">
      <alignment horizontal="center"/>
    </xf>
    <xf borderId="20" fillId="0" fontId="5" numFmtId="0" xfId="0" applyBorder="1" applyFont="1"/>
    <xf borderId="27" fillId="0" fontId="2" numFmtId="0" xfId="0" applyAlignment="1" applyBorder="1" applyFont="1">
      <alignment horizontal="center"/>
    </xf>
    <xf borderId="22" fillId="0" fontId="16" numFmtId="0" xfId="0" applyBorder="1" applyFont="1"/>
    <xf borderId="27" fillId="0" fontId="16" numFmtId="0" xfId="0" applyAlignment="1" applyBorder="1" applyFont="1">
      <alignment horizontal="center"/>
    </xf>
    <xf borderId="22" fillId="0" fontId="2" numFmtId="0" xfId="0" applyBorder="1" applyFont="1"/>
    <xf borderId="8" fillId="0" fontId="5" numFmtId="0" xfId="0" applyAlignment="1" applyBorder="1" applyFont="1">
      <alignment horizontal="right" shrinkToFit="0" wrapText="1"/>
    </xf>
    <xf borderId="6" fillId="0" fontId="5" numFmtId="2" xfId="0" applyBorder="1" applyFont="1" applyNumberFormat="1"/>
    <xf borderId="34" fillId="6" fontId="16" numFmtId="0" xfId="0" applyBorder="1" applyFill="1" applyFont="1"/>
    <xf borderId="34" fillId="6" fontId="2" numFmtId="0" xfId="0" applyBorder="1" applyFill="1" applyFont="1"/>
    <xf borderId="5" fillId="0" fontId="16" numFmtId="0" xfId="0" applyBorder="1" applyFont="1"/>
    <xf borderId="20" fillId="0" fontId="5" numFmtId="0" xfId="0" applyAlignment="1" applyBorder="1" applyFont="1">
      <alignment horizontal="left"/>
    </xf>
    <xf borderId="8" fillId="0" fontId="5" numFmtId="0" xfId="0" applyBorder="1" applyFont="1"/>
    <xf borderId="6" fillId="0" fontId="2" numFmtId="0" xfId="0" applyAlignment="1" applyBorder="1" applyFont="1">
      <alignment horizontal="center"/>
    </xf>
    <xf borderId="0" fillId="0" fontId="5" numFmtId="0" xfId="0" applyAlignment="1" applyFont="1">
      <alignment shrinkToFit="0" wrapText="1"/>
    </xf>
    <xf borderId="0" fillId="0" fontId="16" numFmtId="0" xfId="0" applyAlignment="1" applyFont="1">
      <alignment shrinkToFit="0" wrapText="1"/>
    </xf>
    <xf borderId="0" fillId="0" fontId="20" numFmtId="0" xfId="0" applyAlignment="1" applyFont="1">
      <alignment shrinkToFit="0" wrapText="1"/>
    </xf>
    <xf borderId="0" fillId="0" fontId="3" numFmtId="0" xfId="0" applyAlignment="1" applyFont="1">
      <alignment readingOrder="0" shrinkToFit="0" vertical="center" wrapText="1"/>
    </xf>
    <xf borderId="0" fillId="7" fontId="6" numFmtId="0" xfId="0" applyAlignment="1" applyFill="1" applyFont="1">
      <alignment horizontal="center" vertical="center"/>
    </xf>
    <xf borderId="0" fillId="0" fontId="6" numFmtId="0" xfId="0" applyAlignment="1" applyFont="1">
      <alignment horizontal="center" readingOrder="0" shrinkToFit="0" vertical="center" wrapText="1"/>
    </xf>
    <xf borderId="0" fillId="0" fontId="6" numFmtId="2" xfId="0" applyAlignment="1" applyFont="1" applyNumberFormat="1">
      <alignment horizontal="center" readingOrder="0" vertical="center"/>
    </xf>
    <xf borderId="0" fillId="6" fontId="21" numFmtId="0" xfId="0" applyAlignment="1" applyFill="1" applyFont="1">
      <alignment shrinkToFit="0" vertical="center" wrapText="1"/>
    </xf>
    <xf borderId="0" fillId="0" fontId="3" numFmtId="2" xfId="0" applyAlignment="1" applyFont="1" applyNumberFormat="1">
      <alignment horizontal="center" readingOrder="0" vertical="center"/>
    </xf>
    <xf borderId="0" fillId="0" fontId="6" numFmtId="0" xfId="0" applyAlignment="1" applyFont="1">
      <alignment readingOrder="0" vertical="center"/>
    </xf>
    <xf borderId="0" fillId="0" fontId="3" numFmtId="2" xfId="0" applyAlignment="1" applyFont="1" applyNumberFormat="1">
      <alignment horizontal="center" vertical="center"/>
    </xf>
    <xf borderId="0" fillId="0" fontId="22" numFmtId="0" xfId="0" applyAlignment="1" applyFont="1">
      <alignment horizontal="center" readingOrder="0" shrinkToFit="0" vertical="center" wrapText="1"/>
    </xf>
    <xf borderId="6" fillId="0" fontId="6" numFmtId="0" xfId="0" applyAlignment="1" applyBorder="1" applyFont="1">
      <alignment horizontal="center" readingOrder="0" shrinkToFit="0" vertical="center" wrapText="1"/>
    </xf>
    <xf borderId="6" fillId="0" fontId="6" numFmtId="2" xfId="0" applyAlignment="1" applyBorder="1" applyFont="1" applyNumberFormat="1">
      <alignment horizontal="center" readingOrder="0" vertical="center"/>
    </xf>
    <xf borderId="6" fillId="0" fontId="6" numFmtId="0" xfId="0" applyAlignment="1" applyBorder="1" applyFont="1">
      <alignment horizontal="center" readingOrder="0" vertical="center"/>
    </xf>
    <xf borderId="6" fillId="0" fontId="3" numFmtId="0" xfId="0" applyAlignment="1" applyBorder="1" applyFont="1">
      <alignment readingOrder="0"/>
    </xf>
    <xf borderId="6" fillId="0" fontId="3" numFmtId="2" xfId="0" applyAlignment="1" applyBorder="1" applyFont="1" applyNumberFormat="1">
      <alignment horizontal="center" readingOrder="0"/>
    </xf>
    <xf borderId="6" fillId="0" fontId="6" numFmtId="0" xfId="0" applyAlignment="1" applyBorder="1" applyFont="1">
      <alignment readingOrder="0"/>
    </xf>
    <xf borderId="6" fillId="0" fontId="3" numFmtId="0" xfId="0" applyAlignment="1" applyBorder="1" applyFont="1">
      <alignment horizontal="center" readingOrder="0"/>
    </xf>
    <xf borderId="0" fillId="0" fontId="3" numFmtId="167" xfId="0" applyAlignment="1" applyFont="1" applyNumberFormat="1">
      <alignment readingOrder="0" vertical="center"/>
    </xf>
    <xf borderId="0" fillId="0" fontId="23" numFmtId="0" xfId="0" applyAlignment="1" applyFont="1">
      <alignment vertical="bottom"/>
    </xf>
    <xf borderId="0" fillId="0" fontId="24" numFmtId="0" xfId="0" applyAlignment="1" applyFont="1">
      <alignment vertical="bottom"/>
    </xf>
    <xf borderId="0" fillId="0" fontId="12" numFmtId="0" xfId="0" applyAlignment="1" applyFont="1">
      <alignment vertical="bottom"/>
    </xf>
    <xf borderId="0" fillId="0" fontId="25" numFmtId="0" xfId="0" applyAlignment="1" applyFont="1">
      <alignment vertical="bottom"/>
    </xf>
    <xf borderId="0" fillId="6" fontId="24" numFmtId="0" xfId="0" applyAlignment="1" applyFill="1" applyFont="1">
      <alignment vertical="bottom"/>
    </xf>
    <xf borderId="0" fillId="6" fontId="26" numFmtId="0" xfId="0" applyAlignment="1" applyFill="1" applyFont="1">
      <alignment vertical="bottom"/>
    </xf>
    <xf borderId="0" fillId="0" fontId="27" numFmtId="0" xfId="0" applyAlignment="1" applyFont="1">
      <alignment readingOrder="0" shrinkToFit="0" wrapText="0"/>
    </xf>
    <xf borderId="0" fillId="0" fontId="28" numFmtId="0" xfId="0" applyAlignment="1" applyFont="1">
      <alignment readingOrder="0" shrinkToFit="0" wrapText="0"/>
    </xf>
    <xf borderId="0" fillId="8" fontId="29" numFmtId="0" xfId="0" applyAlignment="1" applyFill="1" applyFont="1">
      <alignment readingOrder="0" shrinkToFit="0" wrapText="0"/>
    </xf>
    <xf borderId="0" fillId="8" fontId="27" numFmtId="0" xfId="0" applyAlignment="1" applyFill="1" applyFont="1">
      <alignment readingOrder="0" shrinkToFit="0" wrapText="0"/>
    </xf>
    <xf borderId="0" fillId="8" fontId="30" numFmtId="0" xfId="0" applyAlignment="1" applyFill="1" applyFont="1">
      <alignment readingOrder="0" shrinkToFit="0" wrapText="0"/>
    </xf>
    <xf borderId="0" fillId="0" fontId="31" numFmtId="0" xfId="0" applyAlignment="1" applyFont="1">
      <alignment readingOrder="0" shrinkToFit="0" wrapText="0"/>
    </xf>
    <xf borderId="0" fillId="0" fontId="32" numFmtId="0" xfId="0" applyAlignment="1" applyFont="1">
      <alignment vertical="bottom"/>
    </xf>
    <xf borderId="0" fillId="0" fontId="3" numFmtId="165" xfId="0" applyAlignment="1" applyFont="1" applyNumberFormat="1">
      <alignment vertical="center"/>
    </xf>
    <xf borderId="0" fillId="0" fontId="27" numFmtId="168" xfId="0" applyAlignment="1" applyFont="1" applyNumberFormat="1">
      <alignment readingOrder="0" shrinkToFit="0" wrapText="0"/>
    </xf>
    <xf borderId="0" fillId="8" fontId="33" numFmtId="0" xfId="0" applyAlignment="1" applyFill="1" applyFont="1">
      <alignment readingOrder="0" shrinkToFit="0" wrapText="0"/>
    </xf>
    <xf borderId="0" fillId="8" fontId="33" numFmtId="168" xfId="0" applyAlignment="1" applyFill="1" applyFont="1" applyNumberFormat="1">
      <alignment readingOrder="0" shrinkToFit="0" wrapText="0"/>
    </xf>
    <xf borderId="0" fillId="8" fontId="27" numFmtId="169" xfId="0" applyAlignment="1" applyFill="1" applyFont="1" applyNumberFormat="1">
      <alignment readingOrder="0" shrinkToFit="0" wrapText="0"/>
    </xf>
    <xf borderId="0" fillId="8" fontId="27" numFmtId="168" xfId="0" applyAlignment="1" applyFill="1" applyFont="1" applyNumberFormat="1">
      <alignment readingOrder="0" shrinkToFit="0" wrapText="0"/>
    </xf>
    <xf borderId="0" fillId="0" fontId="27" numFmtId="169" xfId="0" applyAlignment="1" applyFont="1" applyNumberFormat="1">
      <alignment readingOrder="0" shrinkToFit="0" wrapText="0"/>
    </xf>
    <xf borderId="0" fillId="0" fontId="3" numFmtId="4" xfId="0" applyAlignment="1" applyFont="1" applyNumberFormat="1">
      <alignment shrinkToFit="0" vertical="center" wrapText="1"/>
    </xf>
    <xf borderId="0" fillId="0" fontId="34" numFmtId="0" xfId="0" applyAlignment="1" applyFont="1">
      <alignment horizontal="right" readingOrder="0" vertical="center"/>
    </xf>
    <xf borderId="0" fillId="0" fontId="34" numFmtId="0" xfId="0" applyAlignment="1" applyFont="1">
      <alignment horizontal="right" readingOrder="0" vertical="center"/>
    </xf>
    <xf borderId="0" fillId="9" fontId="10" numFmtId="2" xfId="0" applyAlignment="1" applyFill="1" applyFont="1" applyNumberFormat="1">
      <alignment horizontal="center" vertical="center"/>
    </xf>
    <xf borderId="0" fillId="0" fontId="13" numFmtId="0" xfId="0" applyAlignment="1" applyFont="1">
      <alignment horizontal="left"/>
    </xf>
    <xf borderId="0" fillId="0" fontId="13" numFmtId="2" xfId="0" applyFont="1" applyNumberFormat="1"/>
    <xf borderId="0" fillId="0" fontId="13" numFmtId="0" xfId="0" applyAlignment="1" applyFont="1">
      <alignment horizontal="center" readingOrder="0" shrinkToFit="0" vertical="center" wrapText="0"/>
    </xf>
    <xf borderId="0" fillId="0" fontId="13" numFmtId="0" xfId="0" applyAlignment="1" applyFont="1">
      <alignment horizontal="left" shrinkToFit="0" vertical="center" wrapText="0"/>
    </xf>
    <xf borderId="0" fillId="0" fontId="13" numFmtId="2" xfId="0" applyAlignment="1" applyFont="1" applyNumberFormat="1">
      <alignment shrinkToFit="0" vertical="center" wrapText="0"/>
    </xf>
    <xf borderId="0" fillId="0" fontId="13" numFmtId="2" xfId="0" applyAlignment="1" applyFont="1" applyNumberFormat="1">
      <alignment readingOrder="0" shrinkToFit="0" vertical="center" wrapText="0"/>
    </xf>
    <xf borderId="0" fillId="0" fontId="13" numFmtId="14" xfId="0" applyAlignment="1" applyFont="1" applyNumberFormat="1">
      <alignment horizontal="center" readingOrder="0" shrinkToFit="0" vertical="center" wrapText="0"/>
    </xf>
    <xf borderId="10" fillId="0" fontId="35" numFmtId="0" xfId="0" applyAlignment="1" applyBorder="1" applyFont="1">
      <alignment readingOrder="0"/>
    </xf>
    <xf borderId="8" fillId="0" fontId="6" numFmtId="0" xfId="0" applyAlignment="1" applyBorder="1" applyFont="1">
      <alignment horizontal="center" readingOrder="0"/>
    </xf>
    <xf borderId="35" fillId="4" fontId="6" numFmtId="0" xfId="0" applyAlignment="1" applyBorder="1" applyFill="1" applyFont="1">
      <alignment horizontal="center" readingOrder="0" vertical="center"/>
    </xf>
    <xf borderId="26" fillId="4" fontId="6" numFmtId="0" xfId="0" applyAlignment="1" applyBorder="1" applyFill="1" applyFont="1">
      <alignment horizontal="center" readingOrder="0" vertical="center"/>
    </xf>
    <xf borderId="36" fillId="4" fontId="6" numFmtId="0" xfId="0" applyAlignment="1" applyBorder="1" applyFill="1" applyFont="1">
      <alignment horizontal="center" readingOrder="0" vertical="center"/>
    </xf>
    <xf borderId="37" fillId="4" fontId="3" numFmtId="0" xfId="0" applyAlignment="1" applyBorder="1" applyFill="1" applyFont="1">
      <alignment readingOrder="0"/>
    </xf>
    <xf borderId="7" fillId="0" fontId="12" numFmtId="2" xfId="0" applyAlignment="1" applyBorder="1" applyFont="1" applyNumberFormat="1">
      <alignment horizontal="center" readingOrder="0" vertical="bottom"/>
    </xf>
    <xf borderId="38" fillId="0" fontId="12" numFmtId="2" xfId="0" applyAlignment="1" applyBorder="1" applyFont="1" applyNumberFormat="1">
      <alignment horizontal="center" readingOrder="0" vertical="bottom"/>
    </xf>
    <xf borderId="38" fillId="4" fontId="12" numFmtId="0" xfId="0" applyAlignment="1" applyBorder="1" applyFill="1" applyFont="1">
      <alignment horizontal="center" vertical="bottom"/>
    </xf>
    <xf borderId="6" fillId="0" fontId="3" numFmtId="2" xfId="0" applyBorder="1" applyFont="1" applyNumberFormat="1"/>
    <xf borderId="21" fillId="4" fontId="6" numFmtId="0" xfId="0" applyAlignment="1" applyBorder="1" applyFill="1" applyFont="1">
      <alignment horizontal="right" readingOrder="0"/>
    </xf>
    <xf borderId="8" fillId="7" fontId="6" numFmtId="0" xfId="0" applyBorder="1" applyFill="1" applyFont="1"/>
    <xf borderId="8" fillId="0" fontId="3" numFmtId="0" xfId="0" applyAlignment="1" applyBorder="1" applyFont="1">
      <alignment horizontal="center" readingOrder="0"/>
    </xf>
    <xf borderId="0" fillId="6" fontId="36" numFmtId="0" xfId="0" applyAlignment="1" applyFill="1" applyFont="1">
      <alignment readingOrder="0"/>
    </xf>
    <xf borderId="0" fillId="10" fontId="7" numFmtId="0" xfId="0" applyAlignment="1" applyFill="1" applyFont="1">
      <alignment horizontal="center"/>
    </xf>
    <xf borderId="0" fillId="11" fontId="12" numFmtId="0" xfId="0" applyAlignment="1" applyFill="1" applyFont="1">
      <alignment horizontal="center" vertical="bottom"/>
    </xf>
    <xf borderId="0" fillId="0" fontId="2" numFmtId="170" xfId="0" applyAlignment="1" applyFont="1" applyNumberFormat="1">
      <alignment horizontal="center" readingOrder="0" shrinkToFit="0" wrapText="1"/>
    </xf>
    <xf borderId="0" fillId="6" fontId="37" numFmtId="0" xfId="0" applyAlignment="1" applyFill="1" applyFont="1">
      <alignment shrinkToFit="0" vertical="center" wrapText="1"/>
    </xf>
    <xf borderId="0" fillId="6" fontId="37" numFmtId="0" xfId="0" applyAlignment="1" applyFill="1" applyFont="1">
      <alignment horizontal="center" shrinkToFit="0" vertical="center" wrapText="1"/>
    </xf>
    <xf borderId="0" fillId="6" fontId="38" numFmtId="0" xfId="0" applyFill="1" applyFont="1"/>
    <xf borderId="0" fillId="0" fontId="3" numFmtId="2" xfId="0" applyAlignment="1" applyFont="1" applyNumberFormat="1">
      <alignment horizontal="center"/>
    </xf>
    <xf borderId="0" fillId="0" fontId="3" numFmtId="11" xfId="0" applyAlignment="1" applyFont="1" applyNumberFormat="1">
      <alignment shrinkToFit="0" vertical="center" wrapText="1"/>
    </xf>
    <xf borderId="0" fillId="0" fontId="39" numFmtId="0" xfId="0" applyAlignment="1" applyFont="1">
      <alignment shrinkToFit="0" vertical="center" wrapText="1"/>
    </xf>
    <xf borderId="0" fillId="0" fontId="3" numFmtId="164" xfId="0" applyAlignment="1" applyFont="1" applyNumberFormat="1">
      <alignment readingOrder="0"/>
    </xf>
    <xf borderId="31" fillId="0" fontId="6" numFmtId="2" xfId="0" applyAlignment="1" applyBorder="1" applyFont="1" applyNumberFormat="1">
      <alignment horizontal="center" readingOrder="0" shrinkToFit="0" vertical="center" wrapText="1"/>
    </xf>
    <xf borderId="0" fillId="0" fontId="6" numFmtId="2" xfId="0" applyAlignment="1" applyFont="1" applyNumberFormat="1">
      <alignment horizontal="center" readingOrder="0" shrinkToFit="0" vertical="center" wrapText="1"/>
    </xf>
    <xf borderId="0" fillId="0" fontId="6" numFmtId="0" xfId="0" applyAlignment="1" applyFont="1">
      <alignment horizontal="center"/>
    </xf>
    <xf borderId="0" fillId="0" fontId="3" numFmtId="14" xfId="0" applyAlignment="1" applyFont="1" applyNumberFormat="1">
      <alignment readingOrder="0"/>
    </xf>
    <xf borderId="0" fillId="0" fontId="3" numFmtId="0" xfId="0" applyAlignment="1" applyFont="1">
      <alignment horizontal="center" readingOrder="0"/>
    </xf>
    <xf borderId="0" fillId="0" fontId="3" numFmtId="0" xfId="0" applyAlignment="1" applyFont="1">
      <alignment horizontal="center"/>
    </xf>
    <xf borderId="0" fillId="0" fontId="3" numFmtId="0" xfId="0" applyAlignment="1" applyFont="1">
      <alignment readingOrder="0"/>
    </xf>
  </cellXfs>
  <cellStyles count="1">
    <cellStyle xfId="0" name="Normal" builtinId="0"/>
  </cellStyles>
  <dxfs count="11">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
      <font/>
      <fill>
        <patternFill patternType="solid">
          <fgColor rgb="FF00FF00"/>
          <bgColor rgb="FF00FF00"/>
        </patternFill>
      </fill>
      <border/>
    </dxf>
    <dxf>
      <font/>
      <fill>
        <patternFill patternType="solid">
          <fgColor rgb="FF00FFFF"/>
          <bgColor rgb="FF00FFFF"/>
        </patternFill>
      </fill>
      <border/>
    </dxf>
    <dxf>
      <font/>
      <fill>
        <patternFill patternType="solid">
          <fgColor rgb="FFFF0000"/>
          <bgColor rgb="FFFF0000"/>
        </patternFill>
      </fill>
      <border/>
    </dxf>
    <dxf>
      <font/>
      <fill>
        <patternFill patternType="solid">
          <fgColor rgb="FF9FC5E8"/>
          <bgColor rgb="FF9FC5E8"/>
        </patternFill>
      </fill>
      <border/>
    </dxf>
    <dxf>
      <font/>
      <fill>
        <patternFill patternType="solid">
          <fgColor rgb="FF45818E"/>
          <bgColor rgb="FF45818E"/>
        </patternFill>
      </fill>
      <border/>
    </dxf>
    <dxf>
      <font/>
      <fill>
        <patternFill patternType="solid">
          <fgColor rgb="FF0000FF"/>
          <bgColor rgb="FF0000FF"/>
        </patternFill>
      </fill>
      <border/>
    </dxf>
  </dxfs>
  <tableStyles count="4">
    <tableStyle count="4" pivot="0" name="July 2024-style">
      <tableStyleElement dxfId="1" type="headerRow"/>
      <tableStyleElement dxfId="2" type="firstRowStripe"/>
      <tableStyleElement dxfId="3" type="secondRowStripe"/>
      <tableStyleElement dxfId="4" size="0" type="wholeTable"/>
    </tableStyle>
    <tableStyle count="4" pivot="0" name="July 2024-style 2">
      <tableStyleElement dxfId="1" type="headerRow"/>
      <tableStyleElement dxfId="2" type="firstRowStripe"/>
      <tableStyleElement dxfId="3" type="secondRowStripe"/>
      <tableStyleElement dxfId="4" size="0" type="wholeTable"/>
    </tableStyle>
    <tableStyle count="4" pivot="0" name="MONTLY RATINGS-style">
      <tableStyleElement dxfId="1" type="headerRow"/>
      <tableStyleElement dxfId="2" type="firstRowStripe"/>
      <tableStyleElement dxfId="3" type="secondRowStripe"/>
      <tableStyleElement dxfId="4" size="0" type="wholeTable"/>
    </tableStyle>
    <tableStyle count="4" pivot="0" name="MONTLY RATINGS-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2" Type="http://schemas.openxmlformats.org/officeDocument/2006/relationships/worksheet" Target="worksheets/sheet28.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5.png"/><Relationship Id="rId4" Type="http://schemas.openxmlformats.org/officeDocument/2006/relationships/image" Target="../media/image4.png"/><Relationship Id="rId5"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5.png"/><Relationship Id="rId4" Type="http://schemas.openxmlformats.org/officeDocument/2006/relationships/image" Target="../media/image4.png"/><Relationship Id="rId5"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5.png"/><Relationship Id="rId4" Type="http://schemas.openxmlformats.org/officeDocument/2006/relationships/image" Target="../media/image4.png"/><Relationship Id="rId5"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180975</xdr:colOff>
      <xdr:row>2</xdr:row>
      <xdr:rowOff>314325</xdr:rowOff>
    </xdr:from>
    <xdr:ext cx="1285875" cy="333375"/>
    <xdr:sp>
      <xdr:nvSpPr>
        <xdr:cNvPr id="3" name="Shape 3"/>
        <xdr:cNvSpPr txBox="1"/>
      </xdr:nvSpPr>
      <xdr:spPr>
        <a:xfrm>
          <a:off x="894950" y="590075"/>
          <a:ext cx="2085000" cy="523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100"/>
            <a:t>SISC/QSF-PUR-014 </a:t>
          </a:r>
          <a:endParaRPr sz="1100"/>
        </a:p>
        <a:p>
          <a:pPr indent="0" lvl="0" marL="0" rtl="0" algn="l">
            <a:spcBef>
              <a:spcPts val="0"/>
            </a:spcBef>
            <a:spcAft>
              <a:spcPts val="0"/>
            </a:spcAft>
            <a:buNone/>
          </a:pPr>
          <a:r>
            <a:rPr lang="en-US" sz="1100"/>
            <a:t>REV 001 07/18/16</a:t>
          </a:r>
          <a:endParaRPr sz="1100"/>
        </a:p>
      </xdr:txBody>
    </xdr:sp>
    <xdr:clientData fLocksWithSheet="0"/>
  </xdr:oneCellAnchor>
  <xdr:oneCellAnchor>
    <xdr:from>
      <xdr:col>8</xdr:col>
      <xdr:colOff>514350</xdr:colOff>
      <xdr:row>44</xdr:row>
      <xdr:rowOff>85725</xdr:rowOff>
    </xdr:from>
    <xdr:ext cx="1019175" cy="352425"/>
    <xdr:grpSp>
      <xdr:nvGrpSpPr>
        <xdr:cNvPr id="2" name="Shape 2" title="Drawing"/>
        <xdr:cNvGrpSpPr/>
      </xdr:nvGrpSpPr>
      <xdr:grpSpPr>
        <a:xfrm>
          <a:off x="1046000" y="677325"/>
          <a:ext cx="1004400" cy="307200"/>
          <a:chOff x="1046000" y="677325"/>
          <a:chExt cx="1004400" cy="307200"/>
        </a:xfrm>
      </xdr:grpSpPr>
      <xdr:sp>
        <xdr:nvSpPr>
          <xdr:cNvPr id="4" name="Shape 4"/>
          <xdr:cNvSpPr/>
        </xdr:nvSpPr>
        <xdr:spPr>
          <a:xfrm>
            <a:off x="1046000" y="677325"/>
            <a:ext cx="1004400" cy="307200"/>
          </a:xfrm>
          <a:prstGeom prst="roundRect">
            <a:avLst>
              <a:gd fmla="val 16667" name="adj"/>
            </a:avLst>
          </a:prstGeom>
          <a:gradFill>
            <a:gsLst>
              <a:gs pos="0">
                <a:srgbClr val="DFE9FB"/>
              </a:gs>
              <a:gs pos="100000">
                <a:srgbClr val="6E9BE7"/>
              </a:gs>
            </a:gsLst>
            <a:path path="circle">
              <a:fillToRect b="50%" l="50%" r="50%" t="50%"/>
            </a:path>
            <a:tileRect/>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400"/>
              <a:t>SAVE</a:t>
            </a:r>
            <a:endParaRPr b="1" sz="1400"/>
          </a:p>
        </xdr:txBody>
      </xdr:sp>
      <xdr:pic>
        <xdr:nvPicPr>
          <xdr:cNvPr descr="File:Save font awesome.svg - Wikipedia" id="5" name="Shape 5"/>
          <xdr:cNvPicPr preferRelativeResize="0"/>
        </xdr:nvPicPr>
        <xdr:blipFill>
          <a:blip r:embed="rId1">
            <a:alphaModFix/>
          </a:blip>
          <a:stretch>
            <a:fillRect/>
          </a:stretch>
        </xdr:blipFill>
        <xdr:spPr>
          <a:xfrm>
            <a:off x="1710800" y="699850"/>
            <a:ext cx="262150" cy="262150"/>
          </a:xfrm>
          <a:prstGeom prst="rect">
            <a:avLst/>
          </a:prstGeom>
          <a:noFill/>
          <a:ln>
            <a:noFill/>
          </a:ln>
        </xdr:spPr>
      </xdr:pic>
    </xdr:grpSp>
    <xdr:clientData fLocksWithSheet="0"/>
  </xdr:oneCellAnchor>
  <xdr:oneCellAnchor>
    <xdr:from>
      <xdr:col>8</xdr:col>
      <xdr:colOff>1600200</xdr:colOff>
      <xdr:row>44</xdr:row>
      <xdr:rowOff>85725</xdr:rowOff>
    </xdr:from>
    <xdr:ext cx="1123950" cy="352425"/>
    <xdr:grpSp>
      <xdr:nvGrpSpPr>
        <xdr:cNvPr id="2" name="Shape 2" title="Drawing"/>
        <xdr:cNvGrpSpPr/>
      </xdr:nvGrpSpPr>
      <xdr:grpSpPr>
        <a:xfrm>
          <a:off x="978825" y="322275"/>
          <a:ext cx="1106100" cy="336000"/>
          <a:chOff x="978825" y="322275"/>
          <a:chExt cx="1106100" cy="336000"/>
        </a:xfrm>
      </xdr:grpSpPr>
      <xdr:sp>
        <xdr:nvSpPr>
          <xdr:cNvPr id="6" name="Shape 6"/>
          <xdr:cNvSpPr/>
        </xdr:nvSpPr>
        <xdr:spPr>
          <a:xfrm>
            <a:off x="978825" y="322275"/>
            <a:ext cx="1106100" cy="336000"/>
          </a:xfrm>
          <a:prstGeom prst="roundRect">
            <a:avLst>
              <a:gd fmla="val 16667" name="adj"/>
            </a:avLst>
          </a:prstGeom>
          <a:gradFill>
            <a:gsLst>
              <a:gs pos="0">
                <a:srgbClr val="F5D0D0"/>
              </a:gs>
              <a:gs pos="100000">
                <a:srgbClr val="D96868"/>
              </a:gs>
            </a:gsLst>
            <a:path path="circle">
              <a:fillToRect b="50%" l="50%" r="50%" t="50%"/>
            </a:path>
            <a:tileRect/>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400"/>
              <a:t>CLEAR</a:t>
            </a:r>
            <a:endParaRPr b="1" sz="1400"/>
          </a:p>
        </xdr:txBody>
      </xdr:sp>
      <xdr:pic>
        <xdr:nvPicPr>
          <xdr:cNvPr descr="clear icon black and white | Free SVG" id="7" name="Shape 7"/>
          <xdr:cNvPicPr preferRelativeResize="0"/>
        </xdr:nvPicPr>
        <xdr:blipFill>
          <a:blip r:embed="rId2">
            <a:alphaModFix/>
          </a:blip>
          <a:stretch>
            <a:fillRect/>
          </a:stretch>
        </xdr:blipFill>
        <xdr:spPr>
          <a:xfrm>
            <a:off x="1735725" y="363038"/>
            <a:ext cx="254475" cy="254475"/>
          </a:xfrm>
          <a:prstGeom prst="rect">
            <a:avLst/>
          </a:prstGeom>
          <a:noFill/>
          <a:ln>
            <a:noFill/>
          </a:ln>
        </xdr:spPr>
      </xdr:pic>
    </xdr:grpSp>
    <xdr:clientData fLocksWithSheet="0"/>
  </xdr:oneCellAnchor>
  <xdr:oneCellAnchor>
    <xdr:from>
      <xdr:col>6</xdr:col>
      <xdr:colOff>933450</xdr:colOff>
      <xdr:row>5</xdr:row>
      <xdr:rowOff>133350</xdr:rowOff>
    </xdr:from>
    <xdr:ext cx="1114425" cy="276225"/>
    <xdr:grpSp>
      <xdr:nvGrpSpPr>
        <xdr:cNvPr id="2" name="Shape 2" title="Drawing"/>
        <xdr:cNvGrpSpPr/>
      </xdr:nvGrpSpPr>
      <xdr:grpSpPr>
        <a:xfrm>
          <a:off x="2088050" y="498075"/>
          <a:ext cx="1272000" cy="306601"/>
          <a:chOff x="2088050" y="498075"/>
          <a:chExt cx="1272000" cy="306601"/>
        </a:xfrm>
      </xdr:grpSpPr>
      <xdr:sp>
        <xdr:nvSpPr>
          <xdr:cNvPr id="8" name="Shape 8"/>
          <xdr:cNvSpPr/>
        </xdr:nvSpPr>
        <xdr:spPr>
          <a:xfrm>
            <a:off x="2088050" y="498075"/>
            <a:ext cx="1272000" cy="306600"/>
          </a:xfrm>
          <a:prstGeom prst="roundRect">
            <a:avLst>
              <a:gd fmla="val 16667" name="adj"/>
            </a:avLst>
          </a:prstGeom>
          <a:gradFill>
            <a:gsLst>
              <a:gs pos="0">
                <a:srgbClr val="FFFFFF"/>
              </a:gs>
              <a:gs pos="100000">
                <a:srgbClr val="B3B3B3"/>
              </a:gs>
            </a:gsLst>
            <a:path path="circle">
              <a:fillToRect b="50%" l="50%" r="50%" t="50%"/>
            </a:path>
            <a:tileRect/>
          </a:gradFill>
          <a:ln cap="flat" cmpd="sng" w="9525">
            <a:solidFill>
              <a:srgbClr val="FF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400"/>
              <a:t>SEARCH</a:t>
            </a:r>
            <a:endParaRPr b="1" sz="1400"/>
          </a:p>
        </xdr:txBody>
      </xdr:sp>
      <xdr:pic>
        <xdr:nvPicPr>
          <xdr:cNvPr descr="File:Search Icon.svg - Wikimedia Commons" id="9" name="Shape 9"/>
          <xdr:cNvPicPr preferRelativeResize="0"/>
        </xdr:nvPicPr>
        <xdr:blipFill>
          <a:blip r:embed="rId3">
            <a:alphaModFix/>
          </a:blip>
          <a:stretch>
            <a:fillRect/>
          </a:stretch>
        </xdr:blipFill>
        <xdr:spPr>
          <a:xfrm>
            <a:off x="2989075" y="498075"/>
            <a:ext cx="306601" cy="306601"/>
          </a:xfrm>
          <a:prstGeom prst="rect">
            <a:avLst/>
          </a:prstGeom>
          <a:noFill/>
          <a:ln>
            <a:noFill/>
          </a:ln>
        </xdr:spPr>
      </xdr:pic>
    </xdr:grpSp>
    <xdr:clientData fLocksWithSheet="0"/>
  </xdr:oneCellAnchor>
  <xdr:oneCellAnchor>
    <xdr:from>
      <xdr:col>7</xdr:col>
      <xdr:colOff>257175</xdr:colOff>
      <xdr:row>44</xdr:row>
      <xdr:rowOff>95250</xdr:rowOff>
    </xdr:from>
    <xdr:ext cx="1200150" cy="352425"/>
    <xdr:grpSp>
      <xdr:nvGrpSpPr>
        <xdr:cNvPr id="2" name="Shape 2" title="Drawing"/>
        <xdr:cNvGrpSpPr/>
      </xdr:nvGrpSpPr>
      <xdr:grpSpPr>
        <a:xfrm>
          <a:off x="959650" y="523775"/>
          <a:ext cx="1185600" cy="316800"/>
          <a:chOff x="959650" y="523775"/>
          <a:chExt cx="1185600" cy="316800"/>
        </a:xfrm>
      </xdr:grpSpPr>
      <xdr:sp>
        <xdr:nvSpPr>
          <xdr:cNvPr id="10" name="Shape 10"/>
          <xdr:cNvSpPr/>
        </xdr:nvSpPr>
        <xdr:spPr>
          <a:xfrm>
            <a:off x="959650" y="523775"/>
            <a:ext cx="1185600" cy="316800"/>
          </a:xfrm>
          <a:prstGeom prst="roundRect">
            <a:avLst>
              <a:gd fmla="val 16667" name="adj"/>
            </a:avLst>
          </a:prstGeom>
          <a:gradFill>
            <a:gsLst>
              <a:gs pos="0">
                <a:srgbClr val="DCECD5"/>
              </a:gs>
              <a:gs pos="100000">
                <a:srgbClr val="93BC81"/>
              </a:gs>
            </a:gsLst>
            <a:path path="circle">
              <a:fillToRect b="50%" l="50%" r="50%" t="50%"/>
            </a:path>
            <a:tileRect/>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400"/>
              <a:t>UPDATE</a:t>
            </a:r>
            <a:endParaRPr b="1" sz="1400"/>
          </a:p>
        </xdr:txBody>
      </xdr:sp>
      <xdr:pic>
        <xdr:nvPicPr>
          <xdr:cNvPr descr="File:Refresh icon.svg - Wikimedia Commons" id="11" name="Shape 11"/>
          <xdr:cNvPicPr preferRelativeResize="0"/>
        </xdr:nvPicPr>
        <xdr:blipFill>
          <a:blip r:embed="rId4">
            <a:alphaModFix/>
          </a:blip>
          <a:stretch>
            <a:fillRect/>
          </a:stretch>
        </xdr:blipFill>
        <xdr:spPr>
          <a:xfrm>
            <a:off x="1831175" y="549075"/>
            <a:ext cx="266199" cy="266199"/>
          </a:xfrm>
          <a:prstGeom prst="rect">
            <a:avLst/>
          </a:prstGeom>
          <a:noFill/>
          <a:ln>
            <a:noFill/>
          </a:ln>
        </xdr:spPr>
      </xdr:pic>
    </xdr:grpSp>
    <xdr:clientData fLocksWithSheet="0"/>
  </xdr:oneCellAnchor>
  <xdr:oneCellAnchor>
    <xdr:from>
      <xdr:col>2</xdr:col>
      <xdr:colOff>428625</xdr:colOff>
      <xdr:row>1</xdr:row>
      <xdr:rowOff>95250</xdr:rowOff>
    </xdr:from>
    <xdr:ext cx="342900" cy="466725"/>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180975</xdr:colOff>
      <xdr:row>2</xdr:row>
      <xdr:rowOff>314325</xdr:rowOff>
    </xdr:from>
    <xdr:ext cx="1285875" cy="333375"/>
    <xdr:sp>
      <xdr:nvSpPr>
        <xdr:cNvPr id="3" name="Shape 3"/>
        <xdr:cNvSpPr txBox="1"/>
      </xdr:nvSpPr>
      <xdr:spPr>
        <a:xfrm>
          <a:off x="894950" y="590075"/>
          <a:ext cx="2085000" cy="523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100"/>
            <a:t>SISC/QSF-PUR-014 </a:t>
          </a:r>
          <a:endParaRPr sz="1100"/>
        </a:p>
        <a:p>
          <a:pPr indent="0" lvl="0" marL="0" rtl="0" algn="l">
            <a:spcBef>
              <a:spcPts val="0"/>
            </a:spcBef>
            <a:spcAft>
              <a:spcPts val="0"/>
            </a:spcAft>
            <a:buNone/>
          </a:pPr>
          <a:r>
            <a:rPr lang="en-US" sz="1100"/>
            <a:t>REV 001 07/18/16</a:t>
          </a:r>
          <a:endParaRPr sz="1100"/>
        </a:p>
      </xdr:txBody>
    </xdr:sp>
    <xdr:clientData fLocksWithSheet="0"/>
  </xdr:oneCellAnchor>
  <xdr:oneCellAnchor>
    <xdr:from>
      <xdr:col>8</xdr:col>
      <xdr:colOff>514350</xdr:colOff>
      <xdr:row>44</xdr:row>
      <xdr:rowOff>85725</xdr:rowOff>
    </xdr:from>
    <xdr:ext cx="1019175" cy="352425"/>
    <xdr:grpSp>
      <xdr:nvGrpSpPr>
        <xdr:cNvPr id="2" name="Shape 2" title="Drawing"/>
        <xdr:cNvGrpSpPr/>
      </xdr:nvGrpSpPr>
      <xdr:grpSpPr>
        <a:xfrm>
          <a:off x="1046000" y="677325"/>
          <a:ext cx="1004400" cy="307200"/>
          <a:chOff x="1046000" y="677325"/>
          <a:chExt cx="1004400" cy="307200"/>
        </a:xfrm>
      </xdr:grpSpPr>
      <xdr:sp>
        <xdr:nvSpPr>
          <xdr:cNvPr id="4" name="Shape 4"/>
          <xdr:cNvSpPr/>
        </xdr:nvSpPr>
        <xdr:spPr>
          <a:xfrm>
            <a:off x="1046000" y="677325"/>
            <a:ext cx="1004400" cy="307200"/>
          </a:xfrm>
          <a:prstGeom prst="roundRect">
            <a:avLst>
              <a:gd fmla="val 16667" name="adj"/>
            </a:avLst>
          </a:prstGeom>
          <a:gradFill>
            <a:gsLst>
              <a:gs pos="0">
                <a:srgbClr val="DFE9FB"/>
              </a:gs>
              <a:gs pos="100000">
                <a:srgbClr val="6E9BE7"/>
              </a:gs>
            </a:gsLst>
            <a:path path="circle">
              <a:fillToRect b="50%" l="50%" r="50%" t="50%"/>
            </a:path>
            <a:tileRect/>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400"/>
              <a:t>SAVE</a:t>
            </a:r>
            <a:endParaRPr b="1" sz="1400"/>
          </a:p>
        </xdr:txBody>
      </xdr:sp>
      <xdr:pic>
        <xdr:nvPicPr>
          <xdr:cNvPr descr="File:Save font awesome.svg - Wikipedia" id="5" name="Shape 5"/>
          <xdr:cNvPicPr preferRelativeResize="0"/>
        </xdr:nvPicPr>
        <xdr:blipFill>
          <a:blip r:embed="rId1">
            <a:alphaModFix/>
          </a:blip>
          <a:stretch>
            <a:fillRect/>
          </a:stretch>
        </xdr:blipFill>
        <xdr:spPr>
          <a:xfrm>
            <a:off x="1710800" y="699850"/>
            <a:ext cx="262150" cy="262150"/>
          </a:xfrm>
          <a:prstGeom prst="rect">
            <a:avLst/>
          </a:prstGeom>
          <a:noFill/>
          <a:ln>
            <a:noFill/>
          </a:ln>
        </xdr:spPr>
      </xdr:pic>
    </xdr:grpSp>
    <xdr:clientData fLocksWithSheet="0"/>
  </xdr:oneCellAnchor>
  <xdr:oneCellAnchor>
    <xdr:from>
      <xdr:col>8</xdr:col>
      <xdr:colOff>1600200</xdr:colOff>
      <xdr:row>44</xdr:row>
      <xdr:rowOff>85725</xdr:rowOff>
    </xdr:from>
    <xdr:ext cx="1123950" cy="352425"/>
    <xdr:grpSp>
      <xdr:nvGrpSpPr>
        <xdr:cNvPr id="2" name="Shape 2" title="Drawing"/>
        <xdr:cNvGrpSpPr/>
      </xdr:nvGrpSpPr>
      <xdr:grpSpPr>
        <a:xfrm>
          <a:off x="978825" y="322275"/>
          <a:ext cx="1106100" cy="336000"/>
          <a:chOff x="978825" y="322275"/>
          <a:chExt cx="1106100" cy="336000"/>
        </a:xfrm>
      </xdr:grpSpPr>
      <xdr:sp>
        <xdr:nvSpPr>
          <xdr:cNvPr id="6" name="Shape 6"/>
          <xdr:cNvSpPr/>
        </xdr:nvSpPr>
        <xdr:spPr>
          <a:xfrm>
            <a:off x="978825" y="322275"/>
            <a:ext cx="1106100" cy="336000"/>
          </a:xfrm>
          <a:prstGeom prst="roundRect">
            <a:avLst>
              <a:gd fmla="val 16667" name="adj"/>
            </a:avLst>
          </a:prstGeom>
          <a:gradFill>
            <a:gsLst>
              <a:gs pos="0">
                <a:srgbClr val="F5D0D0"/>
              </a:gs>
              <a:gs pos="100000">
                <a:srgbClr val="D96868"/>
              </a:gs>
            </a:gsLst>
            <a:path path="circle">
              <a:fillToRect b="50%" l="50%" r="50%" t="50%"/>
            </a:path>
            <a:tileRect/>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400"/>
              <a:t>CLEAR</a:t>
            </a:r>
            <a:endParaRPr b="1" sz="1400"/>
          </a:p>
        </xdr:txBody>
      </xdr:sp>
      <xdr:pic>
        <xdr:nvPicPr>
          <xdr:cNvPr descr="clear icon black and white | Free SVG" id="7" name="Shape 7"/>
          <xdr:cNvPicPr preferRelativeResize="0"/>
        </xdr:nvPicPr>
        <xdr:blipFill>
          <a:blip r:embed="rId2">
            <a:alphaModFix/>
          </a:blip>
          <a:stretch>
            <a:fillRect/>
          </a:stretch>
        </xdr:blipFill>
        <xdr:spPr>
          <a:xfrm>
            <a:off x="1735725" y="363038"/>
            <a:ext cx="254475" cy="254475"/>
          </a:xfrm>
          <a:prstGeom prst="rect">
            <a:avLst/>
          </a:prstGeom>
          <a:noFill/>
          <a:ln>
            <a:noFill/>
          </a:ln>
        </xdr:spPr>
      </xdr:pic>
    </xdr:grpSp>
    <xdr:clientData fLocksWithSheet="0"/>
  </xdr:oneCellAnchor>
  <xdr:oneCellAnchor>
    <xdr:from>
      <xdr:col>6</xdr:col>
      <xdr:colOff>933450</xdr:colOff>
      <xdr:row>5</xdr:row>
      <xdr:rowOff>161925</xdr:rowOff>
    </xdr:from>
    <xdr:ext cx="1114425" cy="238125"/>
    <xdr:grpSp>
      <xdr:nvGrpSpPr>
        <xdr:cNvPr id="2" name="Shape 2" title="Drawing"/>
        <xdr:cNvGrpSpPr/>
      </xdr:nvGrpSpPr>
      <xdr:grpSpPr>
        <a:xfrm>
          <a:off x="2088050" y="498075"/>
          <a:ext cx="1272000" cy="306601"/>
          <a:chOff x="2088050" y="498075"/>
          <a:chExt cx="1272000" cy="306601"/>
        </a:xfrm>
      </xdr:grpSpPr>
      <xdr:sp>
        <xdr:nvSpPr>
          <xdr:cNvPr id="8" name="Shape 8"/>
          <xdr:cNvSpPr/>
        </xdr:nvSpPr>
        <xdr:spPr>
          <a:xfrm>
            <a:off x="2088050" y="498075"/>
            <a:ext cx="1272000" cy="306600"/>
          </a:xfrm>
          <a:prstGeom prst="roundRect">
            <a:avLst>
              <a:gd fmla="val 16667" name="adj"/>
            </a:avLst>
          </a:prstGeom>
          <a:gradFill>
            <a:gsLst>
              <a:gs pos="0">
                <a:srgbClr val="FFFFFF"/>
              </a:gs>
              <a:gs pos="100000">
                <a:srgbClr val="B3B3B3"/>
              </a:gs>
            </a:gsLst>
            <a:path path="circle">
              <a:fillToRect b="50%" l="50%" r="50%" t="50%"/>
            </a:path>
            <a:tileRect/>
          </a:gradFill>
          <a:ln cap="flat" cmpd="sng" w="9525">
            <a:solidFill>
              <a:srgbClr val="FF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400"/>
              <a:t>SEARCH</a:t>
            </a:r>
            <a:endParaRPr b="1" sz="1400"/>
          </a:p>
        </xdr:txBody>
      </xdr:sp>
      <xdr:pic>
        <xdr:nvPicPr>
          <xdr:cNvPr descr="File:Search Icon.svg - Wikimedia Commons" id="9" name="Shape 9"/>
          <xdr:cNvPicPr preferRelativeResize="0"/>
        </xdr:nvPicPr>
        <xdr:blipFill>
          <a:blip r:embed="rId3">
            <a:alphaModFix/>
          </a:blip>
          <a:stretch>
            <a:fillRect/>
          </a:stretch>
        </xdr:blipFill>
        <xdr:spPr>
          <a:xfrm>
            <a:off x="2989075" y="498075"/>
            <a:ext cx="306601" cy="306601"/>
          </a:xfrm>
          <a:prstGeom prst="rect">
            <a:avLst/>
          </a:prstGeom>
          <a:noFill/>
          <a:ln>
            <a:noFill/>
          </a:ln>
        </xdr:spPr>
      </xdr:pic>
    </xdr:grpSp>
    <xdr:clientData fLocksWithSheet="0"/>
  </xdr:oneCellAnchor>
  <xdr:oneCellAnchor>
    <xdr:from>
      <xdr:col>7</xdr:col>
      <xdr:colOff>257175</xdr:colOff>
      <xdr:row>44</xdr:row>
      <xdr:rowOff>95250</xdr:rowOff>
    </xdr:from>
    <xdr:ext cx="1200150" cy="352425"/>
    <xdr:grpSp>
      <xdr:nvGrpSpPr>
        <xdr:cNvPr id="2" name="Shape 2" title="Drawing"/>
        <xdr:cNvGrpSpPr/>
      </xdr:nvGrpSpPr>
      <xdr:grpSpPr>
        <a:xfrm>
          <a:off x="959650" y="523775"/>
          <a:ext cx="1185600" cy="316800"/>
          <a:chOff x="959650" y="523775"/>
          <a:chExt cx="1185600" cy="316800"/>
        </a:xfrm>
      </xdr:grpSpPr>
      <xdr:sp>
        <xdr:nvSpPr>
          <xdr:cNvPr id="10" name="Shape 10"/>
          <xdr:cNvSpPr/>
        </xdr:nvSpPr>
        <xdr:spPr>
          <a:xfrm>
            <a:off x="959650" y="523775"/>
            <a:ext cx="1185600" cy="316800"/>
          </a:xfrm>
          <a:prstGeom prst="roundRect">
            <a:avLst>
              <a:gd fmla="val 16667" name="adj"/>
            </a:avLst>
          </a:prstGeom>
          <a:gradFill>
            <a:gsLst>
              <a:gs pos="0">
                <a:srgbClr val="DCECD5"/>
              </a:gs>
              <a:gs pos="100000">
                <a:srgbClr val="93BC81"/>
              </a:gs>
            </a:gsLst>
            <a:path path="circle">
              <a:fillToRect b="50%" l="50%" r="50%" t="50%"/>
            </a:path>
            <a:tileRect/>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400"/>
              <a:t>UPDATE</a:t>
            </a:r>
            <a:endParaRPr b="1" sz="1400"/>
          </a:p>
        </xdr:txBody>
      </xdr:sp>
      <xdr:pic>
        <xdr:nvPicPr>
          <xdr:cNvPr descr="File:Refresh icon.svg - Wikimedia Commons" id="11" name="Shape 11"/>
          <xdr:cNvPicPr preferRelativeResize="0"/>
        </xdr:nvPicPr>
        <xdr:blipFill>
          <a:blip r:embed="rId4">
            <a:alphaModFix/>
          </a:blip>
          <a:stretch>
            <a:fillRect/>
          </a:stretch>
        </xdr:blipFill>
        <xdr:spPr>
          <a:xfrm>
            <a:off x="1831175" y="549075"/>
            <a:ext cx="266199" cy="266199"/>
          </a:xfrm>
          <a:prstGeom prst="rect">
            <a:avLst/>
          </a:prstGeom>
          <a:noFill/>
          <a:ln>
            <a:noFill/>
          </a:ln>
        </xdr:spPr>
      </xdr:pic>
    </xdr:grpSp>
    <xdr:clientData fLocksWithSheet="0"/>
  </xdr:oneCellAnchor>
  <xdr:oneCellAnchor>
    <xdr:from>
      <xdr:col>2</xdr:col>
      <xdr:colOff>428625</xdr:colOff>
      <xdr:row>1</xdr:row>
      <xdr:rowOff>95250</xdr:rowOff>
    </xdr:from>
    <xdr:ext cx="342900" cy="466725"/>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180975</xdr:colOff>
      <xdr:row>2</xdr:row>
      <xdr:rowOff>314325</xdr:rowOff>
    </xdr:from>
    <xdr:ext cx="1285875" cy="333375"/>
    <xdr:sp>
      <xdr:nvSpPr>
        <xdr:cNvPr id="3" name="Shape 3"/>
        <xdr:cNvSpPr txBox="1"/>
      </xdr:nvSpPr>
      <xdr:spPr>
        <a:xfrm>
          <a:off x="894950" y="590075"/>
          <a:ext cx="2085000" cy="523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100"/>
            <a:t>SISC/QSF-PUR-014 </a:t>
          </a:r>
          <a:endParaRPr sz="1100"/>
        </a:p>
        <a:p>
          <a:pPr indent="0" lvl="0" marL="0" rtl="0" algn="l">
            <a:spcBef>
              <a:spcPts val="0"/>
            </a:spcBef>
            <a:spcAft>
              <a:spcPts val="0"/>
            </a:spcAft>
            <a:buNone/>
          </a:pPr>
          <a:r>
            <a:rPr lang="en-US" sz="1100"/>
            <a:t>REV 001 07/18/16</a:t>
          </a:r>
          <a:endParaRPr sz="1100"/>
        </a:p>
      </xdr:txBody>
    </xdr:sp>
    <xdr:clientData fLocksWithSheet="0"/>
  </xdr:oneCellAnchor>
  <xdr:oneCellAnchor>
    <xdr:from>
      <xdr:col>8</xdr:col>
      <xdr:colOff>523875</xdr:colOff>
      <xdr:row>44</xdr:row>
      <xdr:rowOff>85725</xdr:rowOff>
    </xdr:from>
    <xdr:ext cx="1019175" cy="352425"/>
    <xdr:grpSp>
      <xdr:nvGrpSpPr>
        <xdr:cNvPr id="2" name="Shape 2" title="Drawing"/>
        <xdr:cNvGrpSpPr/>
      </xdr:nvGrpSpPr>
      <xdr:grpSpPr>
        <a:xfrm>
          <a:off x="1046000" y="677325"/>
          <a:ext cx="1004400" cy="307200"/>
          <a:chOff x="1046000" y="677325"/>
          <a:chExt cx="1004400" cy="307200"/>
        </a:xfrm>
      </xdr:grpSpPr>
      <xdr:sp>
        <xdr:nvSpPr>
          <xdr:cNvPr id="4" name="Shape 4"/>
          <xdr:cNvSpPr/>
        </xdr:nvSpPr>
        <xdr:spPr>
          <a:xfrm>
            <a:off x="1046000" y="677325"/>
            <a:ext cx="1004400" cy="307200"/>
          </a:xfrm>
          <a:prstGeom prst="roundRect">
            <a:avLst>
              <a:gd fmla="val 16667" name="adj"/>
            </a:avLst>
          </a:prstGeom>
          <a:gradFill>
            <a:gsLst>
              <a:gs pos="0">
                <a:srgbClr val="DFE9FB"/>
              </a:gs>
              <a:gs pos="100000">
                <a:srgbClr val="6E9BE7"/>
              </a:gs>
            </a:gsLst>
            <a:path path="circle">
              <a:fillToRect b="50%" l="50%" r="50%" t="50%"/>
            </a:path>
            <a:tileRect/>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400"/>
              <a:t>SAVE</a:t>
            </a:r>
            <a:endParaRPr b="1" sz="1400"/>
          </a:p>
        </xdr:txBody>
      </xdr:sp>
      <xdr:pic>
        <xdr:nvPicPr>
          <xdr:cNvPr descr="File:Save font awesome.svg - Wikipedia" id="5" name="Shape 5"/>
          <xdr:cNvPicPr preferRelativeResize="0"/>
        </xdr:nvPicPr>
        <xdr:blipFill>
          <a:blip r:embed="rId1">
            <a:alphaModFix/>
          </a:blip>
          <a:stretch>
            <a:fillRect/>
          </a:stretch>
        </xdr:blipFill>
        <xdr:spPr>
          <a:xfrm>
            <a:off x="1710800" y="699850"/>
            <a:ext cx="262150" cy="262150"/>
          </a:xfrm>
          <a:prstGeom prst="rect">
            <a:avLst/>
          </a:prstGeom>
          <a:noFill/>
          <a:ln>
            <a:noFill/>
          </a:ln>
        </xdr:spPr>
      </xdr:pic>
    </xdr:grpSp>
    <xdr:clientData fLocksWithSheet="0"/>
  </xdr:oneCellAnchor>
  <xdr:oneCellAnchor>
    <xdr:from>
      <xdr:col>8</xdr:col>
      <xdr:colOff>1600200</xdr:colOff>
      <xdr:row>44</xdr:row>
      <xdr:rowOff>85725</xdr:rowOff>
    </xdr:from>
    <xdr:ext cx="1123950" cy="352425"/>
    <xdr:grpSp>
      <xdr:nvGrpSpPr>
        <xdr:cNvPr id="2" name="Shape 2" title="Drawing"/>
        <xdr:cNvGrpSpPr/>
      </xdr:nvGrpSpPr>
      <xdr:grpSpPr>
        <a:xfrm>
          <a:off x="978825" y="322275"/>
          <a:ext cx="1106100" cy="336000"/>
          <a:chOff x="978825" y="322275"/>
          <a:chExt cx="1106100" cy="336000"/>
        </a:xfrm>
      </xdr:grpSpPr>
      <xdr:sp>
        <xdr:nvSpPr>
          <xdr:cNvPr id="6" name="Shape 6"/>
          <xdr:cNvSpPr/>
        </xdr:nvSpPr>
        <xdr:spPr>
          <a:xfrm>
            <a:off x="978825" y="322275"/>
            <a:ext cx="1106100" cy="336000"/>
          </a:xfrm>
          <a:prstGeom prst="roundRect">
            <a:avLst>
              <a:gd fmla="val 16667" name="adj"/>
            </a:avLst>
          </a:prstGeom>
          <a:gradFill>
            <a:gsLst>
              <a:gs pos="0">
                <a:srgbClr val="F5D0D0"/>
              </a:gs>
              <a:gs pos="100000">
                <a:srgbClr val="D96868"/>
              </a:gs>
            </a:gsLst>
            <a:path path="circle">
              <a:fillToRect b="50%" l="50%" r="50%" t="50%"/>
            </a:path>
            <a:tileRect/>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400"/>
              <a:t>CLEAR</a:t>
            </a:r>
            <a:endParaRPr b="1" sz="1400"/>
          </a:p>
        </xdr:txBody>
      </xdr:sp>
      <xdr:pic>
        <xdr:nvPicPr>
          <xdr:cNvPr descr="clear icon black and white | Free SVG" id="7" name="Shape 7"/>
          <xdr:cNvPicPr preferRelativeResize="0"/>
        </xdr:nvPicPr>
        <xdr:blipFill>
          <a:blip r:embed="rId2">
            <a:alphaModFix/>
          </a:blip>
          <a:stretch>
            <a:fillRect/>
          </a:stretch>
        </xdr:blipFill>
        <xdr:spPr>
          <a:xfrm>
            <a:off x="1735725" y="363038"/>
            <a:ext cx="254475" cy="254475"/>
          </a:xfrm>
          <a:prstGeom prst="rect">
            <a:avLst/>
          </a:prstGeom>
          <a:noFill/>
          <a:ln>
            <a:noFill/>
          </a:ln>
        </xdr:spPr>
      </xdr:pic>
    </xdr:grpSp>
    <xdr:clientData fLocksWithSheet="0"/>
  </xdr:oneCellAnchor>
  <xdr:oneCellAnchor>
    <xdr:from>
      <xdr:col>6</xdr:col>
      <xdr:colOff>933450</xdr:colOff>
      <xdr:row>5</xdr:row>
      <xdr:rowOff>161925</xdr:rowOff>
    </xdr:from>
    <xdr:ext cx="1114425" cy="238125"/>
    <xdr:grpSp>
      <xdr:nvGrpSpPr>
        <xdr:cNvPr id="2" name="Shape 2" title="Drawing"/>
        <xdr:cNvGrpSpPr/>
      </xdr:nvGrpSpPr>
      <xdr:grpSpPr>
        <a:xfrm>
          <a:off x="2088050" y="498075"/>
          <a:ext cx="1272000" cy="306601"/>
          <a:chOff x="2088050" y="498075"/>
          <a:chExt cx="1272000" cy="306601"/>
        </a:xfrm>
      </xdr:grpSpPr>
      <xdr:sp>
        <xdr:nvSpPr>
          <xdr:cNvPr id="8" name="Shape 8"/>
          <xdr:cNvSpPr/>
        </xdr:nvSpPr>
        <xdr:spPr>
          <a:xfrm>
            <a:off x="2088050" y="498075"/>
            <a:ext cx="1272000" cy="306600"/>
          </a:xfrm>
          <a:prstGeom prst="roundRect">
            <a:avLst>
              <a:gd fmla="val 16667" name="adj"/>
            </a:avLst>
          </a:prstGeom>
          <a:gradFill>
            <a:gsLst>
              <a:gs pos="0">
                <a:srgbClr val="FFFFFF"/>
              </a:gs>
              <a:gs pos="100000">
                <a:srgbClr val="B3B3B3"/>
              </a:gs>
            </a:gsLst>
            <a:path path="circle">
              <a:fillToRect b="50%" l="50%" r="50%" t="50%"/>
            </a:path>
            <a:tileRect/>
          </a:gradFill>
          <a:ln cap="flat" cmpd="sng" w="9525">
            <a:solidFill>
              <a:srgbClr val="FF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400"/>
              <a:t>SEARCH</a:t>
            </a:r>
            <a:endParaRPr b="1" sz="1400"/>
          </a:p>
        </xdr:txBody>
      </xdr:sp>
      <xdr:pic>
        <xdr:nvPicPr>
          <xdr:cNvPr descr="File:Search Icon.svg - Wikimedia Commons" id="9" name="Shape 9"/>
          <xdr:cNvPicPr preferRelativeResize="0"/>
        </xdr:nvPicPr>
        <xdr:blipFill>
          <a:blip r:embed="rId3">
            <a:alphaModFix/>
          </a:blip>
          <a:stretch>
            <a:fillRect/>
          </a:stretch>
        </xdr:blipFill>
        <xdr:spPr>
          <a:xfrm>
            <a:off x="2989075" y="498075"/>
            <a:ext cx="306601" cy="306601"/>
          </a:xfrm>
          <a:prstGeom prst="rect">
            <a:avLst/>
          </a:prstGeom>
          <a:noFill/>
          <a:ln>
            <a:noFill/>
          </a:ln>
        </xdr:spPr>
      </xdr:pic>
    </xdr:grpSp>
    <xdr:clientData fLocksWithSheet="0"/>
  </xdr:oneCellAnchor>
  <xdr:oneCellAnchor>
    <xdr:from>
      <xdr:col>7</xdr:col>
      <xdr:colOff>257175</xdr:colOff>
      <xdr:row>44</xdr:row>
      <xdr:rowOff>95250</xdr:rowOff>
    </xdr:from>
    <xdr:ext cx="1200150" cy="352425"/>
    <xdr:grpSp>
      <xdr:nvGrpSpPr>
        <xdr:cNvPr id="2" name="Shape 2" title="Drawing"/>
        <xdr:cNvGrpSpPr/>
      </xdr:nvGrpSpPr>
      <xdr:grpSpPr>
        <a:xfrm>
          <a:off x="959650" y="523775"/>
          <a:ext cx="1185600" cy="316800"/>
          <a:chOff x="959650" y="523775"/>
          <a:chExt cx="1185600" cy="316800"/>
        </a:xfrm>
      </xdr:grpSpPr>
      <xdr:sp>
        <xdr:nvSpPr>
          <xdr:cNvPr id="10" name="Shape 10"/>
          <xdr:cNvSpPr/>
        </xdr:nvSpPr>
        <xdr:spPr>
          <a:xfrm>
            <a:off x="959650" y="523775"/>
            <a:ext cx="1185600" cy="316800"/>
          </a:xfrm>
          <a:prstGeom prst="roundRect">
            <a:avLst>
              <a:gd fmla="val 16667" name="adj"/>
            </a:avLst>
          </a:prstGeom>
          <a:gradFill>
            <a:gsLst>
              <a:gs pos="0">
                <a:srgbClr val="DCECD5"/>
              </a:gs>
              <a:gs pos="100000">
                <a:srgbClr val="93BC81"/>
              </a:gs>
            </a:gsLst>
            <a:path path="circle">
              <a:fillToRect b="50%" l="50%" r="50%" t="50%"/>
            </a:path>
            <a:tileRect/>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400"/>
              <a:t>UPDATE</a:t>
            </a:r>
            <a:endParaRPr b="1" sz="1400"/>
          </a:p>
        </xdr:txBody>
      </xdr:sp>
      <xdr:pic>
        <xdr:nvPicPr>
          <xdr:cNvPr descr="File:Refresh icon.svg - Wikimedia Commons" id="11" name="Shape 11"/>
          <xdr:cNvPicPr preferRelativeResize="0"/>
        </xdr:nvPicPr>
        <xdr:blipFill>
          <a:blip r:embed="rId4">
            <a:alphaModFix/>
          </a:blip>
          <a:stretch>
            <a:fillRect/>
          </a:stretch>
        </xdr:blipFill>
        <xdr:spPr>
          <a:xfrm>
            <a:off x="1831175" y="549075"/>
            <a:ext cx="266199" cy="266199"/>
          </a:xfrm>
          <a:prstGeom prst="rect">
            <a:avLst/>
          </a:prstGeom>
          <a:noFill/>
          <a:ln>
            <a:noFill/>
          </a:ln>
        </xdr:spPr>
      </xdr:pic>
    </xdr:grpSp>
    <xdr:clientData fLocksWithSheet="0"/>
  </xdr:oneCellAnchor>
  <xdr:oneCellAnchor>
    <xdr:from>
      <xdr:col>2</xdr:col>
      <xdr:colOff>428625</xdr:colOff>
      <xdr:row>1</xdr:row>
      <xdr:rowOff>95250</xdr:rowOff>
    </xdr:from>
    <xdr:ext cx="342900" cy="466725"/>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171450</xdr:rowOff>
    </xdr:from>
    <xdr:ext cx="1085850" cy="247650"/>
    <xdr:grpSp>
      <xdr:nvGrpSpPr>
        <xdr:cNvPr id="2" name="Shape 2" title="Drawing"/>
        <xdr:cNvGrpSpPr/>
      </xdr:nvGrpSpPr>
      <xdr:grpSpPr>
        <a:xfrm>
          <a:off x="1655850" y="554850"/>
          <a:ext cx="1299300" cy="335100"/>
          <a:chOff x="1655850" y="554850"/>
          <a:chExt cx="1299300" cy="335100"/>
        </a:xfrm>
      </xdr:grpSpPr>
      <xdr:sp>
        <xdr:nvSpPr>
          <xdr:cNvPr id="12" name="Shape 12"/>
          <xdr:cNvSpPr/>
        </xdr:nvSpPr>
        <xdr:spPr>
          <a:xfrm>
            <a:off x="1655850" y="554850"/>
            <a:ext cx="1299300" cy="335100"/>
          </a:xfrm>
          <a:prstGeom prst="roundRect">
            <a:avLst>
              <a:gd fmla="val 16667" name="adj"/>
            </a:avLst>
          </a:prstGeom>
          <a:gradFill>
            <a:gsLst>
              <a:gs pos="0">
                <a:srgbClr val="D4E5F5"/>
              </a:gs>
              <a:gs pos="100000">
                <a:srgbClr val="70A4D5"/>
              </a:gs>
            </a:gsLst>
            <a:lin ang="5400012" scaled="0"/>
          </a:gradFill>
          <a:ln cap="flat" cmpd="sng" w="9525">
            <a:solidFill>
              <a:srgbClr val="FF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400"/>
              <a:t>SEARCH</a:t>
            </a:r>
            <a:endParaRPr b="1" sz="1400"/>
          </a:p>
        </xdr:txBody>
      </xdr:sp>
      <xdr:pic>
        <xdr:nvPicPr>
          <xdr:cNvPr descr="File:Search Noun project 15028.svg - 维基百科，自由的百科全书" id="13" name="Shape 13"/>
          <xdr:cNvPicPr preferRelativeResize="0"/>
        </xdr:nvPicPr>
        <xdr:blipFill>
          <a:blip r:embed="rId1">
            <a:alphaModFix/>
          </a:blip>
          <a:stretch>
            <a:fillRect/>
          </a:stretch>
        </xdr:blipFill>
        <xdr:spPr>
          <a:xfrm>
            <a:off x="2582000" y="586138"/>
            <a:ext cx="278375" cy="272525"/>
          </a:xfrm>
          <a:prstGeom prst="rect">
            <a:avLst/>
          </a:prstGeom>
          <a:noFill/>
          <a:ln>
            <a:noFill/>
          </a:ln>
        </xdr:spPr>
      </xdr:pic>
    </xdr:grpSp>
    <xdr:clientData fLocksWithSheet="0"/>
  </xdr:oneCellAnchor>
  <xdr:oneCellAnchor>
    <xdr:from>
      <xdr:col>3</xdr:col>
      <xdr:colOff>0</xdr:colOff>
      <xdr:row>2</xdr:row>
      <xdr:rowOff>66675</xdr:rowOff>
    </xdr:from>
    <xdr:ext cx="1085850" cy="247650"/>
    <xdr:grpSp>
      <xdr:nvGrpSpPr>
        <xdr:cNvPr id="2" name="Shape 2" title="Drawing"/>
        <xdr:cNvGrpSpPr/>
      </xdr:nvGrpSpPr>
      <xdr:grpSpPr>
        <a:xfrm>
          <a:off x="978825" y="322275"/>
          <a:ext cx="1106100" cy="336000"/>
          <a:chOff x="978825" y="322275"/>
          <a:chExt cx="1106100" cy="336000"/>
        </a:xfrm>
      </xdr:grpSpPr>
      <xdr:sp>
        <xdr:nvSpPr>
          <xdr:cNvPr id="14" name="Shape 14"/>
          <xdr:cNvSpPr/>
        </xdr:nvSpPr>
        <xdr:spPr>
          <a:xfrm>
            <a:off x="978825" y="322275"/>
            <a:ext cx="1106100" cy="336000"/>
          </a:xfrm>
          <a:prstGeom prst="roundRect">
            <a:avLst>
              <a:gd fmla="val 16667" name="adj"/>
            </a:avLst>
          </a:prstGeom>
          <a:gradFill>
            <a:gsLst>
              <a:gs pos="0">
                <a:srgbClr val="F5D0D0"/>
              </a:gs>
              <a:gs pos="100000">
                <a:srgbClr val="D96868"/>
              </a:gs>
            </a:gsLst>
            <a:path path="circle">
              <a:fillToRect b="50%" l="50%" r="50%" t="50%"/>
            </a:path>
            <a:tileRect/>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400"/>
              <a:t>CLEAR</a:t>
            </a:r>
            <a:endParaRPr b="1" sz="1400"/>
          </a:p>
        </xdr:txBody>
      </xdr:sp>
      <xdr:pic>
        <xdr:nvPicPr>
          <xdr:cNvPr descr="clear icon black and white | Free SVG" id="15" name="Shape 15"/>
          <xdr:cNvPicPr preferRelativeResize="0"/>
        </xdr:nvPicPr>
        <xdr:blipFill>
          <a:blip r:embed="rId2">
            <a:alphaModFix/>
          </a:blip>
          <a:stretch>
            <a:fillRect/>
          </a:stretch>
        </xdr:blipFill>
        <xdr:spPr>
          <a:xfrm>
            <a:off x="1735725" y="363038"/>
            <a:ext cx="254475" cy="254475"/>
          </a:xfrm>
          <a:prstGeom prst="rect">
            <a:avLst/>
          </a:prstGeom>
          <a:noFill/>
          <a:ln>
            <a:noFill/>
          </a:ln>
        </xdr:spPr>
      </xdr:pic>
    </xdr:grp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180975</xdr:colOff>
      <xdr:row>2</xdr:row>
      <xdr:rowOff>314325</xdr:rowOff>
    </xdr:from>
    <xdr:ext cx="1285875" cy="333375"/>
    <xdr:sp>
      <xdr:nvSpPr>
        <xdr:cNvPr id="3" name="Shape 3"/>
        <xdr:cNvSpPr txBox="1"/>
      </xdr:nvSpPr>
      <xdr:spPr>
        <a:xfrm>
          <a:off x="894950" y="590075"/>
          <a:ext cx="2085000" cy="523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100"/>
            <a:t>SISC/QSF-PUR-014 </a:t>
          </a:r>
          <a:endParaRPr sz="1100"/>
        </a:p>
        <a:p>
          <a:pPr indent="0" lvl="0" marL="0" rtl="0" algn="l">
            <a:spcBef>
              <a:spcPts val="0"/>
            </a:spcBef>
            <a:spcAft>
              <a:spcPts val="0"/>
            </a:spcAft>
            <a:buNone/>
          </a:pPr>
          <a:r>
            <a:rPr lang="en-US" sz="1100"/>
            <a:t>REV 001 07/18/16</a:t>
          </a:r>
          <a:endParaRPr sz="1100"/>
        </a:p>
      </xdr:txBody>
    </xdr:sp>
    <xdr:clientData fLocksWithSheet="0"/>
  </xdr:oneCellAnchor>
  <xdr:oneCellAnchor>
    <xdr:from>
      <xdr:col>8</xdr:col>
      <xdr:colOff>838200</xdr:colOff>
      <xdr:row>5</xdr:row>
      <xdr:rowOff>152400</xdr:rowOff>
    </xdr:from>
    <xdr:ext cx="762000" cy="276225"/>
    <xdr:sp>
      <xdr:nvSpPr>
        <xdr:cNvPr id="16" name="Shape 16"/>
        <xdr:cNvSpPr/>
      </xdr:nvSpPr>
      <xdr:spPr>
        <a:xfrm>
          <a:off x="1081800" y="658925"/>
          <a:ext cx="1288500" cy="452400"/>
        </a:xfrm>
        <a:prstGeom prst="roundRect">
          <a:avLst>
            <a:gd fmla="val 16667" name="adj"/>
          </a:avLst>
        </a:prstGeom>
        <a:solidFill>
          <a:srgbClr val="00FF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SAVE</a:t>
          </a:r>
          <a:endParaRPr b="1" sz="1400"/>
        </a:p>
      </xdr:txBody>
    </xdr:sp>
    <xdr:clientData fLocksWithSheet="0"/>
  </xdr:oneCellAnchor>
  <xdr:oneCellAnchor>
    <xdr:from>
      <xdr:col>8</xdr:col>
      <xdr:colOff>1771650</xdr:colOff>
      <xdr:row>5</xdr:row>
      <xdr:rowOff>152400</xdr:rowOff>
    </xdr:from>
    <xdr:ext cx="762000" cy="276225"/>
    <xdr:sp>
      <xdr:nvSpPr>
        <xdr:cNvPr id="17" name="Shape 17"/>
        <xdr:cNvSpPr/>
      </xdr:nvSpPr>
      <xdr:spPr>
        <a:xfrm>
          <a:off x="1347350" y="422900"/>
          <a:ext cx="1170300" cy="462300"/>
        </a:xfrm>
        <a:prstGeom prst="roundRect">
          <a:avLst>
            <a:gd fmla="val 16667" name="adj"/>
          </a:avLst>
        </a:prstGeom>
        <a:solidFill>
          <a:srgbClr val="00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CLEAR</a:t>
          </a:r>
          <a:endParaRPr b="1" sz="1400"/>
        </a:p>
      </xdr:txBody>
    </xdr:sp>
    <xdr:clientData fLocksWithSheet="0"/>
  </xdr:oneCellAnchor>
  <xdr:oneCellAnchor>
    <xdr:from>
      <xdr:col>2</xdr:col>
      <xdr:colOff>428625</xdr:colOff>
      <xdr:row>1</xdr:row>
      <xdr:rowOff>95250</xdr:rowOff>
    </xdr:from>
    <xdr:ext cx="342900" cy="466725"/>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8:E58" displayName="July_Summary" name="July_Summary" id="1">
  <tableColumns count="5">
    <tableColumn name="#" id="1"/>
    <tableColumn name="PRF#" id="2"/>
    <tableColumn name="PO#" id="3"/>
    <tableColumn name="DATE" id="4"/>
    <tableColumn name="AVERAGE" id="5"/>
  </tableColumns>
  <tableStyleInfo name="July 2024-style" showColumnStripes="0" showFirstColumn="1" showLastColumn="1" showRowStripes="1"/>
</table>
</file>

<file path=xl/tables/table2.xml><?xml version="1.0" encoding="utf-8"?>
<table xmlns="http://schemas.openxmlformats.org/spreadsheetml/2006/main" ref="G8:L19" displayName="Table1_2" name="Table1_2" id="2">
  <tableColumns count="6">
    <tableColumn name="#" id="1"/>
    <tableColumn name="PRF#" id="2"/>
    <tableColumn name="PO#" id="3"/>
    <tableColumn name="DATE" id="4"/>
    <tableColumn name="SUPPLIER" id="5"/>
    <tableColumn name="AVERAGE" id="6"/>
  </tableColumns>
  <tableStyleInfo name="July 2024-style 2" showColumnStripes="0" showFirstColumn="1" showLastColumn="1" showRowStripes="1"/>
</table>
</file>

<file path=xl/tables/table3.xml><?xml version="1.0" encoding="utf-8"?>
<table xmlns="http://schemas.openxmlformats.org/spreadsheetml/2006/main" ref="A5:F55" displayName="Summary" name="Summary" id="3">
  <tableColumns count="6">
    <tableColumn name="#" id="1"/>
    <tableColumn name="Company Name" id="2"/>
    <tableColumn name="PRF#" id="3"/>
    <tableColumn name="PO#" id="4"/>
    <tableColumn name="DATE" id="5"/>
    <tableColumn name="AVERAGE" id="6"/>
  </tableColumns>
  <tableStyleInfo name="MONTLY RATINGS-style" showColumnStripes="0" showFirstColumn="1" showLastColumn="1" showRowStripes="1"/>
</table>
</file>

<file path=xl/tables/table4.xml><?xml version="1.0" encoding="utf-8"?>
<table xmlns="http://schemas.openxmlformats.org/spreadsheetml/2006/main" ref="H5:M16" displayName="Table1" name="Table1" id="4">
  <tableColumns count="6">
    <tableColumn name="#" id="1"/>
    <tableColumn name="PRF#" id="2"/>
    <tableColumn name="PO#" id="3"/>
    <tableColumn name="DATE" id="4"/>
    <tableColumn name="SUPPLIER" id="5"/>
    <tableColumn name="AVERAGE" id="6"/>
  </tableColumns>
  <tableStyleInfo name="MONTLY RATING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1.x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printpilipinas.com/"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spreadsheets/d/1h4OvmGWLzhUf2A9xk8uOmeVQgrKV1Xug42n9LH77Avw/edit?gid=560387622"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character.org/" TargetMode="External"/><Relationship Id="rId2" Type="http://schemas.openxmlformats.org/officeDocument/2006/relationships/hyperlink" Target="http://c.rs/" TargetMode="External"/><Relationship Id="rId3"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mailto:windylyninsigne@gmail.com" TargetMode="External"/><Relationship Id="rId2" Type="http://schemas.openxmlformats.org/officeDocument/2006/relationships/hyperlink" Target="mailto:email.edilberto_hidalgo@southville.edu.ph" TargetMode="External"/><Relationship Id="rId3" Type="http://schemas.openxmlformats.org/officeDocument/2006/relationships/hyperlink" Target="mailto:jeremiah_tirol@southville.edu.ph"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90" Type="http://schemas.openxmlformats.org/officeDocument/2006/relationships/hyperlink" Target="mailto:princess_limos@southville.edu.ph" TargetMode="External"/><Relationship Id="rId194" Type="http://schemas.openxmlformats.org/officeDocument/2006/relationships/hyperlink" Target="mailto:rachelc@southville.edu.ph" TargetMode="External"/><Relationship Id="rId193" Type="http://schemas.openxmlformats.org/officeDocument/2006/relationships/hyperlink" Target="mailto:jovit_mantala@southville.edu.ph" TargetMode="External"/><Relationship Id="rId192" Type="http://schemas.openxmlformats.org/officeDocument/2006/relationships/hyperlink" Target="mailto:rachel_estrabo@southville.edu.ph" TargetMode="External"/><Relationship Id="rId191" Type="http://schemas.openxmlformats.org/officeDocument/2006/relationships/hyperlink" Target="mailto:vivian_hermo@southville.edu.ph" TargetMode="External"/><Relationship Id="rId187" Type="http://schemas.openxmlformats.org/officeDocument/2006/relationships/hyperlink" Target="mailto:wencharls_macmac@southville.edu.ph" TargetMode="External"/><Relationship Id="rId186" Type="http://schemas.openxmlformats.org/officeDocument/2006/relationships/hyperlink" Target="mailto:pocholo_castro@southville.edu.ph" TargetMode="External"/><Relationship Id="rId185" Type="http://schemas.openxmlformats.org/officeDocument/2006/relationships/hyperlink" Target="mailto:flazzie_delcampo@southville.edu.ph" TargetMode="External"/><Relationship Id="rId184" Type="http://schemas.openxmlformats.org/officeDocument/2006/relationships/hyperlink" Target="mailto:philip_bennett@southville.edu.ph" TargetMode="External"/><Relationship Id="rId189" Type="http://schemas.openxmlformats.org/officeDocument/2006/relationships/hyperlink" Target="mailto:richelle_bautista@southville.edu.ph" TargetMode="External"/><Relationship Id="rId188" Type="http://schemas.openxmlformats.org/officeDocument/2006/relationships/hyperlink" Target="mailto:princess_echano@southville.edu.ph" TargetMode="External"/><Relationship Id="rId183" Type="http://schemas.openxmlformats.org/officeDocument/2006/relationships/hyperlink" Target="mailto:jose_palisoc@southville.edu.ph" TargetMode="External"/><Relationship Id="rId182" Type="http://schemas.openxmlformats.org/officeDocument/2006/relationships/hyperlink" Target="mailto:phianht@southville.edu.ph" TargetMode="External"/><Relationship Id="rId181" Type="http://schemas.openxmlformats.org/officeDocument/2006/relationships/hyperlink" Target="mailto:edilberto_hidalgo@southville.edu.ph" TargetMode="External"/><Relationship Id="rId180" Type="http://schemas.openxmlformats.org/officeDocument/2006/relationships/hyperlink" Target="mailto:penelope_agustin@southville.edu.ph" TargetMode="External"/><Relationship Id="rId176" Type="http://schemas.openxmlformats.org/officeDocument/2006/relationships/hyperlink" Target="mailto:pauline_gregorio@southville.edu.ph" TargetMode="External"/><Relationship Id="rId175" Type="http://schemas.openxmlformats.org/officeDocument/2006/relationships/hyperlink" Target="mailto:ranier_abengana@southville.edu.ph" TargetMode="External"/><Relationship Id="rId174" Type="http://schemas.openxmlformats.org/officeDocument/2006/relationships/hyperlink" Target="mailto:patrick_loyola@southville.edu.ph" TargetMode="External"/><Relationship Id="rId173" Type="http://schemas.openxmlformats.org/officeDocument/2006/relationships/hyperlink" Target="mailto:karla_cristobal@southville.edu.ph" TargetMode="External"/><Relationship Id="rId179" Type="http://schemas.openxmlformats.org/officeDocument/2006/relationships/hyperlink" Target="mailto:emellyn_cunanan@southville.edu.ph" TargetMode="External"/><Relationship Id="rId178" Type="http://schemas.openxmlformats.org/officeDocument/2006/relationships/hyperlink" Target="mailto:pearl_culanag@southville.edu.ph" TargetMode="External"/><Relationship Id="rId177" Type="http://schemas.openxmlformats.org/officeDocument/2006/relationships/hyperlink" Target="mailto:rochel_ledesma@southville.edu.ph" TargetMode="External"/><Relationship Id="rId198" Type="http://schemas.openxmlformats.org/officeDocument/2006/relationships/hyperlink" Target="mailto:ralph_vicedo@southville.edu.ph" TargetMode="External"/><Relationship Id="rId197" Type="http://schemas.openxmlformats.org/officeDocument/2006/relationships/hyperlink" Target="mailto:dorina_pelayo@southville.edu.ph" TargetMode="External"/><Relationship Id="rId196" Type="http://schemas.openxmlformats.org/officeDocument/2006/relationships/hyperlink" Target="mailto:rachellep@southville.edu.ph" TargetMode="External"/><Relationship Id="rId195" Type="http://schemas.openxmlformats.org/officeDocument/2006/relationships/hyperlink" Target="mailto:charito_ilagan@southville.edu.ph" TargetMode="External"/><Relationship Id="rId199" Type="http://schemas.openxmlformats.org/officeDocument/2006/relationships/hyperlink" Target="mailto:alma_hernandez@southville.edu.ph" TargetMode="External"/><Relationship Id="rId150" Type="http://schemas.openxmlformats.org/officeDocument/2006/relationships/hyperlink" Target="mailto:estanislao_mozo@southville.edu.ph" TargetMode="External"/><Relationship Id="rId392" Type="http://schemas.openxmlformats.org/officeDocument/2006/relationships/hyperlink" Target="mailto:clyde_rebadulla@southville.edu.ph" TargetMode="External"/><Relationship Id="rId391" Type="http://schemas.openxmlformats.org/officeDocument/2006/relationships/hyperlink" Target="mailto:peter_agada@southville.edu.ph" TargetMode="External"/><Relationship Id="rId390" Type="http://schemas.openxmlformats.org/officeDocument/2006/relationships/hyperlink" Target="mailto:sofia_shalaby@southville.edu.ph" TargetMode="External"/><Relationship Id="rId1" Type="http://schemas.openxmlformats.org/officeDocument/2006/relationships/hyperlink" Target="mailto:julien_friedel@southville.edu.ph" TargetMode="External"/><Relationship Id="rId2" Type="http://schemas.openxmlformats.org/officeDocument/2006/relationships/hyperlink" Target="mailto:carolr@southville.edu.ph" TargetMode="External"/><Relationship Id="rId3" Type="http://schemas.openxmlformats.org/officeDocument/2006/relationships/hyperlink" Target="mailto:angelo_paras@southville.edu.ph" TargetMode="External"/><Relationship Id="rId149" Type="http://schemas.openxmlformats.org/officeDocument/2006/relationships/hyperlink" Target="mailto:raul_boledo@southville.edu.ph" TargetMode="External"/><Relationship Id="rId4" Type="http://schemas.openxmlformats.org/officeDocument/2006/relationships/hyperlink" Target="mailto:ceshyr_bauzon@southville.edu.ph" TargetMode="External"/><Relationship Id="rId148" Type="http://schemas.openxmlformats.org/officeDocument/2006/relationships/hyperlink" Target="mailto:esaly_banitak@southville.edu.ph" TargetMode="External"/><Relationship Id="rId9" Type="http://schemas.openxmlformats.org/officeDocument/2006/relationships/hyperlink" Target="mailto:angelou_langga@southville.edu.ph" TargetMode="External"/><Relationship Id="rId143" Type="http://schemas.openxmlformats.org/officeDocument/2006/relationships/hyperlink" Target="mailto:roy_recomendable@southville.edu.ph" TargetMode="External"/><Relationship Id="rId385" Type="http://schemas.openxmlformats.org/officeDocument/2006/relationships/hyperlink" Target="mailto:smanalo@southville.edu.ph" TargetMode="External"/><Relationship Id="rId142" Type="http://schemas.openxmlformats.org/officeDocument/2006/relationships/hyperlink" Target="mailto:emmanuel_corsame@southville.edu.ph" TargetMode="External"/><Relationship Id="rId384" Type="http://schemas.openxmlformats.org/officeDocument/2006/relationships/hyperlink" Target="mailto:claro_ramirez@southville.edu.ph" TargetMode="External"/><Relationship Id="rId141" Type="http://schemas.openxmlformats.org/officeDocument/2006/relationships/hyperlink" Target="mailto:kim_tiujongco@southville.edu.ph" TargetMode="External"/><Relationship Id="rId383" Type="http://schemas.openxmlformats.org/officeDocument/2006/relationships/hyperlink" Target="mailto:jay_sacaben-carbonera@southville.edu.ph" TargetMode="External"/><Relationship Id="rId140" Type="http://schemas.openxmlformats.org/officeDocument/2006/relationships/hyperlink" Target="mailto:emily_manlangit@southville.edu.ph" TargetMode="External"/><Relationship Id="rId382" Type="http://schemas.openxmlformats.org/officeDocument/2006/relationships/hyperlink" Target="mailto:shiela_pasamba@southville.edu.ph" TargetMode="External"/><Relationship Id="rId5" Type="http://schemas.openxmlformats.org/officeDocument/2006/relationships/hyperlink" Target="mailto:julian_laspona@southville.edu.ph" TargetMode="External"/><Relationship Id="rId147" Type="http://schemas.openxmlformats.org/officeDocument/2006/relationships/hyperlink" Target="mailto:jamie_ramos@southville.edu.ph" TargetMode="External"/><Relationship Id="rId389" Type="http://schemas.openxmlformats.org/officeDocument/2006/relationships/hyperlink" Target="mailto:claudine_lumactud@southville.edu.ph" TargetMode="External"/><Relationship Id="rId6" Type="http://schemas.openxmlformats.org/officeDocument/2006/relationships/hyperlink" Target="mailto:charlene_episcope@southville.edu.ph" TargetMode="External"/><Relationship Id="rId146" Type="http://schemas.openxmlformats.org/officeDocument/2006/relationships/hyperlink" Target="mailto:ervin_sotto@southville.edu.ph" TargetMode="External"/><Relationship Id="rId388" Type="http://schemas.openxmlformats.org/officeDocument/2006/relationships/hyperlink" Target="mailto:socorro_santos@southville.edu.ph" TargetMode="External"/><Relationship Id="rId7" Type="http://schemas.openxmlformats.org/officeDocument/2006/relationships/hyperlink" Target="mailto:arnelle_oqueno@southville.edu.ph" TargetMode="External"/><Relationship Id="rId145" Type="http://schemas.openxmlformats.org/officeDocument/2006/relationships/hyperlink" Target="mailto:rico_llandelar@southville.edu.ph" TargetMode="External"/><Relationship Id="rId387" Type="http://schemas.openxmlformats.org/officeDocument/2006/relationships/hyperlink" Target="mailto:claudine_guerrero@southville.edu.ph" TargetMode="External"/><Relationship Id="rId8" Type="http://schemas.openxmlformats.org/officeDocument/2006/relationships/hyperlink" Target="mailto:charmaine_macaspac@southville.edu.ph" TargetMode="External"/><Relationship Id="rId144" Type="http://schemas.openxmlformats.org/officeDocument/2006/relationships/hyperlink" Target="mailto:erneline_joaquin@southville.edu.ph" TargetMode="External"/><Relationship Id="rId386" Type="http://schemas.openxmlformats.org/officeDocument/2006/relationships/hyperlink" Target="mailto:jomel_butial@southville.edu.ph" TargetMode="External"/><Relationship Id="rId381" Type="http://schemas.openxmlformats.org/officeDocument/2006/relationships/hyperlink" Target="mailto:christopher_madrid@southville.edu.ph" TargetMode="External"/><Relationship Id="rId380" Type="http://schemas.openxmlformats.org/officeDocument/2006/relationships/hyperlink" Target="mailto:shiela_azon@southville.edu.ph" TargetMode="External"/><Relationship Id="rId139" Type="http://schemas.openxmlformats.org/officeDocument/2006/relationships/hyperlink" Target="mailto:loribel_marco@southville.edu.ph" TargetMode="External"/><Relationship Id="rId138" Type="http://schemas.openxmlformats.org/officeDocument/2006/relationships/hyperlink" Target="mailto:elyds@southville.edu.ph" TargetMode="External"/><Relationship Id="rId137" Type="http://schemas.openxmlformats.org/officeDocument/2006/relationships/hyperlink" Target="mailto:hannah_sto.domingo@southville.edu.ph" TargetMode="External"/><Relationship Id="rId379" Type="http://schemas.openxmlformats.org/officeDocument/2006/relationships/hyperlink" Target="mailto:christieb@southville.edu.ph" TargetMode="External"/><Relationship Id="rId132" Type="http://schemas.openxmlformats.org/officeDocument/2006/relationships/hyperlink" Target="mailto:elaine_dimacali@southville.edu.ph" TargetMode="External"/><Relationship Id="rId374" Type="http://schemas.openxmlformats.org/officeDocument/2006/relationships/hyperlink" Target="mailto:sherryl_ecobisag@southville.edu.ph" TargetMode="External"/><Relationship Id="rId131" Type="http://schemas.openxmlformats.org/officeDocument/2006/relationships/hyperlink" Target="mailto:eddielyn_bote@southville.edu.ph" TargetMode="External"/><Relationship Id="rId373" Type="http://schemas.openxmlformats.org/officeDocument/2006/relationships/hyperlink" Target="mailto:christian_repuyan@southville.edu.ph" TargetMode="External"/><Relationship Id="rId130" Type="http://schemas.openxmlformats.org/officeDocument/2006/relationships/hyperlink" Target="mailto:ejcorsame@southville.edu.ph" TargetMode="External"/><Relationship Id="rId372" Type="http://schemas.openxmlformats.org/officeDocument/2006/relationships/hyperlink" Target="mailto:john_campit@southville.edu.ph" TargetMode="External"/><Relationship Id="rId371" Type="http://schemas.openxmlformats.org/officeDocument/2006/relationships/hyperlink" Target="mailto:sherralyn_lorenzo@southville.edu.ph" TargetMode="External"/><Relationship Id="rId136" Type="http://schemas.openxmlformats.org/officeDocument/2006/relationships/hyperlink" Target="mailto:ely_vermudez@southville.edu.ph" TargetMode="External"/><Relationship Id="rId378" Type="http://schemas.openxmlformats.org/officeDocument/2006/relationships/hyperlink" Target="mailto:jose_fababaer@southville.edu.ph" TargetMode="External"/><Relationship Id="rId135" Type="http://schemas.openxmlformats.org/officeDocument/2006/relationships/hyperlink" Target="mailto:anna_seva@southville.edu.ph" TargetMode="External"/><Relationship Id="rId377" Type="http://schemas.openxmlformats.org/officeDocument/2006/relationships/hyperlink" Target="mailto:shhong@southville.edu.ph" TargetMode="External"/><Relationship Id="rId134" Type="http://schemas.openxmlformats.org/officeDocument/2006/relationships/hyperlink" Target="mailto:elona_pedrozo@southville.edu.ph" TargetMode="External"/><Relationship Id="rId376" Type="http://schemas.openxmlformats.org/officeDocument/2006/relationships/hyperlink" Target="mailto:christiant@southville.edu.ph" TargetMode="External"/><Relationship Id="rId133" Type="http://schemas.openxmlformats.org/officeDocument/2006/relationships/hyperlink" Target="mailto:jude_agsalon@southville.edu.ph" TargetMode="External"/><Relationship Id="rId375" Type="http://schemas.openxmlformats.org/officeDocument/2006/relationships/hyperlink" Target="mailto:joseph_asoy@southville.edu.ph" TargetMode="External"/><Relationship Id="rId172" Type="http://schemas.openxmlformats.org/officeDocument/2006/relationships/hyperlink" Target="mailto:patrick_corvera@southville.edu.ph" TargetMode="External"/><Relationship Id="rId171" Type="http://schemas.openxmlformats.org/officeDocument/2006/relationships/hyperlink" Target="mailto:emelu_montinola@southville.edu.ph" TargetMode="External"/><Relationship Id="rId170" Type="http://schemas.openxmlformats.org/officeDocument/2006/relationships/hyperlink" Target="mailto:patricia_velasquez@southville.edu.ph" TargetMode="External"/><Relationship Id="rId165" Type="http://schemas.openxmlformats.org/officeDocument/2006/relationships/hyperlink" Target="mailto:jhona_delossantos@southville.edu.ph" TargetMode="External"/><Relationship Id="rId164" Type="http://schemas.openxmlformats.org/officeDocument/2006/relationships/hyperlink" Target="mailto:patricia_belleza@southville.edu.ph" TargetMode="External"/><Relationship Id="rId163" Type="http://schemas.openxmlformats.org/officeDocument/2006/relationships/hyperlink" Target="mailto:angelo_pera@southville.edu.ph" TargetMode="External"/><Relationship Id="rId162" Type="http://schemas.openxmlformats.org/officeDocument/2006/relationships/hyperlink" Target="mailto:eva_necosia@southville.edu.ph" TargetMode="External"/><Relationship Id="rId169" Type="http://schemas.openxmlformats.org/officeDocument/2006/relationships/hyperlink" Target="mailto:christina_canong@southville.edu.ph" TargetMode="External"/><Relationship Id="rId168" Type="http://schemas.openxmlformats.org/officeDocument/2006/relationships/hyperlink" Target="mailto:patricia_valdoz@southville.edu.ph" TargetMode="External"/><Relationship Id="rId167" Type="http://schemas.openxmlformats.org/officeDocument/2006/relationships/hyperlink" Target="mailto:irish_fernando@southville.edu.ph" TargetMode="External"/><Relationship Id="rId166" Type="http://schemas.openxmlformats.org/officeDocument/2006/relationships/hyperlink" Target="mailto:patricia_patron@southville.edu.ph" TargetMode="External"/><Relationship Id="rId161" Type="http://schemas.openxmlformats.org/officeDocument/2006/relationships/hyperlink" Target="mailto:frances_capili@southville.edu.ph" TargetMode="External"/><Relationship Id="rId160" Type="http://schemas.openxmlformats.org/officeDocument/2006/relationships/hyperlink" Target="mailto:eunice_entegro@southville.edu.ph" TargetMode="External"/><Relationship Id="rId159" Type="http://schemas.openxmlformats.org/officeDocument/2006/relationships/hyperlink" Target="mailto:ador_marinda@southville.edu.ph" TargetMode="External"/><Relationship Id="rId154" Type="http://schemas.openxmlformats.org/officeDocument/2006/relationships/hyperlink" Target="mailto:eudiery@southville.edu.ph" TargetMode="External"/><Relationship Id="rId396" Type="http://schemas.openxmlformats.org/officeDocument/2006/relationships/hyperlink" Target="mailto:sunny_ban@southville.edu.ph" TargetMode="External"/><Relationship Id="rId153" Type="http://schemas.openxmlformats.org/officeDocument/2006/relationships/hyperlink" Target="mailto:shaira_bravo@southville.edu.ph" TargetMode="External"/><Relationship Id="rId395" Type="http://schemas.openxmlformats.org/officeDocument/2006/relationships/hyperlink" Target="mailto:con_aguinaldo@southville.edu.ph" TargetMode="External"/><Relationship Id="rId152" Type="http://schemas.openxmlformats.org/officeDocument/2006/relationships/hyperlink" Target="mailto:ethelbirth_ignacio@southville.edu.ph" TargetMode="External"/><Relationship Id="rId394" Type="http://schemas.openxmlformats.org/officeDocument/2006/relationships/hyperlink" Target="mailto:abigailv@southville.edu.ph" TargetMode="External"/><Relationship Id="rId151" Type="http://schemas.openxmlformats.org/officeDocument/2006/relationships/hyperlink" Target="mailto:james_vecino@southville.edu.ph" TargetMode="External"/><Relationship Id="rId393" Type="http://schemas.openxmlformats.org/officeDocument/2006/relationships/hyperlink" Target="mailto:stephen_banares@southville.edu.ph" TargetMode="External"/><Relationship Id="rId158" Type="http://schemas.openxmlformats.org/officeDocument/2006/relationships/hyperlink" Target="mailto:eulalia_rosales@southville.edu.ph" TargetMode="External"/><Relationship Id="rId157" Type="http://schemas.openxmlformats.org/officeDocument/2006/relationships/hyperlink" Target="mailto:jully_carman@southville.edu.ph" TargetMode="External"/><Relationship Id="rId399" Type="http://schemas.openxmlformats.org/officeDocument/2006/relationships/hyperlink" Target="mailto:talaa@southville.edu.ph" TargetMode="External"/><Relationship Id="rId156" Type="http://schemas.openxmlformats.org/officeDocument/2006/relationships/hyperlink" Target="mailto:eugenem@southville.edu.ph" TargetMode="External"/><Relationship Id="rId398" Type="http://schemas.openxmlformats.org/officeDocument/2006/relationships/hyperlink" Target="mailto:corazon_guzman@southville.edu.ph" TargetMode="External"/><Relationship Id="rId155" Type="http://schemas.openxmlformats.org/officeDocument/2006/relationships/hyperlink" Target="mailto:lady_estropigan@southville.edu.ph" TargetMode="External"/><Relationship Id="rId397" Type="http://schemas.openxmlformats.org/officeDocument/2006/relationships/hyperlink" Target="mailto:abegael_labradores@southville.edu.ph" TargetMode="External"/><Relationship Id="rId40" Type="http://schemas.openxmlformats.org/officeDocument/2006/relationships/hyperlink" Target="mailto:mylynb@southville.edu.ph" TargetMode="External"/><Relationship Id="rId42" Type="http://schemas.openxmlformats.org/officeDocument/2006/relationships/hyperlink" Target="mailto:myra_abiog@southville.edu.ph" TargetMode="External"/><Relationship Id="rId41" Type="http://schemas.openxmlformats.org/officeDocument/2006/relationships/hyperlink" Target="mailto:nina_kanapi@southville.edu.ph" TargetMode="External"/><Relationship Id="rId44" Type="http://schemas.openxmlformats.org/officeDocument/2006/relationships/hyperlink" Target="mailto:myrna_gutierrez@southville.edu.ph" TargetMode="External"/><Relationship Id="rId43" Type="http://schemas.openxmlformats.org/officeDocument/2006/relationships/hyperlink" Target="mailto:angelie_madanlog@southville.edu.ph" TargetMode="External"/><Relationship Id="rId46" Type="http://schemas.openxmlformats.org/officeDocument/2006/relationships/hyperlink" Target="mailto:nancydg@southville.edu.ph" TargetMode="External"/><Relationship Id="rId45" Type="http://schemas.openxmlformats.org/officeDocument/2006/relationships/hyperlink" Target="mailto:francis_viernes@southville.edu.ph" TargetMode="External"/><Relationship Id="rId509" Type="http://schemas.openxmlformats.org/officeDocument/2006/relationships/hyperlink" Target="mailto:garry_batao-ey@southville.edu.ph" TargetMode="External"/><Relationship Id="rId508" Type="http://schemas.openxmlformats.org/officeDocument/2006/relationships/hyperlink" Target="mailto:fctria@southville.edu.ph" TargetMode="External"/><Relationship Id="rId503" Type="http://schemas.openxmlformats.org/officeDocument/2006/relationships/hyperlink" Target="mailto:eileen_empalmado@southville.edu.ph" TargetMode="External"/><Relationship Id="rId745" Type="http://schemas.openxmlformats.org/officeDocument/2006/relationships/hyperlink" Target="mailto:bob_carreon@southville.edu.ph" TargetMode="External"/><Relationship Id="rId502" Type="http://schemas.openxmlformats.org/officeDocument/2006/relationships/hyperlink" Target="mailto:evelyn_sevilla@southville.edu.ph" TargetMode="External"/><Relationship Id="rId744" Type="http://schemas.openxmlformats.org/officeDocument/2006/relationships/hyperlink" Target="mailto:michael_manansala@southville.edu.ph" TargetMode="External"/><Relationship Id="rId501" Type="http://schemas.openxmlformats.org/officeDocument/2006/relationships/hyperlink" Target="mailto:diego_cruz@southville.edu.ph" TargetMode="External"/><Relationship Id="rId743" Type="http://schemas.openxmlformats.org/officeDocument/2006/relationships/hyperlink" Target="mailto:biloy@southville.edu.ph" TargetMode="External"/><Relationship Id="rId500" Type="http://schemas.openxmlformats.org/officeDocument/2006/relationships/hyperlink" Target="mailto:eva_necosia@southville.edu.ph" TargetMode="External"/><Relationship Id="rId742" Type="http://schemas.openxmlformats.org/officeDocument/2006/relationships/hyperlink" Target="mailto:mhey@southville.edu.ph" TargetMode="External"/><Relationship Id="rId507" Type="http://schemas.openxmlformats.org/officeDocument/2006/relationships/hyperlink" Target="mailto:qi_romualdo@southville.edu.ph" TargetMode="External"/><Relationship Id="rId749" Type="http://schemas.openxmlformats.org/officeDocument/2006/relationships/hyperlink" Target="mailto:bsullano@southville.edu.ph" TargetMode="External"/><Relationship Id="rId506" Type="http://schemas.openxmlformats.org/officeDocument/2006/relationships/hyperlink" Target="mailto:fanny_indac@southville.edu.ph" TargetMode="External"/><Relationship Id="rId748" Type="http://schemas.openxmlformats.org/officeDocument/2006/relationships/hyperlink" Target="mailto:michel_jlailaty@southville.edu.ph" TargetMode="External"/><Relationship Id="rId505" Type="http://schemas.openxmlformats.org/officeDocument/2006/relationships/hyperlink" Target="mailto:emmanuel_surbano@southville.edu.ph" TargetMode="External"/><Relationship Id="rId747" Type="http://schemas.openxmlformats.org/officeDocument/2006/relationships/hyperlink" Target="mailto:bryan_rubio@southville.edu.ph" TargetMode="External"/><Relationship Id="rId504" Type="http://schemas.openxmlformats.org/officeDocument/2006/relationships/hyperlink" Target="mailto:famia_fabiana@southville.edu.ph" TargetMode="External"/><Relationship Id="rId746" Type="http://schemas.openxmlformats.org/officeDocument/2006/relationships/hyperlink" Target="mailto:michaelm@southville.edu.ph" TargetMode="External"/><Relationship Id="rId48" Type="http://schemas.openxmlformats.org/officeDocument/2006/relationships/hyperlink" Target="mailto:nathaliep@southville.edu.ph" TargetMode="External"/><Relationship Id="rId47" Type="http://schemas.openxmlformats.org/officeDocument/2006/relationships/hyperlink" Target="mailto:john_benosa@southville.edu.ph" TargetMode="External"/><Relationship Id="rId49" Type="http://schemas.openxmlformats.org/officeDocument/2006/relationships/hyperlink" Target="mailto:copernicus_pepito@southville.edu.ph" TargetMode="External"/><Relationship Id="rId741" Type="http://schemas.openxmlformats.org/officeDocument/2006/relationships/hyperlink" Target="mailto:dette_lopez@southville.edu.ph" TargetMode="External"/><Relationship Id="rId740" Type="http://schemas.openxmlformats.org/officeDocument/2006/relationships/hyperlink" Target="mailto:mhemss@southville.edu.ph" TargetMode="External"/><Relationship Id="rId31" Type="http://schemas.openxmlformats.org/officeDocument/2006/relationships/hyperlink" Target="mailto:ronald_verde@southville.edu.ph" TargetMode="External"/><Relationship Id="rId30" Type="http://schemas.openxmlformats.org/officeDocument/2006/relationships/hyperlink" Target="mailto:claro_ramirez@southville.edu.ph" TargetMode="External"/><Relationship Id="rId33" Type="http://schemas.openxmlformats.org/officeDocument/2006/relationships/hyperlink" Target="mailto:elmie_laudiato@southville.edu.ph" TargetMode="External"/><Relationship Id="rId32" Type="http://schemas.openxmlformats.org/officeDocument/2006/relationships/hyperlink" Target="mailto:claudine_guerrero@southville.edu.ph" TargetMode="External"/><Relationship Id="rId35" Type="http://schemas.openxmlformats.org/officeDocument/2006/relationships/hyperlink" Target="mailto:hazel_deguzman@southville.edu.ph" TargetMode="External"/><Relationship Id="rId34" Type="http://schemas.openxmlformats.org/officeDocument/2006/relationships/hyperlink" Target="mailto:claudine_lumactud@southville.edu.ph" TargetMode="External"/><Relationship Id="rId739" Type="http://schemas.openxmlformats.org/officeDocument/2006/relationships/hyperlink" Target="mailto:bengy@southville.edu.ph" TargetMode="External"/><Relationship Id="rId734" Type="http://schemas.openxmlformats.org/officeDocument/2006/relationships/hyperlink" Target="mailto:mellanny_aquino@southville.edu.ph" TargetMode="External"/><Relationship Id="rId733" Type="http://schemas.openxmlformats.org/officeDocument/2006/relationships/hyperlink" Target="mailto:beatrice_orteza@southville.edu.ph" TargetMode="External"/><Relationship Id="rId732" Type="http://schemas.openxmlformats.org/officeDocument/2006/relationships/hyperlink" Target="mailto:melissao@southville.edu.ph" TargetMode="External"/><Relationship Id="rId731" Type="http://schemas.openxmlformats.org/officeDocument/2006/relationships/hyperlink" Target="mailto:avics@southville.edu.ph" TargetMode="External"/><Relationship Id="rId738" Type="http://schemas.openxmlformats.org/officeDocument/2006/relationships/hyperlink" Target="mailto:meredith_rogelio@southville.edu.ph" TargetMode="External"/><Relationship Id="rId737" Type="http://schemas.openxmlformats.org/officeDocument/2006/relationships/hyperlink" Target="mailto:bencarlo_atim@southville.edu.ph" TargetMode="External"/><Relationship Id="rId736" Type="http://schemas.openxmlformats.org/officeDocument/2006/relationships/hyperlink" Target="mailto:melvin_moso@southville.edu.ph" TargetMode="External"/><Relationship Id="rId735" Type="http://schemas.openxmlformats.org/officeDocument/2006/relationships/hyperlink" Target="mailto:belenm@southville.edu.ph" TargetMode="External"/><Relationship Id="rId37" Type="http://schemas.openxmlformats.org/officeDocument/2006/relationships/hyperlink" Target="mailto:verge_devilla@southville.edu.ph" TargetMode="External"/><Relationship Id="rId36" Type="http://schemas.openxmlformats.org/officeDocument/2006/relationships/hyperlink" Target="mailto:clyde_rebadulla@southville.edu.ph" TargetMode="External"/><Relationship Id="rId39" Type="http://schemas.openxmlformats.org/officeDocument/2006/relationships/hyperlink" Target="mailto:beverly_fulgosino@southville.edu.ph" TargetMode="External"/><Relationship Id="rId38" Type="http://schemas.openxmlformats.org/officeDocument/2006/relationships/hyperlink" Target="mailto:con_aguinaldo@southville.edu.ph" TargetMode="External"/><Relationship Id="rId730" Type="http://schemas.openxmlformats.org/officeDocument/2006/relationships/hyperlink" Target="mailto:melisaa@southville.edu.ph" TargetMode="External"/><Relationship Id="rId20" Type="http://schemas.openxmlformats.org/officeDocument/2006/relationships/hyperlink" Target="mailto:christian_hizon@southville.edu.ph" TargetMode="External"/><Relationship Id="rId22" Type="http://schemas.openxmlformats.org/officeDocument/2006/relationships/hyperlink" Target="mailto:christian_repuyan@southville.edu.ph" TargetMode="External"/><Relationship Id="rId21" Type="http://schemas.openxmlformats.org/officeDocument/2006/relationships/hyperlink" Target="mailto:michelle_sto.tomas@southville.edu.ph" TargetMode="External"/><Relationship Id="rId24" Type="http://schemas.openxmlformats.org/officeDocument/2006/relationships/hyperlink" Target="mailto:christiant@southville.edu.ph" TargetMode="External"/><Relationship Id="rId23" Type="http://schemas.openxmlformats.org/officeDocument/2006/relationships/hyperlink" Target="mailto:alyssa_mamburam@southville.edu.ph" TargetMode="External"/><Relationship Id="rId525" Type="http://schemas.openxmlformats.org/officeDocument/2006/relationships/hyperlink" Target="mailto:joie_balmes@southville.edu.ph" TargetMode="External"/><Relationship Id="rId767" Type="http://schemas.openxmlformats.org/officeDocument/2006/relationships/hyperlink" Target="mailto:carolina_manga@southville.edu.ph" TargetMode="External"/><Relationship Id="rId524" Type="http://schemas.openxmlformats.org/officeDocument/2006/relationships/hyperlink" Target="mailto:gabriel_rosales@southville.edu.ph" TargetMode="External"/><Relationship Id="rId766" Type="http://schemas.openxmlformats.org/officeDocument/2006/relationships/hyperlink" Target="mailto:monetteagbulos@southville.edu.ph" TargetMode="External"/><Relationship Id="rId523" Type="http://schemas.openxmlformats.org/officeDocument/2006/relationships/hyperlink" Target="mailto:danielle_mordeno@southville.edu.ph" TargetMode="External"/><Relationship Id="rId765" Type="http://schemas.openxmlformats.org/officeDocument/2006/relationships/hyperlink" Target="mailto:carmichael_soria@southville.edu.ph" TargetMode="External"/><Relationship Id="rId522" Type="http://schemas.openxmlformats.org/officeDocument/2006/relationships/hyperlink" Target="mailto:fulgenciod@southville.edu.ph" TargetMode="External"/><Relationship Id="rId764" Type="http://schemas.openxmlformats.org/officeDocument/2006/relationships/hyperlink" Target="mailto:mona_valencia@southville.edu.ph" TargetMode="External"/><Relationship Id="rId529" Type="http://schemas.openxmlformats.org/officeDocument/2006/relationships/hyperlink" Target="mailto:jairel_marasigan@southville.edu.ph" TargetMode="External"/><Relationship Id="rId528" Type="http://schemas.openxmlformats.org/officeDocument/2006/relationships/hyperlink" Target="mailto:gene@southville.edu.ph" TargetMode="External"/><Relationship Id="rId527" Type="http://schemas.openxmlformats.org/officeDocument/2006/relationships/hyperlink" Target="mailto:veronica_cabrera@southville.edu.ph" TargetMode="External"/><Relationship Id="rId769" Type="http://schemas.openxmlformats.org/officeDocument/2006/relationships/hyperlink" Target="mailto:monica_sarao@southville.edu.ph" TargetMode="External"/><Relationship Id="rId526" Type="http://schemas.openxmlformats.org/officeDocument/2006/relationships/hyperlink" Target="mailto:gelica_lopera@southville.edu.ph" TargetMode="External"/><Relationship Id="rId768" Type="http://schemas.openxmlformats.org/officeDocument/2006/relationships/hyperlink" Target="mailto:moneza_delossantos@southville.edu.ph" TargetMode="External"/><Relationship Id="rId26" Type="http://schemas.openxmlformats.org/officeDocument/2006/relationships/hyperlink" Target="mailto:christieb@southville.edu.ph" TargetMode="External"/><Relationship Id="rId25" Type="http://schemas.openxmlformats.org/officeDocument/2006/relationships/hyperlink" Target="mailto:ayanna_mance@southville.edu.ph" TargetMode="External"/><Relationship Id="rId28" Type="http://schemas.openxmlformats.org/officeDocument/2006/relationships/hyperlink" Target="mailto:christopher_madrid@southville.edu.ph" TargetMode="External"/><Relationship Id="rId27" Type="http://schemas.openxmlformats.org/officeDocument/2006/relationships/hyperlink" Target="mailto:mikael_robrigado@southville.edu.ph" TargetMode="External"/><Relationship Id="rId521" Type="http://schemas.openxmlformats.org/officeDocument/2006/relationships/hyperlink" Target="mailto:rhaiza_maglojos@southville.edu" TargetMode="External"/><Relationship Id="rId763" Type="http://schemas.openxmlformats.org/officeDocument/2006/relationships/hyperlink" Target="mailto:carmelita_villegas@southville.edu.ph" TargetMode="External"/><Relationship Id="rId29" Type="http://schemas.openxmlformats.org/officeDocument/2006/relationships/hyperlink" Target="mailto:denned_pinza@southville.edu.ph" TargetMode="External"/><Relationship Id="rId520" Type="http://schemas.openxmlformats.org/officeDocument/2006/relationships/hyperlink" Target="mailto:francisa@southville.edu.ph" TargetMode="External"/><Relationship Id="rId762" Type="http://schemas.openxmlformats.org/officeDocument/2006/relationships/hyperlink" Target="mailto:mitch.espiritu@southville.edu.ph" TargetMode="External"/><Relationship Id="rId761" Type="http://schemas.openxmlformats.org/officeDocument/2006/relationships/hyperlink" Target="mailto:carlos_delarosa@southville.edu.ph" TargetMode="External"/><Relationship Id="rId760" Type="http://schemas.openxmlformats.org/officeDocument/2006/relationships/hyperlink" Target="mailto:misch_severina@southville.edu.ph" TargetMode="External"/><Relationship Id="rId11" Type="http://schemas.openxmlformats.org/officeDocument/2006/relationships/hyperlink" Target="mailto:kim_pascual@southville.edu.ph" TargetMode="External"/><Relationship Id="rId10" Type="http://schemas.openxmlformats.org/officeDocument/2006/relationships/hyperlink" Target="mailto:cherry_venturillo@southville.edu.ph" TargetMode="External"/><Relationship Id="rId13" Type="http://schemas.openxmlformats.org/officeDocument/2006/relationships/hyperlink" Target="mailto:angelica_tan@southville.edu.ph" TargetMode="External"/><Relationship Id="rId12" Type="http://schemas.openxmlformats.org/officeDocument/2006/relationships/hyperlink" Target="mailto:chin_du@southville.edu.ph" TargetMode="External"/><Relationship Id="rId519" Type="http://schemas.openxmlformats.org/officeDocument/2006/relationships/hyperlink" Target="mailto:joseph_wong@southville.edu.ph" TargetMode="External"/><Relationship Id="rId514" Type="http://schemas.openxmlformats.org/officeDocument/2006/relationships/hyperlink" Target="mailto:fj_deboer@southville.edu.ph" TargetMode="External"/><Relationship Id="rId756" Type="http://schemas.openxmlformats.org/officeDocument/2006/relationships/hyperlink" Target="mailto:mia_ganaden@southville.edu.ph" TargetMode="External"/><Relationship Id="rId513" Type="http://schemas.openxmlformats.org/officeDocument/2006/relationships/hyperlink" Target="mailto:adrian_deguinto@southville.edu.ph" TargetMode="External"/><Relationship Id="rId755" Type="http://schemas.openxmlformats.org/officeDocument/2006/relationships/hyperlink" Target="mailto:carlag@southville.edu.ph" TargetMode="External"/><Relationship Id="rId512" Type="http://schemas.openxmlformats.org/officeDocument/2006/relationships/hyperlink" Target="mailto:fidesa@southville.edu.ph" TargetMode="External"/><Relationship Id="rId754" Type="http://schemas.openxmlformats.org/officeDocument/2006/relationships/hyperlink" Target="mailto:miletg@southville.edu.ph" TargetMode="External"/><Relationship Id="rId511" Type="http://schemas.openxmlformats.org/officeDocument/2006/relationships/hyperlink" Target="mailto:kurt_castaneda@southville.edu.ph" TargetMode="External"/><Relationship Id="rId753" Type="http://schemas.openxmlformats.org/officeDocument/2006/relationships/hyperlink" Target="mailto:camille_advincula@southville.edu.ph" TargetMode="External"/><Relationship Id="rId518" Type="http://schemas.openxmlformats.org/officeDocument/2006/relationships/hyperlink" Target="mailto:floribelf@southville.edu.ph" TargetMode="External"/><Relationship Id="rId517" Type="http://schemas.openxmlformats.org/officeDocument/2006/relationships/hyperlink" Target="mailto:maricel_flores@southville.edu.ph" TargetMode="External"/><Relationship Id="rId759" Type="http://schemas.openxmlformats.org/officeDocument/2006/relationships/hyperlink" Target="mailto:carlos_cerdena@southville.edu.ph" TargetMode="External"/><Relationship Id="rId516" Type="http://schemas.openxmlformats.org/officeDocument/2006/relationships/hyperlink" Target="mailto:flor_espina@southville.edu.ph" TargetMode="External"/><Relationship Id="rId758" Type="http://schemas.openxmlformats.org/officeDocument/2006/relationships/hyperlink" Target="mailto:miriam_marasigan@southville.edu.ph" TargetMode="External"/><Relationship Id="rId515" Type="http://schemas.openxmlformats.org/officeDocument/2006/relationships/hyperlink" Target="mailto:arvin_ello@southville.edu.ph" TargetMode="External"/><Relationship Id="rId757" Type="http://schemas.openxmlformats.org/officeDocument/2006/relationships/hyperlink" Target="mailto:carlitodv@southville.edu.ph" TargetMode="External"/><Relationship Id="rId15" Type="http://schemas.openxmlformats.org/officeDocument/2006/relationships/hyperlink" Target="mailto:kristine_nellas@southville.edu.ph" TargetMode="External"/><Relationship Id="rId14" Type="http://schemas.openxmlformats.org/officeDocument/2006/relationships/hyperlink" Target="mailto:chona@southville.edu.ph" TargetMode="External"/><Relationship Id="rId17" Type="http://schemas.openxmlformats.org/officeDocument/2006/relationships/hyperlink" Target="mailto:jan_dalawampu@southville.edu.ph" TargetMode="External"/><Relationship Id="rId16" Type="http://schemas.openxmlformats.org/officeDocument/2006/relationships/hyperlink" Target="mailto:choyj@southville.edu.ph" TargetMode="External"/><Relationship Id="rId19" Type="http://schemas.openxmlformats.org/officeDocument/2006/relationships/hyperlink" Target="mailto:randy_roncales@southville.edu.ph" TargetMode="External"/><Relationship Id="rId510" Type="http://schemas.openxmlformats.org/officeDocument/2006/relationships/hyperlink" Target="mailto:felina_ilao@southville.edu.ph" TargetMode="External"/><Relationship Id="rId752" Type="http://schemas.openxmlformats.org/officeDocument/2006/relationships/hyperlink" Target="mailto:mikey_llorin@southville.edu.ph" TargetMode="External"/><Relationship Id="rId18" Type="http://schemas.openxmlformats.org/officeDocument/2006/relationships/hyperlink" Target="mailto:chris_dolor@southville.edu.ph" TargetMode="External"/><Relationship Id="rId751" Type="http://schemas.openxmlformats.org/officeDocument/2006/relationships/hyperlink" Target="mailto:byron_festin@southville.edu.ph" TargetMode="External"/><Relationship Id="rId750" Type="http://schemas.openxmlformats.org/officeDocument/2006/relationships/hyperlink" Target="mailto:michelle_calixtro@southville.edu.ph" TargetMode="External"/><Relationship Id="rId84" Type="http://schemas.openxmlformats.org/officeDocument/2006/relationships/hyperlink" Target="mailto:dabereth_baller@southville.edu.ph" TargetMode="External"/><Relationship Id="rId83" Type="http://schemas.openxmlformats.org/officeDocument/2006/relationships/hyperlink" Target="mailto:alyssa_pena@southville.edu.ph" TargetMode="External"/><Relationship Id="rId86" Type="http://schemas.openxmlformats.org/officeDocument/2006/relationships/hyperlink" Target="mailto:danilo_chua@southville.edu.ph" TargetMode="External"/><Relationship Id="rId85" Type="http://schemas.openxmlformats.org/officeDocument/2006/relationships/hyperlink" Target="mailto:anna_reunilla@southville.edu.ph" TargetMode="External"/><Relationship Id="rId88" Type="http://schemas.openxmlformats.org/officeDocument/2006/relationships/hyperlink" Target="mailto:dannielle_ignacio@southville.edu.ph" TargetMode="External"/><Relationship Id="rId87" Type="http://schemas.openxmlformats.org/officeDocument/2006/relationships/hyperlink" Target="mailto:toribio_cayanan@southville.edu.ph" TargetMode="External"/><Relationship Id="rId89" Type="http://schemas.openxmlformats.org/officeDocument/2006/relationships/hyperlink" Target="mailto:cindy_jurado@southville.edu.ph" TargetMode="External"/><Relationship Id="rId709" Type="http://schemas.openxmlformats.org/officeDocument/2006/relationships/hyperlink" Target="mailto:arianna_cruz@southville.edu.ph" TargetMode="External"/><Relationship Id="rId708" Type="http://schemas.openxmlformats.org/officeDocument/2006/relationships/hyperlink" Target="mailto:mary_delosreyes@southville.edu.ph" TargetMode="External"/><Relationship Id="rId707" Type="http://schemas.openxmlformats.org/officeDocument/2006/relationships/hyperlink" Target="mailto:arhnie_delacruz@southville.edu.ph" TargetMode="External"/><Relationship Id="rId706" Type="http://schemas.openxmlformats.org/officeDocument/2006/relationships/hyperlink" Target="mailto:mary-ann_guilleno@southville.edu.ph" TargetMode="External"/><Relationship Id="rId80" Type="http://schemas.openxmlformats.org/officeDocument/2006/relationships/hyperlink" Target="mailto:cristine_yap@southville.edu.ph" TargetMode="External"/><Relationship Id="rId82" Type="http://schemas.openxmlformats.org/officeDocument/2006/relationships/hyperlink" Target="mailto:czarina_cabrera@southville.edu.ph" TargetMode="External"/><Relationship Id="rId81" Type="http://schemas.openxmlformats.org/officeDocument/2006/relationships/hyperlink" Target="mailto:rosalyn_calapitche@southville.edu.ph" TargetMode="External"/><Relationship Id="rId701" Type="http://schemas.openxmlformats.org/officeDocument/2006/relationships/hyperlink" Target="mailto:apple_delgado@southville.edu.ph" TargetMode="External"/><Relationship Id="rId700" Type="http://schemas.openxmlformats.org/officeDocument/2006/relationships/hyperlink" Target="mailto:marm@southville.edu.ph" TargetMode="External"/><Relationship Id="rId705" Type="http://schemas.openxmlformats.org/officeDocument/2006/relationships/hyperlink" Target="mailto:ardeed@southville.edu.ph" TargetMode="External"/><Relationship Id="rId704" Type="http://schemas.openxmlformats.org/officeDocument/2006/relationships/hyperlink" Target="mailto:marvind@southville.edu.ph" TargetMode="External"/><Relationship Id="rId703" Type="http://schemas.openxmlformats.org/officeDocument/2006/relationships/hyperlink" Target="mailto:aprille_flores@southville.edu.ph" TargetMode="External"/><Relationship Id="rId702" Type="http://schemas.openxmlformats.org/officeDocument/2006/relationships/hyperlink" Target="mailto:martin_migue@southville.edu.ph" TargetMode="External"/><Relationship Id="rId73" Type="http://schemas.openxmlformats.org/officeDocument/2006/relationships/hyperlink" Target="mailto:joyce_pabrigaras@southville.edu.ph" TargetMode="External"/><Relationship Id="rId72" Type="http://schemas.openxmlformats.org/officeDocument/2006/relationships/hyperlink" Target="mailto:pamela_morales@southville.edu.ph" TargetMode="External"/><Relationship Id="rId75" Type="http://schemas.openxmlformats.org/officeDocument/2006/relationships/hyperlink" Target="mailto:joralyn_casis@southville.edu.ph" TargetMode="External"/><Relationship Id="rId74" Type="http://schemas.openxmlformats.org/officeDocument/2006/relationships/hyperlink" Target="mailto:pamela_villaescusa@southville.edu.ph" TargetMode="External"/><Relationship Id="rId77" Type="http://schemas.openxmlformats.org/officeDocument/2006/relationships/hyperlink" Target="mailto:christian_andres@southville.edu.ph" TargetMode="External"/><Relationship Id="rId76" Type="http://schemas.openxmlformats.org/officeDocument/2006/relationships/hyperlink" Target="mailto:paraluman_zulueta@southville.edu.ph" TargetMode="External"/><Relationship Id="rId79" Type="http://schemas.openxmlformats.org/officeDocument/2006/relationships/hyperlink" Target="mailto:anne_devela@southville.edu.ph" TargetMode="External"/><Relationship Id="rId78" Type="http://schemas.openxmlformats.org/officeDocument/2006/relationships/hyperlink" Target="mailto:corazon_guzman@southville.edu.ph" TargetMode="External"/><Relationship Id="rId71" Type="http://schemas.openxmlformats.org/officeDocument/2006/relationships/hyperlink" Target="mailto:julius_pizzaro@southville.edu.ph" TargetMode="External"/><Relationship Id="rId70" Type="http://schemas.openxmlformats.org/officeDocument/2006/relationships/hyperlink" Target="mailto:pablo_david@southville.edu.ph" TargetMode="External"/><Relationship Id="rId62" Type="http://schemas.openxmlformats.org/officeDocument/2006/relationships/hyperlink" Target="mailto:normant@southville.edu.ph" TargetMode="External"/><Relationship Id="rId61" Type="http://schemas.openxmlformats.org/officeDocument/2006/relationships/hyperlink" Target="mailto:abigail_palisoc@southville.edu.ph" TargetMode="External"/><Relationship Id="rId64" Type="http://schemas.openxmlformats.org/officeDocument/2006/relationships/hyperlink" Target="mailto:npoyugao@southville.edu.ph" TargetMode="External"/><Relationship Id="rId63" Type="http://schemas.openxmlformats.org/officeDocument/2006/relationships/hyperlink" Target="mailto:christian_tuppal@southville.edu.ph" TargetMode="External"/><Relationship Id="rId66" Type="http://schemas.openxmlformats.org/officeDocument/2006/relationships/hyperlink" Target="mailto:odessa_besa@southville.edu.ph" TargetMode="External"/><Relationship Id="rId65" Type="http://schemas.openxmlformats.org/officeDocument/2006/relationships/hyperlink" Target="mailto:nina_siy@southville.edu.ph" TargetMode="External"/><Relationship Id="rId68" Type="http://schemas.openxmlformats.org/officeDocument/2006/relationships/hyperlink" Target="mailto:oscalon_baltazar@southville.edu.ph" TargetMode="External"/><Relationship Id="rId67" Type="http://schemas.openxmlformats.org/officeDocument/2006/relationships/hyperlink" Target="mailto:arnel_montablan@southville.edu.ph" TargetMode="External"/><Relationship Id="rId729" Type="http://schemas.openxmlformats.org/officeDocument/2006/relationships/hyperlink" Target="mailto:auggie@southville.edu.ph" TargetMode="External"/><Relationship Id="rId728" Type="http://schemas.openxmlformats.org/officeDocument/2006/relationships/hyperlink" Target="mailto:melchor_conde@southville.edu.ph" TargetMode="External"/><Relationship Id="rId60" Type="http://schemas.openxmlformats.org/officeDocument/2006/relationships/hyperlink" Target="mailto:nolie_duran@southville.edu.ph" TargetMode="External"/><Relationship Id="rId723" Type="http://schemas.openxmlformats.org/officeDocument/2006/relationships/hyperlink" Target="mailto:arnel_villanueva@southville.edu.ph" TargetMode="External"/><Relationship Id="rId722" Type="http://schemas.openxmlformats.org/officeDocument/2006/relationships/hyperlink" Target="mailto:may_lacse@southville.edu.ph" TargetMode="External"/><Relationship Id="rId721" Type="http://schemas.openxmlformats.org/officeDocument/2006/relationships/hyperlink" Target="mailto:armiec@southville.edu.ph" TargetMode="External"/><Relationship Id="rId720" Type="http://schemas.openxmlformats.org/officeDocument/2006/relationships/hyperlink" Target="mailto:may_anne_aves@southville.edu.ph" TargetMode="External"/><Relationship Id="rId727" Type="http://schemas.openxmlformats.org/officeDocument/2006/relationships/hyperlink" Target="mailto:audrey_alejandro@southville.edu.ph" TargetMode="External"/><Relationship Id="rId726" Type="http://schemas.openxmlformats.org/officeDocument/2006/relationships/hyperlink" Target="mailto:melanie_mendoza@southville.edu.ph" TargetMode="External"/><Relationship Id="rId725" Type="http://schemas.openxmlformats.org/officeDocument/2006/relationships/hyperlink" Target="mailto:astrid_moreno@southville.edu.ph" TargetMode="External"/><Relationship Id="rId724" Type="http://schemas.openxmlformats.org/officeDocument/2006/relationships/hyperlink" Target="mailto:mayme_galindez@southville.edu.ph" TargetMode="External"/><Relationship Id="rId69" Type="http://schemas.openxmlformats.org/officeDocument/2006/relationships/hyperlink" Target="mailto:charlaine_maternal@southville.edu.ph" TargetMode="External"/><Relationship Id="rId51" Type="http://schemas.openxmlformats.org/officeDocument/2006/relationships/hyperlink" Target="mailto:darcy_encabo@southville.edu.ph" TargetMode="External"/><Relationship Id="rId50" Type="http://schemas.openxmlformats.org/officeDocument/2006/relationships/hyperlink" Target="mailto:nelson_locquaio@southville.edu.ph" TargetMode="External"/><Relationship Id="rId53" Type="http://schemas.openxmlformats.org/officeDocument/2006/relationships/hyperlink" Target="mailto:paul_arana@southville.edu.ph" TargetMode="External"/><Relationship Id="rId52" Type="http://schemas.openxmlformats.org/officeDocument/2006/relationships/hyperlink" Target="mailto:nerissaa@southville.edu.ph" TargetMode="External"/><Relationship Id="rId55" Type="http://schemas.openxmlformats.org/officeDocument/2006/relationships/hyperlink" Target="mailto:marvin_revilla@southville.edu.ph" TargetMode="External"/><Relationship Id="rId54" Type="http://schemas.openxmlformats.org/officeDocument/2006/relationships/hyperlink" Target="mailto:nesrin_al-barodi@southville.edu.ph" TargetMode="External"/><Relationship Id="rId57" Type="http://schemas.openxmlformats.org/officeDocument/2006/relationships/hyperlink" Target="mailto:temotie_diosay@southville.edu.ph" TargetMode="External"/><Relationship Id="rId56" Type="http://schemas.openxmlformats.org/officeDocument/2006/relationships/hyperlink" Target="mailto:nicole_valladolid@southville.edu.ph" TargetMode="External"/><Relationship Id="rId719" Type="http://schemas.openxmlformats.org/officeDocument/2006/relationships/hyperlink" Target="mailto:arleenbarrera@southville.edu.ph" TargetMode="External"/><Relationship Id="rId718" Type="http://schemas.openxmlformats.org/officeDocument/2006/relationships/hyperlink" Target="mailto:maui_gonzales@southville.edu.ph" TargetMode="External"/><Relationship Id="rId717" Type="http://schemas.openxmlformats.org/officeDocument/2006/relationships/hyperlink" Target="mailto:aristheol@southville.edu.ph" TargetMode="External"/><Relationship Id="rId712" Type="http://schemas.openxmlformats.org/officeDocument/2006/relationships/hyperlink" Target="mailto:mary_michelle@southville.edu.ph" TargetMode="External"/><Relationship Id="rId711" Type="http://schemas.openxmlformats.org/officeDocument/2006/relationships/hyperlink" Target="mailto:arianne_escaro@smc.edu.ph" TargetMode="External"/><Relationship Id="rId710" Type="http://schemas.openxmlformats.org/officeDocument/2006/relationships/hyperlink" Target="mailto:mary_jadloc@southville.edu.ph" TargetMode="External"/><Relationship Id="rId716" Type="http://schemas.openxmlformats.org/officeDocument/2006/relationships/hyperlink" Target="mailto:maryann_buzeta@southville.edu.ph" TargetMode="External"/><Relationship Id="rId715" Type="http://schemas.openxmlformats.org/officeDocument/2006/relationships/hyperlink" Target="mailto:aristeo_santos@southville.edu.ph" TargetMode="External"/><Relationship Id="rId714" Type="http://schemas.openxmlformats.org/officeDocument/2006/relationships/hyperlink" Target="mailto:mary_murillo@southville.edu.ph" TargetMode="External"/><Relationship Id="rId713" Type="http://schemas.openxmlformats.org/officeDocument/2006/relationships/hyperlink" Target="mailto:aris_ignacio@southville.edu.ph" TargetMode="External"/><Relationship Id="rId59" Type="http://schemas.openxmlformats.org/officeDocument/2006/relationships/hyperlink" Target="mailto:john_pagkalinawan@southville.edu.ph" TargetMode="External"/><Relationship Id="rId58" Type="http://schemas.openxmlformats.org/officeDocument/2006/relationships/hyperlink" Target="mailto:noel_ligaya@southville.edu.ph" TargetMode="External"/><Relationship Id="rId590" Type="http://schemas.openxmlformats.org/officeDocument/2006/relationships/hyperlink" Target="mailto:leonardor@southville.edu.ph" TargetMode="External"/><Relationship Id="rId107" Type="http://schemas.openxmlformats.org/officeDocument/2006/relationships/hyperlink" Target="mailto:eduard_palmiano@southville.edu.ph" TargetMode="External"/><Relationship Id="rId349" Type="http://schemas.openxmlformats.org/officeDocument/2006/relationships/hyperlink" Target="mailto:sgalvez@southville.edu.ph" TargetMode="External"/><Relationship Id="rId106" Type="http://schemas.openxmlformats.org/officeDocument/2006/relationships/hyperlink" Target="mailto:diana_imperio@southville.edu.ph" TargetMode="External"/><Relationship Id="rId348" Type="http://schemas.openxmlformats.org/officeDocument/2006/relationships/hyperlink" Target="mailto:russelb@southville.edu.ph" TargetMode="External"/><Relationship Id="rId105" Type="http://schemas.openxmlformats.org/officeDocument/2006/relationships/hyperlink" Target="mailto:raben_reyes@southville.edu.ph" TargetMode="External"/><Relationship Id="rId347" Type="http://schemas.openxmlformats.org/officeDocument/2006/relationships/hyperlink" Target="mailto:severina_misch@southville.edu.ph" TargetMode="External"/><Relationship Id="rId589" Type="http://schemas.openxmlformats.org/officeDocument/2006/relationships/hyperlink" Target="mailto:jeremiah_tirol@southville.edu.ph" TargetMode="External"/><Relationship Id="rId104" Type="http://schemas.openxmlformats.org/officeDocument/2006/relationships/hyperlink" Target="mailto:dhenjeryl_ibanez@southville.edu.ph" TargetMode="External"/><Relationship Id="rId346" Type="http://schemas.openxmlformats.org/officeDocument/2006/relationships/hyperlink" Target="mailto:rowenac@southville.edu.ph" TargetMode="External"/><Relationship Id="rId588" Type="http://schemas.openxmlformats.org/officeDocument/2006/relationships/hyperlink" Target="mailto:leodm@southville.edu.ph" TargetMode="External"/><Relationship Id="rId109" Type="http://schemas.openxmlformats.org/officeDocument/2006/relationships/hyperlink" Target="mailto:jose_padre@southville.edu.ph" TargetMode="External"/><Relationship Id="rId108" Type="http://schemas.openxmlformats.org/officeDocument/2006/relationships/hyperlink" Target="mailto:dollydane_doronila@southville.edu.ph" TargetMode="External"/><Relationship Id="rId341" Type="http://schemas.openxmlformats.org/officeDocument/2006/relationships/hyperlink" Target="mailto:sarah_mangabat@southville.edu.ph" TargetMode="External"/><Relationship Id="rId583" Type="http://schemas.openxmlformats.org/officeDocument/2006/relationships/hyperlink" Target="mailto:lorraine_almazan@southville.edu.ph" TargetMode="External"/><Relationship Id="rId340" Type="http://schemas.openxmlformats.org/officeDocument/2006/relationships/hyperlink" Target="mailto:rowena_castro@southville.edu.ph" TargetMode="External"/><Relationship Id="rId582" Type="http://schemas.openxmlformats.org/officeDocument/2006/relationships/hyperlink" Target="mailto:leahb@southville.edu.ph" TargetMode="External"/><Relationship Id="rId581" Type="http://schemas.openxmlformats.org/officeDocument/2006/relationships/hyperlink" Target="mailto:jack_datinguinoo@southville.edu.ph" TargetMode="External"/><Relationship Id="rId580" Type="http://schemas.openxmlformats.org/officeDocument/2006/relationships/hyperlink" Target="mailto:lea_martinez@southville.edu.ph" TargetMode="External"/><Relationship Id="rId103" Type="http://schemas.openxmlformats.org/officeDocument/2006/relationships/hyperlink" Target="mailto:arnold_cheng@southville.edu.ph" TargetMode="External"/><Relationship Id="rId345" Type="http://schemas.openxmlformats.org/officeDocument/2006/relationships/hyperlink" Target="mailto:sary_escurel@southville.edu.ph" TargetMode="External"/><Relationship Id="rId587" Type="http://schemas.openxmlformats.org/officeDocument/2006/relationships/hyperlink" Target="mailto:audrey_ordonez@southville.edu.ph" TargetMode="External"/><Relationship Id="rId102" Type="http://schemas.openxmlformats.org/officeDocument/2006/relationships/hyperlink" Target="mailto:desiree_dado@southville.edu.ph" TargetMode="External"/><Relationship Id="rId344" Type="http://schemas.openxmlformats.org/officeDocument/2006/relationships/hyperlink" Target="mailto:rowena_sagaysay@southville.edu.ph" TargetMode="External"/><Relationship Id="rId586" Type="http://schemas.openxmlformats.org/officeDocument/2006/relationships/hyperlink" Target="mailto:leila_ejercito@southville.edu.ph" TargetMode="External"/><Relationship Id="rId101" Type="http://schemas.openxmlformats.org/officeDocument/2006/relationships/hyperlink" Target="mailto:abeer_napoco@southville.edu.ph" TargetMode="External"/><Relationship Id="rId343" Type="http://schemas.openxmlformats.org/officeDocument/2006/relationships/hyperlink" Target="mailto:sarah_velasquez@southville.edu.ph" TargetMode="External"/><Relationship Id="rId585" Type="http://schemas.openxmlformats.org/officeDocument/2006/relationships/hyperlink" Target="mailto:jessa_intano@southville.edu.ph" TargetMode="External"/><Relationship Id="rId100" Type="http://schemas.openxmlformats.org/officeDocument/2006/relationships/hyperlink" Target="mailto:denissep@southville.edu.ph" TargetMode="External"/><Relationship Id="rId342" Type="http://schemas.openxmlformats.org/officeDocument/2006/relationships/hyperlink" Target="mailto:rowena_pena@southville.edu.ph" TargetMode="External"/><Relationship Id="rId584" Type="http://schemas.openxmlformats.org/officeDocument/2006/relationships/hyperlink" Target="mailto:lean_aquino@southville.edu.ph" TargetMode="External"/><Relationship Id="rId338" Type="http://schemas.openxmlformats.org/officeDocument/2006/relationships/hyperlink" Target="mailto:rosita_manimtim@southville.edu.ph" TargetMode="External"/><Relationship Id="rId337" Type="http://schemas.openxmlformats.org/officeDocument/2006/relationships/hyperlink" Target="mailto:chona@southville.edu.ph" TargetMode="External"/><Relationship Id="rId579" Type="http://schemas.openxmlformats.org/officeDocument/2006/relationships/hyperlink" Target="mailto:joshua_baller@southville.edu.ph" TargetMode="External"/><Relationship Id="rId336" Type="http://schemas.openxmlformats.org/officeDocument/2006/relationships/hyperlink" Target="mailto:ann_atienza@southville.edu.ph" TargetMode="External"/><Relationship Id="rId578" Type="http://schemas.openxmlformats.org/officeDocument/2006/relationships/hyperlink" Target="mailto:lea_becerral@southville.edu.ph" TargetMode="External"/><Relationship Id="rId335" Type="http://schemas.openxmlformats.org/officeDocument/2006/relationships/hyperlink" Target="mailto:chin_du@southville.edu.ph" TargetMode="External"/><Relationship Id="rId577" Type="http://schemas.openxmlformats.org/officeDocument/2006/relationships/hyperlink" Target="mailto:chit_crisostomo@southville.edu.ph" TargetMode="External"/><Relationship Id="rId339" Type="http://schemas.openxmlformats.org/officeDocument/2006/relationships/hyperlink" Target="mailto:sara_sanjuan@southville.edu.ph" TargetMode="External"/><Relationship Id="rId330" Type="http://schemas.openxmlformats.org/officeDocument/2006/relationships/hyperlink" Target="mailto:ronnie_credo@southville.edu.ph" TargetMode="External"/><Relationship Id="rId572" Type="http://schemas.openxmlformats.org/officeDocument/2006/relationships/hyperlink" Target="mailto:ideza_sison@southville.edu.ph" TargetMode="External"/><Relationship Id="rId571" Type="http://schemas.openxmlformats.org/officeDocument/2006/relationships/hyperlink" Target="mailto:ivy_baculao@southville.edu.ph" TargetMode="External"/><Relationship Id="rId570" Type="http://schemas.openxmlformats.org/officeDocument/2006/relationships/hyperlink" Target="mailto:ianna_garong@southville.edu.ph" TargetMode="External"/><Relationship Id="rId334" Type="http://schemas.openxmlformats.org/officeDocument/2006/relationships/hyperlink" Target="mailto:rosalina_catanduanes@southville.edu.ph" TargetMode="External"/><Relationship Id="rId576" Type="http://schemas.openxmlformats.org/officeDocument/2006/relationships/hyperlink" Target="mailto:ingrid_romano@southville.edu.ph" TargetMode="External"/><Relationship Id="rId333" Type="http://schemas.openxmlformats.org/officeDocument/2006/relationships/hyperlink" Target="mailto:cherry_venturillo@southville.edu.ph" TargetMode="External"/><Relationship Id="rId575" Type="http://schemas.openxmlformats.org/officeDocument/2006/relationships/hyperlink" Target="mailto:william_johnston@southville.edu.ph" TargetMode="External"/><Relationship Id="rId332" Type="http://schemas.openxmlformats.org/officeDocument/2006/relationships/hyperlink" Target="mailto:rory_mansbridge@southville.edu.ph" TargetMode="External"/><Relationship Id="rId574" Type="http://schemas.openxmlformats.org/officeDocument/2006/relationships/hyperlink" Target="mailto:imelda_miguel@southville.edu.ph" TargetMode="External"/><Relationship Id="rId331" Type="http://schemas.openxmlformats.org/officeDocument/2006/relationships/hyperlink" Target="mailto:charmaine_macaspac@southville.edu.ph" TargetMode="External"/><Relationship Id="rId573" Type="http://schemas.openxmlformats.org/officeDocument/2006/relationships/hyperlink" Target="mailto:maryrdes_soropia@southville.edu.ph" TargetMode="External"/><Relationship Id="rId370" Type="http://schemas.openxmlformats.org/officeDocument/2006/relationships/hyperlink" Target="mailto:christian_hizon@southville.edu.ph" TargetMode="External"/><Relationship Id="rId129" Type="http://schemas.openxmlformats.org/officeDocument/2006/relationships/hyperlink" Target="mailto:jake_sagun@southville.edu.ph" TargetMode="External"/><Relationship Id="rId128" Type="http://schemas.openxmlformats.org/officeDocument/2006/relationships/hyperlink" Target="mailto:ehric_quintana@southville.edu.ph" TargetMode="External"/><Relationship Id="rId127" Type="http://schemas.openxmlformats.org/officeDocument/2006/relationships/hyperlink" Target="mailto:ann_santiaguel@southville.edu.ph" TargetMode="External"/><Relationship Id="rId369" Type="http://schemas.openxmlformats.org/officeDocument/2006/relationships/hyperlink" Target="mailto:miriam_hapiz@southville.edu.ph" TargetMode="External"/><Relationship Id="rId126" Type="http://schemas.openxmlformats.org/officeDocument/2006/relationships/hyperlink" Target="mailto:edwin_guillermo@southville.edu.ph" TargetMode="External"/><Relationship Id="rId368" Type="http://schemas.openxmlformats.org/officeDocument/2006/relationships/hyperlink" Target="mailto:sheree_espinosa@southville.edu.ph" TargetMode="External"/><Relationship Id="rId121" Type="http://schemas.openxmlformats.org/officeDocument/2006/relationships/hyperlink" Target="mailto:robert_abanador@southville.edu.ph" TargetMode="External"/><Relationship Id="rId363" Type="http://schemas.openxmlformats.org/officeDocument/2006/relationships/hyperlink" Target="mailto:ruelc@southville.edu.ph" TargetMode="External"/><Relationship Id="rId120" Type="http://schemas.openxmlformats.org/officeDocument/2006/relationships/hyperlink" Target="mailto:edison_ramos@southville.edu.ph" TargetMode="External"/><Relationship Id="rId362" Type="http://schemas.openxmlformats.org/officeDocument/2006/relationships/hyperlink" Target="mailto:ruby_evangelista@southville.edu.ph" TargetMode="External"/><Relationship Id="rId361" Type="http://schemas.openxmlformats.org/officeDocument/2006/relationships/hyperlink" Target="mailto:rrnograles@southville.edu.ph" TargetMode="External"/><Relationship Id="rId360" Type="http://schemas.openxmlformats.org/officeDocument/2006/relationships/hyperlink" Target="mailto:santiana_garong@southville.edu.ph" TargetMode="External"/><Relationship Id="rId125" Type="http://schemas.openxmlformats.org/officeDocument/2006/relationships/hyperlink" Target="mailto:esther_larita@southville.edu.ph" TargetMode="External"/><Relationship Id="rId367" Type="http://schemas.openxmlformats.org/officeDocument/2006/relationships/hyperlink" Target="mailto:chris_dolor@southville.edu.ph" TargetMode="External"/><Relationship Id="rId124" Type="http://schemas.openxmlformats.org/officeDocument/2006/relationships/hyperlink" Target="mailto:eduard_mutuc@southville.edu.ph" TargetMode="External"/><Relationship Id="rId366" Type="http://schemas.openxmlformats.org/officeDocument/2006/relationships/hyperlink" Target="mailto:erik_timpug@southville.edu.ph" TargetMode="External"/><Relationship Id="rId123" Type="http://schemas.openxmlformats.org/officeDocument/2006/relationships/hyperlink" Target="mailto:ana_tango@southville.edu.ph" TargetMode="External"/><Relationship Id="rId365" Type="http://schemas.openxmlformats.org/officeDocument/2006/relationships/hyperlink" Target="mailto:sheela_aromin@southville.edu.ph" TargetMode="External"/><Relationship Id="rId122" Type="http://schemas.openxmlformats.org/officeDocument/2006/relationships/hyperlink" Target="mailto:edmund_bahinting@southville.edu.ph" TargetMode="External"/><Relationship Id="rId364" Type="http://schemas.openxmlformats.org/officeDocument/2006/relationships/hyperlink" Target="mailto:choyj@southville.edu.ph" TargetMode="External"/><Relationship Id="rId95" Type="http://schemas.openxmlformats.org/officeDocument/2006/relationships/hyperlink" Target="mailto:aldrin_balite@southville.edu.ph" TargetMode="External"/><Relationship Id="rId94" Type="http://schemas.openxmlformats.org/officeDocument/2006/relationships/hyperlink" Target="mailto:daryl_paderogo@southville.edu.ph" TargetMode="External"/><Relationship Id="rId97" Type="http://schemas.openxmlformats.org/officeDocument/2006/relationships/hyperlink" Target="mailto:jason_bugatan@southville.edu.ph" TargetMode="External"/><Relationship Id="rId96" Type="http://schemas.openxmlformats.org/officeDocument/2006/relationships/hyperlink" Target="mailto:daryt@southville.edu.ph" TargetMode="External"/><Relationship Id="rId99" Type="http://schemas.openxmlformats.org/officeDocument/2006/relationships/hyperlink" Target="mailto:keith_yorac@southville.edu.ph" TargetMode="External"/><Relationship Id="rId98" Type="http://schemas.openxmlformats.org/officeDocument/2006/relationships/hyperlink" Target="mailto:dchavez@southville.edu.ph" TargetMode="External"/><Relationship Id="rId91" Type="http://schemas.openxmlformats.org/officeDocument/2006/relationships/hyperlink" Target="mailto:jiselle_magbanua@southville.edu.ph" TargetMode="External"/><Relationship Id="rId90" Type="http://schemas.openxmlformats.org/officeDocument/2006/relationships/hyperlink" Target="mailto:darren_ferenal@southville.edu.ph" TargetMode="External"/><Relationship Id="rId93" Type="http://schemas.openxmlformats.org/officeDocument/2006/relationships/hyperlink" Target="mailto:sheila_fabellar@southville.edu.ph" TargetMode="External"/><Relationship Id="rId92" Type="http://schemas.openxmlformats.org/officeDocument/2006/relationships/hyperlink" Target="mailto:daryl_delacruz@southville.edu.ph" TargetMode="External"/><Relationship Id="rId118" Type="http://schemas.openxmlformats.org/officeDocument/2006/relationships/hyperlink" Target="mailto:edgar_rebellon@southville.edu.ph" TargetMode="External"/><Relationship Id="rId117" Type="http://schemas.openxmlformats.org/officeDocument/2006/relationships/hyperlink" Target="mailto:beatrice_saminiano@southville.edu.ph" TargetMode="External"/><Relationship Id="rId359" Type="http://schemas.openxmlformats.org/officeDocument/2006/relationships/hyperlink" Target="mailto:roy_bataque@southville.edu.ph" TargetMode="External"/><Relationship Id="rId116" Type="http://schemas.openxmlformats.org/officeDocument/2006/relationships/hyperlink" Target="mailto:edgar_barroga@southville.edu.ph" TargetMode="External"/><Relationship Id="rId358" Type="http://schemas.openxmlformats.org/officeDocument/2006/relationships/hyperlink" Target="mailto:samb@southville.edu.ph" TargetMode="External"/><Relationship Id="rId115" Type="http://schemas.openxmlformats.org/officeDocument/2006/relationships/hyperlink" Target="mailto:precious_daluz@southville.edu.ph" TargetMode="External"/><Relationship Id="rId357" Type="http://schemas.openxmlformats.org/officeDocument/2006/relationships/hyperlink" Target="mailto:roxanne_suarez@southville.edu.ph" TargetMode="External"/><Relationship Id="rId599" Type="http://schemas.openxmlformats.org/officeDocument/2006/relationships/hyperlink" Target="mailto:jing_jia@southville.edu.ph" TargetMode="External"/><Relationship Id="rId119" Type="http://schemas.openxmlformats.org/officeDocument/2006/relationships/hyperlink" Target="mailto:richmond_delavina@southville.edu.ph" TargetMode="External"/><Relationship Id="rId110" Type="http://schemas.openxmlformats.org/officeDocument/2006/relationships/hyperlink" Target="mailto:doree_arzadon@southville.edu.ph" TargetMode="External"/><Relationship Id="rId352" Type="http://schemas.openxmlformats.org/officeDocument/2006/relationships/hyperlink" Target="mailto:ruth_onato@southville.edu.ph" TargetMode="External"/><Relationship Id="rId594" Type="http://schemas.openxmlformats.org/officeDocument/2006/relationships/hyperlink" Target="mailto:lhizza_siladan@southville.edu.ph" TargetMode="External"/><Relationship Id="rId351" Type="http://schemas.openxmlformats.org/officeDocument/2006/relationships/hyperlink" Target="mailto:sharmaine_gogolin@southville.edu.ph" TargetMode="External"/><Relationship Id="rId593" Type="http://schemas.openxmlformats.org/officeDocument/2006/relationships/hyperlink" Target="mailto:tamika_fernandez@southville.edu.ph" TargetMode="External"/><Relationship Id="rId350" Type="http://schemas.openxmlformats.org/officeDocument/2006/relationships/hyperlink" Target="mailto:russeldc@southville.edu.ph" TargetMode="External"/><Relationship Id="rId592" Type="http://schemas.openxmlformats.org/officeDocument/2006/relationships/hyperlink" Target="mailto:leslie_vicente@southville.edu.ph" TargetMode="External"/><Relationship Id="rId591" Type="http://schemas.openxmlformats.org/officeDocument/2006/relationships/hyperlink" Target="mailto:mark_dalogdog@southville.edu.ph" TargetMode="External"/><Relationship Id="rId114" Type="http://schemas.openxmlformats.org/officeDocument/2006/relationships/hyperlink" Target="mailto:ederissar@southville.edu.ph" TargetMode="External"/><Relationship Id="rId356" Type="http://schemas.openxmlformats.org/officeDocument/2006/relationships/hyperlink" Target="mailto:sabina_panique@southville.edu.ph" TargetMode="External"/><Relationship Id="rId598" Type="http://schemas.openxmlformats.org/officeDocument/2006/relationships/hyperlink" Target="mailto:liezell_tumlod@southville.edu.ph" TargetMode="External"/><Relationship Id="rId113" Type="http://schemas.openxmlformats.org/officeDocument/2006/relationships/hyperlink" Target="mailto:allistine_perez@southville.edu.ph" TargetMode="External"/><Relationship Id="rId355" Type="http://schemas.openxmlformats.org/officeDocument/2006/relationships/hyperlink" Target="mailto:roxan_victoriano@southville.edu.ph" TargetMode="External"/><Relationship Id="rId597" Type="http://schemas.openxmlformats.org/officeDocument/2006/relationships/hyperlink" Target="mailto:elaine_alejar@southville.edu.ph" TargetMode="External"/><Relationship Id="rId112" Type="http://schemas.openxmlformats.org/officeDocument/2006/relationships/hyperlink" Target="mailto:eddieson_orcullo@southville.edu.ph" TargetMode="External"/><Relationship Id="rId354" Type="http://schemas.openxmlformats.org/officeDocument/2006/relationships/hyperlink" Target="mailto:ryan_mercado@southville.edu.ph" TargetMode="External"/><Relationship Id="rId596" Type="http://schemas.openxmlformats.org/officeDocument/2006/relationships/hyperlink" Target="mailto:lia_arcaina@southville.edu.ph" TargetMode="External"/><Relationship Id="rId111" Type="http://schemas.openxmlformats.org/officeDocument/2006/relationships/hyperlink" Target="mailto:carmina_gado@southville.edu.ph" TargetMode="External"/><Relationship Id="rId353" Type="http://schemas.openxmlformats.org/officeDocument/2006/relationships/hyperlink" Target="mailto:rowenar@southville.edu.ph" TargetMode="External"/><Relationship Id="rId595" Type="http://schemas.openxmlformats.org/officeDocument/2006/relationships/hyperlink" Target="mailto:paula_hernandez@southville.edu.ph" TargetMode="External"/><Relationship Id="rId305" Type="http://schemas.openxmlformats.org/officeDocument/2006/relationships/hyperlink" Target="mailto:gparado@southville.edu.ph" TargetMode="External"/><Relationship Id="rId547" Type="http://schemas.openxmlformats.org/officeDocument/2006/relationships/hyperlink" Target="mailto:jaezel_villota@southville.edu.ph" TargetMode="External"/><Relationship Id="rId304" Type="http://schemas.openxmlformats.org/officeDocument/2006/relationships/hyperlink" Target="mailto:rikki_capioso@southville.edu.ph" TargetMode="External"/><Relationship Id="rId546" Type="http://schemas.openxmlformats.org/officeDocument/2006/relationships/hyperlink" Target="mailto:gina_navarro@southville.edu.ph" TargetMode="External"/><Relationship Id="rId303" Type="http://schemas.openxmlformats.org/officeDocument/2006/relationships/hyperlink" Target="mailto:gly@southville.edu.ph" TargetMode="External"/><Relationship Id="rId545" Type="http://schemas.openxmlformats.org/officeDocument/2006/relationships/hyperlink" Target="mailto:manuel_adiova@southville.edu.ph" TargetMode="External"/><Relationship Id="rId302" Type="http://schemas.openxmlformats.org/officeDocument/2006/relationships/hyperlink" Target="mailto:richardp@southville.edu.ph" TargetMode="External"/><Relationship Id="rId544" Type="http://schemas.openxmlformats.org/officeDocument/2006/relationships/hyperlink" Target="mailto:gina_laurenciano@southville.edu.ph" TargetMode="External"/><Relationship Id="rId309" Type="http://schemas.openxmlformats.org/officeDocument/2006/relationships/hyperlink" Target="mailto:grace_medina@southville.edu.ph" TargetMode="External"/><Relationship Id="rId308" Type="http://schemas.openxmlformats.org/officeDocument/2006/relationships/hyperlink" Target="mailto:riza_lastimosa@southville.edu.ph" TargetMode="External"/><Relationship Id="rId307" Type="http://schemas.openxmlformats.org/officeDocument/2006/relationships/hyperlink" Target="mailto:grace_daulat@southville.edu.ph" TargetMode="External"/><Relationship Id="rId549" Type="http://schemas.openxmlformats.org/officeDocument/2006/relationships/hyperlink" Target="mailto:betina_manuel@southville.edu.ph" TargetMode="External"/><Relationship Id="rId306" Type="http://schemas.openxmlformats.org/officeDocument/2006/relationships/hyperlink" Target="mailto:riza_ho@southville.edu.ph" TargetMode="External"/><Relationship Id="rId548" Type="http://schemas.openxmlformats.org/officeDocument/2006/relationships/hyperlink" Target="mailto:ginacaneo@southville.edu.ph" TargetMode="External"/><Relationship Id="rId301" Type="http://schemas.openxmlformats.org/officeDocument/2006/relationships/hyperlink" Target="mailto:glenn_biasca@southville.edu.ph" TargetMode="External"/><Relationship Id="rId543" Type="http://schemas.openxmlformats.org/officeDocument/2006/relationships/hyperlink" Target="mailto:gisella_galisanao@southville.edu.ph" TargetMode="External"/><Relationship Id="rId300" Type="http://schemas.openxmlformats.org/officeDocument/2006/relationships/hyperlink" Target="mailto:gladysm@southville.edu.ph" TargetMode="External"/><Relationship Id="rId542" Type="http://schemas.openxmlformats.org/officeDocument/2006/relationships/hyperlink" Target="mailto:gillian_coronado@southville.edu.ph" TargetMode="External"/><Relationship Id="rId541" Type="http://schemas.openxmlformats.org/officeDocument/2006/relationships/hyperlink" Target="mailto:ann_villareal@southville.edu.ph" TargetMode="External"/><Relationship Id="rId540" Type="http://schemas.openxmlformats.org/officeDocument/2006/relationships/hyperlink" Target="mailto:gigic@southville.edu.ph" TargetMode="External"/><Relationship Id="rId536" Type="http://schemas.openxmlformats.org/officeDocument/2006/relationships/hyperlink" Target="mailto:gia_sogitao@southville.edu.ph" TargetMode="External"/><Relationship Id="rId535" Type="http://schemas.openxmlformats.org/officeDocument/2006/relationships/hyperlink" Target="mailto:john_fuentes@southville.edu.ph" TargetMode="External"/><Relationship Id="rId534" Type="http://schemas.openxmlformats.org/officeDocument/2006/relationships/hyperlink" Target="mailto:ggonzalo@southville.edu.ph" TargetMode="External"/><Relationship Id="rId533" Type="http://schemas.openxmlformats.org/officeDocument/2006/relationships/hyperlink" Target="mailto:angelica_buenaventura@southville.edu.ph" TargetMode="External"/><Relationship Id="rId539" Type="http://schemas.openxmlformats.org/officeDocument/2006/relationships/hyperlink" Target="mailto:jinky_tubadeza@southville.edu.ph" TargetMode="External"/><Relationship Id="rId538" Type="http://schemas.openxmlformats.org/officeDocument/2006/relationships/hyperlink" Target="mailto:gian_rivera@southville.edu.ph" TargetMode="External"/><Relationship Id="rId537" Type="http://schemas.openxmlformats.org/officeDocument/2006/relationships/hyperlink" Target="mailto:jienelle_gallardo@southville.edu.ph" TargetMode="External"/><Relationship Id="rId770" Type="http://schemas.openxmlformats.org/officeDocument/2006/relationships/hyperlink" Target="mailto:msgt@southville.edu.ph" TargetMode="External"/><Relationship Id="rId532" Type="http://schemas.openxmlformats.org/officeDocument/2006/relationships/hyperlink" Target="mailto:gerlie_montellano@southville.edu.ph" TargetMode="External"/><Relationship Id="rId531" Type="http://schemas.openxmlformats.org/officeDocument/2006/relationships/hyperlink" Target="mailto:mark_candiasan@southville.edu.ph" TargetMode="External"/><Relationship Id="rId773" Type="http://schemas.openxmlformats.org/officeDocument/2006/relationships/drawing" Target="../drawings/drawing17.xml"/><Relationship Id="rId530" Type="http://schemas.openxmlformats.org/officeDocument/2006/relationships/hyperlink" Target="mailto:georgem@southville.edu.ph" TargetMode="External"/><Relationship Id="rId772" Type="http://schemas.openxmlformats.org/officeDocument/2006/relationships/hyperlink" Target="mailto:mylene_manalo@southville.edu.ph" TargetMode="External"/><Relationship Id="rId771" Type="http://schemas.openxmlformats.org/officeDocument/2006/relationships/hyperlink" Target="mailto:myleen_marasigan@southville.edu.ph" TargetMode="External"/><Relationship Id="rId327" Type="http://schemas.openxmlformats.org/officeDocument/2006/relationships/hyperlink" Target="mailto:ceshyr_bauzon@southville.edu.ph" TargetMode="External"/><Relationship Id="rId569" Type="http://schemas.openxmlformats.org/officeDocument/2006/relationships/hyperlink" Target="mailto:yuuki_yamamoto@southville.edu.ph" TargetMode="External"/><Relationship Id="rId326" Type="http://schemas.openxmlformats.org/officeDocument/2006/relationships/hyperlink" Target="mailto:ronaldv@southville.edu.ph" TargetMode="External"/><Relationship Id="rId568" Type="http://schemas.openxmlformats.org/officeDocument/2006/relationships/hyperlink" Target="mailto:ian_nibalvos@southville.edu.ph" TargetMode="External"/><Relationship Id="rId325" Type="http://schemas.openxmlformats.org/officeDocument/2006/relationships/hyperlink" Target="mailto:carolr@southville.edu.ph" TargetMode="External"/><Relationship Id="rId567" Type="http://schemas.openxmlformats.org/officeDocument/2006/relationships/hyperlink" Target="mailto:gliedel_sulabo@southville.edu.ph" TargetMode="External"/><Relationship Id="rId324" Type="http://schemas.openxmlformats.org/officeDocument/2006/relationships/hyperlink" Target="mailto:ronald_obleno@southville.edu.ph" TargetMode="External"/><Relationship Id="rId566" Type="http://schemas.openxmlformats.org/officeDocument/2006/relationships/hyperlink" Target="mailto:humphreysolimanjr@southville.edu.ph" TargetMode="External"/><Relationship Id="rId329" Type="http://schemas.openxmlformats.org/officeDocument/2006/relationships/hyperlink" Target="mailto:charlene_episcope@southville.edu.ph" TargetMode="External"/><Relationship Id="rId328" Type="http://schemas.openxmlformats.org/officeDocument/2006/relationships/hyperlink" Target="mailto:ronalisa_catanduanes@southville.edu.ph" TargetMode="External"/><Relationship Id="rId561" Type="http://schemas.openxmlformats.org/officeDocument/2006/relationships/hyperlink" Target="mailto:jossa_gallanosa@southville.edu.ph" TargetMode="External"/><Relationship Id="rId560" Type="http://schemas.openxmlformats.org/officeDocument/2006/relationships/hyperlink" Target="mailto:grace_daulat@southville.edu.ph" TargetMode="External"/><Relationship Id="rId323" Type="http://schemas.openxmlformats.org/officeDocument/2006/relationships/hyperlink" Target="mailto:ingrid_romano@southville.edu.ph" TargetMode="External"/><Relationship Id="rId565" Type="http://schemas.openxmlformats.org/officeDocument/2006/relationships/hyperlink" Target="mailto:sophia_balajadia@southville.edu.ph" TargetMode="External"/><Relationship Id="rId322" Type="http://schemas.openxmlformats.org/officeDocument/2006/relationships/hyperlink" Target="mailto:romyr.reyes@southville.edu.ph" TargetMode="External"/><Relationship Id="rId564" Type="http://schemas.openxmlformats.org/officeDocument/2006/relationships/hyperlink" Target="mailto:harold.sabanal@southville.edu.ph" TargetMode="External"/><Relationship Id="rId321" Type="http://schemas.openxmlformats.org/officeDocument/2006/relationships/hyperlink" Target="mailto:imelda_miguel@southville.edu.ph" TargetMode="External"/><Relationship Id="rId563" Type="http://schemas.openxmlformats.org/officeDocument/2006/relationships/hyperlink" Target="mailto:matthew_yango@southville.edu.ph" TargetMode="External"/><Relationship Id="rId320" Type="http://schemas.openxmlformats.org/officeDocument/2006/relationships/hyperlink" Target="mailto:rominaf@southville.edu.ph" TargetMode="External"/><Relationship Id="rId562" Type="http://schemas.openxmlformats.org/officeDocument/2006/relationships/hyperlink" Target="mailto:grace_medina@southville.edu.ph" TargetMode="External"/><Relationship Id="rId316" Type="http://schemas.openxmlformats.org/officeDocument/2006/relationships/hyperlink" Target="mailto:roderick_ramos@southville.edu.ph" TargetMode="External"/><Relationship Id="rId558" Type="http://schemas.openxmlformats.org/officeDocument/2006/relationships/hyperlink" Target="mailto:gparado@southville.edu.ph" TargetMode="External"/><Relationship Id="rId315" Type="http://schemas.openxmlformats.org/officeDocument/2006/relationships/hyperlink" Target="mailto:ian_nibalvos@southville.edu.ph" TargetMode="External"/><Relationship Id="rId557" Type="http://schemas.openxmlformats.org/officeDocument/2006/relationships/hyperlink" Target="mailto:dan_famador@southville.edu.ph" TargetMode="External"/><Relationship Id="rId314" Type="http://schemas.openxmlformats.org/officeDocument/2006/relationships/hyperlink" Target="mailto:rodelc_mendoza@southville.edu.ph" TargetMode="External"/><Relationship Id="rId556" Type="http://schemas.openxmlformats.org/officeDocument/2006/relationships/hyperlink" Target="mailto:gly@southville.edu.ph" TargetMode="External"/><Relationship Id="rId313" Type="http://schemas.openxmlformats.org/officeDocument/2006/relationships/hyperlink" Target="mailto:humphreysolimanjr@southville.edu.ph" TargetMode="External"/><Relationship Id="rId555" Type="http://schemas.openxmlformats.org/officeDocument/2006/relationships/hyperlink" Target="mailto:sharri_perolina@southville.edu.ph" TargetMode="External"/><Relationship Id="rId319" Type="http://schemas.openxmlformats.org/officeDocument/2006/relationships/hyperlink" Target="mailto:ideza_sison@southville.edu.ph" TargetMode="External"/><Relationship Id="rId318" Type="http://schemas.openxmlformats.org/officeDocument/2006/relationships/hyperlink" Target="mailto:rogerb@southville.edu.ph" TargetMode="External"/><Relationship Id="rId317" Type="http://schemas.openxmlformats.org/officeDocument/2006/relationships/hyperlink" Target="mailto:ianna_garong@southville.edu.ph" TargetMode="External"/><Relationship Id="rId559" Type="http://schemas.openxmlformats.org/officeDocument/2006/relationships/hyperlink" Target="mailto:maryknoll_sanpedro@southville.edu.ph" TargetMode="External"/><Relationship Id="rId550" Type="http://schemas.openxmlformats.org/officeDocument/2006/relationships/hyperlink" Target="mailto:girlie_cbrillantes@southville.edu.ph" TargetMode="External"/><Relationship Id="rId312" Type="http://schemas.openxmlformats.org/officeDocument/2006/relationships/hyperlink" Target="mailto:roberto_millonte@southville.edu.ph" TargetMode="External"/><Relationship Id="rId554" Type="http://schemas.openxmlformats.org/officeDocument/2006/relationships/hyperlink" Target="mailto:glenn_biasca@southville.edu.ph" TargetMode="External"/><Relationship Id="rId311" Type="http://schemas.openxmlformats.org/officeDocument/2006/relationships/hyperlink" Target="mailto:harold.sabanal@southville.edu.ph" TargetMode="External"/><Relationship Id="rId553" Type="http://schemas.openxmlformats.org/officeDocument/2006/relationships/hyperlink" Target="mailto:mauriel_camplon@southville.edu.ph" TargetMode="External"/><Relationship Id="rId310" Type="http://schemas.openxmlformats.org/officeDocument/2006/relationships/hyperlink" Target="mailto:robert_norberte@southville.edu.ph" TargetMode="External"/><Relationship Id="rId552" Type="http://schemas.openxmlformats.org/officeDocument/2006/relationships/hyperlink" Target="mailto:gladysm@southville.edu.ph" TargetMode="External"/><Relationship Id="rId551" Type="http://schemas.openxmlformats.org/officeDocument/2006/relationships/hyperlink" Target="mailto:joebert_pagdato@southville.edu.ph" TargetMode="External"/><Relationship Id="rId297" Type="http://schemas.openxmlformats.org/officeDocument/2006/relationships/hyperlink" Target="mailto:jordan_manlapaz@southville.edu.ph" TargetMode="External"/><Relationship Id="rId296" Type="http://schemas.openxmlformats.org/officeDocument/2006/relationships/hyperlink" Target="mailto:ginacaneo@southville.edu.ph" TargetMode="External"/><Relationship Id="rId295" Type="http://schemas.openxmlformats.org/officeDocument/2006/relationships/hyperlink" Target="mailto:christian_lucas@southville.edu.ph" TargetMode="External"/><Relationship Id="rId294" Type="http://schemas.openxmlformats.org/officeDocument/2006/relationships/hyperlink" Target="mailto:gina_navarro@southville.edu.ph" TargetMode="External"/><Relationship Id="rId299" Type="http://schemas.openxmlformats.org/officeDocument/2006/relationships/hyperlink" Target="mailto:andre_estanislao@southville.edu.ph" TargetMode="External"/><Relationship Id="rId298" Type="http://schemas.openxmlformats.org/officeDocument/2006/relationships/hyperlink" Target="mailto:girlie_cbrillantes@southville.edu.ph" TargetMode="External"/><Relationship Id="rId271" Type="http://schemas.openxmlformats.org/officeDocument/2006/relationships/hyperlink" Target="mailto:rudolph_benitez@southville.edu.ph" TargetMode="External"/><Relationship Id="rId270" Type="http://schemas.openxmlformats.org/officeDocument/2006/relationships/hyperlink" Target="mailto:fulgenciod@southville.edu.ph" TargetMode="External"/><Relationship Id="rId269" Type="http://schemas.openxmlformats.org/officeDocument/2006/relationships/hyperlink" Target="mailto:jason_trinidad@southville.edu.ph" TargetMode="External"/><Relationship Id="rId264" Type="http://schemas.openxmlformats.org/officeDocument/2006/relationships/hyperlink" Target="mailto:flor_espina@southville.edu.ph" TargetMode="External"/><Relationship Id="rId263" Type="http://schemas.openxmlformats.org/officeDocument/2006/relationships/hyperlink" Target="mailto:celina_basilio@southville.edu.ph" TargetMode="External"/><Relationship Id="rId262" Type="http://schemas.openxmlformats.org/officeDocument/2006/relationships/hyperlink" Target="mailto:fj_deboer@southville.edu.ph" TargetMode="External"/><Relationship Id="rId261" Type="http://schemas.openxmlformats.org/officeDocument/2006/relationships/hyperlink" Target="mailto:donna_ocampo@southville.edu.ph" TargetMode="External"/><Relationship Id="rId268" Type="http://schemas.openxmlformats.org/officeDocument/2006/relationships/hyperlink" Target="mailto:francisa@southville.edu.ph" TargetMode="External"/><Relationship Id="rId267" Type="http://schemas.openxmlformats.org/officeDocument/2006/relationships/hyperlink" Target="mailto:raven_luganob@southville.edu.ph" TargetMode="External"/><Relationship Id="rId266" Type="http://schemas.openxmlformats.org/officeDocument/2006/relationships/hyperlink" Target="mailto:floribelf@southville.edu.ph" TargetMode="External"/><Relationship Id="rId265" Type="http://schemas.openxmlformats.org/officeDocument/2006/relationships/hyperlink" Target="mailto:esperanza_modesto@southville.edu.ph" TargetMode="External"/><Relationship Id="rId260" Type="http://schemas.openxmlformats.org/officeDocument/2006/relationships/hyperlink" Target="mailto:fidesa@southville.edu.ph" TargetMode="External"/><Relationship Id="rId259" Type="http://schemas.openxmlformats.org/officeDocument/2006/relationships/hyperlink" Target="mailto:jaycee_evangelista@southville.edu.ph" TargetMode="External"/><Relationship Id="rId258" Type="http://schemas.openxmlformats.org/officeDocument/2006/relationships/hyperlink" Target="mailto:felina_ilao@southville.edu.ph" TargetMode="External"/><Relationship Id="rId253" Type="http://schemas.openxmlformats.org/officeDocument/2006/relationships/hyperlink" Target="mailto:daryl_pedro@southville.edu.ph" TargetMode="External"/><Relationship Id="rId495" Type="http://schemas.openxmlformats.org/officeDocument/2006/relationships/hyperlink" Target="mailto:rahima_ona@southville.edu.ph" TargetMode="External"/><Relationship Id="rId252" Type="http://schemas.openxmlformats.org/officeDocument/2006/relationships/hyperlink" Target="mailto:famia_fabiana@southville.edu.ph" TargetMode="External"/><Relationship Id="rId494" Type="http://schemas.openxmlformats.org/officeDocument/2006/relationships/hyperlink" Target="mailto:eugenem@southville.edu.ph" TargetMode="External"/><Relationship Id="rId251" Type="http://schemas.openxmlformats.org/officeDocument/2006/relationships/hyperlink" Target="mailto:alicia_lopena@southville.edu.ph" TargetMode="External"/><Relationship Id="rId493" Type="http://schemas.openxmlformats.org/officeDocument/2006/relationships/hyperlink" Target="mailto:pilar_lopez@southville.edu.ph" TargetMode="External"/><Relationship Id="rId250" Type="http://schemas.openxmlformats.org/officeDocument/2006/relationships/hyperlink" Target="mailto:evelyn_sevilla@southville.edu.ph" TargetMode="External"/><Relationship Id="rId492" Type="http://schemas.openxmlformats.org/officeDocument/2006/relationships/hyperlink" Target="mailto:eudiery@southville.edu.ph" TargetMode="External"/><Relationship Id="rId257" Type="http://schemas.openxmlformats.org/officeDocument/2006/relationships/hyperlink" Target="mailto:joy_oracion@southville.edu.ph" TargetMode="External"/><Relationship Id="rId499" Type="http://schemas.openxmlformats.org/officeDocument/2006/relationships/hyperlink" Target="mailto:ellaine_gimenez@southville.edu.ph" TargetMode="External"/><Relationship Id="rId256" Type="http://schemas.openxmlformats.org/officeDocument/2006/relationships/hyperlink" Target="mailto:fctria@southville.edu.ph" TargetMode="External"/><Relationship Id="rId498" Type="http://schemas.openxmlformats.org/officeDocument/2006/relationships/hyperlink" Target="mailto:eunice_entegro@southville.edu.ph" TargetMode="External"/><Relationship Id="rId255" Type="http://schemas.openxmlformats.org/officeDocument/2006/relationships/hyperlink" Target="mailto:claudine_adraque@southville.edu.ph" TargetMode="External"/><Relationship Id="rId497" Type="http://schemas.openxmlformats.org/officeDocument/2006/relationships/hyperlink" Target="mailto:oscar_agorilla@southville.edu.ph" TargetMode="External"/><Relationship Id="rId254" Type="http://schemas.openxmlformats.org/officeDocument/2006/relationships/hyperlink" Target="mailto:fanny_indac@southville.edu.ph" TargetMode="External"/><Relationship Id="rId496" Type="http://schemas.openxmlformats.org/officeDocument/2006/relationships/hyperlink" Target="mailto:eulalia_rosales@southville.edu.ph" TargetMode="External"/><Relationship Id="rId293" Type="http://schemas.openxmlformats.org/officeDocument/2006/relationships/hyperlink" Target="mailto:shayne_oliva@southville.edu.ph" TargetMode="External"/><Relationship Id="rId292" Type="http://schemas.openxmlformats.org/officeDocument/2006/relationships/hyperlink" Target="mailto:gina_laurenciano@southville.edu.ph" TargetMode="External"/><Relationship Id="rId291" Type="http://schemas.openxmlformats.org/officeDocument/2006/relationships/hyperlink" Target="mailto:ronnel_calvendra@southville.edu.ph" TargetMode="External"/><Relationship Id="rId290" Type="http://schemas.openxmlformats.org/officeDocument/2006/relationships/hyperlink" Target="mailto:gillian_coronado@southville.edu.ph" TargetMode="External"/><Relationship Id="rId286" Type="http://schemas.openxmlformats.org/officeDocument/2006/relationships/hyperlink" Target="mailto:gian_rivera@southville.edu.ph" TargetMode="External"/><Relationship Id="rId285" Type="http://schemas.openxmlformats.org/officeDocument/2006/relationships/hyperlink" Target="mailto:michael_gravamen@southville.edu.ph" TargetMode="External"/><Relationship Id="rId284" Type="http://schemas.openxmlformats.org/officeDocument/2006/relationships/hyperlink" Target="mailto:gia_sogitao@southville.edu.ph" TargetMode="External"/><Relationship Id="rId283" Type="http://schemas.openxmlformats.org/officeDocument/2006/relationships/hyperlink" Target="mailto:angela_ferrer@southville.edu.ph" TargetMode="External"/><Relationship Id="rId289" Type="http://schemas.openxmlformats.org/officeDocument/2006/relationships/hyperlink" Target="mailto:gerardo_plana@southville.edu.ph" TargetMode="External"/><Relationship Id="rId288" Type="http://schemas.openxmlformats.org/officeDocument/2006/relationships/hyperlink" Target="mailto:gigic@southville.edu.ph" TargetMode="External"/><Relationship Id="rId287" Type="http://schemas.openxmlformats.org/officeDocument/2006/relationships/hyperlink" Target="mailto:christoff_graza@southville.edu.ph" TargetMode="External"/><Relationship Id="rId282" Type="http://schemas.openxmlformats.org/officeDocument/2006/relationships/hyperlink" Target="mailto:ggonzalo@southville.edu.ph" TargetMode="External"/><Relationship Id="rId281" Type="http://schemas.openxmlformats.org/officeDocument/2006/relationships/hyperlink" Target="mailto:gilbert_magallanes@southville.edu.ph" TargetMode="External"/><Relationship Id="rId280" Type="http://schemas.openxmlformats.org/officeDocument/2006/relationships/hyperlink" Target="mailto:gerlie_montellano@southville.edu.ph" TargetMode="External"/><Relationship Id="rId275" Type="http://schemas.openxmlformats.org/officeDocument/2006/relationships/hyperlink" Target="mailto:daryl_laboc@southville.edu.ph" TargetMode="External"/><Relationship Id="rId274" Type="http://schemas.openxmlformats.org/officeDocument/2006/relationships/hyperlink" Target="mailto:gelica_lopera@southville.edu.ph" TargetMode="External"/><Relationship Id="rId273" Type="http://schemas.openxmlformats.org/officeDocument/2006/relationships/hyperlink" Target="mailto:marinel_martinez@southville.edu.ph" TargetMode="External"/><Relationship Id="rId272" Type="http://schemas.openxmlformats.org/officeDocument/2006/relationships/hyperlink" Target="mailto:gabriel_rosales@southville.edu.ph" TargetMode="External"/><Relationship Id="rId279" Type="http://schemas.openxmlformats.org/officeDocument/2006/relationships/hyperlink" Target="mailto:klariza_crisostomo@southville.edu.ph" TargetMode="External"/><Relationship Id="rId278" Type="http://schemas.openxmlformats.org/officeDocument/2006/relationships/hyperlink" Target="mailto:georgem@southville.edu.ph" TargetMode="External"/><Relationship Id="rId277" Type="http://schemas.openxmlformats.org/officeDocument/2006/relationships/hyperlink" Target="mailto:shiela_antalan@southville.edu.ph" TargetMode="External"/><Relationship Id="rId276" Type="http://schemas.openxmlformats.org/officeDocument/2006/relationships/hyperlink" Target="mailto:gene@southville.edu.ph" TargetMode="External"/><Relationship Id="rId629" Type="http://schemas.openxmlformats.org/officeDocument/2006/relationships/hyperlink" Target="mailto:aileen_sejas@southville.edu.ph" TargetMode="External"/><Relationship Id="rId624" Type="http://schemas.openxmlformats.org/officeDocument/2006/relationships/hyperlink" Target="mailto:love_acebuche@southville.edu.ph" TargetMode="External"/><Relationship Id="rId623" Type="http://schemas.openxmlformats.org/officeDocument/2006/relationships/hyperlink" Target="mailto:valine_divinagracia@southville.edu.ph" TargetMode="External"/><Relationship Id="rId622" Type="http://schemas.openxmlformats.org/officeDocument/2006/relationships/hyperlink" Target="mailto:lourdes_credo@southville.edu.ph" TargetMode="External"/><Relationship Id="rId621" Type="http://schemas.openxmlformats.org/officeDocument/2006/relationships/hyperlink" Target="mailto:danilo_relosa@southville.edu.ph" TargetMode="External"/><Relationship Id="rId628" Type="http://schemas.openxmlformats.org/officeDocument/2006/relationships/hyperlink" Target="mailto:lucille_beyer@southville.edu.ph" TargetMode="External"/><Relationship Id="rId627" Type="http://schemas.openxmlformats.org/officeDocument/2006/relationships/hyperlink" Target="mailto:hannah_asuncion@southville.edu.ph" TargetMode="External"/><Relationship Id="rId626" Type="http://schemas.openxmlformats.org/officeDocument/2006/relationships/hyperlink" Target="mailto:lucast@southville.edu.ph" TargetMode="External"/><Relationship Id="rId625" Type="http://schemas.openxmlformats.org/officeDocument/2006/relationships/hyperlink" Target="mailto:angelaine.palada@southville.edu.ph" TargetMode="External"/><Relationship Id="rId620" Type="http://schemas.openxmlformats.org/officeDocument/2006/relationships/hyperlink" Target="mailto:lourdes_boco@southville.edu.ph" TargetMode="External"/><Relationship Id="rId619" Type="http://schemas.openxmlformats.org/officeDocument/2006/relationships/hyperlink" Target="mailto:jam_balajadia@southville.edu.ph" TargetMode="External"/><Relationship Id="rId618" Type="http://schemas.openxmlformats.org/officeDocument/2006/relationships/hyperlink" Target="mailto:louie_rodenas@southville.edu.ph" TargetMode="External"/><Relationship Id="rId613" Type="http://schemas.openxmlformats.org/officeDocument/2006/relationships/hyperlink" Target="mailto:samuel_raiz@southville.edu.ph" TargetMode="External"/><Relationship Id="rId612" Type="http://schemas.openxmlformats.org/officeDocument/2006/relationships/hyperlink" Target="mailto:lorenz_delgra@southville.edu.ph" TargetMode="External"/><Relationship Id="rId611" Type="http://schemas.openxmlformats.org/officeDocument/2006/relationships/hyperlink" Target="mailto:louisa_leocadio@southville.edu.ph" TargetMode="External"/><Relationship Id="rId610" Type="http://schemas.openxmlformats.org/officeDocument/2006/relationships/hyperlink" Target="mailto:lorenar@southville.edu.ph" TargetMode="External"/><Relationship Id="rId617" Type="http://schemas.openxmlformats.org/officeDocument/2006/relationships/hyperlink" Target="mailto:rosemarie_junio@southville.edu.ph" TargetMode="External"/><Relationship Id="rId616" Type="http://schemas.openxmlformats.org/officeDocument/2006/relationships/hyperlink" Target="mailto:louie_dollente@southville.edu.ph" TargetMode="External"/><Relationship Id="rId615" Type="http://schemas.openxmlformats.org/officeDocument/2006/relationships/hyperlink" Target="mailto:christar_cadion@southville.edu.ph" TargetMode="External"/><Relationship Id="rId614" Type="http://schemas.openxmlformats.org/officeDocument/2006/relationships/hyperlink" Target="mailto:louie_camral@southville.edu.ph" TargetMode="External"/><Relationship Id="rId409" Type="http://schemas.openxmlformats.org/officeDocument/2006/relationships/hyperlink" Target="mailto:pedrito_salvador@southville.edu.ph" TargetMode="External"/><Relationship Id="rId404" Type="http://schemas.openxmlformats.org/officeDocument/2006/relationships/hyperlink" Target="mailto:czarina_cabrera@southville.edu.ph" TargetMode="External"/><Relationship Id="rId646" Type="http://schemas.openxmlformats.org/officeDocument/2006/relationships/hyperlink" Target="mailto:marc_onate@southville.edu.ph" TargetMode="External"/><Relationship Id="rId403" Type="http://schemas.openxmlformats.org/officeDocument/2006/relationships/hyperlink" Target="mailto:roshelle_gamboa@southville.edu.ph" TargetMode="External"/><Relationship Id="rId645" Type="http://schemas.openxmlformats.org/officeDocument/2006/relationships/hyperlink" Target="mailto:glendee_gaviola@southville.edu.ph" TargetMode="External"/><Relationship Id="rId402" Type="http://schemas.openxmlformats.org/officeDocument/2006/relationships/hyperlink" Target="mailto:thelma_anteola@southville.edu.ph" TargetMode="External"/><Relationship Id="rId644" Type="http://schemas.openxmlformats.org/officeDocument/2006/relationships/hyperlink" Target="mailto:maj_tomas@southville.edu.ph" TargetMode="External"/><Relationship Id="rId401" Type="http://schemas.openxmlformats.org/officeDocument/2006/relationships/hyperlink" Target="mailto:cristine_yap@southville.edu.ph" TargetMode="External"/><Relationship Id="rId643" Type="http://schemas.openxmlformats.org/officeDocument/2006/relationships/hyperlink" Target="mailto:selena_vista@southville.edu.ph" TargetMode="External"/><Relationship Id="rId408" Type="http://schemas.openxmlformats.org/officeDocument/2006/relationships/hyperlink" Target="mailto:theresa_calubag@southville.edu.ph" TargetMode="External"/><Relationship Id="rId407" Type="http://schemas.openxmlformats.org/officeDocument/2006/relationships/hyperlink" Target="mailto:dabereth_baller@southville.edu.ph" TargetMode="External"/><Relationship Id="rId649" Type="http://schemas.openxmlformats.org/officeDocument/2006/relationships/hyperlink" Target="mailto:Rommel_Dinoso@southville.edu.ph" TargetMode="External"/><Relationship Id="rId406" Type="http://schemas.openxmlformats.org/officeDocument/2006/relationships/hyperlink" Target="mailto:bernadette_mina@southville.edu.ph" TargetMode="External"/><Relationship Id="rId648" Type="http://schemas.openxmlformats.org/officeDocument/2006/relationships/hyperlink" Target="mailto:marc_sanjose@southville.edu.ph" TargetMode="External"/><Relationship Id="rId405" Type="http://schemas.openxmlformats.org/officeDocument/2006/relationships/hyperlink" Target="mailto:thelma_badon@southville.edu.ph" TargetMode="External"/><Relationship Id="rId647" Type="http://schemas.openxmlformats.org/officeDocument/2006/relationships/hyperlink" Target="mailto:Nones@southville.edu.ph" TargetMode="External"/><Relationship Id="rId400" Type="http://schemas.openxmlformats.org/officeDocument/2006/relationships/hyperlink" Target="mailto:darwin_delosreyes@southville.edu.ph" TargetMode="External"/><Relationship Id="rId642" Type="http://schemas.openxmlformats.org/officeDocument/2006/relationships/hyperlink" Target="mailto:mabelle_pascual@southville.edu.ph" TargetMode="External"/><Relationship Id="rId641" Type="http://schemas.openxmlformats.org/officeDocument/2006/relationships/hyperlink" Target="mailto:russelle_aramo@southville.edu.ph" TargetMode="External"/><Relationship Id="rId640" Type="http://schemas.openxmlformats.org/officeDocument/2006/relationships/hyperlink" Target="mailto:mabelle_mercado@southville.edu.ph" TargetMode="External"/><Relationship Id="rId635" Type="http://schemas.openxmlformats.org/officeDocument/2006/relationships/hyperlink" Target="mailto:anthony_blanca@southville.edu.ph" TargetMode="External"/><Relationship Id="rId634" Type="http://schemas.openxmlformats.org/officeDocument/2006/relationships/hyperlink" Target="mailto:lynette_leaban@southville.edu.ph" TargetMode="External"/><Relationship Id="rId633" Type="http://schemas.openxmlformats.org/officeDocument/2006/relationships/hyperlink" Target="mailto:dominic_javier@southville.edu.ph" TargetMode="External"/><Relationship Id="rId632" Type="http://schemas.openxmlformats.org/officeDocument/2006/relationships/hyperlink" Target="mailto:luis_monfort@southville.edu.ph" TargetMode="External"/><Relationship Id="rId639" Type="http://schemas.openxmlformats.org/officeDocument/2006/relationships/hyperlink" Target="mailto:angeline_dumlao@southville.edu.ph" TargetMode="External"/><Relationship Id="rId638" Type="http://schemas.openxmlformats.org/officeDocument/2006/relationships/hyperlink" Target="mailto:mabelle.mercado@yahoo.com" TargetMode="External"/><Relationship Id="rId637" Type="http://schemas.openxmlformats.org/officeDocument/2006/relationships/hyperlink" Target="mailto:venus_padua@southville.edu.ph" TargetMode="External"/><Relationship Id="rId636" Type="http://schemas.openxmlformats.org/officeDocument/2006/relationships/hyperlink" Target="mailto:lynore_ruiz@southville.edu.ph" TargetMode="External"/><Relationship Id="rId631" Type="http://schemas.openxmlformats.org/officeDocument/2006/relationships/hyperlink" Target="mailto:ronald_ariate@southville.edu.ph" TargetMode="External"/><Relationship Id="rId630" Type="http://schemas.openxmlformats.org/officeDocument/2006/relationships/hyperlink" Target="mailto:ludyda@southville.edu.ph" TargetMode="External"/><Relationship Id="rId609" Type="http://schemas.openxmlformats.org/officeDocument/2006/relationships/hyperlink" Target="mailto:jillian_quinto@southville.edu.ph" TargetMode="External"/><Relationship Id="rId608" Type="http://schemas.openxmlformats.org/officeDocument/2006/relationships/hyperlink" Target="mailto:lorebelle_bautista@southville.edu.ph" TargetMode="External"/><Relationship Id="rId607" Type="http://schemas.openxmlformats.org/officeDocument/2006/relationships/hyperlink" Target="mailto:ethel_pagatpatan@southville.edu.ph" TargetMode="External"/><Relationship Id="rId602" Type="http://schemas.openxmlformats.org/officeDocument/2006/relationships/hyperlink" Target="mailto:liza_jimenez@southville.edu.ph" TargetMode="External"/><Relationship Id="rId601" Type="http://schemas.openxmlformats.org/officeDocument/2006/relationships/hyperlink" Target="mailto:rosevelita_tumayan@southville.edu.ph" TargetMode="External"/><Relationship Id="rId600" Type="http://schemas.openxmlformats.org/officeDocument/2006/relationships/hyperlink" Target="mailto:liza_bulay@southville.edu.ph" TargetMode="External"/><Relationship Id="rId606" Type="http://schemas.openxmlformats.org/officeDocument/2006/relationships/hyperlink" Target="mailto:lloyd_mumar@southville.edu.ph" TargetMode="External"/><Relationship Id="rId605" Type="http://schemas.openxmlformats.org/officeDocument/2006/relationships/hyperlink" Target="mailto:karl_velhagen@southville.edu.ph" TargetMode="External"/><Relationship Id="rId604" Type="http://schemas.openxmlformats.org/officeDocument/2006/relationships/hyperlink" Target="mailto:lizav@southville.edu.ph" TargetMode="External"/><Relationship Id="rId603" Type="http://schemas.openxmlformats.org/officeDocument/2006/relationships/hyperlink" Target="mailto:drvic.manabat@southville.edu.ph" TargetMode="External"/><Relationship Id="rId228" Type="http://schemas.openxmlformats.org/officeDocument/2006/relationships/hyperlink" Target="mailto:renea@southville.edu.ph" TargetMode="External"/><Relationship Id="rId227" Type="http://schemas.openxmlformats.org/officeDocument/2006/relationships/hyperlink" Target="mailto:jovenil_sacop@southville.edu.ph" TargetMode="External"/><Relationship Id="rId469" Type="http://schemas.openxmlformats.org/officeDocument/2006/relationships/hyperlink" Target="mailto:raymond_mercado@southville.edu.ph" TargetMode="External"/><Relationship Id="rId226" Type="http://schemas.openxmlformats.org/officeDocument/2006/relationships/hyperlink" Target="mailto:remyl@southville.edu.ph" TargetMode="External"/><Relationship Id="rId468" Type="http://schemas.openxmlformats.org/officeDocument/2006/relationships/hyperlink" Target="mailto:ehric_quintana@southville.edu.ph" TargetMode="External"/><Relationship Id="rId225" Type="http://schemas.openxmlformats.org/officeDocument/2006/relationships/hyperlink" Target="mailto:virgil_morales@southville.edu.ph" TargetMode="External"/><Relationship Id="rId467" Type="http://schemas.openxmlformats.org/officeDocument/2006/relationships/hyperlink" Target="mailto:zendel_zuniga@southville.edu.ph" TargetMode="External"/><Relationship Id="rId229" Type="http://schemas.openxmlformats.org/officeDocument/2006/relationships/hyperlink" Target="mailto:franklin_quiachon@southville.edu.ph" TargetMode="External"/><Relationship Id="rId220" Type="http://schemas.openxmlformats.org/officeDocument/2006/relationships/hyperlink" Target="mailto:rching@southville.edu.ph" TargetMode="External"/><Relationship Id="rId462" Type="http://schemas.openxmlformats.org/officeDocument/2006/relationships/hyperlink" Target="mailto:kier_pelonia@southville.edu.ph" TargetMode="External"/><Relationship Id="rId461" Type="http://schemas.openxmlformats.org/officeDocument/2006/relationships/hyperlink" Target="mailto:yzelle_delarea@southville.edu.ph" TargetMode="External"/><Relationship Id="rId460" Type="http://schemas.openxmlformats.org/officeDocument/2006/relationships/hyperlink" Target="mailto:edmund_bahinting@southville.edu.ph" TargetMode="External"/><Relationship Id="rId224" Type="http://schemas.openxmlformats.org/officeDocument/2006/relationships/hyperlink" Target="mailto:red.gabanan@southville.edu.ph" TargetMode="External"/><Relationship Id="rId466" Type="http://schemas.openxmlformats.org/officeDocument/2006/relationships/hyperlink" Target="mailto:edwin_guillermo@southville.edu.ph" TargetMode="External"/><Relationship Id="rId223" Type="http://schemas.openxmlformats.org/officeDocument/2006/relationships/hyperlink" Target="mailto:bea_delacruz@southville.edu.ph" TargetMode="External"/><Relationship Id="rId465" Type="http://schemas.openxmlformats.org/officeDocument/2006/relationships/hyperlink" Target="mailto:jeline_pagdonsolan@southville.edu.ph" TargetMode="External"/><Relationship Id="rId222" Type="http://schemas.openxmlformats.org/officeDocument/2006/relationships/hyperlink" Target="mailto:rebekah_canicosa@southville.edu.ph" TargetMode="External"/><Relationship Id="rId464" Type="http://schemas.openxmlformats.org/officeDocument/2006/relationships/hyperlink" Target="mailto:zarah_velasquez@southville.edu.ph" TargetMode="External"/><Relationship Id="rId221" Type="http://schemas.openxmlformats.org/officeDocument/2006/relationships/hyperlink" Target="mailto:sam_velasco@southville.edu.ph" TargetMode="External"/><Relationship Id="rId463" Type="http://schemas.openxmlformats.org/officeDocument/2006/relationships/hyperlink" Target="mailto:eduard_mutuc@southville.edu.ph" TargetMode="External"/><Relationship Id="rId217" Type="http://schemas.openxmlformats.org/officeDocument/2006/relationships/hyperlink" Target="mailto:raquelyn_nunez@southville.edu.ph" TargetMode="External"/><Relationship Id="rId459" Type="http://schemas.openxmlformats.org/officeDocument/2006/relationships/hyperlink" Target="mailto:help@southville.edu.ph" TargetMode="External"/><Relationship Id="rId216" Type="http://schemas.openxmlformats.org/officeDocument/2006/relationships/hyperlink" Target="mailto:raymund_escala@southville.edu.ph" TargetMode="External"/><Relationship Id="rId458" Type="http://schemas.openxmlformats.org/officeDocument/2006/relationships/hyperlink" Target="mailto:ymmat_gonzales@southville.edu.ph" TargetMode="External"/><Relationship Id="rId215" Type="http://schemas.openxmlformats.org/officeDocument/2006/relationships/hyperlink" Target="mailto:maurine_dollesin@southville.edu.ph" TargetMode="External"/><Relationship Id="rId457" Type="http://schemas.openxmlformats.org/officeDocument/2006/relationships/hyperlink" Target="mailto:edison_ramos@southville.edu.ph" TargetMode="External"/><Relationship Id="rId699" Type="http://schemas.openxmlformats.org/officeDocument/2006/relationships/hyperlink" Target="mailto:apollom@southville.edu.ph" TargetMode="External"/><Relationship Id="rId214" Type="http://schemas.openxmlformats.org/officeDocument/2006/relationships/hyperlink" Target="mailto:raymond_cuneta@southville.edu.ph" TargetMode="External"/><Relationship Id="rId456" Type="http://schemas.openxmlformats.org/officeDocument/2006/relationships/hyperlink" Target="mailto:kathleen_calison@southville.edu.ph" TargetMode="External"/><Relationship Id="rId698" Type="http://schemas.openxmlformats.org/officeDocument/2006/relationships/hyperlink" Target="mailto:marlo_borromeo@southville.edu.ph" TargetMode="External"/><Relationship Id="rId219" Type="http://schemas.openxmlformats.org/officeDocument/2006/relationships/hyperlink" Target="mailto:mark_sabili@southville.edu.ph" TargetMode="External"/><Relationship Id="rId218" Type="http://schemas.openxmlformats.org/officeDocument/2006/relationships/hyperlink" Target="mailto:rcanizares@southville.edu.ph" TargetMode="External"/><Relationship Id="rId451" Type="http://schemas.openxmlformats.org/officeDocument/2006/relationships/hyperlink" Target="mailto:jestine_soria@southville.edu.ph" TargetMode="External"/><Relationship Id="rId693" Type="http://schemas.openxmlformats.org/officeDocument/2006/relationships/hyperlink" Target="mailto:annie_olarte@southville.edu.ph" TargetMode="External"/><Relationship Id="rId450" Type="http://schemas.openxmlformats.org/officeDocument/2006/relationships/hyperlink" Target="mailto:wallen_tan@southville.edu.ph" TargetMode="External"/><Relationship Id="rId692" Type="http://schemas.openxmlformats.org/officeDocument/2006/relationships/hyperlink" Target="mailto:mark_juane@yahoo.com" TargetMode="External"/><Relationship Id="rId691" Type="http://schemas.openxmlformats.org/officeDocument/2006/relationships/hyperlink" Target="mailto:annav@southville.edu.ph" TargetMode="External"/><Relationship Id="rId690" Type="http://schemas.openxmlformats.org/officeDocument/2006/relationships/hyperlink" Target="mailto:mark_isabelo@southville.edu.ph" TargetMode="External"/><Relationship Id="rId213" Type="http://schemas.openxmlformats.org/officeDocument/2006/relationships/hyperlink" Target="mailto:julius_pagdato@southville.edu.ph" TargetMode="External"/><Relationship Id="rId455" Type="http://schemas.openxmlformats.org/officeDocument/2006/relationships/hyperlink" Target="mailto:william_njiondo@southville.edu.ph" TargetMode="External"/><Relationship Id="rId697" Type="http://schemas.openxmlformats.org/officeDocument/2006/relationships/hyperlink" Target="mailto:antonio_tiongson@southville.edu.ph" TargetMode="External"/><Relationship Id="rId212" Type="http://schemas.openxmlformats.org/officeDocument/2006/relationships/hyperlink" Target="mailto:rax_colangoy@southville.edu.ph" TargetMode="External"/><Relationship Id="rId454" Type="http://schemas.openxmlformats.org/officeDocument/2006/relationships/hyperlink" Target="mailto:edgar_rebellon@southville.edu.ph" TargetMode="External"/><Relationship Id="rId696" Type="http://schemas.openxmlformats.org/officeDocument/2006/relationships/hyperlink" Target="mailto:marl@southville.edu.ph" TargetMode="External"/><Relationship Id="rId211" Type="http://schemas.openxmlformats.org/officeDocument/2006/relationships/hyperlink" Target="mailto:hannamie_luching@southville.edu.ph" TargetMode="External"/><Relationship Id="rId453" Type="http://schemas.openxmlformats.org/officeDocument/2006/relationships/hyperlink" Target="mailto:wilbert.beltran@southville.edu.ph" TargetMode="External"/><Relationship Id="rId695" Type="http://schemas.openxmlformats.org/officeDocument/2006/relationships/hyperlink" Target="mailto:anparo_liwag@southville.edu.ph" TargetMode="External"/><Relationship Id="rId210" Type="http://schemas.openxmlformats.org/officeDocument/2006/relationships/hyperlink" Target="mailto:raul_migrino@southville.edu.ph" TargetMode="External"/><Relationship Id="rId452" Type="http://schemas.openxmlformats.org/officeDocument/2006/relationships/hyperlink" Target="mailto:edgar_barroga@southville.edu.ph" TargetMode="External"/><Relationship Id="rId694" Type="http://schemas.openxmlformats.org/officeDocument/2006/relationships/hyperlink" Target="mailto:mark_paulo@southville.edu.ph" TargetMode="External"/><Relationship Id="rId491" Type="http://schemas.openxmlformats.org/officeDocument/2006/relationships/hyperlink" Target="mailto:marivile_uy@southville.edu.ph" TargetMode="External"/><Relationship Id="rId490" Type="http://schemas.openxmlformats.org/officeDocument/2006/relationships/hyperlink" Target="mailto:ethelbirth_ignacio@southville.edu.ph" TargetMode="External"/><Relationship Id="rId249" Type="http://schemas.openxmlformats.org/officeDocument/2006/relationships/hyperlink" Target="mailto:keiichi_gabutero@southville.edu.ph" TargetMode="External"/><Relationship Id="rId248" Type="http://schemas.openxmlformats.org/officeDocument/2006/relationships/hyperlink" Target="mailto:richard_nadera@southville.edu.ph" TargetMode="External"/><Relationship Id="rId247" Type="http://schemas.openxmlformats.org/officeDocument/2006/relationships/hyperlink" Target="mailto:roie_raymundo@southville.edu.ph" TargetMode="External"/><Relationship Id="rId489" Type="http://schemas.openxmlformats.org/officeDocument/2006/relationships/hyperlink" Target="mailto:aiel_glodo@southville.edu.ph" TargetMode="External"/><Relationship Id="rId242" Type="http://schemas.openxmlformats.org/officeDocument/2006/relationships/hyperlink" Target="mailto:rhea_abat@southville.edu.ph" TargetMode="External"/><Relationship Id="rId484" Type="http://schemas.openxmlformats.org/officeDocument/2006/relationships/hyperlink" Target="mailto:ervin_sotto@southville.edu.ph" TargetMode="External"/><Relationship Id="rId241" Type="http://schemas.openxmlformats.org/officeDocument/2006/relationships/hyperlink" Target="mailto:crismarie_espinosa@southville.edu.ph" TargetMode="External"/><Relationship Id="rId483" Type="http://schemas.openxmlformats.org/officeDocument/2006/relationships/hyperlink" Target="mailto:christian_aguinaldo@southville.edu.ph" TargetMode="External"/><Relationship Id="rId240" Type="http://schemas.openxmlformats.org/officeDocument/2006/relationships/hyperlink" Target="mailto:rezza_jimenez@southville.edu.ph" TargetMode="External"/><Relationship Id="rId482" Type="http://schemas.openxmlformats.org/officeDocument/2006/relationships/hyperlink" Target="mailto:erneline_joaquin@southville.edu.ph" TargetMode="External"/><Relationship Id="rId481" Type="http://schemas.openxmlformats.org/officeDocument/2006/relationships/hyperlink" Target="mailto:janette_lavarino@southville.edu.ph" TargetMode="External"/><Relationship Id="rId246" Type="http://schemas.openxmlformats.org/officeDocument/2006/relationships/hyperlink" Target="mailto:riacaronongan@southville.edu.ph" TargetMode="External"/><Relationship Id="rId488" Type="http://schemas.openxmlformats.org/officeDocument/2006/relationships/hyperlink" Target="mailto:estanislao_mozo@southville.edu.ph" TargetMode="External"/><Relationship Id="rId245" Type="http://schemas.openxmlformats.org/officeDocument/2006/relationships/hyperlink" Target="mailto:jirah_porras@southville.edu.ph" TargetMode="External"/><Relationship Id="rId487" Type="http://schemas.openxmlformats.org/officeDocument/2006/relationships/hyperlink" Target="mailto:carl_sasot@southville.edu.ph" TargetMode="External"/><Relationship Id="rId244" Type="http://schemas.openxmlformats.org/officeDocument/2006/relationships/hyperlink" Target="mailto:rhuby_vergara@southville.edu.ph" TargetMode="External"/><Relationship Id="rId486" Type="http://schemas.openxmlformats.org/officeDocument/2006/relationships/hyperlink" Target="mailto:esaly_banitak@southville.edu.ph" TargetMode="External"/><Relationship Id="rId243" Type="http://schemas.openxmlformats.org/officeDocument/2006/relationships/hyperlink" Target="mailto:sean_hernandez@southville.edu.ph" TargetMode="External"/><Relationship Id="rId485" Type="http://schemas.openxmlformats.org/officeDocument/2006/relationships/hyperlink" Target="mailto:kimberly_du@southville.edu.ph" TargetMode="External"/><Relationship Id="rId480" Type="http://schemas.openxmlformats.org/officeDocument/2006/relationships/hyperlink" Target="mailto:emmanuel_corsame@southville.edu.ph" TargetMode="External"/><Relationship Id="rId239" Type="http://schemas.openxmlformats.org/officeDocument/2006/relationships/hyperlink" Target="mailto:rico_ros@southville.edu.ph" TargetMode="External"/><Relationship Id="rId238" Type="http://schemas.openxmlformats.org/officeDocument/2006/relationships/hyperlink" Target="mailto:reynalen_inojosa@southville.edu.ph" TargetMode="External"/><Relationship Id="rId237" Type="http://schemas.openxmlformats.org/officeDocument/2006/relationships/hyperlink" Target="mailto:alyssa_ambat@southville.edu.ph" TargetMode="External"/><Relationship Id="rId479" Type="http://schemas.openxmlformats.org/officeDocument/2006/relationships/hyperlink" Target="mailto:emily_manlangit@southville.edu.ph" TargetMode="External"/><Relationship Id="rId236" Type="http://schemas.openxmlformats.org/officeDocument/2006/relationships/hyperlink" Target="mailto:reynaldo_inojosa@southville.edu.ph" TargetMode="External"/><Relationship Id="rId478" Type="http://schemas.openxmlformats.org/officeDocument/2006/relationships/hyperlink" Target="mailto:michael_berza@southville.edu.ph" TargetMode="External"/><Relationship Id="rId231" Type="http://schemas.openxmlformats.org/officeDocument/2006/relationships/hyperlink" Target="mailto:roselet_reynoso@southville.edu.ph" TargetMode="External"/><Relationship Id="rId473" Type="http://schemas.openxmlformats.org/officeDocument/2006/relationships/hyperlink" Target="mailto:mara_deleon@southville.edu.ph" TargetMode="External"/><Relationship Id="rId230" Type="http://schemas.openxmlformats.org/officeDocument/2006/relationships/hyperlink" Target="mailto:rex_llonora@southville.edu.ph" TargetMode="External"/><Relationship Id="rId472" Type="http://schemas.openxmlformats.org/officeDocument/2006/relationships/hyperlink" Target="mailto:elaine_dimacali@southville.edu.ph" TargetMode="External"/><Relationship Id="rId471" Type="http://schemas.openxmlformats.org/officeDocument/2006/relationships/hyperlink" Target="mailto:angelica_rodulfo@southville.edu.ph" TargetMode="External"/><Relationship Id="rId470" Type="http://schemas.openxmlformats.org/officeDocument/2006/relationships/hyperlink" Target="mailto:ejcorsame@southville.edu.ph" TargetMode="External"/><Relationship Id="rId235" Type="http://schemas.openxmlformats.org/officeDocument/2006/relationships/hyperlink" Target="mailto:darlyn_diaz@southville.edu.ph" TargetMode="External"/><Relationship Id="rId477" Type="http://schemas.openxmlformats.org/officeDocument/2006/relationships/hyperlink" Target="mailto:elyds@southville.edu.ph" TargetMode="External"/><Relationship Id="rId234" Type="http://schemas.openxmlformats.org/officeDocument/2006/relationships/hyperlink" Target="mailto:reynaldo_cabuslay@southville.edu.ph" TargetMode="External"/><Relationship Id="rId476" Type="http://schemas.openxmlformats.org/officeDocument/2006/relationships/hyperlink" Target="mailto:michelle_albarillo@southville.edu.ph" TargetMode="External"/><Relationship Id="rId233" Type="http://schemas.openxmlformats.org/officeDocument/2006/relationships/hyperlink" Target="mailto:arjay.almanzor@southville.edu.ph" TargetMode="External"/><Relationship Id="rId475" Type="http://schemas.openxmlformats.org/officeDocument/2006/relationships/hyperlink" Target="mailto:ely_vermudez@southville.edu.ph" TargetMode="External"/><Relationship Id="rId232" Type="http://schemas.openxmlformats.org/officeDocument/2006/relationships/hyperlink" Target="mailto:rey_soledad@southville.edu.ph" TargetMode="External"/><Relationship Id="rId474" Type="http://schemas.openxmlformats.org/officeDocument/2006/relationships/hyperlink" Target="mailto:elona_pedrozo@southville.edu.ph" TargetMode="External"/><Relationship Id="rId426" Type="http://schemas.openxmlformats.org/officeDocument/2006/relationships/hyperlink" Target="mailto:venice_chiao@southville.edu.ph" TargetMode="External"/><Relationship Id="rId668" Type="http://schemas.openxmlformats.org/officeDocument/2006/relationships/hyperlink" Target="mailto:roxanne_constantino@southville.edu.ph" TargetMode="External"/><Relationship Id="rId425" Type="http://schemas.openxmlformats.org/officeDocument/2006/relationships/hyperlink" Target="mailto:daryt@southville.edu.ph" TargetMode="External"/><Relationship Id="rId667" Type="http://schemas.openxmlformats.org/officeDocument/2006/relationships/hyperlink" Target="mailto:allen_bartolome@southville.edu.ph" TargetMode="External"/><Relationship Id="rId424" Type="http://schemas.openxmlformats.org/officeDocument/2006/relationships/hyperlink" Target="mailto:monet_masalonga@southville.edu.ph" TargetMode="External"/><Relationship Id="rId666" Type="http://schemas.openxmlformats.org/officeDocument/2006/relationships/hyperlink" Target="mailto:maricris_espiritu@southville.edu.ph" TargetMode="External"/><Relationship Id="rId423" Type="http://schemas.openxmlformats.org/officeDocument/2006/relationships/hyperlink" Target="mailto:twiggy_quijada@southville.edu.ph" TargetMode="External"/><Relationship Id="rId665" Type="http://schemas.openxmlformats.org/officeDocument/2006/relationships/hyperlink" Target="mailto:alfonso_inocencio@southville.edu.ph" TargetMode="External"/><Relationship Id="rId429" Type="http://schemas.openxmlformats.org/officeDocument/2006/relationships/hyperlink" Target="mailto:vic_manabat@southville.edu.ph" TargetMode="External"/><Relationship Id="rId428" Type="http://schemas.openxmlformats.org/officeDocument/2006/relationships/hyperlink" Target="mailto:dchavez@southville.edu.ph" TargetMode="External"/><Relationship Id="rId427" Type="http://schemas.openxmlformats.org/officeDocument/2006/relationships/hyperlink" Target="mailto:adewale_leongson@southville.edu.ph" TargetMode="External"/><Relationship Id="rId669" Type="http://schemas.openxmlformats.org/officeDocument/2006/relationships/hyperlink" Target="mailto:alvin_bontile@southville.edu.ph" TargetMode="External"/><Relationship Id="rId660" Type="http://schemas.openxmlformats.org/officeDocument/2006/relationships/hyperlink" Target="mailto:mariaj_jose@southville.edu.ph" TargetMode="External"/><Relationship Id="rId422" Type="http://schemas.openxmlformats.org/officeDocument/2006/relationships/hyperlink" Target="mailto:daryl_paderogo@southville.edu.ph" TargetMode="External"/><Relationship Id="rId664" Type="http://schemas.openxmlformats.org/officeDocument/2006/relationships/hyperlink" Target="mailto:maricar_abaricia@southville.edu.ph" TargetMode="External"/><Relationship Id="rId421" Type="http://schemas.openxmlformats.org/officeDocument/2006/relationships/hyperlink" Target="mailto:malen_ibanez@southville.edu.ph" TargetMode="External"/><Relationship Id="rId663" Type="http://schemas.openxmlformats.org/officeDocument/2006/relationships/hyperlink" Target="mailto:alfad@southville.edu.ph" TargetMode="External"/><Relationship Id="rId420" Type="http://schemas.openxmlformats.org/officeDocument/2006/relationships/hyperlink" Target="mailto:trisha.tan@southville.edu.ph" TargetMode="External"/><Relationship Id="rId662" Type="http://schemas.openxmlformats.org/officeDocument/2006/relationships/hyperlink" Target="mailto:maricar_abarica@southville.edu.ph" TargetMode="External"/><Relationship Id="rId661" Type="http://schemas.openxmlformats.org/officeDocument/2006/relationships/hyperlink" Target="mailto:alexandra_lopez@southville.edu.ph" TargetMode="External"/><Relationship Id="rId415" Type="http://schemas.openxmlformats.org/officeDocument/2006/relationships/hyperlink" Target="mailto:marie_caneo@southville.edu.ph" TargetMode="External"/><Relationship Id="rId657" Type="http://schemas.openxmlformats.org/officeDocument/2006/relationships/hyperlink" Target="mailto:aldrin_dabu@southville.edu.ph" TargetMode="External"/><Relationship Id="rId414" Type="http://schemas.openxmlformats.org/officeDocument/2006/relationships/hyperlink" Target="mailto:tom@southville.edu.ph" TargetMode="External"/><Relationship Id="rId656" Type="http://schemas.openxmlformats.org/officeDocument/2006/relationships/hyperlink" Target="mailto:maria_cordero@southville.edu.ph" TargetMode="External"/><Relationship Id="rId413" Type="http://schemas.openxmlformats.org/officeDocument/2006/relationships/hyperlink" Target="mailto:dannielle_ignacio@southville.edu.ph" TargetMode="External"/><Relationship Id="rId655" Type="http://schemas.openxmlformats.org/officeDocument/2006/relationships/hyperlink" Target="mailto:alaeza_alabado@southville.edu.ph" TargetMode="External"/><Relationship Id="rId412" Type="http://schemas.openxmlformats.org/officeDocument/2006/relationships/hyperlink" Target="mailto:maynard_chua@southville.edu.ph" TargetMode="External"/><Relationship Id="rId654" Type="http://schemas.openxmlformats.org/officeDocument/2006/relationships/hyperlink" Target="mailto:maria_cerezo@southville.edu.ph" TargetMode="External"/><Relationship Id="rId419" Type="http://schemas.openxmlformats.org/officeDocument/2006/relationships/hyperlink" Target="mailto:daryl_delacruz@southville.edu.ph" TargetMode="External"/><Relationship Id="rId418" Type="http://schemas.openxmlformats.org/officeDocument/2006/relationships/hyperlink" Target="mailto:ana_tamayo@southville.edu.ph" TargetMode="External"/><Relationship Id="rId417" Type="http://schemas.openxmlformats.org/officeDocument/2006/relationships/hyperlink" Target="mailto:tonetramos@southville.edu.ph" TargetMode="External"/><Relationship Id="rId659" Type="http://schemas.openxmlformats.org/officeDocument/2006/relationships/hyperlink" Target="mailto:alejo_borja@southville.edu.ph" TargetMode="External"/><Relationship Id="rId416" Type="http://schemas.openxmlformats.org/officeDocument/2006/relationships/hyperlink" Target="mailto:darren_ferenal@southville.edu.ph" TargetMode="External"/><Relationship Id="rId658" Type="http://schemas.openxmlformats.org/officeDocument/2006/relationships/hyperlink" Target="mailto:maria_dominguez@southville.edu.ph" TargetMode="External"/><Relationship Id="rId411" Type="http://schemas.openxmlformats.org/officeDocument/2006/relationships/hyperlink" Target="mailto:tobi@southville.edu.ph" TargetMode="External"/><Relationship Id="rId653" Type="http://schemas.openxmlformats.org/officeDocument/2006/relationships/hyperlink" Target="mailto:ahlea_pandain@southville.edu.ph" TargetMode="External"/><Relationship Id="rId410" Type="http://schemas.openxmlformats.org/officeDocument/2006/relationships/hyperlink" Target="mailto:danilo_chua@southville.edu.ph" TargetMode="External"/><Relationship Id="rId652" Type="http://schemas.openxmlformats.org/officeDocument/2006/relationships/hyperlink" Target="mailto:margiem@southville.edu.ph" TargetMode="External"/><Relationship Id="rId651" Type="http://schemas.openxmlformats.org/officeDocument/2006/relationships/hyperlink" Target="mailto:abigail_bay@southville.edu.ph" TargetMode="External"/><Relationship Id="rId650" Type="http://schemas.openxmlformats.org/officeDocument/2006/relationships/hyperlink" Target="mailto:marck_cayas@southville.edu.ph" TargetMode="External"/><Relationship Id="rId206" Type="http://schemas.openxmlformats.org/officeDocument/2006/relationships/hyperlink" Target="mailto:raphael_fernando@southville.edu.ph" TargetMode="External"/><Relationship Id="rId448" Type="http://schemas.openxmlformats.org/officeDocument/2006/relationships/hyperlink" Target="mailto:jesus_briones@southville.edu.ph" TargetMode="External"/><Relationship Id="rId205" Type="http://schemas.openxmlformats.org/officeDocument/2006/relationships/hyperlink" Target="mailto:annabel_vasquez@southville.edu.ph" TargetMode="External"/><Relationship Id="rId447" Type="http://schemas.openxmlformats.org/officeDocument/2006/relationships/hyperlink" Target="mailto:waki.tenorio@southville.edu.ph" TargetMode="External"/><Relationship Id="rId689" Type="http://schemas.openxmlformats.org/officeDocument/2006/relationships/hyperlink" Target="mailto:anjenette_noarin@southville.edu.ph" TargetMode="External"/><Relationship Id="rId204" Type="http://schemas.openxmlformats.org/officeDocument/2006/relationships/hyperlink" Target="mailto:randolph_nonato@southville.edu.ph" TargetMode="External"/><Relationship Id="rId446" Type="http://schemas.openxmlformats.org/officeDocument/2006/relationships/hyperlink" Target="mailto:eddieson_orcullo@southville.edu.ph" TargetMode="External"/><Relationship Id="rId688" Type="http://schemas.openxmlformats.org/officeDocument/2006/relationships/hyperlink" Target="mailto:mark_ho@southville.edu.ph" TargetMode="External"/><Relationship Id="rId203" Type="http://schemas.openxmlformats.org/officeDocument/2006/relationships/hyperlink" Target="mailto:madonna_beler@southville.edu.ph" TargetMode="External"/><Relationship Id="rId445" Type="http://schemas.openxmlformats.org/officeDocument/2006/relationships/hyperlink" Target="mailto:hanna_sanesteban@southville.edu.ph" TargetMode="External"/><Relationship Id="rId687" Type="http://schemas.openxmlformats.org/officeDocument/2006/relationships/hyperlink" Target="mailto:anitaa@southville.edu.ph" TargetMode="External"/><Relationship Id="rId209" Type="http://schemas.openxmlformats.org/officeDocument/2006/relationships/hyperlink" Target="mailto:kate_tapel@southville.edu.ph" TargetMode="External"/><Relationship Id="rId208" Type="http://schemas.openxmlformats.org/officeDocument/2006/relationships/hyperlink" Target="mailto:raquelm@southville.edu.ph" TargetMode="External"/><Relationship Id="rId207" Type="http://schemas.openxmlformats.org/officeDocument/2006/relationships/hyperlink" Target="mailto:bernice_mata@southville.edu.ph" TargetMode="External"/><Relationship Id="rId449" Type="http://schemas.openxmlformats.org/officeDocument/2006/relationships/hyperlink" Target="mailto:ederissar@southville.edu.ph" TargetMode="External"/><Relationship Id="rId440" Type="http://schemas.openxmlformats.org/officeDocument/2006/relationships/hyperlink" Target="mailto:dollydane_doronila@southville.edu.ph" TargetMode="External"/><Relationship Id="rId682" Type="http://schemas.openxmlformats.org/officeDocument/2006/relationships/hyperlink" Target="mailto:marissahandugan13@gmail.com" TargetMode="External"/><Relationship Id="rId681" Type="http://schemas.openxmlformats.org/officeDocument/2006/relationships/hyperlink" Target="mailto:angela_morales@southville.edu.ph" TargetMode="External"/><Relationship Id="rId680" Type="http://schemas.openxmlformats.org/officeDocument/2006/relationships/hyperlink" Target="mailto:marissa_handugan@southville.edu.ph" TargetMode="External"/><Relationship Id="rId202" Type="http://schemas.openxmlformats.org/officeDocument/2006/relationships/hyperlink" Target="mailto:ramsey_ferrer@southville.edu.ph" TargetMode="External"/><Relationship Id="rId444" Type="http://schemas.openxmlformats.org/officeDocument/2006/relationships/hyperlink" Target="mailto:vye_revoltar@southville.edu.ph" TargetMode="External"/><Relationship Id="rId686" Type="http://schemas.openxmlformats.org/officeDocument/2006/relationships/hyperlink" Target="mailto:mariza_alimbon@southville.edu.ph" TargetMode="External"/><Relationship Id="rId201" Type="http://schemas.openxmlformats.org/officeDocument/2006/relationships/hyperlink" Target="mailto:ann_delaisla@southville.edu.ph" TargetMode="External"/><Relationship Id="rId443" Type="http://schemas.openxmlformats.org/officeDocument/2006/relationships/hyperlink" Target="mailto:doree_arzadon@southville.edu.ph" TargetMode="External"/><Relationship Id="rId685" Type="http://schemas.openxmlformats.org/officeDocument/2006/relationships/hyperlink" Target="mailto:angelined@southville.edu.ph" TargetMode="External"/><Relationship Id="rId200" Type="http://schemas.openxmlformats.org/officeDocument/2006/relationships/hyperlink" Target="mailto:ramon_ganlim@southville.edu.ph" TargetMode="External"/><Relationship Id="rId442" Type="http://schemas.openxmlformats.org/officeDocument/2006/relationships/hyperlink" Target="mailto:queene_balaoro@southville.edu.ph" TargetMode="External"/><Relationship Id="rId684" Type="http://schemas.openxmlformats.org/officeDocument/2006/relationships/hyperlink" Target="mailto:marites_orcullo@southville.edu.ph" TargetMode="External"/><Relationship Id="rId441" Type="http://schemas.openxmlformats.org/officeDocument/2006/relationships/hyperlink" Target="mailto:voz_andrada@southville.edu.ph" TargetMode="External"/><Relationship Id="rId683" Type="http://schemas.openxmlformats.org/officeDocument/2006/relationships/hyperlink" Target="mailto:angelicae@southville.edu.ph" TargetMode="External"/><Relationship Id="rId437" Type="http://schemas.openxmlformats.org/officeDocument/2006/relationships/hyperlink" Target="mailto:prackie_acaylar@southville.edu.ph" TargetMode="External"/><Relationship Id="rId679" Type="http://schemas.openxmlformats.org/officeDocument/2006/relationships/hyperlink" Target="mailto:ana_alcala@southville.edu.ph" TargetMode="External"/><Relationship Id="rId436" Type="http://schemas.openxmlformats.org/officeDocument/2006/relationships/hyperlink" Target="mailto:virnam@southville.edu.ph" TargetMode="External"/><Relationship Id="rId678" Type="http://schemas.openxmlformats.org/officeDocument/2006/relationships/hyperlink" Target="mailto:marion_adeza@southville.edu.ph" TargetMode="External"/><Relationship Id="rId435" Type="http://schemas.openxmlformats.org/officeDocument/2006/relationships/hyperlink" Target="mailto:dhenjeryl_ibanez@southville.edu.ph" TargetMode="External"/><Relationship Id="rId677" Type="http://schemas.openxmlformats.org/officeDocument/2006/relationships/hyperlink" Target="mailto:amis@southville.edu.ph" TargetMode="External"/><Relationship Id="rId434" Type="http://schemas.openxmlformats.org/officeDocument/2006/relationships/hyperlink" Target="mailto:violetaa@southville.edu.ph" TargetMode="External"/><Relationship Id="rId676" Type="http://schemas.openxmlformats.org/officeDocument/2006/relationships/hyperlink" Target="mailto:marilynt@southville.edu.ph" TargetMode="External"/><Relationship Id="rId439" Type="http://schemas.openxmlformats.org/officeDocument/2006/relationships/hyperlink" Target="mailto:vivian_villa@southville.edu.ph" TargetMode="External"/><Relationship Id="rId438" Type="http://schemas.openxmlformats.org/officeDocument/2006/relationships/hyperlink" Target="mailto:diana_imperio@southville.edu.ph" TargetMode="External"/><Relationship Id="rId671" Type="http://schemas.openxmlformats.org/officeDocument/2006/relationships/hyperlink" Target="mailto:alvin_cana@southville.edu.ph" TargetMode="External"/><Relationship Id="rId670" Type="http://schemas.openxmlformats.org/officeDocument/2006/relationships/hyperlink" Target="mailto:mariel_estanislao@southville.edu.ph" TargetMode="External"/><Relationship Id="rId433" Type="http://schemas.openxmlformats.org/officeDocument/2006/relationships/hyperlink" Target="mailto:desiree_dado@southville.edu.ph" TargetMode="External"/><Relationship Id="rId675" Type="http://schemas.openxmlformats.org/officeDocument/2006/relationships/hyperlink" Target="mailto:am_jimenez@southville.edu.ph" TargetMode="External"/><Relationship Id="rId432" Type="http://schemas.openxmlformats.org/officeDocument/2006/relationships/hyperlink" Target="mailto:villa@southville.edu.ph" TargetMode="External"/><Relationship Id="rId674" Type="http://schemas.openxmlformats.org/officeDocument/2006/relationships/hyperlink" Target="mailto:mariem@southville.edu.ph" TargetMode="External"/><Relationship Id="rId431" Type="http://schemas.openxmlformats.org/officeDocument/2006/relationships/hyperlink" Target="mailto:denissep@southville.edu.ph" TargetMode="External"/><Relationship Id="rId673" Type="http://schemas.openxmlformats.org/officeDocument/2006/relationships/hyperlink" Target="mailto:alvin_santos@southville.edu.ph" TargetMode="External"/><Relationship Id="rId430" Type="http://schemas.openxmlformats.org/officeDocument/2006/relationships/hyperlink" Target="mailto:khristine_santos@southville.edu.ph" TargetMode="External"/><Relationship Id="rId672" Type="http://schemas.openxmlformats.org/officeDocument/2006/relationships/hyperlink" Target="mailto:marielle_galvez@southville.edu.ph"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4" Type="http://schemas.openxmlformats.org/officeDocument/2006/relationships/table" Target="../tables/table3.xml"/><Relationship Id="rId5" Type="http://schemas.openxmlformats.org/officeDocument/2006/relationships/table" Target="../tables/table4.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2.88"/>
    <col customWidth="1" min="2" max="2" width="2.13"/>
    <col customWidth="1" min="3" max="3" width="15.38"/>
    <col customWidth="1" min="4" max="5" width="19.25"/>
    <col customWidth="1" min="6" max="6" width="12.25"/>
    <col customWidth="1" min="7" max="7" width="13.75"/>
    <col customWidth="1" min="8" max="8" width="13.25"/>
    <col customWidth="1" min="9" max="9" width="35.75"/>
    <col customWidth="1" min="10" max="10" width="3.13"/>
    <col customWidth="1" min="11" max="12" width="2.88"/>
    <col customWidth="1" min="13" max="13" width="17.0"/>
    <col customWidth="1" min="14" max="14" width="28.5"/>
    <col customWidth="1" min="15" max="16" width="2.88"/>
  </cols>
  <sheetData>
    <row r="1">
      <c r="A1" s="12"/>
      <c r="B1" s="12"/>
      <c r="C1" s="12"/>
      <c r="D1" s="12"/>
      <c r="E1" s="12"/>
      <c r="F1" s="12"/>
      <c r="G1" s="12"/>
      <c r="H1" s="12"/>
      <c r="I1" s="12"/>
      <c r="J1" s="12"/>
      <c r="K1" s="12"/>
      <c r="L1" s="12"/>
      <c r="M1" s="12"/>
      <c r="N1" s="12"/>
      <c r="O1" s="12"/>
      <c r="P1" s="12"/>
    </row>
    <row r="2">
      <c r="A2" s="12"/>
      <c r="B2" s="16"/>
      <c r="C2" s="18"/>
      <c r="D2" s="18"/>
      <c r="E2" s="18"/>
      <c r="F2" s="18"/>
      <c r="G2" s="18"/>
      <c r="H2" s="18"/>
      <c r="I2" s="18"/>
      <c r="J2" s="22"/>
      <c r="K2" s="12"/>
      <c r="L2" s="12"/>
      <c r="M2" s="12"/>
      <c r="N2" s="12"/>
      <c r="O2" s="12"/>
      <c r="P2" s="12"/>
    </row>
    <row r="3">
      <c r="A3" s="12"/>
      <c r="B3" s="25"/>
      <c r="C3" s="27"/>
      <c r="D3" s="28" t="s">
        <v>5</v>
      </c>
      <c r="J3" s="29"/>
      <c r="K3" s="12"/>
      <c r="L3" s="12"/>
      <c r="M3" s="12"/>
      <c r="N3" s="12"/>
      <c r="O3" s="12"/>
      <c r="P3" s="12"/>
    </row>
    <row r="4">
      <c r="A4" s="12"/>
      <c r="B4" s="25"/>
      <c r="D4" s="31" t="s">
        <v>6</v>
      </c>
      <c r="J4" s="29"/>
      <c r="K4" s="12"/>
      <c r="L4" s="12"/>
      <c r="M4" s="12"/>
      <c r="N4" s="12"/>
      <c r="O4" s="12"/>
      <c r="P4" s="12"/>
    </row>
    <row r="5">
      <c r="A5" s="32"/>
      <c r="B5" s="33"/>
      <c r="C5" s="34"/>
      <c r="D5" s="35"/>
      <c r="E5" s="34"/>
      <c r="F5" s="12"/>
      <c r="G5" s="12"/>
      <c r="H5" s="32"/>
      <c r="I5" s="32"/>
      <c r="J5" s="38"/>
      <c r="K5" s="32"/>
      <c r="L5" s="32"/>
      <c r="M5" s="32"/>
      <c r="N5" s="32"/>
      <c r="O5" s="32"/>
      <c r="P5" s="32"/>
    </row>
    <row r="6">
      <c r="A6" s="12"/>
      <c r="B6" s="25"/>
      <c r="C6" s="39"/>
      <c r="D6" s="12"/>
      <c r="E6" s="12"/>
      <c r="F6" s="12"/>
      <c r="G6" s="12"/>
      <c r="H6" s="12"/>
      <c r="I6" s="12"/>
      <c r="J6" s="29"/>
      <c r="K6" s="12"/>
      <c r="L6" s="12"/>
      <c r="M6" s="12"/>
      <c r="N6" s="12"/>
      <c r="O6" s="12"/>
      <c r="P6" s="12"/>
    </row>
    <row r="7">
      <c r="A7" s="12"/>
      <c r="B7" s="25"/>
      <c r="C7" s="42" t="s">
        <v>9</v>
      </c>
      <c r="D7" s="44">
        <v>44498.0</v>
      </c>
      <c r="E7" s="12"/>
      <c r="F7" s="12"/>
      <c r="G7" s="12"/>
      <c r="H7" s="12"/>
      <c r="I7" s="49"/>
      <c r="J7" s="29"/>
      <c r="K7" s="12"/>
      <c r="L7" s="12"/>
      <c r="M7" s="12"/>
      <c r="N7" s="12"/>
      <c r="O7" s="12"/>
      <c r="P7" s="12"/>
    </row>
    <row r="8" ht="9.75" customHeight="1">
      <c r="A8" s="12"/>
      <c r="B8" s="25"/>
      <c r="C8" s="12"/>
      <c r="D8" s="12"/>
      <c r="E8" s="12"/>
      <c r="F8" s="12"/>
      <c r="G8" s="12"/>
      <c r="H8" s="12"/>
      <c r="I8" s="12"/>
      <c r="J8" s="29"/>
      <c r="K8" s="12"/>
      <c r="L8" s="16"/>
      <c r="M8" s="18"/>
      <c r="N8" s="18"/>
      <c r="O8" s="22"/>
      <c r="P8" s="12"/>
    </row>
    <row r="9">
      <c r="A9" s="12"/>
      <c r="B9" s="25"/>
      <c r="C9" s="39" t="s">
        <v>16</v>
      </c>
      <c r="D9" s="56" t="s">
        <v>17</v>
      </c>
      <c r="E9" s="57"/>
      <c r="F9" s="57"/>
      <c r="G9" s="58"/>
      <c r="H9" s="39" t="s">
        <v>21</v>
      </c>
      <c r="I9" s="62">
        <v>102099.0</v>
      </c>
      <c r="J9" s="29"/>
      <c r="K9" s="12"/>
      <c r="L9" s="25"/>
      <c r="M9" s="31" t="s">
        <v>23</v>
      </c>
      <c r="O9" s="29"/>
      <c r="P9" s="12"/>
    </row>
    <row r="10" ht="6.75" customHeight="1">
      <c r="A10" s="12"/>
      <c r="B10" s="25"/>
      <c r="C10" s="39"/>
      <c r="D10" s="12"/>
      <c r="E10" s="12"/>
      <c r="F10" s="12"/>
      <c r="G10" s="12"/>
      <c r="H10" s="39"/>
      <c r="I10" s="12"/>
      <c r="J10" s="29"/>
      <c r="K10" s="12"/>
      <c r="L10" s="25"/>
      <c r="M10" s="12"/>
      <c r="N10" s="12"/>
      <c r="O10" s="29"/>
      <c r="P10" s="12"/>
    </row>
    <row r="11">
      <c r="A11" s="12"/>
      <c r="B11" s="25"/>
      <c r="C11" s="39" t="s">
        <v>24</v>
      </c>
      <c r="D11" s="63"/>
      <c r="E11" s="64"/>
      <c r="F11" s="64"/>
      <c r="G11" s="65"/>
      <c r="H11" s="39" t="s">
        <v>25</v>
      </c>
      <c r="I11" s="62" t="s">
        <v>26</v>
      </c>
      <c r="J11" s="29"/>
      <c r="K11" s="12"/>
      <c r="L11" s="25"/>
      <c r="M11" s="39" t="s">
        <v>27</v>
      </c>
      <c r="N11" s="66"/>
      <c r="O11" s="29"/>
      <c r="P11" s="12"/>
    </row>
    <row r="12" ht="6.75" customHeight="1">
      <c r="A12" s="12"/>
      <c r="B12" s="25"/>
      <c r="C12" s="39"/>
      <c r="D12" s="67"/>
      <c r="E12" s="67"/>
      <c r="F12" s="67"/>
      <c r="G12" s="67"/>
      <c r="H12" s="39"/>
      <c r="I12" s="12"/>
      <c r="J12" s="29"/>
      <c r="K12" s="12"/>
      <c r="L12" s="25"/>
      <c r="M12" s="12"/>
      <c r="N12" s="12"/>
      <c r="O12" s="29"/>
      <c r="P12" s="12"/>
    </row>
    <row r="13">
      <c r="A13" s="12"/>
      <c r="B13" s="25"/>
      <c r="C13" s="68" t="s">
        <v>28</v>
      </c>
      <c r="D13" s="69" t="str">
        <f>IFERROR(__xludf.DUMMYFUNCTION("IFERROR(FILTER('PRF Details'!D3:D48, 'PRF Details'!A3:A48 = I9))"),"INTERNATIONAL FLAGS ")</f>
        <v>INTERNATIONAL FLAGS </v>
      </c>
      <c r="G13" s="70"/>
      <c r="H13" s="39" t="s">
        <v>30</v>
      </c>
      <c r="I13" s="72"/>
      <c r="J13" s="29"/>
      <c r="K13" s="12"/>
      <c r="L13" s="25"/>
      <c r="M13" s="39" t="s">
        <v>31</v>
      </c>
      <c r="N13" s="66"/>
      <c r="O13" s="29"/>
      <c r="P13" s="12"/>
    </row>
    <row r="14">
      <c r="A14" s="12"/>
      <c r="B14" s="25"/>
      <c r="D14" s="73"/>
      <c r="G14" s="70"/>
      <c r="H14" s="12"/>
      <c r="I14" s="74"/>
      <c r="J14" s="29"/>
      <c r="K14" s="12"/>
      <c r="L14" s="75"/>
      <c r="M14" s="76"/>
      <c r="N14" s="76"/>
      <c r="O14" s="77"/>
      <c r="P14" s="12"/>
    </row>
    <row r="15">
      <c r="A15" s="12"/>
      <c r="B15" s="25"/>
      <c r="D15" s="79"/>
      <c r="E15" s="80"/>
      <c r="F15" s="80"/>
      <c r="G15" s="81"/>
      <c r="H15" s="12"/>
      <c r="I15" s="82"/>
      <c r="J15" s="29"/>
      <c r="K15" s="12"/>
      <c r="L15" s="12"/>
      <c r="M15" s="12"/>
      <c r="N15" s="12"/>
      <c r="O15" s="12"/>
      <c r="P15" s="12"/>
    </row>
    <row r="16">
      <c r="A16" s="12"/>
      <c r="B16" s="25"/>
      <c r="C16" s="12"/>
      <c r="D16" s="12"/>
      <c r="E16" s="12"/>
      <c r="F16" s="12"/>
      <c r="G16" s="12"/>
      <c r="H16" s="12"/>
      <c r="I16" s="12"/>
      <c r="J16" s="29"/>
      <c r="K16" s="12"/>
      <c r="L16" s="12"/>
      <c r="M16" s="12"/>
      <c r="N16" s="12"/>
      <c r="O16" s="12"/>
      <c r="P16" s="12"/>
    </row>
    <row r="17">
      <c r="A17" s="84"/>
      <c r="B17" s="86"/>
      <c r="C17" s="88" t="s">
        <v>34</v>
      </c>
      <c r="D17" s="57"/>
      <c r="E17" s="58"/>
      <c r="F17" s="90" t="s">
        <v>36</v>
      </c>
      <c r="G17" s="90" t="s">
        <v>38</v>
      </c>
      <c r="H17" s="90" t="s">
        <v>39</v>
      </c>
      <c r="I17" s="90" t="s">
        <v>41</v>
      </c>
      <c r="J17" s="91"/>
      <c r="K17" s="84"/>
      <c r="L17" s="84"/>
      <c r="M17" s="84"/>
      <c r="N17" s="84"/>
      <c r="O17" s="84"/>
      <c r="P17" s="84"/>
    </row>
    <row r="18">
      <c r="A18" s="12"/>
      <c r="B18" s="25"/>
      <c r="C18" s="92" t="s">
        <v>43</v>
      </c>
      <c r="D18" s="57"/>
      <c r="E18" s="58"/>
      <c r="F18" s="94">
        <v>5.0</v>
      </c>
      <c r="G18" s="94">
        <v>5.0</v>
      </c>
      <c r="H18" s="94">
        <v>5.0</v>
      </c>
      <c r="I18" s="62"/>
      <c r="J18" s="29"/>
      <c r="K18" s="12"/>
      <c r="L18" s="12"/>
      <c r="M18" s="12"/>
      <c r="N18" s="12"/>
      <c r="O18" s="12"/>
      <c r="P18" s="12"/>
    </row>
    <row r="19">
      <c r="A19" s="12"/>
      <c r="B19" s="25"/>
      <c r="C19" s="92" t="s">
        <v>44</v>
      </c>
      <c r="D19" s="57"/>
      <c r="E19" s="58"/>
      <c r="F19" s="94">
        <v>5.0</v>
      </c>
      <c r="G19" s="94">
        <v>5.0</v>
      </c>
      <c r="H19" s="94">
        <v>5.0</v>
      </c>
      <c r="I19" s="62"/>
      <c r="J19" s="29"/>
      <c r="K19" s="12"/>
      <c r="L19" s="12"/>
      <c r="M19" s="12"/>
      <c r="N19" s="12"/>
      <c r="O19" s="12"/>
      <c r="P19" s="12"/>
    </row>
    <row r="20">
      <c r="A20" s="12"/>
      <c r="B20" s="25"/>
      <c r="C20" s="92" t="s">
        <v>45</v>
      </c>
      <c r="D20" s="57"/>
      <c r="E20" s="58"/>
      <c r="F20" s="94">
        <v>5.0</v>
      </c>
      <c r="G20" s="94">
        <v>5.0</v>
      </c>
      <c r="H20" s="94">
        <v>5.0</v>
      </c>
      <c r="I20" s="62"/>
      <c r="J20" s="29"/>
      <c r="K20" s="12"/>
      <c r="L20" s="12"/>
      <c r="M20" s="12"/>
      <c r="N20" s="12"/>
      <c r="O20" s="12"/>
      <c r="P20" s="12"/>
    </row>
    <row r="21">
      <c r="A21" s="12"/>
      <c r="B21" s="25"/>
      <c r="C21" s="92" t="s">
        <v>47</v>
      </c>
      <c r="D21" s="57"/>
      <c r="E21" s="58"/>
      <c r="F21" s="94">
        <v>5.0</v>
      </c>
      <c r="G21" s="94">
        <v>5.0</v>
      </c>
      <c r="H21" s="94">
        <v>5.0</v>
      </c>
      <c r="I21" s="62"/>
      <c r="J21" s="29"/>
      <c r="K21" s="12"/>
      <c r="L21" s="12"/>
      <c r="M21" s="12"/>
      <c r="N21" s="12"/>
      <c r="O21" s="12"/>
      <c r="P21" s="12"/>
    </row>
    <row r="22">
      <c r="A22" s="12"/>
      <c r="B22" s="25"/>
      <c r="C22" s="92" t="s">
        <v>49</v>
      </c>
      <c r="D22" s="57"/>
      <c r="E22" s="58"/>
      <c r="F22" s="94">
        <v>5.0</v>
      </c>
      <c r="G22" s="99" t="s">
        <v>50</v>
      </c>
      <c r="H22" s="99" t="s">
        <v>50</v>
      </c>
      <c r="I22" s="62"/>
      <c r="J22" s="29"/>
      <c r="K22" s="12"/>
      <c r="L22" s="12"/>
      <c r="M22" s="12"/>
      <c r="N22" s="12"/>
      <c r="O22" s="12"/>
      <c r="P22" s="12"/>
    </row>
    <row r="23" ht="6.0" customHeight="1">
      <c r="A23" s="12"/>
      <c r="B23" s="25"/>
      <c r="C23" s="12"/>
      <c r="D23" s="39"/>
      <c r="E23" s="39"/>
      <c r="F23" s="12"/>
      <c r="G23" s="12"/>
      <c r="H23" s="12"/>
      <c r="I23" s="12"/>
      <c r="J23" s="29"/>
      <c r="K23" s="12"/>
      <c r="L23" s="12"/>
      <c r="M23" s="12"/>
      <c r="N23" s="12"/>
      <c r="O23" s="12"/>
      <c r="P23" s="12"/>
    </row>
    <row r="24">
      <c r="A24" s="12"/>
      <c r="B24" s="25"/>
      <c r="C24" s="12"/>
      <c r="D24" s="12"/>
      <c r="E24" s="39" t="s">
        <v>42</v>
      </c>
      <c r="F24" s="104">
        <f>IFERROR(AVERAGE(F18:F22),"")</f>
        <v>5</v>
      </c>
      <c r="G24" s="104">
        <f t="shared" ref="G24:H24" si="1">IFERROR(AVERAGE(G18:G21),"")</f>
        <v>5</v>
      </c>
      <c r="H24" s="104">
        <f t="shared" si="1"/>
        <v>5</v>
      </c>
      <c r="I24" s="12"/>
      <c r="J24" s="29"/>
      <c r="K24" s="12"/>
      <c r="L24" s="12"/>
      <c r="M24" s="12"/>
      <c r="N24" s="12"/>
      <c r="O24" s="12"/>
      <c r="P24" s="12"/>
    </row>
    <row r="25" ht="6.75" customHeight="1">
      <c r="A25" s="12"/>
      <c r="B25" s="25"/>
      <c r="C25" s="12"/>
      <c r="D25" s="39"/>
      <c r="E25" s="39"/>
      <c r="F25" s="12"/>
      <c r="G25" s="12"/>
      <c r="H25" s="12"/>
      <c r="I25" s="12"/>
      <c r="J25" s="29"/>
      <c r="K25" s="12"/>
      <c r="L25" s="12"/>
      <c r="M25" s="12"/>
      <c r="N25" s="12"/>
      <c r="O25" s="12"/>
      <c r="P25" s="12"/>
    </row>
    <row r="26">
      <c r="A26" s="12"/>
      <c r="B26" s="25"/>
      <c r="C26" s="12"/>
      <c r="D26" s="12"/>
      <c r="E26" s="39" t="s">
        <v>52</v>
      </c>
      <c r="F26" s="106">
        <f>IFERROR(AVERAGE(F24:H24),"")</f>
        <v>5</v>
      </c>
      <c r="G26" s="12"/>
      <c r="H26" s="12"/>
      <c r="I26" s="12"/>
      <c r="J26" s="29"/>
      <c r="K26" s="12"/>
      <c r="L26" s="12"/>
      <c r="M26" s="12"/>
      <c r="N26" s="12"/>
      <c r="O26" s="12"/>
      <c r="P26" s="12"/>
    </row>
    <row r="27">
      <c r="A27" s="12"/>
      <c r="B27" s="25"/>
      <c r="C27" s="12"/>
      <c r="D27" s="12"/>
      <c r="E27" s="12"/>
      <c r="F27" s="12"/>
      <c r="G27" s="12"/>
      <c r="H27" s="12"/>
      <c r="I27" s="12"/>
      <c r="J27" s="29"/>
      <c r="K27" s="12"/>
      <c r="L27" s="12"/>
      <c r="M27" s="12"/>
      <c r="N27" s="12"/>
      <c r="O27" s="12"/>
      <c r="P27" s="12"/>
    </row>
    <row r="28">
      <c r="A28" s="12"/>
      <c r="B28" s="25"/>
      <c r="C28" s="109" t="s">
        <v>54</v>
      </c>
      <c r="D28" s="110"/>
      <c r="E28" s="110"/>
      <c r="F28" s="110"/>
      <c r="G28" s="54"/>
      <c r="H28" s="112"/>
      <c r="I28" s="113" t="s">
        <v>56</v>
      </c>
      <c r="J28" s="29"/>
      <c r="K28" s="12"/>
      <c r="L28" s="12"/>
      <c r="M28" s="12"/>
      <c r="N28" s="12"/>
      <c r="O28" s="12"/>
      <c r="P28" s="12"/>
    </row>
    <row r="29">
      <c r="A29" s="12"/>
      <c r="B29" s="25"/>
      <c r="C29" s="115" t="s">
        <v>57</v>
      </c>
      <c r="D29" s="110"/>
      <c r="E29" s="110"/>
      <c r="F29" s="110"/>
      <c r="G29" s="54"/>
      <c r="H29" s="34"/>
      <c r="I29" s="116" t="s">
        <v>58</v>
      </c>
      <c r="J29" s="29"/>
      <c r="K29" s="12"/>
      <c r="L29" s="12"/>
      <c r="M29" s="12"/>
      <c r="N29" s="12"/>
      <c r="O29" s="12"/>
      <c r="P29" s="12"/>
    </row>
    <row r="30">
      <c r="A30" s="12"/>
      <c r="B30" s="25"/>
      <c r="C30" s="117" t="s">
        <v>59</v>
      </c>
      <c r="D30" s="110"/>
      <c r="E30" s="110"/>
      <c r="F30" s="110"/>
      <c r="G30" s="54"/>
      <c r="H30" s="119"/>
      <c r="I30" s="116" t="s">
        <v>60</v>
      </c>
      <c r="J30" s="29"/>
      <c r="K30" s="12"/>
      <c r="L30" s="12"/>
      <c r="M30" s="12"/>
      <c r="N30" s="12"/>
      <c r="O30" s="12"/>
      <c r="P30" s="12"/>
    </row>
    <row r="31">
      <c r="A31" s="12"/>
      <c r="B31" s="33" t="s">
        <v>62</v>
      </c>
      <c r="C31" s="115" t="s">
        <v>64</v>
      </c>
      <c r="D31" s="110"/>
      <c r="E31" s="110"/>
      <c r="F31" s="110"/>
      <c r="G31" s="54"/>
      <c r="H31" s="34"/>
      <c r="I31" s="116" t="s">
        <v>65</v>
      </c>
      <c r="J31" s="29"/>
      <c r="K31" s="12"/>
      <c r="L31" s="12"/>
      <c r="M31" s="12"/>
      <c r="N31" s="12"/>
      <c r="O31" s="12"/>
      <c r="P31" s="12"/>
    </row>
    <row r="32">
      <c r="A32" s="12"/>
      <c r="B32" s="25"/>
      <c r="C32" s="115" t="s">
        <v>66</v>
      </c>
      <c r="D32" s="110"/>
      <c r="E32" s="110"/>
      <c r="F32" s="110"/>
      <c r="G32" s="54"/>
      <c r="H32" s="34"/>
      <c r="I32" s="116" t="s">
        <v>67</v>
      </c>
      <c r="J32" s="29"/>
      <c r="K32" s="12"/>
      <c r="L32" s="12"/>
      <c r="M32" s="12"/>
      <c r="N32" s="12"/>
      <c r="O32" s="12"/>
      <c r="P32" s="12"/>
    </row>
    <row r="33">
      <c r="A33" s="12"/>
      <c r="B33" s="25"/>
      <c r="C33" s="115" t="s">
        <v>68</v>
      </c>
      <c r="D33" s="110"/>
      <c r="E33" s="110"/>
      <c r="F33" s="110"/>
      <c r="G33" s="54"/>
      <c r="H33" s="34"/>
      <c r="I33" s="116" t="s">
        <v>69</v>
      </c>
      <c r="J33" s="29"/>
      <c r="K33" s="12"/>
      <c r="L33" s="12"/>
      <c r="M33" s="12"/>
      <c r="N33" s="12"/>
      <c r="O33" s="12"/>
      <c r="P33" s="12"/>
    </row>
    <row r="34" ht="6.75" customHeight="1">
      <c r="A34" s="12"/>
      <c r="B34" s="25"/>
      <c r="C34" s="12"/>
      <c r="D34" s="12"/>
      <c r="E34" s="12"/>
      <c r="F34" s="12"/>
      <c r="G34" s="12"/>
      <c r="H34" s="12"/>
      <c r="I34" s="12"/>
      <c r="J34" s="29"/>
      <c r="K34" s="12"/>
      <c r="L34" s="12"/>
      <c r="M34" s="12"/>
      <c r="N34" s="12"/>
      <c r="O34" s="12"/>
      <c r="P34" s="12"/>
    </row>
    <row r="35" ht="12.75" customHeight="1">
      <c r="A35" s="12"/>
      <c r="B35" s="25"/>
      <c r="C35" s="34" t="s">
        <v>70</v>
      </c>
      <c r="D35" s="12"/>
      <c r="E35" s="12"/>
      <c r="F35" s="12"/>
      <c r="G35" s="12"/>
      <c r="H35" s="12"/>
      <c r="I35" s="12"/>
      <c r="J35" s="29"/>
      <c r="K35" s="12"/>
      <c r="L35" s="12"/>
      <c r="M35" s="12"/>
      <c r="N35" s="12"/>
      <c r="O35" s="12"/>
      <c r="P35" s="12"/>
    </row>
    <row r="36">
      <c r="A36" s="12"/>
      <c r="B36" s="25"/>
      <c r="C36" s="12"/>
      <c r="D36" s="12"/>
      <c r="E36" s="12"/>
      <c r="F36" s="12"/>
      <c r="G36" s="12"/>
      <c r="H36" s="12"/>
      <c r="I36" s="12"/>
      <c r="J36" s="29"/>
      <c r="K36" s="12"/>
      <c r="L36" s="12"/>
      <c r="M36" s="12"/>
      <c r="N36" s="12"/>
      <c r="O36" s="12"/>
      <c r="P36" s="12"/>
    </row>
    <row r="37">
      <c r="A37" s="12"/>
      <c r="B37" s="25"/>
      <c r="C37" s="121" t="s">
        <v>71</v>
      </c>
      <c r="D37" s="12"/>
      <c r="E37" s="12"/>
      <c r="F37" s="12"/>
      <c r="G37" s="12"/>
      <c r="H37" s="12"/>
      <c r="I37" s="12"/>
      <c r="J37" s="29"/>
      <c r="K37" s="12"/>
      <c r="L37" s="12"/>
      <c r="M37" s="12"/>
      <c r="N37" s="12"/>
      <c r="O37" s="12"/>
      <c r="P37" s="12"/>
    </row>
    <row r="38">
      <c r="A38" s="12"/>
      <c r="B38" s="25"/>
      <c r="C38" s="76"/>
      <c r="D38" s="122"/>
      <c r="E38" s="12"/>
      <c r="F38" s="12"/>
      <c r="G38" s="12"/>
      <c r="H38" s="12"/>
      <c r="I38" s="12"/>
      <c r="J38" s="29"/>
      <c r="K38" s="12"/>
      <c r="L38" s="12"/>
      <c r="M38" s="12"/>
      <c r="N38" s="12"/>
      <c r="O38" s="12"/>
      <c r="P38" s="12"/>
    </row>
    <row r="39">
      <c r="A39" s="12"/>
      <c r="B39" s="25"/>
      <c r="C39" s="31" t="s">
        <v>46</v>
      </c>
      <c r="E39" s="31"/>
      <c r="F39" s="12"/>
      <c r="G39" s="12"/>
      <c r="H39" s="12"/>
      <c r="I39" s="12"/>
      <c r="J39" s="29"/>
      <c r="K39" s="12"/>
      <c r="L39" s="12"/>
      <c r="M39" s="12"/>
      <c r="N39" s="12"/>
      <c r="O39" s="12"/>
      <c r="P39" s="12"/>
    </row>
    <row r="40">
      <c r="A40" s="12"/>
      <c r="B40" s="25"/>
      <c r="C40" s="12"/>
      <c r="D40" s="12"/>
      <c r="E40" s="12"/>
      <c r="F40" s="12"/>
      <c r="G40" s="12"/>
      <c r="H40" s="12"/>
      <c r="I40" s="12"/>
      <c r="J40" s="29"/>
      <c r="K40" s="12"/>
      <c r="L40" s="12"/>
      <c r="M40" s="12"/>
      <c r="N40" s="12"/>
      <c r="O40" s="12"/>
      <c r="P40" s="12"/>
    </row>
    <row r="41">
      <c r="A41" s="12"/>
      <c r="B41" s="25"/>
      <c r="C41" s="121" t="s">
        <v>74</v>
      </c>
      <c r="D41" s="12"/>
      <c r="E41" s="39" t="s">
        <v>75</v>
      </c>
      <c r="F41" s="12"/>
      <c r="G41" s="12"/>
      <c r="H41" s="39" t="s">
        <v>76</v>
      </c>
      <c r="I41" s="12"/>
      <c r="J41" s="29"/>
      <c r="K41" s="12"/>
      <c r="L41" s="12"/>
      <c r="M41" s="12"/>
      <c r="N41" s="12"/>
      <c r="O41" s="12"/>
      <c r="P41" s="12"/>
    </row>
    <row r="42">
      <c r="A42" s="12"/>
      <c r="B42" s="25"/>
      <c r="C42" s="76"/>
      <c r="D42" s="122"/>
      <c r="E42" s="12"/>
      <c r="F42" s="12"/>
      <c r="H42" s="12"/>
      <c r="I42" s="27" t="s">
        <v>77</v>
      </c>
      <c r="J42" s="29"/>
      <c r="K42" s="12"/>
      <c r="L42" s="12"/>
      <c r="M42" s="12"/>
      <c r="N42" s="12"/>
      <c r="O42" s="12"/>
      <c r="P42" s="12"/>
    </row>
    <row r="43">
      <c r="A43" s="12"/>
      <c r="B43" s="25"/>
      <c r="C43" s="31" t="s">
        <v>78</v>
      </c>
      <c r="E43" s="12"/>
      <c r="F43" s="123" t="s">
        <v>79</v>
      </c>
      <c r="G43" s="124"/>
      <c r="H43" s="12"/>
      <c r="I43" s="123" t="s">
        <v>80</v>
      </c>
      <c r="J43" s="29"/>
      <c r="K43" s="12"/>
      <c r="L43" s="12"/>
      <c r="M43" s="12"/>
      <c r="N43" s="12"/>
      <c r="O43" s="12"/>
      <c r="P43" s="12"/>
    </row>
    <row r="44">
      <c r="A44" s="12"/>
      <c r="B44" s="25"/>
      <c r="C44" s="12"/>
      <c r="D44" s="12"/>
      <c r="E44" s="12"/>
      <c r="F44" s="12"/>
      <c r="G44" s="12"/>
      <c r="H44" s="12"/>
      <c r="I44" s="12"/>
      <c r="J44" s="29"/>
      <c r="K44" s="12"/>
      <c r="L44" s="12"/>
      <c r="M44" s="12"/>
      <c r="N44" s="12"/>
      <c r="O44" s="12"/>
      <c r="P44" s="12"/>
    </row>
    <row r="45">
      <c r="A45" s="12"/>
      <c r="B45" s="25"/>
      <c r="C45" s="12"/>
      <c r="D45" s="12"/>
      <c r="E45" s="12"/>
      <c r="F45" s="12"/>
      <c r="G45" s="12"/>
      <c r="H45" s="12"/>
      <c r="I45" s="12"/>
      <c r="J45" s="29"/>
      <c r="K45" s="12"/>
      <c r="L45" s="12"/>
      <c r="M45" s="12"/>
      <c r="N45" s="12"/>
      <c r="O45" s="12"/>
      <c r="P45" s="12"/>
    </row>
    <row r="46">
      <c r="A46" s="12"/>
      <c r="B46" s="25"/>
      <c r="C46" s="12"/>
      <c r="D46" s="12"/>
      <c r="E46" s="12"/>
      <c r="F46" s="12"/>
      <c r="G46" s="12"/>
      <c r="H46" s="12"/>
      <c r="I46" s="12"/>
      <c r="J46" s="29"/>
      <c r="K46" s="12"/>
      <c r="L46" s="12"/>
      <c r="M46" s="12"/>
      <c r="N46" s="12"/>
      <c r="O46" s="12"/>
      <c r="P46" s="12"/>
    </row>
    <row r="47">
      <c r="A47" s="12"/>
      <c r="B47" s="75"/>
      <c r="C47" s="76"/>
      <c r="D47" s="76"/>
      <c r="E47" s="76"/>
      <c r="F47" s="76"/>
      <c r="G47" s="76"/>
      <c r="H47" s="76"/>
      <c r="I47" s="76"/>
      <c r="J47" s="77"/>
      <c r="K47" s="12"/>
      <c r="L47" s="12"/>
      <c r="M47" s="12"/>
      <c r="N47" s="12"/>
      <c r="O47" s="12"/>
      <c r="P47" s="12"/>
    </row>
    <row r="48">
      <c r="A48" s="12"/>
      <c r="B48" s="12"/>
      <c r="C48" s="12"/>
      <c r="D48" s="12"/>
      <c r="E48" s="12"/>
      <c r="F48" s="12"/>
      <c r="G48" s="12"/>
      <c r="H48" s="12"/>
      <c r="I48" s="12"/>
      <c r="J48" s="12"/>
      <c r="K48" s="12"/>
      <c r="L48" s="12"/>
      <c r="M48" s="12"/>
      <c r="N48" s="12"/>
      <c r="O48" s="12"/>
      <c r="P48" s="12"/>
    </row>
  </sheetData>
  <mergeCells count="27">
    <mergeCell ref="C3:C4"/>
    <mergeCell ref="D3:I3"/>
    <mergeCell ref="D4:I4"/>
    <mergeCell ref="D9:G9"/>
    <mergeCell ref="M9:N9"/>
    <mergeCell ref="D11:G11"/>
    <mergeCell ref="C13:C15"/>
    <mergeCell ref="D13:G15"/>
    <mergeCell ref="I13:I15"/>
    <mergeCell ref="C17:E17"/>
    <mergeCell ref="C18:E18"/>
    <mergeCell ref="C19:E19"/>
    <mergeCell ref="C20:E20"/>
    <mergeCell ref="C21:E21"/>
    <mergeCell ref="C38:D38"/>
    <mergeCell ref="C39:D39"/>
    <mergeCell ref="C42:D42"/>
    <mergeCell ref="F42:G42"/>
    <mergeCell ref="C43:D43"/>
    <mergeCell ref="F43:G43"/>
    <mergeCell ref="C22:E22"/>
    <mergeCell ref="C28:G28"/>
    <mergeCell ref="C29:G29"/>
    <mergeCell ref="C30:G30"/>
    <mergeCell ref="C31:G31"/>
    <mergeCell ref="C32:G32"/>
    <mergeCell ref="C33:G33"/>
  </mergeCells>
  <dataValidations>
    <dataValidation type="custom" allowBlank="1" showDropDown="1" showInputMessage="1" prompt="Enter a valid date" sqref="D6:E7">
      <formula1>OR(NOT(ISERROR(DATEVALUE(D6))), AND(ISNUMBER(D6), LEFT(CELL("format", D6))="D"))</formula1>
    </dataValidation>
    <dataValidation type="list" allowBlank="1" sqref="I7">
      <formula1>DATABASE!$B$3:$B48</formula1>
    </dataValidation>
    <dataValidation type="list" allowBlank="1" sqref="I9">
      <formula1>'PRF Details'!$A$3:$A48</formula1>
    </dataValidation>
    <dataValidation type="list" allowBlank="1" sqref="D9">
      <formula1>DATABASE!$E$3:$E48</formula1>
    </dataValidation>
  </dataValidations>
  <printOptions gridLines="1" horizontalCentered="1"/>
  <pageMargins bottom="0.75" footer="0.0" header="0.0" left="0.7" right="0.7" top="0.75"/>
  <pageSetup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8.13"/>
    <col customWidth="1" min="2" max="2" width="16.88"/>
    <col customWidth="1" min="4" max="4" width="16.5"/>
    <col customWidth="1" min="5" max="5" width="16.75"/>
    <col hidden="1" min="7" max="7" width="12.63"/>
    <col customWidth="1" hidden="1" min="8" max="8" width="19.38"/>
    <col hidden="1" min="9" max="12" width="12.63"/>
  </cols>
  <sheetData>
    <row r="1" ht="33.75" customHeight="1">
      <c r="A1" s="30"/>
      <c r="B1" s="37" t="s">
        <v>7</v>
      </c>
      <c r="C1" s="40">
        <v>2024.0</v>
      </c>
      <c r="D1" s="41" t="s">
        <v>8</v>
      </c>
      <c r="E1" s="46">
        <f>AVERAGE(E9:E103)</f>
        <v>4.661423611</v>
      </c>
      <c r="F1" s="40"/>
      <c r="G1" s="30"/>
      <c r="H1" s="40" t="s">
        <v>11</v>
      </c>
      <c r="I1" s="40" t="s">
        <v>12</v>
      </c>
      <c r="J1" s="40" t="s">
        <v>13</v>
      </c>
      <c r="K1" s="40" t="s">
        <v>14</v>
      </c>
      <c r="M1" s="30"/>
      <c r="N1" s="30"/>
      <c r="O1" s="30"/>
      <c r="P1" s="30"/>
      <c r="Q1" s="30"/>
      <c r="R1" s="30"/>
      <c r="S1" s="30"/>
      <c r="T1" s="30"/>
      <c r="U1" s="30"/>
      <c r="V1" s="30"/>
      <c r="W1" s="30"/>
      <c r="X1" s="30"/>
      <c r="Y1" s="30"/>
      <c r="Z1" s="30"/>
      <c r="AA1" s="30"/>
      <c r="AB1" s="30"/>
    </row>
    <row r="2">
      <c r="A2" s="51"/>
      <c r="B2" s="52"/>
      <c r="C2" s="52"/>
      <c r="D2" s="52"/>
      <c r="E2" s="52"/>
      <c r="F2" s="52"/>
      <c r="G2" s="52"/>
      <c r="H2" s="37" t="s">
        <v>18</v>
      </c>
      <c r="I2" s="40" t="s">
        <v>19</v>
      </c>
      <c r="J2" s="40" t="s">
        <v>20</v>
      </c>
      <c r="K2" s="40">
        <v>2024.0</v>
      </c>
      <c r="M2" s="52"/>
      <c r="N2" s="52"/>
      <c r="O2" s="52"/>
      <c r="P2" s="52"/>
      <c r="Q2" s="52"/>
      <c r="R2" s="52"/>
      <c r="S2" s="52"/>
      <c r="T2" s="52"/>
      <c r="U2" s="52"/>
      <c r="V2" s="52"/>
      <c r="W2" s="52"/>
      <c r="X2" s="52"/>
      <c r="Y2" s="52"/>
      <c r="Z2" s="52"/>
      <c r="AA2" s="52"/>
      <c r="AB2" s="52"/>
    </row>
    <row r="3">
      <c r="A3" s="52"/>
      <c r="B3" s="52"/>
      <c r="C3" s="52"/>
      <c r="D3" s="52"/>
      <c r="E3" s="52"/>
      <c r="F3" s="52"/>
      <c r="G3" s="52"/>
      <c r="H3" s="52"/>
      <c r="I3" s="52"/>
      <c r="J3" s="52"/>
      <c r="K3" s="52"/>
      <c r="M3" s="52"/>
      <c r="N3" s="52"/>
      <c r="O3" s="52"/>
      <c r="P3" s="52"/>
      <c r="Q3" s="52"/>
      <c r="R3" s="52"/>
      <c r="S3" s="52"/>
      <c r="T3" s="52"/>
      <c r="U3" s="52"/>
      <c r="V3" s="52"/>
      <c r="W3" s="52"/>
      <c r="X3" s="52"/>
      <c r="Y3" s="52"/>
      <c r="Z3" s="52"/>
      <c r="AA3" s="52"/>
      <c r="AB3" s="52"/>
    </row>
    <row r="4">
      <c r="A4" s="61" t="s">
        <v>22</v>
      </c>
      <c r="F4" s="52"/>
      <c r="G4" s="52"/>
      <c r="H4" s="52"/>
      <c r="I4" s="52"/>
      <c r="J4" s="52"/>
      <c r="K4" s="52"/>
      <c r="M4" s="52"/>
      <c r="N4" s="52"/>
      <c r="O4" s="52"/>
      <c r="P4" s="52"/>
      <c r="Q4" s="52"/>
      <c r="R4" s="52"/>
      <c r="S4" s="52"/>
      <c r="T4" s="52"/>
      <c r="U4" s="52"/>
      <c r="V4" s="52"/>
      <c r="W4" s="52"/>
      <c r="X4" s="52"/>
      <c r="Y4" s="52"/>
      <c r="Z4" s="52"/>
      <c r="AA4" s="52"/>
      <c r="AB4" s="52"/>
    </row>
    <row r="5">
      <c r="A5" s="52"/>
      <c r="B5" s="52"/>
      <c r="C5" s="52"/>
      <c r="D5" s="52"/>
      <c r="E5" s="52"/>
      <c r="F5" s="52"/>
      <c r="G5" s="52"/>
      <c r="H5" s="52"/>
      <c r="I5" s="52"/>
      <c r="J5" s="52"/>
      <c r="K5" s="52"/>
      <c r="M5" s="52"/>
      <c r="N5" s="52"/>
      <c r="O5" s="52"/>
      <c r="P5" s="52"/>
      <c r="Q5" s="52"/>
      <c r="R5" s="52"/>
      <c r="S5" s="52"/>
      <c r="T5" s="52"/>
      <c r="U5" s="52"/>
      <c r="V5" s="52"/>
      <c r="W5" s="52"/>
      <c r="X5" s="52"/>
      <c r="Y5" s="52"/>
      <c r="Z5" s="52"/>
      <c r="AA5" s="52"/>
      <c r="AB5" s="52"/>
    </row>
    <row r="6">
      <c r="A6" s="52"/>
      <c r="B6" s="52"/>
      <c r="C6" s="52"/>
      <c r="D6" s="52"/>
      <c r="E6" s="52"/>
      <c r="F6" s="52"/>
      <c r="G6" s="52"/>
      <c r="H6" s="52"/>
      <c r="I6" s="52"/>
      <c r="J6" s="52"/>
      <c r="K6" s="52"/>
      <c r="M6" s="52"/>
      <c r="N6" s="52"/>
      <c r="O6" s="52"/>
      <c r="P6" s="52"/>
      <c r="Q6" s="52"/>
      <c r="R6" s="52"/>
      <c r="S6" s="52"/>
      <c r="T6" s="52"/>
      <c r="U6" s="52"/>
      <c r="V6" s="52"/>
      <c r="W6" s="52"/>
      <c r="X6" s="52"/>
      <c r="Y6" s="52"/>
      <c r="Z6" s="52"/>
      <c r="AA6" s="52"/>
      <c r="AB6" s="52"/>
    </row>
    <row r="7">
      <c r="A7" s="52"/>
      <c r="B7" s="52"/>
      <c r="C7" s="52"/>
      <c r="D7" s="41" t="s">
        <v>8</v>
      </c>
      <c r="E7" s="46">
        <f>AVERAGE(E9:E15)</f>
        <v>4.379285714</v>
      </c>
      <c r="F7" s="52"/>
      <c r="G7" s="52"/>
      <c r="H7" s="52"/>
      <c r="I7" s="52"/>
      <c r="J7" s="52"/>
      <c r="K7" s="52"/>
      <c r="L7" s="52"/>
      <c r="M7" s="52"/>
      <c r="N7" s="52"/>
      <c r="O7" s="52"/>
      <c r="P7" s="52"/>
      <c r="Q7" s="52"/>
      <c r="R7" s="52"/>
      <c r="S7" s="52"/>
      <c r="T7" s="52"/>
      <c r="U7" s="52"/>
      <c r="V7" s="52"/>
      <c r="W7" s="52"/>
      <c r="X7" s="52"/>
      <c r="Y7" s="52"/>
      <c r="Z7" s="52"/>
      <c r="AA7" s="52"/>
      <c r="AB7" s="52"/>
    </row>
    <row r="8" ht="22.5" customHeight="1">
      <c r="A8" s="87" t="s">
        <v>32</v>
      </c>
      <c r="B8" s="87" t="s">
        <v>35</v>
      </c>
      <c r="C8" s="87" t="s">
        <v>37</v>
      </c>
      <c r="D8" s="87" t="s">
        <v>40</v>
      </c>
      <c r="E8" s="87" t="s">
        <v>42</v>
      </c>
      <c r="F8" s="93"/>
      <c r="G8" s="87" t="s">
        <v>32</v>
      </c>
      <c r="H8" s="87" t="s">
        <v>35</v>
      </c>
      <c r="I8" s="87" t="s">
        <v>37</v>
      </c>
      <c r="J8" s="87" t="s">
        <v>40</v>
      </c>
      <c r="K8" s="96" t="s">
        <v>46</v>
      </c>
      <c r="L8" s="87" t="s">
        <v>42</v>
      </c>
      <c r="M8" s="100"/>
      <c r="N8" s="100"/>
      <c r="O8" s="100"/>
      <c r="P8" s="100"/>
      <c r="Q8" s="100"/>
      <c r="R8" s="100"/>
      <c r="S8" s="100"/>
      <c r="T8" s="100"/>
      <c r="U8" s="100"/>
      <c r="V8" s="100"/>
      <c r="W8" s="100"/>
      <c r="X8" s="100"/>
      <c r="Y8" s="100"/>
      <c r="Z8" s="100"/>
      <c r="AA8" s="100"/>
      <c r="AB8" s="100"/>
    </row>
    <row r="9" ht="22.5" customHeight="1">
      <c r="A9" s="103">
        <v>1.0</v>
      </c>
      <c r="B9" s="105">
        <f>IFERROR(__xludf.DUMMYFUNCTION("IFERROR(FILTER(DATABASE!A:B, TEXT(DATABASE!D:D, ""MMMM"")=B1, YEAR(DATABASE!D:D)=C1), ""No Data Found"")"),104215.0)</f>
        <v>104215</v>
      </c>
      <c r="C9" s="107" t="str">
        <f>IFERROR(__xludf.DUMMYFUNCTION("""COMPUTED_VALUE"""),"PO31159")</f>
        <v>PO31159</v>
      </c>
      <c r="D9" s="114">
        <f>IFERROR(__xludf.DUMMYFUNCTION("FILTER(DATABASE!D:D, TEXT(DATABASE!D:D, ""MMMM"")=B1, YEAR(DATABASE!D:D)=C1)"),45352.0)</f>
        <v>45352</v>
      </c>
      <c r="E9" s="118">
        <f>IFERROR(__xludf.DUMMYFUNCTION("FILTER(DATABASE!AC:AC, TEXT(DATABASE!D:D, ""MMMM"")=B1, YEAR(DATABASE!D:D)=C1)"),5.0)</f>
        <v>5</v>
      </c>
      <c r="F9" s="52"/>
      <c r="G9" s="103">
        <v>1.0</v>
      </c>
      <c r="H9" s="105"/>
      <c r="I9" s="107"/>
      <c r="J9" s="120"/>
      <c r="K9" s="107"/>
      <c r="L9" s="105"/>
      <c r="M9" s="52"/>
      <c r="N9" s="52"/>
      <c r="O9" s="52"/>
      <c r="P9" s="52"/>
      <c r="Q9" s="52"/>
      <c r="R9" s="52"/>
      <c r="S9" s="52"/>
      <c r="T9" s="52"/>
      <c r="U9" s="52"/>
      <c r="V9" s="52"/>
      <c r="W9" s="52"/>
      <c r="X9" s="52"/>
      <c r="Y9" s="52"/>
      <c r="Z9" s="52"/>
      <c r="AA9" s="52"/>
      <c r="AB9" s="52"/>
    </row>
    <row r="10" ht="22.5" customHeight="1">
      <c r="A10" s="103">
        <v>2.0</v>
      </c>
      <c r="B10" s="105">
        <f>IFERROR(__xludf.DUMMYFUNCTION("""COMPUTED_VALUE"""),104053.0)</f>
        <v>104053</v>
      </c>
      <c r="C10" s="107" t="str">
        <f>IFERROR(__xludf.DUMMYFUNCTION("""COMPUTED_VALUE"""),"PO31185")</f>
        <v>PO31185</v>
      </c>
      <c r="D10" s="114">
        <f>IFERROR(__xludf.DUMMYFUNCTION("""COMPUTED_VALUE"""),45353.0)</f>
        <v>45353</v>
      </c>
      <c r="E10" s="118">
        <f>IFERROR(__xludf.DUMMYFUNCTION("""COMPUTED_VALUE"""),4.575)</f>
        <v>4.575</v>
      </c>
      <c r="F10" s="126"/>
      <c r="G10" s="103">
        <v>2.0</v>
      </c>
      <c r="H10" s="105"/>
      <c r="I10" s="107"/>
      <c r="J10" s="120"/>
      <c r="K10" s="107"/>
      <c r="L10" s="105"/>
      <c r="M10" s="52"/>
      <c r="N10" s="52"/>
      <c r="O10" s="52"/>
      <c r="P10" s="52"/>
      <c r="Q10" s="52"/>
      <c r="R10" s="52"/>
      <c r="S10" s="52"/>
      <c r="T10" s="52"/>
      <c r="U10" s="52"/>
      <c r="V10" s="52"/>
      <c r="W10" s="52"/>
      <c r="X10" s="52"/>
      <c r="Y10" s="52"/>
      <c r="Z10" s="52"/>
      <c r="AA10" s="52"/>
      <c r="AB10" s="52"/>
    </row>
    <row r="11" ht="22.5" customHeight="1">
      <c r="A11" s="103">
        <v>3.0</v>
      </c>
      <c r="B11" s="105">
        <f>IFERROR(__xludf.DUMMYFUNCTION("""COMPUTED_VALUE"""),104230.0)</f>
        <v>104230</v>
      </c>
      <c r="C11" s="107" t="str">
        <f>IFERROR(__xludf.DUMMYFUNCTION("""COMPUTED_VALUE"""),"PO31193")</f>
        <v>PO31193</v>
      </c>
      <c r="D11" s="114">
        <f>IFERROR(__xludf.DUMMYFUNCTION("""COMPUTED_VALUE"""),45355.0)</f>
        <v>45355</v>
      </c>
      <c r="E11" s="118">
        <f>IFERROR(__xludf.DUMMYFUNCTION("""COMPUTED_VALUE"""),4.75)</f>
        <v>4.75</v>
      </c>
      <c r="F11" s="126"/>
      <c r="G11" s="103">
        <v>3.0</v>
      </c>
      <c r="H11" s="105"/>
      <c r="I11" s="107"/>
      <c r="J11" s="120"/>
      <c r="K11" s="107"/>
      <c r="L11" s="105"/>
      <c r="M11" s="52"/>
      <c r="N11" s="52"/>
      <c r="O11" s="52"/>
      <c r="P11" s="52"/>
      <c r="Q11" s="52"/>
      <c r="R11" s="52"/>
      <c r="S11" s="52"/>
      <c r="T11" s="52"/>
      <c r="U11" s="52"/>
      <c r="V11" s="52"/>
      <c r="W11" s="52"/>
      <c r="X11" s="52"/>
      <c r="Y11" s="52"/>
      <c r="Z11" s="52"/>
      <c r="AA11" s="52"/>
      <c r="AB11" s="52"/>
    </row>
    <row r="12" ht="22.5" customHeight="1">
      <c r="A12" s="103">
        <v>4.0</v>
      </c>
      <c r="B12" s="105">
        <f>IFERROR(__xludf.DUMMYFUNCTION("""COMPUTED_VALUE"""),104248.0)</f>
        <v>104248</v>
      </c>
      <c r="C12" s="107" t="str">
        <f>IFERROR(__xludf.DUMMYFUNCTION("""COMPUTED_VALUE"""),"PO31178")</f>
        <v>PO31178</v>
      </c>
      <c r="D12" s="114">
        <f>IFERROR(__xludf.DUMMYFUNCTION("""COMPUTED_VALUE"""),45356.0)</f>
        <v>45356</v>
      </c>
      <c r="E12" s="118">
        <f>IFERROR(__xludf.DUMMYFUNCTION("""COMPUTED_VALUE"""),4.5)</f>
        <v>4.5</v>
      </c>
      <c r="F12" s="126"/>
      <c r="G12" s="103">
        <v>4.0</v>
      </c>
      <c r="H12" s="105"/>
      <c r="I12" s="107"/>
      <c r="J12" s="120"/>
      <c r="K12" s="107"/>
      <c r="L12" s="105"/>
      <c r="M12" s="52"/>
      <c r="N12" s="52"/>
      <c r="O12" s="52"/>
      <c r="P12" s="52"/>
      <c r="Q12" s="52"/>
      <c r="R12" s="52"/>
      <c r="S12" s="52"/>
      <c r="T12" s="52"/>
      <c r="U12" s="52"/>
      <c r="V12" s="52"/>
      <c r="W12" s="52"/>
      <c r="X12" s="52"/>
      <c r="Y12" s="52"/>
      <c r="Z12" s="52"/>
      <c r="AA12" s="52"/>
      <c r="AB12" s="52"/>
    </row>
    <row r="13" ht="22.5" customHeight="1">
      <c r="A13" s="103">
        <v>5.0</v>
      </c>
      <c r="B13" s="105">
        <f>IFERROR(__xludf.DUMMYFUNCTION("""COMPUTED_VALUE"""),104186.0)</f>
        <v>104186</v>
      </c>
      <c r="C13" s="107" t="str">
        <f>IFERROR(__xludf.DUMMYFUNCTION("""COMPUTED_VALUE"""),"PO31179")</f>
        <v>PO31179</v>
      </c>
      <c r="D13" s="114">
        <f>IFERROR(__xludf.DUMMYFUNCTION("""COMPUTED_VALUE"""),45356.0)</f>
        <v>45356</v>
      </c>
      <c r="E13" s="118">
        <f>IFERROR(__xludf.DUMMYFUNCTION("""COMPUTED_VALUE"""),4.496666666666667)</f>
        <v>4.496666667</v>
      </c>
      <c r="F13" s="126"/>
      <c r="G13" s="103">
        <v>5.0</v>
      </c>
      <c r="H13" s="105"/>
      <c r="I13" s="107"/>
      <c r="J13" s="120"/>
      <c r="K13" s="107"/>
      <c r="L13" s="105"/>
      <c r="M13" s="52"/>
      <c r="N13" s="52"/>
      <c r="O13" s="52"/>
      <c r="P13" s="52"/>
      <c r="Q13" s="52"/>
      <c r="R13" s="52"/>
      <c r="S13" s="52"/>
      <c r="T13" s="52"/>
      <c r="U13" s="52"/>
      <c r="V13" s="52"/>
      <c r="W13" s="52"/>
      <c r="X13" s="52"/>
      <c r="Y13" s="52"/>
      <c r="Z13" s="52"/>
      <c r="AA13" s="52"/>
      <c r="AB13" s="52"/>
    </row>
    <row r="14" ht="22.5" customHeight="1">
      <c r="A14" s="103">
        <v>6.0</v>
      </c>
      <c r="B14" s="105">
        <f>IFERROR(__xludf.DUMMYFUNCTION("""COMPUTED_VALUE"""),104102.0)</f>
        <v>104102</v>
      </c>
      <c r="C14" s="107" t="str">
        <f>IFERROR(__xludf.DUMMYFUNCTION("""COMPUTED_VALUE"""),"PO31146")</f>
        <v>PO31146</v>
      </c>
      <c r="D14" s="114">
        <f>IFERROR(__xludf.DUMMYFUNCTION("""COMPUTED_VALUE"""),45356.0)</f>
        <v>45356</v>
      </c>
      <c r="E14" s="118">
        <f>IFERROR(__xludf.DUMMYFUNCTION("""COMPUTED_VALUE"""),3.6666666666666665)</f>
        <v>3.666666667</v>
      </c>
      <c r="F14" s="126"/>
      <c r="G14" s="103">
        <v>6.0</v>
      </c>
      <c r="H14" s="105"/>
      <c r="I14" s="107"/>
      <c r="J14" s="120"/>
      <c r="K14" s="107"/>
      <c r="L14" s="105"/>
      <c r="M14" s="52"/>
      <c r="N14" s="52"/>
      <c r="O14" s="52"/>
      <c r="P14" s="52"/>
      <c r="Q14" s="52"/>
      <c r="R14" s="52"/>
      <c r="S14" s="52"/>
      <c r="T14" s="52"/>
      <c r="U14" s="52"/>
      <c r="V14" s="52"/>
      <c r="W14" s="52"/>
      <c r="X14" s="52"/>
      <c r="Y14" s="52"/>
      <c r="Z14" s="52"/>
      <c r="AA14" s="52"/>
      <c r="AB14" s="52"/>
    </row>
    <row r="15" ht="22.5" customHeight="1">
      <c r="A15" s="103">
        <v>7.0</v>
      </c>
      <c r="B15" s="105">
        <f>IFERROR(__xludf.DUMMYFUNCTION("""COMPUTED_VALUE"""),104102.0)</f>
        <v>104102</v>
      </c>
      <c r="C15" s="107" t="str">
        <f>IFERROR(__xludf.DUMMYFUNCTION("""COMPUTED_VALUE"""),"PO31147")</f>
        <v>PO31147</v>
      </c>
      <c r="D15" s="114">
        <f>IFERROR(__xludf.DUMMYFUNCTION("""COMPUTED_VALUE"""),45356.0)</f>
        <v>45356</v>
      </c>
      <c r="E15" s="118">
        <f>IFERROR(__xludf.DUMMYFUNCTION("""COMPUTED_VALUE"""),3.6666666666666665)</f>
        <v>3.666666667</v>
      </c>
      <c r="F15" s="126"/>
      <c r="G15" s="103">
        <v>7.0</v>
      </c>
      <c r="H15" s="105"/>
      <c r="I15" s="107"/>
      <c r="J15" s="120"/>
      <c r="K15" s="107"/>
      <c r="L15" s="105"/>
      <c r="M15" s="52"/>
      <c r="N15" s="52"/>
      <c r="O15" s="52"/>
      <c r="P15" s="52"/>
      <c r="Q15" s="52"/>
      <c r="R15" s="52"/>
      <c r="S15" s="52"/>
      <c r="T15" s="52"/>
      <c r="U15" s="52"/>
      <c r="V15" s="52"/>
      <c r="W15" s="52"/>
      <c r="X15" s="52"/>
      <c r="Y15" s="52"/>
      <c r="Z15" s="52"/>
      <c r="AA15" s="52"/>
      <c r="AB15" s="52"/>
    </row>
    <row r="16" ht="22.5" customHeight="1">
      <c r="A16" s="103">
        <v>8.0</v>
      </c>
      <c r="B16" s="105">
        <f>IFERROR(__xludf.DUMMYFUNCTION("""COMPUTED_VALUE"""),104179.0)</f>
        <v>104179</v>
      </c>
      <c r="C16" s="107" t="str">
        <f>IFERROR(__xludf.DUMMYFUNCTION("""COMPUTED_VALUE"""),"PO31191")</f>
        <v>PO31191</v>
      </c>
      <c r="D16" s="114">
        <f>IFERROR(__xludf.DUMMYFUNCTION("""COMPUTED_VALUE"""),45357.0)</f>
        <v>45357</v>
      </c>
      <c r="E16" s="118">
        <f>IFERROR(__xludf.DUMMYFUNCTION("""COMPUTED_VALUE"""),4.496666666666667)</f>
        <v>4.496666667</v>
      </c>
      <c r="F16" s="126"/>
      <c r="G16" s="103">
        <v>8.0</v>
      </c>
      <c r="H16" s="105"/>
      <c r="I16" s="107"/>
      <c r="J16" s="120"/>
      <c r="K16" s="107"/>
      <c r="L16" s="105"/>
      <c r="M16" s="52"/>
      <c r="N16" s="52"/>
      <c r="O16" s="52"/>
      <c r="P16" s="52"/>
      <c r="Q16" s="52"/>
      <c r="R16" s="52"/>
      <c r="S16" s="52"/>
      <c r="T16" s="52"/>
      <c r="U16" s="52"/>
      <c r="V16" s="52"/>
      <c r="W16" s="52"/>
      <c r="X16" s="52"/>
      <c r="Y16" s="52"/>
      <c r="Z16" s="52"/>
      <c r="AA16" s="52"/>
      <c r="AB16" s="52"/>
    </row>
    <row r="17" ht="22.5" customHeight="1">
      <c r="A17" s="103">
        <v>9.0</v>
      </c>
      <c r="B17" s="105">
        <f>IFERROR(__xludf.DUMMYFUNCTION("""COMPUTED_VALUE"""),104208.0)</f>
        <v>104208</v>
      </c>
      <c r="C17" s="107" t="str">
        <f>IFERROR(__xludf.DUMMYFUNCTION("""COMPUTED_VALUE"""),"PO31190")</f>
        <v>PO31190</v>
      </c>
      <c r="D17" s="114">
        <f>IFERROR(__xludf.DUMMYFUNCTION("""COMPUTED_VALUE"""),45357.0)</f>
        <v>45357</v>
      </c>
      <c r="E17" s="118">
        <f>IFERROR(__xludf.DUMMYFUNCTION("""COMPUTED_VALUE"""),4.5)</f>
        <v>4.5</v>
      </c>
      <c r="F17" s="126"/>
      <c r="G17" s="103">
        <v>9.0</v>
      </c>
      <c r="H17" s="105"/>
      <c r="I17" s="107"/>
      <c r="J17" s="120"/>
      <c r="K17" s="107"/>
      <c r="L17" s="105"/>
      <c r="M17" s="52"/>
      <c r="N17" s="52"/>
      <c r="O17" s="52"/>
      <c r="P17" s="52"/>
      <c r="Q17" s="52"/>
      <c r="R17" s="52"/>
      <c r="S17" s="52"/>
      <c r="T17" s="52"/>
      <c r="U17" s="52"/>
      <c r="V17" s="52"/>
      <c r="W17" s="52"/>
      <c r="X17" s="52"/>
      <c r="Y17" s="52"/>
      <c r="Z17" s="52"/>
      <c r="AA17" s="52"/>
      <c r="AB17" s="52"/>
    </row>
    <row r="18" ht="22.5" customHeight="1">
      <c r="A18" s="103">
        <v>10.0</v>
      </c>
      <c r="B18" s="105">
        <f>IFERROR(__xludf.DUMMYFUNCTION("""COMPUTED_VALUE"""),104176.0)</f>
        <v>104176</v>
      </c>
      <c r="C18" s="107" t="str">
        <f>IFERROR(__xludf.DUMMYFUNCTION("""COMPUTED_VALUE"""),"PO31155")</f>
        <v>PO31155</v>
      </c>
      <c r="D18" s="114">
        <f>IFERROR(__xludf.DUMMYFUNCTION("""COMPUTED_VALUE"""),45358.0)</f>
        <v>45358</v>
      </c>
      <c r="E18" s="118">
        <f>IFERROR(__xludf.DUMMYFUNCTION("""COMPUTED_VALUE"""),5.0)</f>
        <v>5</v>
      </c>
      <c r="F18" s="126"/>
      <c r="G18" s="103">
        <v>10.0</v>
      </c>
      <c r="H18" s="105"/>
      <c r="I18" s="107"/>
      <c r="J18" s="120"/>
      <c r="K18" s="107"/>
      <c r="L18" s="105"/>
      <c r="M18" s="52"/>
      <c r="N18" s="52"/>
      <c r="O18" s="52"/>
      <c r="P18" s="52"/>
      <c r="Q18" s="52"/>
      <c r="R18" s="52"/>
      <c r="S18" s="52"/>
      <c r="T18" s="52"/>
      <c r="U18" s="52"/>
      <c r="V18" s="52"/>
      <c r="W18" s="52"/>
      <c r="X18" s="52"/>
      <c r="Y18" s="52"/>
      <c r="Z18" s="52"/>
      <c r="AA18" s="52"/>
      <c r="AB18" s="52"/>
    </row>
    <row r="19" ht="22.5" customHeight="1">
      <c r="A19" s="103">
        <v>11.0</v>
      </c>
      <c r="B19" s="105">
        <f>IFERROR(__xludf.DUMMYFUNCTION("""COMPUTED_VALUE"""),104199.0)</f>
        <v>104199</v>
      </c>
      <c r="C19" s="107" t="str">
        <f>IFERROR(__xludf.DUMMYFUNCTION("""COMPUTED_VALUE"""),"PO31173")</f>
        <v>PO31173</v>
      </c>
      <c r="D19" s="137">
        <f>IFERROR(__xludf.DUMMYFUNCTION("""COMPUTED_VALUE"""),45359.0)</f>
        <v>45359</v>
      </c>
      <c r="E19" s="118">
        <f>IFERROR(__xludf.DUMMYFUNCTION("""COMPUTED_VALUE"""),4.5)</f>
        <v>4.5</v>
      </c>
      <c r="F19" s="126"/>
      <c r="G19" s="103">
        <v>11.0</v>
      </c>
      <c r="H19" s="105"/>
      <c r="I19" s="107"/>
      <c r="J19" s="137"/>
      <c r="K19" s="107"/>
      <c r="L19" s="105"/>
      <c r="M19" s="52"/>
      <c r="N19" s="52"/>
      <c r="O19" s="52"/>
      <c r="P19" s="52"/>
      <c r="Q19" s="52"/>
      <c r="R19" s="52"/>
      <c r="S19" s="52"/>
      <c r="T19" s="52"/>
      <c r="U19" s="52"/>
      <c r="V19" s="52"/>
      <c r="W19" s="52"/>
      <c r="X19" s="52"/>
      <c r="Y19" s="52"/>
      <c r="Z19" s="52"/>
      <c r="AA19" s="52"/>
      <c r="AB19" s="52"/>
    </row>
    <row r="20" ht="22.5" customHeight="1">
      <c r="A20" s="103">
        <v>12.0</v>
      </c>
      <c r="B20" s="105">
        <f>IFERROR(__xludf.DUMMYFUNCTION("""COMPUTED_VALUE"""),104178.0)</f>
        <v>104178</v>
      </c>
      <c r="C20" s="107" t="str">
        <f>IFERROR(__xludf.DUMMYFUNCTION("""COMPUTED_VALUE"""),"PO31174")</f>
        <v>PO31174</v>
      </c>
      <c r="D20" s="114">
        <f>IFERROR(__xludf.DUMMYFUNCTION("""COMPUTED_VALUE"""),45359.0)</f>
        <v>45359</v>
      </c>
      <c r="E20" s="118">
        <f>IFERROR(__xludf.DUMMYFUNCTION("""COMPUTED_VALUE"""),4.496666666666667)</f>
        <v>4.496666667</v>
      </c>
      <c r="F20" s="126"/>
      <c r="G20" s="52"/>
      <c r="H20" s="51"/>
      <c r="I20" s="52"/>
      <c r="J20" s="52"/>
      <c r="K20" s="52"/>
      <c r="L20" s="52"/>
      <c r="M20" s="52"/>
      <c r="N20" s="52"/>
      <c r="O20" s="52"/>
      <c r="P20" s="52"/>
      <c r="Q20" s="52"/>
      <c r="R20" s="52"/>
      <c r="S20" s="52"/>
      <c r="T20" s="52"/>
      <c r="U20" s="52"/>
      <c r="V20" s="52"/>
      <c r="W20" s="52"/>
      <c r="X20" s="52"/>
      <c r="Y20" s="52"/>
      <c r="Z20" s="52"/>
      <c r="AA20" s="52"/>
      <c r="AB20" s="52"/>
    </row>
    <row r="21" ht="22.5" customHeight="1">
      <c r="A21" s="103">
        <v>13.0</v>
      </c>
      <c r="B21" s="105">
        <f>IFERROR(__xludf.DUMMYFUNCTION("""COMPUTED_VALUE"""),104300.0)</f>
        <v>104300</v>
      </c>
      <c r="C21" s="107" t="str">
        <f>IFERROR(__xludf.DUMMYFUNCTION("""COMPUTED_VALUE"""),"PO31203")</f>
        <v>PO31203</v>
      </c>
      <c r="D21" s="114">
        <f>IFERROR(__xludf.DUMMYFUNCTION("""COMPUTED_VALUE"""),45360.0)</f>
        <v>45360</v>
      </c>
      <c r="E21" s="118">
        <f>IFERROR(__xludf.DUMMYFUNCTION("""COMPUTED_VALUE"""),4.833333333333333)</f>
        <v>4.833333333</v>
      </c>
      <c r="F21" s="126"/>
      <c r="G21" s="52"/>
      <c r="H21" s="51"/>
      <c r="I21" s="52"/>
      <c r="J21" s="52"/>
      <c r="K21" s="52"/>
      <c r="L21" s="52"/>
      <c r="M21" s="52"/>
      <c r="N21" s="52"/>
      <c r="O21" s="52"/>
      <c r="P21" s="52"/>
      <c r="Q21" s="52"/>
      <c r="R21" s="52"/>
      <c r="S21" s="52"/>
      <c r="T21" s="52"/>
      <c r="U21" s="52"/>
      <c r="V21" s="52"/>
      <c r="W21" s="52"/>
      <c r="X21" s="52"/>
      <c r="Y21" s="52"/>
      <c r="Z21" s="52"/>
      <c r="AA21" s="52"/>
      <c r="AB21" s="52"/>
    </row>
    <row r="22" ht="22.5" customHeight="1">
      <c r="A22" s="103">
        <v>14.0</v>
      </c>
      <c r="B22" s="105">
        <f>IFERROR(__xludf.DUMMYFUNCTION("""COMPUTED_VALUE"""),104261.0)</f>
        <v>104261</v>
      </c>
      <c r="C22" s="107" t="str">
        <f>IFERROR(__xludf.DUMMYFUNCTION("""COMPUTED_VALUE"""),"PO31199")</f>
        <v>PO31199</v>
      </c>
      <c r="D22" s="114">
        <f>IFERROR(__xludf.DUMMYFUNCTION("""COMPUTED_VALUE"""),45360.0)</f>
        <v>45360</v>
      </c>
      <c r="E22" s="118">
        <f>IFERROR(__xludf.DUMMYFUNCTION("""COMPUTED_VALUE"""),5.0)</f>
        <v>5</v>
      </c>
      <c r="F22" s="126"/>
      <c r="G22" s="52"/>
      <c r="H22" s="51"/>
      <c r="I22" s="52"/>
      <c r="J22" s="52"/>
      <c r="K22" s="52"/>
      <c r="L22" s="52"/>
      <c r="M22" s="52"/>
      <c r="N22" s="52"/>
      <c r="O22" s="52"/>
      <c r="P22" s="52"/>
      <c r="Q22" s="52"/>
      <c r="R22" s="52"/>
      <c r="S22" s="52"/>
      <c r="T22" s="52"/>
      <c r="U22" s="52"/>
      <c r="V22" s="52"/>
      <c r="W22" s="52"/>
      <c r="X22" s="52"/>
      <c r="Y22" s="52"/>
      <c r="Z22" s="52"/>
      <c r="AA22" s="52"/>
      <c r="AB22" s="52"/>
    </row>
    <row r="23" ht="22.5" customHeight="1">
      <c r="A23" s="103">
        <v>15.0</v>
      </c>
      <c r="B23" s="105">
        <f>IFERROR(__xludf.DUMMYFUNCTION("""COMPUTED_VALUE"""),104270.0)</f>
        <v>104270</v>
      </c>
      <c r="C23" s="107" t="str">
        <f>IFERROR(__xludf.DUMMYFUNCTION("""COMPUTED_VALUE"""),"PO31211")</f>
        <v>PO31211</v>
      </c>
      <c r="D23" s="114">
        <f>IFERROR(__xludf.DUMMYFUNCTION("""COMPUTED_VALUE"""),45360.0)</f>
        <v>45360</v>
      </c>
      <c r="E23" s="118">
        <f>IFERROR(__xludf.DUMMYFUNCTION("""COMPUTED_VALUE"""),4.75)</f>
        <v>4.75</v>
      </c>
      <c r="F23" s="126"/>
      <c r="G23" s="52"/>
      <c r="H23" s="51"/>
      <c r="I23" s="52"/>
      <c r="J23" s="52"/>
      <c r="K23" s="52"/>
      <c r="L23" s="52"/>
      <c r="M23" s="52"/>
      <c r="N23" s="52"/>
      <c r="O23" s="52"/>
      <c r="P23" s="52"/>
      <c r="Q23" s="52"/>
      <c r="R23" s="52"/>
      <c r="S23" s="52"/>
      <c r="T23" s="52"/>
      <c r="U23" s="52"/>
      <c r="V23" s="52"/>
      <c r="W23" s="52"/>
      <c r="X23" s="52"/>
      <c r="Y23" s="52"/>
      <c r="Z23" s="52"/>
      <c r="AA23" s="52"/>
      <c r="AB23" s="52"/>
    </row>
    <row r="24" ht="22.5" customHeight="1">
      <c r="A24" s="103">
        <v>16.0</v>
      </c>
      <c r="B24" s="105">
        <f>IFERROR(__xludf.DUMMYFUNCTION("""COMPUTED_VALUE"""),104233.0)</f>
        <v>104233</v>
      </c>
      <c r="C24" s="107" t="str">
        <f>IFERROR(__xludf.DUMMYFUNCTION("""COMPUTED_VALUE"""),"PO31192")</f>
        <v>PO31192</v>
      </c>
      <c r="D24" s="114">
        <f>IFERROR(__xludf.DUMMYFUNCTION("""COMPUTED_VALUE"""),45362.0)</f>
        <v>45362</v>
      </c>
      <c r="E24" s="118">
        <f>IFERROR(__xludf.DUMMYFUNCTION("""COMPUTED_VALUE"""),4.75)</f>
        <v>4.75</v>
      </c>
      <c r="F24" s="126"/>
      <c r="G24" s="52"/>
      <c r="H24" s="51"/>
      <c r="I24" s="52"/>
      <c r="J24" s="52"/>
      <c r="K24" s="52"/>
      <c r="L24" s="52"/>
      <c r="M24" s="52"/>
      <c r="N24" s="52"/>
      <c r="O24" s="52"/>
      <c r="P24" s="52"/>
      <c r="Q24" s="52"/>
      <c r="R24" s="52"/>
      <c r="S24" s="52"/>
      <c r="T24" s="52"/>
      <c r="U24" s="52"/>
      <c r="V24" s="52"/>
      <c r="W24" s="52"/>
      <c r="X24" s="52"/>
      <c r="Y24" s="52"/>
      <c r="Z24" s="52"/>
      <c r="AA24" s="52"/>
      <c r="AB24" s="52"/>
    </row>
    <row r="25" ht="22.5" customHeight="1">
      <c r="A25" s="103">
        <v>17.0</v>
      </c>
      <c r="B25" s="105">
        <f>IFERROR(__xludf.DUMMYFUNCTION("""COMPUTED_VALUE"""),104234.0)</f>
        <v>104234</v>
      </c>
      <c r="C25" s="107"/>
      <c r="D25" s="114">
        <f>IFERROR(__xludf.DUMMYFUNCTION("""COMPUTED_VALUE"""),45362.0)</f>
        <v>45362</v>
      </c>
      <c r="E25" s="118">
        <f>IFERROR(__xludf.DUMMYFUNCTION("""COMPUTED_VALUE"""),4.75)</f>
        <v>4.75</v>
      </c>
      <c r="F25" s="126"/>
      <c r="G25" s="52"/>
      <c r="H25" s="52"/>
      <c r="I25" s="52"/>
      <c r="J25" s="52"/>
      <c r="K25" s="52"/>
      <c r="L25" s="52"/>
      <c r="M25" s="52"/>
      <c r="N25" s="52"/>
      <c r="O25" s="52"/>
      <c r="P25" s="52"/>
      <c r="Q25" s="52"/>
      <c r="R25" s="52"/>
      <c r="S25" s="52"/>
      <c r="T25" s="52"/>
      <c r="U25" s="52"/>
      <c r="V25" s="52"/>
      <c r="W25" s="52"/>
      <c r="X25" s="52"/>
      <c r="Y25" s="52"/>
      <c r="Z25" s="52"/>
      <c r="AA25" s="52"/>
      <c r="AB25" s="52"/>
    </row>
    <row r="26" ht="22.5" customHeight="1">
      <c r="A26" s="103">
        <v>18.0</v>
      </c>
      <c r="B26" s="105">
        <f>IFERROR(__xludf.DUMMYFUNCTION("""COMPUTED_VALUE"""),103963.0)</f>
        <v>103963</v>
      </c>
      <c r="C26" s="107" t="str">
        <f>IFERROR(__xludf.DUMMYFUNCTION("""COMPUTED_VALUE"""),"PO31181")</f>
        <v>PO31181</v>
      </c>
      <c r="D26" s="114">
        <f>IFERROR(__xludf.DUMMYFUNCTION("""COMPUTED_VALUE"""),45363.0)</f>
        <v>45363</v>
      </c>
      <c r="E26" s="118">
        <f>IFERROR(__xludf.DUMMYFUNCTION("""COMPUTED_VALUE"""),4.666666666666667)</f>
        <v>4.666666667</v>
      </c>
      <c r="F26" s="126"/>
      <c r="G26" s="52"/>
      <c r="H26" s="52"/>
      <c r="I26" s="52"/>
      <c r="J26" s="52"/>
      <c r="K26" s="52"/>
      <c r="L26" s="52"/>
      <c r="M26" s="52"/>
      <c r="N26" s="52"/>
      <c r="O26" s="52"/>
      <c r="P26" s="52"/>
      <c r="Q26" s="52"/>
      <c r="R26" s="52"/>
      <c r="S26" s="52"/>
      <c r="T26" s="52"/>
      <c r="U26" s="52"/>
      <c r="V26" s="52"/>
      <c r="W26" s="52"/>
      <c r="X26" s="52"/>
      <c r="Y26" s="52"/>
      <c r="Z26" s="52"/>
      <c r="AA26" s="52"/>
      <c r="AB26" s="52"/>
    </row>
    <row r="27" ht="22.5" customHeight="1">
      <c r="A27" s="103">
        <v>19.0</v>
      </c>
      <c r="B27" s="105">
        <f>IFERROR(__xludf.DUMMYFUNCTION("""COMPUTED_VALUE"""),104061.0)</f>
        <v>104061</v>
      </c>
      <c r="C27" s="107" t="str">
        <f>IFERROR(__xludf.DUMMYFUNCTION("""COMPUTED_VALUE"""),"PO31131")</f>
        <v>PO31131</v>
      </c>
      <c r="D27" s="114">
        <f>IFERROR(__xludf.DUMMYFUNCTION("""COMPUTED_VALUE"""),45365.0)</f>
        <v>45365</v>
      </c>
      <c r="E27" s="118">
        <f>IFERROR(__xludf.DUMMYFUNCTION("""COMPUTED_VALUE"""),4.833333333333333)</f>
        <v>4.833333333</v>
      </c>
      <c r="F27" s="126"/>
      <c r="G27" s="52"/>
      <c r="H27" s="52"/>
      <c r="I27" s="52"/>
      <c r="J27" s="52"/>
      <c r="K27" s="52"/>
      <c r="L27" s="52"/>
      <c r="M27" s="52"/>
      <c r="N27" s="52"/>
      <c r="O27" s="52"/>
      <c r="P27" s="52"/>
      <c r="Q27" s="52"/>
      <c r="R27" s="52"/>
      <c r="S27" s="52"/>
      <c r="T27" s="52"/>
      <c r="U27" s="52"/>
      <c r="V27" s="52"/>
      <c r="W27" s="52"/>
      <c r="X27" s="52"/>
      <c r="Y27" s="52"/>
      <c r="Z27" s="52"/>
      <c r="AA27" s="52"/>
      <c r="AB27" s="52"/>
    </row>
    <row r="28" ht="22.5" customHeight="1">
      <c r="A28" s="103">
        <v>20.0</v>
      </c>
      <c r="B28" s="105">
        <f>IFERROR(__xludf.DUMMYFUNCTION("""COMPUTED_VALUE"""),104269.0)</f>
        <v>104269</v>
      </c>
      <c r="C28" s="107" t="str">
        <f>IFERROR(__xludf.DUMMYFUNCTION("""COMPUTED_VALUE"""),"PO31200")</f>
        <v>PO31200</v>
      </c>
      <c r="D28" s="114">
        <f>IFERROR(__xludf.DUMMYFUNCTION("""COMPUTED_VALUE"""),45365.0)</f>
        <v>45365</v>
      </c>
      <c r="E28" s="118">
        <f>IFERROR(__xludf.DUMMYFUNCTION("""COMPUTED_VALUE"""),4.75)</f>
        <v>4.75</v>
      </c>
      <c r="F28" s="126"/>
      <c r="G28" s="52"/>
      <c r="H28" s="52"/>
      <c r="I28" s="52"/>
      <c r="J28" s="52"/>
      <c r="K28" s="52"/>
      <c r="L28" s="52"/>
      <c r="M28" s="52"/>
      <c r="N28" s="52"/>
      <c r="O28" s="52"/>
      <c r="P28" s="52"/>
      <c r="Q28" s="52"/>
      <c r="R28" s="52"/>
      <c r="S28" s="52"/>
      <c r="T28" s="52"/>
      <c r="U28" s="52"/>
      <c r="V28" s="52"/>
      <c r="W28" s="52"/>
      <c r="X28" s="52"/>
      <c r="Y28" s="52"/>
      <c r="Z28" s="52"/>
      <c r="AA28" s="52"/>
      <c r="AB28" s="52"/>
    </row>
    <row r="29" ht="22.5" customHeight="1">
      <c r="A29" s="103">
        <v>21.0</v>
      </c>
      <c r="B29" s="105">
        <f>IFERROR(__xludf.DUMMYFUNCTION("""COMPUTED_VALUE"""),104346.0)</f>
        <v>104346</v>
      </c>
      <c r="C29" s="107" t="str">
        <f>IFERROR(__xludf.DUMMYFUNCTION("""COMPUTED_VALUE"""),"PO31230")</f>
        <v>PO31230</v>
      </c>
      <c r="D29" s="114">
        <f>IFERROR(__xludf.DUMMYFUNCTION("""COMPUTED_VALUE"""),45366.0)</f>
        <v>45366</v>
      </c>
      <c r="E29" s="118">
        <f>IFERROR(__xludf.DUMMYFUNCTION("""COMPUTED_VALUE"""),5.0)</f>
        <v>5</v>
      </c>
      <c r="F29" s="126"/>
      <c r="G29" s="52"/>
      <c r="H29" s="52"/>
      <c r="I29" s="52"/>
      <c r="J29" s="52"/>
      <c r="K29" s="52"/>
      <c r="L29" s="52"/>
      <c r="M29" s="52"/>
      <c r="N29" s="52"/>
      <c r="O29" s="52"/>
      <c r="P29" s="52"/>
      <c r="Q29" s="52"/>
      <c r="R29" s="52"/>
      <c r="S29" s="52"/>
      <c r="T29" s="52"/>
      <c r="U29" s="52"/>
      <c r="V29" s="52"/>
      <c r="W29" s="52"/>
      <c r="X29" s="52"/>
      <c r="Y29" s="52"/>
      <c r="Z29" s="52"/>
      <c r="AA29" s="52"/>
      <c r="AB29" s="52"/>
    </row>
    <row r="30" ht="22.5" customHeight="1">
      <c r="A30" s="103">
        <v>22.0</v>
      </c>
      <c r="B30" s="105">
        <f>IFERROR(__xludf.DUMMYFUNCTION("""COMPUTED_VALUE"""),104271.0)</f>
        <v>104271</v>
      </c>
      <c r="C30" s="107" t="str">
        <f>IFERROR(__xludf.DUMMYFUNCTION("""COMPUTED_VALUE"""),"PO31212")</f>
        <v>PO31212</v>
      </c>
      <c r="D30" s="114">
        <f>IFERROR(__xludf.DUMMYFUNCTION("""COMPUTED_VALUE"""),45366.0)</f>
        <v>45366</v>
      </c>
      <c r="E30" s="118">
        <f>IFERROR(__xludf.DUMMYFUNCTION("""COMPUTED_VALUE"""),4.75)</f>
        <v>4.75</v>
      </c>
      <c r="F30" s="126"/>
      <c r="G30" s="52"/>
      <c r="H30" s="52"/>
      <c r="I30" s="52"/>
      <c r="J30" s="52"/>
      <c r="K30" s="52"/>
      <c r="L30" s="52"/>
      <c r="M30" s="52"/>
      <c r="N30" s="52"/>
      <c r="O30" s="52"/>
      <c r="P30" s="52"/>
      <c r="Q30" s="52"/>
      <c r="R30" s="52"/>
      <c r="S30" s="52"/>
      <c r="T30" s="52"/>
      <c r="U30" s="52"/>
      <c r="V30" s="52"/>
      <c r="W30" s="52"/>
      <c r="X30" s="52"/>
      <c r="Y30" s="52"/>
      <c r="Z30" s="52"/>
      <c r="AA30" s="52"/>
      <c r="AB30" s="52"/>
    </row>
    <row r="31" ht="22.5" customHeight="1">
      <c r="A31" s="103">
        <v>23.0</v>
      </c>
      <c r="B31" s="105">
        <f>IFERROR(__xludf.DUMMYFUNCTION("""COMPUTED_VALUE"""),104272.0)</f>
        <v>104272</v>
      </c>
      <c r="C31" s="107" t="str">
        <f>IFERROR(__xludf.DUMMYFUNCTION("""COMPUTED_VALUE"""),"PO31213")</f>
        <v>PO31213</v>
      </c>
      <c r="D31" s="114">
        <f>IFERROR(__xludf.DUMMYFUNCTION("""COMPUTED_VALUE"""),45366.0)</f>
        <v>45366</v>
      </c>
      <c r="E31" s="118">
        <f>IFERROR(__xludf.DUMMYFUNCTION("""COMPUTED_VALUE"""),4.75)</f>
        <v>4.75</v>
      </c>
      <c r="F31" s="126"/>
      <c r="G31" s="52"/>
      <c r="H31" s="52"/>
      <c r="I31" s="52"/>
      <c r="J31" s="52"/>
      <c r="K31" s="52"/>
      <c r="L31" s="52"/>
      <c r="M31" s="52"/>
      <c r="N31" s="52"/>
      <c r="O31" s="52"/>
      <c r="P31" s="52"/>
      <c r="Q31" s="52"/>
      <c r="R31" s="52"/>
      <c r="S31" s="52"/>
      <c r="T31" s="52"/>
      <c r="U31" s="52"/>
      <c r="V31" s="52"/>
      <c r="W31" s="52"/>
      <c r="X31" s="52"/>
      <c r="Y31" s="52"/>
      <c r="Z31" s="52"/>
      <c r="AA31" s="52"/>
      <c r="AB31" s="52"/>
    </row>
    <row r="32" ht="22.5" customHeight="1">
      <c r="A32" s="103">
        <v>24.0</v>
      </c>
      <c r="B32" s="105">
        <f>IFERROR(__xludf.DUMMYFUNCTION("""COMPUTED_VALUE"""),104283.0)</f>
        <v>104283</v>
      </c>
      <c r="C32" s="107" t="str">
        <f>IFERROR(__xludf.DUMMYFUNCTION("""COMPUTED_VALUE"""),"PO31217")</f>
        <v>PO31217</v>
      </c>
      <c r="D32" s="114">
        <f>IFERROR(__xludf.DUMMYFUNCTION("""COMPUTED_VALUE"""),45367.0)</f>
        <v>45367</v>
      </c>
      <c r="E32" s="118">
        <f>IFERROR(__xludf.DUMMYFUNCTION("""COMPUTED_VALUE"""),4.0)</f>
        <v>4</v>
      </c>
      <c r="F32" s="126"/>
      <c r="G32" s="52"/>
      <c r="H32" s="52"/>
      <c r="I32" s="52"/>
      <c r="J32" s="52"/>
      <c r="K32" s="52"/>
      <c r="L32" s="52"/>
      <c r="M32" s="52"/>
      <c r="N32" s="52"/>
      <c r="O32" s="52"/>
      <c r="P32" s="52"/>
      <c r="Q32" s="52"/>
      <c r="R32" s="52"/>
      <c r="S32" s="52"/>
      <c r="T32" s="52"/>
      <c r="U32" s="52"/>
      <c r="V32" s="52"/>
      <c r="W32" s="52"/>
      <c r="X32" s="52"/>
      <c r="Y32" s="52"/>
      <c r="Z32" s="52"/>
      <c r="AA32" s="52"/>
      <c r="AB32" s="52"/>
    </row>
    <row r="33" ht="22.5" customHeight="1">
      <c r="A33" s="103">
        <v>25.0</v>
      </c>
      <c r="B33" s="105">
        <f>IFERROR(__xludf.DUMMYFUNCTION("""COMPUTED_VALUE"""),104202.0)</f>
        <v>104202</v>
      </c>
      <c r="C33" s="107" t="str">
        <f>IFERROR(__xludf.DUMMYFUNCTION("""COMPUTED_VALUE"""),"PO31241")</f>
        <v>PO31241</v>
      </c>
      <c r="D33" s="114">
        <f>IFERROR(__xludf.DUMMYFUNCTION("""COMPUTED_VALUE"""),45367.0)</f>
        <v>45367</v>
      </c>
      <c r="E33" s="118">
        <f>IFERROR(__xludf.DUMMYFUNCTION("""COMPUTED_VALUE"""),5.0)</f>
        <v>5</v>
      </c>
      <c r="F33" s="126"/>
      <c r="G33" s="52"/>
      <c r="H33" s="52"/>
      <c r="I33" s="52"/>
      <c r="J33" s="52"/>
      <c r="K33" s="52"/>
      <c r="L33" s="52"/>
      <c r="M33" s="52"/>
      <c r="N33" s="52"/>
      <c r="O33" s="52"/>
      <c r="P33" s="52"/>
      <c r="Q33" s="52"/>
      <c r="R33" s="52"/>
      <c r="S33" s="52"/>
      <c r="T33" s="52"/>
      <c r="U33" s="52"/>
      <c r="V33" s="52"/>
      <c r="W33" s="52"/>
      <c r="X33" s="52"/>
      <c r="Y33" s="52"/>
      <c r="Z33" s="52"/>
      <c r="AA33" s="52"/>
      <c r="AB33" s="52"/>
    </row>
    <row r="34" ht="22.5" customHeight="1">
      <c r="A34" s="103">
        <v>26.0</v>
      </c>
      <c r="B34" s="105">
        <f>IFERROR(__xludf.DUMMYFUNCTION("""COMPUTED_VALUE"""),104280.0)</f>
        <v>104280</v>
      </c>
      <c r="C34" s="107" t="str">
        <f>IFERROR(__xludf.DUMMYFUNCTION("""COMPUTED_VALUE"""),"PO31204")</f>
        <v>PO31204</v>
      </c>
      <c r="D34" s="114">
        <f>IFERROR(__xludf.DUMMYFUNCTION("""COMPUTED_VALUE"""),45367.0)</f>
        <v>45367</v>
      </c>
      <c r="E34" s="118">
        <f>IFERROR(__xludf.DUMMYFUNCTION("""COMPUTED_VALUE"""),4.75)</f>
        <v>4.75</v>
      </c>
      <c r="F34" s="126"/>
      <c r="G34" s="52"/>
      <c r="H34" s="52"/>
      <c r="I34" s="52"/>
      <c r="J34" s="52"/>
      <c r="K34" s="52"/>
      <c r="L34" s="52"/>
      <c r="M34" s="52"/>
      <c r="N34" s="52"/>
      <c r="O34" s="52"/>
      <c r="P34" s="52"/>
      <c r="Q34" s="52"/>
      <c r="R34" s="52"/>
      <c r="S34" s="52"/>
      <c r="T34" s="52"/>
      <c r="U34" s="52"/>
      <c r="V34" s="52"/>
      <c r="W34" s="52"/>
      <c r="X34" s="52"/>
      <c r="Y34" s="52"/>
      <c r="Z34" s="52"/>
      <c r="AA34" s="52"/>
      <c r="AB34" s="52"/>
    </row>
    <row r="35" ht="22.5" customHeight="1">
      <c r="A35" s="103">
        <v>27.0</v>
      </c>
      <c r="B35" s="105">
        <f>IFERROR(__xludf.DUMMYFUNCTION("""COMPUTED_VALUE"""),104320.0)</f>
        <v>104320</v>
      </c>
      <c r="C35" s="107" t="str">
        <f>IFERROR(__xludf.DUMMYFUNCTION("""COMPUTED_VALUE"""),"PO#0681")</f>
        <v>PO#0681</v>
      </c>
      <c r="D35" s="114">
        <f>IFERROR(__xludf.DUMMYFUNCTION("""COMPUTED_VALUE"""),45370.0)</f>
        <v>45370</v>
      </c>
      <c r="E35" s="118">
        <f>IFERROR(__xludf.DUMMYFUNCTION("""COMPUTED_VALUE"""),4.3999999999999995)</f>
        <v>4.4</v>
      </c>
      <c r="F35" s="126"/>
      <c r="G35" s="52"/>
      <c r="H35" s="52"/>
      <c r="I35" s="52"/>
      <c r="J35" s="52"/>
      <c r="K35" s="52"/>
      <c r="L35" s="52"/>
      <c r="M35" s="52"/>
      <c r="N35" s="52"/>
      <c r="O35" s="52"/>
      <c r="P35" s="52"/>
      <c r="Q35" s="52"/>
      <c r="R35" s="52"/>
      <c r="S35" s="52"/>
      <c r="T35" s="52"/>
      <c r="U35" s="52"/>
      <c r="V35" s="52"/>
      <c r="W35" s="52"/>
      <c r="X35" s="52"/>
      <c r="Y35" s="52"/>
      <c r="Z35" s="52"/>
      <c r="AA35" s="52"/>
      <c r="AB35" s="52"/>
    </row>
    <row r="36" ht="22.5" customHeight="1">
      <c r="A36" s="103">
        <v>28.0</v>
      </c>
      <c r="B36" s="105">
        <f>IFERROR(__xludf.DUMMYFUNCTION("""COMPUTED_VALUE"""),104299.0)</f>
        <v>104299</v>
      </c>
      <c r="C36" s="107" t="str">
        <f>IFERROR(__xludf.DUMMYFUNCTION("""COMPUTED_VALUE"""),"PO31222")</f>
        <v>PO31222</v>
      </c>
      <c r="D36" s="114">
        <f>IFERROR(__xludf.DUMMYFUNCTION("""COMPUTED_VALUE"""),45370.0)</f>
        <v>45370</v>
      </c>
      <c r="E36" s="118">
        <f>IFERROR(__xludf.DUMMYFUNCTION("""COMPUTED_VALUE"""),4.833333333333333)</f>
        <v>4.833333333</v>
      </c>
      <c r="F36" s="126"/>
      <c r="G36" s="52"/>
      <c r="H36" s="52"/>
      <c r="I36" s="52"/>
      <c r="J36" s="52"/>
      <c r="K36" s="52"/>
      <c r="L36" s="52"/>
      <c r="M36" s="52"/>
      <c r="N36" s="52"/>
      <c r="O36" s="52"/>
      <c r="P36" s="52"/>
      <c r="Q36" s="52"/>
      <c r="R36" s="52"/>
      <c r="S36" s="52"/>
      <c r="T36" s="52"/>
      <c r="U36" s="52"/>
      <c r="V36" s="52"/>
      <c r="W36" s="52"/>
      <c r="X36" s="52"/>
      <c r="Y36" s="52"/>
      <c r="Z36" s="52"/>
      <c r="AA36" s="52"/>
      <c r="AB36" s="52"/>
    </row>
    <row r="37" ht="22.5" customHeight="1">
      <c r="A37" s="103">
        <v>29.0</v>
      </c>
      <c r="B37" s="105">
        <f>IFERROR(__xludf.DUMMYFUNCTION("""COMPUTED_VALUE"""),104263.0)</f>
        <v>104263</v>
      </c>
      <c r="C37" s="107" t="str">
        <f>IFERROR(__xludf.DUMMYFUNCTION("""COMPUTED_VALUE"""),"PO31221")</f>
        <v>PO31221</v>
      </c>
      <c r="D37" s="114">
        <f>IFERROR(__xludf.DUMMYFUNCTION("""COMPUTED_VALUE"""),45370.0)</f>
        <v>45370</v>
      </c>
      <c r="E37" s="118">
        <f>IFERROR(__xludf.DUMMYFUNCTION("""COMPUTED_VALUE"""),4.325)</f>
        <v>4.325</v>
      </c>
      <c r="F37" s="126"/>
      <c r="G37" s="52"/>
      <c r="H37" s="52"/>
      <c r="I37" s="52"/>
      <c r="J37" s="52"/>
      <c r="K37" s="52"/>
      <c r="L37" s="52"/>
      <c r="M37" s="52"/>
      <c r="N37" s="52"/>
      <c r="O37" s="52"/>
      <c r="P37" s="52"/>
      <c r="Q37" s="52"/>
      <c r="R37" s="52"/>
      <c r="S37" s="52"/>
      <c r="T37" s="52"/>
      <c r="U37" s="52"/>
      <c r="V37" s="52"/>
      <c r="W37" s="52"/>
      <c r="X37" s="52"/>
      <c r="Y37" s="52"/>
      <c r="Z37" s="52"/>
      <c r="AA37" s="52"/>
      <c r="AB37" s="52"/>
    </row>
    <row r="38" ht="22.5" customHeight="1">
      <c r="A38" s="103">
        <v>30.0</v>
      </c>
      <c r="B38" s="105">
        <f>IFERROR(__xludf.DUMMYFUNCTION("""COMPUTED_VALUE"""),104335.0)</f>
        <v>104335</v>
      </c>
      <c r="C38" s="107" t="str">
        <f>IFERROR(__xludf.DUMMYFUNCTION("""COMPUTED_VALUE"""),"PO31228")</f>
        <v>PO31228</v>
      </c>
      <c r="D38" s="114">
        <f>IFERROR(__xludf.DUMMYFUNCTION("""COMPUTED_VALUE"""),45370.0)</f>
        <v>45370</v>
      </c>
      <c r="E38" s="118">
        <f>IFERROR(__xludf.DUMMYFUNCTION("""COMPUTED_VALUE"""),4.75)</f>
        <v>4.75</v>
      </c>
      <c r="F38" s="126"/>
      <c r="G38" s="52"/>
      <c r="H38" s="52"/>
      <c r="I38" s="52"/>
      <c r="J38" s="52"/>
      <c r="K38" s="52"/>
      <c r="L38" s="52"/>
      <c r="M38" s="52"/>
      <c r="N38" s="52"/>
      <c r="O38" s="52"/>
      <c r="P38" s="52"/>
      <c r="Q38" s="52"/>
      <c r="R38" s="52"/>
      <c r="S38" s="52"/>
      <c r="T38" s="52"/>
      <c r="U38" s="52"/>
      <c r="V38" s="52"/>
      <c r="W38" s="52"/>
      <c r="X38" s="52"/>
      <c r="Y38" s="52"/>
      <c r="Z38" s="52"/>
      <c r="AA38" s="52"/>
      <c r="AB38" s="52"/>
    </row>
    <row r="39" ht="22.5" customHeight="1">
      <c r="A39" s="103">
        <v>31.0</v>
      </c>
      <c r="B39" s="105">
        <f>IFERROR(__xludf.DUMMYFUNCTION("""COMPUTED_VALUE"""),104274.0)</f>
        <v>104274</v>
      </c>
      <c r="C39" s="107" t="str">
        <f>IFERROR(__xludf.DUMMYFUNCTION("""COMPUTED_VALUE"""),"PO31219")</f>
        <v>PO31219</v>
      </c>
      <c r="D39" s="114">
        <f>IFERROR(__xludf.DUMMYFUNCTION("""COMPUTED_VALUE"""),45373.0)</f>
        <v>45373</v>
      </c>
      <c r="E39" s="118">
        <f>IFERROR(__xludf.DUMMYFUNCTION("""COMPUTED_VALUE"""),4.166666666666667)</f>
        <v>4.166666667</v>
      </c>
      <c r="F39" s="126"/>
      <c r="G39" s="52"/>
      <c r="H39" s="52"/>
      <c r="I39" s="52"/>
      <c r="J39" s="52"/>
      <c r="K39" s="52"/>
      <c r="L39" s="52"/>
      <c r="M39" s="52"/>
      <c r="N39" s="52"/>
      <c r="O39" s="52"/>
      <c r="P39" s="52"/>
      <c r="Q39" s="52"/>
      <c r="R39" s="52"/>
      <c r="S39" s="52"/>
      <c r="T39" s="52"/>
      <c r="U39" s="52"/>
      <c r="V39" s="52"/>
      <c r="W39" s="52"/>
      <c r="X39" s="52"/>
      <c r="Y39" s="52"/>
      <c r="Z39" s="52"/>
      <c r="AA39" s="52"/>
      <c r="AB39" s="52"/>
    </row>
    <row r="40" ht="22.5" customHeight="1">
      <c r="A40" s="103">
        <v>32.0</v>
      </c>
      <c r="B40" s="105">
        <f>IFERROR(__xludf.DUMMYFUNCTION("""COMPUTED_VALUE"""),104266.0)</f>
        <v>104266</v>
      </c>
      <c r="C40" s="107" t="str">
        <f>IFERROR(__xludf.DUMMYFUNCTION("""COMPUTED_VALUE"""),"PO31220")</f>
        <v>PO31220</v>
      </c>
      <c r="D40" s="114">
        <f>IFERROR(__xludf.DUMMYFUNCTION("""COMPUTED_VALUE"""),45373.0)</f>
        <v>45373</v>
      </c>
      <c r="E40" s="118">
        <f>IFERROR(__xludf.DUMMYFUNCTION("""COMPUTED_VALUE"""),4.0)</f>
        <v>4</v>
      </c>
      <c r="F40" s="126"/>
      <c r="G40" s="52"/>
      <c r="H40" s="52"/>
      <c r="I40" s="52"/>
      <c r="J40" s="52"/>
      <c r="K40" s="52"/>
      <c r="L40" s="52"/>
      <c r="M40" s="52"/>
      <c r="N40" s="52"/>
      <c r="O40" s="52"/>
      <c r="P40" s="52"/>
      <c r="Q40" s="52"/>
      <c r="R40" s="52"/>
      <c r="S40" s="52"/>
      <c r="T40" s="52"/>
      <c r="U40" s="52"/>
      <c r="V40" s="52"/>
      <c r="W40" s="52"/>
      <c r="X40" s="52"/>
      <c r="Y40" s="52"/>
      <c r="Z40" s="52"/>
      <c r="AA40" s="52"/>
      <c r="AB40" s="52"/>
    </row>
    <row r="41" ht="22.5" customHeight="1">
      <c r="A41" s="103">
        <v>33.0</v>
      </c>
      <c r="B41" s="105">
        <f>IFERROR(__xludf.DUMMYFUNCTION("""COMPUTED_VALUE"""),104293.0)</f>
        <v>104293</v>
      </c>
      <c r="C41" s="107" t="str">
        <f>IFERROR(__xludf.DUMMYFUNCTION("""COMPUTED_VALUE"""),"PO#0680")</f>
        <v>PO#0680</v>
      </c>
      <c r="D41" s="114">
        <f>IFERROR(__xludf.DUMMYFUNCTION("""COMPUTED_VALUE"""),45373.0)</f>
        <v>45373</v>
      </c>
      <c r="E41" s="118">
        <f>IFERROR(__xludf.DUMMYFUNCTION("""COMPUTED_VALUE"""),4.833333333333333)</f>
        <v>4.833333333</v>
      </c>
      <c r="F41" s="126"/>
      <c r="G41" s="52"/>
      <c r="H41" s="52"/>
      <c r="I41" s="52"/>
      <c r="J41" s="52"/>
      <c r="K41" s="52"/>
      <c r="L41" s="52"/>
      <c r="M41" s="52"/>
      <c r="N41" s="52"/>
      <c r="O41" s="52"/>
      <c r="P41" s="52"/>
      <c r="Q41" s="52"/>
      <c r="R41" s="52"/>
      <c r="S41" s="52"/>
      <c r="T41" s="52"/>
      <c r="U41" s="52"/>
      <c r="V41" s="52"/>
      <c r="W41" s="52"/>
      <c r="X41" s="52"/>
      <c r="Y41" s="52"/>
      <c r="Z41" s="52"/>
      <c r="AA41" s="52"/>
      <c r="AB41" s="52"/>
    </row>
    <row r="42" ht="22.5" customHeight="1">
      <c r="A42" s="103">
        <v>34.0</v>
      </c>
      <c r="B42" s="105">
        <f>IFERROR(__xludf.DUMMYFUNCTION("""COMPUTED_VALUE"""),104332.0)</f>
        <v>104332</v>
      </c>
      <c r="C42" s="107" t="str">
        <f>IFERROR(__xludf.DUMMYFUNCTION("""COMPUTED_VALUE"""),"PO31229")</f>
        <v>PO31229</v>
      </c>
      <c r="D42" s="114">
        <f>IFERROR(__xludf.DUMMYFUNCTION("""COMPUTED_VALUE"""),45373.0)</f>
        <v>45373</v>
      </c>
      <c r="E42" s="118">
        <f>IFERROR(__xludf.DUMMYFUNCTION("""COMPUTED_VALUE"""),4.75)</f>
        <v>4.75</v>
      </c>
      <c r="F42" s="126"/>
      <c r="G42" s="52"/>
      <c r="H42" s="52"/>
      <c r="I42" s="52"/>
      <c r="J42" s="52"/>
      <c r="K42" s="52"/>
      <c r="L42" s="52"/>
      <c r="M42" s="52"/>
      <c r="N42" s="52"/>
      <c r="O42" s="52"/>
      <c r="P42" s="52"/>
      <c r="Q42" s="52"/>
      <c r="R42" s="52"/>
      <c r="S42" s="52"/>
      <c r="T42" s="52"/>
      <c r="U42" s="52"/>
      <c r="V42" s="52"/>
      <c r="W42" s="52"/>
      <c r="X42" s="52"/>
      <c r="Y42" s="52"/>
      <c r="Z42" s="52"/>
      <c r="AA42" s="52"/>
      <c r="AB42" s="52"/>
    </row>
    <row r="43" ht="22.5" customHeight="1">
      <c r="A43" s="103">
        <v>35.0</v>
      </c>
      <c r="B43" s="105">
        <f>IFERROR(__xludf.DUMMYFUNCTION("""COMPUTED_VALUE"""),104313.0)</f>
        <v>104313</v>
      </c>
      <c r="C43" s="107" t="str">
        <f>IFERROR(__xludf.DUMMYFUNCTION("""COMPUTED_VALUE"""),"PO31245")</f>
        <v>PO31245</v>
      </c>
      <c r="D43" s="114">
        <f>IFERROR(__xludf.DUMMYFUNCTION("""COMPUTED_VALUE"""),45374.0)</f>
        <v>45374</v>
      </c>
      <c r="E43" s="118">
        <f>IFERROR(__xludf.DUMMYFUNCTION("""COMPUTED_VALUE"""),4.3999999999999995)</f>
        <v>4.4</v>
      </c>
      <c r="F43" s="126"/>
      <c r="G43" s="52"/>
      <c r="H43" s="52"/>
      <c r="I43" s="52"/>
      <c r="J43" s="52"/>
      <c r="K43" s="52"/>
      <c r="L43" s="52"/>
      <c r="M43" s="52"/>
      <c r="N43" s="52"/>
      <c r="O43" s="52"/>
      <c r="P43" s="52"/>
      <c r="Q43" s="52"/>
      <c r="R43" s="52"/>
      <c r="S43" s="52"/>
      <c r="T43" s="52"/>
      <c r="U43" s="52"/>
      <c r="V43" s="52"/>
      <c r="W43" s="52"/>
      <c r="X43" s="52"/>
      <c r="Y43" s="52"/>
      <c r="Z43" s="52"/>
      <c r="AA43" s="52"/>
      <c r="AB43" s="52"/>
    </row>
    <row r="44" ht="22.5" customHeight="1">
      <c r="A44" s="103">
        <v>36.0</v>
      </c>
      <c r="B44" s="105">
        <f>IFERROR(__xludf.DUMMYFUNCTION("""COMPUTED_VALUE"""),104308.0)</f>
        <v>104308</v>
      </c>
      <c r="C44" s="107" t="str">
        <f>IFERROR(__xludf.DUMMYFUNCTION("""COMPUTED_VALUE"""),"PO31244")</f>
        <v>PO31244</v>
      </c>
      <c r="D44" s="114">
        <f>IFERROR(__xludf.DUMMYFUNCTION("""COMPUTED_VALUE"""),45374.0)</f>
        <v>45374</v>
      </c>
      <c r="E44" s="118">
        <f>IFERROR(__xludf.DUMMYFUNCTION("""COMPUTED_VALUE"""),4.5)</f>
        <v>4.5</v>
      </c>
      <c r="F44" s="126"/>
      <c r="G44" s="52"/>
      <c r="H44" s="52"/>
      <c r="I44" s="52"/>
      <c r="J44" s="52"/>
      <c r="K44" s="52"/>
      <c r="L44" s="52"/>
      <c r="M44" s="52"/>
      <c r="N44" s="52"/>
      <c r="O44" s="52"/>
      <c r="P44" s="52"/>
      <c r="Q44" s="52"/>
      <c r="R44" s="52"/>
      <c r="S44" s="52"/>
      <c r="T44" s="52"/>
      <c r="U44" s="52"/>
      <c r="V44" s="52"/>
      <c r="W44" s="52"/>
      <c r="X44" s="52"/>
      <c r="Y44" s="52"/>
      <c r="Z44" s="52"/>
      <c r="AA44" s="52"/>
      <c r="AB44" s="52"/>
    </row>
    <row r="45" ht="22.5" customHeight="1">
      <c r="A45" s="103">
        <v>37.0</v>
      </c>
      <c r="B45" s="105">
        <f>IFERROR(__xludf.DUMMYFUNCTION("""COMPUTED_VALUE"""),104308.0)</f>
        <v>104308</v>
      </c>
      <c r="C45" s="107" t="str">
        <f>IFERROR(__xludf.DUMMYFUNCTION("""COMPUTED_VALUE"""),"PO31243")</f>
        <v>PO31243</v>
      </c>
      <c r="D45" s="114">
        <f>IFERROR(__xludf.DUMMYFUNCTION("""COMPUTED_VALUE"""),45376.0)</f>
        <v>45376</v>
      </c>
      <c r="E45" s="118">
        <f>IFERROR(__xludf.DUMMYFUNCTION("""COMPUTED_VALUE"""),4.833333333333333)</f>
        <v>4.833333333</v>
      </c>
      <c r="F45" s="126"/>
      <c r="G45" s="52"/>
      <c r="H45" s="52"/>
      <c r="I45" s="52"/>
      <c r="J45" s="52"/>
      <c r="K45" s="52"/>
      <c r="L45" s="52"/>
      <c r="M45" s="52"/>
      <c r="N45" s="52"/>
      <c r="O45" s="52"/>
      <c r="P45" s="52"/>
      <c r="Q45" s="52"/>
      <c r="R45" s="52"/>
      <c r="S45" s="52"/>
      <c r="T45" s="52"/>
      <c r="U45" s="52"/>
      <c r="V45" s="52"/>
      <c r="W45" s="52"/>
      <c r="X45" s="52"/>
      <c r="Y45" s="52"/>
      <c r="Z45" s="52"/>
      <c r="AA45" s="52"/>
      <c r="AB45" s="52"/>
    </row>
    <row r="46" ht="22.5" customHeight="1">
      <c r="A46" s="103">
        <v>38.0</v>
      </c>
      <c r="B46" s="105">
        <f>IFERROR(__xludf.DUMMYFUNCTION("""COMPUTED_VALUE"""),104357.0)</f>
        <v>104357</v>
      </c>
      <c r="C46" s="107" t="str">
        <f>IFERROR(__xludf.DUMMYFUNCTION("""COMPUTED_VALUE"""),"PO#0687")</f>
        <v>PO#0687</v>
      </c>
      <c r="D46" s="114">
        <f>IFERROR(__xludf.DUMMYFUNCTION("""COMPUTED_VALUE"""),45377.0)</f>
        <v>45377</v>
      </c>
      <c r="E46" s="118">
        <f>IFERROR(__xludf.DUMMYFUNCTION("""COMPUTED_VALUE"""),4.475)</f>
        <v>4.475</v>
      </c>
      <c r="F46" s="126"/>
      <c r="G46" s="52"/>
      <c r="H46" s="52"/>
      <c r="I46" s="52"/>
      <c r="J46" s="52"/>
      <c r="K46" s="52"/>
      <c r="L46" s="52"/>
      <c r="M46" s="52"/>
      <c r="N46" s="52"/>
      <c r="O46" s="52"/>
      <c r="P46" s="52"/>
      <c r="Q46" s="52"/>
      <c r="R46" s="52"/>
      <c r="S46" s="52"/>
      <c r="T46" s="52"/>
      <c r="U46" s="52"/>
      <c r="V46" s="52"/>
      <c r="W46" s="52"/>
      <c r="X46" s="52"/>
      <c r="Y46" s="52"/>
      <c r="Z46" s="52"/>
      <c r="AA46" s="52"/>
      <c r="AB46" s="52"/>
    </row>
    <row r="47" ht="22.5" customHeight="1">
      <c r="A47" s="103">
        <v>39.0</v>
      </c>
      <c r="B47" s="105">
        <f>IFERROR(__xludf.DUMMYFUNCTION("""COMPUTED_VALUE"""),104369.0)</f>
        <v>104369</v>
      </c>
      <c r="C47" s="107" t="str">
        <f>IFERROR(__xludf.DUMMYFUNCTION("""COMPUTED_VALUE"""),"PO#0685")</f>
        <v>PO#0685</v>
      </c>
      <c r="D47" s="114">
        <f>IFERROR(__xludf.DUMMYFUNCTION("""COMPUTED_VALUE"""),45377.0)</f>
        <v>45377</v>
      </c>
      <c r="E47" s="118">
        <f>IFERROR(__xludf.DUMMYFUNCTION("""COMPUTED_VALUE"""),4.833333333333333)</f>
        <v>4.833333333</v>
      </c>
      <c r="F47" s="126"/>
      <c r="G47" s="52"/>
      <c r="H47" s="52"/>
      <c r="I47" s="52"/>
      <c r="J47" s="52"/>
      <c r="K47" s="52"/>
      <c r="L47" s="52"/>
      <c r="M47" s="52"/>
      <c r="N47" s="52"/>
      <c r="O47" s="52"/>
      <c r="P47" s="52"/>
      <c r="Q47" s="52"/>
      <c r="R47" s="52"/>
      <c r="S47" s="52"/>
      <c r="T47" s="52"/>
      <c r="U47" s="52"/>
      <c r="V47" s="52"/>
      <c r="W47" s="52"/>
      <c r="X47" s="52"/>
      <c r="Y47" s="52"/>
      <c r="Z47" s="52"/>
      <c r="AA47" s="52"/>
      <c r="AB47" s="52"/>
    </row>
    <row r="48" ht="22.5" customHeight="1">
      <c r="A48" s="103">
        <v>40.0</v>
      </c>
      <c r="B48" s="105">
        <f>IFERROR(__xludf.DUMMYFUNCTION("""COMPUTED_VALUE"""),104331.0)</f>
        <v>104331</v>
      </c>
      <c r="C48" s="107" t="str">
        <f>IFERROR(__xludf.DUMMYFUNCTION("""COMPUTED_VALUE"""),"PO31242")</f>
        <v>PO31242</v>
      </c>
      <c r="D48" s="114">
        <f>IFERROR(__xludf.DUMMYFUNCTION("""COMPUTED_VALUE"""),45377.0)</f>
        <v>45377</v>
      </c>
      <c r="E48" s="118">
        <f>IFERROR(__xludf.DUMMYFUNCTION("""COMPUTED_VALUE"""),4.75)</f>
        <v>4.75</v>
      </c>
      <c r="F48" s="126"/>
      <c r="G48" s="52"/>
      <c r="H48" s="52"/>
      <c r="I48" s="52"/>
      <c r="J48" s="52"/>
      <c r="K48" s="52"/>
      <c r="L48" s="52"/>
      <c r="M48" s="52"/>
      <c r="N48" s="52"/>
      <c r="O48" s="52"/>
      <c r="P48" s="52"/>
      <c r="Q48" s="52"/>
      <c r="R48" s="52"/>
      <c r="S48" s="52"/>
      <c r="T48" s="52"/>
      <c r="U48" s="52"/>
      <c r="V48" s="52"/>
      <c r="W48" s="52"/>
      <c r="X48" s="52"/>
      <c r="Y48" s="52"/>
      <c r="Z48" s="52"/>
      <c r="AA48" s="52"/>
      <c r="AB48" s="52"/>
    </row>
    <row r="49" ht="22.5" customHeight="1">
      <c r="A49" s="103">
        <v>41.0</v>
      </c>
      <c r="B49" s="105">
        <f>IFERROR(__xludf.DUMMYFUNCTION("""COMPUTED_VALUE"""),104373.0)</f>
        <v>104373</v>
      </c>
      <c r="C49" s="107" t="str">
        <f>IFERROR(__xludf.DUMMYFUNCTION("""COMPUTED_VALUE"""),"PO#0686")</f>
        <v>PO#0686</v>
      </c>
      <c r="D49" s="114">
        <f>IFERROR(__xludf.DUMMYFUNCTION("""COMPUTED_VALUE"""),45377.0)</f>
        <v>45377</v>
      </c>
      <c r="E49" s="118">
        <f>IFERROR(__xludf.DUMMYFUNCTION("""COMPUTED_VALUE"""),4.833333333333333)</f>
        <v>4.833333333</v>
      </c>
      <c r="F49" s="126"/>
      <c r="G49" s="52"/>
      <c r="H49" s="52"/>
      <c r="I49" s="52"/>
      <c r="J49" s="52"/>
      <c r="K49" s="52"/>
      <c r="L49" s="52"/>
      <c r="M49" s="52"/>
      <c r="N49" s="52"/>
      <c r="O49" s="52"/>
      <c r="P49" s="52"/>
      <c r="Q49" s="52"/>
      <c r="R49" s="52"/>
      <c r="S49" s="52"/>
      <c r="T49" s="52"/>
      <c r="U49" s="52"/>
      <c r="V49" s="52"/>
      <c r="W49" s="52"/>
      <c r="X49" s="52"/>
      <c r="Y49" s="52"/>
      <c r="Z49" s="52"/>
      <c r="AA49" s="52"/>
      <c r="AB49" s="52"/>
    </row>
    <row r="50" ht="22.5" customHeight="1">
      <c r="A50" s="103">
        <v>42.0</v>
      </c>
      <c r="B50" s="105">
        <f>IFERROR(__xludf.DUMMYFUNCTION("""COMPUTED_VALUE"""),104295.0)</f>
        <v>104295</v>
      </c>
      <c r="C50" s="107" t="str">
        <f>IFERROR(__xludf.DUMMYFUNCTION("""COMPUTED_VALUE"""),"PO31207")</f>
        <v>PO31207</v>
      </c>
      <c r="D50" s="114">
        <f>IFERROR(__xludf.DUMMYFUNCTION("""COMPUTED_VALUE"""),45379.0)</f>
        <v>45379</v>
      </c>
      <c r="E50" s="118">
        <f>IFERROR(__xludf.DUMMYFUNCTION("""COMPUTED_VALUE"""),4.833333333333333)</f>
        <v>4.833333333</v>
      </c>
      <c r="F50" s="126"/>
      <c r="G50" s="52"/>
      <c r="H50" s="52"/>
      <c r="I50" s="52"/>
      <c r="J50" s="52"/>
      <c r="K50" s="52"/>
      <c r="L50" s="52"/>
      <c r="M50" s="52"/>
      <c r="N50" s="52"/>
      <c r="O50" s="52"/>
      <c r="P50" s="52"/>
      <c r="Q50" s="52"/>
      <c r="R50" s="52"/>
      <c r="S50" s="52"/>
      <c r="T50" s="52"/>
      <c r="U50" s="52"/>
      <c r="V50" s="52"/>
      <c r="W50" s="52"/>
      <c r="X50" s="52"/>
      <c r="Y50" s="52"/>
      <c r="Z50" s="52"/>
      <c r="AA50" s="52"/>
      <c r="AB50" s="52"/>
    </row>
    <row r="51" ht="22.5" customHeight="1">
      <c r="A51" s="103">
        <v>43.0</v>
      </c>
      <c r="B51" s="105">
        <f>IFERROR(__xludf.DUMMYFUNCTION("""COMPUTED_VALUE"""),104157.0)</f>
        <v>104157</v>
      </c>
      <c r="C51" s="107"/>
      <c r="D51" s="114">
        <f>IFERROR(__xludf.DUMMYFUNCTION("""COMPUTED_VALUE"""),45380.0)</f>
        <v>45380</v>
      </c>
      <c r="E51" s="118">
        <f>IFERROR(__xludf.DUMMYFUNCTION("""COMPUTED_VALUE"""),5.0)</f>
        <v>5</v>
      </c>
      <c r="F51" s="126"/>
      <c r="G51" s="52"/>
      <c r="H51" s="52"/>
      <c r="I51" s="52"/>
      <c r="J51" s="52"/>
      <c r="K51" s="52"/>
      <c r="L51" s="52"/>
      <c r="M51" s="52"/>
      <c r="N51" s="52"/>
      <c r="O51" s="52"/>
      <c r="P51" s="52"/>
      <c r="Q51" s="52"/>
      <c r="R51" s="52"/>
      <c r="S51" s="52"/>
      <c r="T51" s="52"/>
      <c r="U51" s="52"/>
      <c r="V51" s="52"/>
      <c r="W51" s="52"/>
      <c r="X51" s="52"/>
      <c r="Y51" s="52"/>
      <c r="Z51" s="52"/>
      <c r="AA51" s="52"/>
      <c r="AB51" s="52"/>
    </row>
    <row r="52" ht="22.5" customHeight="1">
      <c r="A52" s="103">
        <v>44.0</v>
      </c>
      <c r="B52" s="105">
        <f>IFERROR(__xludf.DUMMYFUNCTION("""COMPUTED_VALUE"""),104157.0)</f>
        <v>104157</v>
      </c>
      <c r="C52" s="107" t="str">
        <f>IFERROR(__xludf.DUMMYFUNCTION("""COMPUTED_VALUE"""),"PO31214")</f>
        <v>PO31214</v>
      </c>
      <c r="D52" s="114">
        <f>IFERROR(__xludf.DUMMYFUNCTION("""COMPUTED_VALUE"""),45380.0)</f>
        <v>45380</v>
      </c>
      <c r="E52" s="118">
        <f>IFERROR(__xludf.DUMMYFUNCTION("""COMPUTED_VALUE"""),5.0)</f>
        <v>5</v>
      </c>
      <c r="F52" s="126"/>
      <c r="G52" s="52"/>
      <c r="H52" s="52"/>
      <c r="I52" s="52"/>
      <c r="J52" s="52"/>
      <c r="K52" s="52"/>
      <c r="L52" s="52"/>
      <c r="M52" s="52"/>
      <c r="N52" s="52"/>
      <c r="O52" s="52"/>
      <c r="P52" s="52"/>
      <c r="Q52" s="52"/>
      <c r="R52" s="52"/>
      <c r="S52" s="52"/>
      <c r="T52" s="52"/>
      <c r="U52" s="52"/>
      <c r="V52" s="52"/>
      <c r="W52" s="52"/>
      <c r="X52" s="52"/>
      <c r="Y52" s="52"/>
      <c r="Z52" s="52"/>
      <c r="AA52" s="52"/>
      <c r="AB52" s="52"/>
    </row>
    <row r="53" ht="22.5" customHeight="1">
      <c r="A53" s="103">
        <v>45.0</v>
      </c>
      <c r="B53" s="105">
        <f>IFERROR(__xludf.DUMMYFUNCTION("""COMPUTED_VALUE"""),104044.0)</f>
        <v>104044</v>
      </c>
      <c r="C53" s="107" t="str">
        <f>IFERROR(__xludf.DUMMYFUNCTION("""COMPUTED_VALUE"""),"PO31150")</f>
        <v>PO31150</v>
      </c>
      <c r="D53" s="114">
        <f>IFERROR(__xludf.DUMMYFUNCTION("""COMPUTED_VALUE"""),45352.0)</f>
        <v>45352</v>
      </c>
      <c r="E53" s="118">
        <f>IFERROR(__xludf.DUMMYFUNCTION("""COMPUTED_VALUE"""),5.0)</f>
        <v>5</v>
      </c>
      <c r="F53" s="126"/>
      <c r="G53" s="52"/>
      <c r="H53" s="52"/>
      <c r="I53" s="52"/>
      <c r="J53" s="52"/>
      <c r="K53" s="52"/>
      <c r="L53" s="52"/>
      <c r="M53" s="52"/>
      <c r="N53" s="52"/>
      <c r="O53" s="52"/>
      <c r="P53" s="52"/>
      <c r="Q53" s="52"/>
      <c r="R53" s="52"/>
      <c r="S53" s="52"/>
      <c r="T53" s="52"/>
      <c r="U53" s="52"/>
      <c r="V53" s="52"/>
      <c r="W53" s="52"/>
      <c r="X53" s="52"/>
      <c r="Y53" s="52"/>
      <c r="Z53" s="52"/>
      <c r="AA53" s="52"/>
      <c r="AB53" s="52"/>
    </row>
    <row r="54" ht="22.5" customHeight="1">
      <c r="A54" s="103">
        <v>46.0</v>
      </c>
      <c r="B54" s="105">
        <f>IFERROR(__xludf.DUMMYFUNCTION("""COMPUTED_VALUE"""),104255.0)</f>
        <v>104255</v>
      </c>
      <c r="C54" s="107" t="str">
        <f>IFERROR(__xludf.DUMMYFUNCTION("""COMPUTED_VALUE"""),"PO31216")</f>
        <v>PO31216</v>
      </c>
      <c r="D54" s="114">
        <f>IFERROR(__xludf.DUMMYFUNCTION("""COMPUTED_VALUE"""),45366.0)</f>
        <v>45366</v>
      </c>
      <c r="E54" s="118">
        <f>IFERROR(__xludf.DUMMYFUNCTION("""COMPUTED_VALUE"""),5.0)</f>
        <v>5</v>
      </c>
      <c r="F54" s="126"/>
      <c r="G54" s="52"/>
      <c r="H54" s="52"/>
      <c r="I54" s="52"/>
      <c r="J54" s="52"/>
      <c r="K54" s="52"/>
      <c r="L54" s="52"/>
      <c r="M54" s="52"/>
      <c r="N54" s="52"/>
      <c r="O54" s="52"/>
      <c r="P54" s="52"/>
      <c r="Q54" s="52"/>
      <c r="R54" s="52"/>
      <c r="S54" s="52"/>
      <c r="T54" s="52"/>
      <c r="U54" s="52"/>
      <c r="V54" s="52"/>
      <c r="W54" s="52"/>
      <c r="X54" s="52"/>
      <c r="Y54" s="52"/>
      <c r="Z54" s="52"/>
      <c r="AA54" s="52"/>
      <c r="AB54" s="52"/>
    </row>
    <row r="55" ht="22.5" customHeight="1">
      <c r="A55" s="103">
        <v>47.0</v>
      </c>
      <c r="B55" s="105">
        <f>IFERROR(__xludf.DUMMYFUNCTION("""COMPUTED_VALUE"""),104255.0)</f>
        <v>104255</v>
      </c>
      <c r="C55" s="107" t="str">
        <f>IFERROR(__xludf.DUMMYFUNCTION("""COMPUTED_VALUE"""),"PO31216")</f>
        <v>PO31216</v>
      </c>
      <c r="D55" s="114">
        <f>IFERROR(__xludf.DUMMYFUNCTION("""COMPUTED_VALUE"""),45366.0)</f>
        <v>45366</v>
      </c>
      <c r="E55" s="118">
        <f>IFERROR(__xludf.DUMMYFUNCTION("""COMPUTED_VALUE"""),5.0)</f>
        <v>5</v>
      </c>
      <c r="F55" s="126"/>
      <c r="G55" s="52"/>
      <c r="H55" s="52"/>
      <c r="I55" s="52"/>
      <c r="J55" s="52"/>
      <c r="K55" s="52"/>
      <c r="L55" s="52"/>
      <c r="M55" s="52"/>
      <c r="N55" s="52"/>
      <c r="O55" s="52"/>
      <c r="P55" s="52"/>
      <c r="Q55" s="52"/>
      <c r="R55" s="52"/>
      <c r="S55" s="52"/>
      <c r="T55" s="52"/>
      <c r="U55" s="52"/>
      <c r="V55" s="52"/>
      <c r="W55" s="52"/>
      <c r="X55" s="52"/>
      <c r="Y55" s="52"/>
      <c r="Z55" s="52"/>
      <c r="AA55" s="52"/>
      <c r="AB55" s="52"/>
    </row>
    <row r="56" ht="22.5" customHeight="1">
      <c r="A56" s="103">
        <v>48.0</v>
      </c>
      <c r="B56" s="105">
        <f>IFERROR(__xludf.DUMMYFUNCTION("""COMPUTED_VALUE"""),104258.0)</f>
        <v>104258</v>
      </c>
      <c r="C56" s="107" t="str">
        <f>IFERROR(__xludf.DUMMYFUNCTION("""COMPUTED_VALUE"""),"PO31206")</f>
        <v>PO31206</v>
      </c>
      <c r="D56" s="114">
        <f>IFERROR(__xludf.DUMMYFUNCTION("""COMPUTED_VALUE"""),45366.0)</f>
        <v>45366</v>
      </c>
      <c r="E56" s="118">
        <f>IFERROR(__xludf.DUMMYFUNCTION("""COMPUTED_VALUE"""),5.0)</f>
        <v>5</v>
      </c>
      <c r="F56" s="126"/>
      <c r="G56" s="52"/>
      <c r="H56" s="52"/>
      <c r="I56" s="52"/>
      <c r="J56" s="52"/>
      <c r="K56" s="52"/>
      <c r="L56" s="52"/>
      <c r="M56" s="52"/>
      <c r="N56" s="52"/>
      <c r="O56" s="52"/>
      <c r="P56" s="52"/>
      <c r="Q56" s="52"/>
      <c r="R56" s="52"/>
      <c r="S56" s="52"/>
      <c r="T56" s="52"/>
      <c r="U56" s="52"/>
      <c r="V56" s="52"/>
      <c r="W56" s="52"/>
      <c r="X56" s="52"/>
      <c r="Y56" s="52"/>
      <c r="Z56" s="52"/>
      <c r="AA56" s="52"/>
      <c r="AB56" s="52"/>
    </row>
    <row r="57" ht="22.5" customHeight="1">
      <c r="A57" s="103">
        <v>49.0</v>
      </c>
      <c r="B57" s="105"/>
      <c r="C57" s="107"/>
      <c r="D57" s="120"/>
      <c r="E57" s="105"/>
      <c r="F57" s="126"/>
      <c r="G57" s="52"/>
      <c r="H57" s="52"/>
      <c r="I57" s="52"/>
      <c r="J57" s="52"/>
      <c r="K57" s="52"/>
      <c r="L57" s="52"/>
      <c r="M57" s="52"/>
      <c r="N57" s="52"/>
      <c r="O57" s="52"/>
      <c r="P57" s="52"/>
      <c r="Q57" s="52"/>
      <c r="R57" s="52"/>
      <c r="S57" s="52"/>
      <c r="T57" s="52"/>
      <c r="U57" s="52"/>
      <c r="V57" s="52"/>
      <c r="W57" s="52"/>
      <c r="X57" s="52"/>
      <c r="Y57" s="52"/>
      <c r="Z57" s="52"/>
      <c r="AA57" s="52"/>
      <c r="AB57" s="52"/>
    </row>
    <row r="58" ht="22.5" customHeight="1">
      <c r="A58" s="103">
        <v>50.0</v>
      </c>
      <c r="B58" s="105"/>
      <c r="C58" s="107"/>
      <c r="D58" s="120"/>
      <c r="E58" s="105"/>
      <c r="F58" s="126"/>
      <c r="G58" s="52"/>
      <c r="H58" s="52"/>
      <c r="I58" s="52"/>
      <c r="J58" s="52"/>
      <c r="K58" s="52"/>
      <c r="L58" s="52"/>
      <c r="M58" s="52"/>
      <c r="N58" s="52"/>
      <c r="O58" s="52"/>
      <c r="P58" s="52"/>
      <c r="Q58" s="52"/>
      <c r="R58" s="52"/>
      <c r="S58" s="52"/>
      <c r="T58" s="52"/>
      <c r="U58" s="52"/>
      <c r="V58" s="52"/>
      <c r="W58" s="52"/>
      <c r="X58" s="52"/>
      <c r="Y58" s="52"/>
      <c r="Z58" s="52"/>
      <c r="AA58" s="52"/>
      <c r="AB58" s="52"/>
    </row>
    <row r="59">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c r="AB59" s="52"/>
    </row>
    <row r="60">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row>
    <row r="61">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row>
    <row r="62">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c r="AB62" s="52"/>
    </row>
    <row r="63">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row>
    <row r="64">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row>
    <row r="65">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row>
    <row r="66">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row>
    <row r="67">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row>
    <row r="68">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row>
    <row r="69">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row>
    <row r="70">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row>
    <row r="71">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c r="AB71" s="52"/>
    </row>
    <row r="72">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c r="AB72" s="52"/>
    </row>
    <row r="73">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c r="AA73" s="52"/>
      <c r="AB73" s="52"/>
    </row>
    <row r="74">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c r="AA74" s="52"/>
      <c r="AB74" s="52"/>
    </row>
    <row r="75">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c r="AA75" s="52"/>
      <c r="AB75" s="52"/>
    </row>
    <row r="76">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c r="AA76" s="52"/>
      <c r="AB76" s="52"/>
    </row>
    <row r="77">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c r="AA77" s="52"/>
      <c r="AB77" s="52"/>
    </row>
    <row r="78">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c r="AA78" s="52"/>
      <c r="AB78" s="52"/>
    </row>
    <row r="79">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c r="AA79" s="52"/>
      <c r="AB79" s="52"/>
    </row>
    <row r="80">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c r="AA80" s="52"/>
      <c r="AB80" s="52"/>
    </row>
    <row r="8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c r="AA81" s="52"/>
      <c r="AB81" s="52"/>
    </row>
    <row r="82">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c r="AA82" s="52"/>
      <c r="AB82" s="52"/>
    </row>
    <row r="83">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c r="AA83" s="52"/>
      <c r="AB83" s="52"/>
    </row>
    <row r="84">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c r="AA84" s="52"/>
      <c r="AB84" s="52"/>
    </row>
    <row r="85">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52"/>
      <c r="AB85" s="52"/>
    </row>
    <row r="86">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c r="AB86" s="52"/>
    </row>
    <row r="87">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c r="AB87" s="52"/>
    </row>
    <row r="88">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c r="AB88" s="52"/>
    </row>
    <row r="89">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c r="AB89" s="52"/>
    </row>
    <row r="90">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c r="AB90" s="52"/>
    </row>
    <row r="9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c r="AB91" s="52"/>
    </row>
    <row r="92">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c r="AB92" s="52"/>
    </row>
    <row r="93">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c r="AB93" s="52"/>
    </row>
    <row r="94">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c r="AB94" s="52"/>
    </row>
    <row r="95">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c r="AB95" s="52"/>
    </row>
    <row r="96">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c r="AB96" s="52"/>
    </row>
    <row r="97">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c r="AB97" s="52"/>
    </row>
    <row r="98">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c r="AB98" s="52"/>
    </row>
    <row r="99">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c r="AB99" s="52"/>
    </row>
    <row r="100">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row>
    <row r="10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row>
    <row r="102">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row>
    <row r="103">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c r="AB103" s="52"/>
    </row>
    <row r="104">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c r="AB104" s="52"/>
    </row>
    <row r="105">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c r="AB105" s="52"/>
    </row>
    <row r="106">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row>
    <row r="107">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row>
    <row r="108">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row>
    <row r="109">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row>
    <row r="110">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row>
    <row r="11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row>
    <row r="112">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c r="AB112" s="52"/>
    </row>
    <row r="113">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c r="AB113" s="52"/>
    </row>
    <row r="114">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c r="AB114" s="52"/>
    </row>
    <row r="115">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row>
    <row r="116">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2"/>
    </row>
    <row r="117">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row>
    <row r="118">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c r="AB118" s="52"/>
    </row>
    <row r="119">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c r="AB119" s="52"/>
    </row>
    <row r="120">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c r="AB120" s="52"/>
    </row>
    <row r="12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c r="AB121" s="52"/>
    </row>
    <row r="122">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c r="AB122" s="52"/>
    </row>
    <row r="123">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c r="AB123" s="52"/>
    </row>
    <row r="124">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row>
    <row r="125">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c r="AB125" s="52"/>
    </row>
    <row r="126">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c r="AB126" s="52"/>
    </row>
    <row r="127">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c r="AB127" s="52"/>
    </row>
    <row r="128">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c r="AB128" s="52"/>
    </row>
    <row r="129">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c r="AB129" s="52"/>
    </row>
    <row r="130">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c r="AB130" s="52"/>
    </row>
    <row r="13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c r="AB131" s="52"/>
    </row>
    <row r="132">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c r="AB132" s="52"/>
    </row>
    <row r="133">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c r="AB133" s="52"/>
    </row>
    <row r="134">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c r="AB134" s="52"/>
    </row>
    <row r="135">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row>
    <row r="136">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c r="AB136" s="52"/>
    </row>
    <row r="137">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c r="AB137" s="52"/>
    </row>
    <row r="138">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c r="AB138" s="52"/>
    </row>
    <row r="139">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c r="AB139" s="52"/>
    </row>
    <row r="140">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c r="AB140" s="52"/>
    </row>
    <row r="14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c r="AB141" s="52"/>
    </row>
    <row r="142">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c r="AB142" s="52"/>
    </row>
    <row r="143">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c r="AB143" s="52"/>
    </row>
    <row r="144">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c r="AB144" s="52"/>
    </row>
    <row r="145">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c r="AB145" s="52"/>
    </row>
    <row r="146">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c r="AB146" s="52"/>
    </row>
    <row r="147">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c r="AB147" s="52"/>
    </row>
    <row r="148">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c r="AB148" s="52"/>
    </row>
    <row r="149">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c r="AB149" s="52"/>
    </row>
    <row r="150">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c r="AB150" s="52"/>
    </row>
    <row r="15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row>
    <row r="152">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c r="AB152" s="52"/>
    </row>
    <row r="153">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row>
    <row r="154">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row>
    <row r="155">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row>
    <row r="156">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row>
    <row r="157">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c r="AB157" s="52"/>
    </row>
    <row r="158">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c r="AB158" s="52"/>
    </row>
    <row r="159">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c r="AB159" s="52"/>
    </row>
    <row r="160">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2"/>
    </row>
    <row r="16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2"/>
    </row>
    <row r="162">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c r="AB162" s="52"/>
    </row>
    <row r="163">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c r="AB163" s="52"/>
    </row>
    <row r="164">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row>
    <row r="165">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c r="AB165" s="52"/>
    </row>
    <row r="166">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c r="AB166" s="52"/>
    </row>
    <row r="167">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c r="AB167" s="52"/>
    </row>
    <row r="168">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row>
    <row r="169">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c r="AB169" s="52"/>
    </row>
    <row r="170">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row>
    <row r="17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c r="AB171" s="52"/>
    </row>
    <row r="172">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row>
    <row r="173">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row>
    <row r="174">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c r="AB174" s="52"/>
    </row>
    <row r="175">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c r="AB175" s="52"/>
    </row>
    <row r="176">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row>
    <row r="177">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row>
    <row r="178">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row>
    <row r="179">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c r="AB179" s="52"/>
    </row>
    <row r="180">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row>
    <row r="18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c r="AB181" s="52"/>
    </row>
    <row r="182">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c r="AB182" s="52"/>
    </row>
    <row r="183">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c r="AB183" s="52"/>
    </row>
    <row r="184">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c r="AB184" s="52"/>
    </row>
    <row r="185">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c r="AB185" s="52"/>
    </row>
    <row r="186">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52"/>
    </row>
    <row r="187">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c r="AB187" s="52"/>
    </row>
    <row r="188">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c r="AB188" s="52"/>
    </row>
    <row r="189">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c r="AB189" s="52"/>
    </row>
    <row r="190">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c r="AB190" s="52"/>
    </row>
    <row r="19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c r="AB191" s="52"/>
    </row>
    <row r="192">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c r="AB192" s="52"/>
    </row>
    <row r="193">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c r="AB193" s="52"/>
    </row>
    <row r="194">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c r="AB194" s="52"/>
    </row>
    <row r="195">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c r="AB195" s="52"/>
    </row>
    <row r="196">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c r="AB196" s="52"/>
    </row>
    <row r="197">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c r="AB197" s="52"/>
    </row>
    <row r="198">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c r="AB198" s="52"/>
    </row>
    <row r="199">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c r="AB199" s="52"/>
    </row>
    <row r="200">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c r="AB200" s="52"/>
    </row>
    <row r="20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c r="AB201" s="52"/>
    </row>
    <row r="202">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c r="AB202" s="52"/>
    </row>
    <row r="203">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c r="AB203" s="52"/>
    </row>
    <row r="204">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c r="AB204" s="52"/>
    </row>
    <row r="205">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c r="AB205" s="52"/>
    </row>
    <row r="206">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c r="AB206" s="52"/>
    </row>
    <row r="207">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c r="AB207" s="52"/>
    </row>
    <row r="208">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c r="AB208" s="52"/>
    </row>
    <row r="209">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c r="AB209" s="52"/>
    </row>
    <row r="210">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c r="AB210" s="52"/>
    </row>
    <row r="21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c r="AB211" s="52"/>
    </row>
    <row r="212">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c r="AB212" s="52"/>
    </row>
    <row r="213">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c r="AB213" s="52"/>
    </row>
    <row r="214">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c r="AB214" s="52"/>
    </row>
    <row r="215">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c r="AB215" s="52"/>
    </row>
    <row r="216">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c r="AB216" s="52"/>
    </row>
    <row r="217">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c r="AB217" s="52"/>
    </row>
    <row r="218">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c r="AB218" s="52"/>
    </row>
    <row r="219">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c r="AB219" s="52"/>
    </row>
    <row r="220">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c r="AB220" s="52"/>
    </row>
    <row r="22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c r="AB221" s="52"/>
    </row>
    <row r="222">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c r="AB222" s="52"/>
    </row>
    <row r="223">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c r="AB223" s="52"/>
    </row>
    <row r="224">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c r="AB224" s="52"/>
    </row>
    <row r="225">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c r="AB225" s="52"/>
    </row>
    <row r="226">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c r="AB226" s="52"/>
    </row>
    <row r="227">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c r="AB227" s="52"/>
    </row>
    <row r="228">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c r="AB228" s="52"/>
    </row>
    <row r="229">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c r="AB229" s="52"/>
    </row>
    <row r="230">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c r="AB230" s="52"/>
    </row>
    <row r="23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c r="AB231" s="52"/>
    </row>
    <row r="232">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c r="AB232" s="52"/>
    </row>
    <row r="233">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c r="AB233" s="52"/>
    </row>
    <row r="234">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c r="AB234" s="52"/>
    </row>
    <row r="235">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c r="AB235" s="52"/>
    </row>
    <row r="236">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c r="AB236" s="52"/>
    </row>
    <row r="237">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c r="AB237" s="52"/>
    </row>
    <row r="238">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c r="AB238" s="52"/>
    </row>
    <row r="239">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c r="AB239" s="52"/>
    </row>
    <row r="240">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c r="AB240" s="52"/>
    </row>
    <row r="24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c r="AB241" s="52"/>
    </row>
    <row r="242">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c r="AB242" s="52"/>
    </row>
    <row r="243">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c r="AB243" s="52"/>
    </row>
    <row r="244">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c r="AB244" s="52"/>
    </row>
    <row r="245">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c r="AB245" s="52"/>
    </row>
    <row r="246">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c r="AB246" s="52"/>
    </row>
    <row r="247">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c r="AB247" s="52"/>
    </row>
    <row r="248">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c r="AB248" s="52"/>
    </row>
    <row r="249">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c r="AB249" s="52"/>
    </row>
    <row r="250">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c r="AB250" s="52"/>
    </row>
    <row r="25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c r="AB251" s="52"/>
    </row>
    <row r="252">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c r="AB252" s="52"/>
    </row>
    <row r="253">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c r="AB253" s="52"/>
    </row>
    <row r="254">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c r="AB254" s="52"/>
    </row>
    <row r="255">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c r="AB255" s="52"/>
    </row>
    <row r="256">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c r="AB256" s="52"/>
    </row>
    <row r="257">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c r="AB257" s="52"/>
    </row>
    <row r="258">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c r="AB258" s="52"/>
    </row>
    <row r="259">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c r="AB259" s="52"/>
    </row>
    <row r="260">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c r="AB260" s="52"/>
    </row>
    <row r="26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c r="AB261" s="52"/>
    </row>
    <row r="262">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c r="AB262" s="52"/>
    </row>
    <row r="263">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c r="AB263" s="52"/>
    </row>
    <row r="264">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c r="AB264" s="52"/>
    </row>
    <row r="265">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52"/>
      <c r="AB265" s="52"/>
    </row>
    <row r="266">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c r="AB266" s="52"/>
    </row>
    <row r="267">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c r="AB267" s="52"/>
    </row>
    <row r="268">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c r="AB268" s="52"/>
    </row>
    <row r="269">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c r="AA269" s="52"/>
      <c r="AB269" s="52"/>
    </row>
    <row r="270">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c r="AA270" s="52"/>
      <c r="AB270" s="52"/>
    </row>
    <row r="27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c r="AA271" s="52"/>
      <c r="AB271" s="52"/>
    </row>
    <row r="272">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c r="AA272" s="52"/>
      <c r="AB272" s="52"/>
    </row>
    <row r="273">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c r="AA273" s="52"/>
      <c r="AB273" s="52"/>
    </row>
    <row r="274">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c r="AA274" s="52"/>
      <c r="AB274" s="52"/>
    </row>
    <row r="275">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c r="AA275" s="52"/>
      <c r="AB275" s="52"/>
    </row>
    <row r="276">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c r="AA276" s="52"/>
      <c r="AB276" s="52"/>
    </row>
    <row r="277">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c r="AA277" s="52"/>
      <c r="AB277" s="52"/>
    </row>
    <row r="278">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c r="AA278" s="52"/>
      <c r="AB278" s="52"/>
    </row>
    <row r="279">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c r="AA279" s="52"/>
      <c r="AB279" s="52"/>
    </row>
    <row r="280">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c r="AA280" s="52"/>
      <c r="AB280" s="52"/>
    </row>
    <row r="28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c r="AA281" s="52"/>
      <c r="AB281" s="52"/>
    </row>
    <row r="282">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c r="AA282" s="52"/>
      <c r="AB282" s="52"/>
    </row>
    <row r="283">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c r="AA283" s="52"/>
      <c r="AB283" s="52"/>
    </row>
    <row r="284">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c r="AA284" s="52"/>
      <c r="AB284" s="52"/>
    </row>
    <row r="285">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c r="AA285" s="52"/>
      <c r="AB285" s="52"/>
    </row>
    <row r="286">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c r="AA286" s="52"/>
      <c r="AB286" s="52"/>
    </row>
    <row r="287">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c r="AA287" s="52"/>
      <c r="AB287" s="52"/>
    </row>
    <row r="288">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c r="AA288" s="52"/>
      <c r="AB288" s="52"/>
    </row>
    <row r="289">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c r="AA289" s="52"/>
      <c r="AB289" s="52"/>
    </row>
    <row r="290">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c r="AA290" s="52"/>
      <c r="AB290" s="52"/>
    </row>
    <row r="29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c r="AA291" s="52"/>
      <c r="AB291" s="52"/>
    </row>
    <row r="292">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c r="AA292" s="52"/>
      <c r="AB292" s="52"/>
    </row>
    <row r="293">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c r="AA293" s="52"/>
      <c r="AB293" s="52"/>
    </row>
    <row r="294">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c r="AA294" s="52"/>
      <c r="AB294" s="52"/>
    </row>
    <row r="295">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c r="AA295" s="52"/>
      <c r="AB295" s="52"/>
    </row>
    <row r="296">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c r="AA296" s="52"/>
      <c r="AB296" s="52"/>
    </row>
    <row r="297">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c r="AA297" s="52"/>
      <c r="AB297" s="52"/>
    </row>
    <row r="298">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c r="AA298" s="52"/>
      <c r="AB298" s="52"/>
    </row>
    <row r="299">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c r="AA299" s="52"/>
      <c r="AB299" s="52"/>
    </row>
    <row r="300">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c r="AA300" s="52"/>
      <c r="AB300" s="52"/>
    </row>
    <row r="30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c r="AA301" s="52"/>
      <c r="AB301" s="52"/>
    </row>
    <row r="302">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c r="AA302" s="52"/>
      <c r="AB302" s="52"/>
    </row>
    <row r="303">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c r="AA303" s="52"/>
      <c r="AB303" s="52"/>
    </row>
    <row r="304">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c r="AA304" s="52"/>
      <c r="AB304" s="52"/>
    </row>
    <row r="305">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c r="AA305" s="52"/>
      <c r="AB305" s="52"/>
    </row>
    <row r="306">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c r="AA306" s="52"/>
      <c r="AB306" s="52"/>
    </row>
    <row r="307">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c r="AA307" s="52"/>
      <c r="AB307" s="52"/>
    </row>
    <row r="308">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c r="AA308" s="52"/>
      <c r="AB308" s="52"/>
    </row>
    <row r="309">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c r="AA309" s="52"/>
      <c r="AB309" s="52"/>
    </row>
    <row r="310">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c r="AA310" s="52"/>
      <c r="AB310" s="52"/>
    </row>
    <row r="31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c r="AA311" s="52"/>
      <c r="AB311" s="52"/>
    </row>
    <row r="312">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c r="AA312" s="52"/>
      <c r="AB312" s="52"/>
    </row>
    <row r="313">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c r="AA313" s="52"/>
      <c r="AB313" s="52"/>
    </row>
    <row r="314">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c r="AA314" s="52"/>
      <c r="AB314" s="52"/>
    </row>
    <row r="315">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c r="AA315" s="52"/>
      <c r="AB315" s="52"/>
    </row>
    <row r="316">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c r="AA316" s="52"/>
      <c r="AB316" s="52"/>
    </row>
    <row r="317">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c r="AA317" s="52"/>
      <c r="AB317" s="52"/>
    </row>
    <row r="318">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c r="AA318" s="52"/>
      <c r="AB318" s="52"/>
    </row>
    <row r="319">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c r="AA319" s="52"/>
      <c r="AB319" s="52"/>
    </row>
    <row r="320">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c r="AA320" s="52"/>
      <c r="AB320" s="52"/>
    </row>
    <row r="32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c r="AA321" s="52"/>
      <c r="AB321" s="52"/>
    </row>
    <row r="322">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c r="AA322" s="52"/>
      <c r="AB322" s="52"/>
    </row>
    <row r="323">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c r="AA323" s="52"/>
      <c r="AB323" s="52"/>
    </row>
    <row r="324">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c r="AA324" s="52"/>
      <c r="AB324" s="52"/>
    </row>
    <row r="325">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c r="AA325" s="52"/>
      <c r="AB325" s="52"/>
    </row>
    <row r="326">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c r="AA326" s="52"/>
      <c r="AB326" s="52"/>
    </row>
    <row r="327">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c r="AA327" s="52"/>
      <c r="AB327" s="52"/>
    </row>
    <row r="328">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c r="AA328" s="52"/>
      <c r="AB328" s="52"/>
    </row>
    <row r="329">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c r="AA329" s="52"/>
      <c r="AB329" s="52"/>
    </row>
    <row r="330">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c r="AA330" s="52"/>
      <c r="AB330" s="52"/>
    </row>
    <row r="33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c r="AA331" s="52"/>
      <c r="AB331" s="52"/>
    </row>
    <row r="332">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c r="AA332" s="52"/>
      <c r="AB332" s="52"/>
    </row>
    <row r="333">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c r="AA333" s="52"/>
      <c r="AB333" s="52"/>
    </row>
    <row r="334">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c r="AA334" s="52"/>
      <c r="AB334" s="52"/>
    </row>
    <row r="335">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c r="AA335" s="52"/>
      <c r="AB335" s="52"/>
    </row>
    <row r="336">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c r="AA336" s="52"/>
      <c r="AB336" s="52"/>
    </row>
    <row r="337">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c r="AA337" s="52"/>
      <c r="AB337" s="52"/>
    </row>
    <row r="338">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c r="AA338" s="52"/>
      <c r="AB338" s="52"/>
    </row>
    <row r="339">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c r="AA339" s="52"/>
      <c r="AB339" s="52"/>
    </row>
    <row r="340">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c r="AA340" s="52"/>
      <c r="AB340" s="52"/>
    </row>
    <row r="34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c r="AA341" s="52"/>
      <c r="AB341" s="52"/>
    </row>
    <row r="342">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c r="AA342" s="52"/>
      <c r="AB342" s="52"/>
    </row>
    <row r="343">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c r="AA343" s="52"/>
      <c r="AB343" s="52"/>
    </row>
    <row r="344">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c r="AA344" s="52"/>
      <c r="AB344" s="52"/>
    </row>
    <row r="345">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c r="AA345" s="52"/>
      <c r="AB345" s="52"/>
    </row>
    <row r="346">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c r="AA346" s="52"/>
      <c r="AB346" s="52"/>
    </row>
    <row r="347">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c r="AA347" s="52"/>
      <c r="AB347" s="52"/>
    </row>
    <row r="348">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c r="AA348" s="52"/>
      <c r="AB348" s="52"/>
    </row>
    <row r="349">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c r="AA349" s="52"/>
      <c r="AB349" s="52"/>
    </row>
    <row r="350">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c r="AA350" s="52"/>
      <c r="AB350" s="52"/>
    </row>
    <row r="35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c r="AA351" s="52"/>
      <c r="AB351" s="52"/>
    </row>
    <row r="352">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c r="AA352" s="52"/>
      <c r="AB352" s="52"/>
    </row>
    <row r="353">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c r="AA353" s="52"/>
      <c r="AB353" s="52"/>
    </row>
    <row r="354">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c r="AA354" s="52"/>
      <c r="AB354" s="52"/>
    </row>
    <row r="355">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c r="AA355" s="52"/>
      <c r="AB355" s="52"/>
    </row>
    <row r="356">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c r="AA356" s="52"/>
      <c r="AB356" s="52"/>
    </row>
    <row r="357">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c r="AA357" s="52"/>
      <c r="AB357" s="52"/>
    </row>
    <row r="358">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c r="AA358" s="52"/>
      <c r="AB358" s="52"/>
    </row>
    <row r="359">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c r="AA359" s="52"/>
      <c r="AB359" s="52"/>
    </row>
    <row r="360">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c r="AA360" s="52"/>
      <c r="AB360" s="52"/>
    </row>
    <row r="36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c r="AA361" s="52"/>
      <c r="AB361" s="52"/>
    </row>
    <row r="362">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c r="AA362" s="52"/>
      <c r="AB362" s="52"/>
    </row>
    <row r="363">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c r="AA363" s="52"/>
      <c r="AB363" s="52"/>
    </row>
    <row r="364">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c r="AA364" s="52"/>
      <c r="AB364" s="52"/>
    </row>
    <row r="365">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c r="AA365" s="52"/>
      <c r="AB365" s="52"/>
    </row>
    <row r="366">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c r="AA366" s="52"/>
      <c r="AB366" s="52"/>
    </row>
    <row r="367">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c r="AA367" s="52"/>
      <c r="AB367" s="52"/>
    </row>
    <row r="368">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c r="AA368" s="52"/>
      <c r="AB368" s="52"/>
    </row>
    <row r="369">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c r="AA369" s="52"/>
      <c r="AB369" s="52"/>
    </row>
    <row r="370">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c r="AA370" s="52"/>
      <c r="AB370" s="52"/>
    </row>
    <row r="37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c r="AA371" s="52"/>
      <c r="AB371" s="52"/>
    </row>
    <row r="372">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c r="AA372" s="52"/>
      <c r="AB372" s="52"/>
    </row>
    <row r="373">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c r="AA373" s="52"/>
      <c r="AB373" s="52"/>
    </row>
    <row r="374">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c r="AA374" s="52"/>
      <c r="AB374" s="52"/>
    </row>
    <row r="375">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c r="AA375" s="52"/>
      <c r="AB375" s="52"/>
    </row>
    <row r="376">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c r="AA376" s="52"/>
      <c r="AB376" s="52"/>
    </row>
    <row r="377">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c r="AA377" s="52"/>
      <c r="AB377" s="52"/>
    </row>
    <row r="378">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c r="AA378" s="52"/>
      <c r="AB378" s="52"/>
    </row>
    <row r="379">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c r="AA379" s="52"/>
      <c r="AB379" s="52"/>
    </row>
    <row r="380">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c r="AA380" s="52"/>
      <c r="AB380" s="52"/>
    </row>
    <row r="38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c r="AA381" s="52"/>
      <c r="AB381" s="52"/>
    </row>
    <row r="382">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c r="AA382" s="52"/>
      <c r="AB382" s="52"/>
    </row>
    <row r="383">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c r="AA383" s="52"/>
      <c r="AB383" s="52"/>
    </row>
    <row r="384">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c r="AA384" s="52"/>
      <c r="AB384" s="52"/>
    </row>
    <row r="385">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c r="AA385" s="52"/>
      <c r="AB385" s="52"/>
    </row>
    <row r="386">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c r="AA386" s="52"/>
      <c r="AB386" s="52"/>
    </row>
    <row r="387">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c r="AA387" s="52"/>
      <c r="AB387" s="52"/>
    </row>
    <row r="388">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c r="AA388" s="52"/>
      <c r="AB388" s="52"/>
    </row>
    <row r="389">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c r="AA389" s="52"/>
      <c r="AB389" s="52"/>
    </row>
    <row r="390">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c r="AA390" s="52"/>
      <c r="AB390" s="52"/>
    </row>
    <row r="39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c r="AA391" s="52"/>
      <c r="AB391" s="52"/>
    </row>
    <row r="392">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c r="AA392" s="52"/>
      <c r="AB392" s="52"/>
    </row>
    <row r="393">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c r="AA393" s="52"/>
      <c r="AB393" s="52"/>
    </row>
    <row r="394">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c r="AA394" s="52"/>
      <c r="AB394" s="52"/>
    </row>
    <row r="395">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c r="AA395" s="52"/>
      <c r="AB395" s="52"/>
    </row>
    <row r="396">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c r="AA396" s="52"/>
      <c r="AB396" s="52"/>
    </row>
    <row r="397">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c r="AA397" s="52"/>
      <c r="AB397" s="52"/>
    </row>
    <row r="398">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c r="AA398" s="52"/>
      <c r="AB398" s="52"/>
    </row>
    <row r="399">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c r="AA399" s="52"/>
      <c r="AB399" s="52"/>
    </row>
    <row r="400">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c r="AA400" s="52"/>
      <c r="AB400" s="52"/>
    </row>
    <row r="40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c r="AA401" s="52"/>
      <c r="AB401" s="52"/>
    </row>
    <row r="402">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c r="AA402" s="52"/>
      <c r="AB402" s="52"/>
    </row>
    <row r="403">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c r="AA403" s="52"/>
      <c r="AB403" s="52"/>
    </row>
    <row r="404">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c r="AA404" s="52"/>
      <c r="AB404" s="52"/>
    </row>
    <row r="405">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c r="AA405" s="52"/>
      <c r="AB405" s="52"/>
    </row>
    <row r="406">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c r="AA406" s="52"/>
      <c r="AB406" s="52"/>
    </row>
    <row r="407">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c r="AA407" s="52"/>
      <c r="AB407" s="52"/>
    </row>
    <row r="408">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c r="AA408" s="52"/>
      <c r="AB408" s="52"/>
    </row>
    <row r="409">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c r="AA409" s="52"/>
      <c r="AB409" s="52"/>
    </row>
    <row r="410">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c r="AA410" s="52"/>
      <c r="AB410" s="52"/>
    </row>
    <row r="41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c r="AA411" s="52"/>
      <c r="AB411" s="52"/>
    </row>
    <row r="412">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c r="AA412" s="52"/>
      <c r="AB412" s="52"/>
    </row>
    <row r="413">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c r="AA413" s="52"/>
      <c r="AB413" s="52"/>
    </row>
    <row r="414">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c r="AA414" s="52"/>
      <c r="AB414" s="52"/>
    </row>
    <row r="415">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c r="AA415" s="52"/>
      <c r="AB415" s="52"/>
    </row>
    <row r="416">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c r="AA416" s="52"/>
      <c r="AB416" s="52"/>
    </row>
    <row r="417">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c r="AA417" s="52"/>
      <c r="AB417" s="52"/>
    </row>
    <row r="418">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c r="AA418" s="52"/>
      <c r="AB418" s="52"/>
    </row>
    <row r="419">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c r="AA419" s="52"/>
      <c r="AB419" s="52"/>
    </row>
    <row r="420">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c r="AA420" s="52"/>
      <c r="AB420" s="52"/>
    </row>
    <row r="42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c r="AA421" s="52"/>
      <c r="AB421" s="52"/>
    </row>
    <row r="422">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c r="AA422" s="52"/>
      <c r="AB422" s="52"/>
    </row>
    <row r="423">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c r="AA423" s="52"/>
      <c r="AB423" s="52"/>
    </row>
    <row r="424">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c r="AA424" s="52"/>
      <c r="AB424" s="52"/>
    </row>
    <row r="425">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c r="AA425" s="52"/>
      <c r="AB425" s="52"/>
    </row>
    <row r="426">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c r="AA426" s="52"/>
      <c r="AB426" s="52"/>
    </row>
    <row r="427">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c r="AA427" s="52"/>
      <c r="AB427" s="52"/>
    </row>
    <row r="428">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c r="AA428" s="52"/>
      <c r="AB428" s="52"/>
    </row>
    <row r="429">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c r="AA429" s="52"/>
      <c r="AB429" s="52"/>
    </row>
    <row r="430">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c r="AA430" s="52"/>
      <c r="AB430" s="52"/>
    </row>
    <row r="43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c r="AA431" s="52"/>
      <c r="AB431" s="52"/>
    </row>
    <row r="432">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c r="AA432" s="52"/>
      <c r="AB432" s="52"/>
    </row>
    <row r="433">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c r="AA433" s="52"/>
      <c r="AB433" s="52"/>
    </row>
    <row r="434">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c r="AA434" s="52"/>
      <c r="AB434" s="52"/>
    </row>
    <row r="435">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c r="AA435" s="52"/>
      <c r="AB435" s="52"/>
    </row>
    <row r="436">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c r="AA436" s="52"/>
      <c r="AB436" s="52"/>
    </row>
    <row r="437">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c r="AA437" s="52"/>
      <c r="AB437" s="52"/>
    </row>
    <row r="438">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c r="AA438" s="52"/>
      <c r="AB438" s="52"/>
    </row>
    <row r="439">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c r="AA439" s="52"/>
      <c r="AB439" s="52"/>
    </row>
    <row r="440">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c r="AA440" s="52"/>
      <c r="AB440" s="52"/>
    </row>
    <row r="44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c r="AA441" s="52"/>
      <c r="AB441" s="52"/>
    </row>
    <row r="442">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c r="AA442" s="52"/>
      <c r="AB442" s="52"/>
    </row>
    <row r="443">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c r="AA443" s="52"/>
      <c r="AB443" s="52"/>
    </row>
    <row r="444">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c r="AA444" s="52"/>
      <c r="AB444" s="52"/>
    </row>
    <row r="445">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c r="AA445" s="52"/>
      <c r="AB445" s="52"/>
    </row>
    <row r="446">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c r="AA446" s="52"/>
      <c r="AB446" s="52"/>
    </row>
    <row r="447">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c r="AA447" s="52"/>
      <c r="AB447" s="52"/>
    </row>
    <row r="448">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c r="AA448" s="52"/>
      <c r="AB448" s="52"/>
    </row>
    <row r="449">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c r="AA449" s="52"/>
      <c r="AB449" s="52"/>
    </row>
    <row r="450">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c r="AA450" s="52"/>
      <c r="AB450" s="52"/>
    </row>
    <row r="45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c r="AA451" s="52"/>
      <c r="AB451" s="52"/>
    </row>
    <row r="452">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c r="AA452" s="52"/>
      <c r="AB452" s="52"/>
    </row>
    <row r="453">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c r="AA453" s="52"/>
      <c r="AB453" s="52"/>
    </row>
    <row r="454">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c r="AA454" s="52"/>
      <c r="AB454" s="52"/>
    </row>
    <row r="455">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c r="AA455" s="52"/>
      <c r="AB455" s="52"/>
    </row>
    <row r="456">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c r="AA456" s="52"/>
      <c r="AB456" s="52"/>
    </row>
    <row r="457">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c r="AA457" s="52"/>
      <c r="AB457" s="52"/>
    </row>
    <row r="458">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c r="AA458" s="52"/>
      <c r="AB458" s="52"/>
    </row>
    <row r="459">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c r="AA459" s="52"/>
      <c r="AB459" s="52"/>
    </row>
    <row r="460">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c r="AA460" s="52"/>
      <c r="AB460" s="52"/>
    </row>
    <row r="46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c r="AA461" s="52"/>
      <c r="AB461" s="52"/>
    </row>
    <row r="462">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c r="AA462" s="52"/>
      <c r="AB462" s="52"/>
    </row>
    <row r="463">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c r="AA463" s="52"/>
      <c r="AB463" s="52"/>
    </row>
    <row r="464">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c r="AA464" s="52"/>
      <c r="AB464" s="52"/>
    </row>
    <row r="465">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c r="AA465" s="52"/>
      <c r="AB465" s="52"/>
    </row>
    <row r="466">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c r="AA466" s="52"/>
      <c r="AB466" s="52"/>
    </row>
    <row r="467">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c r="AA467" s="52"/>
      <c r="AB467" s="52"/>
    </row>
    <row r="468">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c r="AA468" s="52"/>
      <c r="AB468" s="52"/>
    </row>
    <row r="469">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c r="AA469" s="52"/>
      <c r="AB469" s="52"/>
    </row>
    <row r="470">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c r="AA470" s="52"/>
      <c r="AB470" s="52"/>
    </row>
    <row r="47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c r="AA471" s="52"/>
      <c r="AB471" s="52"/>
    </row>
    <row r="472">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c r="AA472" s="52"/>
      <c r="AB472" s="52"/>
    </row>
    <row r="473">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c r="AA473" s="52"/>
      <c r="AB473" s="52"/>
    </row>
    <row r="474">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c r="AA474" s="52"/>
      <c r="AB474" s="52"/>
    </row>
    <row r="475">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c r="AA475" s="52"/>
      <c r="AB475" s="52"/>
    </row>
    <row r="476">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c r="AA476" s="52"/>
      <c r="AB476" s="52"/>
    </row>
    <row r="477">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c r="AA477" s="52"/>
      <c r="AB477" s="52"/>
    </row>
    <row r="478">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c r="AA478" s="52"/>
      <c r="AB478" s="52"/>
    </row>
    <row r="479">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c r="AA479" s="52"/>
      <c r="AB479" s="52"/>
    </row>
    <row r="480">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c r="AA480" s="52"/>
      <c r="AB480" s="52"/>
    </row>
    <row r="48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c r="AA481" s="52"/>
      <c r="AB481" s="52"/>
    </row>
    <row r="482">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c r="AA482" s="52"/>
      <c r="AB482" s="52"/>
    </row>
    <row r="483">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c r="AA483" s="52"/>
      <c r="AB483" s="52"/>
    </row>
    <row r="484">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c r="AA484" s="52"/>
      <c r="AB484" s="52"/>
    </row>
    <row r="485">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c r="AA485" s="52"/>
      <c r="AB485" s="52"/>
    </row>
    <row r="486">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c r="AA486" s="52"/>
      <c r="AB486" s="52"/>
    </row>
    <row r="487">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c r="AA487" s="52"/>
      <c r="AB487" s="52"/>
    </row>
    <row r="488">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c r="AA488" s="52"/>
      <c r="AB488" s="52"/>
    </row>
    <row r="489">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c r="AA489" s="52"/>
      <c r="AB489" s="52"/>
    </row>
    <row r="490">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c r="AA490" s="52"/>
      <c r="AB490" s="52"/>
    </row>
    <row r="49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c r="AA491" s="52"/>
      <c r="AB491" s="52"/>
    </row>
    <row r="492">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c r="AA492" s="52"/>
      <c r="AB492" s="52"/>
    </row>
    <row r="493">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c r="AA493" s="52"/>
      <c r="AB493" s="52"/>
    </row>
    <row r="494">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c r="AA494" s="52"/>
      <c r="AB494" s="52"/>
    </row>
    <row r="495">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c r="AA495" s="52"/>
      <c r="AB495" s="52"/>
    </row>
    <row r="496">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c r="AA496" s="52"/>
      <c r="AB496" s="52"/>
    </row>
    <row r="497">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c r="AA497" s="52"/>
      <c r="AB497" s="52"/>
    </row>
    <row r="498">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c r="AA498" s="52"/>
      <c r="AB498" s="52"/>
    </row>
    <row r="499">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c r="AA499" s="52"/>
      <c r="AB499" s="52"/>
    </row>
    <row r="500">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c r="AA500" s="52"/>
      <c r="AB500" s="52"/>
    </row>
    <row r="50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c r="AA501" s="52"/>
      <c r="AB501" s="52"/>
    </row>
    <row r="502">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c r="AA502" s="52"/>
      <c r="AB502" s="52"/>
    </row>
    <row r="503">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c r="AA503" s="52"/>
      <c r="AB503" s="52"/>
    </row>
    <row r="504">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c r="AA504" s="52"/>
      <c r="AB504" s="52"/>
    </row>
    <row r="505">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c r="AA505" s="52"/>
      <c r="AB505" s="52"/>
    </row>
    <row r="506">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c r="AA506" s="52"/>
      <c r="AB506" s="52"/>
    </row>
    <row r="507">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c r="AA507" s="52"/>
      <c r="AB507" s="52"/>
    </row>
    <row r="508">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c r="AA508" s="52"/>
      <c r="AB508" s="52"/>
    </row>
    <row r="509">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c r="AA509" s="52"/>
      <c r="AB509" s="52"/>
    </row>
    <row r="510">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c r="AA510" s="52"/>
      <c r="AB510" s="52"/>
    </row>
    <row r="51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c r="AA511" s="52"/>
      <c r="AB511" s="52"/>
    </row>
    <row r="512">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c r="AA512" s="52"/>
      <c r="AB512" s="52"/>
    </row>
    <row r="513">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c r="AA513" s="52"/>
      <c r="AB513" s="52"/>
    </row>
    <row r="514">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c r="AA514" s="52"/>
      <c r="AB514" s="52"/>
    </row>
    <row r="515">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c r="AA515" s="52"/>
      <c r="AB515" s="52"/>
    </row>
    <row r="516">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c r="AA516" s="52"/>
      <c r="AB516" s="52"/>
    </row>
    <row r="517">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c r="AA517" s="52"/>
      <c r="AB517" s="52"/>
    </row>
    <row r="518">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c r="AA518" s="52"/>
      <c r="AB518" s="52"/>
    </row>
    <row r="519">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c r="AA519" s="52"/>
      <c r="AB519" s="52"/>
    </row>
    <row r="520">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c r="AA520" s="52"/>
      <c r="AB520" s="52"/>
    </row>
    <row r="52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c r="AA521" s="52"/>
      <c r="AB521" s="52"/>
    </row>
    <row r="522">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c r="AA522" s="52"/>
      <c r="AB522" s="52"/>
    </row>
    <row r="523">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c r="AA523" s="52"/>
      <c r="AB523" s="52"/>
    </row>
    <row r="524">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c r="AA524" s="52"/>
      <c r="AB524" s="52"/>
    </row>
    <row r="525">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c r="AA525" s="52"/>
      <c r="AB525" s="52"/>
    </row>
    <row r="526">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c r="AA526" s="52"/>
      <c r="AB526" s="52"/>
    </row>
    <row r="527">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c r="AA527" s="52"/>
      <c r="AB527" s="52"/>
    </row>
    <row r="528">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c r="AA528" s="52"/>
      <c r="AB528" s="52"/>
    </row>
    <row r="529">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c r="AA529" s="52"/>
      <c r="AB529" s="52"/>
    </row>
    <row r="530">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c r="AA530" s="52"/>
      <c r="AB530" s="52"/>
    </row>
    <row r="53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c r="AA531" s="52"/>
      <c r="AB531" s="52"/>
    </row>
    <row r="532">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c r="AA532" s="52"/>
      <c r="AB532" s="52"/>
    </row>
    <row r="533">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c r="AA533" s="52"/>
      <c r="AB533" s="52"/>
    </row>
    <row r="534">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c r="AA534" s="52"/>
      <c r="AB534" s="52"/>
    </row>
    <row r="535">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c r="AA535" s="52"/>
      <c r="AB535" s="52"/>
    </row>
    <row r="536">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c r="AA536" s="52"/>
      <c r="AB536" s="52"/>
    </row>
    <row r="537">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c r="AA537" s="52"/>
      <c r="AB537" s="52"/>
    </row>
    <row r="538">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c r="AA538" s="52"/>
      <c r="AB538" s="52"/>
    </row>
    <row r="539">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c r="AA539" s="52"/>
      <c r="AB539" s="52"/>
    </row>
    <row r="540">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c r="AA540" s="52"/>
      <c r="AB540" s="52"/>
    </row>
    <row r="54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c r="AA541" s="52"/>
      <c r="AB541" s="52"/>
    </row>
    <row r="542">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c r="AA542" s="52"/>
      <c r="AB542" s="52"/>
    </row>
    <row r="543">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c r="AA543" s="52"/>
      <c r="AB543" s="52"/>
    </row>
    <row r="544">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c r="AA544" s="52"/>
      <c r="AB544" s="52"/>
    </row>
    <row r="545">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c r="AA545" s="52"/>
      <c r="AB545" s="52"/>
    </row>
    <row r="546">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c r="AA546" s="52"/>
      <c r="AB546" s="52"/>
    </row>
    <row r="547">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c r="AA547" s="52"/>
      <c r="AB547" s="52"/>
    </row>
    <row r="548">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c r="AA548" s="52"/>
      <c r="AB548" s="52"/>
    </row>
    <row r="549">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c r="AA549" s="52"/>
      <c r="AB549" s="52"/>
    </row>
    <row r="550">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c r="AA550" s="52"/>
      <c r="AB550" s="52"/>
    </row>
    <row r="55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c r="AA551" s="52"/>
      <c r="AB551" s="52"/>
    </row>
    <row r="552">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c r="AA552" s="52"/>
      <c r="AB552" s="52"/>
    </row>
    <row r="553">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c r="AA553" s="52"/>
      <c r="AB553" s="52"/>
    </row>
    <row r="554">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c r="AA554" s="52"/>
      <c r="AB554" s="52"/>
    </row>
    <row r="555">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c r="AA555" s="52"/>
      <c r="AB555" s="52"/>
    </row>
    <row r="556">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c r="AA556" s="52"/>
      <c r="AB556" s="52"/>
    </row>
    <row r="557">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c r="AA557" s="52"/>
      <c r="AB557" s="52"/>
    </row>
    <row r="558">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c r="AA558" s="52"/>
      <c r="AB558" s="52"/>
    </row>
    <row r="559">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c r="AA559" s="52"/>
      <c r="AB559" s="52"/>
    </row>
    <row r="560">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c r="AA560" s="52"/>
      <c r="AB560" s="52"/>
    </row>
    <row r="56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c r="AA561" s="52"/>
      <c r="AB561" s="52"/>
    </row>
    <row r="562">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c r="AA562" s="52"/>
      <c r="AB562" s="52"/>
    </row>
    <row r="563">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c r="AA563" s="52"/>
      <c r="AB563" s="52"/>
    </row>
    <row r="564">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c r="AA564" s="52"/>
      <c r="AB564" s="52"/>
    </row>
    <row r="565">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c r="AA565" s="52"/>
      <c r="AB565" s="52"/>
    </row>
    <row r="566">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c r="AA566" s="52"/>
      <c r="AB566" s="52"/>
    </row>
    <row r="567">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c r="AA567" s="52"/>
      <c r="AB567" s="52"/>
    </row>
    <row r="568">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c r="AA568" s="52"/>
      <c r="AB568" s="52"/>
    </row>
    <row r="569">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c r="AA569" s="52"/>
      <c r="AB569" s="52"/>
    </row>
    <row r="570">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c r="AA570" s="52"/>
      <c r="AB570" s="52"/>
    </row>
    <row r="57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c r="AA571" s="52"/>
      <c r="AB571" s="52"/>
    </row>
    <row r="572">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c r="AA572" s="52"/>
      <c r="AB572" s="52"/>
    </row>
    <row r="573">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c r="AA573" s="52"/>
      <c r="AB573" s="52"/>
    </row>
    <row r="574">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c r="AA574" s="52"/>
      <c r="AB574" s="52"/>
    </row>
    <row r="575">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c r="AA575" s="52"/>
      <c r="AB575" s="52"/>
    </row>
    <row r="576">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c r="AA576" s="52"/>
      <c r="AB576" s="52"/>
    </row>
    <row r="577">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c r="AA577" s="52"/>
      <c r="AB577" s="52"/>
    </row>
    <row r="578">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c r="AA578" s="52"/>
      <c r="AB578" s="52"/>
    </row>
    <row r="579">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c r="AA579" s="52"/>
      <c r="AB579" s="52"/>
    </row>
    <row r="580">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c r="AA580" s="52"/>
      <c r="AB580" s="52"/>
    </row>
    <row r="58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c r="AA581" s="52"/>
      <c r="AB581" s="52"/>
    </row>
    <row r="582">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c r="AA582" s="52"/>
      <c r="AB582" s="52"/>
    </row>
    <row r="583">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c r="AA583" s="52"/>
      <c r="AB583" s="52"/>
    </row>
    <row r="584">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c r="AA584" s="52"/>
      <c r="AB584" s="52"/>
    </row>
    <row r="585">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c r="AA585" s="52"/>
      <c r="AB585" s="52"/>
    </row>
    <row r="586">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c r="AA586" s="52"/>
      <c r="AB586" s="52"/>
    </row>
    <row r="587">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c r="AA587" s="52"/>
      <c r="AB587" s="52"/>
    </row>
    <row r="588">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c r="AA588" s="52"/>
      <c r="AB588" s="52"/>
    </row>
    <row r="589">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c r="AA589" s="52"/>
      <c r="AB589" s="52"/>
    </row>
    <row r="590">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c r="AA590" s="52"/>
      <c r="AB590" s="52"/>
    </row>
    <row r="59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c r="AA591" s="52"/>
      <c r="AB591" s="52"/>
    </row>
    <row r="592">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c r="AA592" s="52"/>
      <c r="AB592" s="52"/>
    </row>
    <row r="593">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c r="AA593" s="52"/>
      <c r="AB593" s="52"/>
    </row>
    <row r="594">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c r="AA594" s="52"/>
      <c r="AB594" s="52"/>
    </row>
    <row r="595">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c r="AA595" s="52"/>
      <c r="AB595" s="52"/>
    </row>
    <row r="596">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c r="AA596" s="52"/>
      <c r="AB596" s="52"/>
    </row>
    <row r="597">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c r="AA597" s="52"/>
      <c r="AB597" s="52"/>
    </row>
    <row r="598">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c r="AA598" s="52"/>
      <c r="AB598" s="52"/>
    </row>
    <row r="599">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c r="AA599" s="52"/>
      <c r="AB599" s="52"/>
    </row>
    <row r="600">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c r="AA600" s="52"/>
      <c r="AB600" s="52"/>
    </row>
    <row r="60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c r="AA601" s="52"/>
      <c r="AB601" s="52"/>
    </row>
    <row r="602">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c r="AA602" s="52"/>
      <c r="AB602" s="52"/>
    </row>
    <row r="603">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c r="AA603" s="52"/>
      <c r="AB603" s="52"/>
    </row>
    <row r="604">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c r="AA604" s="52"/>
      <c r="AB604" s="52"/>
    </row>
    <row r="605">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c r="AA605" s="52"/>
      <c r="AB605" s="52"/>
    </row>
    <row r="606">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c r="AA606" s="52"/>
      <c r="AB606" s="52"/>
    </row>
    <row r="607">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c r="AA607" s="52"/>
      <c r="AB607" s="52"/>
    </row>
    <row r="608">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c r="AA608" s="52"/>
      <c r="AB608" s="52"/>
    </row>
    <row r="609">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c r="AA609" s="52"/>
      <c r="AB609" s="52"/>
    </row>
    <row r="610">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c r="AA610" s="52"/>
      <c r="AB610" s="52"/>
    </row>
    <row r="61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c r="AA611" s="52"/>
      <c r="AB611" s="52"/>
    </row>
    <row r="612">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c r="AA612" s="52"/>
      <c r="AB612" s="52"/>
    </row>
    <row r="613">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c r="AA613" s="52"/>
      <c r="AB613" s="52"/>
    </row>
    <row r="614">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c r="AA614" s="52"/>
      <c r="AB614" s="52"/>
    </row>
    <row r="615">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c r="AA615" s="52"/>
      <c r="AB615" s="52"/>
    </row>
    <row r="616">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c r="AA616" s="52"/>
      <c r="AB616" s="52"/>
    </row>
    <row r="617">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c r="AA617" s="52"/>
      <c r="AB617" s="52"/>
    </row>
    <row r="618">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c r="AA618" s="52"/>
      <c r="AB618" s="52"/>
    </row>
    <row r="619">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c r="AA619" s="52"/>
      <c r="AB619" s="52"/>
    </row>
    <row r="620">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c r="AA620" s="52"/>
      <c r="AB620" s="52"/>
    </row>
    <row r="62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c r="AA621" s="52"/>
      <c r="AB621" s="52"/>
    </row>
    <row r="622">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c r="AA622" s="52"/>
      <c r="AB622" s="52"/>
    </row>
    <row r="623">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c r="AA623" s="52"/>
      <c r="AB623" s="52"/>
    </row>
    <row r="624">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c r="AA624" s="52"/>
      <c r="AB624" s="52"/>
    </row>
    <row r="625">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c r="AA625" s="52"/>
      <c r="AB625" s="52"/>
    </row>
    <row r="626">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c r="AA626" s="52"/>
      <c r="AB626" s="52"/>
    </row>
    <row r="627">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c r="AA627" s="52"/>
      <c r="AB627" s="52"/>
    </row>
    <row r="628">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c r="AA628" s="52"/>
      <c r="AB628" s="52"/>
    </row>
    <row r="629">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c r="AA629" s="52"/>
      <c r="AB629" s="52"/>
    </row>
    <row r="630">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c r="AA630" s="52"/>
      <c r="AB630" s="52"/>
    </row>
    <row r="63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c r="AA631" s="52"/>
      <c r="AB631" s="52"/>
    </row>
    <row r="632">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c r="AA632" s="52"/>
      <c r="AB632" s="52"/>
    </row>
    <row r="633">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c r="AA633" s="52"/>
      <c r="AB633" s="52"/>
    </row>
    <row r="634">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c r="AA634" s="52"/>
      <c r="AB634" s="52"/>
    </row>
    <row r="635">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c r="AA635" s="52"/>
      <c r="AB635" s="52"/>
    </row>
    <row r="636">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c r="AA636" s="52"/>
      <c r="AB636" s="52"/>
    </row>
    <row r="637">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c r="AA637" s="52"/>
      <c r="AB637" s="52"/>
    </row>
    <row r="638">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c r="AA638" s="52"/>
      <c r="AB638" s="52"/>
    </row>
    <row r="639">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c r="AA639" s="52"/>
      <c r="AB639" s="52"/>
    </row>
    <row r="640">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c r="AA640" s="52"/>
      <c r="AB640" s="52"/>
    </row>
    <row r="64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c r="AA641" s="52"/>
      <c r="AB641" s="52"/>
    </row>
    <row r="642">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c r="AA642" s="52"/>
      <c r="AB642" s="52"/>
    </row>
    <row r="643">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c r="AA643" s="52"/>
      <c r="AB643" s="52"/>
    </row>
    <row r="644">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c r="AA644" s="52"/>
      <c r="AB644" s="52"/>
    </row>
    <row r="645">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c r="AA645" s="52"/>
      <c r="AB645" s="52"/>
    </row>
    <row r="646">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c r="AA646" s="52"/>
      <c r="AB646" s="52"/>
    </row>
    <row r="647">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c r="AA647" s="52"/>
      <c r="AB647" s="52"/>
    </row>
    <row r="648">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c r="AA648" s="52"/>
      <c r="AB648" s="52"/>
    </row>
    <row r="649">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c r="AA649" s="52"/>
      <c r="AB649" s="52"/>
    </row>
    <row r="650">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c r="AA650" s="52"/>
      <c r="AB650" s="52"/>
    </row>
    <row r="65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c r="AA651" s="52"/>
      <c r="AB651" s="52"/>
    </row>
    <row r="652">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c r="AA652" s="52"/>
      <c r="AB652" s="52"/>
    </row>
    <row r="653">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c r="AA653" s="52"/>
      <c r="AB653" s="52"/>
    </row>
    <row r="654">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c r="AA654" s="52"/>
      <c r="AB654" s="52"/>
    </row>
    <row r="655">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c r="AA655" s="52"/>
      <c r="AB655" s="52"/>
    </row>
    <row r="656">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c r="AA656" s="52"/>
      <c r="AB656" s="52"/>
    </row>
    <row r="657">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c r="AA657" s="52"/>
      <c r="AB657" s="52"/>
    </row>
    <row r="658">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c r="AA658" s="52"/>
      <c r="AB658" s="52"/>
    </row>
    <row r="659">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c r="AA659" s="52"/>
      <c r="AB659" s="52"/>
    </row>
    <row r="660">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c r="AA660" s="52"/>
      <c r="AB660" s="52"/>
    </row>
    <row r="66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c r="AA661" s="52"/>
      <c r="AB661" s="52"/>
    </row>
    <row r="662">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c r="AA662" s="52"/>
      <c r="AB662" s="52"/>
    </row>
    <row r="663">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c r="AA663" s="52"/>
      <c r="AB663" s="52"/>
    </row>
    <row r="664">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c r="AA664" s="52"/>
      <c r="AB664" s="52"/>
    </row>
    <row r="665">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c r="AA665" s="52"/>
      <c r="AB665" s="52"/>
    </row>
    <row r="666">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c r="AA666" s="52"/>
      <c r="AB666" s="52"/>
    </row>
    <row r="667">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c r="AA667" s="52"/>
      <c r="AB667" s="52"/>
    </row>
    <row r="668">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c r="AA668" s="52"/>
      <c r="AB668" s="52"/>
    </row>
    <row r="669">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c r="AA669" s="52"/>
      <c r="AB669" s="52"/>
    </row>
    <row r="670">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c r="AA670" s="52"/>
      <c r="AB670" s="52"/>
    </row>
    <row r="67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c r="AA671" s="52"/>
      <c r="AB671" s="52"/>
    </row>
    <row r="672">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c r="AA672" s="52"/>
      <c r="AB672" s="52"/>
    </row>
    <row r="673">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c r="AA673" s="52"/>
      <c r="AB673" s="52"/>
    </row>
    <row r="674">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c r="AA674" s="52"/>
      <c r="AB674" s="52"/>
    </row>
    <row r="675">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c r="AA675" s="52"/>
      <c r="AB675" s="52"/>
    </row>
    <row r="676">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c r="AA676" s="52"/>
      <c r="AB676" s="52"/>
    </row>
    <row r="677">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c r="AA677" s="52"/>
      <c r="AB677" s="52"/>
    </row>
    <row r="678">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c r="AA678" s="52"/>
      <c r="AB678" s="52"/>
    </row>
    <row r="679">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c r="AA679" s="52"/>
      <c r="AB679" s="52"/>
    </row>
    <row r="680">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c r="AA680" s="52"/>
      <c r="AB680" s="52"/>
    </row>
    <row r="68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c r="AA681" s="52"/>
      <c r="AB681" s="52"/>
    </row>
    <row r="682">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c r="AA682" s="52"/>
      <c r="AB682" s="52"/>
    </row>
    <row r="683">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c r="AA683" s="52"/>
      <c r="AB683" s="52"/>
    </row>
    <row r="684">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c r="AA684" s="52"/>
      <c r="AB684" s="52"/>
    </row>
    <row r="685">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c r="AA685" s="52"/>
      <c r="AB685" s="52"/>
    </row>
    <row r="686">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c r="AA686" s="52"/>
      <c r="AB686" s="52"/>
    </row>
    <row r="687">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c r="AA687" s="52"/>
      <c r="AB687" s="52"/>
    </row>
    <row r="688">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c r="AA688" s="52"/>
      <c r="AB688" s="52"/>
    </row>
    <row r="689">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c r="AA689" s="52"/>
      <c r="AB689" s="52"/>
    </row>
    <row r="690">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c r="AA690" s="52"/>
      <c r="AB690" s="52"/>
    </row>
    <row r="69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c r="AA691" s="52"/>
      <c r="AB691" s="52"/>
    </row>
    <row r="692">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c r="AA692" s="52"/>
      <c r="AB692" s="52"/>
    </row>
    <row r="693">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c r="AA693" s="52"/>
      <c r="AB693" s="52"/>
    </row>
    <row r="694">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c r="AA694" s="52"/>
      <c r="AB694" s="52"/>
    </row>
    <row r="695">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c r="AA695" s="52"/>
      <c r="AB695" s="52"/>
    </row>
    <row r="696">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c r="AA696" s="52"/>
      <c r="AB696" s="52"/>
    </row>
    <row r="697">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c r="AA697" s="52"/>
      <c r="AB697" s="52"/>
    </row>
    <row r="698">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c r="AA698" s="52"/>
      <c r="AB698" s="52"/>
    </row>
    <row r="699">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c r="AA699" s="52"/>
      <c r="AB699" s="52"/>
    </row>
    <row r="700">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c r="AA700" s="52"/>
      <c r="AB700" s="52"/>
    </row>
    <row r="70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c r="AA701" s="52"/>
      <c r="AB701" s="52"/>
    </row>
    <row r="702">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c r="AA702" s="52"/>
      <c r="AB702" s="52"/>
    </row>
    <row r="703">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c r="AA703" s="52"/>
      <c r="AB703" s="52"/>
    </row>
    <row r="704">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c r="AA704" s="52"/>
      <c r="AB704" s="52"/>
    </row>
    <row r="705">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c r="AA705" s="52"/>
      <c r="AB705" s="52"/>
    </row>
    <row r="706">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c r="AA706" s="52"/>
      <c r="AB706" s="52"/>
    </row>
    <row r="707">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c r="AA707" s="52"/>
      <c r="AB707" s="52"/>
    </row>
    <row r="708">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c r="AA708" s="52"/>
      <c r="AB708" s="52"/>
    </row>
    <row r="709">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c r="AA709" s="52"/>
      <c r="AB709" s="52"/>
    </row>
    <row r="710">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c r="AA710" s="52"/>
      <c r="AB710" s="52"/>
    </row>
    <row r="71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c r="AA711" s="52"/>
      <c r="AB711" s="52"/>
    </row>
    <row r="712">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c r="AA712" s="52"/>
      <c r="AB712" s="52"/>
    </row>
    <row r="713">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c r="AA713" s="52"/>
      <c r="AB713" s="52"/>
    </row>
    <row r="714">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c r="AA714" s="52"/>
      <c r="AB714" s="52"/>
    </row>
    <row r="715">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c r="AA715" s="52"/>
      <c r="AB715" s="52"/>
    </row>
    <row r="716">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c r="AA716" s="52"/>
      <c r="AB716" s="52"/>
    </row>
    <row r="717">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c r="AA717" s="52"/>
      <c r="AB717" s="52"/>
    </row>
    <row r="718">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c r="AA718" s="52"/>
      <c r="AB718" s="52"/>
    </row>
    <row r="719">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c r="AA719" s="52"/>
      <c r="AB719" s="52"/>
    </row>
    <row r="720">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c r="AA720" s="52"/>
      <c r="AB720" s="52"/>
    </row>
    <row r="72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c r="AA721" s="52"/>
      <c r="AB721" s="52"/>
    </row>
    <row r="722">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c r="AA722" s="52"/>
      <c r="AB722" s="52"/>
    </row>
    <row r="723">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c r="AA723" s="52"/>
      <c r="AB723" s="52"/>
    </row>
    <row r="724">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c r="AA724" s="52"/>
      <c r="AB724" s="52"/>
    </row>
    <row r="725">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c r="AA725" s="52"/>
      <c r="AB725" s="52"/>
    </row>
    <row r="726">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c r="AA726" s="52"/>
      <c r="AB726" s="52"/>
    </row>
    <row r="727">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c r="AA727" s="52"/>
      <c r="AB727" s="52"/>
    </row>
    <row r="728">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c r="AA728" s="52"/>
      <c r="AB728" s="52"/>
    </row>
    <row r="729">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c r="AA729" s="52"/>
      <c r="AB729" s="52"/>
    </row>
    <row r="730">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c r="AA730" s="52"/>
      <c r="AB730" s="52"/>
    </row>
    <row r="73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c r="AA731" s="52"/>
      <c r="AB731" s="52"/>
    </row>
    <row r="732">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c r="AA732" s="52"/>
      <c r="AB732" s="52"/>
    </row>
    <row r="733">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c r="AA733" s="52"/>
      <c r="AB733" s="52"/>
    </row>
    <row r="734">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c r="AA734" s="52"/>
      <c r="AB734" s="52"/>
    </row>
    <row r="735">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c r="AA735" s="52"/>
      <c r="AB735" s="52"/>
    </row>
    <row r="736">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c r="AA736" s="52"/>
      <c r="AB736" s="52"/>
    </row>
    <row r="737">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c r="AA737" s="52"/>
      <c r="AB737" s="52"/>
    </row>
    <row r="738">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c r="AA738" s="52"/>
      <c r="AB738" s="52"/>
    </row>
    <row r="739">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c r="AA739" s="52"/>
      <c r="AB739" s="52"/>
    </row>
    <row r="740">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c r="AA740" s="52"/>
      <c r="AB740" s="52"/>
    </row>
    <row r="74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c r="AA741" s="52"/>
      <c r="AB741" s="52"/>
    </row>
    <row r="742">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c r="AA742" s="52"/>
      <c r="AB742" s="52"/>
    </row>
    <row r="743">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c r="AA743" s="52"/>
      <c r="AB743" s="52"/>
    </row>
    <row r="744">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c r="AA744" s="52"/>
      <c r="AB744" s="52"/>
    </row>
    <row r="745">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c r="AA745" s="52"/>
      <c r="AB745" s="52"/>
    </row>
    <row r="746">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c r="AA746" s="52"/>
      <c r="AB746" s="52"/>
    </row>
    <row r="747">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c r="AA747" s="52"/>
      <c r="AB747" s="52"/>
    </row>
    <row r="748">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c r="AA748" s="52"/>
      <c r="AB748" s="52"/>
    </row>
    <row r="749">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c r="AA749" s="52"/>
      <c r="AB749" s="52"/>
    </row>
    <row r="750">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c r="AA750" s="52"/>
      <c r="AB750" s="52"/>
    </row>
    <row r="75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c r="AA751" s="52"/>
      <c r="AB751" s="52"/>
    </row>
    <row r="752">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c r="AA752" s="52"/>
      <c r="AB752" s="52"/>
    </row>
    <row r="753">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c r="AA753" s="52"/>
      <c r="AB753" s="52"/>
    </row>
    <row r="754">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c r="AA754" s="52"/>
      <c r="AB754" s="52"/>
    </row>
    <row r="755">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c r="AA755" s="52"/>
      <c r="AB755" s="52"/>
    </row>
    <row r="756">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c r="AA756" s="52"/>
      <c r="AB756" s="52"/>
    </row>
    <row r="757">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c r="AA757" s="52"/>
      <c r="AB757" s="52"/>
    </row>
    <row r="758">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c r="AA758" s="52"/>
      <c r="AB758" s="52"/>
    </row>
    <row r="759">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c r="AA759" s="52"/>
      <c r="AB759" s="52"/>
    </row>
    <row r="760">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c r="AA760" s="52"/>
      <c r="AB760" s="52"/>
    </row>
    <row r="76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c r="AA761" s="52"/>
      <c r="AB761" s="52"/>
    </row>
    <row r="762">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c r="AA762" s="52"/>
      <c r="AB762" s="52"/>
    </row>
    <row r="763">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c r="AA763" s="52"/>
      <c r="AB763" s="52"/>
    </row>
    <row r="764">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c r="AA764" s="52"/>
      <c r="AB764" s="52"/>
    </row>
    <row r="765">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c r="AA765" s="52"/>
      <c r="AB765" s="52"/>
    </row>
    <row r="766">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c r="AA766" s="52"/>
      <c r="AB766" s="52"/>
    </row>
    <row r="767">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c r="AA767" s="52"/>
      <c r="AB767" s="52"/>
    </row>
    <row r="768">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c r="AA768" s="52"/>
      <c r="AB768" s="52"/>
    </row>
    <row r="769">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c r="AA769" s="52"/>
      <c r="AB769" s="52"/>
    </row>
    <row r="770">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c r="AA770" s="52"/>
      <c r="AB770" s="52"/>
    </row>
    <row r="77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c r="AA771" s="52"/>
      <c r="AB771" s="52"/>
    </row>
    <row r="772">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c r="AA772" s="52"/>
      <c r="AB772" s="52"/>
    </row>
    <row r="773">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c r="AA773" s="52"/>
      <c r="AB773" s="52"/>
    </row>
    <row r="774">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c r="AA774" s="52"/>
      <c r="AB774" s="52"/>
    </row>
    <row r="775">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c r="AA775" s="52"/>
      <c r="AB775" s="52"/>
    </row>
    <row r="776">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c r="AA776" s="52"/>
      <c r="AB776" s="52"/>
    </row>
    <row r="777">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c r="AA777" s="52"/>
      <c r="AB777" s="52"/>
    </row>
    <row r="778">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c r="AA778" s="52"/>
      <c r="AB778" s="52"/>
    </row>
    <row r="779">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c r="AA779" s="52"/>
      <c r="AB779" s="52"/>
    </row>
    <row r="780">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c r="AA780" s="52"/>
      <c r="AB780" s="52"/>
    </row>
    <row r="78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c r="AA781" s="52"/>
      <c r="AB781" s="52"/>
    </row>
    <row r="782">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c r="AA782" s="52"/>
      <c r="AB782" s="52"/>
    </row>
    <row r="783">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c r="AA783" s="52"/>
      <c r="AB783" s="52"/>
    </row>
    <row r="784">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c r="AA784" s="52"/>
      <c r="AB784" s="52"/>
    </row>
    <row r="785">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c r="AA785" s="52"/>
      <c r="AB785" s="52"/>
    </row>
    <row r="786">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c r="AA786" s="52"/>
      <c r="AB786" s="52"/>
    </row>
    <row r="787">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c r="AA787" s="52"/>
      <c r="AB787" s="52"/>
    </row>
    <row r="788">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c r="AA788" s="52"/>
      <c r="AB788" s="52"/>
    </row>
    <row r="789">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c r="AA789" s="52"/>
      <c r="AB789" s="52"/>
    </row>
    <row r="790">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c r="AA790" s="52"/>
      <c r="AB790" s="52"/>
    </row>
    <row r="79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c r="AA791" s="52"/>
      <c r="AB791" s="52"/>
    </row>
    <row r="792">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c r="AA792" s="52"/>
      <c r="AB792" s="52"/>
    </row>
    <row r="793">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c r="AA793" s="52"/>
      <c r="AB793" s="52"/>
    </row>
    <row r="794">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c r="AA794" s="52"/>
      <c r="AB794" s="52"/>
    </row>
    <row r="795">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c r="AA795" s="52"/>
      <c r="AB795" s="52"/>
    </row>
    <row r="796">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c r="AA796" s="52"/>
      <c r="AB796" s="52"/>
    </row>
    <row r="797">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c r="AA797" s="52"/>
      <c r="AB797" s="52"/>
    </row>
    <row r="798">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c r="AA798" s="52"/>
      <c r="AB798" s="52"/>
    </row>
    <row r="799">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c r="AA799" s="52"/>
      <c r="AB799" s="52"/>
    </row>
    <row r="800">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c r="AA800" s="52"/>
      <c r="AB800" s="52"/>
    </row>
    <row r="80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c r="AA801" s="52"/>
      <c r="AB801" s="52"/>
    </row>
    <row r="802">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c r="AA802" s="52"/>
      <c r="AB802" s="52"/>
    </row>
    <row r="803">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c r="AA803" s="52"/>
      <c r="AB803" s="52"/>
    </row>
    <row r="804">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c r="AA804" s="52"/>
      <c r="AB804" s="52"/>
    </row>
    <row r="805">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c r="AA805" s="52"/>
      <c r="AB805" s="52"/>
    </row>
    <row r="806">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c r="AA806" s="52"/>
      <c r="AB806" s="52"/>
    </row>
    <row r="807">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c r="AA807" s="52"/>
      <c r="AB807" s="52"/>
    </row>
    <row r="808">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c r="AA808" s="52"/>
      <c r="AB808" s="52"/>
    </row>
    <row r="809">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c r="AA809" s="52"/>
      <c r="AB809" s="52"/>
    </row>
    <row r="810">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c r="AA810" s="52"/>
      <c r="AB810" s="52"/>
    </row>
    <row r="81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c r="AA811" s="52"/>
      <c r="AB811" s="52"/>
    </row>
    <row r="812">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c r="AA812" s="52"/>
      <c r="AB812" s="52"/>
    </row>
    <row r="813">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c r="AA813" s="52"/>
      <c r="AB813" s="52"/>
    </row>
    <row r="814">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c r="AA814" s="52"/>
      <c r="AB814" s="52"/>
    </row>
    <row r="815">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c r="AA815" s="52"/>
      <c r="AB815" s="52"/>
    </row>
    <row r="816">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c r="AA816" s="52"/>
      <c r="AB816" s="52"/>
    </row>
    <row r="817">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c r="AA817" s="52"/>
      <c r="AB817" s="52"/>
    </row>
    <row r="818">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c r="AA818" s="52"/>
      <c r="AB818" s="52"/>
    </row>
    <row r="819">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c r="AA819" s="52"/>
      <c r="AB819" s="52"/>
    </row>
    <row r="820">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c r="AA820" s="52"/>
      <c r="AB820" s="52"/>
    </row>
    <row r="82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c r="AA821" s="52"/>
      <c r="AB821" s="52"/>
    </row>
    <row r="822">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c r="AA822" s="52"/>
      <c r="AB822" s="52"/>
    </row>
    <row r="823">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c r="AA823" s="52"/>
      <c r="AB823" s="52"/>
    </row>
    <row r="824">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c r="AA824" s="52"/>
      <c r="AB824" s="52"/>
    </row>
    <row r="825">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c r="AA825" s="52"/>
      <c r="AB825" s="52"/>
    </row>
    <row r="826">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c r="AA826" s="52"/>
      <c r="AB826" s="52"/>
    </row>
    <row r="827">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c r="AA827" s="52"/>
      <c r="AB827" s="52"/>
    </row>
    <row r="828">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c r="AA828" s="52"/>
      <c r="AB828" s="52"/>
    </row>
    <row r="829">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c r="AA829" s="52"/>
      <c r="AB829" s="52"/>
    </row>
    <row r="830">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c r="AA830" s="52"/>
      <c r="AB830" s="52"/>
    </row>
    <row r="83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c r="AA831" s="52"/>
      <c r="AB831" s="52"/>
    </row>
    <row r="832">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c r="AA832" s="52"/>
      <c r="AB832" s="52"/>
    </row>
    <row r="833">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c r="AA833" s="52"/>
      <c r="AB833" s="52"/>
    </row>
    <row r="834">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c r="AA834" s="52"/>
      <c r="AB834" s="52"/>
    </row>
    <row r="835">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c r="AA835" s="52"/>
      <c r="AB835" s="52"/>
    </row>
    <row r="836">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c r="AA836" s="52"/>
      <c r="AB836" s="52"/>
    </row>
    <row r="837">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c r="AA837" s="52"/>
      <c r="AB837" s="52"/>
    </row>
    <row r="838">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c r="AA838" s="52"/>
      <c r="AB838" s="52"/>
    </row>
    <row r="839">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c r="AA839" s="52"/>
      <c r="AB839" s="52"/>
    </row>
    <row r="840">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c r="AA840" s="52"/>
      <c r="AB840" s="52"/>
    </row>
    <row r="84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c r="AA841" s="52"/>
      <c r="AB841" s="52"/>
    </row>
    <row r="842">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c r="AA842" s="52"/>
      <c r="AB842" s="52"/>
    </row>
    <row r="843">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c r="AA843" s="52"/>
      <c r="AB843" s="52"/>
    </row>
    <row r="844">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c r="AA844" s="52"/>
      <c r="AB844" s="52"/>
    </row>
    <row r="845">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c r="AA845" s="52"/>
      <c r="AB845" s="52"/>
    </row>
    <row r="846">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c r="AA846" s="52"/>
      <c r="AB846" s="52"/>
    </row>
    <row r="847">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c r="AA847" s="52"/>
      <c r="AB847" s="52"/>
    </row>
    <row r="848">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c r="AA848" s="52"/>
      <c r="AB848" s="52"/>
    </row>
    <row r="849">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c r="AA849" s="52"/>
      <c r="AB849" s="52"/>
    </row>
    <row r="850">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c r="AA850" s="52"/>
      <c r="AB850" s="52"/>
    </row>
    <row r="85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c r="AA851" s="52"/>
      <c r="AB851" s="52"/>
    </row>
    <row r="852">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c r="AA852" s="52"/>
      <c r="AB852" s="52"/>
    </row>
    <row r="853">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c r="AA853" s="52"/>
      <c r="AB853" s="52"/>
    </row>
    <row r="854">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c r="AA854" s="52"/>
      <c r="AB854" s="52"/>
    </row>
    <row r="855">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c r="AA855" s="52"/>
      <c r="AB855" s="52"/>
    </row>
    <row r="856">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c r="AA856" s="52"/>
      <c r="AB856" s="52"/>
    </row>
    <row r="857">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c r="AA857" s="52"/>
      <c r="AB857" s="52"/>
    </row>
    <row r="858">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c r="AA858" s="52"/>
      <c r="AB858" s="52"/>
    </row>
    <row r="859">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c r="AA859" s="52"/>
      <c r="AB859" s="52"/>
    </row>
    <row r="860">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c r="AA860" s="52"/>
      <c r="AB860" s="52"/>
    </row>
    <row r="86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c r="AA861" s="52"/>
      <c r="AB861" s="52"/>
    </row>
    <row r="862">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c r="AA862" s="52"/>
      <c r="AB862" s="52"/>
    </row>
    <row r="863">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c r="AA863" s="52"/>
      <c r="AB863" s="52"/>
    </row>
    <row r="864">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c r="AA864" s="52"/>
      <c r="AB864" s="52"/>
    </row>
    <row r="865">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c r="AA865" s="52"/>
      <c r="AB865" s="52"/>
    </row>
    <row r="866">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c r="AA866" s="52"/>
      <c r="AB866" s="52"/>
    </row>
    <row r="867">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c r="AA867" s="52"/>
      <c r="AB867" s="52"/>
    </row>
    <row r="868">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c r="AA868" s="52"/>
      <c r="AB868" s="52"/>
    </row>
    <row r="869">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c r="AA869" s="52"/>
      <c r="AB869" s="52"/>
    </row>
    <row r="870">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c r="AA870" s="52"/>
      <c r="AB870" s="52"/>
    </row>
    <row r="87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c r="AA871" s="52"/>
      <c r="AB871" s="52"/>
    </row>
    <row r="872">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c r="AA872" s="52"/>
      <c r="AB872" s="52"/>
    </row>
    <row r="873">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c r="AA873" s="52"/>
      <c r="AB873" s="52"/>
    </row>
    <row r="874">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c r="AA874" s="52"/>
      <c r="AB874" s="52"/>
    </row>
    <row r="875">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c r="AA875" s="52"/>
      <c r="AB875" s="52"/>
    </row>
    <row r="876">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c r="AA876" s="52"/>
      <c r="AB876" s="52"/>
    </row>
    <row r="877">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c r="AA877" s="52"/>
      <c r="AB877" s="52"/>
    </row>
    <row r="878">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c r="AA878" s="52"/>
      <c r="AB878" s="52"/>
    </row>
    <row r="879">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c r="AA879" s="52"/>
      <c r="AB879" s="52"/>
    </row>
    <row r="880">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c r="AA880" s="52"/>
      <c r="AB880" s="52"/>
    </row>
    <row r="88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c r="AA881" s="52"/>
      <c r="AB881" s="52"/>
    </row>
    <row r="882">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c r="AA882" s="52"/>
      <c r="AB882" s="52"/>
    </row>
    <row r="883">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c r="AA883" s="52"/>
      <c r="AB883" s="52"/>
    </row>
    <row r="884">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c r="AA884" s="52"/>
      <c r="AB884" s="52"/>
    </row>
    <row r="885">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c r="AA885" s="52"/>
      <c r="AB885" s="52"/>
    </row>
    <row r="886">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c r="AA886" s="52"/>
      <c r="AB886" s="52"/>
    </row>
    <row r="887">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c r="AA887" s="52"/>
      <c r="AB887" s="52"/>
    </row>
    <row r="888">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c r="AA888" s="52"/>
      <c r="AB888" s="52"/>
    </row>
    <row r="889">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c r="AA889" s="52"/>
      <c r="AB889" s="52"/>
    </row>
    <row r="890">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c r="AA890" s="52"/>
      <c r="AB890" s="52"/>
    </row>
    <row r="89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c r="AA891" s="52"/>
      <c r="AB891" s="52"/>
    </row>
    <row r="892">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c r="AA892" s="52"/>
      <c r="AB892" s="52"/>
    </row>
    <row r="893">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c r="AA893" s="52"/>
      <c r="AB893" s="52"/>
    </row>
    <row r="894">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c r="AA894" s="52"/>
      <c r="AB894" s="52"/>
    </row>
    <row r="895">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c r="AA895" s="52"/>
      <c r="AB895" s="52"/>
    </row>
    <row r="896">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c r="AA896" s="52"/>
      <c r="AB896" s="52"/>
    </row>
    <row r="897">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c r="AA897" s="52"/>
      <c r="AB897" s="52"/>
    </row>
    <row r="898">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c r="AA898" s="52"/>
      <c r="AB898" s="52"/>
    </row>
    <row r="899">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c r="AA899" s="52"/>
      <c r="AB899" s="52"/>
    </row>
    <row r="900">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c r="AA900" s="52"/>
      <c r="AB900" s="52"/>
    </row>
    <row r="90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c r="AA901" s="52"/>
      <c r="AB901" s="52"/>
    </row>
    <row r="902">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c r="AA902" s="52"/>
      <c r="AB902" s="52"/>
    </row>
    <row r="903">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c r="AA903" s="52"/>
      <c r="AB903" s="52"/>
    </row>
    <row r="904">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c r="AA904" s="52"/>
      <c r="AB904" s="52"/>
    </row>
    <row r="905">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c r="AA905" s="52"/>
      <c r="AB905" s="52"/>
    </row>
    <row r="906">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c r="AA906" s="52"/>
      <c r="AB906" s="52"/>
    </row>
    <row r="907">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c r="AA907" s="52"/>
      <c r="AB907" s="52"/>
    </row>
    <row r="908">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c r="AA908" s="52"/>
      <c r="AB908" s="52"/>
    </row>
    <row r="909">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c r="AA909" s="52"/>
      <c r="AB909" s="52"/>
    </row>
    <row r="910">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c r="AA910" s="52"/>
      <c r="AB910" s="52"/>
    </row>
    <row r="91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c r="AA911" s="52"/>
      <c r="AB911" s="52"/>
    </row>
    <row r="912">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c r="AA912" s="52"/>
      <c r="AB912" s="52"/>
    </row>
    <row r="913">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c r="AA913" s="52"/>
      <c r="AB913" s="52"/>
    </row>
    <row r="914">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c r="AA914" s="52"/>
      <c r="AB914" s="52"/>
    </row>
    <row r="915">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c r="AA915" s="52"/>
      <c r="AB915" s="52"/>
    </row>
    <row r="916">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c r="AA916" s="52"/>
      <c r="AB916" s="52"/>
    </row>
    <row r="917">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c r="AA917" s="52"/>
      <c r="AB917" s="52"/>
    </row>
    <row r="918">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c r="AA918" s="52"/>
      <c r="AB918" s="52"/>
    </row>
    <row r="919">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c r="AA919" s="52"/>
      <c r="AB919" s="52"/>
    </row>
    <row r="920">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c r="AA920" s="52"/>
      <c r="AB920" s="52"/>
    </row>
    <row r="92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c r="AA921" s="52"/>
      <c r="AB921" s="52"/>
    </row>
    <row r="922">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c r="AA922" s="52"/>
      <c r="AB922" s="52"/>
    </row>
    <row r="923">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c r="AA923" s="52"/>
      <c r="AB923" s="52"/>
    </row>
    <row r="924">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c r="AA924" s="52"/>
      <c r="AB924" s="52"/>
    </row>
    <row r="925">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c r="AA925" s="52"/>
      <c r="AB925" s="52"/>
    </row>
    <row r="926">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c r="AA926" s="52"/>
      <c r="AB926" s="52"/>
    </row>
    <row r="927">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c r="AA927" s="52"/>
      <c r="AB927" s="52"/>
    </row>
    <row r="928">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c r="AA928" s="52"/>
      <c r="AB928" s="52"/>
    </row>
    <row r="929">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c r="AA929" s="52"/>
      <c r="AB929" s="52"/>
    </row>
    <row r="930">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c r="AA930" s="52"/>
      <c r="AB930" s="52"/>
    </row>
    <row r="93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c r="AA931" s="52"/>
      <c r="AB931" s="52"/>
    </row>
    <row r="932">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c r="AA932" s="52"/>
      <c r="AB932" s="52"/>
    </row>
    <row r="933">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c r="AA933" s="52"/>
      <c r="AB933" s="52"/>
    </row>
    <row r="934">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c r="AA934" s="52"/>
      <c r="AB934" s="52"/>
    </row>
    <row r="935">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c r="AA935" s="52"/>
      <c r="AB935" s="52"/>
    </row>
    <row r="936">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c r="AA936" s="52"/>
      <c r="AB936" s="52"/>
    </row>
    <row r="937">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c r="AA937" s="52"/>
      <c r="AB937" s="52"/>
    </row>
    <row r="938">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c r="AA938" s="52"/>
      <c r="AB938" s="52"/>
    </row>
    <row r="939">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c r="AA939" s="52"/>
      <c r="AB939" s="52"/>
    </row>
    <row r="940">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c r="AA940" s="52"/>
      <c r="AB940" s="52"/>
    </row>
    <row r="94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c r="AA941" s="52"/>
      <c r="AB941" s="52"/>
    </row>
    <row r="942">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c r="AA942" s="52"/>
      <c r="AB942" s="52"/>
    </row>
    <row r="943">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c r="AA943" s="52"/>
      <c r="AB943" s="52"/>
    </row>
    <row r="944">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c r="AA944" s="52"/>
      <c r="AB944" s="52"/>
    </row>
    <row r="945">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c r="AA945" s="52"/>
      <c r="AB945" s="52"/>
    </row>
    <row r="946">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c r="AA946" s="52"/>
      <c r="AB946" s="52"/>
    </row>
    <row r="947">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c r="AA947" s="52"/>
      <c r="AB947" s="52"/>
    </row>
    <row r="948">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c r="AA948" s="52"/>
      <c r="AB948" s="52"/>
    </row>
    <row r="949">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c r="AA949" s="52"/>
      <c r="AB949" s="52"/>
    </row>
    <row r="950">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c r="AA950" s="52"/>
      <c r="AB950" s="52"/>
    </row>
    <row r="95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c r="AA951" s="52"/>
      <c r="AB951" s="52"/>
    </row>
    <row r="952">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c r="AA952" s="52"/>
      <c r="AB952" s="52"/>
    </row>
    <row r="953">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c r="AA953" s="52"/>
      <c r="AB953" s="52"/>
    </row>
    <row r="954">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c r="AA954" s="52"/>
      <c r="AB954" s="52"/>
    </row>
    <row r="955">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c r="AA955" s="52"/>
      <c r="AB955" s="52"/>
    </row>
    <row r="956">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c r="AA956" s="52"/>
      <c r="AB956" s="52"/>
    </row>
    <row r="957">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c r="AA957" s="52"/>
      <c r="AB957" s="52"/>
    </row>
    <row r="958">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c r="AA958" s="52"/>
      <c r="AB958" s="52"/>
    </row>
    <row r="959">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c r="AA959" s="52"/>
      <c r="AB959" s="52"/>
    </row>
    <row r="960">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c r="AA960" s="52"/>
      <c r="AB960" s="52"/>
    </row>
    <row r="96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c r="AA961" s="52"/>
      <c r="AB961" s="52"/>
    </row>
    <row r="962">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c r="AA962" s="52"/>
      <c r="AB962" s="52"/>
    </row>
    <row r="963">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c r="AA963" s="52"/>
      <c r="AB963" s="52"/>
    </row>
    <row r="964">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c r="AA964" s="52"/>
      <c r="AB964" s="52"/>
    </row>
    <row r="965">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c r="AA965" s="52"/>
      <c r="AB965" s="52"/>
    </row>
    <row r="966">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c r="AA966" s="52"/>
      <c r="AB966" s="52"/>
    </row>
    <row r="967">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c r="AA967" s="52"/>
      <c r="AB967" s="52"/>
    </row>
    <row r="968">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c r="AA968" s="52"/>
      <c r="AB968" s="52"/>
    </row>
    <row r="969">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c r="AA969" s="52"/>
      <c r="AB969" s="52"/>
    </row>
    <row r="970">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c r="AA970" s="52"/>
      <c r="AB970" s="52"/>
    </row>
    <row r="97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c r="AA971" s="52"/>
      <c r="AB971" s="52"/>
    </row>
    <row r="972">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c r="AA972" s="52"/>
      <c r="AB972" s="52"/>
    </row>
    <row r="973">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c r="AA973" s="52"/>
      <c r="AB973" s="52"/>
    </row>
    <row r="974">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c r="AA974" s="52"/>
      <c r="AB974" s="52"/>
    </row>
    <row r="975">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c r="AA975" s="52"/>
      <c r="AB975" s="52"/>
    </row>
    <row r="976">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c r="AA976" s="52"/>
      <c r="AB976" s="52"/>
    </row>
    <row r="977">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c r="AA977" s="52"/>
      <c r="AB977" s="52"/>
    </row>
    <row r="978">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c r="AA978" s="52"/>
      <c r="AB978" s="52"/>
    </row>
    <row r="979">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c r="AA979" s="52"/>
      <c r="AB979" s="52"/>
    </row>
    <row r="980">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c r="AA980" s="52"/>
      <c r="AB980" s="52"/>
    </row>
    <row r="98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c r="AA981" s="52"/>
      <c r="AB981" s="52"/>
    </row>
    <row r="982">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c r="AA982" s="52"/>
      <c r="AB982" s="52"/>
    </row>
    <row r="983">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c r="AA983" s="52"/>
      <c r="AB983" s="52"/>
    </row>
    <row r="984">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c r="AA984" s="52"/>
      <c r="AB984" s="52"/>
    </row>
    <row r="985">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c r="AA985" s="52"/>
      <c r="AB985" s="52"/>
    </row>
    <row r="986">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c r="AA986" s="52"/>
      <c r="AB986" s="52"/>
    </row>
    <row r="987">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c r="AA987" s="52"/>
      <c r="AB987" s="52"/>
    </row>
    <row r="988">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c r="AA988" s="52"/>
      <c r="AB988" s="52"/>
    </row>
    <row r="989">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c r="AA989" s="52"/>
      <c r="AB989" s="52"/>
    </row>
    <row r="990">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c r="AA990" s="52"/>
      <c r="AB990" s="52"/>
    </row>
    <row r="991">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row>
    <row r="992">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c r="AA992" s="52"/>
      <c r="AB992" s="52"/>
    </row>
    <row r="993">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c r="AA993" s="52"/>
      <c r="AB993" s="52"/>
    </row>
    <row r="994">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c r="AA994" s="52"/>
      <c r="AB994" s="52"/>
    </row>
    <row r="995">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c r="AA995" s="52"/>
      <c r="AB995" s="52"/>
    </row>
    <row r="996">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c r="AA996" s="52"/>
      <c r="AB996" s="52"/>
    </row>
    <row r="997">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c r="AA997" s="52"/>
      <c r="AB997" s="52"/>
    </row>
    <row r="998">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c r="AA998" s="52"/>
      <c r="AB998" s="52"/>
    </row>
    <row r="999">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c r="AA999" s="52"/>
      <c r="AB999" s="52"/>
    </row>
    <row r="1000">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c r="AA1000" s="52"/>
      <c r="AB1000" s="52"/>
    </row>
    <row r="1001">
      <c r="A1001" s="52"/>
      <c r="B1001" s="52"/>
      <c r="C1001" s="52"/>
      <c r="D1001" s="52"/>
      <c r="E1001" s="52"/>
      <c r="F1001" s="52"/>
      <c r="G1001" s="52"/>
      <c r="H1001" s="52"/>
      <c r="I1001" s="52"/>
      <c r="J1001" s="52"/>
      <c r="K1001" s="52"/>
      <c r="L1001" s="52"/>
      <c r="M1001" s="52"/>
      <c r="N1001" s="52"/>
      <c r="O1001" s="52"/>
      <c r="P1001" s="52"/>
      <c r="Q1001" s="52"/>
      <c r="R1001" s="52"/>
      <c r="S1001" s="52"/>
      <c r="T1001" s="52"/>
      <c r="U1001" s="52"/>
      <c r="V1001" s="52"/>
      <c r="W1001" s="52"/>
      <c r="X1001" s="52"/>
      <c r="Y1001" s="52"/>
      <c r="Z1001" s="52"/>
      <c r="AA1001" s="52"/>
      <c r="AB1001" s="52"/>
    </row>
    <row r="1002">
      <c r="A1002" s="52"/>
      <c r="B1002" s="52"/>
      <c r="C1002" s="52"/>
      <c r="D1002" s="52"/>
      <c r="E1002" s="52"/>
      <c r="F1002" s="52"/>
      <c r="G1002" s="52"/>
      <c r="H1002" s="52"/>
      <c r="I1002" s="52"/>
      <c r="J1002" s="52"/>
      <c r="K1002" s="52"/>
      <c r="L1002" s="52"/>
      <c r="M1002" s="52"/>
      <c r="N1002" s="52"/>
      <c r="O1002" s="52"/>
      <c r="P1002" s="52"/>
      <c r="Q1002" s="52"/>
      <c r="R1002" s="52"/>
      <c r="S1002" s="52"/>
      <c r="T1002" s="52"/>
      <c r="U1002" s="52"/>
      <c r="V1002" s="52"/>
      <c r="W1002" s="52"/>
      <c r="X1002" s="52"/>
      <c r="Y1002" s="52"/>
      <c r="Z1002" s="52"/>
      <c r="AA1002" s="52"/>
      <c r="AB1002" s="52"/>
    </row>
    <row r="1003">
      <c r="A1003" s="52"/>
      <c r="B1003" s="52"/>
      <c r="C1003" s="52"/>
      <c r="D1003" s="52"/>
      <c r="E1003" s="52"/>
      <c r="F1003" s="52"/>
      <c r="G1003" s="52"/>
      <c r="H1003" s="52"/>
      <c r="I1003" s="52"/>
      <c r="J1003" s="52"/>
      <c r="K1003" s="52"/>
      <c r="L1003" s="52"/>
      <c r="M1003" s="52"/>
      <c r="N1003" s="52"/>
      <c r="O1003" s="52"/>
      <c r="P1003" s="52"/>
      <c r="Q1003" s="52"/>
      <c r="R1003" s="52"/>
      <c r="S1003" s="52"/>
      <c r="T1003" s="52"/>
      <c r="U1003" s="52"/>
      <c r="V1003" s="52"/>
      <c r="W1003" s="52"/>
      <c r="X1003" s="52"/>
      <c r="Y1003" s="52"/>
      <c r="Z1003" s="52"/>
      <c r="AA1003" s="52"/>
      <c r="AB1003" s="52"/>
    </row>
  </sheetData>
  <mergeCells count="1">
    <mergeCell ref="A4:E4"/>
  </mergeCells>
  <dataValidations>
    <dataValidation type="list" allowBlank="1" showErrorMessage="1" sqref="B1 I2:J2">
      <formula1>"January,February,March,April,May,June,July,August,September,October,November,December"</formula1>
    </dataValidation>
    <dataValidation type="list" allowBlank="1" showErrorMessage="1" sqref="C1 K2">
      <formula1>"None,2025,2024,2023,2022,2021,2020"</formula1>
    </dataValidation>
    <dataValidation type="custom" allowBlank="1" showDropDown="1" sqref="J9:J19 D9:D58">
      <formula1>OR(NOT(ISERROR(DATEVALUE(D9))), AND(ISNUMBER(D9), LEFT(CELL("format", D9))="D"))</formula1>
    </dataValidation>
    <dataValidation type="list" allowBlank="1" showErrorMessage="1" sqref="H2">
      <formula1>'name sheet'!$A$1:$A$132</formula1>
    </dataValidation>
    <dataValidation type="custom" allowBlank="1" showDropDown="1" sqref="G9:H19 L9:L19 A9:B58 E9:E58">
      <formula1>AND(ISNUMBER(A9),(NOT(OR(NOT(ISERROR(DATEVALUE(A9))), AND(ISNUMBER(A9), LEFT(CELL("format", A9))="D")))))</formula1>
    </dataValidation>
  </dataValidations>
  <printOptions gridLines="1" horizontalCentered="1"/>
  <pageMargins bottom="0.75" footer="0.0" header="0.0" left="0.7" right="0.7" top="0.75"/>
  <pageSetup fitToHeight="0" cellComments="atEnd" orientation="portrait" pageOrder="overThenDown"/>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26.0"/>
    <col customWidth="1" min="3" max="3" width="9.38"/>
    <col customWidth="1" min="4" max="4" width="10.75"/>
    <col customWidth="1" min="5" max="5" width="6.0"/>
    <col customWidth="1" min="6" max="6" width="24.75"/>
    <col customWidth="1" min="7" max="7" width="9.38"/>
    <col customWidth="1" min="9" max="9" width="6.75"/>
    <col customWidth="1" min="10" max="10" width="39.5"/>
    <col customWidth="1" min="11" max="11" width="9.38"/>
    <col customWidth="1" min="14" max="14" width="6.5"/>
    <col customWidth="1" min="15" max="15" width="6.88"/>
    <col customWidth="1" min="16" max="16" width="7.0"/>
    <col customWidth="1" min="18" max="18" width="6.5"/>
    <col customWidth="1" min="19" max="19" width="6.88"/>
    <col customWidth="1" min="22" max="22" width="6.5"/>
    <col customWidth="1" min="23" max="23" width="6.88"/>
  </cols>
  <sheetData>
    <row r="1">
      <c r="A1" s="1"/>
      <c r="C1" s="2"/>
      <c r="E1" s="3"/>
      <c r="G1" s="2"/>
      <c r="I1" s="1"/>
      <c r="K1" s="2"/>
      <c r="Z1" s="4"/>
      <c r="AC1" s="4"/>
      <c r="AF1" s="4"/>
    </row>
    <row r="2">
      <c r="A2" s="5"/>
      <c r="C2" s="6"/>
      <c r="E2" s="7"/>
      <c r="G2" s="8"/>
      <c r="I2" s="9"/>
      <c r="K2" s="8"/>
      <c r="Z2" s="4"/>
      <c r="AC2" s="4"/>
      <c r="AF2" s="4"/>
    </row>
    <row r="3">
      <c r="A3" s="10" t="s">
        <v>0</v>
      </c>
      <c r="C3" s="6"/>
      <c r="E3" s="11" t="s">
        <v>1</v>
      </c>
      <c r="G3" s="6"/>
      <c r="I3" s="13" t="s">
        <v>2</v>
      </c>
      <c r="K3" s="6"/>
      <c r="M3" s="13" t="s">
        <v>2</v>
      </c>
      <c r="Q3" s="14" t="s">
        <v>1</v>
      </c>
      <c r="U3" s="15" t="s">
        <v>0</v>
      </c>
      <c r="Y3" s="13" t="s">
        <v>2</v>
      </c>
      <c r="AB3" s="14" t="s">
        <v>1</v>
      </c>
      <c r="AE3" s="15" t="s">
        <v>0</v>
      </c>
    </row>
    <row r="4">
      <c r="A4" s="17"/>
      <c r="B4" s="19"/>
      <c r="C4" s="24" t="s">
        <v>4</v>
      </c>
      <c r="D4" s="21"/>
      <c r="E4" s="23"/>
      <c r="F4" s="23"/>
      <c r="G4" s="24" t="s">
        <v>4</v>
      </c>
      <c r="H4" s="21"/>
      <c r="I4" s="26"/>
      <c r="J4" s="26"/>
      <c r="K4" s="24" t="s">
        <v>4</v>
      </c>
      <c r="L4" s="21"/>
      <c r="M4" s="21"/>
      <c r="N4" s="21"/>
      <c r="O4" s="21"/>
      <c r="P4" s="21"/>
      <c r="Q4" s="21"/>
      <c r="R4" s="21"/>
      <c r="S4" s="21"/>
      <c r="T4" s="21"/>
      <c r="U4" s="21"/>
      <c r="V4" s="21"/>
      <c r="W4" s="21"/>
      <c r="X4" s="21"/>
      <c r="Y4" s="21" t="str">
        <f>IFERROR(__xludf.DUMMYFUNCTION("QUERY(M:N, ""select M, AVG(N) where M is not null group by M label AVG(N) 'Average Rating'"", 0)"),"")</f>
        <v/>
      </c>
      <c r="Z4" s="36" t="str">
        <f>IFERROR(__xludf.DUMMYFUNCTION("""COMPUTED_VALUE"""),"Average Rating")</f>
        <v>Average Rating</v>
      </c>
      <c r="AA4" s="21"/>
      <c r="AB4" s="21" t="str">
        <f>IFERROR(__xludf.DUMMYFUNCTION("QUERY(Q:R, ""select Q, AVG(R) where Q is not null group by Q label AVG(R) 'Average Rating'"", 0)"),"")</f>
        <v/>
      </c>
      <c r="AC4" s="36" t="str">
        <f>IFERROR(__xludf.DUMMYFUNCTION("""COMPUTED_VALUE"""),"Average Rating")</f>
        <v>Average Rating</v>
      </c>
      <c r="AD4" s="21"/>
      <c r="AE4" s="21" t="str">
        <f>IFERROR(__xludf.DUMMYFUNCTION("QUERY(U:V, ""select U, AVG(V) where U is not null group by U label AVG(V) 'Average Rating'"", 0)"),"")</f>
        <v/>
      </c>
      <c r="AF4" s="36" t="str">
        <f>IFERROR(__xludf.DUMMYFUNCTION("""COMPUTED_VALUE"""),"Average Rating")</f>
        <v>Average Rating</v>
      </c>
      <c r="AG4" s="21"/>
      <c r="AH4" s="21"/>
      <c r="AI4" s="21"/>
      <c r="AJ4" s="21"/>
      <c r="AK4" s="21"/>
      <c r="AL4" s="21"/>
    </row>
    <row r="5">
      <c r="A5" s="43"/>
      <c r="B5" s="45" t="s">
        <v>10</v>
      </c>
      <c r="C5" s="4"/>
      <c r="E5" s="47"/>
      <c r="F5" s="48" t="s">
        <v>10</v>
      </c>
      <c r="G5" s="50"/>
      <c r="I5" s="53" t="s">
        <v>15</v>
      </c>
      <c r="J5" s="54"/>
      <c r="K5" s="55">
        <f>average(K6:K9)</f>
        <v>4.775192308</v>
      </c>
      <c r="M5" s="59" t="str">
        <f>IFERROR(__xludf.DUMMYFUNCTION("FILTER( {DATABASE!E2:E1099, DATABASE!AC2:AC1099, DATABASE!D2:D1099}, (DATABASE!D2:D1099 &gt;= DATE(2022,7,1)) * (DATABASE!D2:D1099 &lt;= DATE(2023,6,30)) )"),"EIG Metal Engravers")</f>
        <v>EIG Metal Engravers</v>
      </c>
      <c r="N5" s="4">
        <f>IFERROR(__xludf.DUMMYFUNCTION("""COMPUTED_VALUE"""),4.0)</f>
        <v>4</v>
      </c>
      <c r="O5" s="60">
        <f>IFERROR(__xludf.DUMMYFUNCTION("""COMPUTED_VALUE"""),44746.0)</f>
        <v>44746</v>
      </c>
      <c r="Q5" s="59" t="str">
        <f>IFERROR(__xludf.DUMMYFUNCTION("FILTER( {DATABASE!E2:E1099, DATABASE!AC2:AC1099, DATABASE!D2:D1099}, (DATABASE!D2:D1099 &gt;= DATE(2023,7,1)) * (DATABASE!D2:D1099 &lt;= DATE(2024,6,30)) )"),"Leonard Prints Inc.")</f>
        <v>Leonard Prints Inc.</v>
      </c>
      <c r="R5" s="4">
        <f>IFERROR(__xludf.DUMMYFUNCTION("""COMPUTED_VALUE"""),4.833333333333333)</f>
        <v>4.833333333</v>
      </c>
      <c r="S5" s="60">
        <f>IFERROR(__xludf.DUMMYFUNCTION("""COMPUTED_VALUE"""),45110.0)</f>
        <v>45110</v>
      </c>
      <c r="U5" s="59" t="str">
        <f>IFERROR(__xludf.DUMMYFUNCTION("FILTER( {DATABASE!E2:E1099, DATABASE!AC2:AC1099, DATABASE!D2:D1099}, (DATABASE!D2:D1099 &gt;= DATE(2024,7,1)) * (DATABASE!D2:D1099 &lt;= DATE(2025,6,30)) )"),"Creative Juice Digital Printing")</f>
        <v>Creative Juice Digital Printing</v>
      </c>
      <c r="V5" s="4">
        <f>IFERROR(__xludf.DUMMYFUNCTION("""COMPUTED_VALUE"""),4.833333333333333)</f>
        <v>4.833333333</v>
      </c>
      <c r="W5" s="60">
        <f>IFERROR(__xludf.DUMMYFUNCTION("""COMPUTED_VALUE"""),45476.0)</f>
        <v>45476</v>
      </c>
      <c r="Y5" s="59" t="str">
        <f>IFERROR(__xludf.DUMMYFUNCTION("""COMPUTED_VALUE"""),"2022-2023")</f>
        <v>2022-2023</v>
      </c>
      <c r="Z5" s="4"/>
      <c r="AB5" s="59" t="str">
        <f>IFERROR(__xludf.DUMMYFUNCTION("""COMPUTED_VALUE"""),"2023-2024")</f>
        <v>2023-2024</v>
      </c>
      <c r="AC5" s="4"/>
      <c r="AE5" s="59" t="str">
        <f>IFERROR(__xludf.DUMMYFUNCTION("""COMPUTED_VALUE"""),"2024-2025")</f>
        <v>2024-2025</v>
      </c>
      <c r="AF5" s="4"/>
    </row>
    <row r="6">
      <c r="A6" s="71" t="s">
        <v>29</v>
      </c>
      <c r="B6" s="54"/>
      <c r="C6" s="89" t="str">
        <f>average(C7:C12)</f>
        <v>#DIV/0!</v>
      </c>
      <c r="E6" s="78" t="s">
        <v>29</v>
      </c>
      <c r="F6" s="54"/>
      <c r="G6" s="55">
        <f>average(G7:G12)</f>
        <v>4.83125</v>
      </c>
      <c r="I6" s="83" t="s">
        <v>33</v>
      </c>
      <c r="J6" s="85"/>
      <c r="K6" s="50"/>
      <c r="M6" s="59" t="str">
        <f>IFERROR(__xludf.DUMMYFUNCTION("""COMPUTED_VALUE"""),"Atlas Superflags")</f>
        <v>Atlas Superflags</v>
      </c>
      <c r="N6" s="4">
        <f>IFERROR(__xludf.DUMMYFUNCTION("""COMPUTED_VALUE"""),5.0)</f>
        <v>5</v>
      </c>
      <c r="O6" s="60">
        <f>IFERROR(__xludf.DUMMYFUNCTION("""COMPUTED_VALUE"""),44750.0)</f>
        <v>44750</v>
      </c>
      <c r="Q6" s="59" t="str">
        <f>IFERROR(__xludf.DUMMYFUNCTION("""COMPUTED_VALUE"""),"Leonard Prints Inc.")</f>
        <v>Leonard Prints Inc.</v>
      </c>
      <c r="R6" s="4">
        <f>IFERROR(__xludf.DUMMYFUNCTION("""COMPUTED_VALUE"""),4.833333333333333)</f>
        <v>4.833333333</v>
      </c>
      <c r="S6" s="60">
        <f>IFERROR(__xludf.DUMMYFUNCTION("""COMPUTED_VALUE"""),45110.0)</f>
        <v>45110</v>
      </c>
      <c r="U6" s="59" t="str">
        <f>IFERROR(__xludf.DUMMYFUNCTION("""COMPUTED_VALUE"""),"Arkin Hardware")</f>
        <v>Arkin Hardware</v>
      </c>
      <c r="V6" s="4">
        <f>IFERROR(__xludf.DUMMYFUNCTION("""COMPUTED_VALUE"""),4.625)</f>
        <v>4.625</v>
      </c>
      <c r="W6" s="60">
        <f>IFERROR(__xludf.DUMMYFUNCTION("""COMPUTED_VALUE"""),45477.0)</f>
        <v>45477</v>
      </c>
      <c r="Y6" s="59" t="str">
        <f>IFERROR(__xludf.DUMMYFUNCTION("""COMPUTED_VALUE"""),"Abenson Ventures, Inc.")</f>
        <v>Abenson Ventures, Inc.</v>
      </c>
      <c r="Z6" s="4">
        <f>IFERROR(__xludf.DUMMYFUNCTION("""COMPUTED_VALUE"""),4.916666666666666)</f>
        <v>4.916666667</v>
      </c>
      <c r="AB6" s="59" t="str">
        <f>IFERROR(__xludf.DUMMYFUNCTION("""COMPUTED_VALUE"""),"ADBM Lightning Equipment Trading")</f>
        <v>ADBM Lightning Equipment Trading</v>
      </c>
      <c r="AC6" s="4">
        <f>IFERROR(__xludf.DUMMYFUNCTION("""COMPUTED_VALUE"""),5.0)</f>
        <v>5</v>
      </c>
      <c r="AE6" s="59" t="str">
        <f>IFERROR(__xludf.DUMMYFUNCTION("""COMPUTED_VALUE"""),"4David's Book Trading")</f>
        <v>4David's Book Trading</v>
      </c>
      <c r="AF6" s="4">
        <f>IFERROR(__xludf.DUMMYFUNCTION("""COMPUTED_VALUE"""),4.803333333333333)</f>
        <v>4.803333333</v>
      </c>
    </row>
    <row r="7">
      <c r="A7" s="95">
        <v>1.0</v>
      </c>
      <c r="B7" s="97" t="s">
        <v>48</v>
      </c>
      <c r="C7" s="50"/>
      <c r="E7" s="98">
        <v>1.0</v>
      </c>
      <c r="F7" s="98" t="s">
        <v>48</v>
      </c>
      <c r="G7" s="4">
        <v>4.833333333333333</v>
      </c>
      <c r="I7" s="101">
        <v>1.0</v>
      </c>
      <c r="J7" s="102" t="s">
        <v>51</v>
      </c>
      <c r="K7" s="4">
        <v>4.775192307692308</v>
      </c>
      <c r="M7" s="59" t="str">
        <f>IFERROR(__xludf.DUMMYFUNCTION("""COMPUTED_VALUE"""),"Atlas Superflags")</f>
        <v>Atlas Superflags</v>
      </c>
      <c r="N7" s="4">
        <f>IFERROR(__xludf.DUMMYFUNCTION("""COMPUTED_VALUE"""),4.066666666666666)</f>
        <v>4.066666667</v>
      </c>
      <c r="O7" s="60">
        <f>IFERROR(__xludf.DUMMYFUNCTION("""COMPUTED_VALUE"""),44750.0)</f>
        <v>44750</v>
      </c>
      <c r="Q7" s="59" t="str">
        <f>IFERROR(__xludf.DUMMYFUNCTION("""COMPUTED_VALUE"""),"Net Ad IT Solutions")</f>
        <v>Net Ad IT Solutions</v>
      </c>
      <c r="R7" s="4">
        <f>IFERROR(__xludf.DUMMYFUNCTION("""COMPUTED_VALUE"""),4.733333333333333)</f>
        <v>4.733333333</v>
      </c>
      <c r="S7" s="60">
        <f>IFERROR(__xludf.DUMMYFUNCTION("""COMPUTED_VALUE"""),45127.0)</f>
        <v>45127</v>
      </c>
      <c r="U7" s="59" t="str">
        <f>IFERROR(__xludf.DUMMYFUNCTION("""COMPUTED_VALUE"""),"EIG Metal Engravers")</f>
        <v>EIG Metal Engravers</v>
      </c>
      <c r="V7" s="4">
        <f>IFERROR(__xludf.DUMMYFUNCTION("""COMPUTED_VALUE"""),5.0)</f>
        <v>5</v>
      </c>
      <c r="W7" s="60">
        <f>IFERROR(__xludf.DUMMYFUNCTION("""COMPUTED_VALUE"""),45478.0)</f>
        <v>45478</v>
      </c>
      <c r="Y7" s="59" t="str">
        <f>IFERROR(__xludf.DUMMYFUNCTION("""COMPUTED_VALUE"""),"Ahrcel's Gift Shop")</f>
        <v>Ahrcel's Gift Shop</v>
      </c>
      <c r="Z7" s="4">
        <f>IFERROR(__xludf.DUMMYFUNCTION("""COMPUTED_VALUE"""),5.0)</f>
        <v>5</v>
      </c>
      <c r="AB7" s="59" t="str">
        <f>IFERROR(__xludf.DUMMYFUNCTION("""COMPUTED_VALUE"""),"Abacus Book &amp; Card Corp.")</f>
        <v>Abacus Book &amp; Card Corp.</v>
      </c>
      <c r="AC7" s="4">
        <f>IFERROR(__xludf.DUMMYFUNCTION("""COMPUTED_VALUE"""),4.845897435897436)</f>
        <v>4.845897436</v>
      </c>
      <c r="AE7" s="59" t="str">
        <f>IFERROR(__xludf.DUMMYFUNCTION("""COMPUTED_VALUE"""),"888 Tile Phil Corp")</f>
        <v>888 Tile Phil Corp</v>
      </c>
      <c r="AF7" s="4">
        <f>IFERROR(__xludf.DUMMYFUNCTION("""COMPUTED_VALUE"""),4.416666666666667)</f>
        <v>4.416666667</v>
      </c>
    </row>
    <row r="8">
      <c r="A8" s="95">
        <v>2.0</v>
      </c>
      <c r="B8" s="97" t="s">
        <v>53</v>
      </c>
      <c r="C8" s="50"/>
      <c r="E8" s="98">
        <v>2.0</v>
      </c>
      <c r="F8" s="98" t="s">
        <v>53</v>
      </c>
      <c r="G8" s="4">
        <v>4.758333333333333</v>
      </c>
      <c r="I8" s="108">
        <v>2.0</v>
      </c>
      <c r="J8" s="111" t="s">
        <v>55</v>
      </c>
      <c r="K8" s="2"/>
      <c r="M8" s="59" t="str">
        <f>IFERROR(__xludf.DUMMYFUNCTION("""COMPUTED_VALUE"""),"Marguerita Maria Nina I. Kanapi")</f>
        <v>Marguerita Maria Nina I. Kanapi</v>
      </c>
      <c r="N8" s="4">
        <f>IFERROR(__xludf.DUMMYFUNCTION("""COMPUTED_VALUE"""),5.0)</f>
        <v>5</v>
      </c>
      <c r="O8" s="60">
        <f>IFERROR(__xludf.DUMMYFUNCTION("""COMPUTED_VALUE"""),44756.0)</f>
        <v>44756</v>
      </c>
      <c r="Q8" s="59" t="str">
        <f>IFERROR(__xludf.DUMMYFUNCTION("""COMPUTED_VALUE"""),"Forefront Book Co., Inc.")</f>
        <v>Forefront Book Co., Inc.</v>
      </c>
      <c r="R8" s="4">
        <f>IFERROR(__xludf.DUMMYFUNCTION("""COMPUTED_VALUE"""),4.733333333333333)</f>
        <v>4.733333333</v>
      </c>
      <c r="S8" s="60">
        <f>IFERROR(__xludf.DUMMYFUNCTION("""COMPUTED_VALUE"""),45128.0)</f>
        <v>45128</v>
      </c>
      <c r="U8" s="59" t="str">
        <f>IFERROR(__xludf.DUMMYFUNCTION("""COMPUTED_VALUE"""),"Arkin Hardware")</f>
        <v>Arkin Hardware</v>
      </c>
      <c r="V8" s="4">
        <f>IFERROR(__xludf.DUMMYFUNCTION("""COMPUTED_VALUE"""),4.625)</f>
        <v>4.625</v>
      </c>
      <c r="W8" s="60">
        <f>IFERROR(__xludf.DUMMYFUNCTION("""COMPUTED_VALUE"""),45481.0)</f>
        <v>45481</v>
      </c>
      <c r="Y8" s="59" t="str">
        <f>IFERROR(__xludf.DUMMYFUNCTION("""COMPUTED_VALUE"""),"Alpha-Cored Technology Systems, Inc.")</f>
        <v>Alpha-Cored Technology Systems, Inc.</v>
      </c>
      <c r="Z8" s="4">
        <f>IFERROR(__xludf.DUMMYFUNCTION("""COMPUTED_VALUE"""),5.0)</f>
        <v>5</v>
      </c>
      <c r="AB8" s="59" t="str">
        <f>IFERROR(__xludf.DUMMYFUNCTION("""COMPUTED_VALUE"""),"Abenson Ventures, Inc.")</f>
        <v>Abenson Ventures, Inc.</v>
      </c>
      <c r="AC8" s="4">
        <f>IFERROR(__xludf.DUMMYFUNCTION("""COMPUTED_VALUE"""),4.608333333333333)</f>
        <v>4.608333333</v>
      </c>
      <c r="AE8" s="59" t="str">
        <f>IFERROR(__xludf.DUMMYFUNCTION("""COMPUTED_VALUE"""),"Abacus Book &amp; Card Corp.")</f>
        <v>Abacus Book &amp; Card Corp.</v>
      </c>
      <c r="AF8" s="4">
        <f>IFERROR(__xludf.DUMMYFUNCTION("""COMPUTED_VALUE"""),4.805555555555555)</f>
        <v>4.805555556</v>
      </c>
    </row>
    <row r="9">
      <c r="A9" s="95">
        <v>3.0</v>
      </c>
      <c r="B9" s="97" t="s">
        <v>61</v>
      </c>
      <c r="C9" s="50"/>
      <c r="E9" s="98">
        <v>3.0</v>
      </c>
      <c r="F9" s="98" t="s">
        <v>61</v>
      </c>
      <c r="G9" s="2"/>
      <c r="I9" s="108">
        <v>3.0</v>
      </c>
      <c r="J9" s="111" t="s">
        <v>63</v>
      </c>
      <c r="K9" s="2"/>
      <c r="M9" s="59" t="str">
        <f>IFERROR(__xludf.DUMMYFUNCTION("""COMPUTED_VALUE"""),"Hospeco Philippines, Inc.")</f>
        <v>Hospeco Philippines, Inc.</v>
      </c>
      <c r="N9" s="4">
        <f>IFERROR(__xludf.DUMMYFUNCTION("""COMPUTED_VALUE"""),4.533333333333333)</f>
        <v>4.533333333</v>
      </c>
      <c r="O9" s="60">
        <f>IFERROR(__xludf.DUMMYFUNCTION("""COMPUTED_VALUE"""),44757.0)</f>
        <v>44757</v>
      </c>
      <c r="Q9" s="59" t="str">
        <f>IFERROR(__xludf.DUMMYFUNCTION("""COMPUTED_VALUE"""),"Contrade Integrated Depot")</f>
        <v>Contrade Integrated Depot</v>
      </c>
      <c r="R9" s="4">
        <f>IFERROR(__xludf.DUMMYFUNCTION("""COMPUTED_VALUE"""),4.680000000000001)</f>
        <v>4.68</v>
      </c>
      <c r="S9" s="60">
        <f>IFERROR(__xludf.DUMMYFUNCTION("""COMPUTED_VALUE"""),45131.0)</f>
        <v>45131</v>
      </c>
      <c r="U9" s="59" t="str">
        <f>IFERROR(__xludf.DUMMYFUNCTION("""COMPUTED_VALUE"""),"Abiva Publishing House, Inc.")</f>
        <v>Abiva Publishing House, Inc.</v>
      </c>
      <c r="V9" s="4">
        <f>IFERROR(__xludf.DUMMYFUNCTION("""COMPUTED_VALUE"""),4.833333333333333)</f>
        <v>4.833333333</v>
      </c>
      <c r="W9" s="60">
        <f>IFERROR(__xludf.DUMMYFUNCTION("""COMPUTED_VALUE"""),45484.0)</f>
        <v>45484</v>
      </c>
      <c r="Y9" s="59" t="str">
        <f>IFERROR(__xludf.DUMMYFUNCTION("""COMPUTED_VALUE"""),"Amalgamated Specialties Corporation")</f>
        <v>Amalgamated Specialties Corporation</v>
      </c>
      <c r="Z9" s="4">
        <f>IFERROR(__xludf.DUMMYFUNCTION("""COMPUTED_VALUE"""),4.333333333333333)</f>
        <v>4.333333333</v>
      </c>
      <c r="AB9" s="59" t="str">
        <f>IFERROR(__xludf.DUMMYFUNCTION("""COMPUTED_VALUE"""),"Ahrcel's Gift Shop")</f>
        <v>Ahrcel's Gift Shop</v>
      </c>
      <c r="AC9" s="4">
        <f>IFERROR(__xludf.DUMMYFUNCTION("""COMPUTED_VALUE"""),4.836111111111111)</f>
        <v>4.836111111</v>
      </c>
      <c r="AE9" s="59" t="str">
        <f>IFERROR(__xludf.DUMMYFUNCTION("""COMPUTED_VALUE"""),"Abenson Ventures, Inc.")</f>
        <v>Abenson Ventures, Inc.</v>
      </c>
      <c r="AF9" s="4">
        <f>IFERROR(__xludf.DUMMYFUNCTION("""COMPUTED_VALUE"""),4.8973958333333325)</f>
        <v>4.897395833</v>
      </c>
    </row>
    <row r="10">
      <c r="A10" s="95">
        <v>4.0</v>
      </c>
      <c r="B10" s="97" t="s">
        <v>72</v>
      </c>
      <c r="C10" s="2"/>
      <c r="E10" s="98">
        <v>4.0</v>
      </c>
      <c r="F10" s="98" t="s">
        <v>72</v>
      </c>
      <c r="G10" s="4">
        <v>4.733333333333333</v>
      </c>
      <c r="I10" s="83" t="s">
        <v>73</v>
      </c>
      <c r="J10" s="85"/>
      <c r="K10" s="55" t="str">
        <f>average(K11:K14)</f>
        <v>#DIV/0!</v>
      </c>
      <c r="M10" s="59" t="str">
        <f>IFERROR(__xludf.DUMMYFUNCTION("""COMPUTED_VALUE"""),"Oray Copier Solutions")</f>
        <v>Oray Copier Solutions</v>
      </c>
      <c r="N10" s="4">
        <f>IFERROR(__xludf.DUMMYFUNCTION("""COMPUTED_VALUE"""),5.0)</f>
        <v>5</v>
      </c>
      <c r="O10" s="60">
        <f>IFERROR(__xludf.DUMMYFUNCTION("""COMPUTED_VALUE"""),44757.0)</f>
        <v>44757</v>
      </c>
      <c r="Q10" s="59" t="str">
        <f>IFERROR(__xludf.DUMMYFUNCTION("""COMPUTED_VALUE"""),"Alpha-Cored Technology Systems, Inc.")</f>
        <v>Alpha-Cored Technology Systems, Inc.</v>
      </c>
      <c r="R10" s="4">
        <f>IFERROR(__xludf.DUMMYFUNCTION("""COMPUTED_VALUE"""),5.0)</f>
        <v>5</v>
      </c>
      <c r="S10" s="60">
        <f>IFERROR(__xludf.DUMMYFUNCTION("""COMPUTED_VALUE"""),45134.0)</f>
        <v>45134</v>
      </c>
      <c r="U10" s="59" t="str">
        <f>IFERROR(__xludf.DUMMYFUNCTION("""COMPUTED_VALUE"""),"Mostaco Printing")</f>
        <v>Mostaco Printing</v>
      </c>
      <c r="V10" s="4">
        <f>IFERROR(__xludf.DUMMYFUNCTION("""COMPUTED_VALUE"""),4.833333333333333)</f>
        <v>4.833333333</v>
      </c>
      <c r="W10" s="60">
        <f>IFERROR(__xludf.DUMMYFUNCTION("""COMPUTED_VALUE"""),45492.0)</f>
        <v>45492</v>
      </c>
      <c r="Y10" s="59" t="str">
        <f>IFERROR(__xludf.DUMMYFUNCTION("""COMPUTED_VALUE"""),"Amazon")</f>
        <v>Amazon</v>
      </c>
      <c r="Z10" s="4">
        <f>IFERROR(__xludf.DUMMYFUNCTION("""COMPUTED_VALUE"""),4.708)</f>
        <v>4.708</v>
      </c>
      <c r="AB10" s="59" t="str">
        <f>IFERROR(__xludf.DUMMYFUNCTION("""COMPUTED_VALUE"""),"Alpha Steel Office and Home Furnishing Company")</f>
        <v>Alpha Steel Office and Home Furnishing Company</v>
      </c>
      <c r="AC10" s="4">
        <f>IFERROR(__xludf.DUMMYFUNCTION("""COMPUTED_VALUE"""),5.0)</f>
        <v>5</v>
      </c>
      <c r="AE10" s="59" t="str">
        <f>IFERROR(__xludf.DUMMYFUNCTION("""COMPUTED_VALUE"""),"Abiva Publishing House, Inc.")</f>
        <v>Abiva Publishing House, Inc.</v>
      </c>
      <c r="AF10" s="4">
        <f>IFERROR(__xludf.DUMMYFUNCTION("""COMPUTED_VALUE"""),4.833333333333333)</f>
        <v>4.833333333</v>
      </c>
    </row>
    <row r="11">
      <c r="A11" s="95">
        <v>5.0</v>
      </c>
      <c r="B11" s="97" t="s">
        <v>81</v>
      </c>
      <c r="C11" s="125"/>
      <c r="E11" s="98">
        <v>5.0</v>
      </c>
      <c r="F11" s="98" t="s">
        <v>81</v>
      </c>
      <c r="G11" s="125"/>
      <c r="I11" s="101">
        <v>4.0</v>
      </c>
      <c r="J11" s="111" t="s">
        <v>82</v>
      </c>
      <c r="K11" s="125"/>
      <c r="M11" s="59" t="str">
        <f>IFERROR(__xludf.DUMMYFUNCTION("""COMPUTED_VALUE"""),"Amazon")</f>
        <v>Amazon</v>
      </c>
      <c r="N11" s="4">
        <f>IFERROR(__xludf.DUMMYFUNCTION("""COMPUTED_VALUE"""),4.3116666666666665)</f>
        <v>4.311666667</v>
      </c>
      <c r="O11" s="60">
        <f>IFERROR(__xludf.DUMMYFUNCTION("""COMPUTED_VALUE"""),44762.0)</f>
        <v>44762</v>
      </c>
      <c r="Q11" s="59" t="str">
        <f>IFERROR(__xludf.DUMMYFUNCTION("""COMPUTED_VALUE"""),"Tropical Palms Fashion House, Inc.")</f>
        <v>Tropical Palms Fashion House, Inc.</v>
      </c>
      <c r="R11" s="4">
        <f>IFERROR(__xludf.DUMMYFUNCTION("""COMPUTED_VALUE"""),4.608333333333333)</f>
        <v>4.608333333</v>
      </c>
      <c r="S11" s="60">
        <f>IFERROR(__xludf.DUMMYFUNCTION("""COMPUTED_VALUE"""),45140.0)</f>
        <v>45140</v>
      </c>
      <c r="U11" s="59" t="str">
        <f>IFERROR(__xludf.DUMMYFUNCTION("""COMPUTED_VALUE"""),"CD Books International, Inc.")</f>
        <v>CD Books International, Inc.</v>
      </c>
      <c r="V11" s="4">
        <f>IFERROR(__xludf.DUMMYFUNCTION("""COMPUTED_VALUE"""),4.833333333333333)</f>
        <v>4.833333333</v>
      </c>
      <c r="W11" s="60">
        <f>IFERROR(__xludf.DUMMYFUNCTION("""COMPUTED_VALUE"""),45492.0)</f>
        <v>45492</v>
      </c>
      <c r="Y11" s="59" t="str">
        <f>IFERROR(__xludf.DUMMYFUNCTION("""COMPUTED_VALUE"""),"Arkwood Plus Fine Furniture")</f>
        <v>Arkwood Plus Fine Furniture</v>
      </c>
      <c r="Z11" s="4">
        <f>IFERROR(__xludf.DUMMYFUNCTION("""COMPUTED_VALUE"""),4.0)</f>
        <v>4</v>
      </c>
      <c r="AB11" s="59" t="str">
        <f>IFERROR(__xludf.DUMMYFUNCTION("""COMPUTED_VALUE"""),"Alpha-Cored Technology Systems, Inc.")</f>
        <v>Alpha-Cored Technology Systems, Inc.</v>
      </c>
      <c r="AC11" s="4">
        <f>IFERROR(__xludf.DUMMYFUNCTION("""COMPUTED_VALUE"""),5.0)</f>
        <v>5</v>
      </c>
      <c r="AE11" s="59" t="str">
        <f>IFERROR(__xludf.DUMMYFUNCTION("""COMPUTED_VALUE"""),"Ace Hardware")</f>
        <v>Ace Hardware</v>
      </c>
      <c r="AF11" s="4">
        <f>IFERROR(__xludf.DUMMYFUNCTION("""COMPUTED_VALUE"""),4.791666666666667)</f>
        <v>4.791666667</v>
      </c>
    </row>
    <row r="12">
      <c r="A12" s="95">
        <v>6.0</v>
      </c>
      <c r="B12" s="97" t="s">
        <v>83</v>
      </c>
      <c r="C12" s="2"/>
      <c r="E12" s="98">
        <v>6.0</v>
      </c>
      <c r="F12" s="98" t="s">
        <v>83</v>
      </c>
      <c r="G12" s="4">
        <v>5.0</v>
      </c>
      <c r="I12" s="83" t="s">
        <v>29</v>
      </c>
      <c r="J12" s="85"/>
      <c r="K12" s="55" t="str">
        <f>average(K13:K21)</f>
        <v>#DIV/0!</v>
      </c>
      <c r="M12" s="59" t="str">
        <f>IFERROR(__xludf.DUMMYFUNCTION("""COMPUTED_VALUE"""),"Contrade Integrated Depot")</f>
        <v>Contrade Integrated Depot</v>
      </c>
      <c r="N12" s="4">
        <f>IFERROR(__xludf.DUMMYFUNCTION("""COMPUTED_VALUE"""),3.9166666666666665)</f>
        <v>3.916666667</v>
      </c>
      <c r="O12" s="60">
        <f>IFERROR(__xludf.DUMMYFUNCTION("""COMPUTED_VALUE"""),44763.0)</f>
        <v>44763</v>
      </c>
      <c r="Q12" s="59" t="str">
        <f>IFERROR(__xludf.DUMMYFUNCTION("""COMPUTED_VALUE"""),"Awardextremes, Inc.")</f>
        <v>Awardextremes, Inc.</v>
      </c>
      <c r="R12" s="4">
        <f>IFERROR(__xludf.DUMMYFUNCTION("""COMPUTED_VALUE"""),4.566666666666666)</f>
        <v>4.566666667</v>
      </c>
      <c r="S12" s="60">
        <f>IFERROR(__xludf.DUMMYFUNCTION("""COMPUTED_VALUE"""),45141.0)</f>
        <v>45141</v>
      </c>
      <c r="U12" s="59" t="str">
        <f>IFERROR(__xludf.DUMMYFUNCTION("""COMPUTED_VALUE"""),"Belview Co., Inc.")</f>
        <v>Belview Co., Inc.</v>
      </c>
      <c r="V12" s="4">
        <f>IFERROR(__xludf.DUMMYFUNCTION("""COMPUTED_VALUE"""),4.833333333333333)</f>
        <v>4.833333333</v>
      </c>
      <c r="W12" s="60">
        <f>IFERROR(__xludf.DUMMYFUNCTION("""COMPUTED_VALUE"""),45492.0)</f>
        <v>45492</v>
      </c>
      <c r="Y12" s="59" t="str">
        <f>IFERROR(__xludf.DUMMYFUNCTION("""COMPUTED_VALUE"""),"Atlas Superflags")</f>
        <v>Atlas Superflags</v>
      </c>
      <c r="Z12" s="4">
        <f>IFERROR(__xludf.DUMMYFUNCTION("""COMPUTED_VALUE"""),4.766666666666667)</f>
        <v>4.766666667</v>
      </c>
      <c r="AB12" s="59" t="str">
        <f>IFERROR(__xludf.DUMMYFUNCTION("""COMPUTED_VALUE"""),"Amalgamated Specialties Corporation")</f>
        <v>Amalgamated Specialties Corporation</v>
      </c>
      <c r="AC12" s="4">
        <f>IFERROR(__xludf.DUMMYFUNCTION("""COMPUTED_VALUE"""),5.0)</f>
        <v>5</v>
      </c>
      <c r="AE12" s="59" t="str">
        <f>IFERROR(__xludf.DUMMYFUNCTION("""COMPUTED_VALUE"""),"Alpha Steel Office and Home Furnishing Company")</f>
        <v>Alpha Steel Office and Home Furnishing Company</v>
      </c>
      <c r="AF12" s="4">
        <f>IFERROR(__xludf.DUMMYFUNCTION("""COMPUTED_VALUE"""),4.833333333333333)</f>
        <v>4.833333333</v>
      </c>
    </row>
    <row r="13">
      <c r="A13" s="71" t="s">
        <v>84</v>
      </c>
      <c r="B13" s="54"/>
      <c r="C13" s="89">
        <f>average(C14:C15)</f>
        <v>4.680989583</v>
      </c>
      <c r="E13" s="78" t="s">
        <v>85</v>
      </c>
      <c r="F13" s="54"/>
      <c r="G13" s="55">
        <f>average(G14:G21)</f>
        <v>4.777837821</v>
      </c>
      <c r="I13" s="101">
        <v>5.0</v>
      </c>
      <c r="J13" s="111" t="s">
        <v>86</v>
      </c>
      <c r="K13" s="128"/>
      <c r="M13" s="59" t="str">
        <f>IFERROR(__xludf.DUMMYFUNCTION("""COMPUTED_VALUE"""),"Rivchem Enterprises")</f>
        <v>Rivchem Enterprises</v>
      </c>
      <c r="N13" s="4">
        <f>IFERROR(__xludf.DUMMYFUNCTION("""COMPUTED_VALUE"""),4.833333333333333)</f>
        <v>4.833333333</v>
      </c>
      <c r="O13" s="60">
        <f>IFERROR(__xludf.DUMMYFUNCTION("""COMPUTED_VALUE"""),44763.0)</f>
        <v>44763</v>
      </c>
      <c r="Q13" s="59" t="str">
        <f>IFERROR(__xludf.DUMMYFUNCTION("""COMPUTED_VALUE"""),"Contrade Integrated Depot")</f>
        <v>Contrade Integrated Depot</v>
      </c>
      <c r="R13" s="4">
        <f>IFERROR(__xludf.DUMMYFUNCTION("""COMPUTED_VALUE"""),4.566666666666666)</f>
        <v>4.566666667</v>
      </c>
      <c r="S13" s="60">
        <f>IFERROR(__xludf.DUMMYFUNCTION("""COMPUTED_VALUE"""),45142.0)</f>
        <v>45142</v>
      </c>
      <c r="U13" s="59" t="str">
        <f>IFERROR(__xludf.DUMMYFUNCTION("""COMPUTED_VALUE"""),"Belview Co., Inc.")</f>
        <v>Belview Co., Inc.</v>
      </c>
      <c r="V13" s="4">
        <f>IFERROR(__xludf.DUMMYFUNCTION("""COMPUTED_VALUE"""),4.833333333333333)</f>
        <v>4.833333333</v>
      </c>
      <c r="W13" s="60">
        <f>IFERROR(__xludf.DUMMYFUNCTION("""COMPUTED_VALUE"""),45492.0)</f>
        <v>45492</v>
      </c>
      <c r="Y13" s="59" t="str">
        <f>IFERROR(__xludf.DUMMYFUNCTION("""COMPUTED_VALUE"""),"Awardextremes, Inc.")</f>
        <v>Awardextremes, Inc.</v>
      </c>
      <c r="Z13" s="4">
        <f>IFERROR(__xludf.DUMMYFUNCTION("""COMPUTED_VALUE"""),4.666666666666667)</f>
        <v>4.666666667</v>
      </c>
      <c r="AB13" s="59" t="str">
        <f>IFERROR(__xludf.DUMMYFUNCTION("""COMPUTED_VALUE"""),"Arkin Hardware")</f>
        <v>Arkin Hardware</v>
      </c>
      <c r="AC13" s="4">
        <f>IFERROR(__xludf.DUMMYFUNCTION("""COMPUTED_VALUE"""),4.4714285714285715)</f>
        <v>4.471428571</v>
      </c>
      <c r="AE13" s="59" t="str">
        <f>IFERROR(__xludf.DUMMYFUNCTION("""COMPUTED_VALUE"""),"Alpha-Cored Technology Systems, Inc.")</f>
        <v>Alpha-Cored Technology Systems, Inc.</v>
      </c>
      <c r="AF13" s="4">
        <f>IFERROR(__xludf.DUMMYFUNCTION("""COMPUTED_VALUE"""),4.925925925925926)</f>
        <v>4.925925926</v>
      </c>
    </row>
    <row r="14">
      <c r="A14" s="95">
        <v>7.0</v>
      </c>
      <c r="B14" s="97" t="s">
        <v>87</v>
      </c>
      <c r="C14" s="4">
        <v>4.716145833333334</v>
      </c>
      <c r="E14" s="98">
        <v>7.0</v>
      </c>
      <c r="F14" s="98" t="s">
        <v>88</v>
      </c>
      <c r="G14" s="4">
        <v>4.845897435897436</v>
      </c>
      <c r="I14" s="101">
        <v>6.0</v>
      </c>
      <c r="J14" s="111" t="s">
        <v>89</v>
      </c>
      <c r="K14" s="128"/>
      <c r="M14" s="59" t="str">
        <f>IFERROR(__xludf.DUMMYFUNCTION("""COMPUTED_VALUE"""),"Belview Co., Inc.")</f>
        <v>Belview Co., Inc.</v>
      </c>
      <c r="N14" s="4">
        <f>IFERROR(__xludf.DUMMYFUNCTION("""COMPUTED_VALUE"""),5.0)</f>
        <v>5</v>
      </c>
      <c r="O14" s="60">
        <f>IFERROR(__xludf.DUMMYFUNCTION("""COMPUTED_VALUE"""),44764.0)</f>
        <v>44764</v>
      </c>
      <c r="Q14" s="59" t="str">
        <f>IFERROR(__xludf.DUMMYFUNCTION("""COMPUTED_VALUE"""),"Lordfel Marketing")</f>
        <v>Lordfel Marketing</v>
      </c>
      <c r="R14" s="4">
        <f>IFERROR(__xludf.DUMMYFUNCTION("""COMPUTED_VALUE"""),4.0)</f>
        <v>4</v>
      </c>
      <c r="S14" s="60">
        <f>IFERROR(__xludf.DUMMYFUNCTION("""COMPUTED_VALUE"""),45142.0)</f>
        <v>45142</v>
      </c>
      <c r="U14" s="59" t="str">
        <f>IFERROR(__xludf.DUMMYFUNCTION("""COMPUTED_VALUE"""),"Contrade Integrated Depot")</f>
        <v>Contrade Integrated Depot</v>
      </c>
      <c r="V14" s="4">
        <f>IFERROR(__xludf.DUMMYFUNCTION("""COMPUTED_VALUE"""),4.583333333333333)</f>
        <v>4.583333333</v>
      </c>
      <c r="W14" s="60">
        <f>IFERROR(__xludf.DUMMYFUNCTION("""COMPUTED_VALUE"""),45493.0)</f>
        <v>45493</v>
      </c>
      <c r="Y14" s="59" t="str">
        <f>IFERROR(__xludf.DUMMYFUNCTION("""COMPUTED_VALUE"""),"Belview Co., Inc.")</f>
        <v>Belview Co., Inc.</v>
      </c>
      <c r="Z14" s="4">
        <f>IFERROR(__xludf.DUMMYFUNCTION("""COMPUTED_VALUE"""),5.0)</f>
        <v>5</v>
      </c>
      <c r="AB14" s="59" t="str">
        <f>IFERROR(__xludf.DUMMYFUNCTION("""COMPUTED_VALUE"""),"Atlas Superflags")</f>
        <v>Atlas Superflags</v>
      </c>
      <c r="AC14" s="4">
        <f>IFERROR(__xludf.DUMMYFUNCTION("""COMPUTED_VALUE"""),4.0)</f>
        <v>4</v>
      </c>
      <c r="AE14" s="59" t="str">
        <f>IFERROR(__xludf.DUMMYFUNCTION("""COMPUTED_VALUE"""),"Arkin Hardware")</f>
        <v>Arkin Hardware</v>
      </c>
      <c r="AF14" s="4">
        <f>IFERROR(__xludf.DUMMYFUNCTION("""COMPUTED_VALUE"""),4.867222222222223)</f>
        <v>4.867222222</v>
      </c>
    </row>
    <row r="15">
      <c r="A15" s="95">
        <v>8.0</v>
      </c>
      <c r="B15" s="97" t="s">
        <v>90</v>
      </c>
      <c r="C15" s="4">
        <v>4.645833333333334</v>
      </c>
      <c r="E15" s="98">
        <v>8.0</v>
      </c>
      <c r="F15" s="98" t="s">
        <v>91</v>
      </c>
      <c r="G15" s="4">
        <v>4.6089166666666666</v>
      </c>
      <c r="I15" s="108">
        <v>7.0</v>
      </c>
      <c r="J15" s="102" t="s">
        <v>92</v>
      </c>
      <c r="K15" s="125"/>
      <c r="M15" s="59" t="str">
        <f>IFERROR(__xludf.DUMMYFUNCTION("""COMPUTED_VALUE"""),"Belview Co., Inc.")</f>
        <v>Belview Co., Inc.</v>
      </c>
      <c r="N15" s="4">
        <f>IFERROR(__xludf.DUMMYFUNCTION("""COMPUTED_VALUE"""),5.0)</f>
        <v>5</v>
      </c>
      <c r="O15" s="60">
        <f>IFERROR(__xludf.DUMMYFUNCTION("""COMPUTED_VALUE"""),44764.0)</f>
        <v>44764</v>
      </c>
      <c r="Q15" s="59" t="str">
        <f>IFERROR(__xludf.DUMMYFUNCTION("""COMPUTED_VALUE"""),"Rivchem Enterprises")</f>
        <v>Rivchem Enterprises</v>
      </c>
      <c r="R15" s="4">
        <f>IFERROR(__xludf.DUMMYFUNCTION("""COMPUTED_VALUE"""),4.6)</f>
        <v>4.6</v>
      </c>
      <c r="S15" s="60">
        <f>IFERROR(__xludf.DUMMYFUNCTION("""COMPUTED_VALUE"""),45145.0)</f>
        <v>45145</v>
      </c>
      <c r="U15" s="59" t="str">
        <f>IFERROR(__xludf.DUMMYFUNCTION("""COMPUTED_VALUE"""),"Javammp Printing Services")</f>
        <v>Javammp Printing Services</v>
      </c>
      <c r="V15" s="4">
        <f>IFERROR(__xludf.DUMMYFUNCTION("""COMPUTED_VALUE"""),3.9166666666666665)</f>
        <v>3.916666667</v>
      </c>
      <c r="W15" s="60">
        <f>IFERROR(__xludf.DUMMYFUNCTION("""COMPUTED_VALUE"""),45495.0)</f>
        <v>45495</v>
      </c>
      <c r="Y15" s="59" t="str">
        <f>IFERROR(__xludf.DUMMYFUNCTION("""COMPUTED_VALUE"""),"Brown Movement for Cultural Advancement, Inc.")</f>
        <v>Brown Movement for Cultural Advancement, Inc.</v>
      </c>
      <c r="Z15" s="4">
        <f>IFERROR(__xludf.DUMMYFUNCTION("""COMPUTED_VALUE"""),5.0)</f>
        <v>5</v>
      </c>
      <c r="AB15" s="59" t="str">
        <f>IFERROR(__xludf.DUMMYFUNCTION("""COMPUTED_VALUE"""),"Awardextremes, Inc.")</f>
        <v>Awardextremes, Inc.</v>
      </c>
      <c r="AC15" s="4">
        <f>IFERROR(__xludf.DUMMYFUNCTION("""COMPUTED_VALUE"""),4.566666666666666)</f>
        <v>4.566666667</v>
      </c>
      <c r="AE15" s="59" t="str">
        <f>IFERROR(__xludf.DUMMYFUNCTION("""COMPUTED_VALUE"""),"Asahl Design Centre Inc.")</f>
        <v>Asahl Design Centre Inc.</v>
      </c>
      <c r="AF15" s="4">
        <f>IFERROR(__xludf.DUMMYFUNCTION("""COMPUTED_VALUE"""),4.858333333333333)</f>
        <v>4.858333333</v>
      </c>
    </row>
    <row r="16">
      <c r="A16" s="71" t="s">
        <v>85</v>
      </c>
      <c r="B16" s="54"/>
      <c r="C16" s="89">
        <f>average(C17:C26)</f>
        <v>4.78279321</v>
      </c>
      <c r="E16" s="98">
        <v>9.0</v>
      </c>
      <c r="F16" s="98" t="s">
        <v>94</v>
      </c>
      <c r="G16" s="4">
        <v>4.686041666666667</v>
      </c>
      <c r="I16" s="108">
        <v>8.0</v>
      </c>
      <c r="J16" s="102" t="s">
        <v>81</v>
      </c>
      <c r="K16" s="2"/>
      <c r="M16" s="59" t="str">
        <f>IFERROR(__xludf.DUMMYFUNCTION("""COMPUTED_VALUE"""),"Amalgamated Specialties Corporation")</f>
        <v>Amalgamated Specialties Corporation</v>
      </c>
      <c r="N16" s="4">
        <f>IFERROR(__xludf.DUMMYFUNCTION("""COMPUTED_VALUE"""),4.333333333333333)</f>
        <v>4.333333333</v>
      </c>
      <c r="O16" s="60">
        <f>IFERROR(__xludf.DUMMYFUNCTION("""COMPUTED_VALUE"""),44767.0)</f>
        <v>44767</v>
      </c>
      <c r="Q16" s="59" t="str">
        <f>IFERROR(__xludf.DUMMYFUNCTION("""COMPUTED_VALUE"""),"Rivchem Enterprises")</f>
        <v>Rivchem Enterprises</v>
      </c>
      <c r="R16" s="4">
        <f>IFERROR(__xludf.DUMMYFUNCTION("""COMPUTED_VALUE"""),4.6)</f>
        <v>4.6</v>
      </c>
      <c r="S16" s="60">
        <f>IFERROR(__xludf.DUMMYFUNCTION("""COMPUTED_VALUE"""),45146.0)</f>
        <v>45146</v>
      </c>
      <c r="U16" s="59" t="str">
        <f>IFERROR(__xludf.DUMMYFUNCTION("""COMPUTED_VALUE"""),"BIG LEAGUE SPORTS WEAR SHOP. INC.")</f>
        <v>BIG LEAGUE SPORTS WEAR SHOP. INC.</v>
      </c>
      <c r="V16" s="4">
        <f>IFERROR(__xludf.DUMMYFUNCTION("""COMPUTED_VALUE"""),4.0)</f>
        <v>4</v>
      </c>
      <c r="W16" s="60">
        <f>IFERROR(__xludf.DUMMYFUNCTION("""COMPUTED_VALUE"""),45503.0)</f>
        <v>45503</v>
      </c>
      <c r="Y16" s="59" t="str">
        <f>IFERROR(__xludf.DUMMYFUNCTION("""COMPUTED_VALUE"""),"Chemtrust Global Market, Inc.")</f>
        <v>Chemtrust Global Market, Inc.</v>
      </c>
      <c r="Z16" s="4">
        <f>IFERROR(__xludf.DUMMYFUNCTION("""COMPUTED_VALUE"""),4.066666666666666)</f>
        <v>4.066666667</v>
      </c>
      <c r="AB16" s="59" t="str">
        <f>IFERROR(__xludf.DUMMYFUNCTION("""COMPUTED_VALUE"""),"Belview Co., Inc.")</f>
        <v>Belview Co., Inc.</v>
      </c>
      <c r="AC16" s="4">
        <f>IFERROR(__xludf.DUMMYFUNCTION("""COMPUTED_VALUE"""),4.753333333333333)</f>
        <v>4.753333333</v>
      </c>
      <c r="AE16" s="59" t="str">
        <f>IFERROR(__xludf.DUMMYFUNCTION("""COMPUTED_VALUE"""),"Atlas Superflags")</f>
        <v>Atlas Superflags</v>
      </c>
      <c r="AF16" s="4">
        <f>IFERROR(__xludf.DUMMYFUNCTION("""COMPUTED_VALUE"""),4.7444444444444445)</f>
        <v>4.744444444</v>
      </c>
    </row>
    <row r="17">
      <c r="A17" s="95">
        <v>9.0</v>
      </c>
      <c r="B17" s="97" t="s">
        <v>88</v>
      </c>
      <c r="C17" s="4">
        <v>4.722222222222222</v>
      </c>
      <c r="E17" s="98">
        <v>10.0</v>
      </c>
      <c r="F17" s="98" t="s">
        <v>95</v>
      </c>
      <c r="G17" s="128"/>
      <c r="I17" s="108">
        <v>9.0</v>
      </c>
      <c r="J17" s="111" t="s">
        <v>96</v>
      </c>
      <c r="K17" s="128"/>
      <c r="M17" s="59" t="str">
        <f>IFERROR(__xludf.DUMMYFUNCTION("""COMPUTED_VALUE"""),"Contrade Integrated Depot")</f>
        <v>Contrade Integrated Depot</v>
      </c>
      <c r="N17" s="4">
        <f>IFERROR(__xludf.DUMMYFUNCTION("""COMPUTED_VALUE"""),3.6)</f>
        <v>3.6</v>
      </c>
      <c r="O17" s="60">
        <f>IFERROR(__xludf.DUMMYFUNCTION("""COMPUTED_VALUE"""),44767.0)</f>
        <v>44767</v>
      </c>
      <c r="Q17" s="59" t="str">
        <f>IFERROR(__xludf.DUMMYFUNCTION("""COMPUTED_VALUE"""),"Lordfel Marketing")</f>
        <v>Lordfel Marketing</v>
      </c>
      <c r="R17" s="4">
        <f>IFERROR(__xludf.DUMMYFUNCTION("""COMPUTED_VALUE"""),5.0)</f>
        <v>5</v>
      </c>
      <c r="S17" s="60">
        <f>IFERROR(__xludf.DUMMYFUNCTION("""COMPUTED_VALUE"""),45149.0)</f>
        <v>45149</v>
      </c>
      <c r="U17" s="59" t="str">
        <f>IFERROR(__xludf.DUMMYFUNCTION("""COMPUTED_VALUE"""),"Printing Shop PrintPilipinas.com")</f>
        <v>Printing Shop PrintPilipinas.com</v>
      </c>
      <c r="V17" s="4">
        <f>IFERROR(__xludf.DUMMYFUNCTION("""COMPUTED_VALUE"""),4.833333333333333)</f>
        <v>4.833333333</v>
      </c>
      <c r="W17" s="60">
        <f>IFERROR(__xludf.DUMMYFUNCTION("""COMPUTED_VALUE"""),45505.0)</f>
        <v>45505</v>
      </c>
      <c r="Y17" s="59" t="str">
        <f>IFERROR(__xludf.DUMMYFUNCTION("""COMPUTED_VALUE"""),"Columbia Technologies, Inc.")</f>
        <v>Columbia Technologies, Inc.</v>
      </c>
      <c r="Z17" s="4">
        <f>IFERROR(__xludf.DUMMYFUNCTION("""COMPUTED_VALUE"""),4.958333333333333)</f>
        <v>4.958333333</v>
      </c>
      <c r="AB17" s="59" t="str">
        <f>IFERROR(__xludf.DUMMYFUNCTION("""COMPUTED_VALUE"""),"Beyond Global Multiales Corp.")</f>
        <v>Beyond Global Multiales Corp.</v>
      </c>
      <c r="AC17" s="4">
        <f>IFERROR(__xludf.DUMMYFUNCTION("""COMPUTED_VALUE"""),4.833333333333333)</f>
        <v>4.833333333</v>
      </c>
      <c r="AE17" s="59" t="str">
        <f>IFERROR(__xludf.DUMMYFUNCTION("""COMPUTED_VALUE"""),"BIG LEAGUE SPORTS WEAR SHOP. INC.")</f>
        <v>BIG LEAGUE SPORTS WEAR SHOP. INC.</v>
      </c>
      <c r="AF17" s="4">
        <f>IFERROR(__xludf.DUMMYFUNCTION("""COMPUTED_VALUE"""),4.0)</f>
        <v>4</v>
      </c>
    </row>
    <row r="18">
      <c r="A18" s="95">
        <v>10.0</v>
      </c>
      <c r="B18" s="97" t="s">
        <v>91</v>
      </c>
      <c r="C18" s="4">
        <v>4.708333333333334</v>
      </c>
      <c r="E18" s="98">
        <v>11.0</v>
      </c>
      <c r="F18" s="98" t="s">
        <v>98</v>
      </c>
      <c r="G18" s="4">
        <v>5.0</v>
      </c>
      <c r="I18" s="101">
        <v>10.0</v>
      </c>
      <c r="J18" s="111" t="s">
        <v>99</v>
      </c>
      <c r="K18" s="128"/>
      <c r="M18" s="59" t="str">
        <f>IFERROR(__xludf.DUMMYFUNCTION("""COMPUTED_VALUE"""),"Gift Republic, Inc.")</f>
        <v>Gift Republic, Inc.</v>
      </c>
      <c r="N18" s="4">
        <f>IFERROR(__xludf.DUMMYFUNCTION("""COMPUTED_VALUE"""),2.0)</f>
        <v>2</v>
      </c>
      <c r="O18" s="60">
        <f>IFERROR(__xludf.DUMMYFUNCTION("""COMPUTED_VALUE"""),44774.0)</f>
        <v>44774</v>
      </c>
      <c r="Q18" s="59" t="str">
        <f>IFERROR(__xludf.DUMMYFUNCTION("""COMPUTED_VALUE"""),"Lordfel Marketing")</f>
        <v>Lordfel Marketing</v>
      </c>
      <c r="R18" s="4">
        <f>IFERROR(__xludf.DUMMYFUNCTION("""COMPUTED_VALUE"""),4.0)</f>
        <v>4</v>
      </c>
      <c r="S18" s="60">
        <f>IFERROR(__xludf.DUMMYFUNCTION("""COMPUTED_VALUE"""),45149.0)</f>
        <v>45149</v>
      </c>
      <c r="U18" s="59" t="str">
        <f>IFERROR(__xludf.DUMMYFUNCTION("""COMPUTED_VALUE"""),"Mostaco Printing")</f>
        <v>Mostaco Printing</v>
      </c>
      <c r="V18" s="4">
        <f>IFERROR(__xludf.DUMMYFUNCTION("""COMPUTED_VALUE"""),4.75)</f>
        <v>4.75</v>
      </c>
      <c r="W18" s="60">
        <f>IFERROR(__xludf.DUMMYFUNCTION("""COMPUTED_VALUE"""),45509.0)</f>
        <v>45509</v>
      </c>
      <c r="Y18" s="59" t="str">
        <f>IFERROR(__xludf.DUMMYFUNCTION("""COMPUTED_VALUE"""),"Contrade Integrated Depot")</f>
        <v>Contrade Integrated Depot</v>
      </c>
      <c r="Z18" s="4">
        <f>IFERROR(__xludf.DUMMYFUNCTION("""COMPUTED_VALUE"""),4.325444444444444)</f>
        <v>4.325444444</v>
      </c>
      <c r="AB18" s="59" t="str">
        <f>IFERROR(__xludf.DUMMYFUNCTION("""COMPUTED_VALUE"""),"Booktrens Enterprises")</f>
        <v>Booktrens Enterprises</v>
      </c>
      <c r="AC18" s="4">
        <f>IFERROR(__xludf.DUMMYFUNCTION("""COMPUTED_VALUE"""),5.0)</f>
        <v>5</v>
      </c>
      <c r="AE18" s="59" t="str">
        <f>IFERROR(__xludf.DUMMYFUNCTION("""COMPUTED_VALUE"""),"Barcaman Couture Corporation")</f>
        <v>Barcaman Couture Corporation</v>
      </c>
      <c r="AF18" s="4">
        <f>IFERROR(__xludf.DUMMYFUNCTION("""COMPUTED_VALUE"""),3.5666666666666664)</f>
        <v>3.566666667</v>
      </c>
    </row>
    <row r="19">
      <c r="A19" s="95">
        <v>11.0</v>
      </c>
      <c r="B19" s="97" t="s">
        <v>94</v>
      </c>
      <c r="C19" s="4">
        <v>4.833333333333333</v>
      </c>
      <c r="E19" s="98">
        <v>12.0</v>
      </c>
      <c r="F19" s="98" t="s">
        <v>101</v>
      </c>
      <c r="G19" s="128"/>
      <c r="I19" s="101">
        <v>11.0</v>
      </c>
      <c r="J19" s="111" t="s">
        <v>102</v>
      </c>
      <c r="K19" s="128"/>
      <c r="M19" s="59" t="str">
        <f>IFERROR(__xludf.DUMMYFUNCTION("""COMPUTED_VALUE"""),"Gift Republic, Inc.")</f>
        <v>Gift Republic, Inc.</v>
      </c>
      <c r="N19" s="4">
        <f>IFERROR(__xludf.DUMMYFUNCTION("""COMPUTED_VALUE"""),2.066666666666667)</f>
        <v>2.066666667</v>
      </c>
      <c r="O19" s="60">
        <f>IFERROR(__xludf.DUMMYFUNCTION("""COMPUTED_VALUE"""),44774.0)</f>
        <v>44774</v>
      </c>
      <c r="Q19" s="59" t="str">
        <f>IFERROR(__xludf.DUMMYFUNCTION("""COMPUTED_VALUE"""),"Lordfel Marketing")</f>
        <v>Lordfel Marketing</v>
      </c>
      <c r="R19" s="4">
        <f>IFERROR(__xludf.DUMMYFUNCTION("""COMPUTED_VALUE"""),4.0)</f>
        <v>4</v>
      </c>
      <c r="S19" s="60">
        <f>IFERROR(__xludf.DUMMYFUNCTION("""COMPUTED_VALUE"""),45149.0)</f>
        <v>45149</v>
      </c>
      <c r="U19" s="59" t="str">
        <f>IFERROR(__xludf.DUMMYFUNCTION("""COMPUTED_VALUE"""),"Contrade Integrated Depot")</f>
        <v>Contrade Integrated Depot</v>
      </c>
      <c r="V19" s="4">
        <f>IFERROR(__xludf.DUMMYFUNCTION("""COMPUTED_VALUE"""),4.833333333333333)</f>
        <v>4.833333333</v>
      </c>
      <c r="W19" s="60">
        <f>IFERROR(__xludf.DUMMYFUNCTION("""COMPUTED_VALUE"""),45510.0)</f>
        <v>45510</v>
      </c>
      <c r="Y19" s="59" t="str">
        <f>IFERROR(__xludf.DUMMYFUNCTION("""COMPUTED_VALUE"""),"Creative Juice Digital Printing")</f>
        <v>Creative Juice Digital Printing</v>
      </c>
      <c r="Z19" s="4">
        <f>IFERROR(__xludf.DUMMYFUNCTION("""COMPUTED_VALUE"""),4.775192307692308)</f>
        <v>4.775192308</v>
      </c>
      <c r="AB19" s="59" t="str">
        <f>IFERROR(__xludf.DUMMYFUNCTION("""COMPUTED_VALUE"""),"Chemtrust Global Market, Inc.")</f>
        <v>Chemtrust Global Market, Inc.</v>
      </c>
      <c r="AC19" s="4">
        <f>IFERROR(__xludf.DUMMYFUNCTION("""COMPUTED_VALUE"""),4.794444444444444)</f>
        <v>4.794444444</v>
      </c>
      <c r="AE19" s="59" t="str">
        <f>IFERROR(__xludf.DUMMYFUNCTION("""COMPUTED_VALUE"""),"Belview Co., Inc.")</f>
        <v>Belview Co., Inc.</v>
      </c>
      <c r="AF19" s="4">
        <f>IFERROR(__xludf.DUMMYFUNCTION("""COMPUTED_VALUE"""),4.986706349206351)</f>
        <v>4.986706349</v>
      </c>
    </row>
    <row r="20">
      <c r="A20" s="95">
        <v>12.0</v>
      </c>
      <c r="B20" s="97" t="s">
        <v>95</v>
      </c>
      <c r="C20" s="4">
        <v>4.916666666666667</v>
      </c>
      <c r="E20" s="98">
        <v>13.0</v>
      </c>
      <c r="F20" s="98" t="s">
        <v>103</v>
      </c>
      <c r="G20" s="4">
        <v>4.748333333333333</v>
      </c>
      <c r="I20" s="101">
        <v>12.0</v>
      </c>
      <c r="J20" s="111" t="s">
        <v>104</v>
      </c>
      <c r="K20" s="128"/>
      <c r="M20" s="59" t="str">
        <f>IFERROR(__xludf.DUMMYFUNCTION("""COMPUTED_VALUE"""),"Awardextremes, Inc.")</f>
        <v>Awardextremes, Inc.</v>
      </c>
      <c r="N20" s="4">
        <f>IFERROR(__xludf.DUMMYFUNCTION("""COMPUTED_VALUE"""),4.666666666666667)</f>
        <v>4.666666667</v>
      </c>
      <c r="O20" s="60">
        <f>IFERROR(__xludf.DUMMYFUNCTION("""COMPUTED_VALUE"""),44778.0)</f>
        <v>44778</v>
      </c>
      <c r="Q20" s="59" t="str">
        <f>IFERROR(__xludf.DUMMYFUNCTION("""COMPUTED_VALUE"""),"Lordfel Marketing")</f>
        <v>Lordfel Marketing</v>
      </c>
      <c r="R20" s="4">
        <f>IFERROR(__xludf.DUMMYFUNCTION("""COMPUTED_VALUE"""),4.0)</f>
        <v>4</v>
      </c>
      <c r="S20" s="60">
        <f>IFERROR(__xludf.DUMMYFUNCTION("""COMPUTED_VALUE"""),45149.0)</f>
        <v>45149</v>
      </c>
      <c r="U20" s="59" t="str">
        <f>IFERROR(__xludf.DUMMYFUNCTION("""COMPUTED_VALUE"""),"Belview Co., Inc.")</f>
        <v>Belview Co., Inc.</v>
      </c>
      <c r="V20" s="4">
        <f>IFERROR(__xludf.DUMMYFUNCTION("""COMPUTED_VALUE"""),4.833333333333333)</f>
        <v>4.833333333</v>
      </c>
      <c r="W20" s="60">
        <f>IFERROR(__xludf.DUMMYFUNCTION("""COMPUTED_VALUE"""),45510.0)</f>
        <v>45510</v>
      </c>
      <c r="Y20" s="59" t="str">
        <f>IFERROR(__xludf.DUMMYFUNCTION("""COMPUTED_VALUE"""),"DKL Laboratory Supplies")</f>
        <v>DKL Laboratory Supplies</v>
      </c>
      <c r="Z20" s="4">
        <f>IFERROR(__xludf.DUMMYFUNCTION("""COMPUTED_VALUE"""),3.8333333333333335)</f>
        <v>3.833333333</v>
      </c>
      <c r="AB20" s="59" t="str">
        <f>IFERROR(__xludf.DUMMYFUNCTION("""COMPUTED_VALUE"""),"Chronos Athletics Shop")</f>
        <v>Chronos Athletics Shop</v>
      </c>
      <c r="AC20" s="4">
        <f>IFERROR(__xludf.DUMMYFUNCTION("""COMPUTED_VALUE"""),4.519444444444445)</f>
        <v>4.519444444</v>
      </c>
      <c r="AE20" s="59" t="str">
        <f>IFERROR(__xludf.DUMMYFUNCTION("""COMPUTED_VALUE"""),"Bobman Trading")</f>
        <v>Bobman Trading</v>
      </c>
      <c r="AF20" s="4">
        <f>IFERROR(__xludf.DUMMYFUNCTION("""COMPUTED_VALUE"""),4.89074074074074)</f>
        <v>4.890740741</v>
      </c>
    </row>
    <row r="21">
      <c r="A21" s="95">
        <v>13.0</v>
      </c>
      <c r="B21" s="97" t="s">
        <v>98</v>
      </c>
      <c r="C21" s="2"/>
      <c r="E21" s="98">
        <v>14.0</v>
      </c>
      <c r="F21" s="98" t="s">
        <v>106</v>
      </c>
      <c r="G21" s="2"/>
      <c r="I21" s="101">
        <v>13.0</v>
      </c>
      <c r="J21" s="111" t="s">
        <v>107</v>
      </c>
      <c r="K21" s="2"/>
      <c r="M21" s="59" t="str">
        <f>IFERROR(__xludf.DUMMYFUNCTION("""COMPUTED_VALUE"""),"Gift Republic, Inc.")</f>
        <v>Gift Republic, Inc.</v>
      </c>
      <c r="N21" s="4">
        <f>IFERROR(__xludf.DUMMYFUNCTION("""COMPUTED_VALUE"""),4.713333333333334)</f>
        <v>4.713333333</v>
      </c>
      <c r="O21" s="60">
        <f>IFERROR(__xludf.DUMMYFUNCTION("""COMPUTED_VALUE"""),44778.0)</f>
        <v>44778</v>
      </c>
      <c r="Q21" s="59" t="str">
        <f>IFERROR(__xludf.DUMMYFUNCTION("""COMPUTED_VALUE"""),"Lordfel Marketing")</f>
        <v>Lordfel Marketing</v>
      </c>
      <c r="R21" s="4">
        <f>IFERROR(__xludf.DUMMYFUNCTION("""COMPUTED_VALUE"""),4.0)</f>
        <v>4</v>
      </c>
      <c r="S21" s="60">
        <f>IFERROR(__xludf.DUMMYFUNCTION("""COMPUTED_VALUE"""),45149.0)</f>
        <v>45149</v>
      </c>
      <c r="U21" s="59" t="str">
        <f>IFERROR(__xludf.DUMMYFUNCTION("""COMPUTED_VALUE"""),"Abacus Book &amp; Card Corp.")</f>
        <v>Abacus Book &amp; Card Corp.</v>
      </c>
      <c r="V21" s="4">
        <f>IFERROR(__xludf.DUMMYFUNCTION("""COMPUTED_VALUE"""),4.75)</f>
        <v>4.75</v>
      </c>
      <c r="W21" s="60">
        <f>IFERROR(__xludf.DUMMYFUNCTION("""COMPUTED_VALUE"""),45512.0)</f>
        <v>45512</v>
      </c>
      <c r="Y21" s="59" t="str">
        <f>IFERROR(__xludf.DUMMYFUNCTION("""COMPUTED_VALUE"""),"Data Computer Forms, Inc.")</f>
        <v>Data Computer Forms, Inc.</v>
      </c>
      <c r="Z21" s="4">
        <f>IFERROR(__xludf.DUMMYFUNCTION("""COMPUTED_VALUE"""),4.966666666666667)</f>
        <v>4.966666667</v>
      </c>
      <c r="AB21" s="59" t="str">
        <f>IFERROR(__xludf.DUMMYFUNCTION("""COMPUTED_VALUE"""),"Circuitrocks Electronic Store")</f>
        <v>Circuitrocks Electronic Store</v>
      </c>
      <c r="AC21" s="4">
        <f>IFERROR(__xludf.DUMMYFUNCTION("""COMPUTED_VALUE"""),4.908333333333333)</f>
        <v>4.908333333</v>
      </c>
      <c r="AE21" s="59" t="str">
        <f>IFERROR(__xludf.DUMMYFUNCTION("""COMPUTED_VALUE"""),"CD Books International, Inc.")</f>
        <v>CD Books International, Inc.</v>
      </c>
      <c r="AF21" s="4">
        <f>IFERROR(__xludf.DUMMYFUNCTION("""COMPUTED_VALUE"""),4.866666666666666)</f>
        <v>4.866666667</v>
      </c>
    </row>
    <row r="22">
      <c r="A22" s="95">
        <v>14.0</v>
      </c>
      <c r="B22" s="97" t="s">
        <v>101</v>
      </c>
      <c r="C22" s="2"/>
      <c r="E22" s="78" t="s">
        <v>108</v>
      </c>
      <c r="F22" s="54"/>
      <c r="G22" s="55">
        <f>average(G23:G27)</f>
        <v>4.647222222</v>
      </c>
      <c r="I22" s="83" t="s">
        <v>108</v>
      </c>
      <c r="J22" s="85"/>
      <c r="K22" s="55">
        <f>average(K23:K30)</f>
        <v>4.932083333</v>
      </c>
      <c r="M22" s="59" t="str">
        <f>IFERROR(__xludf.DUMMYFUNCTION("""COMPUTED_VALUE"""),"Leonard Prints Inc.")</f>
        <v>Leonard Prints Inc.</v>
      </c>
      <c r="N22" s="4">
        <f>IFERROR(__xludf.DUMMYFUNCTION("""COMPUTED_VALUE"""),4.8)</f>
        <v>4.8</v>
      </c>
      <c r="O22" s="60">
        <f>IFERROR(__xludf.DUMMYFUNCTION("""COMPUTED_VALUE"""),44789.0)</f>
        <v>44789</v>
      </c>
      <c r="Q22" s="59" t="str">
        <f>IFERROR(__xludf.DUMMYFUNCTION("""COMPUTED_VALUE"""),"Contrade Integrated Depot")</f>
        <v>Contrade Integrated Depot</v>
      </c>
      <c r="R22" s="4">
        <f>IFERROR(__xludf.DUMMYFUNCTION("""COMPUTED_VALUE"""),4.690833333333334)</f>
        <v>4.690833333</v>
      </c>
      <c r="S22" s="60">
        <f>IFERROR(__xludf.DUMMYFUNCTION("""COMPUTED_VALUE"""),45152.0)</f>
        <v>45152</v>
      </c>
      <c r="U22" s="59" t="str">
        <f>IFERROR(__xludf.DUMMYFUNCTION("""COMPUTED_VALUE"""),"Mostaco Printing")</f>
        <v>Mostaco Printing</v>
      </c>
      <c r="V22" s="4">
        <f>IFERROR(__xludf.DUMMYFUNCTION("""COMPUTED_VALUE"""),4.75)</f>
        <v>4.75</v>
      </c>
      <c r="W22" s="60">
        <f>IFERROR(__xludf.DUMMYFUNCTION("""COMPUTED_VALUE"""),45513.0)</f>
        <v>45513</v>
      </c>
      <c r="Y22" s="59" t="str">
        <f>IFERROR(__xludf.DUMMYFUNCTION("""COMPUTED_VALUE"""),"EIG Metal Engravers")</f>
        <v>EIG Metal Engravers</v>
      </c>
      <c r="Z22" s="4">
        <f>IFERROR(__xludf.DUMMYFUNCTION("""COMPUTED_VALUE"""),4.5)</f>
        <v>4.5</v>
      </c>
      <c r="AB22" s="59" t="str">
        <f>IFERROR(__xludf.DUMMYFUNCTION("""COMPUTED_VALUE"""),"Colent Marketing Philippines, Inc.")</f>
        <v>Colent Marketing Philippines, Inc.</v>
      </c>
      <c r="AC22" s="4">
        <f>IFERROR(__xludf.DUMMYFUNCTION("""COMPUTED_VALUE"""),5.0)</f>
        <v>5</v>
      </c>
      <c r="AE22" s="59" t="str">
        <f>IFERROR(__xludf.DUMMYFUNCTION("""COMPUTED_VALUE"""),"COMPUTECHNOLOGIES CORP.")</f>
        <v>COMPUTECHNOLOGIES CORP.</v>
      </c>
      <c r="AF22" s="4">
        <f>IFERROR(__xludf.DUMMYFUNCTION("""COMPUTED_VALUE"""),4.858333333333333)</f>
        <v>4.858333333</v>
      </c>
    </row>
    <row r="23">
      <c r="A23" s="95">
        <v>15.0</v>
      </c>
      <c r="B23" s="97" t="s">
        <v>103</v>
      </c>
      <c r="C23" s="4">
        <v>4.8125</v>
      </c>
      <c r="E23" s="98">
        <v>15.0</v>
      </c>
      <c r="F23" s="98" t="s">
        <v>110</v>
      </c>
      <c r="G23" s="4">
        <v>4.747222222222223</v>
      </c>
      <c r="I23" s="101">
        <v>14.0</v>
      </c>
      <c r="J23" s="111" t="s">
        <v>111</v>
      </c>
      <c r="K23" s="128"/>
      <c r="M23" s="59" t="str">
        <f>IFERROR(__xludf.DUMMYFUNCTION("""COMPUTED_VALUE"""),"Contrade Integrated Depot")</f>
        <v>Contrade Integrated Depot</v>
      </c>
      <c r="N23" s="4">
        <f>IFERROR(__xludf.DUMMYFUNCTION("""COMPUTED_VALUE"""),4.0)</f>
        <v>4</v>
      </c>
      <c r="O23" s="60">
        <f>IFERROR(__xludf.DUMMYFUNCTION("""COMPUTED_VALUE"""),44791.0)</f>
        <v>44791</v>
      </c>
      <c r="Q23" s="59" t="str">
        <f>IFERROR(__xludf.DUMMYFUNCTION("""COMPUTED_VALUE"""),"Polaris Prime Air Tech Corporation")</f>
        <v>Polaris Prime Air Tech Corporation</v>
      </c>
      <c r="R23" s="4">
        <f>IFERROR(__xludf.DUMMYFUNCTION("""COMPUTED_VALUE"""),4.0)</f>
        <v>4</v>
      </c>
      <c r="S23" s="60">
        <f>IFERROR(__xludf.DUMMYFUNCTION("""COMPUTED_VALUE"""),45152.0)</f>
        <v>45152</v>
      </c>
      <c r="U23" s="59" t="str">
        <f>IFERROR(__xludf.DUMMYFUNCTION("""COMPUTED_VALUE"""),"Print Depot Inc.")</f>
        <v>Print Depot Inc.</v>
      </c>
      <c r="V23" s="4">
        <f>IFERROR(__xludf.DUMMYFUNCTION("""COMPUTED_VALUE"""),4.833333333333333)</f>
        <v>4.833333333</v>
      </c>
      <c r="W23" s="60">
        <f>IFERROR(__xludf.DUMMYFUNCTION("""COMPUTED_VALUE"""),45514.0)</f>
        <v>45514</v>
      </c>
      <c r="Y23" s="59" t="str">
        <f>IFERROR(__xludf.DUMMYFUNCTION("""COMPUTED_VALUE"""),"Ergo Contracts Phil., Inc.")</f>
        <v>Ergo Contracts Phil., Inc.</v>
      </c>
      <c r="Z23" s="4">
        <f>IFERROR(__xludf.DUMMYFUNCTION("""COMPUTED_VALUE"""),4.766666666666667)</f>
        <v>4.766666667</v>
      </c>
      <c r="AB23" s="59" t="str">
        <f>IFERROR(__xludf.DUMMYFUNCTION("""COMPUTED_VALUE"""),"Columbia Technologies, Inc.")</f>
        <v>Columbia Technologies, Inc.</v>
      </c>
      <c r="AC23" s="4">
        <f>IFERROR(__xludf.DUMMYFUNCTION("""COMPUTED_VALUE"""),4.0)</f>
        <v>4</v>
      </c>
      <c r="AE23" s="59" t="str">
        <f>IFERROR(__xludf.DUMMYFUNCTION("""COMPUTED_VALUE"""),"Chemtrust Global Market, Inc.")</f>
        <v>Chemtrust Global Market, Inc.</v>
      </c>
      <c r="AF23" s="4">
        <f>IFERROR(__xludf.DUMMYFUNCTION("""COMPUTED_VALUE"""),4.775277777777777)</f>
        <v>4.775277778</v>
      </c>
    </row>
    <row r="24">
      <c r="A24" s="95">
        <v>16.0</v>
      </c>
      <c r="B24" s="97" t="s">
        <v>106</v>
      </c>
      <c r="C24" s="4"/>
      <c r="E24" s="98">
        <v>16.0</v>
      </c>
      <c r="F24" s="98" t="s">
        <v>113</v>
      </c>
      <c r="G24" s="4">
        <v>5.0</v>
      </c>
      <c r="I24" s="101">
        <v>15.0</v>
      </c>
      <c r="J24" s="111" t="s">
        <v>114</v>
      </c>
      <c r="K24" s="2"/>
      <c r="M24" s="59" t="str">
        <f>IFERROR(__xludf.DUMMYFUNCTION("""COMPUTED_VALUE"""),"Amazon")</f>
        <v>Amazon</v>
      </c>
      <c r="N24" s="4">
        <f>IFERROR(__xludf.DUMMYFUNCTION("""COMPUTED_VALUE"""),4.2283333333333335)</f>
        <v>4.228333333</v>
      </c>
      <c r="O24" s="60">
        <f>IFERROR(__xludf.DUMMYFUNCTION("""COMPUTED_VALUE"""),44793.0)</f>
        <v>44793</v>
      </c>
      <c r="Q24" s="59" t="str">
        <f>IFERROR(__xludf.DUMMYFUNCTION("""COMPUTED_VALUE"""),"Abacus Book &amp; Card Corp.")</f>
        <v>Abacus Book &amp; Card Corp.</v>
      </c>
      <c r="R24" s="4">
        <f>IFERROR(__xludf.DUMMYFUNCTION("""COMPUTED_VALUE"""),4.666666666666667)</f>
        <v>4.666666667</v>
      </c>
      <c r="S24" s="60">
        <f>IFERROR(__xludf.DUMMYFUNCTION("""COMPUTED_VALUE"""),45153.0)</f>
        <v>45153</v>
      </c>
      <c r="U24" s="59" t="str">
        <f>IFERROR(__xludf.DUMMYFUNCTION("""COMPUTED_VALUE"""),"Crosspoint Paper, Inc.")</f>
        <v>Crosspoint Paper, Inc.</v>
      </c>
      <c r="V24" s="4">
        <f>IFERROR(__xludf.DUMMYFUNCTION("""COMPUTED_VALUE"""),4.833333333333333)</f>
        <v>4.833333333</v>
      </c>
      <c r="W24" s="60">
        <f>IFERROR(__xludf.DUMMYFUNCTION("""COMPUTED_VALUE"""),45514.0)</f>
        <v>45514</v>
      </c>
      <c r="Y24" s="59" t="str">
        <f>IFERROR(__xludf.DUMMYFUNCTION("""COMPUTED_VALUE"""),"Falcon Waterfree Philippines, Inc.")</f>
        <v>Falcon Waterfree Philippines, Inc.</v>
      </c>
      <c r="Z24" s="4">
        <f>IFERROR(__xludf.DUMMYFUNCTION("""COMPUTED_VALUE"""),5.0)</f>
        <v>5</v>
      </c>
      <c r="AB24" s="59" t="str">
        <f>IFERROR(__xludf.DUMMYFUNCTION("""COMPUTED_VALUE"""),"Commerce Asia, Inc.")</f>
        <v>Commerce Asia, Inc.</v>
      </c>
      <c r="AC24" s="4">
        <f>IFERROR(__xludf.DUMMYFUNCTION("""COMPUTED_VALUE"""),4.748333333333333)</f>
        <v>4.748333333</v>
      </c>
      <c r="AE24" s="59" t="str">
        <f>IFERROR(__xludf.DUMMYFUNCTION("""COMPUTED_VALUE"""),"Colent Marketing Philippines, Inc.")</f>
        <v>Colent Marketing Philippines, Inc.</v>
      </c>
      <c r="AF24" s="4">
        <f>IFERROR(__xludf.DUMMYFUNCTION("""COMPUTED_VALUE"""),4.5)</f>
        <v>4.5</v>
      </c>
    </row>
    <row r="25">
      <c r="A25" s="95">
        <v>17.0</v>
      </c>
      <c r="B25" s="97" t="s">
        <v>115</v>
      </c>
      <c r="C25" s="2"/>
      <c r="E25" s="98">
        <v>8.0</v>
      </c>
      <c r="F25" s="98" t="s">
        <v>116</v>
      </c>
      <c r="G25" s="4">
        <v>4.841666666666667</v>
      </c>
      <c r="I25" s="101">
        <v>16.0</v>
      </c>
      <c r="J25" s="111" t="s">
        <v>117</v>
      </c>
      <c r="K25" s="4">
        <v>4.958333333333333</v>
      </c>
      <c r="M25" s="59" t="str">
        <f>IFERROR(__xludf.DUMMYFUNCTION("""COMPUTED_VALUE"""),"Rivchem Enterprises")</f>
        <v>Rivchem Enterprises</v>
      </c>
      <c r="N25" s="4">
        <f>IFERROR(__xludf.DUMMYFUNCTION("""COMPUTED_VALUE"""),4.766666666666667)</f>
        <v>4.766666667</v>
      </c>
      <c r="O25" s="60">
        <f>IFERROR(__xludf.DUMMYFUNCTION("""COMPUTED_VALUE"""),44798.0)</f>
        <v>44798</v>
      </c>
      <c r="Q25" s="59" t="str">
        <f>IFERROR(__xludf.DUMMYFUNCTION("""COMPUTED_VALUE"""),"Net Ad IT Solutions")</f>
        <v>Net Ad IT Solutions</v>
      </c>
      <c r="R25" s="4">
        <f>IFERROR(__xludf.DUMMYFUNCTION("""COMPUTED_VALUE"""),4.875)</f>
        <v>4.875</v>
      </c>
      <c r="S25" s="60">
        <f>IFERROR(__xludf.DUMMYFUNCTION("""COMPUTED_VALUE"""),45157.0)</f>
        <v>45157</v>
      </c>
      <c r="U25" s="59" t="str">
        <f>IFERROR(__xludf.DUMMYFUNCTION("""COMPUTED_VALUE"""),"Mostaco Printing")</f>
        <v>Mostaco Printing</v>
      </c>
      <c r="V25" s="4">
        <f>IFERROR(__xludf.DUMMYFUNCTION("""COMPUTED_VALUE"""),4.75)</f>
        <v>4.75</v>
      </c>
      <c r="W25" s="60">
        <f>IFERROR(__xludf.DUMMYFUNCTION("""COMPUTED_VALUE"""),45516.0)</f>
        <v>45516</v>
      </c>
      <c r="Y25" s="59" t="str">
        <f>IFERROR(__xludf.DUMMYFUNCTION("""COMPUTED_VALUE"""),"Gift Republic, Inc.")</f>
        <v>Gift Republic, Inc.</v>
      </c>
      <c r="Z25" s="4">
        <f>IFERROR(__xludf.DUMMYFUNCTION("""COMPUTED_VALUE"""),2.926666666666667)</f>
        <v>2.926666667</v>
      </c>
      <c r="AB25" s="59" t="str">
        <f>IFERROR(__xludf.DUMMYFUNCTION("""COMPUTED_VALUE"""),"Contrade Integrated Depot")</f>
        <v>Contrade Integrated Depot</v>
      </c>
      <c r="AC25" s="4">
        <f>IFERROR(__xludf.DUMMYFUNCTION("""COMPUTED_VALUE"""),4.6089166666666666)</f>
        <v>4.608916667</v>
      </c>
      <c r="AE25" s="59" t="str">
        <f>IFERROR(__xludf.DUMMYFUNCTION("""COMPUTED_VALUE"""),"Columbia Technologies, Inc.")</f>
        <v>Columbia Technologies, Inc.</v>
      </c>
      <c r="AF25" s="4">
        <f>IFERROR(__xludf.DUMMYFUNCTION("""COMPUTED_VALUE"""),4.941666666666666)</f>
        <v>4.941666667</v>
      </c>
    </row>
    <row r="26">
      <c r="A26" s="95">
        <v>18.0</v>
      </c>
      <c r="B26" s="97" t="s">
        <v>122</v>
      </c>
      <c r="C26" s="4">
        <v>4.703703703703704</v>
      </c>
      <c r="E26" s="98">
        <v>18.0</v>
      </c>
      <c r="F26" s="98" t="s">
        <v>125</v>
      </c>
      <c r="G26" s="4">
        <v>4.0</v>
      </c>
      <c r="I26" s="101">
        <v>17.0</v>
      </c>
      <c r="J26" s="111" t="s">
        <v>127</v>
      </c>
      <c r="K26" s="4">
        <v>4.941666666666666</v>
      </c>
      <c r="M26" s="59" t="str">
        <f>IFERROR(__xludf.DUMMYFUNCTION("""COMPUTED_VALUE"""),"Contrade Integrated Depot")</f>
        <v>Contrade Integrated Depot</v>
      </c>
      <c r="N26" s="4">
        <f>IFERROR(__xludf.DUMMYFUNCTION("""COMPUTED_VALUE"""),3.8166666666666664)</f>
        <v>3.816666667</v>
      </c>
      <c r="O26" s="60">
        <f>IFERROR(__xludf.DUMMYFUNCTION("""COMPUTED_VALUE"""),44799.0)</f>
        <v>44799</v>
      </c>
      <c r="Q26" s="59" t="str">
        <f>IFERROR(__xludf.DUMMYFUNCTION("""COMPUTED_VALUE"""),"Microsmith Technology System,Inc.")</f>
        <v>Microsmith Technology System,Inc.</v>
      </c>
      <c r="R26" s="4">
        <f>IFERROR(__xludf.DUMMYFUNCTION("""COMPUTED_VALUE"""),4.833333333333333)</f>
        <v>4.833333333</v>
      </c>
      <c r="S26" s="60">
        <f>IFERROR(__xludf.DUMMYFUNCTION("""COMPUTED_VALUE"""),45163.0)</f>
        <v>45163</v>
      </c>
      <c r="U26" s="59" t="str">
        <f>IFERROR(__xludf.DUMMYFUNCTION("""COMPUTED_VALUE"""),"Abacus Book &amp; Card Corp.")</f>
        <v>Abacus Book &amp; Card Corp.</v>
      </c>
      <c r="V26" s="4">
        <f>IFERROR(__xludf.DUMMYFUNCTION("""COMPUTED_VALUE"""),4.75)</f>
        <v>4.75</v>
      </c>
      <c r="W26" s="60">
        <f>IFERROR(__xludf.DUMMYFUNCTION("""COMPUTED_VALUE"""),45516.0)</f>
        <v>45516</v>
      </c>
      <c r="Y26" s="59" t="str">
        <f>IFERROR(__xludf.DUMMYFUNCTION("""COMPUTED_VALUE"""),"Hospeco Philippines, Inc.")</f>
        <v>Hospeco Philippines, Inc.</v>
      </c>
      <c r="Z26" s="4">
        <f>IFERROR(__xludf.DUMMYFUNCTION("""COMPUTED_VALUE"""),4.683333333333334)</f>
        <v>4.683333333</v>
      </c>
      <c r="AB26" s="59" t="str">
        <f>IFERROR(__xludf.DUMMYFUNCTION("""COMPUTED_VALUE"""),"Creative Juice Digital Printing")</f>
        <v>Creative Juice Digital Printing</v>
      </c>
      <c r="AC26" s="4">
        <f>IFERROR(__xludf.DUMMYFUNCTION("""COMPUTED_VALUE"""),4.629938271604938)</f>
        <v>4.629938272</v>
      </c>
      <c r="AE26" s="59" t="str">
        <f>IFERROR(__xludf.DUMMYFUNCTION("""COMPUTED_VALUE"""),"Commerce Asia, Inc.")</f>
        <v>Commerce Asia, Inc.</v>
      </c>
      <c r="AF26" s="4">
        <f>IFERROR(__xludf.DUMMYFUNCTION("""COMPUTED_VALUE"""),4.8125)</f>
        <v>4.8125</v>
      </c>
    </row>
    <row r="27">
      <c r="A27" s="71" t="s">
        <v>108</v>
      </c>
      <c r="B27" s="54"/>
      <c r="C27" s="89">
        <f>average(C28:C32)</f>
        <v>4.858543771</v>
      </c>
      <c r="E27" s="98">
        <v>19.0</v>
      </c>
      <c r="F27" s="98" t="s">
        <v>132</v>
      </c>
      <c r="G27" s="125"/>
      <c r="I27" s="101">
        <v>18.0</v>
      </c>
      <c r="J27" s="111" t="s">
        <v>106</v>
      </c>
      <c r="K27" s="125"/>
      <c r="M27" s="59" t="str">
        <f>IFERROR(__xludf.DUMMYFUNCTION("""COMPUTED_VALUE"""),"Atlas Superflags")</f>
        <v>Atlas Superflags</v>
      </c>
      <c r="N27" s="4">
        <f>IFERROR(__xludf.DUMMYFUNCTION("""COMPUTED_VALUE"""),5.0)</f>
        <v>5</v>
      </c>
      <c r="O27" s="60">
        <f>IFERROR(__xludf.DUMMYFUNCTION("""COMPUTED_VALUE"""),44800.0)</f>
        <v>44800</v>
      </c>
      <c r="Q27" s="59" t="str">
        <f>IFERROR(__xludf.DUMMYFUNCTION("""COMPUTED_VALUE"""),"Atlas Superflags")</f>
        <v>Atlas Superflags</v>
      </c>
      <c r="R27" s="4">
        <f>IFERROR(__xludf.DUMMYFUNCTION("""COMPUTED_VALUE"""),4.0)</f>
        <v>4</v>
      </c>
      <c r="S27" s="60">
        <f>IFERROR(__xludf.DUMMYFUNCTION("""COMPUTED_VALUE"""),45165.0)</f>
        <v>45165</v>
      </c>
      <c r="U27" s="59" t="str">
        <f>IFERROR(__xludf.DUMMYFUNCTION("""COMPUTED_VALUE"""),"Mostaco Printing")</f>
        <v>Mostaco Printing</v>
      </c>
      <c r="V27" s="4">
        <f>IFERROR(__xludf.DUMMYFUNCTION("""COMPUTED_VALUE"""),4.75)</f>
        <v>4.75</v>
      </c>
      <c r="W27" s="60">
        <f>IFERROR(__xludf.DUMMYFUNCTION("""COMPUTED_VALUE"""),45516.0)</f>
        <v>45516</v>
      </c>
      <c r="Y27" s="59" t="str">
        <f>IFERROR(__xludf.DUMMYFUNCTION("""COMPUTED_VALUE"""),"Hytec Power, Inc.")</f>
        <v>Hytec Power, Inc.</v>
      </c>
      <c r="Z27" s="4">
        <f>IFERROR(__xludf.DUMMYFUNCTION("""COMPUTED_VALUE"""),3.466666666666667)</f>
        <v>3.466666667</v>
      </c>
      <c r="AB27" s="59" t="str">
        <f>IFERROR(__xludf.DUMMYFUNCTION("""COMPUTED_VALUE"""),"Crosspoint Paper, Inc.")</f>
        <v>Crosspoint Paper, Inc.</v>
      </c>
      <c r="AC27" s="4">
        <f>IFERROR(__xludf.DUMMYFUNCTION("""COMPUTED_VALUE"""),5.0)</f>
        <v>5</v>
      </c>
      <c r="AE27" s="59" t="str">
        <f>IFERROR(__xludf.DUMMYFUNCTION("""COMPUTED_VALUE"""),"Contrade Integrated Depot")</f>
        <v>Contrade Integrated Depot</v>
      </c>
      <c r="AF27" s="4">
        <f>IFERROR(__xludf.DUMMYFUNCTION("""COMPUTED_VALUE"""),4.743253968253969)</f>
        <v>4.743253968</v>
      </c>
    </row>
    <row r="28">
      <c r="A28" s="95">
        <v>19.0</v>
      </c>
      <c r="B28" s="97" t="s">
        <v>110</v>
      </c>
      <c r="C28" s="4">
        <v>4.826388888888888</v>
      </c>
      <c r="E28" s="78" t="s">
        <v>133</v>
      </c>
      <c r="F28" s="54"/>
      <c r="G28" s="55">
        <f>average(G29:G40)</f>
        <v>4.80470679</v>
      </c>
      <c r="I28" s="101">
        <v>19.0</v>
      </c>
      <c r="J28" s="102" t="s">
        <v>134</v>
      </c>
      <c r="K28" s="4">
        <v>5.0</v>
      </c>
      <c r="M28" s="59" t="str">
        <f>IFERROR(__xludf.DUMMYFUNCTION("""COMPUTED_VALUE"""),"Leonard Prints Inc.")</f>
        <v>Leonard Prints Inc.</v>
      </c>
      <c r="N28" s="4">
        <f>IFERROR(__xludf.DUMMYFUNCTION("""COMPUTED_VALUE"""),4.833333333333333)</f>
        <v>4.833333333</v>
      </c>
      <c r="O28" s="60">
        <f>IFERROR(__xludf.DUMMYFUNCTION("""COMPUTED_VALUE"""),44803.0)</f>
        <v>44803</v>
      </c>
      <c r="Q28" s="59" t="str">
        <f>IFERROR(__xludf.DUMMYFUNCTION("""COMPUTED_VALUE"""),"Microsmith Technology System,Inc.")</f>
        <v>Microsmith Technology System,Inc.</v>
      </c>
      <c r="R28" s="4">
        <f>IFERROR(__xludf.DUMMYFUNCTION("""COMPUTED_VALUE"""),5.0)</f>
        <v>5</v>
      </c>
      <c r="S28" s="60">
        <f>IFERROR(__xludf.DUMMYFUNCTION("""COMPUTED_VALUE"""),45166.0)</f>
        <v>45166</v>
      </c>
      <c r="U28" s="59" t="str">
        <f>IFERROR(__xludf.DUMMYFUNCTION("""COMPUTED_VALUE"""),"EIG Metal Engravers")</f>
        <v>EIG Metal Engravers</v>
      </c>
      <c r="V28" s="4">
        <f>IFERROR(__xludf.DUMMYFUNCTION("""COMPUTED_VALUE"""),4.833333333333333)</f>
        <v>4.833333333</v>
      </c>
      <c r="W28" s="60">
        <f>IFERROR(__xludf.DUMMYFUNCTION("""COMPUTED_VALUE"""),45517.0)</f>
        <v>45517</v>
      </c>
      <c r="Y28" s="59" t="str">
        <f>IFERROR(__xludf.DUMMYFUNCTION("""COMPUTED_VALUE"""),"JC Campit And Michael Berza")</f>
        <v>JC Campit And Michael Berza</v>
      </c>
      <c r="Z28" s="4">
        <f>IFERROR(__xludf.DUMMYFUNCTION("""COMPUTED_VALUE"""),5.0)</f>
        <v>5</v>
      </c>
      <c r="AB28" s="59" t="str">
        <f>IFERROR(__xludf.DUMMYFUNCTION("""COMPUTED_VALUE"""),"DKL Laboratory Supplies")</f>
        <v>DKL Laboratory Supplies</v>
      </c>
      <c r="AC28" s="4">
        <f>IFERROR(__xludf.DUMMYFUNCTION("""COMPUTED_VALUE"""),3.6666666666666665)</f>
        <v>3.666666667</v>
      </c>
      <c r="AE28" s="59" t="str">
        <f>IFERROR(__xludf.DUMMYFUNCTION("""COMPUTED_VALUE"""),"Creative Juice Digital Printing")</f>
        <v>Creative Juice Digital Printing</v>
      </c>
      <c r="AF28" s="4">
        <f>IFERROR(__xludf.DUMMYFUNCTION("""COMPUTED_VALUE"""),4.831249999999999)</f>
        <v>4.83125</v>
      </c>
    </row>
    <row r="29">
      <c r="A29" s="95">
        <v>20.0</v>
      </c>
      <c r="B29" s="97" t="s">
        <v>113</v>
      </c>
      <c r="C29" s="4">
        <v>4.916666666666666</v>
      </c>
      <c r="E29" s="98">
        <v>20.0</v>
      </c>
      <c r="F29" s="98" t="s">
        <v>51</v>
      </c>
      <c r="G29" s="4">
        <v>4.629938271604938</v>
      </c>
      <c r="I29" s="101">
        <v>20.0</v>
      </c>
      <c r="J29" s="102" t="s">
        <v>110</v>
      </c>
      <c r="K29" s="4">
        <v>4.760416666666666</v>
      </c>
      <c r="M29" s="59" t="str">
        <f>IFERROR(__xludf.DUMMYFUNCTION("""COMPUTED_VALUE"""),"Microsmith Technology System,Inc.")</f>
        <v>Microsmith Technology System,Inc.</v>
      </c>
      <c r="N29" s="4">
        <f>IFERROR(__xludf.DUMMYFUNCTION("""COMPUTED_VALUE"""),5.0)</f>
        <v>5</v>
      </c>
      <c r="O29" s="60">
        <f>IFERROR(__xludf.DUMMYFUNCTION("""COMPUTED_VALUE"""),44805.0)</f>
        <v>44805</v>
      </c>
      <c r="Q29" s="59" t="str">
        <f>IFERROR(__xludf.DUMMYFUNCTION("""COMPUTED_VALUE"""),"Net Ad IT Solutions")</f>
        <v>Net Ad IT Solutions</v>
      </c>
      <c r="R29" s="4">
        <f>IFERROR(__xludf.DUMMYFUNCTION("""COMPUTED_VALUE"""),5.0)</f>
        <v>5</v>
      </c>
      <c r="S29" s="60">
        <f>IFERROR(__xludf.DUMMYFUNCTION("""COMPUTED_VALUE"""),45181.0)</f>
        <v>45181</v>
      </c>
      <c r="U29" s="59" t="str">
        <f>IFERROR(__xludf.DUMMYFUNCTION("""COMPUTED_VALUE"""),"Commerce Asia, Inc.")</f>
        <v>Commerce Asia, Inc.</v>
      </c>
      <c r="V29" s="4">
        <f>IFERROR(__xludf.DUMMYFUNCTION("""COMPUTED_VALUE"""),4.791666666666667)</f>
        <v>4.791666667</v>
      </c>
      <c r="W29" s="60">
        <f>IFERROR(__xludf.DUMMYFUNCTION("""COMPUTED_VALUE"""),45517.0)</f>
        <v>45517</v>
      </c>
      <c r="Y29" s="59" t="str">
        <f>IFERROR(__xludf.DUMMYFUNCTION("""COMPUTED_VALUE"""),"Jarm Printing Press")</f>
        <v>Jarm Printing Press</v>
      </c>
      <c r="Z29" s="4">
        <f>IFERROR(__xludf.DUMMYFUNCTION("""COMPUTED_VALUE"""),4.75)</f>
        <v>4.75</v>
      </c>
      <c r="AB29" s="59" t="str">
        <f>IFERROR(__xludf.DUMMYFUNCTION("""COMPUTED_VALUE"""),"DOOPLO ADVERTISING")</f>
        <v>DOOPLO ADVERTISING</v>
      </c>
      <c r="AC29" s="4">
        <f>IFERROR(__xludf.DUMMYFUNCTION("""COMPUTED_VALUE"""),4.375)</f>
        <v>4.375</v>
      </c>
      <c r="AE29" s="59" t="str">
        <f>IFERROR(__xludf.DUMMYFUNCTION("""COMPUTED_VALUE"""),"Crosspoint Paper, Inc.")</f>
        <v>Crosspoint Paper, Inc.</v>
      </c>
      <c r="AF29" s="4">
        <f>IFERROR(__xludf.DUMMYFUNCTION("""COMPUTED_VALUE"""),4.944444444444444)</f>
        <v>4.944444444</v>
      </c>
    </row>
    <row r="30">
      <c r="A30" s="95">
        <v>21.0</v>
      </c>
      <c r="B30" s="97" t="s">
        <v>116</v>
      </c>
      <c r="C30" s="4">
        <v>4.832575757575758</v>
      </c>
      <c r="E30" s="98">
        <v>21.0</v>
      </c>
      <c r="F30" s="98" t="s">
        <v>135</v>
      </c>
      <c r="G30" s="128"/>
      <c r="I30" s="101">
        <v>21.0</v>
      </c>
      <c r="J30" s="111" t="s">
        <v>136</v>
      </c>
      <c r="K30" s="4">
        <v>5.0</v>
      </c>
      <c r="M30" s="59" t="str">
        <f>IFERROR(__xludf.DUMMYFUNCTION("""COMPUTED_VALUE"""),"Amazon")</f>
        <v>Amazon</v>
      </c>
      <c r="N30" s="4">
        <f>IFERROR(__xludf.DUMMYFUNCTION("""COMPUTED_VALUE"""),5.0)</f>
        <v>5</v>
      </c>
      <c r="O30" s="60">
        <f>IFERROR(__xludf.DUMMYFUNCTION("""COMPUTED_VALUE"""),44810.0)</f>
        <v>44810</v>
      </c>
      <c r="Q30" s="59" t="str">
        <f>IFERROR(__xludf.DUMMYFUNCTION("""COMPUTED_VALUE"""),"Net Ad IT Solutions")</f>
        <v>Net Ad IT Solutions</v>
      </c>
      <c r="R30" s="4">
        <f>IFERROR(__xludf.DUMMYFUNCTION("""COMPUTED_VALUE"""),4.875)</f>
        <v>4.875</v>
      </c>
      <c r="S30" s="60">
        <f>IFERROR(__xludf.DUMMYFUNCTION("""COMPUTED_VALUE"""),45181.0)</f>
        <v>45181</v>
      </c>
      <c r="U30" s="59" t="str">
        <f>IFERROR(__xludf.DUMMYFUNCTION("""COMPUTED_VALUE"""),"Shelves and Cups Book Store")</f>
        <v>Shelves and Cups Book Store</v>
      </c>
      <c r="V30" s="4">
        <f>IFERROR(__xludf.DUMMYFUNCTION("""COMPUTED_VALUE"""),4.833333333333333)</f>
        <v>4.833333333</v>
      </c>
      <c r="W30" s="60">
        <f>IFERROR(__xludf.DUMMYFUNCTION("""COMPUTED_VALUE"""),45517.0)</f>
        <v>45517</v>
      </c>
      <c r="Y30" s="59" t="str">
        <f>IFERROR(__xludf.DUMMYFUNCTION("""COMPUTED_VALUE"""),"Leonard Prints Inc.")</f>
        <v>Leonard Prints Inc.</v>
      </c>
      <c r="Z30" s="4">
        <f>IFERROR(__xludf.DUMMYFUNCTION("""COMPUTED_VALUE"""),4.816666666666666)</f>
        <v>4.816666667</v>
      </c>
      <c r="AB30" s="59" t="str">
        <f>IFERROR(__xludf.DUMMYFUNCTION("""COMPUTED_VALUE"""),"Data Computer Forms, Inc.")</f>
        <v>Data Computer Forms, Inc.</v>
      </c>
      <c r="AC30" s="4">
        <f>IFERROR(__xludf.DUMMYFUNCTION("""COMPUTED_VALUE"""),4.25)</f>
        <v>4.25</v>
      </c>
      <c r="AE30" s="59" t="str">
        <f>IFERROR(__xludf.DUMMYFUNCTION("""COMPUTED_VALUE"""),"Data Computer Forms, Inc.")</f>
        <v>Data Computer Forms, Inc.</v>
      </c>
      <c r="AF30" s="4">
        <f>IFERROR(__xludf.DUMMYFUNCTION("""COMPUTED_VALUE"""),4.952777777777778)</f>
        <v>4.952777778</v>
      </c>
    </row>
    <row r="31">
      <c r="A31" s="95">
        <v>22.0</v>
      </c>
      <c r="B31" s="97" t="s">
        <v>125</v>
      </c>
      <c r="C31" s="127"/>
      <c r="E31" s="98">
        <v>22.0</v>
      </c>
      <c r="F31" s="98" t="s">
        <v>137</v>
      </c>
      <c r="G31" s="4">
        <v>4.866666666666666</v>
      </c>
      <c r="I31" s="83" t="s">
        <v>138</v>
      </c>
      <c r="J31" s="85"/>
      <c r="K31" s="55">
        <f>average(K32:K39)</f>
        <v>4.616369048</v>
      </c>
      <c r="M31" s="59" t="str">
        <f>IFERROR(__xludf.DUMMYFUNCTION("""COMPUTED_VALUE"""),"PNB Credit Card")</f>
        <v>PNB Credit Card</v>
      </c>
      <c r="N31" s="4">
        <f>IFERROR(__xludf.DUMMYFUNCTION("""COMPUTED_VALUE"""),3.9166666666666665)</f>
        <v>3.916666667</v>
      </c>
      <c r="O31" s="60">
        <f>IFERROR(__xludf.DUMMYFUNCTION("""COMPUTED_VALUE"""),44810.0)</f>
        <v>44810</v>
      </c>
      <c r="Q31" s="59" t="str">
        <f>IFERROR(__xludf.DUMMYFUNCTION("""COMPUTED_VALUE"""),"Abacus Book &amp; Card Corp.")</f>
        <v>Abacus Book &amp; Card Corp.</v>
      </c>
      <c r="R31" s="4">
        <f>IFERROR(__xludf.DUMMYFUNCTION("""COMPUTED_VALUE"""),4.833333333333333)</f>
        <v>4.833333333</v>
      </c>
      <c r="S31" s="60">
        <f>IFERROR(__xludf.DUMMYFUNCTION("""COMPUTED_VALUE"""),45181.0)</f>
        <v>45181</v>
      </c>
      <c r="U31" s="59" t="str">
        <f>IFERROR(__xludf.DUMMYFUNCTION("""COMPUTED_VALUE"""),"Contrade Integrated Depot")</f>
        <v>Contrade Integrated Depot</v>
      </c>
      <c r="V31" s="4">
        <f>IFERROR(__xludf.DUMMYFUNCTION("""COMPUTED_VALUE"""),4.666666666666667)</f>
        <v>4.666666667</v>
      </c>
      <c r="W31" s="60">
        <f>IFERROR(__xludf.DUMMYFUNCTION("""COMPUTED_VALUE"""),45521.0)</f>
        <v>45521</v>
      </c>
      <c r="Y31" s="59" t="str">
        <f>IFERROR(__xludf.DUMMYFUNCTION("""COMPUTED_VALUE"""),"Lordfel Marketing")</f>
        <v>Lordfel Marketing</v>
      </c>
      <c r="Z31" s="4">
        <f>IFERROR(__xludf.DUMMYFUNCTION("""COMPUTED_VALUE"""),5.0)</f>
        <v>5</v>
      </c>
      <c r="AB31" s="59" t="str">
        <f>IFERROR(__xludf.DUMMYFUNCTION("""COMPUTED_VALUE"""),"Dynamics Electrical Supply and Hardware")</f>
        <v>Dynamics Electrical Supply and Hardware</v>
      </c>
      <c r="AC31" s="4">
        <f>IFERROR(__xludf.DUMMYFUNCTION("""COMPUTED_VALUE"""),4.0)</f>
        <v>4</v>
      </c>
      <c r="AE31" s="59" t="str">
        <f>IFERROR(__xludf.DUMMYFUNCTION("""COMPUTED_VALUE"""),"Dynamics Electrical Supply and Hardware")</f>
        <v>Dynamics Electrical Supply and Hardware</v>
      </c>
      <c r="AF31" s="4">
        <f>IFERROR(__xludf.DUMMYFUNCTION("""COMPUTED_VALUE"""),4.333333333333333)</f>
        <v>4.333333333</v>
      </c>
    </row>
    <row r="32">
      <c r="A32" s="95">
        <v>23.0</v>
      </c>
      <c r="B32" s="97" t="s">
        <v>132</v>
      </c>
      <c r="C32" s="50"/>
      <c r="E32" s="98">
        <v>23.0</v>
      </c>
      <c r="F32" s="98" t="s">
        <v>139</v>
      </c>
      <c r="G32" s="4">
        <v>4.874999999999999</v>
      </c>
      <c r="I32" s="101">
        <v>22.0</v>
      </c>
      <c r="J32" s="111" t="s">
        <v>140</v>
      </c>
      <c r="K32" s="2"/>
      <c r="M32" s="59" t="str">
        <f>IFERROR(__xludf.DUMMYFUNCTION("""COMPUTED_VALUE"""),"Abenson Ventures, Inc.")</f>
        <v>Abenson Ventures, Inc.</v>
      </c>
      <c r="N32" s="4">
        <f>IFERROR(__xludf.DUMMYFUNCTION("""COMPUTED_VALUE"""),4.833333333333333)</f>
        <v>4.833333333</v>
      </c>
      <c r="O32" s="60">
        <f>IFERROR(__xludf.DUMMYFUNCTION("""COMPUTED_VALUE"""),44812.0)</f>
        <v>44812</v>
      </c>
      <c r="Q32" s="59" t="str">
        <f>IFERROR(__xludf.DUMMYFUNCTION("""COMPUTED_VALUE"""),"Chemtrust Global Market, Inc.")</f>
        <v>Chemtrust Global Market, Inc.</v>
      </c>
      <c r="R32" s="4">
        <f>IFERROR(__xludf.DUMMYFUNCTION("""COMPUTED_VALUE"""),5.0)</f>
        <v>5</v>
      </c>
      <c r="S32" s="60">
        <f>IFERROR(__xludf.DUMMYFUNCTION("""COMPUTED_VALUE"""),45182.0)</f>
        <v>45182</v>
      </c>
      <c r="U32" s="59" t="str">
        <f>IFERROR(__xludf.DUMMYFUNCTION("""COMPUTED_VALUE"""),"Printing Shop PrintPilipinas.com")</f>
        <v>Printing Shop PrintPilipinas.com</v>
      </c>
      <c r="V32" s="4">
        <f>IFERROR(__xludf.DUMMYFUNCTION("""COMPUTED_VALUE"""),4.833333333333333)</f>
        <v>4.833333333</v>
      </c>
      <c r="W32" s="60">
        <f>IFERROR(__xludf.DUMMYFUNCTION("""COMPUTED_VALUE"""),45523.0)</f>
        <v>45523</v>
      </c>
      <c r="Y32" s="59" t="str">
        <f>IFERROR(__xludf.DUMMYFUNCTION("""COMPUTED_VALUE"""),"Luminaire Printing And Publishing Corp.")</f>
        <v>Luminaire Printing And Publishing Corp.</v>
      </c>
      <c r="Z32" s="4">
        <f>IFERROR(__xludf.DUMMYFUNCTION("""COMPUTED_VALUE"""),4.785714285714286)</f>
        <v>4.785714286</v>
      </c>
      <c r="AB32" s="59" t="str">
        <f>IFERROR(__xludf.DUMMYFUNCTION("""COMPUTED_VALUE"""),"EA Intertrade General Merchandising, Inc.")</f>
        <v>EA Intertrade General Merchandising, Inc.</v>
      </c>
      <c r="AC32" s="4">
        <f>IFERROR(__xludf.DUMMYFUNCTION("""COMPUTED_VALUE"""),5.0)</f>
        <v>5</v>
      </c>
      <c r="AE32" s="59" t="str">
        <f>IFERROR(__xludf.DUMMYFUNCTION("""COMPUTED_VALUE"""),"ECOSHIFT CORPORATION")</f>
        <v>ECOSHIFT CORPORATION</v>
      </c>
      <c r="AF32" s="4">
        <f>IFERROR(__xludf.DUMMYFUNCTION("""COMPUTED_VALUE"""),4.966666666666667)</f>
        <v>4.966666667</v>
      </c>
    </row>
    <row r="33">
      <c r="A33" s="71" t="s">
        <v>133</v>
      </c>
      <c r="B33" s="54"/>
      <c r="C33" s="89">
        <f>average(C34:C44)</f>
        <v>4.696064815</v>
      </c>
      <c r="E33" s="98">
        <v>24.0</v>
      </c>
      <c r="F33" s="98" t="s">
        <v>141</v>
      </c>
      <c r="G33" s="2"/>
      <c r="I33" s="101">
        <v>23.0</v>
      </c>
      <c r="J33" s="111" t="s">
        <v>142</v>
      </c>
      <c r="K33" s="2"/>
      <c r="M33" s="59" t="str">
        <f>IFERROR(__xludf.DUMMYFUNCTION("""COMPUTED_VALUE"""),"Contrade Integrated Depot")</f>
        <v>Contrade Integrated Depot</v>
      </c>
      <c r="N33" s="4">
        <f>IFERROR(__xludf.DUMMYFUNCTION("""COMPUTED_VALUE"""),4.833333333333333)</f>
        <v>4.833333333</v>
      </c>
      <c r="O33" s="60">
        <f>IFERROR(__xludf.DUMMYFUNCTION("""COMPUTED_VALUE"""),44813.0)</f>
        <v>44813</v>
      </c>
      <c r="Q33" s="59" t="str">
        <f>IFERROR(__xludf.DUMMYFUNCTION("""COMPUTED_VALUE"""),"Chemtrust Global Market, Inc.")</f>
        <v>Chemtrust Global Market, Inc.</v>
      </c>
      <c r="R33" s="4">
        <f>IFERROR(__xludf.DUMMYFUNCTION("""COMPUTED_VALUE"""),5.0)</f>
        <v>5</v>
      </c>
      <c r="S33" s="60">
        <f>IFERROR(__xludf.DUMMYFUNCTION("""COMPUTED_VALUE"""),45184.0)</f>
        <v>45184</v>
      </c>
      <c r="U33" s="59" t="str">
        <f>IFERROR(__xludf.DUMMYFUNCTION("""COMPUTED_VALUE"""),"Leonard Prints Inc.")</f>
        <v>Leonard Prints Inc.</v>
      </c>
      <c r="V33" s="4">
        <f>IFERROR(__xludf.DUMMYFUNCTION("""COMPUTED_VALUE"""),4.791666666666667)</f>
        <v>4.791666667</v>
      </c>
      <c r="W33" s="60">
        <f>IFERROR(__xludf.DUMMYFUNCTION("""COMPUTED_VALUE"""),45523.0)</f>
        <v>45523</v>
      </c>
      <c r="Y33" s="59" t="str">
        <f>IFERROR(__xludf.DUMMYFUNCTION("""COMPUTED_VALUE"""),"Marguerita Maria Nina I. Kanapi")</f>
        <v>Marguerita Maria Nina I. Kanapi</v>
      </c>
      <c r="Z33" s="4">
        <f>IFERROR(__xludf.DUMMYFUNCTION("""COMPUTED_VALUE"""),5.0)</f>
        <v>5</v>
      </c>
      <c r="AB33" s="59" t="str">
        <f>IFERROR(__xludf.DUMMYFUNCTION("""COMPUTED_VALUE"""),"EESM Bookstore")</f>
        <v>EESM Bookstore</v>
      </c>
      <c r="AC33" s="4">
        <f>IFERROR(__xludf.DUMMYFUNCTION("""COMPUTED_VALUE"""),4.808333333333333)</f>
        <v>4.808333333</v>
      </c>
      <c r="AE33" s="59" t="str">
        <f>IFERROR(__xludf.DUMMYFUNCTION("""COMPUTED_VALUE"""),"EIG Metal Engravers")</f>
        <v>EIG Metal Engravers</v>
      </c>
      <c r="AF33" s="4">
        <f>IFERROR(__xludf.DUMMYFUNCTION("""COMPUTED_VALUE"""),4.944444444444444)</f>
        <v>4.944444444</v>
      </c>
    </row>
    <row r="34">
      <c r="A34" s="95">
        <v>24.0</v>
      </c>
      <c r="B34" s="97" t="s">
        <v>51</v>
      </c>
      <c r="C34" s="50"/>
      <c r="E34" s="98">
        <v>25.0</v>
      </c>
      <c r="F34" s="98" t="s">
        <v>143</v>
      </c>
      <c r="G34" s="4">
        <v>4.847222222222222</v>
      </c>
      <c r="I34" s="101">
        <v>24.0</v>
      </c>
      <c r="J34" s="111" t="s">
        <v>144</v>
      </c>
      <c r="K34" s="125"/>
      <c r="M34" s="59" t="str">
        <f>IFERROR(__xludf.DUMMYFUNCTION("""COMPUTED_VALUE"""),"Contrade Integrated Depot")</f>
        <v>Contrade Integrated Depot</v>
      </c>
      <c r="N34" s="4">
        <f>IFERROR(__xludf.DUMMYFUNCTION("""COMPUTED_VALUE"""),4.533333333333333)</f>
        <v>4.533333333</v>
      </c>
      <c r="O34" s="60">
        <f>IFERROR(__xludf.DUMMYFUNCTION("""COMPUTED_VALUE"""),44816.0)</f>
        <v>44816</v>
      </c>
      <c r="Q34" s="59" t="str">
        <f>IFERROR(__xludf.DUMMYFUNCTION("""COMPUTED_VALUE"""),"Rivchem Enterprises")</f>
        <v>Rivchem Enterprises</v>
      </c>
      <c r="R34" s="4">
        <f>IFERROR(__xludf.DUMMYFUNCTION("""COMPUTED_VALUE"""),2.7416666666666667)</f>
        <v>2.741666667</v>
      </c>
      <c r="S34" s="60">
        <f>IFERROR(__xludf.DUMMYFUNCTION("""COMPUTED_VALUE"""),45185.0)</f>
        <v>45185</v>
      </c>
      <c r="U34" s="59" t="str">
        <f>IFERROR(__xludf.DUMMYFUNCTION("""COMPUTED_VALUE"""),"Printing Shop PrintPilipinas.com")</f>
        <v>Printing Shop PrintPilipinas.com</v>
      </c>
      <c r="V34" s="4">
        <f>IFERROR(__xludf.DUMMYFUNCTION("""COMPUTED_VALUE"""),4.816666666666666)</f>
        <v>4.816666667</v>
      </c>
      <c r="W34" s="60">
        <f>IFERROR(__xludf.DUMMYFUNCTION("""COMPUTED_VALUE"""),45523.0)</f>
        <v>45523</v>
      </c>
      <c r="Y34" s="59" t="str">
        <f>IFERROR(__xludf.DUMMYFUNCTION("""COMPUTED_VALUE"""),"Microsmith Technology System,Inc.")</f>
        <v>Microsmith Technology System,Inc.</v>
      </c>
      <c r="Z34" s="4">
        <f>IFERROR(__xludf.DUMMYFUNCTION("""COMPUTED_VALUE"""),4.941666666666666)</f>
        <v>4.941666667</v>
      </c>
      <c r="AB34" s="59" t="str">
        <f>IFERROR(__xludf.DUMMYFUNCTION("""COMPUTED_VALUE"""),"EIG Metal Engravers")</f>
        <v>EIG Metal Engravers</v>
      </c>
      <c r="AC34" s="4">
        <f>IFERROR(__xludf.DUMMYFUNCTION("""COMPUTED_VALUE"""),4.75)</f>
        <v>4.75</v>
      </c>
      <c r="AE34" s="59" t="str">
        <f>IFERROR(__xludf.DUMMYFUNCTION("""COMPUTED_VALUE"""),"Elle Tech and Trend Office Furniture and Interiors")</f>
        <v>Elle Tech and Trend Office Furniture and Interiors</v>
      </c>
      <c r="AF34" s="4">
        <f>IFERROR(__xludf.DUMMYFUNCTION("""COMPUTED_VALUE"""),4.7)</f>
        <v>4.7</v>
      </c>
    </row>
    <row r="35">
      <c r="A35" s="95">
        <v>25.0</v>
      </c>
      <c r="B35" s="97" t="s">
        <v>135</v>
      </c>
      <c r="C35" s="2"/>
      <c r="E35" s="98">
        <v>26.0</v>
      </c>
      <c r="F35" s="98" t="s">
        <v>145</v>
      </c>
      <c r="G35" s="2"/>
      <c r="I35" s="101">
        <v>25.0</v>
      </c>
      <c r="J35" s="111" t="s">
        <v>87</v>
      </c>
      <c r="K35" s="4">
        <v>4.71547619047619</v>
      </c>
      <c r="M35" s="59" t="str">
        <f>IFERROR(__xludf.DUMMYFUNCTION("""COMPUTED_VALUE"""),"Contrade Integrated Depot")</f>
        <v>Contrade Integrated Depot</v>
      </c>
      <c r="N35" s="4">
        <f>IFERROR(__xludf.DUMMYFUNCTION("""COMPUTED_VALUE"""),4.675)</f>
        <v>4.675</v>
      </c>
      <c r="O35" s="60">
        <f>IFERROR(__xludf.DUMMYFUNCTION("""COMPUTED_VALUE"""),44816.0)</f>
        <v>44816</v>
      </c>
      <c r="Q35" s="59" t="str">
        <f>IFERROR(__xludf.DUMMYFUNCTION("""COMPUTED_VALUE"""),"Rivchem Enterprises")</f>
        <v>Rivchem Enterprises</v>
      </c>
      <c r="R35" s="4">
        <f>IFERROR(__xludf.DUMMYFUNCTION("""COMPUTED_VALUE"""),2.891666666666667)</f>
        <v>2.891666667</v>
      </c>
      <c r="S35" s="60">
        <f>IFERROR(__xludf.DUMMYFUNCTION("""COMPUTED_VALUE"""),45185.0)</f>
        <v>45185</v>
      </c>
      <c r="U35" s="59" t="str">
        <f>IFERROR(__xludf.DUMMYFUNCTION("""COMPUTED_VALUE"""),"Abiva Publishing House, Inc.")</f>
        <v>Abiva Publishing House, Inc.</v>
      </c>
      <c r="V35" s="4">
        <f>IFERROR(__xludf.DUMMYFUNCTION("""COMPUTED_VALUE"""),4.833333333333333)</f>
        <v>4.833333333</v>
      </c>
      <c r="W35" s="60">
        <f>IFERROR(__xludf.DUMMYFUNCTION("""COMPUTED_VALUE"""),45524.0)</f>
        <v>45524</v>
      </c>
      <c r="Y35" s="59" t="str">
        <f>IFERROR(__xludf.DUMMYFUNCTION("""COMPUTED_VALUE"""),"Net Ad IT Solutions")</f>
        <v>Net Ad IT Solutions</v>
      </c>
      <c r="Z35" s="4">
        <f>IFERROR(__xludf.DUMMYFUNCTION("""COMPUTED_VALUE"""),4.760416666666666)</f>
        <v>4.760416667</v>
      </c>
      <c r="AB35" s="59" t="str">
        <f>IFERROR(__xludf.DUMMYFUNCTION("""COMPUTED_VALUE"""),"Falcon Waterfree Philippines, Inc.")</f>
        <v>Falcon Waterfree Philippines, Inc.</v>
      </c>
      <c r="AC35" s="4">
        <f>IFERROR(__xludf.DUMMYFUNCTION("""COMPUTED_VALUE"""),4.541666666666666)</f>
        <v>4.541666667</v>
      </c>
      <c r="AE35" s="59" t="str">
        <f>IFERROR(__xludf.DUMMYFUNCTION("""COMPUTED_VALUE"""),"Express Cards Enterprises Co.")</f>
        <v>Express Cards Enterprises Co.</v>
      </c>
      <c r="AF35" s="4">
        <f>IFERROR(__xludf.DUMMYFUNCTION("""COMPUTED_VALUE"""),5.0)</f>
        <v>5</v>
      </c>
    </row>
    <row r="36">
      <c r="A36" s="95">
        <v>26.0</v>
      </c>
      <c r="B36" s="97" t="s">
        <v>137</v>
      </c>
      <c r="C36" s="4">
        <v>4.583333333333333</v>
      </c>
      <c r="E36" s="98">
        <v>27.0</v>
      </c>
      <c r="F36" s="140" t="s">
        <v>148</v>
      </c>
      <c r="G36" s="2"/>
      <c r="I36" s="101">
        <v>26.0</v>
      </c>
      <c r="J36" s="111" t="s">
        <v>149</v>
      </c>
      <c r="K36" s="4">
        <v>4.066666666666666</v>
      </c>
      <c r="M36" s="59" t="str">
        <f>IFERROR(__xludf.DUMMYFUNCTION("""COMPUTED_VALUE"""),"Luminaire Printing And Publishing Corp.")</f>
        <v>Luminaire Printing And Publishing Corp.</v>
      </c>
      <c r="N36" s="4">
        <f>IFERROR(__xludf.DUMMYFUNCTION("""COMPUTED_VALUE"""),4.683333333333334)</f>
        <v>4.683333333</v>
      </c>
      <c r="O36" s="60">
        <f>IFERROR(__xludf.DUMMYFUNCTION("""COMPUTED_VALUE"""),44817.0)</f>
        <v>44817</v>
      </c>
      <c r="Q36" s="59" t="str">
        <f>IFERROR(__xludf.DUMMYFUNCTION("""COMPUTED_VALUE"""),"Contrade Integrated Depot")</f>
        <v>Contrade Integrated Depot</v>
      </c>
      <c r="R36" s="4">
        <f>IFERROR(__xludf.DUMMYFUNCTION("""COMPUTED_VALUE"""),4.566666666666666)</f>
        <v>4.566666667</v>
      </c>
      <c r="S36" s="60">
        <f>IFERROR(__xludf.DUMMYFUNCTION("""COMPUTED_VALUE"""),45189.0)</f>
        <v>45189</v>
      </c>
      <c r="U36" s="59" t="str">
        <f>IFERROR(__xludf.DUMMYFUNCTION("""COMPUTED_VALUE"""),"Alpha Steel Office and Home Furnishing Company")</f>
        <v>Alpha Steel Office and Home Furnishing Company</v>
      </c>
      <c r="V36" s="4">
        <f>IFERROR(__xludf.DUMMYFUNCTION("""COMPUTED_VALUE"""),4.833333333333333)</f>
        <v>4.833333333</v>
      </c>
      <c r="W36" s="60">
        <f>IFERROR(__xludf.DUMMYFUNCTION("""COMPUTED_VALUE"""),45526.0)</f>
        <v>45526</v>
      </c>
      <c r="Y36" s="59" t="str">
        <f>IFERROR(__xludf.DUMMYFUNCTION("""COMPUTED_VALUE"""),"One Supply")</f>
        <v>One Supply</v>
      </c>
      <c r="Z36" s="4">
        <f>IFERROR(__xludf.DUMMYFUNCTION("""COMPUTED_VALUE"""),5.0)</f>
        <v>5</v>
      </c>
      <c r="AB36" s="59" t="str">
        <f>IFERROR(__xludf.DUMMYFUNCTION("""COMPUTED_VALUE"""),"Forefront Book Co., Inc.")</f>
        <v>Forefront Book Co., Inc.</v>
      </c>
      <c r="AC36" s="4">
        <f>IFERROR(__xludf.DUMMYFUNCTION("""COMPUTED_VALUE"""),4.733333333333333)</f>
        <v>4.733333333</v>
      </c>
      <c r="AE36" s="59" t="str">
        <f>IFERROR(__xludf.DUMMYFUNCTION("""COMPUTED_VALUE"""),"Falcon Waterfree Philippines, Inc.")</f>
        <v>Falcon Waterfree Philippines, Inc.</v>
      </c>
      <c r="AF36" s="4">
        <f>IFERROR(__xludf.DUMMYFUNCTION("""COMPUTED_VALUE"""),4.791666666666667)</f>
        <v>4.791666667</v>
      </c>
    </row>
    <row r="37">
      <c r="A37" s="95">
        <v>27.0</v>
      </c>
      <c r="B37" s="97" t="s">
        <v>139</v>
      </c>
      <c r="C37" s="50"/>
      <c r="E37" s="98">
        <v>28.0</v>
      </c>
      <c r="F37" s="98" t="s">
        <v>150</v>
      </c>
      <c r="G37" s="2"/>
      <c r="I37" s="108">
        <v>27.0</v>
      </c>
      <c r="J37" s="111" t="s">
        <v>151</v>
      </c>
      <c r="K37" s="2"/>
      <c r="M37" s="59" t="str">
        <f>IFERROR(__xludf.DUMMYFUNCTION("""COMPUTED_VALUE"""),"Polaris Prime Air Tech Corporation")</f>
        <v>Polaris Prime Air Tech Corporation</v>
      </c>
      <c r="N37" s="4">
        <f>IFERROR(__xludf.DUMMYFUNCTION("""COMPUTED_VALUE"""),4.0)</f>
        <v>4</v>
      </c>
      <c r="O37" s="60">
        <f>IFERROR(__xludf.DUMMYFUNCTION("""COMPUTED_VALUE"""),44817.0)</f>
        <v>44817</v>
      </c>
      <c r="Q37" s="59" t="str">
        <f>IFERROR(__xludf.DUMMYFUNCTION("""COMPUTED_VALUE"""),"Booktrens Enterprises")</f>
        <v>Booktrens Enterprises</v>
      </c>
      <c r="R37" s="4">
        <f>IFERROR(__xludf.DUMMYFUNCTION("""COMPUTED_VALUE"""),5.0)</f>
        <v>5</v>
      </c>
      <c r="S37" s="60">
        <f>IFERROR(__xludf.DUMMYFUNCTION("""COMPUTED_VALUE"""),45191.0)</f>
        <v>45191</v>
      </c>
      <c r="U37" s="59" t="str">
        <f>IFERROR(__xludf.DUMMYFUNCTION("""COMPUTED_VALUE"""),"Printing Shop PrintPilipinas.com")</f>
        <v>Printing Shop PrintPilipinas.com</v>
      </c>
      <c r="V37" s="4">
        <f>IFERROR(__xludf.DUMMYFUNCTION("""COMPUTED_VALUE"""),4.333333333333333)</f>
        <v>4.333333333</v>
      </c>
      <c r="W37" s="60">
        <f>IFERROR(__xludf.DUMMYFUNCTION("""COMPUTED_VALUE"""),45526.0)</f>
        <v>45526</v>
      </c>
      <c r="Y37" s="59" t="str">
        <f>IFERROR(__xludf.DUMMYFUNCTION("""COMPUTED_VALUE"""),"Oray Copier Solutions")</f>
        <v>Oray Copier Solutions</v>
      </c>
      <c r="Z37" s="4">
        <f>IFERROR(__xludf.DUMMYFUNCTION("""COMPUTED_VALUE"""),5.0)</f>
        <v>5</v>
      </c>
      <c r="AB37" s="59" t="str">
        <f>IFERROR(__xludf.DUMMYFUNCTION("""COMPUTED_VALUE"""),"Goldlink Indsutrial Sales")</f>
        <v>Goldlink Indsutrial Sales</v>
      </c>
      <c r="AC37" s="4">
        <f>IFERROR(__xludf.DUMMYFUNCTION("""COMPUTED_VALUE"""),4.541666666666666)</f>
        <v>4.541666667</v>
      </c>
      <c r="AE37" s="59" t="str">
        <f>IFERROR(__xludf.DUMMYFUNCTION("""COMPUTED_VALUE"""),"Golden Advance Marketing")</f>
        <v>Golden Advance Marketing</v>
      </c>
      <c r="AF37" s="4">
        <f>IFERROR(__xludf.DUMMYFUNCTION("""COMPUTED_VALUE"""),4.763888888888889)</f>
        <v>4.763888889</v>
      </c>
    </row>
    <row r="38">
      <c r="A38" s="95">
        <v>28.0</v>
      </c>
      <c r="B38" s="97" t="s">
        <v>141</v>
      </c>
      <c r="C38" s="128"/>
      <c r="E38" s="98">
        <v>29.0</v>
      </c>
      <c r="F38" s="98" t="s">
        <v>153</v>
      </c>
      <c r="G38" s="128"/>
      <c r="I38" s="101">
        <v>28.0</v>
      </c>
      <c r="J38" s="111" t="s">
        <v>154</v>
      </c>
      <c r="K38" s="4">
        <v>4.683333333333334</v>
      </c>
      <c r="M38" s="59" t="str">
        <f>IFERROR(__xludf.DUMMYFUNCTION("""COMPUTED_VALUE"""),"Hospeco Philippines, Inc.")</f>
        <v>Hospeco Philippines, Inc.</v>
      </c>
      <c r="N38" s="4">
        <f>IFERROR(__xludf.DUMMYFUNCTION("""COMPUTED_VALUE"""),4.833333333333333)</f>
        <v>4.833333333</v>
      </c>
      <c r="O38" s="60">
        <f>IFERROR(__xludf.DUMMYFUNCTION("""COMPUTED_VALUE"""),44825.0)</f>
        <v>44825</v>
      </c>
      <c r="Q38" s="59" t="str">
        <f>IFERROR(__xludf.DUMMYFUNCTION("""COMPUTED_VALUE"""),"Microsmith Technology System,Inc.")</f>
        <v>Microsmith Technology System,Inc.</v>
      </c>
      <c r="R38" s="4">
        <f>IFERROR(__xludf.DUMMYFUNCTION("""COMPUTED_VALUE"""),4.666666666666667)</f>
        <v>4.666666667</v>
      </c>
      <c r="S38" s="60">
        <f>IFERROR(__xludf.DUMMYFUNCTION("""COMPUTED_VALUE"""),45195.0)</f>
        <v>45195</v>
      </c>
      <c r="U38" s="59" t="str">
        <f>IFERROR(__xludf.DUMMYFUNCTION("""COMPUTED_VALUE"""),"Commerce Asia, Inc.")</f>
        <v>Commerce Asia, Inc.</v>
      </c>
      <c r="V38" s="4">
        <f>IFERROR(__xludf.DUMMYFUNCTION("""COMPUTED_VALUE"""),4.833333333333333)</f>
        <v>4.833333333</v>
      </c>
      <c r="W38" s="60">
        <f>IFERROR(__xludf.DUMMYFUNCTION("""COMPUTED_VALUE"""),45527.0)</f>
        <v>45527</v>
      </c>
      <c r="Y38" s="59" t="str">
        <f>IFERROR(__xludf.DUMMYFUNCTION("""COMPUTED_VALUE"""),"PNB Credit Card")</f>
        <v>PNB Credit Card</v>
      </c>
      <c r="Z38" s="4">
        <f>IFERROR(__xludf.DUMMYFUNCTION("""COMPUTED_VALUE"""),3.9166666666666665)</f>
        <v>3.916666667</v>
      </c>
      <c r="AB38" s="59" t="str">
        <f>IFERROR(__xludf.DUMMYFUNCTION("""COMPUTED_VALUE"""),"Hospeco Philippines, Inc.")</f>
        <v>Hospeco Philippines, Inc.</v>
      </c>
      <c r="AC38" s="4">
        <f>IFERROR(__xludf.DUMMYFUNCTION("""COMPUTED_VALUE"""),4.416666666666666)</f>
        <v>4.416666667</v>
      </c>
      <c r="AE38" s="59" t="str">
        <f>IFERROR(__xludf.DUMMYFUNCTION("""COMPUTED_VALUE"""),"Hospeco Philippines, Inc.")</f>
        <v>Hospeco Philippines, Inc.</v>
      </c>
      <c r="AF38" s="4">
        <f>IFERROR(__xludf.DUMMYFUNCTION("""COMPUTED_VALUE"""),4.811111111111111)</f>
        <v>4.811111111</v>
      </c>
    </row>
    <row r="39">
      <c r="A39" s="95">
        <v>29.0</v>
      </c>
      <c r="B39" s="97" t="s">
        <v>143</v>
      </c>
      <c r="C39" s="4">
        <v>4.60462962962963</v>
      </c>
      <c r="E39" s="98">
        <v>30.0</v>
      </c>
      <c r="F39" s="98" t="s">
        <v>155</v>
      </c>
      <c r="G39" s="2"/>
      <c r="I39" s="101">
        <v>29.0</v>
      </c>
      <c r="J39" s="111" t="s">
        <v>156</v>
      </c>
      <c r="K39" s="4">
        <v>5.0</v>
      </c>
      <c r="M39" s="59" t="str">
        <f>IFERROR(__xludf.DUMMYFUNCTION("""COMPUTED_VALUE"""),"Contrade Integrated Depot")</f>
        <v>Contrade Integrated Depot</v>
      </c>
      <c r="N39" s="4">
        <f>IFERROR(__xludf.DUMMYFUNCTION("""COMPUTED_VALUE"""),3.8733333333333335)</f>
        <v>3.873333333</v>
      </c>
      <c r="O39" s="60">
        <f>IFERROR(__xludf.DUMMYFUNCTION("""COMPUTED_VALUE"""),44827.0)</f>
        <v>44827</v>
      </c>
      <c r="Q39" s="59" t="str">
        <f>IFERROR(__xludf.DUMMYFUNCTION("""COMPUTED_VALUE"""),"Creative Juice Digital Printing")</f>
        <v>Creative Juice Digital Printing</v>
      </c>
      <c r="R39" s="4">
        <f>IFERROR(__xludf.DUMMYFUNCTION("""COMPUTED_VALUE"""),5.0)</f>
        <v>5</v>
      </c>
      <c r="S39" s="60">
        <f>IFERROR(__xludf.DUMMYFUNCTION("""COMPUTED_VALUE"""),45196.0)</f>
        <v>45196</v>
      </c>
      <c r="U39" s="59" t="str">
        <f>IFERROR(__xludf.DUMMYFUNCTION("""COMPUTED_VALUE"""),"Contrade Integrated Depot")</f>
        <v>Contrade Integrated Depot</v>
      </c>
      <c r="V39" s="4">
        <f>IFERROR(__xludf.DUMMYFUNCTION("""COMPUTED_VALUE"""),4.75)</f>
        <v>4.75</v>
      </c>
      <c r="W39" s="60">
        <f>IFERROR(__xludf.DUMMYFUNCTION("""COMPUTED_VALUE"""),45528.0)</f>
        <v>45528</v>
      </c>
      <c r="Y39" s="59" t="str">
        <f>IFERROR(__xludf.DUMMYFUNCTION("""COMPUTED_VALUE"""),"Polaris Integrated Industries, Inc.")</f>
        <v>Polaris Integrated Industries, Inc.</v>
      </c>
      <c r="Z39" s="4">
        <f>IFERROR(__xludf.DUMMYFUNCTION("""COMPUTED_VALUE"""),4.991666666666666)</f>
        <v>4.991666667</v>
      </c>
      <c r="AB39" s="59" t="str">
        <f>IFERROR(__xludf.DUMMYFUNCTION("""COMPUTED_VALUE"""),"I-Stop Graphics and Business Center")</f>
        <v>I-Stop Graphics and Business Center</v>
      </c>
      <c r="AC39" s="4">
        <f>IFERROR(__xludf.DUMMYFUNCTION("""COMPUTED_VALUE"""),4.083333333333334)</f>
        <v>4.083333333</v>
      </c>
      <c r="AE39" s="59" t="str">
        <f>IFERROR(__xludf.DUMMYFUNCTION("""COMPUTED_VALUE"""),"Hytec Power, Inc.")</f>
        <v>Hytec Power, Inc.</v>
      </c>
      <c r="AF39" s="4">
        <f>IFERROR(__xludf.DUMMYFUNCTION("""COMPUTED_VALUE"""),3.8333333333333335)</f>
        <v>3.833333333</v>
      </c>
    </row>
    <row r="40">
      <c r="A40" s="95">
        <v>30.0</v>
      </c>
      <c r="B40" s="97" t="s">
        <v>145</v>
      </c>
      <c r="C40" s="2"/>
      <c r="E40" s="98">
        <v>31.0</v>
      </c>
      <c r="F40" s="98" t="s">
        <v>157</v>
      </c>
      <c r="G40" s="2"/>
      <c r="I40" s="83" t="s">
        <v>158</v>
      </c>
      <c r="J40" s="85"/>
      <c r="K40" s="55">
        <f>average(K41:K58)</f>
        <v>4.745833333</v>
      </c>
      <c r="M40" s="59" t="str">
        <f>IFERROR(__xludf.DUMMYFUNCTION("""COMPUTED_VALUE"""),"Net Ad IT Solutions")</f>
        <v>Net Ad IT Solutions</v>
      </c>
      <c r="N40" s="4">
        <f>IFERROR(__xludf.DUMMYFUNCTION("""COMPUTED_VALUE"""),5.0)</f>
        <v>5</v>
      </c>
      <c r="O40" s="60">
        <f>IFERROR(__xludf.DUMMYFUNCTION("""COMPUTED_VALUE"""),44827.0)</f>
        <v>44827</v>
      </c>
      <c r="Q40" s="59" t="str">
        <f>IFERROR(__xludf.DUMMYFUNCTION("""COMPUTED_VALUE"""),"Creative Juice Digital Printing")</f>
        <v>Creative Juice Digital Printing</v>
      </c>
      <c r="R40" s="4">
        <f>IFERROR(__xludf.DUMMYFUNCTION("""COMPUTED_VALUE"""),5.0)</f>
        <v>5</v>
      </c>
      <c r="S40" s="60">
        <f>IFERROR(__xludf.DUMMYFUNCTION("""COMPUTED_VALUE"""),45196.0)</f>
        <v>45196</v>
      </c>
      <c r="U40" s="59" t="str">
        <f>IFERROR(__xludf.DUMMYFUNCTION("""COMPUTED_VALUE"""),"Contrade Integrated Depot")</f>
        <v>Contrade Integrated Depot</v>
      </c>
      <c r="V40" s="4">
        <f>IFERROR(__xludf.DUMMYFUNCTION("""COMPUTED_VALUE"""),4.75)</f>
        <v>4.75</v>
      </c>
      <c r="W40" s="60">
        <f>IFERROR(__xludf.DUMMYFUNCTION("""COMPUTED_VALUE"""),45528.0)</f>
        <v>45528</v>
      </c>
      <c r="Y40" s="59" t="str">
        <f>IFERROR(__xludf.DUMMYFUNCTION("""COMPUTED_VALUE"""),"Polaris Prime Air Tech Corporation")</f>
        <v>Polaris Prime Air Tech Corporation</v>
      </c>
      <c r="Z40" s="4">
        <f>IFERROR(__xludf.DUMMYFUNCTION("""COMPUTED_VALUE"""),4.5)</f>
        <v>4.5</v>
      </c>
      <c r="AB40" s="59" t="str">
        <f>IFERROR(__xludf.DUMMYFUNCTION("""COMPUTED_VALUE"""),"JLY Garment Trading")</f>
        <v>JLY Garment Trading</v>
      </c>
      <c r="AC40" s="4">
        <f>IFERROR(__xludf.DUMMYFUNCTION("""COMPUTED_VALUE"""),4.713888888888889)</f>
        <v>4.713888889</v>
      </c>
      <c r="AE40" s="59" t="str">
        <f>IFERROR(__xludf.DUMMYFUNCTION("""COMPUTED_VALUE"""),"Inkonvert Enterprises")</f>
        <v>Inkonvert Enterprises</v>
      </c>
      <c r="AF40" s="4">
        <f>IFERROR(__xludf.DUMMYFUNCTION("""COMPUTED_VALUE"""),5.0)</f>
        <v>5</v>
      </c>
    </row>
    <row r="41">
      <c r="A41" s="95">
        <v>31.0</v>
      </c>
      <c r="B41" s="97" t="s">
        <v>153</v>
      </c>
      <c r="C41" s="4">
        <v>4.791666666666666</v>
      </c>
      <c r="E41" s="78" t="s">
        <v>163</v>
      </c>
      <c r="F41" s="54"/>
      <c r="G41" s="55" t="str">
        <f>average(G42:G46)</f>
        <v>#DIV/0!</v>
      </c>
      <c r="I41" s="108">
        <v>30.0</v>
      </c>
      <c r="J41" s="102" t="s">
        <v>166</v>
      </c>
      <c r="K41" s="128"/>
      <c r="M41" s="59" t="str">
        <f>IFERROR(__xludf.DUMMYFUNCTION("""COMPUTED_VALUE"""),"Oray Copier Solutions")</f>
        <v>Oray Copier Solutions</v>
      </c>
      <c r="N41" s="4">
        <f>IFERROR(__xludf.DUMMYFUNCTION("""COMPUTED_VALUE"""),5.0)</f>
        <v>5</v>
      </c>
      <c r="O41" s="60">
        <f>IFERROR(__xludf.DUMMYFUNCTION("""COMPUTED_VALUE"""),44830.0)</f>
        <v>44830</v>
      </c>
      <c r="Q41" s="59" t="str">
        <f>IFERROR(__xludf.DUMMYFUNCTION("""COMPUTED_VALUE"""),"Contrade Integrated Depot")</f>
        <v>Contrade Integrated Depot</v>
      </c>
      <c r="R41" s="4">
        <f>IFERROR(__xludf.DUMMYFUNCTION("""COMPUTED_VALUE"""),4.83)</f>
        <v>4.83</v>
      </c>
      <c r="S41" s="60">
        <f>IFERROR(__xludf.DUMMYFUNCTION("""COMPUTED_VALUE"""),45199.0)</f>
        <v>45199</v>
      </c>
      <c r="U41" s="59" t="str">
        <f>IFERROR(__xludf.DUMMYFUNCTION("""COMPUTED_VALUE"""),"Luminaire Printing And Publishing Corp.")</f>
        <v>Luminaire Printing And Publishing Corp.</v>
      </c>
      <c r="V41" s="4">
        <f>IFERROR(__xludf.DUMMYFUNCTION("""COMPUTED_VALUE"""),4.833333333333333)</f>
        <v>4.833333333</v>
      </c>
      <c r="W41" s="60">
        <f>IFERROR(__xludf.DUMMYFUNCTION("""COMPUTED_VALUE"""),45534.0)</f>
        <v>45534</v>
      </c>
      <c r="Y41" s="59" t="str">
        <f>IFERROR(__xludf.DUMMYFUNCTION("""COMPUTED_VALUE"""),"Rivchem Enterprises")</f>
        <v>Rivchem Enterprises</v>
      </c>
      <c r="Z41" s="4">
        <f>IFERROR(__xludf.DUMMYFUNCTION("""COMPUTED_VALUE"""),4.71547619047619)</f>
        <v>4.71547619</v>
      </c>
      <c r="AB41" s="59" t="str">
        <f>IFERROR(__xludf.DUMMYFUNCTION("""COMPUTED_VALUE"""),"Jarm Printing Press")</f>
        <v>Jarm Printing Press</v>
      </c>
      <c r="AC41" s="4">
        <f>IFERROR(__xludf.DUMMYFUNCTION("""COMPUTED_VALUE"""),4.874999999999999)</f>
        <v>4.875</v>
      </c>
      <c r="AE41" s="59" t="str">
        <f>IFERROR(__xludf.DUMMYFUNCTION("""COMPUTED_VALUE"""),"Jassen Harris  Industries Corp.")</f>
        <v>Jassen Harris  Industries Corp.</v>
      </c>
      <c r="AF41" s="4">
        <f>IFERROR(__xludf.DUMMYFUNCTION("""COMPUTED_VALUE"""),4.833333333333334)</f>
        <v>4.833333333</v>
      </c>
    </row>
    <row r="42">
      <c r="A42" s="95">
        <v>32.0</v>
      </c>
      <c r="B42" s="97" t="s">
        <v>155</v>
      </c>
      <c r="C42" s="141"/>
      <c r="E42" s="98">
        <v>32.0</v>
      </c>
      <c r="F42" s="98" t="s">
        <v>172</v>
      </c>
      <c r="G42" s="2"/>
      <c r="I42" s="101">
        <v>31.0</v>
      </c>
      <c r="J42" s="102" t="s">
        <v>173</v>
      </c>
      <c r="K42" s="2"/>
      <c r="M42" s="59" t="str">
        <f>IFERROR(__xludf.DUMMYFUNCTION("""COMPUTED_VALUE"""),"Net Ad IT Solutions")</f>
        <v>Net Ad IT Solutions</v>
      </c>
      <c r="N42" s="4">
        <f>IFERROR(__xludf.DUMMYFUNCTION("""COMPUTED_VALUE"""),4.758333333333334)</f>
        <v>4.758333333</v>
      </c>
      <c r="O42" s="60">
        <f>IFERROR(__xludf.DUMMYFUNCTION("""COMPUTED_VALUE"""),44832.0)</f>
        <v>44832</v>
      </c>
      <c r="Q42" s="59" t="str">
        <f>IFERROR(__xludf.DUMMYFUNCTION("""COMPUTED_VALUE"""),"EESM Bookstore")</f>
        <v>EESM Bookstore</v>
      </c>
      <c r="R42" s="4">
        <f>IFERROR(__xludf.DUMMYFUNCTION("""COMPUTED_VALUE"""),4.733333333333333)</f>
        <v>4.733333333</v>
      </c>
      <c r="S42" s="60">
        <f>IFERROR(__xludf.DUMMYFUNCTION("""COMPUTED_VALUE"""),45199.0)</f>
        <v>45199</v>
      </c>
      <c r="U42" s="59" t="str">
        <f>IFERROR(__xludf.DUMMYFUNCTION("""COMPUTED_VALUE"""),"V.M Industries Corp.")</f>
        <v>V.M Industries Corp.</v>
      </c>
      <c r="V42" s="4">
        <f>IFERROR(__xludf.DUMMYFUNCTION("""COMPUTED_VALUE"""),4.666666666666667)</f>
        <v>4.666666667</v>
      </c>
      <c r="W42" s="60">
        <f>IFERROR(__xludf.DUMMYFUNCTION("""COMPUTED_VALUE"""),45534.0)</f>
        <v>45534</v>
      </c>
      <c r="Y42" s="59" t="str">
        <f>IFERROR(__xludf.DUMMYFUNCTION("""COMPUTED_VALUE"""),"Sert Technology Inc.")</f>
        <v>Sert Technology Inc.</v>
      </c>
      <c r="Z42" s="4">
        <f>IFERROR(__xludf.DUMMYFUNCTION("""COMPUTED_VALUE"""),5.0)</f>
        <v>5</v>
      </c>
      <c r="AB42" s="59" t="str">
        <f>IFERROR(__xludf.DUMMYFUNCTION("""COMPUTED_VALUE"""),"Leonard Prints Inc.")</f>
        <v>Leonard Prints Inc.</v>
      </c>
      <c r="AC42" s="4">
        <f>IFERROR(__xludf.DUMMYFUNCTION("""COMPUTED_VALUE"""),4.84375)</f>
        <v>4.84375</v>
      </c>
      <c r="AE42" s="59" t="str">
        <f>IFERROR(__xludf.DUMMYFUNCTION("""COMPUTED_VALUE"""),"Javammp Printing Services")</f>
        <v>Javammp Printing Services</v>
      </c>
      <c r="AF42" s="4">
        <f>IFERROR(__xludf.DUMMYFUNCTION("""COMPUTED_VALUE"""),4.527777777777778)</f>
        <v>4.527777778</v>
      </c>
    </row>
    <row r="43">
      <c r="A43" s="95">
        <v>33.0</v>
      </c>
      <c r="B43" s="97" t="s">
        <v>157</v>
      </c>
      <c r="C43" s="128"/>
      <c r="E43" s="98">
        <v>33.0</v>
      </c>
      <c r="F43" s="98" t="s">
        <v>174</v>
      </c>
      <c r="G43" s="128"/>
      <c r="I43" s="101">
        <v>32.0</v>
      </c>
      <c r="J43" s="102" t="s">
        <v>175</v>
      </c>
      <c r="K43" s="128"/>
      <c r="M43" s="59" t="str">
        <f>IFERROR(__xludf.DUMMYFUNCTION("""COMPUTED_VALUE"""),"Jarm Printing Press")</f>
        <v>Jarm Printing Press</v>
      </c>
      <c r="N43" s="4">
        <f>IFERROR(__xludf.DUMMYFUNCTION("""COMPUTED_VALUE"""),4.75)</f>
        <v>4.75</v>
      </c>
      <c r="O43" s="60">
        <f>IFERROR(__xludf.DUMMYFUNCTION("""COMPUTED_VALUE"""),44834.0)</f>
        <v>44834</v>
      </c>
      <c r="Q43" s="59" t="str">
        <f>IFERROR(__xludf.DUMMYFUNCTION("""COMPUTED_VALUE"""),"EESM Bookstore")</f>
        <v>EESM Bookstore</v>
      </c>
      <c r="R43" s="4">
        <f>IFERROR(__xludf.DUMMYFUNCTION("""COMPUTED_VALUE"""),4.833333333333333)</f>
        <v>4.833333333</v>
      </c>
      <c r="S43" s="60">
        <f>IFERROR(__xludf.DUMMYFUNCTION("""COMPUTED_VALUE"""),45199.0)</f>
        <v>45199</v>
      </c>
      <c r="U43" s="59" t="str">
        <f>IFERROR(__xludf.DUMMYFUNCTION("""COMPUTED_VALUE"""),"Microsmith Technology System,Inc.")</f>
        <v>Microsmith Technology System,Inc.</v>
      </c>
      <c r="V43" s="4">
        <f>IFERROR(__xludf.DUMMYFUNCTION("""COMPUTED_VALUE"""),4.833333333333333)</f>
        <v>4.833333333</v>
      </c>
      <c r="W43" s="60">
        <f>IFERROR(__xludf.DUMMYFUNCTION("""COMPUTED_VALUE"""),45537.0)</f>
        <v>45537</v>
      </c>
      <c r="Y43" s="59" t="str">
        <f>IFERROR(__xludf.DUMMYFUNCTION("""COMPUTED_VALUE"""),"Sparklight Marketing Incorporated")</f>
        <v>Sparklight Marketing Incorporated</v>
      </c>
      <c r="Z43" s="4">
        <f>IFERROR(__xludf.DUMMYFUNCTION("""COMPUTED_VALUE"""),4.2)</f>
        <v>4.2</v>
      </c>
      <c r="AB43" s="59" t="str">
        <f>IFERROR(__xludf.DUMMYFUNCTION("""COMPUTED_VALUE"""),"Lordfel Marketing")</f>
        <v>Lordfel Marketing</v>
      </c>
      <c r="AC43" s="4">
        <f>IFERROR(__xludf.DUMMYFUNCTION("""COMPUTED_VALUE"""),4.166666666666667)</f>
        <v>4.166666667</v>
      </c>
      <c r="AE43" s="59" t="str">
        <f>IFERROR(__xludf.DUMMYFUNCTION("""COMPUTED_VALUE"""),"Leonard Prints Inc.")</f>
        <v>Leonard Prints Inc.</v>
      </c>
      <c r="AF43" s="4">
        <f>IFERROR(__xludf.DUMMYFUNCTION("""COMPUTED_VALUE"""),4.632777777777778)</f>
        <v>4.632777778</v>
      </c>
    </row>
    <row r="44">
      <c r="A44" s="95">
        <v>34.0</v>
      </c>
      <c r="B44" s="142" t="s">
        <v>176</v>
      </c>
      <c r="C44" s="4">
        <v>4.804629629629629</v>
      </c>
      <c r="E44" s="98">
        <v>34.0</v>
      </c>
      <c r="F44" s="98" t="s">
        <v>177</v>
      </c>
      <c r="G44" s="2"/>
      <c r="I44" s="101">
        <v>33.0</v>
      </c>
      <c r="J44" s="111" t="s">
        <v>178</v>
      </c>
      <c r="K44" s="2"/>
      <c r="M44" s="59" t="str">
        <f>IFERROR(__xludf.DUMMYFUNCTION("""COMPUTED_VALUE"""),"Creative Juice Digital Printing")</f>
        <v>Creative Juice Digital Printing</v>
      </c>
      <c r="N44" s="4">
        <f>IFERROR(__xludf.DUMMYFUNCTION("""COMPUTED_VALUE"""),4.816666666666666)</f>
        <v>4.816666667</v>
      </c>
      <c r="O44" s="60">
        <f>IFERROR(__xludf.DUMMYFUNCTION("""COMPUTED_VALUE"""),44837.0)</f>
        <v>44837</v>
      </c>
      <c r="Q44" s="59" t="str">
        <f>IFERROR(__xludf.DUMMYFUNCTION("""COMPUTED_VALUE"""),"EESM Bookstore")</f>
        <v>EESM Bookstore</v>
      </c>
      <c r="R44" s="4">
        <f>IFERROR(__xludf.DUMMYFUNCTION("""COMPUTED_VALUE"""),4.833333333333333)</f>
        <v>4.833333333</v>
      </c>
      <c r="S44" s="60">
        <f>IFERROR(__xludf.DUMMYFUNCTION("""COMPUTED_VALUE"""),45199.0)</f>
        <v>45199</v>
      </c>
      <c r="U44" s="59" t="str">
        <f>IFERROR(__xludf.DUMMYFUNCTION("""COMPUTED_VALUE"""),"Contrade Integrated Depot")</f>
        <v>Contrade Integrated Depot</v>
      </c>
      <c r="V44" s="4">
        <f>IFERROR(__xludf.DUMMYFUNCTION("""COMPUTED_VALUE"""),4.833333333333333)</f>
        <v>4.833333333</v>
      </c>
      <c r="W44" s="60">
        <f>IFERROR(__xludf.DUMMYFUNCTION("""COMPUTED_VALUE"""),45538.0)</f>
        <v>45538</v>
      </c>
      <c r="Y44" s="59" t="str">
        <f>IFERROR(__xludf.DUMMYFUNCTION("""COMPUTED_VALUE"""),"Sprintec Printing Press, Inc.")</f>
        <v>Sprintec Printing Press, Inc.</v>
      </c>
      <c r="Z44" s="4">
        <f>IFERROR(__xludf.DUMMYFUNCTION("""COMPUTED_VALUE"""),3.3333333333333335)</f>
        <v>3.333333333</v>
      </c>
      <c r="AB44" s="59" t="str">
        <f>IFERROR(__xludf.DUMMYFUNCTION("""COMPUTED_VALUE"""),"Luminaire Printing And Publishing Corp.")</f>
        <v>Luminaire Printing And Publishing Corp.</v>
      </c>
      <c r="AC44" s="4">
        <f>IFERROR(__xludf.DUMMYFUNCTION("""COMPUTED_VALUE"""),4.866666666666666)</f>
        <v>4.866666667</v>
      </c>
      <c r="AE44" s="59" t="str">
        <f>IFERROR(__xludf.DUMMYFUNCTION("""COMPUTED_VALUE"""),"Litera Trading Inc.")</f>
        <v>Litera Trading Inc.</v>
      </c>
      <c r="AF44" s="4">
        <f>IFERROR(__xludf.DUMMYFUNCTION("""COMPUTED_VALUE"""),4.833333333333333)</f>
        <v>4.833333333</v>
      </c>
    </row>
    <row r="45">
      <c r="A45" s="71" t="s">
        <v>163</v>
      </c>
      <c r="B45" s="54"/>
      <c r="C45" s="89" t="str">
        <f>average(C46:C47)</f>
        <v>#DIV/0!</v>
      </c>
      <c r="E45" s="98">
        <v>35.0</v>
      </c>
      <c r="F45" s="98" t="s">
        <v>179</v>
      </c>
      <c r="G45" s="2"/>
      <c r="I45" s="101">
        <v>34.0</v>
      </c>
      <c r="J45" s="111" t="s">
        <v>180</v>
      </c>
      <c r="K45" s="2"/>
      <c r="M45" s="59" t="str">
        <f>IFERROR(__xludf.DUMMYFUNCTION("""COMPUTED_VALUE"""),"Net Ad IT Solutions")</f>
        <v>Net Ad IT Solutions</v>
      </c>
      <c r="N45" s="4">
        <f>IFERROR(__xludf.DUMMYFUNCTION("""COMPUTED_VALUE"""),4.833333333333333)</f>
        <v>4.833333333</v>
      </c>
      <c r="O45" s="60">
        <f>IFERROR(__xludf.DUMMYFUNCTION("""COMPUTED_VALUE"""),44839.0)</f>
        <v>44839</v>
      </c>
      <c r="Q45" s="59" t="str">
        <f>IFERROR(__xludf.DUMMYFUNCTION("""COMPUTED_VALUE"""),"Chemtrust Global Market, Inc.")</f>
        <v>Chemtrust Global Market, Inc.</v>
      </c>
      <c r="R45" s="4">
        <f>IFERROR(__xludf.DUMMYFUNCTION("""COMPUTED_VALUE"""),4.558333333333334)</f>
        <v>4.558333333</v>
      </c>
      <c r="S45" s="60">
        <f>IFERROR(__xludf.DUMMYFUNCTION("""COMPUTED_VALUE"""),45201.0)</f>
        <v>45201</v>
      </c>
      <c r="U45" s="59" t="str">
        <f>IFERROR(__xludf.DUMMYFUNCTION("""COMPUTED_VALUE"""),"Microsmith Technology System,Inc.")</f>
        <v>Microsmith Technology System,Inc.</v>
      </c>
      <c r="V45" s="4">
        <f>IFERROR(__xludf.DUMMYFUNCTION("""COMPUTED_VALUE"""),4.833333333333333)</f>
        <v>4.833333333</v>
      </c>
      <c r="W45" s="60">
        <f>IFERROR(__xludf.DUMMYFUNCTION("""COMPUTED_VALUE"""),45539.0)</f>
        <v>45539</v>
      </c>
      <c r="Y45" s="59" t="str">
        <f>IFERROR(__xludf.DUMMYFUNCTION("""COMPUTED_VALUE"""),"Tropical Palms Fashion House, Inc.")</f>
        <v>Tropical Palms Fashion House, Inc.</v>
      </c>
      <c r="Z45" s="4">
        <f>IFERROR(__xludf.DUMMYFUNCTION("""COMPUTED_VALUE"""),4.783333333333333)</f>
        <v>4.783333333</v>
      </c>
      <c r="AB45" s="59" t="str">
        <f>IFERROR(__xludf.DUMMYFUNCTION("""COMPUTED_VALUE"""),"Manila Rubber Corporation")</f>
        <v>Manila Rubber Corporation</v>
      </c>
      <c r="AC45" s="4">
        <f>IFERROR(__xludf.DUMMYFUNCTION("""COMPUTED_VALUE"""),4.375)</f>
        <v>4.375</v>
      </c>
      <c r="AE45" s="59" t="str">
        <f>IFERROR(__xludf.DUMMYFUNCTION("""COMPUTED_VALUE"""),"Luminaire Printing And Publishing Corp.")</f>
        <v>Luminaire Printing And Publishing Corp.</v>
      </c>
      <c r="AF45" s="4">
        <f>IFERROR(__xludf.DUMMYFUNCTION("""COMPUTED_VALUE"""),4.583333333333333)</f>
        <v>4.583333333</v>
      </c>
    </row>
    <row r="46">
      <c r="A46" s="95">
        <v>35.0</v>
      </c>
      <c r="B46" s="97" t="s">
        <v>172</v>
      </c>
      <c r="C46" s="4"/>
      <c r="E46" s="98">
        <v>36.0</v>
      </c>
      <c r="F46" s="98" t="s">
        <v>181</v>
      </c>
      <c r="G46" s="2"/>
      <c r="I46" s="101">
        <v>35.0</v>
      </c>
      <c r="J46" s="111" t="s">
        <v>182</v>
      </c>
      <c r="K46" s="2"/>
      <c r="M46" s="59" t="str">
        <f>IFERROR(__xludf.DUMMYFUNCTION("""COMPUTED_VALUE"""),"Contrade Integrated Depot")</f>
        <v>Contrade Integrated Depot</v>
      </c>
      <c r="N46" s="4">
        <f>IFERROR(__xludf.DUMMYFUNCTION("""COMPUTED_VALUE"""),3.9166666666666665)</f>
        <v>3.916666667</v>
      </c>
      <c r="O46" s="60">
        <f>IFERROR(__xludf.DUMMYFUNCTION("""COMPUTED_VALUE"""),44846.0)</f>
        <v>44846</v>
      </c>
      <c r="Q46" s="59" t="str">
        <f>IFERROR(__xludf.DUMMYFUNCTION("""COMPUTED_VALUE"""),"Chemtrust Global Market, Inc.")</f>
        <v>Chemtrust Global Market, Inc.</v>
      </c>
      <c r="R46" s="4">
        <f>IFERROR(__xludf.DUMMYFUNCTION("""COMPUTED_VALUE"""),4.558333333333334)</f>
        <v>4.558333333</v>
      </c>
      <c r="S46" s="60">
        <f>IFERROR(__xludf.DUMMYFUNCTION("""COMPUTED_VALUE"""),45201.0)</f>
        <v>45201</v>
      </c>
      <c r="U46" s="59" t="str">
        <f>IFERROR(__xludf.DUMMYFUNCTION("""COMPUTED_VALUE"""),"Abenson Ventures, Inc.")</f>
        <v>Abenson Ventures, Inc.</v>
      </c>
      <c r="V46" s="4">
        <f>IFERROR(__xludf.DUMMYFUNCTION("""COMPUTED_VALUE"""),4.833333333333333)</f>
        <v>4.833333333</v>
      </c>
      <c r="W46" s="60">
        <f>IFERROR(__xludf.DUMMYFUNCTION("""COMPUTED_VALUE"""),45539.0)</f>
        <v>45539</v>
      </c>
      <c r="Z46" s="4"/>
      <c r="AB46" s="59" t="str">
        <f>IFERROR(__xludf.DUMMYFUNCTION("""COMPUTED_VALUE"""),"Marrbont Corporation")</f>
        <v>Marrbont Corporation</v>
      </c>
      <c r="AC46" s="4">
        <f>IFERROR(__xludf.DUMMYFUNCTION("""COMPUTED_VALUE"""),4.6)</f>
        <v>4.6</v>
      </c>
      <c r="AE46" s="59" t="str">
        <f>IFERROR(__xludf.DUMMYFUNCTION("""COMPUTED_VALUE"""),"Ma Espiritu Tiles Trading ")</f>
        <v>Ma Espiritu Tiles Trading </v>
      </c>
      <c r="AF46" s="4">
        <f>IFERROR(__xludf.DUMMYFUNCTION("""COMPUTED_VALUE"""),4.691666666666666)</f>
        <v>4.691666667</v>
      </c>
    </row>
    <row r="47">
      <c r="A47" s="95">
        <v>36.0</v>
      </c>
      <c r="B47" s="97" t="s">
        <v>183</v>
      </c>
      <c r="C47" s="24"/>
      <c r="E47" s="78" t="s">
        <v>184</v>
      </c>
      <c r="F47" s="54"/>
      <c r="G47" s="55">
        <f>average(G48:G52)</f>
        <v>4.65</v>
      </c>
      <c r="I47" s="101">
        <v>36.0</v>
      </c>
      <c r="J47" s="111" t="s">
        <v>185</v>
      </c>
      <c r="K47" s="125"/>
      <c r="M47" s="59" t="str">
        <f>IFERROR(__xludf.DUMMYFUNCTION("""COMPUTED_VALUE"""),"Rivchem Enterprises")</f>
        <v>Rivchem Enterprises</v>
      </c>
      <c r="N47" s="4">
        <f>IFERROR(__xludf.DUMMYFUNCTION("""COMPUTED_VALUE"""),4.758333333333334)</f>
        <v>4.758333333</v>
      </c>
      <c r="O47" s="60">
        <f>IFERROR(__xludf.DUMMYFUNCTION("""COMPUTED_VALUE"""),44849.0)</f>
        <v>44849</v>
      </c>
      <c r="Q47" s="59" t="str">
        <f>IFERROR(__xludf.DUMMYFUNCTION("""COMPUTED_VALUE"""),"Creative Juice Digital Printing")</f>
        <v>Creative Juice Digital Printing</v>
      </c>
      <c r="R47" s="4">
        <f>IFERROR(__xludf.DUMMYFUNCTION("""COMPUTED_VALUE"""),5.0)</f>
        <v>5</v>
      </c>
      <c r="S47" s="144">
        <f>IFERROR(__xludf.DUMMYFUNCTION("""COMPUTED_VALUE"""),45201.0)</f>
        <v>45201</v>
      </c>
      <c r="U47" s="59" t="str">
        <f>IFERROR(__xludf.DUMMYFUNCTION("""COMPUTED_VALUE"""),"Net Ad IT Solutions")</f>
        <v>Net Ad IT Solutions</v>
      </c>
      <c r="V47" s="4">
        <f>IFERROR(__xludf.DUMMYFUNCTION("""COMPUTED_VALUE"""),4.833333333333333)</f>
        <v>4.833333333</v>
      </c>
      <c r="W47" s="60">
        <f>IFERROR(__xludf.DUMMYFUNCTION("""COMPUTED_VALUE"""),45539.0)</f>
        <v>45539</v>
      </c>
      <c r="Z47" s="4"/>
      <c r="AB47" s="59" t="str">
        <f>IFERROR(__xludf.DUMMYFUNCTION("""COMPUTED_VALUE"""),"Microsmith Technology System,Inc.")</f>
        <v>Microsmith Technology System,Inc.</v>
      </c>
      <c r="AC47" s="4">
        <f>IFERROR(__xludf.DUMMYFUNCTION("""COMPUTED_VALUE"""),4.868055555555555)</f>
        <v>4.868055556</v>
      </c>
      <c r="AE47" s="59" t="str">
        <f>IFERROR(__xludf.DUMMYFUNCTION("""COMPUTED_VALUE"""),"Manos Allied Corporation")</f>
        <v>Manos Allied Corporation</v>
      </c>
      <c r="AF47" s="4">
        <f>IFERROR(__xludf.DUMMYFUNCTION("""COMPUTED_VALUE"""),4.933333333333334)</f>
        <v>4.933333333</v>
      </c>
    </row>
    <row r="48">
      <c r="A48" s="71" t="s">
        <v>184</v>
      </c>
      <c r="B48" s="54"/>
      <c r="C48" s="89">
        <f>average(C49:C53)</f>
        <v>4.604166667</v>
      </c>
      <c r="E48" s="98">
        <v>37.0</v>
      </c>
      <c r="F48" s="98" t="s">
        <v>193</v>
      </c>
      <c r="G48" s="2"/>
      <c r="I48" s="101">
        <v>37.0</v>
      </c>
      <c r="J48" s="111" t="s">
        <v>194</v>
      </c>
      <c r="K48" s="2"/>
      <c r="M48" s="59" t="str">
        <f>IFERROR(__xludf.DUMMYFUNCTION("""COMPUTED_VALUE"""),"Net Ad IT Solutions")</f>
        <v>Net Ad IT Solutions</v>
      </c>
      <c r="N48" s="4">
        <f>IFERROR(__xludf.DUMMYFUNCTION("""COMPUTED_VALUE"""),4.45)</f>
        <v>4.45</v>
      </c>
      <c r="O48" s="60">
        <f>IFERROR(__xludf.DUMMYFUNCTION("""COMPUTED_VALUE"""),44853.0)</f>
        <v>44853</v>
      </c>
      <c r="Q48" s="59" t="str">
        <f>IFERROR(__xludf.DUMMYFUNCTION("""COMPUTED_VALUE"""),"Creative Juice Digital Printing")</f>
        <v>Creative Juice Digital Printing</v>
      </c>
      <c r="R48" s="4">
        <f>IFERROR(__xludf.DUMMYFUNCTION("""COMPUTED_VALUE"""),4.733333333333333)</f>
        <v>4.733333333</v>
      </c>
      <c r="S48" s="60">
        <f>IFERROR(__xludf.DUMMYFUNCTION("""COMPUTED_VALUE"""),45201.0)</f>
        <v>45201</v>
      </c>
      <c r="U48" s="59" t="str">
        <f>IFERROR(__xludf.DUMMYFUNCTION("""COMPUTED_VALUE"""),"Printing Shop PrintPilipinas.com")</f>
        <v>Printing Shop PrintPilipinas.com</v>
      </c>
      <c r="V48" s="4">
        <f>IFERROR(__xludf.DUMMYFUNCTION("""COMPUTED_VALUE"""),4.833333333333333)</f>
        <v>4.833333333</v>
      </c>
      <c r="W48" s="60">
        <f>IFERROR(__xludf.DUMMYFUNCTION("""COMPUTED_VALUE"""),45540.0)</f>
        <v>45540</v>
      </c>
      <c r="Z48" s="4"/>
      <c r="AB48" s="59" t="str">
        <f>IFERROR(__xludf.DUMMYFUNCTION("""COMPUTED_VALUE"""),"Mostaco Printing")</f>
        <v>Mostaco Printing</v>
      </c>
      <c r="AC48" s="4">
        <f>IFERROR(__xludf.DUMMYFUNCTION("""COMPUTED_VALUE"""),5.0)</f>
        <v>5</v>
      </c>
      <c r="AE48" s="59" t="str">
        <f>IFERROR(__xludf.DUMMYFUNCTION("""COMPUTED_VALUE"""),"Microsmith Technology System,Inc.")</f>
        <v>Microsmith Technology System,Inc.</v>
      </c>
      <c r="AF48" s="4">
        <f>IFERROR(__xludf.DUMMYFUNCTION("""COMPUTED_VALUE"""),4.861257309941521)</f>
        <v>4.86125731</v>
      </c>
    </row>
    <row r="49">
      <c r="A49" s="95">
        <v>37.0</v>
      </c>
      <c r="B49" s="97" t="s">
        <v>193</v>
      </c>
      <c r="C49" s="2"/>
      <c r="E49" s="98">
        <v>38.0</v>
      </c>
      <c r="F49" s="98" t="s">
        <v>198</v>
      </c>
      <c r="G49" s="4">
        <v>4.566666666666666</v>
      </c>
      <c r="I49" s="101">
        <v>38.0</v>
      </c>
      <c r="J49" s="111" t="s">
        <v>199</v>
      </c>
      <c r="K49" s="2"/>
      <c r="M49" s="59" t="str">
        <f>IFERROR(__xludf.DUMMYFUNCTION("""COMPUTED_VALUE"""),"Columbia Technologies, Inc.")</f>
        <v>Columbia Technologies, Inc.</v>
      </c>
      <c r="N49" s="4">
        <f>IFERROR(__xludf.DUMMYFUNCTION("""COMPUTED_VALUE"""),5.0)</f>
        <v>5</v>
      </c>
      <c r="O49" s="60">
        <f>IFERROR(__xludf.DUMMYFUNCTION("""COMPUTED_VALUE"""),44859.0)</f>
        <v>44859</v>
      </c>
      <c r="Q49" s="59" t="str">
        <f>IFERROR(__xludf.DUMMYFUNCTION("""COMPUTED_VALUE"""),"Rivchem Enterprises")</f>
        <v>Rivchem Enterprises</v>
      </c>
      <c r="R49" s="4">
        <f>IFERROR(__xludf.DUMMYFUNCTION("""COMPUTED_VALUE"""),4.6)</f>
        <v>4.6</v>
      </c>
      <c r="S49" s="60">
        <f>IFERROR(__xludf.DUMMYFUNCTION("""COMPUTED_VALUE"""),45201.0)</f>
        <v>45201</v>
      </c>
      <c r="U49" s="59" t="str">
        <f>IFERROR(__xludf.DUMMYFUNCTION("""COMPUTED_VALUE"""),"Microsmith Technology System,Inc.")</f>
        <v>Microsmith Technology System,Inc.</v>
      </c>
      <c r="V49" s="4">
        <f>IFERROR(__xludf.DUMMYFUNCTION("""COMPUTED_VALUE"""),4.783333333333334)</f>
        <v>4.783333333</v>
      </c>
      <c r="W49" s="60">
        <f>IFERROR(__xludf.DUMMYFUNCTION("""COMPUTED_VALUE"""),45541.0)</f>
        <v>45541</v>
      </c>
      <c r="Z49" s="4"/>
      <c r="AB49" s="59" t="str">
        <f>IFERROR(__xludf.DUMMYFUNCTION("""COMPUTED_VALUE"""),"Net Ad IT Solutions")</f>
        <v>Net Ad IT Solutions</v>
      </c>
      <c r="AC49" s="4">
        <f>IFERROR(__xludf.DUMMYFUNCTION("""COMPUTED_VALUE"""),4.8314814814814815)</f>
        <v>4.831481481</v>
      </c>
      <c r="AE49" s="59" t="str">
        <f>IFERROR(__xludf.DUMMYFUNCTION("""COMPUTED_VALUE"""),"Montesan Enterprises")</f>
        <v>Montesan Enterprises</v>
      </c>
      <c r="AF49" s="4">
        <f>IFERROR(__xludf.DUMMYFUNCTION("""COMPUTED_VALUE"""),4.833333333333333)</f>
        <v>4.833333333</v>
      </c>
    </row>
    <row r="50">
      <c r="A50" s="95">
        <v>38.0</v>
      </c>
      <c r="B50" s="97" t="s">
        <v>198</v>
      </c>
      <c r="C50" s="2"/>
      <c r="E50" s="98">
        <v>39.0</v>
      </c>
      <c r="F50" s="98" t="s">
        <v>202</v>
      </c>
      <c r="G50" s="4">
        <v>4.733333333333333</v>
      </c>
      <c r="I50" s="101">
        <v>39.0</v>
      </c>
      <c r="J50" s="111" t="s">
        <v>203</v>
      </c>
      <c r="K50" s="2"/>
      <c r="M50" s="59" t="str">
        <f>IFERROR(__xludf.DUMMYFUNCTION("""COMPUTED_VALUE"""),"Contrade Integrated Depot")</f>
        <v>Contrade Integrated Depot</v>
      </c>
      <c r="N50" s="4">
        <f>IFERROR(__xludf.DUMMYFUNCTION("""COMPUTED_VALUE"""),3.9166666666666665)</f>
        <v>3.916666667</v>
      </c>
      <c r="O50" s="60">
        <f>IFERROR(__xludf.DUMMYFUNCTION("""COMPUTED_VALUE"""),44860.0)</f>
        <v>44860</v>
      </c>
      <c r="Q50" s="59" t="str">
        <f>IFERROR(__xludf.DUMMYFUNCTION("""COMPUTED_VALUE"""),"Falcon Waterfree Philippines, Inc.")</f>
        <v>Falcon Waterfree Philippines, Inc.</v>
      </c>
      <c r="R50" s="4">
        <f>IFERROR(__xludf.DUMMYFUNCTION("""COMPUTED_VALUE"""),4.75)</f>
        <v>4.75</v>
      </c>
      <c r="S50" s="60">
        <f>IFERROR(__xludf.DUMMYFUNCTION("""COMPUTED_VALUE"""),45203.0)</f>
        <v>45203</v>
      </c>
      <c r="U50" s="59" t="str">
        <f>IFERROR(__xludf.DUMMYFUNCTION("""COMPUTED_VALUE"""),"Microsmith Technology System,Inc.")</f>
        <v>Microsmith Technology System,Inc.</v>
      </c>
      <c r="V50" s="4">
        <f>IFERROR(__xludf.DUMMYFUNCTION("""COMPUTED_VALUE"""),4.791666666666667)</f>
        <v>4.791666667</v>
      </c>
      <c r="W50" s="60">
        <f>IFERROR(__xludf.DUMMYFUNCTION("""COMPUTED_VALUE"""),45541.0)</f>
        <v>45541</v>
      </c>
      <c r="Z50" s="4"/>
      <c r="AB50" s="59" t="str">
        <f>IFERROR(__xludf.DUMMYFUNCTION("""COMPUTED_VALUE"""),"Oray Copier Solutions")</f>
        <v>Oray Copier Solutions</v>
      </c>
      <c r="AC50" s="4">
        <f>IFERROR(__xludf.DUMMYFUNCTION("""COMPUTED_VALUE"""),4.666666666666667)</f>
        <v>4.666666667</v>
      </c>
      <c r="AE50" s="59" t="str">
        <f>IFERROR(__xludf.DUMMYFUNCTION("""COMPUTED_VALUE"""),"Mostaco Marketing")</f>
        <v>Mostaco Marketing</v>
      </c>
      <c r="AF50" s="4">
        <f>IFERROR(__xludf.DUMMYFUNCTION("""COMPUTED_VALUE"""),5.0)</f>
        <v>5</v>
      </c>
    </row>
    <row r="51">
      <c r="A51" s="95">
        <v>39.0</v>
      </c>
      <c r="B51" s="97" t="s">
        <v>202</v>
      </c>
      <c r="C51" s="125"/>
      <c r="E51" s="98">
        <v>40.0</v>
      </c>
      <c r="F51" s="98" t="s">
        <v>209</v>
      </c>
      <c r="G51" s="125"/>
      <c r="I51" s="101">
        <v>40.0</v>
      </c>
      <c r="J51" s="111" t="s">
        <v>210</v>
      </c>
      <c r="K51" s="125"/>
      <c r="M51" s="59" t="str">
        <f>IFERROR(__xludf.DUMMYFUNCTION("""COMPUTED_VALUE"""),"Microsmith Technology System,Inc.")</f>
        <v>Microsmith Technology System,Inc.</v>
      </c>
      <c r="N51" s="4">
        <f>IFERROR(__xludf.DUMMYFUNCTION("""COMPUTED_VALUE"""),4.766666666666667)</f>
        <v>4.766666667</v>
      </c>
      <c r="O51" s="60">
        <f>IFERROR(__xludf.DUMMYFUNCTION("""COMPUTED_VALUE"""),44862.0)</f>
        <v>44862</v>
      </c>
      <c r="Q51" s="59" t="str">
        <f>IFERROR(__xludf.DUMMYFUNCTION("""COMPUTED_VALUE"""),"Contrade Integrated Depot")</f>
        <v>Contrade Integrated Depot</v>
      </c>
      <c r="R51" s="4">
        <f>IFERROR(__xludf.DUMMYFUNCTION("""COMPUTED_VALUE"""),4.83)</f>
        <v>4.83</v>
      </c>
      <c r="S51" s="60">
        <f>IFERROR(__xludf.DUMMYFUNCTION("""COMPUTED_VALUE"""),45205.0)</f>
        <v>45205</v>
      </c>
      <c r="U51" s="59" t="str">
        <f>IFERROR(__xludf.DUMMYFUNCTION("""COMPUTED_VALUE"""),"Microsmith Technology System,Inc.")</f>
        <v>Microsmith Technology System,Inc.</v>
      </c>
      <c r="V51" s="4">
        <f>IFERROR(__xludf.DUMMYFUNCTION("""COMPUTED_VALUE"""),4.916666666666667)</f>
        <v>4.916666667</v>
      </c>
      <c r="W51" s="60">
        <f>IFERROR(__xludf.DUMMYFUNCTION("""COMPUTED_VALUE"""),45541.0)</f>
        <v>45541</v>
      </c>
      <c r="Z51" s="4"/>
      <c r="AB51" s="59" t="str">
        <f>IFERROR(__xludf.DUMMYFUNCTION("""COMPUTED_VALUE"""),"Paper Tree Marketing Group, Inc.")</f>
        <v>Paper Tree Marketing Group, Inc.</v>
      </c>
      <c r="AC51" s="4">
        <f>IFERROR(__xludf.DUMMYFUNCTION("""COMPUTED_VALUE"""),4.8)</f>
        <v>4.8</v>
      </c>
      <c r="AE51" s="59" t="str">
        <f>IFERROR(__xludf.DUMMYFUNCTION("""COMPUTED_VALUE"""),"Mostaco Printing")</f>
        <v>Mostaco Printing</v>
      </c>
      <c r="AF51" s="4">
        <f>IFERROR(__xludf.DUMMYFUNCTION("""COMPUTED_VALUE"""),4.694444444444445)</f>
        <v>4.694444444</v>
      </c>
    </row>
    <row r="52">
      <c r="A52" s="95">
        <v>40.0</v>
      </c>
      <c r="B52" s="97" t="s">
        <v>209</v>
      </c>
      <c r="C52" s="4">
        <v>4.916666666666666</v>
      </c>
      <c r="E52" s="98">
        <v>41.0</v>
      </c>
      <c r="F52" s="98" t="s">
        <v>214</v>
      </c>
      <c r="G52" s="2"/>
      <c r="I52" s="101">
        <v>41.0</v>
      </c>
      <c r="J52" s="111" t="s">
        <v>215</v>
      </c>
      <c r="K52" s="4">
        <v>4.991666666666666</v>
      </c>
      <c r="M52" s="59" t="str">
        <f>IFERROR(__xludf.DUMMYFUNCTION("""COMPUTED_VALUE"""),"Microsmith Technology System,Inc.")</f>
        <v>Microsmith Technology System,Inc.</v>
      </c>
      <c r="N52" s="4">
        <f>IFERROR(__xludf.DUMMYFUNCTION("""COMPUTED_VALUE"""),5.0)</f>
        <v>5</v>
      </c>
      <c r="O52" s="60">
        <f>IFERROR(__xludf.DUMMYFUNCTION("""COMPUTED_VALUE"""),44862.0)</f>
        <v>44862</v>
      </c>
      <c r="Q52" s="59" t="str">
        <f>IFERROR(__xludf.DUMMYFUNCTION("""COMPUTED_VALUE"""),"Contrade Integrated Depot")</f>
        <v>Contrade Integrated Depot</v>
      </c>
      <c r="R52" s="4">
        <f>IFERROR(__xludf.DUMMYFUNCTION("""COMPUTED_VALUE"""),4.83)</f>
        <v>4.83</v>
      </c>
      <c r="S52" s="60">
        <f>IFERROR(__xludf.DUMMYFUNCTION("""COMPUTED_VALUE"""),45205.0)</f>
        <v>45205</v>
      </c>
      <c r="U52" s="59" t="str">
        <f>IFERROR(__xludf.DUMMYFUNCTION("""COMPUTED_VALUE"""),"Printing Shop PrintPilipinas.com")</f>
        <v>Printing Shop PrintPilipinas.com</v>
      </c>
      <c r="V52" s="4">
        <f>IFERROR(__xludf.DUMMYFUNCTION("""COMPUTED_VALUE"""),4.733333333333333)</f>
        <v>4.733333333</v>
      </c>
      <c r="W52" s="60">
        <f>IFERROR(__xludf.DUMMYFUNCTION("""COMPUTED_VALUE"""),45544.0)</f>
        <v>45544</v>
      </c>
      <c r="Z52" s="4"/>
      <c r="AB52" s="59" t="str">
        <f>IFERROR(__xludf.DUMMYFUNCTION("""COMPUTED_VALUE"""),"Patagonian Enterprises ")</f>
        <v>Patagonian Enterprises </v>
      </c>
      <c r="AC52" s="4">
        <f>IFERROR(__xludf.DUMMYFUNCTION("""COMPUTED_VALUE"""),3.6666666666666665)</f>
        <v>3.666666667</v>
      </c>
      <c r="AE52" s="59" t="str">
        <f>IFERROR(__xludf.DUMMYFUNCTION("""COMPUTED_VALUE"""),"Multiflex RNC Philippines inc.")</f>
        <v>Multiflex RNC Philippines inc.</v>
      </c>
      <c r="AF52" s="4">
        <f>IFERROR(__xludf.DUMMYFUNCTION("""COMPUTED_VALUE"""),4.972222222222221)</f>
        <v>4.972222222</v>
      </c>
    </row>
    <row r="53">
      <c r="A53" s="95">
        <v>41.0</v>
      </c>
      <c r="B53" s="97" t="s">
        <v>218</v>
      </c>
      <c r="C53" s="4">
        <v>4.291666666666667</v>
      </c>
      <c r="E53" s="78" t="s">
        <v>220</v>
      </c>
      <c r="F53" s="54"/>
      <c r="G53" s="55">
        <f>average(G54:G56)</f>
        <v>4.869444444</v>
      </c>
      <c r="I53" s="101">
        <v>42.0</v>
      </c>
      <c r="J53" s="111" t="s">
        <v>222</v>
      </c>
      <c r="K53" s="4">
        <v>4.5</v>
      </c>
      <c r="M53" s="59" t="str">
        <f>IFERROR(__xludf.DUMMYFUNCTION("""COMPUTED_VALUE"""),"Amazon")</f>
        <v>Amazon</v>
      </c>
      <c r="N53" s="4">
        <f>IFERROR(__xludf.DUMMYFUNCTION("""COMPUTED_VALUE"""),5.0)</f>
        <v>5</v>
      </c>
      <c r="O53" s="60">
        <f>IFERROR(__xludf.DUMMYFUNCTION("""COMPUTED_VALUE"""),44867.0)</f>
        <v>44867</v>
      </c>
      <c r="Q53" s="59" t="str">
        <f>IFERROR(__xludf.DUMMYFUNCTION("""COMPUTED_VALUE"""),"EESM Bookstore")</f>
        <v>EESM Bookstore</v>
      </c>
      <c r="R53" s="4">
        <f>IFERROR(__xludf.DUMMYFUNCTION("""COMPUTED_VALUE"""),4.833333333333333)</f>
        <v>4.833333333</v>
      </c>
      <c r="S53" s="60">
        <f>IFERROR(__xludf.DUMMYFUNCTION("""COMPUTED_VALUE"""),45205.0)</f>
        <v>45205</v>
      </c>
      <c r="U53" s="59" t="str">
        <f>IFERROR(__xludf.DUMMYFUNCTION("""COMPUTED_VALUE"""),"Mostaco Printing")</f>
        <v>Mostaco Printing</v>
      </c>
      <c r="V53" s="4">
        <f>IFERROR(__xludf.DUMMYFUNCTION("""COMPUTED_VALUE"""),4.833333333333333)</f>
        <v>4.833333333</v>
      </c>
      <c r="W53" s="60">
        <f>IFERROR(__xludf.DUMMYFUNCTION("""COMPUTED_VALUE"""),45548.0)</f>
        <v>45548</v>
      </c>
      <c r="Z53" s="4"/>
      <c r="AB53" s="59" t="str">
        <f>IFERROR(__xludf.DUMMYFUNCTION("""COMPUTED_VALUE"""),"Polaris Prime Air Tech Corporation")</f>
        <v>Polaris Prime Air Tech Corporation</v>
      </c>
      <c r="AC53" s="4">
        <f>IFERROR(__xludf.DUMMYFUNCTION("""COMPUTED_VALUE"""),4.666666666666667)</f>
        <v>4.666666667</v>
      </c>
      <c r="AE53" s="59" t="str">
        <f>IFERROR(__xludf.DUMMYFUNCTION("""COMPUTED_VALUE"""),"Net Ad IT Solutions")</f>
        <v>Net Ad IT Solutions</v>
      </c>
      <c r="AF53" s="4">
        <f>IFERROR(__xludf.DUMMYFUNCTION("""COMPUTED_VALUE"""),4.907638888888888)</f>
        <v>4.907638889</v>
      </c>
    </row>
    <row r="54">
      <c r="A54" s="166" t="s">
        <v>220</v>
      </c>
      <c r="B54" s="54"/>
      <c r="C54" s="89">
        <f>average(C55:C57)</f>
        <v>4.5</v>
      </c>
      <c r="E54" s="167">
        <v>42.0</v>
      </c>
      <c r="F54" s="98" t="s">
        <v>230</v>
      </c>
      <c r="G54" s="4">
        <v>4.8694444444444445</v>
      </c>
      <c r="I54" s="168">
        <v>43.0</v>
      </c>
      <c r="J54" s="111" t="s">
        <v>231</v>
      </c>
      <c r="K54" s="2"/>
      <c r="M54" s="59" t="str">
        <f>IFERROR(__xludf.DUMMYFUNCTION("""COMPUTED_VALUE"""),"Amazon")</f>
        <v>Amazon</v>
      </c>
      <c r="N54" s="4">
        <f>IFERROR(__xludf.DUMMYFUNCTION("""COMPUTED_VALUE"""),5.0)</f>
        <v>5</v>
      </c>
      <c r="O54" s="60">
        <f>IFERROR(__xludf.DUMMYFUNCTION("""COMPUTED_VALUE"""),44867.0)</f>
        <v>44867</v>
      </c>
      <c r="Q54" s="59" t="str">
        <f>IFERROR(__xludf.DUMMYFUNCTION("""COMPUTED_VALUE"""),"Rivchem Enterprises")</f>
        <v>Rivchem Enterprises</v>
      </c>
      <c r="R54" s="4">
        <f>IFERROR(__xludf.DUMMYFUNCTION("""COMPUTED_VALUE"""),4.183333333333334)</f>
        <v>4.183333333</v>
      </c>
      <c r="S54" s="60">
        <f>IFERROR(__xludf.DUMMYFUNCTION("""COMPUTED_VALUE"""),45205.0)</f>
        <v>45205</v>
      </c>
      <c r="U54" s="59" t="str">
        <f>IFERROR(__xludf.DUMMYFUNCTION("""COMPUTED_VALUE"""),"Printing Shop PrintPilipinas.com")</f>
        <v>Printing Shop PrintPilipinas.com</v>
      </c>
      <c r="V54" s="4">
        <f>IFERROR(__xludf.DUMMYFUNCTION("""COMPUTED_VALUE"""),4.833333333333333)</f>
        <v>4.833333333</v>
      </c>
      <c r="W54" s="60">
        <f>IFERROR(__xludf.DUMMYFUNCTION("""COMPUTED_VALUE"""),45551.0)</f>
        <v>45551</v>
      </c>
      <c r="Z54" s="4"/>
      <c r="AB54" s="59" t="str">
        <f>IFERROR(__xludf.DUMMYFUNCTION("""COMPUTED_VALUE"""),"Primeline Products Philippines, Inc.")</f>
        <v>Primeline Products Philippines, Inc.</v>
      </c>
      <c r="AC54" s="4">
        <f>IFERROR(__xludf.DUMMYFUNCTION("""COMPUTED_VALUE"""),4.75)</f>
        <v>4.75</v>
      </c>
      <c r="AE54" s="59" t="str">
        <f>IFERROR(__xludf.DUMMYFUNCTION("""COMPUTED_VALUE"""),"Northwind Communications and Electronics")</f>
        <v>Northwind Communications and Electronics</v>
      </c>
      <c r="AF54" s="4">
        <f>IFERROR(__xludf.DUMMYFUNCTION("""COMPUTED_VALUE"""),4.3125)</f>
        <v>4.3125</v>
      </c>
    </row>
    <row r="55">
      <c r="A55" s="170">
        <v>42.0</v>
      </c>
      <c r="B55" s="97" t="s">
        <v>230</v>
      </c>
      <c r="C55" s="50">
        <v>5.0</v>
      </c>
      <c r="E55" s="167">
        <v>43.0</v>
      </c>
      <c r="F55" s="98" t="s">
        <v>234</v>
      </c>
      <c r="G55" s="2"/>
      <c r="I55" s="168">
        <v>44.0</v>
      </c>
      <c r="J55" s="111" t="s">
        <v>235</v>
      </c>
      <c r="K55" s="2"/>
      <c r="M55" s="59" t="str">
        <f>IFERROR(__xludf.DUMMYFUNCTION("""COMPUTED_VALUE"""),"JC Campit And Michael Berza")</f>
        <v>JC Campit And Michael Berza</v>
      </c>
      <c r="N55" s="4">
        <f>IFERROR(__xludf.DUMMYFUNCTION("""COMPUTED_VALUE"""),5.0)</f>
        <v>5</v>
      </c>
      <c r="O55" s="60">
        <f>IFERROR(__xludf.DUMMYFUNCTION("""COMPUTED_VALUE"""),44868.0)</f>
        <v>44868</v>
      </c>
      <c r="Q55" s="59" t="str">
        <f>IFERROR(__xludf.DUMMYFUNCTION("""COMPUTED_VALUE"""),"Marrbont Corporation")</f>
        <v>Marrbont Corporation</v>
      </c>
      <c r="R55" s="4">
        <f>IFERROR(__xludf.DUMMYFUNCTION("""COMPUTED_VALUE"""),4.6)</f>
        <v>4.6</v>
      </c>
      <c r="S55" s="60">
        <f>IFERROR(__xludf.DUMMYFUNCTION("""COMPUTED_VALUE"""),45205.0)</f>
        <v>45205</v>
      </c>
      <c r="U55" s="59" t="str">
        <f>IFERROR(__xludf.DUMMYFUNCTION("""COMPUTED_VALUE"""),"Net Ad IT Solutions")</f>
        <v>Net Ad IT Solutions</v>
      </c>
      <c r="V55" s="4">
        <f>IFERROR(__xludf.DUMMYFUNCTION("""COMPUTED_VALUE"""),4.833333333333333)</f>
        <v>4.833333333</v>
      </c>
      <c r="W55" s="60">
        <f>IFERROR(__xludf.DUMMYFUNCTION("""COMPUTED_VALUE"""),45553.0)</f>
        <v>45553</v>
      </c>
      <c r="Z55" s="4"/>
      <c r="AB55" s="59" t="str">
        <f>IFERROR(__xludf.DUMMYFUNCTION("""COMPUTED_VALUE"""),"Printing Shop PrintPilipinas.com")</f>
        <v>Printing Shop PrintPilipinas.com</v>
      </c>
      <c r="AC55" s="4">
        <f>IFERROR(__xludf.DUMMYFUNCTION("""COMPUTED_VALUE"""),4.732916666666667)</f>
        <v>4.732916667</v>
      </c>
      <c r="AE55" s="59" t="str">
        <f>IFERROR(__xludf.DUMMYFUNCTION("""COMPUTED_VALUE"""),"Oray Copier Solutions")</f>
        <v>Oray Copier Solutions</v>
      </c>
      <c r="AF55" s="4">
        <f>IFERROR(__xludf.DUMMYFUNCTION("""COMPUTED_VALUE"""),5.0)</f>
        <v>5</v>
      </c>
    </row>
    <row r="56">
      <c r="A56" s="170">
        <v>43.0</v>
      </c>
      <c r="B56" s="97" t="s">
        <v>234</v>
      </c>
      <c r="C56" s="4">
        <v>4.0</v>
      </c>
      <c r="E56" s="98">
        <v>44.0</v>
      </c>
      <c r="F56" s="98" t="s">
        <v>240</v>
      </c>
      <c r="G56" s="128"/>
      <c r="I56" s="168">
        <v>45.0</v>
      </c>
      <c r="J56" s="111" t="s">
        <v>241</v>
      </c>
      <c r="K56" s="128"/>
      <c r="M56" s="59" t="str">
        <f>IFERROR(__xludf.DUMMYFUNCTION("""COMPUTED_VALUE"""),"Rivchem Enterprises")</f>
        <v>Rivchem Enterprises</v>
      </c>
      <c r="N56" s="4">
        <f>IFERROR(__xludf.DUMMYFUNCTION("""COMPUTED_VALUE"""),4.516666666666667)</f>
        <v>4.516666667</v>
      </c>
      <c r="O56" s="60">
        <f>IFERROR(__xludf.DUMMYFUNCTION("""COMPUTED_VALUE"""),44868.0)</f>
        <v>44868</v>
      </c>
      <c r="Q56" s="59" t="str">
        <f>IFERROR(__xludf.DUMMYFUNCTION("""COMPUTED_VALUE"""),"Wisechoice Cleaning Supplies and Trading Corp.")</f>
        <v>Wisechoice Cleaning Supplies and Trading Corp.</v>
      </c>
      <c r="R56" s="4">
        <f>IFERROR(__xludf.DUMMYFUNCTION("""COMPUTED_VALUE"""),4.6)</f>
        <v>4.6</v>
      </c>
      <c r="S56" s="60">
        <f>IFERROR(__xludf.DUMMYFUNCTION("""COMPUTED_VALUE"""),45205.0)</f>
        <v>45205</v>
      </c>
      <c r="U56" s="59" t="str">
        <f>IFERROR(__xludf.DUMMYFUNCTION("""COMPUTED_VALUE"""),"Abenson Ventures, Inc.")</f>
        <v>Abenson Ventures, Inc.</v>
      </c>
      <c r="V56" s="4">
        <f>IFERROR(__xludf.DUMMYFUNCTION("""COMPUTED_VALUE"""),4.833333333333333)</f>
        <v>4.833333333</v>
      </c>
      <c r="W56" s="60">
        <f>IFERROR(__xludf.DUMMYFUNCTION("""COMPUTED_VALUE"""),45553.0)</f>
        <v>45553</v>
      </c>
      <c r="Z56" s="4"/>
      <c r="AB56" s="59" t="str">
        <f>IFERROR(__xludf.DUMMYFUNCTION("""COMPUTED_VALUE"""),"REX Bookstore, Inc.")</f>
        <v>REX Bookstore, Inc.</v>
      </c>
      <c r="AC56" s="4">
        <f>IFERROR(__xludf.DUMMYFUNCTION("""COMPUTED_VALUE"""),4.833333333333333)</f>
        <v>4.833333333</v>
      </c>
      <c r="AE56" s="59" t="str">
        <f>IFERROR(__xludf.DUMMYFUNCTION("""COMPUTED_VALUE"""),"Palces Manufacturing, Inc.")</f>
        <v>Palces Manufacturing, Inc.</v>
      </c>
      <c r="AF56" s="4">
        <f>IFERROR(__xludf.DUMMYFUNCTION("""COMPUTED_VALUE"""),4.933333333333334)</f>
        <v>4.933333333</v>
      </c>
    </row>
    <row r="57">
      <c r="A57" s="95">
        <v>44.0</v>
      </c>
      <c r="B57" s="97" t="s">
        <v>240</v>
      </c>
      <c r="C57" s="128"/>
      <c r="E57" s="78" t="s">
        <v>248</v>
      </c>
      <c r="F57" s="54"/>
      <c r="G57" s="55">
        <f>average(G58:G62)</f>
        <v>5</v>
      </c>
      <c r="I57" s="168">
        <v>46.0</v>
      </c>
      <c r="J57" s="111" t="s">
        <v>250</v>
      </c>
      <c r="K57" s="128"/>
      <c r="M57" s="59" t="str">
        <f>IFERROR(__xludf.DUMMYFUNCTION("""COMPUTED_VALUE"""),"Rivchem Enterprises")</f>
        <v>Rivchem Enterprises</v>
      </c>
      <c r="N57" s="4">
        <f>IFERROR(__xludf.DUMMYFUNCTION("""COMPUTED_VALUE"""),4.766666666666667)</f>
        <v>4.766666667</v>
      </c>
      <c r="O57" s="60">
        <f>IFERROR(__xludf.DUMMYFUNCTION("""COMPUTED_VALUE"""),44868.0)</f>
        <v>44868</v>
      </c>
      <c r="Q57" s="59" t="str">
        <f>IFERROR(__xludf.DUMMYFUNCTION("""COMPUTED_VALUE"""),"Contrade Integrated Depot")</f>
        <v>Contrade Integrated Depot</v>
      </c>
      <c r="R57" s="4">
        <f>IFERROR(__xludf.DUMMYFUNCTION("""COMPUTED_VALUE"""),4.83)</f>
        <v>4.83</v>
      </c>
      <c r="S57" s="60">
        <f>IFERROR(__xludf.DUMMYFUNCTION("""COMPUTED_VALUE"""),45212.0)</f>
        <v>45212</v>
      </c>
      <c r="U57" s="59" t="str">
        <f>IFERROR(__xludf.DUMMYFUNCTION("""COMPUTED_VALUE"""),"Chemtrust Global Market, Inc.")</f>
        <v>Chemtrust Global Market, Inc.</v>
      </c>
      <c r="V57" s="4">
        <f>IFERROR(__xludf.DUMMYFUNCTION("""COMPUTED_VALUE"""),4.791666666666667)</f>
        <v>4.791666667</v>
      </c>
      <c r="W57" s="60">
        <f>IFERROR(__xludf.DUMMYFUNCTION("""COMPUTED_VALUE"""),45553.0)</f>
        <v>45553</v>
      </c>
      <c r="Z57" s="4"/>
      <c r="AB57" s="59" t="str">
        <f>IFERROR(__xludf.DUMMYFUNCTION("""COMPUTED_VALUE"""),"RSAZ Corporation")</f>
        <v>RSAZ Corporation</v>
      </c>
      <c r="AC57" s="4">
        <f>IFERROR(__xludf.DUMMYFUNCTION("""COMPUTED_VALUE"""),4.833333333333333)</f>
        <v>4.833333333</v>
      </c>
      <c r="AE57" s="59" t="str">
        <f>IFERROR(__xludf.DUMMYFUNCTION("""COMPUTED_VALUE"""),"Paper Tree Marketing Group, Inc.")</f>
        <v>Paper Tree Marketing Group, Inc.</v>
      </c>
      <c r="AF57" s="4">
        <f>IFERROR(__xludf.DUMMYFUNCTION("""COMPUTED_VALUE"""),4.916666666666667)</f>
        <v>4.916666667</v>
      </c>
    </row>
    <row r="58">
      <c r="A58" s="166" t="s">
        <v>248</v>
      </c>
      <c r="B58" s="54"/>
      <c r="C58" s="89">
        <f>average(C59:C60)</f>
        <v>4.666666667</v>
      </c>
      <c r="E58" s="167">
        <v>45.0</v>
      </c>
      <c r="F58" s="98" t="s">
        <v>258</v>
      </c>
      <c r="G58" s="4">
        <v>5.0</v>
      </c>
      <c r="I58" s="168">
        <v>47.0</v>
      </c>
      <c r="J58" s="111" t="s">
        <v>259</v>
      </c>
      <c r="K58" s="125"/>
      <c r="M58" s="59" t="str">
        <f>IFERROR(__xludf.DUMMYFUNCTION("""COMPUTED_VALUE"""),"Columbia Technologies, Inc.")</f>
        <v>Columbia Technologies, Inc.</v>
      </c>
      <c r="N58" s="4">
        <f>IFERROR(__xludf.DUMMYFUNCTION("""COMPUTED_VALUE"""),4.833333333333333)</f>
        <v>4.833333333</v>
      </c>
      <c r="O58" s="60">
        <f>IFERROR(__xludf.DUMMYFUNCTION("""COMPUTED_VALUE"""),44869.0)</f>
        <v>44869</v>
      </c>
      <c r="Q58" s="59" t="str">
        <f>IFERROR(__xludf.DUMMYFUNCTION("""COMPUTED_VALUE"""),"Creative Juice Digital Printing")</f>
        <v>Creative Juice Digital Printing</v>
      </c>
      <c r="R58" s="4">
        <f>IFERROR(__xludf.DUMMYFUNCTION("""COMPUTED_VALUE"""),4.833333333333333)</f>
        <v>4.833333333</v>
      </c>
      <c r="S58" s="60">
        <f>IFERROR(__xludf.DUMMYFUNCTION("""COMPUTED_VALUE"""),45212.0)</f>
        <v>45212</v>
      </c>
      <c r="U58" s="59" t="str">
        <f>IFERROR(__xludf.DUMMYFUNCTION("""COMPUTED_VALUE"""),"Leonard Prints Inc.")</f>
        <v>Leonard Prints Inc.</v>
      </c>
      <c r="V58" s="4">
        <f>IFERROR(__xludf.DUMMYFUNCTION("""COMPUTED_VALUE"""),4.508333333333333)</f>
        <v>4.508333333</v>
      </c>
      <c r="W58" s="60">
        <f>IFERROR(__xludf.DUMMYFUNCTION("""COMPUTED_VALUE"""),45554.0)</f>
        <v>45554</v>
      </c>
      <c r="Z58" s="4"/>
      <c r="AB58" s="59" t="str">
        <f>IFERROR(__xludf.DUMMYFUNCTION("""COMPUTED_VALUE"""),"Raynard's Enterprises")</f>
        <v>Raynard's Enterprises</v>
      </c>
      <c r="AC58" s="4">
        <f>IFERROR(__xludf.DUMMYFUNCTION("""COMPUTED_VALUE"""),4.733333333333333)</f>
        <v>4.733333333</v>
      </c>
      <c r="AE58" s="59" t="str">
        <f>IFERROR(__xludf.DUMMYFUNCTION("""COMPUTED_VALUE"""),"Patagonian Enterprises ")</f>
        <v>Patagonian Enterprises </v>
      </c>
      <c r="AF58" s="4">
        <f>IFERROR(__xludf.DUMMYFUNCTION("""COMPUTED_VALUE"""),4.0)</f>
        <v>4</v>
      </c>
    </row>
    <row r="59">
      <c r="A59" s="170">
        <v>45.0</v>
      </c>
      <c r="B59" s="97" t="s">
        <v>258</v>
      </c>
      <c r="C59" s="4">
        <v>4.833333333333333</v>
      </c>
      <c r="E59" s="167">
        <v>46.0</v>
      </c>
      <c r="F59" s="98" t="s">
        <v>264</v>
      </c>
      <c r="G59" s="2"/>
      <c r="I59" s="83" t="s">
        <v>266</v>
      </c>
      <c r="J59" s="85"/>
      <c r="K59" s="55">
        <f>average(K60:K71)</f>
        <v>4.643861111</v>
      </c>
      <c r="M59" s="59" t="str">
        <f>IFERROR(__xludf.DUMMYFUNCTION("""COMPUTED_VALUE"""),"Abenson Ventures, Inc.")</f>
        <v>Abenson Ventures, Inc.</v>
      </c>
      <c r="N59" s="4">
        <f>IFERROR(__xludf.DUMMYFUNCTION("""COMPUTED_VALUE"""),5.0)</f>
        <v>5</v>
      </c>
      <c r="O59" s="60">
        <f>IFERROR(__xludf.DUMMYFUNCTION("""COMPUTED_VALUE"""),44874.0)</f>
        <v>44874</v>
      </c>
      <c r="Q59" s="59" t="str">
        <f>IFERROR(__xludf.DUMMYFUNCTION("""COMPUTED_VALUE"""),"Rivchem Enterprises")</f>
        <v>Rivchem Enterprises</v>
      </c>
      <c r="R59" s="4">
        <f>IFERROR(__xludf.DUMMYFUNCTION("""COMPUTED_VALUE"""),5.0)</f>
        <v>5</v>
      </c>
      <c r="S59" s="60">
        <f>IFERROR(__xludf.DUMMYFUNCTION("""COMPUTED_VALUE"""),45212.0)</f>
        <v>45212</v>
      </c>
      <c r="U59" s="59" t="str">
        <f>IFERROR(__xludf.DUMMYFUNCTION("""COMPUTED_VALUE"""),"Leonard Prints Inc.")</f>
        <v>Leonard Prints Inc.</v>
      </c>
      <c r="V59" s="4">
        <f>IFERROR(__xludf.DUMMYFUNCTION("""COMPUTED_VALUE"""),4.833333333333333)</f>
        <v>4.833333333</v>
      </c>
      <c r="W59" s="60">
        <f>IFERROR(__xludf.DUMMYFUNCTION("""COMPUTED_VALUE"""),45554.0)</f>
        <v>45554</v>
      </c>
      <c r="Z59" s="4"/>
      <c r="AB59" s="59" t="str">
        <f>IFERROR(__xludf.DUMMYFUNCTION("""COMPUTED_VALUE"""),"Rivchem Enterprises")</f>
        <v>Rivchem Enterprises</v>
      </c>
      <c r="AC59" s="4">
        <f>IFERROR(__xludf.DUMMYFUNCTION("""COMPUTED_VALUE"""),4.545740740740741)</f>
        <v>4.545740741</v>
      </c>
      <c r="AE59" s="59" t="str">
        <f>IFERROR(__xludf.DUMMYFUNCTION("""COMPUTED_VALUE"""),"Philippine Chinese Education Research Center Inc.")</f>
        <v>Philippine Chinese Education Research Center Inc.</v>
      </c>
      <c r="AF59" s="4">
        <f>IFERROR(__xludf.DUMMYFUNCTION("""COMPUTED_VALUE"""),4.166666666666667)</f>
        <v>4.166666667</v>
      </c>
    </row>
    <row r="60">
      <c r="A60" s="170">
        <v>46.0</v>
      </c>
      <c r="B60" s="97" t="s">
        <v>264</v>
      </c>
      <c r="C60" s="4">
        <v>4.5</v>
      </c>
      <c r="E60" s="167">
        <v>47.0</v>
      </c>
      <c r="F60" s="98" t="s">
        <v>273</v>
      </c>
      <c r="G60" s="50"/>
      <c r="I60" s="101">
        <v>48.0</v>
      </c>
      <c r="J60" s="102" t="s">
        <v>274</v>
      </c>
      <c r="K60" s="50"/>
      <c r="M60" s="59" t="str">
        <f>IFERROR(__xludf.DUMMYFUNCTION("""COMPUTED_VALUE"""),"Arkwood Plus Fine Furniture")</f>
        <v>Arkwood Plus Fine Furniture</v>
      </c>
      <c r="N60" s="4">
        <f>IFERROR(__xludf.DUMMYFUNCTION("""COMPUTED_VALUE"""),4.0)</f>
        <v>4</v>
      </c>
      <c r="O60" s="60">
        <f>IFERROR(__xludf.DUMMYFUNCTION("""COMPUTED_VALUE"""),44879.0)</f>
        <v>44879</v>
      </c>
      <c r="Q60" s="59" t="str">
        <f>IFERROR(__xludf.DUMMYFUNCTION("""COMPUTED_VALUE"""),"Rivchem Enterprises")</f>
        <v>Rivchem Enterprises</v>
      </c>
      <c r="R60" s="4">
        <f>IFERROR(__xludf.DUMMYFUNCTION("""COMPUTED_VALUE"""),4.258333333333334)</f>
        <v>4.258333333</v>
      </c>
      <c r="S60" s="60">
        <f>IFERROR(__xludf.DUMMYFUNCTION("""COMPUTED_VALUE"""),45213.0)</f>
        <v>45213</v>
      </c>
      <c r="U60" s="59" t="str">
        <f>IFERROR(__xludf.DUMMYFUNCTION("""COMPUTED_VALUE"""),"Leonard Prints Inc.")</f>
        <v>Leonard Prints Inc.</v>
      </c>
      <c r="V60" s="4">
        <f>IFERROR(__xludf.DUMMYFUNCTION("""COMPUTED_VALUE"""),4.833333333333333)</f>
        <v>4.833333333</v>
      </c>
      <c r="W60" s="60">
        <f>IFERROR(__xludf.DUMMYFUNCTION("""COMPUTED_VALUE"""),45554.0)</f>
        <v>45554</v>
      </c>
      <c r="Z60" s="4"/>
      <c r="AB60" s="59" t="str">
        <f>IFERROR(__xludf.DUMMYFUNCTION("""COMPUTED_VALUE"""),"Roavsan General Merchandise")</f>
        <v>Roavsan General Merchandise</v>
      </c>
      <c r="AC60" s="4">
        <f>IFERROR(__xludf.DUMMYFUNCTION("""COMPUTED_VALUE"""),4.0)</f>
        <v>4</v>
      </c>
      <c r="AE60" s="59" t="str">
        <f>IFERROR(__xludf.DUMMYFUNCTION("""COMPUTED_VALUE"""),"Philippine Educational Theater Association, Inc.")</f>
        <v>Philippine Educational Theater Association, Inc.</v>
      </c>
      <c r="AF60" s="4">
        <f>IFERROR(__xludf.DUMMYFUNCTION("""COMPUTED_VALUE"""),4.766666666666667)</f>
        <v>4.766666667</v>
      </c>
    </row>
    <row r="61">
      <c r="A61" s="166" t="s">
        <v>279</v>
      </c>
      <c r="B61" s="54"/>
      <c r="C61" s="89">
        <f>average(C62:C77)</f>
        <v>4.416666667</v>
      </c>
      <c r="E61" s="167">
        <v>48.0</v>
      </c>
      <c r="F61" s="98" t="s">
        <v>281</v>
      </c>
      <c r="G61" s="128"/>
      <c r="I61" s="101">
        <v>49.0</v>
      </c>
      <c r="J61" s="111" t="s">
        <v>282</v>
      </c>
      <c r="K61" s="128"/>
      <c r="M61" s="59" t="str">
        <f>IFERROR(__xludf.DUMMYFUNCTION("""COMPUTED_VALUE"""),"Creative Juice Digital Printing")</f>
        <v>Creative Juice Digital Printing</v>
      </c>
      <c r="N61" s="4">
        <f>IFERROR(__xludf.DUMMYFUNCTION("""COMPUTED_VALUE"""),4.8)</f>
        <v>4.8</v>
      </c>
      <c r="O61" s="60">
        <f>IFERROR(__xludf.DUMMYFUNCTION("""COMPUTED_VALUE"""),44879.0)</f>
        <v>44879</v>
      </c>
      <c r="Q61" s="59" t="str">
        <f>IFERROR(__xludf.DUMMYFUNCTION("""COMPUTED_VALUE"""),"Rivchem Enterprises")</f>
        <v>Rivchem Enterprises</v>
      </c>
      <c r="R61" s="4">
        <f>IFERROR(__xludf.DUMMYFUNCTION("""COMPUTED_VALUE"""),4.333333333333333)</f>
        <v>4.333333333</v>
      </c>
      <c r="S61" s="60">
        <f>IFERROR(__xludf.DUMMYFUNCTION("""COMPUTED_VALUE"""),45213.0)</f>
        <v>45213</v>
      </c>
      <c r="U61" s="59" t="str">
        <f>IFERROR(__xludf.DUMMYFUNCTION("""COMPUTED_VALUE"""),"Printing Shop PrintPilipinas.com")</f>
        <v>Printing Shop PrintPilipinas.com</v>
      </c>
      <c r="V61" s="4">
        <f>IFERROR(__xludf.DUMMYFUNCTION("""COMPUTED_VALUE"""),4.825)</f>
        <v>4.825</v>
      </c>
      <c r="W61" s="60">
        <f>IFERROR(__xludf.DUMMYFUNCTION("""COMPUTED_VALUE"""),45555.0)</f>
        <v>45555</v>
      </c>
      <c r="Z61" s="4"/>
      <c r="AB61" s="59" t="str">
        <f>IFERROR(__xludf.DUMMYFUNCTION("""COMPUTED_VALUE"""),"Ronald Personalized Fashion Specialist")</f>
        <v>Ronald Personalized Fashion Specialist</v>
      </c>
      <c r="AC61" s="4">
        <f>IFERROR(__xludf.DUMMYFUNCTION("""COMPUTED_VALUE"""),4.0)</f>
        <v>4</v>
      </c>
      <c r="AE61" s="59" t="str">
        <f>IFERROR(__xludf.DUMMYFUNCTION("""COMPUTED_VALUE"""),"Primeline Products Philippines, Inc.")</f>
        <v>Primeline Products Philippines, Inc.</v>
      </c>
      <c r="AF61" s="4">
        <f>IFERROR(__xludf.DUMMYFUNCTION("""COMPUTED_VALUE"""),4.674444444444444)</f>
        <v>4.674444444</v>
      </c>
    </row>
    <row r="62">
      <c r="A62" s="95">
        <v>47.0</v>
      </c>
      <c r="B62" s="97" t="s">
        <v>166</v>
      </c>
      <c r="C62" s="4">
        <v>4.416666666666667</v>
      </c>
      <c r="E62" s="167">
        <v>49.0</v>
      </c>
      <c r="F62" s="98" t="s">
        <v>287</v>
      </c>
      <c r="G62" s="2"/>
      <c r="I62" s="101">
        <v>50.0</v>
      </c>
      <c r="J62" s="111" t="s">
        <v>219</v>
      </c>
      <c r="K62" s="4">
        <v>4.333333333333333</v>
      </c>
      <c r="M62" s="59" t="str">
        <f>IFERROR(__xludf.DUMMYFUNCTION("""COMPUTED_VALUE"""),"Creative Juice Digital Printing")</f>
        <v>Creative Juice Digital Printing</v>
      </c>
      <c r="N62" s="4">
        <f>IFERROR(__xludf.DUMMYFUNCTION("""COMPUTED_VALUE"""),4.833333333333333)</f>
        <v>4.833333333</v>
      </c>
      <c r="O62" s="60">
        <f>IFERROR(__xludf.DUMMYFUNCTION("""COMPUTED_VALUE"""),44881.0)</f>
        <v>44881</v>
      </c>
      <c r="Q62" s="59" t="str">
        <f>IFERROR(__xludf.DUMMYFUNCTION("""COMPUTED_VALUE"""),"Rivchem Enterprises")</f>
        <v>Rivchem Enterprises</v>
      </c>
      <c r="R62" s="4">
        <f>IFERROR(__xludf.DUMMYFUNCTION("""COMPUTED_VALUE"""),5.0)</f>
        <v>5</v>
      </c>
      <c r="S62" s="60">
        <f>IFERROR(__xludf.DUMMYFUNCTION("""COMPUTED_VALUE"""),45213.0)</f>
        <v>45213</v>
      </c>
      <c r="U62" s="59" t="str">
        <f>IFERROR(__xludf.DUMMYFUNCTION("""COMPUTED_VALUE"""),"Mostaco Printing")</f>
        <v>Mostaco Printing</v>
      </c>
      <c r="V62" s="4">
        <f>IFERROR(__xludf.DUMMYFUNCTION("""COMPUTED_VALUE"""),4.833333333333333)</f>
        <v>4.833333333</v>
      </c>
      <c r="W62" s="60">
        <f>IFERROR(__xludf.DUMMYFUNCTION("""COMPUTED_VALUE"""),45555.0)</f>
        <v>45555</v>
      </c>
      <c r="Z62" s="4"/>
      <c r="AB62" s="59" t="str">
        <f>IFERROR(__xludf.DUMMYFUNCTION("""COMPUTED_VALUE"""),"Times Trading Co., Inc.")</f>
        <v>Times Trading Co., Inc.</v>
      </c>
      <c r="AC62" s="4">
        <f>IFERROR(__xludf.DUMMYFUNCTION("""COMPUTED_VALUE"""),4.686041666666667)</f>
        <v>4.686041667</v>
      </c>
      <c r="AE62" s="59" t="str">
        <f>IFERROR(__xludf.DUMMYFUNCTION("""COMPUTED_VALUE"""),"Print Depot Inc.")</f>
        <v>Print Depot Inc.</v>
      </c>
      <c r="AF62" s="4">
        <f>IFERROR(__xludf.DUMMYFUNCTION("""COMPUTED_VALUE"""),4.791666666666666)</f>
        <v>4.791666667</v>
      </c>
    </row>
    <row r="63">
      <c r="A63" s="95">
        <v>48.0</v>
      </c>
      <c r="B63" s="97" t="s">
        <v>178</v>
      </c>
      <c r="C63" s="125"/>
      <c r="E63" s="78" t="s">
        <v>279</v>
      </c>
      <c r="F63" s="54"/>
      <c r="G63" s="55">
        <f>average(G64:G80)</f>
        <v>4.379365079</v>
      </c>
      <c r="I63" s="101">
        <v>51.0</v>
      </c>
      <c r="J63" s="111" t="s">
        <v>295</v>
      </c>
      <c r="K63" s="4">
        <v>4.325444444444444</v>
      </c>
      <c r="M63" s="59" t="str">
        <f>IFERROR(__xludf.DUMMYFUNCTION("""COMPUTED_VALUE"""),"Sparklight Marketing Incorporated")</f>
        <v>Sparklight Marketing Incorporated</v>
      </c>
      <c r="N63" s="4">
        <f>IFERROR(__xludf.DUMMYFUNCTION("""COMPUTED_VALUE"""),4.2)</f>
        <v>4.2</v>
      </c>
      <c r="O63" s="60">
        <f>IFERROR(__xludf.DUMMYFUNCTION("""COMPUTED_VALUE"""),44882.0)</f>
        <v>44882</v>
      </c>
      <c r="Q63" s="59" t="str">
        <f>IFERROR(__xludf.DUMMYFUNCTION("""COMPUTED_VALUE"""),"Commerce Asia, Inc.")</f>
        <v>Commerce Asia, Inc.</v>
      </c>
      <c r="R63" s="4">
        <f>IFERROR(__xludf.DUMMYFUNCTION("""COMPUTED_VALUE"""),5.0)</f>
        <v>5</v>
      </c>
      <c r="S63" s="60">
        <f>IFERROR(__xludf.DUMMYFUNCTION("""COMPUTED_VALUE"""),45215.0)</f>
        <v>45215</v>
      </c>
      <c r="U63" s="59" t="str">
        <f>IFERROR(__xludf.DUMMYFUNCTION("""COMPUTED_VALUE"""),"Printing Shop PrintPilipinas.com")</f>
        <v>Printing Shop PrintPilipinas.com</v>
      </c>
      <c r="V63" s="4">
        <f>IFERROR(__xludf.DUMMYFUNCTION("""COMPUTED_VALUE"""),4.833333333333333)</f>
        <v>4.833333333</v>
      </c>
      <c r="W63" s="60">
        <f>IFERROR(__xludf.DUMMYFUNCTION("""COMPUTED_VALUE"""),45555.0)</f>
        <v>45555</v>
      </c>
      <c r="Z63" s="4"/>
      <c r="AB63" s="59" t="str">
        <f>IFERROR(__xludf.DUMMYFUNCTION("""COMPUTED_VALUE"""),"Tropical Palms Fashion House, Inc.")</f>
        <v>Tropical Palms Fashion House, Inc.</v>
      </c>
      <c r="AC63" s="4">
        <f>IFERROR(__xludf.DUMMYFUNCTION("""COMPUTED_VALUE"""),4.729761904761905)</f>
        <v>4.729761905</v>
      </c>
      <c r="AE63" s="59" t="str">
        <f>IFERROR(__xludf.DUMMYFUNCTION("""COMPUTED_VALUE"""),"Printing Shop PrintPilipinas.com")</f>
        <v>Printing Shop PrintPilipinas.com</v>
      </c>
      <c r="AF63" s="4">
        <f>IFERROR(__xludf.DUMMYFUNCTION("""COMPUTED_VALUE"""),4.87138888888889)</f>
        <v>4.871388889</v>
      </c>
    </row>
    <row r="64">
      <c r="A64" s="95">
        <v>49.0</v>
      </c>
      <c r="B64" s="97" t="s">
        <v>180</v>
      </c>
      <c r="C64" s="2"/>
      <c r="E64" s="98">
        <v>50.0</v>
      </c>
      <c r="F64" s="98" t="s">
        <v>166</v>
      </c>
      <c r="G64" s="4">
        <v>4.4714285714285715</v>
      </c>
      <c r="I64" s="101">
        <v>52.0</v>
      </c>
      <c r="J64" s="111" t="s">
        <v>303</v>
      </c>
      <c r="K64" s="2"/>
      <c r="M64" s="59" t="str">
        <f>IFERROR(__xludf.DUMMYFUNCTION("""COMPUTED_VALUE"""),"Sprintec Printing Press, Inc.")</f>
        <v>Sprintec Printing Press, Inc.</v>
      </c>
      <c r="N64" s="4">
        <f>IFERROR(__xludf.DUMMYFUNCTION("""COMPUTED_VALUE"""),3.3333333333333335)</f>
        <v>3.333333333</v>
      </c>
      <c r="O64" s="60">
        <f>IFERROR(__xludf.DUMMYFUNCTION("""COMPUTED_VALUE"""),44882.0)</f>
        <v>44882</v>
      </c>
      <c r="Q64" s="59" t="str">
        <f>IFERROR(__xludf.DUMMYFUNCTION("""COMPUTED_VALUE"""),"Ronald Personalized Fashion Specialist")</f>
        <v>Ronald Personalized Fashion Specialist</v>
      </c>
      <c r="R64" s="4">
        <f>IFERROR(__xludf.DUMMYFUNCTION("""COMPUTED_VALUE"""),4.0)</f>
        <v>4</v>
      </c>
      <c r="S64" s="60">
        <f>IFERROR(__xludf.DUMMYFUNCTION("""COMPUTED_VALUE"""),45216.0)</f>
        <v>45216</v>
      </c>
      <c r="U64" s="59" t="str">
        <f>IFERROR(__xludf.DUMMYFUNCTION("""COMPUTED_VALUE"""),"Rivchem Enterprises")</f>
        <v>Rivchem Enterprises</v>
      </c>
      <c r="V64" s="4">
        <f>IFERROR(__xludf.DUMMYFUNCTION("""COMPUTED_VALUE"""),4.625)</f>
        <v>4.625</v>
      </c>
      <c r="W64" s="60">
        <f>IFERROR(__xludf.DUMMYFUNCTION("""COMPUTED_VALUE"""),45558.0)</f>
        <v>45558</v>
      </c>
      <c r="Z64" s="4"/>
      <c r="AB64" s="59" t="str">
        <f>IFERROR(__xludf.DUMMYFUNCTION("""COMPUTED_VALUE"""),"ULTRA PETRONNE INTERIOR SUPPLY CORPORATION")</f>
        <v>ULTRA PETRONNE INTERIOR SUPPLY CORPORATION</v>
      </c>
      <c r="AC64" s="4">
        <f>IFERROR(__xludf.DUMMYFUNCTION("""COMPUTED_VALUE"""),4.5)</f>
        <v>4.5</v>
      </c>
      <c r="AE64" s="59" t="str">
        <f>IFERROR(__xludf.DUMMYFUNCTION("""COMPUTED_VALUE"""),"RSAZ Corporation")</f>
        <v>RSAZ Corporation</v>
      </c>
      <c r="AF64" s="4">
        <f>IFERROR(__xludf.DUMMYFUNCTION("""COMPUTED_VALUE"""),5.0)</f>
        <v>5</v>
      </c>
    </row>
    <row r="65">
      <c r="A65" s="95">
        <v>50.0</v>
      </c>
      <c r="B65" s="97" t="s">
        <v>182</v>
      </c>
      <c r="C65" s="128"/>
      <c r="E65" s="98">
        <v>51.0</v>
      </c>
      <c r="F65" s="98" t="s">
        <v>173</v>
      </c>
      <c r="G65" s="128"/>
      <c r="I65" s="101">
        <v>53.0</v>
      </c>
      <c r="J65" s="111" t="s">
        <v>101</v>
      </c>
      <c r="K65" s="4">
        <v>5.0</v>
      </c>
      <c r="M65" s="59" t="str">
        <f>IFERROR(__xludf.DUMMYFUNCTION("""COMPUTED_VALUE"""),"Columbia Technologies, Inc.")</f>
        <v>Columbia Technologies, Inc.</v>
      </c>
      <c r="N65" s="4">
        <f>IFERROR(__xludf.DUMMYFUNCTION("""COMPUTED_VALUE"""),5.0)</f>
        <v>5</v>
      </c>
      <c r="O65" s="60">
        <f>IFERROR(__xludf.DUMMYFUNCTION("""COMPUTED_VALUE"""),44883.0)</f>
        <v>44883</v>
      </c>
      <c r="Q65" s="59" t="str">
        <f>IFERROR(__xludf.DUMMYFUNCTION("""COMPUTED_VALUE"""),"Crosspoint Paper, Inc.")</f>
        <v>Crosspoint Paper, Inc.</v>
      </c>
      <c r="R65" s="4">
        <f>IFERROR(__xludf.DUMMYFUNCTION("""COMPUTED_VALUE"""),5.0)</f>
        <v>5</v>
      </c>
      <c r="S65" s="60">
        <f>IFERROR(__xludf.DUMMYFUNCTION("""COMPUTED_VALUE"""),45217.0)</f>
        <v>45217</v>
      </c>
      <c r="U65" s="59" t="str">
        <f>IFERROR(__xludf.DUMMYFUNCTION("""COMPUTED_VALUE"""),"Contrade Integrated Depot")</f>
        <v>Contrade Integrated Depot</v>
      </c>
      <c r="V65" s="4">
        <f>IFERROR(__xludf.DUMMYFUNCTION("""COMPUTED_VALUE"""),4.833333333333333)</f>
        <v>4.833333333</v>
      </c>
      <c r="W65" s="60">
        <f>IFERROR(__xludf.DUMMYFUNCTION("""COMPUTED_VALUE"""),45558.0)</f>
        <v>45558</v>
      </c>
      <c r="Z65" s="4"/>
      <c r="AB65" s="59" t="str">
        <f>IFERROR(__xludf.DUMMYFUNCTION("""COMPUTED_VALUE"""),"V.M Industries Corp.")</f>
        <v>V.M Industries Corp.</v>
      </c>
      <c r="AC65" s="4">
        <f>IFERROR(__xludf.DUMMYFUNCTION("""COMPUTED_VALUE"""),4.441666666666666)</f>
        <v>4.441666667</v>
      </c>
      <c r="AE65" s="59" t="str">
        <f>IFERROR(__xludf.DUMMYFUNCTION("""COMPUTED_VALUE"""),"Rivchem Enterprises")</f>
        <v>Rivchem Enterprises</v>
      </c>
      <c r="AF65" s="4">
        <f>IFERROR(__xludf.DUMMYFUNCTION("""COMPUTED_VALUE"""),4.758006535947713)</f>
        <v>4.758006536</v>
      </c>
    </row>
    <row r="66">
      <c r="A66" s="95">
        <v>51.0</v>
      </c>
      <c r="B66" s="97" t="s">
        <v>185</v>
      </c>
      <c r="C66" s="128"/>
      <c r="E66" s="98">
        <v>52.0</v>
      </c>
      <c r="F66" s="98" t="s">
        <v>178</v>
      </c>
      <c r="G66" s="128"/>
      <c r="I66" s="101">
        <v>54.0</v>
      </c>
      <c r="J66" s="111" t="s">
        <v>316</v>
      </c>
      <c r="K66" s="128"/>
      <c r="M66" s="59" t="str">
        <f>IFERROR(__xludf.DUMMYFUNCTION("""COMPUTED_VALUE"""),"Microsmith Technology System,Inc.")</f>
        <v>Microsmith Technology System,Inc.</v>
      </c>
      <c r="N66" s="4">
        <f>IFERROR(__xludf.DUMMYFUNCTION("""COMPUTED_VALUE"""),5.0)</f>
        <v>5</v>
      </c>
      <c r="O66" s="60">
        <f>IFERROR(__xludf.DUMMYFUNCTION("""COMPUTED_VALUE"""),44883.0)</f>
        <v>44883</v>
      </c>
      <c r="Q66" s="59" t="str">
        <f>IFERROR(__xludf.DUMMYFUNCTION("""COMPUTED_VALUE"""),"Jarm Printing Press")</f>
        <v>Jarm Printing Press</v>
      </c>
      <c r="R66" s="4">
        <f>IFERROR(__xludf.DUMMYFUNCTION("""COMPUTED_VALUE"""),5.0)</f>
        <v>5</v>
      </c>
      <c r="S66" s="60">
        <f>IFERROR(__xludf.DUMMYFUNCTION("""COMPUTED_VALUE"""),45217.0)</f>
        <v>45217</v>
      </c>
      <c r="U66" s="59" t="str">
        <f>IFERROR(__xludf.DUMMYFUNCTION("""COMPUTED_VALUE"""),"Contrade Integrated Depot")</f>
        <v>Contrade Integrated Depot</v>
      </c>
      <c r="V66" s="4">
        <f>IFERROR(__xludf.DUMMYFUNCTION("""COMPUTED_VALUE"""),4.833333333333333)</f>
        <v>4.833333333</v>
      </c>
      <c r="W66" s="60">
        <f>IFERROR(__xludf.DUMMYFUNCTION("""COMPUTED_VALUE"""),45558.0)</f>
        <v>45558</v>
      </c>
      <c r="Z66" s="4"/>
      <c r="AB66" s="59" t="str">
        <f>IFERROR(__xludf.DUMMYFUNCTION("""COMPUTED_VALUE"""),"Wisechoice Cleaning Supplies and Trading Corp.")</f>
        <v>Wisechoice Cleaning Supplies and Trading Corp.</v>
      </c>
      <c r="AC66" s="4">
        <f>IFERROR(__xludf.DUMMYFUNCTION("""COMPUTED_VALUE"""),4.536111111111111)</f>
        <v>4.536111111</v>
      </c>
      <c r="AE66" s="59" t="str">
        <f>IFERROR(__xludf.DUMMYFUNCTION("""COMPUTED_VALUE"""),"Roavsan General Merchandise")</f>
        <v>Roavsan General Merchandise</v>
      </c>
      <c r="AF66" s="4">
        <f>IFERROR(__xludf.DUMMYFUNCTION("""COMPUTED_VALUE"""),4.758333333333334)</f>
        <v>4.758333333</v>
      </c>
    </row>
    <row r="67">
      <c r="A67" s="95">
        <v>52.0</v>
      </c>
      <c r="B67" s="97" t="s">
        <v>194</v>
      </c>
      <c r="C67" s="125"/>
      <c r="E67" s="98">
        <v>53.0</v>
      </c>
      <c r="F67" s="98" t="s">
        <v>180</v>
      </c>
      <c r="G67" s="125"/>
      <c r="I67" s="101">
        <v>55.0</v>
      </c>
      <c r="J67" s="102" t="s">
        <v>321</v>
      </c>
      <c r="K67" s="4">
        <v>4.916666666666666</v>
      </c>
      <c r="M67" s="59" t="str">
        <f>IFERROR(__xludf.DUMMYFUNCTION("""COMPUTED_VALUE"""),"Chemtrust Global Market, Inc.")</f>
        <v>Chemtrust Global Market, Inc.</v>
      </c>
      <c r="N67" s="4">
        <f>IFERROR(__xludf.DUMMYFUNCTION("""COMPUTED_VALUE"""),4.533333333333333)</f>
        <v>4.533333333</v>
      </c>
      <c r="O67" s="60">
        <f>IFERROR(__xludf.DUMMYFUNCTION("""COMPUTED_VALUE"""),44888.0)</f>
        <v>44888</v>
      </c>
      <c r="Q67" s="59" t="str">
        <f>IFERROR(__xludf.DUMMYFUNCTION("""COMPUTED_VALUE"""),"Crosspoint Paper, Inc.")</f>
        <v>Crosspoint Paper, Inc.</v>
      </c>
      <c r="R67" s="4">
        <f>IFERROR(__xludf.DUMMYFUNCTION("""COMPUTED_VALUE"""),5.0)</f>
        <v>5</v>
      </c>
      <c r="S67" s="60">
        <f>IFERROR(__xludf.DUMMYFUNCTION("""COMPUTED_VALUE"""),45218.0)</f>
        <v>45218</v>
      </c>
      <c r="U67" s="59" t="str">
        <f>IFERROR(__xludf.DUMMYFUNCTION("""COMPUTED_VALUE"""),"Contrade Integrated Depot")</f>
        <v>Contrade Integrated Depot</v>
      </c>
      <c r="V67" s="4">
        <f>IFERROR(__xludf.DUMMYFUNCTION("""COMPUTED_VALUE"""),4.833333333333333)</f>
        <v>4.833333333</v>
      </c>
      <c r="W67" s="60">
        <f>IFERROR(__xludf.DUMMYFUNCTION("""COMPUTED_VALUE"""),45558.0)</f>
        <v>45558</v>
      </c>
      <c r="Z67" s="4"/>
      <c r="AB67" s="59" t="str">
        <f>IFERROR(__xludf.DUMMYFUNCTION("""COMPUTED_VALUE"""),"World Magazine Exchange Marketing Corp.")</f>
        <v>World Magazine Exchange Marketing Corp.</v>
      </c>
      <c r="AC67" s="4">
        <f>IFERROR(__xludf.DUMMYFUNCTION("""COMPUTED_VALUE"""),4.733333333333333)</f>
        <v>4.733333333</v>
      </c>
      <c r="AE67" s="59" t="str">
        <f>IFERROR(__xludf.DUMMYFUNCTION("""COMPUTED_VALUE"""),"Shelves and Cups Book Store")</f>
        <v>Shelves and Cups Book Store</v>
      </c>
      <c r="AF67" s="4">
        <f>IFERROR(__xludf.DUMMYFUNCTION("""COMPUTED_VALUE"""),4.833333333333333)</f>
        <v>4.833333333</v>
      </c>
    </row>
    <row r="68">
      <c r="A68" s="95">
        <v>53.0</v>
      </c>
      <c r="B68" s="97" t="s">
        <v>199</v>
      </c>
      <c r="C68" s="50"/>
      <c r="E68" s="98">
        <v>54.0</v>
      </c>
      <c r="F68" s="98" t="s">
        <v>182</v>
      </c>
      <c r="G68" s="2"/>
      <c r="I68" s="101">
        <v>56.0</v>
      </c>
      <c r="J68" s="111" t="s">
        <v>323</v>
      </c>
      <c r="K68" s="2"/>
      <c r="M68" s="59" t="str">
        <f>IFERROR(__xludf.DUMMYFUNCTION("""COMPUTED_VALUE"""),"Tropical Palms Fashion House, Inc.")</f>
        <v>Tropical Palms Fashion House, Inc.</v>
      </c>
      <c r="N68" s="4">
        <f>IFERROR(__xludf.DUMMYFUNCTION("""COMPUTED_VALUE"""),5.0)</f>
        <v>5</v>
      </c>
      <c r="O68" s="60">
        <f>IFERROR(__xludf.DUMMYFUNCTION("""COMPUTED_VALUE"""),44895.0)</f>
        <v>44895</v>
      </c>
      <c r="Q68" s="59" t="str">
        <f>IFERROR(__xludf.DUMMYFUNCTION("""COMPUTED_VALUE"""),"Abacus Book &amp; Card Corp.")</f>
        <v>Abacus Book &amp; Card Corp.</v>
      </c>
      <c r="R68" s="4">
        <f>IFERROR(__xludf.DUMMYFUNCTION("""COMPUTED_VALUE"""),5.0)</f>
        <v>5</v>
      </c>
      <c r="S68" s="60">
        <f>IFERROR(__xludf.DUMMYFUNCTION("""COMPUTED_VALUE"""),45225.0)</f>
        <v>45225</v>
      </c>
      <c r="U68" s="59" t="str">
        <f>IFERROR(__xludf.DUMMYFUNCTION("""COMPUTED_VALUE"""),"Contrade Integrated Depot")</f>
        <v>Contrade Integrated Depot</v>
      </c>
      <c r="V68" s="4">
        <f>IFERROR(__xludf.DUMMYFUNCTION("""COMPUTED_VALUE"""),4.833333333333333)</f>
        <v>4.833333333</v>
      </c>
      <c r="W68" s="60">
        <f>IFERROR(__xludf.DUMMYFUNCTION("""COMPUTED_VALUE"""),45558.0)</f>
        <v>45558</v>
      </c>
      <c r="Z68" s="4"/>
      <c r="AB68" s="59" t="str">
        <f>IFERROR(__xludf.DUMMYFUNCTION("""COMPUTED_VALUE"""),"Zariah's Non-Specialized Wholesale Trading")</f>
        <v>Zariah's Non-Specialized Wholesale Trading</v>
      </c>
      <c r="AC68" s="4">
        <f>IFERROR(__xludf.DUMMYFUNCTION("""COMPUTED_VALUE"""),4.791666666666667)</f>
        <v>4.791666667</v>
      </c>
      <c r="AE68" s="59" t="str">
        <f>IFERROR(__xludf.DUMMYFUNCTION("""COMPUTED_VALUE"""),"Sprintec Printing Press, Inc.")</f>
        <v>Sprintec Printing Press, Inc.</v>
      </c>
      <c r="AF68" s="4">
        <f>IFERROR(__xludf.DUMMYFUNCTION("""COMPUTED_VALUE"""),3.4166666666666665)</f>
        <v>3.416666667</v>
      </c>
    </row>
    <row r="69">
      <c r="A69" s="95">
        <v>54.0</v>
      </c>
      <c r="B69" s="97" t="s">
        <v>210</v>
      </c>
      <c r="C69" s="128"/>
      <c r="E69" s="98">
        <v>55.0</v>
      </c>
      <c r="F69" s="98" t="s">
        <v>185</v>
      </c>
      <c r="G69" s="4">
        <v>4.0</v>
      </c>
      <c r="I69" s="101">
        <v>57.0</v>
      </c>
      <c r="J69" s="111" t="s">
        <v>98</v>
      </c>
      <c r="K69" s="128"/>
      <c r="M69" s="59" t="str">
        <f>IFERROR(__xludf.DUMMYFUNCTION("""COMPUTED_VALUE"""),"Data Computer Forms, Inc.")</f>
        <v>Data Computer Forms, Inc.</v>
      </c>
      <c r="N69" s="4">
        <f>IFERROR(__xludf.DUMMYFUNCTION("""COMPUTED_VALUE"""),4.966666666666667)</f>
        <v>4.966666667</v>
      </c>
      <c r="O69" s="172">
        <f>IFERROR(__xludf.DUMMYFUNCTION("""COMPUTED_VALUE"""),44896.0)</f>
        <v>44896</v>
      </c>
      <c r="Q69" s="59" t="str">
        <f>IFERROR(__xludf.DUMMYFUNCTION("""COMPUTED_VALUE"""),"Abacus Book &amp; Card Corp.")</f>
        <v>Abacus Book &amp; Card Corp.</v>
      </c>
      <c r="R69" s="4">
        <f>IFERROR(__xludf.DUMMYFUNCTION("""COMPUTED_VALUE"""),5.0)</f>
        <v>5</v>
      </c>
      <c r="S69" s="60">
        <f>IFERROR(__xludf.DUMMYFUNCTION("""COMPUTED_VALUE"""),45225.0)</f>
        <v>45225</v>
      </c>
      <c r="U69" s="59" t="str">
        <f>IFERROR(__xludf.DUMMYFUNCTION("""COMPUTED_VALUE"""),"Contrade Integrated Depot")</f>
        <v>Contrade Integrated Depot</v>
      </c>
      <c r="V69" s="4">
        <f>IFERROR(__xludf.DUMMYFUNCTION("""COMPUTED_VALUE"""),4.833333333333333)</f>
        <v>4.833333333</v>
      </c>
      <c r="W69" s="60">
        <f>IFERROR(__xludf.DUMMYFUNCTION("""COMPUTED_VALUE"""),45558.0)</f>
        <v>45558</v>
      </c>
      <c r="Z69" s="4"/>
      <c r="AC69" s="4"/>
      <c r="AE69" s="59" t="str">
        <f>IFERROR(__xludf.DUMMYFUNCTION("""COMPUTED_VALUE"""),"Tadeos Scientific Industries OPC")</f>
        <v>Tadeos Scientific Industries OPC</v>
      </c>
      <c r="AF69" s="4">
        <f>IFERROR(__xludf.DUMMYFUNCTION("""COMPUTED_VALUE"""),4.0)</f>
        <v>4</v>
      </c>
    </row>
    <row r="70">
      <c r="A70" s="95">
        <v>55.0</v>
      </c>
      <c r="B70" s="97" t="s">
        <v>339</v>
      </c>
      <c r="C70" s="2"/>
      <c r="E70" s="98">
        <v>56.0</v>
      </c>
      <c r="F70" s="98" t="s">
        <v>194</v>
      </c>
      <c r="G70" s="2"/>
      <c r="I70" s="101">
        <v>58.0</v>
      </c>
      <c r="J70" s="111" t="s">
        <v>340</v>
      </c>
      <c r="K70" s="2"/>
      <c r="M70" s="59" t="str">
        <f>IFERROR(__xludf.DUMMYFUNCTION("""COMPUTED_VALUE"""),"DKL Laboratory Supplies")</f>
        <v>DKL Laboratory Supplies</v>
      </c>
      <c r="N70" s="4">
        <f>IFERROR(__xludf.DUMMYFUNCTION("""COMPUTED_VALUE"""),3.8333333333333335)</f>
        <v>3.833333333</v>
      </c>
      <c r="O70" s="60">
        <f>IFERROR(__xludf.DUMMYFUNCTION("""COMPUTED_VALUE"""),44909.0)</f>
        <v>44909</v>
      </c>
      <c r="Q70" s="59" t="str">
        <f>IFERROR(__xludf.DUMMYFUNCTION("""COMPUTED_VALUE"""),"Contrade Integrated Depot")</f>
        <v>Contrade Integrated Depot</v>
      </c>
      <c r="R70" s="4">
        <f>IFERROR(__xludf.DUMMYFUNCTION("""COMPUTED_VALUE"""),4.83)</f>
        <v>4.83</v>
      </c>
      <c r="S70" s="60">
        <f>IFERROR(__xludf.DUMMYFUNCTION("""COMPUTED_VALUE"""),45226.0)</f>
        <v>45226</v>
      </c>
      <c r="U70" s="59" t="str">
        <f>IFERROR(__xludf.DUMMYFUNCTION("""COMPUTED_VALUE"""),"Contrade Integrated Depot")</f>
        <v>Contrade Integrated Depot</v>
      </c>
      <c r="V70" s="4">
        <f>IFERROR(__xludf.DUMMYFUNCTION("""COMPUTED_VALUE"""),4.75)</f>
        <v>4.75</v>
      </c>
      <c r="W70" s="60">
        <f>IFERROR(__xludf.DUMMYFUNCTION("""COMPUTED_VALUE"""),45558.0)</f>
        <v>45558</v>
      </c>
      <c r="Z70" s="4"/>
      <c r="AC70" s="4"/>
      <c r="AE70" s="59" t="str">
        <f>IFERROR(__xludf.DUMMYFUNCTION("""COMPUTED_VALUE"""),"Times Trading Co., Inc.")</f>
        <v>Times Trading Co., Inc.</v>
      </c>
      <c r="AF70" s="4">
        <f>IFERROR(__xludf.DUMMYFUNCTION("""COMPUTED_VALUE"""),4.929166666666666)</f>
        <v>4.929166667</v>
      </c>
    </row>
    <row r="71">
      <c r="A71" s="95">
        <v>56.0</v>
      </c>
      <c r="B71" s="97" t="s">
        <v>347</v>
      </c>
      <c r="C71" s="2"/>
      <c r="E71" s="98">
        <v>57.0</v>
      </c>
      <c r="F71" s="98" t="s">
        <v>199</v>
      </c>
      <c r="G71" s="2"/>
      <c r="I71" s="101">
        <v>59.0</v>
      </c>
      <c r="J71" s="111" t="s">
        <v>348</v>
      </c>
      <c r="K71" s="2"/>
      <c r="M71" s="59" t="str">
        <f>IFERROR(__xludf.DUMMYFUNCTION("""COMPUTED_VALUE"""),"Ahrcel's Gift Shop")</f>
        <v>Ahrcel's Gift Shop</v>
      </c>
      <c r="N71" s="4">
        <f>IFERROR(__xludf.DUMMYFUNCTION("""COMPUTED_VALUE"""),5.0)</f>
        <v>5</v>
      </c>
      <c r="O71" s="60">
        <f>IFERROR(__xludf.DUMMYFUNCTION("""COMPUTED_VALUE"""),44915.0)</f>
        <v>44915</v>
      </c>
      <c r="Q71" s="59" t="str">
        <f>IFERROR(__xludf.DUMMYFUNCTION("""COMPUTED_VALUE"""),"Creative Juice Digital Printing")</f>
        <v>Creative Juice Digital Printing</v>
      </c>
      <c r="R71" s="4">
        <f>IFERROR(__xludf.DUMMYFUNCTION("""COMPUTED_VALUE"""),4.0)</f>
        <v>4</v>
      </c>
      <c r="S71" s="60">
        <f>IFERROR(__xludf.DUMMYFUNCTION("""COMPUTED_VALUE"""),45226.0)</f>
        <v>45226</v>
      </c>
      <c r="U71" s="59" t="str">
        <f>IFERROR(__xludf.DUMMYFUNCTION("""COMPUTED_VALUE"""),"Contrade Integrated Depot")</f>
        <v>Contrade Integrated Depot</v>
      </c>
      <c r="V71" s="4">
        <f>IFERROR(__xludf.DUMMYFUNCTION("""COMPUTED_VALUE"""),4.666666666666667)</f>
        <v>4.666666667</v>
      </c>
      <c r="W71" s="60">
        <f>IFERROR(__xludf.DUMMYFUNCTION("""COMPUTED_VALUE"""),45558.0)</f>
        <v>45558</v>
      </c>
      <c r="Z71" s="4"/>
      <c r="AC71" s="4"/>
      <c r="AE71" s="59" t="str">
        <f>IFERROR(__xludf.DUMMYFUNCTION("""COMPUTED_VALUE"""),"Trojan Computer Forms Mfg. Corp.")</f>
        <v>Trojan Computer Forms Mfg. Corp.</v>
      </c>
      <c r="AF71" s="4">
        <f>IFERROR(__xludf.DUMMYFUNCTION("""COMPUTED_VALUE"""),5.0)</f>
        <v>5</v>
      </c>
    </row>
    <row r="72">
      <c r="A72" s="95">
        <v>57.0</v>
      </c>
      <c r="B72" s="97" t="s">
        <v>215</v>
      </c>
      <c r="C72" s="50"/>
      <c r="E72" s="98">
        <v>58.0</v>
      </c>
      <c r="F72" s="98" t="s">
        <v>210</v>
      </c>
      <c r="G72" s="2"/>
      <c r="I72" s="83" t="s">
        <v>133</v>
      </c>
      <c r="J72" s="85"/>
      <c r="K72" s="55">
        <f>average(K73:K82)</f>
        <v>4.53047619</v>
      </c>
      <c r="M72" s="59" t="str">
        <f>IFERROR(__xludf.DUMMYFUNCTION("""COMPUTED_VALUE"""),"Brown Movement for Cultural Advancement, Inc.")</f>
        <v>Brown Movement for Cultural Advancement, Inc.</v>
      </c>
      <c r="N72" s="4">
        <f>IFERROR(__xludf.DUMMYFUNCTION("""COMPUTED_VALUE"""),5.0)</f>
        <v>5</v>
      </c>
      <c r="O72" s="60">
        <f>IFERROR(__xludf.DUMMYFUNCTION("""COMPUTED_VALUE"""),44915.0)</f>
        <v>44915</v>
      </c>
      <c r="Q72" s="59" t="str">
        <f>IFERROR(__xludf.DUMMYFUNCTION("""COMPUTED_VALUE"""),"Times Trading Co., Inc.")</f>
        <v>Times Trading Co., Inc.</v>
      </c>
      <c r="R72" s="4">
        <f>IFERROR(__xludf.DUMMYFUNCTION("""COMPUTED_VALUE"""),5.0)</f>
        <v>5</v>
      </c>
      <c r="S72" s="60">
        <f>IFERROR(__xludf.DUMMYFUNCTION("""COMPUTED_VALUE"""),45227.0)</f>
        <v>45227</v>
      </c>
      <c r="U72" s="59" t="str">
        <f>IFERROR(__xludf.DUMMYFUNCTION("""COMPUTED_VALUE"""),"Rivchem Enterprises")</f>
        <v>Rivchem Enterprises</v>
      </c>
      <c r="V72" s="4">
        <f>IFERROR(__xludf.DUMMYFUNCTION("""COMPUTED_VALUE"""),4.791666666666667)</f>
        <v>4.791666667</v>
      </c>
      <c r="W72" s="60">
        <f>IFERROR(__xludf.DUMMYFUNCTION("""COMPUTED_VALUE"""),45558.0)</f>
        <v>45558</v>
      </c>
      <c r="Z72" s="4"/>
      <c r="AC72" s="4"/>
      <c r="AE72" s="59" t="str">
        <f>IFERROR(__xludf.DUMMYFUNCTION("""COMPUTED_VALUE"""),"Tropical Palms Fashion House, Inc.")</f>
        <v>Tropical Palms Fashion House, Inc.</v>
      </c>
      <c r="AF72" s="4">
        <f>IFERROR(__xludf.DUMMYFUNCTION("""COMPUTED_VALUE"""),5.0)</f>
        <v>5</v>
      </c>
    </row>
    <row r="73">
      <c r="A73" s="95">
        <v>58.0</v>
      </c>
      <c r="B73" s="97" t="s">
        <v>222</v>
      </c>
      <c r="C73" s="50"/>
      <c r="E73" s="98">
        <v>59.0</v>
      </c>
      <c r="F73" s="98" t="s">
        <v>339</v>
      </c>
      <c r="G73" s="2"/>
      <c r="I73" s="101">
        <v>60.0</v>
      </c>
      <c r="J73" s="111" t="s">
        <v>362</v>
      </c>
      <c r="K73" s="2"/>
      <c r="M73" s="59" t="str">
        <f>IFERROR(__xludf.DUMMYFUNCTION("""COMPUTED_VALUE"""),"Contrade Integrated Depot")</f>
        <v>Contrade Integrated Depot</v>
      </c>
      <c r="N73" s="4">
        <f>IFERROR(__xludf.DUMMYFUNCTION("""COMPUTED_VALUE"""),4.95)</f>
        <v>4.95</v>
      </c>
      <c r="O73" s="60">
        <f>IFERROR(__xludf.DUMMYFUNCTION("""COMPUTED_VALUE"""),44915.0)</f>
        <v>44915</v>
      </c>
      <c r="Q73" s="59" t="str">
        <f>IFERROR(__xludf.DUMMYFUNCTION("""COMPUTED_VALUE"""),"Contrade Integrated Depot")</f>
        <v>Contrade Integrated Depot</v>
      </c>
      <c r="R73" s="4">
        <f>IFERROR(__xludf.DUMMYFUNCTION("""COMPUTED_VALUE"""),4.83)</f>
        <v>4.83</v>
      </c>
      <c r="S73" s="60">
        <f>IFERROR(__xludf.DUMMYFUNCTION("""COMPUTED_VALUE"""),45230.0)</f>
        <v>45230</v>
      </c>
      <c r="U73" s="59" t="str">
        <f>IFERROR(__xludf.DUMMYFUNCTION("""COMPUTED_VALUE"""),"Rivchem Enterprises")</f>
        <v>Rivchem Enterprises</v>
      </c>
      <c r="V73" s="4">
        <f>IFERROR(__xludf.DUMMYFUNCTION("""COMPUTED_VALUE"""),4.791666666666667)</f>
        <v>4.791666667</v>
      </c>
      <c r="W73" s="60">
        <f>IFERROR(__xludf.DUMMYFUNCTION("""COMPUTED_VALUE"""),45558.0)</f>
        <v>45558</v>
      </c>
      <c r="Z73" s="4"/>
      <c r="AC73" s="4"/>
      <c r="AE73" s="59" t="str">
        <f>IFERROR(__xludf.DUMMYFUNCTION("""COMPUTED_VALUE"""),"V.M Industries Corp.")</f>
        <v>V.M Industries Corp.</v>
      </c>
      <c r="AF73" s="4">
        <f>IFERROR(__xludf.DUMMYFUNCTION("""COMPUTED_VALUE"""),4.645833333333334)</f>
        <v>4.645833333</v>
      </c>
    </row>
    <row r="74">
      <c r="A74" s="95">
        <v>59.0</v>
      </c>
      <c r="B74" s="97" t="s">
        <v>235</v>
      </c>
      <c r="C74" s="2"/>
      <c r="E74" s="98">
        <v>60.0</v>
      </c>
      <c r="F74" s="98" t="s">
        <v>347</v>
      </c>
      <c r="G74" s="2"/>
      <c r="I74" s="101">
        <v>61.0</v>
      </c>
      <c r="J74" s="111" t="s">
        <v>367</v>
      </c>
      <c r="K74" s="4">
        <v>4.785714285714286</v>
      </c>
      <c r="M74" s="59" t="str">
        <f>IFERROR(__xludf.DUMMYFUNCTION("""COMPUTED_VALUE"""),"Contrade Integrated Depot")</f>
        <v>Contrade Integrated Depot</v>
      </c>
      <c r="N74" s="4">
        <f>IFERROR(__xludf.DUMMYFUNCTION("""COMPUTED_VALUE"""),5.0)</f>
        <v>5</v>
      </c>
      <c r="O74" s="60">
        <f>IFERROR(__xludf.DUMMYFUNCTION("""COMPUTED_VALUE"""),44915.0)</f>
        <v>44915</v>
      </c>
      <c r="Q74" s="59" t="str">
        <f>IFERROR(__xludf.DUMMYFUNCTION("""COMPUTED_VALUE"""),"Contrade Integrated Depot")</f>
        <v>Contrade Integrated Depot</v>
      </c>
      <c r="R74" s="4">
        <f>IFERROR(__xludf.DUMMYFUNCTION("""COMPUTED_VALUE"""),4.83)</f>
        <v>4.83</v>
      </c>
      <c r="S74" s="60">
        <f>IFERROR(__xludf.DUMMYFUNCTION("""COMPUTED_VALUE"""),45230.0)</f>
        <v>45230</v>
      </c>
      <c r="U74" s="59" t="str">
        <f>IFERROR(__xludf.DUMMYFUNCTION("""COMPUTED_VALUE"""),"Chemtrust Global Market, Inc.")</f>
        <v>Chemtrust Global Market, Inc.</v>
      </c>
      <c r="V74" s="4">
        <f>IFERROR(__xludf.DUMMYFUNCTION("""COMPUTED_VALUE"""),4.791666666666667)</f>
        <v>4.791666667</v>
      </c>
      <c r="W74" s="60">
        <f>IFERROR(__xludf.DUMMYFUNCTION("""COMPUTED_VALUE"""),45558.0)</f>
        <v>45558</v>
      </c>
      <c r="Z74" s="4"/>
      <c r="AC74" s="4"/>
      <c r="AE74" s="59" t="str">
        <f>IFERROR(__xludf.DUMMYFUNCTION("""COMPUTED_VALUE"""),"Velca Equipment And Engineered ")</f>
        <v>Velca Equipment And Engineered </v>
      </c>
      <c r="AF74" s="4">
        <f>IFERROR(__xludf.DUMMYFUNCTION("""COMPUTED_VALUE"""),4.0)</f>
        <v>4</v>
      </c>
    </row>
    <row r="75">
      <c r="A75" s="95">
        <v>60.0</v>
      </c>
      <c r="B75" s="97" t="s">
        <v>241</v>
      </c>
      <c r="C75" s="2"/>
      <c r="E75" s="98">
        <v>61.0</v>
      </c>
      <c r="F75" s="98" t="s">
        <v>215</v>
      </c>
      <c r="G75" s="2"/>
      <c r="I75" s="101">
        <v>62.0</v>
      </c>
      <c r="J75" s="111" t="s">
        <v>371</v>
      </c>
      <c r="K75" s="4">
        <v>4.816666666666666</v>
      </c>
      <c r="M75" s="59" t="str">
        <f>IFERROR(__xludf.DUMMYFUNCTION("""COMPUTED_VALUE"""),"Contrade Integrated Depot")</f>
        <v>Contrade Integrated Depot</v>
      </c>
      <c r="N75" s="4">
        <f>IFERROR(__xludf.DUMMYFUNCTION("""COMPUTED_VALUE"""),4.966666666666667)</f>
        <v>4.966666667</v>
      </c>
      <c r="O75" s="60">
        <f>IFERROR(__xludf.DUMMYFUNCTION("""COMPUTED_VALUE"""),44915.0)</f>
        <v>44915</v>
      </c>
      <c r="Q75" s="59" t="str">
        <f>IFERROR(__xludf.DUMMYFUNCTION("""COMPUTED_VALUE"""),"Leonard Prints Inc.")</f>
        <v>Leonard Prints Inc.</v>
      </c>
      <c r="R75" s="4">
        <f>IFERROR(__xludf.DUMMYFUNCTION("""COMPUTED_VALUE"""),4.916666666666667)</f>
        <v>4.916666667</v>
      </c>
      <c r="S75" s="60">
        <f>IFERROR(__xludf.DUMMYFUNCTION("""COMPUTED_VALUE"""),45230.0)</f>
        <v>45230</v>
      </c>
      <c r="U75" s="59" t="str">
        <f>IFERROR(__xludf.DUMMYFUNCTION("""COMPUTED_VALUE"""),"Chemtrust Global Market, Inc.")</f>
        <v>Chemtrust Global Market, Inc.</v>
      </c>
      <c r="V75" s="4">
        <f>IFERROR(__xludf.DUMMYFUNCTION("""COMPUTED_VALUE"""),4.791666666666667)</f>
        <v>4.791666667</v>
      </c>
      <c r="W75" s="60">
        <f>IFERROR(__xludf.DUMMYFUNCTION("""COMPUTED_VALUE"""),45558.0)</f>
        <v>45558</v>
      </c>
      <c r="Z75" s="4"/>
      <c r="AC75" s="4"/>
      <c r="AE75" s="59" t="str">
        <f>IFERROR(__xludf.DUMMYFUNCTION("""COMPUTED_VALUE"""),"Wilcon Depot Inc.")</f>
        <v>Wilcon Depot Inc.</v>
      </c>
      <c r="AF75" s="4">
        <f>IFERROR(__xludf.DUMMYFUNCTION("""COMPUTED_VALUE"""),4.486111111111111)</f>
        <v>4.486111111</v>
      </c>
    </row>
    <row r="76">
      <c r="A76" s="95">
        <v>61.0</v>
      </c>
      <c r="B76" s="97" t="s">
        <v>250</v>
      </c>
      <c r="C76" s="4"/>
      <c r="E76" s="98">
        <v>62.0</v>
      </c>
      <c r="F76" s="98" t="s">
        <v>222</v>
      </c>
      <c r="G76" s="4">
        <v>4.666666666666667</v>
      </c>
      <c r="I76" s="101">
        <v>63.0</v>
      </c>
      <c r="J76" s="111" t="s">
        <v>225</v>
      </c>
      <c r="K76" s="4">
        <v>4.75</v>
      </c>
      <c r="M76" s="59" t="str">
        <f>IFERROR(__xludf.DUMMYFUNCTION("""COMPUTED_VALUE"""),"Contrade Integrated Depot")</f>
        <v>Contrade Integrated Depot</v>
      </c>
      <c r="N76" s="4">
        <f>IFERROR(__xludf.DUMMYFUNCTION("""COMPUTED_VALUE"""),4.883333333333334)</f>
        <v>4.883333333</v>
      </c>
      <c r="O76" s="60">
        <f>IFERROR(__xludf.DUMMYFUNCTION("""COMPUTED_VALUE"""),44915.0)</f>
        <v>44915</v>
      </c>
      <c r="Q76" s="59" t="str">
        <f>IFERROR(__xludf.DUMMYFUNCTION("""COMPUTED_VALUE"""),"Rivchem Enterprises")</f>
        <v>Rivchem Enterprises</v>
      </c>
      <c r="R76" s="4">
        <f>IFERROR(__xludf.DUMMYFUNCTION("""COMPUTED_VALUE"""),4.333333333333333)</f>
        <v>4.333333333</v>
      </c>
      <c r="S76" s="60">
        <f>IFERROR(__xludf.DUMMYFUNCTION("""COMPUTED_VALUE"""),45230.0)</f>
        <v>45230</v>
      </c>
      <c r="U76" s="59" t="str">
        <f>IFERROR(__xludf.DUMMYFUNCTION("""COMPUTED_VALUE"""),"Rivchem Enterprises")</f>
        <v>Rivchem Enterprises</v>
      </c>
      <c r="V76" s="4">
        <f>IFERROR(__xludf.DUMMYFUNCTION("""COMPUTED_VALUE"""),4.791666666666667)</f>
        <v>4.791666667</v>
      </c>
      <c r="W76" s="60">
        <f>IFERROR(__xludf.DUMMYFUNCTION("""COMPUTED_VALUE"""),45559.0)</f>
        <v>45559</v>
      </c>
      <c r="Z76" s="4"/>
      <c r="AC76" s="4"/>
      <c r="AE76" s="59" t="str">
        <f>IFERROR(__xludf.DUMMYFUNCTION("""COMPUTED_VALUE"""),"Wisechoice Cleaning Supplies and Trading Corp.")</f>
        <v>Wisechoice Cleaning Supplies and Trading Corp.</v>
      </c>
      <c r="AF76" s="4">
        <f>IFERROR(__xludf.DUMMYFUNCTION("""COMPUTED_VALUE"""),4.708333333333333)</f>
        <v>4.708333333</v>
      </c>
    </row>
    <row r="77">
      <c r="A77" s="95">
        <v>62.0</v>
      </c>
      <c r="B77" s="97" t="s">
        <v>259</v>
      </c>
      <c r="C77" s="2"/>
      <c r="E77" s="98">
        <v>63.0</v>
      </c>
      <c r="F77" s="98" t="s">
        <v>235</v>
      </c>
      <c r="G77" s="2"/>
      <c r="I77" s="101">
        <v>64.0</v>
      </c>
      <c r="J77" s="111" t="s">
        <v>383</v>
      </c>
      <c r="K77" s="2"/>
      <c r="M77" s="59" t="str">
        <f>IFERROR(__xludf.DUMMYFUNCTION("""COMPUTED_VALUE"""),"Creative Juice Digital Printing")</f>
        <v>Creative Juice Digital Printing</v>
      </c>
      <c r="N77" s="4">
        <f>IFERROR(__xludf.DUMMYFUNCTION("""COMPUTED_VALUE"""),5.0)</f>
        <v>5</v>
      </c>
      <c r="O77" s="60">
        <f>IFERROR(__xludf.DUMMYFUNCTION("""COMPUTED_VALUE"""),44915.0)</f>
        <v>44915</v>
      </c>
      <c r="Q77" s="59" t="str">
        <f>IFERROR(__xludf.DUMMYFUNCTION("""COMPUTED_VALUE"""),"Falcon Waterfree Philippines, Inc.")</f>
        <v>Falcon Waterfree Philippines, Inc.</v>
      </c>
      <c r="R77" s="4">
        <f>IFERROR(__xludf.DUMMYFUNCTION("""COMPUTED_VALUE"""),4.333333333333333)</f>
        <v>4.333333333</v>
      </c>
      <c r="S77" s="60">
        <f>IFERROR(__xludf.DUMMYFUNCTION("""COMPUTED_VALUE"""),45233.0)</f>
        <v>45233</v>
      </c>
      <c r="U77" s="59" t="str">
        <f>IFERROR(__xludf.DUMMYFUNCTION("""COMPUTED_VALUE"""),"Rivchem Enterprises")</f>
        <v>Rivchem Enterprises</v>
      </c>
      <c r="V77" s="4">
        <f>IFERROR(__xludf.DUMMYFUNCTION("""COMPUTED_VALUE"""),4.791666666666667)</f>
        <v>4.791666667</v>
      </c>
      <c r="W77" s="60">
        <f>IFERROR(__xludf.DUMMYFUNCTION("""COMPUTED_VALUE"""),45559.0)</f>
        <v>45559</v>
      </c>
      <c r="Z77" s="4"/>
      <c r="AC77" s="4"/>
      <c r="AE77" s="59" t="str">
        <f>IFERROR(__xludf.DUMMYFUNCTION("""COMPUTED_VALUE"""),"Zariah's Non-Specialized Wholesale Trading")</f>
        <v>Zariah's Non-Specialized Wholesale Trading</v>
      </c>
      <c r="AF77" s="4">
        <f>IFERROR(__xludf.DUMMYFUNCTION("""COMPUTED_VALUE"""),5.0)</f>
        <v>5</v>
      </c>
    </row>
    <row r="78">
      <c r="A78" s="71" t="s">
        <v>385</v>
      </c>
      <c r="B78" s="54"/>
      <c r="C78" s="89">
        <f>average(C79:C85)</f>
        <v>5</v>
      </c>
      <c r="E78" s="98">
        <v>64.0</v>
      </c>
      <c r="F78" s="98" t="s">
        <v>241</v>
      </c>
      <c r="G78" s="2"/>
      <c r="I78" s="101">
        <v>65.0</v>
      </c>
      <c r="J78" s="111" t="s">
        <v>388</v>
      </c>
      <c r="K78" s="2"/>
      <c r="M78" s="59" t="str">
        <f>IFERROR(__xludf.DUMMYFUNCTION("""COMPUTED_VALUE"""),"Creative Juice Digital Printing")</f>
        <v>Creative Juice Digital Printing</v>
      </c>
      <c r="N78" s="4">
        <f>IFERROR(__xludf.DUMMYFUNCTION("""COMPUTED_VALUE"""),5.0)</f>
        <v>5</v>
      </c>
      <c r="O78" s="60">
        <f>IFERROR(__xludf.DUMMYFUNCTION("""COMPUTED_VALUE"""),44915.0)</f>
        <v>44915</v>
      </c>
      <c r="Q78" s="59" t="str">
        <f>IFERROR(__xludf.DUMMYFUNCTION("""COMPUTED_VALUE"""),"Rivchem Enterprises")</f>
        <v>Rivchem Enterprises</v>
      </c>
      <c r="R78" s="4">
        <f>IFERROR(__xludf.DUMMYFUNCTION("""COMPUTED_VALUE"""),4.258333333333334)</f>
        <v>4.258333333</v>
      </c>
      <c r="S78" s="144">
        <f>IFERROR(__xludf.DUMMYFUNCTION("""COMPUTED_VALUE"""),45233.0)</f>
        <v>45233</v>
      </c>
      <c r="U78" s="59" t="str">
        <f>IFERROR(__xludf.DUMMYFUNCTION("""COMPUTED_VALUE"""),"Rivchem Enterprises")</f>
        <v>Rivchem Enterprises</v>
      </c>
      <c r="V78" s="4">
        <f>IFERROR(__xludf.DUMMYFUNCTION("""COMPUTED_VALUE"""),4.791666666666667)</f>
        <v>4.791666667</v>
      </c>
      <c r="W78" s="60">
        <f>IFERROR(__xludf.DUMMYFUNCTION("""COMPUTED_VALUE"""),45559.0)</f>
        <v>45559</v>
      </c>
      <c r="Z78" s="4"/>
      <c r="AC78" s="4"/>
      <c r="AE78" s="59" t="str">
        <f>IFERROR(__xludf.DUMMYFUNCTION("""COMPUTED_VALUE"""),"iEquity Technologies Corp.")</f>
        <v>iEquity Technologies Corp.</v>
      </c>
      <c r="AF78" s="4">
        <f>IFERROR(__xludf.DUMMYFUNCTION("""COMPUTED_VALUE"""),4.958333333333334)</f>
        <v>4.958333333</v>
      </c>
    </row>
    <row r="79">
      <c r="A79" s="95">
        <v>63.0</v>
      </c>
      <c r="B79" s="97" t="s">
        <v>394</v>
      </c>
      <c r="C79" s="2"/>
      <c r="E79" s="98">
        <v>65.0</v>
      </c>
      <c r="F79" s="98" t="s">
        <v>250</v>
      </c>
      <c r="G79" s="2"/>
      <c r="I79" s="101">
        <v>66.0</v>
      </c>
      <c r="J79" s="98" t="s">
        <v>398</v>
      </c>
      <c r="K79" s="4">
        <v>4.966666666666667</v>
      </c>
      <c r="M79" s="59" t="str">
        <f>IFERROR(__xludf.DUMMYFUNCTION("""COMPUTED_VALUE"""),"EIG Metal Engravers")</f>
        <v>EIG Metal Engravers</v>
      </c>
      <c r="N79" s="4">
        <f>IFERROR(__xludf.DUMMYFUNCTION("""COMPUTED_VALUE"""),5.0)</f>
        <v>5</v>
      </c>
      <c r="O79" s="60">
        <f>IFERROR(__xludf.DUMMYFUNCTION("""COMPUTED_VALUE"""),44915.0)</f>
        <v>44915</v>
      </c>
      <c r="Q79" s="59" t="str">
        <f>IFERROR(__xludf.DUMMYFUNCTION("""COMPUTED_VALUE"""),"Rivchem Enterprises")</f>
        <v>Rivchem Enterprises</v>
      </c>
      <c r="R79" s="4">
        <f>IFERROR(__xludf.DUMMYFUNCTION("""COMPUTED_VALUE"""),4.258333333333334)</f>
        <v>4.258333333</v>
      </c>
      <c r="S79" s="60">
        <f>IFERROR(__xludf.DUMMYFUNCTION("""COMPUTED_VALUE"""),45233.0)</f>
        <v>45233</v>
      </c>
      <c r="U79" s="59" t="str">
        <f>IFERROR(__xludf.DUMMYFUNCTION("""COMPUTED_VALUE"""),"Rivchem Enterprises")</f>
        <v>Rivchem Enterprises</v>
      </c>
      <c r="V79" s="4">
        <f>IFERROR(__xludf.DUMMYFUNCTION("""COMPUTED_VALUE"""),4.791666666666667)</f>
        <v>4.791666667</v>
      </c>
      <c r="W79" s="60">
        <f>IFERROR(__xludf.DUMMYFUNCTION("""COMPUTED_VALUE"""),45559.0)</f>
        <v>45559</v>
      </c>
      <c r="Z79" s="4"/>
      <c r="AC79" s="4"/>
      <c r="AF79" s="4"/>
    </row>
    <row r="80">
      <c r="A80" s="95">
        <v>64.0</v>
      </c>
      <c r="B80" s="97" t="s">
        <v>401</v>
      </c>
      <c r="C80" s="128"/>
      <c r="E80" s="98">
        <v>66.0</v>
      </c>
      <c r="F80" s="98" t="s">
        <v>259</v>
      </c>
      <c r="G80" s="128"/>
      <c r="I80" s="101">
        <v>67.0</v>
      </c>
      <c r="J80" s="98" t="s">
        <v>403</v>
      </c>
      <c r="K80" s="4">
        <v>3.3333333333333335</v>
      </c>
      <c r="M80" s="59" t="str">
        <f>IFERROR(__xludf.DUMMYFUNCTION("""COMPUTED_VALUE"""),"Luminaire Printing And Publishing Corp.")</f>
        <v>Luminaire Printing And Publishing Corp.</v>
      </c>
      <c r="N80" s="4">
        <f>IFERROR(__xludf.DUMMYFUNCTION("""COMPUTED_VALUE"""),5.0)</f>
        <v>5</v>
      </c>
      <c r="O80" s="60">
        <f>IFERROR(__xludf.DUMMYFUNCTION("""COMPUTED_VALUE"""),44915.0)</f>
        <v>44915</v>
      </c>
      <c r="Q80" s="59" t="str">
        <f>IFERROR(__xludf.DUMMYFUNCTION("""COMPUTED_VALUE"""),"Rivchem Enterprises")</f>
        <v>Rivchem Enterprises</v>
      </c>
      <c r="R80" s="4">
        <f>IFERROR(__xludf.DUMMYFUNCTION("""COMPUTED_VALUE"""),4.333333333333333)</f>
        <v>4.333333333</v>
      </c>
      <c r="S80" s="60">
        <f>IFERROR(__xludf.DUMMYFUNCTION("""COMPUTED_VALUE"""),45233.0)</f>
        <v>45233</v>
      </c>
      <c r="U80" s="59" t="str">
        <f>IFERROR(__xludf.DUMMYFUNCTION("""COMPUTED_VALUE"""),"Rivchem Enterprises")</f>
        <v>Rivchem Enterprises</v>
      </c>
      <c r="V80" s="4">
        <f>IFERROR(__xludf.DUMMYFUNCTION("""COMPUTED_VALUE"""),4.791666666666667)</f>
        <v>4.791666667</v>
      </c>
      <c r="W80" s="60">
        <f>IFERROR(__xludf.DUMMYFUNCTION("""COMPUTED_VALUE"""),45559.0)</f>
        <v>45559</v>
      </c>
      <c r="Z80" s="4"/>
      <c r="AC80" s="4"/>
      <c r="AF80" s="4"/>
    </row>
    <row r="81">
      <c r="A81" s="95">
        <v>65.0</v>
      </c>
      <c r="B81" s="97" t="s">
        <v>233</v>
      </c>
      <c r="C81" s="4">
        <v>5.0</v>
      </c>
      <c r="E81" s="78" t="s">
        <v>385</v>
      </c>
      <c r="F81" s="54"/>
      <c r="G81" s="55">
        <f>average(G82:G87)</f>
        <v>4.67</v>
      </c>
      <c r="I81" s="101">
        <v>68.0</v>
      </c>
      <c r="J81" s="173" t="s">
        <v>408</v>
      </c>
      <c r="K81" s="2"/>
      <c r="M81" s="59" t="str">
        <f>IFERROR(__xludf.DUMMYFUNCTION("""COMPUTED_VALUE"""),"Luminaire Printing And Publishing Corp.")</f>
        <v>Luminaire Printing And Publishing Corp.</v>
      </c>
      <c r="N81" s="4">
        <f>IFERROR(__xludf.DUMMYFUNCTION("""COMPUTED_VALUE"""),5.0)</f>
        <v>5</v>
      </c>
      <c r="O81" s="60">
        <f>IFERROR(__xludf.DUMMYFUNCTION("""COMPUTED_VALUE"""),44915.0)</f>
        <v>44915</v>
      </c>
      <c r="Q81" s="59" t="str">
        <f>IFERROR(__xludf.DUMMYFUNCTION("""COMPUTED_VALUE"""),"Beyond Global Multiales Corp.")</f>
        <v>Beyond Global Multiales Corp.</v>
      </c>
      <c r="R81" s="4">
        <f>IFERROR(__xludf.DUMMYFUNCTION("""COMPUTED_VALUE"""),4.833333333333333)</f>
        <v>4.833333333</v>
      </c>
      <c r="S81" s="60">
        <f>IFERROR(__xludf.DUMMYFUNCTION("""COMPUTED_VALUE"""),45233.0)</f>
        <v>45233</v>
      </c>
      <c r="U81" s="59" t="str">
        <f>IFERROR(__xludf.DUMMYFUNCTION("""COMPUTED_VALUE"""),"Rivchem Enterprises")</f>
        <v>Rivchem Enterprises</v>
      </c>
      <c r="V81" s="4">
        <f>IFERROR(__xludf.DUMMYFUNCTION("""COMPUTED_VALUE"""),4.791666666666667)</f>
        <v>4.791666667</v>
      </c>
      <c r="W81" s="60">
        <f>IFERROR(__xludf.DUMMYFUNCTION("""COMPUTED_VALUE"""),45559.0)</f>
        <v>45559</v>
      </c>
      <c r="Z81" s="4"/>
      <c r="AC81" s="4"/>
      <c r="AF81" s="4"/>
    </row>
    <row r="82">
      <c r="A82" s="95">
        <v>66.0</v>
      </c>
      <c r="B82" s="97" t="s">
        <v>274</v>
      </c>
      <c r="C82" s="2"/>
      <c r="E82" s="98">
        <v>67.0</v>
      </c>
      <c r="F82" s="98" t="s">
        <v>394</v>
      </c>
      <c r="G82" s="2"/>
      <c r="I82" s="101">
        <v>69.0</v>
      </c>
      <c r="J82" s="98" t="s">
        <v>415</v>
      </c>
      <c r="K82" s="2"/>
      <c r="M82" s="59" t="str">
        <f>IFERROR(__xludf.DUMMYFUNCTION("""COMPUTED_VALUE"""),"Luminaire Printing And Publishing Corp.")</f>
        <v>Luminaire Printing And Publishing Corp.</v>
      </c>
      <c r="N82" s="4">
        <f>IFERROR(__xludf.DUMMYFUNCTION("""COMPUTED_VALUE"""),4.833333333333333)</f>
        <v>4.833333333</v>
      </c>
      <c r="O82" s="60">
        <f>IFERROR(__xludf.DUMMYFUNCTION("""COMPUTED_VALUE"""),44915.0)</f>
        <v>44915</v>
      </c>
      <c r="Q82" s="59" t="str">
        <f>IFERROR(__xludf.DUMMYFUNCTION("""COMPUTED_VALUE"""),"Columbia Technologies, Inc.")</f>
        <v>Columbia Technologies, Inc.</v>
      </c>
      <c r="R82" s="4">
        <f>IFERROR(__xludf.DUMMYFUNCTION("""COMPUTED_VALUE"""),4.0)</f>
        <v>4</v>
      </c>
      <c r="S82" s="60">
        <f>IFERROR(__xludf.DUMMYFUNCTION("""COMPUTED_VALUE"""),45237.0)</f>
        <v>45237</v>
      </c>
      <c r="U82" s="59" t="str">
        <f>IFERROR(__xludf.DUMMYFUNCTION("""COMPUTED_VALUE"""),"Printing Shop PrintPilipinas.com")</f>
        <v>Printing Shop PrintPilipinas.com</v>
      </c>
      <c r="V82" s="4">
        <f>IFERROR(__xludf.DUMMYFUNCTION("""COMPUTED_VALUE"""),4.833333333333333)</f>
        <v>4.833333333</v>
      </c>
      <c r="W82" s="60">
        <f>IFERROR(__xludf.DUMMYFUNCTION("""COMPUTED_VALUE"""),45561.0)</f>
        <v>45561</v>
      </c>
      <c r="Z82" s="4"/>
      <c r="AC82" s="4"/>
      <c r="AF82" s="4"/>
    </row>
    <row r="83">
      <c r="A83" s="95">
        <v>67.0</v>
      </c>
      <c r="B83" s="97" t="s">
        <v>420</v>
      </c>
      <c r="C83" s="2"/>
      <c r="E83" s="98">
        <v>68.0</v>
      </c>
      <c r="F83" s="98" t="s">
        <v>401</v>
      </c>
      <c r="G83" s="2"/>
      <c r="I83" s="83" t="s">
        <v>163</v>
      </c>
      <c r="J83" s="85"/>
      <c r="K83" s="55" t="str">
        <f>average(K84:K89)</f>
        <v>#DIV/0!</v>
      </c>
      <c r="M83" s="59" t="str">
        <f>IFERROR(__xludf.DUMMYFUNCTION("""COMPUTED_VALUE"""),"Microsmith Technology System,Inc.")</f>
        <v>Microsmith Technology System,Inc.</v>
      </c>
      <c r="N83" s="4">
        <f>IFERROR(__xludf.DUMMYFUNCTION("""COMPUTED_VALUE"""),5.0)</f>
        <v>5</v>
      </c>
      <c r="O83" s="60">
        <f>IFERROR(__xludf.DUMMYFUNCTION("""COMPUTED_VALUE"""),44915.0)</f>
        <v>44915</v>
      </c>
      <c r="Q83" s="59" t="str">
        <f>IFERROR(__xludf.DUMMYFUNCTION("""COMPUTED_VALUE"""),"Polaris Prime Air Tech Corporation")</f>
        <v>Polaris Prime Air Tech Corporation</v>
      </c>
      <c r="R83" s="4">
        <f>IFERROR(__xludf.DUMMYFUNCTION("""COMPUTED_VALUE"""),5.0)</f>
        <v>5</v>
      </c>
      <c r="S83" s="144">
        <f>IFERROR(__xludf.DUMMYFUNCTION("""COMPUTED_VALUE"""),45242.0)</f>
        <v>45242</v>
      </c>
      <c r="U83" s="59" t="str">
        <f>IFERROR(__xludf.DUMMYFUNCTION("""COMPUTED_VALUE"""),"Contrade Integrated Depot")</f>
        <v>Contrade Integrated Depot</v>
      </c>
      <c r="V83" s="4">
        <f>IFERROR(__xludf.DUMMYFUNCTION("""COMPUTED_VALUE"""),4.666666666666667)</f>
        <v>4.666666667</v>
      </c>
      <c r="W83" s="60">
        <f>IFERROR(__xludf.DUMMYFUNCTION("""COMPUTED_VALUE"""),45561.0)</f>
        <v>45561</v>
      </c>
      <c r="Z83" s="4"/>
      <c r="AC83" s="4"/>
      <c r="AF83" s="4"/>
    </row>
    <row r="84">
      <c r="A84" s="95">
        <v>68.0</v>
      </c>
      <c r="B84" s="174" t="s">
        <v>428</v>
      </c>
      <c r="C84" s="2"/>
      <c r="E84" s="98">
        <v>69.0</v>
      </c>
      <c r="F84" s="98" t="s">
        <v>233</v>
      </c>
      <c r="G84" s="50">
        <v>4.67</v>
      </c>
      <c r="I84" s="101">
        <v>70.0</v>
      </c>
      <c r="J84" s="102" t="s">
        <v>429</v>
      </c>
      <c r="K84" s="2"/>
      <c r="M84" s="59" t="str">
        <f>IFERROR(__xludf.DUMMYFUNCTION("""COMPUTED_VALUE"""),"One Supply")</f>
        <v>One Supply</v>
      </c>
      <c r="N84" s="4">
        <f>IFERROR(__xludf.DUMMYFUNCTION("""COMPUTED_VALUE"""),5.0)</f>
        <v>5</v>
      </c>
      <c r="O84" s="60">
        <f>IFERROR(__xludf.DUMMYFUNCTION("""COMPUTED_VALUE"""),44915.0)</f>
        <v>44915</v>
      </c>
      <c r="Q84" s="59" t="str">
        <f>IFERROR(__xludf.DUMMYFUNCTION("""COMPUTED_VALUE"""),"Abacus Book &amp; Card Corp.")</f>
        <v>Abacus Book &amp; Card Corp.</v>
      </c>
      <c r="R84" s="4">
        <f>IFERROR(__xludf.DUMMYFUNCTION("""COMPUTED_VALUE"""),5.0)</f>
        <v>5</v>
      </c>
      <c r="S84" s="60">
        <f>IFERROR(__xludf.DUMMYFUNCTION("""COMPUTED_VALUE"""),45247.0)</f>
        <v>45247</v>
      </c>
      <c r="U84" s="59" t="str">
        <f>IFERROR(__xludf.DUMMYFUNCTION("""COMPUTED_VALUE"""),"Printing Shop PrintPilipinas.com")</f>
        <v>Printing Shop PrintPilipinas.com</v>
      </c>
      <c r="V84" s="4">
        <f>IFERROR(__xludf.DUMMYFUNCTION("""COMPUTED_VALUE"""),4.833333333333333)</f>
        <v>4.833333333</v>
      </c>
      <c r="W84" s="60">
        <f>IFERROR(__xludf.DUMMYFUNCTION("""COMPUTED_VALUE"""),45561.0)</f>
        <v>45561</v>
      </c>
      <c r="Z84" s="4"/>
      <c r="AC84" s="4"/>
      <c r="AF84" s="4"/>
    </row>
    <row r="85">
      <c r="A85" s="95">
        <v>69.0</v>
      </c>
      <c r="B85" s="174" t="s">
        <v>434</v>
      </c>
      <c r="C85" s="125"/>
      <c r="E85" s="98">
        <v>70.0</v>
      </c>
      <c r="F85" s="98" t="s">
        <v>274</v>
      </c>
      <c r="G85" s="125"/>
      <c r="I85" s="101">
        <v>71.0</v>
      </c>
      <c r="J85" s="111" t="s">
        <v>179</v>
      </c>
      <c r="K85" s="125"/>
      <c r="M85" s="59" t="str">
        <f>IFERROR(__xludf.DUMMYFUNCTION("""COMPUTED_VALUE"""),"Polaris Integrated Industries, Inc.")</f>
        <v>Polaris Integrated Industries, Inc.</v>
      </c>
      <c r="N85" s="4">
        <f>IFERROR(__xludf.DUMMYFUNCTION("""COMPUTED_VALUE"""),4.991666666666666)</f>
        <v>4.991666667</v>
      </c>
      <c r="O85" s="60">
        <f>IFERROR(__xludf.DUMMYFUNCTION("""COMPUTED_VALUE"""),44915.0)</f>
        <v>44915</v>
      </c>
      <c r="Q85" s="59" t="str">
        <f>IFERROR(__xludf.DUMMYFUNCTION("""COMPUTED_VALUE"""),"Creative Juice Digital Printing")</f>
        <v>Creative Juice Digital Printing</v>
      </c>
      <c r="R85" s="4">
        <f>IFERROR(__xludf.DUMMYFUNCTION("""COMPUTED_VALUE"""),4.0)</f>
        <v>4</v>
      </c>
      <c r="S85" s="60">
        <f>IFERROR(__xludf.DUMMYFUNCTION("""COMPUTED_VALUE"""),45248.0)</f>
        <v>45248</v>
      </c>
      <c r="U85" s="59" t="str">
        <f>IFERROR(__xludf.DUMMYFUNCTION("""COMPUTED_VALUE"""),"Microsmith Technology System,Inc.")</f>
        <v>Microsmith Technology System,Inc.</v>
      </c>
      <c r="V85" s="4">
        <f>IFERROR(__xludf.DUMMYFUNCTION("""COMPUTED_VALUE"""),4.833333333333333)</f>
        <v>4.833333333</v>
      </c>
      <c r="W85" s="60">
        <f>IFERROR(__xludf.DUMMYFUNCTION("""COMPUTED_VALUE"""),45562.0)</f>
        <v>45562</v>
      </c>
      <c r="Z85" s="4"/>
      <c r="AC85" s="4"/>
      <c r="AF85" s="4"/>
    </row>
    <row r="86">
      <c r="A86" s="175" t="s">
        <v>440</v>
      </c>
      <c r="B86" s="54"/>
      <c r="C86" s="89">
        <f>average(C87)</f>
        <v>4.833333333</v>
      </c>
      <c r="E86" s="176">
        <v>71.0</v>
      </c>
      <c r="F86" s="98" t="s">
        <v>420</v>
      </c>
      <c r="G86" s="2"/>
      <c r="I86" s="101">
        <v>72.0</v>
      </c>
      <c r="J86" s="111" t="s">
        <v>174</v>
      </c>
      <c r="K86" s="2"/>
      <c r="M86" s="59" t="str">
        <f>IFERROR(__xludf.DUMMYFUNCTION("""COMPUTED_VALUE"""),"Polaris Prime Air Tech Corporation")</f>
        <v>Polaris Prime Air Tech Corporation</v>
      </c>
      <c r="N86" s="4">
        <f>IFERROR(__xludf.DUMMYFUNCTION("""COMPUTED_VALUE"""),5.0)</f>
        <v>5</v>
      </c>
      <c r="O86" s="60">
        <f>IFERROR(__xludf.DUMMYFUNCTION("""COMPUTED_VALUE"""),44915.0)</f>
        <v>44915</v>
      </c>
      <c r="Q86" s="59" t="str">
        <f>IFERROR(__xludf.DUMMYFUNCTION("""COMPUTED_VALUE"""),"Printing Shop PrintPilipinas.com")</f>
        <v>Printing Shop PrintPilipinas.com</v>
      </c>
      <c r="R86" s="4">
        <f>IFERROR(__xludf.DUMMYFUNCTION("""COMPUTED_VALUE"""),4.93)</f>
        <v>4.93</v>
      </c>
      <c r="S86" s="60">
        <f>IFERROR(__xludf.DUMMYFUNCTION("""COMPUTED_VALUE"""),45248.0)</f>
        <v>45248</v>
      </c>
      <c r="U86" s="59" t="str">
        <f>IFERROR(__xludf.DUMMYFUNCTION("""COMPUTED_VALUE"""),"Contrade Integrated Depot")</f>
        <v>Contrade Integrated Depot</v>
      </c>
      <c r="V86" s="4">
        <f>IFERROR(__xludf.DUMMYFUNCTION("""COMPUTED_VALUE"""),4.833333333333333)</f>
        <v>4.833333333</v>
      </c>
      <c r="W86" s="60">
        <f>IFERROR(__xludf.DUMMYFUNCTION("""COMPUTED_VALUE"""),45562.0)</f>
        <v>45562</v>
      </c>
      <c r="Z86" s="4"/>
      <c r="AC86" s="4"/>
      <c r="AF86" s="4"/>
    </row>
    <row r="87">
      <c r="A87" s="177">
        <v>70.0</v>
      </c>
      <c r="B87" s="174" t="s">
        <v>454</v>
      </c>
      <c r="C87" s="4">
        <v>4.833333333333333</v>
      </c>
      <c r="E87" s="178">
        <v>72.0</v>
      </c>
      <c r="F87" s="47" t="s">
        <v>428</v>
      </c>
      <c r="G87" s="2"/>
      <c r="I87" s="101">
        <v>73.0</v>
      </c>
      <c r="J87" s="102" t="s">
        <v>457</v>
      </c>
      <c r="K87" s="2"/>
      <c r="M87" s="59" t="str">
        <f>IFERROR(__xludf.DUMMYFUNCTION("""COMPUTED_VALUE"""),"Rivchem Enterprises")</f>
        <v>Rivchem Enterprises</v>
      </c>
      <c r="N87" s="4">
        <f>IFERROR(__xludf.DUMMYFUNCTION("""COMPUTED_VALUE"""),5.0)</f>
        <v>5</v>
      </c>
      <c r="O87" s="60">
        <f>IFERROR(__xludf.DUMMYFUNCTION("""COMPUTED_VALUE"""),44915.0)</f>
        <v>44915</v>
      </c>
      <c r="Q87" s="59" t="str">
        <f>IFERROR(__xludf.DUMMYFUNCTION("""COMPUTED_VALUE"""),"Rivchem Enterprises")</f>
        <v>Rivchem Enterprises</v>
      </c>
      <c r="R87" s="4">
        <f>IFERROR(__xludf.DUMMYFUNCTION("""COMPUTED_VALUE"""),4.333333333333333)</f>
        <v>4.333333333</v>
      </c>
      <c r="S87" s="60">
        <f>IFERROR(__xludf.DUMMYFUNCTION("""COMPUTED_VALUE"""),45252.0)</f>
        <v>45252</v>
      </c>
      <c r="U87" s="59" t="str">
        <f>IFERROR(__xludf.DUMMYFUNCTION("""COMPUTED_VALUE"""),"Litera Trading Inc.")</f>
        <v>Litera Trading Inc.</v>
      </c>
      <c r="V87" s="4">
        <f>IFERROR(__xludf.DUMMYFUNCTION("""COMPUTED_VALUE"""),4.833333333333333)</f>
        <v>4.833333333</v>
      </c>
      <c r="W87" s="60">
        <f>IFERROR(__xludf.DUMMYFUNCTION("""COMPUTED_VALUE"""),45565.0)</f>
        <v>45565</v>
      </c>
      <c r="Z87" s="4"/>
      <c r="AC87" s="4"/>
      <c r="AF87" s="4"/>
    </row>
    <row r="88">
      <c r="A88" s="179"/>
      <c r="B88" s="180"/>
      <c r="C88" s="2"/>
      <c r="E88" s="181"/>
      <c r="F88" s="181"/>
      <c r="G88" s="2"/>
      <c r="I88" s="182">
        <v>74.0</v>
      </c>
      <c r="J88" s="98" t="s">
        <v>463</v>
      </c>
      <c r="K88" s="2"/>
      <c r="M88" s="59" t="str">
        <f>IFERROR(__xludf.DUMMYFUNCTION("""COMPUTED_VALUE"""),"Sert Technology Inc.")</f>
        <v>Sert Technology Inc.</v>
      </c>
      <c r="N88" s="4">
        <f>IFERROR(__xludf.DUMMYFUNCTION("""COMPUTED_VALUE"""),5.0)</f>
        <v>5</v>
      </c>
      <c r="O88" s="60">
        <f>IFERROR(__xludf.DUMMYFUNCTION("""COMPUTED_VALUE"""),44915.0)</f>
        <v>44915</v>
      </c>
      <c r="Q88" s="59" t="str">
        <f>IFERROR(__xludf.DUMMYFUNCTION("""COMPUTED_VALUE"""),"Data Computer Forms, Inc.")</f>
        <v>Data Computer Forms, Inc.</v>
      </c>
      <c r="R88" s="4">
        <f>IFERROR(__xludf.DUMMYFUNCTION("""COMPUTED_VALUE"""),4.0)</f>
        <v>4</v>
      </c>
      <c r="S88" s="60">
        <f>IFERROR(__xludf.DUMMYFUNCTION("""COMPUTED_VALUE"""),45254.0)</f>
        <v>45254</v>
      </c>
      <c r="U88" s="59" t="str">
        <f>IFERROR(__xludf.DUMMYFUNCTION("""COMPUTED_VALUE"""),"Alpha Steel Office and Home Furnishing Company")</f>
        <v>Alpha Steel Office and Home Furnishing Company</v>
      </c>
      <c r="V88" s="4">
        <f>IFERROR(__xludf.DUMMYFUNCTION("""COMPUTED_VALUE"""),4.833333333333333)</f>
        <v>4.833333333</v>
      </c>
      <c r="W88" s="60">
        <f>IFERROR(__xludf.DUMMYFUNCTION("""COMPUTED_VALUE"""),45566.0)</f>
        <v>45566</v>
      </c>
      <c r="Z88" s="4"/>
      <c r="AC88" s="4"/>
      <c r="AF88" s="4"/>
    </row>
    <row r="89">
      <c r="A89" s="179"/>
      <c r="B89" s="180"/>
      <c r="C89" s="128"/>
      <c r="E89" s="181"/>
      <c r="F89" s="181"/>
      <c r="G89" s="128"/>
      <c r="I89" s="182">
        <v>75.0</v>
      </c>
      <c r="J89" s="98" t="s">
        <v>172</v>
      </c>
      <c r="K89" s="128"/>
      <c r="M89" s="59" t="str">
        <f>IFERROR(__xludf.DUMMYFUNCTION("""COMPUTED_VALUE"""),"Tropical Palms Fashion House, Inc.")</f>
        <v>Tropical Palms Fashion House, Inc.</v>
      </c>
      <c r="N89" s="4">
        <f>IFERROR(__xludf.DUMMYFUNCTION("""COMPUTED_VALUE"""),5.0)</f>
        <v>5</v>
      </c>
      <c r="O89" s="60">
        <f>IFERROR(__xludf.DUMMYFUNCTION("""COMPUTED_VALUE"""),44915.0)</f>
        <v>44915</v>
      </c>
      <c r="Q89" s="59" t="str">
        <f>IFERROR(__xludf.DUMMYFUNCTION("""COMPUTED_VALUE"""),"Contrade Integrated Depot")</f>
        <v>Contrade Integrated Depot</v>
      </c>
      <c r="R89" s="4">
        <f>IFERROR(__xludf.DUMMYFUNCTION("""COMPUTED_VALUE"""),4.83)</f>
        <v>4.83</v>
      </c>
      <c r="S89" s="60">
        <f>IFERROR(__xludf.DUMMYFUNCTION("""COMPUTED_VALUE"""),45255.0)</f>
        <v>45255</v>
      </c>
      <c r="U89" s="59" t="str">
        <f>IFERROR(__xludf.DUMMYFUNCTION("""COMPUTED_VALUE"""),"Primeline Products Philippines, Inc.")</f>
        <v>Primeline Products Philippines, Inc.</v>
      </c>
      <c r="V89" s="4">
        <f>IFERROR(__xludf.DUMMYFUNCTION("""COMPUTED_VALUE"""),4.666666666666667)</f>
        <v>4.666666667</v>
      </c>
      <c r="W89" s="60">
        <f>IFERROR(__xludf.DUMMYFUNCTION("""COMPUTED_VALUE"""),45566.0)</f>
        <v>45566</v>
      </c>
      <c r="Z89" s="4"/>
      <c r="AC89" s="4"/>
      <c r="AF89" s="4"/>
    </row>
    <row r="90">
      <c r="A90" s="179"/>
      <c r="B90" s="180"/>
      <c r="C90" s="2"/>
      <c r="E90" s="181"/>
      <c r="F90" s="181"/>
      <c r="G90" s="2"/>
      <c r="I90" s="83" t="s">
        <v>184</v>
      </c>
      <c r="J90" s="85"/>
      <c r="K90" s="55">
        <f>average(K91:K97)</f>
        <v>4.733333333</v>
      </c>
      <c r="M90" s="59" t="str">
        <f>IFERROR(__xludf.DUMMYFUNCTION("""COMPUTED_VALUE"""),"Tropical Palms Fashion House, Inc.")</f>
        <v>Tropical Palms Fashion House, Inc.</v>
      </c>
      <c r="N90" s="4">
        <f>IFERROR(__xludf.DUMMYFUNCTION("""COMPUTED_VALUE"""),5.0)</f>
        <v>5</v>
      </c>
      <c r="O90" s="60">
        <f>IFERROR(__xludf.DUMMYFUNCTION("""COMPUTED_VALUE"""),44915.0)</f>
        <v>44915</v>
      </c>
      <c r="Q90" s="59" t="str">
        <f>IFERROR(__xludf.DUMMYFUNCTION("""COMPUTED_VALUE"""),"Contrade Integrated Depot")</f>
        <v>Contrade Integrated Depot</v>
      </c>
      <c r="R90" s="4">
        <f>IFERROR(__xludf.DUMMYFUNCTION("""COMPUTED_VALUE"""),4.83)</f>
        <v>4.83</v>
      </c>
      <c r="S90" s="60">
        <f>IFERROR(__xludf.DUMMYFUNCTION("""COMPUTED_VALUE"""),45255.0)</f>
        <v>45255</v>
      </c>
      <c r="U90" s="59" t="str">
        <f>IFERROR(__xludf.DUMMYFUNCTION("""COMPUTED_VALUE"""),"Leonard Prints Inc.")</f>
        <v>Leonard Prints Inc.</v>
      </c>
      <c r="V90" s="4">
        <f>IFERROR(__xludf.DUMMYFUNCTION("""COMPUTED_VALUE"""),4.508333333333333)</f>
        <v>4.508333333</v>
      </c>
      <c r="W90" s="60">
        <f>IFERROR(__xludf.DUMMYFUNCTION("""COMPUTED_VALUE"""),45568.0)</f>
        <v>45568</v>
      </c>
      <c r="Z90" s="4"/>
      <c r="AC90" s="4"/>
      <c r="AF90" s="4"/>
    </row>
    <row r="91">
      <c r="A91" s="179"/>
      <c r="B91" s="180"/>
      <c r="C91" s="2"/>
      <c r="E91" s="181"/>
      <c r="F91" s="181"/>
      <c r="G91" s="2"/>
      <c r="I91" s="101">
        <v>76.0</v>
      </c>
      <c r="J91" s="111" t="s">
        <v>193</v>
      </c>
      <c r="K91" s="4">
        <v>5.0</v>
      </c>
      <c r="M91" s="59" t="str">
        <f>IFERROR(__xludf.DUMMYFUNCTION("""COMPUTED_VALUE"""),"Falcon Waterfree Philippines, Inc.")</f>
        <v>Falcon Waterfree Philippines, Inc.</v>
      </c>
      <c r="N91" s="4">
        <f>IFERROR(__xludf.DUMMYFUNCTION("""COMPUTED_VALUE"""),5.0)</f>
        <v>5</v>
      </c>
      <c r="O91" s="60">
        <f>IFERROR(__xludf.DUMMYFUNCTION("""COMPUTED_VALUE"""),44922.0)</f>
        <v>44922</v>
      </c>
      <c r="Q91" s="59" t="str">
        <f>IFERROR(__xludf.DUMMYFUNCTION("""COMPUTED_VALUE"""),"Contrade Integrated Depot")</f>
        <v>Contrade Integrated Depot</v>
      </c>
      <c r="R91" s="4">
        <f>IFERROR(__xludf.DUMMYFUNCTION("""COMPUTED_VALUE"""),4.83)</f>
        <v>4.83</v>
      </c>
      <c r="S91" s="60">
        <f>IFERROR(__xludf.DUMMYFUNCTION("""COMPUTED_VALUE"""),45255.0)</f>
        <v>45255</v>
      </c>
      <c r="U91" s="59" t="str">
        <f>IFERROR(__xludf.DUMMYFUNCTION("""COMPUTED_VALUE"""),"Contrade Integrated Depot")</f>
        <v>Contrade Integrated Depot</v>
      </c>
      <c r="V91" s="4">
        <f>IFERROR(__xludf.DUMMYFUNCTION("""COMPUTED_VALUE"""),4.833333333333333)</f>
        <v>4.833333333</v>
      </c>
      <c r="W91" s="60">
        <f>IFERROR(__xludf.DUMMYFUNCTION("""COMPUTED_VALUE"""),45568.0)</f>
        <v>45568</v>
      </c>
      <c r="Z91" s="4"/>
      <c r="AC91" s="4"/>
      <c r="AF91" s="4"/>
    </row>
    <row r="92">
      <c r="A92" s="179"/>
      <c r="B92" s="180"/>
      <c r="C92" s="2"/>
      <c r="E92" s="181"/>
      <c r="F92" s="181"/>
      <c r="G92" s="2"/>
      <c r="I92" s="101">
        <v>77.0</v>
      </c>
      <c r="J92" s="111" t="s">
        <v>17</v>
      </c>
      <c r="K92" s="4">
        <v>4.766666666666667</v>
      </c>
      <c r="M92" s="59" t="str">
        <f>IFERROR(__xludf.DUMMYFUNCTION("""COMPUTED_VALUE"""),"Creative Juice Digital Printing")</f>
        <v>Creative Juice Digital Printing</v>
      </c>
      <c r="N92" s="4">
        <f>IFERROR(__xludf.DUMMYFUNCTION("""COMPUTED_VALUE"""),5.0)</f>
        <v>5</v>
      </c>
      <c r="O92" s="60">
        <f>IFERROR(__xludf.DUMMYFUNCTION("""COMPUTED_VALUE"""),44949.0)</f>
        <v>44949</v>
      </c>
      <c r="Q92" s="59" t="str">
        <f>IFERROR(__xludf.DUMMYFUNCTION("""COMPUTED_VALUE"""),"Polaris Prime Air Tech Corporation")</f>
        <v>Polaris Prime Air Tech Corporation</v>
      </c>
      <c r="R92" s="4">
        <f>IFERROR(__xludf.DUMMYFUNCTION("""COMPUTED_VALUE"""),5.0)</f>
        <v>5</v>
      </c>
      <c r="S92" s="60">
        <f>IFERROR(__xludf.DUMMYFUNCTION("""COMPUTED_VALUE"""),45257.0)</f>
        <v>45257</v>
      </c>
      <c r="U92" s="59" t="str">
        <f>IFERROR(__xludf.DUMMYFUNCTION("""COMPUTED_VALUE"""),"Rivchem Enterprises")</f>
        <v>Rivchem Enterprises</v>
      </c>
      <c r="V92" s="4">
        <f>IFERROR(__xludf.DUMMYFUNCTION("""COMPUTED_VALUE"""),4.791666666666667)</f>
        <v>4.791666667</v>
      </c>
      <c r="W92" s="60">
        <f>IFERROR(__xludf.DUMMYFUNCTION("""COMPUTED_VALUE"""),45568.0)</f>
        <v>45568</v>
      </c>
      <c r="Z92" s="4"/>
      <c r="AC92" s="4"/>
      <c r="AF92" s="4"/>
    </row>
    <row r="93">
      <c r="A93" s="179"/>
      <c r="B93" s="180"/>
      <c r="C93" s="2"/>
      <c r="E93" s="181"/>
      <c r="F93" s="181"/>
      <c r="G93" s="2"/>
      <c r="I93" s="101">
        <v>78.0</v>
      </c>
      <c r="J93" s="111" t="s">
        <v>209</v>
      </c>
      <c r="K93" s="4">
        <v>4.5</v>
      </c>
      <c r="M93" s="59" t="str">
        <f>IFERROR(__xludf.DUMMYFUNCTION("""COMPUTED_VALUE"""),"Alpha-Cored Technology Systems, Inc.")</f>
        <v>Alpha-Cored Technology Systems, Inc.</v>
      </c>
      <c r="N93" s="4">
        <f>IFERROR(__xludf.DUMMYFUNCTION("""COMPUTED_VALUE"""),5.0)</f>
        <v>5</v>
      </c>
      <c r="O93" s="60">
        <f>IFERROR(__xludf.DUMMYFUNCTION("""COMPUTED_VALUE"""),44950.0)</f>
        <v>44950</v>
      </c>
      <c r="Q93" s="59" t="str">
        <f>IFERROR(__xludf.DUMMYFUNCTION("""COMPUTED_VALUE"""),"Goldlink Indsutrial Sales")</f>
        <v>Goldlink Indsutrial Sales</v>
      </c>
      <c r="R93" s="4">
        <f>IFERROR(__xludf.DUMMYFUNCTION("""COMPUTED_VALUE"""),4.333333333333333)</f>
        <v>4.333333333</v>
      </c>
      <c r="S93" s="60">
        <f>IFERROR(__xludf.DUMMYFUNCTION("""COMPUTED_VALUE"""),45258.0)</f>
        <v>45258</v>
      </c>
      <c r="U93" s="59" t="str">
        <f>IFERROR(__xludf.DUMMYFUNCTION("""COMPUTED_VALUE"""),"Northwind Communications and Electronics")</f>
        <v>Northwind Communications and Electronics</v>
      </c>
      <c r="V93" s="4">
        <f>IFERROR(__xludf.DUMMYFUNCTION("""COMPUTED_VALUE"""),4.375)</f>
        <v>4.375</v>
      </c>
      <c r="W93" s="60">
        <f>IFERROR(__xludf.DUMMYFUNCTION("""COMPUTED_VALUE"""),45569.0)</f>
        <v>45569</v>
      </c>
      <c r="Z93" s="4"/>
      <c r="AC93" s="4"/>
      <c r="AF93" s="4"/>
    </row>
    <row r="94">
      <c r="A94" s="179"/>
      <c r="B94" s="180"/>
      <c r="C94" s="2"/>
      <c r="E94" s="181"/>
      <c r="F94" s="181"/>
      <c r="G94" s="2"/>
      <c r="I94" s="101">
        <v>79.0</v>
      </c>
      <c r="J94" s="111" t="s">
        <v>214</v>
      </c>
      <c r="K94" s="2"/>
      <c r="M94" s="59" t="str">
        <f>IFERROR(__xludf.DUMMYFUNCTION("""COMPUTED_VALUE"""),"Columbia Technologies, Inc.")</f>
        <v>Columbia Technologies, Inc.</v>
      </c>
      <c r="N94" s="4">
        <f>IFERROR(__xludf.DUMMYFUNCTION("""COMPUTED_VALUE"""),5.0)</f>
        <v>5</v>
      </c>
      <c r="O94" s="60">
        <f>IFERROR(__xludf.DUMMYFUNCTION("""COMPUTED_VALUE"""),44950.0)</f>
        <v>44950</v>
      </c>
      <c r="Q94" s="59" t="str">
        <f>IFERROR(__xludf.DUMMYFUNCTION("""COMPUTED_VALUE"""),"Abacus Book &amp; Card Corp.")</f>
        <v>Abacus Book &amp; Card Corp.</v>
      </c>
      <c r="R94" s="4">
        <f>IFERROR(__xludf.DUMMYFUNCTION("""COMPUTED_VALUE"""),5.0)</f>
        <v>5</v>
      </c>
      <c r="S94" s="60">
        <f>IFERROR(__xludf.DUMMYFUNCTION("""COMPUTED_VALUE"""),45259.0)</f>
        <v>45259</v>
      </c>
      <c r="U94" s="59" t="str">
        <f>IFERROR(__xludf.DUMMYFUNCTION("""COMPUTED_VALUE"""),"Philippine Chinese Education Research Center Inc.")</f>
        <v>Philippine Chinese Education Research Center Inc.</v>
      </c>
      <c r="V94" s="4">
        <f>IFERROR(__xludf.DUMMYFUNCTION("""COMPUTED_VALUE"""),4.166666666666667)</f>
        <v>4.166666667</v>
      </c>
      <c r="W94" s="60">
        <f>IFERROR(__xludf.DUMMYFUNCTION("""COMPUTED_VALUE"""),45570.0)</f>
        <v>45570</v>
      </c>
      <c r="Z94" s="4"/>
      <c r="AC94" s="4"/>
      <c r="AF94" s="4"/>
    </row>
    <row r="95">
      <c r="A95" s="179"/>
      <c r="B95" s="180"/>
      <c r="C95" s="2"/>
      <c r="E95" s="181"/>
      <c r="F95" s="181"/>
      <c r="G95" s="2"/>
      <c r="I95" s="101">
        <v>80.0</v>
      </c>
      <c r="J95" s="111" t="s">
        <v>495</v>
      </c>
      <c r="K95" s="2"/>
      <c r="M95" s="59" t="str">
        <f>IFERROR(__xludf.DUMMYFUNCTION("""COMPUTED_VALUE"""),"Creative Juice Digital Printing")</f>
        <v>Creative Juice Digital Printing</v>
      </c>
      <c r="N95" s="4">
        <f>IFERROR(__xludf.DUMMYFUNCTION("""COMPUTED_VALUE"""),4.625)</f>
        <v>4.625</v>
      </c>
      <c r="O95" s="60">
        <f>IFERROR(__xludf.DUMMYFUNCTION("""COMPUTED_VALUE"""),44950.0)</f>
        <v>44950</v>
      </c>
      <c r="Q95" s="59" t="str">
        <f>IFERROR(__xludf.DUMMYFUNCTION("""COMPUTED_VALUE"""),"Mostaco Printing")</f>
        <v>Mostaco Printing</v>
      </c>
      <c r="R95" s="4">
        <f>IFERROR(__xludf.DUMMYFUNCTION("""COMPUTED_VALUE"""),5.0)</f>
        <v>5</v>
      </c>
      <c r="S95" s="60">
        <f>IFERROR(__xludf.DUMMYFUNCTION("""COMPUTED_VALUE"""),45259.0)</f>
        <v>45259</v>
      </c>
      <c r="U95" s="59" t="str">
        <f>IFERROR(__xludf.DUMMYFUNCTION("""COMPUTED_VALUE"""),"Printing Shop PrintPilipinas.com")</f>
        <v>Printing Shop PrintPilipinas.com</v>
      </c>
      <c r="V95" s="4">
        <f>IFERROR(__xludf.DUMMYFUNCTION("""COMPUTED_VALUE"""),4.833333333333333)</f>
        <v>4.833333333</v>
      </c>
      <c r="W95" s="60">
        <f>IFERROR(__xludf.DUMMYFUNCTION("""COMPUTED_VALUE"""),45572.0)</f>
        <v>45572</v>
      </c>
      <c r="Z95" s="4"/>
      <c r="AC95" s="4"/>
      <c r="AF95" s="4"/>
    </row>
    <row r="96">
      <c r="A96" s="179"/>
      <c r="B96" s="180"/>
      <c r="C96" s="128"/>
      <c r="E96" s="181"/>
      <c r="F96" s="181"/>
      <c r="G96" s="128"/>
      <c r="I96" s="101">
        <v>81.0</v>
      </c>
      <c r="J96" s="111" t="s">
        <v>240</v>
      </c>
      <c r="K96" s="128"/>
      <c r="M96" s="59" t="str">
        <f>IFERROR(__xludf.DUMMYFUNCTION("""COMPUTED_VALUE"""),"Creative Juice Digital Printing")</f>
        <v>Creative Juice Digital Printing</v>
      </c>
      <c r="N96" s="4">
        <f>IFERROR(__xludf.DUMMYFUNCTION("""COMPUTED_VALUE"""),4.625)</f>
        <v>4.625</v>
      </c>
      <c r="O96" s="60">
        <f>IFERROR(__xludf.DUMMYFUNCTION("""COMPUTED_VALUE"""),44950.0)</f>
        <v>44950</v>
      </c>
      <c r="Q96" s="59" t="str">
        <f>IFERROR(__xludf.DUMMYFUNCTION("""COMPUTED_VALUE"""),"Printing Shop PrintPilipinas.com")</f>
        <v>Printing Shop PrintPilipinas.com</v>
      </c>
      <c r="R96" s="4">
        <f>IFERROR(__xludf.DUMMYFUNCTION("""COMPUTED_VALUE"""),4.746666666666667)</f>
        <v>4.746666667</v>
      </c>
      <c r="S96" s="60">
        <f>IFERROR(__xludf.DUMMYFUNCTION("""COMPUTED_VALUE"""),45259.0)</f>
        <v>45259</v>
      </c>
      <c r="U96" s="59" t="str">
        <f>IFERROR(__xludf.DUMMYFUNCTION("""COMPUTED_VALUE"""),"Printing Shop PrintPilipinas.com")</f>
        <v>Printing Shop PrintPilipinas.com</v>
      </c>
      <c r="V96" s="4">
        <f>IFERROR(__xludf.DUMMYFUNCTION("""COMPUTED_VALUE"""),4.666666666666667)</f>
        <v>4.666666667</v>
      </c>
      <c r="W96" s="60">
        <f>IFERROR(__xludf.DUMMYFUNCTION("""COMPUTED_VALUE"""),45572.0)</f>
        <v>45572</v>
      </c>
      <c r="Z96" s="4"/>
      <c r="AC96" s="4"/>
      <c r="AF96" s="4"/>
    </row>
    <row r="97">
      <c r="A97" s="183"/>
      <c r="B97" s="180"/>
      <c r="C97" s="125"/>
      <c r="E97" s="181"/>
      <c r="F97" s="181"/>
      <c r="G97" s="125"/>
      <c r="I97" s="101">
        <v>82.0</v>
      </c>
      <c r="J97" s="111" t="s">
        <v>508</v>
      </c>
      <c r="K97" s="4">
        <v>4.666666666666667</v>
      </c>
      <c r="M97" s="59" t="str">
        <f>IFERROR(__xludf.DUMMYFUNCTION("""COMPUTED_VALUE"""),"Creative Juice Digital Printing")</f>
        <v>Creative Juice Digital Printing</v>
      </c>
      <c r="N97" s="4">
        <f>IFERROR(__xludf.DUMMYFUNCTION("""COMPUTED_VALUE"""),4.625)</f>
        <v>4.625</v>
      </c>
      <c r="O97" s="60">
        <f>IFERROR(__xludf.DUMMYFUNCTION("""COMPUTED_VALUE"""),44950.0)</f>
        <v>44950</v>
      </c>
      <c r="Q97" s="59" t="str">
        <f>IFERROR(__xludf.DUMMYFUNCTION("""COMPUTED_VALUE"""),"Chemtrust Global Market, Inc.")</f>
        <v>Chemtrust Global Market, Inc.</v>
      </c>
      <c r="R97" s="4">
        <f>IFERROR(__xludf.DUMMYFUNCTION("""COMPUTED_VALUE"""),4.516666666666667)</f>
        <v>4.516666667</v>
      </c>
      <c r="S97" s="60">
        <f>IFERROR(__xludf.DUMMYFUNCTION("""COMPUTED_VALUE"""),45260.0)</f>
        <v>45260</v>
      </c>
      <c r="U97" s="59" t="str">
        <f>IFERROR(__xludf.DUMMYFUNCTION("""COMPUTED_VALUE"""),"Printing Shop PrintPilipinas.com")</f>
        <v>Printing Shop PrintPilipinas.com</v>
      </c>
      <c r="V97" s="4">
        <f>IFERROR(__xludf.DUMMYFUNCTION("""COMPUTED_VALUE"""),4.825)</f>
        <v>4.825</v>
      </c>
      <c r="W97" s="60">
        <f>IFERROR(__xludf.DUMMYFUNCTION("""COMPUTED_VALUE"""),45572.0)</f>
        <v>45572</v>
      </c>
      <c r="Z97" s="4"/>
      <c r="AC97" s="4"/>
      <c r="AF97" s="4"/>
    </row>
    <row r="98">
      <c r="A98" s="179"/>
      <c r="B98" s="180"/>
      <c r="C98" s="2"/>
      <c r="E98" s="181"/>
      <c r="F98" s="181"/>
      <c r="G98" s="2"/>
      <c r="I98" s="83" t="s">
        <v>248</v>
      </c>
      <c r="J98" s="85"/>
      <c r="K98" s="55">
        <f>average(K99:K102)</f>
        <v>4.383333333</v>
      </c>
      <c r="M98" s="59" t="str">
        <f>IFERROR(__xludf.DUMMYFUNCTION("""COMPUTED_VALUE"""),"Creative Juice Digital Printing")</f>
        <v>Creative Juice Digital Printing</v>
      </c>
      <c r="N98" s="4">
        <f>IFERROR(__xludf.DUMMYFUNCTION("""COMPUTED_VALUE"""),4.625)</f>
        <v>4.625</v>
      </c>
      <c r="O98" s="60">
        <f>IFERROR(__xludf.DUMMYFUNCTION("""COMPUTED_VALUE"""),44950.0)</f>
        <v>44950</v>
      </c>
      <c r="Q98" s="59" t="str">
        <f>IFERROR(__xludf.DUMMYFUNCTION("""COMPUTED_VALUE"""),"Rivchem Enterprises")</f>
        <v>Rivchem Enterprises</v>
      </c>
      <c r="R98" s="4">
        <f>IFERROR(__xludf.DUMMYFUNCTION("""COMPUTED_VALUE"""),4.333333333333333)</f>
        <v>4.333333333</v>
      </c>
      <c r="S98" s="60">
        <f>IFERROR(__xludf.DUMMYFUNCTION("""COMPUTED_VALUE"""),45260.0)</f>
        <v>45260</v>
      </c>
      <c r="U98" s="59" t="str">
        <f>IFERROR(__xludf.DUMMYFUNCTION("""COMPUTED_VALUE"""),"Net Ad IT Solutions")</f>
        <v>Net Ad IT Solutions</v>
      </c>
      <c r="V98" s="4">
        <f>IFERROR(__xludf.DUMMYFUNCTION("""COMPUTED_VALUE"""),4.833333333333333)</f>
        <v>4.833333333</v>
      </c>
      <c r="W98" s="60">
        <f>IFERROR(__xludf.DUMMYFUNCTION("""COMPUTED_VALUE"""),45573.0)</f>
        <v>45573</v>
      </c>
      <c r="Z98" s="4"/>
      <c r="AC98" s="4"/>
      <c r="AF98" s="4"/>
    </row>
    <row r="99">
      <c r="A99" s="179"/>
      <c r="B99" s="180"/>
      <c r="C99" s="2"/>
      <c r="E99" s="181"/>
      <c r="F99" s="181"/>
      <c r="G99" s="2"/>
      <c r="I99" s="101">
        <v>83.0</v>
      </c>
      <c r="J99" s="111" t="s">
        <v>258</v>
      </c>
      <c r="K99" s="2"/>
      <c r="M99" s="59" t="str">
        <f>IFERROR(__xludf.DUMMYFUNCTION("""COMPUTED_VALUE"""),"Creative Juice Digital Printing")</f>
        <v>Creative Juice Digital Printing</v>
      </c>
      <c r="N99" s="4">
        <f>IFERROR(__xludf.DUMMYFUNCTION("""COMPUTED_VALUE"""),4.625)</f>
        <v>4.625</v>
      </c>
      <c r="O99" s="60">
        <f>IFERROR(__xludf.DUMMYFUNCTION("""COMPUTED_VALUE"""),44950.0)</f>
        <v>44950</v>
      </c>
      <c r="Q99" s="59" t="str">
        <f>IFERROR(__xludf.DUMMYFUNCTION("""COMPUTED_VALUE"""),"Rivchem Enterprises")</f>
        <v>Rivchem Enterprises</v>
      </c>
      <c r="R99" s="4">
        <f>IFERROR(__xludf.DUMMYFUNCTION("""COMPUTED_VALUE"""),5.0)</f>
        <v>5</v>
      </c>
      <c r="S99" s="60">
        <f>IFERROR(__xludf.DUMMYFUNCTION("""COMPUTED_VALUE"""),45260.0)</f>
        <v>45260</v>
      </c>
      <c r="U99" s="59" t="str">
        <f>IFERROR(__xludf.DUMMYFUNCTION("""COMPUTED_VALUE"""),"Javammp Printing Services")</f>
        <v>Javammp Printing Services</v>
      </c>
      <c r="V99" s="4">
        <f>IFERROR(__xludf.DUMMYFUNCTION("""COMPUTED_VALUE"""),4.666666666666667)</f>
        <v>4.666666667</v>
      </c>
      <c r="W99" s="60">
        <f>IFERROR(__xludf.DUMMYFUNCTION("""COMPUTED_VALUE"""),45575.0)</f>
        <v>45575</v>
      </c>
      <c r="Z99" s="4"/>
      <c r="AC99" s="4"/>
      <c r="AF99" s="4"/>
    </row>
    <row r="100">
      <c r="A100" s="179"/>
      <c r="B100" s="180"/>
      <c r="C100" s="2"/>
      <c r="E100" s="181"/>
      <c r="F100" s="181"/>
      <c r="G100" s="2"/>
      <c r="I100" s="101">
        <v>84.0</v>
      </c>
      <c r="J100" s="111" t="s">
        <v>264</v>
      </c>
      <c r="K100" s="2"/>
      <c r="M100" s="59" t="str">
        <f>IFERROR(__xludf.DUMMYFUNCTION("""COMPUTED_VALUE"""),"Creative Juice Digital Printing")</f>
        <v>Creative Juice Digital Printing</v>
      </c>
      <c r="N100" s="4">
        <f>IFERROR(__xludf.DUMMYFUNCTION("""COMPUTED_VALUE"""),4.625)</f>
        <v>4.625</v>
      </c>
      <c r="O100" s="60">
        <f>IFERROR(__xludf.DUMMYFUNCTION("""COMPUTED_VALUE"""),44950.0)</f>
        <v>44950</v>
      </c>
      <c r="Q100" s="59" t="str">
        <f>IFERROR(__xludf.DUMMYFUNCTION("""COMPUTED_VALUE"""),"EA Intertrade General Merchandising, Inc.")</f>
        <v>EA Intertrade General Merchandising, Inc.</v>
      </c>
      <c r="R100" s="4">
        <f>IFERROR(__xludf.DUMMYFUNCTION("""COMPUTED_VALUE"""),5.0)</f>
        <v>5</v>
      </c>
      <c r="S100" s="60">
        <f>IFERROR(__xludf.DUMMYFUNCTION("""COMPUTED_VALUE"""),45260.0)</f>
        <v>45260</v>
      </c>
      <c r="U100" s="59" t="str">
        <f>IFERROR(__xludf.DUMMYFUNCTION("""COMPUTED_VALUE"""),"Abacus Book &amp; Card Corp.")</f>
        <v>Abacus Book &amp; Card Corp.</v>
      </c>
      <c r="V100" s="4">
        <f>IFERROR(__xludf.DUMMYFUNCTION("""COMPUTED_VALUE"""),4.666666666666667)</f>
        <v>4.666666667</v>
      </c>
      <c r="W100" s="60">
        <f>IFERROR(__xludf.DUMMYFUNCTION("""COMPUTED_VALUE"""),45575.0)</f>
        <v>45575</v>
      </c>
      <c r="Z100" s="4"/>
      <c r="AC100" s="4"/>
      <c r="AF100" s="4"/>
    </row>
    <row r="101">
      <c r="A101" s="179"/>
      <c r="B101" s="180"/>
      <c r="C101" s="2"/>
      <c r="E101" s="184"/>
      <c r="F101" s="181"/>
      <c r="G101" s="2"/>
      <c r="I101" s="101">
        <v>85.0</v>
      </c>
      <c r="J101" s="111" t="s">
        <v>273</v>
      </c>
      <c r="K101" s="4">
        <v>4.0</v>
      </c>
      <c r="M101" s="59" t="str">
        <f>IFERROR(__xludf.DUMMYFUNCTION("""COMPUTED_VALUE"""),"Luminaire Printing And Publishing Corp.")</f>
        <v>Luminaire Printing And Publishing Corp.</v>
      </c>
      <c r="N101" s="4">
        <f>IFERROR(__xludf.DUMMYFUNCTION("""COMPUTED_VALUE"""),5.0)</f>
        <v>5</v>
      </c>
      <c r="O101" s="60">
        <f>IFERROR(__xludf.DUMMYFUNCTION("""COMPUTED_VALUE"""),44950.0)</f>
        <v>44950</v>
      </c>
      <c r="Q101" s="59" t="str">
        <f>IFERROR(__xludf.DUMMYFUNCTION("""COMPUTED_VALUE"""),"Data Computer Forms, Inc.")</f>
        <v>Data Computer Forms, Inc.</v>
      </c>
      <c r="R101" s="4">
        <f>IFERROR(__xludf.DUMMYFUNCTION("""COMPUTED_VALUE"""),5.0)</f>
        <v>5</v>
      </c>
      <c r="S101" s="60">
        <f>IFERROR(__xludf.DUMMYFUNCTION("""COMPUTED_VALUE"""),45266.0)</f>
        <v>45266</v>
      </c>
      <c r="U101" s="59" t="str">
        <f>IFERROR(__xludf.DUMMYFUNCTION("""COMPUTED_VALUE"""),"Falcon Waterfree Philippines, Inc.")</f>
        <v>Falcon Waterfree Philippines, Inc.</v>
      </c>
      <c r="V101" s="4">
        <f>IFERROR(__xludf.DUMMYFUNCTION("""COMPUTED_VALUE"""),4.791666666666667)</f>
        <v>4.791666667</v>
      </c>
      <c r="W101" s="60">
        <f>IFERROR(__xludf.DUMMYFUNCTION("""COMPUTED_VALUE"""),45575.0)</f>
        <v>45575</v>
      </c>
      <c r="Z101" s="4"/>
      <c r="AC101" s="4"/>
      <c r="AF101" s="4"/>
    </row>
    <row r="102">
      <c r="A102" s="179"/>
      <c r="B102" s="180"/>
      <c r="C102" s="2"/>
      <c r="E102" s="181"/>
      <c r="F102" s="181"/>
      <c r="G102" s="2"/>
      <c r="I102" s="101">
        <v>86.0</v>
      </c>
      <c r="J102" s="111" t="s">
        <v>287</v>
      </c>
      <c r="K102" s="4">
        <v>4.766666666666667</v>
      </c>
      <c r="M102" s="59" t="str">
        <f>IFERROR(__xludf.DUMMYFUNCTION("""COMPUTED_VALUE"""),"Luminaire Printing And Publishing Corp.")</f>
        <v>Luminaire Printing And Publishing Corp.</v>
      </c>
      <c r="N102" s="4">
        <f>IFERROR(__xludf.DUMMYFUNCTION("""COMPUTED_VALUE"""),4.625)</f>
        <v>4.625</v>
      </c>
      <c r="O102" s="60">
        <f>IFERROR(__xludf.DUMMYFUNCTION("""COMPUTED_VALUE"""),44950.0)</f>
        <v>44950</v>
      </c>
      <c r="Q102" s="59" t="str">
        <f>IFERROR(__xludf.DUMMYFUNCTION("""COMPUTED_VALUE"""),"World Magazine Exchange Marketing Corp.")</f>
        <v>World Magazine Exchange Marketing Corp.</v>
      </c>
      <c r="R102" s="4">
        <f>IFERROR(__xludf.DUMMYFUNCTION("""COMPUTED_VALUE"""),4.733333333333333)</f>
        <v>4.733333333</v>
      </c>
      <c r="S102" s="60">
        <f>IFERROR(__xludf.DUMMYFUNCTION("""COMPUTED_VALUE"""),45267.0)</f>
        <v>45267</v>
      </c>
      <c r="U102" s="59" t="str">
        <f>IFERROR(__xludf.DUMMYFUNCTION("""COMPUTED_VALUE"""),"Alpha-Cored Technology Systems, Inc.")</f>
        <v>Alpha-Cored Technology Systems, Inc.</v>
      </c>
      <c r="V102" s="4">
        <f>IFERROR(__xludf.DUMMYFUNCTION("""COMPUTED_VALUE"""),4.833333333333333)</f>
        <v>4.833333333</v>
      </c>
      <c r="W102" s="60">
        <f>IFERROR(__xludf.DUMMYFUNCTION("""COMPUTED_VALUE"""),45576.0)</f>
        <v>45576</v>
      </c>
      <c r="Z102" s="4"/>
      <c r="AC102" s="4"/>
      <c r="AF102" s="4"/>
    </row>
    <row r="103">
      <c r="A103" s="179"/>
      <c r="B103" s="180"/>
      <c r="C103" s="2"/>
      <c r="E103" s="181"/>
      <c r="F103" s="181"/>
      <c r="G103" s="2"/>
      <c r="I103" s="83" t="s">
        <v>440</v>
      </c>
      <c r="J103" s="85"/>
      <c r="K103" s="55" t="str">
        <f>average(K104:K105)</f>
        <v>#DIV/0!</v>
      </c>
      <c r="M103" s="59" t="str">
        <f>IFERROR(__xludf.DUMMYFUNCTION("""COMPUTED_VALUE"""),"Microsmith Technology System,Inc.")</f>
        <v>Microsmith Technology System,Inc.</v>
      </c>
      <c r="N103" s="4">
        <f>IFERROR(__xludf.DUMMYFUNCTION("""COMPUTED_VALUE"""),5.0)</f>
        <v>5</v>
      </c>
      <c r="O103" s="60">
        <f>IFERROR(__xludf.DUMMYFUNCTION("""COMPUTED_VALUE"""),44950.0)</f>
        <v>44950</v>
      </c>
      <c r="Q103" s="59" t="str">
        <f>IFERROR(__xludf.DUMMYFUNCTION("""COMPUTED_VALUE"""),"Alpha-Cored Technology Systems, Inc.")</f>
        <v>Alpha-Cored Technology Systems, Inc.</v>
      </c>
      <c r="R103" s="4">
        <f>IFERROR(__xludf.DUMMYFUNCTION("""COMPUTED_VALUE"""),5.0)</f>
        <v>5</v>
      </c>
      <c r="S103" s="60">
        <f>IFERROR(__xludf.DUMMYFUNCTION("""COMPUTED_VALUE"""),45268.0)</f>
        <v>45268</v>
      </c>
      <c r="U103" s="59" t="str">
        <f>IFERROR(__xludf.DUMMYFUNCTION("""COMPUTED_VALUE"""),"Ma Espiritu Tiles Trading ")</f>
        <v>Ma Espiritu Tiles Trading </v>
      </c>
      <c r="V103" s="4">
        <f>IFERROR(__xludf.DUMMYFUNCTION("""COMPUTED_VALUE"""),4.691666666666666)</f>
        <v>4.691666667</v>
      </c>
      <c r="W103" s="60">
        <f>IFERROR(__xludf.DUMMYFUNCTION("""COMPUTED_VALUE"""),45576.0)</f>
        <v>45576</v>
      </c>
      <c r="Z103" s="4"/>
      <c r="AC103" s="4"/>
      <c r="AF103" s="4"/>
    </row>
    <row r="104">
      <c r="A104" s="179"/>
      <c r="B104" s="180"/>
      <c r="C104" s="2"/>
      <c r="E104" s="181"/>
      <c r="F104" s="181"/>
      <c r="G104" s="2"/>
      <c r="I104" s="101">
        <v>87.0</v>
      </c>
      <c r="J104" s="111" t="s">
        <v>454</v>
      </c>
      <c r="K104" s="2"/>
      <c r="M104" s="59" t="str">
        <f>IFERROR(__xludf.DUMMYFUNCTION("""COMPUTED_VALUE"""),"Microsmith Technology System,Inc.")</f>
        <v>Microsmith Technology System,Inc.</v>
      </c>
      <c r="N104" s="4">
        <f>IFERROR(__xludf.DUMMYFUNCTION("""COMPUTED_VALUE"""),5.0)</f>
        <v>5</v>
      </c>
      <c r="O104" s="60">
        <f>IFERROR(__xludf.DUMMYFUNCTION("""COMPUTED_VALUE"""),44950.0)</f>
        <v>44950</v>
      </c>
      <c r="Q104" s="59" t="str">
        <f>IFERROR(__xludf.DUMMYFUNCTION("""COMPUTED_VALUE"""),"Printing Shop PrintPilipinas.com")</f>
        <v>Printing Shop PrintPilipinas.com</v>
      </c>
      <c r="R104" s="4">
        <f>IFERROR(__xludf.DUMMYFUNCTION("""COMPUTED_VALUE"""),4.0)</f>
        <v>4</v>
      </c>
      <c r="S104" s="60">
        <f>IFERROR(__xludf.DUMMYFUNCTION("""COMPUTED_VALUE"""),45272.0)</f>
        <v>45272</v>
      </c>
      <c r="U104" s="59" t="str">
        <f>IFERROR(__xludf.DUMMYFUNCTION("""COMPUTED_VALUE"""),"Alpha-Cored Technology Systems, Inc.")</f>
        <v>Alpha-Cored Technology Systems, Inc.</v>
      </c>
      <c r="V104" s="4">
        <f>IFERROR(__xludf.DUMMYFUNCTION("""COMPUTED_VALUE"""),4.833333333333333)</f>
        <v>4.833333333</v>
      </c>
      <c r="W104" s="60">
        <f>IFERROR(__xludf.DUMMYFUNCTION("""COMPUTED_VALUE"""),45576.0)</f>
        <v>45576</v>
      </c>
      <c r="Z104" s="4"/>
      <c r="AC104" s="4"/>
      <c r="AF104" s="4"/>
    </row>
    <row r="105">
      <c r="A105" s="179"/>
      <c r="B105" s="180"/>
      <c r="C105" s="2"/>
      <c r="E105" s="181"/>
      <c r="F105" s="181"/>
      <c r="G105" s="2"/>
      <c r="I105" s="101">
        <v>88.0</v>
      </c>
      <c r="J105" s="111" t="s">
        <v>542</v>
      </c>
      <c r="K105" s="2"/>
      <c r="M105" s="59" t="str">
        <f>IFERROR(__xludf.DUMMYFUNCTION("""COMPUTED_VALUE"""),"Atlas Superflags")</f>
        <v>Atlas Superflags</v>
      </c>
      <c r="N105" s="4">
        <f>IFERROR(__xludf.DUMMYFUNCTION("""COMPUTED_VALUE"""),5.0)</f>
        <v>5</v>
      </c>
      <c r="O105" s="60">
        <f>IFERROR(__xludf.DUMMYFUNCTION("""COMPUTED_VALUE"""),44951.0)</f>
        <v>44951</v>
      </c>
      <c r="Q105" s="59" t="str">
        <f>IFERROR(__xludf.DUMMYFUNCTION("""COMPUTED_VALUE"""),"Contrade Integrated Depot")</f>
        <v>Contrade Integrated Depot</v>
      </c>
      <c r="R105" s="4">
        <f>IFERROR(__xludf.DUMMYFUNCTION("""COMPUTED_VALUE"""),5.0)</f>
        <v>5</v>
      </c>
      <c r="S105" s="60">
        <f>IFERROR(__xludf.DUMMYFUNCTION("""COMPUTED_VALUE"""),45278.0)</f>
        <v>45278</v>
      </c>
      <c r="U105" s="59" t="str">
        <f>IFERROR(__xludf.DUMMYFUNCTION("""COMPUTED_VALUE"""),"Contrade Integrated Depot")</f>
        <v>Contrade Integrated Depot</v>
      </c>
      <c r="V105" s="4">
        <f>IFERROR(__xludf.DUMMYFUNCTION("""COMPUTED_VALUE"""),4.833333333333333)</f>
        <v>4.833333333</v>
      </c>
      <c r="W105" s="60">
        <f>IFERROR(__xludf.DUMMYFUNCTION("""COMPUTED_VALUE"""),45577.0)</f>
        <v>45577</v>
      </c>
      <c r="Z105" s="4"/>
      <c r="AC105" s="4"/>
      <c r="AF105" s="4"/>
    </row>
    <row r="106">
      <c r="A106" s="179"/>
      <c r="B106" s="180"/>
      <c r="C106" s="2"/>
      <c r="E106" s="181"/>
      <c r="F106" s="181"/>
      <c r="G106" s="2"/>
      <c r="I106" s="83" t="s">
        <v>220</v>
      </c>
      <c r="J106" s="85"/>
      <c r="K106" s="55">
        <f>average(K107:K108)</f>
        <v>4.783333333</v>
      </c>
      <c r="M106" s="59" t="str">
        <f>IFERROR(__xludf.DUMMYFUNCTION("""COMPUTED_VALUE"""),"Alpha-Cored Technology Systems, Inc.")</f>
        <v>Alpha-Cored Technology Systems, Inc.</v>
      </c>
      <c r="N106" s="4">
        <f>IFERROR(__xludf.DUMMYFUNCTION("""COMPUTED_VALUE"""),5.0)</f>
        <v>5</v>
      </c>
      <c r="O106" s="60">
        <f>IFERROR(__xludf.DUMMYFUNCTION("""COMPUTED_VALUE"""),44954.0)</f>
        <v>44954</v>
      </c>
      <c r="Q106" s="59" t="str">
        <f>IFERROR(__xludf.DUMMYFUNCTION("""COMPUTED_VALUE"""),"Printing Shop PrintPilipinas.com")</f>
        <v>Printing Shop PrintPilipinas.com</v>
      </c>
      <c r="R106" s="4">
        <f>IFERROR(__xludf.DUMMYFUNCTION("""COMPUTED_VALUE"""),4.833333333333333)</f>
        <v>4.833333333</v>
      </c>
      <c r="S106" s="60">
        <f>IFERROR(__xludf.DUMMYFUNCTION("""COMPUTED_VALUE"""),45294.0)</f>
        <v>45294</v>
      </c>
      <c r="U106" s="59" t="str">
        <f>IFERROR(__xludf.DUMMYFUNCTION("""COMPUTED_VALUE"""),"Rivchem Enterprises")</f>
        <v>Rivchem Enterprises</v>
      </c>
      <c r="V106" s="4">
        <f>IFERROR(__xludf.DUMMYFUNCTION("""COMPUTED_VALUE"""),4.916666666666667)</f>
        <v>4.916666667</v>
      </c>
      <c r="W106" s="60">
        <f>IFERROR(__xludf.DUMMYFUNCTION("""COMPUTED_VALUE"""),45577.0)</f>
        <v>45577</v>
      </c>
      <c r="Z106" s="4"/>
      <c r="AC106" s="4"/>
      <c r="AF106" s="4"/>
    </row>
    <row r="107">
      <c r="A107" s="179"/>
      <c r="C107" s="2"/>
      <c r="E107" s="181"/>
      <c r="F107" s="181"/>
      <c r="G107" s="2"/>
      <c r="I107" s="101">
        <v>89.0</v>
      </c>
      <c r="J107" s="111" t="s">
        <v>230</v>
      </c>
      <c r="K107" s="4">
        <v>4.783333333333333</v>
      </c>
      <c r="M107" s="59" t="str">
        <f>IFERROR(__xludf.DUMMYFUNCTION("""COMPUTED_VALUE"""),"Contrade Integrated Depot")</f>
        <v>Contrade Integrated Depot</v>
      </c>
      <c r="N107" s="4">
        <f>IFERROR(__xludf.DUMMYFUNCTION("""COMPUTED_VALUE"""),4.0)</f>
        <v>4</v>
      </c>
      <c r="O107" s="60">
        <f>IFERROR(__xludf.DUMMYFUNCTION("""COMPUTED_VALUE"""),44971.0)</f>
        <v>44971</v>
      </c>
      <c r="Q107" s="59" t="str">
        <f>IFERROR(__xludf.DUMMYFUNCTION("""COMPUTED_VALUE"""),"Chronos Athletics Shop")</f>
        <v>Chronos Athletics Shop</v>
      </c>
      <c r="R107" s="4">
        <f>IFERROR(__xludf.DUMMYFUNCTION("""COMPUTED_VALUE"""),4.616666666666667)</f>
        <v>4.616666667</v>
      </c>
      <c r="S107" s="60">
        <f>IFERROR(__xludf.DUMMYFUNCTION("""COMPUTED_VALUE"""),45301.0)</f>
        <v>45301</v>
      </c>
      <c r="U107" s="59" t="str">
        <f>IFERROR(__xludf.DUMMYFUNCTION("""COMPUTED_VALUE"""),"Rivchem Enterprises")</f>
        <v>Rivchem Enterprises</v>
      </c>
      <c r="V107" s="4">
        <f>IFERROR(__xludf.DUMMYFUNCTION("""COMPUTED_VALUE"""),4.791666666666667)</f>
        <v>4.791666667</v>
      </c>
      <c r="W107" s="60">
        <f>IFERROR(__xludf.DUMMYFUNCTION("""COMPUTED_VALUE"""),45577.0)</f>
        <v>45577</v>
      </c>
      <c r="Z107" s="4"/>
      <c r="AC107" s="4"/>
      <c r="AF107" s="4"/>
    </row>
    <row r="108">
      <c r="A108" s="179"/>
      <c r="C108" s="2"/>
      <c r="E108" s="181"/>
      <c r="F108" s="181"/>
      <c r="G108" s="2"/>
      <c r="I108" s="101">
        <v>90.0</v>
      </c>
      <c r="J108" s="111" t="s">
        <v>234</v>
      </c>
      <c r="K108" s="2"/>
      <c r="M108" s="59" t="str">
        <f>IFERROR(__xludf.DUMMYFUNCTION("""COMPUTED_VALUE"""),"Luminaire Printing And Publishing Corp.")</f>
        <v>Luminaire Printing And Publishing Corp.</v>
      </c>
      <c r="N108" s="4">
        <f>IFERROR(__xludf.DUMMYFUNCTION("""COMPUTED_VALUE"""),4.358333333333333)</f>
        <v>4.358333333</v>
      </c>
      <c r="O108" s="60">
        <f>IFERROR(__xludf.DUMMYFUNCTION("""COMPUTED_VALUE"""),44988.0)</f>
        <v>44988</v>
      </c>
      <c r="Q108" s="59" t="str">
        <f>IFERROR(__xludf.DUMMYFUNCTION("""COMPUTED_VALUE"""),"Creative Juice Digital Printing")</f>
        <v>Creative Juice Digital Printing</v>
      </c>
      <c r="R108" s="4">
        <f>IFERROR(__xludf.DUMMYFUNCTION("""COMPUTED_VALUE"""),5.0)</f>
        <v>5</v>
      </c>
      <c r="S108" s="60">
        <f>IFERROR(__xludf.DUMMYFUNCTION("""COMPUTED_VALUE"""),45301.0)</f>
        <v>45301</v>
      </c>
      <c r="U108" s="59" t="str">
        <f>IFERROR(__xludf.DUMMYFUNCTION("""COMPUTED_VALUE"""),"Abenson Ventures, Inc.")</f>
        <v>Abenson Ventures, Inc.</v>
      </c>
      <c r="V108" s="4">
        <f>IFERROR(__xludf.DUMMYFUNCTION("""COMPUTED_VALUE"""),4.691666666666666)</f>
        <v>4.691666667</v>
      </c>
      <c r="W108" s="60">
        <f>IFERROR(__xludf.DUMMYFUNCTION("""COMPUTED_VALUE"""),45579.0)</f>
        <v>45579</v>
      </c>
      <c r="Z108" s="4"/>
      <c r="AC108" s="4"/>
      <c r="AF108" s="4"/>
    </row>
    <row r="109">
      <c r="A109" s="179"/>
      <c r="C109" s="2"/>
      <c r="E109" s="181"/>
      <c r="F109" s="181"/>
      <c r="G109" s="2"/>
      <c r="I109" s="83" t="s">
        <v>564</v>
      </c>
      <c r="J109" s="85"/>
      <c r="K109" s="55" t="str">
        <f>average(K110:K113)</f>
        <v>#DIV/0!</v>
      </c>
      <c r="M109" s="59" t="str">
        <f>IFERROR(__xludf.DUMMYFUNCTION("""COMPUTED_VALUE"""),"Creative Juice Digital Printing")</f>
        <v>Creative Juice Digital Printing</v>
      </c>
      <c r="N109" s="4">
        <f>IFERROR(__xludf.DUMMYFUNCTION("""COMPUTED_VALUE"""),4.8774999999999995)</f>
        <v>4.8775</v>
      </c>
      <c r="O109" s="60">
        <f>IFERROR(__xludf.DUMMYFUNCTION("""COMPUTED_VALUE"""),44989.0)</f>
        <v>44989</v>
      </c>
      <c r="Q109" s="59" t="str">
        <f>IFERROR(__xludf.DUMMYFUNCTION("""COMPUTED_VALUE"""),"Creative Juice Digital Printing")</f>
        <v>Creative Juice Digital Printing</v>
      </c>
      <c r="R109" s="4">
        <f>IFERROR(__xludf.DUMMYFUNCTION("""COMPUTED_VALUE"""),4.5)</f>
        <v>4.5</v>
      </c>
      <c r="S109" s="60">
        <f>IFERROR(__xludf.DUMMYFUNCTION("""COMPUTED_VALUE"""),45301.0)</f>
        <v>45301</v>
      </c>
      <c r="U109" s="59" t="str">
        <f>IFERROR(__xludf.DUMMYFUNCTION("""COMPUTED_VALUE"""),"Bobman Trading")</f>
        <v>Bobman Trading</v>
      </c>
      <c r="V109" s="4">
        <f>IFERROR(__xludf.DUMMYFUNCTION("""COMPUTED_VALUE"""),4.833333333333333)</f>
        <v>4.833333333</v>
      </c>
      <c r="W109" s="60">
        <f>IFERROR(__xludf.DUMMYFUNCTION("""COMPUTED_VALUE"""),45580.0)</f>
        <v>45580</v>
      </c>
      <c r="Z109" s="4"/>
      <c r="AC109" s="4"/>
      <c r="AF109" s="4"/>
    </row>
    <row r="110">
      <c r="A110" s="179"/>
      <c r="C110" s="2"/>
      <c r="E110" s="181"/>
      <c r="F110" s="181"/>
      <c r="G110" s="2"/>
      <c r="I110" s="101">
        <v>91.0</v>
      </c>
      <c r="J110" s="111" t="s">
        <v>569</v>
      </c>
      <c r="K110" s="2"/>
      <c r="M110" s="59" t="str">
        <f>IFERROR(__xludf.DUMMYFUNCTION("""COMPUTED_VALUE"""),"Chemtrust Global Market, Inc.")</f>
        <v>Chemtrust Global Market, Inc.</v>
      </c>
      <c r="N110" s="4">
        <f>IFERROR(__xludf.DUMMYFUNCTION("""COMPUTED_VALUE"""),3.6)</f>
        <v>3.6</v>
      </c>
      <c r="O110" s="60">
        <f>IFERROR(__xludf.DUMMYFUNCTION("""COMPUTED_VALUE"""),44993.0)</f>
        <v>44993</v>
      </c>
      <c r="Q110" s="59" t="str">
        <f>IFERROR(__xludf.DUMMYFUNCTION("""COMPUTED_VALUE"""),"Wisechoice Cleaning Supplies and Trading Corp.")</f>
        <v>Wisechoice Cleaning Supplies and Trading Corp.</v>
      </c>
      <c r="R110" s="4">
        <f>IFERROR(__xludf.DUMMYFUNCTION("""COMPUTED_VALUE"""),4.258333333333334)</f>
        <v>4.258333333</v>
      </c>
      <c r="S110" s="60">
        <f>IFERROR(__xludf.DUMMYFUNCTION("""COMPUTED_VALUE"""),45308.0)</f>
        <v>45308</v>
      </c>
      <c r="U110" s="59" t="str">
        <f>IFERROR(__xludf.DUMMYFUNCTION("""COMPUTED_VALUE"""),"Net Ad IT Solutions")</f>
        <v>Net Ad IT Solutions</v>
      </c>
      <c r="V110" s="4">
        <f>IFERROR(__xludf.DUMMYFUNCTION("""COMPUTED_VALUE"""),4.833333333333333)</f>
        <v>4.833333333</v>
      </c>
      <c r="W110" s="60">
        <f>IFERROR(__xludf.DUMMYFUNCTION("""COMPUTED_VALUE"""),45582.0)</f>
        <v>45582</v>
      </c>
      <c r="Z110" s="4"/>
      <c r="AC110" s="4"/>
      <c r="AF110" s="4"/>
    </row>
    <row r="111">
      <c r="A111" s="179"/>
      <c r="B111" s="180"/>
      <c r="C111" s="2"/>
      <c r="E111" s="181"/>
      <c r="G111" s="2"/>
      <c r="I111" s="101">
        <v>92.0</v>
      </c>
      <c r="J111" s="111" t="s">
        <v>574</v>
      </c>
      <c r="K111" s="2"/>
      <c r="M111" s="59" t="str">
        <f>IFERROR(__xludf.DUMMYFUNCTION("""COMPUTED_VALUE"""),"Rivchem Enterprises")</f>
        <v>Rivchem Enterprises</v>
      </c>
      <c r="N111" s="4">
        <f>IFERROR(__xludf.DUMMYFUNCTION("""COMPUTED_VALUE"""),4.366666666666666)</f>
        <v>4.366666667</v>
      </c>
      <c r="O111" s="60">
        <f>IFERROR(__xludf.DUMMYFUNCTION("""COMPUTED_VALUE"""),44995.0)</f>
        <v>44995</v>
      </c>
      <c r="Q111" s="59" t="str">
        <f>IFERROR(__xludf.DUMMYFUNCTION("""COMPUTED_VALUE"""),"Rivchem Enterprises")</f>
        <v>Rivchem Enterprises</v>
      </c>
      <c r="R111" s="4">
        <f>IFERROR(__xludf.DUMMYFUNCTION("""COMPUTED_VALUE"""),4.258333333333334)</f>
        <v>4.258333333</v>
      </c>
      <c r="S111" s="60">
        <f>IFERROR(__xludf.DUMMYFUNCTION("""COMPUTED_VALUE"""),45310.0)</f>
        <v>45310</v>
      </c>
      <c r="U111" s="59" t="str">
        <f>IFERROR(__xludf.DUMMYFUNCTION("""COMPUTED_VALUE"""),"Contrade Integrated Depot")</f>
        <v>Contrade Integrated Depot</v>
      </c>
      <c r="V111" s="4">
        <f>IFERROR(__xludf.DUMMYFUNCTION("""COMPUTED_VALUE"""),4.416666666666667)</f>
        <v>4.416666667</v>
      </c>
      <c r="W111" s="60">
        <f>IFERROR(__xludf.DUMMYFUNCTION("""COMPUTED_VALUE"""),45583.0)</f>
        <v>45583</v>
      </c>
      <c r="Z111" s="4"/>
      <c r="AC111" s="4"/>
      <c r="AF111" s="4"/>
    </row>
    <row r="112">
      <c r="A112" s="179"/>
      <c r="B112" s="180"/>
      <c r="C112" s="2"/>
      <c r="E112" s="181"/>
      <c r="G112" s="2"/>
      <c r="I112" s="101">
        <v>93.0</v>
      </c>
      <c r="J112" s="111" t="s">
        <v>579</v>
      </c>
      <c r="K112" s="2"/>
      <c r="M112" s="59" t="str">
        <f>IFERROR(__xludf.DUMMYFUNCTION("""COMPUTED_VALUE"""),"Microsmith Technology System,Inc.")</f>
        <v>Microsmith Technology System,Inc.</v>
      </c>
      <c r="N112" s="4">
        <f>IFERROR(__xludf.DUMMYFUNCTION("""COMPUTED_VALUE"""),4.766666666666667)</f>
        <v>4.766666667</v>
      </c>
      <c r="O112" s="60">
        <f>IFERROR(__xludf.DUMMYFUNCTION("""COMPUTED_VALUE"""),45000.0)</f>
        <v>45000</v>
      </c>
      <c r="Q112" s="59" t="str">
        <f>IFERROR(__xludf.DUMMYFUNCTION("""COMPUTED_VALUE"""),"Luminaire Printing And Publishing Corp.")</f>
        <v>Luminaire Printing And Publishing Corp.</v>
      </c>
      <c r="R112" s="4">
        <f>IFERROR(__xludf.DUMMYFUNCTION("""COMPUTED_VALUE"""),4.833333333333333)</f>
        <v>4.833333333</v>
      </c>
      <c r="S112" s="60">
        <f>IFERROR(__xludf.DUMMYFUNCTION("""COMPUTED_VALUE"""),45313.0)</f>
        <v>45313</v>
      </c>
      <c r="U112" s="59" t="str">
        <f>IFERROR(__xludf.DUMMYFUNCTION("""COMPUTED_VALUE"""),"Rivchem Enterprises")</f>
        <v>Rivchem Enterprises</v>
      </c>
      <c r="V112" s="4">
        <f>IFERROR(__xludf.DUMMYFUNCTION("""COMPUTED_VALUE"""),4.791666666666667)</f>
        <v>4.791666667</v>
      </c>
      <c r="W112" s="60">
        <f>IFERROR(__xludf.DUMMYFUNCTION("""COMPUTED_VALUE"""),45583.0)</f>
        <v>45583</v>
      </c>
      <c r="Z112" s="4"/>
      <c r="AC112" s="4"/>
      <c r="AF112" s="4"/>
    </row>
    <row r="113">
      <c r="A113" s="179"/>
      <c r="B113" s="180"/>
      <c r="C113" s="2"/>
      <c r="E113" s="181"/>
      <c r="G113" s="2"/>
      <c r="I113" s="101">
        <v>94.0</v>
      </c>
      <c r="J113" s="111" t="s">
        <v>582</v>
      </c>
      <c r="K113" s="2"/>
      <c r="M113" s="59" t="str">
        <f>IFERROR(__xludf.DUMMYFUNCTION("""COMPUTED_VALUE"""),"Tropical Palms Fashion House, Inc.")</f>
        <v>Tropical Palms Fashion House, Inc.</v>
      </c>
      <c r="N113" s="4">
        <f>IFERROR(__xludf.DUMMYFUNCTION("""COMPUTED_VALUE"""),4.133333333333333)</f>
        <v>4.133333333</v>
      </c>
      <c r="O113" s="60">
        <f>IFERROR(__xludf.DUMMYFUNCTION("""COMPUTED_VALUE"""),45001.0)</f>
        <v>45001</v>
      </c>
      <c r="Q113" s="59" t="str">
        <f>IFERROR(__xludf.DUMMYFUNCTION("""COMPUTED_VALUE"""),"Rivchem Enterprises")</f>
        <v>Rivchem Enterprises</v>
      </c>
      <c r="R113" s="4">
        <f>IFERROR(__xludf.DUMMYFUNCTION("""COMPUTED_VALUE"""),4.75)</f>
        <v>4.75</v>
      </c>
      <c r="S113" s="60">
        <f>IFERROR(__xludf.DUMMYFUNCTION("""COMPUTED_VALUE"""),45314.0)</f>
        <v>45314</v>
      </c>
      <c r="U113" s="59" t="str">
        <f>IFERROR(__xludf.DUMMYFUNCTION("""COMPUTED_VALUE"""),"Leonard Prints Inc.")</f>
        <v>Leonard Prints Inc.</v>
      </c>
      <c r="V113" s="4">
        <f>IFERROR(__xludf.DUMMYFUNCTION("""COMPUTED_VALUE"""),4.791666666666667)</f>
        <v>4.791666667</v>
      </c>
      <c r="W113" s="60">
        <f>IFERROR(__xludf.DUMMYFUNCTION("""COMPUTED_VALUE"""),45586.0)</f>
        <v>45586</v>
      </c>
      <c r="Z113" s="4"/>
      <c r="AC113" s="4"/>
      <c r="AF113" s="4"/>
    </row>
    <row r="114">
      <c r="A114" s="179"/>
      <c r="B114" s="180"/>
      <c r="C114" s="2"/>
      <c r="E114" s="181"/>
      <c r="G114" s="2"/>
      <c r="I114" s="83" t="s">
        <v>586</v>
      </c>
      <c r="J114" s="85"/>
      <c r="K114" s="55">
        <f>average(K115:K119)</f>
        <v>5</v>
      </c>
      <c r="M114" s="59" t="str">
        <f>IFERROR(__xludf.DUMMYFUNCTION("""COMPUTED_VALUE"""),"Ergo Contracts Phil., Inc.")</f>
        <v>Ergo Contracts Phil., Inc.</v>
      </c>
      <c r="N114" s="4">
        <f>IFERROR(__xludf.DUMMYFUNCTION("""COMPUTED_VALUE"""),4.766666666666667)</f>
        <v>4.766666667</v>
      </c>
      <c r="O114" s="60">
        <f>IFERROR(__xludf.DUMMYFUNCTION("""COMPUTED_VALUE"""),45007.0)</f>
        <v>45007</v>
      </c>
      <c r="Q114" s="59" t="str">
        <f>IFERROR(__xludf.DUMMYFUNCTION("""COMPUTED_VALUE"""),"Chronos Athletics Shop")</f>
        <v>Chronos Athletics Shop</v>
      </c>
      <c r="R114" s="4">
        <f>IFERROR(__xludf.DUMMYFUNCTION("""COMPUTED_VALUE"""),4.541666666666667)</f>
        <v>4.541666667</v>
      </c>
      <c r="S114" s="60">
        <f>IFERROR(__xludf.DUMMYFUNCTION("""COMPUTED_VALUE"""),45315.0)</f>
        <v>45315</v>
      </c>
      <c r="U114" s="59" t="str">
        <f>IFERROR(__xludf.DUMMYFUNCTION("""COMPUTED_VALUE"""),"Luminaire Printing And Publishing Corp.")</f>
        <v>Luminaire Printing And Publishing Corp.</v>
      </c>
      <c r="V114" s="4">
        <f>IFERROR(__xludf.DUMMYFUNCTION("""COMPUTED_VALUE"""),4.416666666666667)</f>
        <v>4.416666667</v>
      </c>
      <c r="W114" s="60">
        <f>IFERROR(__xludf.DUMMYFUNCTION("""COMPUTED_VALUE"""),45586.0)</f>
        <v>45586</v>
      </c>
      <c r="Z114" s="4"/>
      <c r="AC114" s="4"/>
      <c r="AF114" s="4"/>
    </row>
    <row r="115">
      <c r="A115" s="179"/>
      <c r="C115" s="2"/>
      <c r="E115" s="181"/>
      <c r="F115" s="181"/>
      <c r="G115" s="2"/>
      <c r="I115" s="186">
        <v>95.0</v>
      </c>
      <c r="J115" s="111" t="s">
        <v>394</v>
      </c>
      <c r="K115" s="2"/>
      <c r="M115" s="59" t="str">
        <f>IFERROR(__xludf.DUMMYFUNCTION("""COMPUTED_VALUE"""),"Hytec Power, Inc.")</f>
        <v>Hytec Power, Inc.</v>
      </c>
      <c r="N115" s="4">
        <f>IFERROR(__xludf.DUMMYFUNCTION("""COMPUTED_VALUE"""),3.466666666666667)</f>
        <v>3.466666667</v>
      </c>
      <c r="O115" s="60">
        <f>IFERROR(__xludf.DUMMYFUNCTION("""COMPUTED_VALUE"""),45033.0)</f>
        <v>45033</v>
      </c>
      <c r="Q115" s="59" t="str">
        <f>IFERROR(__xludf.DUMMYFUNCTION("""COMPUTED_VALUE"""),"Printing Shop PrintPilipinas.com")</f>
        <v>Printing Shop PrintPilipinas.com</v>
      </c>
      <c r="R115" s="4">
        <f>IFERROR(__xludf.DUMMYFUNCTION("""COMPUTED_VALUE"""),4.833333333333333)</f>
        <v>4.833333333</v>
      </c>
      <c r="S115" s="60">
        <f>IFERROR(__xludf.DUMMYFUNCTION("""COMPUTED_VALUE"""),45315.0)</f>
        <v>45315</v>
      </c>
      <c r="U115" s="59" t="str">
        <f>IFERROR(__xludf.DUMMYFUNCTION("""COMPUTED_VALUE"""),"Contrade Integrated Depot")</f>
        <v>Contrade Integrated Depot</v>
      </c>
      <c r="V115" s="4">
        <f>IFERROR(__xludf.DUMMYFUNCTION("""COMPUTED_VALUE"""),4.833333333333333)</f>
        <v>4.833333333</v>
      </c>
      <c r="W115" s="60">
        <f>IFERROR(__xludf.DUMMYFUNCTION("""COMPUTED_VALUE"""),45586.0)</f>
        <v>45586</v>
      </c>
      <c r="Z115" s="4"/>
      <c r="AC115" s="4"/>
      <c r="AF115" s="4"/>
    </row>
    <row r="116">
      <c r="A116" s="179"/>
      <c r="C116" s="2"/>
      <c r="E116" s="181"/>
      <c r="F116" s="181"/>
      <c r="G116" s="2"/>
      <c r="I116" s="186">
        <v>96.0</v>
      </c>
      <c r="J116" s="111" t="s">
        <v>593</v>
      </c>
      <c r="K116" s="2"/>
      <c r="M116" s="59" t="str">
        <f>IFERROR(__xludf.DUMMYFUNCTION("""COMPUTED_VALUE"""),"Lordfel Marketing")</f>
        <v>Lordfel Marketing</v>
      </c>
      <c r="N116" s="4">
        <f>IFERROR(__xludf.DUMMYFUNCTION("""COMPUTED_VALUE"""),5.0)</f>
        <v>5</v>
      </c>
      <c r="O116" s="60">
        <f>IFERROR(__xludf.DUMMYFUNCTION("""COMPUTED_VALUE"""),45106.0)</f>
        <v>45106</v>
      </c>
      <c r="Q116" s="59" t="str">
        <f>IFERROR(__xludf.DUMMYFUNCTION("""COMPUTED_VALUE"""),"Printing Shop PrintPilipinas.com")</f>
        <v>Printing Shop PrintPilipinas.com</v>
      </c>
      <c r="R116" s="4">
        <f>IFERROR(__xludf.DUMMYFUNCTION("""COMPUTED_VALUE"""),4.833333333333333)</f>
        <v>4.833333333</v>
      </c>
      <c r="S116" s="60">
        <f>IFERROR(__xludf.DUMMYFUNCTION("""COMPUTED_VALUE"""),45315.0)</f>
        <v>45315</v>
      </c>
      <c r="U116" s="59" t="str">
        <f>IFERROR(__xludf.DUMMYFUNCTION("""COMPUTED_VALUE"""),"Printing Shop PrintPilipinas.com")</f>
        <v>Printing Shop PrintPilipinas.com</v>
      </c>
      <c r="V116" s="4">
        <f>IFERROR(__xludf.DUMMYFUNCTION("""COMPUTED_VALUE"""),4.833333333333333)</f>
        <v>4.833333333</v>
      </c>
      <c r="W116" s="60">
        <f>IFERROR(__xludf.DUMMYFUNCTION("""COMPUTED_VALUE"""),45586.0)</f>
        <v>45586</v>
      </c>
      <c r="Z116" s="4"/>
      <c r="AC116" s="4"/>
      <c r="AF116" s="4"/>
    </row>
    <row r="117">
      <c r="A117" s="179"/>
      <c r="B117" s="180"/>
      <c r="C117" s="2"/>
      <c r="E117" s="181"/>
      <c r="F117" s="181"/>
      <c r="G117" s="2"/>
      <c r="I117" s="186">
        <v>97.0</v>
      </c>
      <c r="J117" s="111" t="s">
        <v>600</v>
      </c>
      <c r="K117" s="2"/>
      <c r="Q117" s="59" t="str">
        <f>IFERROR(__xludf.DUMMYFUNCTION("""COMPUTED_VALUE"""),"Times Trading Co., Inc.")</f>
        <v>Times Trading Co., Inc.</v>
      </c>
      <c r="R117" s="4">
        <f>IFERROR(__xludf.DUMMYFUNCTION("""COMPUTED_VALUE"""),3.9966666666666666)</f>
        <v>3.996666667</v>
      </c>
      <c r="S117" s="60">
        <f>IFERROR(__xludf.DUMMYFUNCTION("""COMPUTED_VALUE"""),45315.0)</f>
        <v>45315</v>
      </c>
      <c r="U117" s="59" t="str">
        <f>IFERROR(__xludf.DUMMYFUNCTION("""COMPUTED_VALUE"""),"Colent Marketing Philippines, Inc.")</f>
        <v>Colent Marketing Philippines, Inc.</v>
      </c>
      <c r="V117" s="4">
        <f>IFERROR(__xludf.DUMMYFUNCTION("""COMPUTED_VALUE"""),4.166666666666667)</f>
        <v>4.166666667</v>
      </c>
      <c r="W117" s="60">
        <f>IFERROR(__xludf.DUMMYFUNCTION("""COMPUTED_VALUE"""),45591.0)</f>
        <v>45591</v>
      </c>
      <c r="Z117" s="4"/>
      <c r="AC117" s="4"/>
      <c r="AF117" s="4"/>
    </row>
    <row r="118">
      <c r="A118" s="179"/>
      <c r="C118" s="2"/>
      <c r="E118" s="181"/>
      <c r="F118" s="181"/>
      <c r="G118" s="2"/>
      <c r="I118" s="186">
        <v>98.0</v>
      </c>
      <c r="J118" s="111" t="s">
        <v>605</v>
      </c>
      <c r="K118" s="4">
        <v>5.0</v>
      </c>
      <c r="Q118" s="59" t="str">
        <f>IFERROR(__xludf.DUMMYFUNCTION("""COMPUTED_VALUE"""),"Rivchem Enterprises")</f>
        <v>Rivchem Enterprises</v>
      </c>
      <c r="R118" s="4">
        <f>IFERROR(__xludf.DUMMYFUNCTION("""COMPUTED_VALUE"""),4.75)</f>
        <v>4.75</v>
      </c>
      <c r="S118" s="60">
        <f>IFERROR(__xludf.DUMMYFUNCTION("""COMPUTED_VALUE"""),45315.0)</f>
        <v>45315</v>
      </c>
      <c r="U118" s="59" t="str">
        <f>IFERROR(__xludf.DUMMYFUNCTION("""COMPUTED_VALUE"""),"Elle Tech and Trend Office Furniture and Interiors")</f>
        <v>Elle Tech and Trend Office Furniture and Interiors</v>
      </c>
      <c r="V118" s="4">
        <f>IFERROR(__xludf.DUMMYFUNCTION("""COMPUTED_VALUE"""),5.0)</f>
        <v>5</v>
      </c>
      <c r="W118" s="60">
        <f>IFERROR(__xludf.DUMMYFUNCTION("""COMPUTED_VALUE"""),45600.0)</f>
        <v>45600</v>
      </c>
      <c r="Z118" s="4"/>
      <c r="AC118" s="4"/>
      <c r="AF118" s="4"/>
    </row>
    <row r="119">
      <c r="A119" s="179"/>
      <c r="B119" s="180"/>
      <c r="C119" s="2"/>
      <c r="E119" s="181"/>
      <c r="G119" s="2"/>
      <c r="I119" s="187">
        <v>99.0</v>
      </c>
      <c r="J119" s="98" t="s">
        <v>420</v>
      </c>
      <c r="K119" s="2"/>
      <c r="Q119" s="59" t="str">
        <f>IFERROR(__xludf.DUMMYFUNCTION("""COMPUTED_VALUE"""),"Circuitrocks Electronic Store")</f>
        <v>Circuitrocks Electronic Store</v>
      </c>
      <c r="R119" s="4">
        <f>IFERROR(__xludf.DUMMYFUNCTION("""COMPUTED_VALUE"""),4.908333333333333)</f>
        <v>4.908333333</v>
      </c>
      <c r="S119" s="60">
        <f>IFERROR(__xludf.DUMMYFUNCTION("""COMPUTED_VALUE"""),45316.0)</f>
        <v>45316</v>
      </c>
      <c r="U119" s="59" t="str">
        <f>IFERROR(__xludf.DUMMYFUNCTION("""COMPUTED_VALUE"""),"Leonard Prints Inc.")</f>
        <v>Leonard Prints Inc.</v>
      </c>
      <c r="V119" s="4">
        <f>IFERROR(__xludf.DUMMYFUNCTION("""COMPUTED_VALUE"""),4.591666666666667)</f>
        <v>4.591666667</v>
      </c>
      <c r="W119" s="60">
        <f>IFERROR(__xludf.DUMMYFUNCTION("""COMPUTED_VALUE"""),45601.0)</f>
        <v>45601</v>
      </c>
      <c r="Z119" s="4"/>
      <c r="AC119" s="4"/>
      <c r="AF119" s="4"/>
    </row>
    <row r="120">
      <c r="A120" s="179"/>
      <c r="B120" s="180"/>
      <c r="C120" s="2"/>
      <c r="E120" s="181"/>
      <c r="G120" s="2"/>
      <c r="I120" s="181"/>
      <c r="J120" s="181"/>
      <c r="K120" s="2"/>
      <c r="Q120" s="59" t="str">
        <f>IFERROR(__xludf.DUMMYFUNCTION("""COMPUTED_VALUE"""),"Wisechoice Cleaning Supplies and Trading Corp.")</f>
        <v>Wisechoice Cleaning Supplies and Trading Corp.</v>
      </c>
      <c r="R120" s="4">
        <f>IFERROR(__xludf.DUMMYFUNCTION("""COMPUTED_VALUE"""),4.75)</f>
        <v>4.75</v>
      </c>
      <c r="S120" s="60">
        <f>IFERROR(__xludf.DUMMYFUNCTION("""COMPUTED_VALUE"""),45316.0)</f>
        <v>45316</v>
      </c>
      <c r="U120" s="59" t="str">
        <f>IFERROR(__xludf.DUMMYFUNCTION("""COMPUTED_VALUE"""),"Contrade Integrated Depot")</f>
        <v>Contrade Integrated Depot</v>
      </c>
      <c r="V120" s="4">
        <f>IFERROR(__xludf.DUMMYFUNCTION("""COMPUTED_VALUE"""),4.75)</f>
        <v>4.75</v>
      </c>
      <c r="W120" s="60">
        <f>IFERROR(__xludf.DUMMYFUNCTION("""COMPUTED_VALUE"""),45604.0)</f>
        <v>45604</v>
      </c>
      <c r="Z120" s="4"/>
      <c r="AC120" s="4"/>
      <c r="AF120" s="4"/>
    </row>
    <row r="121">
      <c r="A121" s="179"/>
      <c r="B121" s="180"/>
      <c r="C121" s="2"/>
      <c r="E121" s="181"/>
      <c r="F121" s="181"/>
      <c r="G121" s="2"/>
      <c r="I121" s="188"/>
      <c r="K121" s="2"/>
      <c r="Q121" s="59" t="str">
        <f>IFERROR(__xludf.DUMMYFUNCTION("""COMPUTED_VALUE"""),"V.M Industries Corp.")</f>
        <v>V.M Industries Corp.</v>
      </c>
      <c r="R121" s="4">
        <f>IFERROR(__xludf.DUMMYFUNCTION("""COMPUTED_VALUE"""),4.441666666666666)</f>
        <v>4.441666667</v>
      </c>
      <c r="S121" s="60">
        <f>IFERROR(__xludf.DUMMYFUNCTION("""COMPUTED_VALUE"""),45317.0)</f>
        <v>45317</v>
      </c>
      <c r="U121" s="59" t="str">
        <f>IFERROR(__xludf.DUMMYFUNCTION("""COMPUTED_VALUE"""),"Contrade Integrated Depot")</f>
        <v>Contrade Integrated Depot</v>
      </c>
      <c r="V121" s="4">
        <f>IFERROR(__xludf.DUMMYFUNCTION("""COMPUTED_VALUE"""),4.75)</f>
        <v>4.75</v>
      </c>
      <c r="W121" s="60">
        <f>IFERROR(__xludf.DUMMYFUNCTION("""COMPUTED_VALUE"""),45604.0)</f>
        <v>45604</v>
      </c>
      <c r="Z121" s="4"/>
      <c r="AC121" s="4"/>
      <c r="AF121" s="4"/>
    </row>
    <row r="122">
      <c r="A122" s="179"/>
      <c r="B122" s="180"/>
      <c r="C122" s="2"/>
      <c r="E122" s="181"/>
      <c r="G122" s="2"/>
      <c r="I122" s="190"/>
      <c r="J122" s="190"/>
      <c r="K122" s="2"/>
      <c r="Q122" s="59" t="str">
        <f>IFERROR(__xludf.DUMMYFUNCTION("""COMPUTED_VALUE"""),"Rivchem Enterprises")</f>
        <v>Rivchem Enterprises</v>
      </c>
      <c r="R122" s="4">
        <f>IFERROR(__xludf.DUMMYFUNCTION("""COMPUTED_VALUE"""),5.0)</f>
        <v>5</v>
      </c>
      <c r="S122" s="60">
        <f>IFERROR(__xludf.DUMMYFUNCTION("""COMPUTED_VALUE"""),45317.0)</f>
        <v>45317</v>
      </c>
      <c r="U122" s="59" t="str">
        <f>IFERROR(__xludf.DUMMYFUNCTION("""COMPUTED_VALUE"""),"Contrade Integrated Depot")</f>
        <v>Contrade Integrated Depot</v>
      </c>
      <c r="V122" s="4">
        <f>IFERROR(__xludf.DUMMYFUNCTION("""COMPUTED_VALUE"""),4.75)</f>
        <v>4.75</v>
      </c>
      <c r="W122" s="60">
        <f>IFERROR(__xludf.DUMMYFUNCTION("""COMPUTED_VALUE"""),45604.0)</f>
        <v>45604</v>
      </c>
      <c r="Z122" s="4"/>
      <c r="AC122" s="4"/>
      <c r="AF122" s="4"/>
    </row>
    <row r="123">
      <c r="A123" s="179"/>
      <c r="B123" s="180"/>
      <c r="C123" s="2"/>
      <c r="E123" s="181"/>
      <c r="F123" s="181"/>
      <c r="G123" s="2"/>
      <c r="I123" s="190"/>
      <c r="J123" s="190"/>
      <c r="K123" s="2"/>
      <c r="Q123" s="59" t="str">
        <f>IFERROR(__xludf.DUMMYFUNCTION("""COMPUTED_VALUE"""),"Leonard Prints Inc.")</f>
        <v>Leonard Prints Inc.</v>
      </c>
      <c r="R123" s="4">
        <f>IFERROR(__xludf.DUMMYFUNCTION("""COMPUTED_VALUE"""),4.833333333333333)</f>
        <v>4.833333333</v>
      </c>
      <c r="S123" s="60">
        <f>IFERROR(__xludf.DUMMYFUNCTION("""COMPUTED_VALUE"""),45320.0)</f>
        <v>45320</v>
      </c>
      <c r="U123" s="59" t="str">
        <f>IFERROR(__xludf.DUMMYFUNCTION("""COMPUTED_VALUE"""),"Contrade Integrated Depot")</f>
        <v>Contrade Integrated Depot</v>
      </c>
      <c r="V123" s="4">
        <f>IFERROR(__xludf.DUMMYFUNCTION("""COMPUTED_VALUE"""),4.75)</f>
        <v>4.75</v>
      </c>
      <c r="W123" s="60">
        <f>IFERROR(__xludf.DUMMYFUNCTION("""COMPUTED_VALUE"""),45604.0)</f>
        <v>45604</v>
      </c>
      <c r="Z123" s="4"/>
      <c r="AC123" s="4"/>
      <c r="AF123" s="4"/>
    </row>
    <row r="124">
      <c r="A124" s="179"/>
      <c r="B124" s="180"/>
      <c r="C124" s="2"/>
      <c r="E124" s="181"/>
      <c r="F124" s="181"/>
      <c r="G124" s="2"/>
      <c r="I124" s="190"/>
      <c r="J124" s="190"/>
      <c r="K124" s="2"/>
      <c r="Q124" s="59" t="str">
        <f>IFERROR(__xludf.DUMMYFUNCTION("""COMPUTED_VALUE"""),"Printing Shop PrintPilipinas.com")</f>
        <v>Printing Shop PrintPilipinas.com</v>
      </c>
      <c r="R124" s="4">
        <f>IFERROR(__xludf.DUMMYFUNCTION("""COMPUTED_VALUE"""),4.833333333333333)</f>
        <v>4.833333333</v>
      </c>
      <c r="S124" s="60">
        <f>IFERROR(__xludf.DUMMYFUNCTION("""COMPUTED_VALUE"""),45320.0)</f>
        <v>45320</v>
      </c>
      <c r="U124" s="59" t="str">
        <f>IFERROR(__xludf.DUMMYFUNCTION("""COMPUTED_VALUE"""),"Contrade Integrated Depot")</f>
        <v>Contrade Integrated Depot</v>
      </c>
      <c r="V124" s="4">
        <f>IFERROR(__xludf.DUMMYFUNCTION("""COMPUTED_VALUE"""),4.75)</f>
        <v>4.75</v>
      </c>
      <c r="W124" s="60">
        <f>IFERROR(__xludf.DUMMYFUNCTION("""COMPUTED_VALUE"""),45604.0)</f>
        <v>45604</v>
      </c>
      <c r="Z124" s="4"/>
      <c r="AC124" s="4"/>
      <c r="AF124" s="4"/>
    </row>
    <row r="125">
      <c r="A125" s="179"/>
      <c r="B125" s="180"/>
      <c r="C125" s="2"/>
      <c r="E125" s="181"/>
      <c r="F125" s="181"/>
      <c r="G125" s="2"/>
      <c r="I125" s="190"/>
      <c r="J125" s="190"/>
      <c r="K125" s="2"/>
      <c r="Q125" s="59" t="str">
        <f>IFERROR(__xludf.DUMMYFUNCTION("""COMPUTED_VALUE"""),"Contrade Integrated Depot")</f>
        <v>Contrade Integrated Depot</v>
      </c>
      <c r="R125" s="4">
        <f>IFERROR(__xludf.DUMMYFUNCTION("""COMPUTED_VALUE"""),4.0)</f>
        <v>4</v>
      </c>
      <c r="S125" s="60">
        <f>IFERROR(__xludf.DUMMYFUNCTION("""COMPUTED_VALUE"""),45322.0)</f>
        <v>45322</v>
      </c>
      <c r="U125" s="59" t="str">
        <f>IFERROR(__xludf.DUMMYFUNCTION("""COMPUTED_VALUE"""),"Colent Marketing Philippines, Inc.")</f>
        <v>Colent Marketing Philippines, Inc.</v>
      </c>
      <c r="V125" s="4">
        <f>IFERROR(__xludf.DUMMYFUNCTION("""COMPUTED_VALUE"""),4.833333333333333)</f>
        <v>4.833333333</v>
      </c>
      <c r="W125" s="60">
        <f>IFERROR(__xludf.DUMMYFUNCTION("""COMPUTED_VALUE"""),45608.0)</f>
        <v>45608</v>
      </c>
      <c r="Z125" s="4"/>
      <c r="AC125" s="4"/>
      <c r="AF125" s="4"/>
    </row>
    <row r="126">
      <c r="A126" s="179"/>
      <c r="B126" s="180"/>
      <c r="C126" s="2"/>
      <c r="E126" s="181"/>
      <c r="F126" s="181"/>
      <c r="G126" s="2"/>
      <c r="I126" s="190"/>
      <c r="J126" s="190"/>
      <c r="K126" s="2"/>
      <c r="Q126" s="59" t="str">
        <f>IFERROR(__xludf.DUMMYFUNCTION("""COMPUTED_VALUE"""),"Contrade Integrated Depot")</f>
        <v>Contrade Integrated Depot</v>
      </c>
      <c r="R126" s="4">
        <f>IFERROR(__xludf.DUMMYFUNCTION("""COMPUTED_VALUE"""),4.0)</f>
        <v>4</v>
      </c>
      <c r="S126" s="60">
        <f>IFERROR(__xludf.DUMMYFUNCTION("""COMPUTED_VALUE"""),45322.0)</f>
        <v>45322</v>
      </c>
      <c r="U126" s="59" t="str">
        <f>IFERROR(__xludf.DUMMYFUNCTION("""COMPUTED_VALUE"""),"Northwind Communications and Electronics")</f>
        <v>Northwind Communications and Electronics</v>
      </c>
      <c r="V126" s="4">
        <f>IFERROR(__xludf.DUMMYFUNCTION("""COMPUTED_VALUE"""),4.25)</f>
        <v>4.25</v>
      </c>
      <c r="W126" s="60">
        <f>IFERROR(__xludf.DUMMYFUNCTION("""COMPUTED_VALUE"""),45608.0)</f>
        <v>45608</v>
      </c>
      <c r="Z126" s="4"/>
      <c r="AC126" s="4"/>
      <c r="AF126" s="4"/>
    </row>
    <row r="127">
      <c r="A127" s="179"/>
      <c r="B127" s="180"/>
      <c r="C127" s="2"/>
      <c r="E127" s="181"/>
      <c r="F127" s="181"/>
      <c r="G127" s="2"/>
      <c r="I127" s="190"/>
      <c r="J127" s="190"/>
      <c r="K127" s="2"/>
      <c r="Q127" s="59" t="str">
        <f>IFERROR(__xludf.DUMMYFUNCTION("""COMPUTED_VALUE"""),"Data Computer Forms, Inc.")</f>
        <v>Data Computer Forms, Inc.</v>
      </c>
      <c r="R127" s="4">
        <f>IFERROR(__xludf.DUMMYFUNCTION("""COMPUTED_VALUE"""),4.0)</f>
        <v>4</v>
      </c>
      <c r="S127" s="60">
        <f>IFERROR(__xludf.DUMMYFUNCTION("""COMPUTED_VALUE"""),45322.0)</f>
        <v>45322</v>
      </c>
      <c r="U127" s="59" t="str">
        <f>IFERROR(__xludf.DUMMYFUNCTION("""COMPUTED_VALUE"""),"Alpha-Cored Technology Systems, Inc.")</f>
        <v>Alpha-Cored Technology Systems, Inc.</v>
      </c>
      <c r="V127" s="4">
        <f>IFERROR(__xludf.DUMMYFUNCTION("""COMPUTED_VALUE"""),5.0)</f>
        <v>5</v>
      </c>
      <c r="W127" s="60">
        <f>IFERROR(__xludf.DUMMYFUNCTION("""COMPUTED_VALUE"""),45611.0)</f>
        <v>45611</v>
      </c>
      <c r="Z127" s="4"/>
      <c r="AC127" s="4"/>
      <c r="AF127" s="4"/>
    </row>
    <row r="128">
      <c r="A128" s="179"/>
      <c r="B128" s="180"/>
      <c r="C128" s="2"/>
      <c r="E128" s="181"/>
      <c r="F128" s="181"/>
      <c r="G128" s="2"/>
      <c r="I128" s="190"/>
      <c r="J128" s="190"/>
      <c r="K128" s="2"/>
      <c r="Q128" s="59" t="str">
        <f>IFERROR(__xludf.DUMMYFUNCTION("""COMPUTED_VALUE"""),"Net Ad IT Solutions")</f>
        <v>Net Ad IT Solutions</v>
      </c>
      <c r="R128" s="4">
        <f>IFERROR(__xludf.DUMMYFUNCTION("""COMPUTED_VALUE"""),4.0)</f>
        <v>4</v>
      </c>
      <c r="S128" s="60">
        <f>IFERROR(__xludf.DUMMYFUNCTION("""COMPUTED_VALUE"""),45322.0)</f>
        <v>45322</v>
      </c>
      <c r="U128" s="59" t="str">
        <f>IFERROR(__xludf.DUMMYFUNCTION("""COMPUTED_VALUE"""),"Net Ad IT Solutions")</f>
        <v>Net Ad IT Solutions</v>
      </c>
      <c r="V128" s="4">
        <f>IFERROR(__xludf.DUMMYFUNCTION("""COMPUTED_VALUE"""),4.833333333333333)</f>
        <v>4.833333333</v>
      </c>
      <c r="W128" s="60">
        <f>IFERROR(__xludf.DUMMYFUNCTION("""COMPUTED_VALUE"""),45611.0)</f>
        <v>45611</v>
      </c>
      <c r="Z128" s="4"/>
      <c r="AC128" s="4"/>
      <c r="AF128" s="4"/>
    </row>
    <row r="129">
      <c r="A129" s="179"/>
      <c r="B129" s="180"/>
      <c r="C129" s="2"/>
      <c r="E129" s="181"/>
      <c r="F129" s="181"/>
      <c r="G129" s="2"/>
      <c r="I129" s="190"/>
      <c r="J129" s="190"/>
      <c r="K129" s="2"/>
      <c r="Q129" s="59" t="str">
        <f>IFERROR(__xludf.DUMMYFUNCTION("""COMPUTED_VALUE"""),"Abenson Ventures, Inc.")</f>
        <v>Abenson Ventures, Inc.</v>
      </c>
      <c r="R129" s="4">
        <f>IFERROR(__xludf.DUMMYFUNCTION("""COMPUTED_VALUE"""),4.533333333333333)</f>
        <v>4.533333333</v>
      </c>
      <c r="S129" s="60">
        <f>IFERROR(__xludf.DUMMYFUNCTION("""COMPUTED_VALUE"""),45324.0)</f>
        <v>45324</v>
      </c>
      <c r="U129" s="59" t="str">
        <f>IFERROR(__xludf.DUMMYFUNCTION("""COMPUTED_VALUE"""),"Net Ad IT Solutions")</f>
        <v>Net Ad IT Solutions</v>
      </c>
      <c r="V129" s="4">
        <f>IFERROR(__xludf.DUMMYFUNCTION("""COMPUTED_VALUE"""),4.833333333333333)</f>
        <v>4.833333333</v>
      </c>
      <c r="W129" s="60">
        <f>IFERROR(__xludf.DUMMYFUNCTION("""COMPUTED_VALUE"""),45611.0)</f>
        <v>45611</v>
      </c>
      <c r="Z129" s="4"/>
      <c r="AC129" s="4"/>
      <c r="AF129" s="4"/>
    </row>
    <row r="130">
      <c r="A130" s="179"/>
      <c r="B130" s="180"/>
      <c r="C130" s="2"/>
      <c r="E130" s="181"/>
      <c r="F130" s="181"/>
      <c r="G130" s="2"/>
      <c r="I130" s="190"/>
      <c r="J130" s="190"/>
      <c r="K130" s="2"/>
      <c r="Q130" s="59" t="str">
        <f>IFERROR(__xludf.DUMMYFUNCTION("""COMPUTED_VALUE"""),"Belview Co., Inc.")</f>
        <v>Belview Co., Inc.</v>
      </c>
      <c r="R130" s="4">
        <f>IFERROR(__xludf.DUMMYFUNCTION("""COMPUTED_VALUE"""),4.733333333333333)</f>
        <v>4.733333333</v>
      </c>
      <c r="S130" s="60">
        <f>IFERROR(__xludf.DUMMYFUNCTION("""COMPUTED_VALUE"""),45327.0)</f>
        <v>45327</v>
      </c>
      <c r="U130" s="59" t="str">
        <f>IFERROR(__xludf.DUMMYFUNCTION("""COMPUTED_VALUE"""),"Net Ad IT Solutions")</f>
        <v>Net Ad IT Solutions</v>
      </c>
      <c r="V130" s="4">
        <f>IFERROR(__xludf.DUMMYFUNCTION("""COMPUTED_VALUE"""),4.833333333333333)</f>
        <v>4.833333333</v>
      </c>
      <c r="W130" s="60">
        <f>IFERROR(__xludf.DUMMYFUNCTION("""COMPUTED_VALUE"""),45611.0)</f>
        <v>45611</v>
      </c>
      <c r="Z130" s="4"/>
      <c r="AC130" s="4"/>
      <c r="AF130" s="4"/>
    </row>
    <row r="131">
      <c r="A131" s="179"/>
      <c r="B131" s="180"/>
      <c r="C131" s="2"/>
      <c r="E131" s="181"/>
      <c r="F131" s="181"/>
      <c r="G131" s="2"/>
      <c r="I131" s="190"/>
      <c r="J131" s="190"/>
      <c r="K131" s="2"/>
      <c r="Q131" s="59" t="str">
        <f>IFERROR(__xludf.DUMMYFUNCTION("""COMPUTED_VALUE"""),"Times Trading Co., Inc.")</f>
        <v>Times Trading Co., Inc.</v>
      </c>
      <c r="R131" s="4">
        <f>IFERROR(__xludf.DUMMYFUNCTION("""COMPUTED_VALUE"""),5.0)</f>
        <v>5</v>
      </c>
      <c r="S131" s="60">
        <f>IFERROR(__xludf.DUMMYFUNCTION("""COMPUTED_VALUE"""),45327.0)</f>
        <v>45327</v>
      </c>
      <c r="U131" s="59" t="str">
        <f>IFERROR(__xludf.DUMMYFUNCTION("""COMPUTED_VALUE"""),"Net Ad IT Solutions")</f>
        <v>Net Ad IT Solutions</v>
      </c>
      <c r="V131" s="4">
        <f>IFERROR(__xludf.DUMMYFUNCTION("""COMPUTED_VALUE"""),4.833333333333333)</f>
        <v>4.833333333</v>
      </c>
      <c r="W131" s="60">
        <f>IFERROR(__xludf.DUMMYFUNCTION("""COMPUTED_VALUE"""),45611.0)</f>
        <v>45611</v>
      </c>
      <c r="Z131" s="4"/>
      <c r="AC131" s="4"/>
      <c r="AF131" s="4"/>
    </row>
    <row r="132">
      <c r="A132" s="179"/>
      <c r="B132" s="180"/>
      <c r="C132" s="2"/>
      <c r="E132" s="181"/>
      <c r="F132" s="181"/>
      <c r="G132" s="2"/>
      <c r="I132" s="190"/>
      <c r="J132" s="190"/>
      <c r="K132" s="2"/>
      <c r="Q132" s="59" t="str">
        <f>IFERROR(__xludf.DUMMYFUNCTION("""COMPUTED_VALUE"""),"Contrade Integrated Depot")</f>
        <v>Contrade Integrated Depot</v>
      </c>
      <c r="R132" s="4">
        <f>IFERROR(__xludf.DUMMYFUNCTION("""COMPUTED_VALUE"""),4.0)</f>
        <v>4</v>
      </c>
      <c r="S132" s="60">
        <f>IFERROR(__xludf.DUMMYFUNCTION("""COMPUTED_VALUE"""),45329.0)</f>
        <v>45329</v>
      </c>
      <c r="U132" s="59" t="str">
        <f>IFERROR(__xludf.DUMMYFUNCTION("""COMPUTED_VALUE"""),"Net Ad IT Solutions")</f>
        <v>Net Ad IT Solutions</v>
      </c>
      <c r="V132" s="4">
        <f>IFERROR(__xludf.DUMMYFUNCTION("""COMPUTED_VALUE"""),4.791666666666667)</f>
        <v>4.791666667</v>
      </c>
      <c r="W132" s="60">
        <f>IFERROR(__xludf.DUMMYFUNCTION("""COMPUTED_VALUE"""),45611.0)</f>
        <v>45611</v>
      </c>
      <c r="Z132" s="4"/>
      <c r="AC132" s="4"/>
      <c r="AF132" s="4"/>
    </row>
    <row r="133">
      <c r="A133" s="179"/>
      <c r="B133" s="180"/>
      <c r="C133" s="2"/>
      <c r="E133" s="181"/>
      <c r="F133" s="181"/>
      <c r="G133" s="2"/>
      <c r="I133" s="190"/>
      <c r="J133" s="190"/>
      <c r="K133" s="2"/>
      <c r="Q133" s="59" t="str">
        <f>IFERROR(__xludf.DUMMYFUNCTION("""COMPUTED_VALUE"""),"Contrade Integrated Depot")</f>
        <v>Contrade Integrated Depot</v>
      </c>
      <c r="R133" s="4">
        <f>IFERROR(__xludf.DUMMYFUNCTION("""COMPUTED_VALUE"""),4.5)</f>
        <v>4.5</v>
      </c>
      <c r="S133" s="60">
        <f>IFERROR(__xludf.DUMMYFUNCTION("""COMPUTED_VALUE"""),45331.0)</f>
        <v>45331</v>
      </c>
      <c r="U133" s="59" t="str">
        <f>IFERROR(__xludf.DUMMYFUNCTION("""COMPUTED_VALUE"""),"Abacus Book &amp; Card Corp.")</f>
        <v>Abacus Book &amp; Card Corp.</v>
      </c>
      <c r="V133" s="4">
        <f>IFERROR(__xludf.DUMMYFUNCTION("""COMPUTED_VALUE"""),4.666666666666667)</f>
        <v>4.666666667</v>
      </c>
      <c r="W133" s="60">
        <f>IFERROR(__xludf.DUMMYFUNCTION("""COMPUTED_VALUE"""),45616.0)</f>
        <v>45616</v>
      </c>
      <c r="Z133" s="4"/>
      <c r="AC133" s="4"/>
      <c r="AF133" s="4"/>
    </row>
    <row r="134">
      <c r="A134" s="179"/>
      <c r="B134" s="180"/>
      <c r="C134" s="2"/>
      <c r="E134" s="181"/>
      <c r="F134" s="181"/>
      <c r="G134" s="2"/>
      <c r="I134" s="190"/>
      <c r="J134" s="190"/>
      <c r="K134" s="2"/>
      <c r="Q134" s="59" t="str">
        <f>IFERROR(__xludf.DUMMYFUNCTION("""COMPUTED_VALUE"""),"Belview Co., Inc.")</f>
        <v>Belview Co., Inc.</v>
      </c>
      <c r="R134" s="4">
        <f>IFERROR(__xludf.DUMMYFUNCTION("""COMPUTED_VALUE"""),4.733333333333333)</f>
        <v>4.733333333</v>
      </c>
      <c r="S134" s="60">
        <f>IFERROR(__xludf.DUMMYFUNCTION("""COMPUTED_VALUE"""),45335.0)</f>
        <v>45335</v>
      </c>
      <c r="U134" s="59" t="str">
        <f>IFERROR(__xludf.DUMMYFUNCTION("""COMPUTED_VALUE"""),"Abacus Book &amp; Card Corp.")</f>
        <v>Abacus Book &amp; Card Corp.</v>
      </c>
      <c r="V134" s="4">
        <f>IFERROR(__xludf.DUMMYFUNCTION("""COMPUTED_VALUE"""),4.75)</f>
        <v>4.75</v>
      </c>
      <c r="W134" s="60">
        <f>IFERROR(__xludf.DUMMYFUNCTION("""COMPUTED_VALUE"""),45618.0)</f>
        <v>45618</v>
      </c>
      <c r="Z134" s="4"/>
      <c r="AC134" s="4"/>
      <c r="AF134" s="4"/>
    </row>
    <row r="135">
      <c r="A135" s="179"/>
      <c r="B135" s="180"/>
      <c r="C135" s="2"/>
      <c r="E135" s="181"/>
      <c r="F135" s="181"/>
      <c r="G135" s="2"/>
      <c r="I135" s="190"/>
      <c r="J135" s="190"/>
      <c r="K135" s="2"/>
      <c r="Q135" s="59" t="str">
        <f>IFERROR(__xludf.DUMMYFUNCTION("""COMPUTED_VALUE"""),"REX Bookstore, Inc.")</f>
        <v>REX Bookstore, Inc.</v>
      </c>
      <c r="R135" s="4">
        <f>IFERROR(__xludf.DUMMYFUNCTION("""COMPUTED_VALUE"""),4.833333333333333)</f>
        <v>4.833333333</v>
      </c>
      <c r="S135" s="60">
        <f>IFERROR(__xludf.DUMMYFUNCTION("""COMPUTED_VALUE"""),45336.0)</f>
        <v>45336</v>
      </c>
      <c r="U135" s="59" t="str">
        <f>IFERROR(__xludf.DUMMYFUNCTION("""COMPUTED_VALUE"""),"Abacus Book &amp; Card Corp.")</f>
        <v>Abacus Book &amp; Card Corp.</v>
      </c>
      <c r="V135" s="4">
        <f>IFERROR(__xludf.DUMMYFUNCTION("""COMPUTED_VALUE"""),4.75)</f>
        <v>4.75</v>
      </c>
      <c r="W135" s="60">
        <f>IFERROR(__xludf.DUMMYFUNCTION("""COMPUTED_VALUE"""),45618.0)</f>
        <v>45618</v>
      </c>
      <c r="Z135" s="4"/>
      <c r="AC135" s="4"/>
      <c r="AF135" s="4"/>
    </row>
    <row r="136">
      <c r="A136" s="179"/>
      <c r="B136" s="180"/>
      <c r="C136" s="2"/>
      <c r="E136" s="181"/>
      <c r="F136" s="181"/>
      <c r="G136" s="2"/>
      <c r="I136" s="190"/>
      <c r="J136" s="190"/>
      <c r="K136" s="2"/>
      <c r="Q136" s="59" t="str">
        <f>IFERROR(__xludf.DUMMYFUNCTION("""COMPUTED_VALUE"""),"REX Bookstore, Inc.")</f>
        <v>REX Bookstore, Inc.</v>
      </c>
      <c r="R136" s="4">
        <f>IFERROR(__xludf.DUMMYFUNCTION("""COMPUTED_VALUE"""),4.833333333333333)</f>
        <v>4.833333333</v>
      </c>
      <c r="S136" s="60">
        <f>IFERROR(__xludf.DUMMYFUNCTION("""COMPUTED_VALUE"""),45336.0)</f>
        <v>45336</v>
      </c>
      <c r="U136" s="59" t="str">
        <f>IFERROR(__xludf.DUMMYFUNCTION("""COMPUTED_VALUE"""),"Mostaco Printing")</f>
        <v>Mostaco Printing</v>
      </c>
      <c r="V136" s="4">
        <f>IFERROR(__xludf.DUMMYFUNCTION("""COMPUTED_VALUE"""),4.0)</f>
        <v>4</v>
      </c>
      <c r="W136" s="60">
        <f>IFERROR(__xludf.DUMMYFUNCTION("""COMPUTED_VALUE"""),45619.0)</f>
        <v>45619</v>
      </c>
      <c r="Z136" s="4"/>
      <c r="AC136" s="4"/>
      <c r="AF136" s="4"/>
    </row>
    <row r="137">
      <c r="A137" s="179"/>
      <c r="B137" s="180"/>
      <c r="C137" s="2"/>
      <c r="E137" s="181"/>
      <c r="F137" s="181"/>
      <c r="G137" s="2"/>
      <c r="I137" s="190"/>
      <c r="J137" s="190"/>
      <c r="K137" s="2"/>
      <c r="Q137" s="59" t="str">
        <f>IFERROR(__xludf.DUMMYFUNCTION("""COMPUTED_VALUE"""),"Rivchem Enterprises")</f>
        <v>Rivchem Enterprises</v>
      </c>
      <c r="R137" s="4">
        <f>IFERROR(__xludf.DUMMYFUNCTION("""COMPUTED_VALUE"""),4.75)</f>
        <v>4.75</v>
      </c>
      <c r="S137" s="60">
        <f>IFERROR(__xludf.DUMMYFUNCTION("""COMPUTED_VALUE"""),45337.0)</f>
        <v>45337</v>
      </c>
      <c r="U137" s="59" t="str">
        <f>IFERROR(__xludf.DUMMYFUNCTION("""COMPUTED_VALUE"""),"Montesan Enterprises")</f>
        <v>Montesan Enterprises</v>
      </c>
      <c r="V137" s="4">
        <f>IFERROR(__xludf.DUMMYFUNCTION("""COMPUTED_VALUE"""),4.833333333333333)</f>
        <v>4.833333333</v>
      </c>
      <c r="W137" s="60">
        <f>IFERROR(__xludf.DUMMYFUNCTION("""COMPUTED_VALUE"""),45625.0)</f>
        <v>45625</v>
      </c>
      <c r="Z137" s="4"/>
      <c r="AC137" s="4"/>
      <c r="AF137" s="4"/>
    </row>
    <row r="138">
      <c r="A138" s="179"/>
      <c r="B138" s="180"/>
      <c r="C138" s="2"/>
      <c r="E138" s="181"/>
      <c r="F138" s="181"/>
      <c r="G138" s="2"/>
      <c r="I138" s="190"/>
      <c r="J138" s="190"/>
      <c r="K138" s="2"/>
      <c r="Q138" s="59" t="str">
        <f>IFERROR(__xludf.DUMMYFUNCTION("""COMPUTED_VALUE"""),"Belview Co., Inc.")</f>
        <v>Belview Co., Inc.</v>
      </c>
      <c r="R138" s="4">
        <f>IFERROR(__xludf.DUMMYFUNCTION("""COMPUTED_VALUE"""),4.733333333333333)</f>
        <v>4.733333333</v>
      </c>
      <c r="S138" s="60">
        <f>IFERROR(__xludf.DUMMYFUNCTION("""COMPUTED_VALUE"""),45338.0)</f>
        <v>45338</v>
      </c>
      <c r="U138" s="59" t="str">
        <f>IFERROR(__xludf.DUMMYFUNCTION("""COMPUTED_VALUE"""),"Rivchem Enterprises")</f>
        <v>Rivchem Enterprises</v>
      </c>
      <c r="V138" s="4">
        <f>IFERROR(__xludf.DUMMYFUNCTION("""COMPUTED_VALUE"""),4.625)</f>
        <v>4.625</v>
      </c>
      <c r="W138" s="60">
        <f>IFERROR(__xludf.DUMMYFUNCTION("""COMPUTED_VALUE"""),45628.0)</f>
        <v>45628</v>
      </c>
      <c r="Z138" s="4"/>
      <c r="AC138" s="4"/>
      <c r="AF138" s="4"/>
    </row>
    <row r="139">
      <c r="A139" s="179"/>
      <c r="B139" s="180"/>
      <c r="C139" s="2"/>
      <c r="E139" s="181"/>
      <c r="F139" s="181"/>
      <c r="G139" s="2"/>
      <c r="I139" s="190"/>
      <c r="J139" s="190"/>
      <c r="K139" s="2"/>
      <c r="Q139" s="59" t="str">
        <f>IFERROR(__xludf.DUMMYFUNCTION("""COMPUTED_VALUE"""),"Belview Co., Inc.")</f>
        <v>Belview Co., Inc.</v>
      </c>
      <c r="R139" s="4">
        <f>IFERROR(__xludf.DUMMYFUNCTION("""COMPUTED_VALUE"""),4.833333333333333)</f>
        <v>4.833333333</v>
      </c>
      <c r="S139" s="60">
        <f>IFERROR(__xludf.DUMMYFUNCTION("""COMPUTED_VALUE"""),45338.0)</f>
        <v>45338</v>
      </c>
      <c r="U139" s="59" t="str">
        <f>IFERROR(__xludf.DUMMYFUNCTION("""COMPUTED_VALUE"""),"Chemtrust Global Market, Inc.")</f>
        <v>Chemtrust Global Market, Inc.</v>
      </c>
      <c r="V139" s="4">
        <f>IFERROR(__xludf.DUMMYFUNCTION("""COMPUTED_VALUE"""),4.625)</f>
        <v>4.625</v>
      </c>
      <c r="W139" s="60">
        <f>IFERROR(__xludf.DUMMYFUNCTION("""COMPUTED_VALUE"""),45630.0)</f>
        <v>45630</v>
      </c>
      <c r="Z139" s="4"/>
      <c r="AC139" s="4"/>
      <c r="AF139" s="4"/>
    </row>
    <row r="140">
      <c r="A140" s="179"/>
      <c r="B140" s="180"/>
      <c r="C140" s="2"/>
      <c r="E140" s="181"/>
      <c r="F140" s="181"/>
      <c r="G140" s="2"/>
      <c r="I140" s="190"/>
      <c r="J140" s="190"/>
      <c r="K140" s="2"/>
      <c r="Q140" s="59" t="str">
        <f>IFERROR(__xludf.DUMMYFUNCTION("""COMPUTED_VALUE"""),"ADBM Lightning Equipment Trading")</f>
        <v>ADBM Lightning Equipment Trading</v>
      </c>
      <c r="R140" s="4">
        <f>IFERROR(__xludf.DUMMYFUNCTION("""COMPUTED_VALUE"""),5.0)</f>
        <v>5</v>
      </c>
      <c r="S140" s="60">
        <f>IFERROR(__xludf.DUMMYFUNCTION("""COMPUTED_VALUE"""),45342.0)</f>
        <v>45342</v>
      </c>
      <c r="U140" s="59" t="str">
        <f>IFERROR(__xludf.DUMMYFUNCTION("""COMPUTED_VALUE"""),"Print Depot Inc.")</f>
        <v>Print Depot Inc.</v>
      </c>
      <c r="V140" s="4">
        <f>IFERROR(__xludf.DUMMYFUNCTION("""COMPUTED_VALUE"""),4.75)</f>
        <v>4.75</v>
      </c>
      <c r="W140" s="60">
        <f>IFERROR(__xludf.DUMMYFUNCTION("""COMPUTED_VALUE"""),45630.0)</f>
        <v>45630</v>
      </c>
      <c r="Z140" s="4"/>
      <c r="AC140" s="4"/>
      <c r="AF140" s="4"/>
    </row>
    <row r="141">
      <c r="A141" s="179"/>
      <c r="B141" s="180"/>
      <c r="C141" s="2"/>
      <c r="E141" s="181"/>
      <c r="F141" s="181"/>
      <c r="G141" s="2"/>
      <c r="I141" s="190"/>
      <c r="J141" s="190"/>
      <c r="K141" s="2"/>
      <c r="Q141" s="59" t="str">
        <f>IFERROR(__xludf.DUMMYFUNCTION("""COMPUTED_VALUE"""),"Creative Juice Digital Printing")</f>
        <v>Creative Juice Digital Printing</v>
      </c>
      <c r="R141" s="4">
        <f>IFERROR(__xludf.DUMMYFUNCTION("""COMPUTED_VALUE"""),4.588888888888889)</f>
        <v>4.588888889</v>
      </c>
      <c r="S141" s="60">
        <f>IFERROR(__xludf.DUMMYFUNCTION("""COMPUTED_VALUE"""),45348.0)</f>
        <v>45348</v>
      </c>
      <c r="U141" s="59" t="str">
        <f>IFERROR(__xludf.DUMMYFUNCTION("""COMPUTED_VALUE"""),"Rivchem Enterprises")</f>
        <v>Rivchem Enterprises</v>
      </c>
      <c r="V141" s="4">
        <f>IFERROR(__xludf.DUMMYFUNCTION("""COMPUTED_VALUE"""),4.625)</f>
        <v>4.625</v>
      </c>
      <c r="W141" s="60">
        <f>IFERROR(__xludf.DUMMYFUNCTION("""COMPUTED_VALUE"""),45632.0)</f>
        <v>45632</v>
      </c>
      <c r="Z141" s="4"/>
      <c r="AC141" s="4"/>
      <c r="AF141" s="4"/>
    </row>
    <row r="142">
      <c r="A142" s="179"/>
      <c r="B142" s="180"/>
      <c r="C142" s="2"/>
      <c r="E142" s="181"/>
      <c r="F142" s="181"/>
      <c r="G142" s="2"/>
      <c r="I142" s="190"/>
      <c r="J142" s="190"/>
      <c r="K142" s="2"/>
      <c r="Q142" s="59" t="str">
        <f>IFERROR(__xludf.DUMMYFUNCTION("""COMPUTED_VALUE"""),"Creative Juice Digital Printing")</f>
        <v>Creative Juice Digital Printing</v>
      </c>
      <c r="R142" s="4">
        <f>IFERROR(__xludf.DUMMYFUNCTION("""COMPUTED_VALUE"""),4.533333333333333)</f>
        <v>4.533333333</v>
      </c>
      <c r="S142" s="60">
        <f>IFERROR(__xludf.DUMMYFUNCTION("""COMPUTED_VALUE"""),45348.0)</f>
        <v>45348</v>
      </c>
      <c r="U142" s="59" t="str">
        <f>IFERROR(__xludf.DUMMYFUNCTION("""COMPUTED_VALUE"""),"Printing Shop PrintPilipinas.com")</f>
        <v>Printing Shop PrintPilipinas.com</v>
      </c>
      <c r="V142" s="4">
        <f>IFERROR(__xludf.DUMMYFUNCTION("""COMPUTED_VALUE"""),4.833333333333333)</f>
        <v>4.833333333</v>
      </c>
      <c r="W142" s="60">
        <f>IFERROR(__xludf.DUMMYFUNCTION("""COMPUTED_VALUE"""),45632.0)</f>
        <v>45632</v>
      </c>
      <c r="Z142" s="4"/>
      <c r="AC142" s="4"/>
      <c r="AF142" s="4"/>
    </row>
    <row r="143">
      <c r="A143" s="179"/>
      <c r="B143" s="180"/>
      <c r="C143" s="2"/>
      <c r="E143" s="181"/>
      <c r="F143" s="181"/>
      <c r="G143" s="2"/>
      <c r="I143" s="190"/>
      <c r="J143" s="190"/>
      <c r="K143" s="2"/>
      <c r="Q143" s="59" t="str">
        <f>IFERROR(__xludf.DUMMYFUNCTION("""COMPUTED_VALUE"""),"Creative Juice Digital Printing")</f>
        <v>Creative Juice Digital Printing</v>
      </c>
      <c r="R143" s="4">
        <f>IFERROR(__xludf.DUMMYFUNCTION("""COMPUTED_VALUE"""),4.0)</f>
        <v>4</v>
      </c>
      <c r="S143" s="60">
        <f>IFERROR(__xludf.DUMMYFUNCTION("""COMPUTED_VALUE"""),45348.0)</f>
        <v>45348</v>
      </c>
      <c r="U143" s="59" t="str">
        <f>IFERROR(__xludf.DUMMYFUNCTION("""COMPUTED_VALUE"""),"Printing Shop PrintPilipinas.com")</f>
        <v>Printing Shop PrintPilipinas.com</v>
      </c>
      <c r="V143" s="4">
        <f>IFERROR(__xludf.DUMMYFUNCTION("""COMPUTED_VALUE"""),4.833333333333333)</f>
        <v>4.833333333</v>
      </c>
      <c r="W143" s="60">
        <f>IFERROR(__xludf.DUMMYFUNCTION("""COMPUTED_VALUE"""),45632.0)</f>
        <v>45632</v>
      </c>
      <c r="Z143" s="4"/>
      <c r="AC143" s="4"/>
      <c r="AF143" s="4"/>
    </row>
    <row r="144">
      <c r="A144" s="179"/>
      <c r="B144" s="180"/>
      <c r="C144" s="2"/>
      <c r="E144" s="181"/>
      <c r="F144" s="181"/>
      <c r="G144" s="2"/>
      <c r="I144" s="190"/>
      <c r="J144" s="190"/>
      <c r="K144" s="2"/>
      <c r="Q144" s="59" t="str">
        <f>IFERROR(__xludf.DUMMYFUNCTION("""COMPUTED_VALUE"""),"Primeline Products Philippines, Inc.")</f>
        <v>Primeline Products Philippines, Inc.</v>
      </c>
      <c r="R144" s="4">
        <f>IFERROR(__xludf.DUMMYFUNCTION("""COMPUTED_VALUE"""),4.75)</f>
        <v>4.75</v>
      </c>
      <c r="S144" s="60">
        <f>IFERROR(__xludf.DUMMYFUNCTION("""COMPUTED_VALUE"""),45348.0)</f>
        <v>45348</v>
      </c>
      <c r="U144" s="59" t="str">
        <f>IFERROR(__xludf.DUMMYFUNCTION("""COMPUTED_VALUE"""),"Printing Shop PrintPilipinas.com")</f>
        <v>Printing Shop PrintPilipinas.com</v>
      </c>
      <c r="V144" s="4">
        <f>IFERROR(__xludf.DUMMYFUNCTION("""COMPUTED_VALUE"""),4.833333333333333)</f>
        <v>4.833333333</v>
      </c>
      <c r="W144" s="60">
        <f>IFERROR(__xludf.DUMMYFUNCTION("""COMPUTED_VALUE"""),45632.0)</f>
        <v>45632</v>
      </c>
      <c r="Z144" s="4"/>
      <c r="AC144" s="4"/>
      <c r="AF144" s="4"/>
    </row>
    <row r="145">
      <c r="A145" s="179"/>
      <c r="B145" s="180"/>
      <c r="C145" s="2"/>
      <c r="E145" s="181"/>
      <c r="F145" s="181"/>
      <c r="G145" s="2"/>
      <c r="I145" s="190"/>
      <c r="J145" s="190"/>
      <c r="K145" s="2"/>
      <c r="Q145" s="59" t="str">
        <f>IFERROR(__xludf.DUMMYFUNCTION("""COMPUTED_VALUE"""),"Crosspoint Paper, Inc.")</f>
        <v>Crosspoint Paper, Inc.</v>
      </c>
      <c r="R145" s="4">
        <f>IFERROR(__xludf.DUMMYFUNCTION("""COMPUTED_VALUE"""),5.0)</f>
        <v>5</v>
      </c>
      <c r="S145" s="60">
        <f>IFERROR(__xludf.DUMMYFUNCTION("""COMPUTED_VALUE"""),45348.0)</f>
        <v>45348</v>
      </c>
      <c r="U145" s="59" t="str">
        <f>IFERROR(__xludf.DUMMYFUNCTION("""COMPUTED_VALUE"""),"Microsmith Technology System,Inc.")</f>
        <v>Microsmith Technology System,Inc.</v>
      </c>
      <c r="V145" s="4">
        <f>IFERROR(__xludf.DUMMYFUNCTION("""COMPUTED_VALUE"""),4.5)</f>
        <v>4.5</v>
      </c>
      <c r="W145" s="60">
        <f>IFERROR(__xludf.DUMMYFUNCTION("""COMPUTED_VALUE"""),45632.0)</f>
        <v>45632</v>
      </c>
      <c r="Z145" s="4"/>
      <c r="AC145" s="4"/>
      <c r="AF145" s="4"/>
    </row>
    <row r="146">
      <c r="A146" s="179"/>
      <c r="B146" s="180"/>
      <c r="C146" s="2"/>
      <c r="E146" s="181"/>
      <c r="F146" s="181"/>
      <c r="G146" s="2"/>
      <c r="I146" s="190"/>
      <c r="J146" s="190"/>
      <c r="K146" s="2"/>
      <c r="Q146" s="59" t="str">
        <f>IFERROR(__xludf.DUMMYFUNCTION("""COMPUTED_VALUE"""),"Contrade Integrated Depot")</f>
        <v>Contrade Integrated Depot</v>
      </c>
      <c r="R146" s="4">
        <f>IFERROR(__xludf.DUMMYFUNCTION("""COMPUTED_VALUE"""),4.5)</f>
        <v>4.5</v>
      </c>
      <c r="S146" s="60">
        <f>IFERROR(__xludf.DUMMYFUNCTION("""COMPUTED_VALUE"""),45348.0)</f>
        <v>45348</v>
      </c>
      <c r="U146" s="59" t="str">
        <f>IFERROR(__xludf.DUMMYFUNCTION("""COMPUTED_VALUE"""),"Abenson Ventures, Inc.")</f>
        <v>Abenson Ventures, Inc.</v>
      </c>
      <c r="V146" s="4">
        <f>IFERROR(__xludf.DUMMYFUNCTION("""COMPUTED_VALUE"""),4.916666666666667)</f>
        <v>4.916666667</v>
      </c>
      <c r="W146" s="60">
        <f>IFERROR(__xludf.DUMMYFUNCTION("""COMPUTED_VALUE"""),45632.0)</f>
        <v>45632</v>
      </c>
      <c r="Z146" s="4"/>
      <c r="AC146" s="4"/>
      <c r="AF146" s="4"/>
    </row>
    <row r="147">
      <c r="A147" s="179"/>
      <c r="B147" s="180"/>
      <c r="C147" s="2"/>
      <c r="E147" s="181"/>
      <c r="F147" s="181"/>
      <c r="G147" s="2"/>
      <c r="I147" s="190"/>
      <c r="J147" s="190"/>
      <c r="K147" s="2"/>
      <c r="Q147" s="59" t="str">
        <f>IFERROR(__xludf.DUMMYFUNCTION("""COMPUTED_VALUE"""),"Abacus Book &amp; Card Corp.")</f>
        <v>Abacus Book &amp; Card Corp.</v>
      </c>
      <c r="R147" s="4">
        <f>IFERROR(__xludf.DUMMYFUNCTION("""COMPUTED_VALUE"""),5.0)</f>
        <v>5</v>
      </c>
      <c r="S147" s="60">
        <f>IFERROR(__xludf.DUMMYFUNCTION("""COMPUTED_VALUE"""),45348.0)</f>
        <v>45348</v>
      </c>
      <c r="U147" s="59" t="str">
        <f>IFERROR(__xludf.DUMMYFUNCTION("""COMPUTED_VALUE"""),"Contrade Integrated Depot")</f>
        <v>Contrade Integrated Depot</v>
      </c>
      <c r="V147" s="4">
        <f>IFERROR(__xludf.DUMMYFUNCTION("""COMPUTED_VALUE"""),4.75)</f>
        <v>4.75</v>
      </c>
      <c r="W147" s="60">
        <f>IFERROR(__xludf.DUMMYFUNCTION("""COMPUTED_VALUE"""),45632.0)</f>
        <v>45632</v>
      </c>
      <c r="Z147" s="4"/>
      <c r="AC147" s="4"/>
      <c r="AF147" s="4"/>
    </row>
    <row r="148">
      <c r="A148" s="179"/>
      <c r="B148" s="180"/>
      <c r="C148" s="2"/>
      <c r="E148" s="181"/>
      <c r="F148" s="181"/>
      <c r="G148" s="2"/>
      <c r="I148" s="190"/>
      <c r="J148" s="190"/>
      <c r="K148" s="2"/>
      <c r="Q148" s="59" t="str">
        <f>IFERROR(__xludf.DUMMYFUNCTION("""COMPUTED_VALUE"""),"Contrade Integrated Depot")</f>
        <v>Contrade Integrated Depot</v>
      </c>
      <c r="R148" s="4">
        <f>IFERROR(__xludf.DUMMYFUNCTION("""COMPUTED_VALUE"""),4.5)</f>
        <v>4.5</v>
      </c>
      <c r="S148" s="60">
        <f>IFERROR(__xludf.DUMMYFUNCTION("""COMPUTED_VALUE"""),45348.0)</f>
        <v>45348</v>
      </c>
      <c r="U148" s="59" t="str">
        <f>IFERROR(__xludf.DUMMYFUNCTION("""COMPUTED_VALUE"""),"Contrade Integrated Depot")</f>
        <v>Contrade Integrated Depot</v>
      </c>
      <c r="V148" s="4">
        <f>IFERROR(__xludf.DUMMYFUNCTION("""COMPUTED_VALUE"""),4.75)</f>
        <v>4.75</v>
      </c>
      <c r="W148" s="60">
        <f>IFERROR(__xludf.DUMMYFUNCTION("""COMPUTED_VALUE"""),45632.0)</f>
        <v>45632</v>
      </c>
      <c r="Z148" s="4"/>
      <c r="AC148" s="4"/>
      <c r="AF148" s="4"/>
    </row>
    <row r="149">
      <c r="A149" s="179"/>
      <c r="B149" s="180"/>
      <c r="C149" s="2"/>
      <c r="E149" s="181"/>
      <c r="F149" s="181"/>
      <c r="G149" s="2"/>
      <c r="I149" s="190"/>
      <c r="J149" s="190"/>
      <c r="K149" s="2"/>
      <c r="Q149" s="59" t="str">
        <f>IFERROR(__xludf.DUMMYFUNCTION("""COMPUTED_VALUE"""),"Chemtrust Global Market, Inc.")</f>
        <v>Chemtrust Global Market, Inc.</v>
      </c>
      <c r="R149" s="4">
        <f>IFERROR(__xludf.DUMMYFUNCTION("""COMPUTED_VALUE"""),4.766666666666667)</f>
        <v>4.766666667</v>
      </c>
      <c r="S149" s="60">
        <f>IFERROR(__xludf.DUMMYFUNCTION("""COMPUTED_VALUE"""),45349.0)</f>
        <v>45349</v>
      </c>
      <c r="U149" s="59" t="str">
        <f>IFERROR(__xludf.DUMMYFUNCTION("""COMPUTED_VALUE"""),"Microsmith Technology System,Inc.")</f>
        <v>Microsmith Technology System,Inc.</v>
      </c>
      <c r="V149" s="4">
        <f>IFERROR(__xludf.DUMMYFUNCTION("""COMPUTED_VALUE"""),5.0)</f>
        <v>5</v>
      </c>
      <c r="W149" s="60">
        <f>IFERROR(__xludf.DUMMYFUNCTION("""COMPUTED_VALUE"""),45635.0)</f>
        <v>45635</v>
      </c>
      <c r="Z149" s="4"/>
      <c r="AC149" s="4"/>
      <c r="AF149" s="4"/>
    </row>
    <row r="150">
      <c r="A150" s="179"/>
      <c r="B150" s="180"/>
      <c r="C150" s="2"/>
      <c r="E150" s="181"/>
      <c r="F150" s="181"/>
      <c r="G150" s="2"/>
      <c r="I150" s="190"/>
      <c r="J150" s="190"/>
      <c r="K150" s="2"/>
      <c r="Q150" s="59" t="str">
        <f>IFERROR(__xludf.DUMMYFUNCTION("""COMPUTED_VALUE"""),"Contrade Integrated Depot")</f>
        <v>Contrade Integrated Depot</v>
      </c>
      <c r="R150" s="4">
        <f>IFERROR(__xludf.DUMMYFUNCTION("""COMPUTED_VALUE"""),5.0)</f>
        <v>5</v>
      </c>
      <c r="S150" s="60">
        <f>IFERROR(__xludf.DUMMYFUNCTION("""COMPUTED_VALUE"""),45349.0)</f>
        <v>45349</v>
      </c>
      <c r="U150" s="59" t="str">
        <f>IFERROR(__xludf.DUMMYFUNCTION("""COMPUTED_VALUE"""),"Contrade Integrated Depot")</f>
        <v>Contrade Integrated Depot</v>
      </c>
      <c r="V150" s="4">
        <f>IFERROR(__xludf.DUMMYFUNCTION("""COMPUTED_VALUE"""),4.75)</f>
        <v>4.75</v>
      </c>
      <c r="W150" s="60">
        <f>IFERROR(__xludf.DUMMYFUNCTION("""COMPUTED_VALUE"""),45635.0)</f>
        <v>45635</v>
      </c>
      <c r="Z150" s="4"/>
      <c r="AC150" s="4"/>
      <c r="AF150" s="4"/>
    </row>
    <row r="151">
      <c r="A151" s="179"/>
      <c r="B151" s="180"/>
      <c r="C151" s="2"/>
      <c r="E151" s="181"/>
      <c r="F151" s="181"/>
      <c r="G151" s="2"/>
      <c r="I151" s="190"/>
      <c r="J151" s="190"/>
      <c r="K151" s="2"/>
      <c r="Q151" s="59" t="str">
        <f>IFERROR(__xludf.DUMMYFUNCTION("""COMPUTED_VALUE"""),"Luminaire Printing And Publishing Corp.")</f>
        <v>Luminaire Printing And Publishing Corp.</v>
      </c>
      <c r="R151" s="4">
        <f>IFERROR(__xludf.DUMMYFUNCTION("""COMPUTED_VALUE"""),4.833333333333333)</f>
        <v>4.833333333</v>
      </c>
      <c r="S151" s="60">
        <f>IFERROR(__xludf.DUMMYFUNCTION("""COMPUTED_VALUE"""),45350.0)</f>
        <v>45350</v>
      </c>
      <c r="U151" s="59" t="str">
        <f>IFERROR(__xludf.DUMMYFUNCTION("""COMPUTED_VALUE"""),"Contrade Integrated Depot")</f>
        <v>Contrade Integrated Depot</v>
      </c>
      <c r="V151" s="4">
        <f>IFERROR(__xludf.DUMMYFUNCTION("""COMPUTED_VALUE"""),4.75)</f>
        <v>4.75</v>
      </c>
      <c r="W151" s="60">
        <f>IFERROR(__xludf.DUMMYFUNCTION("""COMPUTED_VALUE"""),45635.0)</f>
        <v>45635</v>
      </c>
      <c r="Z151" s="4"/>
      <c r="AC151" s="4"/>
      <c r="AF151" s="4"/>
    </row>
    <row r="152">
      <c r="A152" s="179"/>
      <c r="B152" s="180"/>
      <c r="C152" s="2"/>
      <c r="E152" s="181"/>
      <c r="F152" s="181"/>
      <c r="G152" s="2"/>
      <c r="I152" s="190"/>
      <c r="J152" s="190"/>
      <c r="K152" s="2"/>
      <c r="Q152" s="59" t="str">
        <f>IFERROR(__xludf.DUMMYFUNCTION("""COMPUTED_VALUE"""),"Luminaire Printing And Publishing Corp.")</f>
        <v>Luminaire Printing And Publishing Corp.</v>
      </c>
      <c r="R152" s="4">
        <f>IFERROR(__xludf.DUMMYFUNCTION("""COMPUTED_VALUE"""),5.0)</f>
        <v>5</v>
      </c>
      <c r="S152" s="60">
        <f>IFERROR(__xludf.DUMMYFUNCTION("""COMPUTED_VALUE"""),45350.0)</f>
        <v>45350</v>
      </c>
      <c r="U152" s="59" t="str">
        <f>IFERROR(__xludf.DUMMYFUNCTION("""COMPUTED_VALUE"""),"Contrade Integrated Depot")</f>
        <v>Contrade Integrated Depot</v>
      </c>
      <c r="V152" s="4">
        <f>IFERROR(__xludf.DUMMYFUNCTION("""COMPUTED_VALUE"""),4.75)</f>
        <v>4.75</v>
      </c>
      <c r="W152" s="60">
        <f>IFERROR(__xludf.DUMMYFUNCTION("""COMPUTED_VALUE"""),45635.0)</f>
        <v>45635</v>
      </c>
      <c r="Z152" s="4"/>
      <c r="AC152" s="4"/>
      <c r="AF152" s="4"/>
    </row>
    <row r="153">
      <c r="A153" s="179"/>
      <c r="B153" s="180"/>
      <c r="C153" s="2"/>
      <c r="E153" s="181"/>
      <c r="F153" s="181"/>
      <c r="G153" s="2"/>
      <c r="I153" s="190"/>
      <c r="J153" s="190"/>
      <c r="K153" s="2"/>
      <c r="Q153" s="59" t="str">
        <f>IFERROR(__xludf.DUMMYFUNCTION("""COMPUTED_VALUE"""),"Contrade Integrated Depot")</f>
        <v>Contrade Integrated Depot</v>
      </c>
      <c r="R153" s="4">
        <f>IFERROR(__xludf.DUMMYFUNCTION("""COMPUTED_VALUE"""),4.5)</f>
        <v>4.5</v>
      </c>
      <c r="S153" s="60">
        <f>IFERROR(__xludf.DUMMYFUNCTION("""COMPUTED_VALUE"""),45351.0)</f>
        <v>45351</v>
      </c>
      <c r="U153" s="59" t="str">
        <f>IFERROR(__xludf.DUMMYFUNCTION("""COMPUTED_VALUE"""),"Contrade Integrated Depot")</f>
        <v>Contrade Integrated Depot</v>
      </c>
      <c r="V153" s="4">
        <f>IFERROR(__xludf.DUMMYFUNCTION("""COMPUTED_VALUE"""),4.75)</f>
        <v>4.75</v>
      </c>
      <c r="W153" s="60">
        <f>IFERROR(__xludf.DUMMYFUNCTION("""COMPUTED_VALUE"""),45635.0)</f>
        <v>45635</v>
      </c>
      <c r="Z153" s="4"/>
      <c r="AC153" s="4"/>
      <c r="AF153" s="4"/>
    </row>
    <row r="154">
      <c r="A154" s="179"/>
      <c r="B154" s="180"/>
      <c r="C154" s="2"/>
      <c r="E154" s="181"/>
      <c r="F154" s="181"/>
      <c r="G154" s="2"/>
      <c r="I154" s="190"/>
      <c r="J154" s="190"/>
      <c r="K154" s="2"/>
      <c r="Q154" s="59" t="str">
        <f>IFERROR(__xludf.DUMMYFUNCTION("""COMPUTED_VALUE"""),"Mostaco Printing")</f>
        <v>Mostaco Printing</v>
      </c>
      <c r="R154" s="4">
        <f>IFERROR(__xludf.DUMMYFUNCTION("""COMPUTED_VALUE"""),5.0)</f>
        <v>5</v>
      </c>
      <c r="S154" s="60">
        <f>IFERROR(__xludf.DUMMYFUNCTION("""COMPUTED_VALUE"""),45351.0)</f>
        <v>45351</v>
      </c>
      <c r="U154" s="59" t="str">
        <f>IFERROR(__xludf.DUMMYFUNCTION("""COMPUTED_VALUE"""),"Contrade Integrated Depot")</f>
        <v>Contrade Integrated Depot</v>
      </c>
      <c r="V154" s="4">
        <f>IFERROR(__xludf.DUMMYFUNCTION("""COMPUTED_VALUE"""),4.0)</f>
        <v>4</v>
      </c>
      <c r="W154" s="60">
        <f>IFERROR(__xludf.DUMMYFUNCTION("""COMPUTED_VALUE"""),45635.0)</f>
        <v>45635</v>
      </c>
      <c r="Z154" s="4"/>
      <c r="AC154" s="4"/>
      <c r="AF154" s="4"/>
    </row>
    <row r="155">
      <c r="A155" s="179"/>
      <c r="B155" s="180"/>
      <c r="C155" s="2"/>
      <c r="E155" s="181"/>
      <c r="F155" s="181"/>
      <c r="G155" s="2"/>
      <c r="I155" s="190"/>
      <c r="J155" s="190"/>
      <c r="K155" s="2"/>
      <c r="Q155" s="59" t="str">
        <f>IFERROR(__xludf.DUMMYFUNCTION("""COMPUTED_VALUE"""),"Leonard Prints Inc.")</f>
        <v>Leonard Prints Inc.</v>
      </c>
      <c r="R155" s="4">
        <f>IFERROR(__xludf.DUMMYFUNCTION("""COMPUTED_VALUE"""),5.0)</f>
        <v>5</v>
      </c>
      <c r="S155" s="60">
        <f>IFERROR(__xludf.DUMMYFUNCTION("""COMPUTED_VALUE"""),45352.0)</f>
        <v>45352</v>
      </c>
      <c r="U155" s="59" t="str">
        <f>IFERROR(__xludf.DUMMYFUNCTION("""COMPUTED_VALUE"""),"Contrade Integrated Depot")</f>
        <v>Contrade Integrated Depot</v>
      </c>
      <c r="V155" s="4">
        <f>IFERROR(__xludf.DUMMYFUNCTION("""COMPUTED_VALUE"""),3.8333333333333335)</f>
        <v>3.833333333</v>
      </c>
      <c r="W155" s="60">
        <f>IFERROR(__xludf.DUMMYFUNCTION("""COMPUTED_VALUE"""),45635.0)</f>
        <v>45635</v>
      </c>
      <c r="Z155" s="4"/>
      <c r="AC155" s="4"/>
      <c r="AF155" s="4"/>
    </row>
    <row r="156">
      <c r="A156" s="179"/>
      <c r="B156" s="180"/>
      <c r="C156" s="2"/>
      <c r="E156" s="181"/>
      <c r="F156" s="181"/>
      <c r="G156" s="2"/>
      <c r="I156" s="190"/>
      <c r="J156" s="190"/>
      <c r="K156" s="2"/>
      <c r="Q156" s="59" t="str">
        <f>IFERROR(__xludf.DUMMYFUNCTION("""COMPUTED_VALUE"""),"Abenson Ventures, Inc.")</f>
        <v>Abenson Ventures, Inc.</v>
      </c>
      <c r="R156" s="4">
        <f>IFERROR(__xludf.DUMMYFUNCTION("""COMPUTED_VALUE"""),4.575)</f>
        <v>4.575</v>
      </c>
      <c r="S156" s="60">
        <f>IFERROR(__xludf.DUMMYFUNCTION("""COMPUTED_VALUE"""),45353.0)</f>
        <v>45353</v>
      </c>
      <c r="U156" s="59" t="str">
        <f>IFERROR(__xludf.DUMMYFUNCTION("""COMPUTED_VALUE"""),"Contrade Integrated Depot")</f>
        <v>Contrade Integrated Depot</v>
      </c>
      <c r="V156" s="4">
        <f>IFERROR(__xludf.DUMMYFUNCTION("""COMPUTED_VALUE"""),4.75)</f>
        <v>4.75</v>
      </c>
      <c r="W156" s="60">
        <f>IFERROR(__xludf.DUMMYFUNCTION("""COMPUTED_VALUE"""),45635.0)</f>
        <v>45635</v>
      </c>
      <c r="Z156" s="4"/>
      <c r="AC156" s="4"/>
      <c r="AF156" s="4"/>
    </row>
    <row r="157">
      <c r="A157" s="179"/>
      <c r="B157" s="180"/>
      <c r="C157" s="2"/>
      <c r="E157" s="181"/>
      <c r="F157" s="181"/>
      <c r="G157" s="2"/>
      <c r="I157" s="190"/>
      <c r="J157" s="190"/>
      <c r="K157" s="2"/>
      <c r="Q157" s="59" t="str">
        <f>IFERROR(__xludf.DUMMYFUNCTION("""COMPUTED_VALUE"""),"Rivchem Enterprises")</f>
        <v>Rivchem Enterprises</v>
      </c>
      <c r="R157" s="4">
        <f>IFERROR(__xludf.DUMMYFUNCTION("""COMPUTED_VALUE"""),4.75)</f>
        <v>4.75</v>
      </c>
      <c r="S157" s="60">
        <f>IFERROR(__xludf.DUMMYFUNCTION("""COMPUTED_VALUE"""),45355.0)</f>
        <v>45355</v>
      </c>
      <c r="U157" s="59" t="str">
        <f>IFERROR(__xludf.DUMMYFUNCTION("""COMPUTED_VALUE"""),"Contrade Integrated Depot")</f>
        <v>Contrade Integrated Depot</v>
      </c>
      <c r="V157" s="4">
        <f>IFERROR(__xludf.DUMMYFUNCTION("""COMPUTED_VALUE"""),4.833333333333333)</f>
        <v>4.833333333</v>
      </c>
      <c r="W157" s="60">
        <f>IFERROR(__xludf.DUMMYFUNCTION("""COMPUTED_VALUE"""),45635.0)</f>
        <v>45635</v>
      </c>
      <c r="Z157" s="4"/>
      <c r="AC157" s="4"/>
      <c r="AF157" s="4"/>
    </row>
    <row r="158">
      <c r="A158" s="179"/>
      <c r="B158" s="180"/>
      <c r="C158" s="2"/>
      <c r="E158" s="181"/>
      <c r="F158" s="181"/>
      <c r="G158" s="2"/>
      <c r="I158" s="190"/>
      <c r="J158" s="190"/>
      <c r="K158" s="2"/>
      <c r="Q158" s="59" t="str">
        <f>IFERROR(__xludf.DUMMYFUNCTION("""COMPUTED_VALUE"""),"Abacus Book &amp; Card Corp.")</f>
        <v>Abacus Book &amp; Card Corp.</v>
      </c>
      <c r="R158" s="4">
        <f>IFERROR(__xludf.DUMMYFUNCTION("""COMPUTED_VALUE"""),4.5)</f>
        <v>4.5</v>
      </c>
      <c r="S158" s="60">
        <f>IFERROR(__xludf.DUMMYFUNCTION("""COMPUTED_VALUE"""),45356.0)</f>
        <v>45356</v>
      </c>
      <c r="U158" s="59" t="str">
        <f>IFERROR(__xludf.DUMMYFUNCTION("""COMPUTED_VALUE"""),"Rivchem Enterprises")</f>
        <v>Rivchem Enterprises</v>
      </c>
      <c r="V158" s="4">
        <f>IFERROR(__xludf.DUMMYFUNCTION("""COMPUTED_VALUE"""),4.625)</f>
        <v>4.625</v>
      </c>
      <c r="W158" s="60">
        <f>IFERROR(__xludf.DUMMYFUNCTION("""COMPUTED_VALUE"""),45637.0)</f>
        <v>45637</v>
      </c>
      <c r="Z158" s="4"/>
      <c r="AC158" s="4"/>
      <c r="AF158" s="4"/>
    </row>
    <row r="159">
      <c r="A159" s="179"/>
      <c r="B159" s="180"/>
      <c r="C159" s="2"/>
      <c r="E159" s="181"/>
      <c r="F159" s="181"/>
      <c r="G159" s="2"/>
      <c r="I159" s="190"/>
      <c r="J159" s="190"/>
      <c r="K159" s="2"/>
      <c r="Q159" s="59" t="str">
        <f>IFERROR(__xludf.DUMMYFUNCTION("""COMPUTED_VALUE"""),"Commerce Asia, Inc.")</f>
        <v>Commerce Asia, Inc.</v>
      </c>
      <c r="R159" s="4">
        <f>IFERROR(__xludf.DUMMYFUNCTION("""COMPUTED_VALUE"""),4.496666666666667)</f>
        <v>4.496666667</v>
      </c>
      <c r="S159" s="60">
        <f>IFERROR(__xludf.DUMMYFUNCTION("""COMPUTED_VALUE"""),45356.0)</f>
        <v>45356</v>
      </c>
      <c r="U159" s="59" t="str">
        <f>IFERROR(__xludf.DUMMYFUNCTION("""COMPUTED_VALUE"""),"Rivchem Enterprises")</f>
        <v>Rivchem Enterprises</v>
      </c>
      <c r="V159" s="4">
        <f>IFERROR(__xludf.DUMMYFUNCTION("""COMPUTED_VALUE"""),4.625)</f>
        <v>4.625</v>
      </c>
      <c r="W159" s="60">
        <f>IFERROR(__xludf.DUMMYFUNCTION("""COMPUTED_VALUE"""),45637.0)</f>
        <v>45637</v>
      </c>
      <c r="Z159" s="4"/>
      <c r="AC159" s="4"/>
      <c r="AF159" s="4"/>
    </row>
    <row r="160">
      <c r="A160" s="179"/>
      <c r="B160" s="180"/>
      <c r="C160" s="2"/>
      <c r="E160" s="181"/>
      <c r="F160" s="181"/>
      <c r="G160" s="2"/>
      <c r="I160" s="190"/>
      <c r="J160" s="190"/>
      <c r="K160" s="2"/>
      <c r="Q160" s="59" t="str">
        <f>IFERROR(__xludf.DUMMYFUNCTION("""COMPUTED_VALUE"""),"DKL Laboratory Supplies")</f>
        <v>DKL Laboratory Supplies</v>
      </c>
      <c r="R160" s="4">
        <f>IFERROR(__xludf.DUMMYFUNCTION("""COMPUTED_VALUE"""),3.6666666666666665)</f>
        <v>3.666666667</v>
      </c>
      <c r="S160" s="60">
        <f>IFERROR(__xludf.DUMMYFUNCTION("""COMPUTED_VALUE"""),45356.0)</f>
        <v>45356</v>
      </c>
      <c r="U160" s="59" t="str">
        <f>IFERROR(__xludf.DUMMYFUNCTION("""COMPUTED_VALUE"""),"Rivchem Enterprises")</f>
        <v>Rivchem Enterprises</v>
      </c>
      <c r="V160" s="4">
        <f>IFERROR(__xludf.DUMMYFUNCTION("""COMPUTED_VALUE"""),4.625)</f>
        <v>4.625</v>
      </c>
      <c r="W160" s="60">
        <f>IFERROR(__xludf.DUMMYFUNCTION("""COMPUTED_VALUE"""),45637.0)</f>
        <v>45637</v>
      </c>
      <c r="Z160" s="4"/>
      <c r="AC160" s="4"/>
      <c r="AF160" s="4"/>
    </row>
    <row r="161">
      <c r="A161" s="179"/>
      <c r="B161" s="180"/>
      <c r="C161" s="2"/>
      <c r="E161" s="181"/>
      <c r="F161" s="181"/>
      <c r="G161" s="2"/>
      <c r="I161" s="190"/>
      <c r="J161" s="190"/>
      <c r="K161" s="2"/>
      <c r="Q161" s="59" t="str">
        <f>IFERROR(__xludf.DUMMYFUNCTION("""COMPUTED_VALUE"""),"Patagonian Enterprises ")</f>
        <v>Patagonian Enterprises </v>
      </c>
      <c r="R161" s="4">
        <f>IFERROR(__xludf.DUMMYFUNCTION("""COMPUTED_VALUE"""),3.6666666666666665)</f>
        <v>3.666666667</v>
      </c>
      <c r="S161" s="60">
        <f>IFERROR(__xludf.DUMMYFUNCTION("""COMPUTED_VALUE"""),45356.0)</f>
        <v>45356</v>
      </c>
      <c r="U161" s="59" t="str">
        <f>IFERROR(__xludf.DUMMYFUNCTION("""COMPUTED_VALUE"""),"Elle Tech and Trend Office Furniture and Interiors")</f>
        <v>Elle Tech and Trend Office Furniture and Interiors</v>
      </c>
      <c r="V161" s="4">
        <f>IFERROR(__xludf.DUMMYFUNCTION("""COMPUTED_VALUE"""),4.0)</f>
        <v>4</v>
      </c>
      <c r="W161" s="60">
        <f>IFERROR(__xludf.DUMMYFUNCTION("""COMPUTED_VALUE"""),45637.0)</f>
        <v>45637</v>
      </c>
      <c r="Z161" s="4"/>
      <c r="AC161" s="4"/>
      <c r="AF161" s="4"/>
    </row>
    <row r="162">
      <c r="A162" s="179"/>
      <c r="B162" s="180"/>
      <c r="C162" s="2"/>
      <c r="E162" s="181"/>
      <c r="F162" s="181"/>
      <c r="G162" s="2"/>
      <c r="I162" s="190"/>
      <c r="J162" s="190"/>
      <c r="K162" s="2"/>
      <c r="Q162" s="59" t="str">
        <f>IFERROR(__xludf.DUMMYFUNCTION("""COMPUTED_VALUE"""),"Contrade Integrated Depot")</f>
        <v>Contrade Integrated Depot</v>
      </c>
      <c r="R162" s="4">
        <f>IFERROR(__xludf.DUMMYFUNCTION("""COMPUTED_VALUE"""),4.496666666666667)</f>
        <v>4.496666667</v>
      </c>
      <c r="S162" s="60">
        <f>IFERROR(__xludf.DUMMYFUNCTION("""COMPUTED_VALUE"""),45357.0)</f>
        <v>45357</v>
      </c>
      <c r="U162" s="59" t="str">
        <f>IFERROR(__xludf.DUMMYFUNCTION("""COMPUTED_VALUE"""),"Mostaco Printing")</f>
        <v>Mostaco Printing</v>
      </c>
      <c r="V162" s="4">
        <f>IFERROR(__xludf.DUMMYFUNCTION("""COMPUTED_VALUE"""),4.833333333333333)</f>
        <v>4.833333333</v>
      </c>
      <c r="W162" s="60">
        <f>IFERROR(__xludf.DUMMYFUNCTION("""COMPUTED_VALUE"""),45637.0)</f>
        <v>45637</v>
      </c>
      <c r="Z162" s="4"/>
      <c r="AC162" s="4"/>
      <c r="AF162" s="4"/>
    </row>
    <row r="163">
      <c r="A163" s="179"/>
      <c r="B163" s="180"/>
      <c r="C163" s="2"/>
      <c r="E163" s="181"/>
      <c r="F163" s="181"/>
      <c r="G163" s="2"/>
      <c r="I163" s="190"/>
      <c r="J163" s="190"/>
      <c r="K163" s="2"/>
      <c r="Q163" s="59" t="str">
        <f>IFERROR(__xludf.DUMMYFUNCTION("""COMPUTED_VALUE"""),"Contrade Integrated Depot")</f>
        <v>Contrade Integrated Depot</v>
      </c>
      <c r="R163" s="4">
        <f>IFERROR(__xludf.DUMMYFUNCTION("""COMPUTED_VALUE"""),4.5)</f>
        <v>4.5</v>
      </c>
      <c r="S163" s="60">
        <f>IFERROR(__xludf.DUMMYFUNCTION("""COMPUTED_VALUE"""),45357.0)</f>
        <v>45357</v>
      </c>
      <c r="U163" s="59" t="str">
        <f>IFERROR(__xludf.DUMMYFUNCTION("""COMPUTED_VALUE"""),"Times Trading Co., Inc.")</f>
        <v>Times Trading Co., Inc.</v>
      </c>
      <c r="V163" s="4">
        <f>IFERROR(__xludf.DUMMYFUNCTION("""COMPUTED_VALUE"""),4.833333333333333)</f>
        <v>4.833333333</v>
      </c>
      <c r="W163" s="60">
        <f>IFERROR(__xludf.DUMMYFUNCTION("""COMPUTED_VALUE"""),45639.0)</f>
        <v>45639</v>
      </c>
      <c r="Z163" s="4"/>
      <c r="AC163" s="4"/>
      <c r="AF163" s="4"/>
    </row>
    <row r="164">
      <c r="A164" s="179"/>
      <c r="B164" s="180"/>
      <c r="C164" s="2"/>
      <c r="E164" s="181"/>
      <c r="F164" s="181"/>
      <c r="G164" s="2"/>
      <c r="I164" s="190"/>
      <c r="J164" s="190"/>
      <c r="K164" s="2"/>
      <c r="Q164" s="59" t="str">
        <f>IFERROR(__xludf.DUMMYFUNCTION("""COMPUTED_VALUE"""),"Mostaco Printing")</f>
        <v>Mostaco Printing</v>
      </c>
      <c r="R164" s="4">
        <f>IFERROR(__xludf.DUMMYFUNCTION("""COMPUTED_VALUE"""),5.0)</f>
        <v>5</v>
      </c>
      <c r="S164" s="60">
        <f>IFERROR(__xludf.DUMMYFUNCTION("""COMPUTED_VALUE"""),45358.0)</f>
        <v>45358</v>
      </c>
      <c r="U164" s="59" t="str">
        <f>IFERROR(__xludf.DUMMYFUNCTION("""COMPUTED_VALUE"""),"Rivchem Enterprises")</f>
        <v>Rivchem Enterprises</v>
      </c>
      <c r="V164" s="4">
        <f>IFERROR(__xludf.DUMMYFUNCTION("""COMPUTED_VALUE"""),4.625)</f>
        <v>4.625</v>
      </c>
      <c r="W164" s="60">
        <f>IFERROR(__xludf.DUMMYFUNCTION("""COMPUTED_VALUE"""),45642.0)</f>
        <v>45642</v>
      </c>
      <c r="Z164" s="4"/>
      <c r="AC164" s="4"/>
      <c r="AF164" s="4"/>
    </row>
    <row r="165">
      <c r="A165" s="179"/>
      <c r="B165" s="180"/>
      <c r="C165" s="2"/>
      <c r="E165" s="181"/>
      <c r="F165" s="181"/>
      <c r="G165" s="2"/>
      <c r="I165" s="190"/>
      <c r="J165" s="190"/>
      <c r="K165" s="2"/>
      <c r="Q165" s="59" t="str">
        <f>IFERROR(__xludf.DUMMYFUNCTION("""COMPUTED_VALUE"""),"Abacus Book &amp; Card Corp.")</f>
        <v>Abacus Book &amp; Card Corp.</v>
      </c>
      <c r="R165" s="4">
        <f>IFERROR(__xludf.DUMMYFUNCTION("""COMPUTED_VALUE"""),4.5)</f>
        <v>4.5</v>
      </c>
      <c r="S165" s="60">
        <f>IFERROR(__xludf.DUMMYFUNCTION("""COMPUTED_VALUE"""),45359.0)</f>
        <v>45359</v>
      </c>
      <c r="U165" s="59" t="str">
        <f>IFERROR(__xludf.DUMMYFUNCTION("""COMPUTED_VALUE"""),"V.M Industries Corp.")</f>
        <v>V.M Industries Corp.</v>
      </c>
      <c r="V165" s="4">
        <f>IFERROR(__xludf.DUMMYFUNCTION("""COMPUTED_VALUE"""),4.625)</f>
        <v>4.625</v>
      </c>
      <c r="W165" s="60">
        <f>IFERROR(__xludf.DUMMYFUNCTION("""COMPUTED_VALUE"""),45645.0)</f>
        <v>45645</v>
      </c>
      <c r="Z165" s="4"/>
      <c r="AC165" s="4"/>
      <c r="AF165" s="4"/>
    </row>
    <row r="166">
      <c r="A166" s="179"/>
      <c r="B166" s="180"/>
      <c r="C166" s="2"/>
      <c r="E166" s="181"/>
      <c r="F166" s="181"/>
      <c r="G166" s="2"/>
      <c r="I166" s="190"/>
      <c r="J166" s="190"/>
      <c r="K166" s="2"/>
      <c r="Q166" s="59" t="str">
        <f>IFERROR(__xludf.DUMMYFUNCTION("""COMPUTED_VALUE"""),"Abacus Book &amp; Card Corp.")</f>
        <v>Abacus Book &amp; Card Corp.</v>
      </c>
      <c r="R166" s="4">
        <f>IFERROR(__xludf.DUMMYFUNCTION("""COMPUTED_VALUE"""),4.496666666666667)</f>
        <v>4.496666667</v>
      </c>
      <c r="S166" s="60">
        <f>IFERROR(__xludf.DUMMYFUNCTION("""COMPUTED_VALUE"""),45359.0)</f>
        <v>45359</v>
      </c>
      <c r="U166" s="59" t="str">
        <f>IFERROR(__xludf.DUMMYFUNCTION("""COMPUTED_VALUE"""),"Rivchem Enterprises")</f>
        <v>Rivchem Enterprises</v>
      </c>
      <c r="V166" s="4">
        <f>IFERROR(__xludf.DUMMYFUNCTION("""COMPUTED_VALUE"""),4.625)</f>
        <v>4.625</v>
      </c>
      <c r="W166" s="60">
        <f>IFERROR(__xludf.DUMMYFUNCTION("""COMPUTED_VALUE"""),45645.0)</f>
        <v>45645</v>
      </c>
      <c r="Z166" s="4"/>
      <c r="AC166" s="4"/>
      <c r="AF166" s="4"/>
    </row>
    <row r="167">
      <c r="A167" s="179"/>
      <c r="B167" s="180"/>
      <c r="C167" s="2"/>
      <c r="E167" s="181"/>
      <c r="F167" s="181"/>
      <c r="G167" s="2"/>
      <c r="I167" s="190"/>
      <c r="J167" s="190"/>
      <c r="K167" s="2"/>
      <c r="Q167" s="59" t="str">
        <f>IFERROR(__xludf.DUMMYFUNCTION("""COMPUTED_VALUE"""),"Creative Juice Digital Printing")</f>
        <v>Creative Juice Digital Printing</v>
      </c>
      <c r="R167" s="4">
        <f>IFERROR(__xludf.DUMMYFUNCTION("""COMPUTED_VALUE"""),4.833333333333333)</f>
        <v>4.833333333</v>
      </c>
      <c r="S167" s="60">
        <f>IFERROR(__xludf.DUMMYFUNCTION("""COMPUTED_VALUE"""),45360.0)</f>
        <v>45360</v>
      </c>
      <c r="U167" s="59" t="str">
        <f>IFERROR(__xludf.DUMMYFUNCTION("""COMPUTED_VALUE"""),"Microsmith Technology System,Inc.")</f>
        <v>Microsmith Technology System,Inc.</v>
      </c>
      <c r="V167" s="4">
        <f>IFERROR(__xludf.DUMMYFUNCTION("""COMPUTED_VALUE"""),5.0)</f>
        <v>5</v>
      </c>
      <c r="W167" s="60">
        <f>IFERROR(__xludf.DUMMYFUNCTION("""COMPUTED_VALUE"""),45645.0)</f>
        <v>45645</v>
      </c>
      <c r="Z167" s="4"/>
      <c r="AC167" s="4"/>
      <c r="AF167" s="4"/>
    </row>
    <row r="168">
      <c r="A168" s="179"/>
      <c r="B168" s="180"/>
      <c r="C168" s="2"/>
      <c r="E168" s="181"/>
      <c r="F168" s="181"/>
      <c r="G168" s="2"/>
      <c r="I168" s="190"/>
      <c r="J168" s="190"/>
      <c r="K168" s="2"/>
      <c r="Q168" s="59" t="str">
        <f>IFERROR(__xludf.DUMMYFUNCTION("""COMPUTED_VALUE"""),"Creative Juice Digital Printing")</f>
        <v>Creative Juice Digital Printing</v>
      </c>
      <c r="R168" s="4">
        <f>IFERROR(__xludf.DUMMYFUNCTION("""COMPUTED_VALUE"""),5.0)</f>
        <v>5</v>
      </c>
      <c r="S168" s="60">
        <f>IFERROR(__xludf.DUMMYFUNCTION("""COMPUTED_VALUE"""),45360.0)</f>
        <v>45360</v>
      </c>
      <c r="U168" s="59" t="str">
        <f>IFERROR(__xludf.DUMMYFUNCTION("""COMPUTED_VALUE"""),"Arkin Hardware")</f>
        <v>Arkin Hardware</v>
      </c>
      <c r="V168" s="4">
        <f>IFERROR(__xludf.DUMMYFUNCTION("""COMPUTED_VALUE"""),4.0)</f>
        <v>4</v>
      </c>
      <c r="W168" s="60">
        <f>IFERROR(__xludf.DUMMYFUNCTION("""COMPUTED_VALUE"""),45645.0)</f>
        <v>45645</v>
      </c>
      <c r="Z168" s="4"/>
      <c r="AC168" s="4"/>
      <c r="AF168" s="4"/>
    </row>
    <row r="169">
      <c r="A169" s="179"/>
      <c r="B169" s="180"/>
      <c r="C169" s="2"/>
      <c r="E169" s="181"/>
      <c r="F169" s="181"/>
      <c r="G169" s="2"/>
      <c r="I169" s="190"/>
      <c r="J169" s="190"/>
      <c r="K169" s="2"/>
      <c r="Q169" s="59" t="str">
        <f>IFERROR(__xludf.DUMMYFUNCTION("""COMPUTED_VALUE"""),"Rivchem Enterprises")</f>
        <v>Rivchem Enterprises</v>
      </c>
      <c r="R169" s="4">
        <f>IFERROR(__xludf.DUMMYFUNCTION("""COMPUTED_VALUE"""),4.75)</f>
        <v>4.75</v>
      </c>
      <c r="S169" s="60">
        <f>IFERROR(__xludf.DUMMYFUNCTION("""COMPUTED_VALUE"""),45360.0)</f>
        <v>45360</v>
      </c>
      <c r="U169" s="59" t="str">
        <f>IFERROR(__xludf.DUMMYFUNCTION("""COMPUTED_VALUE"""),"Luminaire Printing And Publishing Corp.")</f>
        <v>Luminaire Printing And Publishing Corp.</v>
      </c>
      <c r="V169" s="4">
        <f>IFERROR(__xludf.DUMMYFUNCTION("""COMPUTED_VALUE"""),4.75)</f>
        <v>4.75</v>
      </c>
      <c r="W169" s="60">
        <f>IFERROR(__xludf.DUMMYFUNCTION("""COMPUTED_VALUE"""),45645.0)</f>
        <v>45645</v>
      </c>
      <c r="Z169" s="4"/>
      <c r="AC169" s="4"/>
      <c r="AF169" s="4"/>
    </row>
    <row r="170">
      <c r="A170" s="179"/>
      <c r="B170" s="180"/>
      <c r="C170" s="2"/>
      <c r="E170" s="181"/>
      <c r="F170" s="181"/>
      <c r="G170" s="2"/>
      <c r="I170" s="190"/>
      <c r="J170" s="190"/>
      <c r="K170" s="2"/>
      <c r="Q170" s="59" t="str">
        <f>IFERROR(__xludf.DUMMYFUNCTION("""COMPUTED_VALUE"""),"Rivchem Enterprises")</f>
        <v>Rivchem Enterprises</v>
      </c>
      <c r="R170" s="4">
        <f>IFERROR(__xludf.DUMMYFUNCTION("""COMPUTED_VALUE"""),4.75)</f>
        <v>4.75</v>
      </c>
      <c r="S170" s="60">
        <f>IFERROR(__xludf.DUMMYFUNCTION("""COMPUTED_VALUE"""),45362.0)</f>
        <v>45362</v>
      </c>
      <c r="U170" s="59" t="str">
        <f>IFERROR(__xludf.DUMMYFUNCTION("""COMPUTED_VALUE"""),"Luminaire Printing And Publishing Corp.")</f>
        <v>Luminaire Printing And Publishing Corp.</v>
      </c>
      <c r="V170" s="4">
        <f>IFERROR(__xludf.DUMMYFUNCTION("""COMPUTED_VALUE"""),4.333333333333333)</f>
        <v>4.333333333</v>
      </c>
      <c r="W170" s="60">
        <f>IFERROR(__xludf.DUMMYFUNCTION("""COMPUTED_VALUE"""),45645.0)</f>
        <v>45645</v>
      </c>
      <c r="Z170" s="4"/>
      <c r="AC170" s="4"/>
      <c r="AF170" s="4"/>
    </row>
    <row r="171">
      <c r="A171" s="179"/>
      <c r="B171" s="180"/>
      <c r="C171" s="2"/>
      <c r="E171" s="181"/>
      <c r="F171" s="181"/>
      <c r="G171" s="2"/>
      <c r="I171" s="190"/>
      <c r="J171" s="190"/>
      <c r="K171" s="2"/>
      <c r="Q171" s="59" t="str">
        <f>IFERROR(__xludf.DUMMYFUNCTION("""COMPUTED_VALUE"""),"Rivchem Enterprises")</f>
        <v>Rivchem Enterprises</v>
      </c>
      <c r="R171" s="4">
        <f>IFERROR(__xludf.DUMMYFUNCTION("""COMPUTED_VALUE"""),4.75)</f>
        <v>4.75</v>
      </c>
      <c r="S171" s="60">
        <f>IFERROR(__xludf.DUMMYFUNCTION("""COMPUTED_VALUE"""),45362.0)</f>
        <v>45362</v>
      </c>
      <c r="U171" s="59" t="str">
        <f>IFERROR(__xludf.DUMMYFUNCTION("""COMPUTED_VALUE"""),"Microsmith Technology System,Inc.")</f>
        <v>Microsmith Technology System,Inc.</v>
      </c>
      <c r="V171" s="4">
        <f>IFERROR(__xludf.DUMMYFUNCTION("""COMPUTED_VALUE"""),4.833333333333333)</f>
        <v>4.833333333</v>
      </c>
      <c r="W171" s="60">
        <f>IFERROR(__xludf.DUMMYFUNCTION("""COMPUTED_VALUE"""),45660.0)</f>
        <v>45660</v>
      </c>
      <c r="Z171" s="4"/>
      <c r="AC171" s="4"/>
      <c r="AF171" s="4"/>
    </row>
    <row r="172">
      <c r="A172" s="179"/>
      <c r="B172" s="180"/>
      <c r="C172" s="2"/>
      <c r="E172" s="181"/>
      <c r="F172" s="181"/>
      <c r="G172" s="2"/>
      <c r="I172" s="190"/>
      <c r="J172" s="190"/>
      <c r="K172" s="2"/>
      <c r="Q172" s="59" t="str">
        <f>IFERROR(__xludf.DUMMYFUNCTION("""COMPUTED_VALUE"""),"Leonard Prints Inc.")</f>
        <v>Leonard Prints Inc.</v>
      </c>
      <c r="R172" s="4">
        <f>IFERROR(__xludf.DUMMYFUNCTION("""COMPUTED_VALUE"""),4.666666666666667)</f>
        <v>4.666666667</v>
      </c>
      <c r="S172" s="60">
        <f>IFERROR(__xludf.DUMMYFUNCTION("""COMPUTED_VALUE"""),45363.0)</f>
        <v>45363</v>
      </c>
      <c r="U172" s="59" t="str">
        <f>IFERROR(__xludf.DUMMYFUNCTION("""COMPUTED_VALUE"""),"Microsmith Technology System,Inc.")</f>
        <v>Microsmith Technology System,Inc.</v>
      </c>
      <c r="V172" s="4">
        <f>IFERROR(__xludf.DUMMYFUNCTION("""COMPUTED_VALUE"""),4.833333333333333)</f>
        <v>4.833333333</v>
      </c>
      <c r="W172" s="60">
        <f>IFERROR(__xludf.DUMMYFUNCTION("""COMPUTED_VALUE"""),45667.0)</f>
        <v>45667</v>
      </c>
      <c r="Z172" s="4"/>
      <c r="AC172" s="4"/>
      <c r="AF172" s="4"/>
    </row>
    <row r="173">
      <c r="A173" s="179"/>
      <c r="B173" s="180"/>
      <c r="C173" s="2"/>
      <c r="E173" s="181"/>
      <c r="F173" s="181"/>
      <c r="G173" s="2"/>
      <c r="I173" s="190"/>
      <c r="J173" s="190"/>
      <c r="K173" s="2"/>
      <c r="Q173" s="59" t="str">
        <f>IFERROR(__xludf.DUMMYFUNCTION("""COMPUTED_VALUE"""),"Luminaire Printing And Publishing Corp.")</f>
        <v>Luminaire Printing And Publishing Corp.</v>
      </c>
      <c r="R173" s="4">
        <f>IFERROR(__xludf.DUMMYFUNCTION("""COMPUTED_VALUE"""),4.833333333333333)</f>
        <v>4.833333333</v>
      </c>
      <c r="S173" s="60">
        <f>IFERROR(__xludf.DUMMYFUNCTION("""COMPUTED_VALUE"""),45365.0)</f>
        <v>45365</v>
      </c>
      <c r="U173" s="59" t="str">
        <f>IFERROR(__xludf.DUMMYFUNCTION("""COMPUTED_VALUE"""),"Printing Shop PrintPilipinas.com")</f>
        <v>Printing Shop PrintPilipinas.com</v>
      </c>
      <c r="V173" s="4">
        <f>IFERROR(__xludf.DUMMYFUNCTION("""COMPUTED_VALUE"""),4.833333333333333)</f>
        <v>4.833333333</v>
      </c>
      <c r="W173" s="60">
        <f>IFERROR(__xludf.DUMMYFUNCTION("""COMPUTED_VALUE"""),45672.0)</f>
        <v>45672</v>
      </c>
      <c r="Z173" s="4"/>
      <c r="AC173" s="4"/>
      <c r="AF173" s="4"/>
    </row>
    <row r="174">
      <c r="A174" s="179"/>
      <c r="B174" s="180"/>
      <c r="C174" s="2"/>
      <c r="E174" s="181"/>
      <c r="F174" s="181"/>
      <c r="G174" s="2"/>
      <c r="I174" s="190"/>
      <c r="J174" s="190"/>
      <c r="K174" s="2"/>
      <c r="Q174" s="59" t="str">
        <f>IFERROR(__xludf.DUMMYFUNCTION("""COMPUTED_VALUE"""),"Rivchem Enterprises")</f>
        <v>Rivchem Enterprises</v>
      </c>
      <c r="R174" s="4">
        <f>IFERROR(__xludf.DUMMYFUNCTION("""COMPUTED_VALUE"""),4.75)</f>
        <v>4.75</v>
      </c>
      <c r="S174" s="60">
        <f>IFERROR(__xludf.DUMMYFUNCTION("""COMPUTED_VALUE"""),45365.0)</f>
        <v>45365</v>
      </c>
      <c r="U174" s="59" t="str">
        <f>IFERROR(__xludf.DUMMYFUNCTION("""COMPUTED_VALUE"""),"Oray Copier Solutions")</f>
        <v>Oray Copier Solutions</v>
      </c>
      <c r="V174" s="4">
        <f>IFERROR(__xludf.DUMMYFUNCTION("""COMPUTED_VALUE"""),5.0)</f>
        <v>5</v>
      </c>
      <c r="W174" s="60">
        <f>IFERROR(__xludf.DUMMYFUNCTION("""COMPUTED_VALUE"""),45675.0)</f>
        <v>45675</v>
      </c>
      <c r="Z174" s="4"/>
      <c r="AC174" s="4"/>
      <c r="AF174" s="4"/>
    </row>
    <row r="175">
      <c r="A175" s="179"/>
      <c r="B175" s="180"/>
      <c r="C175" s="2"/>
      <c r="E175" s="181"/>
      <c r="F175" s="181"/>
      <c r="G175" s="2"/>
      <c r="I175" s="190"/>
      <c r="J175" s="190"/>
      <c r="K175" s="2"/>
      <c r="Q175" s="59" t="str">
        <f>IFERROR(__xludf.DUMMYFUNCTION("""COMPUTED_VALUE"""),"Tropical Palms Fashion House, Inc.")</f>
        <v>Tropical Palms Fashion House, Inc.</v>
      </c>
      <c r="R175" s="4">
        <f>IFERROR(__xludf.DUMMYFUNCTION("""COMPUTED_VALUE"""),5.0)</f>
        <v>5</v>
      </c>
      <c r="S175" s="60">
        <f>IFERROR(__xludf.DUMMYFUNCTION("""COMPUTED_VALUE"""),45366.0)</f>
        <v>45366</v>
      </c>
      <c r="U175" s="59" t="str">
        <f>IFERROR(__xludf.DUMMYFUNCTION("""COMPUTED_VALUE"""),"Printing Shop PrintPilipinas.com")</f>
        <v>Printing Shop PrintPilipinas.com</v>
      </c>
      <c r="V175" s="4">
        <f>IFERROR(__xludf.DUMMYFUNCTION("""COMPUTED_VALUE"""),4.833333333333333)</f>
        <v>4.833333333</v>
      </c>
      <c r="W175" s="60">
        <f>IFERROR(__xludf.DUMMYFUNCTION("""COMPUTED_VALUE"""),45677.0)</f>
        <v>45677</v>
      </c>
      <c r="Z175" s="4"/>
      <c r="AC175" s="4"/>
      <c r="AF175" s="4"/>
    </row>
    <row r="176">
      <c r="A176" s="179"/>
      <c r="B176" s="180"/>
      <c r="C176" s="2"/>
      <c r="E176" s="181"/>
      <c r="F176" s="181"/>
      <c r="G176" s="2"/>
      <c r="I176" s="190"/>
      <c r="J176" s="190"/>
      <c r="K176" s="2"/>
      <c r="Q176" s="59" t="str">
        <f>IFERROR(__xludf.DUMMYFUNCTION("""COMPUTED_VALUE"""),"Rivchem Enterprises")</f>
        <v>Rivchem Enterprises</v>
      </c>
      <c r="R176" s="4">
        <f>IFERROR(__xludf.DUMMYFUNCTION("""COMPUTED_VALUE"""),4.75)</f>
        <v>4.75</v>
      </c>
      <c r="S176" s="60">
        <f>IFERROR(__xludf.DUMMYFUNCTION("""COMPUTED_VALUE"""),45366.0)</f>
        <v>45366</v>
      </c>
      <c r="U176" s="59" t="str">
        <f>IFERROR(__xludf.DUMMYFUNCTION("""COMPUTED_VALUE"""),"Printing Shop PrintPilipinas.com")</f>
        <v>Printing Shop PrintPilipinas.com</v>
      </c>
      <c r="V176" s="4">
        <f>IFERROR(__xludf.DUMMYFUNCTION("""COMPUTED_VALUE"""),4.833333333333333)</f>
        <v>4.833333333</v>
      </c>
      <c r="W176" s="60">
        <f>IFERROR(__xludf.DUMMYFUNCTION("""COMPUTED_VALUE"""),45677.0)</f>
        <v>45677</v>
      </c>
      <c r="Z176" s="4"/>
      <c r="AC176" s="4"/>
      <c r="AF176" s="4"/>
    </row>
    <row r="177">
      <c r="A177" s="179"/>
      <c r="B177" s="180"/>
      <c r="C177" s="2"/>
      <c r="E177" s="181"/>
      <c r="F177" s="181"/>
      <c r="G177" s="2"/>
      <c r="I177" s="190"/>
      <c r="J177" s="190"/>
      <c r="K177" s="2"/>
      <c r="Q177" s="59" t="str">
        <f>IFERROR(__xludf.DUMMYFUNCTION("""COMPUTED_VALUE"""),"Rivchem Enterprises")</f>
        <v>Rivchem Enterprises</v>
      </c>
      <c r="R177" s="4">
        <f>IFERROR(__xludf.DUMMYFUNCTION("""COMPUTED_VALUE"""),4.75)</f>
        <v>4.75</v>
      </c>
      <c r="S177" s="60">
        <f>IFERROR(__xludf.DUMMYFUNCTION("""COMPUTED_VALUE"""),45366.0)</f>
        <v>45366</v>
      </c>
      <c r="U177" s="59" t="str">
        <f>IFERROR(__xludf.DUMMYFUNCTION("""COMPUTED_VALUE"""),"Printing Shop PrintPilipinas.com")</f>
        <v>Printing Shop PrintPilipinas.com</v>
      </c>
      <c r="V177" s="4">
        <f>IFERROR(__xludf.DUMMYFUNCTION("""COMPUTED_VALUE"""),4.833333333333333)</f>
        <v>4.833333333</v>
      </c>
      <c r="W177" s="60">
        <f>IFERROR(__xludf.DUMMYFUNCTION("""COMPUTED_VALUE"""),45677.0)</f>
        <v>45677</v>
      </c>
      <c r="Z177" s="4"/>
      <c r="AC177" s="4"/>
      <c r="AF177" s="4"/>
    </row>
    <row r="178">
      <c r="A178" s="179"/>
      <c r="B178" s="180"/>
      <c r="C178" s="2"/>
      <c r="E178" s="181"/>
      <c r="F178" s="181"/>
      <c r="G178" s="2"/>
      <c r="I178" s="190"/>
      <c r="J178" s="190"/>
      <c r="K178" s="2"/>
      <c r="Q178" s="59" t="str">
        <f>IFERROR(__xludf.DUMMYFUNCTION("""COMPUTED_VALUE"""),"Dynamics Electrical Supply and Hardware")</f>
        <v>Dynamics Electrical Supply and Hardware</v>
      </c>
      <c r="R178" s="4">
        <f>IFERROR(__xludf.DUMMYFUNCTION("""COMPUTED_VALUE"""),4.0)</f>
        <v>4</v>
      </c>
      <c r="S178" s="60">
        <f>IFERROR(__xludf.DUMMYFUNCTION("""COMPUTED_VALUE"""),45367.0)</f>
        <v>45367</v>
      </c>
      <c r="U178" s="59" t="str">
        <f>IFERROR(__xludf.DUMMYFUNCTION("""COMPUTED_VALUE"""),"Printing Shop PrintPilipinas.com")</f>
        <v>Printing Shop PrintPilipinas.com</v>
      </c>
      <c r="V178" s="4">
        <f>IFERROR(__xludf.DUMMYFUNCTION("""COMPUTED_VALUE"""),4.833333333333333)</f>
        <v>4.833333333</v>
      </c>
      <c r="W178" s="60">
        <f>IFERROR(__xludf.DUMMYFUNCTION("""COMPUTED_VALUE"""),45677.0)</f>
        <v>45677</v>
      </c>
      <c r="Z178" s="4"/>
      <c r="AC178" s="4"/>
      <c r="AF178" s="4"/>
    </row>
    <row r="179">
      <c r="A179" s="179"/>
      <c r="B179" s="180"/>
      <c r="C179" s="2"/>
      <c r="E179" s="181"/>
      <c r="F179" s="181"/>
      <c r="G179" s="2"/>
      <c r="I179" s="190"/>
      <c r="J179" s="190"/>
      <c r="K179" s="2"/>
      <c r="Q179" s="59" t="str">
        <f>IFERROR(__xludf.DUMMYFUNCTION("""COMPUTED_VALUE"""),"Net Ad IT Solutions")</f>
        <v>Net Ad IT Solutions</v>
      </c>
      <c r="R179" s="4">
        <f>IFERROR(__xludf.DUMMYFUNCTION("""COMPUTED_VALUE"""),5.0)</f>
        <v>5</v>
      </c>
      <c r="S179" s="60">
        <f>IFERROR(__xludf.DUMMYFUNCTION("""COMPUTED_VALUE"""),45367.0)</f>
        <v>45367</v>
      </c>
      <c r="U179" s="59" t="str">
        <f>IFERROR(__xludf.DUMMYFUNCTION("""COMPUTED_VALUE"""),"Printing Shop PrintPilipinas.com")</f>
        <v>Printing Shop PrintPilipinas.com</v>
      </c>
      <c r="V179" s="4">
        <f>IFERROR(__xludf.DUMMYFUNCTION("""COMPUTED_VALUE"""),4.833333333333333)</f>
        <v>4.833333333</v>
      </c>
      <c r="W179" s="60">
        <f>IFERROR(__xludf.DUMMYFUNCTION("""COMPUTED_VALUE"""),45677.0)</f>
        <v>45677</v>
      </c>
      <c r="Z179" s="4"/>
      <c r="AC179" s="4"/>
      <c r="AF179" s="4"/>
    </row>
    <row r="180">
      <c r="A180" s="179"/>
      <c r="B180" s="180"/>
      <c r="C180" s="2"/>
      <c r="E180" s="181"/>
      <c r="F180" s="181"/>
      <c r="G180" s="2"/>
      <c r="I180" s="190"/>
      <c r="J180" s="190"/>
      <c r="K180" s="2"/>
      <c r="Q180" s="59" t="str">
        <f>IFERROR(__xludf.DUMMYFUNCTION("""COMPUTED_VALUE"""),"Primeline Products Philippines, Inc.")</f>
        <v>Primeline Products Philippines, Inc.</v>
      </c>
      <c r="R180" s="4">
        <f>IFERROR(__xludf.DUMMYFUNCTION("""COMPUTED_VALUE"""),4.75)</f>
        <v>4.75</v>
      </c>
      <c r="S180" s="60">
        <f>IFERROR(__xludf.DUMMYFUNCTION("""COMPUTED_VALUE"""),45367.0)</f>
        <v>45367</v>
      </c>
      <c r="U180" s="59" t="str">
        <f>IFERROR(__xludf.DUMMYFUNCTION("""COMPUTED_VALUE"""),"Printing Shop PrintPilipinas.com")</f>
        <v>Printing Shop PrintPilipinas.com</v>
      </c>
      <c r="V180" s="4">
        <f>IFERROR(__xludf.DUMMYFUNCTION("""COMPUTED_VALUE"""),4.833333333333333)</f>
        <v>4.833333333</v>
      </c>
      <c r="W180" s="60">
        <f>IFERROR(__xludf.DUMMYFUNCTION("""COMPUTED_VALUE"""),45680.0)</f>
        <v>45680</v>
      </c>
      <c r="Z180" s="4"/>
      <c r="AC180" s="4"/>
      <c r="AF180" s="4"/>
    </row>
    <row r="181">
      <c r="A181" s="179"/>
      <c r="B181" s="180"/>
      <c r="C181" s="2"/>
      <c r="E181" s="181"/>
      <c r="F181" s="181"/>
      <c r="G181" s="2"/>
      <c r="I181" s="190"/>
      <c r="J181" s="190"/>
      <c r="K181" s="2"/>
      <c r="Q181" s="59" t="str">
        <f>IFERROR(__xludf.DUMMYFUNCTION("""COMPUTED_VALUE"""),"Chronos Athletics Shop")</f>
        <v>Chronos Athletics Shop</v>
      </c>
      <c r="R181" s="4">
        <f>IFERROR(__xludf.DUMMYFUNCTION("""COMPUTED_VALUE"""),4.3999999999999995)</f>
        <v>4.4</v>
      </c>
      <c r="S181" s="60">
        <f>IFERROR(__xludf.DUMMYFUNCTION("""COMPUTED_VALUE"""),45370.0)</f>
        <v>45370</v>
      </c>
      <c r="U181" s="59" t="str">
        <f>IFERROR(__xludf.DUMMYFUNCTION("""COMPUTED_VALUE"""),"Microsmith Technology System,Inc.")</f>
        <v>Microsmith Technology System,Inc.</v>
      </c>
      <c r="V181" s="4">
        <f>IFERROR(__xludf.DUMMYFUNCTION("""COMPUTED_VALUE"""),4.833333333333333)</f>
        <v>4.833333333</v>
      </c>
      <c r="W181" s="60">
        <f>IFERROR(__xludf.DUMMYFUNCTION("""COMPUTED_VALUE"""),45681.0)</f>
        <v>45681</v>
      </c>
      <c r="Z181" s="4"/>
      <c r="AC181" s="4"/>
      <c r="AF181" s="4"/>
    </row>
    <row r="182">
      <c r="A182" s="179"/>
      <c r="B182" s="180"/>
      <c r="C182" s="2"/>
      <c r="E182" s="181"/>
      <c r="F182" s="181"/>
      <c r="G182" s="2"/>
      <c r="I182" s="190"/>
      <c r="J182" s="190"/>
      <c r="K182" s="2"/>
      <c r="Q182" s="59" t="str">
        <f>IFERROR(__xludf.DUMMYFUNCTION("""COMPUTED_VALUE"""),"Microsmith Technology System,Inc.")</f>
        <v>Microsmith Technology System,Inc.</v>
      </c>
      <c r="R182" s="4">
        <f>IFERROR(__xludf.DUMMYFUNCTION("""COMPUTED_VALUE"""),4.833333333333333)</f>
        <v>4.833333333</v>
      </c>
      <c r="S182" s="60">
        <f>IFERROR(__xludf.DUMMYFUNCTION("""COMPUTED_VALUE"""),45370.0)</f>
        <v>45370</v>
      </c>
      <c r="U182" s="59" t="str">
        <f>IFERROR(__xludf.DUMMYFUNCTION("""COMPUTED_VALUE"""),"Abenson Ventures, Inc.")</f>
        <v>Abenson Ventures, Inc.</v>
      </c>
      <c r="V182" s="4">
        <f>IFERROR(__xludf.DUMMYFUNCTION("""COMPUTED_VALUE"""),5.0)</f>
        <v>5</v>
      </c>
      <c r="W182" s="60">
        <f>IFERROR(__xludf.DUMMYFUNCTION("""COMPUTED_VALUE"""),45685.0)</f>
        <v>45685</v>
      </c>
      <c r="Z182" s="4"/>
      <c r="AC182" s="4"/>
      <c r="AF182" s="4"/>
    </row>
    <row r="183">
      <c r="A183" s="179"/>
      <c r="B183" s="180"/>
      <c r="C183" s="2"/>
      <c r="E183" s="181"/>
      <c r="F183" s="181"/>
      <c r="G183" s="2"/>
      <c r="I183" s="190"/>
      <c r="J183" s="190"/>
      <c r="K183" s="2"/>
      <c r="Q183" s="59" t="str">
        <f>IFERROR(__xludf.DUMMYFUNCTION("""COMPUTED_VALUE"""),"Times Trading Co., Inc.")</f>
        <v>Times Trading Co., Inc.</v>
      </c>
      <c r="R183" s="4">
        <f>IFERROR(__xludf.DUMMYFUNCTION("""COMPUTED_VALUE"""),4.325)</f>
        <v>4.325</v>
      </c>
      <c r="S183" s="60">
        <f>IFERROR(__xludf.DUMMYFUNCTION("""COMPUTED_VALUE"""),45370.0)</f>
        <v>45370</v>
      </c>
      <c r="U183" s="59" t="str">
        <f>IFERROR(__xludf.DUMMYFUNCTION("""COMPUTED_VALUE"""),"Printing Shop PrintPilipinas.com")</f>
        <v>Printing Shop PrintPilipinas.com</v>
      </c>
      <c r="V183" s="4">
        <f>IFERROR(__xludf.DUMMYFUNCTION("""COMPUTED_VALUE"""),4.833333333333333)</f>
        <v>4.833333333</v>
      </c>
      <c r="W183" s="60">
        <f>IFERROR(__xludf.DUMMYFUNCTION("""COMPUTED_VALUE"""),45687.0)</f>
        <v>45687</v>
      </c>
      <c r="Z183" s="4"/>
      <c r="AC183" s="4"/>
      <c r="AF183" s="4"/>
    </row>
    <row r="184">
      <c r="A184" s="179"/>
      <c r="B184" s="180"/>
      <c r="C184" s="2"/>
      <c r="E184" s="181"/>
      <c r="F184" s="181"/>
      <c r="G184" s="2"/>
      <c r="I184" s="190"/>
      <c r="J184" s="190"/>
      <c r="K184" s="2"/>
      <c r="Q184" s="59" t="str">
        <f>IFERROR(__xludf.DUMMYFUNCTION("""COMPUTED_VALUE"""),"Chemtrust Global Market, Inc.")</f>
        <v>Chemtrust Global Market, Inc.</v>
      </c>
      <c r="R184" s="4">
        <f>IFERROR(__xludf.DUMMYFUNCTION("""COMPUTED_VALUE"""),4.75)</f>
        <v>4.75</v>
      </c>
      <c r="S184" s="60">
        <f>IFERROR(__xludf.DUMMYFUNCTION("""COMPUTED_VALUE"""),45370.0)</f>
        <v>45370</v>
      </c>
      <c r="U184" s="59" t="str">
        <f>IFERROR(__xludf.DUMMYFUNCTION("""COMPUTED_VALUE"""),"Rivchem Enterprises")</f>
        <v>Rivchem Enterprises</v>
      </c>
      <c r="V184" s="4">
        <f>IFERROR(__xludf.DUMMYFUNCTION("""COMPUTED_VALUE"""),4.791666666666667)</f>
        <v>4.791666667</v>
      </c>
      <c r="W184" s="60">
        <f>IFERROR(__xludf.DUMMYFUNCTION("""COMPUTED_VALUE"""),45688.0)</f>
        <v>45688</v>
      </c>
      <c r="Z184" s="4"/>
      <c r="AC184" s="4"/>
      <c r="AF184" s="4"/>
    </row>
    <row r="185">
      <c r="A185" s="179"/>
      <c r="B185" s="180"/>
      <c r="C185" s="2"/>
      <c r="E185" s="181"/>
      <c r="F185" s="181"/>
      <c r="G185" s="2"/>
      <c r="I185" s="190"/>
      <c r="J185" s="190"/>
      <c r="K185" s="2"/>
      <c r="Q185" s="59" t="str">
        <f>IFERROR(__xludf.DUMMYFUNCTION("""COMPUTED_VALUE"""),"I-Stop Graphics and Business Center")</f>
        <v>I-Stop Graphics and Business Center</v>
      </c>
      <c r="R185" s="4">
        <f>IFERROR(__xludf.DUMMYFUNCTION("""COMPUTED_VALUE"""),4.166666666666667)</f>
        <v>4.166666667</v>
      </c>
      <c r="S185" s="60">
        <f>IFERROR(__xludf.DUMMYFUNCTION("""COMPUTED_VALUE"""),45373.0)</f>
        <v>45373</v>
      </c>
      <c r="U185" s="59" t="str">
        <f>IFERROR(__xludf.DUMMYFUNCTION("""COMPUTED_VALUE"""),"Data Computer Forms, Inc.")</f>
        <v>Data Computer Forms, Inc.</v>
      </c>
      <c r="V185" s="4">
        <f>IFERROR(__xludf.DUMMYFUNCTION("""COMPUTED_VALUE"""),4.916666666666667)</f>
        <v>4.916666667</v>
      </c>
      <c r="W185" s="60">
        <f>IFERROR(__xludf.DUMMYFUNCTION("""COMPUTED_VALUE"""),45688.0)</f>
        <v>45688</v>
      </c>
      <c r="Z185" s="4"/>
      <c r="AC185" s="4"/>
      <c r="AF185" s="4"/>
    </row>
    <row r="186">
      <c r="A186" s="179"/>
      <c r="B186" s="180"/>
      <c r="C186" s="2"/>
      <c r="E186" s="181"/>
      <c r="F186" s="181"/>
      <c r="G186" s="2"/>
      <c r="I186" s="190"/>
      <c r="J186" s="190"/>
      <c r="K186" s="2"/>
      <c r="Q186" s="59" t="str">
        <f>IFERROR(__xludf.DUMMYFUNCTION("""COMPUTED_VALUE"""),"I-Stop Graphics and Business Center")</f>
        <v>I-Stop Graphics and Business Center</v>
      </c>
      <c r="R186" s="4">
        <f>IFERROR(__xludf.DUMMYFUNCTION("""COMPUTED_VALUE"""),4.0)</f>
        <v>4</v>
      </c>
      <c r="S186" s="60">
        <f>IFERROR(__xludf.DUMMYFUNCTION("""COMPUTED_VALUE"""),45373.0)</f>
        <v>45373</v>
      </c>
      <c r="U186" s="59" t="str">
        <f>IFERROR(__xludf.DUMMYFUNCTION("""COMPUTED_VALUE"""),"Chemtrust Global Market, Inc.")</f>
        <v>Chemtrust Global Market, Inc.</v>
      </c>
      <c r="V186" s="4">
        <f>IFERROR(__xludf.DUMMYFUNCTION("""COMPUTED_VALUE"""),4.666666666666667)</f>
        <v>4.666666667</v>
      </c>
      <c r="W186" s="60">
        <f>IFERROR(__xludf.DUMMYFUNCTION("""COMPUTED_VALUE"""),45692.0)</f>
        <v>45692</v>
      </c>
      <c r="Z186" s="4"/>
      <c r="AC186" s="4"/>
      <c r="AF186" s="4"/>
    </row>
    <row r="187">
      <c r="A187" s="179"/>
      <c r="B187" s="180"/>
      <c r="C187" s="2"/>
      <c r="E187" s="181"/>
      <c r="F187" s="181"/>
      <c r="G187" s="2"/>
      <c r="I187" s="190"/>
      <c r="J187" s="190"/>
      <c r="K187" s="2"/>
      <c r="Q187" s="59" t="str">
        <f>IFERROR(__xludf.DUMMYFUNCTION("""COMPUTED_VALUE"""),"RSAZ Corporation")</f>
        <v>RSAZ Corporation</v>
      </c>
      <c r="R187" s="4">
        <f>IFERROR(__xludf.DUMMYFUNCTION("""COMPUTED_VALUE"""),4.833333333333333)</f>
        <v>4.833333333</v>
      </c>
      <c r="S187" s="60">
        <f>IFERROR(__xludf.DUMMYFUNCTION("""COMPUTED_VALUE"""),45373.0)</f>
        <v>45373</v>
      </c>
      <c r="U187" s="59" t="str">
        <f>IFERROR(__xludf.DUMMYFUNCTION("""COMPUTED_VALUE"""),"Printing Shop PrintPilipinas.com")</f>
        <v>Printing Shop PrintPilipinas.com</v>
      </c>
      <c r="V187" s="4">
        <f>IFERROR(__xludf.DUMMYFUNCTION("""COMPUTED_VALUE"""),4.833333333333333)</f>
        <v>4.833333333</v>
      </c>
      <c r="W187" s="60">
        <f>IFERROR(__xludf.DUMMYFUNCTION("""COMPUTED_VALUE"""),45692.0)</f>
        <v>45692</v>
      </c>
      <c r="Z187" s="4"/>
      <c r="AC187" s="4"/>
      <c r="AF187" s="4"/>
    </row>
    <row r="188">
      <c r="A188" s="179"/>
      <c r="B188" s="180"/>
      <c r="C188" s="2"/>
      <c r="E188" s="181"/>
      <c r="F188" s="181"/>
      <c r="G188" s="2"/>
      <c r="I188" s="190"/>
      <c r="J188" s="190"/>
      <c r="K188" s="2"/>
      <c r="Q188" s="59" t="str">
        <f>IFERROR(__xludf.DUMMYFUNCTION("""COMPUTED_VALUE"""),"Rivchem Enterprises")</f>
        <v>Rivchem Enterprises</v>
      </c>
      <c r="R188" s="4">
        <f>IFERROR(__xludf.DUMMYFUNCTION("""COMPUTED_VALUE"""),4.75)</f>
        <v>4.75</v>
      </c>
      <c r="S188" s="60">
        <f>IFERROR(__xludf.DUMMYFUNCTION("""COMPUTED_VALUE"""),45373.0)</f>
        <v>45373</v>
      </c>
      <c r="U188" s="59" t="str">
        <f>IFERROR(__xludf.DUMMYFUNCTION("""COMPUTED_VALUE"""),"Printing Shop PrintPilipinas.com")</f>
        <v>Printing Shop PrintPilipinas.com</v>
      </c>
      <c r="V188" s="4">
        <f>IFERROR(__xludf.DUMMYFUNCTION("""COMPUTED_VALUE"""),4.833333333333333)</f>
        <v>4.833333333</v>
      </c>
      <c r="W188" s="60">
        <f>IFERROR(__xludf.DUMMYFUNCTION("""COMPUTED_VALUE"""),45692.0)</f>
        <v>45692</v>
      </c>
      <c r="Z188" s="4"/>
      <c r="AC188" s="4"/>
      <c r="AF188" s="4"/>
    </row>
    <row r="189">
      <c r="A189" s="179"/>
      <c r="B189" s="180"/>
      <c r="C189" s="2"/>
      <c r="E189" s="181"/>
      <c r="F189" s="181"/>
      <c r="G189" s="2"/>
      <c r="I189" s="190"/>
      <c r="J189" s="190"/>
      <c r="K189" s="2"/>
      <c r="Q189" s="59" t="str">
        <f>IFERROR(__xludf.DUMMYFUNCTION("""COMPUTED_VALUE"""),"Contrade Integrated Depot")</f>
        <v>Contrade Integrated Depot</v>
      </c>
      <c r="R189" s="4">
        <f>IFERROR(__xludf.DUMMYFUNCTION("""COMPUTED_VALUE"""),4.3999999999999995)</f>
        <v>4.4</v>
      </c>
      <c r="S189" s="60">
        <f>IFERROR(__xludf.DUMMYFUNCTION("""COMPUTED_VALUE"""),45374.0)</f>
        <v>45374</v>
      </c>
      <c r="U189" s="59" t="str">
        <f>IFERROR(__xludf.DUMMYFUNCTION("""COMPUTED_VALUE"""),"Hospeco Philippines, Inc.")</f>
        <v>Hospeco Philippines, Inc.</v>
      </c>
      <c r="V189" s="4">
        <f>IFERROR(__xludf.DUMMYFUNCTION("""COMPUTED_VALUE"""),4.791666666666667)</f>
        <v>4.791666667</v>
      </c>
      <c r="W189" s="60">
        <f>IFERROR(__xludf.DUMMYFUNCTION("""COMPUTED_VALUE"""),45695.0)</f>
        <v>45695</v>
      </c>
      <c r="Z189" s="4"/>
      <c r="AC189" s="4"/>
      <c r="AF189" s="4"/>
    </row>
    <row r="190">
      <c r="A190" s="179"/>
      <c r="B190" s="180"/>
      <c r="C190" s="2"/>
      <c r="E190" s="181"/>
      <c r="F190" s="181"/>
      <c r="G190" s="2"/>
      <c r="I190" s="190"/>
      <c r="J190" s="190"/>
      <c r="K190" s="2"/>
      <c r="Q190" s="59" t="str">
        <f>IFERROR(__xludf.DUMMYFUNCTION("""COMPUTED_VALUE"""),"Contrade Integrated Depot")</f>
        <v>Contrade Integrated Depot</v>
      </c>
      <c r="R190" s="4">
        <f>IFERROR(__xludf.DUMMYFUNCTION("""COMPUTED_VALUE"""),4.5)</f>
        <v>4.5</v>
      </c>
      <c r="S190" s="60">
        <f>IFERROR(__xludf.DUMMYFUNCTION("""COMPUTED_VALUE"""),45374.0)</f>
        <v>45374</v>
      </c>
      <c r="U190" s="59" t="str">
        <f>IFERROR(__xludf.DUMMYFUNCTION("""COMPUTED_VALUE"""),"Ace Hardware")</f>
        <v>Ace Hardware</v>
      </c>
      <c r="V190" s="4">
        <f>IFERROR(__xludf.DUMMYFUNCTION("""COMPUTED_VALUE"""),4.791666666666667)</f>
        <v>4.791666667</v>
      </c>
      <c r="W190" s="60">
        <f>IFERROR(__xludf.DUMMYFUNCTION("""COMPUTED_VALUE"""),45695.0)</f>
        <v>45695</v>
      </c>
      <c r="Z190" s="4"/>
      <c r="AC190" s="4"/>
      <c r="AF190" s="4"/>
    </row>
    <row r="191">
      <c r="A191" s="179"/>
      <c r="B191" s="180"/>
      <c r="C191" s="2"/>
      <c r="E191" s="181"/>
      <c r="F191" s="181"/>
      <c r="G191" s="2"/>
      <c r="I191" s="190"/>
      <c r="J191" s="190"/>
      <c r="K191" s="2"/>
      <c r="Q191" s="59" t="str">
        <f>IFERROR(__xludf.DUMMYFUNCTION("""COMPUTED_VALUE"""),"Times Trading Co., Inc.")</f>
        <v>Times Trading Co., Inc.</v>
      </c>
      <c r="R191" s="4">
        <f>IFERROR(__xludf.DUMMYFUNCTION("""COMPUTED_VALUE"""),4.833333333333333)</f>
        <v>4.833333333</v>
      </c>
      <c r="S191" s="60">
        <f>IFERROR(__xludf.DUMMYFUNCTION("""COMPUTED_VALUE"""),45376.0)</f>
        <v>45376</v>
      </c>
      <c r="U191" s="59" t="str">
        <f>IFERROR(__xludf.DUMMYFUNCTION("""COMPUTED_VALUE"""),"Printing Shop PrintPilipinas.com")</f>
        <v>Printing Shop PrintPilipinas.com</v>
      </c>
      <c r="V191" s="4">
        <f>IFERROR(__xludf.DUMMYFUNCTION("""COMPUTED_VALUE"""),4.833333333333333)</f>
        <v>4.833333333</v>
      </c>
      <c r="W191" s="60">
        <f>IFERROR(__xludf.DUMMYFUNCTION("""COMPUTED_VALUE"""),45699.0)</f>
        <v>45699</v>
      </c>
      <c r="Z191" s="4"/>
      <c r="AC191" s="4"/>
      <c r="AF191" s="4"/>
    </row>
    <row r="192">
      <c r="A192" s="179"/>
      <c r="B192" s="180"/>
      <c r="C192" s="2"/>
      <c r="E192" s="181"/>
      <c r="F192" s="181"/>
      <c r="G192" s="2"/>
      <c r="I192" s="190"/>
      <c r="J192" s="190"/>
      <c r="K192" s="2"/>
      <c r="Q192" s="59" t="str">
        <f>IFERROR(__xludf.DUMMYFUNCTION("""COMPUTED_VALUE"""),"JLY Garment Trading")</f>
        <v>JLY Garment Trading</v>
      </c>
      <c r="R192" s="4">
        <f>IFERROR(__xludf.DUMMYFUNCTION("""COMPUTED_VALUE"""),4.475)</f>
        <v>4.475</v>
      </c>
      <c r="S192" s="60">
        <f>IFERROR(__xludf.DUMMYFUNCTION("""COMPUTED_VALUE"""),45377.0)</f>
        <v>45377</v>
      </c>
      <c r="U192" s="59" t="str">
        <f>IFERROR(__xludf.DUMMYFUNCTION("""COMPUTED_VALUE"""),"Printing Shop PrintPilipinas.com")</f>
        <v>Printing Shop PrintPilipinas.com</v>
      </c>
      <c r="V192" s="4">
        <f>IFERROR(__xludf.DUMMYFUNCTION("""COMPUTED_VALUE"""),4.833333333333333)</f>
        <v>4.833333333</v>
      </c>
      <c r="W192" s="60">
        <f>IFERROR(__xludf.DUMMYFUNCTION("""COMPUTED_VALUE"""),45699.0)</f>
        <v>45699</v>
      </c>
      <c r="Z192" s="4"/>
      <c r="AC192" s="4"/>
      <c r="AF192" s="4"/>
    </row>
    <row r="193">
      <c r="A193" s="179"/>
      <c r="B193" s="180"/>
      <c r="C193" s="2"/>
      <c r="E193" s="181"/>
      <c r="F193" s="181"/>
      <c r="G193" s="2"/>
      <c r="I193" s="190"/>
      <c r="J193" s="190"/>
      <c r="K193" s="2"/>
      <c r="Q193" s="59" t="str">
        <f>IFERROR(__xludf.DUMMYFUNCTION("""COMPUTED_VALUE"""),"JLY Garment Trading")</f>
        <v>JLY Garment Trading</v>
      </c>
      <c r="R193" s="4">
        <f>IFERROR(__xludf.DUMMYFUNCTION("""COMPUTED_VALUE"""),4.833333333333333)</f>
        <v>4.833333333</v>
      </c>
      <c r="S193" s="60">
        <f>IFERROR(__xludf.DUMMYFUNCTION("""COMPUTED_VALUE"""),45377.0)</f>
        <v>45377</v>
      </c>
      <c r="U193" s="59" t="str">
        <f>IFERROR(__xludf.DUMMYFUNCTION("""COMPUTED_VALUE"""),"Wisechoice Cleaning Supplies and Trading Corp.")</f>
        <v>Wisechoice Cleaning Supplies and Trading Corp.</v>
      </c>
      <c r="V193" s="4">
        <f>IFERROR(__xludf.DUMMYFUNCTION("""COMPUTED_VALUE"""),4.708333333333333)</f>
        <v>4.708333333</v>
      </c>
      <c r="W193" s="60">
        <f>IFERROR(__xludf.DUMMYFUNCTION("""COMPUTED_VALUE"""),45699.0)</f>
        <v>45699</v>
      </c>
      <c r="Z193" s="4"/>
      <c r="AC193" s="4"/>
      <c r="AF193" s="4"/>
    </row>
    <row r="194">
      <c r="A194" s="179"/>
      <c r="B194" s="180"/>
      <c r="C194" s="2"/>
      <c r="E194" s="181"/>
      <c r="F194" s="181"/>
      <c r="G194" s="2"/>
      <c r="I194" s="190"/>
      <c r="J194" s="190"/>
      <c r="K194" s="2"/>
      <c r="Q194" s="59" t="str">
        <f>IFERROR(__xludf.DUMMYFUNCTION("""COMPUTED_VALUE"""),"Rivchem Enterprises")</f>
        <v>Rivchem Enterprises</v>
      </c>
      <c r="R194" s="4">
        <f>IFERROR(__xludf.DUMMYFUNCTION("""COMPUTED_VALUE"""),4.75)</f>
        <v>4.75</v>
      </c>
      <c r="S194" s="60">
        <f>IFERROR(__xludf.DUMMYFUNCTION("""COMPUTED_VALUE"""),45377.0)</f>
        <v>45377</v>
      </c>
      <c r="U194" s="59" t="str">
        <f>IFERROR(__xludf.DUMMYFUNCTION("""COMPUTED_VALUE"""),"Printing Shop PrintPilipinas.com")</f>
        <v>Printing Shop PrintPilipinas.com</v>
      </c>
      <c r="V194" s="4">
        <f>IFERROR(__xludf.DUMMYFUNCTION("""COMPUTED_VALUE"""),4.833333333333333)</f>
        <v>4.833333333</v>
      </c>
      <c r="W194" s="60">
        <f>IFERROR(__xludf.DUMMYFUNCTION("""COMPUTED_VALUE"""),45701.0)</f>
        <v>45701</v>
      </c>
      <c r="Z194" s="4"/>
      <c r="AC194" s="4"/>
      <c r="AF194" s="4"/>
    </row>
    <row r="195">
      <c r="A195" s="179"/>
      <c r="B195" s="180"/>
      <c r="C195" s="2"/>
      <c r="E195" s="181"/>
      <c r="F195" s="181"/>
      <c r="G195" s="2"/>
      <c r="I195" s="190"/>
      <c r="J195" s="190"/>
      <c r="K195" s="2"/>
      <c r="Q195" s="59" t="str">
        <f>IFERROR(__xludf.DUMMYFUNCTION("""COMPUTED_VALUE"""),"JLY Garment Trading")</f>
        <v>JLY Garment Trading</v>
      </c>
      <c r="R195" s="4">
        <f>IFERROR(__xludf.DUMMYFUNCTION("""COMPUTED_VALUE"""),4.833333333333333)</f>
        <v>4.833333333</v>
      </c>
      <c r="S195" s="60">
        <f>IFERROR(__xludf.DUMMYFUNCTION("""COMPUTED_VALUE"""),45377.0)</f>
        <v>45377</v>
      </c>
      <c r="U195" s="59" t="str">
        <f>IFERROR(__xludf.DUMMYFUNCTION("""COMPUTED_VALUE"""),"Rivchem Enterprises")</f>
        <v>Rivchem Enterprises</v>
      </c>
      <c r="V195" s="4">
        <f>IFERROR(__xludf.DUMMYFUNCTION("""COMPUTED_VALUE"""),4.791666666666667)</f>
        <v>4.791666667</v>
      </c>
      <c r="W195" s="60">
        <f>IFERROR(__xludf.DUMMYFUNCTION("""COMPUTED_VALUE"""),45701.0)</f>
        <v>45701</v>
      </c>
      <c r="Z195" s="4"/>
      <c r="AC195" s="4"/>
      <c r="AF195" s="4"/>
    </row>
    <row r="196">
      <c r="A196" s="179"/>
      <c r="B196" s="180"/>
      <c r="C196" s="2"/>
      <c r="E196" s="181"/>
      <c r="F196" s="181"/>
      <c r="G196" s="2"/>
      <c r="I196" s="190"/>
      <c r="J196" s="190"/>
      <c r="K196" s="2"/>
      <c r="Q196" s="59" t="str">
        <f>IFERROR(__xludf.DUMMYFUNCTION("""COMPUTED_VALUE"""),"Luminaire Printing And Publishing Corp.")</f>
        <v>Luminaire Printing And Publishing Corp.</v>
      </c>
      <c r="R196" s="4">
        <f>IFERROR(__xludf.DUMMYFUNCTION("""COMPUTED_VALUE"""),4.833333333333333)</f>
        <v>4.833333333</v>
      </c>
      <c r="S196" s="60">
        <f>IFERROR(__xludf.DUMMYFUNCTION("""COMPUTED_VALUE"""),45379.0)</f>
        <v>45379</v>
      </c>
      <c r="U196" s="59" t="str">
        <f>IFERROR(__xludf.DUMMYFUNCTION("""COMPUTED_VALUE"""),"Abenson Ventures, Inc.")</f>
        <v>Abenson Ventures, Inc.</v>
      </c>
      <c r="V196" s="4">
        <f>IFERROR(__xludf.DUMMYFUNCTION("""COMPUTED_VALUE"""),4.5)</f>
        <v>4.5</v>
      </c>
      <c r="W196" s="60">
        <f>IFERROR(__xludf.DUMMYFUNCTION("""COMPUTED_VALUE"""),45702.0)</f>
        <v>45702</v>
      </c>
      <c r="Z196" s="4"/>
      <c r="AC196" s="4"/>
      <c r="AF196" s="4"/>
    </row>
    <row r="197">
      <c r="A197" s="179"/>
      <c r="B197" s="180"/>
      <c r="C197" s="2"/>
      <c r="E197" s="181"/>
      <c r="F197" s="181"/>
      <c r="G197" s="2"/>
      <c r="I197" s="190"/>
      <c r="J197" s="190"/>
      <c r="K197" s="2"/>
      <c r="Q197" s="59" t="str">
        <f>IFERROR(__xludf.DUMMYFUNCTION("""COMPUTED_VALUE"""),"Alpha Steel Office and Home Furnishing Company")</f>
        <v>Alpha Steel Office and Home Furnishing Company</v>
      </c>
      <c r="R197" s="4">
        <f>IFERROR(__xludf.DUMMYFUNCTION("""COMPUTED_VALUE"""),5.0)</f>
        <v>5</v>
      </c>
      <c r="S197" s="60">
        <f>IFERROR(__xludf.DUMMYFUNCTION("""COMPUTED_VALUE"""),45380.0)</f>
        <v>45380</v>
      </c>
      <c r="U197" s="59" t="str">
        <f>IFERROR(__xludf.DUMMYFUNCTION("""COMPUTED_VALUE"""),"Abenson Ventures, Inc.")</f>
        <v>Abenson Ventures, Inc.</v>
      </c>
      <c r="V197" s="4">
        <f>IFERROR(__xludf.DUMMYFUNCTION("""COMPUTED_VALUE"""),4.916666666666667)</f>
        <v>4.916666667</v>
      </c>
      <c r="W197" s="60">
        <f>IFERROR(__xludf.DUMMYFUNCTION("""COMPUTED_VALUE"""),45702.0)</f>
        <v>45702</v>
      </c>
      <c r="Z197" s="4"/>
      <c r="AC197" s="4"/>
      <c r="AF197" s="4"/>
    </row>
    <row r="198">
      <c r="A198" s="179"/>
      <c r="B198" s="180"/>
      <c r="C198" s="2"/>
      <c r="E198" s="181"/>
      <c r="F198" s="181"/>
      <c r="G198" s="2"/>
      <c r="I198" s="190"/>
      <c r="J198" s="190"/>
      <c r="K198" s="2"/>
      <c r="Q198" s="59" t="str">
        <f>IFERROR(__xludf.DUMMYFUNCTION("""COMPUTED_VALUE"""),"Alpha Steel Office and Home Furnishing Company")</f>
        <v>Alpha Steel Office and Home Furnishing Company</v>
      </c>
      <c r="R198" s="4">
        <f>IFERROR(__xludf.DUMMYFUNCTION("""COMPUTED_VALUE"""),5.0)</f>
        <v>5</v>
      </c>
      <c r="S198" s="60">
        <f>IFERROR(__xludf.DUMMYFUNCTION("""COMPUTED_VALUE"""),45380.0)</f>
        <v>45380</v>
      </c>
      <c r="U198" s="59" t="str">
        <f>IFERROR(__xludf.DUMMYFUNCTION("""COMPUTED_VALUE"""),"Printing Shop PrintPilipinas.com")</f>
        <v>Printing Shop PrintPilipinas.com</v>
      </c>
      <c r="V198" s="4">
        <f>IFERROR(__xludf.DUMMYFUNCTION("""COMPUTED_VALUE"""),4.833333333333333)</f>
        <v>4.833333333</v>
      </c>
      <c r="W198" s="60">
        <f>IFERROR(__xludf.DUMMYFUNCTION("""COMPUTED_VALUE"""),45703.0)</f>
        <v>45703</v>
      </c>
      <c r="Z198" s="4"/>
      <c r="AC198" s="4"/>
      <c r="AF198" s="4"/>
    </row>
    <row r="199">
      <c r="A199" s="179"/>
      <c r="B199" s="180"/>
      <c r="C199" s="2"/>
      <c r="E199" s="181"/>
      <c r="F199" s="181"/>
      <c r="G199" s="2"/>
      <c r="I199" s="190"/>
      <c r="J199" s="190"/>
      <c r="K199" s="2"/>
      <c r="Q199" s="59" t="str">
        <f>IFERROR(__xludf.DUMMYFUNCTION("""COMPUTED_VALUE"""),"Creative Juice Digital Printing")</f>
        <v>Creative Juice Digital Printing</v>
      </c>
      <c r="R199" s="4">
        <f>IFERROR(__xludf.DUMMYFUNCTION("""COMPUTED_VALUE"""),4.833333333333333)</f>
        <v>4.833333333</v>
      </c>
      <c r="S199" s="60">
        <f>IFERROR(__xludf.DUMMYFUNCTION("""COMPUTED_VALUE"""),45383.0)</f>
        <v>45383</v>
      </c>
      <c r="U199" s="59" t="str">
        <f>IFERROR(__xludf.DUMMYFUNCTION("""COMPUTED_VALUE"""),"Paper Tree Marketing Group, Inc.")</f>
        <v>Paper Tree Marketing Group, Inc.</v>
      </c>
      <c r="V199" s="4">
        <f>IFERROR(__xludf.DUMMYFUNCTION("""COMPUTED_VALUE"""),4.916666666666667)</f>
        <v>4.916666667</v>
      </c>
      <c r="W199" s="60">
        <f>IFERROR(__xludf.DUMMYFUNCTION("""COMPUTED_VALUE"""),45707.0)</f>
        <v>45707</v>
      </c>
      <c r="Z199" s="4"/>
      <c r="AC199" s="4"/>
      <c r="AF199" s="4"/>
    </row>
    <row r="200">
      <c r="A200" s="179"/>
      <c r="B200" s="180"/>
      <c r="C200" s="2"/>
      <c r="E200" s="181"/>
      <c r="F200" s="181"/>
      <c r="G200" s="2"/>
      <c r="I200" s="190"/>
      <c r="J200" s="190"/>
      <c r="K200" s="2"/>
      <c r="Q200" s="59" t="str">
        <f>IFERROR(__xludf.DUMMYFUNCTION("""COMPUTED_VALUE"""),"Creative Juice Digital Printing")</f>
        <v>Creative Juice Digital Printing</v>
      </c>
      <c r="R200" s="4">
        <f>IFERROR(__xludf.DUMMYFUNCTION("""COMPUTED_VALUE"""),4.833333333333333)</f>
        <v>4.833333333</v>
      </c>
      <c r="S200" s="60">
        <f>IFERROR(__xludf.DUMMYFUNCTION("""COMPUTED_VALUE"""),45383.0)</f>
        <v>45383</v>
      </c>
      <c r="U200" s="59" t="str">
        <f>IFERROR(__xludf.DUMMYFUNCTION("""COMPUTED_VALUE"""),"Printing Shop PrintPilipinas.com")</f>
        <v>Printing Shop PrintPilipinas.com</v>
      </c>
      <c r="V200" s="4">
        <f>IFERROR(__xludf.DUMMYFUNCTION("""COMPUTED_VALUE"""),4.833333333333333)</f>
        <v>4.833333333</v>
      </c>
      <c r="W200" s="60">
        <f>IFERROR(__xludf.DUMMYFUNCTION("""COMPUTED_VALUE"""),45709.0)</f>
        <v>45709</v>
      </c>
      <c r="Z200" s="4"/>
      <c r="AC200" s="4"/>
      <c r="AF200" s="4"/>
    </row>
    <row r="201">
      <c r="A201" s="179"/>
      <c r="B201" s="180"/>
      <c r="C201" s="2"/>
      <c r="E201" s="181"/>
      <c r="F201" s="181"/>
      <c r="G201" s="2"/>
      <c r="I201" s="190"/>
      <c r="J201" s="190"/>
      <c r="K201" s="2"/>
      <c r="Q201" s="59" t="str">
        <f>IFERROR(__xludf.DUMMYFUNCTION("""COMPUTED_VALUE"""),"Printing Shop PrintPilipinas.com")</f>
        <v>Printing Shop PrintPilipinas.com</v>
      </c>
      <c r="R201" s="4">
        <f>IFERROR(__xludf.DUMMYFUNCTION("""COMPUTED_VALUE"""),4.833333333333333)</f>
        <v>4.833333333</v>
      </c>
      <c r="S201" s="60">
        <f>IFERROR(__xludf.DUMMYFUNCTION("""COMPUTED_VALUE"""),45383.0)</f>
        <v>45383</v>
      </c>
      <c r="U201" s="59" t="str">
        <f>IFERROR(__xludf.DUMMYFUNCTION("""COMPUTED_VALUE"""),"Leonard Prints Inc.")</f>
        <v>Leonard Prints Inc.</v>
      </c>
      <c r="V201" s="4">
        <f>IFERROR(__xludf.DUMMYFUNCTION("""COMPUTED_VALUE"""),4.308333333333334)</f>
        <v>4.308333333</v>
      </c>
      <c r="W201" s="60">
        <f>IFERROR(__xludf.DUMMYFUNCTION("""COMPUTED_VALUE"""),45709.0)</f>
        <v>45709</v>
      </c>
      <c r="Z201" s="4"/>
      <c r="AC201" s="4"/>
      <c r="AF201" s="4"/>
    </row>
    <row r="202">
      <c r="A202" s="179"/>
      <c r="B202" s="180"/>
      <c r="C202" s="2"/>
      <c r="E202" s="181"/>
      <c r="F202" s="181"/>
      <c r="G202" s="2"/>
      <c r="I202" s="190"/>
      <c r="J202" s="190"/>
      <c r="K202" s="2"/>
      <c r="Q202" s="59" t="str">
        <f>IFERROR(__xludf.DUMMYFUNCTION("""COMPUTED_VALUE"""),"Printing Shop PrintPilipinas.com")</f>
        <v>Printing Shop PrintPilipinas.com</v>
      </c>
      <c r="R202" s="4">
        <f>IFERROR(__xludf.DUMMYFUNCTION("""COMPUTED_VALUE"""),4.833333333333333)</f>
        <v>4.833333333</v>
      </c>
      <c r="S202" s="60">
        <f>IFERROR(__xludf.DUMMYFUNCTION("""COMPUTED_VALUE"""),45383.0)</f>
        <v>45383</v>
      </c>
      <c r="U202" s="59" t="str">
        <f>IFERROR(__xludf.DUMMYFUNCTION("""COMPUTED_VALUE"""),"Abenson Ventures, Inc.")</f>
        <v>Abenson Ventures, Inc.</v>
      </c>
      <c r="V202" s="4">
        <f>IFERROR(__xludf.DUMMYFUNCTION("""COMPUTED_VALUE"""),4.916666666666667)</f>
        <v>4.916666667</v>
      </c>
      <c r="W202" s="60">
        <f>IFERROR(__xludf.DUMMYFUNCTION("""COMPUTED_VALUE"""),45710.0)</f>
        <v>45710</v>
      </c>
      <c r="Z202" s="4"/>
      <c r="AC202" s="4"/>
      <c r="AF202" s="4"/>
    </row>
    <row r="203">
      <c r="A203" s="179"/>
      <c r="B203" s="180"/>
      <c r="C203" s="2"/>
      <c r="E203" s="181"/>
      <c r="F203" s="181"/>
      <c r="G203" s="2"/>
      <c r="I203" s="190"/>
      <c r="J203" s="190"/>
      <c r="K203" s="2"/>
      <c r="Q203" s="59" t="str">
        <f>IFERROR(__xludf.DUMMYFUNCTION("""COMPUTED_VALUE"""),"Rivchem Enterprises")</f>
        <v>Rivchem Enterprises</v>
      </c>
      <c r="R203" s="4">
        <f>IFERROR(__xludf.DUMMYFUNCTION("""COMPUTED_VALUE"""),5.0)</f>
        <v>5</v>
      </c>
      <c r="S203" s="60">
        <f>IFERROR(__xludf.DUMMYFUNCTION("""COMPUTED_VALUE"""),45383.0)</f>
        <v>45383</v>
      </c>
      <c r="U203" s="59" t="str">
        <f>IFERROR(__xludf.DUMMYFUNCTION("""COMPUTED_VALUE"""),"Leonard Prints Inc.")</f>
        <v>Leonard Prints Inc.</v>
      </c>
      <c r="V203" s="4">
        <f>IFERROR(__xludf.DUMMYFUNCTION("""COMPUTED_VALUE"""),4.2749999999999995)</f>
        <v>4.275</v>
      </c>
      <c r="W203" s="60">
        <f>IFERROR(__xludf.DUMMYFUNCTION("""COMPUTED_VALUE"""),45712.0)</f>
        <v>45712</v>
      </c>
      <c r="Z203" s="4"/>
      <c r="AC203" s="4"/>
      <c r="AF203" s="4"/>
    </row>
    <row r="204">
      <c r="A204" s="179"/>
      <c r="B204" s="180"/>
      <c r="C204" s="2"/>
      <c r="E204" s="181"/>
      <c r="F204" s="181"/>
      <c r="G204" s="2"/>
      <c r="I204" s="190"/>
      <c r="J204" s="190"/>
      <c r="K204" s="2"/>
      <c r="Q204" s="59" t="str">
        <f>IFERROR(__xludf.DUMMYFUNCTION("""COMPUTED_VALUE"""),"Tropical Palms Fashion House, Inc.")</f>
        <v>Tropical Palms Fashion House, Inc.</v>
      </c>
      <c r="R204" s="4">
        <f>IFERROR(__xludf.DUMMYFUNCTION("""COMPUTED_VALUE"""),5.0)</f>
        <v>5</v>
      </c>
      <c r="S204" s="60">
        <f>IFERROR(__xludf.DUMMYFUNCTION("""COMPUTED_VALUE"""),45383.0)</f>
        <v>45383</v>
      </c>
      <c r="U204" s="59" t="str">
        <f>IFERROR(__xludf.DUMMYFUNCTION("""COMPUTED_VALUE"""),"Rivchem Enterprises")</f>
        <v>Rivchem Enterprises</v>
      </c>
      <c r="V204" s="4">
        <f>IFERROR(__xludf.DUMMYFUNCTION("""COMPUTED_VALUE"""),4.791666666666667)</f>
        <v>4.791666667</v>
      </c>
      <c r="W204" s="60">
        <f>IFERROR(__xludf.DUMMYFUNCTION("""COMPUTED_VALUE"""),45716.0)</f>
        <v>45716</v>
      </c>
      <c r="Z204" s="4"/>
      <c r="AC204" s="4"/>
      <c r="AF204" s="4"/>
    </row>
    <row r="205">
      <c r="A205" s="179"/>
      <c r="B205" s="180"/>
      <c r="C205" s="2"/>
      <c r="E205" s="181"/>
      <c r="F205" s="181"/>
      <c r="G205" s="2"/>
      <c r="I205" s="190"/>
      <c r="J205" s="190"/>
      <c r="K205" s="2"/>
      <c r="Q205" s="59" t="str">
        <f>IFERROR(__xludf.DUMMYFUNCTION("""COMPUTED_VALUE"""),"Raynard's Enterprises")</f>
        <v>Raynard's Enterprises</v>
      </c>
      <c r="R205" s="4">
        <f>IFERROR(__xludf.DUMMYFUNCTION("""COMPUTED_VALUE"""),4.733333333333333)</f>
        <v>4.733333333</v>
      </c>
      <c r="S205" s="60">
        <f>IFERROR(__xludf.DUMMYFUNCTION("""COMPUTED_VALUE"""),45387.0)</f>
        <v>45387</v>
      </c>
      <c r="U205" s="59" t="str">
        <f>IFERROR(__xludf.DUMMYFUNCTION("""COMPUTED_VALUE"""),"Rivchem Enterprises")</f>
        <v>Rivchem Enterprises</v>
      </c>
      <c r="V205" s="4">
        <f>IFERROR(__xludf.DUMMYFUNCTION("""COMPUTED_VALUE"""),4.791666666666667)</f>
        <v>4.791666667</v>
      </c>
      <c r="W205" s="60">
        <f>IFERROR(__xludf.DUMMYFUNCTION("""COMPUTED_VALUE"""),45716.0)</f>
        <v>45716</v>
      </c>
      <c r="Z205" s="4"/>
      <c r="AC205" s="4"/>
      <c r="AF205" s="4"/>
    </row>
    <row r="206">
      <c r="A206" s="179"/>
      <c r="B206" s="180"/>
      <c r="C206" s="2"/>
      <c r="E206" s="181"/>
      <c r="F206" s="181"/>
      <c r="G206" s="2"/>
      <c r="I206" s="190"/>
      <c r="J206" s="190"/>
      <c r="K206" s="2"/>
      <c r="Q206" s="59" t="str">
        <f>IFERROR(__xludf.DUMMYFUNCTION("""COMPUTED_VALUE"""),"Rivchem Enterprises")</f>
        <v>Rivchem Enterprises</v>
      </c>
      <c r="R206" s="4">
        <f>IFERROR(__xludf.DUMMYFUNCTION("""COMPUTED_VALUE"""),4.496666666666667)</f>
        <v>4.496666667</v>
      </c>
      <c r="S206" s="60">
        <f>IFERROR(__xludf.DUMMYFUNCTION("""COMPUTED_VALUE"""),45390.0)</f>
        <v>45390</v>
      </c>
      <c r="U206" s="59" t="str">
        <f>IFERROR(__xludf.DUMMYFUNCTION("""COMPUTED_VALUE"""),"Creative Juice Digital Printing")</f>
        <v>Creative Juice Digital Printing</v>
      </c>
      <c r="V206" s="4">
        <f>IFERROR(__xludf.DUMMYFUNCTION("""COMPUTED_VALUE"""),5.0)</f>
        <v>5</v>
      </c>
      <c r="W206" s="60">
        <f>IFERROR(__xludf.DUMMYFUNCTION("""COMPUTED_VALUE"""),45666.0)</f>
        <v>45666</v>
      </c>
      <c r="Z206" s="4"/>
      <c r="AC206" s="4"/>
      <c r="AF206" s="4"/>
    </row>
    <row r="207">
      <c r="A207" s="179"/>
      <c r="B207" s="180"/>
      <c r="C207" s="2"/>
      <c r="E207" s="181"/>
      <c r="F207" s="181"/>
      <c r="G207" s="2"/>
      <c r="I207" s="190"/>
      <c r="J207" s="190"/>
      <c r="K207" s="2"/>
      <c r="Q207" s="59" t="str">
        <f>IFERROR(__xludf.DUMMYFUNCTION("""COMPUTED_VALUE"""),"Rivchem Enterprises")</f>
        <v>Rivchem Enterprises</v>
      </c>
      <c r="R207" s="4">
        <f>IFERROR(__xludf.DUMMYFUNCTION("""COMPUTED_VALUE"""),5.0)</f>
        <v>5</v>
      </c>
      <c r="S207" s="60">
        <f>IFERROR(__xludf.DUMMYFUNCTION("""COMPUTED_VALUE"""),45390.0)</f>
        <v>45390</v>
      </c>
      <c r="U207" s="59" t="str">
        <f>IFERROR(__xludf.DUMMYFUNCTION("""COMPUTED_VALUE"""),"Data Computer Forms, Inc.")</f>
        <v>Data Computer Forms, Inc.</v>
      </c>
      <c r="V207" s="4">
        <f>IFERROR(__xludf.DUMMYFUNCTION("""COMPUTED_VALUE"""),5.0)</f>
        <v>5</v>
      </c>
      <c r="W207" s="60">
        <f>IFERROR(__xludf.DUMMYFUNCTION("""COMPUTED_VALUE"""),45666.0)</f>
        <v>45666</v>
      </c>
      <c r="Z207" s="4"/>
      <c r="AC207" s="4"/>
      <c r="AF207" s="4"/>
    </row>
    <row r="208">
      <c r="A208" s="179"/>
      <c r="B208" s="180"/>
      <c r="C208" s="2"/>
      <c r="E208" s="181"/>
      <c r="F208" s="181"/>
      <c r="G208" s="2"/>
      <c r="I208" s="190"/>
      <c r="J208" s="190"/>
      <c r="K208" s="2"/>
      <c r="Q208" s="59" t="str">
        <f>IFERROR(__xludf.DUMMYFUNCTION("""COMPUTED_VALUE"""),"Times Trading Co., Inc.")</f>
        <v>Times Trading Co., Inc.</v>
      </c>
      <c r="R208" s="4">
        <f>IFERROR(__xludf.DUMMYFUNCTION("""COMPUTED_VALUE"""),4.666666666666667)</f>
        <v>4.666666667</v>
      </c>
      <c r="S208" s="60">
        <f>IFERROR(__xludf.DUMMYFUNCTION("""COMPUTED_VALUE"""),45390.0)</f>
        <v>45390</v>
      </c>
      <c r="U208" s="59" t="str">
        <f>IFERROR(__xludf.DUMMYFUNCTION("""COMPUTED_VALUE"""),"Tadeos Scientific Industries OPC")</f>
        <v>Tadeos Scientific Industries OPC</v>
      </c>
      <c r="V208" s="4">
        <f>IFERROR(__xludf.DUMMYFUNCTION("""COMPUTED_VALUE"""),4.0)</f>
        <v>4</v>
      </c>
      <c r="W208" s="60">
        <f>IFERROR(__xludf.DUMMYFUNCTION("""COMPUTED_VALUE"""),45666.0)</f>
        <v>45666</v>
      </c>
      <c r="Z208" s="4"/>
      <c r="AC208" s="4"/>
      <c r="AF208" s="4"/>
    </row>
    <row r="209">
      <c r="A209" s="179"/>
      <c r="B209" s="180"/>
      <c r="C209" s="2"/>
      <c r="E209" s="181"/>
      <c r="F209" s="181"/>
      <c r="G209" s="2"/>
      <c r="I209" s="190"/>
      <c r="J209" s="190"/>
      <c r="K209" s="2"/>
      <c r="Q209" s="59" t="str">
        <f>IFERROR(__xludf.DUMMYFUNCTION("""COMPUTED_VALUE"""),"Times Trading Co., Inc.")</f>
        <v>Times Trading Co., Inc.</v>
      </c>
      <c r="R209" s="4">
        <f>IFERROR(__xludf.DUMMYFUNCTION("""COMPUTED_VALUE"""),4.833333333333333)</f>
        <v>4.833333333</v>
      </c>
      <c r="S209" s="60">
        <f>IFERROR(__xludf.DUMMYFUNCTION("""COMPUTED_VALUE"""),45390.0)</f>
        <v>45390</v>
      </c>
      <c r="U209" s="59" t="str">
        <f>IFERROR(__xludf.DUMMYFUNCTION("""COMPUTED_VALUE"""),"Patagonian Enterprises ")</f>
        <v>Patagonian Enterprises </v>
      </c>
      <c r="V209" s="4">
        <f>IFERROR(__xludf.DUMMYFUNCTION("""COMPUTED_VALUE"""),4.0)</f>
        <v>4</v>
      </c>
      <c r="W209" s="60">
        <f>IFERROR(__xludf.DUMMYFUNCTION("""COMPUTED_VALUE"""),45666.0)</f>
        <v>45666</v>
      </c>
      <c r="Z209" s="4"/>
      <c r="AC209" s="4"/>
      <c r="AF209" s="4"/>
    </row>
    <row r="210">
      <c r="A210" s="179"/>
      <c r="B210" s="180"/>
      <c r="C210" s="2"/>
      <c r="E210" s="181"/>
      <c r="F210" s="181"/>
      <c r="G210" s="2"/>
      <c r="I210" s="190"/>
      <c r="J210" s="190"/>
      <c r="K210" s="2"/>
      <c r="Q210" s="59" t="str">
        <f>IFERROR(__xludf.DUMMYFUNCTION("""COMPUTED_VALUE"""),"Times Trading Co., Inc.")</f>
        <v>Times Trading Co., Inc.</v>
      </c>
      <c r="R210" s="4">
        <f>IFERROR(__xludf.DUMMYFUNCTION("""COMPUTED_VALUE"""),4.833333333333333)</f>
        <v>4.833333333</v>
      </c>
      <c r="S210" s="60">
        <f>IFERROR(__xludf.DUMMYFUNCTION("""COMPUTED_VALUE"""),45390.0)</f>
        <v>45390</v>
      </c>
      <c r="U210" s="59" t="str">
        <f>IFERROR(__xludf.DUMMYFUNCTION("""COMPUTED_VALUE"""),"Contrade Integrated Depot")</f>
        <v>Contrade Integrated Depot</v>
      </c>
      <c r="V210" s="4">
        <f>IFERROR(__xludf.DUMMYFUNCTION("""COMPUTED_VALUE"""),4.75)</f>
        <v>4.75</v>
      </c>
      <c r="W210" s="60">
        <f>IFERROR(__xludf.DUMMYFUNCTION("""COMPUTED_VALUE"""),45719.0)</f>
        <v>45719</v>
      </c>
      <c r="Z210" s="4"/>
      <c r="AC210" s="4"/>
      <c r="AF210" s="4"/>
    </row>
    <row r="211">
      <c r="A211" s="179"/>
      <c r="B211" s="180"/>
      <c r="C211" s="2"/>
      <c r="E211" s="181"/>
      <c r="F211" s="181"/>
      <c r="G211" s="2"/>
      <c r="I211" s="190"/>
      <c r="J211" s="190"/>
      <c r="K211" s="2"/>
      <c r="Q211" s="59" t="str">
        <f>IFERROR(__xludf.DUMMYFUNCTION("""COMPUTED_VALUE"""),"Goldlink Indsutrial Sales")</f>
        <v>Goldlink Indsutrial Sales</v>
      </c>
      <c r="R211" s="4">
        <f>IFERROR(__xludf.DUMMYFUNCTION("""COMPUTED_VALUE"""),4.75)</f>
        <v>4.75</v>
      </c>
      <c r="S211" s="60">
        <f>IFERROR(__xludf.DUMMYFUNCTION("""COMPUTED_VALUE"""),45394.0)</f>
        <v>45394</v>
      </c>
      <c r="U211" s="59" t="str">
        <f>IFERROR(__xludf.DUMMYFUNCTION("""COMPUTED_VALUE"""),"Velca Equipment And Engineered ")</f>
        <v>Velca Equipment And Engineered </v>
      </c>
      <c r="V211" s="4">
        <f>IFERROR(__xludf.DUMMYFUNCTION("""COMPUTED_VALUE"""),4.0)</f>
        <v>4</v>
      </c>
      <c r="W211" s="60">
        <f>IFERROR(__xludf.DUMMYFUNCTION("""COMPUTED_VALUE"""),45688.0)</f>
        <v>45688</v>
      </c>
      <c r="Z211" s="4"/>
      <c r="AC211" s="4"/>
      <c r="AF211" s="4"/>
    </row>
    <row r="212">
      <c r="A212" s="179"/>
      <c r="B212" s="180"/>
      <c r="C212" s="2"/>
      <c r="E212" s="181"/>
      <c r="F212" s="181"/>
      <c r="G212" s="2"/>
      <c r="I212" s="190"/>
      <c r="J212" s="190"/>
      <c r="K212" s="2"/>
      <c r="Q212" s="59" t="str">
        <f>IFERROR(__xludf.DUMMYFUNCTION("""COMPUTED_VALUE"""),"Zariah's Non-Specialized Wholesale Trading")</f>
        <v>Zariah's Non-Specialized Wholesale Trading</v>
      </c>
      <c r="R212" s="4">
        <f>IFERROR(__xludf.DUMMYFUNCTION("""COMPUTED_VALUE"""),4.791666666666667)</f>
        <v>4.791666667</v>
      </c>
      <c r="S212" s="60">
        <f>IFERROR(__xludf.DUMMYFUNCTION("""COMPUTED_VALUE"""),45397.0)</f>
        <v>45397</v>
      </c>
      <c r="U212" s="59" t="str">
        <f>IFERROR(__xludf.DUMMYFUNCTION("""COMPUTED_VALUE"""),"Chemtrust Global Market, Inc.")</f>
        <v>Chemtrust Global Market, Inc.</v>
      </c>
      <c r="V212" s="4">
        <f>IFERROR(__xludf.DUMMYFUNCTION("""COMPUTED_VALUE"""),4.791666666666667)</f>
        <v>4.791666667</v>
      </c>
      <c r="W212" s="60">
        <f>IFERROR(__xludf.DUMMYFUNCTION("""COMPUTED_VALUE"""),45722.0)</f>
        <v>45722</v>
      </c>
      <c r="Z212" s="4"/>
      <c r="AC212" s="4"/>
      <c r="AF212" s="4"/>
    </row>
    <row r="213">
      <c r="A213" s="179"/>
      <c r="B213" s="180"/>
      <c r="C213" s="2"/>
      <c r="E213" s="181"/>
      <c r="F213" s="181"/>
      <c r="G213" s="2"/>
      <c r="I213" s="190"/>
      <c r="J213" s="190"/>
      <c r="K213" s="2"/>
      <c r="Q213" s="59" t="str">
        <f>IFERROR(__xludf.DUMMYFUNCTION("""COMPUTED_VALUE"""),"Rivchem Enterprises")</f>
        <v>Rivchem Enterprises</v>
      </c>
      <c r="R213" s="4">
        <f>IFERROR(__xludf.DUMMYFUNCTION("""COMPUTED_VALUE"""),5.0)</f>
        <v>5</v>
      </c>
      <c r="S213" s="60">
        <f>IFERROR(__xludf.DUMMYFUNCTION("""COMPUTED_VALUE"""),45398.0)</f>
        <v>45398</v>
      </c>
      <c r="U213" s="59" t="str">
        <f>IFERROR(__xludf.DUMMYFUNCTION("""COMPUTED_VALUE"""),"Rivchem Enterprises")</f>
        <v>Rivchem Enterprises</v>
      </c>
      <c r="V213" s="4">
        <f>IFERROR(__xludf.DUMMYFUNCTION("""COMPUTED_VALUE"""),4.791666666666667)</f>
        <v>4.791666667</v>
      </c>
      <c r="W213" s="60">
        <f>IFERROR(__xludf.DUMMYFUNCTION("""COMPUTED_VALUE"""),45724.0)</f>
        <v>45724</v>
      </c>
      <c r="Z213" s="4"/>
      <c r="AC213" s="4"/>
      <c r="AF213" s="4"/>
    </row>
    <row r="214">
      <c r="A214" s="179"/>
      <c r="B214" s="180"/>
      <c r="C214" s="2"/>
      <c r="E214" s="181"/>
      <c r="F214" s="181"/>
      <c r="G214" s="2"/>
      <c r="I214" s="190"/>
      <c r="J214" s="190"/>
      <c r="K214" s="2"/>
      <c r="Q214" s="59" t="str">
        <f>IFERROR(__xludf.DUMMYFUNCTION("""COMPUTED_VALUE"""),"Contrade Integrated Depot")</f>
        <v>Contrade Integrated Depot</v>
      </c>
      <c r="R214" s="4">
        <f>IFERROR(__xludf.DUMMYFUNCTION("""COMPUTED_VALUE"""),4.5)</f>
        <v>4.5</v>
      </c>
      <c r="S214" s="60">
        <f>IFERROR(__xludf.DUMMYFUNCTION("""COMPUTED_VALUE"""),45400.0)</f>
        <v>45400</v>
      </c>
      <c r="U214" s="59" t="str">
        <f>IFERROR(__xludf.DUMMYFUNCTION("""COMPUTED_VALUE"""),"Rivchem Enterprises")</f>
        <v>Rivchem Enterprises</v>
      </c>
      <c r="V214" s="4">
        <f>IFERROR(__xludf.DUMMYFUNCTION("""COMPUTED_VALUE"""),4.791666666666667)</f>
        <v>4.791666667</v>
      </c>
      <c r="W214" s="60">
        <f>IFERROR(__xludf.DUMMYFUNCTION("""COMPUTED_VALUE"""),45737.0)</f>
        <v>45737</v>
      </c>
      <c r="Z214" s="4"/>
      <c r="AC214" s="4"/>
      <c r="AF214" s="4"/>
    </row>
    <row r="215">
      <c r="A215" s="179"/>
      <c r="B215" s="180"/>
      <c r="C215" s="2"/>
      <c r="E215" s="181"/>
      <c r="F215" s="181"/>
      <c r="G215" s="2"/>
      <c r="I215" s="190"/>
      <c r="J215" s="190"/>
      <c r="K215" s="2"/>
      <c r="Q215" s="59" t="str">
        <f>IFERROR(__xludf.DUMMYFUNCTION("""COMPUTED_VALUE"""),"Printing Shop PrintPilipinas.com")</f>
        <v>Printing Shop PrintPilipinas.com</v>
      </c>
      <c r="R215" s="4">
        <f>IFERROR(__xludf.DUMMYFUNCTION("""COMPUTED_VALUE"""),4.691666666666666)</f>
        <v>4.691666667</v>
      </c>
      <c r="S215" s="60">
        <f>IFERROR(__xludf.DUMMYFUNCTION("""COMPUTED_VALUE"""),45401.0)</f>
        <v>45401</v>
      </c>
      <c r="U215" s="59" t="str">
        <f>IFERROR(__xludf.DUMMYFUNCTION("""COMPUTED_VALUE"""),"Arkin Hardware")</f>
        <v>Arkin Hardware</v>
      </c>
      <c r="V215" s="4">
        <f>IFERROR(__xludf.DUMMYFUNCTION("""COMPUTED_VALUE"""),5.0)</f>
        <v>5</v>
      </c>
      <c r="W215" s="60">
        <f>IFERROR(__xludf.DUMMYFUNCTION("""COMPUTED_VALUE"""),45702.0)</f>
        <v>45702</v>
      </c>
      <c r="Z215" s="4"/>
      <c r="AC215" s="4"/>
      <c r="AF215" s="4"/>
    </row>
    <row r="216">
      <c r="A216" s="179"/>
      <c r="B216" s="180"/>
      <c r="C216" s="2"/>
      <c r="E216" s="181"/>
      <c r="F216" s="181"/>
      <c r="G216" s="2"/>
      <c r="I216" s="190"/>
      <c r="J216" s="190"/>
      <c r="K216" s="2"/>
      <c r="Q216" s="59" t="str">
        <f>IFERROR(__xludf.DUMMYFUNCTION("""COMPUTED_VALUE"""),"Arkin Hardware")</f>
        <v>Arkin Hardware</v>
      </c>
      <c r="R216" s="4">
        <f>IFERROR(__xludf.DUMMYFUNCTION("""COMPUTED_VALUE"""),4.6499999999999995)</f>
        <v>4.65</v>
      </c>
      <c r="S216" s="60">
        <f>IFERROR(__xludf.DUMMYFUNCTION("""COMPUTED_VALUE"""),45402.0)</f>
        <v>45402</v>
      </c>
      <c r="U216" s="59" t="str">
        <f>IFERROR(__xludf.DUMMYFUNCTION("""COMPUTED_VALUE"""),"Atlas Superflags")</f>
        <v>Atlas Superflags</v>
      </c>
      <c r="V216" s="4">
        <f>IFERROR(__xludf.DUMMYFUNCTION("""COMPUTED_VALUE"""),5.0)</f>
        <v>5</v>
      </c>
      <c r="W216" s="60">
        <f>IFERROR(__xludf.DUMMYFUNCTION("""COMPUTED_VALUE"""),45625.0)</f>
        <v>45625</v>
      </c>
      <c r="Z216" s="4"/>
      <c r="AC216" s="4"/>
      <c r="AF216" s="4"/>
    </row>
    <row r="217">
      <c r="A217" s="179"/>
      <c r="B217" s="180"/>
      <c r="C217" s="2"/>
      <c r="E217" s="181"/>
      <c r="F217" s="181"/>
      <c r="G217" s="2"/>
      <c r="I217" s="190"/>
      <c r="J217" s="190"/>
      <c r="K217" s="2"/>
      <c r="Q217" s="59" t="str">
        <f>IFERROR(__xludf.DUMMYFUNCTION("""COMPUTED_VALUE"""),"Printing Shop PrintPilipinas.com")</f>
        <v>Printing Shop PrintPilipinas.com</v>
      </c>
      <c r="R217" s="4">
        <f>IFERROR(__xludf.DUMMYFUNCTION("""COMPUTED_VALUE"""),4.608333333333333)</f>
        <v>4.608333333</v>
      </c>
      <c r="S217" s="60">
        <f>IFERROR(__xludf.DUMMYFUNCTION("""COMPUTED_VALUE"""),45406.0)</f>
        <v>45406</v>
      </c>
      <c r="U217" s="59" t="str">
        <f>IFERROR(__xludf.DUMMYFUNCTION("""COMPUTED_VALUE"""),"Times Trading Co., Inc.")</f>
        <v>Times Trading Co., Inc.</v>
      </c>
      <c r="V217" s="4">
        <f>IFERROR(__xludf.DUMMYFUNCTION("""COMPUTED_VALUE"""),5.0)</f>
        <v>5</v>
      </c>
      <c r="W217" s="60">
        <f>IFERROR(__xludf.DUMMYFUNCTION("""COMPUTED_VALUE"""),45602.0)</f>
        <v>45602</v>
      </c>
      <c r="Z217" s="4"/>
      <c r="AC217" s="4"/>
      <c r="AF217" s="4"/>
    </row>
    <row r="218">
      <c r="A218" s="179"/>
      <c r="B218" s="180"/>
      <c r="C218" s="2"/>
      <c r="E218" s="181"/>
      <c r="F218" s="181"/>
      <c r="G218" s="2"/>
      <c r="I218" s="190"/>
      <c r="J218" s="190"/>
      <c r="K218" s="2"/>
      <c r="Q218" s="59" t="str">
        <f>IFERROR(__xludf.DUMMYFUNCTION("""COMPUTED_VALUE"""),"Rivchem Enterprises")</f>
        <v>Rivchem Enterprises</v>
      </c>
      <c r="R218" s="4">
        <f>IFERROR(__xludf.DUMMYFUNCTION("""COMPUTED_VALUE"""),4.833333333333333)</f>
        <v>4.833333333</v>
      </c>
      <c r="S218" s="60">
        <f>IFERROR(__xludf.DUMMYFUNCTION("""COMPUTED_VALUE"""),45406.0)</f>
        <v>45406</v>
      </c>
      <c r="U218" s="59" t="str">
        <f>IFERROR(__xludf.DUMMYFUNCTION("""COMPUTED_VALUE"""),"Arkin Hardware")</f>
        <v>Arkin Hardware</v>
      </c>
      <c r="V218" s="4">
        <f>IFERROR(__xludf.DUMMYFUNCTION("""COMPUTED_VALUE"""),5.0)</f>
        <v>5</v>
      </c>
      <c r="W218" s="60">
        <f>IFERROR(__xludf.DUMMYFUNCTION("""COMPUTED_VALUE"""),45712.0)</f>
        <v>45712</v>
      </c>
      <c r="Z218" s="4"/>
      <c r="AC218" s="4"/>
      <c r="AF218" s="4"/>
    </row>
    <row r="219">
      <c r="A219" s="179"/>
      <c r="B219" s="180"/>
      <c r="C219" s="2"/>
      <c r="E219" s="181"/>
      <c r="F219" s="181"/>
      <c r="G219" s="2"/>
      <c r="I219" s="190"/>
      <c r="J219" s="190"/>
      <c r="K219" s="2"/>
      <c r="Q219" s="59" t="str">
        <f>IFERROR(__xludf.DUMMYFUNCTION("""COMPUTED_VALUE"""),"Crosspoint Paper, Inc.")</f>
        <v>Crosspoint Paper, Inc.</v>
      </c>
      <c r="R219" s="4">
        <f>IFERROR(__xludf.DUMMYFUNCTION("""COMPUTED_VALUE"""),5.0)</f>
        <v>5</v>
      </c>
      <c r="S219" s="60">
        <f>IFERROR(__xludf.DUMMYFUNCTION("""COMPUTED_VALUE"""),45406.0)</f>
        <v>45406</v>
      </c>
      <c r="U219" s="59" t="str">
        <f>IFERROR(__xludf.DUMMYFUNCTION("""COMPUTED_VALUE"""),"Arkin Hardware")</f>
        <v>Arkin Hardware</v>
      </c>
      <c r="V219" s="4">
        <f>IFERROR(__xludf.DUMMYFUNCTION("""COMPUTED_VALUE"""),5.0)</f>
        <v>5</v>
      </c>
      <c r="W219" s="60">
        <f>IFERROR(__xludf.DUMMYFUNCTION("""COMPUTED_VALUE"""),45689.0)</f>
        <v>45689</v>
      </c>
      <c r="Z219" s="4"/>
      <c r="AC219" s="4"/>
      <c r="AF219" s="4"/>
    </row>
    <row r="220">
      <c r="A220" s="179"/>
      <c r="B220" s="180"/>
      <c r="C220" s="2"/>
      <c r="E220" s="181"/>
      <c r="F220" s="181"/>
      <c r="G220" s="2"/>
      <c r="I220" s="190"/>
      <c r="J220" s="190"/>
      <c r="K220" s="2"/>
      <c r="Q220" s="59" t="str">
        <f>IFERROR(__xludf.DUMMYFUNCTION("""COMPUTED_VALUE"""),"Abenson Ventures, Inc.")</f>
        <v>Abenson Ventures, Inc.</v>
      </c>
      <c r="R220" s="4">
        <f>IFERROR(__xludf.DUMMYFUNCTION("""COMPUTED_VALUE"""),4.833333333333333)</f>
        <v>4.833333333</v>
      </c>
      <c r="S220" s="60">
        <f>IFERROR(__xludf.DUMMYFUNCTION("""COMPUTED_VALUE"""),45407.0)</f>
        <v>45407</v>
      </c>
      <c r="U220" s="59" t="str">
        <f>IFERROR(__xludf.DUMMYFUNCTION("""COMPUTED_VALUE"""),"Times Trading Co., Inc.")</f>
        <v>Times Trading Co., Inc.</v>
      </c>
      <c r="V220" s="4">
        <f>IFERROR(__xludf.DUMMYFUNCTION("""COMPUTED_VALUE"""),4.916666666666667)</f>
        <v>4.916666667</v>
      </c>
      <c r="W220" s="60">
        <f>IFERROR(__xludf.DUMMYFUNCTION("""COMPUTED_VALUE"""),45803.0)</f>
        <v>45803</v>
      </c>
      <c r="Z220" s="4"/>
      <c r="AC220" s="4"/>
      <c r="AF220" s="4"/>
    </row>
    <row r="221">
      <c r="A221" s="179"/>
      <c r="B221" s="180"/>
      <c r="C221" s="2"/>
      <c r="E221" s="181"/>
      <c r="F221" s="181"/>
      <c r="G221" s="2"/>
      <c r="I221" s="190"/>
      <c r="J221" s="190"/>
      <c r="K221" s="2"/>
      <c r="Q221" s="59" t="str">
        <f>IFERROR(__xludf.DUMMYFUNCTION("""COMPUTED_VALUE"""),"Abenson Ventures, Inc.")</f>
        <v>Abenson Ventures, Inc.</v>
      </c>
      <c r="R221" s="4">
        <f>IFERROR(__xludf.DUMMYFUNCTION("""COMPUTED_VALUE"""),4.233333333333333)</f>
        <v>4.233333333</v>
      </c>
      <c r="S221" s="60">
        <f>IFERROR(__xludf.DUMMYFUNCTION("""COMPUTED_VALUE"""),45407.0)</f>
        <v>45407</v>
      </c>
      <c r="U221" s="59" t="str">
        <f>IFERROR(__xludf.DUMMYFUNCTION("""COMPUTED_VALUE"""),"Crosspoint Paper, Inc.")</f>
        <v>Crosspoint Paper, Inc.</v>
      </c>
      <c r="V221" s="4">
        <f>IFERROR(__xludf.DUMMYFUNCTION("""COMPUTED_VALUE"""),5.0)</f>
        <v>5</v>
      </c>
      <c r="W221" s="60">
        <f>IFERROR(__xludf.DUMMYFUNCTION("""COMPUTED_VALUE"""),45803.0)</f>
        <v>45803</v>
      </c>
      <c r="Z221" s="4"/>
      <c r="AC221" s="4"/>
      <c r="AF221" s="4"/>
    </row>
    <row r="222">
      <c r="A222" s="179"/>
      <c r="B222" s="180"/>
      <c r="C222" s="2"/>
      <c r="E222" s="181"/>
      <c r="F222" s="181"/>
      <c r="G222" s="2"/>
      <c r="I222" s="190"/>
      <c r="J222" s="190"/>
      <c r="K222" s="2"/>
      <c r="Q222" s="59" t="str">
        <f>IFERROR(__xludf.DUMMYFUNCTION("""COMPUTED_VALUE"""),"Abenson Ventures, Inc.")</f>
        <v>Abenson Ventures, Inc.</v>
      </c>
      <c r="R222" s="4">
        <f>IFERROR(__xludf.DUMMYFUNCTION("""COMPUTED_VALUE"""),4.0)</f>
        <v>4</v>
      </c>
      <c r="S222" s="60">
        <f>IFERROR(__xludf.DUMMYFUNCTION("""COMPUTED_VALUE"""),45407.0)</f>
        <v>45407</v>
      </c>
      <c r="U222" s="59" t="str">
        <f>IFERROR(__xludf.DUMMYFUNCTION("""COMPUTED_VALUE"""),"Express Cards Enterprises Co.")</f>
        <v>Express Cards Enterprises Co.</v>
      </c>
      <c r="V222" s="4">
        <f>IFERROR(__xludf.DUMMYFUNCTION("""COMPUTED_VALUE"""),5.0)</f>
        <v>5</v>
      </c>
      <c r="W222" s="60">
        <f>IFERROR(__xludf.DUMMYFUNCTION("""COMPUTED_VALUE"""),45803.0)</f>
        <v>45803</v>
      </c>
      <c r="Z222" s="4"/>
      <c r="AC222" s="4"/>
      <c r="AF222" s="4"/>
    </row>
    <row r="223">
      <c r="A223" s="179"/>
      <c r="B223" s="180"/>
      <c r="C223" s="2"/>
      <c r="E223" s="181"/>
      <c r="F223" s="181"/>
      <c r="G223" s="2"/>
      <c r="I223" s="190"/>
      <c r="J223" s="190"/>
      <c r="K223" s="2"/>
      <c r="Q223" s="59" t="str">
        <f>IFERROR(__xludf.DUMMYFUNCTION("""COMPUTED_VALUE"""),"Tropical Palms Fashion House, Inc.")</f>
        <v>Tropical Palms Fashion House, Inc.</v>
      </c>
      <c r="R223" s="4">
        <f>IFERROR(__xludf.DUMMYFUNCTION("""COMPUTED_VALUE"""),4.75)</f>
        <v>4.75</v>
      </c>
      <c r="S223" s="60">
        <f>IFERROR(__xludf.DUMMYFUNCTION("""COMPUTED_VALUE"""),45407.0)</f>
        <v>45407</v>
      </c>
      <c r="U223" s="59" t="str">
        <f>IFERROR(__xludf.DUMMYFUNCTION("""COMPUTED_VALUE"""),"Contrade Integrated Depot")</f>
        <v>Contrade Integrated Depot</v>
      </c>
      <c r="V223" s="4">
        <f>IFERROR(__xludf.DUMMYFUNCTION("""COMPUTED_VALUE"""),4.8)</f>
        <v>4.8</v>
      </c>
      <c r="W223" s="60">
        <f>IFERROR(__xludf.DUMMYFUNCTION("""COMPUTED_VALUE"""),45803.0)</f>
        <v>45803</v>
      </c>
      <c r="Z223" s="4"/>
      <c r="AC223" s="4"/>
      <c r="AF223" s="4"/>
    </row>
    <row r="224">
      <c r="A224" s="179"/>
      <c r="B224" s="180"/>
      <c r="C224" s="2"/>
      <c r="E224" s="181"/>
      <c r="F224" s="181"/>
      <c r="G224" s="2"/>
      <c r="I224" s="190"/>
      <c r="J224" s="190"/>
      <c r="K224" s="2"/>
      <c r="Q224" s="59" t="str">
        <f>IFERROR(__xludf.DUMMYFUNCTION("""COMPUTED_VALUE"""),"ULTRA PETRONNE INTERIOR SUPPLY CORPORATION")</f>
        <v>ULTRA PETRONNE INTERIOR SUPPLY CORPORATION</v>
      </c>
      <c r="R224" s="4">
        <f>IFERROR(__xludf.DUMMYFUNCTION("""COMPUTED_VALUE"""),4.5)</f>
        <v>4.5</v>
      </c>
      <c r="S224" s="60">
        <f>IFERROR(__xludf.DUMMYFUNCTION("""COMPUTED_VALUE"""),45408.0)</f>
        <v>45408</v>
      </c>
      <c r="U224" s="59" t="str">
        <f>IFERROR(__xludf.DUMMYFUNCTION("""COMPUTED_VALUE"""),"Times Trading Co., Inc.")</f>
        <v>Times Trading Co., Inc.</v>
      </c>
      <c r="V224" s="4">
        <f>IFERROR(__xludf.DUMMYFUNCTION("""COMPUTED_VALUE"""),4.966666666666666)</f>
        <v>4.966666667</v>
      </c>
      <c r="W224" s="60">
        <f>IFERROR(__xludf.DUMMYFUNCTION("""COMPUTED_VALUE"""),45803.0)</f>
        <v>45803</v>
      </c>
      <c r="Z224" s="4"/>
      <c r="AC224" s="4"/>
      <c r="AF224" s="4"/>
    </row>
    <row r="225">
      <c r="A225" s="179"/>
      <c r="B225" s="180"/>
      <c r="C225" s="2"/>
      <c r="E225" s="181"/>
      <c r="F225" s="181"/>
      <c r="G225" s="2"/>
      <c r="I225" s="190"/>
      <c r="J225" s="190"/>
      <c r="K225" s="2"/>
      <c r="Q225" s="59" t="str">
        <f>IFERROR(__xludf.DUMMYFUNCTION("""COMPUTED_VALUE"""),"Abacus Book &amp; Card Corp.")</f>
        <v>Abacus Book &amp; Card Corp.</v>
      </c>
      <c r="R225" s="4">
        <f>IFERROR(__xludf.DUMMYFUNCTION("""COMPUTED_VALUE"""),5.0)</f>
        <v>5</v>
      </c>
      <c r="S225" s="60">
        <f>IFERROR(__xludf.DUMMYFUNCTION("""COMPUTED_VALUE"""),45411.0)</f>
        <v>45411</v>
      </c>
      <c r="U225" s="59" t="str">
        <f>IFERROR(__xludf.DUMMYFUNCTION("""COMPUTED_VALUE"""),"Mostaco Printing")</f>
        <v>Mostaco Printing</v>
      </c>
      <c r="V225" s="4">
        <f>IFERROR(__xludf.DUMMYFUNCTION("""COMPUTED_VALUE"""),5.0)</f>
        <v>5</v>
      </c>
      <c r="W225" s="60">
        <f>IFERROR(__xludf.DUMMYFUNCTION("""COMPUTED_VALUE"""),45803.0)</f>
        <v>45803</v>
      </c>
      <c r="Z225" s="4"/>
      <c r="AC225" s="4"/>
      <c r="AF225" s="4"/>
    </row>
    <row r="226">
      <c r="A226" s="179"/>
      <c r="B226" s="180"/>
      <c r="C226" s="2"/>
      <c r="E226" s="181"/>
      <c r="F226" s="181"/>
      <c r="G226" s="2"/>
      <c r="I226" s="190"/>
      <c r="J226" s="190"/>
      <c r="K226" s="2"/>
      <c r="Q226" s="59" t="str">
        <f>IFERROR(__xludf.DUMMYFUNCTION("""COMPUTED_VALUE"""),"Alpha-Cored Technology Systems, Inc.")</f>
        <v>Alpha-Cored Technology Systems, Inc.</v>
      </c>
      <c r="R226" s="4">
        <f>IFERROR(__xludf.DUMMYFUNCTION("""COMPUTED_VALUE"""),5.0)</f>
        <v>5</v>
      </c>
      <c r="S226" s="60">
        <f>IFERROR(__xludf.DUMMYFUNCTION("""COMPUTED_VALUE"""),45411.0)</f>
        <v>45411</v>
      </c>
      <c r="U226" s="59" t="str">
        <f>IFERROR(__xludf.DUMMYFUNCTION("""COMPUTED_VALUE"""),"Trojan Computer Forms Mfg. Corp.")</f>
        <v>Trojan Computer Forms Mfg. Corp.</v>
      </c>
      <c r="V226" s="4">
        <f>IFERROR(__xludf.DUMMYFUNCTION("""COMPUTED_VALUE"""),5.0)</f>
        <v>5</v>
      </c>
      <c r="W226" s="60">
        <f>IFERROR(__xludf.DUMMYFUNCTION("""COMPUTED_VALUE"""),45485.0)</f>
        <v>45485</v>
      </c>
      <c r="Z226" s="4"/>
      <c r="AC226" s="4"/>
      <c r="AF226" s="4"/>
    </row>
    <row r="227">
      <c r="A227" s="179"/>
      <c r="B227" s="180"/>
      <c r="C227" s="2"/>
      <c r="E227" s="181"/>
      <c r="F227" s="181"/>
      <c r="G227" s="2"/>
      <c r="I227" s="190"/>
      <c r="J227" s="190"/>
      <c r="K227" s="2"/>
      <c r="Q227" s="59" t="str">
        <f>IFERROR(__xludf.DUMMYFUNCTION("""COMPUTED_VALUE"""),"Contrade Integrated Depot")</f>
        <v>Contrade Integrated Depot</v>
      </c>
      <c r="R227" s="4">
        <f>IFERROR(__xludf.DUMMYFUNCTION("""COMPUTED_VALUE"""),4.5)</f>
        <v>4.5</v>
      </c>
      <c r="S227" s="60">
        <f>IFERROR(__xludf.DUMMYFUNCTION("""COMPUTED_VALUE"""),45411.0)</f>
        <v>45411</v>
      </c>
      <c r="U227" s="59" t="str">
        <f>IFERROR(__xludf.DUMMYFUNCTION("""COMPUTED_VALUE"""),"Microsmith Technology System,Inc.")</f>
        <v>Microsmith Technology System,Inc.</v>
      </c>
      <c r="V227" s="4">
        <f>IFERROR(__xludf.DUMMYFUNCTION("""COMPUTED_VALUE"""),4.816666666666666)</f>
        <v>4.816666667</v>
      </c>
      <c r="W227" s="60">
        <f>IFERROR(__xludf.DUMMYFUNCTION("""COMPUTED_VALUE"""),45702.0)</f>
        <v>45702</v>
      </c>
      <c r="Z227" s="4"/>
      <c r="AC227" s="4"/>
      <c r="AF227" s="4"/>
    </row>
    <row r="228">
      <c r="A228" s="179"/>
      <c r="B228" s="180"/>
      <c r="C228" s="2"/>
      <c r="E228" s="181"/>
      <c r="F228" s="181"/>
      <c r="G228" s="2"/>
      <c r="I228" s="190"/>
      <c r="J228" s="190"/>
      <c r="K228" s="2"/>
      <c r="Q228" s="59" t="str">
        <f>IFERROR(__xludf.DUMMYFUNCTION("""COMPUTED_VALUE"""),"Hospeco Philippines, Inc.")</f>
        <v>Hospeco Philippines, Inc.</v>
      </c>
      <c r="R228" s="4">
        <f>IFERROR(__xludf.DUMMYFUNCTION("""COMPUTED_VALUE"""),4.833333333333333)</f>
        <v>4.833333333</v>
      </c>
      <c r="S228" s="60">
        <f>IFERROR(__xludf.DUMMYFUNCTION("""COMPUTED_VALUE"""),45411.0)</f>
        <v>45411</v>
      </c>
      <c r="U228" s="59" t="str">
        <f>IFERROR(__xludf.DUMMYFUNCTION("""COMPUTED_VALUE"""),"Net Ad IT Solutions")</f>
        <v>Net Ad IT Solutions</v>
      </c>
      <c r="V228" s="4">
        <f>IFERROR(__xludf.DUMMYFUNCTION("""COMPUTED_VALUE"""),5.0)</f>
        <v>5</v>
      </c>
      <c r="W228" s="60">
        <f>IFERROR(__xludf.DUMMYFUNCTION("""COMPUTED_VALUE"""),45692.0)</f>
        <v>45692</v>
      </c>
      <c r="Z228" s="4"/>
      <c r="AC228" s="4"/>
      <c r="AF228" s="4"/>
    </row>
    <row r="229">
      <c r="A229" s="179"/>
      <c r="B229" s="180"/>
      <c r="C229" s="2"/>
      <c r="E229" s="181"/>
      <c r="F229" s="181"/>
      <c r="G229" s="2"/>
      <c r="I229" s="190"/>
      <c r="J229" s="190"/>
      <c r="K229" s="2"/>
      <c r="Q229" s="59" t="str">
        <f>IFERROR(__xludf.DUMMYFUNCTION("""COMPUTED_VALUE"""),"Contrade Integrated Depot")</f>
        <v>Contrade Integrated Depot</v>
      </c>
      <c r="R229" s="4">
        <f>IFERROR(__xludf.DUMMYFUNCTION("""COMPUTED_VALUE"""),4.566666666666666)</f>
        <v>4.566666667</v>
      </c>
      <c r="S229" s="60">
        <f>IFERROR(__xludf.DUMMYFUNCTION("""COMPUTED_VALUE"""),45411.0)</f>
        <v>45411</v>
      </c>
      <c r="U229" s="59" t="str">
        <f>IFERROR(__xludf.DUMMYFUNCTION("""COMPUTED_VALUE"""),"COMPUTECHNOLOGIES CORP.")</f>
        <v>COMPUTECHNOLOGIES CORP.</v>
      </c>
      <c r="V229" s="4">
        <f>IFERROR(__xludf.DUMMYFUNCTION("""COMPUTED_VALUE"""),4.858333333333333)</f>
        <v>4.858333333</v>
      </c>
      <c r="W229" s="60">
        <f>IFERROR(__xludf.DUMMYFUNCTION("""COMPUTED_VALUE"""),45728.0)</f>
        <v>45728</v>
      </c>
      <c r="Z229" s="4"/>
      <c r="AC229" s="4"/>
      <c r="AF229" s="4"/>
    </row>
    <row r="230">
      <c r="A230" s="179"/>
      <c r="B230" s="180"/>
      <c r="C230" s="2"/>
      <c r="E230" s="181"/>
      <c r="F230" s="181"/>
      <c r="G230" s="2"/>
      <c r="I230" s="190"/>
      <c r="J230" s="190"/>
      <c r="K230" s="2"/>
      <c r="Q230" s="59" t="str">
        <f>IFERROR(__xludf.DUMMYFUNCTION("""COMPUTED_VALUE"""),"Abacus Book &amp; Card Corp.")</f>
        <v>Abacus Book &amp; Card Corp.</v>
      </c>
      <c r="R230" s="4">
        <f>IFERROR(__xludf.DUMMYFUNCTION("""COMPUTED_VALUE"""),5.0)</f>
        <v>5</v>
      </c>
      <c r="S230" s="60">
        <f>IFERROR(__xludf.DUMMYFUNCTION("""COMPUTED_VALUE"""),45411.0)</f>
        <v>45411</v>
      </c>
      <c r="U230" s="59" t="str">
        <f>IFERROR(__xludf.DUMMYFUNCTION("""COMPUTED_VALUE"""),"Columbia Technologies, Inc.")</f>
        <v>Columbia Technologies, Inc.</v>
      </c>
      <c r="V230" s="4">
        <f>IFERROR(__xludf.DUMMYFUNCTION("""COMPUTED_VALUE"""),4.883333333333334)</f>
        <v>4.883333333</v>
      </c>
      <c r="W230" s="60">
        <f>IFERROR(__xludf.DUMMYFUNCTION("""COMPUTED_VALUE"""),45491.0)</f>
        <v>45491</v>
      </c>
      <c r="Z230" s="4"/>
      <c r="AC230" s="4"/>
      <c r="AF230" s="4"/>
    </row>
    <row r="231">
      <c r="A231" s="179"/>
      <c r="B231" s="180"/>
      <c r="C231" s="2"/>
      <c r="E231" s="181"/>
      <c r="F231" s="181"/>
      <c r="G231" s="2"/>
      <c r="I231" s="190"/>
      <c r="J231" s="190"/>
      <c r="K231" s="2"/>
      <c r="Q231" s="59" t="str">
        <f>IFERROR(__xludf.DUMMYFUNCTION("""COMPUTED_VALUE"""),"Abenson Ventures, Inc.")</f>
        <v>Abenson Ventures, Inc.</v>
      </c>
      <c r="R231" s="4">
        <f>IFERROR(__xludf.DUMMYFUNCTION("""COMPUTED_VALUE"""),4.733333333333333)</f>
        <v>4.733333333</v>
      </c>
      <c r="S231" s="60">
        <f>IFERROR(__xludf.DUMMYFUNCTION("""COMPUTED_VALUE"""),45412.0)</f>
        <v>45412</v>
      </c>
      <c r="U231" s="59" t="str">
        <f>IFERROR(__xludf.DUMMYFUNCTION("""COMPUTED_VALUE"""),"Arkin Hardware")</f>
        <v>Arkin Hardware</v>
      </c>
      <c r="V231" s="4">
        <f>IFERROR(__xludf.DUMMYFUNCTION("""COMPUTED_VALUE"""),4.95)</f>
        <v>4.95</v>
      </c>
      <c r="W231" s="60">
        <f>IFERROR(__xludf.DUMMYFUNCTION("""COMPUTED_VALUE"""),45625.0)</f>
        <v>45625</v>
      </c>
      <c r="Z231" s="4"/>
      <c r="AC231" s="4"/>
      <c r="AF231" s="4"/>
    </row>
    <row r="232">
      <c r="A232" s="179"/>
      <c r="B232" s="180"/>
      <c r="C232" s="2"/>
      <c r="E232" s="181"/>
      <c r="F232" s="181"/>
      <c r="G232" s="2"/>
      <c r="I232" s="190"/>
      <c r="J232" s="190"/>
      <c r="K232" s="2"/>
      <c r="Q232" s="59" t="str">
        <f>IFERROR(__xludf.DUMMYFUNCTION("""COMPUTED_VALUE"""),"Abenson Ventures, Inc.")</f>
        <v>Abenson Ventures, Inc.</v>
      </c>
      <c r="R232" s="4">
        <f>IFERROR(__xludf.DUMMYFUNCTION("""COMPUTED_VALUE"""),4.733333333333333)</f>
        <v>4.733333333</v>
      </c>
      <c r="S232" s="60">
        <f>IFERROR(__xludf.DUMMYFUNCTION("""COMPUTED_VALUE"""),45412.0)</f>
        <v>45412</v>
      </c>
      <c r="U232" s="59" t="str">
        <f>IFERROR(__xludf.DUMMYFUNCTION("""COMPUTED_VALUE"""),"Net Ad IT Solutions")</f>
        <v>Net Ad IT Solutions</v>
      </c>
      <c r="V232" s="4">
        <f>IFERROR(__xludf.DUMMYFUNCTION("""COMPUTED_VALUE"""),5.0)</f>
        <v>5</v>
      </c>
      <c r="W232" s="60">
        <f>IFERROR(__xludf.DUMMYFUNCTION("""COMPUTED_VALUE"""),45482.0)</f>
        <v>45482</v>
      </c>
      <c r="Z232" s="4"/>
      <c r="AC232" s="4"/>
      <c r="AF232" s="4"/>
    </row>
    <row r="233">
      <c r="A233" s="179"/>
      <c r="B233" s="180"/>
      <c r="C233" s="2"/>
      <c r="E233" s="181"/>
      <c r="F233" s="181"/>
      <c r="G233" s="2"/>
      <c r="I233" s="190"/>
      <c r="J233" s="190"/>
      <c r="K233" s="2"/>
      <c r="Q233" s="59" t="str">
        <f>IFERROR(__xludf.DUMMYFUNCTION("""COMPUTED_VALUE"""),"DOOPLO ADVERTISING")</f>
        <v>DOOPLO ADVERTISING</v>
      </c>
      <c r="R233" s="4">
        <f>IFERROR(__xludf.DUMMYFUNCTION("""COMPUTED_VALUE"""),4.0)</f>
        <v>4</v>
      </c>
      <c r="S233" s="60">
        <f>IFERROR(__xludf.DUMMYFUNCTION("""COMPUTED_VALUE"""),45412.0)</f>
        <v>45412</v>
      </c>
      <c r="U233" s="59" t="str">
        <f>IFERROR(__xludf.DUMMYFUNCTION("""COMPUTED_VALUE"""),"Microsmith Technology System,Inc.")</f>
        <v>Microsmith Technology System,Inc.</v>
      </c>
      <c r="V233" s="4">
        <f>IFERROR(__xludf.DUMMYFUNCTION("""COMPUTED_VALUE"""),5.0)</f>
        <v>5</v>
      </c>
      <c r="W233" s="60">
        <f>IFERROR(__xludf.DUMMYFUNCTION("""COMPUTED_VALUE"""),45531.0)</f>
        <v>45531</v>
      </c>
      <c r="Z233" s="4"/>
      <c r="AC233" s="4"/>
      <c r="AF233" s="4"/>
    </row>
    <row r="234">
      <c r="A234" s="179"/>
      <c r="B234" s="180"/>
      <c r="C234" s="2"/>
      <c r="E234" s="181"/>
      <c r="F234" s="181"/>
      <c r="G234" s="2"/>
      <c r="I234" s="190"/>
      <c r="J234" s="190"/>
      <c r="K234" s="2"/>
      <c r="Q234" s="59" t="str">
        <f>IFERROR(__xludf.DUMMYFUNCTION("""COMPUTED_VALUE"""),"Arkin Hardware")</f>
        <v>Arkin Hardware</v>
      </c>
      <c r="R234" s="4">
        <f>IFERROR(__xludf.DUMMYFUNCTION("""COMPUTED_VALUE"""),4.5)</f>
        <v>4.5</v>
      </c>
      <c r="S234" s="60">
        <f>IFERROR(__xludf.DUMMYFUNCTION("""COMPUTED_VALUE"""),45415.0)</f>
        <v>45415</v>
      </c>
      <c r="U234" s="59" t="str">
        <f>IFERROR(__xludf.DUMMYFUNCTION("""COMPUTED_VALUE"""),"iEquity Technologies Corp.")</f>
        <v>iEquity Technologies Corp.</v>
      </c>
      <c r="V234" s="4">
        <f>IFERROR(__xludf.DUMMYFUNCTION("""COMPUTED_VALUE"""),4.916666666666667)</f>
        <v>4.916666667</v>
      </c>
      <c r="W234" s="60">
        <f>IFERROR(__xludf.DUMMYFUNCTION("""COMPUTED_VALUE"""),45595.0)</f>
        <v>45595</v>
      </c>
      <c r="Z234" s="4"/>
      <c r="AC234" s="4"/>
      <c r="AF234" s="4"/>
    </row>
    <row r="235">
      <c r="A235" s="179"/>
      <c r="B235" s="180"/>
      <c r="C235" s="2"/>
      <c r="E235" s="181"/>
      <c r="F235" s="181"/>
      <c r="G235" s="2"/>
      <c r="I235" s="190"/>
      <c r="J235" s="190"/>
      <c r="K235" s="2"/>
      <c r="Q235" s="59" t="str">
        <f>IFERROR(__xludf.DUMMYFUNCTION("""COMPUTED_VALUE"""),"Arkin Hardware")</f>
        <v>Arkin Hardware</v>
      </c>
      <c r="R235" s="4">
        <f>IFERROR(__xludf.DUMMYFUNCTION("""COMPUTED_VALUE"""),4.166666666666667)</f>
        <v>4.166666667</v>
      </c>
      <c r="S235" s="60">
        <f>IFERROR(__xludf.DUMMYFUNCTION("""COMPUTED_VALUE"""),45415.0)</f>
        <v>45415</v>
      </c>
      <c r="U235" s="59" t="str">
        <f>IFERROR(__xludf.DUMMYFUNCTION("""COMPUTED_VALUE"""),"Printing Shop PrintPilipinas.com")</f>
        <v>Printing Shop PrintPilipinas.com</v>
      </c>
      <c r="V235" s="4">
        <f>IFERROR(__xludf.DUMMYFUNCTION("""COMPUTED_VALUE"""),5.0)</f>
        <v>5</v>
      </c>
      <c r="W235" s="60">
        <f>IFERROR(__xludf.DUMMYFUNCTION("""COMPUTED_VALUE"""),45741.0)</f>
        <v>45741</v>
      </c>
      <c r="Z235" s="4"/>
      <c r="AC235" s="4"/>
      <c r="AF235" s="4"/>
    </row>
    <row r="236">
      <c r="A236" s="179"/>
      <c r="B236" s="180"/>
      <c r="C236" s="2"/>
      <c r="E236" s="181"/>
      <c r="F236" s="181"/>
      <c r="G236" s="2"/>
      <c r="I236" s="190"/>
      <c r="J236" s="190"/>
      <c r="K236" s="2"/>
      <c r="Q236" s="59" t="str">
        <f>IFERROR(__xludf.DUMMYFUNCTION("""COMPUTED_VALUE"""),"Tropical Palms Fashion House, Inc.")</f>
        <v>Tropical Palms Fashion House, Inc.</v>
      </c>
      <c r="R236" s="4">
        <f>IFERROR(__xludf.DUMMYFUNCTION("""COMPUTED_VALUE"""),4.5)</f>
        <v>4.5</v>
      </c>
      <c r="S236" s="60">
        <f>IFERROR(__xludf.DUMMYFUNCTION("""COMPUTED_VALUE"""),45415.0)</f>
        <v>45415</v>
      </c>
      <c r="U236" s="59" t="str">
        <f>IFERROR(__xludf.DUMMYFUNCTION("""COMPUTED_VALUE"""),"Printing Shop PrintPilipinas.com")</f>
        <v>Printing Shop PrintPilipinas.com</v>
      </c>
      <c r="V236" s="4">
        <f>IFERROR(__xludf.DUMMYFUNCTION("""COMPUTED_VALUE"""),5.0)</f>
        <v>5</v>
      </c>
      <c r="W236" s="60">
        <f>IFERROR(__xludf.DUMMYFUNCTION("""COMPUTED_VALUE"""),45741.0)</f>
        <v>45741</v>
      </c>
      <c r="Z236" s="4"/>
      <c r="AC236" s="4"/>
      <c r="AF236" s="4"/>
    </row>
    <row r="237">
      <c r="A237" s="179"/>
      <c r="B237" s="180"/>
      <c r="C237" s="2"/>
      <c r="E237" s="181"/>
      <c r="F237" s="181"/>
      <c r="G237" s="2"/>
      <c r="I237" s="190"/>
      <c r="J237" s="190"/>
      <c r="K237" s="2"/>
      <c r="Q237" s="59" t="str">
        <f>IFERROR(__xludf.DUMMYFUNCTION("""COMPUTED_VALUE"""),"Creative Juice Digital Printing")</f>
        <v>Creative Juice Digital Printing</v>
      </c>
      <c r="R237" s="4">
        <f>IFERROR(__xludf.DUMMYFUNCTION("""COMPUTED_VALUE"""),4.6499999999999995)</f>
        <v>4.65</v>
      </c>
      <c r="S237" s="60">
        <f>IFERROR(__xludf.DUMMYFUNCTION("""COMPUTED_VALUE"""),45416.0)</f>
        <v>45416</v>
      </c>
      <c r="U237" s="59" t="str">
        <f>IFERROR(__xludf.DUMMYFUNCTION("""COMPUTED_VALUE"""),"Printing Shop PrintPilipinas.com")</f>
        <v>Printing Shop PrintPilipinas.com</v>
      </c>
      <c r="V237" s="4">
        <f>IFERROR(__xludf.DUMMYFUNCTION("""COMPUTED_VALUE"""),5.0)</f>
        <v>5</v>
      </c>
      <c r="W237" s="60">
        <f>IFERROR(__xludf.DUMMYFUNCTION("""COMPUTED_VALUE"""),45755.0)</f>
        <v>45755</v>
      </c>
      <c r="Z237" s="4"/>
      <c r="AC237" s="4"/>
      <c r="AF237" s="4"/>
    </row>
    <row r="238">
      <c r="A238" s="179"/>
      <c r="B238" s="180"/>
      <c r="C238" s="2"/>
      <c r="E238" s="181"/>
      <c r="F238" s="181"/>
      <c r="G238" s="2"/>
      <c r="I238" s="190"/>
      <c r="J238" s="190"/>
      <c r="K238" s="2"/>
      <c r="Q238" s="59" t="str">
        <f>IFERROR(__xludf.DUMMYFUNCTION("""COMPUTED_VALUE"""),"DOOPLO ADVERTISING")</f>
        <v>DOOPLO ADVERTISING</v>
      </c>
      <c r="R238" s="4">
        <f>IFERROR(__xludf.DUMMYFUNCTION("""COMPUTED_VALUE"""),4.75)</f>
        <v>4.75</v>
      </c>
      <c r="S238" s="60">
        <f>IFERROR(__xludf.DUMMYFUNCTION("""COMPUTED_VALUE"""),45418.0)</f>
        <v>45418</v>
      </c>
      <c r="U238" s="59" t="str">
        <f>IFERROR(__xludf.DUMMYFUNCTION("""COMPUTED_VALUE"""),"Printing Shop PrintPilipinas.com")</f>
        <v>Printing Shop PrintPilipinas.com</v>
      </c>
      <c r="V238" s="4">
        <f>IFERROR(__xludf.DUMMYFUNCTION("""COMPUTED_VALUE"""),5.0)</f>
        <v>5</v>
      </c>
      <c r="W238" s="60">
        <f>IFERROR(__xludf.DUMMYFUNCTION("""COMPUTED_VALUE"""),45723.0)</f>
        <v>45723</v>
      </c>
      <c r="Z238" s="4"/>
      <c r="AC238" s="4"/>
      <c r="AF238" s="4"/>
    </row>
    <row r="239">
      <c r="A239" s="179"/>
      <c r="B239" s="180"/>
      <c r="C239" s="2"/>
      <c r="E239" s="181"/>
      <c r="F239" s="181"/>
      <c r="G239" s="2"/>
      <c r="I239" s="190"/>
      <c r="J239" s="190"/>
      <c r="K239" s="2"/>
      <c r="Q239" s="59" t="str">
        <f>IFERROR(__xludf.DUMMYFUNCTION("""COMPUTED_VALUE"""),"Arkin Hardware")</f>
        <v>Arkin Hardware</v>
      </c>
      <c r="R239" s="4">
        <f>IFERROR(__xludf.DUMMYFUNCTION("""COMPUTED_VALUE"""),4.0)</f>
        <v>4</v>
      </c>
      <c r="S239" s="60">
        <f>IFERROR(__xludf.DUMMYFUNCTION("""COMPUTED_VALUE"""),45418.0)</f>
        <v>45418</v>
      </c>
      <c r="U239" s="59" t="str">
        <f>IFERROR(__xludf.DUMMYFUNCTION("""COMPUTED_VALUE"""),"Printing Shop PrintPilipinas.com")</f>
        <v>Printing Shop PrintPilipinas.com</v>
      </c>
      <c r="V239" s="4">
        <f>IFERROR(__xludf.DUMMYFUNCTION("""COMPUTED_VALUE"""),5.083333333333333)</f>
        <v>5.083333333</v>
      </c>
      <c r="W239" s="60">
        <f>IFERROR(__xludf.DUMMYFUNCTION("""COMPUTED_VALUE"""),45741.0)</f>
        <v>45741</v>
      </c>
      <c r="Z239" s="4"/>
      <c r="AC239" s="4"/>
      <c r="AF239" s="4"/>
    </row>
    <row r="240">
      <c r="A240" s="179"/>
      <c r="B240" s="180"/>
      <c r="C240" s="2"/>
      <c r="E240" s="181"/>
      <c r="F240" s="181"/>
      <c r="G240" s="2"/>
      <c r="I240" s="190"/>
      <c r="J240" s="190"/>
      <c r="K240" s="2"/>
      <c r="Q240" s="59" t="str">
        <f>IFERROR(__xludf.DUMMYFUNCTION("""COMPUTED_VALUE"""),"Abacus Book &amp; Card Corp.")</f>
        <v>Abacus Book &amp; Card Corp.</v>
      </c>
      <c r="R240" s="4">
        <f>IFERROR(__xludf.DUMMYFUNCTION("""COMPUTED_VALUE"""),5.0)</f>
        <v>5</v>
      </c>
      <c r="S240" s="60">
        <f>IFERROR(__xludf.DUMMYFUNCTION("""COMPUTED_VALUE"""),45421.0)</f>
        <v>45421</v>
      </c>
      <c r="U240" s="59" t="str">
        <f>IFERROR(__xludf.DUMMYFUNCTION("""COMPUTED_VALUE"""),"Printing Shop PrintPilipinas.com")</f>
        <v>Printing Shop PrintPilipinas.com</v>
      </c>
      <c r="V240" s="4">
        <f>IFERROR(__xludf.DUMMYFUNCTION("""COMPUTED_VALUE"""),5.083333333333333)</f>
        <v>5.083333333</v>
      </c>
      <c r="W240" s="60">
        <f>IFERROR(__xludf.DUMMYFUNCTION("""COMPUTED_VALUE"""),45741.0)</f>
        <v>45741</v>
      </c>
      <c r="Z240" s="4"/>
      <c r="AC240" s="4"/>
      <c r="AF240" s="4"/>
    </row>
    <row r="241">
      <c r="A241" s="179"/>
      <c r="B241" s="180"/>
      <c r="C241" s="2"/>
      <c r="E241" s="181"/>
      <c r="F241" s="181"/>
      <c r="G241" s="2"/>
      <c r="I241" s="190"/>
      <c r="J241" s="190"/>
      <c r="K241" s="2"/>
      <c r="Q241" s="59" t="str">
        <f>IFERROR(__xludf.DUMMYFUNCTION("""COMPUTED_VALUE"""),"Creative Juice Digital Printing")</f>
        <v>Creative Juice Digital Printing</v>
      </c>
      <c r="R241" s="4">
        <f>IFERROR(__xludf.DUMMYFUNCTION("""COMPUTED_VALUE"""),4.0)</f>
        <v>4</v>
      </c>
      <c r="S241" s="60">
        <f>IFERROR(__xludf.DUMMYFUNCTION("""COMPUTED_VALUE"""),45423.0)</f>
        <v>45423</v>
      </c>
      <c r="U241" s="59" t="str">
        <f>IFERROR(__xludf.DUMMYFUNCTION("""COMPUTED_VALUE"""),"Printing Shop PrintPilipinas.com")</f>
        <v>Printing Shop PrintPilipinas.com</v>
      </c>
      <c r="V241" s="4">
        <f>IFERROR(__xludf.DUMMYFUNCTION("""COMPUTED_VALUE"""),5.0)</f>
        <v>5</v>
      </c>
      <c r="W241" s="60">
        <f>IFERROR(__xludf.DUMMYFUNCTION("""COMPUTED_VALUE"""),45755.0)</f>
        <v>45755</v>
      </c>
      <c r="Z241" s="4"/>
      <c r="AC241" s="4"/>
      <c r="AF241" s="4"/>
    </row>
    <row r="242">
      <c r="A242" s="179"/>
      <c r="B242" s="180"/>
      <c r="C242" s="2"/>
      <c r="E242" s="181"/>
      <c r="F242" s="181"/>
      <c r="G242" s="2"/>
      <c r="I242" s="190"/>
      <c r="J242" s="190"/>
      <c r="K242" s="2"/>
      <c r="Q242" s="59" t="str">
        <f>IFERROR(__xludf.DUMMYFUNCTION("""COMPUTED_VALUE"""),"Printing Shop PrintPilipinas.com")</f>
        <v>Printing Shop PrintPilipinas.com</v>
      </c>
      <c r="R242" s="4">
        <f>IFERROR(__xludf.DUMMYFUNCTION("""COMPUTED_VALUE"""),5.0)</f>
        <v>5</v>
      </c>
      <c r="S242" s="60">
        <f>IFERROR(__xludf.DUMMYFUNCTION("""COMPUTED_VALUE"""),45423.0)</f>
        <v>45423</v>
      </c>
      <c r="U242" s="59" t="str">
        <f>IFERROR(__xludf.DUMMYFUNCTION("""COMPUTED_VALUE"""),"Printing Shop PrintPilipinas.com")</f>
        <v>Printing Shop PrintPilipinas.com</v>
      </c>
      <c r="V242" s="4">
        <f>IFERROR(__xludf.DUMMYFUNCTION("""COMPUTED_VALUE"""),5.0)</f>
        <v>5</v>
      </c>
      <c r="W242" s="60">
        <f>IFERROR(__xludf.DUMMYFUNCTION("""COMPUTED_VALUE"""),45751.0)</f>
        <v>45751</v>
      </c>
      <c r="Z242" s="4"/>
      <c r="AC242" s="4"/>
      <c r="AF242" s="4"/>
    </row>
    <row r="243">
      <c r="A243" s="179"/>
      <c r="B243" s="180"/>
      <c r="C243" s="2"/>
      <c r="E243" s="181"/>
      <c r="F243" s="181"/>
      <c r="G243" s="2"/>
      <c r="I243" s="190"/>
      <c r="J243" s="190"/>
      <c r="K243" s="2"/>
      <c r="Q243" s="59" t="str">
        <f>IFERROR(__xludf.DUMMYFUNCTION("""COMPUTED_VALUE"""),"Arkin Hardware")</f>
        <v>Arkin Hardware</v>
      </c>
      <c r="R243" s="4">
        <f>IFERROR(__xludf.DUMMYFUNCTION("""COMPUTED_VALUE"""),4.625)</f>
        <v>4.625</v>
      </c>
      <c r="S243" s="60">
        <f>IFERROR(__xludf.DUMMYFUNCTION("""COMPUTED_VALUE"""),45425.0)</f>
        <v>45425</v>
      </c>
      <c r="U243" s="59" t="str">
        <f>IFERROR(__xludf.DUMMYFUNCTION("""COMPUTED_VALUE"""),"Printing Shop PrintPilipinas.com")</f>
        <v>Printing Shop PrintPilipinas.com</v>
      </c>
      <c r="V243" s="4">
        <f>IFERROR(__xludf.DUMMYFUNCTION("""COMPUTED_VALUE"""),5.0)</f>
        <v>5</v>
      </c>
      <c r="W243" s="60">
        <f>IFERROR(__xludf.DUMMYFUNCTION("""COMPUTED_VALUE"""),45751.0)</f>
        <v>45751</v>
      </c>
      <c r="Z243" s="4"/>
      <c r="AC243" s="4"/>
      <c r="AF243" s="4"/>
    </row>
    <row r="244">
      <c r="A244" s="179"/>
      <c r="B244" s="180"/>
      <c r="C244" s="2"/>
      <c r="E244" s="181"/>
      <c r="F244" s="181"/>
      <c r="G244" s="2"/>
      <c r="I244" s="190"/>
      <c r="J244" s="190"/>
      <c r="K244" s="2"/>
      <c r="Q244" s="59" t="str">
        <f>IFERROR(__xludf.DUMMYFUNCTION("""COMPUTED_VALUE"""),"Chemtrust Global Market, Inc.")</f>
        <v>Chemtrust Global Market, Inc.</v>
      </c>
      <c r="R244" s="4">
        <f>IFERROR(__xludf.DUMMYFUNCTION("""COMPUTED_VALUE"""),5.0)</f>
        <v>5</v>
      </c>
      <c r="S244" s="60">
        <f>IFERROR(__xludf.DUMMYFUNCTION("""COMPUTED_VALUE"""),45426.0)</f>
        <v>45426</v>
      </c>
      <c r="U244" s="59" t="str">
        <f>IFERROR(__xludf.DUMMYFUNCTION("""COMPUTED_VALUE"""),"Roavsan General Merchandise")</f>
        <v>Roavsan General Merchandise</v>
      </c>
      <c r="V244" s="4">
        <f>IFERROR(__xludf.DUMMYFUNCTION("""COMPUTED_VALUE"""),4.758333333333334)</f>
        <v>4.758333333</v>
      </c>
      <c r="W244" s="60">
        <f>IFERROR(__xludf.DUMMYFUNCTION("""COMPUTED_VALUE"""),45608.0)</f>
        <v>45608</v>
      </c>
      <c r="Z244" s="4"/>
      <c r="AC244" s="4"/>
      <c r="AF244" s="4"/>
    </row>
    <row r="245">
      <c r="A245" s="179"/>
      <c r="B245" s="180"/>
      <c r="C245" s="2"/>
      <c r="E245" s="181"/>
      <c r="F245" s="181"/>
      <c r="G245" s="2"/>
      <c r="I245" s="190"/>
      <c r="J245" s="190"/>
      <c r="K245" s="2"/>
      <c r="Q245" s="59" t="str">
        <f>IFERROR(__xludf.DUMMYFUNCTION("""COMPUTED_VALUE"""),"Amalgamated Specialties Corporation")</f>
        <v>Amalgamated Specialties Corporation</v>
      </c>
      <c r="R245" s="4">
        <f>IFERROR(__xludf.DUMMYFUNCTION("""COMPUTED_VALUE"""),5.0)</f>
        <v>5</v>
      </c>
      <c r="S245" s="60">
        <f>IFERROR(__xludf.DUMMYFUNCTION("""COMPUTED_VALUE"""),45429.0)</f>
        <v>45429</v>
      </c>
      <c r="U245" s="59" t="str">
        <f>IFERROR(__xludf.DUMMYFUNCTION("""COMPUTED_VALUE"""),"Bobman Trading")</f>
        <v>Bobman Trading</v>
      </c>
      <c r="V245" s="4">
        <f>IFERROR(__xludf.DUMMYFUNCTION("""COMPUTED_VALUE"""),4.838888888888889)</f>
        <v>4.838888889</v>
      </c>
      <c r="W245" s="60">
        <f>IFERROR(__xludf.DUMMYFUNCTION("""COMPUTED_VALUE"""),45737.0)</f>
        <v>45737</v>
      </c>
      <c r="Z245" s="4"/>
      <c r="AC245" s="4"/>
      <c r="AF245" s="4"/>
    </row>
    <row r="246">
      <c r="A246" s="179"/>
      <c r="B246" s="180"/>
      <c r="C246" s="2"/>
      <c r="E246" s="181"/>
      <c r="F246" s="181"/>
      <c r="G246" s="2"/>
      <c r="I246" s="190"/>
      <c r="J246" s="190"/>
      <c r="K246" s="2"/>
      <c r="Q246" s="59" t="str">
        <f>IFERROR(__xludf.DUMMYFUNCTION("""COMPUTED_VALUE"""),"Printing Shop PrintPilipinas.com")</f>
        <v>Printing Shop PrintPilipinas.com</v>
      </c>
      <c r="R246" s="4">
        <f>IFERROR(__xludf.DUMMYFUNCTION("""COMPUTED_VALUE"""),4.625)</f>
        <v>4.625</v>
      </c>
      <c r="S246" s="60">
        <f>IFERROR(__xludf.DUMMYFUNCTION("""COMPUTED_VALUE"""),45433.0)</f>
        <v>45433</v>
      </c>
      <c r="U246" s="59" t="str">
        <f>IFERROR(__xludf.DUMMYFUNCTION("""COMPUTED_VALUE"""),"Abenson Ventures, Inc.")</f>
        <v>Abenson Ventures, Inc.</v>
      </c>
      <c r="V246" s="4">
        <f>IFERROR(__xludf.DUMMYFUNCTION("""COMPUTED_VALUE"""),5.0)</f>
        <v>5</v>
      </c>
      <c r="W246" s="60">
        <f>IFERROR(__xludf.DUMMYFUNCTION("""COMPUTED_VALUE"""),45589.0)</f>
        <v>45589</v>
      </c>
      <c r="Z246" s="4"/>
      <c r="AC246" s="4"/>
      <c r="AF246" s="4"/>
    </row>
    <row r="247">
      <c r="A247" s="179"/>
      <c r="B247" s="180"/>
      <c r="C247" s="2"/>
      <c r="E247" s="181"/>
      <c r="F247" s="181"/>
      <c r="G247" s="2"/>
      <c r="I247" s="190"/>
      <c r="J247" s="190"/>
      <c r="K247" s="2"/>
      <c r="Q247" s="59" t="str">
        <f>IFERROR(__xludf.DUMMYFUNCTION("""COMPUTED_VALUE"""),"Arkin Hardware")</f>
        <v>Arkin Hardware</v>
      </c>
      <c r="R247" s="4">
        <f>IFERROR(__xludf.DUMMYFUNCTION("""COMPUTED_VALUE"""),4.733333333333333)</f>
        <v>4.733333333</v>
      </c>
      <c r="S247" s="60">
        <f>IFERROR(__xludf.DUMMYFUNCTION("""COMPUTED_VALUE"""),45434.0)</f>
        <v>45434</v>
      </c>
      <c r="U247" s="59" t="str">
        <f>IFERROR(__xludf.DUMMYFUNCTION("""COMPUTED_VALUE"""),"Multiflex RNC Philippines inc.")</f>
        <v>Multiflex RNC Philippines inc.</v>
      </c>
      <c r="V247" s="4">
        <f>IFERROR(__xludf.DUMMYFUNCTION("""COMPUTED_VALUE"""),5.0)</f>
        <v>5</v>
      </c>
      <c r="W247" s="60">
        <f>IFERROR(__xludf.DUMMYFUNCTION("""COMPUTED_VALUE"""),45575.0)</f>
        <v>45575</v>
      </c>
      <c r="Z247" s="4"/>
      <c r="AC247" s="4"/>
      <c r="AF247" s="4"/>
    </row>
    <row r="248">
      <c r="A248" s="179"/>
      <c r="B248" s="180"/>
      <c r="C248" s="2"/>
      <c r="E248" s="181"/>
      <c r="F248" s="181"/>
      <c r="G248" s="2"/>
      <c r="I248" s="190"/>
      <c r="J248" s="190"/>
      <c r="K248" s="2"/>
      <c r="Q248" s="59" t="str">
        <f>IFERROR(__xludf.DUMMYFUNCTION("""COMPUTED_VALUE"""),"Abenson Ventures, Inc.")</f>
        <v>Abenson Ventures, Inc.</v>
      </c>
      <c r="R248" s="4">
        <f>IFERROR(__xludf.DUMMYFUNCTION("""COMPUTED_VALUE"""),5.0)</f>
        <v>5</v>
      </c>
      <c r="S248" s="60">
        <f>IFERROR(__xludf.DUMMYFUNCTION("""COMPUTED_VALUE"""),45435.0)</f>
        <v>45435</v>
      </c>
      <c r="U248" s="59" t="str">
        <f>IFERROR(__xludf.DUMMYFUNCTION("""COMPUTED_VALUE"""),"Elle Tech and Trend Office Furniture and Interiors")</f>
        <v>Elle Tech and Trend Office Furniture and Interiors</v>
      </c>
      <c r="V248" s="4">
        <f>IFERROR(__xludf.DUMMYFUNCTION("""COMPUTED_VALUE"""),5.0)</f>
        <v>5</v>
      </c>
      <c r="W248" s="60">
        <f>IFERROR(__xludf.DUMMYFUNCTION("""COMPUTED_VALUE"""),45486.0)</f>
        <v>45486</v>
      </c>
      <c r="Z248" s="4"/>
      <c r="AC248" s="4"/>
      <c r="AF248" s="4"/>
    </row>
    <row r="249">
      <c r="A249" s="179"/>
      <c r="B249" s="180"/>
      <c r="C249" s="2"/>
      <c r="E249" s="181"/>
      <c r="F249" s="181"/>
      <c r="G249" s="2"/>
      <c r="I249" s="190"/>
      <c r="J249" s="190"/>
      <c r="K249" s="2"/>
      <c r="Q249" s="59" t="str">
        <f>IFERROR(__xludf.DUMMYFUNCTION("""COMPUTED_VALUE"""),"Hospeco Philippines, Inc.")</f>
        <v>Hospeco Philippines, Inc.</v>
      </c>
      <c r="R249" s="4">
        <f>IFERROR(__xludf.DUMMYFUNCTION("""COMPUTED_VALUE"""),4.0)</f>
        <v>4</v>
      </c>
      <c r="S249" s="60">
        <f>IFERROR(__xludf.DUMMYFUNCTION("""COMPUTED_VALUE"""),45436.0)</f>
        <v>45436</v>
      </c>
      <c r="U249" s="59" t="str">
        <f>IFERROR(__xludf.DUMMYFUNCTION("""COMPUTED_VALUE"""),"Arkin Hardware")</f>
        <v>Arkin Hardware</v>
      </c>
      <c r="V249" s="4">
        <f>IFERROR(__xludf.DUMMYFUNCTION("""COMPUTED_VALUE"""),4.916666666666667)</f>
        <v>4.916666667</v>
      </c>
      <c r="W249" s="60">
        <f>IFERROR(__xludf.DUMMYFUNCTION("""COMPUTED_VALUE"""),45608.0)</f>
        <v>45608</v>
      </c>
      <c r="Z249" s="4"/>
      <c r="AC249" s="4"/>
      <c r="AF249" s="4"/>
    </row>
    <row r="250">
      <c r="A250" s="179"/>
      <c r="B250" s="180"/>
      <c r="C250" s="2"/>
      <c r="E250" s="181"/>
      <c r="F250" s="181"/>
      <c r="G250" s="2"/>
      <c r="I250" s="190"/>
      <c r="J250" s="190"/>
      <c r="K250" s="2"/>
      <c r="Q250" s="59" t="str">
        <f>IFERROR(__xludf.DUMMYFUNCTION("""COMPUTED_VALUE"""),"Leonard Prints Inc.")</f>
        <v>Leonard Prints Inc.</v>
      </c>
      <c r="R250" s="4">
        <f>IFERROR(__xludf.DUMMYFUNCTION("""COMPUTED_VALUE"""),4.833333333333333)</f>
        <v>4.833333333</v>
      </c>
      <c r="S250" s="60">
        <f>IFERROR(__xludf.DUMMYFUNCTION("""COMPUTED_VALUE"""),45439.0)</f>
        <v>45439</v>
      </c>
      <c r="U250" s="59" t="str">
        <f>IFERROR(__xludf.DUMMYFUNCTION("""COMPUTED_VALUE"""),"Zariah's Non-Specialized Wholesale Trading")</f>
        <v>Zariah's Non-Specialized Wholesale Trading</v>
      </c>
      <c r="V250" s="4">
        <f>IFERROR(__xludf.DUMMYFUNCTION("""COMPUTED_VALUE"""),5.0)</f>
        <v>5</v>
      </c>
      <c r="W250" s="60">
        <f>IFERROR(__xludf.DUMMYFUNCTION("""COMPUTED_VALUE"""),45510.0)</f>
        <v>45510</v>
      </c>
      <c r="Z250" s="4"/>
      <c r="AC250" s="4"/>
      <c r="AF250" s="4"/>
    </row>
    <row r="251">
      <c r="A251" s="179"/>
      <c r="B251" s="180"/>
      <c r="C251" s="2"/>
      <c r="E251" s="181"/>
      <c r="F251" s="181"/>
      <c r="G251" s="2"/>
      <c r="I251" s="190"/>
      <c r="J251" s="190"/>
      <c r="K251" s="2"/>
      <c r="Q251" s="59" t="str">
        <f>IFERROR(__xludf.DUMMYFUNCTION("""COMPUTED_VALUE"""),"Jarm Printing Press")</f>
        <v>Jarm Printing Press</v>
      </c>
      <c r="R251" s="4">
        <f>IFERROR(__xludf.DUMMYFUNCTION("""COMPUTED_VALUE"""),4.833333333333333)</f>
        <v>4.833333333</v>
      </c>
      <c r="S251" s="60">
        <f>IFERROR(__xludf.DUMMYFUNCTION("""COMPUTED_VALUE"""),45443.0)</f>
        <v>45443</v>
      </c>
      <c r="U251" s="59" t="str">
        <f>IFERROR(__xludf.DUMMYFUNCTION("""COMPUTED_VALUE"""),"Printing Shop PrintPilipinas.com")</f>
        <v>Printing Shop PrintPilipinas.com</v>
      </c>
      <c r="V251" s="4">
        <f>IFERROR(__xludf.DUMMYFUNCTION("""COMPUTED_VALUE"""),5.0)</f>
        <v>5</v>
      </c>
      <c r="W251" s="60">
        <f>IFERROR(__xludf.DUMMYFUNCTION("""COMPUTED_VALUE"""),45505.0)</f>
        <v>45505</v>
      </c>
      <c r="Z251" s="4"/>
      <c r="AC251" s="4"/>
      <c r="AF251" s="4"/>
    </row>
    <row r="252">
      <c r="A252" s="179"/>
      <c r="B252" s="180"/>
      <c r="C252" s="2"/>
      <c r="E252" s="181"/>
      <c r="F252" s="181"/>
      <c r="G252" s="2"/>
      <c r="I252" s="190"/>
      <c r="J252" s="190"/>
      <c r="K252" s="2"/>
      <c r="Q252" s="59" t="str">
        <f>IFERROR(__xludf.DUMMYFUNCTION("""COMPUTED_VALUE"""),"Jarm Printing Press")</f>
        <v>Jarm Printing Press</v>
      </c>
      <c r="R252" s="4">
        <f>IFERROR(__xludf.DUMMYFUNCTION("""COMPUTED_VALUE"""),4.833333333333333)</f>
        <v>4.833333333</v>
      </c>
      <c r="S252" s="60">
        <f>IFERROR(__xludf.DUMMYFUNCTION("""COMPUTED_VALUE"""),45443.0)</f>
        <v>45443</v>
      </c>
      <c r="U252" s="59" t="str">
        <f>IFERROR(__xludf.DUMMYFUNCTION("""COMPUTED_VALUE"""),"Printing Shop PrintPilipinas.com")</f>
        <v>Printing Shop PrintPilipinas.com</v>
      </c>
      <c r="V252" s="4">
        <f>IFERROR(__xludf.DUMMYFUNCTION("""COMPUTED_VALUE"""),5.0)</f>
        <v>5</v>
      </c>
      <c r="W252" s="60">
        <f>IFERROR(__xludf.DUMMYFUNCTION("""COMPUTED_VALUE"""),45511.0)</f>
        <v>45511</v>
      </c>
      <c r="Z252" s="4"/>
      <c r="AC252" s="4"/>
      <c r="AF252" s="4"/>
    </row>
    <row r="253">
      <c r="A253" s="179"/>
      <c r="B253" s="180"/>
      <c r="C253" s="2"/>
      <c r="E253" s="181"/>
      <c r="F253" s="181"/>
      <c r="G253" s="2"/>
      <c r="I253" s="190"/>
      <c r="J253" s="190"/>
      <c r="K253" s="2"/>
      <c r="Q253" s="59" t="str">
        <f>IFERROR(__xludf.DUMMYFUNCTION("""COMPUTED_VALUE"""),"Jarm Printing Press")</f>
        <v>Jarm Printing Press</v>
      </c>
      <c r="R253" s="4">
        <f>IFERROR(__xludf.DUMMYFUNCTION("""COMPUTED_VALUE"""),4.833333333333333)</f>
        <v>4.833333333</v>
      </c>
      <c r="S253" s="60">
        <f>IFERROR(__xludf.DUMMYFUNCTION("""COMPUTED_VALUE"""),45443.0)</f>
        <v>45443</v>
      </c>
      <c r="U253" s="59" t="str">
        <f>IFERROR(__xludf.DUMMYFUNCTION("""COMPUTED_VALUE"""),"Creative Juice Digital Printing")</f>
        <v>Creative Juice Digital Printing</v>
      </c>
      <c r="V253" s="4">
        <f>IFERROR(__xludf.DUMMYFUNCTION("""COMPUTED_VALUE"""),5.0)</f>
        <v>5</v>
      </c>
      <c r="W253" s="60">
        <f>IFERROR(__xludf.DUMMYFUNCTION("""COMPUTED_VALUE"""),45608.0)</f>
        <v>45608</v>
      </c>
      <c r="Z253" s="4"/>
      <c r="AC253" s="4"/>
      <c r="AF253" s="4"/>
    </row>
    <row r="254">
      <c r="A254" s="179"/>
      <c r="B254" s="180"/>
      <c r="C254" s="2"/>
      <c r="E254" s="181"/>
      <c r="F254" s="181"/>
      <c r="G254" s="2"/>
      <c r="I254" s="190"/>
      <c r="J254" s="190"/>
      <c r="K254" s="2"/>
      <c r="Q254" s="59" t="str">
        <f>IFERROR(__xludf.DUMMYFUNCTION("""COMPUTED_VALUE"""),"Oray Copier Solutions")</f>
        <v>Oray Copier Solutions</v>
      </c>
      <c r="R254" s="4">
        <f>IFERROR(__xludf.DUMMYFUNCTION("""COMPUTED_VALUE"""),4.666666666666667)</f>
        <v>4.666666667</v>
      </c>
      <c r="S254" s="60">
        <f>IFERROR(__xludf.DUMMYFUNCTION("""COMPUTED_VALUE"""),45443.0)</f>
        <v>45443</v>
      </c>
      <c r="U254" s="59" t="str">
        <f>IFERROR(__xludf.DUMMYFUNCTION("""COMPUTED_VALUE"""),"Net Ad IT Solutions")</f>
        <v>Net Ad IT Solutions</v>
      </c>
      <c r="V254" s="4">
        <f>IFERROR(__xludf.DUMMYFUNCTION("""COMPUTED_VALUE"""),5.0)</f>
        <v>5</v>
      </c>
      <c r="W254" s="60">
        <f>IFERROR(__xludf.DUMMYFUNCTION("""COMPUTED_VALUE"""),45741.0)</f>
        <v>45741</v>
      </c>
      <c r="Z254" s="4"/>
      <c r="AC254" s="4"/>
      <c r="AF254" s="4"/>
    </row>
    <row r="255">
      <c r="A255" s="179"/>
      <c r="B255" s="180"/>
      <c r="C255" s="2"/>
      <c r="E255" s="181"/>
      <c r="F255" s="181"/>
      <c r="G255" s="2"/>
      <c r="I255" s="190"/>
      <c r="J255" s="190"/>
      <c r="K255" s="2"/>
      <c r="Q255" s="59" t="str">
        <f>IFERROR(__xludf.DUMMYFUNCTION("""COMPUTED_VALUE"""),"Chemtrust Global Market, Inc.")</f>
        <v>Chemtrust Global Market, Inc.</v>
      </c>
      <c r="R255" s="4">
        <f>IFERROR(__xludf.DUMMYFUNCTION("""COMPUTED_VALUE"""),5.0)</f>
        <v>5</v>
      </c>
      <c r="S255" s="60">
        <f>IFERROR(__xludf.DUMMYFUNCTION("""COMPUTED_VALUE"""),45449.0)</f>
        <v>45449</v>
      </c>
      <c r="U255" s="59" t="str">
        <f>IFERROR(__xludf.DUMMYFUNCTION("""COMPUTED_VALUE"""),"Net Ad IT Solutions")</f>
        <v>Net Ad IT Solutions</v>
      </c>
      <c r="V255" s="4">
        <f>IFERROR(__xludf.DUMMYFUNCTION("""COMPUTED_VALUE"""),5.0)</f>
        <v>5</v>
      </c>
      <c r="W255" s="60">
        <f>IFERROR(__xludf.DUMMYFUNCTION("""COMPUTED_VALUE"""),45741.0)</f>
        <v>45741</v>
      </c>
      <c r="Z255" s="4"/>
      <c r="AC255" s="4"/>
      <c r="AF255" s="4"/>
    </row>
    <row r="256">
      <c r="A256" s="179"/>
      <c r="B256" s="180"/>
      <c r="C256" s="2"/>
      <c r="E256" s="181"/>
      <c r="F256" s="181"/>
      <c r="G256" s="2"/>
      <c r="I256" s="190"/>
      <c r="J256" s="190"/>
      <c r="K256" s="2"/>
      <c r="Q256" s="59" t="str">
        <f>IFERROR(__xludf.DUMMYFUNCTION("""COMPUTED_VALUE"""),"Abenson Ventures, Inc.")</f>
        <v>Abenson Ventures, Inc.</v>
      </c>
      <c r="R256" s="4">
        <f>IFERROR(__xludf.DUMMYFUNCTION("""COMPUTED_VALUE"""),4.833333333333333)</f>
        <v>4.833333333</v>
      </c>
      <c r="S256" s="60">
        <f>IFERROR(__xludf.DUMMYFUNCTION("""COMPUTED_VALUE"""),45453.0)</f>
        <v>45453</v>
      </c>
      <c r="U256" s="59" t="str">
        <f>IFERROR(__xludf.DUMMYFUNCTION("""COMPUTED_VALUE"""),"Wilcon Depot Inc.")</f>
        <v>Wilcon Depot Inc.</v>
      </c>
      <c r="V256" s="4">
        <f>IFERROR(__xludf.DUMMYFUNCTION("""COMPUTED_VALUE"""),5.0)</f>
        <v>5</v>
      </c>
      <c r="W256" s="60">
        <f>IFERROR(__xludf.DUMMYFUNCTION("""COMPUTED_VALUE"""),45807.0)</f>
        <v>45807</v>
      </c>
      <c r="Z256" s="4"/>
      <c r="AC256" s="4"/>
      <c r="AF256" s="4"/>
    </row>
    <row r="257">
      <c r="A257" s="179"/>
      <c r="B257" s="180"/>
      <c r="C257" s="2"/>
      <c r="E257" s="181"/>
      <c r="F257" s="181"/>
      <c r="G257" s="2"/>
      <c r="I257" s="190"/>
      <c r="J257" s="190"/>
      <c r="K257" s="2"/>
      <c r="Q257" s="59" t="str">
        <f>IFERROR(__xludf.DUMMYFUNCTION("""COMPUTED_VALUE"""),"Manila Rubber Corporation")</f>
        <v>Manila Rubber Corporation</v>
      </c>
      <c r="R257" s="4">
        <f>IFERROR(__xludf.DUMMYFUNCTION("""COMPUTED_VALUE"""),4.0)</f>
        <v>4</v>
      </c>
      <c r="S257" s="60">
        <f>IFERROR(__xludf.DUMMYFUNCTION("""COMPUTED_VALUE"""),45458.0)</f>
        <v>45458</v>
      </c>
      <c r="U257" s="59" t="str">
        <f>IFERROR(__xludf.DUMMYFUNCTION("""COMPUTED_VALUE"""),"Abacus Book &amp; Card Corp.")</f>
        <v>Abacus Book &amp; Card Corp.</v>
      </c>
      <c r="V257" s="4">
        <f>IFERROR(__xludf.DUMMYFUNCTION("""COMPUTED_VALUE"""),5.0)</f>
        <v>5</v>
      </c>
      <c r="W257" s="60">
        <f>IFERROR(__xludf.DUMMYFUNCTION("""COMPUTED_VALUE"""),45680.0)</f>
        <v>45680</v>
      </c>
      <c r="Z257" s="4"/>
      <c r="AC257" s="4"/>
      <c r="AF257" s="4"/>
    </row>
    <row r="258">
      <c r="A258" s="179"/>
      <c r="B258" s="180"/>
      <c r="C258" s="2"/>
      <c r="E258" s="181"/>
      <c r="F258" s="181"/>
      <c r="G258" s="2"/>
      <c r="I258" s="190"/>
      <c r="J258" s="190"/>
      <c r="K258" s="2"/>
      <c r="Q258" s="59" t="str">
        <f>IFERROR(__xludf.DUMMYFUNCTION("""COMPUTED_VALUE"""),"Manila Rubber Corporation")</f>
        <v>Manila Rubber Corporation</v>
      </c>
      <c r="R258" s="4">
        <f>IFERROR(__xludf.DUMMYFUNCTION("""COMPUTED_VALUE"""),4.75)</f>
        <v>4.75</v>
      </c>
      <c r="S258" s="60">
        <f>IFERROR(__xludf.DUMMYFUNCTION("""COMPUTED_VALUE"""),45458.0)</f>
        <v>45458</v>
      </c>
      <c r="U258" s="59" t="str">
        <f>IFERROR(__xludf.DUMMYFUNCTION("""COMPUTED_VALUE"""),"Tropical Palms Fashion House, Inc.")</f>
        <v>Tropical Palms Fashion House, Inc.</v>
      </c>
      <c r="V258" s="4">
        <f>IFERROR(__xludf.DUMMYFUNCTION("""COMPUTED_VALUE"""),5.0)</f>
        <v>5</v>
      </c>
      <c r="W258" s="60">
        <f>IFERROR(__xludf.DUMMYFUNCTION("""COMPUTED_VALUE"""),45685.0)</f>
        <v>45685</v>
      </c>
      <c r="Z258" s="4"/>
      <c r="AC258" s="4"/>
      <c r="AF258" s="4"/>
    </row>
    <row r="259">
      <c r="A259" s="179"/>
      <c r="B259" s="180"/>
      <c r="C259" s="2"/>
      <c r="E259" s="181"/>
      <c r="F259" s="181"/>
      <c r="G259" s="2"/>
      <c r="I259" s="190"/>
      <c r="J259" s="190"/>
      <c r="K259" s="2"/>
      <c r="Q259" s="59" t="str">
        <f>IFERROR(__xludf.DUMMYFUNCTION("""COMPUTED_VALUE"""),"Printing Shop PrintPilipinas.com")</f>
        <v>Printing Shop PrintPilipinas.com</v>
      </c>
      <c r="R259" s="4">
        <f>IFERROR(__xludf.DUMMYFUNCTION("""COMPUTED_VALUE"""),4.625)</f>
        <v>4.625</v>
      </c>
      <c r="S259" s="60">
        <f>IFERROR(__xludf.DUMMYFUNCTION("""COMPUTED_VALUE"""),45463.0)</f>
        <v>45463</v>
      </c>
      <c r="U259" s="59" t="str">
        <f>IFERROR(__xludf.DUMMYFUNCTION("""COMPUTED_VALUE"""),"Mostaco Marketing")</f>
        <v>Mostaco Marketing</v>
      </c>
      <c r="V259" s="4">
        <f>IFERROR(__xludf.DUMMYFUNCTION("""COMPUTED_VALUE"""),5.0)</f>
        <v>5</v>
      </c>
      <c r="W259" s="60">
        <f>IFERROR(__xludf.DUMMYFUNCTION("""COMPUTED_VALUE"""),45688.0)</f>
        <v>45688</v>
      </c>
      <c r="Z259" s="4"/>
      <c r="AC259" s="4"/>
      <c r="AF259" s="4"/>
    </row>
    <row r="260">
      <c r="A260" s="179"/>
      <c r="B260" s="180"/>
      <c r="C260" s="2"/>
      <c r="E260" s="181"/>
      <c r="F260" s="181"/>
      <c r="G260" s="2"/>
      <c r="I260" s="190"/>
      <c r="J260" s="190"/>
      <c r="K260" s="2"/>
      <c r="Q260" s="59" t="str">
        <f>IFERROR(__xludf.DUMMYFUNCTION("""COMPUTED_VALUE"""),"Roavsan General Merchandise")</f>
        <v>Roavsan General Merchandise</v>
      </c>
      <c r="R260" s="4">
        <f>IFERROR(__xludf.DUMMYFUNCTION("""COMPUTED_VALUE"""),4.0)</f>
        <v>4</v>
      </c>
      <c r="S260" s="60">
        <f>IFERROR(__xludf.DUMMYFUNCTION("""COMPUTED_VALUE"""),45464.0)</f>
        <v>45464</v>
      </c>
      <c r="U260" s="59" t="str">
        <f>IFERROR(__xludf.DUMMYFUNCTION("""COMPUTED_VALUE"""),"Crosspoint Paper, Inc.")</f>
        <v>Crosspoint Paper, Inc.</v>
      </c>
      <c r="V260" s="4">
        <f>IFERROR(__xludf.DUMMYFUNCTION("""COMPUTED_VALUE"""),5.0)</f>
        <v>5</v>
      </c>
      <c r="W260" s="60">
        <f>IFERROR(__xludf.DUMMYFUNCTION("""COMPUTED_VALUE"""),45681.0)</f>
        <v>45681</v>
      </c>
      <c r="Z260" s="4"/>
      <c r="AC260" s="4"/>
      <c r="AF260" s="4"/>
    </row>
    <row r="261">
      <c r="A261" s="179"/>
      <c r="B261" s="180"/>
      <c r="C261" s="2"/>
      <c r="E261" s="181"/>
      <c r="F261" s="181"/>
      <c r="G261" s="2"/>
      <c r="I261" s="190"/>
      <c r="J261" s="190"/>
      <c r="K261" s="2"/>
      <c r="Q261" s="59" t="str">
        <f>IFERROR(__xludf.DUMMYFUNCTION("""COMPUTED_VALUE"""),"Printing Shop PrintPilipinas.com")</f>
        <v>Printing Shop PrintPilipinas.com</v>
      </c>
      <c r="R261" s="4">
        <f>IFERROR(__xludf.DUMMYFUNCTION("""COMPUTED_VALUE"""),4.75)</f>
        <v>4.75</v>
      </c>
      <c r="S261" s="60">
        <f>IFERROR(__xludf.DUMMYFUNCTION("""COMPUTED_VALUE"""),45468.0)</f>
        <v>45468</v>
      </c>
      <c r="U261" s="59" t="str">
        <f>IFERROR(__xludf.DUMMYFUNCTION("""COMPUTED_VALUE"""),"Contrade Integrated Depot")</f>
        <v>Contrade Integrated Depot</v>
      </c>
      <c r="V261" s="4">
        <f>IFERROR(__xludf.DUMMYFUNCTION("""COMPUTED_VALUE"""),5.0)</f>
        <v>5</v>
      </c>
      <c r="W261" s="60">
        <f>IFERROR(__xludf.DUMMYFUNCTION("""COMPUTED_VALUE"""),45709.0)</f>
        <v>45709</v>
      </c>
      <c r="Z261" s="4"/>
      <c r="AC261" s="4"/>
      <c r="AF261" s="4"/>
    </row>
    <row r="262">
      <c r="A262" s="179"/>
      <c r="B262" s="180"/>
      <c r="C262" s="2"/>
      <c r="E262" s="181"/>
      <c r="F262" s="181"/>
      <c r="G262" s="2"/>
      <c r="I262" s="190"/>
      <c r="J262" s="190"/>
      <c r="K262" s="2"/>
      <c r="Q262" s="59" t="str">
        <f>IFERROR(__xludf.DUMMYFUNCTION("""COMPUTED_VALUE"""),"Printing Shop PrintPilipinas.com")</f>
        <v>Printing Shop PrintPilipinas.com</v>
      </c>
      <c r="R262" s="4">
        <f>IFERROR(__xludf.DUMMYFUNCTION("""COMPUTED_VALUE"""),4.75)</f>
        <v>4.75</v>
      </c>
      <c r="S262" s="60">
        <f>IFERROR(__xludf.DUMMYFUNCTION("""COMPUTED_VALUE"""),45468.0)</f>
        <v>45468</v>
      </c>
      <c r="U262" s="59" t="str">
        <f>IFERROR(__xludf.DUMMYFUNCTION("""COMPUTED_VALUE"""),"Mostaco Marketing")</f>
        <v>Mostaco Marketing</v>
      </c>
      <c r="V262" s="4">
        <f>IFERROR(__xludf.DUMMYFUNCTION("""COMPUTED_VALUE"""),5.0)</f>
        <v>5</v>
      </c>
      <c r="W262" s="60">
        <f>IFERROR(__xludf.DUMMYFUNCTION("""COMPUTED_VALUE"""),45706.0)</f>
        <v>45706</v>
      </c>
      <c r="Z262" s="4"/>
      <c r="AC262" s="4"/>
      <c r="AF262" s="4"/>
    </row>
    <row r="263">
      <c r="A263" s="179"/>
      <c r="B263" s="180"/>
      <c r="C263" s="2"/>
      <c r="E263" s="181"/>
      <c r="F263" s="181"/>
      <c r="G263" s="2"/>
      <c r="I263" s="190"/>
      <c r="J263" s="190"/>
      <c r="K263" s="2"/>
      <c r="Q263" s="59" t="str">
        <f>IFERROR(__xludf.DUMMYFUNCTION("""COMPUTED_VALUE"""),"Arkin Hardware")</f>
        <v>Arkin Hardware</v>
      </c>
      <c r="R263" s="4">
        <f>IFERROR(__xludf.DUMMYFUNCTION("""COMPUTED_VALUE"""),4.625)</f>
        <v>4.625</v>
      </c>
      <c r="S263" s="60">
        <f>IFERROR(__xludf.DUMMYFUNCTION("""COMPUTED_VALUE"""),45468.0)</f>
        <v>45468</v>
      </c>
      <c r="U263" s="59" t="str">
        <f>IFERROR(__xludf.DUMMYFUNCTION("""COMPUTED_VALUE"""),"EIG Metal Engravers")</f>
        <v>EIG Metal Engravers</v>
      </c>
      <c r="V263" s="4">
        <f>IFERROR(__xludf.DUMMYFUNCTION("""COMPUTED_VALUE"""),5.0)</f>
        <v>5</v>
      </c>
      <c r="W263" s="60">
        <f>IFERROR(__xludf.DUMMYFUNCTION("""COMPUTED_VALUE"""),45716.0)</f>
        <v>45716</v>
      </c>
      <c r="Z263" s="4"/>
      <c r="AC263" s="4"/>
      <c r="AF263" s="4"/>
    </row>
    <row r="264">
      <c r="A264" s="179"/>
      <c r="B264" s="180"/>
      <c r="C264" s="2"/>
      <c r="E264" s="181"/>
      <c r="F264" s="181"/>
      <c r="G264" s="2"/>
      <c r="I264" s="190"/>
      <c r="J264" s="190"/>
      <c r="K264" s="2"/>
      <c r="Q264" s="59" t="str">
        <f>IFERROR(__xludf.DUMMYFUNCTION("""COMPUTED_VALUE"""),"Microsmith Technology System,Inc.")</f>
        <v>Microsmith Technology System,Inc.</v>
      </c>
      <c r="R264" s="4">
        <f>IFERROR(__xludf.DUMMYFUNCTION("""COMPUTED_VALUE"""),4.875)</f>
        <v>4.875</v>
      </c>
      <c r="S264" s="60">
        <f>IFERROR(__xludf.DUMMYFUNCTION("""COMPUTED_VALUE"""),45471.0)</f>
        <v>45471</v>
      </c>
      <c r="U264" s="59" t="str">
        <f>IFERROR(__xludf.DUMMYFUNCTION("""COMPUTED_VALUE"""),"Abacus Book &amp; Card Corp.")</f>
        <v>Abacus Book &amp; Card Corp.</v>
      </c>
      <c r="V264" s="4">
        <f>IFERROR(__xludf.DUMMYFUNCTION("""COMPUTED_VALUE"""),4.916666666666667)</f>
        <v>4.916666667</v>
      </c>
      <c r="W264" s="60">
        <f>IFERROR(__xludf.DUMMYFUNCTION("""COMPUTED_VALUE"""),45719.0)</f>
        <v>45719</v>
      </c>
      <c r="Z264" s="4"/>
      <c r="AC264" s="4"/>
      <c r="AF264" s="4"/>
    </row>
    <row r="265">
      <c r="A265" s="179"/>
      <c r="B265" s="180"/>
      <c r="C265" s="2"/>
      <c r="E265" s="181"/>
      <c r="F265" s="181"/>
      <c r="G265" s="2"/>
      <c r="I265" s="190"/>
      <c r="J265" s="190"/>
      <c r="K265" s="2"/>
      <c r="Q265" s="59" t="str">
        <f>IFERROR(__xludf.DUMMYFUNCTION("""COMPUTED_VALUE"""),"Data Computer Forms, Inc.")</f>
        <v>Data Computer Forms, Inc.</v>
      </c>
      <c r="R265" s="4">
        <f>IFERROR(__xludf.DUMMYFUNCTION("""COMPUTED_VALUE"""),4.0)</f>
        <v>4</v>
      </c>
      <c r="S265" s="144">
        <f>IFERROR(__xludf.DUMMYFUNCTION("""COMPUTED_VALUE"""),45254.0)</f>
        <v>45254</v>
      </c>
      <c r="U265" s="59" t="str">
        <f>IFERROR(__xludf.DUMMYFUNCTION("""COMPUTED_VALUE"""),"Inkonvert Enterprises")</f>
        <v>Inkonvert Enterprises</v>
      </c>
      <c r="V265" s="4">
        <f>IFERROR(__xludf.DUMMYFUNCTION("""COMPUTED_VALUE"""),5.0)</f>
        <v>5</v>
      </c>
      <c r="W265" s="60">
        <f>IFERROR(__xludf.DUMMYFUNCTION("""COMPUTED_VALUE"""),45726.0)</f>
        <v>45726</v>
      </c>
      <c r="Z265" s="4"/>
      <c r="AC265" s="4"/>
      <c r="AF265" s="4"/>
    </row>
    <row r="266">
      <c r="A266" s="179"/>
      <c r="B266" s="180"/>
      <c r="C266" s="2"/>
      <c r="E266" s="181"/>
      <c r="F266" s="181"/>
      <c r="G266" s="2"/>
      <c r="I266" s="190"/>
      <c r="J266" s="190"/>
      <c r="K266" s="2"/>
      <c r="Q266" s="59" t="str">
        <f>IFERROR(__xludf.DUMMYFUNCTION("""COMPUTED_VALUE"""),"Net Ad IT Solutions")</f>
        <v>Net Ad IT Solutions</v>
      </c>
      <c r="R266" s="4">
        <f>IFERROR(__xludf.DUMMYFUNCTION("""COMPUTED_VALUE"""),5.0)</f>
        <v>5</v>
      </c>
      <c r="S266" s="60">
        <f>IFERROR(__xludf.DUMMYFUNCTION("""COMPUTED_VALUE"""),45351.0)</f>
        <v>45351</v>
      </c>
      <c r="U266" s="59" t="str">
        <f>IFERROR(__xludf.DUMMYFUNCTION("""COMPUTED_VALUE"""),"Javammp Printing Services")</f>
        <v>Javammp Printing Services</v>
      </c>
      <c r="V266" s="4">
        <f>IFERROR(__xludf.DUMMYFUNCTION("""COMPUTED_VALUE"""),5.0)</f>
        <v>5</v>
      </c>
      <c r="W266" s="60">
        <f>IFERROR(__xludf.DUMMYFUNCTION("""COMPUTED_VALUE"""),45736.0)</f>
        <v>45736</v>
      </c>
      <c r="Z266" s="4"/>
      <c r="AC266" s="4"/>
      <c r="AF266" s="4"/>
    </row>
    <row r="267">
      <c r="A267" s="179"/>
      <c r="B267" s="180"/>
      <c r="C267" s="2"/>
      <c r="E267" s="181"/>
      <c r="F267" s="181"/>
      <c r="G267" s="2"/>
      <c r="I267" s="190"/>
      <c r="J267" s="190"/>
      <c r="K267" s="2"/>
      <c r="Q267" s="59" t="str">
        <f>IFERROR(__xludf.DUMMYFUNCTION("""COMPUTED_VALUE"""),"Colent Marketing Philippines, Inc.")</f>
        <v>Colent Marketing Philippines, Inc.</v>
      </c>
      <c r="R267" s="4">
        <f>IFERROR(__xludf.DUMMYFUNCTION("""COMPUTED_VALUE"""),5.0)</f>
        <v>5</v>
      </c>
      <c r="S267" s="60">
        <f>IFERROR(__xludf.DUMMYFUNCTION("""COMPUTED_VALUE"""),45453.0)</f>
        <v>45453</v>
      </c>
      <c r="U267" s="59" t="str">
        <f>IFERROR(__xludf.DUMMYFUNCTION("""COMPUTED_VALUE"""),"Contrade Integrated Depot")</f>
        <v>Contrade Integrated Depot</v>
      </c>
      <c r="V267" s="4">
        <f>IFERROR(__xludf.DUMMYFUNCTION("""COMPUTED_VALUE"""),4.666666666666667)</f>
        <v>4.666666667</v>
      </c>
      <c r="W267" s="60">
        <f>IFERROR(__xludf.DUMMYFUNCTION("""COMPUTED_VALUE"""),45724.0)</f>
        <v>45724</v>
      </c>
      <c r="Z267" s="4"/>
      <c r="AC267" s="4"/>
      <c r="AF267" s="4"/>
    </row>
    <row r="268">
      <c r="A268" s="179"/>
      <c r="B268" s="180"/>
      <c r="C268" s="2"/>
      <c r="E268" s="181"/>
      <c r="F268" s="181"/>
      <c r="G268" s="2"/>
      <c r="I268" s="190"/>
      <c r="J268" s="190"/>
      <c r="K268" s="2"/>
      <c r="Q268" s="59" t="str">
        <f>IFERROR(__xludf.DUMMYFUNCTION("""COMPUTED_VALUE"""),"Belview Co., Inc.")</f>
        <v>Belview Co., Inc.</v>
      </c>
      <c r="R268" s="4">
        <f>IFERROR(__xludf.DUMMYFUNCTION("""COMPUTED_VALUE"""),4.733333333333333)</f>
        <v>4.733333333</v>
      </c>
      <c r="S268" s="60">
        <f>IFERROR(__xludf.DUMMYFUNCTION("""COMPUTED_VALUE"""),45335.0)</f>
        <v>45335</v>
      </c>
      <c r="U268" s="59" t="str">
        <f>IFERROR(__xludf.DUMMYFUNCTION("""COMPUTED_VALUE"""),"Contrade Integrated Depot")</f>
        <v>Contrade Integrated Depot</v>
      </c>
      <c r="V268" s="4">
        <f>IFERROR(__xludf.DUMMYFUNCTION("""COMPUTED_VALUE"""),4.916666666666667)</f>
        <v>4.916666667</v>
      </c>
      <c r="W268" s="60">
        <f>IFERROR(__xludf.DUMMYFUNCTION("""COMPUTED_VALUE"""),45724.0)</f>
        <v>45724</v>
      </c>
      <c r="Z268" s="4"/>
      <c r="AC268" s="4"/>
      <c r="AF268" s="4"/>
    </row>
    <row r="269">
      <c r="A269" s="179"/>
      <c r="B269" s="180"/>
      <c r="C269" s="2"/>
      <c r="E269" s="181"/>
      <c r="F269" s="181"/>
      <c r="G269" s="2"/>
      <c r="I269" s="190"/>
      <c r="J269" s="190"/>
      <c r="K269" s="2"/>
      <c r="Q269" s="59" t="str">
        <f>IFERROR(__xludf.DUMMYFUNCTION("""COMPUTED_VALUE"""),"Net Ad IT Solutions")</f>
        <v>Net Ad IT Solutions</v>
      </c>
      <c r="R269" s="4">
        <f>IFERROR(__xludf.DUMMYFUNCTION("""COMPUTED_VALUE"""),5.0)</f>
        <v>5</v>
      </c>
      <c r="S269" s="60">
        <f>IFERROR(__xludf.DUMMYFUNCTION("""COMPUTED_VALUE"""),45468.0)</f>
        <v>45468</v>
      </c>
      <c r="U269" s="59" t="str">
        <f>IFERROR(__xludf.DUMMYFUNCTION("""COMPUTED_VALUE"""),"Abenson Ventures, Inc.")</f>
        <v>Abenson Ventures, Inc.</v>
      </c>
      <c r="V269" s="4">
        <f>IFERROR(__xludf.DUMMYFUNCTION("""COMPUTED_VALUE"""),4.833333333333333)</f>
        <v>4.833333333</v>
      </c>
      <c r="W269" s="60">
        <f>IFERROR(__xludf.DUMMYFUNCTION("""COMPUTED_VALUE"""),45610.0)</f>
        <v>45610</v>
      </c>
      <c r="Z269" s="4"/>
      <c r="AC269" s="4"/>
      <c r="AF269" s="4"/>
    </row>
    <row r="270">
      <c r="A270" s="179"/>
      <c r="B270" s="180"/>
      <c r="C270" s="2"/>
      <c r="E270" s="181"/>
      <c r="F270" s="181"/>
      <c r="G270" s="2"/>
      <c r="I270" s="190"/>
      <c r="J270" s="190"/>
      <c r="K270" s="2"/>
      <c r="Q270" s="59" t="str">
        <f>IFERROR(__xludf.DUMMYFUNCTION("""COMPUTED_VALUE"""),"Net Ad IT Solutions")</f>
        <v>Net Ad IT Solutions</v>
      </c>
      <c r="R270" s="4">
        <f>IFERROR(__xludf.DUMMYFUNCTION("""COMPUTED_VALUE"""),5.0)</f>
        <v>5</v>
      </c>
      <c r="S270" s="60">
        <f>IFERROR(__xludf.DUMMYFUNCTION("""COMPUTED_VALUE"""),45461.0)</f>
        <v>45461</v>
      </c>
      <c r="U270" s="59" t="str">
        <f>IFERROR(__xludf.DUMMYFUNCTION("""COMPUTED_VALUE"""),"Hospeco Philippines, Inc.")</f>
        <v>Hospeco Philippines, Inc.</v>
      </c>
      <c r="V270" s="4">
        <f>IFERROR(__xludf.DUMMYFUNCTION("""COMPUTED_VALUE"""),4.666666666666667)</f>
        <v>4.666666667</v>
      </c>
      <c r="W270" s="60">
        <f>IFERROR(__xludf.DUMMYFUNCTION("""COMPUTED_VALUE"""),45579.0)</f>
        <v>45579</v>
      </c>
      <c r="Z270" s="4"/>
      <c r="AC270" s="4"/>
      <c r="AF270" s="4"/>
    </row>
    <row r="271">
      <c r="A271" s="179"/>
      <c r="B271" s="180"/>
      <c r="C271" s="2"/>
      <c r="E271" s="181"/>
      <c r="F271" s="181"/>
      <c r="G271" s="2"/>
      <c r="I271" s="190"/>
      <c r="J271" s="190"/>
      <c r="K271" s="2"/>
      <c r="Q271" s="59" t="str">
        <f>IFERROR(__xludf.DUMMYFUNCTION("""COMPUTED_VALUE"""),"Microsmith Technology System,Inc.")</f>
        <v>Microsmith Technology System,Inc.</v>
      </c>
      <c r="R271" s="4">
        <f>IFERROR(__xludf.DUMMYFUNCTION("""COMPUTED_VALUE"""),5.0)</f>
        <v>5</v>
      </c>
      <c r="S271" s="60">
        <f>IFERROR(__xludf.DUMMYFUNCTION("""COMPUTED_VALUE"""),45352.0)</f>
        <v>45352</v>
      </c>
      <c r="U271" s="59" t="str">
        <f>IFERROR(__xludf.DUMMYFUNCTION("""COMPUTED_VALUE"""),"Atlas Superflags")</f>
        <v>Atlas Superflags</v>
      </c>
      <c r="V271" s="4">
        <f>IFERROR(__xludf.DUMMYFUNCTION("""COMPUTED_VALUE"""),4.75)</f>
        <v>4.75</v>
      </c>
      <c r="W271" s="60">
        <f>IFERROR(__xludf.DUMMYFUNCTION("""COMPUTED_VALUE"""),45582.0)</f>
        <v>45582</v>
      </c>
      <c r="Z271" s="4"/>
      <c r="AC271" s="4"/>
      <c r="AF271" s="4"/>
    </row>
    <row r="272">
      <c r="A272" s="179"/>
      <c r="B272" s="180"/>
      <c r="C272" s="2"/>
      <c r="E272" s="181"/>
      <c r="F272" s="181"/>
      <c r="G272" s="2"/>
      <c r="I272" s="190"/>
      <c r="J272" s="190"/>
      <c r="K272" s="2"/>
      <c r="Q272" s="59" t="str">
        <f>IFERROR(__xludf.DUMMYFUNCTION("""COMPUTED_VALUE"""),"Alpha-Cored Technology Systems, Inc.")</f>
        <v>Alpha-Cored Technology Systems, Inc.</v>
      </c>
      <c r="R272" s="4">
        <f>IFERROR(__xludf.DUMMYFUNCTION("""COMPUTED_VALUE"""),5.0)</f>
        <v>5</v>
      </c>
      <c r="S272" s="60">
        <f>IFERROR(__xludf.DUMMYFUNCTION("""COMPUTED_VALUE"""),45366.0)</f>
        <v>45366</v>
      </c>
      <c r="U272" s="59" t="str">
        <f>IFERROR(__xludf.DUMMYFUNCTION("""COMPUTED_VALUE"""),"Atlas Superflags")</f>
        <v>Atlas Superflags</v>
      </c>
      <c r="V272" s="4">
        <f>IFERROR(__xludf.DUMMYFUNCTION("""COMPUTED_VALUE"""),4.666666666666667)</f>
        <v>4.666666667</v>
      </c>
      <c r="W272" s="60">
        <f>IFERROR(__xludf.DUMMYFUNCTION("""COMPUTED_VALUE"""),45660.0)</f>
        <v>45660</v>
      </c>
      <c r="Z272" s="4"/>
      <c r="AC272" s="4"/>
      <c r="AF272" s="4"/>
    </row>
    <row r="273">
      <c r="A273" s="179"/>
      <c r="B273" s="180"/>
      <c r="C273" s="2"/>
      <c r="E273" s="181"/>
      <c r="F273" s="181"/>
      <c r="G273" s="2"/>
      <c r="I273" s="190"/>
      <c r="J273" s="190"/>
      <c r="K273" s="2"/>
      <c r="Q273" s="59" t="str">
        <f>IFERROR(__xludf.DUMMYFUNCTION("""COMPUTED_VALUE"""),"Alpha-Cored Technology Systems, Inc.")</f>
        <v>Alpha-Cored Technology Systems, Inc.</v>
      </c>
      <c r="R273" s="4">
        <f>IFERROR(__xludf.DUMMYFUNCTION("""COMPUTED_VALUE"""),5.0)</f>
        <v>5</v>
      </c>
      <c r="S273" s="60">
        <f>IFERROR(__xludf.DUMMYFUNCTION("""COMPUTED_VALUE"""),45366.0)</f>
        <v>45366</v>
      </c>
      <c r="U273" s="59" t="str">
        <f>IFERROR(__xludf.DUMMYFUNCTION("""COMPUTED_VALUE"""),"Atlas Superflags")</f>
        <v>Atlas Superflags</v>
      </c>
      <c r="V273" s="4">
        <f>IFERROR(__xludf.DUMMYFUNCTION("""COMPUTED_VALUE"""),4.583333333333333)</f>
        <v>4.583333333</v>
      </c>
      <c r="W273" s="60">
        <f>IFERROR(__xludf.DUMMYFUNCTION("""COMPUTED_VALUE"""),45660.0)</f>
        <v>45660</v>
      </c>
      <c r="Z273" s="4"/>
      <c r="AC273" s="4"/>
      <c r="AF273" s="4"/>
    </row>
    <row r="274">
      <c r="A274" s="179"/>
      <c r="B274" s="180"/>
      <c r="C274" s="2"/>
      <c r="E274" s="181"/>
      <c r="F274" s="181"/>
      <c r="G274" s="2"/>
      <c r="I274" s="190"/>
      <c r="J274" s="190"/>
      <c r="K274" s="2"/>
      <c r="Q274" s="59" t="str">
        <f>IFERROR(__xludf.DUMMYFUNCTION("""COMPUTED_VALUE"""),"EIG Metal Engravers")</f>
        <v>EIG Metal Engravers</v>
      </c>
      <c r="R274" s="4">
        <f>IFERROR(__xludf.DUMMYFUNCTION("""COMPUTED_VALUE"""),4.75)</f>
        <v>4.75</v>
      </c>
      <c r="S274" s="60">
        <f>IFERROR(__xludf.DUMMYFUNCTION("""COMPUTED_VALUE"""),45412.0)</f>
        <v>45412</v>
      </c>
      <c r="U274" s="59" t="str">
        <f>IFERROR(__xludf.DUMMYFUNCTION("""COMPUTED_VALUE"""),"Contrade Integrated Depot")</f>
        <v>Contrade Integrated Depot</v>
      </c>
      <c r="V274" s="4">
        <f>IFERROR(__xludf.DUMMYFUNCTION("""COMPUTED_VALUE"""),5.0)</f>
        <v>5</v>
      </c>
      <c r="W274" s="60">
        <f>IFERROR(__xludf.DUMMYFUNCTION("""COMPUTED_VALUE"""),45593.0)</f>
        <v>45593</v>
      </c>
      <c r="Z274" s="4"/>
      <c r="AC274" s="4"/>
      <c r="AF274" s="4"/>
    </row>
    <row r="275">
      <c r="A275" s="179"/>
      <c r="B275" s="180"/>
      <c r="C275" s="2"/>
      <c r="E275" s="181"/>
      <c r="F275" s="181"/>
      <c r="G275" s="2"/>
      <c r="I275" s="190"/>
      <c r="J275" s="190"/>
      <c r="K275" s="2"/>
      <c r="Q275" s="59" t="str">
        <f>IFERROR(__xludf.DUMMYFUNCTION("""COMPUTED_VALUE"""),"Alpha-Cored Technology Systems, Inc.")</f>
        <v>Alpha-Cored Technology Systems, Inc.</v>
      </c>
      <c r="R275" s="4">
        <f>IFERROR(__xludf.DUMMYFUNCTION("""COMPUTED_VALUE"""),5.0)</f>
        <v>5</v>
      </c>
      <c r="S275" s="60">
        <f>IFERROR(__xludf.DUMMYFUNCTION("""COMPUTED_VALUE"""),45268.0)</f>
        <v>45268</v>
      </c>
      <c r="U275" s="59" t="str">
        <f>IFERROR(__xludf.DUMMYFUNCTION("""COMPUTED_VALUE"""),"Contrade Integrated Depot")</f>
        <v>Contrade Integrated Depot</v>
      </c>
      <c r="V275" s="4">
        <f>IFERROR(__xludf.DUMMYFUNCTION("""COMPUTED_VALUE"""),5.0)</f>
        <v>5</v>
      </c>
      <c r="W275" s="60">
        <f>IFERROR(__xludf.DUMMYFUNCTION("""COMPUTED_VALUE"""),45593.0)</f>
        <v>45593</v>
      </c>
      <c r="Z275" s="4"/>
      <c r="AC275" s="4"/>
      <c r="AF275" s="4"/>
    </row>
    <row r="276">
      <c r="A276" s="179"/>
      <c r="B276" s="180"/>
      <c r="C276" s="2"/>
      <c r="E276" s="181"/>
      <c r="F276" s="181"/>
      <c r="G276" s="2"/>
      <c r="I276" s="190"/>
      <c r="J276" s="190"/>
      <c r="K276" s="2"/>
      <c r="Q276" s="59" t="str">
        <f>IFERROR(__xludf.DUMMYFUNCTION("""COMPUTED_VALUE"""),"Tropical Palms Fashion House, Inc.")</f>
        <v>Tropical Palms Fashion House, Inc.</v>
      </c>
      <c r="R276" s="4">
        <f>IFERROR(__xludf.DUMMYFUNCTION("""COMPUTED_VALUE"""),4.5)</f>
        <v>4.5</v>
      </c>
      <c r="S276" s="60">
        <f>IFERROR(__xludf.DUMMYFUNCTION("""COMPUTED_VALUE"""),45415.0)</f>
        <v>45415</v>
      </c>
      <c r="U276" s="59" t="str">
        <f>IFERROR(__xludf.DUMMYFUNCTION("""COMPUTED_VALUE"""),"Contrade Integrated Depot")</f>
        <v>Contrade Integrated Depot</v>
      </c>
      <c r="V276" s="4">
        <f>IFERROR(__xludf.DUMMYFUNCTION("""COMPUTED_VALUE"""),5.0)</f>
        <v>5</v>
      </c>
      <c r="W276" s="60">
        <f>IFERROR(__xludf.DUMMYFUNCTION("""COMPUTED_VALUE"""),45593.0)</f>
        <v>45593</v>
      </c>
      <c r="Z276" s="4"/>
      <c r="AC276" s="4"/>
      <c r="AF276" s="4"/>
    </row>
    <row r="277">
      <c r="A277" s="179"/>
      <c r="B277" s="180"/>
      <c r="C277" s="2"/>
      <c r="E277" s="181"/>
      <c r="F277" s="181"/>
      <c r="G277" s="2"/>
      <c r="I277" s="190"/>
      <c r="J277" s="190"/>
      <c r="K277" s="2"/>
      <c r="Q277" s="59" t="str">
        <f>IFERROR(__xludf.DUMMYFUNCTION("""COMPUTED_VALUE"""),"Tropical Palms Fashion House, Inc.")</f>
        <v>Tropical Palms Fashion House, Inc.</v>
      </c>
      <c r="R277" s="4">
        <f>IFERROR(__xludf.DUMMYFUNCTION("""COMPUTED_VALUE"""),4.75)</f>
        <v>4.75</v>
      </c>
      <c r="S277" s="60">
        <f>IFERROR(__xludf.DUMMYFUNCTION("""COMPUTED_VALUE"""),45407.0)</f>
        <v>45407</v>
      </c>
      <c r="U277" s="59" t="str">
        <f>IFERROR(__xludf.DUMMYFUNCTION("""COMPUTED_VALUE"""),"Rivchem Enterprises")</f>
        <v>Rivchem Enterprises</v>
      </c>
      <c r="V277" s="4">
        <f>IFERROR(__xludf.DUMMYFUNCTION("""COMPUTED_VALUE"""),5.0)</f>
        <v>5</v>
      </c>
      <c r="W277" s="60">
        <f>IFERROR(__xludf.DUMMYFUNCTION("""COMPUTED_VALUE"""),45593.0)</f>
        <v>45593</v>
      </c>
      <c r="Z277" s="4"/>
      <c r="AC277" s="4"/>
      <c r="AF277" s="4"/>
    </row>
    <row r="278">
      <c r="A278" s="179"/>
      <c r="B278" s="180"/>
      <c r="C278" s="2"/>
      <c r="E278" s="181"/>
      <c r="F278" s="181"/>
      <c r="G278" s="2"/>
      <c r="I278" s="190"/>
      <c r="J278" s="190"/>
      <c r="K278" s="2"/>
      <c r="Q278" s="59" t="str">
        <f>IFERROR(__xludf.DUMMYFUNCTION("""COMPUTED_VALUE"""),"Leonard Prints Inc.")</f>
        <v>Leonard Prints Inc.</v>
      </c>
      <c r="R278" s="4">
        <f>IFERROR(__xludf.DUMMYFUNCTION("""COMPUTED_VALUE"""),4.833333333333333)</f>
        <v>4.833333333</v>
      </c>
      <c r="S278" s="60">
        <f>IFERROR(__xludf.DUMMYFUNCTION("""COMPUTED_VALUE"""),45110.0)</f>
        <v>45110</v>
      </c>
      <c r="U278" s="59" t="str">
        <f>IFERROR(__xludf.DUMMYFUNCTION("""COMPUTED_VALUE"""),"Abacus Book &amp; Card Corp.")</f>
        <v>Abacus Book &amp; Card Corp.</v>
      </c>
      <c r="V278" s="4">
        <f>IFERROR(__xludf.DUMMYFUNCTION("""COMPUTED_VALUE"""),4.916666666666667)</f>
        <v>4.916666667</v>
      </c>
      <c r="W278" s="60">
        <f>IFERROR(__xludf.DUMMYFUNCTION("""COMPUTED_VALUE"""),45595.0)</f>
        <v>45595</v>
      </c>
      <c r="Z278" s="4"/>
      <c r="AC278" s="4"/>
      <c r="AF278" s="4"/>
    </row>
    <row r="279">
      <c r="A279" s="179"/>
      <c r="B279" s="180"/>
      <c r="C279" s="2"/>
      <c r="E279" s="181"/>
      <c r="F279" s="181"/>
      <c r="G279" s="2"/>
      <c r="I279" s="190"/>
      <c r="J279" s="190"/>
      <c r="K279" s="2"/>
      <c r="Q279" s="59" t="str">
        <f>IFERROR(__xludf.DUMMYFUNCTION("""COMPUTED_VALUE"""),"Alpha-Cored Technology Systems, Inc.")</f>
        <v>Alpha-Cored Technology Systems, Inc.</v>
      </c>
      <c r="R279" s="4">
        <f>IFERROR(__xludf.DUMMYFUNCTION("""COMPUTED_VALUE"""),5.0)</f>
        <v>5</v>
      </c>
      <c r="S279" s="60">
        <f>IFERROR(__xludf.DUMMYFUNCTION("""COMPUTED_VALUE"""),45366.0)</f>
        <v>45366</v>
      </c>
      <c r="U279" s="59" t="str">
        <f>IFERROR(__xludf.DUMMYFUNCTION("""COMPUTED_VALUE"""),"Mostaco Printing")</f>
        <v>Mostaco Printing</v>
      </c>
      <c r="V279" s="4">
        <f>IFERROR(__xludf.DUMMYFUNCTION("""COMPUTED_VALUE"""),5.0)</f>
        <v>5</v>
      </c>
      <c r="W279" s="60">
        <f>IFERROR(__xludf.DUMMYFUNCTION("""COMPUTED_VALUE"""),45596.0)</f>
        <v>45596</v>
      </c>
      <c r="Z279" s="4"/>
      <c r="AC279" s="4"/>
      <c r="AF279" s="4"/>
    </row>
    <row r="280">
      <c r="A280" s="179"/>
      <c r="B280" s="180"/>
      <c r="C280" s="2"/>
      <c r="E280" s="181"/>
      <c r="F280" s="181"/>
      <c r="G280" s="2"/>
      <c r="I280" s="190"/>
      <c r="J280" s="190"/>
      <c r="K280" s="2"/>
      <c r="Q280" s="59" t="str">
        <f>IFERROR(__xludf.DUMMYFUNCTION("""COMPUTED_VALUE"""),"Ahrcel's Gift Shop")</f>
        <v>Ahrcel's Gift Shop</v>
      </c>
      <c r="R280" s="4">
        <f>IFERROR(__xludf.DUMMYFUNCTION("""COMPUTED_VALUE"""),4.836111111111111)</f>
        <v>4.836111111</v>
      </c>
      <c r="S280" s="60">
        <f>IFERROR(__xludf.DUMMYFUNCTION("""COMPUTED_VALUE"""),45471.0)</f>
        <v>45471</v>
      </c>
      <c r="U280" s="59" t="str">
        <f>IFERROR(__xludf.DUMMYFUNCTION("""COMPUTED_VALUE"""),"Primeline Products Philippines, Inc.")</f>
        <v>Primeline Products Philippines, Inc.</v>
      </c>
      <c r="V280" s="4">
        <f>IFERROR(__xludf.DUMMYFUNCTION("""COMPUTED_VALUE"""),4.3566666666666665)</f>
        <v>4.356666667</v>
      </c>
      <c r="W280" s="60">
        <f>IFERROR(__xludf.DUMMYFUNCTION("""COMPUTED_VALUE"""),45566.0)</f>
        <v>45566</v>
      </c>
      <c r="Z280" s="4"/>
      <c r="AC280" s="4"/>
      <c r="AF280" s="4"/>
    </row>
    <row r="281">
      <c r="A281" s="179"/>
      <c r="B281" s="180"/>
      <c r="C281" s="2"/>
      <c r="E281" s="181"/>
      <c r="F281" s="181"/>
      <c r="G281" s="2"/>
      <c r="I281" s="190"/>
      <c r="J281" s="190"/>
      <c r="K281" s="2"/>
      <c r="Q281" s="59" t="str">
        <f>IFERROR(__xludf.DUMMYFUNCTION("""COMPUTED_VALUE"""),"Paper Tree Marketing Group, Inc.")</f>
        <v>Paper Tree Marketing Group, Inc.</v>
      </c>
      <c r="R281" s="4">
        <f>IFERROR(__xludf.DUMMYFUNCTION("""COMPUTED_VALUE"""),4.8)</f>
        <v>4.8</v>
      </c>
      <c r="S281" s="60">
        <f>IFERROR(__xludf.DUMMYFUNCTION("""COMPUTED_VALUE"""),45434.0)</f>
        <v>45434</v>
      </c>
      <c r="U281" s="59" t="str">
        <f>IFERROR(__xludf.DUMMYFUNCTION("""COMPUTED_VALUE"""),"Hospeco Philippines, Inc.")</f>
        <v>Hospeco Philippines, Inc.</v>
      </c>
      <c r="V281" s="4">
        <f>IFERROR(__xludf.DUMMYFUNCTION("""COMPUTED_VALUE"""),4.9750000000000005)</f>
        <v>4.975</v>
      </c>
      <c r="W281" s="60">
        <f>IFERROR(__xludf.DUMMYFUNCTION("""COMPUTED_VALUE"""),45573.0)</f>
        <v>45573</v>
      </c>
      <c r="Z281" s="4"/>
      <c r="AC281" s="4"/>
      <c r="AF281" s="4"/>
    </row>
    <row r="282">
      <c r="A282" s="179"/>
      <c r="B282" s="180"/>
      <c r="C282" s="2"/>
      <c r="E282" s="181"/>
      <c r="F282" s="181"/>
      <c r="G282" s="2"/>
      <c r="I282" s="190"/>
      <c r="J282" s="190"/>
      <c r="K282" s="2"/>
      <c r="U282" s="59" t="str">
        <f>IFERROR(__xludf.DUMMYFUNCTION("""COMPUTED_VALUE"""),"Data Computer Forms, Inc.")</f>
        <v>Data Computer Forms, Inc.</v>
      </c>
      <c r="V282" s="4">
        <f>IFERROR(__xludf.DUMMYFUNCTION("""COMPUTED_VALUE"""),4.941666666666666)</f>
        <v>4.941666667</v>
      </c>
      <c r="W282" s="60">
        <f>IFERROR(__xludf.DUMMYFUNCTION("""COMPUTED_VALUE"""),45614.0)</f>
        <v>45614</v>
      </c>
      <c r="Z282" s="4"/>
      <c r="AC282" s="4"/>
      <c r="AF282" s="4"/>
    </row>
    <row r="283">
      <c r="A283" s="179"/>
      <c r="B283" s="180"/>
      <c r="C283" s="2"/>
      <c r="E283" s="181"/>
      <c r="F283" s="181"/>
      <c r="G283" s="2"/>
      <c r="I283" s="190"/>
      <c r="J283" s="190"/>
      <c r="K283" s="2"/>
      <c r="U283" s="59" t="str">
        <f>IFERROR(__xludf.DUMMYFUNCTION("""COMPUTED_VALUE"""),"Rivchem Enterprises")</f>
        <v>Rivchem Enterprises</v>
      </c>
      <c r="V283" s="4">
        <f>IFERROR(__xludf.DUMMYFUNCTION("""COMPUTED_VALUE"""),4.958333333333333)</f>
        <v>4.958333333</v>
      </c>
      <c r="W283" s="60">
        <f>IFERROR(__xludf.DUMMYFUNCTION("""COMPUTED_VALUE"""),45604.0)</f>
        <v>45604</v>
      </c>
      <c r="Z283" s="4"/>
      <c r="AC283" s="4"/>
      <c r="AF283" s="4"/>
    </row>
    <row r="284">
      <c r="A284" s="179"/>
      <c r="B284" s="180"/>
      <c r="C284" s="2"/>
      <c r="E284" s="181"/>
      <c r="F284" s="181"/>
      <c r="G284" s="2"/>
      <c r="I284" s="190"/>
      <c r="J284" s="190"/>
      <c r="K284" s="2"/>
      <c r="U284" s="59" t="str">
        <f>IFERROR(__xludf.DUMMYFUNCTION("""COMPUTED_VALUE"""),"Chemtrust Global Market, Inc.")</f>
        <v>Chemtrust Global Market, Inc.</v>
      </c>
      <c r="V284" s="4">
        <f>IFERROR(__xludf.DUMMYFUNCTION("""COMPUTED_VALUE"""),4.891666666666667)</f>
        <v>4.891666667</v>
      </c>
      <c r="W284" s="60">
        <f>IFERROR(__xludf.DUMMYFUNCTION("""COMPUTED_VALUE"""),45604.0)</f>
        <v>45604</v>
      </c>
      <c r="Z284" s="4"/>
      <c r="AC284" s="4"/>
      <c r="AF284" s="4"/>
    </row>
    <row r="285">
      <c r="A285" s="179"/>
      <c r="B285" s="180"/>
      <c r="C285" s="2"/>
      <c r="E285" s="181"/>
      <c r="F285" s="181"/>
      <c r="G285" s="2"/>
      <c r="I285" s="190"/>
      <c r="J285" s="190"/>
      <c r="K285" s="2"/>
      <c r="U285" s="59" t="str">
        <f>IFERROR(__xludf.DUMMYFUNCTION("""COMPUTED_VALUE"""),"Chemtrust Global Market, Inc.")</f>
        <v>Chemtrust Global Market, Inc.</v>
      </c>
      <c r="V285" s="4">
        <f>IFERROR(__xludf.DUMMYFUNCTION("""COMPUTED_VALUE"""),4.808333333333334)</f>
        <v>4.808333333</v>
      </c>
      <c r="W285" s="60">
        <f>IFERROR(__xludf.DUMMYFUNCTION("""COMPUTED_VALUE"""),45604.0)</f>
        <v>45604</v>
      </c>
      <c r="Z285" s="4"/>
      <c r="AC285" s="4"/>
      <c r="AF285" s="4"/>
    </row>
    <row r="286">
      <c r="A286" s="179"/>
      <c r="B286" s="180"/>
      <c r="C286" s="2"/>
      <c r="E286" s="181"/>
      <c r="F286" s="181"/>
      <c r="G286" s="2"/>
      <c r="I286" s="190"/>
      <c r="J286" s="190"/>
      <c r="K286" s="2"/>
      <c r="U286" s="59" t="str">
        <f>IFERROR(__xludf.DUMMYFUNCTION("""COMPUTED_VALUE"""),"Belview Co., Inc.")</f>
        <v>Belview Co., Inc.</v>
      </c>
      <c r="V286" s="4">
        <f>IFERROR(__xludf.DUMMYFUNCTION("""COMPUTED_VALUE"""),4.833333333333333)</f>
        <v>4.833333333</v>
      </c>
      <c r="W286" s="60">
        <f>IFERROR(__xludf.DUMMYFUNCTION("""COMPUTED_VALUE"""),45691.0)</f>
        <v>45691</v>
      </c>
      <c r="Z286" s="4"/>
      <c r="AC286" s="4"/>
      <c r="AF286" s="4"/>
    </row>
    <row r="287">
      <c r="A287" s="179"/>
      <c r="B287" s="180"/>
      <c r="C287" s="2"/>
      <c r="E287" s="181"/>
      <c r="F287" s="181"/>
      <c r="G287" s="2"/>
      <c r="I287" s="190"/>
      <c r="J287" s="190"/>
      <c r="K287" s="2"/>
      <c r="U287" s="59" t="str">
        <f>IFERROR(__xludf.DUMMYFUNCTION("""COMPUTED_VALUE"""),"Arkin Hardware")</f>
        <v>Arkin Hardware</v>
      </c>
      <c r="V287" s="4">
        <f>IFERROR(__xludf.DUMMYFUNCTION("""COMPUTED_VALUE"""),5.0)</f>
        <v>5</v>
      </c>
      <c r="W287" s="60">
        <f>IFERROR(__xludf.DUMMYFUNCTION("""COMPUTED_VALUE"""),45644.0)</f>
        <v>45644</v>
      </c>
      <c r="Z287" s="4"/>
      <c r="AC287" s="4"/>
      <c r="AF287" s="4"/>
    </row>
    <row r="288">
      <c r="A288" s="179"/>
      <c r="B288" s="180"/>
      <c r="C288" s="2"/>
      <c r="E288" s="181"/>
      <c r="F288" s="181"/>
      <c r="G288" s="2"/>
      <c r="I288" s="190"/>
      <c r="J288" s="190"/>
      <c r="K288" s="2"/>
      <c r="U288" s="59" t="str">
        <f>IFERROR(__xludf.DUMMYFUNCTION("""COMPUTED_VALUE"""),"Belview Co., Inc.")</f>
        <v>Belview Co., Inc.</v>
      </c>
      <c r="V288" s="4">
        <f>IFERROR(__xludf.DUMMYFUNCTION("""COMPUTED_VALUE"""),4.733333333333333)</f>
        <v>4.733333333</v>
      </c>
      <c r="W288" s="60">
        <f>IFERROR(__xludf.DUMMYFUNCTION("""COMPUTED_VALUE"""),45615.0)</f>
        <v>45615</v>
      </c>
      <c r="Z288" s="4"/>
      <c r="AC288" s="4"/>
      <c r="AF288" s="4"/>
    </row>
    <row r="289">
      <c r="A289" s="179"/>
      <c r="B289" s="180"/>
      <c r="C289" s="2"/>
      <c r="E289" s="181"/>
      <c r="F289" s="181"/>
      <c r="G289" s="2"/>
      <c r="I289" s="190"/>
      <c r="J289" s="190"/>
      <c r="K289" s="2"/>
      <c r="U289" s="59" t="str">
        <f>IFERROR(__xludf.DUMMYFUNCTION("""COMPUTED_VALUE"""),"Mostaco Printing")</f>
        <v>Mostaco Printing</v>
      </c>
      <c r="V289" s="4">
        <f>IFERROR(__xludf.DUMMYFUNCTION("""COMPUTED_VALUE"""),4.0)</f>
        <v>4</v>
      </c>
      <c r="W289" s="60">
        <f>IFERROR(__xludf.DUMMYFUNCTION("""COMPUTED_VALUE"""),45619.0)</f>
        <v>45619</v>
      </c>
      <c r="Z289" s="4"/>
      <c r="AC289" s="4"/>
      <c r="AF289" s="4"/>
    </row>
    <row r="290">
      <c r="A290" s="179"/>
      <c r="B290" s="180"/>
      <c r="C290" s="2"/>
      <c r="E290" s="181"/>
      <c r="F290" s="181"/>
      <c r="G290" s="2"/>
      <c r="I290" s="190"/>
      <c r="J290" s="190"/>
      <c r="K290" s="2"/>
      <c r="U290" s="59" t="str">
        <f>IFERROR(__xludf.DUMMYFUNCTION("""COMPUTED_VALUE"""),"Microsmith Technology System,Inc.")</f>
        <v>Microsmith Technology System,Inc.</v>
      </c>
      <c r="V290" s="4">
        <f>IFERROR(__xludf.DUMMYFUNCTION("""COMPUTED_VALUE"""),5.0)</f>
        <v>5</v>
      </c>
      <c r="W290" s="60">
        <f>IFERROR(__xludf.DUMMYFUNCTION("""COMPUTED_VALUE"""),45614.0)</f>
        <v>45614</v>
      </c>
      <c r="Z290" s="4"/>
      <c r="AC290" s="4"/>
      <c r="AF290" s="4"/>
    </row>
    <row r="291">
      <c r="A291" s="179"/>
      <c r="B291" s="180"/>
      <c r="C291" s="2"/>
      <c r="E291" s="181"/>
      <c r="F291" s="181"/>
      <c r="G291" s="2"/>
      <c r="I291" s="190"/>
      <c r="J291" s="190"/>
      <c r="K291" s="2"/>
      <c r="U291" s="59" t="str">
        <f>IFERROR(__xludf.DUMMYFUNCTION("""COMPUTED_VALUE"""),"Arkin Hardware")</f>
        <v>Arkin Hardware</v>
      </c>
      <c r="V291" s="4">
        <f>IFERROR(__xludf.DUMMYFUNCTION("""COMPUTED_VALUE"""),5.0)</f>
        <v>5</v>
      </c>
      <c r="W291" s="60">
        <f>IFERROR(__xludf.DUMMYFUNCTION("""COMPUTED_VALUE"""),45665.0)</f>
        <v>45665</v>
      </c>
      <c r="Z291" s="4"/>
      <c r="AC291" s="4"/>
      <c r="AF291" s="4"/>
    </row>
    <row r="292">
      <c r="A292" s="179"/>
      <c r="B292" s="180"/>
      <c r="C292" s="2"/>
      <c r="E292" s="181"/>
      <c r="F292" s="181"/>
      <c r="G292" s="2"/>
      <c r="I292" s="190"/>
      <c r="J292" s="190"/>
      <c r="K292" s="2"/>
      <c r="U292" s="59" t="str">
        <f>IFERROR(__xludf.DUMMYFUNCTION("""COMPUTED_VALUE"""),"Columbia Technologies, Inc.")</f>
        <v>Columbia Technologies, Inc.</v>
      </c>
      <c r="V292" s="4">
        <f>IFERROR(__xludf.DUMMYFUNCTION("""COMPUTED_VALUE"""),5.0)</f>
        <v>5</v>
      </c>
      <c r="W292" s="60">
        <f>IFERROR(__xludf.DUMMYFUNCTION("""COMPUTED_VALUE"""),45512.0)</f>
        <v>45512</v>
      </c>
      <c r="Z292" s="4"/>
      <c r="AC292" s="4"/>
      <c r="AF292" s="4"/>
    </row>
    <row r="293">
      <c r="A293" s="179"/>
      <c r="B293" s="180"/>
      <c r="C293" s="2"/>
      <c r="E293" s="181"/>
      <c r="F293" s="181"/>
      <c r="G293" s="2"/>
      <c r="I293" s="190"/>
      <c r="J293" s="190"/>
      <c r="K293" s="2"/>
      <c r="U293" s="59" t="str">
        <f>IFERROR(__xludf.DUMMYFUNCTION("""COMPUTED_VALUE"""),"Net Ad IT Solutions")</f>
        <v>Net Ad IT Solutions</v>
      </c>
      <c r="V293" s="4">
        <f>IFERROR(__xludf.DUMMYFUNCTION("""COMPUTED_VALUE"""),5.0)</f>
        <v>5</v>
      </c>
      <c r="W293" s="60">
        <f>IFERROR(__xludf.DUMMYFUNCTION("""COMPUTED_VALUE"""),45722.0)</f>
        <v>45722</v>
      </c>
      <c r="Z293" s="4"/>
      <c r="AC293" s="4"/>
      <c r="AF293" s="4"/>
    </row>
    <row r="294">
      <c r="A294" s="179"/>
      <c r="B294" s="180"/>
      <c r="C294" s="2"/>
      <c r="E294" s="181"/>
      <c r="F294" s="181"/>
      <c r="G294" s="2"/>
      <c r="I294" s="190"/>
      <c r="J294" s="190"/>
      <c r="K294" s="2"/>
      <c r="U294" s="59" t="str">
        <f>IFERROR(__xludf.DUMMYFUNCTION("""COMPUTED_VALUE"""),"Net Ad IT Solutions")</f>
        <v>Net Ad IT Solutions</v>
      </c>
      <c r="V294" s="4">
        <f>IFERROR(__xludf.DUMMYFUNCTION("""COMPUTED_VALUE"""),5.0)</f>
        <v>5</v>
      </c>
      <c r="W294" s="60">
        <f>IFERROR(__xludf.DUMMYFUNCTION("""COMPUTED_VALUE"""),45803.0)</f>
        <v>45803</v>
      </c>
      <c r="Z294" s="4"/>
      <c r="AC294" s="4"/>
      <c r="AF294" s="4"/>
    </row>
    <row r="295">
      <c r="A295" s="179"/>
      <c r="B295" s="180"/>
      <c r="C295" s="2"/>
      <c r="E295" s="181"/>
      <c r="F295" s="181"/>
      <c r="G295" s="2"/>
      <c r="I295" s="190"/>
      <c r="J295" s="190"/>
      <c r="K295" s="2"/>
      <c r="U295" s="59" t="str">
        <f>IFERROR(__xludf.DUMMYFUNCTION("""COMPUTED_VALUE"""),"iEquity Technologies Corp.")</f>
        <v>iEquity Technologies Corp.</v>
      </c>
      <c r="V295" s="4">
        <f>IFERROR(__xludf.DUMMYFUNCTION("""COMPUTED_VALUE"""),5.0)</f>
        <v>5</v>
      </c>
      <c r="W295" s="60">
        <f>IFERROR(__xludf.DUMMYFUNCTION("""COMPUTED_VALUE"""),45614.0)</f>
        <v>45614</v>
      </c>
      <c r="Z295" s="4"/>
      <c r="AC295" s="4"/>
      <c r="AF295" s="4"/>
    </row>
    <row r="296">
      <c r="A296" s="179"/>
      <c r="B296" s="180"/>
      <c r="C296" s="2"/>
      <c r="E296" s="181"/>
      <c r="F296" s="181"/>
      <c r="G296" s="2"/>
      <c r="I296" s="190"/>
      <c r="J296" s="190"/>
      <c r="K296" s="2"/>
      <c r="U296" s="59" t="str">
        <f>IFERROR(__xludf.DUMMYFUNCTION("""COMPUTED_VALUE"""),"Printing Shop PrintPilipinas.com")</f>
        <v>Printing Shop PrintPilipinas.com</v>
      </c>
      <c r="V296" s="4">
        <f>IFERROR(__xludf.DUMMYFUNCTION("""COMPUTED_VALUE"""),5.0)</f>
        <v>5</v>
      </c>
      <c r="W296" s="60">
        <f>IFERROR(__xludf.DUMMYFUNCTION("""COMPUTED_VALUE"""),45730.0)</f>
        <v>45730</v>
      </c>
      <c r="Z296" s="4"/>
      <c r="AC296" s="4"/>
      <c r="AF296" s="4"/>
    </row>
    <row r="297">
      <c r="A297" s="179"/>
      <c r="B297" s="180"/>
      <c r="C297" s="2"/>
      <c r="E297" s="181"/>
      <c r="F297" s="181"/>
      <c r="G297" s="2"/>
      <c r="I297" s="190"/>
      <c r="J297" s="190"/>
      <c r="K297" s="2"/>
      <c r="U297" s="59" t="str">
        <f>IFERROR(__xludf.DUMMYFUNCTION("""COMPUTED_VALUE"""),"Arkin Hardware")</f>
        <v>Arkin Hardware</v>
      </c>
      <c r="V297" s="4">
        <f>IFERROR(__xludf.DUMMYFUNCTION("""COMPUTED_VALUE"""),5.0)</f>
        <v>5</v>
      </c>
      <c r="W297" s="60">
        <f>IFERROR(__xludf.DUMMYFUNCTION("""COMPUTED_VALUE"""),45534.0)</f>
        <v>45534</v>
      </c>
      <c r="Z297" s="4"/>
      <c r="AC297" s="4"/>
      <c r="AF297" s="4"/>
    </row>
    <row r="298">
      <c r="A298" s="179"/>
      <c r="B298" s="180"/>
      <c r="C298" s="2"/>
      <c r="E298" s="181"/>
      <c r="F298" s="181"/>
      <c r="G298" s="2"/>
      <c r="I298" s="190"/>
      <c r="J298" s="190"/>
      <c r="K298" s="2"/>
      <c r="U298" s="59" t="str">
        <f>IFERROR(__xludf.DUMMYFUNCTION("""COMPUTED_VALUE"""),"Primeline Products Philippines, Inc.")</f>
        <v>Primeline Products Philippines, Inc.</v>
      </c>
      <c r="V298" s="4">
        <f>IFERROR(__xludf.DUMMYFUNCTION("""COMPUTED_VALUE"""),5.0)</f>
        <v>5</v>
      </c>
      <c r="W298" s="60">
        <f>IFERROR(__xludf.DUMMYFUNCTION("""COMPUTED_VALUE"""),45730.0)</f>
        <v>45730</v>
      </c>
      <c r="Z298" s="4"/>
      <c r="AC298" s="4"/>
      <c r="AF298" s="4"/>
    </row>
    <row r="299">
      <c r="A299" s="179"/>
      <c r="B299" s="180"/>
      <c r="C299" s="2"/>
      <c r="E299" s="181"/>
      <c r="F299" s="181"/>
      <c r="G299" s="2"/>
      <c r="I299" s="190"/>
      <c r="J299" s="190"/>
      <c r="K299" s="2"/>
      <c r="U299" s="59" t="str">
        <f>IFERROR(__xludf.DUMMYFUNCTION("""COMPUTED_VALUE"""),"Arkin Hardware")</f>
        <v>Arkin Hardware</v>
      </c>
      <c r="V299" s="4">
        <f>IFERROR(__xludf.DUMMYFUNCTION("""COMPUTED_VALUE"""),5.0)</f>
        <v>5</v>
      </c>
      <c r="W299" s="60">
        <f>IFERROR(__xludf.DUMMYFUNCTION("""COMPUTED_VALUE"""),45587.0)</f>
        <v>45587</v>
      </c>
      <c r="Z299" s="4"/>
      <c r="AC299" s="4"/>
      <c r="AF299" s="4"/>
    </row>
    <row r="300">
      <c r="A300" s="179"/>
      <c r="B300" s="180"/>
      <c r="C300" s="2"/>
      <c r="E300" s="181"/>
      <c r="F300" s="181"/>
      <c r="G300" s="2"/>
      <c r="I300" s="190"/>
      <c r="J300" s="190"/>
      <c r="K300" s="2"/>
      <c r="U300" s="59" t="str">
        <f>IFERROR(__xludf.DUMMYFUNCTION("""COMPUTED_VALUE"""),"Leonard Prints Inc.")</f>
        <v>Leonard Prints Inc.</v>
      </c>
      <c r="V300" s="4">
        <f>IFERROR(__xludf.DUMMYFUNCTION("""COMPUTED_VALUE"""),5.0)</f>
        <v>5</v>
      </c>
      <c r="W300" s="60">
        <f>IFERROR(__xludf.DUMMYFUNCTION("""COMPUTED_VALUE"""),45803.0)</f>
        <v>45803</v>
      </c>
      <c r="Z300" s="4"/>
      <c r="AC300" s="4"/>
      <c r="AF300" s="4"/>
    </row>
    <row r="301">
      <c r="A301" s="179"/>
      <c r="B301" s="180"/>
      <c r="C301" s="2"/>
      <c r="E301" s="181"/>
      <c r="F301" s="181"/>
      <c r="G301" s="2"/>
      <c r="I301" s="190"/>
      <c r="J301" s="190"/>
      <c r="K301" s="2"/>
      <c r="U301" s="59" t="str">
        <f>IFERROR(__xludf.DUMMYFUNCTION("""COMPUTED_VALUE"""),"Rivchem Enterprises")</f>
        <v>Rivchem Enterprises</v>
      </c>
      <c r="V301" s="4">
        <f>IFERROR(__xludf.DUMMYFUNCTION("""COMPUTED_VALUE"""),4.616666666666666)</f>
        <v>4.616666667</v>
      </c>
      <c r="W301" s="60">
        <f>IFERROR(__xludf.DUMMYFUNCTION("""COMPUTED_VALUE"""),45777.0)</f>
        <v>45777</v>
      </c>
      <c r="Z301" s="4"/>
      <c r="AC301" s="4"/>
      <c r="AF301" s="4"/>
    </row>
    <row r="302">
      <c r="A302" s="179"/>
      <c r="B302" s="180"/>
      <c r="C302" s="2"/>
      <c r="E302" s="181"/>
      <c r="F302" s="181"/>
      <c r="G302" s="2"/>
      <c r="I302" s="190"/>
      <c r="J302" s="190"/>
      <c r="K302" s="2"/>
      <c r="U302" s="59" t="str">
        <f>IFERROR(__xludf.DUMMYFUNCTION("""COMPUTED_VALUE"""),"Rivchem Enterprises")</f>
        <v>Rivchem Enterprises</v>
      </c>
      <c r="V302" s="4">
        <f>IFERROR(__xludf.DUMMYFUNCTION("""COMPUTED_VALUE"""),4.816666666666666)</f>
        <v>4.816666667</v>
      </c>
      <c r="W302" s="60">
        <f>IFERROR(__xludf.DUMMYFUNCTION("""COMPUTED_VALUE"""),45751.0)</f>
        <v>45751</v>
      </c>
      <c r="Z302" s="4"/>
      <c r="AC302" s="4"/>
      <c r="AF302" s="4"/>
    </row>
    <row r="303">
      <c r="A303" s="179"/>
      <c r="B303" s="180"/>
      <c r="C303" s="2"/>
      <c r="E303" s="181"/>
      <c r="F303" s="181"/>
      <c r="G303" s="2"/>
      <c r="I303" s="190"/>
      <c r="J303" s="190"/>
      <c r="K303" s="2"/>
      <c r="U303" s="59" t="str">
        <f>IFERROR(__xludf.DUMMYFUNCTION("""COMPUTED_VALUE"""),"Rivchem Enterprises")</f>
        <v>Rivchem Enterprises</v>
      </c>
      <c r="V303" s="4">
        <f>IFERROR(__xludf.DUMMYFUNCTION("""COMPUTED_VALUE"""),4.916666666666667)</f>
        <v>4.916666667</v>
      </c>
      <c r="W303" s="60">
        <f>IFERROR(__xludf.DUMMYFUNCTION("""COMPUTED_VALUE"""),45806.0)</f>
        <v>45806</v>
      </c>
      <c r="Z303" s="4"/>
      <c r="AC303" s="4"/>
      <c r="AF303" s="4"/>
    </row>
    <row r="304">
      <c r="A304" s="179"/>
      <c r="B304" s="180"/>
      <c r="C304" s="2"/>
      <c r="E304" s="181"/>
      <c r="F304" s="181"/>
      <c r="G304" s="2"/>
      <c r="I304" s="190"/>
      <c r="J304" s="190"/>
      <c r="K304" s="2"/>
      <c r="U304" s="59" t="str">
        <f>IFERROR(__xludf.DUMMYFUNCTION("""COMPUTED_VALUE"""),"Chemtrust Global Market, Inc.")</f>
        <v>Chemtrust Global Market, Inc.</v>
      </c>
      <c r="V304" s="4">
        <f>IFERROR(__xludf.DUMMYFUNCTION("""COMPUTED_VALUE"""),4.791666666666667)</f>
        <v>4.791666667</v>
      </c>
      <c r="W304" s="60">
        <f>IFERROR(__xludf.DUMMYFUNCTION("""COMPUTED_VALUE"""),45806.0)</f>
        <v>45806</v>
      </c>
      <c r="Z304" s="4"/>
      <c r="AC304" s="4"/>
      <c r="AF304" s="4"/>
    </row>
    <row r="305">
      <c r="A305" s="179"/>
      <c r="B305" s="180"/>
      <c r="C305" s="2"/>
      <c r="E305" s="181"/>
      <c r="F305" s="181"/>
      <c r="G305" s="2"/>
      <c r="I305" s="190"/>
      <c r="J305" s="190"/>
      <c r="K305" s="2"/>
      <c r="U305" s="59" t="str">
        <f>IFERROR(__xludf.DUMMYFUNCTION("""COMPUTED_VALUE"""),"Belview Co., Inc.")</f>
        <v>Belview Co., Inc.</v>
      </c>
      <c r="V305" s="4">
        <f>IFERROR(__xludf.DUMMYFUNCTION("""COMPUTED_VALUE"""),4.833333333333333)</f>
        <v>4.833333333</v>
      </c>
      <c r="W305" s="60">
        <f>IFERROR(__xludf.DUMMYFUNCTION("""COMPUTED_VALUE"""),45691.0)</f>
        <v>45691</v>
      </c>
      <c r="Z305" s="4"/>
      <c r="AC305" s="4"/>
      <c r="AF305" s="4"/>
    </row>
    <row r="306">
      <c r="A306" s="179"/>
      <c r="B306" s="180"/>
      <c r="C306" s="2"/>
      <c r="E306" s="181"/>
      <c r="F306" s="181"/>
      <c r="G306" s="2"/>
      <c r="I306" s="190"/>
      <c r="J306" s="190"/>
      <c r="K306" s="2"/>
      <c r="U306" s="59" t="str">
        <f>IFERROR(__xludf.DUMMYFUNCTION("""COMPUTED_VALUE"""),"Belview Co., Inc.")</f>
        <v>Belview Co., Inc.</v>
      </c>
      <c r="V306" s="4">
        <f>IFERROR(__xludf.DUMMYFUNCTION("""COMPUTED_VALUE"""),4.833333333333333)</f>
        <v>4.833333333</v>
      </c>
      <c r="W306" s="60">
        <f>IFERROR(__xludf.DUMMYFUNCTION("""COMPUTED_VALUE"""),45691.0)</f>
        <v>45691</v>
      </c>
      <c r="Z306" s="4"/>
      <c r="AC306" s="4"/>
      <c r="AF306" s="4"/>
    </row>
    <row r="307">
      <c r="A307" s="179"/>
      <c r="B307" s="180"/>
      <c r="C307" s="2"/>
      <c r="E307" s="181"/>
      <c r="F307" s="181"/>
      <c r="G307" s="2"/>
      <c r="I307" s="190"/>
      <c r="J307" s="190"/>
      <c r="K307" s="2"/>
      <c r="U307" s="59" t="str">
        <f>IFERROR(__xludf.DUMMYFUNCTION("""COMPUTED_VALUE"""),"Belview Co., Inc.")</f>
        <v>Belview Co., Inc.</v>
      </c>
      <c r="V307" s="4">
        <f>IFERROR(__xludf.DUMMYFUNCTION("""COMPUTED_VALUE"""),4.833333333333333)</f>
        <v>4.833333333</v>
      </c>
      <c r="W307" s="60">
        <f>IFERROR(__xludf.DUMMYFUNCTION("""COMPUTED_VALUE"""),45691.0)</f>
        <v>45691</v>
      </c>
      <c r="Z307" s="4"/>
      <c r="AC307" s="4"/>
      <c r="AF307" s="4"/>
    </row>
    <row r="308">
      <c r="A308" s="179"/>
      <c r="B308" s="180"/>
      <c r="C308" s="2"/>
      <c r="E308" s="181"/>
      <c r="F308" s="181"/>
      <c r="G308" s="2"/>
      <c r="I308" s="190"/>
      <c r="J308" s="190"/>
      <c r="K308" s="2"/>
      <c r="U308" s="59" t="str">
        <f>IFERROR(__xludf.DUMMYFUNCTION("""COMPUTED_VALUE"""),"Creative Juice Digital Printing")</f>
        <v>Creative Juice Digital Printing</v>
      </c>
      <c r="V308" s="4">
        <f>IFERROR(__xludf.DUMMYFUNCTION("""COMPUTED_VALUE"""),4.833333333333333)</f>
        <v>4.833333333</v>
      </c>
      <c r="W308" s="60">
        <f>IFERROR(__xludf.DUMMYFUNCTION("""COMPUTED_VALUE"""),45691.0)</f>
        <v>45691</v>
      </c>
      <c r="Z308" s="4"/>
      <c r="AC308" s="4"/>
      <c r="AF308" s="4"/>
    </row>
    <row r="309">
      <c r="A309" s="179"/>
      <c r="B309" s="180"/>
      <c r="C309" s="2"/>
      <c r="E309" s="181"/>
      <c r="F309" s="181"/>
      <c r="G309" s="2"/>
      <c r="I309" s="190"/>
      <c r="J309" s="190"/>
      <c r="K309" s="2"/>
      <c r="U309" s="59" t="str">
        <f>IFERROR(__xludf.DUMMYFUNCTION("""COMPUTED_VALUE"""),"Belview Co., Inc.")</f>
        <v>Belview Co., Inc.</v>
      </c>
      <c r="V309" s="4">
        <f>IFERROR(__xludf.DUMMYFUNCTION("""COMPUTED_VALUE"""),4.833333333333333)</f>
        <v>4.833333333</v>
      </c>
      <c r="W309" s="60">
        <f>IFERROR(__xludf.DUMMYFUNCTION("""COMPUTED_VALUE"""),45691.0)</f>
        <v>45691</v>
      </c>
      <c r="Z309" s="4"/>
      <c r="AC309" s="4"/>
      <c r="AF309" s="4"/>
    </row>
    <row r="310">
      <c r="A310" s="179"/>
      <c r="B310" s="180"/>
      <c r="C310" s="2"/>
      <c r="E310" s="181"/>
      <c r="F310" s="181"/>
      <c r="G310" s="2"/>
      <c r="I310" s="190"/>
      <c r="J310" s="190"/>
      <c r="K310" s="2"/>
      <c r="U310" s="59" t="str">
        <f>IFERROR(__xludf.DUMMYFUNCTION("""COMPUTED_VALUE"""),"Belview Co., Inc.")</f>
        <v>Belview Co., Inc.</v>
      </c>
      <c r="V310" s="4">
        <f>IFERROR(__xludf.DUMMYFUNCTION("""COMPUTED_VALUE"""),4.833333333333333)</f>
        <v>4.833333333</v>
      </c>
      <c r="W310" s="60">
        <f>IFERROR(__xludf.DUMMYFUNCTION("""COMPUTED_VALUE"""),45691.0)</f>
        <v>45691</v>
      </c>
      <c r="Z310" s="4"/>
      <c r="AC310" s="4"/>
      <c r="AF310" s="4"/>
    </row>
    <row r="311">
      <c r="A311" s="179"/>
      <c r="B311" s="180"/>
      <c r="C311" s="2"/>
      <c r="E311" s="181"/>
      <c r="F311" s="181"/>
      <c r="G311" s="2"/>
      <c r="I311" s="190"/>
      <c r="J311" s="190"/>
      <c r="K311" s="2"/>
      <c r="U311" s="59" t="str">
        <f>IFERROR(__xludf.DUMMYFUNCTION("""COMPUTED_VALUE"""),"Abiva Publishing House, Inc.")</f>
        <v>Abiva Publishing House, Inc.</v>
      </c>
      <c r="V311" s="4">
        <f>IFERROR(__xludf.DUMMYFUNCTION("""COMPUTED_VALUE"""),4.833333333333333)</f>
        <v>4.833333333</v>
      </c>
      <c r="W311" s="60">
        <f>IFERROR(__xludf.DUMMYFUNCTION("""COMPUTED_VALUE"""),45691.0)</f>
        <v>45691</v>
      </c>
      <c r="Z311" s="4"/>
      <c r="AC311" s="4"/>
      <c r="AF311" s="4"/>
    </row>
    <row r="312">
      <c r="A312" s="179"/>
      <c r="B312" s="180"/>
      <c r="C312" s="2"/>
      <c r="E312" s="181"/>
      <c r="F312" s="181"/>
      <c r="G312" s="2"/>
      <c r="I312" s="190"/>
      <c r="J312" s="190"/>
      <c r="K312" s="2"/>
      <c r="U312" s="59" t="str">
        <f>IFERROR(__xludf.DUMMYFUNCTION("""COMPUTED_VALUE"""),"Shelves and Cups Book Store")</f>
        <v>Shelves and Cups Book Store</v>
      </c>
      <c r="V312" s="4"/>
      <c r="W312" s="60">
        <f>IFERROR(__xludf.DUMMYFUNCTION("""COMPUTED_VALUE"""),45691.0)</f>
        <v>45691</v>
      </c>
      <c r="Z312" s="4"/>
      <c r="AC312" s="4"/>
      <c r="AF312" s="4"/>
    </row>
    <row r="313">
      <c r="A313" s="179"/>
      <c r="B313" s="180"/>
      <c r="C313" s="2"/>
      <c r="E313" s="181"/>
      <c r="F313" s="181"/>
      <c r="G313" s="2"/>
      <c r="I313" s="190"/>
      <c r="J313" s="190"/>
      <c r="K313" s="2"/>
      <c r="U313" s="59" t="str">
        <f>IFERROR(__xludf.DUMMYFUNCTION("""COMPUTED_VALUE"""),"Creative Juice Digital Printing")</f>
        <v>Creative Juice Digital Printing</v>
      </c>
      <c r="V313" s="4">
        <f>IFERROR(__xludf.DUMMYFUNCTION("""COMPUTED_VALUE"""),4.833333333333333)</f>
        <v>4.833333333</v>
      </c>
      <c r="W313" s="60">
        <f>IFERROR(__xludf.DUMMYFUNCTION("""COMPUTED_VALUE"""),45691.0)</f>
        <v>45691</v>
      </c>
      <c r="Z313" s="4"/>
      <c r="AC313" s="4"/>
      <c r="AF313" s="4"/>
    </row>
    <row r="314">
      <c r="A314" s="179"/>
      <c r="B314" s="180"/>
      <c r="C314" s="2"/>
      <c r="E314" s="181"/>
      <c r="F314" s="181"/>
      <c r="G314" s="2"/>
      <c r="I314" s="190"/>
      <c r="J314" s="190"/>
      <c r="K314" s="2"/>
      <c r="U314" s="59" t="str">
        <f>IFERROR(__xludf.DUMMYFUNCTION("""COMPUTED_VALUE"""),"Abiva Publishing House, Inc.")</f>
        <v>Abiva Publishing House, Inc.</v>
      </c>
      <c r="V314" s="4">
        <f>IFERROR(__xludf.DUMMYFUNCTION("""COMPUTED_VALUE"""),4.833333333333333)</f>
        <v>4.833333333</v>
      </c>
      <c r="W314" s="60">
        <f>IFERROR(__xludf.DUMMYFUNCTION("""COMPUTED_VALUE"""),45691.0)</f>
        <v>45691</v>
      </c>
      <c r="Z314" s="4"/>
      <c r="AC314" s="4"/>
      <c r="AF314" s="4"/>
    </row>
    <row r="315">
      <c r="A315" s="179"/>
      <c r="B315" s="180"/>
      <c r="C315" s="2"/>
      <c r="E315" s="181"/>
      <c r="F315" s="181"/>
      <c r="G315" s="2"/>
      <c r="I315" s="190"/>
      <c r="J315" s="190"/>
      <c r="K315" s="2"/>
      <c r="U315" s="59" t="str">
        <f>IFERROR(__xludf.DUMMYFUNCTION("""COMPUTED_VALUE"""),"Belview Co., Inc.")</f>
        <v>Belview Co., Inc.</v>
      </c>
      <c r="V315" s="4">
        <f>IFERROR(__xludf.DUMMYFUNCTION("""COMPUTED_VALUE"""),4.833333333333333)</f>
        <v>4.833333333</v>
      </c>
      <c r="W315" s="60">
        <f>IFERROR(__xludf.DUMMYFUNCTION("""COMPUTED_VALUE"""),45691.0)</f>
        <v>45691</v>
      </c>
      <c r="Z315" s="4"/>
      <c r="AC315" s="4"/>
      <c r="AF315" s="4"/>
    </row>
    <row r="316">
      <c r="A316" s="179"/>
      <c r="B316" s="180"/>
      <c r="C316" s="2"/>
      <c r="E316" s="181"/>
      <c r="F316" s="181"/>
      <c r="G316" s="2"/>
      <c r="I316" s="190"/>
      <c r="J316" s="190"/>
      <c r="K316" s="2"/>
      <c r="U316" s="59" t="str">
        <f>IFERROR(__xludf.DUMMYFUNCTION("""COMPUTED_VALUE"""),"Belview Co., Inc.")</f>
        <v>Belview Co., Inc.</v>
      </c>
      <c r="V316" s="4">
        <f>IFERROR(__xludf.DUMMYFUNCTION("""COMPUTED_VALUE"""),4.833333333333333)</f>
        <v>4.833333333</v>
      </c>
      <c r="W316" s="60">
        <f>IFERROR(__xludf.DUMMYFUNCTION("""COMPUTED_VALUE"""),45691.0)</f>
        <v>45691</v>
      </c>
      <c r="Z316" s="4"/>
      <c r="AC316" s="4"/>
      <c r="AF316" s="4"/>
    </row>
    <row r="317">
      <c r="A317" s="179"/>
      <c r="B317" s="180"/>
      <c r="C317" s="2"/>
      <c r="E317" s="181"/>
      <c r="F317" s="181"/>
      <c r="G317" s="2"/>
      <c r="I317" s="190"/>
      <c r="J317" s="190"/>
      <c r="K317" s="2"/>
      <c r="U317" s="59" t="str">
        <f>IFERROR(__xludf.DUMMYFUNCTION("""COMPUTED_VALUE"""),"CD Books International, Inc.")</f>
        <v>CD Books International, Inc.</v>
      </c>
      <c r="V317" s="4">
        <f>IFERROR(__xludf.DUMMYFUNCTION("""COMPUTED_VALUE"""),4.833333333333333)</f>
        <v>4.833333333</v>
      </c>
      <c r="W317" s="60">
        <f>IFERROR(__xludf.DUMMYFUNCTION("""COMPUTED_VALUE"""),45691.0)</f>
        <v>45691</v>
      </c>
      <c r="Z317" s="4"/>
      <c r="AC317" s="4"/>
      <c r="AF317" s="4"/>
    </row>
    <row r="318">
      <c r="A318" s="179"/>
      <c r="B318" s="180"/>
      <c r="C318" s="2"/>
      <c r="E318" s="181"/>
      <c r="F318" s="181"/>
      <c r="G318" s="2"/>
      <c r="I318" s="190"/>
      <c r="J318" s="190"/>
      <c r="K318" s="2"/>
      <c r="U318" s="59" t="str">
        <f>IFERROR(__xludf.DUMMYFUNCTION("""COMPUTED_VALUE"""),"4David's Book Trading")</f>
        <v>4David's Book Trading</v>
      </c>
      <c r="V318" s="4">
        <f>IFERROR(__xludf.DUMMYFUNCTION("""COMPUTED_VALUE"""),4.833333333333333)</f>
        <v>4.833333333</v>
      </c>
      <c r="W318" s="60">
        <f>IFERROR(__xludf.DUMMYFUNCTION("""COMPUTED_VALUE"""),45691.0)</f>
        <v>45691</v>
      </c>
      <c r="Z318" s="4"/>
      <c r="AC318" s="4"/>
      <c r="AF318" s="4"/>
    </row>
    <row r="319">
      <c r="A319" s="179"/>
      <c r="B319" s="180"/>
      <c r="C319" s="2"/>
      <c r="E319" s="181"/>
      <c r="F319" s="181"/>
      <c r="G319" s="2"/>
      <c r="I319" s="190"/>
      <c r="J319" s="190"/>
      <c r="K319" s="2"/>
      <c r="U319" s="59" t="str">
        <f>IFERROR(__xludf.DUMMYFUNCTION("""COMPUTED_VALUE"""),"Belview Co., Inc.")</f>
        <v>Belview Co., Inc.</v>
      </c>
      <c r="V319" s="4">
        <f>IFERROR(__xludf.DUMMYFUNCTION("""COMPUTED_VALUE"""),4.833333333333333)</f>
        <v>4.833333333</v>
      </c>
      <c r="W319" s="60">
        <f>IFERROR(__xludf.DUMMYFUNCTION("""COMPUTED_VALUE"""),45691.0)</f>
        <v>45691</v>
      </c>
      <c r="Z319" s="4"/>
      <c r="AC319" s="4"/>
      <c r="AF319" s="4"/>
    </row>
    <row r="320">
      <c r="A320" s="179"/>
      <c r="B320" s="180"/>
      <c r="C320" s="2"/>
      <c r="E320" s="181"/>
      <c r="F320" s="181"/>
      <c r="G320" s="2"/>
      <c r="I320" s="190"/>
      <c r="J320" s="190"/>
      <c r="K320" s="2"/>
      <c r="U320" s="59" t="str">
        <f>IFERROR(__xludf.DUMMYFUNCTION("""COMPUTED_VALUE"""),"CD Books International, Inc.")</f>
        <v>CD Books International, Inc.</v>
      </c>
      <c r="V320" s="4">
        <f>IFERROR(__xludf.DUMMYFUNCTION("""COMPUTED_VALUE"""),4.833333333333333)</f>
        <v>4.833333333</v>
      </c>
      <c r="W320" s="60">
        <f>IFERROR(__xludf.DUMMYFUNCTION("""COMPUTED_VALUE"""),45691.0)</f>
        <v>45691</v>
      </c>
      <c r="Z320" s="4"/>
      <c r="AC320" s="4"/>
      <c r="AF320" s="4"/>
    </row>
    <row r="321">
      <c r="A321" s="179"/>
      <c r="B321" s="180"/>
      <c r="C321" s="2"/>
      <c r="E321" s="181"/>
      <c r="F321" s="181"/>
      <c r="G321" s="2"/>
      <c r="I321" s="190"/>
      <c r="J321" s="190"/>
      <c r="K321" s="2"/>
      <c r="U321" s="59" t="str">
        <f>IFERROR(__xludf.DUMMYFUNCTION("""COMPUTED_VALUE"""),"Belview Co., Inc.")</f>
        <v>Belview Co., Inc.</v>
      </c>
      <c r="V321" s="4">
        <f>IFERROR(__xludf.DUMMYFUNCTION("""COMPUTED_VALUE"""),4.833333333333333)</f>
        <v>4.833333333</v>
      </c>
      <c r="W321" s="60">
        <f>IFERROR(__xludf.DUMMYFUNCTION("""COMPUTED_VALUE"""),45691.0)</f>
        <v>45691</v>
      </c>
      <c r="Z321" s="4"/>
      <c r="AC321" s="4"/>
      <c r="AF321" s="4"/>
    </row>
    <row r="322">
      <c r="A322" s="179"/>
      <c r="B322" s="180"/>
      <c r="C322" s="2"/>
      <c r="E322" s="181"/>
      <c r="F322" s="181"/>
      <c r="G322" s="2"/>
      <c r="I322" s="190"/>
      <c r="J322" s="190"/>
      <c r="K322" s="2"/>
      <c r="U322" s="59" t="str">
        <f>IFERROR(__xludf.DUMMYFUNCTION("""COMPUTED_VALUE"""),"CD Books International, Inc.")</f>
        <v>CD Books International, Inc.</v>
      </c>
      <c r="V322" s="4">
        <f>IFERROR(__xludf.DUMMYFUNCTION("""COMPUTED_VALUE"""),4.833333333333333)</f>
        <v>4.833333333</v>
      </c>
      <c r="W322" s="60">
        <f>IFERROR(__xludf.DUMMYFUNCTION("""COMPUTED_VALUE"""),45691.0)</f>
        <v>45691</v>
      </c>
      <c r="Z322" s="4"/>
      <c r="AC322" s="4"/>
      <c r="AF322" s="4"/>
    </row>
    <row r="323">
      <c r="A323" s="179"/>
      <c r="B323" s="180"/>
      <c r="C323" s="2"/>
      <c r="E323" s="181"/>
      <c r="F323" s="181"/>
      <c r="G323" s="2"/>
      <c r="I323" s="190"/>
      <c r="J323" s="190"/>
      <c r="K323" s="2"/>
      <c r="U323" s="59" t="str">
        <f>IFERROR(__xludf.DUMMYFUNCTION("""COMPUTED_VALUE"""),"Abenson Ventures, Inc.")</f>
        <v>Abenson Ventures, Inc.</v>
      </c>
      <c r="V323" s="4">
        <f>IFERROR(__xludf.DUMMYFUNCTION("""COMPUTED_VALUE"""),5.0)</f>
        <v>5</v>
      </c>
      <c r="W323" s="60">
        <f>IFERROR(__xludf.DUMMYFUNCTION("""COMPUTED_VALUE"""),45625.0)</f>
        <v>45625</v>
      </c>
      <c r="Z323" s="4"/>
      <c r="AC323" s="4"/>
      <c r="AF323" s="4"/>
    </row>
    <row r="324">
      <c r="A324" s="179"/>
      <c r="B324" s="180"/>
      <c r="C324" s="2"/>
      <c r="E324" s="181"/>
      <c r="F324" s="181"/>
      <c r="G324" s="2"/>
      <c r="I324" s="190"/>
      <c r="J324" s="190"/>
      <c r="K324" s="2"/>
      <c r="U324" s="59" t="str">
        <f>IFERROR(__xludf.DUMMYFUNCTION("""COMPUTED_VALUE"""),"Abenson Ventures, Inc.")</f>
        <v>Abenson Ventures, Inc.</v>
      </c>
      <c r="V324" s="4">
        <f>IFERROR(__xludf.DUMMYFUNCTION("""COMPUTED_VALUE"""),5.0)</f>
        <v>5</v>
      </c>
      <c r="W324" s="60">
        <f>IFERROR(__xludf.DUMMYFUNCTION("""COMPUTED_VALUE"""),45554.0)</f>
        <v>45554</v>
      </c>
      <c r="Z324" s="4"/>
      <c r="AC324" s="4"/>
      <c r="AF324" s="4"/>
    </row>
    <row r="325">
      <c r="A325" s="179"/>
      <c r="B325" s="180"/>
      <c r="C325" s="2"/>
      <c r="E325" s="181"/>
      <c r="F325" s="181"/>
      <c r="G325" s="2"/>
      <c r="I325" s="190"/>
      <c r="J325" s="190"/>
      <c r="K325" s="2"/>
      <c r="U325" s="59" t="str">
        <f>IFERROR(__xludf.DUMMYFUNCTION("""COMPUTED_VALUE"""),"Creative Juice Digital Printing")</f>
        <v>Creative Juice Digital Printing</v>
      </c>
      <c r="V325" s="4">
        <f>IFERROR(__xludf.DUMMYFUNCTION("""COMPUTED_VALUE"""),4.933333333333334)</f>
        <v>4.933333333</v>
      </c>
      <c r="W325" s="60">
        <f>IFERROR(__xludf.DUMMYFUNCTION("""COMPUTED_VALUE"""),45566.0)</f>
        <v>45566</v>
      </c>
      <c r="Z325" s="4"/>
      <c r="AC325" s="4"/>
      <c r="AF325" s="4"/>
    </row>
    <row r="326">
      <c r="A326" s="179"/>
      <c r="B326" s="180"/>
      <c r="C326" s="2"/>
      <c r="E326" s="181"/>
      <c r="F326" s="181"/>
      <c r="G326" s="2"/>
      <c r="I326" s="190"/>
      <c r="J326" s="190"/>
      <c r="K326" s="2"/>
      <c r="U326" s="59" t="str">
        <f>IFERROR(__xludf.DUMMYFUNCTION("""COMPUTED_VALUE"""),"Abenson Ventures, Inc.")</f>
        <v>Abenson Ventures, Inc.</v>
      </c>
      <c r="V326" s="4">
        <f>IFERROR(__xludf.DUMMYFUNCTION("""COMPUTED_VALUE"""),4.916666666666667)</f>
        <v>4.916666667</v>
      </c>
      <c r="W326" s="60">
        <f>IFERROR(__xludf.DUMMYFUNCTION("""COMPUTED_VALUE"""),45565.0)</f>
        <v>45565</v>
      </c>
      <c r="Z326" s="4"/>
      <c r="AC326" s="4"/>
      <c r="AF326" s="4"/>
    </row>
    <row r="327">
      <c r="A327" s="179"/>
      <c r="B327" s="180"/>
      <c r="C327" s="2"/>
      <c r="E327" s="181"/>
      <c r="F327" s="181"/>
      <c r="G327" s="2"/>
      <c r="I327" s="190"/>
      <c r="J327" s="190"/>
      <c r="K327" s="2"/>
      <c r="U327" s="59" t="str">
        <f>IFERROR(__xludf.DUMMYFUNCTION("""COMPUTED_VALUE"""),"Elle Tech and Trend Office Furniture and Interiors")</f>
        <v>Elle Tech and Trend Office Furniture and Interiors</v>
      </c>
      <c r="V327" s="4">
        <f>IFERROR(__xludf.DUMMYFUNCTION("""COMPUTED_VALUE"""),4.8)</f>
        <v>4.8</v>
      </c>
      <c r="W327" s="60">
        <f>IFERROR(__xludf.DUMMYFUNCTION("""COMPUTED_VALUE"""),45549.0)</f>
        <v>45549</v>
      </c>
      <c r="Z327" s="4"/>
      <c r="AC327" s="4"/>
      <c r="AF327" s="4"/>
    </row>
    <row r="328">
      <c r="A328" s="179"/>
      <c r="B328" s="180"/>
      <c r="C328" s="2"/>
      <c r="E328" s="181"/>
      <c r="F328" s="181"/>
      <c r="G328" s="2"/>
      <c r="I328" s="190"/>
      <c r="J328" s="190"/>
      <c r="K328" s="2"/>
      <c r="U328" s="59" t="str">
        <f>IFERROR(__xludf.DUMMYFUNCTION("""COMPUTED_VALUE"""),"Abacus Book &amp; Card Corp.")</f>
        <v>Abacus Book &amp; Card Corp.</v>
      </c>
      <c r="V328" s="4">
        <f>IFERROR(__xludf.DUMMYFUNCTION("""COMPUTED_VALUE"""),4.888888888888889)</f>
        <v>4.888888889</v>
      </c>
      <c r="W328" s="60">
        <f>IFERROR(__xludf.DUMMYFUNCTION("""COMPUTED_VALUE"""),45723.0)</f>
        <v>45723</v>
      </c>
      <c r="Z328" s="4"/>
      <c r="AC328" s="4"/>
      <c r="AF328" s="4"/>
    </row>
    <row r="329">
      <c r="A329" s="179"/>
      <c r="B329" s="180"/>
      <c r="C329" s="2"/>
      <c r="E329" s="181"/>
      <c r="F329" s="181"/>
      <c r="G329" s="2"/>
      <c r="I329" s="190"/>
      <c r="J329" s="190"/>
      <c r="K329" s="2"/>
      <c r="U329" s="59" t="str">
        <f>IFERROR(__xludf.DUMMYFUNCTION("""COMPUTED_VALUE"""),"Net Ad IT Solutions")</f>
        <v>Net Ad IT Solutions</v>
      </c>
      <c r="V329" s="4">
        <f>IFERROR(__xludf.DUMMYFUNCTION("""COMPUTED_VALUE"""),4.694444444444444)</f>
        <v>4.694444444</v>
      </c>
      <c r="W329" s="60">
        <f>IFERROR(__xludf.DUMMYFUNCTION("""COMPUTED_VALUE"""),45737.0)</f>
        <v>45737</v>
      </c>
      <c r="Z329" s="4"/>
      <c r="AC329" s="4"/>
      <c r="AF329" s="4"/>
    </row>
    <row r="330">
      <c r="A330" s="179"/>
      <c r="B330" s="180"/>
      <c r="C330" s="2"/>
      <c r="E330" s="181"/>
      <c r="F330" s="181"/>
      <c r="G330" s="2"/>
      <c r="I330" s="190"/>
      <c r="J330" s="190"/>
      <c r="K330" s="2"/>
      <c r="U330" s="59" t="str">
        <f>IFERROR(__xludf.DUMMYFUNCTION("""COMPUTED_VALUE"""),"Creative Juice Digital Printing")</f>
        <v>Creative Juice Digital Printing</v>
      </c>
      <c r="V330" s="4">
        <f>IFERROR(__xludf.DUMMYFUNCTION("""COMPUTED_VALUE"""),4.416666666666667)</f>
        <v>4.416666667</v>
      </c>
      <c r="W330" s="60">
        <f>IFERROR(__xludf.DUMMYFUNCTION("""COMPUTED_VALUE"""),45721.0)</f>
        <v>45721</v>
      </c>
      <c r="Z330" s="4"/>
      <c r="AC330" s="4"/>
      <c r="AF330" s="4"/>
    </row>
    <row r="331">
      <c r="A331" s="179"/>
      <c r="B331" s="180"/>
      <c r="C331" s="2"/>
      <c r="E331" s="181"/>
      <c r="F331" s="181"/>
      <c r="G331" s="2"/>
      <c r="I331" s="190"/>
      <c r="J331" s="190"/>
      <c r="K331" s="2"/>
      <c r="U331" s="59" t="str">
        <f>IFERROR(__xludf.DUMMYFUNCTION("""COMPUTED_VALUE"""),"RSAZ Corporation")</f>
        <v>RSAZ Corporation</v>
      </c>
      <c r="V331" s="4">
        <f>IFERROR(__xludf.DUMMYFUNCTION("""COMPUTED_VALUE"""),5.0)</f>
        <v>5</v>
      </c>
      <c r="W331" s="60">
        <f>IFERROR(__xludf.DUMMYFUNCTION("""COMPUTED_VALUE"""),45748.0)</f>
        <v>45748</v>
      </c>
      <c r="Z331" s="4"/>
      <c r="AC331" s="4"/>
      <c r="AF331" s="4"/>
    </row>
    <row r="332">
      <c r="A332" s="179"/>
      <c r="B332" s="180"/>
      <c r="C332" s="2"/>
      <c r="E332" s="181"/>
      <c r="F332" s="181"/>
      <c r="G332" s="2"/>
      <c r="I332" s="190"/>
      <c r="J332" s="190"/>
      <c r="K332" s="2"/>
      <c r="U332" s="59" t="str">
        <f>IFERROR(__xludf.DUMMYFUNCTION("""COMPUTED_VALUE"""),"Printing Shop PrintPilipinas.com")</f>
        <v>Printing Shop PrintPilipinas.com</v>
      </c>
      <c r="V332" s="4">
        <f>IFERROR(__xludf.DUMMYFUNCTION("""COMPUTED_VALUE"""),4.966666666666667)</f>
        <v>4.966666667</v>
      </c>
      <c r="W332" s="60">
        <f>IFERROR(__xludf.DUMMYFUNCTION("""COMPUTED_VALUE"""),45586.0)</f>
        <v>45586</v>
      </c>
      <c r="Z332" s="4"/>
      <c r="AC332" s="4"/>
      <c r="AF332" s="4"/>
    </row>
    <row r="333">
      <c r="A333" s="179"/>
      <c r="B333" s="180"/>
      <c r="C333" s="2"/>
      <c r="E333" s="181"/>
      <c r="F333" s="181"/>
      <c r="G333" s="2"/>
      <c r="I333" s="190"/>
      <c r="J333" s="190"/>
      <c r="K333" s="2"/>
      <c r="U333" s="59" t="str">
        <f>IFERROR(__xludf.DUMMYFUNCTION("""COMPUTED_VALUE"""),"888 Tile Phil Corp")</f>
        <v>888 Tile Phil Corp</v>
      </c>
      <c r="V333" s="4">
        <f>IFERROR(__xludf.DUMMYFUNCTION("""COMPUTED_VALUE"""),4.416666666666667)</f>
        <v>4.416666667</v>
      </c>
      <c r="W333" s="60">
        <f>IFERROR(__xludf.DUMMYFUNCTION("""COMPUTED_VALUE"""),45720.0)</f>
        <v>45720</v>
      </c>
      <c r="Z333" s="4"/>
      <c r="AC333" s="4"/>
      <c r="AF333" s="4"/>
    </row>
    <row r="334">
      <c r="A334" s="179"/>
      <c r="B334" s="180"/>
      <c r="C334" s="2"/>
      <c r="E334" s="181"/>
      <c r="F334" s="181"/>
      <c r="G334" s="2"/>
      <c r="I334" s="190"/>
      <c r="J334" s="190"/>
      <c r="K334" s="2"/>
      <c r="U334" s="59" t="str">
        <f>IFERROR(__xludf.DUMMYFUNCTION("""COMPUTED_VALUE"""),"ECOSHIFT CORPORATION")</f>
        <v>ECOSHIFT CORPORATION</v>
      </c>
      <c r="V334" s="4">
        <f>IFERROR(__xludf.DUMMYFUNCTION("""COMPUTED_VALUE"""),4.966666666666667)</f>
        <v>4.966666667</v>
      </c>
      <c r="W334" s="60">
        <f>IFERROR(__xludf.DUMMYFUNCTION("""COMPUTED_VALUE"""),45713.0)</f>
        <v>45713</v>
      </c>
      <c r="Z334" s="4"/>
      <c r="AC334" s="4"/>
      <c r="AF334" s="4"/>
    </row>
    <row r="335">
      <c r="A335" s="179"/>
      <c r="B335" s="180"/>
      <c r="C335" s="2"/>
      <c r="E335" s="181"/>
      <c r="F335" s="181"/>
      <c r="G335" s="2"/>
      <c r="I335" s="190"/>
      <c r="J335" s="190"/>
      <c r="K335" s="2"/>
      <c r="U335" s="59" t="str">
        <f>IFERROR(__xludf.DUMMYFUNCTION("""COMPUTED_VALUE"""),"Dynamics Electrical Supply and Hardware")</f>
        <v>Dynamics Electrical Supply and Hardware</v>
      </c>
      <c r="V335" s="4">
        <f>IFERROR(__xludf.DUMMYFUNCTION("""COMPUTED_VALUE"""),4.333333333333333)</f>
        <v>4.333333333</v>
      </c>
      <c r="W335" s="60">
        <f>IFERROR(__xludf.DUMMYFUNCTION("""COMPUTED_VALUE"""),45702.0)</f>
        <v>45702</v>
      </c>
      <c r="Z335" s="4"/>
      <c r="AC335" s="4"/>
      <c r="AF335" s="4"/>
    </row>
    <row r="336">
      <c r="A336" s="179"/>
      <c r="B336" s="180"/>
      <c r="C336" s="2"/>
      <c r="E336" s="181"/>
      <c r="F336" s="181"/>
      <c r="G336" s="2"/>
      <c r="I336" s="190"/>
      <c r="J336" s="190"/>
      <c r="K336" s="2"/>
      <c r="U336" s="59" t="str">
        <f>IFERROR(__xludf.DUMMYFUNCTION("""COMPUTED_VALUE"""),"Asahl Design Centre Inc.")</f>
        <v>Asahl Design Centre Inc.</v>
      </c>
      <c r="V336" s="4">
        <f>IFERROR(__xludf.DUMMYFUNCTION("""COMPUTED_VALUE"""),4.858333333333333)</f>
        <v>4.858333333</v>
      </c>
      <c r="W336" s="60">
        <f>IFERROR(__xludf.DUMMYFUNCTION("""COMPUTED_VALUE"""),45601.0)</f>
        <v>45601</v>
      </c>
      <c r="Z336" s="4"/>
      <c r="AC336" s="4"/>
      <c r="AF336" s="4"/>
    </row>
    <row r="337">
      <c r="A337" s="179"/>
      <c r="B337" s="180"/>
      <c r="C337" s="2"/>
      <c r="E337" s="181"/>
      <c r="F337" s="181"/>
      <c r="G337" s="2"/>
      <c r="I337" s="190"/>
      <c r="J337" s="190"/>
      <c r="K337" s="2"/>
      <c r="U337" s="59" t="str">
        <f>IFERROR(__xludf.DUMMYFUNCTION("""COMPUTED_VALUE"""),"Rivchem Enterprises")</f>
        <v>Rivchem Enterprises</v>
      </c>
      <c r="V337" s="4">
        <f>IFERROR(__xludf.DUMMYFUNCTION("""COMPUTED_VALUE"""),4.611111111111111)</f>
        <v>4.611111111</v>
      </c>
      <c r="W337" s="60">
        <f>IFERROR(__xludf.DUMMYFUNCTION("""COMPUTED_VALUE"""),45628.0)</f>
        <v>45628</v>
      </c>
      <c r="Z337" s="4"/>
      <c r="AC337" s="4"/>
      <c r="AF337" s="4"/>
    </row>
    <row r="338">
      <c r="A338" s="179"/>
      <c r="B338" s="180"/>
      <c r="C338" s="2"/>
      <c r="E338" s="181"/>
      <c r="F338" s="181"/>
      <c r="G338" s="2"/>
      <c r="I338" s="190"/>
      <c r="J338" s="190"/>
      <c r="K338" s="2"/>
      <c r="U338" s="59" t="str">
        <f>IFERROR(__xludf.DUMMYFUNCTION("""COMPUTED_VALUE"""),"Abenson Ventures, Inc.")</f>
        <v>Abenson Ventures, Inc.</v>
      </c>
      <c r="V338" s="4">
        <f>IFERROR(__xludf.DUMMYFUNCTION("""COMPUTED_VALUE"""),5.0)</f>
        <v>5</v>
      </c>
      <c r="W338" s="60">
        <f>IFERROR(__xludf.DUMMYFUNCTION("""COMPUTED_VALUE"""),45624.0)</f>
        <v>45624</v>
      </c>
      <c r="Z338" s="4"/>
      <c r="AC338" s="4"/>
      <c r="AF338" s="4"/>
    </row>
    <row r="339">
      <c r="A339" s="179"/>
      <c r="B339" s="180"/>
      <c r="C339" s="2"/>
      <c r="E339" s="181"/>
      <c r="F339" s="181"/>
      <c r="G339" s="2"/>
      <c r="I339" s="190"/>
      <c r="J339" s="190"/>
      <c r="K339" s="2"/>
      <c r="U339" s="59" t="str">
        <f>IFERROR(__xludf.DUMMYFUNCTION("""COMPUTED_VALUE"""),"Atlas Superflags")</f>
        <v>Atlas Superflags</v>
      </c>
      <c r="V339" s="4">
        <f>IFERROR(__xludf.DUMMYFUNCTION("""COMPUTED_VALUE"""),4.722222222222222)</f>
        <v>4.722222222</v>
      </c>
      <c r="W339" s="60">
        <f>IFERROR(__xludf.DUMMYFUNCTION("""COMPUTED_VALUE"""),45762.0)</f>
        <v>45762</v>
      </c>
      <c r="Z339" s="4"/>
      <c r="AC339" s="4"/>
      <c r="AF339" s="4"/>
    </row>
    <row r="340">
      <c r="A340" s="179"/>
      <c r="B340" s="180"/>
      <c r="C340" s="2"/>
      <c r="E340" s="181"/>
      <c r="F340" s="181"/>
      <c r="G340" s="2"/>
      <c r="I340" s="190"/>
      <c r="J340" s="190"/>
      <c r="K340" s="2"/>
      <c r="U340" s="59" t="str">
        <f>IFERROR(__xludf.DUMMYFUNCTION("""COMPUTED_VALUE"""),"Bobman Trading")</f>
        <v>Bobman Trading</v>
      </c>
      <c r="V340" s="4">
        <f>IFERROR(__xludf.DUMMYFUNCTION("""COMPUTED_VALUE"""),5.0)</f>
        <v>5</v>
      </c>
      <c r="W340" s="60">
        <f>IFERROR(__xludf.DUMMYFUNCTION("""COMPUTED_VALUE"""),45719.0)</f>
        <v>45719</v>
      </c>
      <c r="Z340" s="4"/>
      <c r="AC340" s="4"/>
      <c r="AF340" s="4"/>
    </row>
    <row r="341">
      <c r="A341" s="179"/>
      <c r="B341" s="180"/>
      <c r="C341" s="2"/>
      <c r="E341" s="181"/>
      <c r="F341" s="181"/>
      <c r="G341" s="2"/>
      <c r="I341" s="190"/>
      <c r="J341" s="190"/>
      <c r="K341" s="2"/>
      <c r="U341" s="59" t="str">
        <f>IFERROR(__xludf.DUMMYFUNCTION("""COMPUTED_VALUE"""),"Sprintec Printing Press, Inc.")</f>
        <v>Sprintec Printing Press, Inc.</v>
      </c>
      <c r="V341" s="4">
        <f>IFERROR(__xludf.DUMMYFUNCTION("""COMPUTED_VALUE"""),3.4166666666666665)</f>
        <v>3.416666667</v>
      </c>
      <c r="W341" s="60">
        <f>IFERROR(__xludf.DUMMYFUNCTION("""COMPUTED_VALUE"""),45613.0)</f>
        <v>45613</v>
      </c>
      <c r="Z341" s="4"/>
      <c r="AC341" s="4"/>
      <c r="AF341" s="4"/>
    </row>
    <row r="342">
      <c r="A342" s="179"/>
      <c r="B342" s="180"/>
      <c r="C342" s="2"/>
      <c r="E342" s="181"/>
      <c r="F342" s="181"/>
      <c r="G342" s="2"/>
      <c r="I342" s="190"/>
      <c r="J342" s="190"/>
      <c r="K342" s="2"/>
      <c r="U342" s="59" t="str">
        <f>IFERROR(__xludf.DUMMYFUNCTION("""COMPUTED_VALUE"""),"Golden Advance Marketing")</f>
        <v>Golden Advance Marketing</v>
      </c>
      <c r="V342" s="4">
        <f>IFERROR(__xludf.DUMMYFUNCTION("""COMPUTED_VALUE"""),4.763888888888889)</f>
        <v>4.763888889</v>
      </c>
      <c r="W342" s="60">
        <f>IFERROR(__xludf.DUMMYFUNCTION("""COMPUTED_VALUE"""),45806.0)</f>
        <v>45806</v>
      </c>
      <c r="Z342" s="4"/>
      <c r="AC342" s="4"/>
      <c r="AF342" s="4"/>
    </row>
    <row r="343">
      <c r="A343" s="179"/>
      <c r="B343" s="180"/>
      <c r="C343" s="2"/>
      <c r="E343" s="181"/>
      <c r="F343" s="181"/>
      <c r="G343" s="2"/>
      <c r="I343" s="190"/>
      <c r="J343" s="190"/>
      <c r="K343" s="2"/>
      <c r="U343" s="59" t="str">
        <f>IFERROR(__xludf.DUMMYFUNCTION("""COMPUTED_VALUE"""),"Multiflex RNC Philippines inc.")</f>
        <v>Multiflex RNC Philippines inc.</v>
      </c>
      <c r="V343" s="4">
        <f>IFERROR(__xludf.DUMMYFUNCTION("""COMPUTED_VALUE"""),4.958333333333333)</f>
        <v>4.958333333</v>
      </c>
      <c r="W343" s="60">
        <f>IFERROR(__xludf.DUMMYFUNCTION("""COMPUTED_VALUE"""),45810.0)</f>
        <v>45810</v>
      </c>
      <c r="Z343" s="4"/>
      <c r="AC343" s="4"/>
      <c r="AF343" s="4"/>
    </row>
    <row r="344">
      <c r="A344" s="179"/>
      <c r="B344" s="180"/>
      <c r="C344" s="2"/>
      <c r="E344" s="181"/>
      <c r="F344" s="181"/>
      <c r="G344" s="2"/>
      <c r="I344" s="190"/>
      <c r="J344" s="190"/>
      <c r="K344" s="2"/>
      <c r="U344" s="59" t="str">
        <f>IFERROR(__xludf.DUMMYFUNCTION("""COMPUTED_VALUE"""),"Multiflex RNC Philippines inc.")</f>
        <v>Multiflex RNC Philippines inc.</v>
      </c>
      <c r="V344" s="4">
        <f>IFERROR(__xludf.DUMMYFUNCTION("""COMPUTED_VALUE"""),4.958333333333333)</f>
        <v>4.958333333</v>
      </c>
      <c r="W344" s="60">
        <f>IFERROR(__xludf.DUMMYFUNCTION("""COMPUTED_VALUE"""),45810.0)</f>
        <v>45810</v>
      </c>
      <c r="Z344" s="4"/>
      <c r="AC344" s="4"/>
      <c r="AF344" s="4"/>
    </row>
    <row r="345">
      <c r="A345" s="179"/>
      <c r="B345" s="180"/>
      <c r="C345" s="2"/>
      <c r="E345" s="181"/>
      <c r="F345" s="181"/>
      <c r="G345" s="2"/>
      <c r="I345" s="190"/>
      <c r="J345" s="190"/>
      <c r="K345" s="2"/>
      <c r="U345" s="59" t="str">
        <f>IFERROR(__xludf.DUMMYFUNCTION("""COMPUTED_VALUE"""),"Rivchem Enterprises")</f>
        <v>Rivchem Enterprises</v>
      </c>
      <c r="V345" s="4">
        <f>IFERROR(__xludf.DUMMYFUNCTION("""COMPUTED_VALUE"""),4.738888888888889)</f>
        <v>4.738888889</v>
      </c>
      <c r="W345" s="60">
        <f>IFERROR(__xludf.DUMMYFUNCTION("""COMPUTED_VALUE"""),45807.0)</f>
        <v>45807</v>
      </c>
      <c r="Z345" s="4"/>
      <c r="AC345" s="4"/>
      <c r="AF345" s="4"/>
    </row>
    <row r="346">
      <c r="A346" s="179"/>
      <c r="B346" s="180"/>
      <c r="C346" s="2"/>
      <c r="E346" s="181"/>
      <c r="F346" s="181"/>
      <c r="G346" s="2"/>
      <c r="I346" s="190"/>
      <c r="J346" s="190"/>
      <c r="K346" s="2"/>
      <c r="U346" s="59" t="str">
        <f>IFERROR(__xludf.DUMMYFUNCTION("""COMPUTED_VALUE"""),"Rivchem Enterprises")</f>
        <v>Rivchem Enterprises</v>
      </c>
      <c r="V346" s="4">
        <f>IFERROR(__xludf.DUMMYFUNCTION("""COMPUTED_VALUE"""),4.738888888888889)</f>
        <v>4.738888889</v>
      </c>
      <c r="W346" s="60">
        <f>IFERROR(__xludf.DUMMYFUNCTION("""COMPUTED_VALUE"""),45807.0)</f>
        <v>45807</v>
      </c>
      <c r="Z346" s="4"/>
      <c r="AC346" s="4"/>
      <c r="AF346" s="4"/>
    </row>
    <row r="347">
      <c r="A347" s="179"/>
      <c r="B347" s="180"/>
      <c r="C347" s="2"/>
      <c r="E347" s="181"/>
      <c r="F347" s="181"/>
      <c r="G347" s="2"/>
      <c r="I347" s="190"/>
      <c r="J347" s="190"/>
      <c r="K347" s="2"/>
      <c r="U347" s="59" t="str">
        <f>IFERROR(__xludf.DUMMYFUNCTION("""COMPUTED_VALUE"""),"Hytec Power, Inc.")</f>
        <v>Hytec Power, Inc.</v>
      </c>
      <c r="V347" s="4">
        <f>IFERROR(__xludf.DUMMYFUNCTION("""COMPUTED_VALUE"""),3.8333333333333335)</f>
        <v>3.833333333</v>
      </c>
      <c r="W347" s="60">
        <f>IFERROR(__xludf.DUMMYFUNCTION("""COMPUTED_VALUE"""),45593.0)</f>
        <v>45593</v>
      </c>
      <c r="Z347" s="4"/>
      <c r="AC347" s="4"/>
      <c r="AF347" s="4"/>
    </row>
    <row r="348">
      <c r="A348" s="179"/>
      <c r="B348" s="180"/>
      <c r="C348" s="2"/>
      <c r="E348" s="181"/>
      <c r="F348" s="181"/>
      <c r="G348" s="2"/>
      <c r="I348" s="190"/>
      <c r="J348" s="190"/>
      <c r="K348" s="2"/>
      <c r="U348" s="59" t="str">
        <f>IFERROR(__xludf.DUMMYFUNCTION("""COMPUTED_VALUE"""),"Jassen Harris  Industries Corp.")</f>
        <v>Jassen Harris  Industries Corp.</v>
      </c>
      <c r="V348" s="4">
        <f>IFERROR(__xludf.DUMMYFUNCTION("""COMPUTED_VALUE"""),5.0)</f>
        <v>5</v>
      </c>
      <c r="W348" s="60">
        <f>IFERROR(__xludf.DUMMYFUNCTION("""COMPUTED_VALUE"""),45664.0)</f>
        <v>45664</v>
      </c>
      <c r="Z348" s="4"/>
      <c r="AC348" s="4"/>
      <c r="AF348" s="4"/>
    </row>
    <row r="349">
      <c r="A349" s="179"/>
      <c r="B349" s="180"/>
      <c r="C349" s="2"/>
      <c r="E349" s="181"/>
      <c r="F349" s="181"/>
      <c r="G349" s="2"/>
      <c r="I349" s="190"/>
      <c r="J349" s="190"/>
      <c r="K349" s="2"/>
      <c r="U349" s="59" t="str">
        <f>IFERROR(__xludf.DUMMYFUNCTION("""COMPUTED_VALUE"""),"Jassen Harris  Industries Corp.")</f>
        <v>Jassen Harris  Industries Corp.</v>
      </c>
      <c r="V349" s="4">
        <f>IFERROR(__xludf.DUMMYFUNCTION("""COMPUTED_VALUE"""),4.666666666666667)</f>
        <v>4.666666667</v>
      </c>
      <c r="W349" s="60">
        <f>IFERROR(__xludf.DUMMYFUNCTION("""COMPUTED_VALUE"""),45581.0)</f>
        <v>45581</v>
      </c>
      <c r="Z349" s="4"/>
      <c r="AC349" s="4"/>
      <c r="AF349" s="4"/>
    </row>
    <row r="350">
      <c r="A350" s="179"/>
      <c r="B350" s="180"/>
      <c r="C350" s="2"/>
      <c r="E350" s="181"/>
      <c r="F350" s="181"/>
      <c r="G350" s="2"/>
      <c r="I350" s="190"/>
      <c r="J350" s="190"/>
      <c r="K350" s="2"/>
      <c r="U350" s="59" t="str">
        <f>IFERROR(__xludf.DUMMYFUNCTION("""COMPUTED_VALUE"""),"Alpha-Cored Technology Systems, Inc.")</f>
        <v>Alpha-Cored Technology Systems, Inc.</v>
      </c>
      <c r="V350" s="4">
        <f>IFERROR(__xludf.DUMMYFUNCTION("""COMPUTED_VALUE"""),5.0)</f>
        <v>5</v>
      </c>
      <c r="W350" s="60">
        <f>IFERROR(__xludf.DUMMYFUNCTION("""COMPUTED_VALUE"""),45790.0)</f>
        <v>45790</v>
      </c>
      <c r="Z350" s="4"/>
      <c r="AC350" s="4"/>
      <c r="AF350" s="4"/>
    </row>
    <row r="351">
      <c r="A351" s="179"/>
      <c r="B351" s="180"/>
      <c r="C351" s="2"/>
      <c r="E351" s="181"/>
      <c r="F351" s="181"/>
      <c r="G351" s="2"/>
      <c r="I351" s="190"/>
      <c r="J351" s="190"/>
      <c r="K351" s="2"/>
      <c r="U351" s="59" t="str">
        <f>IFERROR(__xludf.DUMMYFUNCTION("""COMPUTED_VALUE"""),"Microsmith Technology System,Inc.")</f>
        <v>Microsmith Technology System,Inc.</v>
      </c>
      <c r="V351" s="4">
        <f>IFERROR(__xludf.DUMMYFUNCTION("""COMPUTED_VALUE"""),5.0)</f>
        <v>5</v>
      </c>
      <c r="W351" s="60">
        <f>IFERROR(__xludf.DUMMYFUNCTION("""COMPUTED_VALUE"""),45790.0)</f>
        <v>45790</v>
      </c>
      <c r="Z351" s="4"/>
      <c r="AC351" s="4"/>
      <c r="AF351" s="4"/>
    </row>
    <row r="352">
      <c r="A352" s="179"/>
      <c r="B352" s="180"/>
      <c r="C352" s="2"/>
      <c r="E352" s="181"/>
      <c r="F352" s="181"/>
      <c r="G352" s="2"/>
      <c r="I352" s="190"/>
      <c r="J352" s="190"/>
      <c r="K352" s="2"/>
      <c r="U352" s="59" t="str">
        <f>IFERROR(__xludf.DUMMYFUNCTION("""COMPUTED_VALUE"""),"Net Ad IT Solutions")</f>
        <v>Net Ad IT Solutions</v>
      </c>
      <c r="V352" s="4">
        <f>IFERROR(__xludf.DUMMYFUNCTION("""COMPUTED_VALUE"""),5.0)</f>
        <v>5</v>
      </c>
      <c r="W352" s="60">
        <f>IFERROR(__xludf.DUMMYFUNCTION("""COMPUTED_VALUE"""),45771.0)</f>
        <v>45771</v>
      </c>
      <c r="Z352" s="4"/>
      <c r="AC352" s="4"/>
      <c r="AF352" s="4"/>
    </row>
    <row r="353">
      <c r="A353" s="179"/>
      <c r="B353" s="180"/>
      <c r="C353" s="2"/>
      <c r="E353" s="181"/>
      <c r="F353" s="181"/>
      <c r="G353" s="2"/>
      <c r="I353" s="190"/>
      <c r="J353" s="190"/>
      <c r="K353" s="2"/>
      <c r="U353" s="59" t="str">
        <f>IFERROR(__xludf.DUMMYFUNCTION("""COMPUTED_VALUE"""),"Alpha-Cored Technology Systems, Inc.")</f>
        <v>Alpha-Cored Technology Systems, Inc.</v>
      </c>
      <c r="V353" s="4">
        <f>IFERROR(__xludf.DUMMYFUNCTION("""COMPUTED_VALUE"""),4.888888888888889)</f>
        <v>4.888888889</v>
      </c>
      <c r="W353" s="60">
        <f>IFERROR(__xludf.DUMMYFUNCTION("""COMPUTED_VALUE"""),45771.0)</f>
        <v>45771</v>
      </c>
      <c r="Z353" s="4"/>
      <c r="AC353" s="4"/>
      <c r="AF353" s="4"/>
    </row>
    <row r="354">
      <c r="A354" s="179"/>
      <c r="B354" s="180"/>
      <c r="C354" s="2"/>
      <c r="E354" s="181"/>
      <c r="F354" s="181"/>
      <c r="G354" s="2"/>
      <c r="I354" s="190"/>
      <c r="J354" s="190"/>
      <c r="K354" s="2"/>
      <c r="U354" s="59" t="str">
        <f>IFERROR(__xludf.DUMMYFUNCTION("""COMPUTED_VALUE"""),"Alpha-Cored Technology Systems, Inc.")</f>
        <v>Alpha-Cored Technology Systems, Inc.</v>
      </c>
      <c r="V354" s="4">
        <f>IFERROR(__xludf.DUMMYFUNCTION("""COMPUTED_VALUE"""),5.0)</f>
        <v>5</v>
      </c>
      <c r="W354" s="60">
        <f>IFERROR(__xludf.DUMMYFUNCTION("""COMPUTED_VALUE"""),45786.0)</f>
        <v>45786</v>
      </c>
      <c r="Z354" s="4"/>
      <c r="AC354" s="4"/>
      <c r="AF354" s="4"/>
    </row>
    <row r="355">
      <c r="A355" s="179"/>
      <c r="B355" s="180"/>
      <c r="C355" s="2"/>
      <c r="E355" s="181"/>
      <c r="F355" s="181"/>
      <c r="G355" s="2"/>
      <c r="I355" s="190"/>
      <c r="J355" s="190"/>
      <c r="K355" s="2"/>
      <c r="U355" s="59" t="str">
        <f>IFERROR(__xludf.DUMMYFUNCTION("""COMPUTED_VALUE"""),"Abenson Ventures, Inc.")</f>
        <v>Abenson Ventures, Inc.</v>
      </c>
      <c r="V355" s="4">
        <f>IFERROR(__xludf.DUMMYFUNCTION("""COMPUTED_VALUE"""),5.0)</f>
        <v>5</v>
      </c>
      <c r="W355" s="60">
        <f>IFERROR(__xludf.DUMMYFUNCTION("""COMPUTED_VALUE"""),45769.0)</f>
        <v>45769</v>
      </c>
      <c r="Z355" s="4"/>
      <c r="AC355" s="4"/>
      <c r="AF355" s="4"/>
    </row>
    <row r="356">
      <c r="A356" s="179"/>
      <c r="B356" s="180"/>
      <c r="C356" s="2"/>
      <c r="E356" s="181"/>
      <c r="F356" s="181"/>
      <c r="G356" s="2"/>
      <c r="I356" s="190"/>
      <c r="J356" s="190"/>
      <c r="K356" s="2"/>
      <c r="U356" s="59" t="str">
        <f>IFERROR(__xludf.DUMMYFUNCTION("""COMPUTED_VALUE"""),"Net Ad IT Solutions")</f>
        <v>Net Ad IT Solutions</v>
      </c>
      <c r="V356" s="4">
        <f>IFERROR(__xludf.DUMMYFUNCTION("""COMPUTED_VALUE"""),5.0)</f>
        <v>5</v>
      </c>
      <c r="W356" s="60">
        <f>IFERROR(__xludf.DUMMYFUNCTION("""COMPUTED_VALUE"""),45771.0)</f>
        <v>45771</v>
      </c>
      <c r="Z356" s="4"/>
      <c r="AC356" s="4"/>
      <c r="AF356" s="4"/>
    </row>
    <row r="357">
      <c r="A357" s="179"/>
      <c r="B357" s="180"/>
      <c r="C357" s="2"/>
      <c r="E357" s="181"/>
      <c r="F357" s="181"/>
      <c r="G357" s="2"/>
      <c r="I357" s="190"/>
      <c r="J357" s="190"/>
      <c r="K357" s="2"/>
      <c r="U357" s="59" t="str">
        <f>IFERROR(__xludf.DUMMYFUNCTION("""COMPUTED_VALUE"""),"Microsmith Technology System,Inc.")</f>
        <v>Microsmith Technology System,Inc.</v>
      </c>
      <c r="V357" s="4">
        <f>IFERROR(__xludf.DUMMYFUNCTION("""COMPUTED_VALUE"""),4.555555555555556)</f>
        <v>4.555555556</v>
      </c>
      <c r="W357" s="60">
        <f>IFERROR(__xludf.DUMMYFUNCTION("""COMPUTED_VALUE"""),45799.0)</f>
        <v>45799</v>
      </c>
      <c r="Z357" s="4"/>
      <c r="AC357" s="4"/>
      <c r="AF357" s="4"/>
    </row>
    <row r="358">
      <c r="A358" s="179"/>
      <c r="B358" s="180"/>
      <c r="C358" s="2"/>
      <c r="E358" s="181"/>
      <c r="F358" s="181"/>
      <c r="G358" s="2"/>
      <c r="I358" s="190"/>
      <c r="J358" s="190"/>
      <c r="K358" s="2"/>
      <c r="U358" s="59" t="str">
        <f>IFERROR(__xludf.DUMMYFUNCTION("""COMPUTED_VALUE"""),"Net Ad IT Solutions")</f>
        <v>Net Ad IT Solutions</v>
      </c>
      <c r="V358" s="4">
        <f>IFERROR(__xludf.DUMMYFUNCTION("""COMPUTED_VALUE"""),5.0)</f>
        <v>5</v>
      </c>
      <c r="W358" s="60">
        <f>IFERROR(__xludf.DUMMYFUNCTION("""COMPUTED_VALUE"""),45482.0)</f>
        <v>45482</v>
      </c>
      <c r="Z358" s="4"/>
      <c r="AC358" s="4"/>
      <c r="AF358" s="4"/>
    </row>
    <row r="359">
      <c r="A359" s="179"/>
      <c r="B359" s="180"/>
      <c r="C359" s="2"/>
      <c r="E359" s="181"/>
      <c r="F359" s="181"/>
      <c r="G359" s="2"/>
      <c r="I359" s="190"/>
      <c r="J359" s="190"/>
      <c r="K359" s="2"/>
      <c r="U359" s="59" t="str">
        <f>IFERROR(__xludf.DUMMYFUNCTION("""COMPUTED_VALUE"""),"Abenson Ventures, Inc.")</f>
        <v>Abenson Ventures, Inc.</v>
      </c>
      <c r="V359" s="4">
        <f>IFERROR(__xludf.DUMMYFUNCTION("""COMPUTED_VALUE"""),5.0)</f>
        <v>5</v>
      </c>
      <c r="W359" s="60">
        <f>IFERROR(__xludf.DUMMYFUNCTION("""COMPUTED_VALUE"""),45497.0)</f>
        <v>45497</v>
      </c>
      <c r="Z359" s="4"/>
      <c r="AC359" s="4"/>
      <c r="AF359" s="4"/>
    </row>
    <row r="360">
      <c r="A360" s="179"/>
      <c r="B360" s="180"/>
      <c r="C360" s="2"/>
      <c r="E360" s="181"/>
      <c r="F360" s="181"/>
      <c r="G360" s="2"/>
      <c r="I360" s="190"/>
      <c r="J360" s="190"/>
      <c r="K360" s="2"/>
      <c r="U360" s="59" t="str">
        <f>IFERROR(__xludf.DUMMYFUNCTION("""COMPUTED_VALUE"""),"Philippine Educational Theater Association, Inc.")</f>
        <v>Philippine Educational Theater Association, Inc.</v>
      </c>
      <c r="V360" s="4">
        <f>IFERROR(__xludf.DUMMYFUNCTION("""COMPUTED_VALUE"""),4.766666666666667)</f>
        <v>4.766666667</v>
      </c>
      <c r="W360" s="60">
        <f>IFERROR(__xludf.DUMMYFUNCTION("""COMPUTED_VALUE"""),45670.0)</f>
        <v>45670</v>
      </c>
      <c r="Z360" s="4"/>
      <c r="AC360" s="4"/>
      <c r="AF360" s="4"/>
    </row>
    <row r="361">
      <c r="A361" s="179"/>
      <c r="B361" s="180"/>
      <c r="C361" s="2"/>
      <c r="E361" s="181"/>
      <c r="F361" s="181"/>
      <c r="G361" s="2"/>
      <c r="I361" s="190"/>
      <c r="J361" s="190"/>
      <c r="K361" s="2"/>
      <c r="U361" s="59" t="str">
        <f>IFERROR(__xludf.DUMMYFUNCTION("""COMPUTED_VALUE"""),"Belview Co., Inc.")</f>
        <v>Belview Co., Inc.</v>
      </c>
      <c r="V361" s="4">
        <f>IFERROR(__xludf.DUMMYFUNCTION("""COMPUTED_VALUE"""),5.0)</f>
        <v>5</v>
      </c>
      <c r="W361" s="60">
        <f>IFERROR(__xludf.DUMMYFUNCTION("""COMPUTED_VALUE"""),45838.0)</f>
        <v>45838</v>
      </c>
      <c r="Z361" s="4"/>
      <c r="AC361" s="4"/>
      <c r="AF361" s="4"/>
    </row>
    <row r="362">
      <c r="A362" s="179"/>
      <c r="B362" s="180"/>
      <c r="C362" s="2"/>
      <c r="E362" s="181"/>
      <c r="F362" s="181"/>
      <c r="G362" s="2"/>
      <c r="I362" s="190"/>
      <c r="J362" s="190"/>
      <c r="K362" s="2"/>
      <c r="U362" s="59" t="str">
        <f>IFERROR(__xludf.DUMMYFUNCTION("""COMPUTED_VALUE"""),"Belview Co., Inc.")</f>
        <v>Belview Co., Inc.</v>
      </c>
      <c r="V362" s="4">
        <f>IFERROR(__xludf.DUMMYFUNCTION("""COMPUTED_VALUE"""),5.0)</f>
        <v>5</v>
      </c>
      <c r="W362" s="60">
        <f>IFERROR(__xludf.DUMMYFUNCTION("""COMPUTED_VALUE"""),45834.0)</f>
        <v>45834</v>
      </c>
      <c r="Z362" s="4"/>
      <c r="AC362" s="4"/>
      <c r="AF362" s="4"/>
    </row>
    <row r="363">
      <c r="A363" s="179"/>
      <c r="B363" s="180"/>
      <c r="C363" s="2"/>
      <c r="E363" s="181"/>
      <c r="F363" s="181"/>
      <c r="G363" s="2"/>
      <c r="I363" s="190"/>
      <c r="J363" s="190"/>
      <c r="K363" s="2"/>
      <c r="U363" s="59" t="str">
        <f>IFERROR(__xludf.DUMMYFUNCTION("""COMPUTED_VALUE"""),"Printing Shop PrintPilipinas.com")</f>
        <v>Printing Shop PrintPilipinas.com</v>
      </c>
      <c r="V363" s="4">
        <f>IFERROR(__xludf.DUMMYFUNCTION("""COMPUTED_VALUE"""),4.993333333333333)</f>
        <v>4.993333333</v>
      </c>
      <c r="W363" s="60">
        <f>IFERROR(__xludf.DUMMYFUNCTION("""COMPUTED_VALUE"""),45670.0)</f>
        <v>45670</v>
      </c>
      <c r="Z363" s="4"/>
      <c r="AC363" s="4"/>
      <c r="AF363" s="4"/>
    </row>
    <row r="364">
      <c r="A364" s="179"/>
      <c r="B364" s="180"/>
      <c r="C364" s="2"/>
      <c r="E364" s="181"/>
      <c r="F364" s="181"/>
      <c r="G364" s="2"/>
      <c r="I364" s="190"/>
      <c r="J364" s="190"/>
      <c r="K364" s="2"/>
      <c r="U364" s="59" t="str">
        <f>IFERROR(__xludf.DUMMYFUNCTION("""COMPUTED_VALUE"""),"Microsmith Technology System,Inc.")</f>
        <v>Microsmith Technology System,Inc.</v>
      </c>
      <c r="V364" s="4">
        <f>IFERROR(__xludf.DUMMYFUNCTION("""COMPUTED_VALUE"""),5.0)</f>
        <v>5</v>
      </c>
      <c r="W364" s="60">
        <f>IFERROR(__xludf.DUMMYFUNCTION("""COMPUTED_VALUE"""),45513.0)</f>
        <v>45513</v>
      </c>
      <c r="Z364" s="4"/>
      <c r="AC364" s="4"/>
      <c r="AF364" s="4"/>
    </row>
    <row r="365">
      <c r="A365" s="179"/>
      <c r="B365" s="180"/>
      <c r="C365" s="2"/>
      <c r="E365" s="181"/>
      <c r="F365" s="181"/>
      <c r="G365" s="2"/>
      <c r="I365" s="190"/>
      <c r="J365" s="190"/>
      <c r="K365" s="2"/>
      <c r="U365" s="59" t="str">
        <f>IFERROR(__xludf.DUMMYFUNCTION("""COMPUTED_VALUE"""),"Palces Manufacturing, Inc.")</f>
        <v>Palces Manufacturing, Inc.</v>
      </c>
      <c r="V365" s="4">
        <f>IFERROR(__xludf.DUMMYFUNCTION("""COMPUTED_VALUE"""),4.933333333333334)</f>
        <v>4.933333333</v>
      </c>
      <c r="W365" s="60">
        <f>IFERROR(__xludf.DUMMYFUNCTION("""COMPUTED_VALUE"""),45819.0)</f>
        <v>45819</v>
      </c>
      <c r="Z365" s="4"/>
      <c r="AC365" s="4"/>
      <c r="AF365" s="4"/>
    </row>
    <row r="366">
      <c r="A366" s="179"/>
      <c r="B366" s="180"/>
      <c r="C366" s="2"/>
      <c r="E366" s="181"/>
      <c r="F366" s="181"/>
      <c r="G366" s="2"/>
      <c r="I366" s="190"/>
      <c r="J366" s="190"/>
      <c r="K366" s="2"/>
      <c r="U366" s="59" t="str">
        <f>IFERROR(__xludf.DUMMYFUNCTION("""COMPUTED_VALUE"""),"Chemtrust Global Market, Inc.")</f>
        <v>Chemtrust Global Market, Inc.</v>
      </c>
      <c r="V366" s="4">
        <f>IFERROR(__xludf.DUMMYFUNCTION("""COMPUTED_VALUE"""),4.802777777777778)</f>
        <v>4.802777778</v>
      </c>
      <c r="W366" s="60">
        <f>IFERROR(__xludf.DUMMYFUNCTION("""COMPUTED_VALUE"""),45737.0)</f>
        <v>45737</v>
      </c>
      <c r="Z366" s="4"/>
      <c r="AC366" s="4"/>
      <c r="AF366" s="4"/>
    </row>
    <row r="367">
      <c r="A367" s="179"/>
      <c r="B367" s="180"/>
      <c r="C367" s="2"/>
      <c r="E367" s="181"/>
      <c r="F367" s="181"/>
      <c r="G367" s="2"/>
      <c r="I367" s="190"/>
      <c r="J367" s="190"/>
      <c r="K367" s="2"/>
      <c r="U367" s="59" t="str">
        <f>IFERROR(__xludf.DUMMYFUNCTION("""COMPUTED_VALUE"""),"Wilcon Depot Inc.")</f>
        <v>Wilcon Depot Inc.</v>
      </c>
      <c r="V367" s="4">
        <f>IFERROR(__xludf.DUMMYFUNCTION("""COMPUTED_VALUE"""),4.366666666666666)</f>
        <v>4.366666667</v>
      </c>
      <c r="W367" s="60">
        <f>IFERROR(__xludf.DUMMYFUNCTION("""COMPUTED_VALUE"""),45778.0)</f>
        <v>45778</v>
      </c>
      <c r="Z367" s="4"/>
      <c r="AC367" s="4"/>
      <c r="AF367" s="4"/>
    </row>
    <row r="368">
      <c r="A368" s="179"/>
      <c r="B368" s="180"/>
      <c r="C368" s="2"/>
      <c r="E368" s="181"/>
      <c r="F368" s="181"/>
      <c r="G368" s="2"/>
      <c r="I368" s="190"/>
      <c r="J368" s="190"/>
      <c r="K368" s="2"/>
      <c r="U368" s="59" t="str">
        <f>IFERROR(__xludf.DUMMYFUNCTION("""COMPUTED_VALUE"""),"Arkin Hardware")</f>
        <v>Arkin Hardware</v>
      </c>
      <c r="V368" s="4">
        <f>IFERROR(__xludf.DUMMYFUNCTION("""COMPUTED_VALUE"""),4.966666666666667)</f>
        <v>4.966666667</v>
      </c>
      <c r="W368" s="60">
        <f>IFERROR(__xludf.DUMMYFUNCTION("""COMPUTED_VALUE"""),45778.0)</f>
        <v>45778</v>
      </c>
      <c r="Z368" s="4"/>
      <c r="AC368" s="4"/>
      <c r="AF368" s="4"/>
    </row>
    <row r="369">
      <c r="A369" s="179"/>
      <c r="B369" s="180"/>
      <c r="C369" s="2"/>
      <c r="E369" s="181"/>
      <c r="F369" s="181"/>
      <c r="G369" s="2"/>
      <c r="I369" s="190"/>
      <c r="J369" s="190"/>
      <c r="K369" s="2"/>
      <c r="U369" s="59" t="str">
        <f>IFERROR(__xludf.DUMMYFUNCTION("""COMPUTED_VALUE"""),"Arkin Hardware")</f>
        <v>Arkin Hardware</v>
      </c>
      <c r="V369" s="4">
        <f>IFERROR(__xludf.DUMMYFUNCTION("""COMPUTED_VALUE"""),4.958333333333333)</f>
        <v>4.958333333</v>
      </c>
      <c r="W369" s="60">
        <f>IFERROR(__xludf.DUMMYFUNCTION("""COMPUTED_VALUE"""),45801.0)</f>
        <v>45801</v>
      </c>
      <c r="Z369" s="4"/>
      <c r="AC369" s="4"/>
      <c r="AF369" s="4"/>
    </row>
    <row r="370">
      <c r="A370" s="179"/>
      <c r="B370" s="180"/>
      <c r="C370" s="2"/>
      <c r="E370" s="181"/>
      <c r="F370" s="181"/>
      <c r="G370" s="2"/>
      <c r="I370" s="190"/>
      <c r="J370" s="190"/>
      <c r="K370" s="2"/>
      <c r="U370" s="59" t="str">
        <f>IFERROR(__xludf.DUMMYFUNCTION("""COMPUTED_VALUE"""),"Wilcon Depot Inc.")</f>
        <v>Wilcon Depot Inc.</v>
      </c>
      <c r="V370" s="4">
        <f>IFERROR(__xludf.DUMMYFUNCTION("""COMPUTED_VALUE"""),4.2)</f>
        <v>4.2</v>
      </c>
      <c r="W370" s="60">
        <f>IFERROR(__xludf.DUMMYFUNCTION("""COMPUTED_VALUE"""),45826.0)</f>
        <v>45826</v>
      </c>
      <c r="Z370" s="4"/>
      <c r="AC370" s="4"/>
      <c r="AF370" s="4"/>
    </row>
    <row r="371">
      <c r="A371" s="179"/>
      <c r="B371" s="180"/>
      <c r="C371" s="2"/>
      <c r="E371" s="181"/>
      <c r="F371" s="181"/>
      <c r="G371" s="2"/>
      <c r="I371" s="190"/>
      <c r="J371" s="190"/>
      <c r="K371" s="2"/>
      <c r="U371" s="59" t="str">
        <f>IFERROR(__xludf.DUMMYFUNCTION("""COMPUTED_VALUE"""),"Arkin Hardware")</f>
        <v>Arkin Hardware</v>
      </c>
      <c r="V371" s="4">
        <f>IFERROR(__xludf.DUMMYFUNCTION("""COMPUTED_VALUE"""),4.966666666666667)</f>
        <v>4.966666667</v>
      </c>
      <c r="W371" s="60">
        <f>IFERROR(__xludf.DUMMYFUNCTION("""COMPUTED_VALUE"""),45778.0)</f>
        <v>45778</v>
      </c>
      <c r="Z371" s="4"/>
      <c r="AC371" s="4"/>
      <c r="AF371" s="4"/>
    </row>
    <row r="372">
      <c r="A372" s="179"/>
      <c r="B372" s="180"/>
      <c r="C372" s="2"/>
      <c r="E372" s="181"/>
      <c r="F372" s="181"/>
      <c r="G372" s="2"/>
      <c r="I372" s="190"/>
      <c r="J372" s="190"/>
      <c r="K372" s="2"/>
      <c r="U372" s="59" t="str">
        <f>IFERROR(__xludf.DUMMYFUNCTION("""COMPUTED_VALUE"""),"Wilcon Depot Inc.")</f>
        <v>Wilcon Depot Inc.</v>
      </c>
      <c r="V372" s="4">
        <f>IFERROR(__xludf.DUMMYFUNCTION("""COMPUTED_VALUE"""),4.377777777777777)</f>
        <v>4.377777778</v>
      </c>
      <c r="W372" s="60">
        <f>IFERROR(__xludf.DUMMYFUNCTION("""COMPUTED_VALUE"""),45832.0)</f>
        <v>45832</v>
      </c>
      <c r="Z372" s="4"/>
      <c r="AC372" s="4"/>
      <c r="AF372" s="4"/>
    </row>
    <row r="373">
      <c r="A373" s="179"/>
      <c r="B373" s="180"/>
      <c r="C373" s="2"/>
      <c r="E373" s="181"/>
      <c r="F373" s="181"/>
      <c r="G373" s="2"/>
      <c r="I373" s="190"/>
      <c r="J373" s="190"/>
      <c r="K373" s="2"/>
      <c r="U373" s="59" t="str">
        <f>IFERROR(__xludf.DUMMYFUNCTION("""COMPUTED_VALUE"""),"Creative Juice Digital Printing")</f>
        <v>Creative Juice Digital Printing</v>
      </c>
      <c r="V373" s="4">
        <f>IFERROR(__xludf.DUMMYFUNCTION("""COMPUTED_VALUE"""),4.8)</f>
        <v>4.8</v>
      </c>
      <c r="W373" s="60">
        <f>IFERROR(__xludf.DUMMYFUNCTION("""COMPUTED_VALUE"""),45585.0)</f>
        <v>45585</v>
      </c>
      <c r="Z373" s="4"/>
      <c r="AC373" s="4"/>
      <c r="AF373" s="4"/>
    </row>
    <row r="374">
      <c r="A374" s="179"/>
      <c r="B374" s="180"/>
      <c r="C374" s="2"/>
      <c r="E374" s="181"/>
      <c r="F374" s="181"/>
      <c r="G374" s="2"/>
      <c r="I374" s="190"/>
      <c r="J374" s="190"/>
      <c r="K374" s="2"/>
      <c r="U374" s="59" t="str">
        <f>IFERROR(__xludf.DUMMYFUNCTION("""COMPUTED_VALUE"""),"Belview Co., Inc.")</f>
        <v>Belview Co., Inc.</v>
      </c>
      <c r="V374" s="4">
        <f>IFERROR(__xludf.DUMMYFUNCTION("""COMPUTED_VALUE"""),4.833333333333333)</f>
        <v>4.833333333</v>
      </c>
      <c r="W374" s="60">
        <f>IFERROR(__xludf.DUMMYFUNCTION("""COMPUTED_VALUE"""),45838.0)</f>
        <v>45838</v>
      </c>
      <c r="Z374" s="4"/>
      <c r="AC374" s="4"/>
      <c r="AF374" s="4"/>
    </row>
    <row r="375">
      <c r="A375" s="179"/>
      <c r="B375" s="180"/>
      <c r="C375" s="2"/>
      <c r="E375" s="181"/>
      <c r="F375" s="181"/>
      <c r="G375" s="2"/>
      <c r="I375" s="190"/>
      <c r="J375" s="190"/>
      <c r="K375" s="2"/>
      <c r="U375" s="59" t="str">
        <f>IFERROR(__xludf.DUMMYFUNCTION("""COMPUTED_VALUE"""),"Manos Allied Corporation")</f>
        <v>Manos Allied Corporation</v>
      </c>
      <c r="V375" s="4">
        <f>IFERROR(__xludf.DUMMYFUNCTION("""COMPUTED_VALUE"""),4.933333333333334)</f>
        <v>4.933333333</v>
      </c>
      <c r="W375" s="60">
        <f>IFERROR(__xludf.DUMMYFUNCTION("""COMPUTED_VALUE"""),45683.0)</f>
        <v>45683</v>
      </c>
      <c r="Z375" s="4"/>
      <c r="AC375" s="4"/>
      <c r="AF375" s="4"/>
    </row>
    <row r="376">
      <c r="A376" s="179"/>
      <c r="B376" s="180"/>
      <c r="C376" s="2"/>
      <c r="E376" s="181"/>
      <c r="F376" s="181"/>
      <c r="G376" s="2"/>
      <c r="I376" s="190"/>
      <c r="J376" s="190"/>
      <c r="K376" s="2"/>
      <c r="U376" s="59" t="str">
        <f>IFERROR(__xludf.DUMMYFUNCTION("""COMPUTED_VALUE"""),"Net Ad IT Solutions")</f>
        <v>Net Ad IT Solutions</v>
      </c>
      <c r="V376" s="4">
        <f>IFERROR(__xludf.DUMMYFUNCTION("""COMPUTED_VALUE"""),5.0)</f>
        <v>5</v>
      </c>
      <c r="W376" s="60">
        <f>IFERROR(__xludf.DUMMYFUNCTION("""COMPUTED_VALUE"""),45798.0)</f>
        <v>45798</v>
      </c>
      <c r="Z376" s="4"/>
      <c r="AC376" s="4"/>
      <c r="AF376" s="4"/>
    </row>
    <row r="377">
      <c r="A377" s="179"/>
      <c r="B377" s="180"/>
      <c r="C377" s="2"/>
      <c r="E377" s="181"/>
      <c r="F377" s="181"/>
      <c r="G377" s="2"/>
      <c r="I377" s="190"/>
      <c r="J377" s="190"/>
      <c r="K377" s="2"/>
      <c r="U377" s="59" t="str">
        <f>IFERROR(__xludf.DUMMYFUNCTION("""COMPUTED_VALUE"""),"Belview Co., Inc.")</f>
        <v>Belview Co., Inc.</v>
      </c>
      <c r="V377" s="4">
        <f>IFERROR(__xludf.DUMMYFUNCTION("""COMPUTED_VALUE"""),5.0)</f>
        <v>5</v>
      </c>
      <c r="W377" s="60">
        <f>IFERROR(__xludf.DUMMYFUNCTION("""COMPUTED_VALUE"""),45838.0)</f>
        <v>45838</v>
      </c>
      <c r="Z377" s="4"/>
      <c r="AC377" s="4"/>
      <c r="AF377" s="4"/>
    </row>
    <row r="378">
      <c r="A378" s="179"/>
      <c r="B378" s="180"/>
      <c r="C378" s="2"/>
      <c r="E378" s="181"/>
      <c r="F378" s="181"/>
      <c r="G378" s="2"/>
      <c r="I378" s="190"/>
      <c r="J378" s="190"/>
      <c r="K378" s="2"/>
      <c r="U378" s="59" t="str">
        <f>IFERROR(__xludf.DUMMYFUNCTION("""COMPUTED_VALUE"""),"Belview Co., Inc.")</f>
        <v>Belview Co., Inc.</v>
      </c>
      <c r="V378" s="4">
        <f>IFERROR(__xludf.DUMMYFUNCTION("""COMPUTED_VALUE"""),5.0)</f>
        <v>5</v>
      </c>
      <c r="W378" s="60">
        <f>IFERROR(__xludf.DUMMYFUNCTION("""COMPUTED_VALUE"""),45833.0)</f>
        <v>45833</v>
      </c>
      <c r="Z378" s="4"/>
      <c r="AC378" s="4"/>
      <c r="AF378" s="4"/>
    </row>
    <row r="379">
      <c r="A379" s="179"/>
      <c r="B379" s="180"/>
      <c r="C379" s="2"/>
      <c r="E379" s="181"/>
      <c r="F379" s="181"/>
      <c r="G379" s="2"/>
      <c r="I379" s="190"/>
      <c r="J379" s="190"/>
      <c r="K379" s="2"/>
      <c r="U379" s="59" t="str">
        <f>IFERROR(__xludf.DUMMYFUNCTION("""COMPUTED_VALUE"""),"Belview Co., Inc.")</f>
        <v>Belview Co., Inc.</v>
      </c>
      <c r="V379" s="4">
        <f>IFERROR(__xludf.DUMMYFUNCTION("""COMPUTED_VALUE"""),5.0)</f>
        <v>5</v>
      </c>
      <c r="W379" s="60">
        <f>IFERROR(__xludf.DUMMYFUNCTION("""COMPUTED_VALUE"""),45833.0)</f>
        <v>45833</v>
      </c>
      <c r="Z379" s="4"/>
      <c r="AC379" s="4"/>
      <c r="AF379" s="4"/>
    </row>
    <row r="380">
      <c r="A380" s="179"/>
      <c r="B380" s="180"/>
      <c r="C380" s="2"/>
      <c r="E380" s="181"/>
      <c r="F380" s="181"/>
      <c r="G380" s="2"/>
      <c r="I380" s="190"/>
      <c r="J380" s="190"/>
      <c r="K380" s="2"/>
      <c r="U380" s="59" t="str">
        <f>IFERROR(__xludf.DUMMYFUNCTION("""COMPUTED_VALUE"""),"Belview Co., Inc.")</f>
        <v>Belview Co., Inc.</v>
      </c>
      <c r="V380" s="4">
        <f>IFERROR(__xludf.DUMMYFUNCTION("""COMPUTED_VALUE"""),5.0)</f>
        <v>5</v>
      </c>
      <c r="W380" s="60">
        <f>IFERROR(__xludf.DUMMYFUNCTION("""COMPUTED_VALUE"""),45834.0)</f>
        <v>45834</v>
      </c>
      <c r="Z380" s="4"/>
      <c r="AC380" s="4"/>
      <c r="AF380" s="4"/>
    </row>
    <row r="381">
      <c r="A381" s="179"/>
      <c r="B381" s="180"/>
      <c r="C381" s="2"/>
      <c r="E381" s="181"/>
      <c r="F381" s="181"/>
      <c r="G381" s="2"/>
      <c r="I381" s="190"/>
      <c r="J381" s="190"/>
      <c r="K381" s="2"/>
      <c r="U381" s="59" t="str">
        <f>IFERROR(__xludf.DUMMYFUNCTION("""COMPUTED_VALUE"""),"Belview Co., Inc.")</f>
        <v>Belview Co., Inc.</v>
      </c>
      <c r="V381" s="4">
        <f>IFERROR(__xludf.DUMMYFUNCTION("""COMPUTED_VALUE"""),5.0)</f>
        <v>5</v>
      </c>
      <c r="W381" s="60">
        <f>IFERROR(__xludf.DUMMYFUNCTION("""COMPUTED_VALUE"""),45834.0)</f>
        <v>45834</v>
      </c>
      <c r="Z381" s="4"/>
      <c r="AC381" s="4"/>
      <c r="AF381" s="4"/>
    </row>
    <row r="382">
      <c r="A382" s="179"/>
      <c r="B382" s="180"/>
      <c r="C382" s="2"/>
      <c r="E382" s="181"/>
      <c r="F382" s="181"/>
      <c r="G382" s="2"/>
      <c r="I382" s="190"/>
      <c r="J382" s="190"/>
      <c r="K382" s="2"/>
      <c r="U382" s="59" t="str">
        <f>IFERROR(__xludf.DUMMYFUNCTION("""COMPUTED_VALUE"""),"Belview Co., Inc.")</f>
        <v>Belview Co., Inc.</v>
      </c>
      <c r="V382" s="4">
        <f>IFERROR(__xludf.DUMMYFUNCTION("""COMPUTED_VALUE"""),5.0)</f>
        <v>5</v>
      </c>
      <c r="W382" s="60">
        <f>IFERROR(__xludf.DUMMYFUNCTION("""COMPUTED_VALUE"""),45834.0)</f>
        <v>45834</v>
      </c>
      <c r="Z382" s="4"/>
      <c r="AC382" s="4"/>
      <c r="AF382" s="4"/>
    </row>
    <row r="383">
      <c r="A383" s="179"/>
      <c r="B383" s="180"/>
      <c r="C383" s="2"/>
      <c r="E383" s="181"/>
      <c r="F383" s="181"/>
      <c r="G383" s="2"/>
      <c r="I383" s="190"/>
      <c r="J383" s="190"/>
      <c r="K383" s="2"/>
      <c r="U383" s="59" t="str">
        <f>IFERROR(__xludf.DUMMYFUNCTION("""COMPUTED_VALUE"""),"Belview Co., Inc.")</f>
        <v>Belview Co., Inc.</v>
      </c>
      <c r="V383" s="4">
        <f>IFERROR(__xludf.DUMMYFUNCTION("""COMPUTED_VALUE"""),5.0)</f>
        <v>5</v>
      </c>
      <c r="W383" s="60">
        <f>IFERROR(__xludf.DUMMYFUNCTION("""COMPUTED_VALUE"""),45833.0)</f>
        <v>45833</v>
      </c>
      <c r="Z383" s="4"/>
      <c r="AC383" s="4"/>
      <c r="AF383" s="4"/>
    </row>
    <row r="384">
      <c r="A384" s="179"/>
      <c r="B384" s="180"/>
      <c r="C384" s="2"/>
      <c r="E384" s="181"/>
      <c r="F384" s="181"/>
      <c r="G384" s="2"/>
      <c r="I384" s="190"/>
      <c r="J384" s="190"/>
      <c r="K384" s="2"/>
      <c r="U384" s="59" t="str">
        <f>IFERROR(__xludf.DUMMYFUNCTION("""COMPUTED_VALUE"""),"Belview Co., Inc.")</f>
        <v>Belview Co., Inc.</v>
      </c>
      <c r="V384" s="4">
        <f>IFERROR(__xludf.DUMMYFUNCTION("""COMPUTED_VALUE"""),5.0)</f>
        <v>5</v>
      </c>
      <c r="W384" s="60">
        <f>IFERROR(__xludf.DUMMYFUNCTION("""COMPUTED_VALUE"""),45833.0)</f>
        <v>45833</v>
      </c>
      <c r="Z384" s="4"/>
      <c r="AC384" s="4"/>
      <c r="AF384" s="4"/>
    </row>
    <row r="385">
      <c r="A385" s="179"/>
      <c r="B385" s="180"/>
      <c r="C385" s="2"/>
      <c r="E385" s="181"/>
      <c r="F385" s="181"/>
      <c r="G385" s="2"/>
      <c r="I385" s="190"/>
      <c r="J385" s="190"/>
      <c r="K385" s="2"/>
      <c r="U385" s="59" t="str">
        <f>IFERROR(__xludf.DUMMYFUNCTION("""COMPUTED_VALUE"""),"Belview Co., Inc.")</f>
        <v>Belview Co., Inc.</v>
      </c>
      <c r="V385" s="4">
        <f>IFERROR(__xludf.DUMMYFUNCTION("""COMPUTED_VALUE"""),5.0)</f>
        <v>5</v>
      </c>
      <c r="W385" s="60">
        <f>IFERROR(__xludf.DUMMYFUNCTION("""COMPUTED_VALUE"""),45834.0)</f>
        <v>45834</v>
      </c>
      <c r="Z385" s="4"/>
      <c r="AC385" s="4"/>
      <c r="AF385" s="4"/>
    </row>
    <row r="386">
      <c r="A386" s="179"/>
      <c r="B386" s="180"/>
      <c r="C386" s="2"/>
      <c r="E386" s="181"/>
      <c r="F386" s="181"/>
      <c r="G386" s="2"/>
      <c r="I386" s="190"/>
      <c r="J386" s="190"/>
      <c r="K386" s="2"/>
      <c r="U386" s="59" t="str">
        <f>IFERROR(__xludf.DUMMYFUNCTION("""COMPUTED_VALUE"""),"Belview Co., Inc.")</f>
        <v>Belview Co., Inc.</v>
      </c>
      <c r="V386" s="4">
        <f>IFERROR(__xludf.DUMMYFUNCTION("""COMPUTED_VALUE"""),5.0)</f>
        <v>5</v>
      </c>
      <c r="W386" s="60">
        <f>IFERROR(__xludf.DUMMYFUNCTION("""COMPUTED_VALUE"""),45833.0)</f>
        <v>45833</v>
      </c>
      <c r="Z386" s="4"/>
      <c r="AC386" s="4"/>
      <c r="AF386" s="4"/>
    </row>
    <row r="387">
      <c r="A387" s="179"/>
      <c r="B387" s="180"/>
      <c r="C387" s="2"/>
      <c r="E387" s="181"/>
      <c r="F387" s="181"/>
      <c r="G387" s="2"/>
      <c r="I387" s="190"/>
      <c r="J387" s="190"/>
      <c r="K387" s="2"/>
      <c r="U387" s="59" t="str">
        <f>IFERROR(__xludf.DUMMYFUNCTION("""COMPUTED_VALUE"""),"Belview Co., Inc.")</f>
        <v>Belview Co., Inc.</v>
      </c>
      <c r="V387" s="4">
        <f>IFERROR(__xludf.DUMMYFUNCTION("""COMPUTED_VALUE"""),5.0)</f>
        <v>5</v>
      </c>
      <c r="W387" s="60">
        <f>IFERROR(__xludf.DUMMYFUNCTION("""COMPUTED_VALUE"""),45838.0)</f>
        <v>45838</v>
      </c>
      <c r="Z387" s="4"/>
      <c r="AC387" s="4"/>
      <c r="AF387" s="4"/>
    </row>
    <row r="388">
      <c r="A388" s="179"/>
      <c r="B388" s="180"/>
      <c r="C388" s="2"/>
      <c r="E388" s="181"/>
      <c r="F388" s="181"/>
      <c r="G388" s="2"/>
      <c r="I388" s="190"/>
      <c r="J388" s="190"/>
      <c r="K388" s="2"/>
      <c r="U388" s="59" t="str">
        <f>IFERROR(__xludf.DUMMYFUNCTION("""COMPUTED_VALUE"""),"Belview Co., Inc.")</f>
        <v>Belview Co., Inc.</v>
      </c>
      <c r="V388" s="4">
        <f>IFERROR(__xludf.DUMMYFUNCTION("""COMPUTED_VALUE"""),5.0)</f>
        <v>5</v>
      </c>
      <c r="W388" s="60">
        <f>IFERROR(__xludf.DUMMYFUNCTION("""COMPUTED_VALUE"""),45838.0)</f>
        <v>45838</v>
      </c>
      <c r="Z388" s="4"/>
      <c r="AC388" s="4"/>
      <c r="AF388" s="4"/>
    </row>
    <row r="389">
      <c r="A389" s="179"/>
      <c r="B389" s="180"/>
      <c r="C389" s="2"/>
      <c r="E389" s="181"/>
      <c r="F389" s="181"/>
      <c r="G389" s="2"/>
      <c r="I389" s="190"/>
      <c r="J389" s="190"/>
      <c r="K389" s="2"/>
      <c r="U389" s="59" t="str">
        <f>IFERROR(__xludf.DUMMYFUNCTION("""COMPUTED_VALUE"""),"Microsmith Technology System,Inc.")</f>
        <v>Microsmith Technology System,Inc.</v>
      </c>
      <c r="V389" s="4">
        <f>IFERROR(__xludf.DUMMYFUNCTION("""COMPUTED_VALUE"""),5.0)</f>
        <v>5</v>
      </c>
      <c r="W389" s="60">
        <f>IFERROR(__xludf.DUMMYFUNCTION("""COMPUTED_VALUE"""),45835.0)</f>
        <v>45835</v>
      </c>
      <c r="Z389" s="4"/>
      <c r="AC389" s="4"/>
      <c r="AF389" s="4"/>
    </row>
    <row r="390">
      <c r="A390" s="179"/>
      <c r="B390" s="180"/>
      <c r="C390" s="2"/>
      <c r="E390" s="181"/>
      <c r="F390" s="181"/>
      <c r="G390" s="2"/>
      <c r="I390" s="190"/>
      <c r="J390" s="190"/>
      <c r="K390" s="2"/>
      <c r="U390" s="59" t="str">
        <f>IFERROR(__xludf.DUMMYFUNCTION("""COMPUTED_VALUE"""),"Belview Co., Inc.")</f>
        <v>Belview Co., Inc.</v>
      </c>
      <c r="V390" s="4">
        <f>IFERROR(__xludf.DUMMYFUNCTION("""COMPUTED_VALUE"""),5.0)</f>
        <v>5</v>
      </c>
      <c r="W390" s="60">
        <f>IFERROR(__xludf.DUMMYFUNCTION("""COMPUTED_VALUE"""),45838.0)</f>
        <v>45838</v>
      </c>
      <c r="Z390" s="4"/>
      <c r="AC390" s="4"/>
      <c r="AF390" s="4"/>
    </row>
    <row r="391">
      <c r="A391" s="179"/>
      <c r="B391" s="180"/>
      <c r="C391" s="2"/>
      <c r="E391" s="181"/>
      <c r="F391" s="181"/>
      <c r="G391" s="2"/>
      <c r="I391" s="190"/>
      <c r="J391" s="190"/>
      <c r="K391" s="2"/>
      <c r="U391" s="59" t="str">
        <f>IFERROR(__xludf.DUMMYFUNCTION("""COMPUTED_VALUE"""),"Belview Co., Inc.")</f>
        <v>Belview Co., Inc.</v>
      </c>
      <c r="V391" s="4">
        <f>IFERROR(__xludf.DUMMYFUNCTION("""COMPUTED_VALUE"""),5.0)</f>
        <v>5</v>
      </c>
      <c r="W391" s="60">
        <f>IFERROR(__xludf.DUMMYFUNCTION("""COMPUTED_VALUE"""),45838.0)</f>
        <v>45838</v>
      </c>
      <c r="Z391" s="4"/>
      <c r="AC391" s="4"/>
      <c r="AF391" s="4"/>
    </row>
    <row r="392">
      <c r="A392" s="179"/>
      <c r="B392" s="180"/>
      <c r="C392" s="2"/>
      <c r="E392" s="181"/>
      <c r="F392" s="181"/>
      <c r="G392" s="2"/>
      <c r="I392" s="190"/>
      <c r="J392" s="190"/>
      <c r="K392" s="2"/>
      <c r="U392" s="59" t="str">
        <f>IFERROR(__xludf.DUMMYFUNCTION("""COMPUTED_VALUE"""),"Belview Co., Inc.")</f>
        <v>Belview Co., Inc.</v>
      </c>
      <c r="V392" s="4">
        <f>IFERROR(__xludf.DUMMYFUNCTION("""COMPUTED_VALUE"""),5.0)</f>
        <v>5</v>
      </c>
      <c r="W392" s="60">
        <f>IFERROR(__xludf.DUMMYFUNCTION("""COMPUTED_VALUE"""),45838.0)</f>
        <v>45838</v>
      </c>
      <c r="Z392" s="4"/>
      <c r="AC392" s="4"/>
      <c r="AF392" s="4"/>
    </row>
    <row r="393">
      <c r="A393" s="179"/>
      <c r="B393" s="180"/>
      <c r="C393" s="2"/>
      <c r="E393" s="181"/>
      <c r="F393" s="181"/>
      <c r="G393" s="2"/>
      <c r="I393" s="190"/>
      <c r="J393" s="190"/>
      <c r="K393" s="2"/>
      <c r="U393" s="59" t="str">
        <f>IFERROR(__xludf.DUMMYFUNCTION("""COMPUTED_VALUE"""),"Belview Co., Inc.")</f>
        <v>Belview Co., Inc.</v>
      </c>
      <c r="V393" s="4">
        <f>IFERROR(__xludf.DUMMYFUNCTION("""COMPUTED_VALUE"""),5.0)</f>
        <v>5</v>
      </c>
      <c r="W393" s="60">
        <f>IFERROR(__xludf.DUMMYFUNCTION("""COMPUTED_VALUE"""),45838.0)</f>
        <v>45838</v>
      </c>
      <c r="Z393" s="4"/>
      <c r="AC393" s="4"/>
      <c r="AF393" s="4"/>
    </row>
    <row r="394">
      <c r="A394" s="179"/>
      <c r="B394" s="180"/>
      <c r="C394" s="2"/>
      <c r="E394" s="181"/>
      <c r="F394" s="181"/>
      <c r="G394" s="2"/>
      <c r="I394" s="190"/>
      <c r="J394" s="190"/>
      <c r="K394" s="2"/>
      <c r="U394" s="59" t="str">
        <f>IFERROR(__xludf.DUMMYFUNCTION("""COMPUTED_VALUE"""),"Barcaman Couture Corporation")</f>
        <v>Barcaman Couture Corporation</v>
      </c>
      <c r="V394" s="4">
        <f>IFERROR(__xludf.DUMMYFUNCTION("""COMPUTED_VALUE"""),3.5666666666666664)</f>
        <v>3.566666667</v>
      </c>
      <c r="W394" s="60">
        <f>IFERROR(__xludf.DUMMYFUNCTION("""COMPUTED_VALUE"""),45604.0)</f>
        <v>45604</v>
      </c>
      <c r="Z394" s="4"/>
      <c r="AC394" s="4"/>
      <c r="AF394" s="4"/>
    </row>
    <row r="395">
      <c r="A395" s="179"/>
      <c r="B395" s="180"/>
      <c r="C395" s="2"/>
      <c r="E395" s="181"/>
      <c r="F395" s="181"/>
      <c r="G395" s="2"/>
      <c r="I395" s="190"/>
      <c r="J395" s="190"/>
      <c r="K395" s="2"/>
      <c r="U395" s="59" t="str">
        <f>IFERROR(__xludf.DUMMYFUNCTION("""COMPUTED_VALUE"""),"Printing Shop PrintPilipinas.com")</f>
        <v>Printing Shop PrintPilipinas.com</v>
      </c>
      <c r="V395" s="4">
        <f>IFERROR(__xludf.DUMMYFUNCTION("""COMPUTED_VALUE"""),5.0)</f>
        <v>5</v>
      </c>
      <c r="W395" s="60">
        <f>IFERROR(__xludf.DUMMYFUNCTION("""COMPUTED_VALUE"""),45662.0)</f>
        <v>45662</v>
      </c>
      <c r="Z395" s="4"/>
      <c r="AC395" s="4"/>
      <c r="AF395" s="4"/>
    </row>
    <row r="396">
      <c r="A396" s="179"/>
      <c r="B396" s="180"/>
      <c r="C396" s="2"/>
      <c r="E396" s="181"/>
      <c r="F396" s="181"/>
      <c r="G396" s="2"/>
      <c r="I396" s="190"/>
      <c r="J396" s="190"/>
      <c r="K396" s="2"/>
      <c r="U396" s="59" t="str">
        <f>IFERROR(__xludf.DUMMYFUNCTION("""COMPUTED_VALUE"""),"Belview Co., Inc.")</f>
        <v>Belview Co., Inc.</v>
      </c>
      <c r="V396" s="4">
        <f>IFERROR(__xludf.DUMMYFUNCTION("""COMPUTED_VALUE"""),5.0)</f>
        <v>5</v>
      </c>
      <c r="W396" s="60">
        <f>IFERROR(__xludf.DUMMYFUNCTION("""COMPUTED_VALUE"""),45833.0)</f>
        <v>45833</v>
      </c>
      <c r="Z396" s="4"/>
      <c r="AC396" s="4"/>
      <c r="AF396" s="4"/>
    </row>
    <row r="397">
      <c r="A397" s="179"/>
      <c r="B397" s="180"/>
      <c r="C397" s="2"/>
      <c r="E397" s="181"/>
      <c r="F397" s="181"/>
      <c r="G397" s="2"/>
      <c r="I397" s="190"/>
      <c r="J397" s="190"/>
      <c r="K397" s="2"/>
      <c r="U397" s="59" t="str">
        <f>IFERROR(__xludf.DUMMYFUNCTION("""COMPUTED_VALUE"""),"Belview Co., Inc.")</f>
        <v>Belview Co., Inc.</v>
      </c>
      <c r="V397" s="4">
        <f>IFERROR(__xludf.DUMMYFUNCTION("""COMPUTED_VALUE"""),4.833333333333333)</f>
        <v>4.833333333</v>
      </c>
      <c r="W397" s="60">
        <f>IFERROR(__xludf.DUMMYFUNCTION("""COMPUTED_VALUE"""),45838.0)</f>
        <v>45838</v>
      </c>
      <c r="Z397" s="4"/>
      <c r="AC397" s="4"/>
      <c r="AF397" s="4"/>
    </row>
    <row r="398">
      <c r="A398" s="179"/>
      <c r="B398" s="180"/>
      <c r="C398" s="2"/>
      <c r="E398" s="181"/>
      <c r="F398" s="181"/>
      <c r="G398" s="2"/>
      <c r="I398" s="190"/>
      <c r="J398" s="190"/>
      <c r="K398" s="2"/>
      <c r="U398" s="59" t="str">
        <f>IFERROR(__xludf.DUMMYFUNCTION("""COMPUTED_VALUE"""),"Belview Co., Inc.")</f>
        <v>Belview Co., Inc.</v>
      </c>
      <c r="V398" s="4">
        <f>IFERROR(__xludf.DUMMYFUNCTION("""COMPUTED_VALUE"""),4.833333333333333)</f>
        <v>4.833333333</v>
      </c>
      <c r="W398" s="60">
        <f>IFERROR(__xludf.DUMMYFUNCTION("""COMPUTED_VALUE"""),45838.0)</f>
        <v>45838</v>
      </c>
      <c r="Z398" s="4"/>
      <c r="AC398" s="4"/>
      <c r="AF398" s="4"/>
    </row>
    <row r="399">
      <c r="A399" s="179"/>
      <c r="B399" s="180"/>
      <c r="C399" s="2"/>
      <c r="E399" s="181"/>
      <c r="F399" s="181"/>
      <c r="G399" s="2"/>
      <c r="I399" s="190"/>
      <c r="J399" s="190"/>
      <c r="K399" s="2"/>
      <c r="U399" s="59" t="str">
        <f>IFERROR(__xludf.DUMMYFUNCTION("""COMPUTED_VALUE"""),"Belview Co., Inc.")</f>
        <v>Belview Co., Inc.</v>
      </c>
      <c r="V399" s="4">
        <f>IFERROR(__xludf.DUMMYFUNCTION("""COMPUTED_VALUE"""),4.833333333333333)</f>
        <v>4.833333333</v>
      </c>
      <c r="W399" s="60">
        <f>IFERROR(__xludf.DUMMYFUNCTION("""COMPUTED_VALUE"""),45838.0)</f>
        <v>45838</v>
      </c>
      <c r="Z399" s="4"/>
      <c r="AC399" s="4"/>
      <c r="AF399" s="4"/>
    </row>
    <row r="400">
      <c r="A400" s="179"/>
      <c r="B400" s="180"/>
      <c r="C400" s="2"/>
      <c r="E400" s="181"/>
      <c r="F400" s="181"/>
      <c r="G400" s="2"/>
      <c r="I400" s="190"/>
      <c r="J400" s="190"/>
      <c r="K400" s="2"/>
      <c r="U400" s="59" t="str">
        <f>IFERROR(__xludf.DUMMYFUNCTION("""COMPUTED_VALUE"""),"Belview Co., Inc.")</f>
        <v>Belview Co., Inc.</v>
      </c>
      <c r="V400" s="4">
        <f>IFERROR(__xludf.DUMMYFUNCTION("""COMPUTED_VALUE"""),4.833333333333333)</f>
        <v>4.833333333</v>
      </c>
      <c r="W400" s="60">
        <f>IFERROR(__xludf.DUMMYFUNCTION("""COMPUTED_VALUE"""),45838.0)</f>
        <v>45838</v>
      </c>
      <c r="Z400" s="4"/>
      <c r="AC400" s="4"/>
      <c r="AF400" s="4"/>
    </row>
    <row r="401">
      <c r="A401" s="179"/>
      <c r="B401" s="180"/>
      <c r="C401" s="2"/>
      <c r="E401" s="181"/>
      <c r="F401" s="181"/>
      <c r="G401" s="2"/>
      <c r="I401" s="190"/>
      <c r="J401" s="190"/>
      <c r="K401" s="2"/>
      <c r="U401" s="59" t="str">
        <f>IFERROR(__xludf.DUMMYFUNCTION("""COMPUTED_VALUE"""),"Belview Co., Inc.")</f>
        <v>Belview Co., Inc.</v>
      </c>
      <c r="V401" s="4">
        <f>IFERROR(__xludf.DUMMYFUNCTION("""COMPUTED_VALUE"""),4.833333333333333)</f>
        <v>4.833333333</v>
      </c>
      <c r="W401" s="60">
        <f>IFERROR(__xludf.DUMMYFUNCTION("""COMPUTED_VALUE"""),45838.0)</f>
        <v>45838</v>
      </c>
      <c r="Z401" s="4"/>
      <c r="AC401" s="4"/>
      <c r="AF401" s="4"/>
    </row>
    <row r="402">
      <c r="A402" s="179"/>
      <c r="B402" s="180"/>
      <c r="C402" s="2"/>
      <c r="E402" s="181"/>
      <c r="F402" s="181"/>
      <c r="G402" s="2"/>
      <c r="I402" s="190"/>
      <c r="J402" s="190"/>
      <c r="K402" s="2"/>
      <c r="U402" s="59" t="str">
        <f>IFERROR(__xludf.DUMMYFUNCTION("""COMPUTED_VALUE"""),"Belview Co., Inc.")</f>
        <v>Belview Co., Inc.</v>
      </c>
      <c r="V402" s="4">
        <f>IFERROR(__xludf.DUMMYFUNCTION("""COMPUTED_VALUE"""),4.833333333333333)</f>
        <v>4.833333333</v>
      </c>
      <c r="W402" s="60">
        <f>IFERROR(__xludf.DUMMYFUNCTION("""COMPUTED_VALUE"""),45838.0)</f>
        <v>45838</v>
      </c>
      <c r="Z402" s="4"/>
      <c r="AC402" s="4"/>
      <c r="AF402" s="4"/>
    </row>
    <row r="403">
      <c r="A403" s="179"/>
      <c r="B403" s="180"/>
      <c r="C403" s="2"/>
      <c r="E403" s="181"/>
      <c r="F403" s="181"/>
      <c r="G403" s="2"/>
      <c r="I403" s="190"/>
      <c r="J403" s="190"/>
      <c r="K403" s="2"/>
      <c r="U403" s="59" t="str">
        <f>IFERROR(__xludf.DUMMYFUNCTION("""COMPUTED_VALUE"""),"Belview Co., Inc.")</f>
        <v>Belview Co., Inc.</v>
      </c>
      <c r="V403" s="4">
        <f>IFERROR(__xludf.DUMMYFUNCTION("""COMPUTED_VALUE"""),4.833333333333333)</f>
        <v>4.833333333</v>
      </c>
      <c r="W403" s="60">
        <f>IFERROR(__xludf.DUMMYFUNCTION("""COMPUTED_VALUE"""),45838.0)</f>
        <v>45838</v>
      </c>
      <c r="Z403" s="4"/>
      <c r="AC403" s="4"/>
      <c r="AF403" s="4"/>
    </row>
    <row r="404">
      <c r="A404" s="179"/>
      <c r="B404" s="180"/>
      <c r="C404" s="2"/>
      <c r="E404" s="181"/>
      <c r="F404" s="181"/>
      <c r="G404" s="2"/>
      <c r="I404" s="190"/>
      <c r="J404" s="190"/>
      <c r="K404" s="2"/>
      <c r="U404" s="59" t="str">
        <f>IFERROR(__xludf.DUMMYFUNCTION("""COMPUTED_VALUE"""),"Belview Co., Inc.")</f>
        <v>Belview Co., Inc.</v>
      </c>
      <c r="V404" s="4">
        <f>IFERROR(__xludf.DUMMYFUNCTION("""COMPUTED_VALUE"""),8.208333333333334)</f>
        <v>8.208333333</v>
      </c>
      <c r="W404" s="60">
        <f>IFERROR(__xludf.DUMMYFUNCTION("""COMPUTED_VALUE"""),45838.0)</f>
        <v>45838</v>
      </c>
      <c r="Z404" s="4"/>
      <c r="AC404" s="4"/>
      <c r="AF404" s="4"/>
    </row>
    <row r="405">
      <c r="A405" s="179"/>
      <c r="B405" s="180"/>
      <c r="C405" s="2"/>
      <c r="E405" s="181"/>
      <c r="F405" s="181"/>
      <c r="G405" s="2"/>
      <c r="I405" s="190"/>
      <c r="J405" s="190"/>
      <c r="K405" s="2"/>
      <c r="U405" s="59" t="str">
        <f>IFERROR(__xludf.DUMMYFUNCTION("""COMPUTED_VALUE"""),"Leonard Prints Inc.")</f>
        <v>Leonard Prints Inc.</v>
      </c>
      <c r="V405" s="4">
        <f>IFERROR(__xludf.DUMMYFUNCTION("""COMPUTED_VALUE"""),4.833333333333333)</f>
        <v>4.833333333</v>
      </c>
      <c r="W405" s="60">
        <f>IFERROR(__xludf.DUMMYFUNCTION("""COMPUTED_VALUE"""),45632.0)</f>
        <v>45632</v>
      </c>
      <c r="Z405" s="4"/>
      <c r="AC405" s="4"/>
      <c r="AF405" s="4"/>
    </row>
    <row r="406">
      <c r="A406" s="179"/>
      <c r="B406" s="180"/>
      <c r="C406" s="2"/>
      <c r="E406" s="181"/>
      <c r="F406" s="181"/>
      <c r="G406" s="2"/>
      <c r="I406" s="190"/>
      <c r="J406" s="190"/>
      <c r="K406" s="2"/>
      <c r="U406" s="59" t="str">
        <f>IFERROR(__xludf.DUMMYFUNCTION("""COMPUTED_VALUE"""),"4David's Book Trading")</f>
        <v>4David's Book Trading</v>
      </c>
      <c r="V406" s="4">
        <f>IFERROR(__xludf.DUMMYFUNCTION("""COMPUTED_VALUE"""),4.8)</f>
        <v>4.8</v>
      </c>
      <c r="W406" s="60">
        <f>IFERROR(__xludf.DUMMYFUNCTION("""COMPUTED_VALUE"""),45724.0)</f>
        <v>45724</v>
      </c>
      <c r="Z406" s="4"/>
      <c r="AC406" s="4"/>
      <c r="AF406" s="4"/>
    </row>
    <row r="407">
      <c r="A407" s="179"/>
      <c r="B407" s="180"/>
      <c r="C407" s="2"/>
      <c r="E407" s="181"/>
      <c r="F407" s="181"/>
      <c r="G407" s="2"/>
      <c r="I407" s="190"/>
      <c r="J407" s="190"/>
      <c r="K407" s="2"/>
      <c r="U407" s="59" t="str">
        <f>IFERROR(__xludf.DUMMYFUNCTION("""COMPUTED_VALUE"""),"CD Books International, Inc.")</f>
        <v>CD Books International, Inc.</v>
      </c>
      <c r="V407" s="4">
        <f>IFERROR(__xludf.DUMMYFUNCTION("""COMPUTED_VALUE"""),5.0)</f>
        <v>5</v>
      </c>
      <c r="W407" s="60">
        <f>IFERROR(__xludf.DUMMYFUNCTION("""COMPUTED_VALUE"""),45777.0)</f>
        <v>45777</v>
      </c>
      <c r="Z407" s="4"/>
      <c r="AC407" s="4"/>
      <c r="AF407" s="4"/>
    </row>
    <row r="408">
      <c r="A408" s="179"/>
      <c r="B408" s="180"/>
      <c r="C408" s="2"/>
      <c r="E408" s="181"/>
      <c r="F408" s="181"/>
      <c r="G408" s="2"/>
      <c r="I408" s="190"/>
      <c r="J408" s="190"/>
      <c r="K408" s="2"/>
      <c r="U408" s="59" t="str">
        <f>IFERROR(__xludf.DUMMYFUNCTION("""COMPUTED_VALUE"""),"4David's Book Trading")</f>
        <v>4David's Book Trading</v>
      </c>
      <c r="V408" s="4">
        <f>IFERROR(__xludf.DUMMYFUNCTION("""COMPUTED_VALUE"""),4.8)</f>
        <v>4.8</v>
      </c>
      <c r="W408" s="60">
        <f>IFERROR(__xludf.DUMMYFUNCTION("""COMPUTED_VALUE"""),45716.0)</f>
        <v>45716</v>
      </c>
      <c r="Z408" s="4"/>
      <c r="AC408" s="4"/>
      <c r="AF408" s="4"/>
    </row>
    <row r="409">
      <c r="A409" s="179"/>
      <c r="B409" s="180"/>
      <c r="C409" s="2"/>
      <c r="E409" s="181"/>
      <c r="F409" s="181"/>
      <c r="G409" s="2"/>
      <c r="I409" s="190"/>
      <c r="J409" s="190"/>
      <c r="K409" s="2"/>
      <c r="U409" s="59" t="str">
        <f>IFERROR(__xludf.DUMMYFUNCTION("""COMPUTED_VALUE"""),"4David's Book Trading")</f>
        <v>4David's Book Trading</v>
      </c>
      <c r="V409" s="4">
        <f>IFERROR(__xludf.DUMMYFUNCTION("""COMPUTED_VALUE"""),4.8)</f>
        <v>4.8</v>
      </c>
      <c r="W409" s="60">
        <f>IFERROR(__xludf.DUMMYFUNCTION("""COMPUTED_VALUE"""),45724.0)</f>
        <v>45724</v>
      </c>
      <c r="Z409" s="4"/>
      <c r="AC409" s="4"/>
      <c r="AF409" s="4"/>
    </row>
    <row r="410">
      <c r="A410" s="179"/>
      <c r="B410" s="180"/>
      <c r="C410" s="2"/>
      <c r="E410" s="181"/>
      <c r="F410" s="181"/>
      <c r="G410" s="2"/>
      <c r="I410" s="190"/>
      <c r="J410" s="190"/>
      <c r="K410" s="2"/>
      <c r="U410" s="59" t="str">
        <f>IFERROR(__xludf.DUMMYFUNCTION("""COMPUTED_VALUE"""),"4David's Book Trading")</f>
        <v>4David's Book Trading</v>
      </c>
      <c r="V410" s="4">
        <f>IFERROR(__xludf.DUMMYFUNCTION("""COMPUTED_VALUE"""),4.8)</f>
        <v>4.8</v>
      </c>
      <c r="W410" s="60">
        <f>IFERROR(__xludf.DUMMYFUNCTION("""COMPUTED_VALUE"""),45724.0)</f>
        <v>45724</v>
      </c>
      <c r="Z410" s="4"/>
      <c r="AC410" s="4"/>
      <c r="AF410" s="4"/>
    </row>
    <row r="411">
      <c r="A411" s="179"/>
      <c r="B411" s="180"/>
      <c r="C411" s="2"/>
      <c r="E411" s="181"/>
      <c r="F411" s="181"/>
      <c r="G411" s="2"/>
      <c r="I411" s="190"/>
      <c r="J411" s="190"/>
      <c r="K411" s="2"/>
      <c r="U411" s="59" t="str">
        <f>IFERROR(__xludf.DUMMYFUNCTION("""COMPUTED_VALUE"""),"4David's Book Trading")</f>
        <v>4David's Book Trading</v>
      </c>
      <c r="V411" s="4">
        <f>IFERROR(__xludf.DUMMYFUNCTION("""COMPUTED_VALUE"""),4.8)</f>
        <v>4.8</v>
      </c>
      <c r="W411" s="60">
        <f>IFERROR(__xludf.DUMMYFUNCTION("""COMPUTED_VALUE"""),45724.0)</f>
        <v>45724</v>
      </c>
      <c r="Z411" s="4"/>
      <c r="AC411" s="4"/>
      <c r="AF411" s="4"/>
    </row>
    <row r="412">
      <c r="A412" s="179"/>
      <c r="B412" s="180"/>
      <c r="C412" s="2"/>
      <c r="E412" s="181"/>
      <c r="F412" s="181"/>
      <c r="G412" s="2"/>
      <c r="I412" s="190"/>
      <c r="J412" s="190"/>
      <c r="K412" s="2"/>
      <c r="U412" s="59" t="str">
        <f>IFERROR(__xludf.DUMMYFUNCTION("""COMPUTED_VALUE"""),"4David's Book Trading")</f>
        <v>4David's Book Trading</v>
      </c>
      <c r="V412" s="4">
        <f>IFERROR(__xludf.DUMMYFUNCTION("""COMPUTED_VALUE"""),4.8)</f>
        <v>4.8</v>
      </c>
      <c r="W412" s="60">
        <f>IFERROR(__xludf.DUMMYFUNCTION("""COMPUTED_VALUE"""),45724.0)</f>
        <v>45724</v>
      </c>
      <c r="Z412" s="4"/>
      <c r="AC412" s="4"/>
      <c r="AF412" s="4"/>
    </row>
    <row r="413">
      <c r="A413" s="179"/>
      <c r="B413" s="180"/>
      <c r="C413" s="2"/>
      <c r="E413" s="181"/>
      <c r="F413" s="181"/>
      <c r="G413" s="2"/>
      <c r="I413" s="190"/>
      <c r="J413" s="190"/>
      <c r="K413" s="2"/>
      <c r="U413" s="59" t="str">
        <f>IFERROR(__xludf.DUMMYFUNCTION("""COMPUTED_VALUE"""),"4David's Book Trading")</f>
        <v>4David's Book Trading</v>
      </c>
      <c r="V413" s="4">
        <f>IFERROR(__xludf.DUMMYFUNCTION("""COMPUTED_VALUE"""),4.8)</f>
        <v>4.8</v>
      </c>
      <c r="W413" s="60">
        <f>IFERROR(__xludf.DUMMYFUNCTION("""COMPUTED_VALUE"""),45724.0)</f>
        <v>45724</v>
      </c>
      <c r="Z413" s="4"/>
      <c r="AC413" s="4"/>
      <c r="AF413" s="4"/>
    </row>
    <row r="414">
      <c r="A414" s="179"/>
      <c r="B414" s="180"/>
      <c r="C414" s="2"/>
      <c r="E414" s="181"/>
      <c r="F414" s="181"/>
      <c r="G414" s="2"/>
      <c r="I414" s="190"/>
      <c r="J414" s="190"/>
      <c r="K414" s="2"/>
      <c r="U414" s="59" t="str">
        <f>IFERROR(__xludf.DUMMYFUNCTION("""COMPUTED_VALUE"""),"4David's Book Trading")</f>
        <v>4David's Book Trading</v>
      </c>
      <c r="V414" s="4">
        <f>IFERROR(__xludf.DUMMYFUNCTION("""COMPUTED_VALUE"""),4.8)</f>
        <v>4.8</v>
      </c>
      <c r="W414" s="60">
        <f>IFERROR(__xludf.DUMMYFUNCTION("""COMPUTED_VALUE"""),45724.0)</f>
        <v>45724</v>
      </c>
      <c r="Z414" s="4"/>
      <c r="AC414" s="4"/>
      <c r="AF414" s="4"/>
    </row>
    <row r="415">
      <c r="A415" s="179"/>
      <c r="B415" s="180"/>
      <c r="C415" s="2"/>
      <c r="E415" s="181"/>
      <c r="F415" s="181"/>
      <c r="G415" s="2"/>
      <c r="I415" s="190"/>
      <c r="J415" s="190"/>
      <c r="K415" s="2"/>
      <c r="U415" s="59" t="str">
        <f>IFERROR(__xludf.DUMMYFUNCTION("""COMPUTED_VALUE"""),"4David's Book Trading")</f>
        <v>4David's Book Trading</v>
      </c>
      <c r="V415" s="4">
        <f>IFERROR(__xludf.DUMMYFUNCTION("""COMPUTED_VALUE"""),4.8)</f>
        <v>4.8</v>
      </c>
      <c r="W415" s="60">
        <f>IFERROR(__xludf.DUMMYFUNCTION("""COMPUTED_VALUE"""),45724.0)</f>
        <v>45724</v>
      </c>
      <c r="Z415" s="4"/>
      <c r="AC415" s="4"/>
      <c r="AF415" s="4"/>
    </row>
    <row r="416">
      <c r="A416" s="179"/>
      <c r="B416" s="180"/>
      <c r="C416" s="2"/>
      <c r="E416" s="181"/>
      <c r="F416" s="181"/>
      <c r="G416" s="2"/>
      <c r="I416" s="190"/>
      <c r="J416" s="190"/>
      <c r="K416" s="2"/>
      <c r="U416" s="59" t="str">
        <f>IFERROR(__xludf.DUMMYFUNCTION("""COMPUTED_VALUE"""),"Leonard Prints Inc.")</f>
        <v>Leonard Prints Inc.</v>
      </c>
      <c r="V416" s="4">
        <f>IFERROR(__xludf.DUMMYFUNCTION("""COMPUTED_VALUE"""),4.116666666666666)</f>
        <v>4.116666667</v>
      </c>
      <c r="W416" s="60">
        <f>IFERROR(__xludf.DUMMYFUNCTION("""COMPUTED_VALUE"""),45775.0)</f>
        <v>45775</v>
      </c>
      <c r="Z416" s="4"/>
      <c r="AC416" s="4"/>
      <c r="AF416" s="4"/>
    </row>
    <row r="417">
      <c r="A417" s="179"/>
      <c r="B417" s="180"/>
      <c r="C417" s="2"/>
      <c r="E417" s="181"/>
      <c r="F417" s="181"/>
      <c r="G417" s="2"/>
      <c r="I417" s="190"/>
      <c r="J417" s="190"/>
      <c r="K417" s="2"/>
      <c r="U417" s="59" t="str">
        <f>IFERROR(__xludf.DUMMYFUNCTION("""COMPUTED_VALUE"""),"Leonard Prints Inc.")</f>
        <v>Leonard Prints Inc.</v>
      </c>
      <c r="V417" s="4">
        <f>IFERROR(__xludf.DUMMYFUNCTION("""COMPUTED_VALUE"""),4.5)</f>
        <v>4.5</v>
      </c>
      <c r="W417" s="60">
        <f>IFERROR(__xludf.DUMMYFUNCTION("""COMPUTED_VALUE"""),45828.0)</f>
        <v>45828</v>
      </c>
      <c r="Z417" s="4"/>
      <c r="AC417" s="4"/>
      <c r="AF417" s="4"/>
    </row>
    <row r="418">
      <c r="A418" s="179"/>
      <c r="B418" s="180"/>
      <c r="C418" s="2"/>
      <c r="E418" s="181"/>
      <c r="F418" s="181"/>
      <c r="G418" s="2"/>
      <c r="I418" s="190"/>
      <c r="J418" s="190"/>
      <c r="K418" s="2"/>
      <c r="U418" s="59" t="str">
        <f>IFERROR(__xludf.DUMMYFUNCTION("""COMPUTED_VALUE"""),"Leonard Prints Inc.")</f>
        <v>Leonard Prints Inc.</v>
      </c>
      <c r="V418" s="4">
        <f>IFERROR(__xludf.DUMMYFUNCTION("""COMPUTED_VALUE"""),4.8)</f>
        <v>4.8</v>
      </c>
      <c r="W418" s="60">
        <f>IFERROR(__xludf.DUMMYFUNCTION("""COMPUTED_VALUE"""),45772.0)</f>
        <v>45772</v>
      </c>
      <c r="Z418" s="4"/>
      <c r="AC418" s="4"/>
      <c r="AF418" s="4"/>
    </row>
    <row r="419">
      <c r="A419" s="179"/>
      <c r="B419" s="180"/>
      <c r="C419" s="2"/>
      <c r="E419" s="181"/>
      <c r="F419" s="181"/>
      <c r="G419" s="2"/>
      <c r="I419" s="190"/>
      <c r="J419" s="190"/>
      <c r="K419" s="2"/>
      <c r="U419" s="59" t="str">
        <f>IFERROR(__xludf.DUMMYFUNCTION("""COMPUTED_VALUE"""),"Leonard Prints Inc.")</f>
        <v>Leonard Prints Inc.</v>
      </c>
      <c r="V419" s="4">
        <f>IFERROR(__xludf.DUMMYFUNCTION("""COMPUTED_VALUE"""),4.8)</f>
        <v>4.8</v>
      </c>
      <c r="W419" s="60">
        <f>IFERROR(__xludf.DUMMYFUNCTION("""COMPUTED_VALUE"""),45604.0)</f>
        <v>45604</v>
      </c>
      <c r="Z419" s="4"/>
      <c r="AC419" s="4"/>
      <c r="AF419" s="4"/>
    </row>
    <row r="420">
      <c r="A420" s="179"/>
      <c r="B420" s="180"/>
      <c r="C420" s="2"/>
      <c r="E420" s="181"/>
      <c r="F420" s="181"/>
      <c r="G420" s="2"/>
      <c r="I420" s="190"/>
      <c r="J420" s="190"/>
      <c r="K420" s="2"/>
      <c r="Z420" s="4"/>
      <c r="AC420" s="4"/>
      <c r="AF420" s="4"/>
    </row>
    <row r="421">
      <c r="A421" s="179"/>
      <c r="B421" s="180"/>
      <c r="C421" s="2"/>
      <c r="E421" s="181"/>
      <c r="F421" s="181"/>
      <c r="G421" s="2"/>
      <c r="I421" s="190"/>
      <c r="J421" s="190"/>
      <c r="K421" s="2"/>
      <c r="Z421" s="4"/>
      <c r="AC421" s="4"/>
      <c r="AF421" s="4"/>
    </row>
    <row r="422">
      <c r="A422" s="179"/>
      <c r="B422" s="180"/>
      <c r="C422" s="2"/>
      <c r="E422" s="181"/>
      <c r="F422" s="181"/>
      <c r="G422" s="2"/>
      <c r="I422" s="190"/>
      <c r="J422" s="190"/>
      <c r="K422" s="2"/>
      <c r="Z422" s="4"/>
      <c r="AC422" s="4"/>
      <c r="AF422" s="4"/>
    </row>
    <row r="423">
      <c r="A423" s="179"/>
      <c r="B423" s="180"/>
      <c r="C423" s="2"/>
      <c r="E423" s="181"/>
      <c r="F423" s="181"/>
      <c r="G423" s="2"/>
      <c r="I423" s="190"/>
      <c r="J423" s="190"/>
      <c r="K423" s="2"/>
      <c r="Z423" s="4"/>
      <c r="AC423" s="4"/>
      <c r="AF423" s="4"/>
    </row>
    <row r="424">
      <c r="A424" s="179"/>
      <c r="B424" s="180"/>
      <c r="C424" s="2"/>
      <c r="E424" s="181"/>
      <c r="F424" s="181"/>
      <c r="G424" s="2"/>
      <c r="I424" s="190"/>
      <c r="J424" s="190"/>
      <c r="K424" s="2"/>
      <c r="Z424" s="4"/>
      <c r="AC424" s="4"/>
      <c r="AF424" s="4"/>
    </row>
    <row r="425">
      <c r="A425" s="179"/>
      <c r="B425" s="180"/>
      <c r="C425" s="2"/>
      <c r="E425" s="181"/>
      <c r="F425" s="181"/>
      <c r="G425" s="2"/>
      <c r="I425" s="190"/>
      <c r="J425" s="190"/>
      <c r="K425" s="2"/>
      <c r="Z425" s="4"/>
      <c r="AC425" s="4"/>
      <c r="AF425" s="4"/>
    </row>
    <row r="426">
      <c r="A426" s="179"/>
      <c r="B426" s="180"/>
      <c r="C426" s="2"/>
      <c r="E426" s="181"/>
      <c r="F426" s="181"/>
      <c r="G426" s="2"/>
      <c r="I426" s="190"/>
      <c r="J426" s="190"/>
      <c r="K426" s="2"/>
      <c r="Z426" s="4"/>
      <c r="AC426" s="4"/>
      <c r="AF426" s="4"/>
    </row>
    <row r="427">
      <c r="A427" s="179"/>
      <c r="B427" s="180"/>
      <c r="C427" s="2"/>
      <c r="E427" s="181"/>
      <c r="F427" s="181"/>
      <c r="G427" s="2"/>
      <c r="I427" s="190"/>
      <c r="J427" s="190"/>
      <c r="K427" s="2"/>
      <c r="Z427" s="4"/>
      <c r="AC427" s="4"/>
      <c r="AF427" s="4"/>
    </row>
    <row r="428">
      <c r="A428" s="179"/>
      <c r="B428" s="180"/>
      <c r="C428" s="2"/>
      <c r="E428" s="181"/>
      <c r="F428" s="181"/>
      <c r="G428" s="2"/>
      <c r="I428" s="190"/>
      <c r="J428" s="190"/>
      <c r="K428" s="2"/>
      <c r="Z428" s="4"/>
      <c r="AC428" s="4"/>
      <c r="AF428" s="4"/>
    </row>
    <row r="429">
      <c r="A429" s="179"/>
      <c r="B429" s="180"/>
      <c r="C429" s="2"/>
      <c r="E429" s="181"/>
      <c r="F429" s="181"/>
      <c r="G429" s="2"/>
      <c r="I429" s="190"/>
      <c r="J429" s="190"/>
      <c r="K429" s="2"/>
      <c r="Z429" s="4"/>
      <c r="AC429" s="4"/>
      <c r="AF429" s="4"/>
    </row>
    <row r="430">
      <c r="A430" s="179"/>
      <c r="B430" s="180"/>
      <c r="C430" s="2"/>
      <c r="E430" s="181"/>
      <c r="F430" s="181"/>
      <c r="G430" s="2"/>
      <c r="I430" s="190"/>
      <c r="J430" s="190"/>
      <c r="K430" s="2"/>
      <c r="Z430" s="4"/>
      <c r="AC430" s="4"/>
      <c r="AF430" s="4"/>
    </row>
    <row r="431">
      <c r="A431" s="179"/>
      <c r="B431" s="180"/>
      <c r="C431" s="2"/>
      <c r="E431" s="181"/>
      <c r="F431" s="181"/>
      <c r="G431" s="2"/>
      <c r="I431" s="190"/>
      <c r="J431" s="190"/>
      <c r="K431" s="2"/>
      <c r="Z431" s="4"/>
      <c r="AC431" s="4"/>
      <c r="AF431" s="4"/>
    </row>
    <row r="432">
      <c r="A432" s="179"/>
      <c r="B432" s="180"/>
      <c r="C432" s="2"/>
      <c r="E432" s="181"/>
      <c r="F432" s="181"/>
      <c r="G432" s="2"/>
      <c r="I432" s="190"/>
      <c r="J432" s="190"/>
      <c r="K432" s="2"/>
      <c r="Z432" s="4"/>
      <c r="AC432" s="4"/>
      <c r="AF432" s="4"/>
    </row>
    <row r="433">
      <c r="A433" s="179"/>
      <c r="B433" s="180"/>
      <c r="C433" s="2"/>
      <c r="E433" s="181"/>
      <c r="F433" s="181"/>
      <c r="G433" s="2"/>
      <c r="I433" s="190"/>
      <c r="J433" s="190"/>
      <c r="K433" s="2"/>
      <c r="Z433" s="4"/>
      <c r="AC433" s="4"/>
      <c r="AF433" s="4"/>
    </row>
    <row r="434">
      <c r="A434" s="179"/>
      <c r="B434" s="180"/>
      <c r="C434" s="2"/>
      <c r="E434" s="181"/>
      <c r="F434" s="181"/>
      <c r="G434" s="2"/>
      <c r="I434" s="190"/>
      <c r="J434" s="190"/>
      <c r="K434" s="2"/>
      <c r="Z434" s="4"/>
      <c r="AC434" s="4"/>
      <c r="AF434" s="4"/>
    </row>
    <row r="435">
      <c r="A435" s="179"/>
      <c r="B435" s="180"/>
      <c r="C435" s="2"/>
      <c r="E435" s="181"/>
      <c r="F435" s="181"/>
      <c r="G435" s="2"/>
      <c r="I435" s="190"/>
      <c r="J435" s="190"/>
      <c r="K435" s="2"/>
      <c r="Z435" s="4"/>
      <c r="AC435" s="4"/>
      <c r="AF435" s="4"/>
    </row>
    <row r="436">
      <c r="A436" s="179"/>
      <c r="B436" s="180"/>
      <c r="C436" s="2"/>
      <c r="E436" s="181"/>
      <c r="F436" s="181"/>
      <c r="G436" s="2"/>
      <c r="I436" s="190"/>
      <c r="J436" s="190"/>
      <c r="K436" s="2"/>
      <c r="Z436" s="4"/>
      <c r="AC436" s="4"/>
      <c r="AF436" s="4"/>
    </row>
    <row r="437">
      <c r="A437" s="179"/>
      <c r="B437" s="180"/>
      <c r="C437" s="2"/>
      <c r="E437" s="181"/>
      <c r="F437" s="181"/>
      <c r="G437" s="2"/>
      <c r="I437" s="190"/>
      <c r="J437" s="190"/>
      <c r="K437" s="2"/>
      <c r="Z437" s="4"/>
      <c r="AC437" s="4"/>
      <c r="AF437" s="4"/>
    </row>
    <row r="438">
      <c r="A438" s="179"/>
      <c r="B438" s="180"/>
      <c r="C438" s="2"/>
      <c r="E438" s="181"/>
      <c r="F438" s="181"/>
      <c r="G438" s="2"/>
      <c r="I438" s="190"/>
      <c r="J438" s="190"/>
      <c r="K438" s="2"/>
      <c r="Z438" s="4"/>
      <c r="AC438" s="4"/>
      <c r="AF438" s="4"/>
    </row>
    <row r="439">
      <c r="A439" s="179"/>
      <c r="B439" s="180"/>
      <c r="C439" s="2"/>
      <c r="E439" s="181"/>
      <c r="F439" s="181"/>
      <c r="G439" s="2"/>
      <c r="I439" s="190"/>
      <c r="J439" s="190"/>
      <c r="K439" s="2"/>
      <c r="Z439" s="4"/>
      <c r="AC439" s="4"/>
      <c r="AF439" s="4"/>
    </row>
    <row r="440">
      <c r="A440" s="179"/>
      <c r="B440" s="180"/>
      <c r="C440" s="2"/>
      <c r="E440" s="181"/>
      <c r="F440" s="181"/>
      <c r="G440" s="2"/>
      <c r="I440" s="190"/>
      <c r="J440" s="190"/>
      <c r="K440" s="2"/>
      <c r="Z440" s="4"/>
      <c r="AC440" s="4"/>
      <c r="AF440" s="4"/>
    </row>
    <row r="441">
      <c r="A441" s="179"/>
      <c r="B441" s="180"/>
      <c r="C441" s="2"/>
      <c r="E441" s="181"/>
      <c r="F441" s="181"/>
      <c r="G441" s="2"/>
      <c r="I441" s="190"/>
      <c r="J441" s="190"/>
      <c r="K441" s="2"/>
      <c r="Z441" s="4"/>
      <c r="AC441" s="4"/>
      <c r="AF441" s="4"/>
    </row>
    <row r="442">
      <c r="A442" s="179"/>
      <c r="B442" s="180"/>
      <c r="C442" s="2"/>
      <c r="E442" s="181"/>
      <c r="F442" s="181"/>
      <c r="G442" s="2"/>
      <c r="I442" s="190"/>
      <c r="J442" s="190"/>
      <c r="K442" s="2"/>
      <c r="Z442" s="4"/>
      <c r="AC442" s="4"/>
      <c r="AF442" s="4"/>
    </row>
    <row r="443">
      <c r="A443" s="179"/>
      <c r="B443" s="180"/>
      <c r="C443" s="2"/>
      <c r="E443" s="181"/>
      <c r="F443" s="181"/>
      <c r="G443" s="2"/>
      <c r="I443" s="190"/>
      <c r="J443" s="190"/>
      <c r="K443" s="2"/>
      <c r="Z443" s="4"/>
      <c r="AC443" s="4"/>
      <c r="AF443" s="4"/>
    </row>
    <row r="444">
      <c r="A444" s="179"/>
      <c r="B444" s="180"/>
      <c r="C444" s="2"/>
      <c r="E444" s="181"/>
      <c r="F444" s="181"/>
      <c r="G444" s="2"/>
      <c r="I444" s="190"/>
      <c r="J444" s="190"/>
      <c r="K444" s="2"/>
      <c r="Z444" s="4"/>
      <c r="AC444" s="4"/>
      <c r="AF444" s="4"/>
    </row>
    <row r="445">
      <c r="A445" s="179"/>
      <c r="B445" s="180"/>
      <c r="C445" s="2"/>
      <c r="E445" s="181"/>
      <c r="F445" s="181"/>
      <c r="G445" s="2"/>
      <c r="I445" s="190"/>
      <c r="J445" s="190"/>
      <c r="K445" s="2"/>
      <c r="Z445" s="4"/>
      <c r="AC445" s="4"/>
      <c r="AF445" s="4"/>
    </row>
    <row r="446">
      <c r="A446" s="179"/>
      <c r="B446" s="180"/>
      <c r="C446" s="2"/>
      <c r="E446" s="181"/>
      <c r="F446" s="181"/>
      <c r="G446" s="2"/>
      <c r="I446" s="190"/>
      <c r="J446" s="190"/>
      <c r="K446" s="2"/>
      <c r="Z446" s="4"/>
      <c r="AC446" s="4"/>
      <c r="AF446" s="4"/>
    </row>
    <row r="447">
      <c r="A447" s="179"/>
      <c r="B447" s="180"/>
      <c r="C447" s="2"/>
      <c r="E447" s="181"/>
      <c r="F447" s="181"/>
      <c r="G447" s="2"/>
      <c r="I447" s="190"/>
      <c r="J447" s="190"/>
      <c r="K447" s="2"/>
      <c r="Z447" s="4"/>
      <c r="AC447" s="4"/>
      <c r="AF447" s="4"/>
    </row>
    <row r="448">
      <c r="A448" s="179"/>
      <c r="B448" s="180"/>
      <c r="C448" s="2"/>
      <c r="E448" s="181"/>
      <c r="F448" s="181"/>
      <c r="G448" s="2"/>
      <c r="I448" s="190"/>
      <c r="J448" s="190"/>
      <c r="K448" s="2"/>
      <c r="Z448" s="4"/>
      <c r="AC448" s="4"/>
      <c r="AF448" s="4"/>
    </row>
    <row r="449">
      <c r="A449" s="179"/>
      <c r="B449" s="180"/>
      <c r="C449" s="2"/>
      <c r="E449" s="181"/>
      <c r="F449" s="181"/>
      <c r="G449" s="2"/>
      <c r="I449" s="190"/>
      <c r="J449" s="190"/>
      <c r="K449" s="2"/>
      <c r="Z449" s="4"/>
      <c r="AC449" s="4"/>
      <c r="AF449" s="4"/>
    </row>
    <row r="450">
      <c r="A450" s="179"/>
      <c r="B450" s="180"/>
      <c r="C450" s="2"/>
      <c r="E450" s="181"/>
      <c r="F450" s="181"/>
      <c r="G450" s="2"/>
      <c r="I450" s="190"/>
      <c r="J450" s="190"/>
      <c r="K450" s="2"/>
      <c r="Z450" s="4"/>
      <c r="AC450" s="4"/>
      <c r="AF450" s="4"/>
    </row>
    <row r="451">
      <c r="A451" s="179"/>
      <c r="B451" s="180"/>
      <c r="C451" s="2"/>
      <c r="E451" s="181"/>
      <c r="F451" s="181"/>
      <c r="G451" s="2"/>
      <c r="I451" s="190"/>
      <c r="J451" s="190"/>
      <c r="K451" s="2"/>
      <c r="Z451" s="4"/>
      <c r="AC451" s="4"/>
      <c r="AF451" s="4"/>
    </row>
    <row r="452">
      <c r="A452" s="179"/>
      <c r="B452" s="180"/>
      <c r="C452" s="2"/>
      <c r="E452" s="181"/>
      <c r="F452" s="181"/>
      <c r="G452" s="2"/>
      <c r="I452" s="190"/>
      <c r="J452" s="190"/>
      <c r="K452" s="2"/>
      <c r="Z452" s="4"/>
      <c r="AC452" s="4"/>
      <c r="AF452" s="4"/>
    </row>
    <row r="453">
      <c r="A453" s="179"/>
      <c r="B453" s="180"/>
      <c r="C453" s="2"/>
      <c r="E453" s="181"/>
      <c r="F453" s="181"/>
      <c r="G453" s="2"/>
      <c r="I453" s="190"/>
      <c r="J453" s="190"/>
      <c r="K453" s="2"/>
      <c r="Z453" s="4"/>
      <c r="AC453" s="4"/>
      <c r="AF453" s="4"/>
    </row>
    <row r="454">
      <c r="A454" s="179"/>
      <c r="B454" s="180"/>
      <c r="C454" s="2"/>
      <c r="E454" s="181"/>
      <c r="F454" s="181"/>
      <c r="G454" s="2"/>
      <c r="I454" s="190"/>
      <c r="J454" s="190"/>
      <c r="K454" s="2"/>
      <c r="Z454" s="4"/>
      <c r="AC454" s="4"/>
      <c r="AF454" s="4"/>
    </row>
    <row r="455">
      <c r="A455" s="179"/>
      <c r="B455" s="180"/>
      <c r="C455" s="2"/>
      <c r="E455" s="181"/>
      <c r="F455" s="181"/>
      <c r="G455" s="2"/>
      <c r="I455" s="190"/>
      <c r="J455" s="190"/>
      <c r="K455" s="2"/>
      <c r="Z455" s="4"/>
      <c r="AC455" s="4"/>
      <c r="AF455" s="4"/>
    </row>
    <row r="456">
      <c r="A456" s="179"/>
      <c r="B456" s="180"/>
      <c r="C456" s="2"/>
      <c r="E456" s="181"/>
      <c r="F456" s="181"/>
      <c r="G456" s="2"/>
      <c r="I456" s="190"/>
      <c r="J456" s="190"/>
      <c r="K456" s="2"/>
      <c r="Z456" s="4"/>
      <c r="AC456" s="4"/>
      <c r="AF456" s="4"/>
    </row>
    <row r="457">
      <c r="A457" s="179"/>
      <c r="B457" s="180"/>
      <c r="C457" s="2"/>
      <c r="E457" s="181"/>
      <c r="F457" s="181"/>
      <c r="G457" s="2"/>
      <c r="I457" s="190"/>
      <c r="J457" s="190"/>
      <c r="K457" s="2"/>
      <c r="Z457" s="4"/>
      <c r="AC457" s="4"/>
      <c r="AF457" s="4"/>
    </row>
    <row r="458">
      <c r="A458" s="179"/>
      <c r="B458" s="180"/>
      <c r="C458" s="2"/>
      <c r="E458" s="181"/>
      <c r="F458" s="181"/>
      <c r="G458" s="2"/>
      <c r="I458" s="190"/>
      <c r="J458" s="190"/>
      <c r="K458" s="2"/>
      <c r="Z458" s="4"/>
      <c r="AC458" s="4"/>
      <c r="AF458" s="4"/>
    </row>
    <row r="459">
      <c r="A459" s="179"/>
      <c r="B459" s="180"/>
      <c r="C459" s="2"/>
      <c r="E459" s="181"/>
      <c r="F459" s="181"/>
      <c r="G459" s="2"/>
      <c r="I459" s="190"/>
      <c r="J459" s="190"/>
      <c r="K459" s="2"/>
      <c r="Z459" s="4"/>
      <c r="AC459" s="4"/>
      <c r="AF459" s="4"/>
    </row>
    <row r="460">
      <c r="A460" s="179"/>
      <c r="B460" s="180"/>
      <c r="C460" s="2"/>
      <c r="E460" s="181"/>
      <c r="F460" s="181"/>
      <c r="G460" s="2"/>
      <c r="I460" s="190"/>
      <c r="J460" s="190"/>
      <c r="K460" s="2"/>
      <c r="Z460" s="4"/>
      <c r="AC460" s="4"/>
      <c r="AF460" s="4"/>
    </row>
    <row r="461">
      <c r="A461" s="179"/>
      <c r="B461" s="180"/>
      <c r="C461" s="2"/>
      <c r="E461" s="181"/>
      <c r="F461" s="181"/>
      <c r="G461" s="2"/>
      <c r="I461" s="190"/>
      <c r="J461" s="190"/>
      <c r="K461" s="2"/>
      <c r="Z461" s="4"/>
      <c r="AC461" s="4"/>
      <c r="AF461" s="4"/>
    </row>
    <row r="462">
      <c r="A462" s="179"/>
      <c r="B462" s="180"/>
      <c r="C462" s="2"/>
      <c r="E462" s="181"/>
      <c r="F462" s="181"/>
      <c r="G462" s="2"/>
      <c r="I462" s="190"/>
      <c r="J462" s="190"/>
      <c r="K462" s="2"/>
      <c r="Z462" s="4"/>
      <c r="AC462" s="4"/>
      <c r="AF462" s="4"/>
    </row>
    <row r="463">
      <c r="A463" s="179"/>
      <c r="B463" s="180"/>
      <c r="C463" s="2"/>
      <c r="E463" s="181"/>
      <c r="F463" s="181"/>
      <c r="G463" s="2"/>
      <c r="I463" s="190"/>
      <c r="J463" s="190"/>
      <c r="K463" s="2"/>
      <c r="Z463" s="4"/>
      <c r="AC463" s="4"/>
      <c r="AF463" s="4"/>
    </row>
    <row r="464">
      <c r="A464" s="179"/>
      <c r="B464" s="180"/>
      <c r="C464" s="2"/>
      <c r="E464" s="181"/>
      <c r="F464" s="181"/>
      <c r="G464" s="2"/>
      <c r="I464" s="190"/>
      <c r="J464" s="190"/>
      <c r="K464" s="2"/>
      <c r="Z464" s="4"/>
      <c r="AC464" s="4"/>
      <c r="AF464" s="4"/>
    </row>
    <row r="465">
      <c r="A465" s="179"/>
      <c r="B465" s="180"/>
      <c r="C465" s="2"/>
      <c r="E465" s="181"/>
      <c r="F465" s="181"/>
      <c r="G465" s="2"/>
      <c r="I465" s="190"/>
      <c r="J465" s="190"/>
      <c r="K465" s="2"/>
      <c r="Z465" s="4"/>
      <c r="AC465" s="4"/>
      <c r="AF465" s="4"/>
    </row>
    <row r="466">
      <c r="A466" s="179"/>
      <c r="B466" s="180"/>
      <c r="C466" s="2"/>
      <c r="E466" s="181"/>
      <c r="F466" s="181"/>
      <c r="G466" s="2"/>
      <c r="I466" s="190"/>
      <c r="J466" s="190"/>
      <c r="K466" s="2"/>
      <c r="Z466" s="4"/>
      <c r="AC466" s="4"/>
      <c r="AF466" s="4"/>
    </row>
    <row r="467">
      <c r="A467" s="179"/>
      <c r="B467" s="180"/>
      <c r="C467" s="2"/>
      <c r="E467" s="181"/>
      <c r="F467" s="181"/>
      <c r="G467" s="2"/>
      <c r="I467" s="190"/>
      <c r="J467" s="190"/>
      <c r="K467" s="2"/>
      <c r="Z467" s="4"/>
      <c r="AC467" s="4"/>
      <c r="AF467" s="4"/>
    </row>
    <row r="468">
      <c r="A468" s="179"/>
      <c r="B468" s="180"/>
      <c r="C468" s="2"/>
      <c r="E468" s="181"/>
      <c r="F468" s="181"/>
      <c r="G468" s="2"/>
      <c r="I468" s="190"/>
      <c r="J468" s="190"/>
      <c r="K468" s="2"/>
      <c r="Z468" s="4"/>
      <c r="AC468" s="4"/>
      <c r="AF468" s="4"/>
    </row>
    <row r="469">
      <c r="A469" s="179"/>
      <c r="B469" s="180"/>
      <c r="C469" s="2"/>
      <c r="E469" s="181"/>
      <c r="F469" s="181"/>
      <c r="G469" s="2"/>
      <c r="I469" s="190"/>
      <c r="J469" s="190"/>
      <c r="K469" s="2"/>
      <c r="Z469" s="4"/>
      <c r="AC469" s="4"/>
      <c r="AF469" s="4"/>
    </row>
    <row r="470">
      <c r="A470" s="179"/>
      <c r="B470" s="180"/>
      <c r="C470" s="2"/>
      <c r="E470" s="181"/>
      <c r="F470" s="181"/>
      <c r="G470" s="2"/>
      <c r="I470" s="190"/>
      <c r="J470" s="190"/>
      <c r="K470" s="2"/>
      <c r="Z470" s="4"/>
      <c r="AC470" s="4"/>
      <c r="AF470" s="4"/>
    </row>
    <row r="471">
      <c r="A471" s="179"/>
      <c r="B471" s="180"/>
      <c r="C471" s="2"/>
      <c r="E471" s="181"/>
      <c r="F471" s="181"/>
      <c r="G471" s="2"/>
      <c r="I471" s="190"/>
      <c r="J471" s="190"/>
      <c r="K471" s="2"/>
      <c r="Z471" s="4"/>
      <c r="AC471" s="4"/>
      <c r="AF471" s="4"/>
    </row>
    <row r="472">
      <c r="A472" s="179"/>
      <c r="B472" s="180"/>
      <c r="C472" s="2"/>
      <c r="E472" s="181"/>
      <c r="F472" s="181"/>
      <c r="G472" s="2"/>
      <c r="I472" s="190"/>
      <c r="J472" s="190"/>
      <c r="K472" s="2"/>
      <c r="Z472" s="4"/>
      <c r="AC472" s="4"/>
      <c r="AF472" s="4"/>
    </row>
    <row r="473">
      <c r="A473" s="179"/>
      <c r="B473" s="180"/>
      <c r="C473" s="2"/>
      <c r="E473" s="181"/>
      <c r="F473" s="181"/>
      <c r="G473" s="2"/>
      <c r="I473" s="190"/>
      <c r="J473" s="190"/>
      <c r="K473" s="2"/>
      <c r="Z473" s="4"/>
      <c r="AC473" s="4"/>
      <c r="AF473" s="4"/>
    </row>
    <row r="474">
      <c r="A474" s="179"/>
      <c r="B474" s="180"/>
      <c r="C474" s="2"/>
      <c r="E474" s="181"/>
      <c r="F474" s="181"/>
      <c r="G474" s="2"/>
      <c r="I474" s="190"/>
      <c r="J474" s="190"/>
      <c r="K474" s="2"/>
      <c r="Z474" s="4"/>
      <c r="AC474" s="4"/>
      <c r="AF474" s="4"/>
    </row>
    <row r="475">
      <c r="A475" s="179"/>
      <c r="B475" s="180"/>
      <c r="C475" s="2"/>
      <c r="E475" s="181"/>
      <c r="F475" s="181"/>
      <c r="G475" s="2"/>
      <c r="I475" s="190"/>
      <c r="J475" s="190"/>
      <c r="K475" s="2"/>
      <c r="Z475" s="4"/>
      <c r="AC475" s="4"/>
      <c r="AF475" s="4"/>
    </row>
    <row r="476">
      <c r="A476" s="179"/>
      <c r="B476" s="180"/>
      <c r="C476" s="2"/>
      <c r="E476" s="181"/>
      <c r="F476" s="181"/>
      <c r="G476" s="2"/>
      <c r="I476" s="190"/>
      <c r="J476" s="190"/>
      <c r="K476" s="2"/>
      <c r="Z476" s="4"/>
      <c r="AC476" s="4"/>
      <c r="AF476" s="4"/>
    </row>
    <row r="477">
      <c r="A477" s="179"/>
      <c r="B477" s="180"/>
      <c r="C477" s="2"/>
      <c r="E477" s="181"/>
      <c r="F477" s="181"/>
      <c r="G477" s="2"/>
      <c r="I477" s="190"/>
      <c r="J477" s="190"/>
      <c r="K477" s="2"/>
      <c r="Z477" s="4"/>
      <c r="AC477" s="4"/>
      <c r="AF477" s="4"/>
    </row>
    <row r="478">
      <c r="A478" s="179"/>
      <c r="B478" s="180"/>
      <c r="C478" s="2"/>
      <c r="E478" s="181"/>
      <c r="F478" s="181"/>
      <c r="G478" s="2"/>
      <c r="I478" s="190"/>
      <c r="J478" s="190"/>
      <c r="K478" s="2"/>
      <c r="Z478" s="4"/>
      <c r="AC478" s="4"/>
      <c r="AF478" s="4"/>
    </row>
    <row r="479">
      <c r="A479" s="179"/>
      <c r="B479" s="180"/>
      <c r="C479" s="2"/>
      <c r="E479" s="181"/>
      <c r="F479" s="181"/>
      <c r="G479" s="2"/>
      <c r="I479" s="190"/>
      <c r="J479" s="190"/>
      <c r="K479" s="2"/>
      <c r="Z479" s="4"/>
      <c r="AC479" s="4"/>
      <c r="AF479" s="4"/>
    </row>
    <row r="480">
      <c r="A480" s="179"/>
      <c r="B480" s="180"/>
      <c r="C480" s="2"/>
      <c r="E480" s="181"/>
      <c r="F480" s="181"/>
      <c r="G480" s="2"/>
      <c r="I480" s="190"/>
      <c r="J480" s="190"/>
      <c r="K480" s="2"/>
      <c r="Z480" s="4"/>
      <c r="AC480" s="4"/>
      <c r="AF480" s="4"/>
    </row>
    <row r="481">
      <c r="A481" s="179"/>
      <c r="B481" s="180"/>
      <c r="C481" s="2"/>
      <c r="E481" s="181"/>
      <c r="F481" s="181"/>
      <c r="G481" s="2"/>
      <c r="I481" s="190"/>
      <c r="J481" s="190"/>
      <c r="K481" s="2"/>
      <c r="Z481" s="4"/>
      <c r="AC481" s="4"/>
      <c r="AF481" s="4"/>
    </row>
    <row r="482">
      <c r="A482" s="179"/>
      <c r="B482" s="180"/>
      <c r="C482" s="2"/>
      <c r="E482" s="181"/>
      <c r="F482" s="181"/>
      <c r="G482" s="2"/>
      <c r="I482" s="190"/>
      <c r="J482" s="190"/>
      <c r="K482" s="2"/>
      <c r="Z482" s="4"/>
      <c r="AC482" s="4"/>
      <c r="AF482" s="4"/>
    </row>
    <row r="483">
      <c r="A483" s="179"/>
      <c r="B483" s="180"/>
      <c r="C483" s="2"/>
      <c r="E483" s="181"/>
      <c r="F483" s="181"/>
      <c r="G483" s="2"/>
      <c r="I483" s="190"/>
      <c r="J483" s="190"/>
      <c r="K483" s="2"/>
      <c r="Z483" s="4"/>
      <c r="AC483" s="4"/>
      <c r="AF483" s="4"/>
    </row>
    <row r="484">
      <c r="A484" s="179"/>
      <c r="B484" s="180"/>
      <c r="C484" s="2"/>
      <c r="E484" s="181"/>
      <c r="F484" s="181"/>
      <c r="G484" s="2"/>
      <c r="I484" s="190"/>
      <c r="J484" s="190"/>
      <c r="K484" s="2"/>
      <c r="Z484" s="4"/>
      <c r="AC484" s="4"/>
      <c r="AF484" s="4"/>
    </row>
    <row r="485">
      <c r="A485" s="179"/>
      <c r="B485" s="180"/>
      <c r="C485" s="2"/>
      <c r="E485" s="181"/>
      <c r="F485" s="181"/>
      <c r="G485" s="2"/>
      <c r="I485" s="190"/>
      <c r="J485" s="190"/>
      <c r="K485" s="2"/>
      <c r="Z485" s="4"/>
      <c r="AC485" s="4"/>
      <c r="AF485" s="4"/>
    </row>
    <row r="486">
      <c r="A486" s="179"/>
      <c r="B486" s="180"/>
      <c r="C486" s="2"/>
      <c r="E486" s="181"/>
      <c r="F486" s="181"/>
      <c r="G486" s="2"/>
      <c r="I486" s="190"/>
      <c r="J486" s="190"/>
      <c r="K486" s="2"/>
      <c r="Z486" s="4"/>
      <c r="AC486" s="4"/>
      <c r="AF486" s="4"/>
    </row>
    <row r="487">
      <c r="A487" s="179"/>
      <c r="B487" s="180"/>
      <c r="C487" s="2"/>
      <c r="E487" s="181"/>
      <c r="F487" s="181"/>
      <c r="G487" s="2"/>
      <c r="I487" s="190"/>
      <c r="J487" s="190"/>
      <c r="K487" s="2"/>
      <c r="Z487" s="4"/>
      <c r="AC487" s="4"/>
      <c r="AF487" s="4"/>
    </row>
    <row r="488">
      <c r="A488" s="179"/>
      <c r="B488" s="180"/>
      <c r="C488" s="2"/>
      <c r="E488" s="181"/>
      <c r="F488" s="181"/>
      <c r="G488" s="2"/>
      <c r="I488" s="190"/>
      <c r="J488" s="190"/>
      <c r="K488" s="2"/>
      <c r="Z488" s="4"/>
      <c r="AC488" s="4"/>
      <c r="AF488" s="4"/>
    </row>
    <row r="489">
      <c r="A489" s="179"/>
      <c r="B489" s="180"/>
      <c r="C489" s="2"/>
      <c r="E489" s="181"/>
      <c r="F489" s="181"/>
      <c r="G489" s="2"/>
      <c r="I489" s="190"/>
      <c r="J489" s="190"/>
      <c r="K489" s="2"/>
      <c r="Z489" s="4"/>
      <c r="AC489" s="4"/>
      <c r="AF489" s="4"/>
    </row>
    <row r="490">
      <c r="A490" s="179"/>
      <c r="B490" s="180"/>
      <c r="C490" s="2"/>
      <c r="E490" s="181"/>
      <c r="F490" s="181"/>
      <c r="G490" s="2"/>
      <c r="I490" s="190"/>
      <c r="J490" s="190"/>
      <c r="K490" s="2"/>
      <c r="Z490" s="4"/>
      <c r="AC490" s="4"/>
      <c r="AF490" s="4"/>
    </row>
    <row r="491">
      <c r="A491" s="179"/>
      <c r="B491" s="180"/>
      <c r="C491" s="2"/>
      <c r="E491" s="181"/>
      <c r="F491" s="181"/>
      <c r="G491" s="2"/>
      <c r="I491" s="190"/>
      <c r="J491" s="190"/>
      <c r="K491" s="2"/>
      <c r="Z491" s="4"/>
      <c r="AC491" s="4"/>
      <c r="AF491" s="4"/>
    </row>
    <row r="492">
      <c r="A492" s="179"/>
      <c r="B492" s="180"/>
      <c r="C492" s="2"/>
      <c r="E492" s="181"/>
      <c r="F492" s="181"/>
      <c r="G492" s="2"/>
      <c r="I492" s="190"/>
      <c r="J492" s="190"/>
      <c r="K492" s="2"/>
      <c r="Z492" s="4"/>
      <c r="AC492" s="4"/>
      <c r="AF492" s="4"/>
    </row>
    <row r="493">
      <c r="A493" s="179"/>
      <c r="B493" s="180"/>
      <c r="C493" s="2"/>
      <c r="E493" s="181"/>
      <c r="F493" s="181"/>
      <c r="G493" s="2"/>
      <c r="I493" s="190"/>
      <c r="J493" s="190"/>
      <c r="K493" s="2"/>
      <c r="Z493" s="4"/>
      <c r="AC493" s="4"/>
      <c r="AF493" s="4"/>
    </row>
    <row r="494">
      <c r="A494" s="179"/>
      <c r="B494" s="180"/>
      <c r="C494" s="2"/>
      <c r="E494" s="181"/>
      <c r="F494" s="181"/>
      <c r="G494" s="2"/>
      <c r="I494" s="190"/>
      <c r="J494" s="190"/>
      <c r="K494" s="2"/>
      <c r="Z494" s="4"/>
      <c r="AC494" s="4"/>
      <c r="AF494" s="4"/>
    </row>
    <row r="495">
      <c r="A495" s="179"/>
      <c r="B495" s="180"/>
      <c r="C495" s="2"/>
      <c r="E495" s="181"/>
      <c r="F495" s="181"/>
      <c r="G495" s="2"/>
      <c r="I495" s="190"/>
      <c r="J495" s="190"/>
      <c r="K495" s="2"/>
      <c r="Z495" s="4"/>
      <c r="AC495" s="4"/>
      <c r="AF495" s="4"/>
    </row>
    <row r="496">
      <c r="A496" s="179"/>
      <c r="B496" s="180"/>
      <c r="C496" s="2"/>
      <c r="E496" s="181"/>
      <c r="F496" s="181"/>
      <c r="G496" s="2"/>
      <c r="I496" s="190"/>
      <c r="J496" s="190"/>
      <c r="K496" s="2"/>
      <c r="Z496" s="4"/>
      <c r="AC496" s="4"/>
      <c r="AF496" s="4"/>
    </row>
    <row r="497">
      <c r="A497" s="179"/>
      <c r="B497" s="180"/>
      <c r="C497" s="2"/>
      <c r="E497" s="181"/>
      <c r="F497" s="181"/>
      <c r="G497" s="2"/>
      <c r="I497" s="190"/>
      <c r="J497" s="190"/>
      <c r="K497" s="2"/>
      <c r="Z497" s="4"/>
      <c r="AC497" s="4"/>
      <c r="AF497" s="4"/>
    </row>
    <row r="498">
      <c r="A498" s="179"/>
      <c r="B498" s="180"/>
      <c r="C498" s="2"/>
      <c r="E498" s="181"/>
      <c r="F498" s="181"/>
      <c r="G498" s="2"/>
      <c r="I498" s="190"/>
      <c r="J498" s="190"/>
      <c r="K498" s="2"/>
      <c r="Z498" s="4"/>
      <c r="AC498" s="4"/>
      <c r="AF498" s="4"/>
    </row>
    <row r="499">
      <c r="A499" s="179"/>
      <c r="B499" s="180"/>
      <c r="C499" s="2"/>
      <c r="E499" s="181"/>
      <c r="F499" s="181"/>
      <c r="G499" s="2"/>
      <c r="I499" s="190"/>
      <c r="J499" s="190"/>
      <c r="K499" s="2"/>
      <c r="Z499" s="4"/>
      <c r="AC499" s="4"/>
      <c r="AF499" s="4"/>
    </row>
    <row r="500">
      <c r="A500" s="179"/>
      <c r="B500" s="180"/>
      <c r="C500" s="2"/>
      <c r="E500" s="181"/>
      <c r="F500" s="181"/>
      <c r="G500" s="2"/>
      <c r="I500" s="190"/>
      <c r="J500" s="190"/>
      <c r="K500" s="2"/>
      <c r="Z500" s="4"/>
      <c r="AC500" s="4"/>
      <c r="AF500" s="4"/>
    </row>
    <row r="501">
      <c r="A501" s="179"/>
      <c r="B501" s="180"/>
      <c r="C501" s="2"/>
      <c r="E501" s="181"/>
      <c r="F501" s="181"/>
      <c r="G501" s="2"/>
      <c r="I501" s="190"/>
      <c r="J501" s="190"/>
      <c r="K501" s="2"/>
      <c r="Z501" s="4"/>
      <c r="AC501" s="4"/>
      <c r="AF501" s="4"/>
    </row>
    <row r="502">
      <c r="A502" s="179"/>
      <c r="B502" s="180"/>
      <c r="C502" s="2"/>
      <c r="E502" s="181"/>
      <c r="F502" s="181"/>
      <c r="G502" s="2"/>
      <c r="I502" s="190"/>
      <c r="J502" s="190"/>
      <c r="K502" s="2"/>
      <c r="Z502" s="4"/>
      <c r="AC502" s="4"/>
      <c r="AF502" s="4"/>
    </row>
    <row r="503">
      <c r="A503" s="179"/>
      <c r="B503" s="180"/>
      <c r="C503" s="2"/>
      <c r="E503" s="181"/>
      <c r="F503" s="181"/>
      <c r="G503" s="2"/>
      <c r="I503" s="190"/>
      <c r="J503" s="190"/>
      <c r="K503" s="2"/>
      <c r="Z503" s="4"/>
      <c r="AC503" s="4"/>
      <c r="AF503" s="4"/>
    </row>
    <row r="504">
      <c r="A504" s="179"/>
      <c r="B504" s="180"/>
      <c r="C504" s="2"/>
      <c r="E504" s="181"/>
      <c r="F504" s="181"/>
      <c r="G504" s="2"/>
      <c r="I504" s="190"/>
      <c r="J504" s="190"/>
      <c r="K504" s="2"/>
      <c r="Z504" s="4"/>
      <c r="AC504" s="4"/>
      <c r="AF504" s="4"/>
    </row>
    <row r="505">
      <c r="A505" s="179"/>
      <c r="B505" s="180"/>
      <c r="C505" s="2"/>
      <c r="E505" s="181"/>
      <c r="F505" s="181"/>
      <c r="G505" s="2"/>
      <c r="I505" s="190"/>
      <c r="J505" s="190"/>
      <c r="K505" s="2"/>
      <c r="Z505" s="4"/>
      <c r="AC505" s="4"/>
      <c r="AF505" s="4"/>
    </row>
    <row r="506">
      <c r="A506" s="179"/>
      <c r="B506" s="180"/>
      <c r="C506" s="2"/>
      <c r="E506" s="181"/>
      <c r="F506" s="181"/>
      <c r="G506" s="2"/>
      <c r="I506" s="190"/>
      <c r="J506" s="190"/>
      <c r="K506" s="2"/>
      <c r="Z506" s="4"/>
      <c r="AC506" s="4"/>
      <c r="AF506" s="4"/>
    </row>
    <row r="507">
      <c r="A507" s="179"/>
      <c r="B507" s="180"/>
      <c r="C507" s="2"/>
      <c r="E507" s="181"/>
      <c r="F507" s="181"/>
      <c r="G507" s="2"/>
      <c r="I507" s="190"/>
      <c r="J507" s="190"/>
      <c r="K507" s="2"/>
      <c r="Z507" s="4"/>
      <c r="AC507" s="4"/>
      <c r="AF507" s="4"/>
    </row>
    <row r="508">
      <c r="A508" s="179"/>
      <c r="B508" s="180"/>
      <c r="C508" s="2"/>
      <c r="E508" s="181"/>
      <c r="F508" s="181"/>
      <c r="G508" s="2"/>
      <c r="I508" s="190"/>
      <c r="J508" s="190"/>
      <c r="K508" s="2"/>
      <c r="Z508" s="4"/>
      <c r="AC508" s="4"/>
      <c r="AF508" s="4"/>
    </row>
    <row r="509">
      <c r="A509" s="179"/>
      <c r="B509" s="180"/>
      <c r="C509" s="2"/>
      <c r="E509" s="181"/>
      <c r="F509" s="181"/>
      <c r="G509" s="2"/>
      <c r="I509" s="190"/>
      <c r="J509" s="190"/>
      <c r="K509" s="2"/>
      <c r="Z509" s="4"/>
      <c r="AC509" s="4"/>
      <c r="AF509" s="4"/>
    </row>
    <row r="510">
      <c r="A510" s="179"/>
      <c r="B510" s="180"/>
      <c r="C510" s="2"/>
      <c r="E510" s="181"/>
      <c r="F510" s="181"/>
      <c r="G510" s="2"/>
      <c r="I510" s="190"/>
      <c r="J510" s="190"/>
      <c r="K510" s="2"/>
      <c r="Z510" s="4"/>
      <c r="AC510" s="4"/>
      <c r="AF510" s="4"/>
    </row>
    <row r="511">
      <c r="A511" s="179"/>
      <c r="B511" s="180"/>
      <c r="C511" s="2"/>
      <c r="E511" s="181"/>
      <c r="F511" s="181"/>
      <c r="G511" s="2"/>
      <c r="I511" s="190"/>
      <c r="J511" s="190"/>
      <c r="K511" s="2"/>
      <c r="Z511" s="4"/>
      <c r="AC511" s="4"/>
      <c r="AF511" s="4"/>
    </row>
    <row r="512">
      <c r="A512" s="179"/>
      <c r="B512" s="180"/>
      <c r="C512" s="2"/>
      <c r="E512" s="181"/>
      <c r="F512" s="181"/>
      <c r="G512" s="2"/>
      <c r="I512" s="190"/>
      <c r="J512" s="190"/>
      <c r="K512" s="2"/>
      <c r="Z512" s="4"/>
      <c r="AC512" s="4"/>
      <c r="AF512" s="4"/>
    </row>
    <row r="513">
      <c r="A513" s="179"/>
      <c r="B513" s="180"/>
      <c r="C513" s="2"/>
      <c r="E513" s="181"/>
      <c r="F513" s="181"/>
      <c r="G513" s="2"/>
      <c r="I513" s="190"/>
      <c r="J513" s="190"/>
      <c r="K513" s="2"/>
      <c r="Z513" s="4"/>
      <c r="AC513" s="4"/>
      <c r="AF513" s="4"/>
    </row>
    <row r="514">
      <c r="A514" s="179"/>
      <c r="B514" s="180"/>
      <c r="C514" s="2"/>
      <c r="E514" s="181"/>
      <c r="F514" s="181"/>
      <c r="G514" s="2"/>
      <c r="I514" s="190"/>
      <c r="J514" s="190"/>
      <c r="K514" s="2"/>
      <c r="Z514" s="4"/>
      <c r="AC514" s="4"/>
      <c r="AF514" s="4"/>
    </row>
    <row r="515">
      <c r="A515" s="179"/>
      <c r="B515" s="180"/>
      <c r="C515" s="2"/>
      <c r="E515" s="181"/>
      <c r="F515" s="181"/>
      <c r="G515" s="2"/>
      <c r="I515" s="190"/>
      <c r="J515" s="190"/>
      <c r="K515" s="2"/>
      <c r="Z515" s="4"/>
      <c r="AC515" s="4"/>
      <c r="AF515" s="4"/>
    </row>
    <row r="516">
      <c r="A516" s="179"/>
      <c r="B516" s="180"/>
      <c r="C516" s="2"/>
      <c r="E516" s="181"/>
      <c r="F516" s="181"/>
      <c r="G516" s="2"/>
      <c r="I516" s="190"/>
      <c r="J516" s="190"/>
      <c r="K516" s="2"/>
      <c r="Z516" s="4"/>
      <c r="AC516" s="4"/>
      <c r="AF516" s="4"/>
    </row>
    <row r="517">
      <c r="A517" s="179"/>
      <c r="B517" s="180"/>
      <c r="C517" s="2"/>
      <c r="E517" s="181"/>
      <c r="F517" s="181"/>
      <c r="G517" s="2"/>
      <c r="I517" s="190"/>
      <c r="J517" s="190"/>
      <c r="K517" s="2"/>
      <c r="Z517" s="4"/>
      <c r="AC517" s="4"/>
      <c r="AF517" s="4"/>
    </row>
    <row r="518">
      <c r="A518" s="179"/>
      <c r="B518" s="180"/>
      <c r="C518" s="2"/>
      <c r="E518" s="181"/>
      <c r="F518" s="181"/>
      <c r="G518" s="2"/>
      <c r="I518" s="190"/>
      <c r="J518" s="190"/>
      <c r="K518" s="2"/>
      <c r="Z518" s="4"/>
      <c r="AC518" s="4"/>
      <c r="AF518" s="4"/>
    </row>
    <row r="519">
      <c r="A519" s="179"/>
      <c r="B519" s="180"/>
      <c r="C519" s="2"/>
      <c r="E519" s="181"/>
      <c r="F519" s="181"/>
      <c r="G519" s="2"/>
      <c r="I519" s="190"/>
      <c r="J519" s="190"/>
      <c r="K519" s="2"/>
      <c r="Z519" s="4"/>
      <c r="AC519" s="4"/>
      <c r="AF519" s="4"/>
    </row>
    <row r="520">
      <c r="A520" s="179"/>
      <c r="B520" s="180"/>
      <c r="C520" s="2"/>
      <c r="E520" s="181"/>
      <c r="F520" s="181"/>
      <c r="G520" s="2"/>
      <c r="I520" s="190"/>
      <c r="J520" s="190"/>
      <c r="K520" s="2"/>
      <c r="Z520" s="4"/>
      <c r="AC520" s="4"/>
      <c r="AF520" s="4"/>
    </row>
    <row r="521">
      <c r="A521" s="179"/>
      <c r="B521" s="180"/>
      <c r="C521" s="2"/>
      <c r="E521" s="181"/>
      <c r="F521" s="181"/>
      <c r="G521" s="2"/>
      <c r="I521" s="190"/>
      <c r="J521" s="190"/>
      <c r="K521" s="2"/>
      <c r="Z521" s="4"/>
      <c r="AC521" s="4"/>
      <c r="AF521" s="4"/>
    </row>
    <row r="522">
      <c r="A522" s="179"/>
      <c r="B522" s="180"/>
      <c r="C522" s="2"/>
      <c r="E522" s="181"/>
      <c r="F522" s="181"/>
      <c r="G522" s="2"/>
      <c r="I522" s="190"/>
      <c r="J522" s="190"/>
      <c r="K522" s="2"/>
      <c r="Z522" s="4"/>
      <c r="AC522" s="4"/>
      <c r="AF522" s="4"/>
    </row>
    <row r="523">
      <c r="A523" s="179"/>
      <c r="B523" s="180"/>
      <c r="C523" s="2"/>
      <c r="E523" s="181"/>
      <c r="F523" s="181"/>
      <c r="G523" s="2"/>
      <c r="I523" s="190"/>
      <c r="J523" s="190"/>
      <c r="K523" s="2"/>
      <c r="Z523" s="4"/>
      <c r="AC523" s="4"/>
      <c r="AF523" s="4"/>
    </row>
    <row r="524">
      <c r="A524" s="179"/>
      <c r="B524" s="180"/>
      <c r="C524" s="2"/>
      <c r="E524" s="181"/>
      <c r="F524" s="181"/>
      <c r="G524" s="2"/>
      <c r="I524" s="190"/>
      <c r="J524" s="190"/>
      <c r="K524" s="2"/>
      <c r="Z524" s="4"/>
      <c r="AC524" s="4"/>
      <c r="AF524" s="4"/>
    </row>
    <row r="525">
      <c r="A525" s="179"/>
      <c r="B525" s="180"/>
      <c r="C525" s="2"/>
      <c r="E525" s="181"/>
      <c r="F525" s="181"/>
      <c r="G525" s="2"/>
      <c r="I525" s="190"/>
      <c r="J525" s="190"/>
      <c r="K525" s="2"/>
      <c r="Z525" s="4"/>
      <c r="AC525" s="4"/>
      <c r="AF525" s="4"/>
    </row>
    <row r="526">
      <c r="A526" s="179"/>
      <c r="B526" s="180"/>
      <c r="C526" s="2"/>
      <c r="E526" s="181"/>
      <c r="F526" s="181"/>
      <c r="G526" s="2"/>
      <c r="I526" s="190"/>
      <c r="J526" s="190"/>
      <c r="K526" s="2"/>
      <c r="Z526" s="4"/>
      <c r="AC526" s="4"/>
      <c r="AF526" s="4"/>
    </row>
    <row r="527">
      <c r="A527" s="179"/>
      <c r="B527" s="180"/>
      <c r="C527" s="2"/>
      <c r="E527" s="181"/>
      <c r="F527" s="181"/>
      <c r="G527" s="2"/>
      <c r="I527" s="190"/>
      <c r="J527" s="190"/>
      <c r="K527" s="2"/>
      <c r="Z527" s="4"/>
      <c r="AC527" s="4"/>
      <c r="AF527" s="4"/>
    </row>
    <row r="528">
      <c r="A528" s="179"/>
      <c r="B528" s="180"/>
      <c r="C528" s="2"/>
      <c r="E528" s="181"/>
      <c r="F528" s="181"/>
      <c r="G528" s="2"/>
      <c r="I528" s="190"/>
      <c r="J528" s="190"/>
      <c r="K528" s="2"/>
      <c r="Z528" s="4"/>
      <c r="AC528" s="4"/>
      <c r="AF528" s="4"/>
    </row>
    <row r="529">
      <c r="A529" s="179"/>
      <c r="B529" s="180"/>
      <c r="C529" s="2"/>
      <c r="E529" s="181"/>
      <c r="F529" s="181"/>
      <c r="G529" s="2"/>
      <c r="I529" s="190"/>
      <c r="J529" s="190"/>
      <c r="K529" s="2"/>
      <c r="Z529" s="4"/>
      <c r="AC529" s="4"/>
      <c r="AF529" s="4"/>
    </row>
    <row r="530">
      <c r="A530" s="179"/>
      <c r="B530" s="180"/>
      <c r="C530" s="2"/>
      <c r="E530" s="181"/>
      <c r="F530" s="181"/>
      <c r="G530" s="2"/>
      <c r="I530" s="190"/>
      <c r="J530" s="190"/>
      <c r="K530" s="2"/>
      <c r="Z530" s="4"/>
      <c r="AC530" s="4"/>
      <c r="AF530" s="4"/>
    </row>
    <row r="531">
      <c r="A531" s="179"/>
      <c r="B531" s="180"/>
      <c r="C531" s="2"/>
      <c r="E531" s="181"/>
      <c r="F531" s="181"/>
      <c r="G531" s="2"/>
      <c r="I531" s="190"/>
      <c r="J531" s="190"/>
      <c r="K531" s="2"/>
      <c r="Z531" s="4"/>
      <c r="AC531" s="4"/>
      <c r="AF531" s="4"/>
    </row>
    <row r="532">
      <c r="A532" s="179"/>
      <c r="B532" s="180"/>
      <c r="C532" s="2"/>
      <c r="E532" s="181"/>
      <c r="F532" s="181"/>
      <c r="G532" s="2"/>
      <c r="I532" s="190"/>
      <c r="J532" s="190"/>
      <c r="K532" s="2"/>
      <c r="Z532" s="4"/>
      <c r="AC532" s="4"/>
      <c r="AF532" s="4"/>
    </row>
    <row r="533">
      <c r="A533" s="179"/>
      <c r="B533" s="180"/>
      <c r="C533" s="2"/>
      <c r="E533" s="181"/>
      <c r="F533" s="181"/>
      <c r="G533" s="2"/>
      <c r="I533" s="190"/>
      <c r="J533" s="190"/>
      <c r="K533" s="2"/>
      <c r="Z533" s="4"/>
      <c r="AC533" s="4"/>
      <c r="AF533" s="4"/>
    </row>
    <row r="534">
      <c r="A534" s="179"/>
      <c r="B534" s="180"/>
      <c r="C534" s="2"/>
      <c r="E534" s="181"/>
      <c r="F534" s="181"/>
      <c r="G534" s="2"/>
      <c r="I534" s="190"/>
      <c r="J534" s="190"/>
      <c r="K534" s="2"/>
      <c r="Z534" s="4"/>
      <c r="AC534" s="4"/>
      <c r="AF534" s="4"/>
    </row>
    <row r="535">
      <c r="A535" s="179"/>
      <c r="B535" s="180"/>
      <c r="C535" s="2"/>
      <c r="E535" s="181"/>
      <c r="F535" s="181"/>
      <c r="G535" s="2"/>
      <c r="I535" s="190"/>
      <c r="J535" s="190"/>
      <c r="K535" s="2"/>
      <c r="Z535" s="4"/>
      <c r="AC535" s="4"/>
      <c r="AF535" s="4"/>
    </row>
    <row r="536">
      <c r="A536" s="179"/>
      <c r="B536" s="180"/>
      <c r="C536" s="2"/>
      <c r="E536" s="181"/>
      <c r="F536" s="181"/>
      <c r="G536" s="2"/>
      <c r="I536" s="190"/>
      <c r="J536" s="190"/>
      <c r="K536" s="2"/>
      <c r="Z536" s="4"/>
      <c r="AC536" s="4"/>
      <c r="AF536" s="4"/>
    </row>
    <row r="537">
      <c r="A537" s="179"/>
      <c r="B537" s="180"/>
      <c r="C537" s="2"/>
      <c r="E537" s="181"/>
      <c r="F537" s="181"/>
      <c r="G537" s="2"/>
      <c r="I537" s="190"/>
      <c r="J537" s="190"/>
      <c r="K537" s="2"/>
      <c r="Z537" s="4"/>
      <c r="AC537" s="4"/>
      <c r="AF537" s="4"/>
    </row>
    <row r="538">
      <c r="A538" s="179"/>
      <c r="B538" s="180"/>
      <c r="C538" s="2"/>
      <c r="E538" s="181"/>
      <c r="F538" s="181"/>
      <c r="G538" s="2"/>
      <c r="I538" s="190"/>
      <c r="J538" s="190"/>
      <c r="K538" s="2"/>
      <c r="Z538" s="4"/>
      <c r="AC538" s="4"/>
      <c r="AF538" s="4"/>
    </row>
    <row r="539">
      <c r="A539" s="179"/>
      <c r="B539" s="180"/>
      <c r="C539" s="2"/>
      <c r="E539" s="181"/>
      <c r="F539" s="181"/>
      <c r="G539" s="2"/>
      <c r="I539" s="190"/>
      <c r="J539" s="190"/>
      <c r="K539" s="2"/>
      <c r="Z539" s="4"/>
      <c r="AC539" s="4"/>
      <c r="AF539" s="4"/>
    </row>
    <row r="540">
      <c r="A540" s="179"/>
      <c r="B540" s="180"/>
      <c r="C540" s="2"/>
      <c r="E540" s="181"/>
      <c r="F540" s="181"/>
      <c r="G540" s="2"/>
      <c r="I540" s="190"/>
      <c r="J540" s="190"/>
      <c r="K540" s="2"/>
      <c r="Z540" s="4"/>
      <c r="AC540" s="4"/>
      <c r="AF540" s="4"/>
    </row>
    <row r="541">
      <c r="A541" s="179"/>
      <c r="B541" s="180"/>
      <c r="C541" s="2"/>
      <c r="E541" s="181"/>
      <c r="F541" s="181"/>
      <c r="G541" s="2"/>
      <c r="I541" s="190"/>
      <c r="J541" s="190"/>
      <c r="K541" s="2"/>
      <c r="Z541" s="4"/>
      <c r="AC541" s="4"/>
      <c r="AF541" s="4"/>
    </row>
    <row r="542">
      <c r="A542" s="179"/>
      <c r="B542" s="180"/>
      <c r="C542" s="2"/>
      <c r="E542" s="181"/>
      <c r="F542" s="181"/>
      <c r="G542" s="2"/>
      <c r="I542" s="190"/>
      <c r="J542" s="190"/>
      <c r="K542" s="2"/>
      <c r="Z542" s="4"/>
      <c r="AC542" s="4"/>
      <c r="AF542" s="4"/>
    </row>
    <row r="543">
      <c r="A543" s="179"/>
      <c r="B543" s="180"/>
      <c r="C543" s="2"/>
      <c r="E543" s="181"/>
      <c r="F543" s="181"/>
      <c r="G543" s="2"/>
      <c r="I543" s="190"/>
      <c r="J543" s="190"/>
      <c r="K543" s="2"/>
      <c r="Z543" s="4"/>
      <c r="AC543" s="4"/>
      <c r="AF543" s="4"/>
    </row>
    <row r="544">
      <c r="A544" s="179"/>
      <c r="B544" s="180"/>
      <c r="C544" s="2"/>
      <c r="E544" s="181"/>
      <c r="F544" s="181"/>
      <c r="G544" s="2"/>
      <c r="I544" s="190"/>
      <c r="J544" s="190"/>
      <c r="K544" s="2"/>
      <c r="Z544" s="4"/>
      <c r="AC544" s="4"/>
      <c r="AF544" s="4"/>
    </row>
    <row r="545">
      <c r="A545" s="179"/>
      <c r="B545" s="180"/>
      <c r="C545" s="2"/>
      <c r="E545" s="181"/>
      <c r="F545" s="181"/>
      <c r="G545" s="2"/>
      <c r="I545" s="190"/>
      <c r="J545" s="190"/>
      <c r="K545" s="2"/>
      <c r="Z545" s="4"/>
      <c r="AC545" s="4"/>
      <c r="AF545" s="4"/>
    </row>
    <row r="546">
      <c r="A546" s="179"/>
      <c r="B546" s="180"/>
      <c r="C546" s="2"/>
      <c r="E546" s="181"/>
      <c r="F546" s="181"/>
      <c r="G546" s="2"/>
      <c r="I546" s="190"/>
      <c r="J546" s="190"/>
      <c r="K546" s="2"/>
      <c r="Z546" s="4"/>
      <c r="AC546" s="4"/>
      <c r="AF546" s="4"/>
    </row>
    <row r="547">
      <c r="A547" s="179"/>
      <c r="B547" s="180"/>
      <c r="C547" s="2"/>
      <c r="E547" s="181"/>
      <c r="F547" s="181"/>
      <c r="G547" s="2"/>
      <c r="I547" s="190"/>
      <c r="J547" s="190"/>
      <c r="K547" s="2"/>
      <c r="Z547" s="4"/>
      <c r="AC547" s="4"/>
      <c r="AF547" s="4"/>
    </row>
    <row r="548">
      <c r="A548" s="179"/>
      <c r="B548" s="180"/>
      <c r="C548" s="2"/>
      <c r="E548" s="181"/>
      <c r="F548" s="181"/>
      <c r="G548" s="2"/>
      <c r="I548" s="190"/>
      <c r="J548" s="190"/>
      <c r="K548" s="2"/>
      <c r="Z548" s="4"/>
      <c r="AC548" s="4"/>
      <c r="AF548" s="4"/>
    </row>
    <row r="549">
      <c r="A549" s="179"/>
      <c r="B549" s="180"/>
      <c r="C549" s="2"/>
      <c r="E549" s="181"/>
      <c r="F549" s="181"/>
      <c r="G549" s="2"/>
      <c r="I549" s="190"/>
      <c r="J549" s="190"/>
      <c r="K549" s="2"/>
      <c r="Z549" s="4"/>
      <c r="AC549" s="4"/>
      <c r="AF549" s="4"/>
    </row>
    <row r="550">
      <c r="A550" s="179"/>
      <c r="B550" s="180"/>
      <c r="C550" s="2"/>
      <c r="E550" s="181"/>
      <c r="F550" s="181"/>
      <c r="G550" s="2"/>
      <c r="I550" s="190"/>
      <c r="J550" s="190"/>
      <c r="K550" s="2"/>
      <c r="Z550" s="4"/>
      <c r="AC550" s="4"/>
      <c r="AF550" s="4"/>
    </row>
    <row r="551">
      <c r="A551" s="179"/>
      <c r="B551" s="180"/>
      <c r="C551" s="2"/>
      <c r="E551" s="181"/>
      <c r="F551" s="181"/>
      <c r="G551" s="2"/>
      <c r="I551" s="190"/>
      <c r="J551" s="190"/>
      <c r="K551" s="2"/>
      <c r="Z551" s="4"/>
      <c r="AC551" s="4"/>
      <c r="AF551" s="4"/>
    </row>
    <row r="552">
      <c r="A552" s="179"/>
      <c r="B552" s="180"/>
      <c r="C552" s="2"/>
      <c r="E552" s="181"/>
      <c r="F552" s="181"/>
      <c r="G552" s="2"/>
      <c r="I552" s="190"/>
      <c r="J552" s="190"/>
      <c r="K552" s="2"/>
      <c r="Z552" s="4"/>
      <c r="AC552" s="4"/>
      <c r="AF552" s="4"/>
    </row>
    <row r="553">
      <c r="A553" s="179"/>
      <c r="B553" s="180"/>
      <c r="C553" s="2"/>
      <c r="E553" s="181"/>
      <c r="F553" s="181"/>
      <c r="G553" s="2"/>
      <c r="I553" s="190"/>
      <c r="J553" s="190"/>
      <c r="K553" s="2"/>
      <c r="Z553" s="4"/>
      <c r="AC553" s="4"/>
      <c r="AF553" s="4"/>
    </row>
    <row r="554">
      <c r="A554" s="179"/>
      <c r="B554" s="180"/>
      <c r="C554" s="2"/>
      <c r="E554" s="181"/>
      <c r="F554" s="181"/>
      <c r="G554" s="2"/>
      <c r="I554" s="190"/>
      <c r="J554" s="190"/>
      <c r="K554" s="2"/>
      <c r="Z554" s="4"/>
      <c r="AC554" s="4"/>
      <c r="AF554" s="4"/>
    </row>
    <row r="555">
      <c r="A555" s="179"/>
      <c r="B555" s="180"/>
      <c r="C555" s="2"/>
      <c r="E555" s="181"/>
      <c r="F555" s="181"/>
      <c r="G555" s="2"/>
      <c r="I555" s="190"/>
      <c r="J555" s="190"/>
      <c r="K555" s="2"/>
      <c r="Z555" s="4"/>
      <c r="AC555" s="4"/>
      <c r="AF555" s="4"/>
    </row>
    <row r="556">
      <c r="A556" s="179"/>
      <c r="B556" s="180"/>
      <c r="C556" s="2"/>
      <c r="E556" s="181"/>
      <c r="F556" s="181"/>
      <c r="G556" s="2"/>
      <c r="I556" s="190"/>
      <c r="J556" s="190"/>
      <c r="K556" s="2"/>
      <c r="Z556" s="4"/>
      <c r="AC556" s="4"/>
      <c r="AF556" s="4"/>
    </row>
    <row r="557">
      <c r="A557" s="179"/>
      <c r="B557" s="180"/>
      <c r="C557" s="2"/>
      <c r="E557" s="181"/>
      <c r="F557" s="181"/>
      <c r="G557" s="2"/>
      <c r="I557" s="190"/>
      <c r="J557" s="190"/>
      <c r="K557" s="2"/>
      <c r="Z557" s="4"/>
      <c r="AC557" s="4"/>
      <c r="AF557" s="4"/>
    </row>
    <row r="558">
      <c r="A558" s="179"/>
      <c r="B558" s="180"/>
      <c r="C558" s="2"/>
      <c r="E558" s="181"/>
      <c r="F558" s="181"/>
      <c r="G558" s="2"/>
      <c r="I558" s="190"/>
      <c r="J558" s="190"/>
      <c r="K558" s="2"/>
      <c r="Z558" s="4"/>
      <c r="AC558" s="4"/>
      <c r="AF558" s="4"/>
    </row>
    <row r="559">
      <c r="A559" s="179"/>
      <c r="B559" s="180"/>
      <c r="C559" s="2"/>
      <c r="E559" s="181"/>
      <c r="F559" s="181"/>
      <c r="G559" s="2"/>
      <c r="I559" s="190"/>
      <c r="J559" s="190"/>
      <c r="K559" s="2"/>
      <c r="Z559" s="4"/>
      <c r="AC559" s="4"/>
      <c r="AF559" s="4"/>
    </row>
    <row r="560">
      <c r="A560" s="179"/>
      <c r="B560" s="180"/>
      <c r="C560" s="2"/>
      <c r="E560" s="181"/>
      <c r="F560" s="181"/>
      <c r="G560" s="2"/>
      <c r="I560" s="190"/>
      <c r="J560" s="190"/>
      <c r="K560" s="2"/>
      <c r="Z560" s="4"/>
      <c r="AC560" s="4"/>
      <c r="AF560" s="4"/>
    </row>
    <row r="561">
      <c r="A561" s="179"/>
      <c r="B561" s="180"/>
      <c r="C561" s="2"/>
      <c r="E561" s="181"/>
      <c r="F561" s="181"/>
      <c r="G561" s="2"/>
      <c r="I561" s="190"/>
      <c r="J561" s="190"/>
      <c r="K561" s="2"/>
      <c r="Z561" s="4"/>
      <c r="AC561" s="4"/>
      <c r="AF561" s="4"/>
    </row>
    <row r="562">
      <c r="A562" s="179"/>
      <c r="B562" s="180"/>
      <c r="C562" s="2"/>
      <c r="E562" s="181"/>
      <c r="F562" s="181"/>
      <c r="G562" s="2"/>
      <c r="I562" s="190"/>
      <c r="J562" s="190"/>
      <c r="K562" s="2"/>
      <c r="Z562" s="4"/>
      <c r="AC562" s="4"/>
      <c r="AF562" s="4"/>
    </row>
    <row r="563">
      <c r="A563" s="179"/>
      <c r="B563" s="180"/>
      <c r="C563" s="2"/>
      <c r="E563" s="181"/>
      <c r="F563" s="181"/>
      <c r="G563" s="2"/>
      <c r="I563" s="190"/>
      <c r="J563" s="190"/>
      <c r="K563" s="2"/>
      <c r="Z563" s="4"/>
      <c r="AC563" s="4"/>
      <c r="AF563" s="4"/>
    </row>
    <row r="564">
      <c r="A564" s="179"/>
      <c r="B564" s="180"/>
      <c r="C564" s="2"/>
      <c r="E564" s="181"/>
      <c r="F564" s="181"/>
      <c r="G564" s="2"/>
      <c r="I564" s="190"/>
      <c r="J564" s="190"/>
      <c r="K564" s="2"/>
      <c r="Z564" s="4"/>
      <c r="AC564" s="4"/>
      <c r="AF564" s="4"/>
    </row>
    <row r="565">
      <c r="A565" s="179"/>
      <c r="B565" s="180"/>
      <c r="C565" s="2"/>
      <c r="E565" s="181"/>
      <c r="F565" s="181"/>
      <c r="G565" s="2"/>
      <c r="I565" s="190"/>
      <c r="J565" s="190"/>
      <c r="K565" s="2"/>
      <c r="Z565" s="4"/>
      <c r="AC565" s="4"/>
      <c r="AF565" s="4"/>
    </row>
    <row r="566">
      <c r="A566" s="179"/>
      <c r="B566" s="180"/>
      <c r="C566" s="2"/>
      <c r="E566" s="181"/>
      <c r="F566" s="181"/>
      <c r="G566" s="2"/>
      <c r="I566" s="190"/>
      <c r="J566" s="190"/>
      <c r="K566" s="2"/>
      <c r="Z566" s="4"/>
      <c r="AC566" s="4"/>
      <c r="AF566" s="4"/>
    </row>
    <row r="567">
      <c r="A567" s="179"/>
      <c r="B567" s="180"/>
      <c r="C567" s="2"/>
      <c r="E567" s="181"/>
      <c r="F567" s="181"/>
      <c r="G567" s="2"/>
      <c r="I567" s="190"/>
      <c r="J567" s="190"/>
      <c r="K567" s="2"/>
      <c r="Z567" s="4"/>
      <c r="AC567" s="4"/>
      <c r="AF567" s="4"/>
    </row>
    <row r="568">
      <c r="A568" s="179"/>
      <c r="B568" s="180"/>
      <c r="C568" s="2"/>
      <c r="E568" s="181"/>
      <c r="F568" s="181"/>
      <c r="G568" s="2"/>
      <c r="I568" s="190"/>
      <c r="J568" s="190"/>
      <c r="K568" s="2"/>
      <c r="Z568" s="4"/>
      <c r="AC568" s="4"/>
      <c r="AF568" s="4"/>
    </row>
    <row r="569">
      <c r="A569" s="179"/>
      <c r="B569" s="180"/>
      <c r="C569" s="2"/>
      <c r="E569" s="181"/>
      <c r="F569" s="181"/>
      <c r="G569" s="2"/>
      <c r="I569" s="190"/>
      <c r="J569" s="190"/>
      <c r="K569" s="2"/>
      <c r="Z569" s="4"/>
      <c r="AC569" s="4"/>
      <c r="AF569" s="4"/>
    </row>
    <row r="570">
      <c r="A570" s="179"/>
      <c r="B570" s="180"/>
      <c r="C570" s="2"/>
      <c r="E570" s="181"/>
      <c r="F570" s="181"/>
      <c r="G570" s="2"/>
      <c r="I570" s="190"/>
      <c r="J570" s="190"/>
      <c r="K570" s="2"/>
      <c r="Z570" s="4"/>
      <c r="AC570" s="4"/>
      <c r="AF570" s="4"/>
    </row>
    <row r="571">
      <c r="A571" s="179"/>
      <c r="B571" s="180"/>
      <c r="C571" s="2"/>
      <c r="E571" s="181"/>
      <c r="F571" s="181"/>
      <c r="G571" s="2"/>
      <c r="I571" s="190"/>
      <c r="J571" s="190"/>
      <c r="K571" s="2"/>
      <c r="Z571" s="4"/>
      <c r="AC571" s="4"/>
      <c r="AF571" s="4"/>
    </row>
    <row r="572">
      <c r="A572" s="179"/>
      <c r="B572" s="180"/>
      <c r="C572" s="2"/>
      <c r="E572" s="181"/>
      <c r="F572" s="181"/>
      <c r="G572" s="2"/>
      <c r="I572" s="190"/>
      <c r="J572" s="190"/>
      <c r="K572" s="2"/>
      <c r="Z572" s="4"/>
      <c r="AC572" s="4"/>
      <c r="AF572" s="4"/>
    </row>
    <row r="573">
      <c r="A573" s="179"/>
      <c r="B573" s="180"/>
      <c r="C573" s="2"/>
      <c r="E573" s="181"/>
      <c r="F573" s="181"/>
      <c r="G573" s="2"/>
      <c r="I573" s="190"/>
      <c r="J573" s="190"/>
      <c r="K573" s="2"/>
      <c r="Z573" s="4"/>
      <c r="AC573" s="4"/>
      <c r="AF573" s="4"/>
    </row>
    <row r="574">
      <c r="A574" s="179"/>
      <c r="B574" s="180"/>
      <c r="C574" s="2"/>
      <c r="E574" s="181"/>
      <c r="F574" s="181"/>
      <c r="G574" s="2"/>
      <c r="I574" s="190"/>
      <c r="J574" s="190"/>
      <c r="K574" s="2"/>
      <c r="Z574" s="4"/>
      <c r="AC574" s="4"/>
      <c r="AF574" s="4"/>
    </row>
    <row r="575">
      <c r="A575" s="179"/>
      <c r="B575" s="180"/>
      <c r="C575" s="2"/>
      <c r="E575" s="181"/>
      <c r="F575" s="181"/>
      <c r="G575" s="2"/>
      <c r="I575" s="190"/>
      <c r="J575" s="190"/>
      <c r="K575" s="2"/>
      <c r="Z575" s="4"/>
      <c r="AC575" s="4"/>
      <c r="AF575" s="4"/>
    </row>
    <row r="576">
      <c r="A576" s="179"/>
      <c r="B576" s="180"/>
      <c r="C576" s="2"/>
      <c r="E576" s="181"/>
      <c r="F576" s="181"/>
      <c r="G576" s="2"/>
      <c r="I576" s="190"/>
      <c r="J576" s="190"/>
      <c r="K576" s="2"/>
      <c r="Z576" s="4"/>
      <c r="AC576" s="4"/>
      <c r="AF576" s="4"/>
    </row>
    <row r="577">
      <c r="A577" s="179"/>
      <c r="B577" s="180"/>
      <c r="C577" s="2"/>
      <c r="E577" s="181"/>
      <c r="F577" s="181"/>
      <c r="G577" s="2"/>
      <c r="I577" s="190"/>
      <c r="J577" s="190"/>
      <c r="K577" s="2"/>
      <c r="Z577" s="4"/>
      <c r="AC577" s="4"/>
      <c r="AF577" s="4"/>
    </row>
    <row r="578">
      <c r="A578" s="179"/>
      <c r="B578" s="180"/>
      <c r="C578" s="2"/>
      <c r="E578" s="181"/>
      <c r="F578" s="181"/>
      <c r="G578" s="2"/>
      <c r="I578" s="190"/>
      <c r="J578" s="190"/>
      <c r="K578" s="2"/>
      <c r="Z578" s="4"/>
      <c r="AC578" s="4"/>
      <c r="AF578" s="4"/>
    </row>
    <row r="579">
      <c r="A579" s="179"/>
      <c r="B579" s="180"/>
      <c r="C579" s="2"/>
      <c r="E579" s="181"/>
      <c r="F579" s="181"/>
      <c r="G579" s="2"/>
      <c r="I579" s="190"/>
      <c r="J579" s="190"/>
      <c r="K579" s="2"/>
      <c r="Z579" s="4"/>
      <c r="AC579" s="4"/>
      <c r="AF579" s="4"/>
    </row>
    <row r="580">
      <c r="A580" s="179"/>
      <c r="B580" s="180"/>
      <c r="C580" s="2"/>
      <c r="E580" s="181"/>
      <c r="F580" s="181"/>
      <c r="G580" s="2"/>
      <c r="I580" s="190"/>
      <c r="J580" s="190"/>
      <c r="K580" s="2"/>
      <c r="Z580" s="4"/>
      <c r="AC580" s="4"/>
      <c r="AF580" s="4"/>
    </row>
    <row r="581">
      <c r="A581" s="179"/>
      <c r="B581" s="180"/>
      <c r="C581" s="2"/>
      <c r="E581" s="181"/>
      <c r="F581" s="181"/>
      <c r="G581" s="2"/>
      <c r="I581" s="190"/>
      <c r="J581" s="190"/>
      <c r="K581" s="2"/>
      <c r="Z581" s="4"/>
      <c r="AC581" s="4"/>
      <c r="AF581" s="4"/>
    </row>
    <row r="582">
      <c r="A582" s="179"/>
      <c r="B582" s="180"/>
      <c r="C582" s="2"/>
      <c r="E582" s="181"/>
      <c r="F582" s="181"/>
      <c r="G582" s="2"/>
      <c r="I582" s="190"/>
      <c r="J582" s="190"/>
      <c r="K582" s="2"/>
      <c r="Z582" s="4"/>
      <c r="AC582" s="4"/>
      <c r="AF582" s="4"/>
    </row>
    <row r="583">
      <c r="A583" s="179"/>
      <c r="B583" s="180"/>
      <c r="C583" s="2"/>
      <c r="E583" s="181"/>
      <c r="F583" s="181"/>
      <c r="G583" s="2"/>
      <c r="I583" s="190"/>
      <c r="J583" s="190"/>
      <c r="K583" s="2"/>
      <c r="Z583" s="4"/>
      <c r="AC583" s="4"/>
      <c r="AF583" s="4"/>
    </row>
    <row r="584">
      <c r="A584" s="179"/>
      <c r="B584" s="180"/>
      <c r="C584" s="2"/>
      <c r="E584" s="181"/>
      <c r="F584" s="181"/>
      <c r="G584" s="2"/>
      <c r="I584" s="190"/>
      <c r="J584" s="190"/>
      <c r="K584" s="2"/>
      <c r="Z584" s="4"/>
      <c r="AC584" s="4"/>
      <c r="AF584" s="4"/>
    </row>
    <row r="585">
      <c r="A585" s="179"/>
      <c r="B585" s="180"/>
      <c r="C585" s="2"/>
      <c r="E585" s="181"/>
      <c r="F585" s="181"/>
      <c r="G585" s="2"/>
      <c r="I585" s="190"/>
      <c r="J585" s="190"/>
      <c r="K585" s="2"/>
      <c r="Z585" s="4"/>
      <c r="AC585" s="4"/>
      <c r="AF585" s="4"/>
    </row>
    <row r="586">
      <c r="A586" s="179"/>
      <c r="B586" s="180"/>
      <c r="C586" s="2"/>
      <c r="E586" s="181"/>
      <c r="F586" s="181"/>
      <c r="G586" s="2"/>
      <c r="I586" s="190"/>
      <c r="J586" s="190"/>
      <c r="K586" s="2"/>
      <c r="Z586" s="4"/>
      <c r="AC586" s="4"/>
      <c r="AF586" s="4"/>
    </row>
    <row r="587">
      <c r="A587" s="179"/>
      <c r="B587" s="180"/>
      <c r="C587" s="2"/>
      <c r="E587" s="181"/>
      <c r="F587" s="181"/>
      <c r="G587" s="2"/>
      <c r="I587" s="190"/>
      <c r="J587" s="190"/>
      <c r="K587" s="2"/>
      <c r="Z587" s="4"/>
      <c r="AC587" s="4"/>
      <c r="AF587" s="4"/>
    </row>
    <row r="588">
      <c r="A588" s="179"/>
      <c r="B588" s="180"/>
      <c r="C588" s="2"/>
      <c r="E588" s="181"/>
      <c r="F588" s="181"/>
      <c r="G588" s="2"/>
      <c r="I588" s="190"/>
      <c r="J588" s="190"/>
      <c r="K588" s="2"/>
      <c r="Z588" s="4"/>
      <c r="AC588" s="4"/>
      <c r="AF588" s="4"/>
    </row>
    <row r="589">
      <c r="A589" s="179"/>
      <c r="B589" s="180"/>
      <c r="C589" s="2"/>
      <c r="E589" s="181"/>
      <c r="F589" s="181"/>
      <c r="G589" s="2"/>
      <c r="I589" s="190"/>
      <c r="J589" s="190"/>
      <c r="K589" s="2"/>
      <c r="Z589" s="4"/>
      <c r="AC589" s="4"/>
      <c r="AF589" s="4"/>
    </row>
    <row r="590">
      <c r="A590" s="179"/>
      <c r="B590" s="180"/>
      <c r="C590" s="2"/>
      <c r="E590" s="181"/>
      <c r="F590" s="181"/>
      <c r="G590" s="2"/>
      <c r="I590" s="190"/>
      <c r="J590" s="190"/>
      <c r="K590" s="2"/>
      <c r="Z590" s="4"/>
      <c r="AC590" s="4"/>
      <c r="AF590" s="4"/>
    </row>
    <row r="591">
      <c r="A591" s="179"/>
      <c r="B591" s="180"/>
      <c r="C591" s="2"/>
      <c r="E591" s="181"/>
      <c r="F591" s="181"/>
      <c r="G591" s="2"/>
      <c r="I591" s="190"/>
      <c r="J591" s="190"/>
      <c r="K591" s="2"/>
      <c r="Z591" s="4"/>
      <c r="AC591" s="4"/>
      <c r="AF591" s="4"/>
    </row>
    <row r="592">
      <c r="A592" s="179"/>
      <c r="B592" s="180"/>
      <c r="C592" s="2"/>
      <c r="E592" s="181"/>
      <c r="F592" s="181"/>
      <c r="G592" s="2"/>
      <c r="I592" s="190"/>
      <c r="J592" s="190"/>
      <c r="K592" s="2"/>
      <c r="Z592" s="4"/>
      <c r="AC592" s="4"/>
      <c r="AF592" s="4"/>
    </row>
    <row r="593">
      <c r="A593" s="179"/>
      <c r="B593" s="180"/>
      <c r="C593" s="2"/>
      <c r="E593" s="181"/>
      <c r="F593" s="181"/>
      <c r="G593" s="2"/>
      <c r="I593" s="190"/>
      <c r="J593" s="190"/>
      <c r="K593" s="2"/>
      <c r="Z593" s="4"/>
      <c r="AC593" s="4"/>
      <c r="AF593" s="4"/>
    </row>
    <row r="594">
      <c r="A594" s="179"/>
      <c r="B594" s="180"/>
      <c r="C594" s="2"/>
      <c r="E594" s="181"/>
      <c r="F594" s="181"/>
      <c r="G594" s="2"/>
      <c r="I594" s="190"/>
      <c r="J594" s="190"/>
      <c r="K594" s="2"/>
      <c r="Z594" s="4"/>
      <c r="AC594" s="4"/>
      <c r="AF594" s="4"/>
    </row>
    <row r="595">
      <c r="A595" s="179"/>
      <c r="B595" s="180"/>
      <c r="C595" s="2"/>
      <c r="E595" s="181"/>
      <c r="F595" s="181"/>
      <c r="G595" s="2"/>
      <c r="I595" s="190"/>
      <c r="J595" s="190"/>
      <c r="K595" s="2"/>
      <c r="Z595" s="4"/>
      <c r="AC595" s="4"/>
      <c r="AF595" s="4"/>
    </row>
    <row r="596">
      <c r="A596" s="179"/>
      <c r="B596" s="180"/>
      <c r="C596" s="2"/>
      <c r="E596" s="181"/>
      <c r="F596" s="181"/>
      <c r="G596" s="2"/>
      <c r="I596" s="190"/>
      <c r="J596" s="190"/>
      <c r="K596" s="2"/>
      <c r="Z596" s="4"/>
      <c r="AC596" s="4"/>
      <c r="AF596" s="4"/>
    </row>
    <row r="597">
      <c r="A597" s="179"/>
      <c r="B597" s="180"/>
      <c r="C597" s="2"/>
      <c r="E597" s="181"/>
      <c r="F597" s="181"/>
      <c r="G597" s="2"/>
      <c r="I597" s="190"/>
      <c r="J597" s="190"/>
      <c r="K597" s="2"/>
      <c r="Z597" s="4"/>
      <c r="AC597" s="4"/>
      <c r="AF597" s="4"/>
    </row>
    <row r="598">
      <c r="A598" s="179"/>
      <c r="B598" s="180"/>
      <c r="C598" s="2"/>
      <c r="E598" s="181"/>
      <c r="F598" s="181"/>
      <c r="G598" s="2"/>
      <c r="I598" s="190"/>
      <c r="J598" s="190"/>
      <c r="K598" s="2"/>
      <c r="Z598" s="4"/>
      <c r="AC598" s="4"/>
      <c r="AF598" s="4"/>
    </row>
    <row r="599">
      <c r="A599" s="179"/>
      <c r="B599" s="180"/>
      <c r="C599" s="2"/>
      <c r="E599" s="181"/>
      <c r="F599" s="181"/>
      <c r="G599" s="2"/>
      <c r="I599" s="190"/>
      <c r="J599" s="190"/>
      <c r="K599" s="2"/>
      <c r="Z599" s="4"/>
      <c r="AC599" s="4"/>
      <c r="AF599" s="4"/>
    </row>
    <row r="600">
      <c r="A600" s="179"/>
      <c r="B600" s="180"/>
      <c r="C600" s="2"/>
      <c r="E600" s="181"/>
      <c r="F600" s="181"/>
      <c r="G600" s="2"/>
      <c r="I600" s="190"/>
      <c r="J600" s="190"/>
      <c r="K600" s="2"/>
      <c r="Z600" s="4"/>
      <c r="AC600" s="4"/>
      <c r="AF600" s="4"/>
    </row>
    <row r="601">
      <c r="A601" s="179"/>
      <c r="B601" s="180"/>
      <c r="C601" s="2"/>
      <c r="E601" s="181"/>
      <c r="F601" s="181"/>
      <c r="G601" s="2"/>
      <c r="I601" s="190"/>
      <c r="J601" s="190"/>
      <c r="K601" s="2"/>
      <c r="Z601" s="4"/>
      <c r="AC601" s="4"/>
      <c r="AF601" s="4"/>
    </row>
    <row r="602">
      <c r="A602" s="179"/>
      <c r="B602" s="180"/>
      <c r="C602" s="2"/>
      <c r="E602" s="181"/>
      <c r="F602" s="181"/>
      <c r="G602" s="2"/>
      <c r="I602" s="190"/>
      <c r="J602" s="190"/>
      <c r="K602" s="2"/>
      <c r="Z602" s="4"/>
      <c r="AC602" s="4"/>
      <c r="AF602" s="4"/>
    </row>
    <row r="603">
      <c r="A603" s="179"/>
      <c r="B603" s="180"/>
      <c r="C603" s="2"/>
      <c r="E603" s="181"/>
      <c r="F603" s="181"/>
      <c r="G603" s="2"/>
      <c r="I603" s="190"/>
      <c r="J603" s="190"/>
      <c r="K603" s="2"/>
      <c r="Z603" s="4"/>
      <c r="AC603" s="4"/>
      <c r="AF603" s="4"/>
    </row>
    <row r="604">
      <c r="A604" s="179"/>
      <c r="B604" s="180"/>
      <c r="C604" s="2"/>
      <c r="E604" s="181"/>
      <c r="F604" s="181"/>
      <c r="G604" s="2"/>
      <c r="I604" s="190"/>
      <c r="J604" s="190"/>
      <c r="K604" s="2"/>
      <c r="Z604" s="4"/>
      <c r="AC604" s="4"/>
      <c r="AF604" s="4"/>
    </row>
    <row r="605">
      <c r="A605" s="179"/>
      <c r="B605" s="180"/>
      <c r="C605" s="2"/>
      <c r="E605" s="181"/>
      <c r="F605" s="181"/>
      <c r="G605" s="2"/>
      <c r="I605" s="190"/>
      <c r="J605" s="190"/>
      <c r="K605" s="2"/>
      <c r="Z605" s="4"/>
      <c r="AC605" s="4"/>
      <c r="AF605" s="4"/>
    </row>
    <row r="606">
      <c r="A606" s="179"/>
      <c r="B606" s="180"/>
      <c r="C606" s="2"/>
      <c r="E606" s="181"/>
      <c r="F606" s="181"/>
      <c r="G606" s="2"/>
      <c r="I606" s="190"/>
      <c r="J606" s="190"/>
      <c r="K606" s="2"/>
      <c r="Z606" s="4"/>
      <c r="AC606" s="4"/>
      <c r="AF606" s="4"/>
    </row>
    <row r="607">
      <c r="A607" s="179"/>
      <c r="B607" s="180"/>
      <c r="C607" s="2"/>
      <c r="E607" s="181"/>
      <c r="F607" s="181"/>
      <c r="G607" s="2"/>
      <c r="I607" s="190"/>
      <c r="J607" s="190"/>
      <c r="K607" s="2"/>
      <c r="Z607" s="4"/>
      <c r="AC607" s="4"/>
      <c r="AF607" s="4"/>
    </row>
    <row r="608">
      <c r="A608" s="179"/>
      <c r="B608" s="180"/>
      <c r="C608" s="2"/>
      <c r="E608" s="181"/>
      <c r="F608" s="181"/>
      <c r="G608" s="2"/>
      <c r="I608" s="190"/>
      <c r="J608" s="190"/>
      <c r="K608" s="2"/>
      <c r="Z608" s="4"/>
      <c r="AC608" s="4"/>
      <c r="AF608" s="4"/>
    </row>
    <row r="609">
      <c r="A609" s="179"/>
      <c r="B609" s="180"/>
      <c r="C609" s="2"/>
      <c r="E609" s="181"/>
      <c r="F609" s="181"/>
      <c r="G609" s="2"/>
      <c r="I609" s="190"/>
      <c r="J609" s="190"/>
      <c r="K609" s="2"/>
      <c r="Z609" s="4"/>
      <c r="AC609" s="4"/>
      <c r="AF609" s="4"/>
    </row>
    <row r="610">
      <c r="A610" s="179"/>
      <c r="B610" s="180"/>
      <c r="C610" s="2"/>
      <c r="E610" s="181"/>
      <c r="F610" s="181"/>
      <c r="G610" s="2"/>
      <c r="I610" s="190"/>
      <c r="J610" s="190"/>
      <c r="K610" s="2"/>
      <c r="Z610" s="4"/>
      <c r="AC610" s="4"/>
      <c r="AF610" s="4"/>
    </row>
    <row r="611">
      <c r="A611" s="179"/>
      <c r="B611" s="180"/>
      <c r="C611" s="2"/>
      <c r="E611" s="181"/>
      <c r="F611" s="181"/>
      <c r="G611" s="2"/>
      <c r="I611" s="190"/>
      <c r="J611" s="190"/>
      <c r="K611" s="2"/>
      <c r="Z611" s="4"/>
      <c r="AC611" s="4"/>
      <c r="AF611" s="4"/>
    </row>
    <row r="612">
      <c r="A612" s="179"/>
      <c r="B612" s="180"/>
      <c r="C612" s="2"/>
      <c r="E612" s="181"/>
      <c r="F612" s="181"/>
      <c r="G612" s="2"/>
      <c r="I612" s="190"/>
      <c r="J612" s="190"/>
      <c r="K612" s="2"/>
      <c r="Z612" s="4"/>
      <c r="AC612" s="4"/>
      <c r="AF612" s="4"/>
    </row>
    <row r="613">
      <c r="A613" s="179"/>
      <c r="B613" s="180"/>
      <c r="C613" s="2"/>
      <c r="E613" s="181"/>
      <c r="F613" s="181"/>
      <c r="G613" s="2"/>
      <c r="I613" s="190"/>
      <c r="J613" s="190"/>
      <c r="K613" s="2"/>
      <c r="Z613" s="4"/>
      <c r="AC613" s="4"/>
      <c r="AF613" s="4"/>
    </row>
    <row r="614">
      <c r="A614" s="179"/>
      <c r="B614" s="180"/>
      <c r="C614" s="2"/>
      <c r="E614" s="181"/>
      <c r="F614" s="181"/>
      <c r="G614" s="2"/>
      <c r="I614" s="190"/>
      <c r="J614" s="190"/>
      <c r="K614" s="2"/>
      <c r="Z614" s="4"/>
      <c r="AC614" s="4"/>
      <c r="AF614" s="4"/>
    </row>
    <row r="615">
      <c r="A615" s="179"/>
      <c r="B615" s="180"/>
      <c r="C615" s="2"/>
      <c r="E615" s="181"/>
      <c r="F615" s="181"/>
      <c r="G615" s="2"/>
      <c r="I615" s="190"/>
      <c r="J615" s="190"/>
      <c r="K615" s="2"/>
      <c r="Z615" s="4"/>
      <c r="AC615" s="4"/>
      <c r="AF615" s="4"/>
    </row>
    <row r="616">
      <c r="A616" s="179"/>
      <c r="B616" s="180"/>
      <c r="C616" s="2"/>
      <c r="E616" s="181"/>
      <c r="F616" s="181"/>
      <c r="G616" s="2"/>
      <c r="I616" s="190"/>
      <c r="J616" s="190"/>
      <c r="K616" s="2"/>
      <c r="Z616" s="4"/>
      <c r="AC616" s="4"/>
      <c r="AF616" s="4"/>
    </row>
    <row r="617">
      <c r="A617" s="179"/>
      <c r="B617" s="180"/>
      <c r="C617" s="2"/>
      <c r="E617" s="181"/>
      <c r="F617" s="181"/>
      <c r="G617" s="2"/>
      <c r="I617" s="190"/>
      <c r="J617" s="190"/>
      <c r="K617" s="2"/>
      <c r="Z617" s="4"/>
      <c r="AC617" s="4"/>
      <c r="AF617" s="4"/>
    </row>
    <row r="618">
      <c r="A618" s="179"/>
      <c r="B618" s="180"/>
      <c r="C618" s="2"/>
      <c r="E618" s="181"/>
      <c r="F618" s="181"/>
      <c r="G618" s="2"/>
      <c r="I618" s="190"/>
      <c r="J618" s="190"/>
      <c r="K618" s="2"/>
      <c r="Z618" s="4"/>
      <c r="AC618" s="4"/>
      <c r="AF618" s="4"/>
    </row>
    <row r="619">
      <c r="A619" s="179"/>
      <c r="B619" s="180"/>
      <c r="C619" s="2"/>
      <c r="E619" s="181"/>
      <c r="F619" s="181"/>
      <c r="G619" s="2"/>
      <c r="I619" s="190"/>
      <c r="J619" s="190"/>
      <c r="K619" s="2"/>
      <c r="Z619" s="4"/>
      <c r="AC619" s="4"/>
      <c r="AF619" s="4"/>
    </row>
    <row r="620">
      <c r="A620" s="179"/>
      <c r="B620" s="180"/>
      <c r="C620" s="2"/>
      <c r="E620" s="181"/>
      <c r="F620" s="181"/>
      <c r="G620" s="2"/>
      <c r="I620" s="190"/>
      <c r="J620" s="190"/>
      <c r="K620" s="2"/>
      <c r="Z620" s="4"/>
      <c r="AC620" s="4"/>
      <c r="AF620" s="4"/>
    </row>
    <row r="621">
      <c r="A621" s="179"/>
      <c r="B621" s="180"/>
      <c r="C621" s="2"/>
      <c r="E621" s="181"/>
      <c r="F621" s="181"/>
      <c r="G621" s="2"/>
      <c r="I621" s="190"/>
      <c r="J621" s="190"/>
      <c r="K621" s="2"/>
      <c r="Z621" s="4"/>
      <c r="AC621" s="4"/>
      <c r="AF621" s="4"/>
    </row>
    <row r="622">
      <c r="A622" s="179"/>
      <c r="B622" s="180"/>
      <c r="C622" s="2"/>
      <c r="E622" s="181"/>
      <c r="F622" s="181"/>
      <c r="G622" s="2"/>
      <c r="I622" s="190"/>
      <c r="J622" s="190"/>
      <c r="K622" s="2"/>
      <c r="Z622" s="4"/>
      <c r="AC622" s="4"/>
      <c r="AF622" s="4"/>
    </row>
    <row r="623">
      <c r="A623" s="179"/>
      <c r="B623" s="180"/>
      <c r="C623" s="2"/>
      <c r="E623" s="181"/>
      <c r="F623" s="181"/>
      <c r="G623" s="2"/>
      <c r="I623" s="190"/>
      <c r="J623" s="190"/>
      <c r="K623" s="2"/>
      <c r="Z623" s="4"/>
      <c r="AC623" s="4"/>
      <c r="AF623" s="4"/>
    </row>
    <row r="624">
      <c r="A624" s="179"/>
      <c r="B624" s="180"/>
      <c r="C624" s="2"/>
      <c r="E624" s="181"/>
      <c r="F624" s="181"/>
      <c r="G624" s="2"/>
      <c r="I624" s="190"/>
      <c r="J624" s="190"/>
      <c r="K624" s="2"/>
      <c r="Z624" s="4"/>
      <c r="AC624" s="4"/>
      <c r="AF624" s="4"/>
    </row>
    <row r="625">
      <c r="A625" s="179"/>
      <c r="B625" s="180"/>
      <c r="C625" s="2"/>
      <c r="E625" s="181"/>
      <c r="F625" s="181"/>
      <c r="G625" s="2"/>
      <c r="I625" s="190"/>
      <c r="J625" s="190"/>
      <c r="K625" s="2"/>
      <c r="Z625" s="4"/>
      <c r="AC625" s="4"/>
      <c r="AF625" s="4"/>
    </row>
    <row r="626">
      <c r="A626" s="179"/>
      <c r="B626" s="180"/>
      <c r="C626" s="2"/>
      <c r="E626" s="181"/>
      <c r="F626" s="181"/>
      <c r="G626" s="2"/>
      <c r="I626" s="190"/>
      <c r="J626" s="190"/>
      <c r="K626" s="2"/>
      <c r="Z626" s="4"/>
      <c r="AC626" s="4"/>
      <c r="AF626" s="4"/>
    </row>
    <row r="627">
      <c r="A627" s="179"/>
      <c r="B627" s="180"/>
      <c r="C627" s="2"/>
      <c r="E627" s="181"/>
      <c r="F627" s="181"/>
      <c r="G627" s="2"/>
      <c r="I627" s="190"/>
      <c r="J627" s="190"/>
      <c r="K627" s="2"/>
      <c r="Z627" s="4"/>
      <c r="AC627" s="4"/>
      <c r="AF627" s="4"/>
    </row>
    <row r="628">
      <c r="A628" s="179"/>
      <c r="B628" s="180"/>
      <c r="C628" s="2"/>
      <c r="E628" s="181"/>
      <c r="F628" s="181"/>
      <c r="G628" s="2"/>
      <c r="I628" s="190"/>
      <c r="J628" s="190"/>
      <c r="K628" s="2"/>
      <c r="Z628" s="4"/>
      <c r="AC628" s="4"/>
      <c r="AF628" s="4"/>
    </row>
    <row r="629">
      <c r="A629" s="179"/>
      <c r="B629" s="180"/>
      <c r="C629" s="2"/>
      <c r="E629" s="181"/>
      <c r="F629" s="181"/>
      <c r="G629" s="2"/>
      <c r="I629" s="190"/>
      <c r="J629" s="190"/>
      <c r="K629" s="2"/>
      <c r="Z629" s="4"/>
      <c r="AC629" s="4"/>
      <c r="AF629" s="4"/>
    </row>
    <row r="630">
      <c r="A630" s="179"/>
      <c r="B630" s="180"/>
      <c r="C630" s="2"/>
      <c r="E630" s="181"/>
      <c r="F630" s="181"/>
      <c r="G630" s="2"/>
      <c r="I630" s="190"/>
      <c r="J630" s="190"/>
      <c r="K630" s="2"/>
      <c r="Z630" s="4"/>
      <c r="AC630" s="4"/>
      <c r="AF630" s="4"/>
    </row>
    <row r="631">
      <c r="A631" s="179"/>
      <c r="B631" s="180"/>
      <c r="C631" s="2"/>
      <c r="E631" s="181"/>
      <c r="F631" s="181"/>
      <c r="G631" s="2"/>
      <c r="I631" s="190"/>
      <c r="J631" s="190"/>
      <c r="K631" s="2"/>
      <c r="Z631" s="4"/>
      <c r="AC631" s="4"/>
      <c r="AF631" s="4"/>
    </row>
    <row r="632">
      <c r="A632" s="179"/>
      <c r="B632" s="180"/>
      <c r="C632" s="2"/>
      <c r="E632" s="181"/>
      <c r="F632" s="181"/>
      <c r="G632" s="2"/>
      <c r="I632" s="190"/>
      <c r="J632" s="190"/>
      <c r="K632" s="2"/>
      <c r="Z632" s="4"/>
      <c r="AC632" s="4"/>
      <c r="AF632" s="4"/>
    </row>
    <row r="633">
      <c r="A633" s="179"/>
      <c r="B633" s="180"/>
      <c r="C633" s="2"/>
      <c r="E633" s="181"/>
      <c r="F633" s="181"/>
      <c r="G633" s="2"/>
      <c r="I633" s="190"/>
      <c r="J633" s="190"/>
      <c r="K633" s="2"/>
      <c r="Z633" s="4"/>
      <c r="AC633" s="4"/>
      <c r="AF633" s="4"/>
    </row>
    <row r="634">
      <c r="A634" s="179"/>
      <c r="B634" s="180"/>
      <c r="C634" s="2"/>
      <c r="E634" s="181"/>
      <c r="F634" s="181"/>
      <c r="G634" s="2"/>
      <c r="I634" s="190"/>
      <c r="J634" s="190"/>
      <c r="K634" s="2"/>
      <c r="Z634" s="4"/>
      <c r="AC634" s="4"/>
      <c r="AF634" s="4"/>
    </row>
    <row r="635">
      <c r="A635" s="179"/>
      <c r="B635" s="180"/>
      <c r="C635" s="2"/>
      <c r="E635" s="181"/>
      <c r="F635" s="181"/>
      <c r="G635" s="2"/>
      <c r="I635" s="190"/>
      <c r="J635" s="190"/>
      <c r="K635" s="2"/>
      <c r="Z635" s="4"/>
      <c r="AC635" s="4"/>
      <c r="AF635" s="4"/>
    </row>
    <row r="636">
      <c r="A636" s="179"/>
      <c r="B636" s="180"/>
      <c r="C636" s="2"/>
      <c r="E636" s="181"/>
      <c r="F636" s="181"/>
      <c r="G636" s="2"/>
      <c r="I636" s="190"/>
      <c r="J636" s="190"/>
      <c r="K636" s="2"/>
      <c r="Z636" s="4"/>
      <c r="AC636" s="4"/>
      <c r="AF636" s="4"/>
    </row>
    <row r="637">
      <c r="A637" s="179"/>
      <c r="B637" s="180"/>
      <c r="C637" s="2"/>
      <c r="E637" s="181"/>
      <c r="F637" s="181"/>
      <c r="G637" s="2"/>
      <c r="I637" s="190"/>
      <c r="J637" s="190"/>
      <c r="K637" s="2"/>
      <c r="Z637" s="4"/>
      <c r="AC637" s="4"/>
      <c r="AF637" s="4"/>
    </row>
    <row r="638">
      <c r="A638" s="179"/>
      <c r="B638" s="180"/>
      <c r="C638" s="2"/>
      <c r="E638" s="181"/>
      <c r="F638" s="181"/>
      <c r="G638" s="2"/>
      <c r="I638" s="190"/>
      <c r="J638" s="190"/>
      <c r="K638" s="2"/>
      <c r="Z638" s="4"/>
      <c r="AC638" s="4"/>
      <c r="AF638" s="4"/>
    </row>
    <row r="639">
      <c r="A639" s="179"/>
      <c r="B639" s="180"/>
      <c r="C639" s="2"/>
      <c r="E639" s="181"/>
      <c r="F639" s="181"/>
      <c r="G639" s="2"/>
      <c r="I639" s="190"/>
      <c r="J639" s="190"/>
      <c r="K639" s="2"/>
      <c r="Z639" s="4"/>
      <c r="AC639" s="4"/>
      <c r="AF639" s="4"/>
    </row>
    <row r="640">
      <c r="A640" s="179"/>
      <c r="B640" s="180"/>
      <c r="C640" s="2"/>
      <c r="E640" s="181"/>
      <c r="F640" s="181"/>
      <c r="G640" s="2"/>
      <c r="I640" s="190"/>
      <c r="J640" s="190"/>
      <c r="K640" s="2"/>
      <c r="Z640" s="4"/>
      <c r="AC640" s="4"/>
      <c r="AF640" s="4"/>
    </row>
    <row r="641">
      <c r="A641" s="179"/>
      <c r="B641" s="180"/>
      <c r="C641" s="2"/>
      <c r="E641" s="181"/>
      <c r="F641" s="181"/>
      <c r="G641" s="2"/>
      <c r="I641" s="190"/>
      <c r="J641" s="190"/>
      <c r="K641" s="2"/>
      <c r="Z641" s="4"/>
      <c r="AC641" s="4"/>
      <c r="AF641" s="4"/>
    </row>
    <row r="642">
      <c r="A642" s="179"/>
      <c r="B642" s="180"/>
      <c r="C642" s="2"/>
      <c r="E642" s="181"/>
      <c r="F642" s="181"/>
      <c r="G642" s="2"/>
      <c r="I642" s="190"/>
      <c r="J642" s="190"/>
      <c r="K642" s="2"/>
      <c r="Z642" s="4"/>
      <c r="AC642" s="4"/>
      <c r="AF642" s="4"/>
    </row>
    <row r="643">
      <c r="A643" s="179"/>
      <c r="B643" s="180"/>
      <c r="C643" s="2"/>
      <c r="E643" s="181"/>
      <c r="F643" s="181"/>
      <c r="G643" s="2"/>
      <c r="I643" s="190"/>
      <c r="J643" s="190"/>
      <c r="K643" s="2"/>
      <c r="Z643" s="4"/>
      <c r="AC643" s="4"/>
      <c r="AF643" s="4"/>
    </row>
    <row r="644">
      <c r="A644" s="179"/>
      <c r="B644" s="180"/>
      <c r="C644" s="2"/>
      <c r="E644" s="181"/>
      <c r="F644" s="181"/>
      <c r="G644" s="2"/>
      <c r="I644" s="190"/>
      <c r="J644" s="190"/>
      <c r="K644" s="2"/>
      <c r="Z644" s="4"/>
      <c r="AC644" s="4"/>
      <c r="AF644" s="4"/>
    </row>
    <row r="645">
      <c r="A645" s="179"/>
      <c r="B645" s="180"/>
      <c r="C645" s="2"/>
      <c r="E645" s="181"/>
      <c r="F645" s="181"/>
      <c r="G645" s="2"/>
      <c r="I645" s="190"/>
      <c r="J645" s="190"/>
      <c r="K645" s="2"/>
      <c r="Z645" s="4"/>
      <c r="AC645" s="4"/>
      <c r="AF645" s="4"/>
    </row>
    <row r="646">
      <c r="A646" s="179"/>
      <c r="B646" s="180"/>
      <c r="C646" s="2"/>
      <c r="E646" s="181"/>
      <c r="F646" s="181"/>
      <c r="G646" s="2"/>
      <c r="I646" s="190"/>
      <c r="J646" s="190"/>
      <c r="K646" s="2"/>
      <c r="Z646" s="4"/>
      <c r="AC646" s="4"/>
      <c r="AF646" s="4"/>
    </row>
    <row r="647">
      <c r="A647" s="179"/>
      <c r="B647" s="180"/>
      <c r="C647" s="2"/>
      <c r="E647" s="181"/>
      <c r="F647" s="181"/>
      <c r="G647" s="2"/>
      <c r="I647" s="190"/>
      <c r="J647" s="190"/>
      <c r="K647" s="2"/>
      <c r="Z647" s="4"/>
      <c r="AC647" s="4"/>
      <c r="AF647" s="4"/>
    </row>
    <row r="648">
      <c r="A648" s="179"/>
      <c r="B648" s="180"/>
      <c r="C648" s="2"/>
      <c r="E648" s="181"/>
      <c r="F648" s="181"/>
      <c r="G648" s="2"/>
      <c r="I648" s="190"/>
      <c r="J648" s="190"/>
      <c r="K648" s="2"/>
      <c r="Z648" s="4"/>
      <c r="AC648" s="4"/>
      <c r="AF648" s="4"/>
    </row>
    <row r="649">
      <c r="A649" s="179"/>
      <c r="B649" s="180"/>
      <c r="C649" s="2"/>
      <c r="E649" s="181"/>
      <c r="F649" s="181"/>
      <c r="G649" s="2"/>
      <c r="I649" s="190"/>
      <c r="J649" s="190"/>
      <c r="K649" s="2"/>
      <c r="Z649" s="4"/>
      <c r="AC649" s="4"/>
      <c r="AF649" s="4"/>
    </row>
    <row r="650">
      <c r="A650" s="179"/>
      <c r="B650" s="180"/>
      <c r="C650" s="2"/>
      <c r="E650" s="181"/>
      <c r="F650" s="181"/>
      <c r="G650" s="2"/>
      <c r="I650" s="190"/>
      <c r="J650" s="190"/>
      <c r="K650" s="2"/>
      <c r="Z650" s="4"/>
      <c r="AC650" s="4"/>
      <c r="AF650" s="4"/>
    </row>
    <row r="651">
      <c r="A651" s="179"/>
      <c r="B651" s="180"/>
      <c r="C651" s="2"/>
      <c r="E651" s="181"/>
      <c r="F651" s="181"/>
      <c r="G651" s="2"/>
      <c r="I651" s="190"/>
      <c r="J651" s="190"/>
      <c r="K651" s="2"/>
      <c r="Z651" s="4"/>
      <c r="AC651" s="4"/>
      <c r="AF651" s="4"/>
    </row>
    <row r="652">
      <c r="A652" s="179"/>
      <c r="B652" s="180"/>
      <c r="C652" s="2"/>
      <c r="E652" s="181"/>
      <c r="F652" s="181"/>
      <c r="G652" s="2"/>
      <c r="I652" s="190"/>
      <c r="J652" s="190"/>
      <c r="K652" s="2"/>
      <c r="Z652" s="4"/>
      <c r="AC652" s="4"/>
      <c r="AF652" s="4"/>
    </row>
    <row r="653">
      <c r="A653" s="179"/>
      <c r="B653" s="180"/>
      <c r="C653" s="2"/>
      <c r="E653" s="181"/>
      <c r="F653" s="181"/>
      <c r="G653" s="2"/>
      <c r="I653" s="190"/>
      <c r="J653" s="190"/>
      <c r="K653" s="2"/>
      <c r="Z653" s="4"/>
      <c r="AC653" s="4"/>
      <c r="AF653" s="4"/>
    </row>
    <row r="654">
      <c r="A654" s="179"/>
      <c r="B654" s="180"/>
      <c r="C654" s="2"/>
      <c r="E654" s="181"/>
      <c r="F654" s="181"/>
      <c r="G654" s="2"/>
      <c r="I654" s="190"/>
      <c r="J654" s="190"/>
      <c r="K654" s="2"/>
      <c r="Z654" s="4"/>
      <c r="AC654" s="4"/>
      <c r="AF654" s="4"/>
    </row>
    <row r="655">
      <c r="A655" s="179"/>
      <c r="B655" s="180"/>
      <c r="C655" s="2"/>
      <c r="E655" s="181"/>
      <c r="F655" s="181"/>
      <c r="G655" s="2"/>
      <c r="I655" s="190"/>
      <c r="J655" s="190"/>
      <c r="K655" s="2"/>
      <c r="Z655" s="4"/>
      <c r="AC655" s="4"/>
      <c r="AF655" s="4"/>
    </row>
    <row r="656">
      <c r="A656" s="179"/>
      <c r="B656" s="180"/>
      <c r="C656" s="2"/>
      <c r="E656" s="181"/>
      <c r="F656" s="181"/>
      <c r="G656" s="2"/>
      <c r="I656" s="190"/>
      <c r="J656" s="190"/>
      <c r="K656" s="2"/>
      <c r="Z656" s="4"/>
      <c r="AC656" s="4"/>
      <c r="AF656" s="4"/>
    </row>
    <row r="657">
      <c r="A657" s="179"/>
      <c r="B657" s="180"/>
      <c r="C657" s="2"/>
      <c r="E657" s="181"/>
      <c r="F657" s="181"/>
      <c r="G657" s="2"/>
      <c r="I657" s="190"/>
      <c r="J657" s="190"/>
      <c r="K657" s="2"/>
      <c r="Z657" s="4"/>
      <c r="AC657" s="4"/>
      <c r="AF657" s="4"/>
    </row>
    <row r="658">
      <c r="A658" s="179"/>
      <c r="B658" s="180"/>
      <c r="C658" s="2"/>
      <c r="E658" s="181"/>
      <c r="F658" s="181"/>
      <c r="G658" s="2"/>
      <c r="I658" s="190"/>
      <c r="J658" s="190"/>
      <c r="K658" s="2"/>
      <c r="Z658" s="4"/>
      <c r="AC658" s="4"/>
      <c r="AF658" s="4"/>
    </row>
    <row r="659">
      <c r="A659" s="179"/>
      <c r="B659" s="180"/>
      <c r="C659" s="2"/>
      <c r="E659" s="181"/>
      <c r="F659" s="181"/>
      <c r="G659" s="2"/>
      <c r="I659" s="190"/>
      <c r="J659" s="190"/>
      <c r="K659" s="2"/>
      <c r="Z659" s="4"/>
      <c r="AC659" s="4"/>
      <c r="AF659" s="4"/>
    </row>
    <row r="660">
      <c r="A660" s="179"/>
      <c r="B660" s="180"/>
      <c r="C660" s="2"/>
      <c r="E660" s="181"/>
      <c r="F660" s="181"/>
      <c r="G660" s="2"/>
      <c r="I660" s="190"/>
      <c r="J660" s="190"/>
      <c r="K660" s="2"/>
      <c r="Z660" s="4"/>
      <c r="AC660" s="4"/>
      <c r="AF660" s="4"/>
    </row>
    <row r="661">
      <c r="A661" s="179"/>
      <c r="B661" s="180"/>
      <c r="C661" s="2"/>
      <c r="E661" s="181"/>
      <c r="F661" s="181"/>
      <c r="G661" s="2"/>
      <c r="I661" s="190"/>
      <c r="J661" s="190"/>
      <c r="K661" s="2"/>
      <c r="Z661" s="4"/>
      <c r="AC661" s="4"/>
      <c r="AF661" s="4"/>
    </row>
    <row r="662">
      <c r="A662" s="179"/>
      <c r="B662" s="180"/>
      <c r="C662" s="2"/>
      <c r="E662" s="181"/>
      <c r="F662" s="181"/>
      <c r="G662" s="2"/>
      <c r="I662" s="190"/>
      <c r="J662" s="190"/>
      <c r="K662" s="2"/>
      <c r="Z662" s="4"/>
      <c r="AC662" s="4"/>
      <c r="AF662" s="4"/>
    </row>
    <row r="663">
      <c r="A663" s="179"/>
      <c r="B663" s="180"/>
      <c r="C663" s="2"/>
      <c r="E663" s="181"/>
      <c r="F663" s="181"/>
      <c r="G663" s="2"/>
      <c r="I663" s="190"/>
      <c r="J663" s="190"/>
      <c r="K663" s="2"/>
      <c r="Z663" s="4"/>
      <c r="AC663" s="4"/>
      <c r="AF663" s="4"/>
    </row>
    <row r="664">
      <c r="A664" s="179"/>
      <c r="B664" s="180"/>
      <c r="C664" s="2"/>
      <c r="E664" s="181"/>
      <c r="F664" s="181"/>
      <c r="G664" s="2"/>
      <c r="I664" s="190"/>
      <c r="J664" s="190"/>
      <c r="K664" s="2"/>
      <c r="Z664" s="4"/>
      <c r="AC664" s="4"/>
      <c r="AF664" s="4"/>
    </row>
    <row r="665">
      <c r="A665" s="179"/>
      <c r="B665" s="180"/>
      <c r="C665" s="2"/>
      <c r="E665" s="181"/>
      <c r="F665" s="181"/>
      <c r="G665" s="2"/>
      <c r="I665" s="190"/>
      <c r="J665" s="190"/>
      <c r="K665" s="2"/>
      <c r="Z665" s="4"/>
      <c r="AC665" s="4"/>
      <c r="AF665" s="4"/>
    </row>
    <row r="666">
      <c r="A666" s="179"/>
      <c r="B666" s="180"/>
      <c r="C666" s="2"/>
      <c r="E666" s="181"/>
      <c r="F666" s="181"/>
      <c r="G666" s="2"/>
      <c r="I666" s="190"/>
      <c r="J666" s="190"/>
      <c r="K666" s="2"/>
      <c r="Z666" s="4"/>
      <c r="AC666" s="4"/>
      <c r="AF666" s="4"/>
    </row>
    <row r="667">
      <c r="A667" s="179"/>
      <c r="B667" s="180"/>
      <c r="C667" s="2"/>
      <c r="E667" s="181"/>
      <c r="F667" s="181"/>
      <c r="G667" s="2"/>
      <c r="I667" s="190"/>
      <c r="J667" s="190"/>
      <c r="K667" s="2"/>
      <c r="Z667" s="4"/>
      <c r="AC667" s="4"/>
      <c r="AF667" s="4"/>
    </row>
    <row r="668">
      <c r="A668" s="179"/>
      <c r="B668" s="180"/>
      <c r="C668" s="2"/>
      <c r="E668" s="181"/>
      <c r="F668" s="181"/>
      <c r="G668" s="2"/>
      <c r="I668" s="190"/>
      <c r="J668" s="190"/>
      <c r="K668" s="2"/>
      <c r="Z668" s="4"/>
      <c r="AC668" s="4"/>
      <c r="AF668" s="4"/>
    </row>
    <row r="669">
      <c r="A669" s="179"/>
      <c r="B669" s="180"/>
      <c r="C669" s="2"/>
      <c r="E669" s="181"/>
      <c r="F669" s="181"/>
      <c r="G669" s="2"/>
      <c r="I669" s="190"/>
      <c r="J669" s="190"/>
      <c r="K669" s="2"/>
      <c r="Z669" s="4"/>
      <c r="AC669" s="4"/>
      <c r="AF669" s="4"/>
    </row>
    <row r="670">
      <c r="A670" s="179"/>
      <c r="B670" s="180"/>
      <c r="C670" s="2"/>
      <c r="E670" s="181"/>
      <c r="F670" s="181"/>
      <c r="G670" s="2"/>
      <c r="I670" s="190"/>
      <c r="J670" s="190"/>
      <c r="K670" s="2"/>
      <c r="Z670" s="4"/>
      <c r="AC670" s="4"/>
      <c r="AF670" s="4"/>
    </row>
    <row r="671">
      <c r="A671" s="179"/>
      <c r="B671" s="180"/>
      <c r="C671" s="2"/>
      <c r="E671" s="181"/>
      <c r="F671" s="181"/>
      <c r="G671" s="2"/>
      <c r="I671" s="190"/>
      <c r="J671" s="190"/>
      <c r="K671" s="2"/>
      <c r="Z671" s="4"/>
      <c r="AC671" s="4"/>
      <c r="AF671" s="4"/>
    </row>
    <row r="672">
      <c r="A672" s="179"/>
      <c r="B672" s="180"/>
      <c r="C672" s="2"/>
      <c r="E672" s="181"/>
      <c r="F672" s="181"/>
      <c r="G672" s="2"/>
      <c r="I672" s="190"/>
      <c r="J672" s="190"/>
      <c r="K672" s="2"/>
      <c r="Z672" s="4"/>
      <c r="AC672" s="4"/>
      <c r="AF672" s="4"/>
    </row>
    <row r="673">
      <c r="A673" s="179"/>
      <c r="B673" s="180"/>
      <c r="C673" s="2"/>
      <c r="E673" s="181"/>
      <c r="F673" s="181"/>
      <c r="G673" s="2"/>
      <c r="I673" s="190"/>
      <c r="J673" s="190"/>
      <c r="K673" s="2"/>
      <c r="Z673" s="4"/>
      <c r="AC673" s="4"/>
      <c r="AF673" s="4"/>
    </row>
    <row r="674">
      <c r="A674" s="179"/>
      <c r="B674" s="180"/>
      <c r="C674" s="2"/>
      <c r="E674" s="181"/>
      <c r="F674" s="181"/>
      <c r="G674" s="2"/>
      <c r="I674" s="190"/>
      <c r="J674" s="190"/>
      <c r="K674" s="2"/>
      <c r="Z674" s="4"/>
      <c r="AC674" s="4"/>
      <c r="AF674" s="4"/>
    </row>
    <row r="675">
      <c r="A675" s="179"/>
      <c r="B675" s="180"/>
      <c r="C675" s="2"/>
      <c r="E675" s="181"/>
      <c r="F675" s="181"/>
      <c r="G675" s="2"/>
      <c r="I675" s="190"/>
      <c r="J675" s="190"/>
      <c r="K675" s="2"/>
      <c r="Z675" s="4"/>
      <c r="AC675" s="4"/>
      <c r="AF675" s="4"/>
    </row>
    <row r="676">
      <c r="A676" s="179"/>
      <c r="B676" s="180"/>
      <c r="C676" s="2"/>
      <c r="E676" s="181"/>
      <c r="F676" s="181"/>
      <c r="G676" s="2"/>
      <c r="I676" s="190"/>
      <c r="J676" s="190"/>
      <c r="K676" s="2"/>
      <c r="Z676" s="4"/>
      <c r="AC676" s="4"/>
      <c r="AF676" s="4"/>
    </row>
    <row r="677">
      <c r="A677" s="179"/>
      <c r="B677" s="180"/>
      <c r="C677" s="2"/>
      <c r="E677" s="181"/>
      <c r="F677" s="181"/>
      <c r="G677" s="2"/>
      <c r="I677" s="190"/>
      <c r="J677" s="190"/>
      <c r="K677" s="2"/>
      <c r="Z677" s="4"/>
      <c r="AC677" s="4"/>
      <c r="AF677" s="4"/>
    </row>
    <row r="678">
      <c r="A678" s="179"/>
      <c r="B678" s="180"/>
      <c r="C678" s="2"/>
      <c r="E678" s="181"/>
      <c r="F678" s="181"/>
      <c r="G678" s="2"/>
      <c r="I678" s="190"/>
      <c r="J678" s="190"/>
      <c r="K678" s="2"/>
      <c r="Z678" s="4"/>
      <c r="AC678" s="4"/>
      <c r="AF678" s="4"/>
    </row>
    <row r="679">
      <c r="A679" s="179"/>
      <c r="B679" s="180"/>
      <c r="C679" s="2"/>
      <c r="E679" s="181"/>
      <c r="F679" s="181"/>
      <c r="G679" s="2"/>
      <c r="I679" s="190"/>
      <c r="J679" s="190"/>
      <c r="K679" s="2"/>
      <c r="Z679" s="4"/>
      <c r="AC679" s="4"/>
      <c r="AF679" s="4"/>
    </row>
    <row r="680">
      <c r="A680" s="179"/>
      <c r="B680" s="180"/>
      <c r="C680" s="2"/>
      <c r="E680" s="181"/>
      <c r="F680" s="181"/>
      <c r="G680" s="2"/>
      <c r="I680" s="190"/>
      <c r="J680" s="190"/>
      <c r="K680" s="2"/>
      <c r="Z680" s="4"/>
      <c r="AC680" s="4"/>
      <c r="AF680" s="4"/>
    </row>
    <row r="681">
      <c r="A681" s="179"/>
      <c r="B681" s="180"/>
      <c r="C681" s="2"/>
      <c r="E681" s="181"/>
      <c r="F681" s="181"/>
      <c r="G681" s="2"/>
      <c r="I681" s="190"/>
      <c r="J681" s="190"/>
      <c r="K681" s="2"/>
      <c r="Z681" s="4"/>
      <c r="AC681" s="4"/>
      <c r="AF681" s="4"/>
    </row>
    <row r="682">
      <c r="A682" s="179"/>
      <c r="B682" s="180"/>
      <c r="C682" s="2"/>
      <c r="E682" s="181"/>
      <c r="F682" s="181"/>
      <c r="G682" s="2"/>
      <c r="I682" s="190"/>
      <c r="J682" s="190"/>
      <c r="K682" s="2"/>
      <c r="Z682" s="4"/>
      <c r="AC682" s="4"/>
      <c r="AF682" s="4"/>
    </row>
    <row r="683">
      <c r="A683" s="179"/>
      <c r="B683" s="180"/>
      <c r="C683" s="2"/>
      <c r="E683" s="181"/>
      <c r="F683" s="181"/>
      <c r="G683" s="2"/>
      <c r="I683" s="190"/>
      <c r="J683" s="190"/>
      <c r="K683" s="2"/>
      <c r="Z683" s="4"/>
      <c r="AC683" s="4"/>
      <c r="AF683" s="4"/>
    </row>
    <row r="684">
      <c r="A684" s="179"/>
      <c r="B684" s="180"/>
      <c r="C684" s="2"/>
      <c r="E684" s="181"/>
      <c r="F684" s="181"/>
      <c r="G684" s="2"/>
      <c r="I684" s="190"/>
      <c r="J684" s="190"/>
      <c r="K684" s="2"/>
      <c r="Z684" s="4"/>
      <c r="AC684" s="4"/>
      <c r="AF684" s="4"/>
    </row>
    <row r="685">
      <c r="A685" s="179"/>
      <c r="B685" s="180"/>
      <c r="C685" s="2"/>
      <c r="E685" s="181"/>
      <c r="F685" s="181"/>
      <c r="G685" s="2"/>
      <c r="I685" s="190"/>
      <c r="J685" s="190"/>
      <c r="K685" s="2"/>
      <c r="Z685" s="4"/>
      <c r="AC685" s="4"/>
      <c r="AF685" s="4"/>
    </row>
    <row r="686">
      <c r="A686" s="179"/>
      <c r="B686" s="180"/>
      <c r="C686" s="2"/>
      <c r="E686" s="181"/>
      <c r="F686" s="181"/>
      <c r="G686" s="2"/>
      <c r="I686" s="190"/>
      <c r="J686" s="190"/>
      <c r="K686" s="2"/>
      <c r="Z686" s="4"/>
      <c r="AC686" s="4"/>
      <c r="AF686" s="4"/>
    </row>
    <row r="687">
      <c r="A687" s="179"/>
      <c r="B687" s="180"/>
      <c r="C687" s="2"/>
      <c r="E687" s="181"/>
      <c r="F687" s="181"/>
      <c r="G687" s="2"/>
      <c r="I687" s="190"/>
      <c r="J687" s="190"/>
      <c r="K687" s="2"/>
      <c r="Z687" s="4"/>
      <c r="AC687" s="4"/>
      <c r="AF687" s="4"/>
    </row>
    <row r="688">
      <c r="A688" s="179"/>
      <c r="B688" s="180"/>
      <c r="C688" s="2"/>
      <c r="E688" s="181"/>
      <c r="F688" s="181"/>
      <c r="G688" s="2"/>
      <c r="I688" s="190"/>
      <c r="J688" s="190"/>
      <c r="K688" s="2"/>
      <c r="Z688" s="4"/>
      <c r="AC688" s="4"/>
      <c r="AF688" s="4"/>
    </row>
    <row r="689">
      <c r="A689" s="179"/>
      <c r="B689" s="180"/>
      <c r="C689" s="2"/>
      <c r="E689" s="181"/>
      <c r="F689" s="181"/>
      <c r="G689" s="2"/>
      <c r="I689" s="190"/>
      <c r="J689" s="190"/>
      <c r="K689" s="2"/>
      <c r="Z689" s="4"/>
      <c r="AC689" s="4"/>
      <c r="AF689" s="4"/>
    </row>
    <row r="690">
      <c r="A690" s="179"/>
      <c r="B690" s="180"/>
      <c r="C690" s="2"/>
      <c r="E690" s="181"/>
      <c r="F690" s="181"/>
      <c r="G690" s="2"/>
      <c r="I690" s="190"/>
      <c r="J690" s="190"/>
      <c r="K690" s="2"/>
      <c r="Z690" s="4"/>
      <c r="AC690" s="4"/>
      <c r="AF690" s="4"/>
    </row>
    <row r="691">
      <c r="A691" s="179"/>
      <c r="B691" s="180"/>
      <c r="C691" s="2"/>
      <c r="E691" s="181"/>
      <c r="F691" s="181"/>
      <c r="G691" s="2"/>
      <c r="I691" s="190"/>
      <c r="J691" s="190"/>
      <c r="K691" s="2"/>
      <c r="Z691" s="4"/>
      <c r="AC691" s="4"/>
      <c r="AF691" s="4"/>
    </row>
    <row r="692">
      <c r="A692" s="179"/>
      <c r="B692" s="180"/>
      <c r="C692" s="2"/>
      <c r="E692" s="181"/>
      <c r="F692" s="181"/>
      <c r="G692" s="2"/>
      <c r="I692" s="190"/>
      <c r="J692" s="190"/>
      <c r="K692" s="2"/>
      <c r="Z692" s="4"/>
      <c r="AC692" s="4"/>
      <c r="AF692" s="4"/>
    </row>
    <row r="693">
      <c r="A693" s="179"/>
      <c r="B693" s="180"/>
      <c r="C693" s="2"/>
      <c r="E693" s="181"/>
      <c r="F693" s="181"/>
      <c r="G693" s="2"/>
      <c r="I693" s="190"/>
      <c r="J693" s="190"/>
      <c r="K693" s="2"/>
      <c r="Z693" s="4"/>
      <c r="AC693" s="4"/>
      <c r="AF693" s="4"/>
    </row>
    <row r="694">
      <c r="A694" s="179"/>
      <c r="B694" s="180"/>
      <c r="C694" s="2"/>
      <c r="E694" s="181"/>
      <c r="F694" s="181"/>
      <c r="G694" s="2"/>
      <c r="I694" s="190"/>
      <c r="J694" s="190"/>
      <c r="K694" s="2"/>
      <c r="Z694" s="4"/>
      <c r="AC694" s="4"/>
      <c r="AF694" s="4"/>
    </row>
    <row r="695">
      <c r="A695" s="179"/>
      <c r="B695" s="180"/>
      <c r="C695" s="2"/>
      <c r="E695" s="181"/>
      <c r="F695" s="181"/>
      <c r="G695" s="2"/>
      <c r="I695" s="190"/>
      <c r="J695" s="190"/>
      <c r="K695" s="2"/>
      <c r="Z695" s="4"/>
      <c r="AC695" s="4"/>
      <c r="AF695" s="4"/>
    </row>
    <row r="696">
      <c r="A696" s="179"/>
      <c r="B696" s="180"/>
      <c r="C696" s="2"/>
      <c r="E696" s="181"/>
      <c r="F696" s="181"/>
      <c r="G696" s="2"/>
      <c r="I696" s="190"/>
      <c r="J696" s="190"/>
      <c r="K696" s="2"/>
      <c r="Z696" s="4"/>
      <c r="AC696" s="4"/>
      <c r="AF696" s="4"/>
    </row>
    <row r="697">
      <c r="A697" s="179"/>
      <c r="B697" s="180"/>
      <c r="C697" s="2"/>
      <c r="E697" s="181"/>
      <c r="F697" s="181"/>
      <c r="G697" s="2"/>
      <c r="I697" s="190"/>
      <c r="J697" s="190"/>
      <c r="K697" s="2"/>
      <c r="Z697" s="4"/>
      <c r="AC697" s="4"/>
      <c r="AF697" s="4"/>
    </row>
    <row r="698">
      <c r="A698" s="179"/>
      <c r="B698" s="180"/>
      <c r="C698" s="2"/>
      <c r="E698" s="181"/>
      <c r="F698" s="181"/>
      <c r="G698" s="2"/>
      <c r="I698" s="190"/>
      <c r="J698" s="190"/>
      <c r="K698" s="2"/>
      <c r="Z698" s="4"/>
      <c r="AC698" s="4"/>
      <c r="AF698" s="4"/>
    </row>
    <row r="699">
      <c r="A699" s="179"/>
      <c r="B699" s="180"/>
      <c r="C699" s="2"/>
      <c r="E699" s="181"/>
      <c r="F699" s="181"/>
      <c r="G699" s="2"/>
      <c r="I699" s="190"/>
      <c r="J699" s="190"/>
      <c r="K699" s="2"/>
      <c r="Z699" s="4"/>
      <c r="AC699" s="4"/>
      <c r="AF699" s="4"/>
    </row>
    <row r="700">
      <c r="A700" s="179"/>
      <c r="B700" s="180"/>
      <c r="C700" s="2"/>
      <c r="E700" s="181"/>
      <c r="F700" s="181"/>
      <c r="G700" s="2"/>
      <c r="I700" s="190"/>
      <c r="J700" s="190"/>
      <c r="K700" s="2"/>
      <c r="Z700" s="4"/>
      <c r="AC700" s="4"/>
      <c r="AF700" s="4"/>
    </row>
    <row r="701">
      <c r="A701" s="179"/>
      <c r="B701" s="180"/>
      <c r="C701" s="2"/>
      <c r="E701" s="181"/>
      <c r="F701" s="181"/>
      <c r="G701" s="2"/>
      <c r="I701" s="190"/>
      <c r="J701" s="190"/>
      <c r="K701" s="2"/>
      <c r="Z701" s="4"/>
      <c r="AC701" s="4"/>
      <c r="AF701" s="4"/>
    </row>
    <row r="702">
      <c r="A702" s="179"/>
      <c r="B702" s="180"/>
      <c r="C702" s="2"/>
      <c r="E702" s="181"/>
      <c r="F702" s="181"/>
      <c r="G702" s="2"/>
      <c r="I702" s="190"/>
      <c r="J702" s="190"/>
      <c r="K702" s="2"/>
      <c r="Z702" s="4"/>
      <c r="AC702" s="4"/>
      <c r="AF702" s="4"/>
    </row>
    <row r="703">
      <c r="A703" s="179"/>
      <c r="B703" s="180"/>
      <c r="C703" s="2"/>
      <c r="E703" s="181"/>
      <c r="F703" s="181"/>
      <c r="G703" s="2"/>
      <c r="I703" s="190"/>
      <c r="J703" s="190"/>
      <c r="K703" s="2"/>
      <c r="Z703" s="4"/>
      <c r="AC703" s="4"/>
      <c r="AF703" s="4"/>
    </row>
    <row r="704">
      <c r="A704" s="179"/>
      <c r="B704" s="180"/>
      <c r="C704" s="2"/>
      <c r="E704" s="181"/>
      <c r="F704" s="181"/>
      <c r="G704" s="2"/>
      <c r="I704" s="190"/>
      <c r="J704" s="190"/>
      <c r="K704" s="2"/>
      <c r="Z704" s="4"/>
      <c r="AC704" s="4"/>
      <c r="AF704" s="4"/>
    </row>
    <row r="705">
      <c r="A705" s="179"/>
      <c r="B705" s="180"/>
      <c r="C705" s="2"/>
      <c r="E705" s="181"/>
      <c r="F705" s="181"/>
      <c r="G705" s="2"/>
      <c r="I705" s="190"/>
      <c r="J705" s="190"/>
      <c r="K705" s="2"/>
      <c r="Z705" s="4"/>
      <c r="AC705" s="4"/>
      <c r="AF705" s="4"/>
    </row>
    <row r="706">
      <c r="A706" s="179"/>
      <c r="B706" s="180"/>
      <c r="C706" s="2"/>
      <c r="E706" s="181"/>
      <c r="F706" s="181"/>
      <c r="G706" s="2"/>
      <c r="I706" s="190"/>
      <c r="J706" s="190"/>
      <c r="K706" s="2"/>
      <c r="Z706" s="4"/>
      <c r="AC706" s="4"/>
      <c r="AF706" s="4"/>
    </row>
    <row r="707">
      <c r="A707" s="179"/>
      <c r="B707" s="180"/>
      <c r="C707" s="2"/>
      <c r="E707" s="181"/>
      <c r="F707" s="181"/>
      <c r="G707" s="2"/>
      <c r="I707" s="190"/>
      <c r="J707" s="190"/>
      <c r="K707" s="2"/>
      <c r="Z707" s="4"/>
      <c r="AC707" s="4"/>
      <c r="AF707" s="4"/>
    </row>
    <row r="708">
      <c r="A708" s="179"/>
      <c r="B708" s="180"/>
      <c r="C708" s="2"/>
      <c r="E708" s="181"/>
      <c r="F708" s="181"/>
      <c r="G708" s="2"/>
      <c r="I708" s="190"/>
      <c r="J708" s="190"/>
      <c r="K708" s="2"/>
      <c r="Z708" s="4"/>
      <c r="AC708" s="4"/>
      <c r="AF708" s="4"/>
    </row>
    <row r="709">
      <c r="A709" s="179"/>
      <c r="B709" s="180"/>
      <c r="C709" s="2"/>
      <c r="E709" s="181"/>
      <c r="F709" s="181"/>
      <c r="G709" s="2"/>
      <c r="I709" s="190"/>
      <c r="J709" s="190"/>
      <c r="K709" s="2"/>
      <c r="Z709" s="4"/>
      <c r="AC709" s="4"/>
      <c r="AF709" s="4"/>
    </row>
    <row r="710">
      <c r="A710" s="179"/>
      <c r="B710" s="180"/>
      <c r="C710" s="2"/>
      <c r="E710" s="181"/>
      <c r="F710" s="181"/>
      <c r="G710" s="2"/>
      <c r="I710" s="190"/>
      <c r="J710" s="190"/>
      <c r="K710" s="2"/>
      <c r="Z710" s="4"/>
      <c r="AC710" s="4"/>
      <c r="AF710" s="4"/>
    </row>
    <row r="711">
      <c r="A711" s="179"/>
      <c r="B711" s="180"/>
      <c r="C711" s="2"/>
      <c r="E711" s="181"/>
      <c r="F711" s="181"/>
      <c r="G711" s="2"/>
      <c r="I711" s="190"/>
      <c r="J711" s="190"/>
      <c r="K711" s="2"/>
      <c r="Z711" s="4"/>
      <c r="AC711" s="4"/>
      <c r="AF711" s="4"/>
    </row>
    <row r="712">
      <c r="A712" s="179"/>
      <c r="B712" s="180"/>
      <c r="C712" s="2"/>
      <c r="E712" s="181"/>
      <c r="F712" s="181"/>
      <c r="G712" s="2"/>
      <c r="I712" s="190"/>
      <c r="J712" s="190"/>
      <c r="K712" s="2"/>
      <c r="Z712" s="4"/>
      <c r="AC712" s="4"/>
      <c r="AF712" s="4"/>
    </row>
    <row r="713">
      <c r="A713" s="179"/>
      <c r="B713" s="180"/>
      <c r="C713" s="2"/>
      <c r="E713" s="181"/>
      <c r="F713" s="181"/>
      <c r="G713" s="2"/>
      <c r="I713" s="190"/>
      <c r="J713" s="190"/>
      <c r="K713" s="2"/>
      <c r="Z713" s="4"/>
      <c r="AC713" s="4"/>
      <c r="AF713" s="4"/>
    </row>
    <row r="714">
      <c r="A714" s="179"/>
      <c r="B714" s="180"/>
      <c r="C714" s="2"/>
      <c r="E714" s="181"/>
      <c r="F714" s="181"/>
      <c r="G714" s="2"/>
      <c r="I714" s="190"/>
      <c r="J714" s="190"/>
      <c r="K714" s="2"/>
      <c r="Z714" s="4"/>
      <c r="AC714" s="4"/>
      <c r="AF714" s="4"/>
    </row>
    <row r="715">
      <c r="A715" s="179"/>
      <c r="B715" s="180"/>
      <c r="C715" s="2"/>
      <c r="E715" s="181"/>
      <c r="F715" s="181"/>
      <c r="G715" s="2"/>
      <c r="I715" s="190"/>
      <c r="J715" s="190"/>
      <c r="K715" s="2"/>
      <c r="Z715" s="4"/>
      <c r="AC715" s="4"/>
      <c r="AF715" s="4"/>
    </row>
    <row r="716">
      <c r="A716" s="179"/>
      <c r="B716" s="180"/>
      <c r="C716" s="2"/>
      <c r="E716" s="181"/>
      <c r="F716" s="181"/>
      <c r="G716" s="2"/>
      <c r="I716" s="190"/>
      <c r="J716" s="190"/>
      <c r="K716" s="2"/>
      <c r="Z716" s="4"/>
      <c r="AC716" s="4"/>
      <c r="AF716" s="4"/>
    </row>
    <row r="717">
      <c r="A717" s="179"/>
      <c r="B717" s="180"/>
      <c r="C717" s="2"/>
      <c r="E717" s="181"/>
      <c r="F717" s="181"/>
      <c r="G717" s="2"/>
      <c r="I717" s="190"/>
      <c r="J717" s="190"/>
      <c r="K717" s="2"/>
      <c r="Z717" s="4"/>
      <c r="AC717" s="4"/>
      <c r="AF717" s="4"/>
    </row>
    <row r="718">
      <c r="A718" s="179"/>
      <c r="B718" s="180"/>
      <c r="C718" s="2"/>
      <c r="E718" s="181"/>
      <c r="F718" s="181"/>
      <c r="G718" s="2"/>
      <c r="I718" s="190"/>
      <c r="J718" s="190"/>
      <c r="K718" s="2"/>
      <c r="Z718" s="4"/>
      <c r="AC718" s="4"/>
      <c r="AF718" s="4"/>
    </row>
    <row r="719">
      <c r="A719" s="179"/>
      <c r="B719" s="180"/>
      <c r="C719" s="2"/>
      <c r="E719" s="181"/>
      <c r="F719" s="181"/>
      <c r="G719" s="2"/>
      <c r="I719" s="190"/>
      <c r="J719" s="190"/>
      <c r="K719" s="2"/>
      <c r="Z719" s="4"/>
      <c r="AC719" s="4"/>
      <c r="AF719" s="4"/>
    </row>
    <row r="720">
      <c r="A720" s="179"/>
      <c r="B720" s="180"/>
      <c r="C720" s="2"/>
      <c r="E720" s="181"/>
      <c r="F720" s="181"/>
      <c r="G720" s="2"/>
      <c r="I720" s="190"/>
      <c r="J720" s="190"/>
      <c r="K720" s="2"/>
      <c r="Z720" s="4"/>
      <c r="AC720" s="4"/>
      <c r="AF720" s="4"/>
    </row>
    <row r="721">
      <c r="A721" s="179"/>
      <c r="B721" s="180"/>
      <c r="C721" s="2"/>
      <c r="E721" s="181"/>
      <c r="F721" s="181"/>
      <c r="G721" s="2"/>
      <c r="I721" s="190"/>
      <c r="J721" s="190"/>
      <c r="K721" s="2"/>
      <c r="Z721" s="4"/>
      <c r="AC721" s="4"/>
      <c r="AF721" s="4"/>
    </row>
    <row r="722">
      <c r="A722" s="179"/>
      <c r="B722" s="180"/>
      <c r="C722" s="2"/>
      <c r="E722" s="181"/>
      <c r="F722" s="181"/>
      <c r="G722" s="2"/>
      <c r="I722" s="190"/>
      <c r="J722" s="190"/>
      <c r="K722" s="2"/>
      <c r="Z722" s="4"/>
      <c r="AC722" s="4"/>
      <c r="AF722" s="4"/>
    </row>
    <row r="723">
      <c r="A723" s="179"/>
      <c r="B723" s="180"/>
      <c r="C723" s="2"/>
      <c r="E723" s="181"/>
      <c r="F723" s="181"/>
      <c r="G723" s="2"/>
      <c r="I723" s="190"/>
      <c r="J723" s="190"/>
      <c r="K723" s="2"/>
      <c r="Z723" s="4"/>
      <c r="AC723" s="4"/>
      <c r="AF723" s="4"/>
    </row>
    <row r="724">
      <c r="A724" s="179"/>
      <c r="B724" s="180"/>
      <c r="C724" s="2"/>
      <c r="E724" s="181"/>
      <c r="F724" s="181"/>
      <c r="G724" s="2"/>
      <c r="I724" s="190"/>
      <c r="J724" s="190"/>
      <c r="K724" s="2"/>
      <c r="Z724" s="4"/>
      <c r="AC724" s="4"/>
      <c r="AF724" s="4"/>
    </row>
    <row r="725">
      <c r="A725" s="179"/>
      <c r="B725" s="180"/>
      <c r="C725" s="2"/>
      <c r="E725" s="181"/>
      <c r="F725" s="181"/>
      <c r="G725" s="2"/>
      <c r="I725" s="190"/>
      <c r="J725" s="190"/>
      <c r="K725" s="2"/>
      <c r="Z725" s="4"/>
      <c r="AC725" s="4"/>
      <c r="AF725" s="4"/>
    </row>
    <row r="726">
      <c r="A726" s="179"/>
      <c r="B726" s="180"/>
      <c r="C726" s="2"/>
      <c r="E726" s="181"/>
      <c r="F726" s="181"/>
      <c r="G726" s="2"/>
      <c r="I726" s="190"/>
      <c r="J726" s="190"/>
      <c r="K726" s="2"/>
      <c r="Z726" s="4"/>
      <c r="AC726" s="4"/>
      <c r="AF726" s="4"/>
    </row>
    <row r="727">
      <c r="A727" s="179"/>
      <c r="B727" s="180"/>
      <c r="C727" s="2"/>
      <c r="E727" s="181"/>
      <c r="F727" s="181"/>
      <c r="G727" s="2"/>
      <c r="I727" s="190"/>
      <c r="J727" s="190"/>
      <c r="K727" s="2"/>
      <c r="Z727" s="4"/>
      <c r="AC727" s="4"/>
      <c r="AF727" s="4"/>
    </row>
    <row r="728">
      <c r="A728" s="179"/>
      <c r="B728" s="180"/>
      <c r="C728" s="2"/>
      <c r="E728" s="181"/>
      <c r="F728" s="181"/>
      <c r="G728" s="2"/>
      <c r="I728" s="190"/>
      <c r="J728" s="190"/>
      <c r="K728" s="2"/>
      <c r="Z728" s="4"/>
      <c r="AC728" s="4"/>
      <c r="AF728" s="4"/>
    </row>
    <row r="729">
      <c r="A729" s="179"/>
      <c r="B729" s="180"/>
      <c r="C729" s="2"/>
      <c r="E729" s="181"/>
      <c r="F729" s="181"/>
      <c r="G729" s="2"/>
      <c r="I729" s="190"/>
      <c r="J729" s="190"/>
      <c r="K729" s="2"/>
      <c r="Z729" s="4"/>
      <c r="AC729" s="4"/>
      <c r="AF729" s="4"/>
    </row>
    <row r="730">
      <c r="A730" s="179"/>
      <c r="B730" s="180"/>
      <c r="C730" s="2"/>
      <c r="E730" s="181"/>
      <c r="F730" s="181"/>
      <c r="G730" s="2"/>
      <c r="I730" s="190"/>
      <c r="J730" s="190"/>
      <c r="K730" s="2"/>
      <c r="Z730" s="4"/>
      <c r="AC730" s="4"/>
      <c r="AF730" s="4"/>
    </row>
    <row r="731">
      <c r="A731" s="179"/>
      <c r="B731" s="180"/>
      <c r="C731" s="2"/>
      <c r="E731" s="181"/>
      <c r="F731" s="181"/>
      <c r="G731" s="2"/>
      <c r="I731" s="190"/>
      <c r="J731" s="190"/>
      <c r="K731" s="2"/>
      <c r="Z731" s="4"/>
      <c r="AC731" s="4"/>
      <c r="AF731" s="4"/>
    </row>
    <row r="732">
      <c r="A732" s="179"/>
      <c r="B732" s="180"/>
      <c r="C732" s="2"/>
      <c r="E732" s="181"/>
      <c r="F732" s="181"/>
      <c r="G732" s="2"/>
      <c r="I732" s="190"/>
      <c r="J732" s="190"/>
      <c r="K732" s="2"/>
      <c r="Z732" s="4"/>
      <c r="AC732" s="4"/>
      <c r="AF732" s="4"/>
    </row>
    <row r="733">
      <c r="A733" s="179"/>
      <c r="B733" s="180"/>
      <c r="C733" s="2"/>
      <c r="E733" s="181"/>
      <c r="F733" s="181"/>
      <c r="G733" s="2"/>
      <c r="I733" s="190"/>
      <c r="J733" s="190"/>
      <c r="K733" s="2"/>
      <c r="Z733" s="4"/>
      <c r="AC733" s="4"/>
      <c r="AF733" s="4"/>
    </row>
    <row r="734">
      <c r="A734" s="179"/>
      <c r="B734" s="180"/>
      <c r="C734" s="2"/>
      <c r="E734" s="181"/>
      <c r="F734" s="181"/>
      <c r="G734" s="2"/>
      <c r="I734" s="190"/>
      <c r="J734" s="190"/>
      <c r="K734" s="2"/>
      <c r="Z734" s="4"/>
      <c r="AC734" s="4"/>
      <c r="AF734" s="4"/>
    </row>
    <row r="735">
      <c r="A735" s="179"/>
      <c r="B735" s="180"/>
      <c r="C735" s="2"/>
      <c r="E735" s="181"/>
      <c r="F735" s="181"/>
      <c r="G735" s="2"/>
      <c r="I735" s="190"/>
      <c r="J735" s="190"/>
      <c r="K735" s="2"/>
      <c r="Z735" s="4"/>
      <c r="AC735" s="4"/>
      <c r="AF735" s="4"/>
    </row>
    <row r="736">
      <c r="A736" s="179"/>
      <c r="B736" s="180"/>
      <c r="C736" s="2"/>
      <c r="E736" s="181"/>
      <c r="F736" s="181"/>
      <c r="G736" s="2"/>
      <c r="I736" s="190"/>
      <c r="J736" s="190"/>
      <c r="K736" s="2"/>
      <c r="Z736" s="4"/>
      <c r="AC736" s="4"/>
      <c r="AF736" s="4"/>
    </row>
    <row r="737">
      <c r="A737" s="179"/>
      <c r="B737" s="180"/>
      <c r="C737" s="2"/>
      <c r="E737" s="181"/>
      <c r="F737" s="181"/>
      <c r="G737" s="2"/>
      <c r="I737" s="190"/>
      <c r="J737" s="190"/>
      <c r="K737" s="2"/>
      <c r="Z737" s="4"/>
      <c r="AC737" s="4"/>
      <c r="AF737" s="4"/>
    </row>
    <row r="738">
      <c r="A738" s="179"/>
      <c r="B738" s="180"/>
      <c r="C738" s="2"/>
      <c r="E738" s="181"/>
      <c r="F738" s="181"/>
      <c r="G738" s="2"/>
      <c r="I738" s="190"/>
      <c r="J738" s="190"/>
      <c r="K738" s="2"/>
      <c r="Z738" s="4"/>
      <c r="AC738" s="4"/>
      <c r="AF738" s="4"/>
    </row>
    <row r="739">
      <c r="A739" s="179"/>
      <c r="B739" s="180"/>
      <c r="C739" s="2"/>
      <c r="E739" s="181"/>
      <c r="F739" s="181"/>
      <c r="G739" s="2"/>
      <c r="I739" s="190"/>
      <c r="J739" s="190"/>
      <c r="K739" s="2"/>
      <c r="Z739" s="4"/>
      <c r="AC739" s="4"/>
      <c r="AF739" s="4"/>
    </row>
    <row r="740">
      <c r="A740" s="179"/>
      <c r="B740" s="180"/>
      <c r="C740" s="2"/>
      <c r="E740" s="181"/>
      <c r="F740" s="181"/>
      <c r="G740" s="2"/>
      <c r="I740" s="190"/>
      <c r="J740" s="190"/>
      <c r="K740" s="2"/>
      <c r="Z740" s="4"/>
      <c r="AC740" s="4"/>
      <c r="AF740" s="4"/>
    </row>
    <row r="741">
      <c r="A741" s="179"/>
      <c r="B741" s="180"/>
      <c r="C741" s="2"/>
      <c r="E741" s="181"/>
      <c r="F741" s="181"/>
      <c r="G741" s="2"/>
      <c r="I741" s="190"/>
      <c r="J741" s="190"/>
      <c r="K741" s="2"/>
      <c r="Z741" s="4"/>
      <c r="AC741" s="4"/>
      <c r="AF741" s="4"/>
    </row>
    <row r="742">
      <c r="A742" s="179"/>
      <c r="B742" s="180"/>
      <c r="C742" s="2"/>
      <c r="E742" s="181"/>
      <c r="F742" s="181"/>
      <c r="G742" s="2"/>
      <c r="I742" s="190"/>
      <c r="J742" s="190"/>
      <c r="K742" s="2"/>
      <c r="Z742" s="4"/>
      <c r="AC742" s="4"/>
      <c r="AF742" s="4"/>
    </row>
    <row r="743">
      <c r="A743" s="179"/>
      <c r="B743" s="180"/>
      <c r="C743" s="2"/>
      <c r="E743" s="181"/>
      <c r="F743" s="181"/>
      <c r="G743" s="2"/>
      <c r="I743" s="190"/>
      <c r="J743" s="190"/>
      <c r="K743" s="2"/>
      <c r="Z743" s="4"/>
      <c r="AC743" s="4"/>
      <c r="AF743" s="4"/>
    </row>
    <row r="744">
      <c r="A744" s="179"/>
      <c r="B744" s="180"/>
      <c r="C744" s="2"/>
      <c r="E744" s="181"/>
      <c r="F744" s="181"/>
      <c r="G744" s="2"/>
      <c r="I744" s="190"/>
      <c r="J744" s="190"/>
      <c r="K744" s="2"/>
      <c r="Z744" s="4"/>
      <c r="AC744" s="4"/>
      <c r="AF744" s="4"/>
    </row>
    <row r="745">
      <c r="A745" s="179"/>
      <c r="B745" s="180"/>
      <c r="C745" s="2"/>
      <c r="E745" s="181"/>
      <c r="F745" s="181"/>
      <c r="G745" s="2"/>
      <c r="I745" s="190"/>
      <c r="J745" s="190"/>
      <c r="K745" s="2"/>
      <c r="Z745" s="4"/>
      <c r="AC745" s="4"/>
      <c r="AF745" s="4"/>
    </row>
    <row r="746">
      <c r="A746" s="179"/>
      <c r="B746" s="180"/>
      <c r="C746" s="2"/>
      <c r="E746" s="181"/>
      <c r="F746" s="181"/>
      <c r="G746" s="2"/>
      <c r="I746" s="190"/>
      <c r="J746" s="190"/>
      <c r="K746" s="2"/>
      <c r="Z746" s="4"/>
      <c r="AC746" s="4"/>
      <c r="AF746" s="4"/>
    </row>
    <row r="747">
      <c r="A747" s="179"/>
      <c r="B747" s="180"/>
      <c r="C747" s="2"/>
      <c r="E747" s="181"/>
      <c r="F747" s="181"/>
      <c r="G747" s="2"/>
      <c r="I747" s="190"/>
      <c r="J747" s="190"/>
      <c r="K747" s="2"/>
      <c r="Z747" s="4"/>
      <c r="AC747" s="4"/>
      <c r="AF747" s="4"/>
    </row>
    <row r="748">
      <c r="A748" s="179"/>
      <c r="B748" s="180"/>
      <c r="C748" s="2"/>
      <c r="E748" s="181"/>
      <c r="F748" s="181"/>
      <c r="G748" s="2"/>
      <c r="I748" s="190"/>
      <c r="J748" s="190"/>
      <c r="K748" s="2"/>
      <c r="Z748" s="4"/>
      <c r="AC748" s="4"/>
      <c r="AF748" s="4"/>
    </row>
    <row r="749">
      <c r="A749" s="179"/>
      <c r="B749" s="180"/>
      <c r="C749" s="2"/>
      <c r="E749" s="181"/>
      <c r="F749" s="181"/>
      <c r="G749" s="2"/>
      <c r="I749" s="190"/>
      <c r="J749" s="190"/>
      <c r="K749" s="2"/>
      <c r="Z749" s="4"/>
      <c r="AC749" s="4"/>
      <c r="AF749" s="4"/>
    </row>
    <row r="750">
      <c r="A750" s="179"/>
      <c r="B750" s="180"/>
      <c r="C750" s="2"/>
      <c r="E750" s="181"/>
      <c r="F750" s="181"/>
      <c r="G750" s="2"/>
      <c r="I750" s="190"/>
      <c r="J750" s="190"/>
      <c r="K750" s="2"/>
      <c r="Z750" s="4"/>
      <c r="AC750" s="4"/>
      <c r="AF750" s="4"/>
    </row>
    <row r="751">
      <c r="A751" s="179"/>
      <c r="B751" s="180"/>
      <c r="C751" s="2"/>
      <c r="E751" s="181"/>
      <c r="F751" s="181"/>
      <c r="G751" s="2"/>
      <c r="I751" s="190"/>
      <c r="J751" s="190"/>
      <c r="K751" s="2"/>
      <c r="Z751" s="4"/>
      <c r="AC751" s="4"/>
      <c r="AF751" s="4"/>
    </row>
    <row r="752">
      <c r="A752" s="179"/>
      <c r="B752" s="180"/>
      <c r="C752" s="2"/>
      <c r="E752" s="181"/>
      <c r="F752" s="181"/>
      <c r="G752" s="2"/>
      <c r="I752" s="190"/>
      <c r="J752" s="190"/>
      <c r="K752" s="2"/>
      <c r="Z752" s="4"/>
      <c r="AC752" s="4"/>
      <c r="AF752" s="4"/>
    </row>
    <row r="753">
      <c r="A753" s="179"/>
      <c r="B753" s="180"/>
      <c r="C753" s="2"/>
      <c r="E753" s="181"/>
      <c r="F753" s="181"/>
      <c r="G753" s="2"/>
      <c r="I753" s="190"/>
      <c r="J753" s="190"/>
      <c r="K753" s="2"/>
      <c r="Z753" s="4"/>
      <c r="AC753" s="4"/>
      <c r="AF753" s="4"/>
    </row>
    <row r="754">
      <c r="A754" s="179"/>
      <c r="B754" s="180"/>
      <c r="C754" s="2"/>
      <c r="E754" s="181"/>
      <c r="F754" s="181"/>
      <c r="G754" s="2"/>
      <c r="I754" s="190"/>
      <c r="J754" s="190"/>
      <c r="K754" s="2"/>
      <c r="Z754" s="4"/>
      <c r="AC754" s="4"/>
      <c r="AF754" s="4"/>
    </row>
    <row r="755">
      <c r="A755" s="179"/>
      <c r="B755" s="180"/>
      <c r="C755" s="2"/>
      <c r="E755" s="181"/>
      <c r="F755" s="181"/>
      <c r="G755" s="2"/>
      <c r="I755" s="190"/>
      <c r="J755" s="190"/>
      <c r="K755" s="2"/>
      <c r="Z755" s="4"/>
      <c r="AC755" s="4"/>
      <c r="AF755" s="4"/>
    </row>
    <row r="756">
      <c r="A756" s="179"/>
      <c r="B756" s="180"/>
      <c r="C756" s="2"/>
      <c r="E756" s="181"/>
      <c r="F756" s="181"/>
      <c r="G756" s="2"/>
      <c r="I756" s="190"/>
      <c r="J756" s="190"/>
      <c r="K756" s="2"/>
      <c r="Z756" s="4"/>
      <c r="AC756" s="4"/>
      <c r="AF756" s="4"/>
    </row>
    <row r="757">
      <c r="A757" s="179"/>
      <c r="B757" s="180"/>
      <c r="C757" s="2"/>
      <c r="E757" s="181"/>
      <c r="F757" s="181"/>
      <c r="G757" s="2"/>
      <c r="I757" s="190"/>
      <c r="J757" s="190"/>
      <c r="K757" s="2"/>
      <c r="Z757" s="4"/>
      <c r="AC757" s="4"/>
      <c r="AF757" s="4"/>
    </row>
    <row r="758">
      <c r="A758" s="179"/>
      <c r="B758" s="180"/>
      <c r="C758" s="2"/>
      <c r="E758" s="181"/>
      <c r="F758" s="181"/>
      <c r="G758" s="2"/>
      <c r="I758" s="190"/>
      <c r="J758" s="190"/>
      <c r="K758" s="2"/>
      <c r="Z758" s="4"/>
      <c r="AC758" s="4"/>
      <c r="AF758" s="4"/>
    </row>
    <row r="759">
      <c r="A759" s="179"/>
      <c r="B759" s="180"/>
      <c r="C759" s="2"/>
      <c r="E759" s="181"/>
      <c r="F759" s="181"/>
      <c r="G759" s="2"/>
      <c r="I759" s="190"/>
      <c r="J759" s="190"/>
      <c r="K759" s="2"/>
      <c r="Z759" s="4"/>
      <c r="AC759" s="4"/>
      <c r="AF759" s="4"/>
    </row>
    <row r="760">
      <c r="A760" s="179"/>
      <c r="B760" s="180"/>
      <c r="C760" s="2"/>
      <c r="E760" s="181"/>
      <c r="F760" s="181"/>
      <c r="G760" s="2"/>
      <c r="I760" s="190"/>
      <c r="J760" s="190"/>
      <c r="K760" s="2"/>
      <c r="Z760" s="4"/>
      <c r="AC760" s="4"/>
      <c r="AF760" s="4"/>
    </row>
    <row r="761">
      <c r="A761" s="179"/>
      <c r="B761" s="180"/>
      <c r="C761" s="2"/>
      <c r="E761" s="181"/>
      <c r="F761" s="181"/>
      <c r="G761" s="2"/>
      <c r="I761" s="190"/>
      <c r="J761" s="190"/>
      <c r="K761" s="2"/>
      <c r="Z761" s="4"/>
      <c r="AC761" s="4"/>
      <c r="AF761" s="4"/>
    </row>
    <row r="762">
      <c r="A762" s="179"/>
      <c r="B762" s="180"/>
      <c r="C762" s="2"/>
      <c r="E762" s="181"/>
      <c r="F762" s="181"/>
      <c r="G762" s="2"/>
      <c r="I762" s="190"/>
      <c r="J762" s="190"/>
      <c r="K762" s="2"/>
      <c r="Z762" s="4"/>
      <c r="AC762" s="4"/>
      <c r="AF762" s="4"/>
    </row>
    <row r="763">
      <c r="A763" s="179"/>
      <c r="B763" s="180"/>
      <c r="C763" s="2"/>
      <c r="E763" s="181"/>
      <c r="F763" s="181"/>
      <c r="G763" s="2"/>
      <c r="I763" s="190"/>
      <c r="J763" s="190"/>
      <c r="K763" s="2"/>
      <c r="Z763" s="4"/>
      <c r="AC763" s="4"/>
      <c r="AF763" s="4"/>
    </row>
    <row r="764">
      <c r="A764" s="179"/>
      <c r="B764" s="180"/>
      <c r="C764" s="2"/>
      <c r="E764" s="181"/>
      <c r="F764" s="181"/>
      <c r="G764" s="2"/>
      <c r="I764" s="190"/>
      <c r="J764" s="190"/>
      <c r="K764" s="2"/>
      <c r="Z764" s="4"/>
      <c r="AC764" s="4"/>
      <c r="AF764" s="4"/>
    </row>
    <row r="765">
      <c r="A765" s="179"/>
      <c r="B765" s="180"/>
      <c r="C765" s="2"/>
      <c r="E765" s="181"/>
      <c r="F765" s="181"/>
      <c r="G765" s="2"/>
      <c r="I765" s="190"/>
      <c r="J765" s="190"/>
      <c r="K765" s="2"/>
      <c r="Z765" s="4"/>
      <c r="AC765" s="4"/>
      <c r="AF765" s="4"/>
    </row>
    <row r="766">
      <c r="A766" s="179"/>
      <c r="B766" s="180"/>
      <c r="C766" s="2"/>
      <c r="E766" s="181"/>
      <c r="F766" s="181"/>
      <c r="G766" s="2"/>
      <c r="I766" s="190"/>
      <c r="J766" s="190"/>
      <c r="K766" s="2"/>
      <c r="Z766" s="4"/>
      <c r="AC766" s="4"/>
      <c r="AF766" s="4"/>
    </row>
    <row r="767">
      <c r="A767" s="179"/>
      <c r="B767" s="180"/>
      <c r="C767" s="2"/>
      <c r="E767" s="181"/>
      <c r="F767" s="181"/>
      <c r="G767" s="2"/>
      <c r="I767" s="190"/>
      <c r="J767" s="190"/>
      <c r="K767" s="2"/>
      <c r="Z767" s="4"/>
      <c r="AC767" s="4"/>
      <c r="AF767" s="4"/>
    </row>
    <row r="768">
      <c r="A768" s="179"/>
      <c r="B768" s="180"/>
      <c r="C768" s="2"/>
      <c r="E768" s="181"/>
      <c r="F768" s="181"/>
      <c r="G768" s="2"/>
      <c r="I768" s="190"/>
      <c r="J768" s="190"/>
      <c r="K768" s="2"/>
      <c r="Z768" s="4"/>
      <c r="AC768" s="4"/>
      <c r="AF768" s="4"/>
    </row>
    <row r="769">
      <c r="A769" s="179"/>
      <c r="B769" s="180"/>
      <c r="C769" s="2"/>
      <c r="E769" s="181"/>
      <c r="F769" s="181"/>
      <c r="G769" s="2"/>
      <c r="I769" s="190"/>
      <c r="J769" s="190"/>
      <c r="K769" s="2"/>
      <c r="Z769" s="4"/>
      <c r="AC769" s="4"/>
      <c r="AF769" s="4"/>
    </row>
    <row r="770">
      <c r="A770" s="179"/>
      <c r="B770" s="180"/>
      <c r="C770" s="2"/>
      <c r="E770" s="181"/>
      <c r="F770" s="181"/>
      <c r="G770" s="2"/>
      <c r="I770" s="190"/>
      <c r="J770" s="190"/>
      <c r="K770" s="2"/>
      <c r="Z770" s="4"/>
      <c r="AC770" s="4"/>
      <c r="AF770" s="4"/>
    </row>
    <row r="771">
      <c r="A771" s="179"/>
      <c r="B771" s="180"/>
      <c r="C771" s="2"/>
      <c r="E771" s="181"/>
      <c r="F771" s="181"/>
      <c r="G771" s="2"/>
      <c r="I771" s="190"/>
      <c r="J771" s="190"/>
      <c r="K771" s="2"/>
      <c r="Z771" s="4"/>
      <c r="AC771" s="4"/>
      <c r="AF771" s="4"/>
    </row>
    <row r="772">
      <c r="A772" s="179"/>
      <c r="B772" s="180"/>
      <c r="C772" s="2"/>
      <c r="E772" s="181"/>
      <c r="F772" s="181"/>
      <c r="G772" s="2"/>
      <c r="I772" s="190"/>
      <c r="J772" s="190"/>
      <c r="K772" s="2"/>
      <c r="Z772" s="4"/>
      <c r="AC772" s="4"/>
      <c r="AF772" s="4"/>
    </row>
    <row r="773">
      <c r="A773" s="179"/>
      <c r="B773" s="180"/>
      <c r="C773" s="2"/>
      <c r="E773" s="181"/>
      <c r="F773" s="181"/>
      <c r="G773" s="2"/>
      <c r="I773" s="190"/>
      <c r="J773" s="190"/>
      <c r="K773" s="2"/>
      <c r="Z773" s="4"/>
      <c r="AC773" s="4"/>
      <c r="AF773" s="4"/>
    </row>
    <row r="774">
      <c r="A774" s="179"/>
      <c r="B774" s="180"/>
      <c r="C774" s="2"/>
      <c r="E774" s="181"/>
      <c r="F774" s="181"/>
      <c r="G774" s="2"/>
      <c r="I774" s="190"/>
      <c r="J774" s="190"/>
      <c r="K774" s="2"/>
      <c r="Z774" s="4"/>
      <c r="AC774" s="4"/>
      <c r="AF774" s="4"/>
    </row>
    <row r="775">
      <c r="A775" s="179"/>
      <c r="B775" s="180"/>
      <c r="C775" s="2"/>
      <c r="E775" s="181"/>
      <c r="F775" s="181"/>
      <c r="G775" s="2"/>
      <c r="I775" s="190"/>
      <c r="J775" s="190"/>
      <c r="K775" s="2"/>
      <c r="Z775" s="4"/>
      <c r="AC775" s="4"/>
      <c r="AF775" s="4"/>
    </row>
    <row r="776">
      <c r="A776" s="179"/>
      <c r="B776" s="180"/>
      <c r="C776" s="2"/>
      <c r="E776" s="181"/>
      <c r="F776" s="181"/>
      <c r="G776" s="2"/>
      <c r="I776" s="190"/>
      <c r="J776" s="190"/>
      <c r="K776" s="2"/>
      <c r="Z776" s="4"/>
      <c r="AC776" s="4"/>
      <c r="AF776" s="4"/>
    </row>
    <row r="777">
      <c r="A777" s="179"/>
      <c r="B777" s="180"/>
      <c r="C777" s="2"/>
      <c r="E777" s="181"/>
      <c r="F777" s="181"/>
      <c r="G777" s="2"/>
      <c r="I777" s="190"/>
      <c r="J777" s="190"/>
      <c r="K777" s="2"/>
      <c r="Z777" s="4"/>
      <c r="AC777" s="4"/>
      <c r="AF777" s="4"/>
    </row>
    <row r="778">
      <c r="A778" s="179"/>
      <c r="B778" s="180"/>
      <c r="C778" s="2"/>
      <c r="E778" s="181"/>
      <c r="F778" s="181"/>
      <c r="G778" s="2"/>
      <c r="I778" s="190"/>
      <c r="J778" s="190"/>
      <c r="K778" s="2"/>
      <c r="Z778" s="4"/>
      <c r="AC778" s="4"/>
      <c r="AF778" s="4"/>
    </row>
    <row r="779">
      <c r="A779" s="179"/>
      <c r="B779" s="180"/>
      <c r="C779" s="2"/>
      <c r="E779" s="181"/>
      <c r="F779" s="181"/>
      <c r="G779" s="2"/>
      <c r="I779" s="190"/>
      <c r="J779" s="190"/>
      <c r="K779" s="2"/>
      <c r="Z779" s="4"/>
      <c r="AC779" s="4"/>
      <c r="AF779" s="4"/>
    </row>
    <row r="780">
      <c r="A780" s="179"/>
      <c r="B780" s="180"/>
      <c r="C780" s="2"/>
      <c r="E780" s="181"/>
      <c r="F780" s="181"/>
      <c r="G780" s="2"/>
      <c r="I780" s="190"/>
      <c r="J780" s="190"/>
      <c r="K780" s="2"/>
      <c r="Z780" s="4"/>
      <c r="AC780" s="4"/>
      <c r="AF780" s="4"/>
    </row>
    <row r="781">
      <c r="A781" s="179"/>
      <c r="B781" s="180"/>
      <c r="C781" s="2"/>
      <c r="E781" s="181"/>
      <c r="F781" s="181"/>
      <c r="G781" s="2"/>
      <c r="I781" s="190"/>
      <c r="J781" s="190"/>
      <c r="K781" s="2"/>
      <c r="Z781" s="4"/>
      <c r="AC781" s="4"/>
      <c r="AF781" s="4"/>
    </row>
    <row r="782">
      <c r="A782" s="179"/>
      <c r="B782" s="180"/>
      <c r="C782" s="2"/>
      <c r="E782" s="181"/>
      <c r="F782" s="181"/>
      <c r="G782" s="2"/>
      <c r="I782" s="190"/>
      <c r="J782" s="190"/>
      <c r="K782" s="2"/>
      <c r="Z782" s="4"/>
      <c r="AC782" s="4"/>
      <c r="AF782" s="4"/>
    </row>
    <row r="783">
      <c r="A783" s="179"/>
      <c r="B783" s="180"/>
      <c r="C783" s="2"/>
      <c r="E783" s="181"/>
      <c r="F783" s="181"/>
      <c r="G783" s="2"/>
      <c r="I783" s="190"/>
      <c r="J783" s="190"/>
      <c r="K783" s="2"/>
      <c r="Z783" s="4"/>
      <c r="AC783" s="4"/>
      <c r="AF783" s="4"/>
    </row>
    <row r="784">
      <c r="A784" s="179"/>
      <c r="B784" s="180"/>
      <c r="C784" s="2"/>
      <c r="E784" s="181"/>
      <c r="F784" s="181"/>
      <c r="G784" s="2"/>
      <c r="I784" s="190"/>
      <c r="J784" s="190"/>
      <c r="K784" s="2"/>
      <c r="Z784" s="4"/>
      <c r="AC784" s="4"/>
      <c r="AF784" s="4"/>
    </row>
    <row r="785">
      <c r="A785" s="179"/>
      <c r="B785" s="180"/>
      <c r="C785" s="2"/>
      <c r="E785" s="181"/>
      <c r="F785" s="181"/>
      <c r="G785" s="2"/>
      <c r="I785" s="190"/>
      <c r="J785" s="190"/>
      <c r="K785" s="2"/>
      <c r="Z785" s="4"/>
      <c r="AC785" s="4"/>
      <c r="AF785" s="4"/>
    </row>
    <row r="786">
      <c r="A786" s="179"/>
      <c r="B786" s="180"/>
      <c r="C786" s="2"/>
      <c r="E786" s="181"/>
      <c r="F786" s="181"/>
      <c r="G786" s="2"/>
      <c r="I786" s="190"/>
      <c r="J786" s="190"/>
      <c r="K786" s="2"/>
      <c r="Z786" s="4"/>
      <c r="AC786" s="4"/>
      <c r="AF786" s="4"/>
    </row>
    <row r="787">
      <c r="A787" s="179"/>
      <c r="B787" s="180"/>
      <c r="C787" s="2"/>
      <c r="E787" s="181"/>
      <c r="F787" s="181"/>
      <c r="G787" s="2"/>
      <c r="I787" s="190"/>
      <c r="J787" s="190"/>
      <c r="K787" s="2"/>
      <c r="Z787" s="4"/>
      <c r="AC787" s="4"/>
      <c r="AF787" s="4"/>
    </row>
    <row r="788">
      <c r="A788" s="179"/>
      <c r="B788" s="180"/>
      <c r="C788" s="2"/>
      <c r="E788" s="181"/>
      <c r="F788" s="181"/>
      <c r="G788" s="2"/>
      <c r="I788" s="190"/>
      <c r="J788" s="190"/>
      <c r="K788" s="2"/>
      <c r="Z788" s="4"/>
      <c r="AC788" s="4"/>
      <c r="AF788" s="4"/>
    </row>
    <row r="789">
      <c r="A789" s="179"/>
      <c r="B789" s="180"/>
      <c r="C789" s="2"/>
      <c r="E789" s="181"/>
      <c r="F789" s="181"/>
      <c r="G789" s="2"/>
      <c r="I789" s="190"/>
      <c r="J789" s="190"/>
      <c r="K789" s="2"/>
      <c r="Z789" s="4"/>
      <c r="AC789" s="4"/>
      <c r="AF789" s="4"/>
    </row>
    <row r="790">
      <c r="A790" s="179"/>
      <c r="B790" s="180"/>
      <c r="C790" s="2"/>
      <c r="E790" s="181"/>
      <c r="F790" s="181"/>
      <c r="G790" s="2"/>
      <c r="I790" s="190"/>
      <c r="J790" s="190"/>
      <c r="K790" s="2"/>
      <c r="Z790" s="4"/>
      <c r="AC790" s="4"/>
      <c r="AF790" s="4"/>
    </row>
    <row r="791">
      <c r="A791" s="179"/>
      <c r="B791" s="180"/>
      <c r="C791" s="2"/>
      <c r="E791" s="181"/>
      <c r="F791" s="181"/>
      <c r="G791" s="2"/>
      <c r="I791" s="190"/>
      <c r="J791" s="190"/>
      <c r="K791" s="2"/>
      <c r="Z791" s="4"/>
      <c r="AC791" s="4"/>
      <c r="AF791" s="4"/>
    </row>
    <row r="792">
      <c r="A792" s="179"/>
      <c r="B792" s="180"/>
      <c r="C792" s="2"/>
      <c r="E792" s="181"/>
      <c r="F792" s="181"/>
      <c r="G792" s="2"/>
      <c r="I792" s="190"/>
      <c r="J792" s="190"/>
      <c r="K792" s="2"/>
      <c r="Z792" s="4"/>
      <c r="AC792" s="4"/>
      <c r="AF792" s="4"/>
    </row>
    <row r="793">
      <c r="A793" s="179"/>
      <c r="B793" s="180"/>
      <c r="C793" s="2"/>
      <c r="E793" s="181"/>
      <c r="F793" s="181"/>
      <c r="G793" s="2"/>
      <c r="I793" s="190"/>
      <c r="J793" s="190"/>
      <c r="K793" s="2"/>
      <c r="Z793" s="4"/>
      <c r="AC793" s="4"/>
      <c r="AF793" s="4"/>
    </row>
    <row r="794">
      <c r="A794" s="179"/>
      <c r="B794" s="180"/>
      <c r="C794" s="2"/>
      <c r="E794" s="181"/>
      <c r="F794" s="181"/>
      <c r="G794" s="2"/>
      <c r="I794" s="190"/>
      <c r="J794" s="190"/>
      <c r="K794" s="2"/>
      <c r="Z794" s="4"/>
      <c r="AC794" s="4"/>
      <c r="AF794" s="4"/>
    </row>
    <row r="795">
      <c r="A795" s="179"/>
      <c r="B795" s="180"/>
      <c r="C795" s="2"/>
      <c r="E795" s="181"/>
      <c r="F795" s="181"/>
      <c r="G795" s="2"/>
      <c r="I795" s="190"/>
      <c r="J795" s="190"/>
      <c r="K795" s="2"/>
      <c r="Z795" s="4"/>
      <c r="AC795" s="4"/>
      <c r="AF795" s="4"/>
    </row>
    <row r="796">
      <c r="A796" s="179"/>
      <c r="B796" s="180"/>
      <c r="C796" s="2"/>
      <c r="E796" s="181"/>
      <c r="F796" s="181"/>
      <c r="G796" s="2"/>
      <c r="I796" s="190"/>
      <c r="J796" s="190"/>
      <c r="K796" s="2"/>
      <c r="Z796" s="4"/>
      <c r="AC796" s="4"/>
      <c r="AF796" s="4"/>
    </row>
    <row r="797">
      <c r="A797" s="179"/>
      <c r="B797" s="180"/>
      <c r="C797" s="2"/>
      <c r="E797" s="181"/>
      <c r="F797" s="181"/>
      <c r="G797" s="2"/>
      <c r="I797" s="190"/>
      <c r="J797" s="190"/>
      <c r="K797" s="2"/>
      <c r="Z797" s="4"/>
      <c r="AC797" s="4"/>
      <c r="AF797" s="4"/>
    </row>
    <row r="798">
      <c r="A798" s="179"/>
      <c r="B798" s="180"/>
      <c r="C798" s="2"/>
      <c r="E798" s="181"/>
      <c r="F798" s="181"/>
      <c r="G798" s="2"/>
      <c r="I798" s="190"/>
      <c r="J798" s="190"/>
      <c r="K798" s="2"/>
      <c r="Z798" s="4"/>
      <c r="AC798" s="4"/>
      <c r="AF798" s="4"/>
    </row>
    <row r="799">
      <c r="A799" s="179"/>
      <c r="B799" s="180"/>
      <c r="C799" s="2"/>
      <c r="E799" s="181"/>
      <c r="F799" s="181"/>
      <c r="G799" s="2"/>
      <c r="I799" s="190"/>
      <c r="J799" s="190"/>
      <c r="K799" s="2"/>
      <c r="Z799" s="4"/>
      <c r="AC799" s="4"/>
      <c r="AF799" s="4"/>
    </row>
    <row r="800">
      <c r="A800" s="179"/>
      <c r="B800" s="180"/>
      <c r="C800" s="2"/>
      <c r="E800" s="181"/>
      <c r="F800" s="181"/>
      <c r="G800" s="2"/>
      <c r="I800" s="190"/>
      <c r="J800" s="190"/>
      <c r="K800" s="2"/>
      <c r="Z800" s="4"/>
      <c r="AC800" s="4"/>
      <c r="AF800" s="4"/>
    </row>
    <row r="801">
      <c r="A801" s="179"/>
      <c r="B801" s="180"/>
      <c r="C801" s="2"/>
      <c r="E801" s="181"/>
      <c r="F801" s="181"/>
      <c r="G801" s="2"/>
      <c r="I801" s="190"/>
      <c r="J801" s="190"/>
      <c r="K801" s="2"/>
      <c r="Z801" s="4"/>
      <c r="AC801" s="4"/>
      <c r="AF801" s="4"/>
    </row>
    <row r="802">
      <c r="A802" s="179"/>
      <c r="B802" s="180"/>
      <c r="C802" s="2"/>
      <c r="E802" s="181"/>
      <c r="F802" s="181"/>
      <c r="G802" s="2"/>
      <c r="I802" s="190"/>
      <c r="J802" s="190"/>
      <c r="K802" s="2"/>
      <c r="Z802" s="4"/>
      <c r="AC802" s="4"/>
      <c r="AF802" s="4"/>
    </row>
    <row r="803">
      <c r="A803" s="179"/>
      <c r="B803" s="180"/>
      <c r="C803" s="2"/>
      <c r="E803" s="181"/>
      <c r="F803" s="181"/>
      <c r="G803" s="2"/>
      <c r="I803" s="190"/>
      <c r="J803" s="190"/>
      <c r="K803" s="2"/>
      <c r="Z803" s="4"/>
      <c r="AC803" s="4"/>
      <c r="AF803" s="4"/>
    </row>
    <row r="804">
      <c r="A804" s="179"/>
      <c r="B804" s="180"/>
      <c r="C804" s="2"/>
      <c r="E804" s="181"/>
      <c r="F804" s="181"/>
      <c r="G804" s="2"/>
      <c r="I804" s="190"/>
      <c r="J804" s="190"/>
      <c r="K804" s="2"/>
      <c r="Z804" s="4"/>
      <c r="AC804" s="4"/>
      <c r="AF804" s="4"/>
    </row>
    <row r="805">
      <c r="A805" s="179"/>
      <c r="B805" s="180"/>
      <c r="C805" s="2"/>
      <c r="E805" s="181"/>
      <c r="F805" s="181"/>
      <c r="G805" s="2"/>
      <c r="I805" s="190"/>
      <c r="J805" s="190"/>
      <c r="K805" s="2"/>
      <c r="Z805" s="4"/>
      <c r="AC805" s="4"/>
      <c r="AF805" s="4"/>
    </row>
    <row r="806">
      <c r="A806" s="179"/>
      <c r="B806" s="180"/>
      <c r="C806" s="2"/>
      <c r="E806" s="181"/>
      <c r="F806" s="181"/>
      <c r="G806" s="2"/>
      <c r="I806" s="190"/>
      <c r="J806" s="190"/>
      <c r="K806" s="2"/>
      <c r="Z806" s="4"/>
      <c r="AC806" s="4"/>
      <c r="AF806" s="4"/>
    </row>
    <row r="807">
      <c r="A807" s="179"/>
      <c r="B807" s="180"/>
      <c r="C807" s="2"/>
      <c r="E807" s="181"/>
      <c r="F807" s="181"/>
      <c r="G807" s="2"/>
      <c r="I807" s="190"/>
      <c r="J807" s="190"/>
      <c r="K807" s="2"/>
      <c r="Z807" s="4"/>
      <c r="AC807" s="4"/>
      <c r="AF807" s="4"/>
    </row>
    <row r="808">
      <c r="A808" s="179"/>
      <c r="B808" s="180"/>
      <c r="C808" s="2"/>
      <c r="E808" s="181"/>
      <c r="F808" s="181"/>
      <c r="G808" s="2"/>
      <c r="I808" s="190"/>
      <c r="J808" s="190"/>
      <c r="K808" s="2"/>
      <c r="Z808" s="4"/>
      <c r="AC808" s="4"/>
      <c r="AF808" s="4"/>
    </row>
    <row r="809">
      <c r="A809" s="179"/>
      <c r="B809" s="180"/>
      <c r="C809" s="2"/>
      <c r="E809" s="181"/>
      <c r="F809" s="181"/>
      <c r="G809" s="2"/>
      <c r="I809" s="190"/>
      <c r="J809" s="190"/>
      <c r="K809" s="2"/>
      <c r="Z809" s="4"/>
      <c r="AC809" s="4"/>
      <c r="AF809" s="4"/>
    </row>
    <row r="810">
      <c r="A810" s="179"/>
      <c r="B810" s="180"/>
      <c r="C810" s="2"/>
      <c r="E810" s="181"/>
      <c r="F810" s="181"/>
      <c r="G810" s="2"/>
      <c r="I810" s="190"/>
      <c r="J810" s="190"/>
      <c r="K810" s="2"/>
      <c r="Z810" s="4"/>
      <c r="AC810" s="4"/>
      <c r="AF810" s="4"/>
    </row>
    <row r="811">
      <c r="A811" s="179"/>
      <c r="B811" s="180"/>
      <c r="C811" s="2"/>
      <c r="E811" s="181"/>
      <c r="F811" s="181"/>
      <c r="G811" s="2"/>
      <c r="I811" s="190"/>
      <c r="J811" s="190"/>
      <c r="K811" s="2"/>
      <c r="Z811" s="4"/>
      <c r="AC811" s="4"/>
      <c r="AF811" s="4"/>
    </row>
    <row r="812">
      <c r="A812" s="179"/>
      <c r="B812" s="180"/>
      <c r="C812" s="2"/>
      <c r="E812" s="181"/>
      <c r="F812" s="181"/>
      <c r="G812" s="2"/>
      <c r="I812" s="190"/>
      <c r="J812" s="190"/>
      <c r="K812" s="2"/>
      <c r="Z812" s="4"/>
      <c r="AC812" s="4"/>
      <c r="AF812" s="4"/>
    </row>
    <row r="813">
      <c r="A813" s="179"/>
      <c r="B813" s="180"/>
      <c r="C813" s="2"/>
      <c r="E813" s="181"/>
      <c r="F813" s="181"/>
      <c r="G813" s="2"/>
      <c r="I813" s="190"/>
      <c r="J813" s="190"/>
      <c r="K813" s="2"/>
      <c r="Z813" s="4"/>
      <c r="AC813" s="4"/>
      <c r="AF813" s="4"/>
    </row>
    <row r="814">
      <c r="A814" s="179"/>
      <c r="B814" s="180"/>
      <c r="C814" s="2"/>
      <c r="E814" s="181"/>
      <c r="F814" s="181"/>
      <c r="G814" s="2"/>
      <c r="I814" s="190"/>
      <c r="J814" s="190"/>
      <c r="K814" s="2"/>
      <c r="Z814" s="4"/>
      <c r="AC814" s="4"/>
      <c r="AF814" s="4"/>
    </row>
    <row r="815">
      <c r="A815" s="179"/>
      <c r="B815" s="180"/>
      <c r="C815" s="2"/>
      <c r="E815" s="181"/>
      <c r="F815" s="181"/>
      <c r="G815" s="2"/>
      <c r="I815" s="190"/>
      <c r="J815" s="190"/>
      <c r="K815" s="2"/>
      <c r="Z815" s="4"/>
      <c r="AC815" s="4"/>
      <c r="AF815" s="4"/>
    </row>
    <row r="816">
      <c r="A816" s="179"/>
      <c r="B816" s="180"/>
      <c r="C816" s="2"/>
      <c r="E816" s="181"/>
      <c r="F816" s="181"/>
      <c r="G816" s="2"/>
      <c r="I816" s="190"/>
      <c r="J816" s="190"/>
      <c r="K816" s="2"/>
      <c r="Z816" s="4"/>
      <c r="AC816" s="4"/>
      <c r="AF816" s="4"/>
    </row>
    <row r="817">
      <c r="A817" s="179"/>
      <c r="B817" s="180"/>
      <c r="C817" s="2"/>
      <c r="E817" s="181"/>
      <c r="F817" s="181"/>
      <c r="G817" s="2"/>
      <c r="I817" s="190"/>
      <c r="J817" s="190"/>
      <c r="K817" s="2"/>
      <c r="Z817" s="4"/>
      <c r="AC817" s="4"/>
      <c r="AF817" s="4"/>
    </row>
    <row r="818">
      <c r="A818" s="179"/>
      <c r="B818" s="180"/>
      <c r="C818" s="2"/>
      <c r="E818" s="181"/>
      <c r="F818" s="181"/>
      <c r="G818" s="2"/>
      <c r="I818" s="190"/>
      <c r="J818" s="190"/>
      <c r="K818" s="2"/>
      <c r="Z818" s="4"/>
      <c r="AC818" s="4"/>
      <c r="AF818" s="4"/>
    </row>
    <row r="819">
      <c r="A819" s="179"/>
      <c r="B819" s="180"/>
      <c r="C819" s="2"/>
      <c r="E819" s="181"/>
      <c r="F819" s="181"/>
      <c r="G819" s="2"/>
      <c r="I819" s="190"/>
      <c r="J819" s="190"/>
      <c r="K819" s="2"/>
      <c r="Z819" s="4"/>
      <c r="AC819" s="4"/>
      <c r="AF819" s="4"/>
    </row>
    <row r="820">
      <c r="A820" s="179"/>
      <c r="B820" s="180"/>
      <c r="C820" s="2"/>
      <c r="E820" s="181"/>
      <c r="F820" s="181"/>
      <c r="G820" s="2"/>
      <c r="I820" s="190"/>
      <c r="J820" s="190"/>
      <c r="K820" s="2"/>
      <c r="Z820" s="4"/>
      <c r="AC820" s="4"/>
      <c r="AF820" s="4"/>
    </row>
    <row r="821">
      <c r="A821" s="179"/>
      <c r="B821" s="180"/>
      <c r="C821" s="2"/>
      <c r="E821" s="181"/>
      <c r="F821" s="181"/>
      <c r="G821" s="2"/>
      <c r="I821" s="190"/>
      <c r="J821" s="190"/>
      <c r="K821" s="2"/>
      <c r="Z821" s="4"/>
      <c r="AC821" s="4"/>
      <c r="AF821" s="4"/>
    </row>
    <row r="822">
      <c r="A822" s="179"/>
      <c r="B822" s="180"/>
      <c r="C822" s="2"/>
      <c r="E822" s="181"/>
      <c r="F822" s="181"/>
      <c r="G822" s="2"/>
      <c r="I822" s="190"/>
      <c r="J822" s="190"/>
      <c r="K822" s="2"/>
      <c r="Z822" s="4"/>
      <c r="AC822" s="4"/>
      <c r="AF822" s="4"/>
    </row>
    <row r="823">
      <c r="A823" s="179"/>
      <c r="B823" s="180"/>
      <c r="C823" s="2"/>
      <c r="E823" s="181"/>
      <c r="F823" s="181"/>
      <c r="G823" s="2"/>
      <c r="I823" s="190"/>
      <c r="J823" s="190"/>
      <c r="K823" s="2"/>
      <c r="Z823" s="4"/>
      <c r="AC823" s="4"/>
      <c r="AF823" s="4"/>
    </row>
    <row r="824">
      <c r="A824" s="179"/>
      <c r="B824" s="180"/>
      <c r="C824" s="2"/>
      <c r="E824" s="181"/>
      <c r="F824" s="181"/>
      <c r="G824" s="2"/>
      <c r="I824" s="190"/>
      <c r="J824" s="190"/>
      <c r="K824" s="2"/>
      <c r="Z824" s="4"/>
      <c r="AC824" s="4"/>
      <c r="AF824" s="4"/>
    </row>
    <row r="825">
      <c r="A825" s="179"/>
      <c r="B825" s="180"/>
      <c r="C825" s="2"/>
      <c r="E825" s="181"/>
      <c r="F825" s="181"/>
      <c r="G825" s="2"/>
      <c r="I825" s="190"/>
      <c r="J825" s="190"/>
      <c r="K825" s="2"/>
      <c r="Z825" s="4"/>
      <c r="AC825" s="4"/>
      <c r="AF825" s="4"/>
    </row>
    <row r="826">
      <c r="A826" s="179"/>
      <c r="B826" s="180"/>
      <c r="C826" s="2"/>
      <c r="E826" s="181"/>
      <c r="F826" s="181"/>
      <c r="G826" s="2"/>
      <c r="I826" s="190"/>
      <c r="J826" s="190"/>
      <c r="K826" s="2"/>
      <c r="Z826" s="4"/>
      <c r="AC826" s="4"/>
      <c r="AF826" s="4"/>
    </row>
    <row r="827">
      <c r="A827" s="179"/>
      <c r="B827" s="180"/>
      <c r="C827" s="2"/>
      <c r="E827" s="181"/>
      <c r="F827" s="181"/>
      <c r="G827" s="2"/>
      <c r="I827" s="190"/>
      <c r="J827" s="190"/>
      <c r="K827" s="2"/>
      <c r="Z827" s="4"/>
      <c r="AC827" s="4"/>
      <c r="AF827" s="4"/>
    </row>
    <row r="828">
      <c r="A828" s="179"/>
      <c r="B828" s="180"/>
      <c r="C828" s="2"/>
      <c r="E828" s="181"/>
      <c r="F828" s="181"/>
      <c r="G828" s="2"/>
      <c r="I828" s="190"/>
      <c r="J828" s="190"/>
      <c r="K828" s="2"/>
      <c r="Z828" s="4"/>
      <c r="AC828" s="4"/>
      <c r="AF828" s="4"/>
    </row>
    <row r="829">
      <c r="A829" s="179"/>
      <c r="B829" s="180"/>
      <c r="C829" s="2"/>
      <c r="E829" s="181"/>
      <c r="F829" s="181"/>
      <c r="G829" s="2"/>
      <c r="I829" s="190"/>
      <c r="J829" s="190"/>
      <c r="K829" s="2"/>
      <c r="Z829" s="4"/>
      <c r="AC829" s="4"/>
      <c r="AF829" s="4"/>
    </row>
    <row r="830">
      <c r="A830" s="179"/>
      <c r="B830" s="180"/>
      <c r="C830" s="2"/>
      <c r="E830" s="181"/>
      <c r="F830" s="181"/>
      <c r="G830" s="2"/>
      <c r="I830" s="190"/>
      <c r="J830" s="190"/>
      <c r="K830" s="2"/>
      <c r="Z830" s="4"/>
      <c r="AC830" s="4"/>
      <c r="AF830" s="4"/>
    </row>
    <row r="831">
      <c r="A831" s="179"/>
      <c r="B831" s="180"/>
      <c r="C831" s="2"/>
      <c r="E831" s="181"/>
      <c r="F831" s="181"/>
      <c r="G831" s="2"/>
      <c r="I831" s="190"/>
      <c r="J831" s="190"/>
      <c r="K831" s="2"/>
      <c r="Z831" s="4"/>
      <c r="AC831" s="4"/>
      <c r="AF831" s="4"/>
    </row>
    <row r="832">
      <c r="A832" s="179"/>
      <c r="B832" s="180"/>
      <c r="C832" s="2"/>
      <c r="E832" s="181"/>
      <c r="F832" s="181"/>
      <c r="G832" s="2"/>
      <c r="I832" s="190"/>
      <c r="J832" s="190"/>
      <c r="K832" s="2"/>
      <c r="Z832" s="4"/>
      <c r="AC832" s="4"/>
      <c r="AF832" s="4"/>
    </row>
    <row r="833">
      <c r="A833" s="179"/>
      <c r="B833" s="180"/>
      <c r="C833" s="2"/>
      <c r="E833" s="181"/>
      <c r="F833" s="181"/>
      <c r="G833" s="2"/>
      <c r="I833" s="190"/>
      <c r="J833" s="190"/>
      <c r="K833" s="2"/>
      <c r="Z833" s="4"/>
      <c r="AC833" s="4"/>
      <c r="AF833" s="4"/>
    </row>
    <row r="834">
      <c r="A834" s="179"/>
      <c r="B834" s="180"/>
      <c r="C834" s="2"/>
      <c r="E834" s="181"/>
      <c r="F834" s="181"/>
      <c r="G834" s="2"/>
      <c r="I834" s="190"/>
      <c r="J834" s="190"/>
      <c r="K834" s="2"/>
      <c r="Z834" s="4"/>
      <c r="AC834" s="4"/>
      <c r="AF834" s="4"/>
    </row>
    <row r="835">
      <c r="A835" s="179"/>
      <c r="B835" s="180"/>
      <c r="C835" s="2"/>
      <c r="E835" s="181"/>
      <c r="F835" s="181"/>
      <c r="G835" s="2"/>
      <c r="I835" s="190"/>
      <c r="J835" s="190"/>
      <c r="K835" s="2"/>
      <c r="Z835" s="4"/>
      <c r="AC835" s="4"/>
      <c r="AF835" s="4"/>
    </row>
    <row r="836">
      <c r="A836" s="179"/>
      <c r="B836" s="180"/>
      <c r="C836" s="2"/>
      <c r="E836" s="181"/>
      <c r="F836" s="181"/>
      <c r="G836" s="2"/>
      <c r="I836" s="190"/>
      <c r="J836" s="190"/>
      <c r="K836" s="2"/>
      <c r="Z836" s="4"/>
      <c r="AC836" s="4"/>
      <c r="AF836" s="4"/>
    </row>
    <row r="837">
      <c r="A837" s="179"/>
      <c r="B837" s="180"/>
      <c r="C837" s="2"/>
      <c r="E837" s="181"/>
      <c r="F837" s="181"/>
      <c r="G837" s="2"/>
      <c r="I837" s="190"/>
      <c r="J837" s="190"/>
      <c r="K837" s="2"/>
      <c r="Z837" s="4"/>
      <c r="AC837" s="4"/>
      <c r="AF837" s="4"/>
    </row>
    <row r="838">
      <c r="A838" s="179"/>
      <c r="B838" s="180"/>
      <c r="C838" s="2"/>
      <c r="E838" s="181"/>
      <c r="F838" s="181"/>
      <c r="G838" s="2"/>
      <c r="I838" s="190"/>
      <c r="J838" s="190"/>
      <c r="K838" s="2"/>
      <c r="Z838" s="4"/>
      <c r="AC838" s="4"/>
      <c r="AF838" s="4"/>
    </row>
    <row r="839">
      <c r="A839" s="179"/>
      <c r="B839" s="180"/>
      <c r="C839" s="2"/>
      <c r="E839" s="181"/>
      <c r="F839" s="181"/>
      <c r="G839" s="2"/>
      <c r="I839" s="190"/>
      <c r="J839" s="190"/>
      <c r="K839" s="2"/>
      <c r="Z839" s="4"/>
      <c r="AC839" s="4"/>
      <c r="AF839" s="4"/>
    </row>
    <row r="840">
      <c r="A840" s="179"/>
      <c r="B840" s="180"/>
      <c r="C840" s="2"/>
      <c r="E840" s="181"/>
      <c r="F840" s="181"/>
      <c r="G840" s="2"/>
      <c r="I840" s="190"/>
      <c r="J840" s="190"/>
      <c r="K840" s="2"/>
      <c r="Z840" s="4"/>
      <c r="AC840" s="4"/>
      <c r="AF840" s="4"/>
    </row>
    <row r="841">
      <c r="A841" s="179"/>
      <c r="B841" s="180"/>
      <c r="C841" s="2"/>
      <c r="E841" s="181"/>
      <c r="F841" s="181"/>
      <c r="G841" s="2"/>
      <c r="I841" s="190"/>
      <c r="J841" s="190"/>
      <c r="K841" s="2"/>
      <c r="Z841" s="4"/>
      <c r="AC841" s="4"/>
      <c r="AF841" s="4"/>
    </row>
    <row r="842">
      <c r="A842" s="179"/>
      <c r="B842" s="180"/>
      <c r="C842" s="2"/>
      <c r="E842" s="181"/>
      <c r="F842" s="181"/>
      <c r="G842" s="2"/>
      <c r="I842" s="190"/>
      <c r="J842" s="190"/>
      <c r="K842" s="2"/>
      <c r="Z842" s="4"/>
      <c r="AC842" s="4"/>
      <c r="AF842" s="4"/>
    </row>
    <row r="843">
      <c r="A843" s="179"/>
      <c r="B843" s="180"/>
      <c r="C843" s="2"/>
      <c r="E843" s="181"/>
      <c r="F843" s="181"/>
      <c r="G843" s="2"/>
      <c r="I843" s="190"/>
      <c r="J843" s="190"/>
      <c r="K843" s="2"/>
      <c r="Z843" s="4"/>
      <c r="AC843" s="4"/>
      <c r="AF843" s="4"/>
    </row>
    <row r="844">
      <c r="A844" s="179"/>
      <c r="B844" s="180"/>
      <c r="C844" s="2"/>
      <c r="E844" s="181"/>
      <c r="F844" s="181"/>
      <c r="G844" s="2"/>
      <c r="I844" s="190"/>
      <c r="J844" s="190"/>
      <c r="K844" s="2"/>
      <c r="Z844" s="4"/>
      <c r="AC844" s="4"/>
      <c r="AF844" s="4"/>
    </row>
    <row r="845">
      <c r="A845" s="179"/>
      <c r="B845" s="180"/>
      <c r="C845" s="2"/>
      <c r="E845" s="181"/>
      <c r="F845" s="181"/>
      <c r="G845" s="2"/>
      <c r="I845" s="190"/>
      <c r="J845" s="190"/>
      <c r="K845" s="2"/>
      <c r="Z845" s="4"/>
      <c r="AC845" s="4"/>
      <c r="AF845" s="4"/>
    </row>
    <row r="846">
      <c r="A846" s="179"/>
      <c r="B846" s="180"/>
      <c r="C846" s="2"/>
      <c r="E846" s="181"/>
      <c r="F846" s="181"/>
      <c r="G846" s="2"/>
      <c r="I846" s="190"/>
      <c r="J846" s="190"/>
      <c r="K846" s="2"/>
      <c r="Z846" s="4"/>
      <c r="AC846" s="4"/>
      <c r="AF846" s="4"/>
    </row>
    <row r="847">
      <c r="A847" s="179"/>
      <c r="B847" s="180"/>
      <c r="C847" s="2"/>
      <c r="E847" s="181"/>
      <c r="F847" s="181"/>
      <c r="G847" s="2"/>
      <c r="I847" s="190"/>
      <c r="J847" s="190"/>
      <c r="K847" s="2"/>
      <c r="Z847" s="4"/>
      <c r="AC847" s="4"/>
      <c r="AF847" s="4"/>
    </row>
    <row r="848">
      <c r="A848" s="179"/>
      <c r="B848" s="180"/>
      <c r="C848" s="2"/>
      <c r="E848" s="181"/>
      <c r="F848" s="181"/>
      <c r="G848" s="2"/>
      <c r="I848" s="190"/>
      <c r="J848" s="190"/>
      <c r="K848" s="2"/>
      <c r="Z848" s="4"/>
      <c r="AC848" s="4"/>
      <c r="AF848" s="4"/>
    </row>
    <row r="849">
      <c r="A849" s="179"/>
      <c r="B849" s="180"/>
      <c r="C849" s="2"/>
      <c r="E849" s="181"/>
      <c r="F849" s="181"/>
      <c r="G849" s="2"/>
      <c r="I849" s="190"/>
      <c r="J849" s="190"/>
      <c r="K849" s="2"/>
      <c r="Z849" s="4"/>
      <c r="AC849" s="4"/>
      <c r="AF849" s="4"/>
    </row>
    <row r="850">
      <c r="A850" s="179"/>
      <c r="B850" s="180"/>
      <c r="C850" s="2"/>
      <c r="E850" s="181"/>
      <c r="F850" s="181"/>
      <c r="G850" s="2"/>
      <c r="I850" s="190"/>
      <c r="J850" s="190"/>
      <c r="K850" s="2"/>
      <c r="Z850" s="4"/>
      <c r="AC850" s="4"/>
      <c r="AF850" s="4"/>
    </row>
    <row r="851">
      <c r="A851" s="179"/>
      <c r="B851" s="180"/>
      <c r="C851" s="2"/>
      <c r="E851" s="181"/>
      <c r="F851" s="181"/>
      <c r="G851" s="2"/>
      <c r="I851" s="190"/>
      <c r="J851" s="190"/>
      <c r="K851" s="2"/>
      <c r="Z851" s="4"/>
      <c r="AC851" s="4"/>
      <c r="AF851" s="4"/>
    </row>
    <row r="852">
      <c r="A852" s="179"/>
      <c r="B852" s="180"/>
      <c r="C852" s="2"/>
      <c r="E852" s="181"/>
      <c r="F852" s="181"/>
      <c r="G852" s="2"/>
      <c r="I852" s="190"/>
      <c r="J852" s="190"/>
      <c r="K852" s="2"/>
      <c r="Z852" s="4"/>
      <c r="AC852" s="4"/>
      <c r="AF852" s="4"/>
    </row>
    <row r="853">
      <c r="A853" s="179"/>
      <c r="B853" s="180"/>
      <c r="C853" s="2"/>
      <c r="E853" s="181"/>
      <c r="F853" s="181"/>
      <c r="G853" s="2"/>
      <c r="I853" s="190"/>
      <c r="J853" s="190"/>
      <c r="K853" s="2"/>
      <c r="Z853" s="4"/>
      <c r="AC853" s="4"/>
      <c r="AF853" s="4"/>
    </row>
    <row r="854">
      <c r="A854" s="179"/>
      <c r="B854" s="180"/>
      <c r="C854" s="2"/>
      <c r="E854" s="181"/>
      <c r="F854" s="181"/>
      <c r="G854" s="2"/>
      <c r="I854" s="190"/>
      <c r="J854" s="190"/>
      <c r="K854" s="2"/>
      <c r="Z854" s="4"/>
      <c r="AC854" s="4"/>
      <c r="AF854" s="4"/>
    </row>
    <row r="855">
      <c r="A855" s="179"/>
      <c r="B855" s="180"/>
      <c r="C855" s="2"/>
      <c r="E855" s="181"/>
      <c r="F855" s="181"/>
      <c r="G855" s="2"/>
      <c r="I855" s="190"/>
      <c r="J855" s="190"/>
      <c r="K855" s="2"/>
      <c r="Z855" s="4"/>
      <c r="AC855" s="4"/>
      <c r="AF855" s="4"/>
    </row>
    <row r="856">
      <c r="A856" s="179"/>
      <c r="B856" s="180"/>
      <c r="C856" s="2"/>
      <c r="E856" s="181"/>
      <c r="F856" s="181"/>
      <c r="G856" s="2"/>
      <c r="I856" s="190"/>
      <c r="J856" s="190"/>
      <c r="K856" s="2"/>
      <c r="Z856" s="4"/>
      <c r="AC856" s="4"/>
      <c r="AF856" s="4"/>
    </row>
    <row r="857">
      <c r="A857" s="179"/>
      <c r="B857" s="180"/>
      <c r="C857" s="2"/>
      <c r="E857" s="181"/>
      <c r="F857" s="181"/>
      <c r="G857" s="2"/>
      <c r="I857" s="190"/>
      <c r="J857" s="190"/>
      <c r="K857" s="2"/>
      <c r="Z857" s="4"/>
      <c r="AC857" s="4"/>
      <c r="AF857" s="4"/>
    </row>
    <row r="858">
      <c r="A858" s="179"/>
      <c r="B858" s="180"/>
      <c r="C858" s="2"/>
      <c r="E858" s="181"/>
      <c r="F858" s="181"/>
      <c r="G858" s="2"/>
      <c r="I858" s="190"/>
      <c r="J858" s="190"/>
      <c r="K858" s="2"/>
      <c r="Z858" s="4"/>
      <c r="AC858" s="4"/>
      <c r="AF858" s="4"/>
    </row>
    <row r="859">
      <c r="A859" s="179"/>
      <c r="B859" s="180"/>
      <c r="C859" s="2"/>
      <c r="E859" s="181"/>
      <c r="F859" s="181"/>
      <c r="G859" s="2"/>
      <c r="I859" s="190"/>
      <c r="J859" s="190"/>
      <c r="K859" s="2"/>
      <c r="Z859" s="4"/>
      <c r="AC859" s="4"/>
      <c r="AF859" s="4"/>
    </row>
    <row r="860">
      <c r="A860" s="179"/>
      <c r="B860" s="180"/>
      <c r="C860" s="2"/>
      <c r="E860" s="181"/>
      <c r="F860" s="181"/>
      <c r="G860" s="2"/>
      <c r="I860" s="190"/>
      <c r="J860" s="190"/>
      <c r="K860" s="2"/>
      <c r="Z860" s="4"/>
      <c r="AC860" s="4"/>
      <c r="AF860" s="4"/>
    </row>
    <row r="861">
      <c r="A861" s="179"/>
      <c r="B861" s="180"/>
      <c r="C861" s="2"/>
      <c r="E861" s="181"/>
      <c r="F861" s="181"/>
      <c r="G861" s="2"/>
      <c r="I861" s="190"/>
      <c r="J861" s="190"/>
      <c r="K861" s="2"/>
      <c r="Z861" s="4"/>
      <c r="AC861" s="4"/>
      <c r="AF861" s="4"/>
    </row>
    <row r="862">
      <c r="A862" s="179"/>
      <c r="B862" s="180"/>
      <c r="C862" s="2"/>
      <c r="E862" s="181"/>
      <c r="F862" s="181"/>
      <c r="G862" s="2"/>
      <c r="I862" s="190"/>
      <c r="J862" s="190"/>
      <c r="K862" s="2"/>
      <c r="Z862" s="4"/>
      <c r="AC862" s="4"/>
      <c r="AF862" s="4"/>
    </row>
    <row r="863">
      <c r="A863" s="179"/>
      <c r="B863" s="180"/>
      <c r="C863" s="2"/>
      <c r="E863" s="181"/>
      <c r="F863" s="181"/>
      <c r="G863" s="2"/>
      <c r="I863" s="190"/>
      <c r="J863" s="190"/>
      <c r="K863" s="2"/>
      <c r="Z863" s="4"/>
      <c r="AC863" s="4"/>
      <c r="AF863" s="4"/>
    </row>
    <row r="864">
      <c r="A864" s="179"/>
      <c r="B864" s="180"/>
      <c r="C864" s="2"/>
      <c r="E864" s="181"/>
      <c r="F864" s="181"/>
      <c r="G864" s="2"/>
      <c r="I864" s="190"/>
      <c r="J864" s="190"/>
      <c r="K864" s="2"/>
      <c r="Z864" s="4"/>
      <c r="AC864" s="4"/>
      <c r="AF864" s="4"/>
    </row>
    <row r="865">
      <c r="A865" s="179"/>
      <c r="B865" s="180"/>
      <c r="C865" s="2"/>
      <c r="E865" s="181"/>
      <c r="F865" s="181"/>
      <c r="G865" s="2"/>
      <c r="I865" s="190"/>
      <c r="J865" s="190"/>
      <c r="K865" s="2"/>
      <c r="Z865" s="4"/>
      <c r="AC865" s="4"/>
      <c r="AF865" s="4"/>
    </row>
    <row r="866">
      <c r="A866" s="179"/>
      <c r="B866" s="180"/>
      <c r="C866" s="2"/>
      <c r="E866" s="181"/>
      <c r="F866" s="181"/>
      <c r="G866" s="2"/>
      <c r="I866" s="190"/>
      <c r="J866" s="190"/>
      <c r="K866" s="2"/>
      <c r="Z866" s="4"/>
      <c r="AC866" s="4"/>
      <c r="AF866" s="4"/>
    </row>
    <row r="867">
      <c r="A867" s="179"/>
      <c r="B867" s="180"/>
      <c r="C867" s="2"/>
      <c r="E867" s="181"/>
      <c r="F867" s="181"/>
      <c r="G867" s="2"/>
      <c r="I867" s="190"/>
      <c r="J867" s="190"/>
      <c r="K867" s="2"/>
      <c r="Z867" s="4"/>
      <c r="AC867" s="4"/>
      <c r="AF867" s="4"/>
    </row>
    <row r="868">
      <c r="A868" s="179"/>
      <c r="B868" s="180"/>
      <c r="C868" s="2"/>
      <c r="E868" s="181"/>
      <c r="F868" s="181"/>
      <c r="G868" s="2"/>
      <c r="I868" s="190"/>
      <c r="J868" s="190"/>
      <c r="K868" s="2"/>
      <c r="Z868" s="4"/>
      <c r="AC868" s="4"/>
      <c r="AF868" s="4"/>
    </row>
    <row r="869">
      <c r="A869" s="179"/>
      <c r="B869" s="180"/>
      <c r="C869" s="2"/>
      <c r="E869" s="181"/>
      <c r="F869" s="181"/>
      <c r="G869" s="2"/>
      <c r="I869" s="190"/>
      <c r="J869" s="190"/>
      <c r="K869" s="2"/>
      <c r="Z869" s="4"/>
      <c r="AC869" s="4"/>
      <c r="AF869" s="4"/>
    </row>
    <row r="870">
      <c r="A870" s="179"/>
      <c r="B870" s="180"/>
      <c r="C870" s="2"/>
      <c r="E870" s="181"/>
      <c r="F870" s="181"/>
      <c r="G870" s="2"/>
      <c r="I870" s="190"/>
      <c r="J870" s="190"/>
      <c r="K870" s="2"/>
      <c r="Z870" s="4"/>
      <c r="AC870" s="4"/>
      <c r="AF870" s="4"/>
    </row>
    <row r="871">
      <c r="A871" s="179"/>
      <c r="B871" s="180"/>
      <c r="C871" s="2"/>
      <c r="E871" s="181"/>
      <c r="F871" s="181"/>
      <c r="G871" s="2"/>
      <c r="I871" s="190"/>
      <c r="J871" s="190"/>
      <c r="K871" s="2"/>
      <c r="Z871" s="4"/>
      <c r="AC871" s="4"/>
      <c r="AF871" s="4"/>
    </row>
    <row r="872">
      <c r="A872" s="179"/>
      <c r="B872" s="180"/>
      <c r="C872" s="2"/>
      <c r="E872" s="181"/>
      <c r="F872" s="181"/>
      <c r="G872" s="2"/>
      <c r="I872" s="190"/>
      <c r="J872" s="190"/>
      <c r="K872" s="2"/>
      <c r="Z872" s="4"/>
      <c r="AC872" s="4"/>
      <c r="AF872" s="4"/>
    </row>
    <row r="873">
      <c r="A873" s="179"/>
      <c r="B873" s="180"/>
      <c r="C873" s="2"/>
      <c r="E873" s="181"/>
      <c r="F873" s="181"/>
      <c r="G873" s="2"/>
      <c r="I873" s="190"/>
      <c r="J873" s="190"/>
      <c r="K873" s="2"/>
      <c r="Z873" s="4"/>
      <c r="AC873" s="4"/>
      <c r="AF873" s="4"/>
    </row>
    <row r="874">
      <c r="A874" s="179"/>
      <c r="B874" s="180"/>
      <c r="C874" s="2"/>
      <c r="E874" s="181"/>
      <c r="F874" s="181"/>
      <c r="G874" s="2"/>
      <c r="I874" s="190"/>
      <c r="J874" s="190"/>
      <c r="K874" s="2"/>
      <c r="Z874" s="4"/>
      <c r="AC874" s="4"/>
      <c r="AF874" s="4"/>
    </row>
    <row r="875">
      <c r="A875" s="179"/>
      <c r="B875" s="180"/>
      <c r="C875" s="2"/>
      <c r="E875" s="181"/>
      <c r="F875" s="181"/>
      <c r="G875" s="2"/>
      <c r="I875" s="190"/>
      <c r="J875" s="190"/>
      <c r="K875" s="2"/>
      <c r="Z875" s="4"/>
      <c r="AC875" s="4"/>
      <c r="AF875" s="4"/>
    </row>
    <row r="876">
      <c r="A876" s="179"/>
      <c r="B876" s="180"/>
      <c r="C876" s="2"/>
      <c r="E876" s="181"/>
      <c r="F876" s="181"/>
      <c r="G876" s="2"/>
      <c r="I876" s="190"/>
      <c r="J876" s="190"/>
      <c r="K876" s="2"/>
      <c r="Z876" s="4"/>
      <c r="AC876" s="4"/>
      <c r="AF876" s="4"/>
    </row>
    <row r="877">
      <c r="A877" s="179"/>
      <c r="B877" s="180"/>
      <c r="C877" s="2"/>
      <c r="E877" s="181"/>
      <c r="F877" s="181"/>
      <c r="G877" s="2"/>
      <c r="I877" s="190"/>
      <c r="J877" s="190"/>
      <c r="K877" s="2"/>
      <c r="Z877" s="4"/>
      <c r="AC877" s="4"/>
      <c r="AF877" s="4"/>
    </row>
    <row r="878">
      <c r="A878" s="179"/>
      <c r="B878" s="180"/>
      <c r="C878" s="2"/>
      <c r="E878" s="181"/>
      <c r="F878" s="181"/>
      <c r="G878" s="2"/>
      <c r="I878" s="190"/>
      <c r="J878" s="190"/>
      <c r="K878" s="2"/>
      <c r="Z878" s="4"/>
      <c r="AC878" s="4"/>
      <c r="AF878" s="4"/>
    </row>
    <row r="879">
      <c r="A879" s="179"/>
      <c r="B879" s="180"/>
      <c r="C879" s="2"/>
      <c r="E879" s="181"/>
      <c r="F879" s="181"/>
      <c r="G879" s="2"/>
      <c r="I879" s="190"/>
      <c r="J879" s="190"/>
      <c r="K879" s="2"/>
      <c r="Z879" s="4"/>
      <c r="AC879" s="4"/>
      <c r="AF879" s="4"/>
    </row>
    <row r="880">
      <c r="A880" s="179"/>
      <c r="B880" s="180"/>
      <c r="C880" s="2"/>
      <c r="E880" s="181"/>
      <c r="F880" s="181"/>
      <c r="G880" s="2"/>
      <c r="I880" s="190"/>
      <c r="J880" s="190"/>
      <c r="K880" s="2"/>
      <c r="Z880" s="4"/>
      <c r="AC880" s="4"/>
      <c r="AF880" s="4"/>
    </row>
    <row r="881">
      <c r="A881" s="179"/>
      <c r="B881" s="180"/>
      <c r="C881" s="2"/>
      <c r="E881" s="181"/>
      <c r="F881" s="181"/>
      <c r="G881" s="2"/>
      <c r="I881" s="190"/>
      <c r="J881" s="190"/>
      <c r="K881" s="2"/>
      <c r="Z881" s="4"/>
      <c r="AC881" s="4"/>
      <c r="AF881" s="4"/>
    </row>
    <row r="882">
      <c r="A882" s="179"/>
      <c r="B882" s="180"/>
      <c r="C882" s="2"/>
      <c r="E882" s="181"/>
      <c r="F882" s="181"/>
      <c r="G882" s="2"/>
      <c r="I882" s="190"/>
      <c r="J882" s="190"/>
      <c r="K882" s="2"/>
      <c r="Z882" s="4"/>
      <c r="AC882" s="4"/>
      <c r="AF882" s="4"/>
    </row>
    <row r="883">
      <c r="A883" s="179"/>
      <c r="B883" s="180"/>
      <c r="C883" s="2"/>
      <c r="E883" s="181"/>
      <c r="F883" s="181"/>
      <c r="G883" s="2"/>
      <c r="I883" s="190"/>
      <c r="J883" s="190"/>
      <c r="K883" s="2"/>
      <c r="Z883" s="4"/>
      <c r="AC883" s="4"/>
      <c r="AF883" s="4"/>
    </row>
    <row r="884">
      <c r="A884" s="179"/>
      <c r="B884" s="180"/>
      <c r="C884" s="2"/>
      <c r="E884" s="181"/>
      <c r="F884" s="181"/>
      <c r="G884" s="2"/>
      <c r="I884" s="190"/>
      <c r="J884" s="190"/>
      <c r="K884" s="2"/>
      <c r="Z884" s="4"/>
      <c r="AC884" s="4"/>
      <c r="AF884" s="4"/>
    </row>
    <row r="885">
      <c r="A885" s="179"/>
      <c r="B885" s="180"/>
      <c r="C885" s="2"/>
      <c r="E885" s="181"/>
      <c r="F885" s="181"/>
      <c r="G885" s="2"/>
      <c r="I885" s="190"/>
      <c r="J885" s="190"/>
      <c r="K885" s="2"/>
      <c r="Z885" s="4"/>
      <c r="AC885" s="4"/>
      <c r="AF885" s="4"/>
    </row>
    <row r="886">
      <c r="A886" s="179"/>
      <c r="B886" s="180"/>
      <c r="C886" s="2"/>
      <c r="E886" s="181"/>
      <c r="F886" s="181"/>
      <c r="G886" s="2"/>
      <c r="I886" s="190"/>
      <c r="J886" s="190"/>
      <c r="K886" s="2"/>
      <c r="Z886" s="4"/>
      <c r="AC886" s="4"/>
      <c r="AF886" s="4"/>
    </row>
    <row r="887">
      <c r="A887" s="179"/>
      <c r="B887" s="180"/>
      <c r="C887" s="2"/>
      <c r="E887" s="181"/>
      <c r="F887" s="181"/>
      <c r="G887" s="2"/>
      <c r="I887" s="190"/>
      <c r="J887" s="190"/>
      <c r="K887" s="2"/>
      <c r="Z887" s="4"/>
      <c r="AC887" s="4"/>
      <c r="AF887" s="4"/>
    </row>
    <row r="888">
      <c r="A888" s="179"/>
      <c r="B888" s="180"/>
      <c r="C888" s="2"/>
      <c r="E888" s="181"/>
      <c r="F888" s="181"/>
      <c r="G888" s="2"/>
      <c r="I888" s="190"/>
      <c r="J888" s="190"/>
      <c r="K888" s="2"/>
      <c r="Z888" s="4"/>
      <c r="AC888" s="4"/>
      <c r="AF888" s="4"/>
    </row>
    <row r="889">
      <c r="A889" s="179"/>
      <c r="B889" s="180"/>
      <c r="C889" s="2"/>
      <c r="E889" s="181"/>
      <c r="F889" s="181"/>
      <c r="G889" s="2"/>
      <c r="I889" s="190"/>
      <c r="J889" s="190"/>
      <c r="K889" s="2"/>
      <c r="Z889" s="4"/>
      <c r="AC889" s="4"/>
      <c r="AF889" s="4"/>
    </row>
    <row r="890">
      <c r="A890" s="179"/>
      <c r="B890" s="180"/>
      <c r="C890" s="2"/>
      <c r="E890" s="181"/>
      <c r="F890" s="181"/>
      <c r="G890" s="2"/>
      <c r="I890" s="190"/>
      <c r="J890" s="190"/>
      <c r="K890" s="2"/>
      <c r="Z890" s="4"/>
      <c r="AC890" s="4"/>
      <c r="AF890" s="4"/>
    </row>
    <row r="891">
      <c r="A891" s="179"/>
      <c r="B891" s="180"/>
      <c r="C891" s="2"/>
      <c r="E891" s="181"/>
      <c r="F891" s="181"/>
      <c r="G891" s="2"/>
      <c r="I891" s="190"/>
      <c r="J891" s="190"/>
      <c r="K891" s="2"/>
      <c r="Z891" s="4"/>
      <c r="AC891" s="4"/>
      <c r="AF891" s="4"/>
    </row>
    <row r="892">
      <c r="A892" s="179"/>
      <c r="B892" s="180"/>
      <c r="C892" s="2"/>
      <c r="E892" s="181"/>
      <c r="F892" s="181"/>
      <c r="G892" s="2"/>
      <c r="I892" s="190"/>
      <c r="J892" s="190"/>
      <c r="K892" s="2"/>
      <c r="Z892" s="4"/>
      <c r="AC892" s="4"/>
      <c r="AF892" s="4"/>
    </row>
    <row r="893">
      <c r="A893" s="179"/>
      <c r="B893" s="180"/>
      <c r="C893" s="2"/>
      <c r="E893" s="181"/>
      <c r="F893" s="181"/>
      <c r="G893" s="2"/>
      <c r="I893" s="190"/>
      <c r="J893" s="190"/>
      <c r="K893" s="2"/>
      <c r="Z893" s="4"/>
      <c r="AC893" s="4"/>
      <c r="AF893" s="4"/>
    </row>
    <row r="894">
      <c r="A894" s="179"/>
      <c r="B894" s="180"/>
      <c r="C894" s="2"/>
      <c r="E894" s="181"/>
      <c r="F894" s="181"/>
      <c r="G894" s="2"/>
      <c r="I894" s="190"/>
      <c r="J894" s="190"/>
      <c r="K894" s="2"/>
      <c r="Z894" s="4"/>
      <c r="AC894" s="4"/>
      <c r="AF894" s="4"/>
    </row>
    <row r="895">
      <c r="A895" s="179"/>
      <c r="B895" s="180"/>
      <c r="C895" s="2"/>
      <c r="E895" s="181"/>
      <c r="F895" s="181"/>
      <c r="G895" s="2"/>
      <c r="I895" s="190"/>
      <c r="J895" s="190"/>
      <c r="K895" s="2"/>
      <c r="Z895" s="4"/>
      <c r="AC895" s="4"/>
      <c r="AF895" s="4"/>
    </row>
    <row r="896">
      <c r="A896" s="179"/>
      <c r="B896" s="180"/>
      <c r="C896" s="2"/>
      <c r="E896" s="181"/>
      <c r="F896" s="181"/>
      <c r="G896" s="2"/>
      <c r="I896" s="190"/>
      <c r="J896" s="190"/>
      <c r="K896" s="2"/>
      <c r="Z896" s="4"/>
      <c r="AC896" s="4"/>
      <c r="AF896" s="4"/>
    </row>
    <row r="897">
      <c r="A897" s="179"/>
      <c r="B897" s="180"/>
      <c r="C897" s="2"/>
      <c r="E897" s="181"/>
      <c r="F897" s="181"/>
      <c r="G897" s="2"/>
      <c r="I897" s="190"/>
      <c r="J897" s="190"/>
      <c r="K897" s="2"/>
      <c r="Z897" s="4"/>
      <c r="AC897" s="4"/>
      <c r="AF897" s="4"/>
    </row>
    <row r="898">
      <c r="A898" s="179"/>
      <c r="B898" s="180"/>
      <c r="C898" s="2"/>
      <c r="E898" s="181"/>
      <c r="F898" s="181"/>
      <c r="G898" s="2"/>
      <c r="I898" s="190"/>
      <c r="J898" s="190"/>
      <c r="K898" s="2"/>
      <c r="Z898" s="4"/>
      <c r="AC898" s="4"/>
      <c r="AF898" s="4"/>
    </row>
    <row r="899">
      <c r="A899" s="179"/>
      <c r="B899" s="180"/>
      <c r="C899" s="2"/>
      <c r="E899" s="181"/>
      <c r="F899" s="181"/>
      <c r="G899" s="2"/>
      <c r="I899" s="190"/>
      <c r="J899" s="190"/>
      <c r="K899" s="2"/>
      <c r="Z899" s="4"/>
      <c r="AC899" s="4"/>
      <c r="AF899" s="4"/>
    </row>
    <row r="900">
      <c r="A900" s="179"/>
      <c r="B900" s="180"/>
      <c r="C900" s="2"/>
      <c r="E900" s="181"/>
      <c r="F900" s="181"/>
      <c r="G900" s="2"/>
      <c r="I900" s="190"/>
      <c r="J900" s="190"/>
      <c r="K900" s="2"/>
      <c r="Z900" s="4"/>
      <c r="AC900" s="4"/>
      <c r="AF900" s="4"/>
    </row>
    <row r="901">
      <c r="A901" s="179"/>
      <c r="B901" s="180"/>
      <c r="C901" s="2"/>
      <c r="E901" s="181"/>
      <c r="F901" s="181"/>
      <c r="G901" s="2"/>
      <c r="I901" s="190"/>
      <c r="J901" s="190"/>
      <c r="K901" s="2"/>
      <c r="Z901" s="4"/>
      <c r="AC901" s="4"/>
      <c r="AF901" s="4"/>
    </row>
    <row r="902">
      <c r="A902" s="179"/>
      <c r="B902" s="180"/>
      <c r="C902" s="2"/>
      <c r="E902" s="181"/>
      <c r="F902" s="181"/>
      <c r="G902" s="2"/>
      <c r="I902" s="190"/>
      <c r="J902" s="190"/>
      <c r="K902" s="2"/>
      <c r="Z902" s="4"/>
      <c r="AC902" s="4"/>
      <c r="AF902" s="4"/>
    </row>
    <row r="903">
      <c r="A903" s="179"/>
      <c r="B903" s="180"/>
      <c r="C903" s="2"/>
      <c r="E903" s="181"/>
      <c r="F903" s="181"/>
      <c r="G903" s="2"/>
      <c r="I903" s="190"/>
      <c r="J903" s="190"/>
      <c r="K903" s="2"/>
      <c r="Z903" s="4"/>
      <c r="AC903" s="4"/>
      <c r="AF903" s="4"/>
    </row>
    <row r="904">
      <c r="A904" s="179"/>
      <c r="B904" s="180"/>
      <c r="C904" s="2"/>
      <c r="E904" s="181"/>
      <c r="F904" s="181"/>
      <c r="G904" s="2"/>
      <c r="I904" s="190"/>
      <c r="J904" s="190"/>
      <c r="K904" s="2"/>
      <c r="Z904" s="4"/>
      <c r="AC904" s="4"/>
      <c r="AF904" s="4"/>
    </row>
    <row r="905">
      <c r="A905" s="179"/>
      <c r="B905" s="180"/>
      <c r="C905" s="2"/>
      <c r="E905" s="181"/>
      <c r="F905" s="181"/>
      <c r="G905" s="2"/>
      <c r="I905" s="190"/>
      <c r="J905" s="190"/>
      <c r="K905" s="2"/>
      <c r="Z905" s="4"/>
      <c r="AC905" s="4"/>
      <c r="AF905" s="4"/>
    </row>
    <row r="906">
      <c r="A906" s="179"/>
      <c r="B906" s="180"/>
      <c r="C906" s="2"/>
      <c r="E906" s="181"/>
      <c r="F906" s="181"/>
      <c r="G906" s="2"/>
      <c r="I906" s="190"/>
      <c r="J906" s="190"/>
      <c r="K906" s="2"/>
      <c r="Z906" s="4"/>
      <c r="AC906" s="4"/>
      <c r="AF906" s="4"/>
    </row>
    <row r="907">
      <c r="A907" s="179"/>
      <c r="B907" s="180"/>
      <c r="C907" s="2"/>
      <c r="E907" s="181"/>
      <c r="F907" s="181"/>
      <c r="G907" s="2"/>
      <c r="I907" s="190"/>
      <c r="J907" s="190"/>
      <c r="K907" s="2"/>
      <c r="Z907" s="4"/>
      <c r="AC907" s="4"/>
      <c r="AF907" s="4"/>
    </row>
    <row r="908">
      <c r="A908" s="179"/>
      <c r="B908" s="180"/>
      <c r="C908" s="2"/>
      <c r="E908" s="181"/>
      <c r="F908" s="181"/>
      <c r="G908" s="2"/>
      <c r="I908" s="190"/>
      <c r="J908" s="190"/>
      <c r="K908" s="2"/>
      <c r="Z908" s="4"/>
      <c r="AC908" s="4"/>
      <c r="AF908" s="4"/>
    </row>
    <row r="909">
      <c r="A909" s="179"/>
      <c r="B909" s="180"/>
      <c r="C909" s="2"/>
      <c r="E909" s="181"/>
      <c r="F909" s="181"/>
      <c r="G909" s="2"/>
      <c r="I909" s="190"/>
      <c r="J909" s="190"/>
      <c r="K909" s="2"/>
      <c r="Z909" s="4"/>
      <c r="AC909" s="4"/>
      <c r="AF909" s="4"/>
    </row>
    <row r="910">
      <c r="A910" s="179"/>
      <c r="B910" s="180"/>
      <c r="C910" s="2"/>
      <c r="E910" s="181"/>
      <c r="F910" s="181"/>
      <c r="G910" s="2"/>
      <c r="I910" s="190"/>
      <c r="J910" s="190"/>
      <c r="K910" s="2"/>
      <c r="Z910" s="4"/>
      <c r="AC910" s="4"/>
      <c r="AF910" s="4"/>
    </row>
    <row r="911">
      <c r="A911" s="179"/>
      <c r="B911" s="180"/>
      <c r="C911" s="2"/>
      <c r="E911" s="181"/>
      <c r="F911" s="181"/>
      <c r="G911" s="2"/>
      <c r="I911" s="190"/>
      <c r="J911" s="190"/>
      <c r="K911" s="2"/>
      <c r="Z911" s="4"/>
      <c r="AC911" s="4"/>
      <c r="AF911" s="4"/>
    </row>
    <row r="912">
      <c r="A912" s="179"/>
      <c r="B912" s="180"/>
      <c r="C912" s="2"/>
      <c r="E912" s="181"/>
      <c r="F912" s="181"/>
      <c r="G912" s="2"/>
      <c r="I912" s="190"/>
      <c r="J912" s="190"/>
      <c r="K912" s="2"/>
      <c r="Z912" s="4"/>
      <c r="AC912" s="4"/>
      <c r="AF912" s="4"/>
    </row>
    <row r="913">
      <c r="A913" s="179"/>
      <c r="B913" s="180"/>
      <c r="C913" s="2"/>
      <c r="E913" s="181"/>
      <c r="F913" s="181"/>
      <c r="G913" s="2"/>
      <c r="I913" s="190"/>
      <c r="J913" s="190"/>
      <c r="K913" s="2"/>
      <c r="Z913" s="4"/>
      <c r="AC913" s="4"/>
      <c r="AF913" s="4"/>
    </row>
    <row r="914">
      <c r="A914" s="179"/>
      <c r="B914" s="180"/>
      <c r="C914" s="2"/>
      <c r="E914" s="181"/>
      <c r="F914" s="181"/>
      <c r="G914" s="2"/>
      <c r="I914" s="190"/>
      <c r="J914" s="190"/>
      <c r="K914" s="2"/>
      <c r="Z914" s="4"/>
      <c r="AC914" s="4"/>
      <c r="AF914" s="4"/>
    </row>
    <row r="915">
      <c r="A915" s="179"/>
      <c r="B915" s="180"/>
      <c r="C915" s="2"/>
      <c r="E915" s="181"/>
      <c r="F915" s="181"/>
      <c r="G915" s="2"/>
      <c r="I915" s="190"/>
      <c r="J915" s="190"/>
      <c r="K915" s="2"/>
      <c r="Z915" s="4"/>
      <c r="AC915" s="4"/>
      <c r="AF915" s="4"/>
    </row>
    <row r="916">
      <c r="A916" s="179"/>
      <c r="B916" s="180"/>
      <c r="C916" s="2"/>
      <c r="E916" s="181"/>
      <c r="F916" s="181"/>
      <c r="G916" s="2"/>
      <c r="I916" s="190"/>
      <c r="J916" s="190"/>
      <c r="K916" s="2"/>
      <c r="Z916" s="4"/>
      <c r="AC916" s="4"/>
      <c r="AF916" s="4"/>
    </row>
    <row r="917">
      <c r="A917" s="179"/>
      <c r="B917" s="180"/>
      <c r="C917" s="2"/>
      <c r="E917" s="181"/>
      <c r="F917" s="181"/>
      <c r="G917" s="2"/>
      <c r="I917" s="190"/>
      <c r="J917" s="190"/>
      <c r="K917" s="2"/>
      <c r="Z917" s="4"/>
      <c r="AC917" s="4"/>
      <c r="AF917" s="4"/>
    </row>
    <row r="918">
      <c r="A918" s="179"/>
      <c r="B918" s="180"/>
      <c r="C918" s="2"/>
      <c r="E918" s="181"/>
      <c r="F918" s="181"/>
      <c r="G918" s="2"/>
      <c r="I918" s="190"/>
      <c r="J918" s="190"/>
      <c r="K918" s="2"/>
      <c r="Z918" s="4"/>
      <c r="AC918" s="4"/>
      <c r="AF918" s="4"/>
    </row>
    <row r="919">
      <c r="A919" s="179"/>
      <c r="B919" s="180"/>
      <c r="C919" s="2"/>
      <c r="E919" s="181"/>
      <c r="F919" s="181"/>
      <c r="G919" s="2"/>
      <c r="I919" s="190"/>
      <c r="J919" s="190"/>
      <c r="K919" s="2"/>
      <c r="Z919" s="4"/>
      <c r="AC919" s="4"/>
      <c r="AF919" s="4"/>
    </row>
    <row r="920">
      <c r="A920" s="179"/>
      <c r="B920" s="180"/>
      <c r="C920" s="2"/>
      <c r="E920" s="181"/>
      <c r="F920" s="181"/>
      <c r="G920" s="2"/>
      <c r="I920" s="190"/>
      <c r="J920" s="190"/>
      <c r="K920" s="2"/>
      <c r="Z920" s="4"/>
      <c r="AC920" s="4"/>
      <c r="AF920" s="4"/>
    </row>
    <row r="921">
      <c r="A921" s="179"/>
      <c r="B921" s="180"/>
      <c r="C921" s="2"/>
      <c r="E921" s="181"/>
      <c r="F921" s="181"/>
      <c r="G921" s="2"/>
      <c r="I921" s="190"/>
      <c r="J921" s="190"/>
      <c r="K921" s="2"/>
      <c r="Z921" s="4"/>
      <c r="AC921" s="4"/>
      <c r="AF921" s="4"/>
    </row>
    <row r="922">
      <c r="A922" s="179"/>
      <c r="B922" s="180"/>
      <c r="C922" s="2"/>
      <c r="E922" s="181"/>
      <c r="F922" s="181"/>
      <c r="G922" s="2"/>
      <c r="I922" s="190"/>
      <c r="J922" s="190"/>
      <c r="K922" s="2"/>
      <c r="Z922" s="4"/>
      <c r="AC922" s="4"/>
      <c r="AF922" s="4"/>
    </row>
    <row r="923">
      <c r="A923" s="179"/>
      <c r="B923" s="180"/>
      <c r="C923" s="2"/>
      <c r="E923" s="181"/>
      <c r="F923" s="181"/>
      <c r="G923" s="2"/>
      <c r="I923" s="190"/>
      <c r="J923" s="190"/>
      <c r="K923" s="2"/>
      <c r="Z923" s="4"/>
      <c r="AC923" s="4"/>
      <c r="AF923" s="4"/>
    </row>
    <row r="924">
      <c r="A924" s="179"/>
      <c r="B924" s="180"/>
      <c r="C924" s="2"/>
      <c r="E924" s="181"/>
      <c r="F924" s="181"/>
      <c r="G924" s="2"/>
      <c r="I924" s="190"/>
      <c r="J924" s="190"/>
      <c r="K924" s="2"/>
      <c r="Z924" s="4"/>
      <c r="AC924" s="4"/>
      <c r="AF924" s="4"/>
    </row>
    <row r="925">
      <c r="A925" s="179"/>
      <c r="B925" s="180"/>
      <c r="C925" s="2"/>
      <c r="E925" s="181"/>
      <c r="F925" s="181"/>
      <c r="G925" s="2"/>
      <c r="I925" s="190"/>
      <c r="J925" s="190"/>
      <c r="K925" s="2"/>
      <c r="Z925" s="4"/>
      <c r="AC925" s="4"/>
      <c r="AF925" s="4"/>
    </row>
    <row r="926">
      <c r="A926" s="179"/>
      <c r="B926" s="180"/>
      <c r="C926" s="2"/>
      <c r="E926" s="181"/>
      <c r="F926" s="181"/>
      <c r="G926" s="2"/>
      <c r="I926" s="190"/>
      <c r="J926" s="190"/>
      <c r="K926" s="2"/>
      <c r="Z926" s="4"/>
      <c r="AC926" s="4"/>
      <c r="AF926" s="4"/>
    </row>
    <row r="927">
      <c r="A927" s="179"/>
      <c r="B927" s="180"/>
      <c r="C927" s="2"/>
      <c r="E927" s="181"/>
      <c r="F927" s="181"/>
      <c r="G927" s="2"/>
      <c r="I927" s="190"/>
      <c r="J927" s="190"/>
      <c r="K927" s="2"/>
      <c r="Z927" s="4"/>
      <c r="AC927" s="4"/>
      <c r="AF927" s="4"/>
    </row>
    <row r="928">
      <c r="A928" s="179"/>
      <c r="B928" s="180"/>
      <c r="C928" s="2"/>
      <c r="E928" s="181"/>
      <c r="F928" s="181"/>
      <c r="G928" s="2"/>
      <c r="I928" s="190"/>
      <c r="J928" s="190"/>
      <c r="K928" s="2"/>
      <c r="Z928" s="4"/>
      <c r="AC928" s="4"/>
      <c r="AF928" s="4"/>
    </row>
    <row r="929">
      <c r="A929" s="179"/>
      <c r="B929" s="180"/>
      <c r="C929" s="2"/>
      <c r="E929" s="181"/>
      <c r="F929" s="181"/>
      <c r="G929" s="2"/>
      <c r="I929" s="190"/>
      <c r="J929" s="190"/>
      <c r="K929" s="2"/>
      <c r="Z929" s="4"/>
      <c r="AC929" s="4"/>
      <c r="AF929" s="4"/>
    </row>
    <row r="930">
      <c r="A930" s="179"/>
      <c r="B930" s="180"/>
      <c r="C930" s="2"/>
      <c r="E930" s="181"/>
      <c r="F930" s="181"/>
      <c r="G930" s="2"/>
      <c r="I930" s="190"/>
      <c r="J930" s="190"/>
      <c r="K930" s="2"/>
      <c r="Z930" s="4"/>
      <c r="AC930" s="4"/>
      <c r="AF930" s="4"/>
    </row>
    <row r="931">
      <c r="A931" s="179"/>
      <c r="B931" s="180"/>
      <c r="C931" s="2"/>
      <c r="E931" s="181"/>
      <c r="F931" s="181"/>
      <c r="G931" s="2"/>
      <c r="I931" s="190"/>
      <c r="J931" s="190"/>
      <c r="K931" s="2"/>
      <c r="Z931" s="4"/>
      <c r="AC931" s="4"/>
      <c r="AF931" s="4"/>
    </row>
    <row r="932">
      <c r="A932" s="179"/>
      <c r="B932" s="180"/>
      <c r="C932" s="2"/>
      <c r="E932" s="181"/>
      <c r="F932" s="181"/>
      <c r="G932" s="2"/>
      <c r="I932" s="190"/>
      <c r="J932" s="190"/>
      <c r="K932" s="2"/>
      <c r="Z932" s="4"/>
      <c r="AC932" s="4"/>
      <c r="AF932" s="4"/>
    </row>
    <row r="933">
      <c r="A933" s="179"/>
      <c r="B933" s="180"/>
      <c r="C933" s="2"/>
      <c r="E933" s="181"/>
      <c r="F933" s="181"/>
      <c r="G933" s="2"/>
      <c r="I933" s="190"/>
      <c r="J933" s="190"/>
      <c r="K933" s="2"/>
      <c r="Z933" s="4"/>
      <c r="AC933" s="4"/>
      <c r="AF933" s="4"/>
    </row>
    <row r="934">
      <c r="A934" s="179"/>
      <c r="B934" s="180"/>
      <c r="C934" s="2"/>
      <c r="E934" s="181"/>
      <c r="F934" s="181"/>
      <c r="G934" s="2"/>
      <c r="I934" s="190"/>
      <c r="J934" s="190"/>
      <c r="K934" s="2"/>
      <c r="Z934" s="4"/>
      <c r="AC934" s="4"/>
      <c r="AF934" s="4"/>
    </row>
    <row r="935">
      <c r="A935" s="179"/>
      <c r="B935" s="180"/>
      <c r="C935" s="2"/>
      <c r="E935" s="181"/>
      <c r="F935" s="181"/>
      <c r="G935" s="2"/>
      <c r="I935" s="190"/>
      <c r="J935" s="190"/>
      <c r="K935" s="2"/>
      <c r="Z935" s="4"/>
      <c r="AC935" s="4"/>
      <c r="AF935" s="4"/>
    </row>
    <row r="936">
      <c r="A936" s="179"/>
      <c r="B936" s="180"/>
      <c r="C936" s="2"/>
      <c r="E936" s="181"/>
      <c r="F936" s="181"/>
      <c r="G936" s="2"/>
      <c r="I936" s="190"/>
      <c r="J936" s="190"/>
      <c r="K936" s="2"/>
      <c r="Z936" s="4"/>
      <c r="AC936" s="4"/>
      <c r="AF936" s="4"/>
    </row>
    <row r="937">
      <c r="A937" s="179"/>
      <c r="B937" s="180"/>
      <c r="C937" s="2"/>
      <c r="E937" s="181"/>
      <c r="F937" s="181"/>
      <c r="G937" s="2"/>
      <c r="I937" s="190"/>
      <c r="J937" s="190"/>
      <c r="K937" s="2"/>
      <c r="Z937" s="4"/>
      <c r="AC937" s="4"/>
      <c r="AF937" s="4"/>
    </row>
    <row r="938">
      <c r="A938" s="179"/>
      <c r="B938" s="180"/>
      <c r="C938" s="2"/>
      <c r="E938" s="181"/>
      <c r="F938" s="181"/>
      <c r="G938" s="2"/>
      <c r="I938" s="190"/>
      <c r="J938" s="190"/>
      <c r="K938" s="2"/>
      <c r="Z938" s="4"/>
      <c r="AC938" s="4"/>
      <c r="AF938" s="4"/>
    </row>
    <row r="939">
      <c r="A939" s="179"/>
      <c r="B939" s="180"/>
      <c r="C939" s="2"/>
      <c r="E939" s="181"/>
      <c r="F939" s="181"/>
      <c r="G939" s="2"/>
      <c r="I939" s="190"/>
      <c r="J939" s="190"/>
      <c r="K939" s="2"/>
      <c r="Z939" s="4"/>
      <c r="AC939" s="4"/>
      <c r="AF939" s="4"/>
    </row>
    <row r="940">
      <c r="A940" s="179"/>
      <c r="B940" s="180"/>
      <c r="C940" s="2"/>
      <c r="E940" s="181"/>
      <c r="F940" s="181"/>
      <c r="G940" s="2"/>
      <c r="I940" s="190"/>
      <c r="J940" s="190"/>
      <c r="K940" s="2"/>
      <c r="Z940" s="4"/>
      <c r="AC940" s="4"/>
      <c r="AF940" s="4"/>
    </row>
    <row r="941">
      <c r="A941" s="179"/>
      <c r="B941" s="180"/>
      <c r="C941" s="2"/>
      <c r="E941" s="181"/>
      <c r="F941" s="181"/>
      <c r="G941" s="2"/>
      <c r="I941" s="190"/>
      <c r="J941" s="190"/>
      <c r="K941" s="2"/>
      <c r="Z941" s="4"/>
      <c r="AC941" s="4"/>
      <c r="AF941" s="4"/>
    </row>
    <row r="942">
      <c r="A942" s="179"/>
      <c r="B942" s="180"/>
      <c r="C942" s="2"/>
      <c r="E942" s="181"/>
      <c r="F942" s="181"/>
      <c r="G942" s="2"/>
      <c r="I942" s="190"/>
      <c r="J942" s="190"/>
      <c r="K942" s="2"/>
      <c r="Z942" s="4"/>
      <c r="AC942" s="4"/>
      <c r="AF942" s="4"/>
    </row>
    <row r="943">
      <c r="A943" s="179"/>
      <c r="B943" s="180"/>
      <c r="C943" s="2"/>
      <c r="E943" s="181"/>
      <c r="F943" s="181"/>
      <c r="G943" s="2"/>
      <c r="I943" s="190"/>
      <c r="J943" s="190"/>
      <c r="K943" s="2"/>
      <c r="Z943" s="4"/>
      <c r="AC943" s="4"/>
      <c r="AF943" s="4"/>
    </row>
    <row r="944">
      <c r="A944" s="179"/>
      <c r="B944" s="180"/>
      <c r="C944" s="2"/>
      <c r="E944" s="181"/>
      <c r="F944" s="181"/>
      <c r="G944" s="2"/>
      <c r="I944" s="190"/>
      <c r="J944" s="190"/>
      <c r="K944" s="2"/>
      <c r="Z944" s="4"/>
      <c r="AC944" s="4"/>
      <c r="AF944" s="4"/>
    </row>
    <row r="945">
      <c r="A945" s="179"/>
      <c r="B945" s="180"/>
      <c r="C945" s="2"/>
      <c r="E945" s="181"/>
      <c r="F945" s="181"/>
      <c r="G945" s="2"/>
      <c r="I945" s="190"/>
      <c r="J945" s="190"/>
      <c r="K945" s="2"/>
      <c r="Z945" s="4"/>
      <c r="AC945" s="4"/>
      <c r="AF945" s="4"/>
    </row>
    <row r="946">
      <c r="A946" s="179"/>
      <c r="B946" s="180"/>
      <c r="C946" s="2"/>
      <c r="E946" s="181"/>
      <c r="F946" s="181"/>
      <c r="G946" s="2"/>
      <c r="I946" s="190"/>
      <c r="J946" s="190"/>
      <c r="K946" s="2"/>
      <c r="Z946" s="4"/>
      <c r="AC946" s="4"/>
      <c r="AF946" s="4"/>
    </row>
    <row r="947">
      <c r="A947" s="179"/>
      <c r="B947" s="180"/>
      <c r="C947" s="2"/>
      <c r="E947" s="181"/>
      <c r="F947" s="181"/>
      <c r="G947" s="2"/>
      <c r="I947" s="190"/>
      <c r="J947" s="190"/>
      <c r="K947" s="2"/>
      <c r="Z947" s="4"/>
      <c r="AC947" s="4"/>
      <c r="AF947" s="4"/>
    </row>
    <row r="948">
      <c r="A948" s="179"/>
      <c r="B948" s="180"/>
      <c r="C948" s="2"/>
      <c r="E948" s="181"/>
      <c r="F948" s="181"/>
      <c r="G948" s="2"/>
      <c r="I948" s="190"/>
      <c r="J948" s="190"/>
      <c r="K948" s="2"/>
      <c r="Z948" s="4"/>
      <c r="AC948" s="4"/>
      <c r="AF948" s="4"/>
    </row>
    <row r="949">
      <c r="A949" s="179"/>
      <c r="B949" s="180"/>
      <c r="C949" s="2"/>
      <c r="E949" s="181"/>
      <c r="F949" s="181"/>
      <c r="G949" s="2"/>
      <c r="I949" s="190"/>
      <c r="J949" s="190"/>
      <c r="K949" s="2"/>
      <c r="Z949" s="4"/>
      <c r="AC949" s="4"/>
      <c r="AF949" s="4"/>
    </row>
    <row r="950">
      <c r="A950" s="179"/>
      <c r="B950" s="180"/>
      <c r="C950" s="2"/>
      <c r="E950" s="181"/>
      <c r="F950" s="181"/>
      <c r="G950" s="2"/>
      <c r="I950" s="190"/>
      <c r="J950" s="190"/>
      <c r="K950" s="2"/>
      <c r="Z950" s="4"/>
      <c r="AC950" s="4"/>
      <c r="AF950" s="4"/>
    </row>
    <row r="951">
      <c r="A951" s="179"/>
      <c r="B951" s="180"/>
      <c r="C951" s="2"/>
      <c r="E951" s="181"/>
      <c r="F951" s="181"/>
      <c r="G951" s="2"/>
      <c r="I951" s="190"/>
      <c r="J951" s="190"/>
      <c r="K951" s="2"/>
      <c r="Z951" s="4"/>
      <c r="AC951" s="4"/>
      <c r="AF951" s="4"/>
    </row>
    <row r="952">
      <c r="A952" s="179"/>
      <c r="B952" s="180"/>
      <c r="C952" s="2"/>
      <c r="E952" s="181"/>
      <c r="F952" s="181"/>
      <c r="G952" s="2"/>
      <c r="I952" s="190"/>
      <c r="J952" s="190"/>
      <c r="K952" s="2"/>
      <c r="Z952" s="4"/>
      <c r="AC952" s="4"/>
      <c r="AF952" s="4"/>
    </row>
    <row r="953">
      <c r="A953" s="179"/>
      <c r="B953" s="180"/>
      <c r="C953" s="2"/>
      <c r="E953" s="181"/>
      <c r="F953" s="181"/>
      <c r="G953" s="2"/>
      <c r="I953" s="190"/>
      <c r="J953" s="190"/>
      <c r="K953" s="2"/>
      <c r="Z953" s="4"/>
      <c r="AC953" s="4"/>
      <c r="AF953" s="4"/>
    </row>
    <row r="954">
      <c r="A954" s="179"/>
      <c r="B954" s="180"/>
      <c r="C954" s="2"/>
      <c r="E954" s="181"/>
      <c r="F954" s="181"/>
      <c r="G954" s="2"/>
      <c r="I954" s="190"/>
      <c r="J954" s="190"/>
      <c r="K954" s="2"/>
      <c r="Z954" s="4"/>
      <c r="AC954" s="4"/>
      <c r="AF954" s="4"/>
    </row>
    <row r="955">
      <c r="A955" s="179"/>
      <c r="B955" s="180"/>
      <c r="C955" s="2"/>
      <c r="E955" s="181"/>
      <c r="F955" s="181"/>
      <c r="G955" s="2"/>
      <c r="I955" s="190"/>
      <c r="J955" s="190"/>
      <c r="K955" s="2"/>
      <c r="Z955" s="4"/>
      <c r="AC955" s="4"/>
      <c r="AF955" s="4"/>
    </row>
    <row r="956">
      <c r="A956" s="179"/>
      <c r="B956" s="180"/>
      <c r="C956" s="2"/>
      <c r="E956" s="181"/>
      <c r="F956" s="181"/>
      <c r="G956" s="2"/>
      <c r="I956" s="190"/>
      <c r="J956" s="190"/>
      <c r="K956" s="2"/>
      <c r="Z956" s="4"/>
      <c r="AC956" s="4"/>
      <c r="AF956" s="4"/>
    </row>
    <row r="957">
      <c r="A957" s="179"/>
      <c r="B957" s="180"/>
      <c r="C957" s="2"/>
      <c r="E957" s="181"/>
      <c r="F957" s="181"/>
      <c r="G957" s="2"/>
      <c r="I957" s="190"/>
      <c r="J957" s="190"/>
      <c r="K957" s="2"/>
      <c r="Z957" s="4"/>
      <c r="AC957" s="4"/>
      <c r="AF957" s="4"/>
    </row>
    <row r="958">
      <c r="A958" s="179"/>
      <c r="B958" s="180"/>
      <c r="C958" s="2"/>
      <c r="E958" s="181"/>
      <c r="F958" s="181"/>
      <c r="G958" s="2"/>
      <c r="I958" s="190"/>
      <c r="J958" s="190"/>
      <c r="K958" s="2"/>
      <c r="Z958" s="4"/>
      <c r="AC958" s="4"/>
      <c r="AF958" s="4"/>
    </row>
    <row r="959">
      <c r="A959" s="179"/>
      <c r="B959" s="180"/>
      <c r="C959" s="2"/>
      <c r="E959" s="181"/>
      <c r="F959" s="181"/>
      <c r="G959" s="2"/>
      <c r="I959" s="190"/>
      <c r="J959" s="190"/>
      <c r="K959" s="2"/>
      <c r="Z959" s="4"/>
      <c r="AC959" s="4"/>
      <c r="AF959" s="4"/>
    </row>
    <row r="960">
      <c r="A960" s="179"/>
      <c r="B960" s="180"/>
      <c r="C960" s="2"/>
      <c r="E960" s="181"/>
      <c r="F960" s="181"/>
      <c r="G960" s="2"/>
      <c r="I960" s="190"/>
      <c r="J960" s="190"/>
      <c r="K960" s="2"/>
      <c r="Z960" s="4"/>
      <c r="AC960" s="4"/>
      <c r="AF960" s="4"/>
    </row>
    <row r="961">
      <c r="A961" s="179"/>
      <c r="B961" s="180"/>
      <c r="C961" s="2"/>
      <c r="E961" s="181"/>
      <c r="F961" s="181"/>
      <c r="G961" s="2"/>
      <c r="I961" s="190"/>
      <c r="J961" s="190"/>
      <c r="K961" s="2"/>
      <c r="Z961" s="4"/>
      <c r="AC961" s="4"/>
      <c r="AF961" s="4"/>
    </row>
    <row r="962">
      <c r="A962" s="179"/>
      <c r="B962" s="180"/>
      <c r="C962" s="2"/>
      <c r="E962" s="181"/>
      <c r="F962" s="181"/>
      <c r="G962" s="2"/>
      <c r="I962" s="190"/>
      <c r="J962" s="190"/>
      <c r="K962" s="2"/>
      <c r="Z962" s="4"/>
      <c r="AC962" s="4"/>
      <c r="AF962" s="4"/>
    </row>
    <row r="963">
      <c r="A963" s="179"/>
      <c r="B963" s="180"/>
      <c r="C963" s="2"/>
      <c r="E963" s="181"/>
      <c r="F963" s="181"/>
      <c r="G963" s="2"/>
      <c r="I963" s="190"/>
      <c r="J963" s="190"/>
      <c r="K963" s="2"/>
      <c r="Z963" s="4"/>
      <c r="AC963" s="4"/>
      <c r="AF963" s="4"/>
    </row>
    <row r="964">
      <c r="A964" s="179"/>
      <c r="B964" s="180"/>
      <c r="C964" s="2"/>
      <c r="E964" s="181"/>
      <c r="F964" s="181"/>
      <c r="G964" s="2"/>
      <c r="I964" s="190"/>
      <c r="J964" s="190"/>
      <c r="K964" s="2"/>
      <c r="Z964" s="4"/>
      <c r="AC964" s="4"/>
      <c r="AF964" s="4"/>
    </row>
    <row r="965">
      <c r="A965" s="179"/>
      <c r="B965" s="180"/>
      <c r="C965" s="2"/>
      <c r="E965" s="181"/>
      <c r="F965" s="181"/>
      <c r="G965" s="2"/>
      <c r="I965" s="190"/>
      <c r="J965" s="190"/>
      <c r="K965" s="2"/>
      <c r="Z965" s="4"/>
      <c r="AC965" s="4"/>
      <c r="AF965" s="4"/>
    </row>
    <row r="966">
      <c r="A966" s="179"/>
      <c r="B966" s="180"/>
      <c r="C966" s="2"/>
      <c r="E966" s="181"/>
      <c r="F966" s="181"/>
      <c r="G966" s="2"/>
      <c r="I966" s="190"/>
      <c r="J966" s="190"/>
      <c r="K966" s="2"/>
      <c r="Z966" s="4"/>
      <c r="AC966" s="4"/>
      <c r="AF966" s="4"/>
    </row>
    <row r="967">
      <c r="A967" s="179"/>
      <c r="B967" s="180"/>
      <c r="C967" s="2"/>
      <c r="E967" s="181"/>
      <c r="F967" s="181"/>
      <c r="G967" s="2"/>
      <c r="I967" s="190"/>
      <c r="J967" s="190"/>
      <c r="K967" s="2"/>
      <c r="Z967" s="4"/>
      <c r="AC967" s="4"/>
      <c r="AF967" s="4"/>
    </row>
    <row r="968">
      <c r="A968" s="179"/>
      <c r="B968" s="180"/>
      <c r="C968" s="2"/>
      <c r="E968" s="181"/>
      <c r="F968" s="181"/>
      <c r="G968" s="2"/>
      <c r="I968" s="190"/>
      <c r="J968" s="190"/>
      <c r="K968" s="2"/>
      <c r="Z968" s="4"/>
      <c r="AC968" s="4"/>
      <c r="AF968" s="4"/>
    </row>
    <row r="969">
      <c r="A969" s="179"/>
      <c r="B969" s="180"/>
      <c r="C969" s="2"/>
      <c r="E969" s="181"/>
      <c r="F969" s="181"/>
      <c r="G969" s="2"/>
      <c r="I969" s="190"/>
      <c r="J969" s="190"/>
      <c r="K969" s="2"/>
      <c r="Z969" s="4"/>
      <c r="AC969" s="4"/>
      <c r="AF969" s="4"/>
    </row>
    <row r="970">
      <c r="A970" s="179"/>
      <c r="B970" s="180"/>
      <c r="C970" s="2"/>
      <c r="E970" s="181"/>
      <c r="F970" s="181"/>
      <c r="G970" s="2"/>
      <c r="I970" s="190"/>
      <c r="J970" s="190"/>
      <c r="K970" s="2"/>
      <c r="Z970" s="4"/>
      <c r="AC970" s="4"/>
      <c r="AF970" s="4"/>
    </row>
    <row r="971">
      <c r="A971" s="179"/>
      <c r="B971" s="180"/>
      <c r="C971" s="2"/>
      <c r="E971" s="181"/>
      <c r="F971" s="181"/>
      <c r="G971" s="2"/>
      <c r="I971" s="190"/>
      <c r="J971" s="190"/>
      <c r="K971" s="2"/>
      <c r="Z971" s="4"/>
      <c r="AC971" s="4"/>
      <c r="AF971" s="4"/>
    </row>
    <row r="972">
      <c r="A972" s="179"/>
      <c r="B972" s="180"/>
      <c r="C972" s="2"/>
      <c r="E972" s="181"/>
      <c r="F972" s="181"/>
      <c r="G972" s="2"/>
      <c r="I972" s="190"/>
      <c r="J972" s="190"/>
      <c r="K972" s="2"/>
      <c r="Z972" s="4"/>
      <c r="AC972" s="4"/>
      <c r="AF972" s="4"/>
    </row>
    <row r="973">
      <c r="A973" s="179"/>
      <c r="B973" s="180"/>
      <c r="C973" s="2"/>
      <c r="E973" s="181"/>
      <c r="F973" s="181"/>
      <c r="G973" s="2"/>
      <c r="I973" s="190"/>
      <c r="J973" s="190"/>
      <c r="K973" s="2"/>
      <c r="Z973" s="4"/>
      <c r="AC973" s="4"/>
      <c r="AF973" s="4"/>
    </row>
    <row r="974">
      <c r="A974" s="179"/>
      <c r="B974" s="180"/>
      <c r="C974" s="2"/>
      <c r="E974" s="181"/>
      <c r="F974" s="181"/>
      <c r="G974" s="2"/>
      <c r="I974" s="190"/>
      <c r="J974" s="190"/>
      <c r="K974" s="2"/>
      <c r="Z974" s="4"/>
      <c r="AC974" s="4"/>
      <c r="AF974" s="4"/>
    </row>
    <row r="975">
      <c r="A975" s="179"/>
      <c r="B975" s="180"/>
      <c r="C975" s="2"/>
      <c r="E975" s="181"/>
      <c r="F975" s="181"/>
      <c r="G975" s="2"/>
      <c r="I975" s="190"/>
      <c r="J975" s="190"/>
      <c r="K975" s="2"/>
      <c r="Z975" s="4"/>
      <c r="AC975" s="4"/>
      <c r="AF975" s="4"/>
    </row>
    <row r="976">
      <c r="A976" s="179"/>
      <c r="B976" s="180"/>
      <c r="C976" s="2"/>
      <c r="E976" s="181"/>
      <c r="F976" s="181"/>
      <c r="G976" s="2"/>
      <c r="I976" s="190"/>
      <c r="J976" s="190"/>
      <c r="K976" s="2"/>
      <c r="Z976" s="4"/>
      <c r="AC976" s="4"/>
      <c r="AF976" s="4"/>
    </row>
    <row r="977">
      <c r="A977" s="179"/>
      <c r="B977" s="180"/>
      <c r="C977" s="2"/>
      <c r="E977" s="181"/>
      <c r="F977" s="181"/>
      <c r="G977" s="2"/>
      <c r="I977" s="190"/>
      <c r="J977" s="190"/>
      <c r="K977" s="2"/>
      <c r="Z977" s="4"/>
      <c r="AC977" s="4"/>
      <c r="AF977" s="4"/>
    </row>
    <row r="978">
      <c r="A978" s="179"/>
      <c r="B978" s="180"/>
      <c r="C978" s="2"/>
      <c r="E978" s="181"/>
      <c r="F978" s="181"/>
      <c r="G978" s="2"/>
      <c r="I978" s="190"/>
      <c r="J978" s="190"/>
      <c r="K978" s="2"/>
      <c r="Z978" s="4"/>
      <c r="AC978" s="4"/>
      <c r="AF978" s="4"/>
    </row>
    <row r="979">
      <c r="A979" s="179"/>
      <c r="B979" s="180"/>
      <c r="C979" s="2"/>
      <c r="E979" s="181"/>
      <c r="F979" s="181"/>
      <c r="G979" s="2"/>
      <c r="I979" s="190"/>
      <c r="J979" s="190"/>
      <c r="K979" s="2"/>
      <c r="Z979" s="4"/>
      <c r="AC979" s="4"/>
      <c r="AF979" s="4"/>
    </row>
    <row r="980">
      <c r="A980" s="179"/>
      <c r="B980" s="180"/>
      <c r="C980" s="2"/>
      <c r="E980" s="181"/>
      <c r="F980" s="181"/>
      <c r="G980" s="2"/>
      <c r="I980" s="190"/>
      <c r="J980" s="190"/>
      <c r="K980" s="2"/>
      <c r="Z980" s="4"/>
      <c r="AC980" s="4"/>
      <c r="AF980" s="4"/>
    </row>
    <row r="981">
      <c r="A981" s="179"/>
      <c r="B981" s="180"/>
      <c r="C981" s="2"/>
      <c r="E981" s="181"/>
      <c r="F981" s="181"/>
      <c r="G981" s="2"/>
      <c r="I981" s="190"/>
      <c r="J981" s="190"/>
      <c r="K981" s="2"/>
      <c r="Z981" s="4"/>
      <c r="AC981" s="4"/>
      <c r="AF981" s="4"/>
    </row>
    <row r="982">
      <c r="A982" s="179"/>
      <c r="B982" s="180"/>
      <c r="C982" s="2"/>
      <c r="E982" s="181"/>
      <c r="F982" s="181"/>
      <c r="G982" s="2"/>
      <c r="I982" s="190"/>
      <c r="J982" s="190"/>
      <c r="K982" s="2"/>
      <c r="Z982" s="4"/>
      <c r="AC982" s="4"/>
      <c r="AF982" s="4"/>
    </row>
    <row r="983">
      <c r="A983" s="179"/>
      <c r="B983" s="180"/>
      <c r="C983" s="2"/>
      <c r="E983" s="181"/>
      <c r="F983" s="181"/>
      <c r="G983" s="2"/>
      <c r="I983" s="190"/>
      <c r="J983" s="190"/>
      <c r="K983" s="2"/>
      <c r="Z983" s="4"/>
      <c r="AC983" s="4"/>
      <c r="AF983" s="4"/>
    </row>
    <row r="984">
      <c r="A984" s="179"/>
      <c r="B984" s="180"/>
      <c r="C984" s="2"/>
      <c r="E984" s="181"/>
      <c r="F984" s="181"/>
      <c r="G984" s="2"/>
      <c r="I984" s="190"/>
      <c r="J984" s="190"/>
      <c r="K984" s="2"/>
      <c r="Z984" s="4"/>
      <c r="AC984" s="4"/>
      <c r="AF984" s="4"/>
    </row>
    <row r="985">
      <c r="A985" s="179"/>
      <c r="B985" s="180"/>
      <c r="C985" s="2"/>
      <c r="E985" s="181"/>
      <c r="F985" s="181"/>
      <c r="G985" s="2"/>
      <c r="I985" s="190"/>
      <c r="J985" s="190"/>
      <c r="K985" s="2"/>
      <c r="Z985" s="4"/>
      <c r="AC985" s="4"/>
      <c r="AF985" s="4"/>
    </row>
    <row r="986">
      <c r="A986" s="179"/>
      <c r="B986" s="180"/>
      <c r="C986" s="2"/>
      <c r="E986" s="181"/>
      <c r="F986" s="181"/>
      <c r="G986" s="2"/>
      <c r="I986" s="190"/>
      <c r="J986" s="190"/>
      <c r="K986" s="2"/>
      <c r="Z986" s="4"/>
      <c r="AC986" s="4"/>
      <c r="AF986" s="4"/>
    </row>
    <row r="987">
      <c r="A987" s="179"/>
      <c r="B987" s="180"/>
      <c r="C987" s="2"/>
      <c r="E987" s="181"/>
      <c r="F987" s="181"/>
      <c r="G987" s="2"/>
      <c r="I987" s="190"/>
      <c r="J987" s="190"/>
      <c r="K987" s="2"/>
      <c r="Z987" s="4"/>
      <c r="AC987" s="4"/>
      <c r="AF987" s="4"/>
    </row>
    <row r="988">
      <c r="A988" s="179"/>
      <c r="B988" s="180"/>
      <c r="C988" s="2"/>
      <c r="E988" s="181"/>
      <c r="F988" s="181"/>
      <c r="G988" s="2"/>
      <c r="I988" s="190"/>
      <c r="J988" s="190"/>
      <c r="K988" s="2"/>
      <c r="Z988" s="4"/>
      <c r="AC988" s="4"/>
      <c r="AF988" s="4"/>
    </row>
    <row r="989">
      <c r="A989" s="179"/>
      <c r="B989" s="180"/>
      <c r="C989" s="2"/>
      <c r="E989" s="181"/>
      <c r="F989" s="181"/>
      <c r="G989" s="2"/>
      <c r="I989" s="190"/>
      <c r="J989" s="190"/>
      <c r="K989" s="2"/>
      <c r="Z989" s="4"/>
      <c r="AC989" s="4"/>
      <c r="AF989" s="4"/>
    </row>
    <row r="990">
      <c r="A990" s="179"/>
      <c r="B990" s="180"/>
      <c r="C990" s="2"/>
      <c r="E990" s="181"/>
      <c r="F990" s="181"/>
      <c r="G990" s="2"/>
      <c r="I990" s="190"/>
      <c r="J990" s="190"/>
      <c r="K990" s="2"/>
      <c r="Z990" s="4"/>
      <c r="AC990" s="4"/>
      <c r="AF990" s="4"/>
    </row>
    <row r="991">
      <c r="A991" s="179"/>
      <c r="B991" s="180"/>
      <c r="C991" s="2"/>
      <c r="E991" s="181"/>
      <c r="F991" s="181"/>
      <c r="G991" s="2"/>
      <c r="I991" s="190"/>
      <c r="J991" s="190"/>
      <c r="K991" s="2"/>
      <c r="Z991" s="4"/>
      <c r="AC991" s="4"/>
      <c r="AF991" s="4"/>
    </row>
    <row r="992">
      <c r="A992" s="179"/>
      <c r="B992" s="180"/>
      <c r="C992" s="2"/>
      <c r="E992" s="181"/>
      <c r="F992" s="181"/>
      <c r="G992" s="2"/>
      <c r="I992" s="190"/>
      <c r="J992" s="190"/>
      <c r="K992" s="2"/>
      <c r="Z992" s="4"/>
      <c r="AC992" s="4"/>
      <c r="AF992" s="4"/>
    </row>
    <row r="993">
      <c r="A993" s="179"/>
      <c r="B993" s="180"/>
      <c r="C993" s="2"/>
      <c r="E993" s="181"/>
      <c r="F993" s="181"/>
      <c r="G993" s="2"/>
      <c r="I993" s="190"/>
      <c r="J993" s="190"/>
      <c r="K993" s="2"/>
      <c r="Z993" s="4"/>
      <c r="AC993" s="4"/>
      <c r="AF993" s="4"/>
    </row>
    <row r="994">
      <c r="A994" s="179"/>
      <c r="B994" s="180"/>
      <c r="C994" s="2"/>
      <c r="E994" s="181"/>
      <c r="F994" s="181"/>
      <c r="G994" s="2"/>
      <c r="I994" s="190"/>
      <c r="J994" s="190"/>
      <c r="K994" s="2"/>
      <c r="Z994" s="4"/>
      <c r="AC994" s="4"/>
      <c r="AF994" s="4"/>
    </row>
    <row r="995">
      <c r="A995" s="179"/>
      <c r="B995" s="180"/>
      <c r="C995" s="2"/>
      <c r="E995" s="181"/>
      <c r="F995" s="181"/>
      <c r="G995" s="2"/>
      <c r="I995" s="190"/>
      <c r="J995" s="190"/>
      <c r="K995" s="2"/>
      <c r="Z995" s="4"/>
      <c r="AC995" s="4"/>
      <c r="AF995" s="4"/>
    </row>
    <row r="996">
      <c r="A996" s="179"/>
      <c r="B996" s="180"/>
      <c r="C996" s="2"/>
      <c r="E996" s="181"/>
      <c r="F996" s="181"/>
      <c r="G996" s="2"/>
      <c r="I996" s="190"/>
      <c r="J996" s="190"/>
      <c r="K996" s="2"/>
      <c r="Z996" s="4"/>
      <c r="AC996" s="4"/>
      <c r="AF996" s="4"/>
    </row>
    <row r="997">
      <c r="A997" s="179"/>
      <c r="B997" s="180"/>
      <c r="C997" s="2"/>
      <c r="E997" s="181"/>
      <c r="F997" s="181"/>
      <c r="G997" s="2"/>
      <c r="I997" s="190"/>
      <c r="J997" s="190"/>
      <c r="K997" s="2"/>
      <c r="Z997" s="4"/>
      <c r="AC997" s="4"/>
      <c r="AF997" s="4"/>
    </row>
    <row r="998">
      <c r="A998" s="179"/>
      <c r="B998" s="180"/>
      <c r="C998" s="2"/>
      <c r="E998" s="181"/>
      <c r="F998" s="181"/>
      <c r="G998" s="2"/>
      <c r="I998" s="190"/>
      <c r="J998" s="190"/>
      <c r="K998" s="2"/>
      <c r="Z998" s="4"/>
      <c r="AC998" s="4"/>
      <c r="AF998" s="4"/>
    </row>
    <row r="999">
      <c r="A999" s="179"/>
      <c r="B999" s="180"/>
      <c r="C999" s="2"/>
      <c r="E999" s="181"/>
      <c r="F999" s="181"/>
      <c r="G999" s="2"/>
      <c r="I999" s="190"/>
      <c r="J999" s="190"/>
      <c r="K999" s="2"/>
      <c r="Z999" s="4"/>
      <c r="AC999" s="4"/>
      <c r="AF999" s="4"/>
    </row>
    <row r="1000">
      <c r="A1000" s="179"/>
      <c r="B1000" s="180"/>
      <c r="C1000" s="2"/>
      <c r="E1000" s="181"/>
      <c r="F1000" s="181"/>
      <c r="G1000" s="2"/>
      <c r="I1000" s="190"/>
      <c r="J1000" s="190"/>
      <c r="K1000" s="2"/>
      <c r="Z1000" s="4"/>
      <c r="AC1000" s="4"/>
      <c r="AF1000" s="4"/>
    </row>
    <row r="1001">
      <c r="A1001" s="179"/>
      <c r="B1001" s="180"/>
      <c r="C1001" s="2"/>
      <c r="E1001" s="181"/>
      <c r="F1001" s="181"/>
      <c r="G1001" s="2"/>
      <c r="I1001" s="190"/>
      <c r="J1001" s="190"/>
      <c r="K1001" s="2"/>
      <c r="Z1001" s="4"/>
      <c r="AC1001" s="4"/>
      <c r="AF1001" s="4"/>
    </row>
    <row r="1002">
      <c r="A1002" s="179"/>
      <c r="B1002" s="180"/>
      <c r="C1002" s="2"/>
      <c r="E1002" s="181"/>
      <c r="F1002" s="181"/>
      <c r="G1002" s="2"/>
      <c r="I1002" s="190"/>
      <c r="J1002" s="190"/>
      <c r="K1002" s="2"/>
      <c r="Z1002" s="4"/>
      <c r="AC1002" s="4"/>
      <c r="AF1002" s="4"/>
    </row>
    <row r="1003">
      <c r="A1003" s="179"/>
      <c r="B1003" s="180"/>
      <c r="C1003" s="2"/>
      <c r="E1003" s="181"/>
      <c r="F1003" s="181"/>
      <c r="G1003" s="2"/>
      <c r="I1003" s="190"/>
      <c r="J1003" s="190"/>
      <c r="K1003" s="2"/>
      <c r="Z1003" s="4"/>
      <c r="AC1003" s="4"/>
      <c r="AF1003" s="4"/>
    </row>
    <row r="1004">
      <c r="A1004" s="179"/>
      <c r="B1004" s="180"/>
      <c r="C1004" s="2"/>
      <c r="E1004" s="181"/>
      <c r="F1004" s="181"/>
      <c r="G1004" s="2"/>
      <c r="I1004" s="190"/>
      <c r="J1004" s="190"/>
      <c r="K1004" s="2"/>
      <c r="Z1004" s="4"/>
      <c r="AC1004" s="4"/>
      <c r="AF1004" s="4"/>
    </row>
    <row r="1005">
      <c r="A1005" s="179"/>
      <c r="B1005" s="180"/>
      <c r="C1005" s="2"/>
      <c r="E1005" s="181"/>
      <c r="F1005" s="181"/>
      <c r="G1005" s="2"/>
      <c r="I1005" s="190"/>
      <c r="J1005" s="190"/>
      <c r="K1005" s="2"/>
      <c r="Z1005" s="4"/>
      <c r="AC1005" s="4"/>
      <c r="AF1005" s="4"/>
    </row>
    <row r="1006">
      <c r="A1006" s="179"/>
      <c r="B1006" s="180"/>
      <c r="C1006" s="2"/>
      <c r="E1006" s="181"/>
      <c r="F1006" s="181"/>
      <c r="G1006" s="2"/>
      <c r="I1006" s="190"/>
      <c r="J1006" s="190"/>
      <c r="K1006" s="2"/>
      <c r="Z1006" s="4"/>
      <c r="AC1006" s="4"/>
      <c r="AF1006" s="4"/>
    </row>
    <row r="1007">
      <c r="A1007" s="179"/>
      <c r="B1007" s="180"/>
      <c r="C1007" s="2"/>
      <c r="E1007" s="181"/>
      <c r="F1007" s="181"/>
      <c r="G1007" s="2"/>
      <c r="I1007" s="190"/>
      <c r="J1007" s="190"/>
      <c r="K1007" s="2"/>
      <c r="Z1007" s="4"/>
      <c r="AC1007" s="4"/>
      <c r="AF1007" s="4"/>
    </row>
    <row r="1008">
      <c r="A1008" s="179"/>
      <c r="B1008" s="180"/>
      <c r="C1008" s="2"/>
      <c r="E1008" s="181"/>
      <c r="F1008" s="181"/>
      <c r="G1008" s="2"/>
      <c r="I1008" s="190"/>
      <c r="J1008" s="190"/>
      <c r="K1008" s="2"/>
      <c r="Z1008" s="4"/>
      <c r="AC1008" s="4"/>
      <c r="AF1008" s="4"/>
    </row>
    <row r="1009">
      <c r="A1009" s="179"/>
      <c r="B1009" s="180"/>
      <c r="C1009" s="2"/>
      <c r="E1009" s="181"/>
      <c r="F1009" s="181"/>
      <c r="G1009" s="2"/>
      <c r="I1009" s="190"/>
      <c r="J1009" s="190"/>
      <c r="K1009" s="2"/>
      <c r="Z1009" s="4"/>
      <c r="AC1009" s="4"/>
      <c r="AF1009" s="4"/>
    </row>
    <row r="1010">
      <c r="A1010" s="179"/>
      <c r="B1010" s="180"/>
      <c r="C1010" s="2"/>
      <c r="E1010" s="181"/>
      <c r="F1010" s="181"/>
      <c r="G1010" s="2"/>
      <c r="I1010" s="190"/>
      <c r="J1010" s="190"/>
      <c r="K1010" s="2"/>
      <c r="Z1010" s="4"/>
      <c r="AC1010" s="4"/>
      <c r="AF1010" s="4"/>
    </row>
    <row r="1011">
      <c r="A1011" s="179"/>
      <c r="B1011" s="180"/>
      <c r="C1011" s="2"/>
      <c r="E1011" s="181"/>
      <c r="F1011" s="181"/>
      <c r="G1011" s="2"/>
      <c r="I1011" s="190"/>
      <c r="J1011" s="190"/>
      <c r="K1011" s="2"/>
      <c r="Z1011" s="4"/>
      <c r="AC1011" s="4"/>
      <c r="AF1011" s="4"/>
    </row>
    <row r="1012">
      <c r="A1012" s="179"/>
      <c r="B1012" s="180"/>
      <c r="C1012" s="2"/>
      <c r="E1012" s="181"/>
      <c r="F1012" s="181"/>
      <c r="G1012" s="2"/>
      <c r="K1012" s="2"/>
      <c r="Z1012" s="4"/>
      <c r="AC1012" s="4"/>
      <c r="AF1012" s="4"/>
    </row>
    <row r="1013">
      <c r="A1013" s="179"/>
      <c r="B1013" s="180"/>
      <c r="C1013" s="2"/>
      <c r="E1013" s="181"/>
      <c r="F1013" s="181"/>
      <c r="G1013" s="2"/>
      <c r="K1013" s="2"/>
      <c r="Z1013" s="4"/>
      <c r="AC1013" s="4"/>
      <c r="AF1013" s="4"/>
    </row>
    <row r="1014">
      <c r="A1014" s="179"/>
      <c r="B1014" s="180"/>
      <c r="C1014" s="2"/>
      <c r="E1014" s="181"/>
      <c r="F1014" s="181"/>
      <c r="G1014" s="2"/>
      <c r="K1014" s="2"/>
      <c r="Z1014" s="4"/>
      <c r="AC1014" s="4"/>
      <c r="AF1014" s="4"/>
    </row>
    <row r="1015">
      <c r="A1015" s="179"/>
      <c r="B1015" s="180"/>
      <c r="C1015" s="2"/>
      <c r="E1015" s="181"/>
      <c r="F1015" s="181"/>
      <c r="G1015" s="2"/>
      <c r="K1015" s="2"/>
      <c r="Z1015" s="4"/>
      <c r="AC1015" s="4"/>
      <c r="AF1015" s="4"/>
    </row>
    <row r="1016">
      <c r="A1016" s="179"/>
      <c r="B1016" s="180"/>
      <c r="C1016" s="2"/>
      <c r="E1016" s="181"/>
      <c r="F1016" s="181"/>
      <c r="G1016" s="2"/>
      <c r="K1016" s="2"/>
      <c r="Z1016" s="4"/>
      <c r="AC1016" s="4"/>
      <c r="AF1016" s="4"/>
    </row>
    <row r="1017">
      <c r="A1017" s="179"/>
      <c r="B1017" s="180"/>
      <c r="C1017" s="2"/>
      <c r="E1017" s="181"/>
      <c r="F1017" s="181"/>
      <c r="G1017" s="2"/>
      <c r="K1017" s="2"/>
      <c r="Z1017" s="4"/>
      <c r="AC1017" s="4"/>
      <c r="AF1017" s="4"/>
    </row>
    <row r="1018">
      <c r="A1018" s="179"/>
      <c r="B1018" s="180"/>
      <c r="C1018" s="2"/>
      <c r="E1018" s="181"/>
      <c r="F1018" s="181"/>
      <c r="G1018" s="2"/>
      <c r="K1018" s="2"/>
      <c r="Z1018" s="4"/>
      <c r="AC1018" s="4"/>
      <c r="AF1018" s="4"/>
    </row>
    <row r="1019">
      <c r="A1019" s="179"/>
      <c r="B1019" s="180"/>
      <c r="C1019" s="2"/>
      <c r="E1019" s="181"/>
      <c r="F1019" s="181"/>
      <c r="G1019" s="2"/>
      <c r="K1019" s="2"/>
      <c r="Z1019" s="4"/>
      <c r="AC1019" s="4"/>
      <c r="AF1019" s="4"/>
    </row>
    <row r="1020">
      <c r="A1020" s="179"/>
      <c r="B1020" s="180"/>
      <c r="C1020" s="2"/>
      <c r="E1020" s="181"/>
      <c r="F1020" s="181"/>
      <c r="G1020" s="2"/>
      <c r="K1020" s="2"/>
      <c r="Z1020" s="4"/>
      <c r="AC1020" s="4"/>
      <c r="AF1020" s="4"/>
    </row>
    <row r="1021">
      <c r="A1021" s="179"/>
      <c r="B1021" s="180"/>
      <c r="C1021" s="2"/>
      <c r="E1021" s="181"/>
      <c r="F1021" s="181"/>
      <c r="G1021" s="2"/>
      <c r="K1021" s="2"/>
      <c r="Z1021" s="4"/>
      <c r="AC1021" s="4"/>
      <c r="AF1021" s="4"/>
    </row>
    <row r="1022">
      <c r="A1022" s="179"/>
      <c r="B1022" s="180"/>
      <c r="C1022" s="2"/>
      <c r="E1022" s="181"/>
      <c r="F1022" s="181"/>
      <c r="G1022" s="2"/>
      <c r="K1022" s="2"/>
      <c r="Z1022" s="4"/>
      <c r="AC1022" s="4"/>
      <c r="AF1022" s="4"/>
    </row>
    <row r="1023">
      <c r="A1023" s="179"/>
      <c r="B1023" s="180"/>
      <c r="C1023" s="2"/>
      <c r="E1023" s="181"/>
      <c r="F1023" s="181"/>
      <c r="G1023" s="2"/>
      <c r="K1023" s="2"/>
      <c r="Z1023" s="4"/>
      <c r="AC1023" s="4"/>
      <c r="AF1023" s="4"/>
    </row>
    <row r="1024">
      <c r="A1024" s="179"/>
      <c r="B1024" s="180"/>
      <c r="C1024" s="2"/>
      <c r="E1024" s="181"/>
      <c r="F1024" s="181"/>
      <c r="G1024" s="2"/>
      <c r="K1024" s="2"/>
      <c r="Z1024" s="4"/>
      <c r="AC1024" s="4"/>
      <c r="AF1024" s="4"/>
    </row>
    <row r="1025">
      <c r="A1025" s="179"/>
      <c r="B1025" s="180"/>
      <c r="C1025" s="2"/>
      <c r="E1025" s="181"/>
      <c r="F1025" s="181"/>
      <c r="G1025" s="2"/>
      <c r="K1025" s="2"/>
      <c r="Z1025" s="4"/>
      <c r="AC1025" s="4"/>
      <c r="AF1025" s="4"/>
    </row>
    <row r="1026">
      <c r="A1026" s="179"/>
      <c r="B1026" s="180"/>
      <c r="C1026" s="2"/>
      <c r="E1026" s="181"/>
      <c r="F1026" s="181"/>
      <c r="G1026" s="2"/>
      <c r="K1026" s="2"/>
      <c r="Z1026" s="4"/>
      <c r="AC1026" s="4"/>
      <c r="AF1026" s="4"/>
    </row>
    <row r="1027">
      <c r="A1027" s="179"/>
      <c r="B1027" s="180"/>
      <c r="C1027" s="2"/>
      <c r="E1027" s="181"/>
      <c r="F1027" s="181"/>
      <c r="G1027" s="2"/>
      <c r="K1027" s="2"/>
      <c r="Z1027" s="4"/>
      <c r="AC1027" s="4"/>
      <c r="AF1027" s="4"/>
    </row>
    <row r="1028">
      <c r="A1028" s="179"/>
      <c r="B1028" s="180"/>
      <c r="C1028" s="2"/>
      <c r="E1028" s="181"/>
      <c r="F1028" s="181"/>
      <c r="G1028" s="2"/>
      <c r="K1028" s="2"/>
      <c r="Z1028" s="4"/>
      <c r="AC1028" s="4"/>
      <c r="AF1028" s="4"/>
    </row>
    <row r="1029">
      <c r="A1029" s="179"/>
      <c r="B1029" s="180"/>
      <c r="C1029" s="2"/>
      <c r="E1029" s="181"/>
      <c r="F1029" s="181"/>
      <c r="G1029" s="2"/>
      <c r="K1029" s="2"/>
      <c r="Z1029" s="4"/>
      <c r="AC1029" s="4"/>
      <c r="AF1029" s="4"/>
    </row>
    <row r="1030">
      <c r="A1030" s="179"/>
      <c r="B1030" s="180"/>
      <c r="C1030" s="2"/>
      <c r="E1030" s="181"/>
      <c r="F1030" s="181"/>
      <c r="G1030" s="2"/>
      <c r="K1030" s="2"/>
      <c r="Z1030" s="4"/>
      <c r="AC1030" s="4"/>
      <c r="AF1030" s="4"/>
    </row>
    <row r="1031">
      <c r="A1031" s="179"/>
      <c r="B1031" s="180"/>
      <c r="C1031" s="2"/>
      <c r="E1031" s="181"/>
      <c r="F1031" s="181"/>
      <c r="G1031" s="2"/>
      <c r="K1031" s="2"/>
      <c r="Z1031" s="4"/>
      <c r="AC1031" s="4"/>
      <c r="AF1031" s="4"/>
    </row>
    <row r="1032">
      <c r="A1032" s="179"/>
      <c r="B1032" s="180"/>
      <c r="C1032" s="2"/>
      <c r="E1032" s="181"/>
      <c r="F1032" s="181"/>
      <c r="G1032" s="2"/>
      <c r="K1032" s="2"/>
      <c r="Z1032" s="4"/>
      <c r="AC1032" s="4"/>
      <c r="AF1032" s="4"/>
    </row>
    <row r="1033">
      <c r="A1033" s="179"/>
      <c r="B1033" s="180"/>
      <c r="C1033" s="2"/>
      <c r="E1033" s="181"/>
      <c r="F1033" s="181"/>
      <c r="G1033" s="2"/>
      <c r="K1033" s="2"/>
      <c r="Z1033" s="4"/>
      <c r="AC1033" s="4"/>
      <c r="AF1033" s="4"/>
    </row>
    <row r="1034">
      <c r="A1034" s="179"/>
      <c r="B1034" s="180"/>
      <c r="C1034" s="2"/>
      <c r="E1034" s="181"/>
      <c r="F1034" s="181"/>
      <c r="G1034" s="2"/>
      <c r="K1034" s="2"/>
      <c r="Z1034" s="4"/>
      <c r="AC1034" s="4"/>
      <c r="AF1034" s="4"/>
    </row>
    <row r="1035">
      <c r="A1035" s="179"/>
      <c r="B1035" s="180"/>
      <c r="C1035" s="2"/>
      <c r="E1035" s="181"/>
      <c r="F1035" s="181"/>
      <c r="G1035" s="2"/>
      <c r="K1035" s="2"/>
      <c r="Z1035" s="4"/>
      <c r="AC1035" s="4"/>
      <c r="AF1035" s="4"/>
    </row>
    <row r="1036">
      <c r="A1036" s="179"/>
      <c r="B1036" s="180"/>
      <c r="C1036" s="2"/>
      <c r="E1036" s="181"/>
      <c r="F1036" s="181"/>
      <c r="G1036" s="2"/>
      <c r="K1036" s="2"/>
      <c r="Z1036" s="4"/>
      <c r="AC1036" s="4"/>
      <c r="AF1036" s="4"/>
    </row>
    <row r="1037">
      <c r="A1037" s="179"/>
      <c r="B1037" s="180"/>
      <c r="C1037" s="2"/>
      <c r="E1037" s="181"/>
      <c r="F1037" s="181"/>
      <c r="G1037" s="2"/>
      <c r="K1037" s="2"/>
      <c r="Z1037" s="4"/>
      <c r="AC1037" s="4"/>
      <c r="AF1037" s="4"/>
    </row>
    <row r="1038">
      <c r="A1038" s="179"/>
      <c r="B1038" s="180"/>
      <c r="C1038" s="2"/>
      <c r="E1038" s="181"/>
      <c r="F1038" s="181"/>
      <c r="G1038" s="2"/>
      <c r="K1038" s="2"/>
      <c r="Z1038" s="4"/>
      <c r="AC1038" s="4"/>
      <c r="AF1038" s="4"/>
    </row>
    <row r="1039">
      <c r="A1039" s="179"/>
      <c r="B1039" s="180"/>
      <c r="C1039" s="2"/>
      <c r="E1039" s="181"/>
      <c r="F1039" s="181"/>
      <c r="G1039" s="2"/>
      <c r="K1039" s="2"/>
      <c r="Z1039" s="4"/>
      <c r="AC1039" s="4"/>
      <c r="AF1039" s="4"/>
    </row>
    <row r="1040">
      <c r="A1040" s="179"/>
      <c r="B1040" s="180"/>
      <c r="C1040" s="2"/>
      <c r="E1040" s="181"/>
      <c r="F1040" s="181"/>
      <c r="G1040" s="2"/>
      <c r="K1040" s="2"/>
      <c r="Z1040" s="4"/>
      <c r="AC1040" s="4"/>
      <c r="AF1040" s="4"/>
    </row>
    <row r="1041">
      <c r="A1041" s="179"/>
      <c r="B1041" s="180"/>
      <c r="C1041" s="2"/>
      <c r="E1041" s="181"/>
      <c r="F1041" s="181"/>
      <c r="G1041" s="2"/>
      <c r="K1041" s="2"/>
      <c r="Z1041" s="4"/>
      <c r="AC1041" s="4"/>
      <c r="AF1041" s="4"/>
    </row>
    <row r="1042">
      <c r="A1042" s="179"/>
      <c r="B1042" s="180"/>
      <c r="C1042" s="2"/>
      <c r="E1042" s="181"/>
      <c r="F1042" s="181"/>
      <c r="G1042" s="2"/>
      <c r="K1042" s="2"/>
      <c r="Z1042" s="4"/>
      <c r="AC1042" s="4"/>
      <c r="AF1042" s="4"/>
    </row>
    <row r="1043">
      <c r="A1043" s="179"/>
      <c r="B1043" s="180"/>
      <c r="C1043" s="2"/>
      <c r="E1043" s="181"/>
      <c r="F1043" s="181"/>
      <c r="G1043" s="2"/>
      <c r="K1043" s="2"/>
      <c r="Z1043" s="4"/>
      <c r="AC1043" s="4"/>
      <c r="AF1043" s="4"/>
    </row>
    <row r="1044">
      <c r="A1044" s="179"/>
      <c r="B1044" s="180"/>
      <c r="C1044" s="2"/>
      <c r="E1044" s="181"/>
      <c r="F1044" s="181"/>
      <c r="G1044" s="2"/>
      <c r="K1044" s="2"/>
      <c r="Z1044" s="4"/>
      <c r="AC1044" s="4"/>
      <c r="AF1044" s="4"/>
    </row>
    <row r="1045">
      <c r="A1045" s="179"/>
      <c r="B1045" s="180"/>
      <c r="C1045" s="2"/>
      <c r="E1045" s="181"/>
      <c r="F1045" s="181"/>
      <c r="G1045" s="2"/>
      <c r="K1045" s="2"/>
      <c r="Z1045" s="4"/>
      <c r="AC1045" s="4"/>
      <c r="AF1045" s="4"/>
    </row>
    <row r="1046">
      <c r="A1046" s="179"/>
      <c r="B1046" s="180"/>
      <c r="C1046" s="2"/>
      <c r="E1046" s="181"/>
      <c r="F1046" s="181"/>
      <c r="G1046" s="2"/>
      <c r="K1046" s="2"/>
      <c r="Z1046" s="4"/>
      <c r="AC1046" s="4"/>
      <c r="AF1046" s="4"/>
    </row>
    <row r="1047">
      <c r="A1047" s="179"/>
      <c r="B1047" s="180"/>
      <c r="C1047" s="2"/>
      <c r="E1047" s="181"/>
      <c r="F1047" s="181"/>
      <c r="G1047" s="2"/>
      <c r="K1047" s="2"/>
      <c r="Z1047" s="4"/>
      <c r="AC1047" s="4"/>
      <c r="AF1047" s="4"/>
    </row>
    <row r="1048">
      <c r="A1048" s="179"/>
      <c r="B1048" s="180"/>
      <c r="C1048" s="2"/>
      <c r="E1048" s="181"/>
      <c r="F1048" s="181"/>
      <c r="G1048" s="2"/>
      <c r="K1048" s="2"/>
      <c r="Z1048" s="4"/>
      <c r="AC1048" s="4"/>
      <c r="AF1048" s="4"/>
    </row>
    <row r="1049">
      <c r="A1049" s="179"/>
      <c r="B1049" s="180"/>
      <c r="C1049" s="2"/>
      <c r="E1049" s="181"/>
      <c r="F1049" s="181"/>
      <c r="G1049" s="2"/>
      <c r="K1049" s="2"/>
      <c r="Z1049" s="4"/>
      <c r="AC1049" s="4"/>
      <c r="AF1049" s="4"/>
    </row>
    <row r="1050">
      <c r="A1050" s="179"/>
      <c r="B1050" s="180"/>
      <c r="C1050" s="2"/>
      <c r="E1050" s="181"/>
      <c r="F1050" s="181"/>
      <c r="G1050" s="2"/>
      <c r="K1050" s="2"/>
      <c r="Z1050" s="4"/>
      <c r="AC1050" s="4"/>
      <c r="AF1050" s="4"/>
    </row>
    <row r="1051">
      <c r="A1051" s="179"/>
      <c r="B1051" s="180"/>
      <c r="C1051" s="2"/>
      <c r="E1051" s="181"/>
      <c r="F1051" s="181"/>
      <c r="G1051" s="2"/>
      <c r="K1051" s="2"/>
      <c r="Z1051" s="4"/>
      <c r="AC1051" s="4"/>
      <c r="AF1051" s="4"/>
    </row>
    <row r="1052">
      <c r="A1052" s="179"/>
      <c r="B1052" s="180"/>
      <c r="C1052" s="2"/>
      <c r="E1052" s="181"/>
      <c r="F1052" s="181"/>
      <c r="G1052" s="2"/>
      <c r="K1052" s="2"/>
      <c r="Z1052" s="4"/>
      <c r="AC1052" s="4"/>
      <c r="AF1052" s="4"/>
    </row>
    <row r="1053">
      <c r="A1053" s="179"/>
      <c r="B1053" s="180"/>
      <c r="C1053" s="2"/>
      <c r="E1053" s="181"/>
      <c r="F1053" s="181"/>
      <c r="G1053" s="2"/>
      <c r="K1053" s="2"/>
      <c r="Z1053" s="4"/>
      <c r="AC1053" s="4"/>
      <c r="AF1053" s="4"/>
    </row>
    <row r="1054">
      <c r="A1054" s="179"/>
      <c r="B1054" s="180"/>
      <c r="C1054" s="2"/>
      <c r="E1054" s="181"/>
      <c r="F1054" s="181"/>
      <c r="G1054" s="2"/>
      <c r="K1054" s="2"/>
      <c r="Z1054" s="4"/>
      <c r="AC1054" s="4"/>
      <c r="AF1054" s="4"/>
    </row>
    <row r="1055">
      <c r="A1055" s="179"/>
      <c r="B1055" s="180"/>
      <c r="C1055" s="2"/>
      <c r="E1055" s="181"/>
      <c r="F1055" s="181"/>
      <c r="G1055" s="2"/>
      <c r="K1055" s="2"/>
      <c r="Z1055" s="4"/>
      <c r="AC1055" s="4"/>
      <c r="AF1055" s="4"/>
    </row>
    <row r="1056">
      <c r="A1056" s="179"/>
      <c r="B1056" s="180"/>
      <c r="C1056" s="2"/>
      <c r="E1056" s="181"/>
      <c r="F1056" s="181"/>
      <c r="G1056" s="2"/>
      <c r="K1056" s="2"/>
      <c r="Z1056" s="4"/>
      <c r="AC1056" s="4"/>
      <c r="AF1056" s="4"/>
    </row>
    <row r="1057">
      <c r="A1057" s="179"/>
      <c r="B1057" s="180"/>
      <c r="C1057" s="2"/>
      <c r="E1057" s="181"/>
      <c r="F1057" s="181"/>
      <c r="G1057" s="2"/>
      <c r="K1057" s="2"/>
      <c r="Z1057" s="4"/>
      <c r="AC1057" s="4"/>
      <c r="AF1057" s="4"/>
    </row>
    <row r="1058">
      <c r="A1058" s="179"/>
      <c r="B1058" s="180"/>
      <c r="C1058" s="2"/>
      <c r="E1058" s="181"/>
      <c r="F1058" s="181"/>
      <c r="G1058" s="2"/>
      <c r="K1058" s="2"/>
      <c r="Z1058" s="4"/>
      <c r="AC1058" s="4"/>
      <c r="AF1058" s="4"/>
    </row>
    <row r="1059">
      <c r="A1059" s="179"/>
      <c r="B1059" s="180"/>
      <c r="C1059" s="2"/>
      <c r="E1059" s="181"/>
      <c r="F1059" s="181"/>
      <c r="G1059" s="2"/>
      <c r="K1059" s="2"/>
      <c r="Z1059" s="4"/>
      <c r="AC1059" s="4"/>
      <c r="AF1059" s="4"/>
    </row>
    <row r="1060">
      <c r="A1060" s="179"/>
      <c r="B1060" s="180"/>
      <c r="C1060" s="2"/>
      <c r="E1060" s="181"/>
      <c r="F1060" s="181"/>
      <c r="G1060" s="2"/>
      <c r="K1060" s="2"/>
      <c r="Z1060" s="4"/>
      <c r="AC1060" s="4"/>
      <c r="AF1060" s="4"/>
    </row>
    <row r="1061">
      <c r="A1061" s="179"/>
      <c r="B1061" s="180"/>
      <c r="C1061" s="2"/>
      <c r="E1061" s="181"/>
      <c r="F1061" s="181"/>
      <c r="G1061" s="2"/>
      <c r="K1061" s="2"/>
      <c r="Z1061" s="4"/>
      <c r="AC1061" s="4"/>
      <c r="AF1061" s="4"/>
    </row>
    <row r="1062">
      <c r="A1062" s="179"/>
      <c r="B1062" s="180"/>
      <c r="C1062" s="2"/>
      <c r="E1062" s="181"/>
      <c r="F1062" s="181"/>
      <c r="G1062" s="2"/>
      <c r="K1062" s="2"/>
      <c r="Z1062" s="4"/>
      <c r="AC1062" s="4"/>
      <c r="AF1062" s="4"/>
    </row>
    <row r="1063">
      <c r="A1063" s="179"/>
      <c r="B1063" s="180"/>
      <c r="C1063" s="2"/>
      <c r="E1063" s="181"/>
      <c r="F1063" s="181"/>
      <c r="G1063" s="2"/>
      <c r="K1063" s="2"/>
      <c r="Z1063" s="4"/>
      <c r="AC1063" s="4"/>
      <c r="AF1063" s="4"/>
    </row>
    <row r="1064">
      <c r="A1064" s="179"/>
      <c r="B1064" s="180"/>
      <c r="C1064" s="2"/>
      <c r="E1064" s="181"/>
      <c r="F1064" s="181"/>
      <c r="G1064" s="2"/>
      <c r="K1064" s="2"/>
      <c r="Z1064" s="4"/>
      <c r="AC1064" s="4"/>
      <c r="AF1064" s="4"/>
    </row>
    <row r="1065">
      <c r="A1065" s="179"/>
      <c r="B1065" s="180"/>
      <c r="C1065" s="2"/>
      <c r="E1065" s="181"/>
      <c r="F1065" s="181"/>
      <c r="G1065" s="2"/>
      <c r="K1065" s="2"/>
      <c r="Z1065" s="4"/>
      <c r="AC1065" s="4"/>
      <c r="AF1065" s="4"/>
    </row>
    <row r="1066">
      <c r="A1066" s="179"/>
      <c r="B1066" s="180"/>
      <c r="C1066" s="2"/>
      <c r="E1066" s="181"/>
      <c r="F1066" s="181"/>
      <c r="G1066" s="2"/>
      <c r="K1066" s="2"/>
      <c r="Z1066" s="4"/>
      <c r="AC1066" s="4"/>
      <c r="AF1066" s="4"/>
    </row>
    <row r="1067">
      <c r="A1067" s="179"/>
      <c r="B1067" s="180"/>
      <c r="C1067" s="2"/>
      <c r="E1067" s="181"/>
      <c r="F1067" s="181"/>
      <c r="G1067" s="2"/>
      <c r="K1067" s="2"/>
      <c r="Z1067" s="4"/>
      <c r="AC1067" s="4"/>
      <c r="AF1067" s="4"/>
    </row>
    <row r="1068">
      <c r="A1068" s="179"/>
      <c r="B1068" s="180"/>
      <c r="C1068" s="2"/>
      <c r="E1068" s="181"/>
      <c r="F1068" s="181"/>
      <c r="G1068" s="2"/>
      <c r="K1068" s="2"/>
      <c r="Z1068" s="4"/>
      <c r="AC1068" s="4"/>
      <c r="AF1068" s="4"/>
    </row>
    <row r="1069">
      <c r="A1069" s="179"/>
      <c r="B1069" s="180"/>
      <c r="C1069" s="2"/>
      <c r="E1069" s="181"/>
      <c r="F1069" s="181"/>
      <c r="G1069" s="2"/>
      <c r="K1069" s="2"/>
      <c r="Z1069" s="4"/>
      <c r="AC1069" s="4"/>
      <c r="AF1069" s="4"/>
    </row>
    <row r="1070">
      <c r="A1070" s="179"/>
      <c r="B1070" s="180"/>
      <c r="C1070" s="2"/>
      <c r="E1070" s="181"/>
      <c r="F1070" s="181"/>
      <c r="G1070" s="2"/>
      <c r="K1070" s="2"/>
      <c r="Z1070" s="4"/>
      <c r="AC1070" s="4"/>
      <c r="AF1070" s="4"/>
    </row>
    <row r="1071">
      <c r="A1071" s="179"/>
      <c r="B1071" s="180"/>
      <c r="C1071" s="2"/>
      <c r="E1071" s="181"/>
      <c r="F1071" s="181"/>
      <c r="G1071" s="2"/>
      <c r="K1071" s="2"/>
      <c r="Z1071" s="4"/>
      <c r="AC1071" s="4"/>
      <c r="AF1071" s="4"/>
    </row>
    <row r="1072">
      <c r="A1072" s="179"/>
      <c r="B1072" s="180"/>
      <c r="C1072" s="2"/>
      <c r="E1072" s="181"/>
      <c r="F1072" s="181"/>
      <c r="G1072" s="2"/>
      <c r="K1072" s="2"/>
      <c r="Z1072" s="4"/>
      <c r="AC1072" s="4"/>
      <c r="AF1072" s="4"/>
    </row>
    <row r="1073">
      <c r="A1073" s="179"/>
      <c r="B1073" s="180"/>
      <c r="C1073" s="2"/>
      <c r="E1073" s="181"/>
      <c r="F1073" s="181"/>
      <c r="G1073" s="2"/>
      <c r="K1073" s="2"/>
      <c r="Z1073" s="4"/>
      <c r="AC1073" s="4"/>
      <c r="AF1073" s="4"/>
    </row>
    <row r="1074">
      <c r="A1074" s="179"/>
      <c r="B1074" s="180"/>
      <c r="C1074" s="2"/>
      <c r="E1074" s="181"/>
      <c r="F1074" s="181"/>
      <c r="G1074" s="2"/>
      <c r="K1074" s="2"/>
      <c r="Z1074" s="4"/>
      <c r="AC1074" s="4"/>
      <c r="AF1074" s="4"/>
    </row>
    <row r="1075">
      <c r="A1075" s="179"/>
      <c r="B1075" s="180"/>
      <c r="C1075" s="2"/>
      <c r="E1075" s="181"/>
      <c r="F1075" s="181"/>
      <c r="G1075" s="2"/>
      <c r="K1075" s="2"/>
      <c r="Z1075" s="4"/>
      <c r="AC1075" s="4"/>
      <c r="AF1075" s="4"/>
    </row>
    <row r="1076">
      <c r="A1076" s="179"/>
      <c r="B1076" s="180"/>
      <c r="C1076" s="2"/>
      <c r="E1076" s="181"/>
      <c r="F1076" s="181"/>
      <c r="G1076" s="2"/>
      <c r="K1076" s="2"/>
      <c r="Z1076" s="4"/>
      <c r="AC1076" s="4"/>
      <c r="AF1076" s="4"/>
    </row>
    <row r="1077">
      <c r="A1077" s="179"/>
      <c r="B1077" s="180"/>
      <c r="C1077" s="2"/>
      <c r="E1077" s="181"/>
      <c r="F1077" s="181"/>
      <c r="G1077" s="2"/>
      <c r="K1077" s="2"/>
      <c r="Z1077" s="4"/>
      <c r="AC1077" s="4"/>
      <c r="AF1077" s="4"/>
    </row>
    <row r="1078">
      <c r="A1078" s="179"/>
      <c r="B1078" s="180"/>
      <c r="C1078" s="2"/>
      <c r="E1078" s="181"/>
      <c r="F1078" s="181"/>
      <c r="G1078" s="2"/>
      <c r="K1078" s="2"/>
      <c r="Z1078" s="4"/>
      <c r="AC1078" s="4"/>
      <c r="AF1078" s="4"/>
    </row>
    <row r="1079">
      <c r="A1079" s="179"/>
      <c r="B1079" s="180"/>
      <c r="C1079" s="2"/>
      <c r="E1079" s="181"/>
      <c r="F1079" s="181"/>
      <c r="G1079" s="2"/>
      <c r="K1079" s="2"/>
      <c r="Z1079" s="4"/>
      <c r="AC1079" s="4"/>
      <c r="AF1079" s="4"/>
    </row>
    <row r="1080">
      <c r="A1080" s="179"/>
      <c r="B1080" s="180"/>
      <c r="C1080" s="2"/>
      <c r="E1080" s="181"/>
      <c r="F1080" s="181"/>
      <c r="G1080" s="2"/>
      <c r="K1080" s="2"/>
      <c r="Z1080" s="4"/>
      <c r="AC1080" s="4"/>
      <c r="AF1080" s="4"/>
    </row>
    <row r="1081">
      <c r="A1081" s="179"/>
      <c r="B1081" s="180"/>
      <c r="C1081" s="2"/>
      <c r="E1081" s="181"/>
      <c r="F1081" s="181"/>
      <c r="G1081" s="2"/>
      <c r="K1081" s="2"/>
      <c r="Z1081" s="4"/>
      <c r="AC1081" s="4"/>
      <c r="AF1081" s="4"/>
    </row>
    <row r="1082">
      <c r="A1082" s="179"/>
      <c r="B1082" s="180"/>
      <c r="C1082" s="2"/>
      <c r="E1082" s="181"/>
      <c r="F1082" s="181"/>
      <c r="G1082" s="2"/>
      <c r="K1082" s="2"/>
      <c r="Z1082" s="4"/>
      <c r="AC1082" s="4"/>
      <c r="AF1082" s="4"/>
    </row>
    <row r="1083">
      <c r="A1083" s="179"/>
      <c r="B1083" s="180"/>
      <c r="C1083" s="2"/>
      <c r="E1083" s="181"/>
      <c r="F1083" s="181"/>
      <c r="G1083" s="2"/>
      <c r="K1083" s="2"/>
      <c r="Z1083" s="4"/>
      <c r="AC1083" s="4"/>
      <c r="AF1083" s="4"/>
    </row>
    <row r="1084">
      <c r="A1084" s="179"/>
      <c r="B1084" s="180"/>
      <c r="C1084" s="2"/>
      <c r="E1084" s="181"/>
      <c r="F1084" s="181"/>
      <c r="G1084" s="2"/>
      <c r="K1084" s="2"/>
      <c r="Z1084" s="4"/>
      <c r="AC1084" s="4"/>
      <c r="AF1084" s="4"/>
    </row>
    <row r="1085">
      <c r="A1085" s="179"/>
      <c r="B1085" s="180"/>
      <c r="C1085" s="2"/>
      <c r="E1085" s="181"/>
      <c r="F1085" s="181"/>
      <c r="G1085" s="2"/>
      <c r="K1085" s="2"/>
      <c r="Z1085" s="4"/>
      <c r="AC1085" s="4"/>
      <c r="AF1085" s="4"/>
    </row>
    <row r="1086">
      <c r="A1086" s="179"/>
      <c r="B1086" s="180"/>
      <c r="C1086" s="2"/>
      <c r="E1086" s="181"/>
      <c r="F1086" s="181"/>
      <c r="G1086" s="2"/>
      <c r="K1086" s="2"/>
      <c r="Z1086" s="4"/>
      <c r="AC1086" s="4"/>
      <c r="AF1086" s="4"/>
    </row>
    <row r="1087">
      <c r="A1087" s="179"/>
      <c r="B1087" s="180"/>
      <c r="C1087" s="2"/>
      <c r="E1087" s="181"/>
      <c r="F1087" s="181"/>
      <c r="G1087" s="2"/>
      <c r="K1087" s="2"/>
      <c r="Z1087" s="4"/>
      <c r="AC1087" s="4"/>
      <c r="AF1087" s="4"/>
    </row>
    <row r="1088">
      <c r="A1088" s="179"/>
      <c r="B1088" s="180"/>
      <c r="C1088" s="2"/>
      <c r="E1088" s="181"/>
      <c r="F1088" s="181"/>
      <c r="G1088" s="2"/>
      <c r="K1088" s="2"/>
      <c r="Z1088" s="4"/>
      <c r="AC1088" s="4"/>
      <c r="AF1088" s="4"/>
    </row>
    <row r="1089">
      <c r="A1089" s="179"/>
      <c r="B1089" s="180"/>
      <c r="C1089" s="2"/>
      <c r="E1089" s="181"/>
      <c r="F1089" s="181"/>
      <c r="G1089" s="2"/>
      <c r="K1089" s="2"/>
      <c r="Z1089" s="4"/>
      <c r="AC1089" s="4"/>
      <c r="AF1089" s="4"/>
    </row>
    <row r="1090">
      <c r="A1090" s="179"/>
      <c r="B1090" s="180"/>
      <c r="C1090" s="2"/>
      <c r="E1090" s="181"/>
      <c r="F1090" s="181"/>
      <c r="G1090" s="2"/>
      <c r="K1090" s="2"/>
      <c r="Z1090" s="4"/>
      <c r="AC1090" s="4"/>
      <c r="AF1090" s="4"/>
    </row>
    <row r="1091">
      <c r="A1091" s="179"/>
      <c r="B1091" s="180"/>
      <c r="C1091" s="2"/>
      <c r="E1091" s="181"/>
      <c r="F1091" s="181"/>
      <c r="G1091" s="2"/>
      <c r="K1091" s="2"/>
      <c r="Z1091" s="4"/>
      <c r="AC1091" s="4"/>
      <c r="AF1091" s="4"/>
    </row>
    <row r="1092">
      <c r="A1092" s="179"/>
      <c r="B1092" s="180"/>
      <c r="C1092" s="2"/>
      <c r="E1092" s="181"/>
      <c r="F1092" s="181"/>
      <c r="G1092" s="2"/>
      <c r="K1092" s="2"/>
      <c r="Z1092" s="4"/>
      <c r="AC1092" s="4"/>
      <c r="AF1092" s="4"/>
    </row>
    <row r="1093">
      <c r="A1093" s="179"/>
      <c r="B1093" s="180"/>
      <c r="C1093" s="2"/>
      <c r="E1093" s="181"/>
      <c r="F1093" s="181"/>
      <c r="G1093" s="2"/>
      <c r="K1093" s="2"/>
      <c r="Z1093" s="4"/>
      <c r="AC1093" s="4"/>
      <c r="AF1093" s="4"/>
    </row>
    <row r="1094">
      <c r="A1094" s="179"/>
      <c r="B1094" s="180"/>
      <c r="C1094" s="2"/>
      <c r="E1094" s="181"/>
      <c r="F1094" s="181"/>
      <c r="G1094" s="2"/>
      <c r="K1094" s="2"/>
      <c r="Z1094" s="4"/>
      <c r="AC1094" s="4"/>
      <c r="AF1094" s="4"/>
    </row>
    <row r="1095">
      <c r="A1095" s="179"/>
      <c r="B1095" s="180"/>
      <c r="C1095" s="2"/>
      <c r="E1095" s="181"/>
      <c r="F1095" s="181"/>
      <c r="G1095" s="2"/>
      <c r="K1095" s="2"/>
      <c r="Z1095" s="4"/>
      <c r="AC1095" s="4"/>
      <c r="AF1095" s="4"/>
    </row>
    <row r="1096">
      <c r="A1096" s="226"/>
      <c r="B1096" s="227"/>
      <c r="C1096" s="2"/>
      <c r="E1096" s="181"/>
      <c r="F1096" s="181"/>
      <c r="G1096" s="2"/>
      <c r="K1096" s="2"/>
      <c r="Z1096" s="4"/>
      <c r="AC1096" s="4"/>
      <c r="AF1096" s="4"/>
    </row>
    <row r="1097">
      <c r="A1097" s="226"/>
      <c r="B1097" s="227"/>
      <c r="C1097" s="2"/>
      <c r="E1097" s="181"/>
      <c r="F1097" s="181"/>
      <c r="G1097" s="2"/>
      <c r="K1097" s="2"/>
      <c r="Z1097" s="4"/>
      <c r="AC1097" s="4"/>
      <c r="AF1097" s="4"/>
    </row>
    <row r="1098">
      <c r="A1098" s="226"/>
      <c r="B1098" s="227"/>
      <c r="C1098" s="2"/>
      <c r="E1098" s="181"/>
      <c r="F1098" s="181"/>
      <c r="G1098" s="2"/>
      <c r="K1098" s="2"/>
      <c r="Z1098" s="4"/>
      <c r="AC1098" s="4"/>
      <c r="AF1098" s="4"/>
    </row>
    <row r="1099">
      <c r="A1099" s="226"/>
      <c r="B1099" s="227"/>
      <c r="C1099" s="2"/>
      <c r="E1099" s="181"/>
      <c r="F1099" s="181"/>
      <c r="G1099" s="2"/>
      <c r="K1099" s="2"/>
      <c r="Z1099" s="4"/>
      <c r="AC1099" s="4"/>
      <c r="AF1099" s="4"/>
    </row>
  </sheetData>
  <mergeCells count="68">
    <mergeCell ref="A108:B108"/>
    <mergeCell ref="A109:B109"/>
    <mergeCell ref="A110:B110"/>
    <mergeCell ref="A115:B115"/>
    <mergeCell ref="A116:B116"/>
    <mergeCell ref="A118:B118"/>
    <mergeCell ref="A48:B48"/>
    <mergeCell ref="A54:B54"/>
    <mergeCell ref="A58:B58"/>
    <mergeCell ref="A61:B61"/>
    <mergeCell ref="A78:B78"/>
    <mergeCell ref="A86:B86"/>
    <mergeCell ref="A107:B107"/>
    <mergeCell ref="I2:J2"/>
    <mergeCell ref="I3:J3"/>
    <mergeCell ref="M3:N3"/>
    <mergeCell ref="Q3:R3"/>
    <mergeCell ref="U3:V3"/>
    <mergeCell ref="Y3:Z3"/>
    <mergeCell ref="AB3:AC3"/>
    <mergeCell ref="AE3:AF3"/>
    <mergeCell ref="A1:B1"/>
    <mergeCell ref="E1:F1"/>
    <mergeCell ref="I1:J1"/>
    <mergeCell ref="A2:B2"/>
    <mergeCell ref="E2:F2"/>
    <mergeCell ref="E3:F3"/>
    <mergeCell ref="E6:F6"/>
    <mergeCell ref="E41:F41"/>
    <mergeCell ref="E47:F47"/>
    <mergeCell ref="E53:F53"/>
    <mergeCell ref="E57:F57"/>
    <mergeCell ref="E63:F63"/>
    <mergeCell ref="E81:F81"/>
    <mergeCell ref="I5:J5"/>
    <mergeCell ref="I6:J6"/>
    <mergeCell ref="I10:J10"/>
    <mergeCell ref="I12:J12"/>
    <mergeCell ref="E13:F13"/>
    <mergeCell ref="E22:F22"/>
    <mergeCell ref="E28:F28"/>
    <mergeCell ref="A3:B3"/>
    <mergeCell ref="A6:B6"/>
    <mergeCell ref="A13:B13"/>
    <mergeCell ref="A16:B16"/>
    <mergeCell ref="A27:B27"/>
    <mergeCell ref="A33:B33"/>
    <mergeCell ref="A45:B45"/>
    <mergeCell ref="I22:J22"/>
    <mergeCell ref="I31:J31"/>
    <mergeCell ref="I40:J40"/>
    <mergeCell ref="I59:J59"/>
    <mergeCell ref="I72:J72"/>
    <mergeCell ref="I83:J83"/>
    <mergeCell ref="I90:J90"/>
    <mergeCell ref="E114:F114"/>
    <mergeCell ref="I114:J114"/>
    <mergeCell ref="E119:F119"/>
    <mergeCell ref="E120:F120"/>
    <mergeCell ref="I121:J121"/>
    <mergeCell ref="E122:F122"/>
    <mergeCell ref="I98:J98"/>
    <mergeCell ref="I103:J103"/>
    <mergeCell ref="I106:J106"/>
    <mergeCell ref="I109:J109"/>
    <mergeCell ref="E111:F111"/>
    <mergeCell ref="E112:F112"/>
    <mergeCell ref="E113:F11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26.0"/>
    <col customWidth="1" min="3" max="3" width="9.38"/>
    <col customWidth="1" min="4" max="4" width="10.75"/>
    <col customWidth="1" min="5" max="5" width="6.0"/>
    <col customWidth="1" min="6" max="6" width="24.75"/>
    <col customWidth="1" min="7" max="7" width="9.38"/>
    <col customWidth="1" min="9" max="9" width="6.75"/>
    <col customWidth="1" min="10" max="10" width="39.5"/>
    <col customWidth="1" min="11" max="11" width="9.38"/>
    <col customWidth="1" min="15" max="15" width="6.5"/>
    <col customWidth="1" min="16" max="16" width="6.88"/>
    <col customWidth="1" min="17" max="17" width="7.0"/>
    <col customWidth="1" min="19" max="19" width="6.5"/>
    <col customWidth="1" min="20" max="20" width="6.88"/>
    <col customWidth="1" min="23" max="23" width="6.5"/>
    <col customWidth="1" min="24" max="24" width="6.88"/>
  </cols>
  <sheetData>
    <row r="1">
      <c r="A1" s="1"/>
      <c r="C1" s="2"/>
      <c r="E1" s="3"/>
      <c r="G1" s="2"/>
      <c r="I1" s="1"/>
      <c r="K1" s="2"/>
      <c r="AA1" s="4"/>
      <c r="AD1" s="4"/>
      <c r="AG1" s="4"/>
    </row>
    <row r="2">
      <c r="A2" s="5"/>
      <c r="C2" s="6"/>
      <c r="E2" s="7"/>
      <c r="G2" s="8"/>
      <c r="I2" s="9"/>
      <c r="K2" s="8"/>
      <c r="AA2" s="4"/>
      <c r="AD2" s="4"/>
      <c r="AG2" s="4"/>
    </row>
    <row r="3">
      <c r="A3" s="10" t="s">
        <v>0</v>
      </c>
      <c r="C3" s="6"/>
      <c r="E3" s="11" t="s">
        <v>1</v>
      </c>
      <c r="G3" s="6"/>
      <c r="I3" s="13" t="s">
        <v>2</v>
      </c>
      <c r="K3" s="6"/>
      <c r="N3" s="13" t="s">
        <v>2</v>
      </c>
      <c r="R3" s="14" t="s">
        <v>1</v>
      </c>
      <c r="V3" s="15" t="s">
        <v>0</v>
      </c>
      <c r="Z3" s="13" t="s">
        <v>2</v>
      </c>
      <c r="AC3" s="14" t="s">
        <v>1</v>
      </c>
      <c r="AF3" s="15" t="s">
        <v>0</v>
      </c>
    </row>
    <row r="4">
      <c r="A4" s="17"/>
      <c r="B4" s="19"/>
      <c r="C4" s="20" t="s">
        <v>3</v>
      </c>
      <c r="D4" s="21"/>
      <c r="E4" s="23"/>
      <c r="F4" s="23"/>
      <c r="G4" s="20" t="s">
        <v>3</v>
      </c>
      <c r="H4" s="21"/>
      <c r="I4" s="26"/>
      <c r="J4" s="26"/>
      <c r="K4" s="20" t="s">
        <v>3</v>
      </c>
      <c r="L4" s="21"/>
      <c r="M4" s="21"/>
      <c r="N4" s="21"/>
      <c r="O4" s="21"/>
      <c r="P4" s="21"/>
      <c r="Q4" s="21"/>
      <c r="R4" s="21"/>
      <c r="S4" s="21"/>
      <c r="T4" s="21"/>
      <c r="U4" s="21"/>
      <c r="V4" s="21"/>
      <c r="W4" s="21"/>
      <c r="X4" s="21"/>
      <c r="Y4" s="21"/>
      <c r="Z4" s="21" t="str">
        <f>IFERROR(__xludf.DUMMYFUNCTION("QUERY(N:O, ""select N, AVG(O) where N is not null group by N label AVG(O) 'Average Rating'"", 0)"),"")</f>
        <v/>
      </c>
      <c r="AA4" s="36" t="str">
        <f>IFERROR(__xludf.DUMMYFUNCTION("""COMPUTED_VALUE"""),"Average Rating")</f>
        <v>Average Rating</v>
      </c>
      <c r="AB4" s="21"/>
      <c r="AC4" s="21" t="str">
        <f>IFERROR(__xludf.DUMMYFUNCTION("QUERY(R:S, ""select R, AVG(S) where R is not null group by R label AVG(S) 'Average Rating'"", 0)"),"")</f>
        <v/>
      </c>
      <c r="AD4" s="36" t="str">
        <f>IFERROR(__xludf.DUMMYFUNCTION("""COMPUTED_VALUE"""),"Average Rating")</f>
        <v>Average Rating</v>
      </c>
      <c r="AE4" s="21"/>
      <c r="AF4" s="21" t="str">
        <f>IFERROR(__xludf.DUMMYFUNCTION("QUERY(V:W, ""select V, AVG(W) where V is not null group by V label AVG(W) 'Average Rating'"", 0)"),"")</f>
        <v/>
      </c>
      <c r="AG4" s="36" t="str">
        <f>IFERROR(__xludf.DUMMYFUNCTION("""COMPUTED_VALUE"""),"Average Rating")</f>
        <v>Average Rating</v>
      </c>
      <c r="AH4" s="21"/>
      <c r="AI4" s="21"/>
      <c r="AJ4" s="21"/>
      <c r="AK4" s="21"/>
      <c r="AL4" s="21"/>
      <c r="AM4" s="21"/>
    </row>
    <row r="5">
      <c r="A5" s="43"/>
      <c r="B5" s="45" t="s">
        <v>10</v>
      </c>
      <c r="C5" s="4"/>
      <c r="E5" s="47"/>
      <c r="F5" s="48" t="s">
        <v>10</v>
      </c>
      <c r="G5" s="50"/>
      <c r="I5" s="53" t="s">
        <v>15</v>
      </c>
      <c r="J5" s="54"/>
      <c r="K5" s="55">
        <f>average(K6:K9)</f>
        <v>4.775192308</v>
      </c>
      <c r="N5" s="59" t="str">
        <f>IFERROR(__xludf.DUMMYFUNCTION("FILTER( {DATABASE!E2:E1099, DATABASE!AC2:AC1099, DATABASE!D2:D1099}, (DATABASE!D2:D1099 &gt;= DATE(2022,7,1)) * (DATABASE!D2:D1099 &lt;= DATE(2023,6,30)) )"),"EIG Metal Engravers")</f>
        <v>EIG Metal Engravers</v>
      </c>
      <c r="O5" s="4">
        <f>IFERROR(__xludf.DUMMYFUNCTION("""COMPUTED_VALUE"""),4.0)</f>
        <v>4</v>
      </c>
      <c r="P5" s="60">
        <f>IFERROR(__xludf.DUMMYFUNCTION("""COMPUTED_VALUE"""),44746.0)</f>
        <v>44746</v>
      </c>
      <c r="R5" s="59" t="str">
        <f>IFERROR(__xludf.DUMMYFUNCTION("FILTER( {DATABASE!E2:E1099, DATABASE!AC2:AC1099, DATABASE!D2:D1099}, (DATABASE!D2:D1099 &gt;= DATE(2023,7,1)) * (DATABASE!D2:D1099 &lt;= DATE(2024,6,30)) )"),"Leonard Prints Inc.")</f>
        <v>Leonard Prints Inc.</v>
      </c>
      <c r="S5" s="4">
        <f>IFERROR(__xludf.DUMMYFUNCTION("""COMPUTED_VALUE"""),4.833333333333333)</f>
        <v>4.833333333</v>
      </c>
      <c r="T5" s="60">
        <f>IFERROR(__xludf.DUMMYFUNCTION("""COMPUTED_VALUE"""),45110.0)</f>
        <v>45110</v>
      </c>
      <c r="V5" s="59" t="str">
        <f>IFERROR(__xludf.DUMMYFUNCTION("FILTER( {DATABASE!E2:E1099, DATABASE!AC2:AC1099, DATABASE!D2:D1099}, (DATABASE!D2:D1099 &gt;= DATE(2024,7,1)) * (DATABASE!D2:D1099 &lt;= DATE(2025,6,30)) )"),"Creative Juice Digital Printing")</f>
        <v>Creative Juice Digital Printing</v>
      </c>
      <c r="W5" s="4">
        <f>IFERROR(__xludf.DUMMYFUNCTION("""COMPUTED_VALUE"""),4.833333333333333)</f>
        <v>4.833333333</v>
      </c>
      <c r="X5" s="60">
        <f>IFERROR(__xludf.DUMMYFUNCTION("""COMPUTED_VALUE"""),45476.0)</f>
        <v>45476</v>
      </c>
      <c r="Z5" s="59" t="str">
        <f>IFERROR(__xludf.DUMMYFUNCTION("""COMPUTED_VALUE"""),"2022-2023")</f>
        <v>2022-2023</v>
      </c>
      <c r="AA5" s="4"/>
      <c r="AC5" s="59" t="str">
        <f>IFERROR(__xludf.DUMMYFUNCTION("""COMPUTED_VALUE"""),"2023-2024")</f>
        <v>2023-2024</v>
      </c>
      <c r="AD5" s="4"/>
      <c r="AF5" s="59" t="str">
        <f>IFERROR(__xludf.DUMMYFUNCTION("""COMPUTED_VALUE"""),"2024-2025")</f>
        <v>2024-2025</v>
      </c>
      <c r="AG5" s="4"/>
    </row>
    <row r="6">
      <c r="A6" s="71" t="s">
        <v>29</v>
      </c>
      <c r="B6" s="54"/>
      <c r="C6" s="55">
        <f>average(C7:C12)</f>
        <v>4.5</v>
      </c>
      <c r="E6" s="78" t="s">
        <v>29</v>
      </c>
      <c r="F6" s="54"/>
      <c r="G6" s="55">
        <f>average(G7:G12)</f>
        <v>4.83125</v>
      </c>
      <c r="I6" s="83" t="s">
        <v>33</v>
      </c>
      <c r="J6" s="85"/>
      <c r="K6" s="50"/>
      <c r="N6" s="59" t="str">
        <f>IFERROR(__xludf.DUMMYFUNCTION("""COMPUTED_VALUE"""),"Atlas Superflags")</f>
        <v>Atlas Superflags</v>
      </c>
      <c r="O6" s="4">
        <f>IFERROR(__xludf.DUMMYFUNCTION("""COMPUTED_VALUE"""),5.0)</f>
        <v>5</v>
      </c>
      <c r="P6" s="60">
        <f>IFERROR(__xludf.DUMMYFUNCTION("""COMPUTED_VALUE"""),44750.0)</f>
        <v>44750</v>
      </c>
      <c r="R6" s="59" t="str">
        <f>IFERROR(__xludf.DUMMYFUNCTION("""COMPUTED_VALUE"""),"Leonard Prints Inc.")</f>
        <v>Leonard Prints Inc.</v>
      </c>
      <c r="S6" s="4">
        <f>IFERROR(__xludf.DUMMYFUNCTION("""COMPUTED_VALUE"""),4.833333333333333)</f>
        <v>4.833333333</v>
      </c>
      <c r="T6" s="60">
        <f>IFERROR(__xludf.DUMMYFUNCTION("""COMPUTED_VALUE"""),45110.0)</f>
        <v>45110</v>
      </c>
      <c r="V6" s="59" t="str">
        <f>IFERROR(__xludf.DUMMYFUNCTION("""COMPUTED_VALUE"""),"Arkin Hardware")</f>
        <v>Arkin Hardware</v>
      </c>
      <c r="W6" s="4">
        <f>IFERROR(__xludf.DUMMYFUNCTION("""COMPUTED_VALUE"""),4.625)</f>
        <v>4.625</v>
      </c>
      <c r="X6" s="60">
        <f>IFERROR(__xludf.DUMMYFUNCTION("""COMPUTED_VALUE"""),45477.0)</f>
        <v>45477</v>
      </c>
      <c r="Z6" s="59" t="str">
        <f>IFERROR(__xludf.DUMMYFUNCTION("""COMPUTED_VALUE"""),"Abenson Ventures, Inc.")</f>
        <v>Abenson Ventures, Inc.</v>
      </c>
      <c r="AA6" s="4">
        <f>IFERROR(__xludf.DUMMYFUNCTION("""COMPUTED_VALUE"""),4.916666666666666)</f>
        <v>4.916666667</v>
      </c>
      <c r="AC6" s="59" t="str">
        <f>IFERROR(__xludf.DUMMYFUNCTION("""COMPUTED_VALUE"""),"ADBM Lightning Equipment Trading")</f>
        <v>ADBM Lightning Equipment Trading</v>
      </c>
      <c r="AD6" s="4">
        <f>IFERROR(__xludf.DUMMYFUNCTION("""COMPUTED_VALUE"""),5.0)</f>
        <v>5</v>
      </c>
      <c r="AF6" s="59" t="str">
        <f>IFERROR(__xludf.DUMMYFUNCTION("""COMPUTED_VALUE"""),"4David's Book Trading")</f>
        <v>4David's Book Trading</v>
      </c>
      <c r="AG6" s="4">
        <f>IFERROR(__xludf.DUMMYFUNCTION("""COMPUTED_VALUE"""),4.803333333333333)</f>
        <v>4.803333333</v>
      </c>
    </row>
    <row r="7">
      <c r="A7" s="95">
        <v>1.0</v>
      </c>
      <c r="B7" s="97" t="s">
        <v>48</v>
      </c>
      <c r="C7" s="50"/>
      <c r="E7" s="98">
        <v>1.0</v>
      </c>
      <c r="F7" s="98" t="s">
        <v>48</v>
      </c>
      <c r="G7" s="4">
        <v>4.833333333333333</v>
      </c>
      <c r="I7" s="101">
        <v>1.0</v>
      </c>
      <c r="J7" s="102" t="s">
        <v>51</v>
      </c>
      <c r="K7" s="4">
        <v>4.775192307692308</v>
      </c>
      <c r="N7" s="59" t="str">
        <f>IFERROR(__xludf.DUMMYFUNCTION("""COMPUTED_VALUE"""),"Atlas Superflags")</f>
        <v>Atlas Superflags</v>
      </c>
      <c r="O7" s="4">
        <f>IFERROR(__xludf.DUMMYFUNCTION("""COMPUTED_VALUE"""),4.066666666666666)</f>
        <v>4.066666667</v>
      </c>
      <c r="P7" s="60">
        <f>IFERROR(__xludf.DUMMYFUNCTION("""COMPUTED_VALUE"""),44750.0)</f>
        <v>44750</v>
      </c>
      <c r="R7" s="59" t="str">
        <f>IFERROR(__xludf.DUMMYFUNCTION("""COMPUTED_VALUE"""),"Net Ad IT Solutions")</f>
        <v>Net Ad IT Solutions</v>
      </c>
      <c r="S7" s="4">
        <f>IFERROR(__xludf.DUMMYFUNCTION("""COMPUTED_VALUE"""),4.733333333333333)</f>
        <v>4.733333333</v>
      </c>
      <c r="T7" s="60">
        <f>IFERROR(__xludf.DUMMYFUNCTION("""COMPUTED_VALUE"""),45127.0)</f>
        <v>45127</v>
      </c>
      <c r="V7" s="59" t="str">
        <f>IFERROR(__xludf.DUMMYFUNCTION("""COMPUTED_VALUE"""),"EIG Metal Engravers")</f>
        <v>EIG Metal Engravers</v>
      </c>
      <c r="W7" s="4">
        <f>IFERROR(__xludf.DUMMYFUNCTION("""COMPUTED_VALUE"""),5.0)</f>
        <v>5</v>
      </c>
      <c r="X7" s="60">
        <f>IFERROR(__xludf.DUMMYFUNCTION("""COMPUTED_VALUE"""),45478.0)</f>
        <v>45478</v>
      </c>
      <c r="Z7" s="59" t="str">
        <f>IFERROR(__xludf.DUMMYFUNCTION("""COMPUTED_VALUE"""),"Ahrcel's Gift Shop")</f>
        <v>Ahrcel's Gift Shop</v>
      </c>
      <c r="AA7" s="4">
        <f>IFERROR(__xludf.DUMMYFUNCTION("""COMPUTED_VALUE"""),5.0)</f>
        <v>5</v>
      </c>
      <c r="AC7" s="59" t="str">
        <f>IFERROR(__xludf.DUMMYFUNCTION("""COMPUTED_VALUE"""),"Abacus Book &amp; Card Corp.")</f>
        <v>Abacus Book &amp; Card Corp.</v>
      </c>
      <c r="AD7" s="4">
        <f>IFERROR(__xludf.DUMMYFUNCTION("""COMPUTED_VALUE"""),4.845897435897436)</f>
        <v>4.845897436</v>
      </c>
      <c r="AF7" s="59" t="str">
        <f>IFERROR(__xludf.DUMMYFUNCTION("""COMPUTED_VALUE"""),"888 Tile Phil Corp")</f>
        <v>888 Tile Phil Corp</v>
      </c>
      <c r="AG7" s="4">
        <f>IFERROR(__xludf.DUMMYFUNCTION("""COMPUTED_VALUE"""),4.416666666666667)</f>
        <v>4.416666667</v>
      </c>
    </row>
    <row r="8">
      <c r="A8" s="95">
        <v>2.0</v>
      </c>
      <c r="B8" s="97" t="s">
        <v>53</v>
      </c>
      <c r="C8" s="50">
        <v>4.5</v>
      </c>
      <c r="E8" s="98">
        <v>2.0</v>
      </c>
      <c r="F8" s="98" t="s">
        <v>53</v>
      </c>
      <c r="G8" s="4">
        <v>4.758333333333333</v>
      </c>
      <c r="I8" s="108">
        <v>2.0</v>
      </c>
      <c r="J8" s="111" t="s">
        <v>55</v>
      </c>
      <c r="K8" s="2"/>
      <c r="N8" s="59" t="str">
        <f>IFERROR(__xludf.DUMMYFUNCTION("""COMPUTED_VALUE"""),"Marguerita Maria Nina I. Kanapi")</f>
        <v>Marguerita Maria Nina I. Kanapi</v>
      </c>
      <c r="O8" s="4">
        <f>IFERROR(__xludf.DUMMYFUNCTION("""COMPUTED_VALUE"""),5.0)</f>
        <v>5</v>
      </c>
      <c r="P8" s="60">
        <f>IFERROR(__xludf.DUMMYFUNCTION("""COMPUTED_VALUE"""),44756.0)</f>
        <v>44756</v>
      </c>
      <c r="R8" s="59" t="str">
        <f>IFERROR(__xludf.DUMMYFUNCTION("""COMPUTED_VALUE"""),"Forefront Book Co., Inc.")</f>
        <v>Forefront Book Co., Inc.</v>
      </c>
      <c r="S8" s="4">
        <f>IFERROR(__xludf.DUMMYFUNCTION("""COMPUTED_VALUE"""),4.733333333333333)</f>
        <v>4.733333333</v>
      </c>
      <c r="T8" s="60">
        <f>IFERROR(__xludf.DUMMYFUNCTION("""COMPUTED_VALUE"""),45128.0)</f>
        <v>45128</v>
      </c>
      <c r="V8" s="59" t="str">
        <f>IFERROR(__xludf.DUMMYFUNCTION("""COMPUTED_VALUE"""),"Arkin Hardware")</f>
        <v>Arkin Hardware</v>
      </c>
      <c r="W8" s="4">
        <f>IFERROR(__xludf.DUMMYFUNCTION("""COMPUTED_VALUE"""),4.625)</f>
        <v>4.625</v>
      </c>
      <c r="X8" s="60">
        <f>IFERROR(__xludf.DUMMYFUNCTION("""COMPUTED_VALUE"""),45481.0)</f>
        <v>45481</v>
      </c>
      <c r="Z8" s="59" t="str">
        <f>IFERROR(__xludf.DUMMYFUNCTION("""COMPUTED_VALUE"""),"Alpha-Cored Technology Systems, Inc.")</f>
        <v>Alpha-Cored Technology Systems, Inc.</v>
      </c>
      <c r="AA8" s="4">
        <f>IFERROR(__xludf.DUMMYFUNCTION("""COMPUTED_VALUE"""),5.0)</f>
        <v>5</v>
      </c>
      <c r="AC8" s="59" t="str">
        <f>IFERROR(__xludf.DUMMYFUNCTION("""COMPUTED_VALUE"""),"Abenson Ventures, Inc.")</f>
        <v>Abenson Ventures, Inc.</v>
      </c>
      <c r="AD8" s="4">
        <f>IFERROR(__xludf.DUMMYFUNCTION("""COMPUTED_VALUE"""),4.608333333333333)</f>
        <v>4.608333333</v>
      </c>
      <c r="AF8" s="59" t="str">
        <f>IFERROR(__xludf.DUMMYFUNCTION("""COMPUTED_VALUE"""),"Abacus Book &amp; Card Corp.")</f>
        <v>Abacus Book &amp; Card Corp.</v>
      </c>
      <c r="AG8" s="4">
        <f>IFERROR(__xludf.DUMMYFUNCTION("""COMPUTED_VALUE"""),4.805555555555555)</f>
        <v>4.805555556</v>
      </c>
    </row>
    <row r="9">
      <c r="A9" s="95">
        <v>3.0</v>
      </c>
      <c r="B9" s="97" t="s">
        <v>61</v>
      </c>
      <c r="C9" s="50">
        <v>4.5</v>
      </c>
      <c r="E9" s="98">
        <v>3.0</v>
      </c>
      <c r="F9" s="98" t="s">
        <v>61</v>
      </c>
      <c r="G9" s="2"/>
      <c r="I9" s="108">
        <v>3.0</v>
      </c>
      <c r="J9" s="111" t="s">
        <v>63</v>
      </c>
      <c r="K9" s="2"/>
      <c r="N9" s="59" t="str">
        <f>IFERROR(__xludf.DUMMYFUNCTION("""COMPUTED_VALUE"""),"Hospeco Philippines, Inc.")</f>
        <v>Hospeco Philippines, Inc.</v>
      </c>
      <c r="O9" s="4">
        <f>IFERROR(__xludf.DUMMYFUNCTION("""COMPUTED_VALUE"""),4.533333333333333)</f>
        <v>4.533333333</v>
      </c>
      <c r="P9" s="60">
        <f>IFERROR(__xludf.DUMMYFUNCTION("""COMPUTED_VALUE"""),44757.0)</f>
        <v>44757</v>
      </c>
      <c r="R9" s="59" t="str">
        <f>IFERROR(__xludf.DUMMYFUNCTION("""COMPUTED_VALUE"""),"Contrade Integrated Depot")</f>
        <v>Contrade Integrated Depot</v>
      </c>
      <c r="S9" s="4">
        <f>IFERROR(__xludf.DUMMYFUNCTION("""COMPUTED_VALUE"""),4.680000000000001)</f>
        <v>4.68</v>
      </c>
      <c r="T9" s="60">
        <f>IFERROR(__xludf.DUMMYFUNCTION("""COMPUTED_VALUE"""),45131.0)</f>
        <v>45131</v>
      </c>
      <c r="V9" s="59" t="str">
        <f>IFERROR(__xludf.DUMMYFUNCTION("""COMPUTED_VALUE"""),"Abiva Publishing House, Inc.")</f>
        <v>Abiva Publishing House, Inc.</v>
      </c>
      <c r="W9" s="4">
        <f>IFERROR(__xludf.DUMMYFUNCTION("""COMPUTED_VALUE"""),4.833333333333333)</f>
        <v>4.833333333</v>
      </c>
      <c r="X9" s="60">
        <f>IFERROR(__xludf.DUMMYFUNCTION("""COMPUTED_VALUE"""),45484.0)</f>
        <v>45484</v>
      </c>
      <c r="Z9" s="59" t="str">
        <f>IFERROR(__xludf.DUMMYFUNCTION("""COMPUTED_VALUE"""),"Amalgamated Specialties Corporation")</f>
        <v>Amalgamated Specialties Corporation</v>
      </c>
      <c r="AA9" s="4">
        <f>IFERROR(__xludf.DUMMYFUNCTION("""COMPUTED_VALUE"""),4.333333333333333)</f>
        <v>4.333333333</v>
      </c>
      <c r="AC9" s="59" t="str">
        <f>IFERROR(__xludf.DUMMYFUNCTION("""COMPUTED_VALUE"""),"Ahrcel's Gift Shop")</f>
        <v>Ahrcel's Gift Shop</v>
      </c>
      <c r="AD9" s="4">
        <f>IFERROR(__xludf.DUMMYFUNCTION("""COMPUTED_VALUE"""),4.836111111111111)</f>
        <v>4.836111111</v>
      </c>
      <c r="AF9" s="59" t="str">
        <f>IFERROR(__xludf.DUMMYFUNCTION("""COMPUTED_VALUE"""),"Abenson Ventures, Inc.")</f>
        <v>Abenson Ventures, Inc.</v>
      </c>
      <c r="AG9" s="4">
        <f>IFERROR(__xludf.DUMMYFUNCTION("""COMPUTED_VALUE"""),4.8973958333333325)</f>
        <v>4.897395833</v>
      </c>
    </row>
    <row r="10">
      <c r="A10" s="95">
        <v>4.0</v>
      </c>
      <c r="B10" s="97" t="s">
        <v>72</v>
      </c>
      <c r="C10" s="2"/>
      <c r="E10" s="98">
        <v>4.0</v>
      </c>
      <c r="F10" s="98" t="s">
        <v>72</v>
      </c>
      <c r="G10" s="4">
        <v>4.733333333333333</v>
      </c>
      <c r="I10" s="83" t="s">
        <v>73</v>
      </c>
      <c r="J10" s="85"/>
      <c r="K10" s="55" t="str">
        <f>average(K11)</f>
        <v>#DIV/0!</v>
      </c>
      <c r="N10" s="59" t="str">
        <f>IFERROR(__xludf.DUMMYFUNCTION("""COMPUTED_VALUE"""),"Oray Copier Solutions")</f>
        <v>Oray Copier Solutions</v>
      </c>
      <c r="O10" s="4">
        <f>IFERROR(__xludf.DUMMYFUNCTION("""COMPUTED_VALUE"""),5.0)</f>
        <v>5</v>
      </c>
      <c r="P10" s="60">
        <f>IFERROR(__xludf.DUMMYFUNCTION("""COMPUTED_VALUE"""),44757.0)</f>
        <v>44757</v>
      </c>
      <c r="R10" s="59" t="str">
        <f>IFERROR(__xludf.DUMMYFUNCTION("""COMPUTED_VALUE"""),"Alpha-Cored Technology Systems, Inc.")</f>
        <v>Alpha-Cored Technology Systems, Inc.</v>
      </c>
      <c r="S10" s="4">
        <f>IFERROR(__xludf.DUMMYFUNCTION("""COMPUTED_VALUE"""),5.0)</f>
        <v>5</v>
      </c>
      <c r="T10" s="60">
        <f>IFERROR(__xludf.DUMMYFUNCTION("""COMPUTED_VALUE"""),45134.0)</f>
        <v>45134</v>
      </c>
      <c r="V10" s="59" t="str">
        <f>IFERROR(__xludf.DUMMYFUNCTION("""COMPUTED_VALUE"""),"Mostaco Printing")</f>
        <v>Mostaco Printing</v>
      </c>
      <c r="W10" s="4">
        <f>IFERROR(__xludf.DUMMYFUNCTION("""COMPUTED_VALUE"""),4.833333333333333)</f>
        <v>4.833333333</v>
      </c>
      <c r="X10" s="60">
        <f>IFERROR(__xludf.DUMMYFUNCTION("""COMPUTED_VALUE"""),45492.0)</f>
        <v>45492</v>
      </c>
      <c r="Z10" s="59" t="str">
        <f>IFERROR(__xludf.DUMMYFUNCTION("""COMPUTED_VALUE"""),"Amazon")</f>
        <v>Amazon</v>
      </c>
      <c r="AA10" s="4">
        <f>IFERROR(__xludf.DUMMYFUNCTION("""COMPUTED_VALUE"""),4.708)</f>
        <v>4.708</v>
      </c>
      <c r="AC10" s="59" t="str">
        <f>IFERROR(__xludf.DUMMYFUNCTION("""COMPUTED_VALUE"""),"Alpha Steel Office and Home Furnishing Company")</f>
        <v>Alpha Steel Office and Home Furnishing Company</v>
      </c>
      <c r="AD10" s="4">
        <f>IFERROR(__xludf.DUMMYFUNCTION("""COMPUTED_VALUE"""),5.0)</f>
        <v>5</v>
      </c>
      <c r="AF10" s="59" t="str">
        <f>IFERROR(__xludf.DUMMYFUNCTION("""COMPUTED_VALUE"""),"Abiva Publishing House, Inc.")</f>
        <v>Abiva Publishing House, Inc.</v>
      </c>
      <c r="AG10" s="4">
        <f>IFERROR(__xludf.DUMMYFUNCTION("""COMPUTED_VALUE"""),4.833333333333333)</f>
        <v>4.833333333</v>
      </c>
    </row>
    <row r="11">
      <c r="A11" s="95">
        <v>5.0</v>
      </c>
      <c r="B11" s="97" t="s">
        <v>81</v>
      </c>
      <c r="C11" s="125"/>
      <c r="E11" s="98">
        <v>5.0</v>
      </c>
      <c r="F11" s="98" t="s">
        <v>81</v>
      </c>
      <c r="G11" s="125"/>
      <c r="I11" s="101">
        <v>4.0</v>
      </c>
      <c r="J11" s="111" t="s">
        <v>82</v>
      </c>
      <c r="K11" s="125"/>
      <c r="N11" s="59" t="str">
        <f>IFERROR(__xludf.DUMMYFUNCTION("""COMPUTED_VALUE"""),"Amazon")</f>
        <v>Amazon</v>
      </c>
      <c r="O11" s="4">
        <f>IFERROR(__xludf.DUMMYFUNCTION("""COMPUTED_VALUE"""),4.3116666666666665)</f>
        <v>4.311666667</v>
      </c>
      <c r="P11" s="60">
        <f>IFERROR(__xludf.DUMMYFUNCTION("""COMPUTED_VALUE"""),44762.0)</f>
        <v>44762</v>
      </c>
      <c r="R11" s="59" t="str">
        <f>IFERROR(__xludf.DUMMYFUNCTION("""COMPUTED_VALUE"""),"Tropical Palms Fashion House, Inc.")</f>
        <v>Tropical Palms Fashion House, Inc.</v>
      </c>
      <c r="S11" s="4">
        <f>IFERROR(__xludf.DUMMYFUNCTION("""COMPUTED_VALUE"""),4.608333333333333)</f>
        <v>4.608333333</v>
      </c>
      <c r="T11" s="60">
        <f>IFERROR(__xludf.DUMMYFUNCTION("""COMPUTED_VALUE"""),45140.0)</f>
        <v>45140</v>
      </c>
      <c r="V11" s="59" t="str">
        <f>IFERROR(__xludf.DUMMYFUNCTION("""COMPUTED_VALUE"""),"CD Books International, Inc.")</f>
        <v>CD Books International, Inc.</v>
      </c>
      <c r="W11" s="4">
        <f>IFERROR(__xludf.DUMMYFUNCTION("""COMPUTED_VALUE"""),4.833333333333333)</f>
        <v>4.833333333</v>
      </c>
      <c r="X11" s="60">
        <f>IFERROR(__xludf.DUMMYFUNCTION("""COMPUTED_VALUE"""),45492.0)</f>
        <v>45492</v>
      </c>
      <c r="Z11" s="59" t="str">
        <f>IFERROR(__xludf.DUMMYFUNCTION("""COMPUTED_VALUE"""),"Arkwood Plus Fine Furniture")</f>
        <v>Arkwood Plus Fine Furniture</v>
      </c>
      <c r="AA11" s="4">
        <f>IFERROR(__xludf.DUMMYFUNCTION("""COMPUTED_VALUE"""),4.0)</f>
        <v>4</v>
      </c>
      <c r="AC11" s="59" t="str">
        <f>IFERROR(__xludf.DUMMYFUNCTION("""COMPUTED_VALUE"""),"Alpha-Cored Technology Systems, Inc.")</f>
        <v>Alpha-Cored Technology Systems, Inc.</v>
      </c>
      <c r="AD11" s="4">
        <f>IFERROR(__xludf.DUMMYFUNCTION("""COMPUTED_VALUE"""),5.0)</f>
        <v>5</v>
      </c>
      <c r="AF11" s="59" t="str">
        <f>IFERROR(__xludf.DUMMYFUNCTION("""COMPUTED_VALUE"""),"Ace Hardware")</f>
        <v>Ace Hardware</v>
      </c>
      <c r="AG11" s="4">
        <f>IFERROR(__xludf.DUMMYFUNCTION("""COMPUTED_VALUE"""),4.791666666666667)</f>
        <v>4.791666667</v>
      </c>
    </row>
    <row r="12">
      <c r="A12" s="95">
        <v>6.0</v>
      </c>
      <c r="B12" s="97" t="s">
        <v>83</v>
      </c>
      <c r="C12" s="2"/>
      <c r="E12" s="98">
        <v>6.0</v>
      </c>
      <c r="F12" s="98" t="s">
        <v>83</v>
      </c>
      <c r="G12" s="4">
        <v>5.0</v>
      </c>
      <c r="I12" s="83" t="s">
        <v>29</v>
      </c>
      <c r="J12" s="85"/>
      <c r="K12" s="55">
        <f>average(K13:K21)</f>
        <v>4.5</v>
      </c>
      <c r="N12" s="59" t="str">
        <f>IFERROR(__xludf.DUMMYFUNCTION("""COMPUTED_VALUE"""),"Contrade Integrated Depot")</f>
        <v>Contrade Integrated Depot</v>
      </c>
      <c r="O12" s="4">
        <f>IFERROR(__xludf.DUMMYFUNCTION("""COMPUTED_VALUE"""),3.9166666666666665)</f>
        <v>3.916666667</v>
      </c>
      <c r="P12" s="60">
        <f>IFERROR(__xludf.DUMMYFUNCTION("""COMPUTED_VALUE"""),44763.0)</f>
        <v>44763</v>
      </c>
      <c r="R12" s="59" t="str">
        <f>IFERROR(__xludf.DUMMYFUNCTION("""COMPUTED_VALUE"""),"Awardextremes, Inc.")</f>
        <v>Awardextremes, Inc.</v>
      </c>
      <c r="S12" s="4">
        <f>IFERROR(__xludf.DUMMYFUNCTION("""COMPUTED_VALUE"""),4.566666666666666)</f>
        <v>4.566666667</v>
      </c>
      <c r="T12" s="60">
        <f>IFERROR(__xludf.DUMMYFUNCTION("""COMPUTED_VALUE"""),45141.0)</f>
        <v>45141</v>
      </c>
      <c r="V12" s="59" t="str">
        <f>IFERROR(__xludf.DUMMYFUNCTION("""COMPUTED_VALUE"""),"Belview Co., Inc.")</f>
        <v>Belview Co., Inc.</v>
      </c>
      <c r="W12" s="4">
        <f>IFERROR(__xludf.DUMMYFUNCTION("""COMPUTED_VALUE"""),4.833333333333333)</f>
        <v>4.833333333</v>
      </c>
      <c r="X12" s="60">
        <f>IFERROR(__xludf.DUMMYFUNCTION("""COMPUTED_VALUE"""),45492.0)</f>
        <v>45492</v>
      </c>
      <c r="Z12" s="59" t="str">
        <f>IFERROR(__xludf.DUMMYFUNCTION("""COMPUTED_VALUE"""),"Atlas Superflags")</f>
        <v>Atlas Superflags</v>
      </c>
      <c r="AA12" s="4">
        <f>IFERROR(__xludf.DUMMYFUNCTION("""COMPUTED_VALUE"""),4.766666666666667)</f>
        <v>4.766666667</v>
      </c>
      <c r="AC12" s="59" t="str">
        <f>IFERROR(__xludf.DUMMYFUNCTION("""COMPUTED_VALUE"""),"Amalgamated Specialties Corporation")</f>
        <v>Amalgamated Specialties Corporation</v>
      </c>
      <c r="AD12" s="4">
        <f>IFERROR(__xludf.DUMMYFUNCTION("""COMPUTED_VALUE"""),5.0)</f>
        <v>5</v>
      </c>
      <c r="AF12" s="59" t="str">
        <f>IFERROR(__xludf.DUMMYFUNCTION("""COMPUTED_VALUE"""),"Alpha Steel Office and Home Furnishing Company")</f>
        <v>Alpha Steel Office and Home Furnishing Company</v>
      </c>
      <c r="AG12" s="4">
        <f>IFERROR(__xludf.DUMMYFUNCTION("""COMPUTED_VALUE"""),4.833333333333333)</f>
        <v>4.833333333</v>
      </c>
    </row>
    <row r="13">
      <c r="A13" s="71" t="s">
        <v>84</v>
      </c>
      <c r="B13" s="54"/>
      <c r="C13" s="55">
        <f>average(C14:C15)</f>
        <v>4.680989583</v>
      </c>
      <c r="E13" s="78" t="s">
        <v>85</v>
      </c>
      <c r="F13" s="54"/>
      <c r="G13" s="55">
        <f>average(G14:G21)</f>
        <v>4.777837821</v>
      </c>
      <c r="I13" s="101">
        <v>5.0</v>
      </c>
      <c r="J13" s="111" t="s">
        <v>86</v>
      </c>
      <c r="K13" s="127">
        <v>4.5</v>
      </c>
      <c r="N13" s="59" t="str">
        <f>IFERROR(__xludf.DUMMYFUNCTION("""COMPUTED_VALUE"""),"Rivchem Enterprises")</f>
        <v>Rivchem Enterprises</v>
      </c>
      <c r="O13" s="4">
        <f>IFERROR(__xludf.DUMMYFUNCTION("""COMPUTED_VALUE"""),4.833333333333333)</f>
        <v>4.833333333</v>
      </c>
      <c r="P13" s="60">
        <f>IFERROR(__xludf.DUMMYFUNCTION("""COMPUTED_VALUE"""),44763.0)</f>
        <v>44763</v>
      </c>
      <c r="R13" s="59" t="str">
        <f>IFERROR(__xludf.DUMMYFUNCTION("""COMPUTED_VALUE"""),"Contrade Integrated Depot")</f>
        <v>Contrade Integrated Depot</v>
      </c>
      <c r="S13" s="4">
        <f>IFERROR(__xludf.DUMMYFUNCTION("""COMPUTED_VALUE"""),4.566666666666666)</f>
        <v>4.566666667</v>
      </c>
      <c r="T13" s="60">
        <f>IFERROR(__xludf.DUMMYFUNCTION("""COMPUTED_VALUE"""),45142.0)</f>
        <v>45142</v>
      </c>
      <c r="V13" s="59" t="str">
        <f>IFERROR(__xludf.DUMMYFUNCTION("""COMPUTED_VALUE"""),"Belview Co., Inc.")</f>
        <v>Belview Co., Inc.</v>
      </c>
      <c r="W13" s="4">
        <f>IFERROR(__xludf.DUMMYFUNCTION("""COMPUTED_VALUE"""),4.833333333333333)</f>
        <v>4.833333333</v>
      </c>
      <c r="X13" s="60">
        <f>IFERROR(__xludf.DUMMYFUNCTION("""COMPUTED_VALUE"""),45492.0)</f>
        <v>45492</v>
      </c>
      <c r="Z13" s="59" t="str">
        <f>IFERROR(__xludf.DUMMYFUNCTION("""COMPUTED_VALUE"""),"Awardextremes, Inc.")</f>
        <v>Awardextremes, Inc.</v>
      </c>
      <c r="AA13" s="4">
        <f>IFERROR(__xludf.DUMMYFUNCTION("""COMPUTED_VALUE"""),4.666666666666667)</f>
        <v>4.666666667</v>
      </c>
      <c r="AC13" s="59" t="str">
        <f>IFERROR(__xludf.DUMMYFUNCTION("""COMPUTED_VALUE"""),"Arkin Hardware")</f>
        <v>Arkin Hardware</v>
      </c>
      <c r="AD13" s="4">
        <f>IFERROR(__xludf.DUMMYFUNCTION("""COMPUTED_VALUE"""),4.4714285714285715)</f>
        <v>4.471428571</v>
      </c>
      <c r="AF13" s="59" t="str">
        <f>IFERROR(__xludf.DUMMYFUNCTION("""COMPUTED_VALUE"""),"Alpha-Cored Technology Systems, Inc.")</f>
        <v>Alpha-Cored Technology Systems, Inc.</v>
      </c>
      <c r="AG13" s="4">
        <f>IFERROR(__xludf.DUMMYFUNCTION("""COMPUTED_VALUE"""),4.925925925925926)</f>
        <v>4.925925926</v>
      </c>
    </row>
    <row r="14">
      <c r="A14" s="95">
        <v>7.0</v>
      </c>
      <c r="B14" s="97" t="s">
        <v>87</v>
      </c>
      <c r="C14" s="4">
        <v>4.716145833333334</v>
      </c>
      <c r="E14" s="98">
        <v>7.0</v>
      </c>
      <c r="F14" s="98" t="s">
        <v>88</v>
      </c>
      <c r="G14" s="4">
        <v>4.845897435897436</v>
      </c>
      <c r="I14" s="101">
        <v>6.0</v>
      </c>
      <c r="J14" s="111" t="s">
        <v>89</v>
      </c>
      <c r="K14" s="127"/>
      <c r="N14" s="59" t="str">
        <f>IFERROR(__xludf.DUMMYFUNCTION("""COMPUTED_VALUE"""),"Belview Co., Inc.")</f>
        <v>Belview Co., Inc.</v>
      </c>
      <c r="O14" s="4">
        <f>IFERROR(__xludf.DUMMYFUNCTION("""COMPUTED_VALUE"""),5.0)</f>
        <v>5</v>
      </c>
      <c r="P14" s="60">
        <f>IFERROR(__xludf.DUMMYFUNCTION("""COMPUTED_VALUE"""),44764.0)</f>
        <v>44764</v>
      </c>
      <c r="R14" s="59" t="str">
        <f>IFERROR(__xludf.DUMMYFUNCTION("""COMPUTED_VALUE"""),"Lordfel Marketing")</f>
        <v>Lordfel Marketing</v>
      </c>
      <c r="S14" s="4">
        <f>IFERROR(__xludf.DUMMYFUNCTION("""COMPUTED_VALUE"""),4.0)</f>
        <v>4</v>
      </c>
      <c r="T14" s="60">
        <f>IFERROR(__xludf.DUMMYFUNCTION("""COMPUTED_VALUE"""),45142.0)</f>
        <v>45142</v>
      </c>
      <c r="V14" s="59" t="str">
        <f>IFERROR(__xludf.DUMMYFUNCTION("""COMPUTED_VALUE"""),"Contrade Integrated Depot")</f>
        <v>Contrade Integrated Depot</v>
      </c>
      <c r="W14" s="4">
        <f>IFERROR(__xludf.DUMMYFUNCTION("""COMPUTED_VALUE"""),4.583333333333333)</f>
        <v>4.583333333</v>
      </c>
      <c r="X14" s="60">
        <f>IFERROR(__xludf.DUMMYFUNCTION("""COMPUTED_VALUE"""),45493.0)</f>
        <v>45493</v>
      </c>
      <c r="Z14" s="59" t="str">
        <f>IFERROR(__xludf.DUMMYFUNCTION("""COMPUTED_VALUE"""),"Belview Co., Inc.")</f>
        <v>Belview Co., Inc.</v>
      </c>
      <c r="AA14" s="4">
        <f>IFERROR(__xludf.DUMMYFUNCTION("""COMPUTED_VALUE"""),5.0)</f>
        <v>5</v>
      </c>
      <c r="AC14" s="59" t="str">
        <f>IFERROR(__xludf.DUMMYFUNCTION("""COMPUTED_VALUE"""),"Atlas Superflags")</f>
        <v>Atlas Superflags</v>
      </c>
      <c r="AD14" s="4">
        <f>IFERROR(__xludf.DUMMYFUNCTION("""COMPUTED_VALUE"""),4.0)</f>
        <v>4</v>
      </c>
      <c r="AF14" s="59" t="str">
        <f>IFERROR(__xludf.DUMMYFUNCTION("""COMPUTED_VALUE"""),"Arkin Hardware")</f>
        <v>Arkin Hardware</v>
      </c>
      <c r="AG14" s="4">
        <f>IFERROR(__xludf.DUMMYFUNCTION("""COMPUTED_VALUE"""),4.867222222222223)</f>
        <v>4.867222222</v>
      </c>
    </row>
    <row r="15">
      <c r="A15" s="95">
        <v>8.0</v>
      </c>
      <c r="B15" s="97" t="s">
        <v>90</v>
      </c>
      <c r="C15" s="4">
        <v>4.645833333333334</v>
      </c>
      <c r="E15" s="98">
        <v>8.0</v>
      </c>
      <c r="F15" s="98" t="s">
        <v>91</v>
      </c>
      <c r="G15" s="4">
        <v>4.6089166666666666</v>
      </c>
      <c r="I15" s="108">
        <v>7.0</v>
      </c>
      <c r="J15" s="102" t="s">
        <v>92</v>
      </c>
      <c r="K15" s="125"/>
      <c r="N15" s="59" t="str">
        <f>IFERROR(__xludf.DUMMYFUNCTION("""COMPUTED_VALUE"""),"Belview Co., Inc.")</f>
        <v>Belview Co., Inc.</v>
      </c>
      <c r="O15" s="4">
        <f>IFERROR(__xludf.DUMMYFUNCTION("""COMPUTED_VALUE"""),5.0)</f>
        <v>5</v>
      </c>
      <c r="P15" s="60">
        <f>IFERROR(__xludf.DUMMYFUNCTION("""COMPUTED_VALUE"""),44764.0)</f>
        <v>44764</v>
      </c>
      <c r="R15" s="59" t="str">
        <f>IFERROR(__xludf.DUMMYFUNCTION("""COMPUTED_VALUE"""),"Rivchem Enterprises")</f>
        <v>Rivchem Enterprises</v>
      </c>
      <c r="S15" s="4">
        <f>IFERROR(__xludf.DUMMYFUNCTION("""COMPUTED_VALUE"""),4.6)</f>
        <v>4.6</v>
      </c>
      <c r="T15" s="60">
        <f>IFERROR(__xludf.DUMMYFUNCTION("""COMPUTED_VALUE"""),45145.0)</f>
        <v>45145</v>
      </c>
      <c r="V15" s="59" t="str">
        <f>IFERROR(__xludf.DUMMYFUNCTION("""COMPUTED_VALUE"""),"Javammp Printing Services")</f>
        <v>Javammp Printing Services</v>
      </c>
      <c r="W15" s="4">
        <f>IFERROR(__xludf.DUMMYFUNCTION("""COMPUTED_VALUE"""),3.9166666666666665)</f>
        <v>3.916666667</v>
      </c>
      <c r="X15" s="60">
        <f>IFERROR(__xludf.DUMMYFUNCTION("""COMPUTED_VALUE"""),45495.0)</f>
        <v>45495</v>
      </c>
      <c r="Z15" s="59" t="str">
        <f>IFERROR(__xludf.DUMMYFUNCTION("""COMPUTED_VALUE"""),"Brown Movement for Cultural Advancement, Inc.")</f>
        <v>Brown Movement for Cultural Advancement, Inc.</v>
      </c>
      <c r="AA15" s="4">
        <f>IFERROR(__xludf.DUMMYFUNCTION("""COMPUTED_VALUE"""),5.0)</f>
        <v>5</v>
      </c>
      <c r="AC15" s="59" t="str">
        <f>IFERROR(__xludf.DUMMYFUNCTION("""COMPUTED_VALUE"""),"Awardextremes, Inc.")</f>
        <v>Awardextremes, Inc.</v>
      </c>
      <c r="AD15" s="4">
        <f>IFERROR(__xludf.DUMMYFUNCTION("""COMPUTED_VALUE"""),4.566666666666666)</f>
        <v>4.566666667</v>
      </c>
      <c r="AF15" s="59" t="str">
        <f>IFERROR(__xludf.DUMMYFUNCTION("""COMPUTED_VALUE"""),"Asahl Design Centre Inc.")</f>
        <v>Asahl Design Centre Inc.</v>
      </c>
      <c r="AG15" s="4">
        <f>IFERROR(__xludf.DUMMYFUNCTION("""COMPUTED_VALUE"""),4.858333333333333)</f>
        <v>4.858333333</v>
      </c>
    </row>
    <row r="16">
      <c r="A16" s="71" t="s">
        <v>85</v>
      </c>
      <c r="B16" s="54"/>
      <c r="C16" s="55">
        <f>average(C17:C26)</f>
        <v>4.78279321</v>
      </c>
      <c r="E16" s="98">
        <v>9.0</v>
      </c>
      <c r="F16" s="98" t="s">
        <v>94</v>
      </c>
      <c r="G16" s="4">
        <v>4.686041666666667</v>
      </c>
      <c r="I16" s="108">
        <v>8.0</v>
      </c>
      <c r="J16" s="102" t="s">
        <v>81</v>
      </c>
      <c r="K16" s="2"/>
      <c r="L16" s="66" t="s">
        <v>62</v>
      </c>
      <c r="N16" s="59" t="str">
        <f>IFERROR(__xludf.DUMMYFUNCTION("""COMPUTED_VALUE"""),"Amalgamated Specialties Corporation")</f>
        <v>Amalgamated Specialties Corporation</v>
      </c>
      <c r="O16" s="4">
        <f>IFERROR(__xludf.DUMMYFUNCTION("""COMPUTED_VALUE"""),4.333333333333333)</f>
        <v>4.333333333</v>
      </c>
      <c r="P16" s="60">
        <f>IFERROR(__xludf.DUMMYFUNCTION("""COMPUTED_VALUE"""),44767.0)</f>
        <v>44767</v>
      </c>
      <c r="R16" s="59" t="str">
        <f>IFERROR(__xludf.DUMMYFUNCTION("""COMPUTED_VALUE"""),"Rivchem Enterprises")</f>
        <v>Rivchem Enterprises</v>
      </c>
      <c r="S16" s="4">
        <f>IFERROR(__xludf.DUMMYFUNCTION("""COMPUTED_VALUE"""),4.6)</f>
        <v>4.6</v>
      </c>
      <c r="T16" s="60">
        <f>IFERROR(__xludf.DUMMYFUNCTION("""COMPUTED_VALUE"""),45146.0)</f>
        <v>45146</v>
      </c>
      <c r="V16" s="59" t="str">
        <f>IFERROR(__xludf.DUMMYFUNCTION("""COMPUTED_VALUE"""),"BIG LEAGUE SPORTS WEAR SHOP. INC.")</f>
        <v>BIG LEAGUE SPORTS WEAR SHOP. INC.</v>
      </c>
      <c r="W16" s="4">
        <f>IFERROR(__xludf.DUMMYFUNCTION("""COMPUTED_VALUE"""),4.0)</f>
        <v>4</v>
      </c>
      <c r="X16" s="60">
        <f>IFERROR(__xludf.DUMMYFUNCTION("""COMPUTED_VALUE"""),45503.0)</f>
        <v>45503</v>
      </c>
      <c r="Z16" s="59" t="str">
        <f>IFERROR(__xludf.DUMMYFUNCTION("""COMPUTED_VALUE"""),"Chemtrust Global Market, Inc.")</f>
        <v>Chemtrust Global Market, Inc.</v>
      </c>
      <c r="AA16" s="4">
        <f>IFERROR(__xludf.DUMMYFUNCTION("""COMPUTED_VALUE"""),4.066666666666666)</f>
        <v>4.066666667</v>
      </c>
      <c r="AC16" s="59" t="str">
        <f>IFERROR(__xludf.DUMMYFUNCTION("""COMPUTED_VALUE"""),"Belview Co., Inc.")</f>
        <v>Belview Co., Inc.</v>
      </c>
      <c r="AD16" s="4">
        <f>IFERROR(__xludf.DUMMYFUNCTION("""COMPUTED_VALUE"""),4.753333333333333)</f>
        <v>4.753333333</v>
      </c>
      <c r="AF16" s="59" t="str">
        <f>IFERROR(__xludf.DUMMYFUNCTION("""COMPUTED_VALUE"""),"Atlas Superflags")</f>
        <v>Atlas Superflags</v>
      </c>
      <c r="AG16" s="4">
        <f>IFERROR(__xludf.DUMMYFUNCTION("""COMPUTED_VALUE"""),4.7444444444444445)</f>
        <v>4.744444444</v>
      </c>
    </row>
    <row r="17">
      <c r="A17" s="95">
        <v>9.0</v>
      </c>
      <c r="B17" s="97" t="s">
        <v>88</v>
      </c>
      <c r="C17" s="4">
        <v>4.722222222222222</v>
      </c>
      <c r="E17" s="98">
        <v>10.0</v>
      </c>
      <c r="F17" s="98" t="s">
        <v>95</v>
      </c>
      <c r="G17" s="128"/>
      <c r="I17" s="108">
        <v>9.0</v>
      </c>
      <c r="J17" s="111" t="s">
        <v>96</v>
      </c>
      <c r="K17" s="128"/>
      <c r="N17" s="59" t="str">
        <f>IFERROR(__xludf.DUMMYFUNCTION("""COMPUTED_VALUE"""),"Contrade Integrated Depot")</f>
        <v>Contrade Integrated Depot</v>
      </c>
      <c r="O17" s="4">
        <f>IFERROR(__xludf.DUMMYFUNCTION("""COMPUTED_VALUE"""),3.6)</f>
        <v>3.6</v>
      </c>
      <c r="P17" s="60">
        <f>IFERROR(__xludf.DUMMYFUNCTION("""COMPUTED_VALUE"""),44767.0)</f>
        <v>44767</v>
      </c>
      <c r="R17" s="59" t="str">
        <f>IFERROR(__xludf.DUMMYFUNCTION("""COMPUTED_VALUE"""),"Lordfel Marketing")</f>
        <v>Lordfel Marketing</v>
      </c>
      <c r="S17" s="4">
        <f>IFERROR(__xludf.DUMMYFUNCTION("""COMPUTED_VALUE"""),5.0)</f>
        <v>5</v>
      </c>
      <c r="T17" s="60">
        <f>IFERROR(__xludf.DUMMYFUNCTION("""COMPUTED_VALUE"""),45149.0)</f>
        <v>45149</v>
      </c>
      <c r="V17" s="59" t="str">
        <f>IFERROR(__xludf.DUMMYFUNCTION("""COMPUTED_VALUE"""),"Printing Shop PrintPilipinas.com")</f>
        <v>Printing Shop PrintPilipinas.com</v>
      </c>
      <c r="W17" s="4">
        <f>IFERROR(__xludf.DUMMYFUNCTION("""COMPUTED_VALUE"""),4.833333333333333)</f>
        <v>4.833333333</v>
      </c>
      <c r="X17" s="60">
        <f>IFERROR(__xludf.DUMMYFUNCTION("""COMPUTED_VALUE"""),45505.0)</f>
        <v>45505</v>
      </c>
      <c r="Z17" s="59" t="str">
        <f>IFERROR(__xludf.DUMMYFUNCTION("""COMPUTED_VALUE"""),"Columbia Technologies, Inc.")</f>
        <v>Columbia Technologies, Inc.</v>
      </c>
      <c r="AA17" s="4">
        <f>IFERROR(__xludf.DUMMYFUNCTION("""COMPUTED_VALUE"""),4.958333333333333)</f>
        <v>4.958333333</v>
      </c>
      <c r="AC17" s="59" t="str">
        <f>IFERROR(__xludf.DUMMYFUNCTION("""COMPUTED_VALUE"""),"Beyond Global Multiales Corp.")</f>
        <v>Beyond Global Multiales Corp.</v>
      </c>
      <c r="AD17" s="4">
        <f>IFERROR(__xludf.DUMMYFUNCTION("""COMPUTED_VALUE"""),4.833333333333333)</f>
        <v>4.833333333</v>
      </c>
      <c r="AF17" s="59" t="str">
        <f>IFERROR(__xludf.DUMMYFUNCTION("""COMPUTED_VALUE"""),"BIG LEAGUE SPORTS WEAR SHOP. INC.")</f>
        <v>BIG LEAGUE SPORTS WEAR SHOP. INC.</v>
      </c>
      <c r="AG17" s="4">
        <f>IFERROR(__xludf.DUMMYFUNCTION("""COMPUTED_VALUE"""),4.0)</f>
        <v>4</v>
      </c>
    </row>
    <row r="18">
      <c r="A18" s="95">
        <v>10.0</v>
      </c>
      <c r="B18" s="97" t="s">
        <v>91</v>
      </c>
      <c r="C18" s="4">
        <v>4.708333333333334</v>
      </c>
      <c r="E18" s="98">
        <v>11.0</v>
      </c>
      <c r="F18" s="98" t="s">
        <v>98</v>
      </c>
      <c r="G18" s="4">
        <v>5.0</v>
      </c>
      <c r="I18" s="101">
        <v>10.0</v>
      </c>
      <c r="J18" s="111" t="s">
        <v>99</v>
      </c>
      <c r="K18" s="128"/>
      <c r="N18" s="59" t="str">
        <f>IFERROR(__xludf.DUMMYFUNCTION("""COMPUTED_VALUE"""),"Gift Republic, Inc.")</f>
        <v>Gift Republic, Inc.</v>
      </c>
      <c r="O18" s="4">
        <f>IFERROR(__xludf.DUMMYFUNCTION("""COMPUTED_VALUE"""),2.0)</f>
        <v>2</v>
      </c>
      <c r="P18" s="60">
        <f>IFERROR(__xludf.DUMMYFUNCTION("""COMPUTED_VALUE"""),44774.0)</f>
        <v>44774</v>
      </c>
      <c r="R18" s="59" t="str">
        <f>IFERROR(__xludf.DUMMYFUNCTION("""COMPUTED_VALUE"""),"Lordfel Marketing")</f>
        <v>Lordfel Marketing</v>
      </c>
      <c r="S18" s="4">
        <f>IFERROR(__xludf.DUMMYFUNCTION("""COMPUTED_VALUE"""),4.0)</f>
        <v>4</v>
      </c>
      <c r="T18" s="60">
        <f>IFERROR(__xludf.DUMMYFUNCTION("""COMPUTED_VALUE"""),45149.0)</f>
        <v>45149</v>
      </c>
      <c r="V18" s="59" t="str">
        <f>IFERROR(__xludf.DUMMYFUNCTION("""COMPUTED_VALUE"""),"Mostaco Printing")</f>
        <v>Mostaco Printing</v>
      </c>
      <c r="W18" s="4">
        <f>IFERROR(__xludf.DUMMYFUNCTION("""COMPUTED_VALUE"""),4.75)</f>
        <v>4.75</v>
      </c>
      <c r="X18" s="60">
        <f>IFERROR(__xludf.DUMMYFUNCTION("""COMPUTED_VALUE"""),45509.0)</f>
        <v>45509</v>
      </c>
      <c r="Z18" s="59" t="str">
        <f>IFERROR(__xludf.DUMMYFUNCTION("""COMPUTED_VALUE"""),"Contrade Integrated Depot")</f>
        <v>Contrade Integrated Depot</v>
      </c>
      <c r="AA18" s="4">
        <f>IFERROR(__xludf.DUMMYFUNCTION("""COMPUTED_VALUE"""),4.325444444444444)</f>
        <v>4.325444444</v>
      </c>
      <c r="AC18" s="59" t="str">
        <f>IFERROR(__xludf.DUMMYFUNCTION("""COMPUTED_VALUE"""),"Booktrens Enterprises")</f>
        <v>Booktrens Enterprises</v>
      </c>
      <c r="AD18" s="4">
        <f>IFERROR(__xludf.DUMMYFUNCTION("""COMPUTED_VALUE"""),5.0)</f>
        <v>5</v>
      </c>
      <c r="AF18" s="59" t="str">
        <f>IFERROR(__xludf.DUMMYFUNCTION("""COMPUTED_VALUE"""),"Barcaman Couture Corporation")</f>
        <v>Barcaman Couture Corporation</v>
      </c>
      <c r="AG18" s="4">
        <f>IFERROR(__xludf.DUMMYFUNCTION("""COMPUTED_VALUE"""),3.5666666666666664)</f>
        <v>3.566666667</v>
      </c>
    </row>
    <row r="19">
      <c r="A19" s="95">
        <v>11.0</v>
      </c>
      <c r="B19" s="97" t="s">
        <v>94</v>
      </c>
      <c r="C19" s="4">
        <v>4.833333333333333</v>
      </c>
      <c r="E19" s="98">
        <v>12.0</v>
      </c>
      <c r="F19" s="98" t="s">
        <v>101</v>
      </c>
      <c r="G19" s="128"/>
      <c r="I19" s="101">
        <v>11.0</v>
      </c>
      <c r="J19" s="111" t="s">
        <v>102</v>
      </c>
      <c r="K19" s="128"/>
      <c r="N19" s="59" t="str">
        <f>IFERROR(__xludf.DUMMYFUNCTION("""COMPUTED_VALUE"""),"Gift Republic, Inc.")</f>
        <v>Gift Republic, Inc.</v>
      </c>
      <c r="O19" s="4">
        <f>IFERROR(__xludf.DUMMYFUNCTION("""COMPUTED_VALUE"""),2.066666666666667)</f>
        <v>2.066666667</v>
      </c>
      <c r="P19" s="60">
        <f>IFERROR(__xludf.DUMMYFUNCTION("""COMPUTED_VALUE"""),44774.0)</f>
        <v>44774</v>
      </c>
      <c r="R19" s="59" t="str">
        <f>IFERROR(__xludf.DUMMYFUNCTION("""COMPUTED_VALUE"""),"Lordfel Marketing")</f>
        <v>Lordfel Marketing</v>
      </c>
      <c r="S19" s="4">
        <f>IFERROR(__xludf.DUMMYFUNCTION("""COMPUTED_VALUE"""),4.0)</f>
        <v>4</v>
      </c>
      <c r="T19" s="60">
        <f>IFERROR(__xludf.DUMMYFUNCTION("""COMPUTED_VALUE"""),45149.0)</f>
        <v>45149</v>
      </c>
      <c r="V19" s="59" t="str">
        <f>IFERROR(__xludf.DUMMYFUNCTION("""COMPUTED_VALUE"""),"Contrade Integrated Depot")</f>
        <v>Contrade Integrated Depot</v>
      </c>
      <c r="W19" s="4">
        <f>IFERROR(__xludf.DUMMYFUNCTION("""COMPUTED_VALUE"""),4.833333333333333)</f>
        <v>4.833333333</v>
      </c>
      <c r="X19" s="60">
        <f>IFERROR(__xludf.DUMMYFUNCTION("""COMPUTED_VALUE"""),45510.0)</f>
        <v>45510</v>
      </c>
      <c r="Z19" s="59" t="str">
        <f>IFERROR(__xludf.DUMMYFUNCTION("""COMPUTED_VALUE"""),"Creative Juice Digital Printing")</f>
        <v>Creative Juice Digital Printing</v>
      </c>
      <c r="AA19" s="4">
        <f>IFERROR(__xludf.DUMMYFUNCTION("""COMPUTED_VALUE"""),4.775192307692308)</f>
        <v>4.775192308</v>
      </c>
      <c r="AC19" s="59" t="str">
        <f>IFERROR(__xludf.DUMMYFUNCTION("""COMPUTED_VALUE"""),"Chemtrust Global Market, Inc.")</f>
        <v>Chemtrust Global Market, Inc.</v>
      </c>
      <c r="AD19" s="4">
        <f>IFERROR(__xludf.DUMMYFUNCTION("""COMPUTED_VALUE"""),4.794444444444444)</f>
        <v>4.794444444</v>
      </c>
      <c r="AF19" s="59" t="str">
        <f>IFERROR(__xludf.DUMMYFUNCTION("""COMPUTED_VALUE"""),"Belview Co., Inc.")</f>
        <v>Belview Co., Inc.</v>
      </c>
      <c r="AG19" s="4">
        <f>IFERROR(__xludf.DUMMYFUNCTION("""COMPUTED_VALUE"""),4.986706349206351)</f>
        <v>4.986706349</v>
      </c>
    </row>
    <row r="20">
      <c r="A20" s="95">
        <v>12.0</v>
      </c>
      <c r="B20" s="97" t="s">
        <v>95</v>
      </c>
      <c r="C20" s="4">
        <v>4.916666666666667</v>
      </c>
      <c r="E20" s="98">
        <v>13.0</v>
      </c>
      <c r="F20" s="98" t="s">
        <v>103</v>
      </c>
      <c r="G20" s="4">
        <v>4.748333333333333</v>
      </c>
      <c r="I20" s="101">
        <v>12.0</v>
      </c>
      <c r="J20" s="111" t="s">
        <v>104</v>
      </c>
      <c r="K20" s="128"/>
      <c r="N20" s="59" t="str">
        <f>IFERROR(__xludf.DUMMYFUNCTION("""COMPUTED_VALUE"""),"Awardextremes, Inc.")</f>
        <v>Awardextremes, Inc.</v>
      </c>
      <c r="O20" s="4">
        <f>IFERROR(__xludf.DUMMYFUNCTION("""COMPUTED_VALUE"""),4.666666666666667)</f>
        <v>4.666666667</v>
      </c>
      <c r="P20" s="60">
        <f>IFERROR(__xludf.DUMMYFUNCTION("""COMPUTED_VALUE"""),44778.0)</f>
        <v>44778</v>
      </c>
      <c r="R20" s="59" t="str">
        <f>IFERROR(__xludf.DUMMYFUNCTION("""COMPUTED_VALUE"""),"Lordfel Marketing")</f>
        <v>Lordfel Marketing</v>
      </c>
      <c r="S20" s="4">
        <f>IFERROR(__xludf.DUMMYFUNCTION("""COMPUTED_VALUE"""),4.0)</f>
        <v>4</v>
      </c>
      <c r="T20" s="60">
        <f>IFERROR(__xludf.DUMMYFUNCTION("""COMPUTED_VALUE"""),45149.0)</f>
        <v>45149</v>
      </c>
      <c r="V20" s="59" t="str">
        <f>IFERROR(__xludf.DUMMYFUNCTION("""COMPUTED_VALUE"""),"Belview Co., Inc.")</f>
        <v>Belview Co., Inc.</v>
      </c>
      <c r="W20" s="4">
        <f>IFERROR(__xludf.DUMMYFUNCTION("""COMPUTED_VALUE"""),4.833333333333333)</f>
        <v>4.833333333</v>
      </c>
      <c r="X20" s="60">
        <f>IFERROR(__xludf.DUMMYFUNCTION("""COMPUTED_VALUE"""),45510.0)</f>
        <v>45510</v>
      </c>
      <c r="Z20" s="59" t="str">
        <f>IFERROR(__xludf.DUMMYFUNCTION("""COMPUTED_VALUE"""),"DKL Laboratory Supplies")</f>
        <v>DKL Laboratory Supplies</v>
      </c>
      <c r="AA20" s="4">
        <f>IFERROR(__xludf.DUMMYFUNCTION("""COMPUTED_VALUE"""),3.8333333333333335)</f>
        <v>3.833333333</v>
      </c>
      <c r="AC20" s="59" t="str">
        <f>IFERROR(__xludf.DUMMYFUNCTION("""COMPUTED_VALUE"""),"Chronos Athletics Shop")</f>
        <v>Chronos Athletics Shop</v>
      </c>
      <c r="AD20" s="4">
        <f>IFERROR(__xludf.DUMMYFUNCTION("""COMPUTED_VALUE"""),4.519444444444445)</f>
        <v>4.519444444</v>
      </c>
      <c r="AF20" s="59" t="str">
        <f>IFERROR(__xludf.DUMMYFUNCTION("""COMPUTED_VALUE"""),"Bobman Trading")</f>
        <v>Bobman Trading</v>
      </c>
      <c r="AG20" s="4">
        <f>IFERROR(__xludf.DUMMYFUNCTION("""COMPUTED_VALUE"""),4.89074074074074)</f>
        <v>4.890740741</v>
      </c>
    </row>
    <row r="21">
      <c r="A21" s="95">
        <v>13.0</v>
      </c>
      <c r="B21" s="97" t="s">
        <v>98</v>
      </c>
      <c r="C21" s="2"/>
      <c r="E21" s="98">
        <v>14.0</v>
      </c>
      <c r="F21" s="98" t="s">
        <v>106</v>
      </c>
      <c r="G21" s="2"/>
      <c r="I21" s="101">
        <v>13.0</v>
      </c>
      <c r="J21" s="111" t="s">
        <v>107</v>
      </c>
      <c r="K21" s="2"/>
      <c r="N21" s="59" t="str">
        <f>IFERROR(__xludf.DUMMYFUNCTION("""COMPUTED_VALUE"""),"Gift Republic, Inc.")</f>
        <v>Gift Republic, Inc.</v>
      </c>
      <c r="O21" s="4">
        <f>IFERROR(__xludf.DUMMYFUNCTION("""COMPUTED_VALUE"""),4.713333333333334)</f>
        <v>4.713333333</v>
      </c>
      <c r="P21" s="60">
        <f>IFERROR(__xludf.DUMMYFUNCTION("""COMPUTED_VALUE"""),44778.0)</f>
        <v>44778</v>
      </c>
      <c r="R21" s="59" t="str">
        <f>IFERROR(__xludf.DUMMYFUNCTION("""COMPUTED_VALUE"""),"Lordfel Marketing")</f>
        <v>Lordfel Marketing</v>
      </c>
      <c r="S21" s="4">
        <f>IFERROR(__xludf.DUMMYFUNCTION("""COMPUTED_VALUE"""),4.0)</f>
        <v>4</v>
      </c>
      <c r="T21" s="60">
        <f>IFERROR(__xludf.DUMMYFUNCTION("""COMPUTED_VALUE"""),45149.0)</f>
        <v>45149</v>
      </c>
      <c r="V21" s="59" t="str">
        <f>IFERROR(__xludf.DUMMYFUNCTION("""COMPUTED_VALUE"""),"Abacus Book &amp; Card Corp.")</f>
        <v>Abacus Book &amp; Card Corp.</v>
      </c>
      <c r="W21" s="4">
        <f>IFERROR(__xludf.DUMMYFUNCTION("""COMPUTED_VALUE"""),4.75)</f>
        <v>4.75</v>
      </c>
      <c r="X21" s="60">
        <f>IFERROR(__xludf.DUMMYFUNCTION("""COMPUTED_VALUE"""),45512.0)</f>
        <v>45512</v>
      </c>
      <c r="Z21" s="59" t="str">
        <f>IFERROR(__xludf.DUMMYFUNCTION("""COMPUTED_VALUE"""),"Data Computer Forms, Inc.")</f>
        <v>Data Computer Forms, Inc.</v>
      </c>
      <c r="AA21" s="4">
        <f>IFERROR(__xludf.DUMMYFUNCTION("""COMPUTED_VALUE"""),4.966666666666667)</f>
        <v>4.966666667</v>
      </c>
      <c r="AC21" s="59" t="str">
        <f>IFERROR(__xludf.DUMMYFUNCTION("""COMPUTED_VALUE"""),"Circuitrocks Electronic Store")</f>
        <v>Circuitrocks Electronic Store</v>
      </c>
      <c r="AD21" s="4">
        <f>IFERROR(__xludf.DUMMYFUNCTION("""COMPUTED_VALUE"""),4.908333333333333)</f>
        <v>4.908333333</v>
      </c>
      <c r="AF21" s="59" t="str">
        <f>IFERROR(__xludf.DUMMYFUNCTION("""COMPUTED_VALUE"""),"CD Books International, Inc.")</f>
        <v>CD Books International, Inc.</v>
      </c>
      <c r="AG21" s="4">
        <f>IFERROR(__xludf.DUMMYFUNCTION("""COMPUTED_VALUE"""),4.866666666666666)</f>
        <v>4.866666667</v>
      </c>
    </row>
    <row r="22">
      <c r="A22" s="95">
        <v>14.0</v>
      </c>
      <c r="B22" s="97" t="s">
        <v>101</v>
      </c>
      <c r="C22" s="2"/>
      <c r="E22" s="78" t="s">
        <v>108</v>
      </c>
      <c r="F22" s="54"/>
      <c r="G22" s="55">
        <f>average(G23:G27)</f>
        <v>4.647222222</v>
      </c>
      <c r="I22" s="83" t="s">
        <v>108</v>
      </c>
      <c r="J22" s="85"/>
      <c r="K22" s="55">
        <f>average(K23:K30)</f>
        <v>4.932083333</v>
      </c>
      <c r="N22" s="59" t="str">
        <f>IFERROR(__xludf.DUMMYFUNCTION("""COMPUTED_VALUE"""),"Leonard Prints Inc.")</f>
        <v>Leonard Prints Inc.</v>
      </c>
      <c r="O22" s="4">
        <f>IFERROR(__xludf.DUMMYFUNCTION("""COMPUTED_VALUE"""),4.8)</f>
        <v>4.8</v>
      </c>
      <c r="P22" s="60">
        <f>IFERROR(__xludf.DUMMYFUNCTION("""COMPUTED_VALUE"""),44789.0)</f>
        <v>44789</v>
      </c>
      <c r="R22" s="59" t="str">
        <f>IFERROR(__xludf.DUMMYFUNCTION("""COMPUTED_VALUE"""),"Contrade Integrated Depot")</f>
        <v>Contrade Integrated Depot</v>
      </c>
      <c r="S22" s="4">
        <f>IFERROR(__xludf.DUMMYFUNCTION("""COMPUTED_VALUE"""),4.690833333333334)</f>
        <v>4.690833333</v>
      </c>
      <c r="T22" s="60">
        <f>IFERROR(__xludf.DUMMYFUNCTION("""COMPUTED_VALUE"""),45152.0)</f>
        <v>45152</v>
      </c>
      <c r="V22" s="59" t="str">
        <f>IFERROR(__xludf.DUMMYFUNCTION("""COMPUTED_VALUE"""),"Mostaco Printing")</f>
        <v>Mostaco Printing</v>
      </c>
      <c r="W22" s="4">
        <f>IFERROR(__xludf.DUMMYFUNCTION("""COMPUTED_VALUE"""),4.75)</f>
        <v>4.75</v>
      </c>
      <c r="X22" s="60">
        <f>IFERROR(__xludf.DUMMYFUNCTION("""COMPUTED_VALUE"""),45513.0)</f>
        <v>45513</v>
      </c>
      <c r="Z22" s="59" t="str">
        <f>IFERROR(__xludf.DUMMYFUNCTION("""COMPUTED_VALUE"""),"EIG Metal Engravers")</f>
        <v>EIG Metal Engravers</v>
      </c>
      <c r="AA22" s="4">
        <f>IFERROR(__xludf.DUMMYFUNCTION("""COMPUTED_VALUE"""),4.5)</f>
        <v>4.5</v>
      </c>
      <c r="AC22" s="59" t="str">
        <f>IFERROR(__xludf.DUMMYFUNCTION("""COMPUTED_VALUE"""),"Colent Marketing Philippines, Inc.")</f>
        <v>Colent Marketing Philippines, Inc.</v>
      </c>
      <c r="AD22" s="4">
        <f>IFERROR(__xludf.DUMMYFUNCTION("""COMPUTED_VALUE"""),5.0)</f>
        <v>5</v>
      </c>
      <c r="AF22" s="59" t="str">
        <f>IFERROR(__xludf.DUMMYFUNCTION("""COMPUTED_VALUE"""),"COMPUTECHNOLOGIES CORP.")</f>
        <v>COMPUTECHNOLOGIES CORP.</v>
      </c>
      <c r="AG22" s="4">
        <f>IFERROR(__xludf.DUMMYFUNCTION("""COMPUTED_VALUE"""),4.858333333333333)</f>
        <v>4.858333333</v>
      </c>
    </row>
    <row r="23">
      <c r="A23" s="95">
        <v>15.0</v>
      </c>
      <c r="B23" s="97" t="s">
        <v>103</v>
      </c>
      <c r="C23" s="4">
        <v>4.8125</v>
      </c>
      <c r="E23" s="98">
        <v>15.0</v>
      </c>
      <c r="F23" s="98" t="s">
        <v>110</v>
      </c>
      <c r="G23" s="4">
        <v>4.747222222222223</v>
      </c>
      <c r="I23" s="101">
        <v>14.0</v>
      </c>
      <c r="J23" s="111" t="s">
        <v>111</v>
      </c>
      <c r="K23" s="128"/>
      <c r="N23" s="59" t="str">
        <f>IFERROR(__xludf.DUMMYFUNCTION("""COMPUTED_VALUE"""),"Contrade Integrated Depot")</f>
        <v>Contrade Integrated Depot</v>
      </c>
      <c r="O23" s="4">
        <f>IFERROR(__xludf.DUMMYFUNCTION("""COMPUTED_VALUE"""),4.0)</f>
        <v>4</v>
      </c>
      <c r="P23" s="60">
        <f>IFERROR(__xludf.DUMMYFUNCTION("""COMPUTED_VALUE"""),44791.0)</f>
        <v>44791</v>
      </c>
      <c r="R23" s="59" t="str">
        <f>IFERROR(__xludf.DUMMYFUNCTION("""COMPUTED_VALUE"""),"Polaris Prime Air Tech Corporation")</f>
        <v>Polaris Prime Air Tech Corporation</v>
      </c>
      <c r="S23" s="4">
        <f>IFERROR(__xludf.DUMMYFUNCTION("""COMPUTED_VALUE"""),4.0)</f>
        <v>4</v>
      </c>
      <c r="T23" s="60">
        <f>IFERROR(__xludf.DUMMYFUNCTION("""COMPUTED_VALUE"""),45152.0)</f>
        <v>45152</v>
      </c>
      <c r="V23" s="59" t="str">
        <f>IFERROR(__xludf.DUMMYFUNCTION("""COMPUTED_VALUE"""),"Print Depot Inc.")</f>
        <v>Print Depot Inc.</v>
      </c>
      <c r="W23" s="4">
        <f>IFERROR(__xludf.DUMMYFUNCTION("""COMPUTED_VALUE"""),4.833333333333333)</f>
        <v>4.833333333</v>
      </c>
      <c r="X23" s="60">
        <f>IFERROR(__xludf.DUMMYFUNCTION("""COMPUTED_VALUE"""),45514.0)</f>
        <v>45514</v>
      </c>
      <c r="Z23" s="59" t="str">
        <f>IFERROR(__xludf.DUMMYFUNCTION("""COMPUTED_VALUE"""),"Ergo Contracts Phil., Inc.")</f>
        <v>Ergo Contracts Phil., Inc.</v>
      </c>
      <c r="AA23" s="4">
        <f>IFERROR(__xludf.DUMMYFUNCTION("""COMPUTED_VALUE"""),4.766666666666667)</f>
        <v>4.766666667</v>
      </c>
      <c r="AC23" s="59" t="str">
        <f>IFERROR(__xludf.DUMMYFUNCTION("""COMPUTED_VALUE"""),"Columbia Technologies, Inc.")</f>
        <v>Columbia Technologies, Inc.</v>
      </c>
      <c r="AD23" s="4">
        <f>IFERROR(__xludf.DUMMYFUNCTION("""COMPUTED_VALUE"""),4.0)</f>
        <v>4</v>
      </c>
      <c r="AF23" s="59" t="str">
        <f>IFERROR(__xludf.DUMMYFUNCTION("""COMPUTED_VALUE"""),"Chemtrust Global Market, Inc.")</f>
        <v>Chemtrust Global Market, Inc.</v>
      </c>
      <c r="AG23" s="4">
        <f>IFERROR(__xludf.DUMMYFUNCTION("""COMPUTED_VALUE"""),4.775277777777777)</f>
        <v>4.775277778</v>
      </c>
    </row>
    <row r="24">
      <c r="A24" s="95">
        <v>16.0</v>
      </c>
      <c r="B24" s="97" t="s">
        <v>106</v>
      </c>
      <c r="C24" s="4"/>
      <c r="E24" s="98">
        <v>16.0</v>
      </c>
      <c r="F24" s="98" t="s">
        <v>113</v>
      </c>
      <c r="G24" s="4">
        <v>5.0</v>
      </c>
      <c r="I24" s="101">
        <v>15.0</v>
      </c>
      <c r="J24" s="111" t="s">
        <v>114</v>
      </c>
      <c r="K24" s="2"/>
      <c r="N24" s="59" t="str">
        <f>IFERROR(__xludf.DUMMYFUNCTION("""COMPUTED_VALUE"""),"Amazon")</f>
        <v>Amazon</v>
      </c>
      <c r="O24" s="4">
        <f>IFERROR(__xludf.DUMMYFUNCTION("""COMPUTED_VALUE"""),4.2283333333333335)</f>
        <v>4.228333333</v>
      </c>
      <c r="P24" s="60">
        <f>IFERROR(__xludf.DUMMYFUNCTION("""COMPUTED_VALUE"""),44793.0)</f>
        <v>44793</v>
      </c>
      <c r="R24" s="59" t="str">
        <f>IFERROR(__xludf.DUMMYFUNCTION("""COMPUTED_VALUE"""),"Abacus Book &amp; Card Corp.")</f>
        <v>Abacus Book &amp; Card Corp.</v>
      </c>
      <c r="S24" s="4">
        <f>IFERROR(__xludf.DUMMYFUNCTION("""COMPUTED_VALUE"""),4.666666666666667)</f>
        <v>4.666666667</v>
      </c>
      <c r="T24" s="60">
        <f>IFERROR(__xludf.DUMMYFUNCTION("""COMPUTED_VALUE"""),45153.0)</f>
        <v>45153</v>
      </c>
      <c r="V24" s="59" t="str">
        <f>IFERROR(__xludf.DUMMYFUNCTION("""COMPUTED_VALUE"""),"Crosspoint Paper, Inc.")</f>
        <v>Crosspoint Paper, Inc.</v>
      </c>
      <c r="W24" s="4">
        <f>IFERROR(__xludf.DUMMYFUNCTION("""COMPUTED_VALUE"""),4.833333333333333)</f>
        <v>4.833333333</v>
      </c>
      <c r="X24" s="60">
        <f>IFERROR(__xludf.DUMMYFUNCTION("""COMPUTED_VALUE"""),45514.0)</f>
        <v>45514</v>
      </c>
      <c r="Z24" s="59" t="str">
        <f>IFERROR(__xludf.DUMMYFUNCTION("""COMPUTED_VALUE"""),"Falcon Waterfree Philippines, Inc.")</f>
        <v>Falcon Waterfree Philippines, Inc.</v>
      </c>
      <c r="AA24" s="4">
        <f>IFERROR(__xludf.DUMMYFUNCTION("""COMPUTED_VALUE"""),5.0)</f>
        <v>5</v>
      </c>
      <c r="AC24" s="59" t="str">
        <f>IFERROR(__xludf.DUMMYFUNCTION("""COMPUTED_VALUE"""),"Commerce Asia, Inc.")</f>
        <v>Commerce Asia, Inc.</v>
      </c>
      <c r="AD24" s="4">
        <f>IFERROR(__xludf.DUMMYFUNCTION("""COMPUTED_VALUE"""),4.748333333333333)</f>
        <v>4.748333333</v>
      </c>
      <c r="AF24" s="59" t="str">
        <f>IFERROR(__xludf.DUMMYFUNCTION("""COMPUTED_VALUE"""),"Colent Marketing Philippines, Inc.")</f>
        <v>Colent Marketing Philippines, Inc.</v>
      </c>
      <c r="AG24" s="4">
        <f>IFERROR(__xludf.DUMMYFUNCTION("""COMPUTED_VALUE"""),4.5)</f>
        <v>4.5</v>
      </c>
    </row>
    <row r="25">
      <c r="A25" s="95">
        <v>17.0</v>
      </c>
      <c r="B25" s="97" t="s">
        <v>115</v>
      </c>
      <c r="C25" s="2"/>
      <c r="E25" s="98">
        <v>8.0</v>
      </c>
      <c r="F25" s="98" t="s">
        <v>116</v>
      </c>
      <c r="G25" s="4">
        <v>4.841666666666667</v>
      </c>
      <c r="I25" s="101">
        <v>16.0</v>
      </c>
      <c r="J25" s="111" t="s">
        <v>117</v>
      </c>
      <c r="K25" s="4">
        <v>4.958333333333333</v>
      </c>
      <c r="N25" s="59" t="str">
        <f>IFERROR(__xludf.DUMMYFUNCTION("""COMPUTED_VALUE"""),"Rivchem Enterprises")</f>
        <v>Rivchem Enterprises</v>
      </c>
      <c r="O25" s="4">
        <f>IFERROR(__xludf.DUMMYFUNCTION("""COMPUTED_VALUE"""),4.766666666666667)</f>
        <v>4.766666667</v>
      </c>
      <c r="P25" s="60">
        <f>IFERROR(__xludf.DUMMYFUNCTION("""COMPUTED_VALUE"""),44798.0)</f>
        <v>44798</v>
      </c>
      <c r="R25" s="59" t="str">
        <f>IFERROR(__xludf.DUMMYFUNCTION("""COMPUTED_VALUE"""),"Net Ad IT Solutions")</f>
        <v>Net Ad IT Solutions</v>
      </c>
      <c r="S25" s="4">
        <f>IFERROR(__xludf.DUMMYFUNCTION("""COMPUTED_VALUE"""),4.875)</f>
        <v>4.875</v>
      </c>
      <c r="T25" s="60">
        <f>IFERROR(__xludf.DUMMYFUNCTION("""COMPUTED_VALUE"""),45157.0)</f>
        <v>45157</v>
      </c>
      <c r="V25" s="59" t="str">
        <f>IFERROR(__xludf.DUMMYFUNCTION("""COMPUTED_VALUE"""),"Mostaco Printing")</f>
        <v>Mostaco Printing</v>
      </c>
      <c r="W25" s="4">
        <f>IFERROR(__xludf.DUMMYFUNCTION("""COMPUTED_VALUE"""),4.75)</f>
        <v>4.75</v>
      </c>
      <c r="X25" s="60">
        <f>IFERROR(__xludf.DUMMYFUNCTION("""COMPUTED_VALUE"""),45516.0)</f>
        <v>45516</v>
      </c>
      <c r="Z25" s="59" t="str">
        <f>IFERROR(__xludf.DUMMYFUNCTION("""COMPUTED_VALUE"""),"Gift Republic, Inc.")</f>
        <v>Gift Republic, Inc.</v>
      </c>
      <c r="AA25" s="4">
        <f>IFERROR(__xludf.DUMMYFUNCTION("""COMPUTED_VALUE"""),2.926666666666667)</f>
        <v>2.926666667</v>
      </c>
      <c r="AC25" s="59" t="str">
        <f>IFERROR(__xludf.DUMMYFUNCTION("""COMPUTED_VALUE"""),"Contrade Integrated Depot")</f>
        <v>Contrade Integrated Depot</v>
      </c>
      <c r="AD25" s="4">
        <f>IFERROR(__xludf.DUMMYFUNCTION("""COMPUTED_VALUE"""),4.6089166666666666)</f>
        <v>4.608916667</v>
      </c>
      <c r="AF25" s="59" t="str">
        <f>IFERROR(__xludf.DUMMYFUNCTION("""COMPUTED_VALUE"""),"Columbia Technologies, Inc.")</f>
        <v>Columbia Technologies, Inc.</v>
      </c>
      <c r="AG25" s="4">
        <f>IFERROR(__xludf.DUMMYFUNCTION("""COMPUTED_VALUE"""),4.941666666666666)</f>
        <v>4.941666667</v>
      </c>
    </row>
    <row r="26">
      <c r="A26" s="95">
        <v>18.0</v>
      </c>
      <c r="B26" s="97" t="s">
        <v>122</v>
      </c>
      <c r="C26" s="4">
        <v>4.703703703703704</v>
      </c>
      <c r="E26" s="98">
        <v>18.0</v>
      </c>
      <c r="F26" s="98" t="s">
        <v>125</v>
      </c>
      <c r="G26" s="4">
        <v>4.0</v>
      </c>
      <c r="I26" s="101">
        <v>17.0</v>
      </c>
      <c r="J26" s="111" t="s">
        <v>127</v>
      </c>
      <c r="K26" s="4">
        <v>4.941666666666666</v>
      </c>
      <c r="N26" s="59" t="str">
        <f>IFERROR(__xludf.DUMMYFUNCTION("""COMPUTED_VALUE"""),"Contrade Integrated Depot")</f>
        <v>Contrade Integrated Depot</v>
      </c>
      <c r="O26" s="4">
        <f>IFERROR(__xludf.DUMMYFUNCTION("""COMPUTED_VALUE"""),3.8166666666666664)</f>
        <v>3.816666667</v>
      </c>
      <c r="P26" s="60">
        <f>IFERROR(__xludf.DUMMYFUNCTION("""COMPUTED_VALUE"""),44799.0)</f>
        <v>44799</v>
      </c>
      <c r="R26" s="59" t="str">
        <f>IFERROR(__xludf.DUMMYFUNCTION("""COMPUTED_VALUE"""),"Microsmith Technology System,Inc.")</f>
        <v>Microsmith Technology System,Inc.</v>
      </c>
      <c r="S26" s="4">
        <f>IFERROR(__xludf.DUMMYFUNCTION("""COMPUTED_VALUE"""),4.833333333333333)</f>
        <v>4.833333333</v>
      </c>
      <c r="T26" s="60">
        <f>IFERROR(__xludf.DUMMYFUNCTION("""COMPUTED_VALUE"""),45163.0)</f>
        <v>45163</v>
      </c>
      <c r="V26" s="59" t="str">
        <f>IFERROR(__xludf.DUMMYFUNCTION("""COMPUTED_VALUE"""),"Abacus Book &amp; Card Corp.")</f>
        <v>Abacus Book &amp; Card Corp.</v>
      </c>
      <c r="W26" s="4">
        <f>IFERROR(__xludf.DUMMYFUNCTION("""COMPUTED_VALUE"""),4.75)</f>
        <v>4.75</v>
      </c>
      <c r="X26" s="60">
        <f>IFERROR(__xludf.DUMMYFUNCTION("""COMPUTED_VALUE"""),45516.0)</f>
        <v>45516</v>
      </c>
      <c r="Z26" s="59" t="str">
        <f>IFERROR(__xludf.DUMMYFUNCTION("""COMPUTED_VALUE"""),"Hospeco Philippines, Inc.")</f>
        <v>Hospeco Philippines, Inc.</v>
      </c>
      <c r="AA26" s="4">
        <f>IFERROR(__xludf.DUMMYFUNCTION("""COMPUTED_VALUE"""),4.683333333333334)</f>
        <v>4.683333333</v>
      </c>
      <c r="AC26" s="59" t="str">
        <f>IFERROR(__xludf.DUMMYFUNCTION("""COMPUTED_VALUE"""),"Creative Juice Digital Printing")</f>
        <v>Creative Juice Digital Printing</v>
      </c>
      <c r="AD26" s="4">
        <f>IFERROR(__xludf.DUMMYFUNCTION("""COMPUTED_VALUE"""),4.629938271604938)</f>
        <v>4.629938272</v>
      </c>
      <c r="AF26" s="59" t="str">
        <f>IFERROR(__xludf.DUMMYFUNCTION("""COMPUTED_VALUE"""),"Commerce Asia, Inc.")</f>
        <v>Commerce Asia, Inc.</v>
      </c>
      <c r="AG26" s="4">
        <f>IFERROR(__xludf.DUMMYFUNCTION("""COMPUTED_VALUE"""),4.8125)</f>
        <v>4.8125</v>
      </c>
    </row>
    <row r="27">
      <c r="A27" s="71" t="s">
        <v>108</v>
      </c>
      <c r="B27" s="54"/>
      <c r="C27" s="55">
        <f>average(C28:C32)</f>
        <v>4.858543771</v>
      </c>
      <c r="E27" s="98">
        <v>19.0</v>
      </c>
      <c r="F27" s="98" t="s">
        <v>132</v>
      </c>
      <c r="G27" s="125"/>
      <c r="I27" s="101">
        <v>18.0</v>
      </c>
      <c r="J27" s="111" t="s">
        <v>106</v>
      </c>
      <c r="K27" s="125"/>
      <c r="N27" s="59" t="str">
        <f>IFERROR(__xludf.DUMMYFUNCTION("""COMPUTED_VALUE"""),"Atlas Superflags")</f>
        <v>Atlas Superflags</v>
      </c>
      <c r="O27" s="4">
        <f>IFERROR(__xludf.DUMMYFUNCTION("""COMPUTED_VALUE"""),5.0)</f>
        <v>5</v>
      </c>
      <c r="P27" s="60">
        <f>IFERROR(__xludf.DUMMYFUNCTION("""COMPUTED_VALUE"""),44800.0)</f>
        <v>44800</v>
      </c>
      <c r="R27" s="59" t="str">
        <f>IFERROR(__xludf.DUMMYFUNCTION("""COMPUTED_VALUE"""),"Atlas Superflags")</f>
        <v>Atlas Superflags</v>
      </c>
      <c r="S27" s="4">
        <f>IFERROR(__xludf.DUMMYFUNCTION("""COMPUTED_VALUE"""),4.0)</f>
        <v>4</v>
      </c>
      <c r="T27" s="60">
        <f>IFERROR(__xludf.DUMMYFUNCTION("""COMPUTED_VALUE"""),45165.0)</f>
        <v>45165</v>
      </c>
      <c r="V27" s="59" t="str">
        <f>IFERROR(__xludf.DUMMYFUNCTION("""COMPUTED_VALUE"""),"Mostaco Printing")</f>
        <v>Mostaco Printing</v>
      </c>
      <c r="W27" s="4">
        <f>IFERROR(__xludf.DUMMYFUNCTION("""COMPUTED_VALUE"""),4.75)</f>
        <v>4.75</v>
      </c>
      <c r="X27" s="60">
        <f>IFERROR(__xludf.DUMMYFUNCTION("""COMPUTED_VALUE"""),45516.0)</f>
        <v>45516</v>
      </c>
      <c r="Z27" s="59" t="str">
        <f>IFERROR(__xludf.DUMMYFUNCTION("""COMPUTED_VALUE"""),"Hytec Power, Inc.")</f>
        <v>Hytec Power, Inc.</v>
      </c>
      <c r="AA27" s="4">
        <f>IFERROR(__xludf.DUMMYFUNCTION("""COMPUTED_VALUE"""),3.466666666666667)</f>
        <v>3.466666667</v>
      </c>
      <c r="AC27" s="59" t="str">
        <f>IFERROR(__xludf.DUMMYFUNCTION("""COMPUTED_VALUE"""),"Crosspoint Paper, Inc.")</f>
        <v>Crosspoint Paper, Inc.</v>
      </c>
      <c r="AD27" s="4">
        <f>IFERROR(__xludf.DUMMYFUNCTION("""COMPUTED_VALUE"""),5.0)</f>
        <v>5</v>
      </c>
      <c r="AF27" s="59" t="str">
        <f>IFERROR(__xludf.DUMMYFUNCTION("""COMPUTED_VALUE"""),"Contrade Integrated Depot")</f>
        <v>Contrade Integrated Depot</v>
      </c>
      <c r="AG27" s="4">
        <f>IFERROR(__xludf.DUMMYFUNCTION("""COMPUTED_VALUE"""),4.743253968253969)</f>
        <v>4.743253968</v>
      </c>
    </row>
    <row r="28">
      <c r="A28" s="95">
        <v>19.0</v>
      </c>
      <c r="B28" s="97" t="s">
        <v>110</v>
      </c>
      <c r="C28" s="4">
        <v>4.826388888888888</v>
      </c>
      <c r="E28" s="78" t="s">
        <v>133</v>
      </c>
      <c r="F28" s="54"/>
      <c r="G28" s="55">
        <f>average(G29:G40)</f>
        <v>4.80470679</v>
      </c>
      <c r="I28" s="101">
        <v>19.0</v>
      </c>
      <c r="J28" s="102" t="s">
        <v>134</v>
      </c>
      <c r="K28" s="4">
        <v>5.0</v>
      </c>
      <c r="N28" s="59" t="str">
        <f>IFERROR(__xludf.DUMMYFUNCTION("""COMPUTED_VALUE"""),"Leonard Prints Inc.")</f>
        <v>Leonard Prints Inc.</v>
      </c>
      <c r="O28" s="4">
        <f>IFERROR(__xludf.DUMMYFUNCTION("""COMPUTED_VALUE"""),4.833333333333333)</f>
        <v>4.833333333</v>
      </c>
      <c r="P28" s="60">
        <f>IFERROR(__xludf.DUMMYFUNCTION("""COMPUTED_VALUE"""),44803.0)</f>
        <v>44803</v>
      </c>
      <c r="R28" s="59" t="str">
        <f>IFERROR(__xludf.DUMMYFUNCTION("""COMPUTED_VALUE"""),"Microsmith Technology System,Inc.")</f>
        <v>Microsmith Technology System,Inc.</v>
      </c>
      <c r="S28" s="4">
        <f>IFERROR(__xludf.DUMMYFUNCTION("""COMPUTED_VALUE"""),5.0)</f>
        <v>5</v>
      </c>
      <c r="T28" s="60">
        <f>IFERROR(__xludf.DUMMYFUNCTION("""COMPUTED_VALUE"""),45166.0)</f>
        <v>45166</v>
      </c>
      <c r="V28" s="59" t="str">
        <f>IFERROR(__xludf.DUMMYFUNCTION("""COMPUTED_VALUE"""),"EIG Metal Engravers")</f>
        <v>EIG Metal Engravers</v>
      </c>
      <c r="W28" s="4">
        <f>IFERROR(__xludf.DUMMYFUNCTION("""COMPUTED_VALUE"""),4.833333333333333)</f>
        <v>4.833333333</v>
      </c>
      <c r="X28" s="60">
        <f>IFERROR(__xludf.DUMMYFUNCTION("""COMPUTED_VALUE"""),45517.0)</f>
        <v>45517</v>
      </c>
      <c r="Z28" s="59" t="str">
        <f>IFERROR(__xludf.DUMMYFUNCTION("""COMPUTED_VALUE"""),"JC Campit And Michael Berza")</f>
        <v>JC Campit And Michael Berza</v>
      </c>
      <c r="AA28" s="4">
        <f>IFERROR(__xludf.DUMMYFUNCTION("""COMPUTED_VALUE"""),5.0)</f>
        <v>5</v>
      </c>
      <c r="AC28" s="59" t="str">
        <f>IFERROR(__xludf.DUMMYFUNCTION("""COMPUTED_VALUE"""),"DKL Laboratory Supplies")</f>
        <v>DKL Laboratory Supplies</v>
      </c>
      <c r="AD28" s="4">
        <f>IFERROR(__xludf.DUMMYFUNCTION("""COMPUTED_VALUE"""),3.6666666666666665)</f>
        <v>3.666666667</v>
      </c>
      <c r="AF28" s="59" t="str">
        <f>IFERROR(__xludf.DUMMYFUNCTION("""COMPUTED_VALUE"""),"Creative Juice Digital Printing")</f>
        <v>Creative Juice Digital Printing</v>
      </c>
      <c r="AG28" s="4">
        <f>IFERROR(__xludf.DUMMYFUNCTION("""COMPUTED_VALUE"""),4.831249999999999)</f>
        <v>4.83125</v>
      </c>
    </row>
    <row r="29">
      <c r="A29" s="95">
        <v>20.0</v>
      </c>
      <c r="B29" s="97" t="s">
        <v>113</v>
      </c>
      <c r="C29" s="4">
        <v>4.916666666666666</v>
      </c>
      <c r="E29" s="98">
        <v>20.0</v>
      </c>
      <c r="F29" s="98" t="s">
        <v>51</v>
      </c>
      <c r="G29" s="4">
        <v>4.629938271604938</v>
      </c>
      <c r="I29" s="101">
        <v>20.0</v>
      </c>
      <c r="J29" s="102" t="s">
        <v>110</v>
      </c>
      <c r="K29" s="4">
        <v>4.760416666666666</v>
      </c>
      <c r="N29" s="59" t="str">
        <f>IFERROR(__xludf.DUMMYFUNCTION("""COMPUTED_VALUE"""),"Microsmith Technology System,Inc.")</f>
        <v>Microsmith Technology System,Inc.</v>
      </c>
      <c r="O29" s="4">
        <f>IFERROR(__xludf.DUMMYFUNCTION("""COMPUTED_VALUE"""),5.0)</f>
        <v>5</v>
      </c>
      <c r="P29" s="60">
        <f>IFERROR(__xludf.DUMMYFUNCTION("""COMPUTED_VALUE"""),44805.0)</f>
        <v>44805</v>
      </c>
      <c r="R29" s="59" t="str">
        <f>IFERROR(__xludf.DUMMYFUNCTION("""COMPUTED_VALUE"""),"Net Ad IT Solutions")</f>
        <v>Net Ad IT Solutions</v>
      </c>
      <c r="S29" s="4">
        <f>IFERROR(__xludf.DUMMYFUNCTION("""COMPUTED_VALUE"""),5.0)</f>
        <v>5</v>
      </c>
      <c r="T29" s="60">
        <f>IFERROR(__xludf.DUMMYFUNCTION("""COMPUTED_VALUE"""),45181.0)</f>
        <v>45181</v>
      </c>
      <c r="V29" s="59" t="str">
        <f>IFERROR(__xludf.DUMMYFUNCTION("""COMPUTED_VALUE"""),"Commerce Asia, Inc.")</f>
        <v>Commerce Asia, Inc.</v>
      </c>
      <c r="W29" s="4">
        <f>IFERROR(__xludf.DUMMYFUNCTION("""COMPUTED_VALUE"""),4.791666666666667)</f>
        <v>4.791666667</v>
      </c>
      <c r="X29" s="60">
        <f>IFERROR(__xludf.DUMMYFUNCTION("""COMPUTED_VALUE"""),45517.0)</f>
        <v>45517</v>
      </c>
      <c r="Z29" s="59" t="str">
        <f>IFERROR(__xludf.DUMMYFUNCTION("""COMPUTED_VALUE"""),"Jarm Printing Press")</f>
        <v>Jarm Printing Press</v>
      </c>
      <c r="AA29" s="4">
        <f>IFERROR(__xludf.DUMMYFUNCTION("""COMPUTED_VALUE"""),4.75)</f>
        <v>4.75</v>
      </c>
      <c r="AC29" s="59" t="str">
        <f>IFERROR(__xludf.DUMMYFUNCTION("""COMPUTED_VALUE"""),"DOOPLO ADVERTISING")</f>
        <v>DOOPLO ADVERTISING</v>
      </c>
      <c r="AD29" s="4">
        <f>IFERROR(__xludf.DUMMYFUNCTION("""COMPUTED_VALUE"""),4.375)</f>
        <v>4.375</v>
      </c>
      <c r="AF29" s="59" t="str">
        <f>IFERROR(__xludf.DUMMYFUNCTION("""COMPUTED_VALUE"""),"Crosspoint Paper, Inc.")</f>
        <v>Crosspoint Paper, Inc.</v>
      </c>
      <c r="AG29" s="4">
        <f>IFERROR(__xludf.DUMMYFUNCTION("""COMPUTED_VALUE"""),4.944444444444444)</f>
        <v>4.944444444</v>
      </c>
    </row>
    <row r="30">
      <c r="A30" s="95">
        <v>21.0</v>
      </c>
      <c r="B30" s="97" t="s">
        <v>116</v>
      </c>
      <c r="C30" s="4">
        <v>4.832575757575758</v>
      </c>
      <c r="E30" s="98">
        <v>21.0</v>
      </c>
      <c r="F30" s="98" t="s">
        <v>135</v>
      </c>
      <c r="G30" s="128"/>
      <c r="I30" s="101">
        <v>21.0</v>
      </c>
      <c r="J30" s="111" t="s">
        <v>136</v>
      </c>
      <c r="K30" s="4">
        <v>5.0</v>
      </c>
      <c r="N30" s="59" t="str">
        <f>IFERROR(__xludf.DUMMYFUNCTION("""COMPUTED_VALUE"""),"Amazon")</f>
        <v>Amazon</v>
      </c>
      <c r="O30" s="4">
        <f>IFERROR(__xludf.DUMMYFUNCTION("""COMPUTED_VALUE"""),5.0)</f>
        <v>5</v>
      </c>
      <c r="P30" s="60">
        <f>IFERROR(__xludf.DUMMYFUNCTION("""COMPUTED_VALUE"""),44810.0)</f>
        <v>44810</v>
      </c>
      <c r="R30" s="59" t="str">
        <f>IFERROR(__xludf.DUMMYFUNCTION("""COMPUTED_VALUE"""),"Net Ad IT Solutions")</f>
        <v>Net Ad IT Solutions</v>
      </c>
      <c r="S30" s="4">
        <f>IFERROR(__xludf.DUMMYFUNCTION("""COMPUTED_VALUE"""),4.875)</f>
        <v>4.875</v>
      </c>
      <c r="T30" s="60">
        <f>IFERROR(__xludf.DUMMYFUNCTION("""COMPUTED_VALUE"""),45181.0)</f>
        <v>45181</v>
      </c>
      <c r="V30" s="59" t="str">
        <f>IFERROR(__xludf.DUMMYFUNCTION("""COMPUTED_VALUE"""),"Shelves and Cups Book Store")</f>
        <v>Shelves and Cups Book Store</v>
      </c>
      <c r="W30" s="4">
        <f>IFERROR(__xludf.DUMMYFUNCTION("""COMPUTED_VALUE"""),4.833333333333333)</f>
        <v>4.833333333</v>
      </c>
      <c r="X30" s="60">
        <f>IFERROR(__xludf.DUMMYFUNCTION("""COMPUTED_VALUE"""),45517.0)</f>
        <v>45517</v>
      </c>
      <c r="Z30" s="59" t="str">
        <f>IFERROR(__xludf.DUMMYFUNCTION("""COMPUTED_VALUE"""),"Leonard Prints Inc.")</f>
        <v>Leonard Prints Inc.</v>
      </c>
      <c r="AA30" s="4">
        <f>IFERROR(__xludf.DUMMYFUNCTION("""COMPUTED_VALUE"""),4.816666666666666)</f>
        <v>4.816666667</v>
      </c>
      <c r="AC30" s="59" t="str">
        <f>IFERROR(__xludf.DUMMYFUNCTION("""COMPUTED_VALUE"""),"Data Computer Forms, Inc.")</f>
        <v>Data Computer Forms, Inc.</v>
      </c>
      <c r="AD30" s="4">
        <f>IFERROR(__xludf.DUMMYFUNCTION("""COMPUTED_VALUE"""),4.25)</f>
        <v>4.25</v>
      </c>
      <c r="AF30" s="59" t="str">
        <f>IFERROR(__xludf.DUMMYFUNCTION("""COMPUTED_VALUE"""),"Data Computer Forms, Inc.")</f>
        <v>Data Computer Forms, Inc.</v>
      </c>
      <c r="AG30" s="4">
        <f>IFERROR(__xludf.DUMMYFUNCTION("""COMPUTED_VALUE"""),4.952777777777778)</f>
        <v>4.952777778</v>
      </c>
    </row>
    <row r="31">
      <c r="A31" s="95">
        <v>22.0</v>
      </c>
      <c r="B31" s="97" t="s">
        <v>125</v>
      </c>
      <c r="C31" s="127"/>
      <c r="E31" s="98">
        <v>22.0</v>
      </c>
      <c r="F31" s="98" t="s">
        <v>137</v>
      </c>
      <c r="G31" s="4">
        <v>4.866666666666666</v>
      </c>
      <c r="I31" s="83" t="s">
        <v>138</v>
      </c>
      <c r="J31" s="85"/>
      <c r="K31" s="55">
        <f>average(K32:K39)</f>
        <v>4.616369048</v>
      </c>
      <c r="N31" s="59" t="str">
        <f>IFERROR(__xludf.DUMMYFUNCTION("""COMPUTED_VALUE"""),"PNB Credit Card")</f>
        <v>PNB Credit Card</v>
      </c>
      <c r="O31" s="4">
        <f>IFERROR(__xludf.DUMMYFUNCTION("""COMPUTED_VALUE"""),3.9166666666666665)</f>
        <v>3.916666667</v>
      </c>
      <c r="P31" s="60">
        <f>IFERROR(__xludf.DUMMYFUNCTION("""COMPUTED_VALUE"""),44810.0)</f>
        <v>44810</v>
      </c>
      <c r="R31" s="59" t="str">
        <f>IFERROR(__xludf.DUMMYFUNCTION("""COMPUTED_VALUE"""),"Abacus Book &amp; Card Corp.")</f>
        <v>Abacus Book &amp; Card Corp.</v>
      </c>
      <c r="S31" s="4">
        <f>IFERROR(__xludf.DUMMYFUNCTION("""COMPUTED_VALUE"""),4.833333333333333)</f>
        <v>4.833333333</v>
      </c>
      <c r="T31" s="60">
        <f>IFERROR(__xludf.DUMMYFUNCTION("""COMPUTED_VALUE"""),45181.0)</f>
        <v>45181</v>
      </c>
      <c r="V31" s="59" t="str">
        <f>IFERROR(__xludf.DUMMYFUNCTION("""COMPUTED_VALUE"""),"Contrade Integrated Depot")</f>
        <v>Contrade Integrated Depot</v>
      </c>
      <c r="W31" s="4">
        <f>IFERROR(__xludf.DUMMYFUNCTION("""COMPUTED_VALUE"""),4.666666666666667)</f>
        <v>4.666666667</v>
      </c>
      <c r="X31" s="60">
        <f>IFERROR(__xludf.DUMMYFUNCTION("""COMPUTED_VALUE"""),45521.0)</f>
        <v>45521</v>
      </c>
      <c r="Z31" s="59" t="str">
        <f>IFERROR(__xludf.DUMMYFUNCTION("""COMPUTED_VALUE"""),"Lordfel Marketing")</f>
        <v>Lordfel Marketing</v>
      </c>
      <c r="AA31" s="4">
        <f>IFERROR(__xludf.DUMMYFUNCTION("""COMPUTED_VALUE"""),5.0)</f>
        <v>5</v>
      </c>
      <c r="AC31" s="59" t="str">
        <f>IFERROR(__xludf.DUMMYFUNCTION("""COMPUTED_VALUE"""),"Dynamics Electrical Supply and Hardware")</f>
        <v>Dynamics Electrical Supply and Hardware</v>
      </c>
      <c r="AD31" s="4">
        <f>IFERROR(__xludf.DUMMYFUNCTION("""COMPUTED_VALUE"""),4.0)</f>
        <v>4</v>
      </c>
      <c r="AF31" s="59" t="str">
        <f>IFERROR(__xludf.DUMMYFUNCTION("""COMPUTED_VALUE"""),"Dynamics Electrical Supply and Hardware")</f>
        <v>Dynamics Electrical Supply and Hardware</v>
      </c>
      <c r="AG31" s="4">
        <f>IFERROR(__xludf.DUMMYFUNCTION("""COMPUTED_VALUE"""),4.333333333333333)</f>
        <v>4.333333333</v>
      </c>
    </row>
    <row r="32">
      <c r="A32" s="95">
        <v>23.0</v>
      </c>
      <c r="B32" s="97" t="s">
        <v>132</v>
      </c>
      <c r="C32" s="50"/>
      <c r="E32" s="98">
        <v>23.0</v>
      </c>
      <c r="F32" s="98" t="s">
        <v>139</v>
      </c>
      <c r="G32" s="4">
        <v>4.874999999999999</v>
      </c>
      <c r="I32" s="101">
        <v>22.0</v>
      </c>
      <c r="J32" s="111" t="s">
        <v>140</v>
      </c>
      <c r="K32" s="2"/>
      <c r="N32" s="59" t="str">
        <f>IFERROR(__xludf.DUMMYFUNCTION("""COMPUTED_VALUE"""),"Abenson Ventures, Inc.")</f>
        <v>Abenson Ventures, Inc.</v>
      </c>
      <c r="O32" s="4">
        <f>IFERROR(__xludf.DUMMYFUNCTION("""COMPUTED_VALUE"""),4.833333333333333)</f>
        <v>4.833333333</v>
      </c>
      <c r="P32" s="60">
        <f>IFERROR(__xludf.DUMMYFUNCTION("""COMPUTED_VALUE"""),44812.0)</f>
        <v>44812</v>
      </c>
      <c r="R32" s="59" t="str">
        <f>IFERROR(__xludf.DUMMYFUNCTION("""COMPUTED_VALUE"""),"Chemtrust Global Market, Inc.")</f>
        <v>Chemtrust Global Market, Inc.</v>
      </c>
      <c r="S32" s="4">
        <f>IFERROR(__xludf.DUMMYFUNCTION("""COMPUTED_VALUE"""),5.0)</f>
        <v>5</v>
      </c>
      <c r="T32" s="60">
        <f>IFERROR(__xludf.DUMMYFUNCTION("""COMPUTED_VALUE"""),45182.0)</f>
        <v>45182</v>
      </c>
      <c r="V32" s="59" t="str">
        <f>IFERROR(__xludf.DUMMYFUNCTION("""COMPUTED_VALUE"""),"Printing Shop PrintPilipinas.com")</f>
        <v>Printing Shop PrintPilipinas.com</v>
      </c>
      <c r="W32" s="4">
        <f>IFERROR(__xludf.DUMMYFUNCTION("""COMPUTED_VALUE"""),4.833333333333333)</f>
        <v>4.833333333</v>
      </c>
      <c r="X32" s="60">
        <f>IFERROR(__xludf.DUMMYFUNCTION("""COMPUTED_VALUE"""),45523.0)</f>
        <v>45523</v>
      </c>
      <c r="Z32" s="59" t="str">
        <f>IFERROR(__xludf.DUMMYFUNCTION("""COMPUTED_VALUE"""),"Luminaire Printing And Publishing Corp.")</f>
        <v>Luminaire Printing And Publishing Corp.</v>
      </c>
      <c r="AA32" s="4">
        <f>IFERROR(__xludf.DUMMYFUNCTION("""COMPUTED_VALUE"""),4.785714285714286)</f>
        <v>4.785714286</v>
      </c>
      <c r="AC32" s="59" t="str">
        <f>IFERROR(__xludf.DUMMYFUNCTION("""COMPUTED_VALUE"""),"EA Intertrade General Merchandising, Inc.")</f>
        <v>EA Intertrade General Merchandising, Inc.</v>
      </c>
      <c r="AD32" s="4">
        <f>IFERROR(__xludf.DUMMYFUNCTION("""COMPUTED_VALUE"""),5.0)</f>
        <v>5</v>
      </c>
      <c r="AF32" s="59" t="str">
        <f>IFERROR(__xludf.DUMMYFUNCTION("""COMPUTED_VALUE"""),"ECOSHIFT CORPORATION")</f>
        <v>ECOSHIFT CORPORATION</v>
      </c>
      <c r="AG32" s="4">
        <f>IFERROR(__xludf.DUMMYFUNCTION("""COMPUTED_VALUE"""),4.966666666666667)</f>
        <v>4.966666667</v>
      </c>
    </row>
    <row r="33">
      <c r="A33" s="71" t="s">
        <v>133</v>
      </c>
      <c r="B33" s="54"/>
      <c r="C33" s="55">
        <f>average(C34:C44)</f>
        <v>4.696064815</v>
      </c>
      <c r="E33" s="98">
        <v>24.0</v>
      </c>
      <c r="F33" s="98" t="s">
        <v>141</v>
      </c>
      <c r="G33" s="2"/>
      <c r="I33" s="101">
        <v>23.0</v>
      </c>
      <c r="J33" s="111" t="s">
        <v>142</v>
      </c>
      <c r="K33" s="2"/>
      <c r="N33" s="59" t="str">
        <f>IFERROR(__xludf.DUMMYFUNCTION("""COMPUTED_VALUE"""),"Contrade Integrated Depot")</f>
        <v>Contrade Integrated Depot</v>
      </c>
      <c r="O33" s="4">
        <f>IFERROR(__xludf.DUMMYFUNCTION("""COMPUTED_VALUE"""),4.833333333333333)</f>
        <v>4.833333333</v>
      </c>
      <c r="P33" s="60">
        <f>IFERROR(__xludf.DUMMYFUNCTION("""COMPUTED_VALUE"""),44813.0)</f>
        <v>44813</v>
      </c>
      <c r="R33" s="59" t="str">
        <f>IFERROR(__xludf.DUMMYFUNCTION("""COMPUTED_VALUE"""),"Chemtrust Global Market, Inc.")</f>
        <v>Chemtrust Global Market, Inc.</v>
      </c>
      <c r="S33" s="4">
        <f>IFERROR(__xludf.DUMMYFUNCTION("""COMPUTED_VALUE"""),5.0)</f>
        <v>5</v>
      </c>
      <c r="T33" s="60">
        <f>IFERROR(__xludf.DUMMYFUNCTION("""COMPUTED_VALUE"""),45184.0)</f>
        <v>45184</v>
      </c>
      <c r="V33" s="59" t="str">
        <f>IFERROR(__xludf.DUMMYFUNCTION("""COMPUTED_VALUE"""),"Leonard Prints Inc.")</f>
        <v>Leonard Prints Inc.</v>
      </c>
      <c r="W33" s="4">
        <f>IFERROR(__xludf.DUMMYFUNCTION("""COMPUTED_VALUE"""),4.791666666666667)</f>
        <v>4.791666667</v>
      </c>
      <c r="X33" s="60">
        <f>IFERROR(__xludf.DUMMYFUNCTION("""COMPUTED_VALUE"""),45523.0)</f>
        <v>45523</v>
      </c>
      <c r="Z33" s="59" t="str">
        <f>IFERROR(__xludf.DUMMYFUNCTION("""COMPUTED_VALUE"""),"Marguerita Maria Nina I. Kanapi")</f>
        <v>Marguerita Maria Nina I. Kanapi</v>
      </c>
      <c r="AA33" s="4">
        <f>IFERROR(__xludf.DUMMYFUNCTION("""COMPUTED_VALUE"""),5.0)</f>
        <v>5</v>
      </c>
      <c r="AC33" s="59" t="str">
        <f>IFERROR(__xludf.DUMMYFUNCTION("""COMPUTED_VALUE"""),"EESM Bookstore")</f>
        <v>EESM Bookstore</v>
      </c>
      <c r="AD33" s="4">
        <f>IFERROR(__xludf.DUMMYFUNCTION("""COMPUTED_VALUE"""),4.808333333333333)</f>
        <v>4.808333333</v>
      </c>
      <c r="AF33" s="59" t="str">
        <f>IFERROR(__xludf.DUMMYFUNCTION("""COMPUTED_VALUE"""),"EIG Metal Engravers")</f>
        <v>EIG Metal Engravers</v>
      </c>
      <c r="AG33" s="4">
        <f>IFERROR(__xludf.DUMMYFUNCTION("""COMPUTED_VALUE"""),4.944444444444444)</f>
        <v>4.944444444</v>
      </c>
    </row>
    <row r="34">
      <c r="A34" s="95">
        <v>24.0</v>
      </c>
      <c r="B34" s="97" t="s">
        <v>51</v>
      </c>
      <c r="C34" s="50"/>
      <c r="E34" s="98">
        <v>25.0</v>
      </c>
      <c r="F34" s="98" t="s">
        <v>143</v>
      </c>
      <c r="G34" s="4">
        <v>4.847222222222222</v>
      </c>
      <c r="I34" s="101">
        <v>24.0</v>
      </c>
      <c r="J34" s="111" t="s">
        <v>144</v>
      </c>
      <c r="K34" s="125"/>
      <c r="N34" s="59" t="str">
        <f>IFERROR(__xludf.DUMMYFUNCTION("""COMPUTED_VALUE"""),"Contrade Integrated Depot")</f>
        <v>Contrade Integrated Depot</v>
      </c>
      <c r="O34" s="4">
        <f>IFERROR(__xludf.DUMMYFUNCTION("""COMPUTED_VALUE"""),4.533333333333333)</f>
        <v>4.533333333</v>
      </c>
      <c r="P34" s="60">
        <f>IFERROR(__xludf.DUMMYFUNCTION("""COMPUTED_VALUE"""),44816.0)</f>
        <v>44816</v>
      </c>
      <c r="R34" s="59" t="str">
        <f>IFERROR(__xludf.DUMMYFUNCTION("""COMPUTED_VALUE"""),"Rivchem Enterprises")</f>
        <v>Rivchem Enterprises</v>
      </c>
      <c r="S34" s="4">
        <f>IFERROR(__xludf.DUMMYFUNCTION("""COMPUTED_VALUE"""),2.7416666666666667)</f>
        <v>2.741666667</v>
      </c>
      <c r="T34" s="60">
        <f>IFERROR(__xludf.DUMMYFUNCTION("""COMPUTED_VALUE"""),45185.0)</f>
        <v>45185</v>
      </c>
      <c r="V34" s="59" t="str">
        <f>IFERROR(__xludf.DUMMYFUNCTION("""COMPUTED_VALUE"""),"Printing Shop PrintPilipinas.com")</f>
        <v>Printing Shop PrintPilipinas.com</v>
      </c>
      <c r="W34" s="4">
        <f>IFERROR(__xludf.DUMMYFUNCTION("""COMPUTED_VALUE"""),4.816666666666666)</f>
        <v>4.816666667</v>
      </c>
      <c r="X34" s="60">
        <f>IFERROR(__xludf.DUMMYFUNCTION("""COMPUTED_VALUE"""),45523.0)</f>
        <v>45523</v>
      </c>
      <c r="Z34" s="59" t="str">
        <f>IFERROR(__xludf.DUMMYFUNCTION("""COMPUTED_VALUE"""),"Microsmith Technology System,Inc.")</f>
        <v>Microsmith Technology System,Inc.</v>
      </c>
      <c r="AA34" s="4">
        <f>IFERROR(__xludf.DUMMYFUNCTION("""COMPUTED_VALUE"""),4.941666666666666)</f>
        <v>4.941666667</v>
      </c>
      <c r="AC34" s="59" t="str">
        <f>IFERROR(__xludf.DUMMYFUNCTION("""COMPUTED_VALUE"""),"EIG Metal Engravers")</f>
        <v>EIG Metal Engravers</v>
      </c>
      <c r="AD34" s="4">
        <f>IFERROR(__xludf.DUMMYFUNCTION("""COMPUTED_VALUE"""),4.75)</f>
        <v>4.75</v>
      </c>
      <c r="AF34" s="59" t="str">
        <f>IFERROR(__xludf.DUMMYFUNCTION("""COMPUTED_VALUE"""),"Elle Tech and Trend Office Furniture and Interiors")</f>
        <v>Elle Tech and Trend Office Furniture and Interiors</v>
      </c>
      <c r="AG34" s="4">
        <f>IFERROR(__xludf.DUMMYFUNCTION("""COMPUTED_VALUE"""),4.7)</f>
        <v>4.7</v>
      </c>
    </row>
    <row r="35">
      <c r="A35" s="95">
        <v>25.0</v>
      </c>
      <c r="B35" s="97" t="s">
        <v>135</v>
      </c>
      <c r="C35" s="2"/>
      <c r="E35" s="98">
        <v>26.0</v>
      </c>
      <c r="F35" s="98" t="s">
        <v>145</v>
      </c>
      <c r="G35" s="2"/>
      <c r="I35" s="101">
        <v>25.0</v>
      </c>
      <c r="J35" s="111" t="s">
        <v>87</v>
      </c>
      <c r="K35" s="4">
        <v>4.71547619047619</v>
      </c>
      <c r="N35" s="59" t="str">
        <f>IFERROR(__xludf.DUMMYFUNCTION("""COMPUTED_VALUE"""),"Contrade Integrated Depot")</f>
        <v>Contrade Integrated Depot</v>
      </c>
      <c r="O35" s="4">
        <f>IFERROR(__xludf.DUMMYFUNCTION("""COMPUTED_VALUE"""),4.675)</f>
        <v>4.675</v>
      </c>
      <c r="P35" s="60">
        <f>IFERROR(__xludf.DUMMYFUNCTION("""COMPUTED_VALUE"""),44816.0)</f>
        <v>44816</v>
      </c>
      <c r="R35" s="59" t="str">
        <f>IFERROR(__xludf.DUMMYFUNCTION("""COMPUTED_VALUE"""),"Rivchem Enterprises")</f>
        <v>Rivchem Enterprises</v>
      </c>
      <c r="S35" s="4">
        <f>IFERROR(__xludf.DUMMYFUNCTION("""COMPUTED_VALUE"""),2.891666666666667)</f>
        <v>2.891666667</v>
      </c>
      <c r="T35" s="60">
        <f>IFERROR(__xludf.DUMMYFUNCTION("""COMPUTED_VALUE"""),45185.0)</f>
        <v>45185</v>
      </c>
      <c r="V35" s="59" t="str">
        <f>IFERROR(__xludf.DUMMYFUNCTION("""COMPUTED_VALUE"""),"Abiva Publishing House, Inc.")</f>
        <v>Abiva Publishing House, Inc.</v>
      </c>
      <c r="W35" s="4">
        <f>IFERROR(__xludf.DUMMYFUNCTION("""COMPUTED_VALUE"""),4.833333333333333)</f>
        <v>4.833333333</v>
      </c>
      <c r="X35" s="60">
        <f>IFERROR(__xludf.DUMMYFUNCTION("""COMPUTED_VALUE"""),45524.0)</f>
        <v>45524</v>
      </c>
      <c r="Z35" s="59" t="str">
        <f>IFERROR(__xludf.DUMMYFUNCTION("""COMPUTED_VALUE"""),"Net Ad IT Solutions")</f>
        <v>Net Ad IT Solutions</v>
      </c>
      <c r="AA35" s="4">
        <f>IFERROR(__xludf.DUMMYFUNCTION("""COMPUTED_VALUE"""),4.760416666666666)</f>
        <v>4.760416667</v>
      </c>
      <c r="AC35" s="59" t="str">
        <f>IFERROR(__xludf.DUMMYFUNCTION("""COMPUTED_VALUE"""),"Falcon Waterfree Philippines, Inc.")</f>
        <v>Falcon Waterfree Philippines, Inc.</v>
      </c>
      <c r="AD35" s="4">
        <f>IFERROR(__xludf.DUMMYFUNCTION("""COMPUTED_VALUE"""),4.541666666666666)</f>
        <v>4.541666667</v>
      </c>
      <c r="AF35" s="59" t="str">
        <f>IFERROR(__xludf.DUMMYFUNCTION("""COMPUTED_VALUE"""),"Express Cards Enterprises Co.")</f>
        <v>Express Cards Enterprises Co.</v>
      </c>
      <c r="AG35" s="4">
        <f>IFERROR(__xludf.DUMMYFUNCTION("""COMPUTED_VALUE"""),5.0)</f>
        <v>5</v>
      </c>
    </row>
    <row r="36">
      <c r="A36" s="95">
        <v>26.0</v>
      </c>
      <c r="B36" s="97" t="s">
        <v>137</v>
      </c>
      <c r="C36" s="4">
        <v>4.583333333333333</v>
      </c>
      <c r="E36" s="98">
        <v>27.0</v>
      </c>
      <c r="F36" s="140" t="s">
        <v>148</v>
      </c>
      <c r="G36" s="2"/>
      <c r="I36" s="101">
        <v>26.0</v>
      </c>
      <c r="J36" s="111" t="s">
        <v>149</v>
      </c>
      <c r="K36" s="4">
        <v>4.066666666666666</v>
      </c>
      <c r="N36" s="59" t="str">
        <f>IFERROR(__xludf.DUMMYFUNCTION("""COMPUTED_VALUE"""),"Luminaire Printing And Publishing Corp.")</f>
        <v>Luminaire Printing And Publishing Corp.</v>
      </c>
      <c r="O36" s="4">
        <f>IFERROR(__xludf.DUMMYFUNCTION("""COMPUTED_VALUE"""),4.683333333333334)</f>
        <v>4.683333333</v>
      </c>
      <c r="P36" s="60">
        <f>IFERROR(__xludf.DUMMYFUNCTION("""COMPUTED_VALUE"""),44817.0)</f>
        <v>44817</v>
      </c>
      <c r="R36" s="59" t="str">
        <f>IFERROR(__xludf.DUMMYFUNCTION("""COMPUTED_VALUE"""),"Contrade Integrated Depot")</f>
        <v>Contrade Integrated Depot</v>
      </c>
      <c r="S36" s="4">
        <f>IFERROR(__xludf.DUMMYFUNCTION("""COMPUTED_VALUE"""),4.566666666666666)</f>
        <v>4.566666667</v>
      </c>
      <c r="T36" s="60">
        <f>IFERROR(__xludf.DUMMYFUNCTION("""COMPUTED_VALUE"""),45189.0)</f>
        <v>45189</v>
      </c>
      <c r="V36" s="59" t="str">
        <f>IFERROR(__xludf.DUMMYFUNCTION("""COMPUTED_VALUE"""),"Alpha Steel Office and Home Furnishing Company")</f>
        <v>Alpha Steel Office and Home Furnishing Company</v>
      </c>
      <c r="W36" s="4">
        <f>IFERROR(__xludf.DUMMYFUNCTION("""COMPUTED_VALUE"""),4.833333333333333)</f>
        <v>4.833333333</v>
      </c>
      <c r="X36" s="60">
        <f>IFERROR(__xludf.DUMMYFUNCTION("""COMPUTED_VALUE"""),45526.0)</f>
        <v>45526</v>
      </c>
      <c r="Z36" s="59" t="str">
        <f>IFERROR(__xludf.DUMMYFUNCTION("""COMPUTED_VALUE"""),"One Supply")</f>
        <v>One Supply</v>
      </c>
      <c r="AA36" s="4">
        <f>IFERROR(__xludf.DUMMYFUNCTION("""COMPUTED_VALUE"""),5.0)</f>
        <v>5</v>
      </c>
      <c r="AC36" s="59" t="str">
        <f>IFERROR(__xludf.DUMMYFUNCTION("""COMPUTED_VALUE"""),"Forefront Book Co., Inc.")</f>
        <v>Forefront Book Co., Inc.</v>
      </c>
      <c r="AD36" s="4">
        <f>IFERROR(__xludf.DUMMYFUNCTION("""COMPUTED_VALUE"""),4.733333333333333)</f>
        <v>4.733333333</v>
      </c>
      <c r="AF36" s="59" t="str">
        <f>IFERROR(__xludf.DUMMYFUNCTION("""COMPUTED_VALUE"""),"Falcon Waterfree Philippines, Inc.")</f>
        <v>Falcon Waterfree Philippines, Inc.</v>
      </c>
      <c r="AG36" s="4">
        <f>IFERROR(__xludf.DUMMYFUNCTION("""COMPUTED_VALUE"""),4.791666666666667)</f>
        <v>4.791666667</v>
      </c>
    </row>
    <row r="37">
      <c r="A37" s="95">
        <v>27.0</v>
      </c>
      <c r="B37" s="97" t="s">
        <v>139</v>
      </c>
      <c r="C37" s="50"/>
      <c r="E37" s="98">
        <v>28.0</v>
      </c>
      <c r="F37" s="98" t="s">
        <v>150</v>
      </c>
      <c r="G37" s="2"/>
      <c r="I37" s="108">
        <v>27.0</v>
      </c>
      <c r="J37" s="111" t="s">
        <v>151</v>
      </c>
      <c r="K37" s="2"/>
      <c r="N37" s="59" t="str">
        <f>IFERROR(__xludf.DUMMYFUNCTION("""COMPUTED_VALUE"""),"Polaris Prime Air Tech Corporation")</f>
        <v>Polaris Prime Air Tech Corporation</v>
      </c>
      <c r="O37" s="4">
        <f>IFERROR(__xludf.DUMMYFUNCTION("""COMPUTED_VALUE"""),4.0)</f>
        <v>4</v>
      </c>
      <c r="P37" s="60">
        <f>IFERROR(__xludf.DUMMYFUNCTION("""COMPUTED_VALUE"""),44817.0)</f>
        <v>44817</v>
      </c>
      <c r="R37" s="59" t="str">
        <f>IFERROR(__xludf.DUMMYFUNCTION("""COMPUTED_VALUE"""),"Booktrens Enterprises")</f>
        <v>Booktrens Enterprises</v>
      </c>
      <c r="S37" s="4">
        <f>IFERROR(__xludf.DUMMYFUNCTION("""COMPUTED_VALUE"""),5.0)</f>
        <v>5</v>
      </c>
      <c r="T37" s="60">
        <f>IFERROR(__xludf.DUMMYFUNCTION("""COMPUTED_VALUE"""),45191.0)</f>
        <v>45191</v>
      </c>
      <c r="V37" s="59" t="str">
        <f>IFERROR(__xludf.DUMMYFUNCTION("""COMPUTED_VALUE"""),"Printing Shop PrintPilipinas.com")</f>
        <v>Printing Shop PrintPilipinas.com</v>
      </c>
      <c r="W37" s="4">
        <f>IFERROR(__xludf.DUMMYFUNCTION("""COMPUTED_VALUE"""),4.333333333333333)</f>
        <v>4.333333333</v>
      </c>
      <c r="X37" s="60">
        <f>IFERROR(__xludf.DUMMYFUNCTION("""COMPUTED_VALUE"""),45526.0)</f>
        <v>45526</v>
      </c>
      <c r="Z37" s="59" t="str">
        <f>IFERROR(__xludf.DUMMYFUNCTION("""COMPUTED_VALUE"""),"Oray Copier Solutions")</f>
        <v>Oray Copier Solutions</v>
      </c>
      <c r="AA37" s="4">
        <f>IFERROR(__xludf.DUMMYFUNCTION("""COMPUTED_VALUE"""),5.0)</f>
        <v>5</v>
      </c>
      <c r="AC37" s="59" t="str">
        <f>IFERROR(__xludf.DUMMYFUNCTION("""COMPUTED_VALUE"""),"Goldlink Indsutrial Sales")</f>
        <v>Goldlink Indsutrial Sales</v>
      </c>
      <c r="AD37" s="4">
        <f>IFERROR(__xludf.DUMMYFUNCTION("""COMPUTED_VALUE"""),4.541666666666666)</f>
        <v>4.541666667</v>
      </c>
      <c r="AF37" s="59" t="str">
        <f>IFERROR(__xludf.DUMMYFUNCTION("""COMPUTED_VALUE"""),"Golden Advance Marketing")</f>
        <v>Golden Advance Marketing</v>
      </c>
      <c r="AG37" s="4">
        <f>IFERROR(__xludf.DUMMYFUNCTION("""COMPUTED_VALUE"""),4.763888888888889)</f>
        <v>4.763888889</v>
      </c>
    </row>
    <row r="38">
      <c r="A38" s="95">
        <v>28.0</v>
      </c>
      <c r="B38" s="97" t="s">
        <v>141</v>
      </c>
      <c r="C38" s="128"/>
      <c r="E38" s="98">
        <v>29.0</v>
      </c>
      <c r="F38" s="98" t="s">
        <v>153</v>
      </c>
      <c r="G38" s="128"/>
      <c r="I38" s="101">
        <v>28.0</v>
      </c>
      <c r="J38" s="111" t="s">
        <v>154</v>
      </c>
      <c r="K38" s="4">
        <v>4.683333333333334</v>
      </c>
      <c r="N38" s="59" t="str">
        <f>IFERROR(__xludf.DUMMYFUNCTION("""COMPUTED_VALUE"""),"Hospeco Philippines, Inc.")</f>
        <v>Hospeco Philippines, Inc.</v>
      </c>
      <c r="O38" s="4">
        <f>IFERROR(__xludf.DUMMYFUNCTION("""COMPUTED_VALUE"""),4.833333333333333)</f>
        <v>4.833333333</v>
      </c>
      <c r="P38" s="60">
        <f>IFERROR(__xludf.DUMMYFUNCTION("""COMPUTED_VALUE"""),44825.0)</f>
        <v>44825</v>
      </c>
      <c r="R38" s="59" t="str">
        <f>IFERROR(__xludf.DUMMYFUNCTION("""COMPUTED_VALUE"""),"Microsmith Technology System,Inc.")</f>
        <v>Microsmith Technology System,Inc.</v>
      </c>
      <c r="S38" s="4">
        <f>IFERROR(__xludf.DUMMYFUNCTION("""COMPUTED_VALUE"""),4.666666666666667)</f>
        <v>4.666666667</v>
      </c>
      <c r="T38" s="60">
        <f>IFERROR(__xludf.DUMMYFUNCTION("""COMPUTED_VALUE"""),45195.0)</f>
        <v>45195</v>
      </c>
      <c r="V38" s="59" t="str">
        <f>IFERROR(__xludf.DUMMYFUNCTION("""COMPUTED_VALUE"""),"Commerce Asia, Inc.")</f>
        <v>Commerce Asia, Inc.</v>
      </c>
      <c r="W38" s="4">
        <f>IFERROR(__xludf.DUMMYFUNCTION("""COMPUTED_VALUE"""),4.833333333333333)</f>
        <v>4.833333333</v>
      </c>
      <c r="X38" s="60">
        <f>IFERROR(__xludf.DUMMYFUNCTION("""COMPUTED_VALUE"""),45527.0)</f>
        <v>45527</v>
      </c>
      <c r="Z38" s="59" t="str">
        <f>IFERROR(__xludf.DUMMYFUNCTION("""COMPUTED_VALUE"""),"PNB Credit Card")</f>
        <v>PNB Credit Card</v>
      </c>
      <c r="AA38" s="4">
        <f>IFERROR(__xludf.DUMMYFUNCTION("""COMPUTED_VALUE"""),3.9166666666666665)</f>
        <v>3.916666667</v>
      </c>
      <c r="AC38" s="59" t="str">
        <f>IFERROR(__xludf.DUMMYFUNCTION("""COMPUTED_VALUE"""),"Hospeco Philippines, Inc.")</f>
        <v>Hospeco Philippines, Inc.</v>
      </c>
      <c r="AD38" s="4">
        <f>IFERROR(__xludf.DUMMYFUNCTION("""COMPUTED_VALUE"""),4.416666666666666)</f>
        <v>4.416666667</v>
      </c>
      <c r="AF38" s="59" t="str">
        <f>IFERROR(__xludf.DUMMYFUNCTION("""COMPUTED_VALUE"""),"Hospeco Philippines, Inc.")</f>
        <v>Hospeco Philippines, Inc.</v>
      </c>
      <c r="AG38" s="4">
        <f>IFERROR(__xludf.DUMMYFUNCTION("""COMPUTED_VALUE"""),4.811111111111111)</f>
        <v>4.811111111</v>
      </c>
    </row>
    <row r="39">
      <c r="A39" s="95">
        <v>29.0</v>
      </c>
      <c r="B39" s="97" t="s">
        <v>143</v>
      </c>
      <c r="C39" s="4">
        <v>4.60462962962963</v>
      </c>
      <c r="E39" s="98">
        <v>30.0</v>
      </c>
      <c r="F39" s="98" t="s">
        <v>155</v>
      </c>
      <c r="G39" s="2"/>
      <c r="I39" s="101">
        <v>29.0</v>
      </c>
      <c r="J39" s="111" t="s">
        <v>156</v>
      </c>
      <c r="K39" s="4">
        <v>5.0</v>
      </c>
      <c r="N39" s="59" t="str">
        <f>IFERROR(__xludf.DUMMYFUNCTION("""COMPUTED_VALUE"""),"Contrade Integrated Depot")</f>
        <v>Contrade Integrated Depot</v>
      </c>
      <c r="O39" s="4">
        <f>IFERROR(__xludf.DUMMYFUNCTION("""COMPUTED_VALUE"""),3.8733333333333335)</f>
        <v>3.873333333</v>
      </c>
      <c r="P39" s="60">
        <f>IFERROR(__xludf.DUMMYFUNCTION("""COMPUTED_VALUE"""),44827.0)</f>
        <v>44827</v>
      </c>
      <c r="R39" s="59" t="str">
        <f>IFERROR(__xludf.DUMMYFUNCTION("""COMPUTED_VALUE"""),"Creative Juice Digital Printing")</f>
        <v>Creative Juice Digital Printing</v>
      </c>
      <c r="S39" s="4">
        <f>IFERROR(__xludf.DUMMYFUNCTION("""COMPUTED_VALUE"""),5.0)</f>
        <v>5</v>
      </c>
      <c r="T39" s="60">
        <f>IFERROR(__xludf.DUMMYFUNCTION("""COMPUTED_VALUE"""),45196.0)</f>
        <v>45196</v>
      </c>
      <c r="V39" s="59" t="str">
        <f>IFERROR(__xludf.DUMMYFUNCTION("""COMPUTED_VALUE"""),"Contrade Integrated Depot")</f>
        <v>Contrade Integrated Depot</v>
      </c>
      <c r="W39" s="4">
        <f>IFERROR(__xludf.DUMMYFUNCTION("""COMPUTED_VALUE"""),4.75)</f>
        <v>4.75</v>
      </c>
      <c r="X39" s="60">
        <f>IFERROR(__xludf.DUMMYFUNCTION("""COMPUTED_VALUE"""),45528.0)</f>
        <v>45528</v>
      </c>
      <c r="Z39" s="59" t="str">
        <f>IFERROR(__xludf.DUMMYFUNCTION("""COMPUTED_VALUE"""),"Polaris Integrated Industries, Inc.")</f>
        <v>Polaris Integrated Industries, Inc.</v>
      </c>
      <c r="AA39" s="4">
        <f>IFERROR(__xludf.DUMMYFUNCTION("""COMPUTED_VALUE"""),4.991666666666666)</f>
        <v>4.991666667</v>
      </c>
      <c r="AC39" s="59" t="str">
        <f>IFERROR(__xludf.DUMMYFUNCTION("""COMPUTED_VALUE"""),"I-Stop Graphics and Business Center")</f>
        <v>I-Stop Graphics and Business Center</v>
      </c>
      <c r="AD39" s="4">
        <f>IFERROR(__xludf.DUMMYFUNCTION("""COMPUTED_VALUE"""),4.083333333333334)</f>
        <v>4.083333333</v>
      </c>
      <c r="AF39" s="59" t="str">
        <f>IFERROR(__xludf.DUMMYFUNCTION("""COMPUTED_VALUE"""),"Hytec Power, Inc.")</f>
        <v>Hytec Power, Inc.</v>
      </c>
      <c r="AG39" s="4">
        <f>IFERROR(__xludf.DUMMYFUNCTION("""COMPUTED_VALUE"""),3.8333333333333335)</f>
        <v>3.833333333</v>
      </c>
    </row>
    <row r="40">
      <c r="A40" s="95">
        <v>30.0</v>
      </c>
      <c r="B40" s="97" t="s">
        <v>145</v>
      </c>
      <c r="C40" s="2"/>
      <c r="E40" s="98">
        <v>31.0</v>
      </c>
      <c r="F40" s="98" t="s">
        <v>157</v>
      </c>
      <c r="G40" s="2"/>
      <c r="I40" s="83" t="s">
        <v>158</v>
      </c>
      <c r="J40" s="85"/>
      <c r="K40" s="55">
        <f>average(K41:K58)</f>
        <v>4.745833333</v>
      </c>
      <c r="N40" s="59" t="str">
        <f>IFERROR(__xludf.DUMMYFUNCTION("""COMPUTED_VALUE"""),"Net Ad IT Solutions")</f>
        <v>Net Ad IT Solutions</v>
      </c>
      <c r="O40" s="4">
        <f>IFERROR(__xludf.DUMMYFUNCTION("""COMPUTED_VALUE"""),5.0)</f>
        <v>5</v>
      </c>
      <c r="P40" s="60">
        <f>IFERROR(__xludf.DUMMYFUNCTION("""COMPUTED_VALUE"""),44827.0)</f>
        <v>44827</v>
      </c>
      <c r="R40" s="59" t="str">
        <f>IFERROR(__xludf.DUMMYFUNCTION("""COMPUTED_VALUE"""),"Creative Juice Digital Printing")</f>
        <v>Creative Juice Digital Printing</v>
      </c>
      <c r="S40" s="4">
        <f>IFERROR(__xludf.DUMMYFUNCTION("""COMPUTED_VALUE"""),5.0)</f>
        <v>5</v>
      </c>
      <c r="T40" s="60">
        <f>IFERROR(__xludf.DUMMYFUNCTION("""COMPUTED_VALUE"""),45196.0)</f>
        <v>45196</v>
      </c>
      <c r="V40" s="59" t="str">
        <f>IFERROR(__xludf.DUMMYFUNCTION("""COMPUTED_VALUE"""),"Contrade Integrated Depot")</f>
        <v>Contrade Integrated Depot</v>
      </c>
      <c r="W40" s="4">
        <f>IFERROR(__xludf.DUMMYFUNCTION("""COMPUTED_VALUE"""),4.75)</f>
        <v>4.75</v>
      </c>
      <c r="X40" s="60">
        <f>IFERROR(__xludf.DUMMYFUNCTION("""COMPUTED_VALUE"""),45528.0)</f>
        <v>45528</v>
      </c>
      <c r="Z40" s="59" t="str">
        <f>IFERROR(__xludf.DUMMYFUNCTION("""COMPUTED_VALUE"""),"Polaris Prime Air Tech Corporation")</f>
        <v>Polaris Prime Air Tech Corporation</v>
      </c>
      <c r="AA40" s="4">
        <f>IFERROR(__xludf.DUMMYFUNCTION("""COMPUTED_VALUE"""),4.5)</f>
        <v>4.5</v>
      </c>
      <c r="AC40" s="59" t="str">
        <f>IFERROR(__xludf.DUMMYFUNCTION("""COMPUTED_VALUE"""),"JLY Garment Trading")</f>
        <v>JLY Garment Trading</v>
      </c>
      <c r="AD40" s="4">
        <f>IFERROR(__xludf.DUMMYFUNCTION("""COMPUTED_VALUE"""),4.713888888888889)</f>
        <v>4.713888889</v>
      </c>
      <c r="AF40" s="59" t="str">
        <f>IFERROR(__xludf.DUMMYFUNCTION("""COMPUTED_VALUE"""),"Inkonvert Enterprises")</f>
        <v>Inkonvert Enterprises</v>
      </c>
      <c r="AG40" s="4">
        <f>IFERROR(__xludf.DUMMYFUNCTION("""COMPUTED_VALUE"""),5.0)</f>
        <v>5</v>
      </c>
    </row>
    <row r="41">
      <c r="A41" s="95">
        <v>31.0</v>
      </c>
      <c r="B41" s="97" t="s">
        <v>153</v>
      </c>
      <c r="C41" s="4">
        <v>4.791666666666666</v>
      </c>
      <c r="E41" s="78" t="s">
        <v>163</v>
      </c>
      <c r="F41" s="54"/>
      <c r="G41" s="55" t="str">
        <f>average(G42:G46)</f>
        <v>#DIV/0!</v>
      </c>
      <c r="I41" s="108">
        <v>30.0</v>
      </c>
      <c r="J41" s="102" t="s">
        <v>166</v>
      </c>
      <c r="K41" s="128"/>
      <c r="N41" s="59" t="str">
        <f>IFERROR(__xludf.DUMMYFUNCTION("""COMPUTED_VALUE"""),"Oray Copier Solutions")</f>
        <v>Oray Copier Solutions</v>
      </c>
      <c r="O41" s="4">
        <f>IFERROR(__xludf.DUMMYFUNCTION("""COMPUTED_VALUE"""),5.0)</f>
        <v>5</v>
      </c>
      <c r="P41" s="60">
        <f>IFERROR(__xludf.DUMMYFUNCTION("""COMPUTED_VALUE"""),44830.0)</f>
        <v>44830</v>
      </c>
      <c r="R41" s="59" t="str">
        <f>IFERROR(__xludf.DUMMYFUNCTION("""COMPUTED_VALUE"""),"Contrade Integrated Depot")</f>
        <v>Contrade Integrated Depot</v>
      </c>
      <c r="S41" s="4">
        <f>IFERROR(__xludf.DUMMYFUNCTION("""COMPUTED_VALUE"""),4.83)</f>
        <v>4.83</v>
      </c>
      <c r="T41" s="60">
        <f>IFERROR(__xludf.DUMMYFUNCTION("""COMPUTED_VALUE"""),45199.0)</f>
        <v>45199</v>
      </c>
      <c r="V41" s="59" t="str">
        <f>IFERROR(__xludf.DUMMYFUNCTION("""COMPUTED_VALUE"""),"Luminaire Printing And Publishing Corp.")</f>
        <v>Luminaire Printing And Publishing Corp.</v>
      </c>
      <c r="W41" s="4">
        <f>IFERROR(__xludf.DUMMYFUNCTION("""COMPUTED_VALUE"""),4.833333333333333)</f>
        <v>4.833333333</v>
      </c>
      <c r="X41" s="60">
        <f>IFERROR(__xludf.DUMMYFUNCTION("""COMPUTED_VALUE"""),45534.0)</f>
        <v>45534</v>
      </c>
      <c r="Z41" s="59" t="str">
        <f>IFERROR(__xludf.DUMMYFUNCTION("""COMPUTED_VALUE"""),"Rivchem Enterprises")</f>
        <v>Rivchem Enterprises</v>
      </c>
      <c r="AA41" s="4">
        <f>IFERROR(__xludf.DUMMYFUNCTION("""COMPUTED_VALUE"""),4.71547619047619)</f>
        <v>4.71547619</v>
      </c>
      <c r="AC41" s="59" t="str">
        <f>IFERROR(__xludf.DUMMYFUNCTION("""COMPUTED_VALUE"""),"Jarm Printing Press")</f>
        <v>Jarm Printing Press</v>
      </c>
      <c r="AD41" s="4">
        <f>IFERROR(__xludf.DUMMYFUNCTION("""COMPUTED_VALUE"""),4.874999999999999)</f>
        <v>4.875</v>
      </c>
      <c r="AF41" s="59" t="str">
        <f>IFERROR(__xludf.DUMMYFUNCTION("""COMPUTED_VALUE"""),"Jassen Harris  Industries Corp.")</f>
        <v>Jassen Harris  Industries Corp.</v>
      </c>
      <c r="AG41" s="4">
        <f>IFERROR(__xludf.DUMMYFUNCTION("""COMPUTED_VALUE"""),4.833333333333334)</f>
        <v>4.833333333</v>
      </c>
    </row>
    <row r="42">
      <c r="A42" s="95">
        <v>32.0</v>
      </c>
      <c r="B42" s="97" t="s">
        <v>155</v>
      </c>
      <c r="C42" s="141"/>
      <c r="E42" s="98">
        <v>32.0</v>
      </c>
      <c r="F42" s="98" t="s">
        <v>172</v>
      </c>
      <c r="G42" s="2"/>
      <c r="I42" s="101">
        <v>31.0</v>
      </c>
      <c r="J42" s="102" t="s">
        <v>173</v>
      </c>
      <c r="K42" s="2"/>
      <c r="N42" s="59" t="str">
        <f>IFERROR(__xludf.DUMMYFUNCTION("""COMPUTED_VALUE"""),"Net Ad IT Solutions")</f>
        <v>Net Ad IT Solutions</v>
      </c>
      <c r="O42" s="4">
        <f>IFERROR(__xludf.DUMMYFUNCTION("""COMPUTED_VALUE"""),4.758333333333334)</f>
        <v>4.758333333</v>
      </c>
      <c r="P42" s="60">
        <f>IFERROR(__xludf.DUMMYFUNCTION("""COMPUTED_VALUE"""),44832.0)</f>
        <v>44832</v>
      </c>
      <c r="R42" s="59" t="str">
        <f>IFERROR(__xludf.DUMMYFUNCTION("""COMPUTED_VALUE"""),"EESM Bookstore")</f>
        <v>EESM Bookstore</v>
      </c>
      <c r="S42" s="4">
        <f>IFERROR(__xludf.DUMMYFUNCTION("""COMPUTED_VALUE"""),4.733333333333333)</f>
        <v>4.733333333</v>
      </c>
      <c r="T42" s="60">
        <f>IFERROR(__xludf.DUMMYFUNCTION("""COMPUTED_VALUE"""),45199.0)</f>
        <v>45199</v>
      </c>
      <c r="V42" s="59" t="str">
        <f>IFERROR(__xludf.DUMMYFUNCTION("""COMPUTED_VALUE"""),"V.M Industries Corp.")</f>
        <v>V.M Industries Corp.</v>
      </c>
      <c r="W42" s="4">
        <f>IFERROR(__xludf.DUMMYFUNCTION("""COMPUTED_VALUE"""),4.666666666666667)</f>
        <v>4.666666667</v>
      </c>
      <c r="X42" s="60">
        <f>IFERROR(__xludf.DUMMYFUNCTION("""COMPUTED_VALUE"""),45534.0)</f>
        <v>45534</v>
      </c>
      <c r="Z42" s="59" t="str">
        <f>IFERROR(__xludf.DUMMYFUNCTION("""COMPUTED_VALUE"""),"Sert Technology Inc.")</f>
        <v>Sert Technology Inc.</v>
      </c>
      <c r="AA42" s="4">
        <f>IFERROR(__xludf.DUMMYFUNCTION("""COMPUTED_VALUE"""),5.0)</f>
        <v>5</v>
      </c>
      <c r="AC42" s="59" t="str">
        <f>IFERROR(__xludf.DUMMYFUNCTION("""COMPUTED_VALUE"""),"Leonard Prints Inc.")</f>
        <v>Leonard Prints Inc.</v>
      </c>
      <c r="AD42" s="4">
        <f>IFERROR(__xludf.DUMMYFUNCTION("""COMPUTED_VALUE"""),4.84375)</f>
        <v>4.84375</v>
      </c>
      <c r="AF42" s="59" t="str">
        <f>IFERROR(__xludf.DUMMYFUNCTION("""COMPUTED_VALUE"""),"Javammp Printing Services")</f>
        <v>Javammp Printing Services</v>
      </c>
      <c r="AG42" s="4">
        <f>IFERROR(__xludf.DUMMYFUNCTION("""COMPUTED_VALUE"""),4.527777777777778)</f>
        <v>4.527777778</v>
      </c>
    </row>
    <row r="43">
      <c r="A43" s="95">
        <v>33.0</v>
      </c>
      <c r="B43" s="97" t="s">
        <v>157</v>
      </c>
      <c r="C43" s="128"/>
      <c r="E43" s="98">
        <v>33.0</v>
      </c>
      <c r="F43" s="98" t="s">
        <v>174</v>
      </c>
      <c r="G43" s="128"/>
      <c r="I43" s="101">
        <v>32.0</v>
      </c>
      <c r="J43" s="102" t="s">
        <v>175</v>
      </c>
      <c r="K43" s="128"/>
      <c r="N43" s="59" t="str">
        <f>IFERROR(__xludf.DUMMYFUNCTION("""COMPUTED_VALUE"""),"Jarm Printing Press")</f>
        <v>Jarm Printing Press</v>
      </c>
      <c r="O43" s="4">
        <f>IFERROR(__xludf.DUMMYFUNCTION("""COMPUTED_VALUE"""),4.75)</f>
        <v>4.75</v>
      </c>
      <c r="P43" s="60">
        <f>IFERROR(__xludf.DUMMYFUNCTION("""COMPUTED_VALUE"""),44834.0)</f>
        <v>44834</v>
      </c>
      <c r="R43" s="59" t="str">
        <f>IFERROR(__xludf.DUMMYFUNCTION("""COMPUTED_VALUE"""),"EESM Bookstore")</f>
        <v>EESM Bookstore</v>
      </c>
      <c r="S43" s="4">
        <f>IFERROR(__xludf.DUMMYFUNCTION("""COMPUTED_VALUE"""),4.833333333333333)</f>
        <v>4.833333333</v>
      </c>
      <c r="T43" s="60">
        <f>IFERROR(__xludf.DUMMYFUNCTION("""COMPUTED_VALUE"""),45199.0)</f>
        <v>45199</v>
      </c>
      <c r="V43" s="59" t="str">
        <f>IFERROR(__xludf.DUMMYFUNCTION("""COMPUTED_VALUE"""),"Microsmith Technology System,Inc.")</f>
        <v>Microsmith Technology System,Inc.</v>
      </c>
      <c r="W43" s="4">
        <f>IFERROR(__xludf.DUMMYFUNCTION("""COMPUTED_VALUE"""),4.833333333333333)</f>
        <v>4.833333333</v>
      </c>
      <c r="X43" s="60">
        <f>IFERROR(__xludf.DUMMYFUNCTION("""COMPUTED_VALUE"""),45537.0)</f>
        <v>45537</v>
      </c>
      <c r="Z43" s="59" t="str">
        <f>IFERROR(__xludf.DUMMYFUNCTION("""COMPUTED_VALUE"""),"Sparklight Marketing Incorporated")</f>
        <v>Sparklight Marketing Incorporated</v>
      </c>
      <c r="AA43" s="4">
        <f>IFERROR(__xludf.DUMMYFUNCTION("""COMPUTED_VALUE"""),4.2)</f>
        <v>4.2</v>
      </c>
      <c r="AC43" s="59" t="str">
        <f>IFERROR(__xludf.DUMMYFUNCTION("""COMPUTED_VALUE"""),"Lordfel Marketing")</f>
        <v>Lordfel Marketing</v>
      </c>
      <c r="AD43" s="4">
        <f>IFERROR(__xludf.DUMMYFUNCTION("""COMPUTED_VALUE"""),4.166666666666667)</f>
        <v>4.166666667</v>
      </c>
      <c r="AF43" s="59" t="str">
        <f>IFERROR(__xludf.DUMMYFUNCTION("""COMPUTED_VALUE"""),"Leonard Prints Inc.")</f>
        <v>Leonard Prints Inc.</v>
      </c>
      <c r="AG43" s="4">
        <f>IFERROR(__xludf.DUMMYFUNCTION("""COMPUTED_VALUE"""),4.632777777777778)</f>
        <v>4.632777778</v>
      </c>
    </row>
    <row r="44">
      <c r="A44" s="95">
        <v>34.0</v>
      </c>
      <c r="B44" s="142" t="s">
        <v>176</v>
      </c>
      <c r="C44" s="4">
        <v>4.804629629629629</v>
      </c>
      <c r="E44" s="98">
        <v>34.0</v>
      </c>
      <c r="F44" s="98" t="s">
        <v>177</v>
      </c>
      <c r="G44" s="2"/>
      <c r="I44" s="101">
        <v>33.0</v>
      </c>
      <c r="J44" s="111" t="s">
        <v>178</v>
      </c>
      <c r="K44" s="2"/>
      <c r="N44" s="59" t="str">
        <f>IFERROR(__xludf.DUMMYFUNCTION("""COMPUTED_VALUE"""),"Creative Juice Digital Printing")</f>
        <v>Creative Juice Digital Printing</v>
      </c>
      <c r="O44" s="4">
        <f>IFERROR(__xludf.DUMMYFUNCTION("""COMPUTED_VALUE"""),4.816666666666666)</f>
        <v>4.816666667</v>
      </c>
      <c r="P44" s="60">
        <f>IFERROR(__xludf.DUMMYFUNCTION("""COMPUTED_VALUE"""),44837.0)</f>
        <v>44837</v>
      </c>
      <c r="R44" s="59" t="str">
        <f>IFERROR(__xludf.DUMMYFUNCTION("""COMPUTED_VALUE"""),"EESM Bookstore")</f>
        <v>EESM Bookstore</v>
      </c>
      <c r="S44" s="4">
        <f>IFERROR(__xludf.DUMMYFUNCTION("""COMPUTED_VALUE"""),4.833333333333333)</f>
        <v>4.833333333</v>
      </c>
      <c r="T44" s="60">
        <f>IFERROR(__xludf.DUMMYFUNCTION("""COMPUTED_VALUE"""),45199.0)</f>
        <v>45199</v>
      </c>
      <c r="V44" s="59" t="str">
        <f>IFERROR(__xludf.DUMMYFUNCTION("""COMPUTED_VALUE"""),"Contrade Integrated Depot")</f>
        <v>Contrade Integrated Depot</v>
      </c>
      <c r="W44" s="4">
        <f>IFERROR(__xludf.DUMMYFUNCTION("""COMPUTED_VALUE"""),4.833333333333333)</f>
        <v>4.833333333</v>
      </c>
      <c r="X44" s="60">
        <f>IFERROR(__xludf.DUMMYFUNCTION("""COMPUTED_VALUE"""),45538.0)</f>
        <v>45538</v>
      </c>
      <c r="Z44" s="59" t="str">
        <f>IFERROR(__xludf.DUMMYFUNCTION("""COMPUTED_VALUE"""),"Sprintec Printing Press, Inc.")</f>
        <v>Sprintec Printing Press, Inc.</v>
      </c>
      <c r="AA44" s="4">
        <f>IFERROR(__xludf.DUMMYFUNCTION("""COMPUTED_VALUE"""),3.3333333333333335)</f>
        <v>3.333333333</v>
      </c>
      <c r="AC44" s="59" t="str">
        <f>IFERROR(__xludf.DUMMYFUNCTION("""COMPUTED_VALUE"""),"Luminaire Printing And Publishing Corp.")</f>
        <v>Luminaire Printing And Publishing Corp.</v>
      </c>
      <c r="AD44" s="4">
        <f>IFERROR(__xludf.DUMMYFUNCTION("""COMPUTED_VALUE"""),4.866666666666666)</f>
        <v>4.866666667</v>
      </c>
      <c r="AF44" s="59" t="str">
        <f>IFERROR(__xludf.DUMMYFUNCTION("""COMPUTED_VALUE"""),"Litera Trading Inc.")</f>
        <v>Litera Trading Inc.</v>
      </c>
      <c r="AG44" s="4">
        <f>IFERROR(__xludf.DUMMYFUNCTION("""COMPUTED_VALUE"""),4.833333333333333)</f>
        <v>4.833333333</v>
      </c>
    </row>
    <row r="45">
      <c r="A45" s="71" t="s">
        <v>163</v>
      </c>
      <c r="B45" s="54"/>
      <c r="C45" s="55" t="str">
        <f>average(C46:C47)</f>
        <v>#DIV/0!</v>
      </c>
      <c r="E45" s="98">
        <v>35.0</v>
      </c>
      <c r="F45" s="98" t="s">
        <v>179</v>
      </c>
      <c r="G45" s="2"/>
      <c r="I45" s="101">
        <v>34.0</v>
      </c>
      <c r="J45" s="111" t="s">
        <v>180</v>
      </c>
      <c r="K45" s="2"/>
      <c r="N45" s="59" t="str">
        <f>IFERROR(__xludf.DUMMYFUNCTION("""COMPUTED_VALUE"""),"Net Ad IT Solutions")</f>
        <v>Net Ad IT Solutions</v>
      </c>
      <c r="O45" s="4">
        <f>IFERROR(__xludf.DUMMYFUNCTION("""COMPUTED_VALUE"""),4.833333333333333)</f>
        <v>4.833333333</v>
      </c>
      <c r="P45" s="60">
        <f>IFERROR(__xludf.DUMMYFUNCTION("""COMPUTED_VALUE"""),44839.0)</f>
        <v>44839</v>
      </c>
      <c r="R45" s="59" t="str">
        <f>IFERROR(__xludf.DUMMYFUNCTION("""COMPUTED_VALUE"""),"Chemtrust Global Market, Inc.")</f>
        <v>Chemtrust Global Market, Inc.</v>
      </c>
      <c r="S45" s="4">
        <f>IFERROR(__xludf.DUMMYFUNCTION("""COMPUTED_VALUE"""),4.558333333333334)</f>
        <v>4.558333333</v>
      </c>
      <c r="T45" s="60">
        <f>IFERROR(__xludf.DUMMYFUNCTION("""COMPUTED_VALUE"""),45201.0)</f>
        <v>45201</v>
      </c>
      <c r="V45" s="59" t="str">
        <f>IFERROR(__xludf.DUMMYFUNCTION("""COMPUTED_VALUE"""),"Microsmith Technology System,Inc.")</f>
        <v>Microsmith Technology System,Inc.</v>
      </c>
      <c r="W45" s="4">
        <f>IFERROR(__xludf.DUMMYFUNCTION("""COMPUTED_VALUE"""),4.833333333333333)</f>
        <v>4.833333333</v>
      </c>
      <c r="X45" s="60">
        <f>IFERROR(__xludf.DUMMYFUNCTION("""COMPUTED_VALUE"""),45539.0)</f>
        <v>45539</v>
      </c>
      <c r="Z45" s="59" t="str">
        <f>IFERROR(__xludf.DUMMYFUNCTION("""COMPUTED_VALUE"""),"Tropical Palms Fashion House, Inc.")</f>
        <v>Tropical Palms Fashion House, Inc.</v>
      </c>
      <c r="AA45" s="4">
        <f>IFERROR(__xludf.DUMMYFUNCTION("""COMPUTED_VALUE"""),4.783333333333333)</f>
        <v>4.783333333</v>
      </c>
      <c r="AC45" s="59" t="str">
        <f>IFERROR(__xludf.DUMMYFUNCTION("""COMPUTED_VALUE"""),"Manila Rubber Corporation")</f>
        <v>Manila Rubber Corporation</v>
      </c>
      <c r="AD45" s="4">
        <f>IFERROR(__xludf.DUMMYFUNCTION("""COMPUTED_VALUE"""),4.375)</f>
        <v>4.375</v>
      </c>
      <c r="AF45" s="59" t="str">
        <f>IFERROR(__xludf.DUMMYFUNCTION("""COMPUTED_VALUE"""),"Luminaire Printing And Publishing Corp.")</f>
        <v>Luminaire Printing And Publishing Corp.</v>
      </c>
      <c r="AG45" s="4">
        <f>IFERROR(__xludf.DUMMYFUNCTION("""COMPUTED_VALUE"""),4.583333333333333)</f>
        <v>4.583333333</v>
      </c>
    </row>
    <row r="46">
      <c r="A46" s="95">
        <v>35.0</v>
      </c>
      <c r="B46" s="97" t="s">
        <v>172</v>
      </c>
      <c r="C46" s="4"/>
      <c r="E46" s="98">
        <v>36.0</v>
      </c>
      <c r="F46" s="98" t="s">
        <v>181</v>
      </c>
      <c r="G46" s="2"/>
      <c r="I46" s="101">
        <v>35.0</v>
      </c>
      <c r="J46" s="111" t="s">
        <v>182</v>
      </c>
      <c r="K46" s="2"/>
      <c r="N46" s="59" t="str">
        <f>IFERROR(__xludf.DUMMYFUNCTION("""COMPUTED_VALUE"""),"Contrade Integrated Depot")</f>
        <v>Contrade Integrated Depot</v>
      </c>
      <c r="O46" s="4">
        <f>IFERROR(__xludf.DUMMYFUNCTION("""COMPUTED_VALUE"""),3.9166666666666665)</f>
        <v>3.916666667</v>
      </c>
      <c r="P46" s="60">
        <f>IFERROR(__xludf.DUMMYFUNCTION("""COMPUTED_VALUE"""),44846.0)</f>
        <v>44846</v>
      </c>
      <c r="R46" s="59" t="str">
        <f>IFERROR(__xludf.DUMMYFUNCTION("""COMPUTED_VALUE"""),"Chemtrust Global Market, Inc.")</f>
        <v>Chemtrust Global Market, Inc.</v>
      </c>
      <c r="S46" s="4">
        <f>IFERROR(__xludf.DUMMYFUNCTION("""COMPUTED_VALUE"""),4.558333333333334)</f>
        <v>4.558333333</v>
      </c>
      <c r="T46" s="60">
        <f>IFERROR(__xludf.DUMMYFUNCTION("""COMPUTED_VALUE"""),45201.0)</f>
        <v>45201</v>
      </c>
      <c r="V46" s="59" t="str">
        <f>IFERROR(__xludf.DUMMYFUNCTION("""COMPUTED_VALUE"""),"Abenson Ventures, Inc.")</f>
        <v>Abenson Ventures, Inc.</v>
      </c>
      <c r="W46" s="4">
        <f>IFERROR(__xludf.DUMMYFUNCTION("""COMPUTED_VALUE"""),4.833333333333333)</f>
        <v>4.833333333</v>
      </c>
      <c r="X46" s="60">
        <f>IFERROR(__xludf.DUMMYFUNCTION("""COMPUTED_VALUE"""),45539.0)</f>
        <v>45539</v>
      </c>
      <c r="AA46" s="4"/>
      <c r="AC46" s="59" t="str">
        <f>IFERROR(__xludf.DUMMYFUNCTION("""COMPUTED_VALUE"""),"Marrbont Corporation")</f>
        <v>Marrbont Corporation</v>
      </c>
      <c r="AD46" s="4">
        <f>IFERROR(__xludf.DUMMYFUNCTION("""COMPUTED_VALUE"""),4.6)</f>
        <v>4.6</v>
      </c>
      <c r="AF46" s="59" t="str">
        <f>IFERROR(__xludf.DUMMYFUNCTION("""COMPUTED_VALUE"""),"Ma Espiritu Tiles Trading ")</f>
        <v>Ma Espiritu Tiles Trading </v>
      </c>
      <c r="AG46" s="4">
        <f>IFERROR(__xludf.DUMMYFUNCTION("""COMPUTED_VALUE"""),4.691666666666666)</f>
        <v>4.691666667</v>
      </c>
    </row>
    <row r="47">
      <c r="A47" s="95">
        <v>36.0</v>
      </c>
      <c r="B47" s="97" t="s">
        <v>183</v>
      </c>
      <c r="C47" s="24"/>
      <c r="E47" s="78" t="s">
        <v>184</v>
      </c>
      <c r="F47" s="54"/>
      <c r="G47" s="55">
        <f>average(G48:G52)</f>
        <v>4.65</v>
      </c>
      <c r="I47" s="101">
        <v>36.0</v>
      </c>
      <c r="J47" s="111" t="s">
        <v>185</v>
      </c>
      <c r="K47" s="125"/>
      <c r="N47" s="59" t="str">
        <f>IFERROR(__xludf.DUMMYFUNCTION("""COMPUTED_VALUE"""),"Rivchem Enterprises")</f>
        <v>Rivchem Enterprises</v>
      </c>
      <c r="O47" s="4">
        <f>IFERROR(__xludf.DUMMYFUNCTION("""COMPUTED_VALUE"""),4.758333333333334)</f>
        <v>4.758333333</v>
      </c>
      <c r="P47" s="60">
        <f>IFERROR(__xludf.DUMMYFUNCTION("""COMPUTED_VALUE"""),44849.0)</f>
        <v>44849</v>
      </c>
      <c r="R47" s="59" t="str">
        <f>IFERROR(__xludf.DUMMYFUNCTION("""COMPUTED_VALUE"""),"Creative Juice Digital Printing")</f>
        <v>Creative Juice Digital Printing</v>
      </c>
      <c r="S47" s="4">
        <f>IFERROR(__xludf.DUMMYFUNCTION("""COMPUTED_VALUE"""),5.0)</f>
        <v>5</v>
      </c>
      <c r="T47" s="144">
        <f>IFERROR(__xludf.DUMMYFUNCTION("""COMPUTED_VALUE"""),45201.0)</f>
        <v>45201</v>
      </c>
      <c r="V47" s="59" t="str">
        <f>IFERROR(__xludf.DUMMYFUNCTION("""COMPUTED_VALUE"""),"Net Ad IT Solutions")</f>
        <v>Net Ad IT Solutions</v>
      </c>
      <c r="W47" s="4">
        <f>IFERROR(__xludf.DUMMYFUNCTION("""COMPUTED_VALUE"""),4.833333333333333)</f>
        <v>4.833333333</v>
      </c>
      <c r="X47" s="60">
        <f>IFERROR(__xludf.DUMMYFUNCTION("""COMPUTED_VALUE"""),45539.0)</f>
        <v>45539</v>
      </c>
      <c r="AA47" s="4"/>
      <c r="AC47" s="59" t="str">
        <f>IFERROR(__xludf.DUMMYFUNCTION("""COMPUTED_VALUE"""),"Microsmith Technology System,Inc.")</f>
        <v>Microsmith Technology System,Inc.</v>
      </c>
      <c r="AD47" s="4">
        <f>IFERROR(__xludf.DUMMYFUNCTION("""COMPUTED_VALUE"""),4.868055555555555)</f>
        <v>4.868055556</v>
      </c>
      <c r="AF47" s="59" t="str">
        <f>IFERROR(__xludf.DUMMYFUNCTION("""COMPUTED_VALUE"""),"Manos Allied Corporation")</f>
        <v>Manos Allied Corporation</v>
      </c>
      <c r="AG47" s="4">
        <f>IFERROR(__xludf.DUMMYFUNCTION("""COMPUTED_VALUE"""),4.933333333333334)</f>
        <v>4.933333333</v>
      </c>
    </row>
    <row r="48">
      <c r="A48" s="71" t="s">
        <v>184</v>
      </c>
      <c r="B48" s="54"/>
      <c r="C48" s="55">
        <f>average(C49:C53)</f>
        <v>4.604166667</v>
      </c>
      <c r="E48" s="98">
        <v>37.0</v>
      </c>
      <c r="F48" s="98" t="s">
        <v>193</v>
      </c>
      <c r="G48" s="2"/>
      <c r="I48" s="101">
        <v>37.0</v>
      </c>
      <c r="J48" s="111" t="s">
        <v>194</v>
      </c>
      <c r="K48" s="2"/>
      <c r="N48" s="59" t="str">
        <f>IFERROR(__xludf.DUMMYFUNCTION("""COMPUTED_VALUE"""),"Net Ad IT Solutions")</f>
        <v>Net Ad IT Solutions</v>
      </c>
      <c r="O48" s="4">
        <f>IFERROR(__xludf.DUMMYFUNCTION("""COMPUTED_VALUE"""),4.45)</f>
        <v>4.45</v>
      </c>
      <c r="P48" s="60">
        <f>IFERROR(__xludf.DUMMYFUNCTION("""COMPUTED_VALUE"""),44853.0)</f>
        <v>44853</v>
      </c>
      <c r="R48" s="59" t="str">
        <f>IFERROR(__xludf.DUMMYFUNCTION("""COMPUTED_VALUE"""),"Creative Juice Digital Printing")</f>
        <v>Creative Juice Digital Printing</v>
      </c>
      <c r="S48" s="4">
        <f>IFERROR(__xludf.DUMMYFUNCTION("""COMPUTED_VALUE"""),4.733333333333333)</f>
        <v>4.733333333</v>
      </c>
      <c r="T48" s="60">
        <f>IFERROR(__xludf.DUMMYFUNCTION("""COMPUTED_VALUE"""),45201.0)</f>
        <v>45201</v>
      </c>
      <c r="V48" s="59" t="str">
        <f>IFERROR(__xludf.DUMMYFUNCTION("""COMPUTED_VALUE"""),"Printing Shop PrintPilipinas.com")</f>
        <v>Printing Shop PrintPilipinas.com</v>
      </c>
      <c r="W48" s="4">
        <f>IFERROR(__xludf.DUMMYFUNCTION("""COMPUTED_VALUE"""),4.833333333333333)</f>
        <v>4.833333333</v>
      </c>
      <c r="X48" s="60">
        <f>IFERROR(__xludf.DUMMYFUNCTION("""COMPUTED_VALUE"""),45540.0)</f>
        <v>45540</v>
      </c>
      <c r="AA48" s="4"/>
      <c r="AC48" s="59" t="str">
        <f>IFERROR(__xludf.DUMMYFUNCTION("""COMPUTED_VALUE"""),"Mostaco Printing")</f>
        <v>Mostaco Printing</v>
      </c>
      <c r="AD48" s="4">
        <f>IFERROR(__xludf.DUMMYFUNCTION("""COMPUTED_VALUE"""),5.0)</f>
        <v>5</v>
      </c>
      <c r="AF48" s="59" t="str">
        <f>IFERROR(__xludf.DUMMYFUNCTION("""COMPUTED_VALUE"""),"Microsmith Technology System,Inc.")</f>
        <v>Microsmith Technology System,Inc.</v>
      </c>
      <c r="AG48" s="4">
        <f>IFERROR(__xludf.DUMMYFUNCTION("""COMPUTED_VALUE"""),4.861257309941521)</f>
        <v>4.86125731</v>
      </c>
    </row>
    <row r="49">
      <c r="A49" s="95">
        <v>37.0</v>
      </c>
      <c r="B49" s="97" t="s">
        <v>193</v>
      </c>
      <c r="C49" s="2"/>
      <c r="E49" s="98">
        <v>38.0</v>
      </c>
      <c r="F49" s="98" t="s">
        <v>198</v>
      </c>
      <c r="G49" s="4">
        <v>4.566666666666666</v>
      </c>
      <c r="I49" s="101">
        <v>38.0</v>
      </c>
      <c r="J49" s="111" t="s">
        <v>199</v>
      </c>
      <c r="K49" s="2"/>
      <c r="N49" s="59" t="str">
        <f>IFERROR(__xludf.DUMMYFUNCTION("""COMPUTED_VALUE"""),"Columbia Technologies, Inc.")</f>
        <v>Columbia Technologies, Inc.</v>
      </c>
      <c r="O49" s="4">
        <f>IFERROR(__xludf.DUMMYFUNCTION("""COMPUTED_VALUE"""),5.0)</f>
        <v>5</v>
      </c>
      <c r="P49" s="60">
        <f>IFERROR(__xludf.DUMMYFUNCTION("""COMPUTED_VALUE"""),44859.0)</f>
        <v>44859</v>
      </c>
      <c r="R49" s="59" t="str">
        <f>IFERROR(__xludf.DUMMYFUNCTION("""COMPUTED_VALUE"""),"Rivchem Enterprises")</f>
        <v>Rivchem Enterprises</v>
      </c>
      <c r="S49" s="4">
        <f>IFERROR(__xludf.DUMMYFUNCTION("""COMPUTED_VALUE"""),4.6)</f>
        <v>4.6</v>
      </c>
      <c r="T49" s="60">
        <f>IFERROR(__xludf.DUMMYFUNCTION("""COMPUTED_VALUE"""),45201.0)</f>
        <v>45201</v>
      </c>
      <c r="V49" s="59" t="str">
        <f>IFERROR(__xludf.DUMMYFUNCTION("""COMPUTED_VALUE"""),"Microsmith Technology System,Inc.")</f>
        <v>Microsmith Technology System,Inc.</v>
      </c>
      <c r="W49" s="4">
        <f>IFERROR(__xludf.DUMMYFUNCTION("""COMPUTED_VALUE"""),4.783333333333334)</f>
        <v>4.783333333</v>
      </c>
      <c r="X49" s="60">
        <f>IFERROR(__xludf.DUMMYFUNCTION("""COMPUTED_VALUE"""),45541.0)</f>
        <v>45541</v>
      </c>
      <c r="AA49" s="4"/>
      <c r="AC49" s="59" t="str">
        <f>IFERROR(__xludf.DUMMYFUNCTION("""COMPUTED_VALUE"""),"Net Ad IT Solutions")</f>
        <v>Net Ad IT Solutions</v>
      </c>
      <c r="AD49" s="4">
        <f>IFERROR(__xludf.DUMMYFUNCTION("""COMPUTED_VALUE"""),4.8314814814814815)</f>
        <v>4.831481481</v>
      </c>
      <c r="AF49" s="59" t="str">
        <f>IFERROR(__xludf.DUMMYFUNCTION("""COMPUTED_VALUE"""),"Montesan Enterprises")</f>
        <v>Montesan Enterprises</v>
      </c>
      <c r="AG49" s="4">
        <f>IFERROR(__xludf.DUMMYFUNCTION("""COMPUTED_VALUE"""),4.833333333333333)</f>
        <v>4.833333333</v>
      </c>
    </row>
    <row r="50">
      <c r="A50" s="95">
        <v>38.0</v>
      </c>
      <c r="B50" s="97" t="s">
        <v>198</v>
      </c>
      <c r="C50" s="2"/>
      <c r="E50" s="98">
        <v>39.0</v>
      </c>
      <c r="F50" s="98" t="s">
        <v>202</v>
      </c>
      <c r="G50" s="4">
        <v>4.733333333333333</v>
      </c>
      <c r="I50" s="101">
        <v>39.0</v>
      </c>
      <c r="J50" s="111" t="s">
        <v>203</v>
      </c>
      <c r="K50" s="2"/>
      <c r="N50" s="59" t="str">
        <f>IFERROR(__xludf.DUMMYFUNCTION("""COMPUTED_VALUE"""),"Contrade Integrated Depot")</f>
        <v>Contrade Integrated Depot</v>
      </c>
      <c r="O50" s="4">
        <f>IFERROR(__xludf.DUMMYFUNCTION("""COMPUTED_VALUE"""),3.9166666666666665)</f>
        <v>3.916666667</v>
      </c>
      <c r="P50" s="60">
        <f>IFERROR(__xludf.DUMMYFUNCTION("""COMPUTED_VALUE"""),44860.0)</f>
        <v>44860</v>
      </c>
      <c r="R50" s="59" t="str">
        <f>IFERROR(__xludf.DUMMYFUNCTION("""COMPUTED_VALUE"""),"Falcon Waterfree Philippines, Inc.")</f>
        <v>Falcon Waterfree Philippines, Inc.</v>
      </c>
      <c r="S50" s="4">
        <f>IFERROR(__xludf.DUMMYFUNCTION("""COMPUTED_VALUE"""),4.75)</f>
        <v>4.75</v>
      </c>
      <c r="T50" s="60">
        <f>IFERROR(__xludf.DUMMYFUNCTION("""COMPUTED_VALUE"""),45203.0)</f>
        <v>45203</v>
      </c>
      <c r="V50" s="59" t="str">
        <f>IFERROR(__xludf.DUMMYFUNCTION("""COMPUTED_VALUE"""),"Microsmith Technology System,Inc.")</f>
        <v>Microsmith Technology System,Inc.</v>
      </c>
      <c r="W50" s="4">
        <f>IFERROR(__xludf.DUMMYFUNCTION("""COMPUTED_VALUE"""),4.791666666666667)</f>
        <v>4.791666667</v>
      </c>
      <c r="X50" s="60">
        <f>IFERROR(__xludf.DUMMYFUNCTION("""COMPUTED_VALUE"""),45541.0)</f>
        <v>45541</v>
      </c>
      <c r="AA50" s="4"/>
      <c r="AC50" s="59" t="str">
        <f>IFERROR(__xludf.DUMMYFUNCTION("""COMPUTED_VALUE"""),"Oray Copier Solutions")</f>
        <v>Oray Copier Solutions</v>
      </c>
      <c r="AD50" s="4">
        <f>IFERROR(__xludf.DUMMYFUNCTION("""COMPUTED_VALUE"""),4.666666666666667)</f>
        <v>4.666666667</v>
      </c>
      <c r="AF50" s="59" t="str">
        <f>IFERROR(__xludf.DUMMYFUNCTION("""COMPUTED_VALUE"""),"Mostaco Marketing")</f>
        <v>Mostaco Marketing</v>
      </c>
      <c r="AG50" s="4">
        <f>IFERROR(__xludf.DUMMYFUNCTION("""COMPUTED_VALUE"""),5.0)</f>
        <v>5</v>
      </c>
    </row>
    <row r="51">
      <c r="A51" s="95">
        <v>39.0</v>
      </c>
      <c r="B51" s="97" t="s">
        <v>202</v>
      </c>
      <c r="C51" s="125"/>
      <c r="E51" s="98">
        <v>40.0</v>
      </c>
      <c r="F51" s="98" t="s">
        <v>209</v>
      </c>
      <c r="G51" s="125"/>
      <c r="I51" s="101">
        <v>40.0</v>
      </c>
      <c r="J51" s="111" t="s">
        <v>210</v>
      </c>
      <c r="K51" s="125"/>
      <c r="N51" s="59" t="str">
        <f>IFERROR(__xludf.DUMMYFUNCTION("""COMPUTED_VALUE"""),"Microsmith Technology System,Inc.")</f>
        <v>Microsmith Technology System,Inc.</v>
      </c>
      <c r="O51" s="4">
        <f>IFERROR(__xludf.DUMMYFUNCTION("""COMPUTED_VALUE"""),4.766666666666667)</f>
        <v>4.766666667</v>
      </c>
      <c r="P51" s="60">
        <f>IFERROR(__xludf.DUMMYFUNCTION("""COMPUTED_VALUE"""),44862.0)</f>
        <v>44862</v>
      </c>
      <c r="R51" s="59" t="str">
        <f>IFERROR(__xludf.DUMMYFUNCTION("""COMPUTED_VALUE"""),"Contrade Integrated Depot")</f>
        <v>Contrade Integrated Depot</v>
      </c>
      <c r="S51" s="4">
        <f>IFERROR(__xludf.DUMMYFUNCTION("""COMPUTED_VALUE"""),4.83)</f>
        <v>4.83</v>
      </c>
      <c r="T51" s="60">
        <f>IFERROR(__xludf.DUMMYFUNCTION("""COMPUTED_VALUE"""),45205.0)</f>
        <v>45205</v>
      </c>
      <c r="V51" s="59" t="str">
        <f>IFERROR(__xludf.DUMMYFUNCTION("""COMPUTED_VALUE"""),"Microsmith Technology System,Inc.")</f>
        <v>Microsmith Technology System,Inc.</v>
      </c>
      <c r="W51" s="4">
        <f>IFERROR(__xludf.DUMMYFUNCTION("""COMPUTED_VALUE"""),4.916666666666667)</f>
        <v>4.916666667</v>
      </c>
      <c r="X51" s="60">
        <f>IFERROR(__xludf.DUMMYFUNCTION("""COMPUTED_VALUE"""),45541.0)</f>
        <v>45541</v>
      </c>
      <c r="AA51" s="4"/>
      <c r="AC51" s="59" t="str">
        <f>IFERROR(__xludf.DUMMYFUNCTION("""COMPUTED_VALUE"""),"Paper Tree Marketing Group, Inc.")</f>
        <v>Paper Tree Marketing Group, Inc.</v>
      </c>
      <c r="AD51" s="4">
        <f>IFERROR(__xludf.DUMMYFUNCTION("""COMPUTED_VALUE"""),4.8)</f>
        <v>4.8</v>
      </c>
      <c r="AF51" s="59" t="str">
        <f>IFERROR(__xludf.DUMMYFUNCTION("""COMPUTED_VALUE"""),"Mostaco Printing")</f>
        <v>Mostaco Printing</v>
      </c>
      <c r="AG51" s="4">
        <f>IFERROR(__xludf.DUMMYFUNCTION("""COMPUTED_VALUE"""),4.694444444444445)</f>
        <v>4.694444444</v>
      </c>
    </row>
    <row r="52">
      <c r="A52" s="95">
        <v>40.0</v>
      </c>
      <c r="B52" s="97" t="s">
        <v>209</v>
      </c>
      <c r="C52" s="4">
        <v>4.916666666666666</v>
      </c>
      <c r="E52" s="98">
        <v>41.0</v>
      </c>
      <c r="F52" s="98" t="s">
        <v>214</v>
      </c>
      <c r="G52" s="2"/>
      <c r="I52" s="101">
        <v>41.0</v>
      </c>
      <c r="J52" s="111" t="s">
        <v>215</v>
      </c>
      <c r="K52" s="4">
        <v>4.991666666666666</v>
      </c>
      <c r="N52" s="59" t="str">
        <f>IFERROR(__xludf.DUMMYFUNCTION("""COMPUTED_VALUE"""),"Microsmith Technology System,Inc.")</f>
        <v>Microsmith Technology System,Inc.</v>
      </c>
      <c r="O52" s="4">
        <f>IFERROR(__xludf.DUMMYFUNCTION("""COMPUTED_VALUE"""),5.0)</f>
        <v>5</v>
      </c>
      <c r="P52" s="60">
        <f>IFERROR(__xludf.DUMMYFUNCTION("""COMPUTED_VALUE"""),44862.0)</f>
        <v>44862</v>
      </c>
      <c r="R52" s="59" t="str">
        <f>IFERROR(__xludf.DUMMYFUNCTION("""COMPUTED_VALUE"""),"Contrade Integrated Depot")</f>
        <v>Contrade Integrated Depot</v>
      </c>
      <c r="S52" s="4">
        <f>IFERROR(__xludf.DUMMYFUNCTION("""COMPUTED_VALUE"""),4.83)</f>
        <v>4.83</v>
      </c>
      <c r="T52" s="60">
        <f>IFERROR(__xludf.DUMMYFUNCTION("""COMPUTED_VALUE"""),45205.0)</f>
        <v>45205</v>
      </c>
      <c r="V52" s="59" t="str">
        <f>IFERROR(__xludf.DUMMYFUNCTION("""COMPUTED_VALUE"""),"Printing Shop PrintPilipinas.com")</f>
        <v>Printing Shop PrintPilipinas.com</v>
      </c>
      <c r="W52" s="4">
        <f>IFERROR(__xludf.DUMMYFUNCTION("""COMPUTED_VALUE"""),4.733333333333333)</f>
        <v>4.733333333</v>
      </c>
      <c r="X52" s="60">
        <f>IFERROR(__xludf.DUMMYFUNCTION("""COMPUTED_VALUE"""),45544.0)</f>
        <v>45544</v>
      </c>
      <c r="AA52" s="4"/>
      <c r="AC52" s="59" t="str">
        <f>IFERROR(__xludf.DUMMYFUNCTION("""COMPUTED_VALUE"""),"Patagonian Enterprises ")</f>
        <v>Patagonian Enterprises </v>
      </c>
      <c r="AD52" s="4">
        <f>IFERROR(__xludf.DUMMYFUNCTION("""COMPUTED_VALUE"""),3.6666666666666665)</f>
        <v>3.666666667</v>
      </c>
      <c r="AF52" s="59" t="str">
        <f>IFERROR(__xludf.DUMMYFUNCTION("""COMPUTED_VALUE"""),"Multiflex RNC Philippines inc.")</f>
        <v>Multiflex RNC Philippines inc.</v>
      </c>
      <c r="AG52" s="4">
        <f>IFERROR(__xludf.DUMMYFUNCTION("""COMPUTED_VALUE"""),4.972222222222221)</f>
        <v>4.972222222</v>
      </c>
    </row>
    <row r="53">
      <c r="A53" s="95">
        <v>41.0</v>
      </c>
      <c r="B53" s="97" t="s">
        <v>218</v>
      </c>
      <c r="C53" s="4">
        <v>4.291666666666667</v>
      </c>
      <c r="E53" s="78" t="s">
        <v>220</v>
      </c>
      <c r="F53" s="54"/>
      <c r="G53" s="55">
        <f>average(G54:G56)</f>
        <v>4.869444444</v>
      </c>
      <c r="I53" s="101">
        <v>42.0</v>
      </c>
      <c r="J53" s="111" t="s">
        <v>222</v>
      </c>
      <c r="K53" s="4">
        <v>4.5</v>
      </c>
      <c r="N53" s="59" t="str">
        <f>IFERROR(__xludf.DUMMYFUNCTION("""COMPUTED_VALUE"""),"Amazon")</f>
        <v>Amazon</v>
      </c>
      <c r="O53" s="4">
        <f>IFERROR(__xludf.DUMMYFUNCTION("""COMPUTED_VALUE"""),5.0)</f>
        <v>5</v>
      </c>
      <c r="P53" s="60">
        <f>IFERROR(__xludf.DUMMYFUNCTION("""COMPUTED_VALUE"""),44867.0)</f>
        <v>44867</v>
      </c>
      <c r="R53" s="59" t="str">
        <f>IFERROR(__xludf.DUMMYFUNCTION("""COMPUTED_VALUE"""),"EESM Bookstore")</f>
        <v>EESM Bookstore</v>
      </c>
      <c r="S53" s="4">
        <f>IFERROR(__xludf.DUMMYFUNCTION("""COMPUTED_VALUE"""),4.833333333333333)</f>
        <v>4.833333333</v>
      </c>
      <c r="T53" s="60">
        <f>IFERROR(__xludf.DUMMYFUNCTION("""COMPUTED_VALUE"""),45205.0)</f>
        <v>45205</v>
      </c>
      <c r="V53" s="59" t="str">
        <f>IFERROR(__xludf.DUMMYFUNCTION("""COMPUTED_VALUE"""),"Mostaco Printing")</f>
        <v>Mostaco Printing</v>
      </c>
      <c r="W53" s="4">
        <f>IFERROR(__xludf.DUMMYFUNCTION("""COMPUTED_VALUE"""),4.833333333333333)</f>
        <v>4.833333333</v>
      </c>
      <c r="X53" s="60">
        <f>IFERROR(__xludf.DUMMYFUNCTION("""COMPUTED_VALUE"""),45548.0)</f>
        <v>45548</v>
      </c>
      <c r="AA53" s="4"/>
      <c r="AC53" s="59" t="str">
        <f>IFERROR(__xludf.DUMMYFUNCTION("""COMPUTED_VALUE"""),"Polaris Prime Air Tech Corporation")</f>
        <v>Polaris Prime Air Tech Corporation</v>
      </c>
      <c r="AD53" s="4">
        <f>IFERROR(__xludf.DUMMYFUNCTION("""COMPUTED_VALUE"""),4.666666666666667)</f>
        <v>4.666666667</v>
      </c>
      <c r="AF53" s="59" t="str">
        <f>IFERROR(__xludf.DUMMYFUNCTION("""COMPUTED_VALUE"""),"Net Ad IT Solutions")</f>
        <v>Net Ad IT Solutions</v>
      </c>
      <c r="AG53" s="4">
        <f>IFERROR(__xludf.DUMMYFUNCTION("""COMPUTED_VALUE"""),4.907638888888888)</f>
        <v>4.907638889</v>
      </c>
    </row>
    <row r="54">
      <c r="A54" s="166" t="s">
        <v>220</v>
      </c>
      <c r="B54" s="54"/>
      <c r="C54" s="55">
        <f>average(C55:C57)</f>
        <v>4.5</v>
      </c>
      <c r="E54" s="167">
        <v>42.0</v>
      </c>
      <c r="F54" s="98" t="s">
        <v>230</v>
      </c>
      <c r="G54" s="4">
        <v>4.8694444444444445</v>
      </c>
      <c r="I54" s="168">
        <v>43.0</v>
      </c>
      <c r="J54" s="111" t="s">
        <v>231</v>
      </c>
      <c r="K54" s="2"/>
      <c r="N54" s="59" t="str">
        <f>IFERROR(__xludf.DUMMYFUNCTION("""COMPUTED_VALUE"""),"Amazon")</f>
        <v>Amazon</v>
      </c>
      <c r="O54" s="4">
        <f>IFERROR(__xludf.DUMMYFUNCTION("""COMPUTED_VALUE"""),5.0)</f>
        <v>5</v>
      </c>
      <c r="P54" s="60">
        <f>IFERROR(__xludf.DUMMYFUNCTION("""COMPUTED_VALUE"""),44867.0)</f>
        <v>44867</v>
      </c>
      <c r="R54" s="59" t="str">
        <f>IFERROR(__xludf.DUMMYFUNCTION("""COMPUTED_VALUE"""),"Rivchem Enterprises")</f>
        <v>Rivchem Enterprises</v>
      </c>
      <c r="S54" s="4">
        <f>IFERROR(__xludf.DUMMYFUNCTION("""COMPUTED_VALUE"""),4.183333333333334)</f>
        <v>4.183333333</v>
      </c>
      <c r="T54" s="60">
        <f>IFERROR(__xludf.DUMMYFUNCTION("""COMPUTED_VALUE"""),45205.0)</f>
        <v>45205</v>
      </c>
      <c r="V54" s="59" t="str">
        <f>IFERROR(__xludf.DUMMYFUNCTION("""COMPUTED_VALUE"""),"Printing Shop PrintPilipinas.com")</f>
        <v>Printing Shop PrintPilipinas.com</v>
      </c>
      <c r="W54" s="4">
        <f>IFERROR(__xludf.DUMMYFUNCTION("""COMPUTED_VALUE"""),4.833333333333333)</f>
        <v>4.833333333</v>
      </c>
      <c r="X54" s="60">
        <f>IFERROR(__xludf.DUMMYFUNCTION("""COMPUTED_VALUE"""),45551.0)</f>
        <v>45551</v>
      </c>
      <c r="AA54" s="4"/>
      <c r="AC54" s="59" t="str">
        <f>IFERROR(__xludf.DUMMYFUNCTION("""COMPUTED_VALUE"""),"Primeline Products Philippines, Inc.")</f>
        <v>Primeline Products Philippines, Inc.</v>
      </c>
      <c r="AD54" s="4">
        <f>IFERROR(__xludf.DUMMYFUNCTION("""COMPUTED_VALUE"""),4.75)</f>
        <v>4.75</v>
      </c>
      <c r="AF54" s="59" t="str">
        <f>IFERROR(__xludf.DUMMYFUNCTION("""COMPUTED_VALUE"""),"Northwind Communications and Electronics")</f>
        <v>Northwind Communications and Electronics</v>
      </c>
      <c r="AG54" s="4">
        <f>IFERROR(__xludf.DUMMYFUNCTION("""COMPUTED_VALUE"""),4.3125)</f>
        <v>4.3125</v>
      </c>
    </row>
    <row r="55">
      <c r="A55" s="170">
        <v>42.0</v>
      </c>
      <c r="B55" s="97" t="s">
        <v>230</v>
      </c>
      <c r="C55" s="50">
        <v>5.0</v>
      </c>
      <c r="E55" s="167">
        <v>43.0</v>
      </c>
      <c r="F55" s="98" t="s">
        <v>234</v>
      </c>
      <c r="G55" s="2"/>
      <c r="I55" s="168">
        <v>44.0</v>
      </c>
      <c r="J55" s="111" t="s">
        <v>235</v>
      </c>
      <c r="K55" s="2"/>
      <c r="N55" s="59" t="str">
        <f>IFERROR(__xludf.DUMMYFUNCTION("""COMPUTED_VALUE"""),"JC Campit And Michael Berza")</f>
        <v>JC Campit And Michael Berza</v>
      </c>
      <c r="O55" s="4">
        <f>IFERROR(__xludf.DUMMYFUNCTION("""COMPUTED_VALUE"""),5.0)</f>
        <v>5</v>
      </c>
      <c r="P55" s="60">
        <f>IFERROR(__xludf.DUMMYFUNCTION("""COMPUTED_VALUE"""),44868.0)</f>
        <v>44868</v>
      </c>
      <c r="R55" s="59" t="str">
        <f>IFERROR(__xludf.DUMMYFUNCTION("""COMPUTED_VALUE"""),"Marrbont Corporation")</f>
        <v>Marrbont Corporation</v>
      </c>
      <c r="S55" s="4">
        <f>IFERROR(__xludf.DUMMYFUNCTION("""COMPUTED_VALUE"""),4.6)</f>
        <v>4.6</v>
      </c>
      <c r="T55" s="60">
        <f>IFERROR(__xludf.DUMMYFUNCTION("""COMPUTED_VALUE"""),45205.0)</f>
        <v>45205</v>
      </c>
      <c r="V55" s="59" t="str">
        <f>IFERROR(__xludf.DUMMYFUNCTION("""COMPUTED_VALUE"""),"Net Ad IT Solutions")</f>
        <v>Net Ad IT Solutions</v>
      </c>
      <c r="W55" s="4">
        <f>IFERROR(__xludf.DUMMYFUNCTION("""COMPUTED_VALUE"""),4.833333333333333)</f>
        <v>4.833333333</v>
      </c>
      <c r="X55" s="60">
        <f>IFERROR(__xludf.DUMMYFUNCTION("""COMPUTED_VALUE"""),45553.0)</f>
        <v>45553</v>
      </c>
      <c r="AA55" s="4"/>
      <c r="AC55" s="59" t="str">
        <f>IFERROR(__xludf.DUMMYFUNCTION("""COMPUTED_VALUE"""),"Printing Shop PrintPilipinas.com")</f>
        <v>Printing Shop PrintPilipinas.com</v>
      </c>
      <c r="AD55" s="4">
        <f>IFERROR(__xludf.DUMMYFUNCTION("""COMPUTED_VALUE"""),4.732916666666667)</f>
        <v>4.732916667</v>
      </c>
      <c r="AF55" s="59" t="str">
        <f>IFERROR(__xludf.DUMMYFUNCTION("""COMPUTED_VALUE"""),"Oray Copier Solutions")</f>
        <v>Oray Copier Solutions</v>
      </c>
      <c r="AG55" s="4">
        <f>IFERROR(__xludf.DUMMYFUNCTION("""COMPUTED_VALUE"""),5.0)</f>
        <v>5</v>
      </c>
    </row>
    <row r="56">
      <c r="A56" s="170">
        <v>43.0</v>
      </c>
      <c r="B56" s="97" t="s">
        <v>234</v>
      </c>
      <c r="C56" s="4">
        <v>4.0</v>
      </c>
      <c r="E56" s="98">
        <v>44.0</v>
      </c>
      <c r="F56" s="98" t="s">
        <v>240</v>
      </c>
      <c r="G56" s="128"/>
      <c r="I56" s="168">
        <v>45.0</v>
      </c>
      <c r="J56" s="111" t="s">
        <v>241</v>
      </c>
      <c r="K56" s="128"/>
      <c r="N56" s="59" t="str">
        <f>IFERROR(__xludf.DUMMYFUNCTION("""COMPUTED_VALUE"""),"Rivchem Enterprises")</f>
        <v>Rivchem Enterprises</v>
      </c>
      <c r="O56" s="4">
        <f>IFERROR(__xludf.DUMMYFUNCTION("""COMPUTED_VALUE"""),4.516666666666667)</f>
        <v>4.516666667</v>
      </c>
      <c r="P56" s="60">
        <f>IFERROR(__xludf.DUMMYFUNCTION("""COMPUTED_VALUE"""),44868.0)</f>
        <v>44868</v>
      </c>
      <c r="R56" s="59" t="str">
        <f>IFERROR(__xludf.DUMMYFUNCTION("""COMPUTED_VALUE"""),"Wisechoice Cleaning Supplies and Trading Corp.")</f>
        <v>Wisechoice Cleaning Supplies and Trading Corp.</v>
      </c>
      <c r="S56" s="4">
        <f>IFERROR(__xludf.DUMMYFUNCTION("""COMPUTED_VALUE"""),4.6)</f>
        <v>4.6</v>
      </c>
      <c r="T56" s="60">
        <f>IFERROR(__xludf.DUMMYFUNCTION("""COMPUTED_VALUE"""),45205.0)</f>
        <v>45205</v>
      </c>
      <c r="V56" s="59" t="str">
        <f>IFERROR(__xludf.DUMMYFUNCTION("""COMPUTED_VALUE"""),"Abenson Ventures, Inc.")</f>
        <v>Abenson Ventures, Inc.</v>
      </c>
      <c r="W56" s="4">
        <f>IFERROR(__xludf.DUMMYFUNCTION("""COMPUTED_VALUE"""),4.833333333333333)</f>
        <v>4.833333333</v>
      </c>
      <c r="X56" s="60">
        <f>IFERROR(__xludf.DUMMYFUNCTION("""COMPUTED_VALUE"""),45553.0)</f>
        <v>45553</v>
      </c>
      <c r="AA56" s="4"/>
      <c r="AC56" s="59" t="str">
        <f>IFERROR(__xludf.DUMMYFUNCTION("""COMPUTED_VALUE"""),"REX Bookstore, Inc.")</f>
        <v>REX Bookstore, Inc.</v>
      </c>
      <c r="AD56" s="4">
        <f>IFERROR(__xludf.DUMMYFUNCTION("""COMPUTED_VALUE"""),4.833333333333333)</f>
        <v>4.833333333</v>
      </c>
      <c r="AF56" s="59" t="str">
        <f>IFERROR(__xludf.DUMMYFUNCTION("""COMPUTED_VALUE"""),"Palces Manufacturing, Inc.")</f>
        <v>Palces Manufacturing, Inc.</v>
      </c>
      <c r="AG56" s="4">
        <f>IFERROR(__xludf.DUMMYFUNCTION("""COMPUTED_VALUE"""),4.933333333333334)</f>
        <v>4.933333333</v>
      </c>
    </row>
    <row r="57">
      <c r="A57" s="95">
        <v>44.0</v>
      </c>
      <c r="B57" s="97" t="s">
        <v>240</v>
      </c>
      <c r="C57" s="128"/>
      <c r="E57" s="78" t="s">
        <v>248</v>
      </c>
      <c r="F57" s="54"/>
      <c r="G57" s="55">
        <f>average(G58:G62)</f>
        <v>4.886666667</v>
      </c>
      <c r="I57" s="168">
        <v>46.0</v>
      </c>
      <c r="J57" s="111" t="s">
        <v>250</v>
      </c>
      <c r="K57" s="128"/>
      <c r="N57" s="59" t="str">
        <f>IFERROR(__xludf.DUMMYFUNCTION("""COMPUTED_VALUE"""),"Rivchem Enterprises")</f>
        <v>Rivchem Enterprises</v>
      </c>
      <c r="O57" s="4">
        <f>IFERROR(__xludf.DUMMYFUNCTION("""COMPUTED_VALUE"""),4.766666666666667)</f>
        <v>4.766666667</v>
      </c>
      <c r="P57" s="60">
        <f>IFERROR(__xludf.DUMMYFUNCTION("""COMPUTED_VALUE"""),44868.0)</f>
        <v>44868</v>
      </c>
      <c r="R57" s="59" t="str">
        <f>IFERROR(__xludf.DUMMYFUNCTION("""COMPUTED_VALUE"""),"Contrade Integrated Depot")</f>
        <v>Contrade Integrated Depot</v>
      </c>
      <c r="S57" s="4">
        <f>IFERROR(__xludf.DUMMYFUNCTION("""COMPUTED_VALUE"""),4.83)</f>
        <v>4.83</v>
      </c>
      <c r="T57" s="60">
        <f>IFERROR(__xludf.DUMMYFUNCTION("""COMPUTED_VALUE"""),45212.0)</f>
        <v>45212</v>
      </c>
      <c r="V57" s="59" t="str">
        <f>IFERROR(__xludf.DUMMYFUNCTION("""COMPUTED_VALUE"""),"Chemtrust Global Market, Inc.")</f>
        <v>Chemtrust Global Market, Inc.</v>
      </c>
      <c r="W57" s="4">
        <f>IFERROR(__xludf.DUMMYFUNCTION("""COMPUTED_VALUE"""),4.791666666666667)</f>
        <v>4.791666667</v>
      </c>
      <c r="X57" s="60">
        <f>IFERROR(__xludf.DUMMYFUNCTION("""COMPUTED_VALUE"""),45553.0)</f>
        <v>45553</v>
      </c>
      <c r="AA57" s="4"/>
      <c r="AC57" s="59" t="str">
        <f>IFERROR(__xludf.DUMMYFUNCTION("""COMPUTED_VALUE"""),"RSAZ Corporation")</f>
        <v>RSAZ Corporation</v>
      </c>
      <c r="AD57" s="4">
        <f>IFERROR(__xludf.DUMMYFUNCTION("""COMPUTED_VALUE"""),4.833333333333333)</f>
        <v>4.833333333</v>
      </c>
      <c r="AF57" s="59" t="str">
        <f>IFERROR(__xludf.DUMMYFUNCTION("""COMPUTED_VALUE"""),"Paper Tree Marketing Group, Inc.")</f>
        <v>Paper Tree Marketing Group, Inc.</v>
      </c>
      <c r="AG57" s="4">
        <f>IFERROR(__xludf.DUMMYFUNCTION("""COMPUTED_VALUE"""),4.916666666666667)</f>
        <v>4.916666667</v>
      </c>
    </row>
    <row r="58">
      <c r="A58" s="166" t="s">
        <v>248</v>
      </c>
      <c r="B58" s="54"/>
      <c r="C58" s="55">
        <f>average(C59:C60)</f>
        <v>4.666666667</v>
      </c>
      <c r="E58" s="167">
        <v>45.0</v>
      </c>
      <c r="F58" s="98" t="s">
        <v>258</v>
      </c>
      <c r="G58" s="4">
        <v>5.0</v>
      </c>
      <c r="I58" s="168">
        <v>47.0</v>
      </c>
      <c r="J58" s="111" t="s">
        <v>259</v>
      </c>
      <c r="K58" s="125"/>
      <c r="N58" s="59" t="str">
        <f>IFERROR(__xludf.DUMMYFUNCTION("""COMPUTED_VALUE"""),"Columbia Technologies, Inc.")</f>
        <v>Columbia Technologies, Inc.</v>
      </c>
      <c r="O58" s="4">
        <f>IFERROR(__xludf.DUMMYFUNCTION("""COMPUTED_VALUE"""),4.833333333333333)</f>
        <v>4.833333333</v>
      </c>
      <c r="P58" s="60">
        <f>IFERROR(__xludf.DUMMYFUNCTION("""COMPUTED_VALUE"""),44869.0)</f>
        <v>44869</v>
      </c>
      <c r="R58" s="59" t="str">
        <f>IFERROR(__xludf.DUMMYFUNCTION("""COMPUTED_VALUE"""),"Creative Juice Digital Printing")</f>
        <v>Creative Juice Digital Printing</v>
      </c>
      <c r="S58" s="4">
        <f>IFERROR(__xludf.DUMMYFUNCTION("""COMPUTED_VALUE"""),4.833333333333333)</f>
        <v>4.833333333</v>
      </c>
      <c r="T58" s="60">
        <f>IFERROR(__xludf.DUMMYFUNCTION("""COMPUTED_VALUE"""),45212.0)</f>
        <v>45212</v>
      </c>
      <c r="V58" s="59" t="str">
        <f>IFERROR(__xludf.DUMMYFUNCTION("""COMPUTED_VALUE"""),"Leonard Prints Inc.")</f>
        <v>Leonard Prints Inc.</v>
      </c>
      <c r="W58" s="4">
        <f>IFERROR(__xludf.DUMMYFUNCTION("""COMPUTED_VALUE"""),4.508333333333333)</f>
        <v>4.508333333</v>
      </c>
      <c r="X58" s="60">
        <f>IFERROR(__xludf.DUMMYFUNCTION("""COMPUTED_VALUE"""),45554.0)</f>
        <v>45554</v>
      </c>
      <c r="AA58" s="4"/>
      <c r="AC58" s="59" t="str">
        <f>IFERROR(__xludf.DUMMYFUNCTION("""COMPUTED_VALUE"""),"Raynard's Enterprises")</f>
        <v>Raynard's Enterprises</v>
      </c>
      <c r="AD58" s="4">
        <f>IFERROR(__xludf.DUMMYFUNCTION("""COMPUTED_VALUE"""),4.733333333333333)</f>
        <v>4.733333333</v>
      </c>
      <c r="AF58" s="59" t="str">
        <f>IFERROR(__xludf.DUMMYFUNCTION("""COMPUTED_VALUE"""),"Patagonian Enterprises ")</f>
        <v>Patagonian Enterprises </v>
      </c>
      <c r="AG58" s="4">
        <f>IFERROR(__xludf.DUMMYFUNCTION("""COMPUTED_VALUE"""),4.0)</f>
        <v>4</v>
      </c>
    </row>
    <row r="59">
      <c r="A59" s="170">
        <v>45.0</v>
      </c>
      <c r="B59" s="97" t="s">
        <v>258</v>
      </c>
      <c r="C59" s="4">
        <v>4.833333333333333</v>
      </c>
      <c r="E59" s="167">
        <v>46.0</v>
      </c>
      <c r="F59" s="98" t="s">
        <v>264</v>
      </c>
      <c r="G59" s="50">
        <v>4.83</v>
      </c>
      <c r="I59" s="83" t="s">
        <v>266</v>
      </c>
      <c r="J59" s="85"/>
      <c r="K59" s="55">
        <f>average(K60:K71)</f>
        <v>4.643861111</v>
      </c>
      <c r="N59" s="59" t="str">
        <f>IFERROR(__xludf.DUMMYFUNCTION("""COMPUTED_VALUE"""),"Abenson Ventures, Inc.")</f>
        <v>Abenson Ventures, Inc.</v>
      </c>
      <c r="O59" s="4">
        <f>IFERROR(__xludf.DUMMYFUNCTION("""COMPUTED_VALUE"""),5.0)</f>
        <v>5</v>
      </c>
      <c r="P59" s="60">
        <f>IFERROR(__xludf.DUMMYFUNCTION("""COMPUTED_VALUE"""),44874.0)</f>
        <v>44874</v>
      </c>
      <c r="R59" s="59" t="str">
        <f>IFERROR(__xludf.DUMMYFUNCTION("""COMPUTED_VALUE"""),"Rivchem Enterprises")</f>
        <v>Rivchem Enterprises</v>
      </c>
      <c r="S59" s="4">
        <f>IFERROR(__xludf.DUMMYFUNCTION("""COMPUTED_VALUE"""),5.0)</f>
        <v>5</v>
      </c>
      <c r="T59" s="60">
        <f>IFERROR(__xludf.DUMMYFUNCTION("""COMPUTED_VALUE"""),45212.0)</f>
        <v>45212</v>
      </c>
      <c r="V59" s="59" t="str">
        <f>IFERROR(__xludf.DUMMYFUNCTION("""COMPUTED_VALUE"""),"Leonard Prints Inc.")</f>
        <v>Leonard Prints Inc.</v>
      </c>
      <c r="W59" s="4">
        <f>IFERROR(__xludf.DUMMYFUNCTION("""COMPUTED_VALUE"""),4.833333333333333)</f>
        <v>4.833333333</v>
      </c>
      <c r="X59" s="60">
        <f>IFERROR(__xludf.DUMMYFUNCTION("""COMPUTED_VALUE"""),45554.0)</f>
        <v>45554</v>
      </c>
      <c r="AA59" s="4"/>
      <c r="AC59" s="59" t="str">
        <f>IFERROR(__xludf.DUMMYFUNCTION("""COMPUTED_VALUE"""),"Rivchem Enterprises")</f>
        <v>Rivchem Enterprises</v>
      </c>
      <c r="AD59" s="4">
        <f>IFERROR(__xludf.DUMMYFUNCTION("""COMPUTED_VALUE"""),4.545740740740741)</f>
        <v>4.545740741</v>
      </c>
      <c r="AF59" s="59" t="str">
        <f>IFERROR(__xludf.DUMMYFUNCTION("""COMPUTED_VALUE"""),"Philippine Chinese Education Research Center Inc.")</f>
        <v>Philippine Chinese Education Research Center Inc.</v>
      </c>
      <c r="AG59" s="4">
        <f>IFERROR(__xludf.DUMMYFUNCTION("""COMPUTED_VALUE"""),4.166666666666667)</f>
        <v>4.166666667</v>
      </c>
    </row>
    <row r="60">
      <c r="A60" s="170">
        <v>46.0</v>
      </c>
      <c r="B60" s="97" t="s">
        <v>264</v>
      </c>
      <c r="C60" s="4">
        <v>4.5</v>
      </c>
      <c r="E60" s="167">
        <v>47.0</v>
      </c>
      <c r="F60" s="98" t="s">
        <v>273</v>
      </c>
      <c r="G60" s="50"/>
      <c r="I60" s="101">
        <v>48.0</v>
      </c>
      <c r="J60" s="102" t="s">
        <v>274</v>
      </c>
      <c r="K60" s="50"/>
      <c r="N60" s="59" t="str">
        <f>IFERROR(__xludf.DUMMYFUNCTION("""COMPUTED_VALUE"""),"Arkwood Plus Fine Furniture")</f>
        <v>Arkwood Plus Fine Furniture</v>
      </c>
      <c r="O60" s="4">
        <f>IFERROR(__xludf.DUMMYFUNCTION("""COMPUTED_VALUE"""),4.0)</f>
        <v>4</v>
      </c>
      <c r="P60" s="60">
        <f>IFERROR(__xludf.DUMMYFUNCTION("""COMPUTED_VALUE"""),44879.0)</f>
        <v>44879</v>
      </c>
      <c r="R60" s="59" t="str">
        <f>IFERROR(__xludf.DUMMYFUNCTION("""COMPUTED_VALUE"""),"Rivchem Enterprises")</f>
        <v>Rivchem Enterprises</v>
      </c>
      <c r="S60" s="4">
        <f>IFERROR(__xludf.DUMMYFUNCTION("""COMPUTED_VALUE"""),4.258333333333334)</f>
        <v>4.258333333</v>
      </c>
      <c r="T60" s="60">
        <f>IFERROR(__xludf.DUMMYFUNCTION("""COMPUTED_VALUE"""),45213.0)</f>
        <v>45213</v>
      </c>
      <c r="V60" s="59" t="str">
        <f>IFERROR(__xludf.DUMMYFUNCTION("""COMPUTED_VALUE"""),"Leonard Prints Inc.")</f>
        <v>Leonard Prints Inc.</v>
      </c>
      <c r="W60" s="4">
        <f>IFERROR(__xludf.DUMMYFUNCTION("""COMPUTED_VALUE"""),4.833333333333333)</f>
        <v>4.833333333</v>
      </c>
      <c r="X60" s="60">
        <f>IFERROR(__xludf.DUMMYFUNCTION("""COMPUTED_VALUE"""),45554.0)</f>
        <v>45554</v>
      </c>
      <c r="AA60" s="4"/>
      <c r="AC60" s="59" t="str">
        <f>IFERROR(__xludf.DUMMYFUNCTION("""COMPUTED_VALUE"""),"Roavsan General Merchandise")</f>
        <v>Roavsan General Merchandise</v>
      </c>
      <c r="AD60" s="4">
        <f>IFERROR(__xludf.DUMMYFUNCTION("""COMPUTED_VALUE"""),4.0)</f>
        <v>4</v>
      </c>
      <c r="AF60" s="59" t="str">
        <f>IFERROR(__xludf.DUMMYFUNCTION("""COMPUTED_VALUE"""),"Philippine Educational Theater Association, Inc.")</f>
        <v>Philippine Educational Theater Association, Inc.</v>
      </c>
      <c r="AG60" s="4">
        <f>IFERROR(__xludf.DUMMYFUNCTION("""COMPUTED_VALUE"""),4.766666666666667)</f>
        <v>4.766666667</v>
      </c>
    </row>
    <row r="61">
      <c r="A61" s="166" t="s">
        <v>279</v>
      </c>
      <c r="B61" s="54"/>
      <c r="C61" s="55">
        <f>average(C62:C77)</f>
        <v>4.416666667</v>
      </c>
      <c r="E61" s="167">
        <v>48.0</v>
      </c>
      <c r="F61" s="98" t="s">
        <v>281</v>
      </c>
      <c r="G61" s="127">
        <v>4.83</v>
      </c>
      <c r="I61" s="101">
        <v>49.0</v>
      </c>
      <c r="J61" s="111" t="s">
        <v>282</v>
      </c>
      <c r="K61" s="128"/>
      <c r="N61" s="59" t="str">
        <f>IFERROR(__xludf.DUMMYFUNCTION("""COMPUTED_VALUE"""),"Creative Juice Digital Printing")</f>
        <v>Creative Juice Digital Printing</v>
      </c>
      <c r="O61" s="4">
        <f>IFERROR(__xludf.DUMMYFUNCTION("""COMPUTED_VALUE"""),4.8)</f>
        <v>4.8</v>
      </c>
      <c r="P61" s="60">
        <f>IFERROR(__xludf.DUMMYFUNCTION("""COMPUTED_VALUE"""),44879.0)</f>
        <v>44879</v>
      </c>
      <c r="R61" s="59" t="str">
        <f>IFERROR(__xludf.DUMMYFUNCTION("""COMPUTED_VALUE"""),"Rivchem Enterprises")</f>
        <v>Rivchem Enterprises</v>
      </c>
      <c r="S61" s="4">
        <f>IFERROR(__xludf.DUMMYFUNCTION("""COMPUTED_VALUE"""),4.333333333333333)</f>
        <v>4.333333333</v>
      </c>
      <c r="T61" s="60">
        <f>IFERROR(__xludf.DUMMYFUNCTION("""COMPUTED_VALUE"""),45213.0)</f>
        <v>45213</v>
      </c>
      <c r="V61" s="59" t="str">
        <f>IFERROR(__xludf.DUMMYFUNCTION("""COMPUTED_VALUE"""),"Printing Shop PrintPilipinas.com")</f>
        <v>Printing Shop PrintPilipinas.com</v>
      </c>
      <c r="W61" s="4">
        <f>IFERROR(__xludf.DUMMYFUNCTION("""COMPUTED_VALUE"""),4.825)</f>
        <v>4.825</v>
      </c>
      <c r="X61" s="60">
        <f>IFERROR(__xludf.DUMMYFUNCTION("""COMPUTED_VALUE"""),45555.0)</f>
        <v>45555</v>
      </c>
      <c r="AA61" s="4"/>
      <c r="AC61" s="59" t="str">
        <f>IFERROR(__xludf.DUMMYFUNCTION("""COMPUTED_VALUE"""),"Ronald Personalized Fashion Specialist")</f>
        <v>Ronald Personalized Fashion Specialist</v>
      </c>
      <c r="AD61" s="4">
        <f>IFERROR(__xludf.DUMMYFUNCTION("""COMPUTED_VALUE"""),4.0)</f>
        <v>4</v>
      </c>
      <c r="AF61" s="59" t="str">
        <f>IFERROR(__xludf.DUMMYFUNCTION("""COMPUTED_VALUE"""),"Primeline Products Philippines, Inc.")</f>
        <v>Primeline Products Philippines, Inc.</v>
      </c>
      <c r="AG61" s="4">
        <f>IFERROR(__xludf.DUMMYFUNCTION("""COMPUTED_VALUE"""),4.674444444444444)</f>
        <v>4.674444444</v>
      </c>
    </row>
    <row r="62">
      <c r="A62" s="95">
        <v>47.0</v>
      </c>
      <c r="B62" s="97" t="s">
        <v>166</v>
      </c>
      <c r="C62" s="4">
        <v>4.416666666666667</v>
      </c>
      <c r="E62" s="167">
        <v>49.0</v>
      </c>
      <c r="F62" s="98" t="s">
        <v>287</v>
      </c>
      <c r="G62" s="2"/>
      <c r="I62" s="101">
        <v>50.0</v>
      </c>
      <c r="J62" s="111" t="s">
        <v>219</v>
      </c>
      <c r="K62" s="4">
        <v>4.333333333333333</v>
      </c>
      <c r="N62" s="59" t="str">
        <f>IFERROR(__xludf.DUMMYFUNCTION("""COMPUTED_VALUE"""),"Creative Juice Digital Printing")</f>
        <v>Creative Juice Digital Printing</v>
      </c>
      <c r="O62" s="4">
        <f>IFERROR(__xludf.DUMMYFUNCTION("""COMPUTED_VALUE"""),4.833333333333333)</f>
        <v>4.833333333</v>
      </c>
      <c r="P62" s="60">
        <f>IFERROR(__xludf.DUMMYFUNCTION("""COMPUTED_VALUE"""),44881.0)</f>
        <v>44881</v>
      </c>
      <c r="R62" s="59" t="str">
        <f>IFERROR(__xludf.DUMMYFUNCTION("""COMPUTED_VALUE"""),"Rivchem Enterprises")</f>
        <v>Rivchem Enterprises</v>
      </c>
      <c r="S62" s="4">
        <f>IFERROR(__xludf.DUMMYFUNCTION("""COMPUTED_VALUE"""),5.0)</f>
        <v>5</v>
      </c>
      <c r="T62" s="60">
        <f>IFERROR(__xludf.DUMMYFUNCTION("""COMPUTED_VALUE"""),45213.0)</f>
        <v>45213</v>
      </c>
      <c r="V62" s="59" t="str">
        <f>IFERROR(__xludf.DUMMYFUNCTION("""COMPUTED_VALUE"""),"Mostaco Printing")</f>
        <v>Mostaco Printing</v>
      </c>
      <c r="W62" s="4">
        <f>IFERROR(__xludf.DUMMYFUNCTION("""COMPUTED_VALUE"""),4.833333333333333)</f>
        <v>4.833333333</v>
      </c>
      <c r="X62" s="60">
        <f>IFERROR(__xludf.DUMMYFUNCTION("""COMPUTED_VALUE"""),45555.0)</f>
        <v>45555</v>
      </c>
      <c r="AA62" s="4"/>
      <c r="AC62" s="59" t="str">
        <f>IFERROR(__xludf.DUMMYFUNCTION("""COMPUTED_VALUE"""),"Times Trading Co., Inc.")</f>
        <v>Times Trading Co., Inc.</v>
      </c>
      <c r="AD62" s="4">
        <f>IFERROR(__xludf.DUMMYFUNCTION("""COMPUTED_VALUE"""),4.686041666666667)</f>
        <v>4.686041667</v>
      </c>
      <c r="AF62" s="59" t="str">
        <f>IFERROR(__xludf.DUMMYFUNCTION("""COMPUTED_VALUE"""),"Print Depot Inc.")</f>
        <v>Print Depot Inc.</v>
      </c>
      <c r="AG62" s="4">
        <f>IFERROR(__xludf.DUMMYFUNCTION("""COMPUTED_VALUE"""),4.791666666666666)</f>
        <v>4.791666667</v>
      </c>
    </row>
    <row r="63">
      <c r="A63" s="95">
        <v>48.0</v>
      </c>
      <c r="B63" s="97" t="s">
        <v>178</v>
      </c>
      <c r="C63" s="125"/>
      <c r="E63" s="78" t="s">
        <v>279</v>
      </c>
      <c r="F63" s="54"/>
      <c r="G63" s="55">
        <f>average(G64:G80)</f>
        <v>4.379365079</v>
      </c>
      <c r="I63" s="101">
        <v>51.0</v>
      </c>
      <c r="J63" s="111" t="s">
        <v>295</v>
      </c>
      <c r="K63" s="4">
        <v>4.325444444444444</v>
      </c>
      <c r="N63" s="59" t="str">
        <f>IFERROR(__xludf.DUMMYFUNCTION("""COMPUTED_VALUE"""),"Sparklight Marketing Incorporated")</f>
        <v>Sparklight Marketing Incorporated</v>
      </c>
      <c r="O63" s="4">
        <f>IFERROR(__xludf.DUMMYFUNCTION("""COMPUTED_VALUE"""),4.2)</f>
        <v>4.2</v>
      </c>
      <c r="P63" s="60">
        <f>IFERROR(__xludf.DUMMYFUNCTION("""COMPUTED_VALUE"""),44882.0)</f>
        <v>44882</v>
      </c>
      <c r="R63" s="59" t="str">
        <f>IFERROR(__xludf.DUMMYFUNCTION("""COMPUTED_VALUE"""),"Commerce Asia, Inc.")</f>
        <v>Commerce Asia, Inc.</v>
      </c>
      <c r="S63" s="4">
        <f>IFERROR(__xludf.DUMMYFUNCTION("""COMPUTED_VALUE"""),5.0)</f>
        <v>5</v>
      </c>
      <c r="T63" s="60">
        <f>IFERROR(__xludf.DUMMYFUNCTION("""COMPUTED_VALUE"""),45215.0)</f>
        <v>45215</v>
      </c>
      <c r="V63" s="59" t="str">
        <f>IFERROR(__xludf.DUMMYFUNCTION("""COMPUTED_VALUE"""),"Printing Shop PrintPilipinas.com")</f>
        <v>Printing Shop PrintPilipinas.com</v>
      </c>
      <c r="W63" s="4">
        <f>IFERROR(__xludf.DUMMYFUNCTION("""COMPUTED_VALUE"""),4.833333333333333)</f>
        <v>4.833333333</v>
      </c>
      <c r="X63" s="60">
        <f>IFERROR(__xludf.DUMMYFUNCTION("""COMPUTED_VALUE"""),45555.0)</f>
        <v>45555</v>
      </c>
      <c r="AA63" s="4"/>
      <c r="AC63" s="59" t="str">
        <f>IFERROR(__xludf.DUMMYFUNCTION("""COMPUTED_VALUE"""),"Tropical Palms Fashion House, Inc.")</f>
        <v>Tropical Palms Fashion House, Inc.</v>
      </c>
      <c r="AD63" s="4">
        <f>IFERROR(__xludf.DUMMYFUNCTION("""COMPUTED_VALUE"""),4.729761904761905)</f>
        <v>4.729761905</v>
      </c>
      <c r="AF63" s="59" t="str">
        <f>IFERROR(__xludf.DUMMYFUNCTION("""COMPUTED_VALUE"""),"Printing Shop PrintPilipinas.com")</f>
        <v>Printing Shop PrintPilipinas.com</v>
      </c>
      <c r="AG63" s="4">
        <f>IFERROR(__xludf.DUMMYFUNCTION("""COMPUTED_VALUE"""),4.87138888888889)</f>
        <v>4.871388889</v>
      </c>
    </row>
    <row r="64">
      <c r="A64" s="95">
        <v>49.0</v>
      </c>
      <c r="B64" s="97" t="s">
        <v>180</v>
      </c>
      <c r="C64" s="2"/>
      <c r="E64" s="98">
        <v>50.0</v>
      </c>
      <c r="F64" s="98" t="s">
        <v>166</v>
      </c>
      <c r="G64" s="4">
        <v>4.4714285714285715</v>
      </c>
      <c r="I64" s="101">
        <v>52.0</v>
      </c>
      <c r="J64" s="111" t="s">
        <v>303</v>
      </c>
      <c r="K64" s="2"/>
      <c r="N64" s="59" t="str">
        <f>IFERROR(__xludf.DUMMYFUNCTION("""COMPUTED_VALUE"""),"Sprintec Printing Press, Inc.")</f>
        <v>Sprintec Printing Press, Inc.</v>
      </c>
      <c r="O64" s="4">
        <f>IFERROR(__xludf.DUMMYFUNCTION("""COMPUTED_VALUE"""),3.3333333333333335)</f>
        <v>3.333333333</v>
      </c>
      <c r="P64" s="60">
        <f>IFERROR(__xludf.DUMMYFUNCTION("""COMPUTED_VALUE"""),44882.0)</f>
        <v>44882</v>
      </c>
      <c r="R64" s="59" t="str">
        <f>IFERROR(__xludf.DUMMYFUNCTION("""COMPUTED_VALUE"""),"Ronald Personalized Fashion Specialist")</f>
        <v>Ronald Personalized Fashion Specialist</v>
      </c>
      <c r="S64" s="4">
        <f>IFERROR(__xludf.DUMMYFUNCTION("""COMPUTED_VALUE"""),4.0)</f>
        <v>4</v>
      </c>
      <c r="T64" s="60">
        <f>IFERROR(__xludf.DUMMYFUNCTION("""COMPUTED_VALUE"""),45216.0)</f>
        <v>45216</v>
      </c>
      <c r="V64" s="59" t="str">
        <f>IFERROR(__xludf.DUMMYFUNCTION("""COMPUTED_VALUE"""),"Rivchem Enterprises")</f>
        <v>Rivchem Enterprises</v>
      </c>
      <c r="W64" s="4">
        <f>IFERROR(__xludf.DUMMYFUNCTION("""COMPUTED_VALUE"""),4.625)</f>
        <v>4.625</v>
      </c>
      <c r="X64" s="60">
        <f>IFERROR(__xludf.DUMMYFUNCTION("""COMPUTED_VALUE"""),45558.0)</f>
        <v>45558</v>
      </c>
      <c r="AA64" s="4"/>
      <c r="AC64" s="59" t="str">
        <f>IFERROR(__xludf.DUMMYFUNCTION("""COMPUTED_VALUE"""),"ULTRA PETRONNE INTERIOR SUPPLY CORPORATION")</f>
        <v>ULTRA PETRONNE INTERIOR SUPPLY CORPORATION</v>
      </c>
      <c r="AD64" s="4">
        <f>IFERROR(__xludf.DUMMYFUNCTION("""COMPUTED_VALUE"""),4.5)</f>
        <v>4.5</v>
      </c>
      <c r="AF64" s="59" t="str">
        <f>IFERROR(__xludf.DUMMYFUNCTION("""COMPUTED_VALUE"""),"RSAZ Corporation")</f>
        <v>RSAZ Corporation</v>
      </c>
      <c r="AG64" s="4">
        <f>IFERROR(__xludf.DUMMYFUNCTION("""COMPUTED_VALUE"""),5.0)</f>
        <v>5</v>
      </c>
    </row>
    <row r="65">
      <c r="A65" s="95">
        <v>50.0</v>
      </c>
      <c r="B65" s="97" t="s">
        <v>182</v>
      </c>
      <c r="C65" s="128"/>
      <c r="E65" s="98">
        <v>51.0</v>
      </c>
      <c r="F65" s="98" t="s">
        <v>173</v>
      </c>
      <c r="G65" s="128"/>
      <c r="I65" s="101">
        <v>53.0</v>
      </c>
      <c r="J65" s="111" t="s">
        <v>101</v>
      </c>
      <c r="K65" s="4">
        <v>5.0</v>
      </c>
      <c r="N65" s="59" t="str">
        <f>IFERROR(__xludf.DUMMYFUNCTION("""COMPUTED_VALUE"""),"Columbia Technologies, Inc.")</f>
        <v>Columbia Technologies, Inc.</v>
      </c>
      <c r="O65" s="4">
        <f>IFERROR(__xludf.DUMMYFUNCTION("""COMPUTED_VALUE"""),5.0)</f>
        <v>5</v>
      </c>
      <c r="P65" s="60">
        <f>IFERROR(__xludf.DUMMYFUNCTION("""COMPUTED_VALUE"""),44883.0)</f>
        <v>44883</v>
      </c>
      <c r="R65" s="59" t="str">
        <f>IFERROR(__xludf.DUMMYFUNCTION("""COMPUTED_VALUE"""),"Crosspoint Paper, Inc.")</f>
        <v>Crosspoint Paper, Inc.</v>
      </c>
      <c r="S65" s="4">
        <f>IFERROR(__xludf.DUMMYFUNCTION("""COMPUTED_VALUE"""),5.0)</f>
        <v>5</v>
      </c>
      <c r="T65" s="60">
        <f>IFERROR(__xludf.DUMMYFUNCTION("""COMPUTED_VALUE"""),45217.0)</f>
        <v>45217</v>
      </c>
      <c r="V65" s="59" t="str">
        <f>IFERROR(__xludf.DUMMYFUNCTION("""COMPUTED_VALUE"""),"Contrade Integrated Depot")</f>
        <v>Contrade Integrated Depot</v>
      </c>
      <c r="W65" s="4">
        <f>IFERROR(__xludf.DUMMYFUNCTION("""COMPUTED_VALUE"""),4.833333333333333)</f>
        <v>4.833333333</v>
      </c>
      <c r="X65" s="60">
        <f>IFERROR(__xludf.DUMMYFUNCTION("""COMPUTED_VALUE"""),45558.0)</f>
        <v>45558</v>
      </c>
      <c r="AA65" s="4"/>
      <c r="AC65" s="59" t="str">
        <f>IFERROR(__xludf.DUMMYFUNCTION("""COMPUTED_VALUE"""),"V.M Industries Corp.")</f>
        <v>V.M Industries Corp.</v>
      </c>
      <c r="AD65" s="4">
        <f>IFERROR(__xludf.DUMMYFUNCTION("""COMPUTED_VALUE"""),4.441666666666666)</f>
        <v>4.441666667</v>
      </c>
      <c r="AF65" s="59" t="str">
        <f>IFERROR(__xludf.DUMMYFUNCTION("""COMPUTED_VALUE"""),"Rivchem Enterprises")</f>
        <v>Rivchem Enterprises</v>
      </c>
      <c r="AG65" s="4">
        <f>IFERROR(__xludf.DUMMYFUNCTION("""COMPUTED_VALUE"""),4.758006535947713)</f>
        <v>4.758006536</v>
      </c>
    </row>
    <row r="66">
      <c r="A66" s="95">
        <v>51.0</v>
      </c>
      <c r="B66" s="97" t="s">
        <v>185</v>
      </c>
      <c r="C66" s="128"/>
      <c r="E66" s="98">
        <v>52.0</v>
      </c>
      <c r="F66" s="98" t="s">
        <v>178</v>
      </c>
      <c r="G66" s="128"/>
      <c r="I66" s="101">
        <v>54.0</v>
      </c>
      <c r="J66" s="111" t="s">
        <v>316</v>
      </c>
      <c r="K66" s="128"/>
      <c r="N66" s="59" t="str">
        <f>IFERROR(__xludf.DUMMYFUNCTION("""COMPUTED_VALUE"""),"Microsmith Technology System,Inc.")</f>
        <v>Microsmith Technology System,Inc.</v>
      </c>
      <c r="O66" s="4">
        <f>IFERROR(__xludf.DUMMYFUNCTION("""COMPUTED_VALUE"""),5.0)</f>
        <v>5</v>
      </c>
      <c r="P66" s="60">
        <f>IFERROR(__xludf.DUMMYFUNCTION("""COMPUTED_VALUE"""),44883.0)</f>
        <v>44883</v>
      </c>
      <c r="R66" s="59" t="str">
        <f>IFERROR(__xludf.DUMMYFUNCTION("""COMPUTED_VALUE"""),"Jarm Printing Press")</f>
        <v>Jarm Printing Press</v>
      </c>
      <c r="S66" s="4">
        <f>IFERROR(__xludf.DUMMYFUNCTION("""COMPUTED_VALUE"""),5.0)</f>
        <v>5</v>
      </c>
      <c r="T66" s="60">
        <f>IFERROR(__xludf.DUMMYFUNCTION("""COMPUTED_VALUE"""),45217.0)</f>
        <v>45217</v>
      </c>
      <c r="V66" s="59" t="str">
        <f>IFERROR(__xludf.DUMMYFUNCTION("""COMPUTED_VALUE"""),"Contrade Integrated Depot")</f>
        <v>Contrade Integrated Depot</v>
      </c>
      <c r="W66" s="4">
        <f>IFERROR(__xludf.DUMMYFUNCTION("""COMPUTED_VALUE"""),4.833333333333333)</f>
        <v>4.833333333</v>
      </c>
      <c r="X66" s="60">
        <f>IFERROR(__xludf.DUMMYFUNCTION("""COMPUTED_VALUE"""),45558.0)</f>
        <v>45558</v>
      </c>
      <c r="AA66" s="4"/>
      <c r="AC66" s="59" t="str">
        <f>IFERROR(__xludf.DUMMYFUNCTION("""COMPUTED_VALUE"""),"Wisechoice Cleaning Supplies and Trading Corp.")</f>
        <v>Wisechoice Cleaning Supplies and Trading Corp.</v>
      </c>
      <c r="AD66" s="4">
        <f>IFERROR(__xludf.DUMMYFUNCTION("""COMPUTED_VALUE"""),4.536111111111111)</f>
        <v>4.536111111</v>
      </c>
      <c r="AF66" s="59" t="str">
        <f>IFERROR(__xludf.DUMMYFUNCTION("""COMPUTED_VALUE"""),"Roavsan General Merchandise")</f>
        <v>Roavsan General Merchandise</v>
      </c>
      <c r="AG66" s="4">
        <f>IFERROR(__xludf.DUMMYFUNCTION("""COMPUTED_VALUE"""),4.758333333333334)</f>
        <v>4.758333333</v>
      </c>
    </row>
    <row r="67">
      <c r="A67" s="95">
        <v>52.0</v>
      </c>
      <c r="B67" s="97" t="s">
        <v>194</v>
      </c>
      <c r="C67" s="125"/>
      <c r="E67" s="98">
        <v>53.0</v>
      </c>
      <c r="F67" s="98" t="s">
        <v>180</v>
      </c>
      <c r="G67" s="125"/>
      <c r="I67" s="101">
        <v>55.0</v>
      </c>
      <c r="J67" s="102" t="s">
        <v>321</v>
      </c>
      <c r="K67" s="4">
        <v>4.916666666666666</v>
      </c>
      <c r="N67" s="59" t="str">
        <f>IFERROR(__xludf.DUMMYFUNCTION("""COMPUTED_VALUE"""),"Chemtrust Global Market, Inc.")</f>
        <v>Chemtrust Global Market, Inc.</v>
      </c>
      <c r="O67" s="4">
        <f>IFERROR(__xludf.DUMMYFUNCTION("""COMPUTED_VALUE"""),4.533333333333333)</f>
        <v>4.533333333</v>
      </c>
      <c r="P67" s="60">
        <f>IFERROR(__xludf.DUMMYFUNCTION("""COMPUTED_VALUE"""),44888.0)</f>
        <v>44888</v>
      </c>
      <c r="R67" s="59" t="str">
        <f>IFERROR(__xludf.DUMMYFUNCTION("""COMPUTED_VALUE"""),"Crosspoint Paper, Inc.")</f>
        <v>Crosspoint Paper, Inc.</v>
      </c>
      <c r="S67" s="4">
        <f>IFERROR(__xludf.DUMMYFUNCTION("""COMPUTED_VALUE"""),5.0)</f>
        <v>5</v>
      </c>
      <c r="T67" s="60">
        <f>IFERROR(__xludf.DUMMYFUNCTION("""COMPUTED_VALUE"""),45218.0)</f>
        <v>45218</v>
      </c>
      <c r="V67" s="59" t="str">
        <f>IFERROR(__xludf.DUMMYFUNCTION("""COMPUTED_VALUE"""),"Contrade Integrated Depot")</f>
        <v>Contrade Integrated Depot</v>
      </c>
      <c r="W67" s="4">
        <f>IFERROR(__xludf.DUMMYFUNCTION("""COMPUTED_VALUE"""),4.833333333333333)</f>
        <v>4.833333333</v>
      </c>
      <c r="X67" s="60">
        <f>IFERROR(__xludf.DUMMYFUNCTION("""COMPUTED_VALUE"""),45558.0)</f>
        <v>45558</v>
      </c>
      <c r="AA67" s="4"/>
      <c r="AC67" s="59" t="str">
        <f>IFERROR(__xludf.DUMMYFUNCTION("""COMPUTED_VALUE"""),"World Magazine Exchange Marketing Corp.")</f>
        <v>World Magazine Exchange Marketing Corp.</v>
      </c>
      <c r="AD67" s="4">
        <f>IFERROR(__xludf.DUMMYFUNCTION("""COMPUTED_VALUE"""),4.733333333333333)</f>
        <v>4.733333333</v>
      </c>
      <c r="AF67" s="59" t="str">
        <f>IFERROR(__xludf.DUMMYFUNCTION("""COMPUTED_VALUE"""),"Shelves and Cups Book Store")</f>
        <v>Shelves and Cups Book Store</v>
      </c>
      <c r="AG67" s="4">
        <f>IFERROR(__xludf.DUMMYFUNCTION("""COMPUTED_VALUE"""),4.833333333333333)</f>
        <v>4.833333333</v>
      </c>
    </row>
    <row r="68">
      <c r="A68" s="95">
        <v>53.0</v>
      </c>
      <c r="B68" s="97" t="s">
        <v>199</v>
      </c>
      <c r="C68" s="50"/>
      <c r="E68" s="98">
        <v>54.0</v>
      </c>
      <c r="F68" s="98" t="s">
        <v>182</v>
      </c>
      <c r="G68" s="2"/>
      <c r="I68" s="101">
        <v>56.0</v>
      </c>
      <c r="J68" s="111" t="s">
        <v>323</v>
      </c>
      <c r="K68" s="2"/>
      <c r="N68" s="59" t="str">
        <f>IFERROR(__xludf.DUMMYFUNCTION("""COMPUTED_VALUE"""),"Tropical Palms Fashion House, Inc.")</f>
        <v>Tropical Palms Fashion House, Inc.</v>
      </c>
      <c r="O68" s="4">
        <f>IFERROR(__xludf.DUMMYFUNCTION("""COMPUTED_VALUE"""),5.0)</f>
        <v>5</v>
      </c>
      <c r="P68" s="60">
        <f>IFERROR(__xludf.DUMMYFUNCTION("""COMPUTED_VALUE"""),44895.0)</f>
        <v>44895</v>
      </c>
      <c r="R68" s="59" t="str">
        <f>IFERROR(__xludf.DUMMYFUNCTION("""COMPUTED_VALUE"""),"Abacus Book &amp; Card Corp.")</f>
        <v>Abacus Book &amp; Card Corp.</v>
      </c>
      <c r="S68" s="4">
        <f>IFERROR(__xludf.DUMMYFUNCTION("""COMPUTED_VALUE"""),5.0)</f>
        <v>5</v>
      </c>
      <c r="T68" s="60">
        <f>IFERROR(__xludf.DUMMYFUNCTION("""COMPUTED_VALUE"""),45225.0)</f>
        <v>45225</v>
      </c>
      <c r="V68" s="59" t="str">
        <f>IFERROR(__xludf.DUMMYFUNCTION("""COMPUTED_VALUE"""),"Contrade Integrated Depot")</f>
        <v>Contrade Integrated Depot</v>
      </c>
      <c r="W68" s="4">
        <f>IFERROR(__xludf.DUMMYFUNCTION("""COMPUTED_VALUE"""),4.833333333333333)</f>
        <v>4.833333333</v>
      </c>
      <c r="X68" s="60">
        <f>IFERROR(__xludf.DUMMYFUNCTION("""COMPUTED_VALUE"""),45558.0)</f>
        <v>45558</v>
      </c>
      <c r="AA68" s="4"/>
      <c r="AC68" s="59" t="str">
        <f>IFERROR(__xludf.DUMMYFUNCTION("""COMPUTED_VALUE"""),"Zariah's Non-Specialized Wholesale Trading")</f>
        <v>Zariah's Non-Specialized Wholesale Trading</v>
      </c>
      <c r="AD68" s="4">
        <f>IFERROR(__xludf.DUMMYFUNCTION("""COMPUTED_VALUE"""),4.791666666666667)</f>
        <v>4.791666667</v>
      </c>
      <c r="AF68" s="59" t="str">
        <f>IFERROR(__xludf.DUMMYFUNCTION("""COMPUTED_VALUE"""),"Sprintec Printing Press, Inc.")</f>
        <v>Sprintec Printing Press, Inc.</v>
      </c>
      <c r="AG68" s="4">
        <f>IFERROR(__xludf.DUMMYFUNCTION("""COMPUTED_VALUE"""),3.4166666666666665)</f>
        <v>3.416666667</v>
      </c>
    </row>
    <row r="69">
      <c r="A69" s="95">
        <v>54.0</v>
      </c>
      <c r="B69" s="97" t="s">
        <v>210</v>
      </c>
      <c r="C69" s="128"/>
      <c r="E69" s="98">
        <v>55.0</v>
      </c>
      <c r="F69" s="98" t="s">
        <v>185</v>
      </c>
      <c r="G69" s="4">
        <v>4.0</v>
      </c>
      <c r="I69" s="101">
        <v>57.0</v>
      </c>
      <c r="J69" s="111" t="s">
        <v>98</v>
      </c>
      <c r="K69" s="128"/>
      <c r="N69" s="59" t="str">
        <f>IFERROR(__xludf.DUMMYFUNCTION("""COMPUTED_VALUE"""),"Data Computer Forms, Inc.")</f>
        <v>Data Computer Forms, Inc.</v>
      </c>
      <c r="O69" s="4">
        <f>IFERROR(__xludf.DUMMYFUNCTION("""COMPUTED_VALUE"""),4.966666666666667)</f>
        <v>4.966666667</v>
      </c>
      <c r="P69" s="172">
        <f>IFERROR(__xludf.DUMMYFUNCTION("""COMPUTED_VALUE"""),44896.0)</f>
        <v>44896</v>
      </c>
      <c r="R69" s="59" t="str">
        <f>IFERROR(__xludf.DUMMYFUNCTION("""COMPUTED_VALUE"""),"Abacus Book &amp; Card Corp.")</f>
        <v>Abacus Book &amp; Card Corp.</v>
      </c>
      <c r="S69" s="4">
        <f>IFERROR(__xludf.DUMMYFUNCTION("""COMPUTED_VALUE"""),5.0)</f>
        <v>5</v>
      </c>
      <c r="T69" s="60">
        <f>IFERROR(__xludf.DUMMYFUNCTION("""COMPUTED_VALUE"""),45225.0)</f>
        <v>45225</v>
      </c>
      <c r="V69" s="59" t="str">
        <f>IFERROR(__xludf.DUMMYFUNCTION("""COMPUTED_VALUE"""),"Contrade Integrated Depot")</f>
        <v>Contrade Integrated Depot</v>
      </c>
      <c r="W69" s="4">
        <f>IFERROR(__xludf.DUMMYFUNCTION("""COMPUTED_VALUE"""),4.833333333333333)</f>
        <v>4.833333333</v>
      </c>
      <c r="X69" s="60">
        <f>IFERROR(__xludf.DUMMYFUNCTION("""COMPUTED_VALUE"""),45558.0)</f>
        <v>45558</v>
      </c>
      <c r="AA69" s="4"/>
      <c r="AD69" s="4"/>
      <c r="AF69" s="59" t="str">
        <f>IFERROR(__xludf.DUMMYFUNCTION("""COMPUTED_VALUE"""),"Tadeos Scientific Industries OPC")</f>
        <v>Tadeos Scientific Industries OPC</v>
      </c>
      <c r="AG69" s="4">
        <f>IFERROR(__xludf.DUMMYFUNCTION("""COMPUTED_VALUE"""),4.0)</f>
        <v>4</v>
      </c>
    </row>
    <row r="70">
      <c r="A70" s="95">
        <v>55.0</v>
      </c>
      <c r="B70" s="97" t="s">
        <v>339</v>
      </c>
      <c r="C70" s="2"/>
      <c r="E70" s="98">
        <v>56.0</v>
      </c>
      <c r="F70" s="98" t="s">
        <v>194</v>
      </c>
      <c r="G70" s="2"/>
      <c r="I70" s="101">
        <v>58.0</v>
      </c>
      <c r="J70" s="111" t="s">
        <v>340</v>
      </c>
      <c r="K70" s="2"/>
      <c r="N70" s="59" t="str">
        <f>IFERROR(__xludf.DUMMYFUNCTION("""COMPUTED_VALUE"""),"DKL Laboratory Supplies")</f>
        <v>DKL Laboratory Supplies</v>
      </c>
      <c r="O70" s="4">
        <f>IFERROR(__xludf.DUMMYFUNCTION("""COMPUTED_VALUE"""),3.8333333333333335)</f>
        <v>3.833333333</v>
      </c>
      <c r="P70" s="60">
        <f>IFERROR(__xludf.DUMMYFUNCTION("""COMPUTED_VALUE"""),44909.0)</f>
        <v>44909</v>
      </c>
      <c r="R70" s="59" t="str">
        <f>IFERROR(__xludf.DUMMYFUNCTION("""COMPUTED_VALUE"""),"Contrade Integrated Depot")</f>
        <v>Contrade Integrated Depot</v>
      </c>
      <c r="S70" s="4">
        <f>IFERROR(__xludf.DUMMYFUNCTION("""COMPUTED_VALUE"""),4.83)</f>
        <v>4.83</v>
      </c>
      <c r="T70" s="60">
        <f>IFERROR(__xludf.DUMMYFUNCTION("""COMPUTED_VALUE"""),45226.0)</f>
        <v>45226</v>
      </c>
      <c r="V70" s="59" t="str">
        <f>IFERROR(__xludf.DUMMYFUNCTION("""COMPUTED_VALUE"""),"Contrade Integrated Depot")</f>
        <v>Contrade Integrated Depot</v>
      </c>
      <c r="W70" s="4">
        <f>IFERROR(__xludf.DUMMYFUNCTION("""COMPUTED_VALUE"""),4.75)</f>
        <v>4.75</v>
      </c>
      <c r="X70" s="60">
        <f>IFERROR(__xludf.DUMMYFUNCTION("""COMPUTED_VALUE"""),45558.0)</f>
        <v>45558</v>
      </c>
      <c r="AA70" s="4"/>
      <c r="AD70" s="4"/>
      <c r="AF70" s="59" t="str">
        <f>IFERROR(__xludf.DUMMYFUNCTION("""COMPUTED_VALUE"""),"Times Trading Co., Inc.")</f>
        <v>Times Trading Co., Inc.</v>
      </c>
      <c r="AG70" s="4">
        <f>IFERROR(__xludf.DUMMYFUNCTION("""COMPUTED_VALUE"""),4.929166666666666)</f>
        <v>4.929166667</v>
      </c>
    </row>
    <row r="71">
      <c r="A71" s="95">
        <v>56.0</v>
      </c>
      <c r="B71" s="97" t="s">
        <v>347</v>
      </c>
      <c r="C71" s="2"/>
      <c r="E71" s="98">
        <v>57.0</v>
      </c>
      <c r="F71" s="98" t="s">
        <v>199</v>
      </c>
      <c r="G71" s="2"/>
      <c r="I71" s="101">
        <v>59.0</v>
      </c>
      <c r="J71" s="111" t="s">
        <v>348</v>
      </c>
      <c r="K71" s="2"/>
      <c r="N71" s="59" t="str">
        <f>IFERROR(__xludf.DUMMYFUNCTION("""COMPUTED_VALUE"""),"Ahrcel's Gift Shop")</f>
        <v>Ahrcel's Gift Shop</v>
      </c>
      <c r="O71" s="4">
        <f>IFERROR(__xludf.DUMMYFUNCTION("""COMPUTED_VALUE"""),5.0)</f>
        <v>5</v>
      </c>
      <c r="P71" s="60">
        <f>IFERROR(__xludf.DUMMYFUNCTION("""COMPUTED_VALUE"""),44915.0)</f>
        <v>44915</v>
      </c>
      <c r="R71" s="59" t="str">
        <f>IFERROR(__xludf.DUMMYFUNCTION("""COMPUTED_VALUE"""),"Creative Juice Digital Printing")</f>
        <v>Creative Juice Digital Printing</v>
      </c>
      <c r="S71" s="4">
        <f>IFERROR(__xludf.DUMMYFUNCTION("""COMPUTED_VALUE"""),4.0)</f>
        <v>4</v>
      </c>
      <c r="T71" s="60">
        <f>IFERROR(__xludf.DUMMYFUNCTION("""COMPUTED_VALUE"""),45226.0)</f>
        <v>45226</v>
      </c>
      <c r="V71" s="59" t="str">
        <f>IFERROR(__xludf.DUMMYFUNCTION("""COMPUTED_VALUE"""),"Contrade Integrated Depot")</f>
        <v>Contrade Integrated Depot</v>
      </c>
      <c r="W71" s="4">
        <f>IFERROR(__xludf.DUMMYFUNCTION("""COMPUTED_VALUE"""),4.666666666666667)</f>
        <v>4.666666667</v>
      </c>
      <c r="X71" s="60">
        <f>IFERROR(__xludf.DUMMYFUNCTION("""COMPUTED_VALUE"""),45558.0)</f>
        <v>45558</v>
      </c>
      <c r="AA71" s="4"/>
      <c r="AD71" s="4"/>
      <c r="AF71" s="59" t="str">
        <f>IFERROR(__xludf.DUMMYFUNCTION("""COMPUTED_VALUE"""),"Trojan Computer Forms Mfg. Corp.")</f>
        <v>Trojan Computer Forms Mfg. Corp.</v>
      </c>
      <c r="AG71" s="4">
        <f>IFERROR(__xludf.DUMMYFUNCTION("""COMPUTED_VALUE"""),5.0)</f>
        <v>5</v>
      </c>
    </row>
    <row r="72">
      <c r="A72" s="95">
        <v>57.0</v>
      </c>
      <c r="B72" s="97" t="s">
        <v>215</v>
      </c>
      <c r="C72" s="50"/>
      <c r="E72" s="98">
        <v>58.0</v>
      </c>
      <c r="F72" s="98" t="s">
        <v>210</v>
      </c>
      <c r="G72" s="2"/>
      <c r="I72" s="83" t="s">
        <v>133</v>
      </c>
      <c r="J72" s="85"/>
      <c r="K72" s="55">
        <f>average(K73:K82)</f>
        <v>4.53047619</v>
      </c>
      <c r="N72" s="59" t="str">
        <f>IFERROR(__xludf.DUMMYFUNCTION("""COMPUTED_VALUE"""),"Brown Movement for Cultural Advancement, Inc.")</f>
        <v>Brown Movement for Cultural Advancement, Inc.</v>
      </c>
      <c r="O72" s="4">
        <f>IFERROR(__xludf.DUMMYFUNCTION("""COMPUTED_VALUE"""),5.0)</f>
        <v>5</v>
      </c>
      <c r="P72" s="60">
        <f>IFERROR(__xludf.DUMMYFUNCTION("""COMPUTED_VALUE"""),44915.0)</f>
        <v>44915</v>
      </c>
      <c r="R72" s="59" t="str">
        <f>IFERROR(__xludf.DUMMYFUNCTION("""COMPUTED_VALUE"""),"Times Trading Co., Inc.")</f>
        <v>Times Trading Co., Inc.</v>
      </c>
      <c r="S72" s="4">
        <f>IFERROR(__xludf.DUMMYFUNCTION("""COMPUTED_VALUE"""),5.0)</f>
        <v>5</v>
      </c>
      <c r="T72" s="60">
        <f>IFERROR(__xludf.DUMMYFUNCTION("""COMPUTED_VALUE"""),45227.0)</f>
        <v>45227</v>
      </c>
      <c r="V72" s="59" t="str">
        <f>IFERROR(__xludf.DUMMYFUNCTION("""COMPUTED_VALUE"""),"Rivchem Enterprises")</f>
        <v>Rivchem Enterprises</v>
      </c>
      <c r="W72" s="4">
        <f>IFERROR(__xludf.DUMMYFUNCTION("""COMPUTED_VALUE"""),4.791666666666667)</f>
        <v>4.791666667</v>
      </c>
      <c r="X72" s="60">
        <f>IFERROR(__xludf.DUMMYFUNCTION("""COMPUTED_VALUE"""),45558.0)</f>
        <v>45558</v>
      </c>
      <c r="AA72" s="4"/>
      <c r="AD72" s="4"/>
      <c r="AF72" s="59" t="str">
        <f>IFERROR(__xludf.DUMMYFUNCTION("""COMPUTED_VALUE"""),"Tropical Palms Fashion House, Inc.")</f>
        <v>Tropical Palms Fashion House, Inc.</v>
      </c>
      <c r="AG72" s="4">
        <f>IFERROR(__xludf.DUMMYFUNCTION("""COMPUTED_VALUE"""),5.0)</f>
        <v>5</v>
      </c>
    </row>
    <row r="73">
      <c r="A73" s="95">
        <v>58.0</v>
      </c>
      <c r="B73" s="97" t="s">
        <v>222</v>
      </c>
      <c r="C73" s="50"/>
      <c r="E73" s="98">
        <v>59.0</v>
      </c>
      <c r="F73" s="98" t="s">
        <v>339</v>
      </c>
      <c r="G73" s="2"/>
      <c r="I73" s="101">
        <v>60.0</v>
      </c>
      <c r="J73" s="111" t="s">
        <v>362</v>
      </c>
      <c r="K73" s="2"/>
      <c r="N73" s="59" t="str">
        <f>IFERROR(__xludf.DUMMYFUNCTION("""COMPUTED_VALUE"""),"Contrade Integrated Depot")</f>
        <v>Contrade Integrated Depot</v>
      </c>
      <c r="O73" s="4">
        <f>IFERROR(__xludf.DUMMYFUNCTION("""COMPUTED_VALUE"""),4.95)</f>
        <v>4.95</v>
      </c>
      <c r="P73" s="60">
        <f>IFERROR(__xludf.DUMMYFUNCTION("""COMPUTED_VALUE"""),44915.0)</f>
        <v>44915</v>
      </c>
      <c r="R73" s="59" t="str">
        <f>IFERROR(__xludf.DUMMYFUNCTION("""COMPUTED_VALUE"""),"Contrade Integrated Depot")</f>
        <v>Contrade Integrated Depot</v>
      </c>
      <c r="S73" s="4">
        <f>IFERROR(__xludf.DUMMYFUNCTION("""COMPUTED_VALUE"""),4.83)</f>
        <v>4.83</v>
      </c>
      <c r="T73" s="60">
        <f>IFERROR(__xludf.DUMMYFUNCTION("""COMPUTED_VALUE"""),45230.0)</f>
        <v>45230</v>
      </c>
      <c r="V73" s="59" t="str">
        <f>IFERROR(__xludf.DUMMYFUNCTION("""COMPUTED_VALUE"""),"Rivchem Enterprises")</f>
        <v>Rivchem Enterprises</v>
      </c>
      <c r="W73" s="4">
        <f>IFERROR(__xludf.DUMMYFUNCTION("""COMPUTED_VALUE"""),4.791666666666667)</f>
        <v>4.791666667</v>
      </c>
      <c r="X73" s="60">
        <f>IFERROR(__xludf.DUMMYFUNCTION("""COMPUTED_VALUE"""),45558.0)</f>
        <v>45558</v>
      </c>
      <c r="AA73" s="4"/>
      <c r="AD73" s="4"/>
      <c r="AF73" s="59" t="str">
        <f>IFERROR(__xludf.DUMMYFUNCTION("""COMPUTED_VALUE"""),"V.M Industries Corp.")</f>
        <v>V.M Industries Corp.</v>
      </c>
      <c r="AG73" s="4">
        <f>IFERROR(__xludf.DUMMYFUNCTION("""COMPUTED_VALUE"""),4.645833333333334)</f>
        <v>4.645833333</v>
      </c>
    </row>
    <row r="74">
      <c r="A74" s="95">
        <v>59.0</v>
      </c>
      <c r="B74" s="97" t="s">
        <v>235</v>
      </c>
      <c r="C74" s="2"/>
      <c r="E74" s="98">
        <v>60.0</v>
      </c>
      <c r="F74" s="98" t="s">
        <v>347</v>
      </c>
      <c r="G74" s="2"/>
      <c r="I74" s="101">
        <v>61.0</v>
      </c>
      <c r="J74" s="111" t="s">
        <v>367</v>
      </c>
      <c r="K74" s="4">
        <v>4.785714285714286</v>
      </c>
      <c r="N74" s="59" t="str">
        <f>IFERROR(__xludf.DUMMYFUNCTION("""COMPUTED_VALUE"""),"Contrade Integrated Depot")</f>
        <v>Contrade Integrated Depot</v>
      </c>
      <c r="O74" s="4">
        <f>IFERROR(__xludf.DUMMYFUNCTION("""COMPUTED_VALUE"""),5.0)</f>
        <v>5</v>
      </c>
      <c r="P74" s="60">
        <f>IFERROR(__xludf.DUMMYFUNCTION("""COMPUTED_VALUE"""),44915.0)</f>
        <v>44915</v>
      </c>
      <c r="R74" s="59" t="str">
        <f>IFERROR(__xludf.DUMMYFUNCTION("""COMPUTED_VALUE"""),"Contrade Integrated Depot")</f>
        <v>Contrade Integrated Depot</v>
      </c>
      <c r="S74" s="4">
        <f>IFERROR(__xludf.DUMMYFUNCTION("""COMPUTED_VALUE"""),4.83)</f>
        <v>4.83</v>
      </c>
      <c r="T74" s="60">
        <f>IFERROR(__xludf.DUMMYFUNCTION("""COMPUTED_VALUE"""),45230.0)</f>
        <v>45230</v>
      </c>
      <c r="V74" s="59" t="str">
        <f>IFERROR(__xludf.DUMMYFUNCTION("""COMPUTED_VALUE"""),"Chemtrust Global Market, Inc.")</f>
        <v>Chemtrust Global Market, Inc.</v>
      </c>
      <c r="W74" s="4">
        <f>IFERROR(__xludf.DUMMYFUNCTION("""COMPUTED_VALUE"""),4.791666666666667)</f>
        <v>4.791666667</v>
      </c>
      <c r="X74" s="60">
        <f>IFERROR(__xludf.DUMMYFUNCTION("""COMPUTED_VALUE"""),45558.0)</f>
        <v>45558</v>
      </c>
      <c r="AA74" s="4"/>
      <c r="AD74" s="4"/>
      <c r="AF74" s="59" t="str">
        <f>IFERROR(__xludf.DUMMYFUNCTION("""COMPUTED_VALUE"""),"Velca Equipment And Engineered ")</f>
        <v>Velca Equipment And Engineered </v>
      </c>
      <c r="AG74" s="4">
        <f>IFERROR(__xludf.DUMMYFUNCTION("""COMPUTED_VALUE"""),4.0)</f>
        <v>4</v>
      </c>
    </row>
    <row r="75">
      <c r="A75" s="95">
        <v>60.0</v>
      </c>
      <c r="B75" s="97" t="s">
        <v>241</v>
      </c>
      <c r="C75" s="2"/>
      <c r="E75" s="98">
        <v>61.0</v>
      </c>
      <c r="F75" s="98" t="s">
        <v>215</v>
      </c>
      <c r="G75" s="2"/>
      <c r="I75" s="101">
        <v>62.0</v>
      </c>
      <c r="J75" s="111" t="s">
        <v>371</v>
      </c>
      <c r="K75" s="4">
        <v>4.816666666666666</v>
      </c>
      <c r="N75" s="59" t="str">
        <f>IFERROR(__xludf.DUMMYFUNCTION("""COMPUTED_VALUE"""),"Contrade Integrated Depot")</f>
        <v>Contrade Integrated Depot</v>
      </c>
      <c r="O75" s="4">
        <f>IFERROR(__xludf.DUMMYFUNCTION("""COMPUTED_VALUE"""),4.966666666666667)</f>
        <v>4.966666667</v>
      </c>
      <c r="P75" s="60">
        <f>IFERROR(__xludf.DUMMYFUNCTION("""COMPUTED_VALUE"""),44915.0)</f>
        <v>44915</v>
      </c>
      <c r="R75" s="59" t="str">
        <f>IFERROR(__xludf.DUMMYFUNCTION("""COMPUTED_VALUE"""),"Leonard Prints Inc.")</f>
        <v>Leonard Prints Inc.</v>
      </c>
      <c r="S75" s="4">
        <f>IFERROR(__xludf.DUMMYFUNCTION("""COMPUTED_VALUE"""),4.916666666666667)</f>
        <v>4.916666667</v>
      </c>
      <c r="T75" s="60">
        <f>IFERROR(__xludf.DUMMYFUNCTION("""COMPUTED_VALUE"""),45230.0)</f>
        <v>45230</v>
      </c>
      <c r="V75" s="59" t="str">
        <f>IFERROR(__xludf.DUMMYFUNCTION("""COMPUTED_VALUE"""),"Chemtrust Global Market, Inc.")</f>
        <v>Chemtrust Global Market, Inc.</v>
      </c>
      <c r="W75" s="4">
        <f>IFERROR(__xludf.DUMMYFUNCTION("""COMPUTED_VALUE"""),4.791666666666667)</f>
        <v>4.791666667</v>
      </c>
      <c r="X75" s="60">
        <f>IFERROR(__xludf.DUMMYFUNCTION("""COMPUTED_VALUE"""),45558.0)</f>
        <v>45558</v>
      </c>
      <c r="AA75" s="4"/>
      <c r="AD75" s="4"/>
      <c r="AF75" s="59" t="str">
        <f>IFERROR(__xludf.DUMMYFUNCTION("""COMPUTED_VALUE"""),"Wilcon Depot Inc.")</f>
        <v>Wilcon Depot Inc.</v>
      </c>
      <c r="AG75" s="4">
        <f>IFERROR(__xludf.DUMMYFUNCTION("""COMPUTED_VALUE"""),4.486111111111111)</f>
        <v>4.486111111</v>
      </c>
    </row>
    <row r="76">
      <c r="A76" s="95">
        <v>61.0</v>
      </c>
      <c r="B76" s="97" t="s">
        <v>250</v>
      </c>
      <c r="C76" s="4"/>
      <c r="E76" s="98">
        <v>62.0</v>
      </c>
      <c r="F76" s="98" t="s">
        <v>222</v>
      </c>
      <c r="G76" s="4">
        <v>4.666666666666667</v>
      </c>
      <c r="I76" s="101">
        <v>63.0</v>
      </c>
      <c r="J76" s="111" t="s">
        <v>225</v>
      </c>
      <c r="K76" s="4">
        <v>4.75</v>
      </c>
      <c r="N76" s="59" t="str">
        <f>IFERROR(__xludf.DUMMYFUNCTION("""COMPUTED_VALUE"""),"Contrade Integrated Depot")</f>
        <v>Contrade Integrated Depot</v>
      </c>
      <c r="O76" s="4">
        <f>IFERROR(__xludf.DUMMYFUNCTION("""COMPUTED_VALUE"""),4.883333333333334)</f>
        <v>4.883333333</v>
      </c>
      <c r="P76" s="60">
        <f>IFERROR(__xludf.DUMMYFUNCTION("""COMPUTED_VALUE"""),44915.0)</f>
        <v>44915</v>
      </c>
      <c r="R76" s="59" t="str">
        <f>IFERROR(__xludf.DUMMYFUNCTION("""COMPUTED_VALUE"""),"Rivchem Enterprises")</f>
        <v>Rivchem Enterprises</v>
      </c>
      <c r="S76" s="4">
        <f>IFERROR(__xludf.DUMMYFUNCTION("""COMPUTED_VALUE"""),4.333333333333333)</f>
        <v>4.333333333</v>
      </c>
      <c r="T76" s="60">
        <f>IFERROR(__xludf.DUMMYFUNCTION("""COMPUTED_VALUE"""),45230.0)</f>
        <v>45230</v>
      </c>
      <c r="V76" s="59" t="str">
        <f>IFERROR(__xludf.DUMMYFUNCTION("""COMPUTED_VALUE"""),"Rivchem Enterprises")</f>
        <v>Rivchem Enterprises</v>
      </c>
      <c r="W76" s="4">
        <f>IFERROR(__xludf.DUMMYFUNCTION("""COMPUTED_VALUE"""),4.791666666666667)</f>
        <v>4.791666667</v>
      </c>
      <c r="X76" s="60">
        <f>IFERROR(__xludf.DUMMYFUNCTION("""COMPUTED_VALUE"""),45559.0)</f>
        <v>45559</v>
      </c>
      <c r="AA76" s="4"/>
      <c r="AD76" s="4"/>
      <c r="AF76" s="59" t="str">
        <f>IFERROR(__xludf.DUMMYFUNCTION("""COMPUTED_VALUE"""),"Wisechoice Cleaning Supplies and Trading Corp.")</f>
        <v>Wisechoice Cleaning Supplies and Trading Corp.</v>
      </c>
      <c r="AG76" s="4">
        <f>IFERROR(__xludf.DUMMYFUNCTION("""COMPUTED_VALUE"""),4.708333333333333)</f>
        <v>4.708333333</v>
      </c>
    </row>
    <row r="77">
      <c r="A77" s="95">
        <v>62.0</v>
      </c>
      <c r="B77" s="97" t="s">
        <v>259</v>
      </c>
      <c r="C77" s="2"/>
      <c r="E77" s="98">
        <v>63.0</v>
      </c>
      <c r="F77" s="98" t="s">
        <v>235</v>
      </c>
      <c r="G77" s="2"/>
      <c r="I77" s="101">
        <v>64.0</v>
      </c>
      <c r="J77" s="111" t="s">
        <v>383</v>
      </c>
      <c r="K77" s="2"/>
      <c r="N77" s="59" t="str">
        <f>IFERROR(__xludf.DUMMYFUNCTION("""COMPUTED_VALUE"""),"Creative Juice Digital Printing")</f>
        <v>Creative Juice Digital Printing</v>
      </c>
      <c r="O77" s="4">
        <f>IFERROR(__xludf.DUMMYFUNCTION("""COMPUTED_VALUE"""),5.0)</f>
        <v>5</v>
      </c>
      <c r="P77" s="60">
        <f>IFERROR(__xludf.DUMMYFUNCTION("""COMPUTED_VALUE"""),44915.0)</f>
        <v>44915</v>
      </c>
      <c r="R77" s="59" t="str">
        <f>IFERROR(__xludf.DUMMYFUNCTION("""COMPUTED_VALUE"""),"Falcon Waterfree Philippines, Inc.")</f>
        <v>Falcon Waterfree Philippines, Inc.</v>
      </c>
      <c r="S77" s="4">
        <f>IFERROR(__xludf.DUMMYFUNCTION("""COMPUTED_VALUE"""),4.333333333333333)</f>
        <v>4.333333333</v>
      </c>
      <c r="T77" s="60">
        <f>IFERROR(__xludf.DUMMYFUNCTION("""COMPUTED_VALUE"""),45233.0)</f>
        <v>45233</v>
      </c>
      <c r="V77" s="59" t="str">
        <f>IFERROR(__xludf.DUMMYFUNCTION("""COMPUTED_VALUE"""),"Rivchem Enterprises")</f>
        <v>Rivchem Enterprises</v>
      </c>
      <c r="W77" s="4">
        <f>IFERROR(__xludf.DUMMYFUNCTION("""COMPUTED_VALUE"""),4.791666666666667)</f>
        <v>4.791666667</v>
      </c>
      <c r="X77" s="60">
        <f>IFERROR(__xludf.DUMMYFUNCTION("""COMPUTED_VALUE"""),45559.0)</f>
        <v>45559</v>
      </c>
      <c r="AA77" s="4"/>
      <c r="AD77" s="4"/>
      <c r="AF77" s="59" t="str">
        <f>IFERROR(__xludf.DUMMYFUNCTION("""COMPUTED_VALUE"""),"Zariah's Non-Specialized Wholesale Trading")</f>
        <v>Zariah's Non-Specialized Wholesale Trading</v>
      </c>
      <c r="AG77" s="4">
        <f>IFERROR(__xludf.DUMMYFUNCTION("""COMPUTED_VALUE"""),5.0)</f>
        <v>5</v>
      </c>
    </row>
    <row r="78">
      <c r="A78" s="71" t="s">
        <v>385</v>
      </c>
      <c r="B78" s="54"/>
      <c r="C78" s="55">
        <f>average(C79:C85)</f>
        <v>5</v>
      </c>
      <c r="E78" s="98">
        <v>64.0</v>
      </c>
      <c r="F78" s="98" t="s">
        <v>241</v>
      </c>
      <c r="G78" s="2"/>
      <c r="I78" s="101">
        <v>65.0</v>
      </c>
      <c r="J78" s="111" t="s">
        <v>388</v>
      </c>
      <c r="K78" s="2"/>
      <c r="N78" s="59" t="str">
        <f>IFERROR(__xludf.DUMMYFUNCTION("""COMPUTED_VALUE"""),"Creative Juice Digital Printing")</f>
        <v>Creative Juice Digital Printing</v>
      </c>
      <c r="O78" s="4">
        <f>IFERROR(__xludf.DUMMYFUNCTION("""COMPUTED_VALUE"""),5.0)</f>
        <v>5</v>
      </c>
      <c r="P78" s="60">
        <f>IFERROR(__xludf.DUMMYFUNCTION("""COMPUTED_VALUE"""),44915.0)</f>
        <v>44915</v>
      </c>
      <c r="R78" s="59" t="str">
        <f>IFERROR(__xludf.DUMMYFUNCTION("""COMPUTED_VALUE"""),"Rivchem Enterprises")</f>
        <v>Rivchem Enterprises</v>
      </c>
      <c r="S78" s="4">
        <f>IFERROR(__xludf.DUMMYFUNCTION("""COMPUTED_VALUE"""),4.258333333333334)</f>
        <v>4.258333333</v>
      </c>
      <c r="T78" s="144">
        <f>IFERROR(__xludf.DUMMYFUNCTION("""COMPUTED_VALUE"""),45233.0)</f>
        <v>45233</v>
      </c>
      <c r="V78" s="59" t="str">
        <f>IFERROR(__xludf.DUMMYFUNCTION("""COMPUTED_VALUE"""),"Rivchem Enterprises")</f>
        <v>Rivchem Enterprises</v>
      </c>
      <c r="W78" s="4">
        <f>IFERROR(__xludf.DUMMYFUNCTION("""COMPUTED_VALUE"""),4.791666666666667)</f>
        <v>4.791666667</v>
      </c>
      <c r="X78" s="60">
        <f>IFERROR(__xludf.DUMMYFUNCTION("""COMPUTED_VALUE"""),45559.0)</f>
        <v>45559</v>
      </c>
      <c r="AA78" s="4"/>
      <c r="AD78" s="4"/>
      <c r="AF78" s="59" t="str">
        <f>IFERROR(__xludf.DUMMYFUNCTION("""COMPUTED_VALUE"""),"iEquity Technologies Corp.")</f>
        <v>iEquity Technologies Corp.</v>
      </c>
      <c r="AG78" s="4">
        <f>IFERROR(__xludf.DUMMYFUNCTION("""COMPUTED_VALUE"""),4.958333333333334)</f>
        <v>4.958333333</v>
      </c>
    </row>
    <row r="79">
      <c r="A79" s="95">
        <v>63.0</v>
      </c>
      <c r="B79" s="97" t="s">
        <v>394</v>
      </c>
      <c r="C79" s="2"/>
      <c r="E79" s="98">
        <v>65.0</v>
      </c>
      <c r="F79" s="98" t="s">
        <v>250</v>
      </c>
      <c r="G79" s="2"/>
      <c r="I79" s="101">
        <v>66.0</v>
      </c>
      <c r="J79" s="98" t="s">
        <v>398</v>
      </c>
      <c r="K79" s="4">
        <v>4.966666666666667</v>
      </c>
      <c r="N79" s="59" t="str">
        <f>IFERROR(__xludf.DUMMYFUNCTION("""COMPUTED_VALUE"""),"EIG Metal Engravers")</f>
        <v>EIG Metal Engravers</v>
      </c>
      <c r="O79" s="4">
        <f>IFERROR(__xludf.DUMMYFUNCTION("""COMPUTED_VALUE"""),5.0)</f>
        <v>5</v>
      </c>
      <c r="P79" s="60">
        <f>IFERROR(__xludf.DUMMYFUNCTION("""COMPUTED_VALUE"""),44915.0)</f>
        <v>44915</v>
      </c>
      <c r="R79" s="59" t="str">
        <f>IFERROR(__xludf.DUMMYFUNCTION("""COMPUTED_VALUE"""),"Rivchem Enterprises")</f>
        <v>Rivchem Enterprises</v>
      </c>
      <c r="S79" s="4">
        <f>IFERROR(__xludf.DUMMYFUNCTION("""COMPUTED_VALUE"""),4.258333333333334)</f>
        <v>4.258333333</v>
      </c>
      <c r="T79" s="60">
        <f>IFERROR(__xludf.DUMMYFUNCTION("""COMPUTED_VALUE"""),45233.0)</f>
        <v>45233</v>
      </c>
      <c r="V79" s="59" t="str">
        <f>IFERROR(__xludf.DUMMYFUNCTION("""COMPUTED_VALUE"""),"Rivchem Enterprises")</f>
        <v>Rivchem Enterprises</v>
      </c>
      <c r="W79" s="4">
        <f>IFERROR(__xludf.DUMMYFUNCTION("""COMPUTED_VALUE"""),4.791666666666667)</f>
        <v>4.791666667</v>
      </c>
      <c r="X79" s="60">
        <f>IFERROR(__xludf.DUMMYFUNCTION("""COMPUTED_VALUE"""),45559.0)</f>
        <v>45559</v>
      </c>
      <c r="AA79" s="4"/>
      <c r="AD79" s="4"/>
      <c r="AG79" s="4"/>
    </row>
    <row r="80">
      <c r="A80" s="95">
        <v>64.0</v>
      </c>
      <c r="B80" s="97" t="s">
        <v>401</v>
      </c>
      <c r="C80" s="128"/>
      <c r="E80" s="98">
        <v>66.0</v>
      </c>
      <c r="F80" s="98" t="s">
        <v>259</v>
      </c>
      <c r="G80" s="128"/>
      <c r="I80" s="101">
        <v>67.0</v>
      </c>
      <c r="J80" s="98" t="s">
        <v>403</v>
      </c>
      <c r="K80" s="4">
        <v>3.3333333333333335</v>
      </c>
      <c r="N80" s="59" t="str">
        <f>IFERROR(__xludf.DUMMYFUNCTION("""COMPUTED_VALUE"""),"Luminaire Printing And Publishing Corp.")</f>
        <v>Luminaire Printing And Publishing Corp.</v>
      </c>
      <c r="O80" s="4">
        <f>IFERROR(__xludf.DUMMYFUNCTION("""COMPUTED_VALUE"""),5.0)</f>
        <v>5</v>
      </c>
      <c r="P80" s="60">
        <f>IFERROR(__xludf.DUMMYFUNCTION("""COMPUTED_VALUE"""),44915.0)</f>
        <v>44915</v>
      </c>
      <c r="R80" s="59" t="str">
        <f>IFERROR(__xludf.DUMMYFUNCTION("""COMPUTED_VALUE"""),"Rivchem Enterprises")</f>
        <v>Rivchem Enterprises</v>
      </c>
      <c r="S80" s="4">
        <f>IFERROR(__xludf.DUMMYFUNCTION("""COMPUTED_VALUE"""),4.333333333333333)</f>
        <v>4.333333333</v>
      </c>
      <c r="T80" s="60">
        <f>IFERROR(__xludf.DUMMYFUNCTION("""COMPUTED_VALUE"""),45233.0)</f>
        <v>45233</v>
      </c>
      <c r="V80" s="59" t="str">
        <f>IFERROR(__xludf.DUMMYFUNCTION("""COMPUTED_VALUE"""),"Rivchem Enterprises")</f>
        <v>Rivchem Enterprises</v>
      </c>
      <c r="W80" s="4">
        <f>IFERROR(__xludf.DUMMYFUNCTION("""COMPUTED_VALUE"""),4.791666666666667)</f>
        <v>4.791666667</v>
      </c>
      <c r="X80" s="60">
        <f>IFERROR(__xludf.DUMMYFUNCTION("""COMPUTED_VALUE"""),45559.0)</f>
        <v>45559</v>
      </c>
      <c r="AA80" s="4"/>
      <c r="AD80" s="4"/>
      <c r="AG80" s="4"/>
    </row>
    <row r="81">
      <c r="A81" s="95">
        <v>65.0</v>
      </c>
      <c r="B81" s="97" t="s">
        <v>233</v>
      </c>
      <c r="C81" s="4">
        <v>5.0</v>
      </c>
      <c r="E81" s="78" t="s">
        <v>385</v>
      </c>
      <c r="F81" s="54"/>
      <c r="G81" s="55">
        <f>average(G82:G87)</f>
        <v>5</v>
      </c>
      <c r="I81" s="101">
        <v>68.0</v>
      </c>
      <c r="J81" s="173" t="s">
        <v>408</v>
      </c>
      <c r="K81" s="2"/>
      <c r="N81" s="59" t="str">
        <f>IFERROR(__xludf.DUMMYFUNCTION("""COMPUTED_VALUE"""),"Luminaire Printing And Publishing Corp.")</f>
        <v>Luminaire Printing And Publishing Corp.</v>
      </c>
      <c r="O81" s="4">
        <f>IFERROR(__xludf.DUMMYFUNCTION("""COMPUTED_VALUE"""),5.0)</f>
        <v>5</v>
      </c>
      <c r="P81" s="60">
        <f>IFERROR(__xludf.DUMMYFUNCTION("""COMPUTED_VALUE"""),44915.0)</f>
        <v>44915</v>
      </c>
      <c r="R81" s="59" t="str">
        <f>IFERROR(__xludf.DUMMYFUNCTION("""COMPUTED_VALUE"""),"Beyond Global Multiales Corp.")</f>
        <v>Beyond Global Multiales Corp.</v>
      </c>
      <c r="S81" s="4">
        <f>IFERROR(__xludf.DUMMYFUNCTION("""COMPUTED_VALUE"""),4.833333333333333)</f>
        <v>4.833333333</v>
      </c>
      <c r="T81" s="60">
        <f>IFERROR(__xludf.DUMMYFUNCTION("""COMPUTED_VALUE"""),45233.0)</f>
        <v>45233</v>
      </c>
      <c r="V81" s="59" t="str">
        <f>IFERROR(__xludf.DUMMYFUNCTION("""COMPUTED_VALUE"""),"Rivchem Enterprises")</f>
        <v>Rivchem Enterprises</v>
      </c>
      <c r="W81" s="4">
        <f>IFERROR(__xludf.DUMMYFUNCTION("""COMPUTED_VALUE"""),4.791666666666667)</f>
        <v>4.791666667</v>
      </c>
      <c r="X81" s="60">
        <f>IFERROR(__xludf.DUMMYFUNCTION("""COMPUTED_VALUE"""),45559.0)</f>
        <v>45559</v>
      </c>
      <c r="AA81" s="4"/>
      <c r="AD81" s="4"/>
      <c r="AG81" s="4"/>
    </row>
    <row r="82">
      <c r="A82" s="95">
        <v>66.0</v>
      </c>
      <c r="B82" s="97" t="s">
        <v>274</v>
      </c>
      <c r="C82" s="2"/>
      <c r="E82" s="98">
        <v>67.0</v>
      </c>
      <c r="F82" s="98" t="s">
        <v>394</v>
      </c>
      <c r="G82" s="2"/>
      <c r="I82" s="101">
        <v>69.0</v>
      </c>
      <c r="J82" s="98" t="s">
        <v>415</v>
      </c>
      <c r="K82" s="2"/>
      <c r="N82" s="59" t="str">
        <f>IFERROR(__xludf.DUMMYFUNCTION("""COMPUTED_VALUE"""),"Luminaire Printing And Publishing Corp.")</f>
        <v>Luminaire Printing And Publishing Corp.</v>
      </c>
      <c r="O82" s="4">
        <f>IFERROR(__xludf.DUMMYFUNCTION("""COMPUTED_VALUE"""),4.833333333333333)</f>
        <v>4.833333333</v>
      </c>
      <c r="P82" s="60">
        <f>IFERROR(__xludf.DUMMYFUNCTION("""COMPUTED_VALUE"""),44915.0)</f>
        <v>44915</v>
      </c>
      <c r="R82" s="59" t="str">
        <f>IFERROR(__xludf.DUMMYFUNCTION("""COMPUTED_VALUE"""),"Columbia Technologies, Inc.")</f>
        <v>Columbia Technologies, Inc.</v>
      </c>
      <c r="S82" s="4">
        <f>IFERROR(__xludf.DUMMYFUNCTION("""COMPUTED_VALUE"""),4.0)</f>
        <v>4</v>
      </c>
      <c r="T82" s="60">
        <f>IFERROR(__xludf.DUMMYFUNCTION("""COMPUTED_VALUE"""),45237.0)</f>
        <v>45237</v>
      </c>
      <c r="V82" s="59" t="str">
        <f>IFERROR(__xludf.DUMMYFUNCTION("""COMPUTED_VALUE"""),"Printing Shop PrintPilipinas.com")</f>
        <v>Printing Shop PrintPilipinas.com</v>
      </c>
      <c r="W82" s="4">
        <f>IFERROR(__xludf.DUMMYFUNCTION("""COMPUTED_VALUE"""),4.833333333333333)</f>
        <v>4.833333333</v>
      </c>
      <c r="X82" s="60">
        <f>IFERROR(__xludf.DUMMYFUNCTION("""COMPUTED_VALUE"""),45561.0)</f>
        <v>45561</v>
      </c>
      <c r="AA82" s="4"/>
      <c r="AD82" s="4"/>
      <c r="AG82" s="4"/>
    </row>
    <row r="83">
      <c r="A83" s="95">
        <v>67.0</v>
      </c>
      <c r="B83" s="97" t="s">
        <v>420</v>
      </c>
      <c r="C83" s="2"/>
      <c r="E83" s="98">
        <v>68.0</v>
      </c>
      <c r="F83" s="98" t="s">
        <v>401</v>
      </c>
      <c r="G83" s="2"/>
      <c r="I83" s="83" t="s">
        <v>163</v>
      </c>
      <c r="J83" s="85"/>
      <c r="K83" s="55" t="str">
        <f>average(K84:K89)</f>
        <v>#DIV/0!</v>
      </c>
      <c r="N83" s="59" t="str">
        <f>IFERROR(__xludf.DUMMYFUNCTION("""COMPUTED_VALUE"""),"Microsmith Technology System,Inc.")</f>
        <v>Microsmith Technology System,Inc.</v>
      </c>
      <c r="O83" s="4">
        <f>IFERROR(__xludf.DUMMYFUNCTION("""COMPUTED_VALUE"""),5.0)</f>
        <v>5</v>
      </c>
      <c r="P83" s="60">
        <f>IFERROR(__xludf.DUMMYFUNCTION("""COMPUTED_VALUE"""),44915.0)</f>
        <v>44915</v>
      </c>
      <c r="R83" s="59" t="str">
        <f>IFERROR(__xludf.DUMMYFUNCTION("""COMPUTED_VALUE"""),"Polaris Prime Air Tech Corporation")</f>
        <v>Polaris Prime Air Tech Corporation</v>
      </c>
      <c r="S83" s="4">
        <f>IFERROR(__xludf.DUMMYFUNCTION("""COMPUTED_VALUE"""),5.0)</f>
        <v>5</v>
      </c>
      <c r="T83" s="144">
        <f>IFERROR(__xludf.DUMMYFUNCTION("""COMPUTED_VALUE"""),45242.0)</f>
        <v>45242</v>
      </c>
      <c r="V83" s="59" t="str">
        <f>IFERROR(__xludf.DUMMYFUNCTION("""COMPUTED_VALUE"""),"Contrade Integrated Depot")</f>
        <v>Contrade Integrated Depot</v>
      </c>
      <c r="W83" s="4">
        <f>IFERROR(__xludf.DUMMYFUNCTION("""COMPUTED_VALUE"""),4.666666666666667)</f>
        <v>4.666666667</v>
      </c>
      <c r="X83" s="60">
        <f>IFERROR(__xludf.DUMMYFUNCTION("""COMPUTED_VALUE"""),45561.0)</f>
        <v>45561</v>
      </c>
      <c r="AA83" s="4"/>
      <c r="AD83" s="4"/>
      <c r="AG83" s="4"/>
    </row>
    <row r="84">
      <c r="A84" s="95">
        <v>68.0</v>
      </c>
      <c r="B84" s="174" t="s">
        <v>428</v>
      </c>
      <c r="C84" s="2"/>
      <c r="E84" s="98">
        <v>69.0</v>
      </c>
      <c r="F84" s="98" t="s">
        <v>233</v>
      </c>
      <c r="G84" s="50">
        <v>5.0</v>
      </c>
      <c r="I84" s="101">
        <v>70.0</v>
      </c>
      <c r="J84" s="102" t="s">
        <v>429</v>
      </c>
      <c r="K84" s="2"/>
      <c r="N84" s="59" t="str">
        <f>IFERROR(__xludf.DUMMYFUNCTION("""COMPUTED_VALUE"""),"One Supply")</f>
        <v>One Supply</v>
      </c>
      <c r="O84" s="4">
        <f>IFERROR(__xludf.DUMMYFUNCTION("""COMPUTED_VALUE"""),5.0)</f>
        <v>5</v>
      </c>
      <c r="P84" s="60">
        <f>IFERROR(__xludf.DUMMYFUNCTION("""COMPUTED_VALUE"""),44915.0)</f>
        <v>44915</v>
      </c>
      <c r="R84" s="59" t="str">
        <f>IFERROR(__xludf.DUMMYFUNCTION("""COMPUTED_VALUE"""),"Abacus Book &amp; Card Corp.")</f>
        <v>Abacus Book &amp; Card Corp.</v>
      </c>
      <c r="S84" s="4">
        <f>IFERROR(__xludf.DUMMYFUNCTION("""COMPUTED_VALUE"""),5.0)</f>
        <v>5</v>
      </c>
      <c r="T84" s="60">
        <f>IFERROR(__xludf.DUMMYFUNCTION("""COMPUTED_VALUE"""),45247.0)</f>
        <v>45247</v>
      </c>
      <c r="V84" s="59" t="str">
        <f>IFERROR(__xludf.DUMMYFUNCTION("""COMPUTED_VALUE"""),"Printing Shop PrintPilipinas.com")</f>
        <v>Printing Shop PrintPilipinas.com</v>
      </c>
      <c r="W84" s="4">
        <f>IFERROR(__xludf.DUMMYFUNCTION("""COMPUTED_VALUE"""),4.833333333333333)</f>
        <v>4.833333333</v>
      </c>
      <c r="X84" s="60">
        <f>IFERROR(__xludf.DUMMYFUNCTION("""COMPUTED_VALUE"""),45561.0)</f>
        <v>45561</v>
      </c>
      <c r="AA84" s="4"/>
      <c r="AD84" s="4"/>
      <c r="AG84" s="4"/>
    </row>
    <row r="85">
      <c r="A85" s="95">
        <v>69.0</v>
      </c>
      <c r="B85" s="174" t="s">
        <v>434</v>
      </c>
      <c r="C85" s="125"/>
      <c r="E85" s="98">
        <v>70.0</v>
      </c>
      <c r="F85" s="98" t="s">
        <v>274</v>
      </c>
      <c r="G85" s="125"/>
      <c r="I85" s="101">
        <v>71.0</v>
      </c>
      <c r="J85" s="111" t="s">
        <v>179</v>
      </c>
      <c r="K85" s="125"/>
      <c r="N85" s="59" t="str">
        <f>IFERROR(__xludf.DUMMYFUNCTION("""COMPUTED_VALUE"""),"Polaris Integrated Industries, Inc.")</f>
        <v>Polaris Integrated Industries, Inc.</v>
      </c>
      <c r="O85" s="4">
        <f>IFERROR(__xludf.DUMMYFUNCTION("""COMPUTED_VALUE"""),4.991666666666666)</f>
        <v>4.991666667</v>
      </c>
      <c r="P85" s="60">
        <f>IFERROR(__xludf.DUMMYFUNCTION("""COMPUTED_VALUE"""),44915.0)</f>
        <v>44915</v>
      </c>
      <c r="R85" s="59" t="str">
        <f>IFERROR(__xludf.DUMMYFUNCTION("""COMPUTED_VALUE"""),"Creative Juice Digital Printing")</f>
        <v>Creative Juice Digital Printing</v>
      </c>
      <c r="S85" s="4">
        <f>IFERROR(__xludf.DUMMYFUNCTION("""COMPUTED_VALUE"""),4.0)</f>
        <v>4</v>
      </c>
      <c r="T85" s="60">
        <f>IFERROR(__xludf.DUMMYFUNCTION("""COMPUTED_VALUE"""),45248.0)</f>
        <v>45248</v>
      </c>
      <c r="V85" s="59" t="str">
        <f>IFERROR(__xludf.DUMMYFUNCTION("""COMPUTED_VALUE"""),"Microsmith Technology System,Inc.")</f>
        <v>Microsmith Technology System,Inc.</v>
      </c>
      <c r="W85" s="4">
        <f>IFERROR(__xludf.DUMMYFUNCTION("""COMPUTED_VALUE"""),4.833333333333333)</f>
        <v>4.833333333</v>
      </c>
      <c r="X85" s="60">
        <f>IFERROR(__xludf.DUMMYFUNCTION("""COMPUTED_VALUE"""),45562.0)</f>
        <v>45562</v>
      </c>
      <c r="AA85" s="4"/>
      <c r="AD85" s="4"/>
      <c r="AG85" s="4"/>
    </row>
    <row r="86">
      <c r="A86" s="175" t="s">
        <v>440</v>
      </c>
      <c r="B86" s="54"/>
      <c r="C86" s="55">
        <f>average(C87)</f>
        <v>4.833333333</v>
      </c>
      <c r="E86" s="176">
        <v>71.0</v>
      </c>
      <c r="F86" s="98" t="s">
        <v>420</v>
      </c>
      <c r="G86" s="2"/>
      <c r="I86" s="101">
        <v>72.0</v>
      </c>
      <c r="J86" s="111" t="s">
        <v>174</v>
      </c>
      <c r="K86" s="2"/>
      <c r="N86" s="59" t="str">
        <f>IFERROR(__xludf.DUMMYFUNCTION("""COMPUTED_VALUE"""),"Polaris Prime Air Tech Corporation")</f>
        <v>Polaris Prime Air Tech Corporation</v>
      </c>
      <c r="O86" s="4">
        <f>IFERROR(__xludf.DUMMYFUNCTION("""COMPUTED_VALUE"""),5.0)</f>
        <v>5</v>
      </c>
      <c r="P86" s="60">
        <f>IFERROR(__xludf.DUMMYFUNCTION("""COMPUTED_VALUE"""),44915.0)</f>
        <v>44915</v>
      </c>
      <c r="R86" s="59" t="str">
        <f>IFERROR(__xludf.DUMMYFUNCTION("""COMPUTED_VALUE"""),"Printing Shop PrintPilipinas.com")</f>
        <v>Printing Shop PrintPilipinas.com</v>
      </c>
      <c r="S86" s="4">
        <f>IFERROR(__xludf.DUMMYFUNCTION("""COMPUTED_VALUE"""),4.93)</f>
        <v>4.93</v>
      </c>
      <c r="T86" s="60">
        <f>IFERROR(__xludf.DUMMYFUNCTION("""COMPUTED_VALUE"""),45248.0)</f>
        <v>45248</v>
      </c>
      <c r="V86" s="59" t="str">
        <f>IFERROR(__xludf.DUMMYFUNCTION("""COMPUTED_VALUE"""),"Contrade Integrated Depot")</f>
        <v>Contrade Integrated Depot</v>
      </c>
      <c r="W86" s="4">
        <f>IFERROR(__xludf.DUMMYFUNCTION("""COMPUTED_VALUE"""),4.833333333333333)</f>
        <v>4.833333333</v>
      </c>
      <c r="X86" s="60">
        <f>IFERROR(__xludf.DUMMYFUNCTION("""COMPUTED_VALUE"""),45562.0)</f>
        <v>45562</v>
      </c>
      <c r="AA86" s="4"/>
      <c r="AD86" s="4"/>
      <c r="AG86" s="4"/>
    </row>
    <row r="87">
      <c r="A87" s="177">
        <v>70.0</v>
      </c>
      <c r="B87" s="174" t="s">
        <v>454</v>
      </c>
      <c r="C87" s="4">
        <v>4.833333333333333</v>
      </c>
      <c r="E87" s="178">
        <v>72.0</v>
      </c>
      <c r="F87" s="47" t="s">
        <v>428</v>
      </c>
      <c r="G87" s="2"/>
      <c r="I87" s="101">
        <v>73.0</v>
      </c>
      <c r="J87" s="102" t="s">
        <v>457</v>
      </c>
      <c r="K87" s="2"/>
      <c r="N87" s="59" t="str">
        <f>IFERROR(__xludf.DUMMYFUNCTION("""COMPUTED_VALUE"""),"Rivchem Enterprises")</f>
        <v>Rivchem Enterprises</v>
      </c>
      <c r="O87" s="4">
        <f>IFERROR(__xludf.DUMMYFUNCTION("""COMPUTED_VALUE"""),5.0)</f>
        <v>5</v>
      </c>
      <c r="P87" s="60">
        <f>IFERROR(__xludf.DUMMYFUNCTION("""COMPUTED_VALUE"""),44915.0)</f>
        <v>44915</v>
      </c>
      <c r="R87" s="59" t="str">
        <f>IFERROR(__xludf.DUMMYFUNCTION("""COMPUTED_VALUE"""),"Rivchem Enterprises")</f>
        <v>Rivchem Enterprises</v>
      </c>
      <c r="S87" s="4">
        <f>IFERROR(__xludf.DUMMYFUNCTION("""COMPUTED_VALUE"""),4.333333333333333)</f>
        <v>4.333333333</v>
      </c>
      <c r="T87" s="60">
        <f>IFERROR(__xludf.DUMMYFUNCTION("""COMPUTED_VALUE"""),45252.0)</f>
        <v>45252</v>
      </c>
      <c r="V87" s="59" t="str">
        <f>IFERROR(__xludf.DUMMYFUNCTION("""COMPUTED_VALUE"""),"Litera Trading Inc.")</f>
        <v>Litera Trading Inc.</v>
      </c>
      <c r="W87" s="4">
        <f>IFERROR(__xludf.DUMMYFUNCTION("""COMPUTED_VALUE"""),4.833333333333333)</f>
        <v>4.833333333</v>
      </c>
      <c r="X87" s="60">
        <f>IFERROR(__xludf.DUMMYFUNCTION("""COMPUTED_VALUE"""),45565.0)</f>
        <v>45565</v>
      </c>
      <c r="AA87" s="4"/>
      <c r="AD87" s="4"/>
      <c r="AG87" s="4"/>
    </row>
    <row r="88">
      <c r="A88" s="179"/>
      <c r="B88" s="180"/>
      <c r="C88" s="2"/>
      <c r="E88" s="181"/>
      <c r="F88" s="181"/>
      <c r="G88" s="2"/>
      <c r="I88" s="182">
        <v>74.0</v>
      </c>
      <c r="J88" s="98" t="s">
        <v>463</v>
      </c>
      <c r="K88" s="2"/>
      <c r="N88" s="59" t="str">
        <f>IFERROR(__xludf.DUMMYFUNCTION("""COMPUTED_VALUE"""),"Sert Technology Inc.")</f>
        <v>Sert Technology Inc.</v>
      </c>
      <c r="O88" s="4">
        <f>IFERROR(__xludf.DUMMYFUNCTION("""COMPUTED_VALUE"""),5.0)</f>
        <v>5</v>
      </c>
      <c r="P88" s="60">
        <f>IFERROR(__xludf.DUMMYFUNCTION("""COMPUTED_VALUE"""),44915.0)</f>
        <v>44915</v>
      </c>
      <c r="R88" s="59" t="str">
        <f>IFERROR(__xludf.DUMMYFUNCTION("""COMPUTED_VALUE"""),"Data Computer Forms, Inc.")</f>
        <v>Data Computer Forms, Inc.</v>
      </c>
      <c r="S88" s="4">
        <f>IFERROR(__xludf.DUMMYFUNCTION("""COMPUTED_VALUE"""),4.0)</f>
        <v>4</v>
      </c>
      <c r="T88" s="60">
        <f>IFERROR(__xludf.DUMMYFUNCTION("""COMPUTED_VALUE"""),45254.0)</f>
        <v>45254</v>
      </c>
      <c r="V88" s="59" t="str">
        <f>IFERROR(__xludf.DUMMYFUNCTION("""COMPUTED_VALUE"""),"Alpha Steel Office and Home Furnishing Company")</f>
        <v>Alpha Steel Office and Home Furnishing Company</v>
      </c>
      <c r="W88" s="4">
        <f>IFERROR(__xludf.DUMMYFUNCTION("""COMPUTED_VALUE"""),4.833333333333333)</f>
        <v>4.833333333</v>
      </c>
      <c r="X88" s="60">
        <f>IFERROR(__xludf.DUMMYFUNCTION("""COMPUTED_VALUE"""),45566.0)</f>
        <v>45566</v>
      </c>
      <c r="AA88" s="4"/>
      <c r="AD88" s="4"/>
      <c r="AG88" s="4"/>
    </row>
    <row r="89">
      <c r="A89" s="179"/>
      <c r="B89" s="180"/>
      <c r="C89" s="128"/>
      <c r="E89" s="181"/>
      <c r="F89" s="181"/>
      <c r="G89" s="128"/>
      <c r="I89" s="182">
        <v>75.0</v>
      </c>
      <c r="J89" s="98" t="s">
        <v>172</v>
      </c>
      <c r="K89" s="128"/>
      <c r="N89" s="59" t="str">
        <f>IFERROR(__xludf.DUMMYFUNCTION("""COMPUTED_VALUE"""),"Tropical Palms Fashion House, Inc.")</f>
        <v>Tropical Palms Fashion House, Inc.</v>
      </c>
      <c r="O89" s="4">
        <f>IFERROR(__xludf.DUMMYFUNCTION("""COMPUTED_VALUE"""),5.0)</f>
        <v>5</v>
      </c>
      <c r="P89" s="60">
        <f>IFERROR(__xludf.DUMMYFUNCTION("""COMPUTED_VALUE"""),44915.0)</f>
        <v>44915</v>
      </c>
      <c r="R89" s="59" t="str">
        <f>IFERROR(__xludf.DUMMYFUNCTION("""COMPUTED_VALUE"""),"Contrade Integrated Depot")</f>
        <v>Contrade Integrated Depot</v>
      </c>
      <c r="S89" s="4">
        <f>IFERROR(__xludf.DUMMYFUNCTION("""COMPUTED_VALUE"""),4.83)</f>
        <v>4.83</v>
      </c>
      <c r="T89" s="60">
        <f>IFERROR(__xludf.DUMMYFUNCTION("""COMPUTED_VALUE"""),45255.0)</f>
        <v>45255</v>
      </c>
      <c r="V89" s="59" t="str">
        <f>IFERROR(__xludf.DUMMYFUNCTION("""COMPUTED_VALUE"""),"Primeline Products Philippines, Inc.")</f>
        <v>Primeline Products Philippines, Inc.</v>
      </c>
      <c r="W89" s="4">
        <f>IFERROR(__xludf.DUMMYFUNCTION("""COMPUTED_VALUE"""),4.666666666666667)</f>
        <v>4.666666667</v>
      </c>
      <c r="X89" s="60">
        <f>IFERROR(__xludf.DUMMYFUNCTION("""COMPUTED_VALUE"""),45566.0)</f>
        <v>45566</v>
      </c>
      <c r="AA89" s="4"/>
      <c r="AD89" s="4"/>
      <c r="AG89" s="4"/>
    </row>
    <row r="90">
      <c r="A90" s="179"/>
      <c r="B90" s="180"/>
      <c r="C90" s="2"/>
      <c r="E90" s="181"/>
      <c r="F90" s="181"/>
      <c r="G90" s="2"/>
      <c r="I90" s="83" t="s">
        <v>184</v>
      </c>
      <c r="J90" s="85"/>
      <c r="K90" s="55">
        <f>average(K91:K97)</f>
        <v>4.733333333</v>
      </c>
      <c r="N90" s="59" t="str">
        <f>IFERROR(__xludf.DUMMYFUNCTION("""COMPUTED_VALUE"""),"Tropical Palms Fashion House, Inc.")</f>
        <v>Tropical Palms Fashion House, Inc.</v>
      </c>
      <c r="O90" s="4">
        <f>IFERROR(__xludf.DUMMYFUNCTION("""COMPUTED_VALUE"""),5.0)</f>
        <v>5</v>
      </c>
      <c r="P90" s="60">
        <f>IFERROR(__xludf.DUMMYFUNCTION("""COMPUTED_VALUE"""),44915.0)</f>
        <v>44915</v>
      </c>
      <c r="R90" s="59" t="str">
        <f>IFERROR(__xludf.DUMMYFUNCTION("""COMPUTED_VALUE"""),"Contrade Integrated Depot")</f>
        <v>Contrade Integrated Depot</v>
      </c>
      <c r="S90" s="4">
        <f>IFERROR(__xludf.DUMMYFUNCTION("""COMPUTED_VALUE"""),4.83)</f>
        <v>4.83</v>
      </c>
      <c r="T90" s="60">
        <f>IFERROR(__xludf.DUMMYFUNCTION("""COMPUTED_VALUE"""),45255.0)</f>
        <v>45255</v>
      </c>
      <c r="V90" s="59" t="str">
        <f>IFERROR(__xludf.DUMMYFUNCTION("""COMPUTED_VALUE"""),"Leonard Prints Inc.")</f>
        <v>Leonard Prints Inc.</v>
      </c>
      <c r="W90" s="4">
        <f>IFERROR(__xludf.DUMMYFUNCTION("""COMPUTED_VALUE"""),4.508333333333333)</f>
        <v>4.508333333</v>
      </c>
      <c r="X90" s="60">
        <f>IFERROR(__xludf.DUMMYFUNCTION("""COMPUTED_VALUE"""),45568.0)</f>
        <v>45568</v>
      </c>
      <c r="AA90" s="4"/>
      <c r="AD90" s="4"/>
      <c r="AG90" s="4"/>
    </row>
    <row r="91">
      <c r="A91" s="179"/>
      <c r="B91" s="180"/>
      <c r="C91" s="2"/>
      <c r="E91" s="181"/>
      <c r="F91" s="181"/>
      <c r="G91" s="2"/>
      <c r="I91" s="101">
        <v>76.0</v>
      </c>
      <c r="J91" s="111" t="s">
        <v>193</v>
      </c>
      <c r="K91" s="4">
        <v>5.0</v>
      </c>
      <c r="N91" s="59" t="str">
        <f>IFERROR(__xludf.DUMMYFUNCTION("""COMPUTED_VALUE"""),"Falcon Waterfree Philippines, Inc.")</f>
        <v>Falcon Waterfree Philippines, Inc.</v>
      </c>
      <c r="O91" s="4">
        <f>IFERROR(__xludf.DUMMYFUNCTION("""COMPUTED_VALUE"""),5.0)</f>
        <v>5</v>
      </c>
      <c r="P91" s="60">
        <f>IFERROR(__xludf.DUMMYFUNCTION("""COMPUTED_VALUE"""),44922.0)</f>
        <v>44922</v>
      </c>
      <c r="R91" s="59" t="str">
        <f>IFERROR(__xludf.DUMMYFUNCTION("""COMPUTED_VALUE"""),"Contrade Integrated Depot")</f>
        <v>Contrade Integrated Depot</v>
      </c>
      <c r="S91" s="4">
        <f>IFERROR(__xludf.DUMMYFUNCTION("""COMPUTED_VALUE"""),4.83)</f>
        <v>4.83</v>
      </c>
      <c r="T91" s="60">
        <f>IFERROR(__xludf.DUMMYFUNCTION("""COMPUTED_VALUE"""),45255.0)</f>
        <v>45255</v>
      </c>
      <c r="V91" s="59" t="str">
        <f>IFERROR(__xludf.DUMMYFUNCTION("""COMPUTED_VALUE"""),"Contrade Integrated Depot")</f>
        <v>Contrade Integrated Depot</v>
      </c>
      <c r="W91" s="4">
        <f>IFERROR(__xludf.DUMMYFUNCTION("""COMPUTED_VALUE"""),4.833333333333333)</f>
        <v>4.833333333</v>
      </c>
      <c r="X91" s="60">
        <f>IFERROR(__xludf.DUMMYFUNCTION("""COMPUTED_VALUE"""),45568.0)</f>
        <v>45568</v>
      </c>
      <c r="AA91" s="4"/>
      <c r="AD91" s="4"/>
      <c r="AG91" s="4"/>
    </row>
    <row r="92">
      <c r="A92" s="179"/>
      <c r="B92" s="180"/>
      <c r="C92" s="2"/>
      <c r="E92" s="181"/>
      <c r="F92" s="181"/>
      <c r="G92" s="2"/>
      <c r="I92" s="101">
        <v>77.0</v>
      </c>
      <c r="J92" s="111" t="s">
        <v>17</v>
      </c>
      <c r="K92" s="4">
        <v>4.766666666666667</v>
      </c>
      <c r="N92" s="59" t="str">
        <f>IFERROR(__xludf.DUMMYFUNCTION("""COMPUTED_VALUE"""),"Creative Juice Digital Printing")</f>
        <v>Creative Juice Digital Printing</v>
      </c>
      <c r="O92" s="4">
        <f>IFERROR(__xludf.DUMMYFUNCTION("""COMPUTED_VALUE"""),5.0)</f>
        <v>5</v>
      </c>
      <c r="P92" s="60">
        <f>IFERROR(__xludf.DUMMYFUNCTION("""COMPUTED_VALUE"""),44949.0)</f>
        <v>44949</v>
      </c>
      <c r="R92" s="59" t="str">
        <f>IFERROR(__xludf.DUMMYFUNCTION("""COMPUTED_VALUE"""),"Polaris Prime Air Tech Corporation")</f>
        <v>Polaris Prime Air Tech Corporation</v>
      </c>
      <c r="S92" s="4">
        <f>IFERROR(__xludf.DUMMYFUNCTION("""COMPUTED_VALUE"""),5.0)</f>
        <v>5</v>
      </c>
      <c r="T92" s="60">
        <f>IFERROR(__xludf.DUMMYFUNCTION("""COMPUTED_VALUE"""),45257.0)</f>
        <v>45257</v>
      </c>
      <c r="V92" s="59" t="str">
        <f>IFERROR(__xludf.DUMMYFUNCTION("""COMPUTED_VALUE"""),"Rivchem Enterprises")</f>
        <v>Rivchem Enterprises</v>
      </c>
      <c r="W92" s="4">
        <f>IFERROR(__xludf.DUMMYFUNCTION("""COMPUTED_VALUE"""),4.791666666666667)</f>
        <v>4.791666667</v>
      </c>
      <c r="X92" s="60">
        <f>IFERROR(__xludf.DUMMYFUNCTION("""COMPUTED_VALUE"""),45568.0)</f>
        <v>45568</v>
      </c>
      <c r="AA92" s="4"/>
      <c r="AD92" s="4"/>
      <c r="AG92" s="4"/>
    </row>
    <row r="93">
      <c r="A93" s="179"/>
      <c r="B93" s="180"/>
      <c r="C93" s="2"/>
      <c r="E93" s="181"/>
      <c r="F93" s="181"/>
      <c r="G93" s="2"/>
      <c r="I93" s="101">
        <v>78.0</v>
      </c>
      <c r="J93" s="111" t="s">
        <v>209</v>
      </c>
      <c r="K93" s="4">
        <v>4.5</v>
      </c>
      <c r="N93" s="59" t="str">
        <f>IFERROR(__xludf.DUMMYFUNCTION("""COMPUTED_VALUE"""),"Alpha-Cored Technology Systems, Inc.")</f>
        <v>Alpha-Cored Technology Systems, Inc.</v>
      </c>
      <c r="O93" s="4">
        <f>IFERROR(__xludf.DUMMYFUNCTION("""COMPUTED_VALUE"""),5.0)</f>
        <v>5</v>
      </c>
      <c r="P93" s="60">
        <f>IFERROR(__xludf.DUMMYFUNCTION("""COMPUTED_VALUE"""),44950.0)</f>
        <v>44950</v>
      </c>
      <c r="R93" s="59" t="str">
        <f>IFERROR(__xludf.DUMMYFUNCTION("""COMPUTED_VALUE"""),"Goldlink Indsutrial Sales")</f>
        <v>Goldlink Indsutrial Sales</v>
      </c>
      <c r="S93" s="4">
        <f>IFERROR(__xludf.DUMMYFUNCTION("""COMPUTED_VALUE"""),4.333333333333333)</f>
        <v>4.333333333</v>
      </c>
      <c r="T93" s="60">
        <f>IFERROR(__xludf.DUMMYFUNCTION("""COMPUTED_VALUE"""),45258.0)</f>
        <v>45258</v>
      </c>
      <c r="V93" s="59" t="str">
        <f>IFERROR(__xludf.DUMMYFUNCTION("""COMPUTED_VALUE"""),"Northwind Communications and Electronics")</f>
        <v>Northwind Communications and Electronics</v>
      </c>
      <c r="W93" s="4">
        <f>IFERROR(__xludf.DUMMYFUNCTION("""COMPUTED_VALUE"""),4.375)</f>
        <v>4.375</v>
      </c>
      <c r="X93" s="60">
        <f>IFERROR(__xludf.DUMMYFUNCTION("""COMPUTED_VALUE"""),45569.0)</f>
        <v>45569</v>
      </c>
      <c r="AA93" s="4"/>
      <c r="AD93" s="4"/>
      <c r="AG93" s="4"/>
    </row>
    <row r="94">
      <c r="A94" s="179"/>
      <c r="B94" s="180"/>
      <c r="C94" s="2"/>
      <c r="E94" s="181"/>
      <c r="F94" s="181"/>
      <c r="G94" s="2"/>
      <c r="I94" s="101">
        <v>79.0</v>
      </c>
      <c r="J94" s="111" t="s">
        <v>214</v>
      </c>
      <c r="K94" s="2"/>
      <c r="N94" s="59" t="str">
        <f>IFERROR(__xludf.DUMMYFUNCTION("""COMPUTED_VALUE"""),"Columbia Technologies, Inc.")</f>
        <v>Columbia Technologies, Inc.</v>
      </c>
      <c r="O94" s="4">
        <f>IFERROR(__xludf.DUMMYFUNCTION("""COMPUTED_VALUE"""),5.0)</f>
        <v>5</v>
      </c>
      <c r="P94" s="60">
        <f>IFERROR(__xludf.DUMMYFUNCTION("""COMPUTED_VALUE"""),44950.0)</f>
        <v>44950</v>
      </c>
      <c r="R94" s="59" t="str">
        <f>IFERROR(__xludf.DUMMYFUNCTION("""COMPUTED_VALUE"""),"Abacus Book &amp; Card Corp.")</f>
        <v>Abacus Book &amp; Card Corp.</v>
      </c>
      <c r="S94" s="4">
        <f>IFERROR(__xludf.DUMMYFUNCTION("""COMPUTED_VALUE"""),5.0)</f>
        <v>5</v>
      </c>
      <c r="T94" s="60">
        <f>IFERROR(__xludf.DUMMYFUNCTION("""COMPUTED_VALUE"""),45259.0)</f>
        <v>45259</v>
      </c>
      <c r="V94" s="59" t="str">
        <f>IFERROR(__xludf.DUMMYFUNCTION("""COMPUTED_VALUE"""),"Philippine Chinese Education Research Center Inc.")</f>
        <v>Philippine Chinese Education Research Center Inc.</v>
      </c>
      <c r="W94" s="4">
        <f>IFERROR(__xludf.DUMMYFUNCTION("""COMPUTED_VALUE"""),4.166666666666667)</f>
        <v>4.166666667</v>
      </c>
      <c r="X94" s="60">
        <f>IFERROR(__xludf.DUMMYFUNCTION("""COMPUTED_VALUE"""),45570.0)</f>
        <v>45570</v>
      </c>
      <c r="AA94" s="4"/>
      <c r="AD94" s="4"/>
      <c r="AG94" s="4"/>
    </row>
    <row r="95">
      <c r="A95" s="179"/>
      <c r="B95" s="180"/>
      <c r="C95" s="2"/>
      <c r="E95" s="181"/>
      <c r="F95" s="181"/>
      <c r="G95" s="2"/>
      <c r="I95" s="101">
        <v>80.0</v>
      </c>
      <c r="J95" s="111" t="s">
        <v>495</v>
      </c>
      <c r="K95" s="2"/>
      <c r="N95" s="59" t="str">
        <f>IFERROR(__xludf.DUMMYFUNCTION("""COMPUTED_VALUE"""),"Creative Juice Digital Printing")</f>
        <v>Creative Juice Digital Printing</v>
      </c>
      <c r="O95" s="4">
        <f>IFERROR(__xludf.DUMMYFUNCTION("""COMPUTED_VALUE"""),4.625)</f>
        <v>4.625</v>
      </c>
      <c r="P95" s="60">
        <f>IFERROR(__xludf.DUMMYFUNCTION("""COMPUTED_VALUE"""),44950.0)</f>
        <v>44950</v>
      </c>
      <c r="R95" s="59" t="str">
        <f>IFERROR(__xludf.DUMMYFUNCTION("""COMPUTED_VALUE"""),"Mostaco Printing")</f>
        <v>Mostaco Printing</v>
      </c>
      <c r="S95" s="4">
        <f>IFERROR(__xludf.DUMMYFUNCTION("""COMPUTED_VALUE"""),5.0)</f>
        <v>5</v>
      </c>
      <c r="T95" s="60">
        <f>IFERROR(__xludf.DUMMYFUNCTION("""COMPUTED_VALUE"""),45259.0)</f>
        <v>45259</v>
      </c>
      <c r="V95" s="59" t="str">
        <f>IFERROR(__xludf.DUMMYFUNCTION("""COMPUTED_VALUE"""),"Printing Shop PrintPilipinas.com")</f>
        <v>Printing Shop PrintPilipinas.com</v>
      </c>
      <c r="W95" s="4">
        <f>IFERROR(__xludf.DUMMYFUNCTION("""COMPUTED_VALUE"""),4.833333333333333)</f>
        <v>4.833333333</v>
      </c>
      <c r="X95" s="60">
        <f>IFERROR(__xludf.DUMMYFUNCTION("""COMPUTED_VALUE"""),45572.0)</f>
        <v>45572</v>
      </c>
      <c r="AA95" s="4"/>
      <c r="AD95" s="4"/>
      <c r="AG95" s="4"/>
    </row>
    <row r="96">
      <c r="A96" s="179"/>
      <c r="B96" s="180"/>
      <c r="C96" s="128"/>
      <c r="E96" s="181"/>
      <c r="F96" s="181"/>
      <c r="G96" s="128"/>
      <c r="I96" s="101">
        <v>81.0</v>
      </c>
      <c r="J96" s="111" t="s">
        <v>240</v>
      </c>
      <c r="K96" s="128"/>
      <c r="N96" s="59" t="str">
        <f>IFERROR(__xludf.DUMMYFUNCTION("""COMPUTED_VALUE"""),"Creative Juice Digital Printing")</f>
        <v>Creative Juice Digital Printing</v>
      </c>
      <c r="O96" s="4">
        <f>IFERROR(__xludf.DUMMYFUNCTION("""COMPUTED_VALUE"""),4.625)</f>
        <v>4.625</v>
      </c>
      <c r="P96" s="60">
        <f>IFERROR(__xludf.DUMMYFUNCTION("""COMPUTED_VALUE"""),44950.0)</f>
        <v>44950</v>
      </c>
      <c r="R96" s="59" t="str">
        <f>IFERROR(__xludf.DUMMYFUNCTION("""COMPUTED_VALUE"""),"Printing Shop PrintPilipinas.com")</f>
        <v>Printing Shop PrintPilipinas.com</v>
      </c>
      <c r="S96" s="4">
        <f>IFERROR(__xludf.DUMMYFUNCTION("""COMPUTED_VALUE"""),4.746666666666667)</f>
        <v>4.746666667</v>
      </c>
      <c r="T96" s="60">
        <f>IFERROR(__xludf.DUMMYFUNCTION("""COMPUTED_VALUE"""),45259.0)</f>
        <v>45259</v>
      </c>
      <c r="V96" s="59" t="str">
        <f>IFERROR(__xludf.DUMMYFUNCTION("""COMPUTED_VALUE"""),"Printing Shop PrintPilipinas.com")</f>
        <v>Printing Shop PrintPilipinas.com</v>
      </c>
      <c r="W96" s="4">
        <f>IFERROR(__xludf.DUMMYFUNCTION("""COMPUTED_VALUE"""),4.666666666666667)</f>
        <v>4.666666667</v>
      </c>
      <c r="X96" s="60">
        <f>IFERROR(__xludf.DUMMYFUNCTION("""COMPUTED_VALUE"""),45572.0)</f>
        <v>45572</v>
      </c>
      <c r="AA96" s="4"/>
      <c r="AD96" s="4"/>
      <c r="AG96" s="4"/>
    </row>
    <row r="97">
      <c r="A97" s="183"/>
      <c r="B97" s="180"/>
      <c r="C97" s="125"/>
      <c r="E97" s="181"/>
      <c r="F97" s="181"/>
      <c r="G97" s="125"/>
      <c r="I97" s="101">
        <v>82.0</v>
      </c>
      <c r="J97" s="111" t="s">
        <v>508</v>
      </c>
      <c r="K97" s="4">
        <v>4.666666666666667</v>
      </c>
      <c r="N97" s="59" t="str">
        <f>IFERROR(__xludf.DUMMYFUNCTION("""COMPUTED_VALUE"""),"Creative Juice Digital Printing")</f>
        <v>Creative Juice Digital Printing</v>
      </c>
      <c r="O97" s="4">
        <f>IFERROR(__xludf.DUMMYFUNCTION("""COMPUTED_VALUE"""),4.625)</f>
        <v>4.625</v>
      </c>
      <c r="P97" s="60">
        <f>IFERROR(__xludf.DUMMYFUNCTION("""COMPUTED_VALUE"""),44950.0)</f>
        <v>44950</v>
      </c>
      <c r="R97" s="59" t="str">
        <f>IFERROR(__xludf.DUMMYFUNCTION("""COMPUTED_VALUE"""),"Chemtrust Global Market, Inc.")</f>
        <v>Chemtrust Global Market, Inc.</v>
      </c>
      <c r="S97" s="4">
        <f>IFERROR(__xludf.DUMMYFUNCTION("""COMPUTED_VALUE"""),4.516666666666667)</f>
        <v>4.516666667</v>
      </c>
      <c r="T97" s="60">
        <f>IFERROR(__xludf.DUMMYFUNCTION("""COMPUTED_VALUE"""),45260.0)</f>
        <v>45260</v>
      </c>
      <c r="V97" s="59" t="str">
        <f>IFERROR(__xludf.DUMMYFUNCTION("""COMPUTED_VALUE"""),"Printing Shop PrintPilipinas.com")</f>
        <v>Printing Shop PrintPilipinas.com</v>
      </c>
      <c r="W97" s="4">
        <f>IFERROR(__xludf.DUMMYFUNCTION("""COMPUTED_VALUE"""),4.825)</f>
        <v>4.825</v>
      </c>
      <c r="X97" s="60">
        <f>IFERROR(__xludf.DUMMYFUNCTION("""COMPUTED_VALUE"""),45572.0)</f>
        <v>45572</v>
      </c>
      <c r="AA97" s="4"/>
      <c r="AD97" s="4"/>
      <c r="AG97" s="4"/>
    </row>
    <row r="98">
      <c r="A98" s="179"/>
      <c r="B98" s="180"/>
      <c r="C98" s="2"/>
      <c r="E98" s="181"/>
      <c r="F98" s="181"/>
      <c r="G98" s="2"/>
      <c r="I98" s="83" t="s">
        <v>248</v>
      </c>
      <c r="J98" s="85"/>
      <c r="K98" s="55">
        <f>average(K99:K102)</f>
        <v>4.383333333</v>
      </c>
      <c r="N98" s="59" t="str">
        <f>IFERROR(__xludf.DUMMYFUNCTION("""COMPUTED_VALUE"""),"Creative Juice Digital Printing")</f>
        <v>Creative Juice Digital Printing</v>
      </c>
      <c r="O98" s="4">
        <f>IFERROR(__xludf.DUMMYFUNCTION("""COMPUTED_VALUE"""),4.625)</f>
        <v>4.625</v>
      </c>
      <c r="P98" s="60">
        <f>IFERROR(__xludf.DUMMYFUNCTION("""COMPUTED_VALUE"""),44950.0)</f>
        <v>44950</v>
      </c>
      <c r="R98" s="59" t="str">
        <f>IFERROR(__xludf.DUMMYFUNCTION("""COMPUTED_VALUE"""),"Rivchem Enterprises")</f>
        <v>Rivchem Enterprises</v>
      </c>
      <c r="S98" s="4">
        <f>IFERROR(__xludf.DUMMYFUNCTION("""COMPUTED_VALUE"""),4.333333333333333)</f>
        <v>4.333333333</v>
      </c>
      <c r="T98" s="60">
        <f>IFERROR(__xludf.DUMMYFUNCTION("""COMPUTED_VALUE"""),45260.0)</f>
        <v>45260</v>
      </c>
      <c r="V98" s="59" t="str">
        <f>IFERROR(__xludf.DUMMYFUNCTION("""COMPUTED_VALUE"""),"Net Ad IT Solutions")</f>
        <v>Net Ad IT Solutions</v>
      </c>
      <c r="W98" s="4">
        <f>IFERROR(__xludf.DUMMYFUNCTION("""COMPUTED_VALUE"""),4.833333333333333)</f>
        <v>4.833333333</v>
      </c>
      <c r="X98" s="60">
        <f>IFERROR(__xludf.DUMMYFUNCTION("""COMPUTED_VALUE"""),45573.0)</f>
        <v>45573</v>
      </c>
      <c r="AA98" s="4"/>
      <c r="AD98" s="4"/>
      <c r="AG98" s="4"/>
    </row>
    <row r="99">
      <c r="A99" s="179"/>
      <c r="B99" s="180"/>
      <c r="C99" s="2"/>
      <c r="E99" s="181"/>
      <c r="F99" s="181"/>
      <c r="G99" s="2"/>
      <c r="I99" s="101">
        <v>83.0</v>
      </c>
      <c r="J99" s="111" t="s">
        <v>258</v>
      </c>
      <c r="K99" s="2"/>
      <c r="N99" s="59" t="str">
        <f>IFERROR(__xludf.DUMMYFUNCTION("""COMPUTED_VALUE"""),"Creative Juice Digital Printing")</f>
        <v>Creative Juice Digital Printing</v>
      </c>
      <c r="O99" s="4">
        <f>IFERROR(__xludf.DUMMYFUNCTION("""COMPUTED_VALUE"""),4.625)</f>
        <v>4.625</v>
      </c>
      <c r="P99" s="60">
        <f>IFERROR(__xludf.DUMMYFUNCTION("""COMPUTED_VALUE"""),44950.0)</f>
        <v>44950</v>
      </c>
      <c r="R99" s="59" t="str">
        <f>IFERROR(__xludf.DUMMYFUNCTION("""COMPUTED_VALUE"""),"Rivchem Enterprises")</f>
        <v>Rivchem Enterprises</v>
      </c>
      <c r="S99" s="4">
        <f>IFERROR(__xludf.DUMMYFUNCTION("""COMPUTED_VALUE"""),5.0)</f>
        <v>5</v>
      </c>
      <c r="T99" s="60">
        <f>IFERROR(__xludf.DUMMYFUNCTION("""COMPUTED_VALUE"""),45260.0)</f>
        <v>45260</v>
      </c>
      <c r="V99" s="59" t="str">
        <f>IFERROR(__xludf.DUMMYFUNCTION("""COMPUTED_VALUE"""),"Javammp Printing Services")</f>
        <v>Javammp Printing Services</v>
      </c>
      <c r="W99" s="4">
        <f>IFERROR(__xludf.DUMMYFUNCTION("""COMPUTED_VALUE"""),4.666666666666667)</f>
        <v>4.666666667</v>
      </c>
      <c r="X99" s="60">
        <f>IFERROR(__xludf.DUMMYFUNCTION("""COMPUTED_VALUE"""),45575.0)</f>
        <v>45575</v>
      </c>
      <c r="AA99" s="4"/>
      <c r="AD99" s="4"/>
      <c r="AG99" s="4"/>
    </row>
    <row r="100">
      <c r="A100" s="179"/>
      <c r="B100" s="180"/>
      <c r="C100" s="2"/>
      <c r="E100" s="181"/>
      <c r="F100" s="181"/>
      <c r="G100" s="2"/>
      <c r="I100" s="101">
        <v>84.0</v>
      </c>
      <c r="J100" s="111" t="s">
        <v>264</v>
      </c>
      <c r="K100" s="2"/>
      <c r="N100" s="59" t="str">
        <f>IFERROR(__xludf.DUMMYFUNCTION("""COMPUTED_VALUE"""),"Creative Juice Digital Printing")</f>
        <v>Creative Juice Digital Printing</v>
      </c>
      <c r="O100" s="4">
        <f>IFERROR(__xludf.DUMMYFUNCTION("""COMPUTED_VALUE"""),4.625)</f>
        <v>4.625</v>
      </c>
      <c r="P100" s="60">
        <f>IFERROR(__xludf.DUMMYFUNCTION("""COMPUTED_VALUE"""),44950.0)</f>
        <v>44950</v>
      </c>
      <c r="R100" s="59" t="str">
        <f>IFERROR(__xludf.DUMMYFUNCTION("""COMPUTED_VALUE"""),"EA Intertrade General Merchandising, Inc.")</f>
        <v>EA Intertrade General Merchandising, Inc.</v>
      </c>
      <c r="S100" s="4">
        <f>IFERROR(__xludf.DUMMYFUNCTION("""COMPUTED_VALUE"""),5.0)</f>
        <v>5</v>
      </c>
      <c r="T100" s="60">
        <f>IFERROR(__xludf.DUMMYFUNCTION("""COMPUTED_VALUE"""),45260.0)</f>
        <v>45260</v>
      </c>
      <c r="V100" s="59" t="str">
        <f>IFERROR(__xludf.DUMMYFUNCTION("""COMPUTED_VALUE"""),"Abacus Book &amp; Card Corp.")</f>
        <v>Abacus Book &amp; Card Corp.</v>
      </c>
      <c r="W100" s="4">
        <f>IFERROR(__xludf.DUMMYFUNCTION("""COMPUTED_VALUE"""),4.666666666666667)</f>
        <v>4.666666667</v>
      </c>
      <c r="X100" s="60">
        <f>IFERROR(__xludf.DUMMYFUNCTION("""COMPUTED_VALUE"""),45575.0)</f>
        <v>45575</v>
      </c>
      <c r="AA100" s="4"/>
      <c r="AD100" s="4"/>
      <c r="AG100" s="4"/>
    </row>
    <row r="101">
      <c r="A101" s="179"/>
      <c r="B101" s="180"/>
      <c r="C101" s="2"/>
      <c r="E101" s="184"/>
      <c r="F101" s="181"/>
      <c r="G101" s="2"/>
      <c r="I101" s="101">
        <v>85.0</v>
      </c>
      <c r="J101" s="111" t="s">
        <v>273</v>
      </c>
      <c r="K101" s="4">
        <v>4.0</v>
      </c>
      <c r="N101" s="59" t="str">
        <f>IFERROR(__xludf.DUMMYFUNCTION("""COMPUTED_VALUE"""),"Luminaire Printing And Publishing Corp.")</f>
        <v>Luminaire Printing And Publishing Corp.</v>
      </c>
      <c r="O101" s="4">
        <f>IFERROR(__xludf.DUMMYFUNCTION("""COMPUTED_VALUE"""),5.0)</f>
        <v>5</v>
      </c>
      <c r="P101" s="60">
        <f>IFERROR(__xludf.DUMMYFUNCTION("""COMPUTED_VALUE"""),44950.0)</f>
        <v>44950</v>
      </c>
      <c r="R101" s="59" t="str">
        <f>IFERROR(__xludf.DUMMYFUNCTION("""COMPUTED_VALUE"""),"Data Computer Forms, Inc.")</f>
        <v>Data Computer Forms, Inc.</v>
      </c>
      <c r="S101" s="4">
        <f>IFERROR(__xludf.DUMMYFUNCTION("""COMPUTED_VALUE"""),5.0)</f>
        <v>5</v>
      </c>
      <c r="T101" s="60">
        <f>IFERROR(__xludf.DUMMYFUNCTION("""COMPUTED_VALUE"""),45266.0)</f>
        <v>45266</v>
      </c>
      <c r="V101" s="59" t="str">
        <f>IFERROR(__xludf.DUMMYFUNCTION("""COMPUTED_VALUE"""),"Falcon Waterfree Philippines, Inc.")</f>
        <v>Falcon Waterfree Philippines, Inc.</v>
      </c>
      <c r="W101" s="4">
        <f>IFERROR(__xludf.DUMMYFUNCTION("""COMPUTED_VALUE"""),4.791666666666667)</f>
        <v>4.791666667</v>
      </c>
      <c r="X101" s="60">
        <f>IFERROR(__xludf.DUMMYFUNCTION("""COMPUTED_VALUE"""),45575.0)</f>
        <v>45575</v>
      </c>
      <c r="AA101" s="4"/>
      <c r="AD101" s="4"/>
      <c r="AG101" s="4"/>
    </row>
    <row r="102">
      <c r="A102" s="179"/>
      <c r="B102" s="180"/>
      <c r="C102" s="2"/>
      <c r="E102" s="181"/>
      <c r="F102" s="181"/>
      <c r="G102" s="2"/>
      <c r="I102" s="101">
        <v>86.0</v>
      </c>
      <c r="J102" s="111" t="s">
        <v>287</v>
      </c>
      <c r="K102" s="4">
        <v>4.766666666666667</v>
      </c>
      <c r="N102" s="59" t="str">
        <f>IFERROR(__xludf.DUMMYFUNCTION("""COMPUTED_VALUE"""),"Luminaire Printing And Publishing Corp.")</f>
        <v>Luminaire Printing And Publishing Corp.</v>
      </c>
      <c r="O102" s="4">
        <f>IFERROR(__xludf.DUMMYFUNCTION("""COMPUTED_VALUE"""),4.625)</f>
        <v>4.625</v>
      </c>
      <c r="P102" s="60">
        <f>IFERROR(__xludf.DUMMYFUNCTION("""COMPUTED_VALUE"""),44950.0)</f>
        <v>44950</v>
      </c>
      <c r="R102" s="59" t="str">
        <f>IFERROR(__xludf.DUMMYFUNCTION("""COMPUTED_VALUE"""),"World Magazine Exchange Marketing Corp.")</f>
        <v>World Magazine Exchange Marketing Corp.</v>
      </c>
      <c r="S102" s="4">
        <f>IFERROR(__xludf.DUMMYFUNCTION("""COMPUTED_VALUE"""),4.733333333333333)</f>
        <v>4.733333333</v>
      </c>
      <c r="T102" s="60">
        <f>IFERROR(__xludf.DUMMYFUNCTION("""COMPUTED_VALUE"""),45267.0)</f>
        <v>45267</v>
      </c>
      <c r="V102" s="59" t="str">
        <f>IFERROR(__xludf.DUMMYFUNCTION("""COMPUTED_VALUE"""),"Alpha-Cored Technology Systems, Inc.")</f>
        <v>Alpha-Cored Technology Systems, Inc.</v>
      </c>
      <c r="W102" s="4">
        <f>IFERROR(__xludf.DUMMYFUNCTION("""COMPUTED_VALUE"""),4.833333333333333)</f>
        <v>4.833333333</v>
      </c>
      <c r="X102" s="60">
        <f>IFERROR(__xludf.DUMMYFUNCTION("""COMPUTED_VALUE"""),45576.0)</f>
        <v>45576</v>
      </c>
      <c r="AA102" s="4"/>
      <c r="AD102" s="4"/>
      <c r="AG102" s="4"/>
    </row>
    <row r="103">
      <c r="A103" s="179"/>
      <c r="B103" s="180"/>
      <c r="C103" s="2"/>
      <c r="E103" s="181"/>
      <c r="F103" s="181"/>
      <c r="G103" s="2"/>
      <c r="I103" s="83" t="s">
        <v>440</v>
      </c>
      <c r="J103" s="85"/>
      <c r="K103" s="55">
        <f>average(K104:K105)</f>
        <v>4.83</v>
      </c>
      <c r="N103" s="59" t="str">
        <f>IFERROR(__xludf.DUMMYFUNCTION("""COMPUTED_VALUE"""),"Microsmith Technology System,Inc.")</f>
        <v>Microsmith Technology System,Inc.</v>
      </c>
      <c r="O103" s="4">
        <f>IFERROR(__xludf.DUMMYFUNCTION("""COMPUTED_VALUE"""),5.0)</f>
        <v>5</v>
      </c>
      <c r="P103" s="60">
        <f>IFERROR(__xludf.DUMMYFUNCTION("""COMPUTED_VALUE"""),44950.0)</f>
        <v>44950</v>
      </c>
      <c r="R103" s="59" t="str">
        <f>IFERROR(__xludf.DUMMYFUNCTION("""COMPUTED_VALUE"""),"Alpha-Cored Technology Systems, Inc.")</f>
        <v>Alpha-Cored Technology Systems, Inc.</v>
      </c>
      <c r="S103" s="4">
        <f>IFERROR(__xludf.DUMMYFUNCTION("""COMPUTED_VALUE"""),5.0)</f>
        <v>5</v>
      </c>
      <c r="T103" s="60">
        <f>IFERROR(__xludf.DUMMYFUNCTION("""COMPUTED_VALUE"""),45268.0)</f>
        <v>45268</v>
      </c>
      <c r="V103" s="59" t="str">
        <f>IFERROR(__xludf.DUMMYFUNCTION("""COMPUTED_VALUE"""),"Ma Espiritu Tiles Trading ")</f>
        <v>Ma Espiritu Tiles Trading </v>
      </c>
      <c r="W103" s="4">
        <f>IFERROR(__xludf.DUMMYFUNCTION("""COMPUTED_VALUE"""),4.691666666666666)</f>
        <v>4.691666667</v>
      </c>
      <c r="X103" s="60">
        <f>IFERROR(__xludf.DUMMYFUNCTION("""COMPUTED_VALUE"""),45576.0)</f>
        <v>45576</v>
      </c>
      <c r="AA103" s="4"/>
      <c r="AD103" s="4"/>
      <c r="AG103" s="4"/>
    </row>
    <row r="104">
      <c r="A104" s="179"/>
      <c r="B104" s="180"/>
      <c r="C104" s="2"/>
      <c r="E104" s="181"/>
      <c r="F104" s="181"/>
      <c r="G104" s="2"/>
      <c r="I104" s="101">
        <v>87.0</v>
      </c>
      <c r="J104" s="111" t="s">
        <v>454</v>
      </c>
      <c r="K104" s="50">
        <v>4.83</v>
      </c>
      <c r="N104" s="59" t="str">
        <f>IFERROR(__xludf.DUMMYFUNCTION("""COMPUTED_VALUE"""),"Microsmith Technology System,Inc.")</f>
        <v>Microsmith Technology System,Inc.</v>
      </c>
      <c r="O104" s="4">
        <f>IFERROR(__xludf.DUMMYFUNCTION("""COMPUTED_VALUE"""),5.0)</f>
        <v>5</v>
      </c>
      <c r="P104" s="60">
        <f>IFERROR(__xludf.DUMMYFUNCTION("""COMPUTED_VALUE"""),44950.0)</f>
        <v>44950</v>
      </c>
      <c r="R104" s="59" t="str">
        <f>IFERROR(__xludf.DUMMYFUNCTION("""COMPUTED_VALUE"""),"Printing Shop PrintPilipinas.com")</f>
        <v>Printing Shop PrintPilipinas.com</v>
      </c>
      <c r="S104" s="4">
        <f>IFERROR(__xludf.DUMMYFUNCTION("""COMPUTED_VALUE"""),4.0)</f>
        <v>4</v>
      </c>
      <c r="T104" s="60">
        <f>IFERROR(__xludf.DUMMYFUNCTION("""COMPUTED_VALUE"""),45272.0)</f>
        <v>45272</v>
      </c>
      <c r="V104" s="59" t="str">
        <f>IFERROR(__xludf.DUMMYFUNCTION("""COMPUTED_VALUE"""),"Alpha-Cored Technology Systems, Inc.")</f>
        <v>Alpha-Cored Technology Systems, Inc.</v>
      </c>
      <c r="W104" s="4">
        <f>IFERROR(__xludf.DUMMYFUNCTION("""COMPUTED_VALUE"""),4.833333333333333)</f>
        <v>4.833333333</v>
      </c>
      <c r="X104" s="60">
        <f>IFERROR(__xludf.DUMMYFUNCTION("""COMPUTED_VALUE"""),45576.0)</f>
        <v>45576</v>
      </c>
      <c r="AA104" s="4"/>
      <c r="AD104" s="4"/>
      <c r="AG104" s="4"/>
    </row>
    <row r="105">
      <c r="A105" s="179"/>
      <c r="B105" s="180"/>
      <c r="C105" s="2"/>
      <c r="E105" s="181"/>
      <c r="F105" s="181"/>
      <c r="G105" s="2"/>
      <c r="I105" s="101">
        <v>88.0</v>
      </c>
      <c r="J105" s="111" t="s">
        <v>542</v>
      </c>
      <c r="K105" s="2"/>
      <c r="N105" s="59" t="str">
        <f>IFERROR(__xludf.DUMMYFUNCTION("""COMPUTED_VALUE"""),"Atlas Superflags")</f>
        <v>Atlas Superflags</v>
      </c>
      <c r="O105" s="4">
        <f>IFERROR(__xludf.DUMMYFUNCTION("""COMPUTED_VALUE"""),5.0)</f>
        <v>5</v>
      </c>
      <c r="P105" s="60">
        <f>IFERROR(__xludf.DUMMYFUNCTION("""COMPUTED_VALUE"""),44951.0)</f>
        <v>44951</v>
      </c>
      <c r="R105" s="59" t="str">
        <f>IFERROR(__xludf.DUMMYFUNCTION("""COMPUTED_VALUE"""),"Contrade Integrated Depot")</f>
        <v>Contrade Integrated Depot</v>
      </c>
      <c r="S105" s="4">
        <f>IFERROR(__xludf.DUMMYFUNCTION("""COMPUTED_VALUE"""),5.0)</f>
        <v>5</v>
      </c>
      <c r="T105" s="60">
        <f>IFERROR(__xludf.DUMMYFUNCTION("""COMPUTED_VALUE"""),45278.0)</f>
        <v>45278</v>
      </c>
      <c r="V105" s="59" t="str">
        <f>IFERROR(__xludf.DUMMYFUNCTION("""COMPUTED_VALUE"""),"Contrade Integrated Depot")</f>
        <v>Contrade Integrated Depot</v>
      </c>
      <c r="W105" s="4">
        <f>IFERROR(__xludf.DUMMYFUNCTION("""COMPUTED_VALUE"""),4.833333333333333)</f>
        <v>4.833333333</v>
      </c>
      <c r="X105" s="60">
        <f>IFERROR(__xludf.DUMMYFUNCTION("""COMPUTED_VALUE"""),45577.0)</f>
        <v>45577</v>
      </c>
      <c r="AA105" s="4"/>
      <c r="AD105" s="4"/>
      <c r="AG105" s="4"/>
    </row>
    <row r="106">
      <c r="A106" s="179"/>
      <c r="B106" s="180"/>
      <c r="C106" s="2"/>
      <c r="E106" s="181"/>
      <c r="F106" s="181"/>
      <c r="G106" s="2"/>
      <c r="I106" s="83" t="s">
        <v>220</v>
      </c>
      <c r="J106" s="85"/>
      <c r="K106" s="55">
        <f>average(K107:K108)</f>
        <v>4.783333333</v>
      </c>
      <c r="N106" s="59" t="str">
        <f>IFERROR(__xludf.DUMMYFUNCTION("""COMPUTED_VALUE"""),"Alpha-Cored Technology Systems, Inc.")</f>
        <v>Alpha-Cored Technology Systems, Inc.</v>
      </c>
      <c r="O106" s="4">
        <f>IFERROR(__xludf.DUMMYFUNCTION("""COMPUTED_VALUE"""),5.0)</f>
        <v>5</v>
      </c>
      <c r="P106" s="60">
        <f>IFERROR(__xludf.DUMMYFUNCTION("""COMPUTED_VALUE"""),44954.0)</f>
        <v>44954</v>
      </c>
      <c r="R106" s="59" t="str">
        <f>IFERROR(__xludf.DUMMYFUNCTION("""COMPUTED_VALUE"""),"Printing Shop PrintPilipinas.com")</f>
        <v>Printing Shop PrintPilipinas.com</v>
      </c>
      <c r="S106" s="4">
        <f>IFERROR(__xludf.DUMMYFUNCTION("""COMPUTED_VALUE"""),4.833333333333333)</f>
        <v>4.833333333</v>
      </c>
      <c r="T106" s="60">
        <f>IFERROR(__xludf.DUMMYFUNCTION("""COMPUTED_VALUE"""),45294.0)</f>
        <v>45294</v>
      </c>
      <c r="V106" s="59" t="str">
        <f>IFERROR(__xludf.DUMMYFUNCTION("""COMPUTED_VALUE"""),"Rivchem Enterprises")</f>
        <v>Rivchem Enterprises</v>
      </c>
      <c r="W106" s="4">
        <f>IFERROR(__xludf.DUMMYFUNCTION("""COMPUTED_VALUE"""),4.916666666666667)</f>
        <v>4.916666667</v>
      </c>
      <c r="X106" s="60">
        <f>IFERROR(__xludf.DUMMYFUNCTION("""COMPUTED_VALUE"""),45577.0)</f>
        <v>45577</v>
      </c>
      <c r="AA106" s="4"/>
      <c r="AD106" s="4"/>
      <c r="AG106" s="4"/>
    </row>
    <row r="107">
      <c r="A107" s="179"/>
      <c r="C107" s="2"/>
      <c r="E107" s="181"/>
      <c r="F107" s="181"/>
      <c r="G107" s="2"/>
      <c r="I107" s="101">
        <v>89.0</v>
      </c>
      <c r="J107" s="111" t="s">
        <v>230</v>
      </c>
      <c r="K107" s="4">
        <v>4.783333333333333</v>
      </c>
      <c r="N107" s="59" t="str">
        <f>IFERROR(__xludf.DUMMYFUNCTION("""COMPUTED_VALUE"""),"Contrade Integrated Depot")</f>
        <v>Contrade Integrated Depot</v>
      </c>
      <c r="O107" s="4">
        <f>IFERROR(__xludf.DUMMYFUNCTION("""COMPUTED_VALUE"""),4.0)</f>
        <v>4</v>
      </c>
      <c r="P107" s="60">
        <f>IFERROR(__xludf.DUMMYFUNCTION("""COMPUTED_VALUE"""),44971.0)</f>
        <v>44971</v>
      </c>
      <c r="R107" s="59" t="str">
        <f>IFERROR(__xludf.DUMMYFUNCTION("""COMPUTED_VALUE"""),"Chronos Athletics Shop")</f>
        <v>Chronos Athletics Shop</v>
      </c>
      <c r="S107" s="4">
        <f>IFERROR(__xludf.DUMMYFUNCTION("""COMPUTED_VALUE"""),4.616666666666667)</f>
        <v>4.616666667</v>
      </c>
      <c r="T107" s="60">
        <f>IFERROR(__xludf.DUMMYFUNCTION("""COMPUTED_VALUE"""),45301.0)</f>
        <v>45301</v>
      </c>
      <c r="V107" s="59" t="str">
        <f>IFERROR(__xludf.DUMMYFUNCTION("""COMPUTED_VALUE"""),"Rivchem Enterprises")</f>
        <v>Rivchem Enterprises</v>
      </c>
      <c r="W107" s="4">
        <f>IFERROR(__xludf.DUMMYFUNCTION("""COMPUTED_VALUE"""),4.791666666666667)</f>
        <v>4.791666667</v>
      </c>
      <c r="X107" s="60">
        <f>IFERROR(__xludf.DUMMYFUNCTION("""COMPUTED_VALUE"""),45577.0)</f>
        <v>45577</v>
      </c>
      <c r="AA107" s="4"/>
      <c r="AD107" s="4"/>
      <c r="AG107" s="4"/>
    </row>
    <row r="108">
      <c r="A108" s="179"/>
      <c r="C108" s="2"/>
      <c r="E108" s="181"/>
      <c r="F108" s="181"/>
      <c r="G108" s="2"/>
      <c r="I108" s="101">
        <v>90.0</v>
      </c>
      <c r="J108" s="111" t="s">
        <v>234</v>
      </c>
      <c r="K108" s="2"/>
      <c r="N108" s="59" t="str">
        <f>IFERROR(__xludf.DUMMYFUNCTION("""COMPUTED_VALUE"""),"Luminaire Printing And Publishing Corp.")</f>
        <v>Luminaire Printing And Publishing Corp.</v>
      </c>
      <c r="O108" s="4">
        <f>IFERROR(__xludf.DUMMYFUNCTION("""COMPUTED_VALUE"""),4.358333333333333)</f>
        <v>4.358333333</v>
      </c>
      <c r="P108" s="60">
        <f>IFERROR(__xludf.DUMMYFUNCTION("""COMPUTED_VALUE"""),44988.0)</f>
        <v>44988</v>
      </c>
      <c r="R108" s="59" t="str">
        <f>IFERROR(__xludf.DUMMYFUNCTION("""COMPUTED_VALUE"""),"Creative Juice Digital Printing")</f>
        <v>Creative Juice Digital Printing</v>
      </c>
      <c r="S108" s="4">
        <f>IFERROR(__xludf.DUMMYFUNCTION("""COMPUTED_VALUE"""),5.0)</f>
        <v>5</v>
      </c>
      <c r="T108" s="60">
        <f>IFERROR(__xludf.DUMMYFUNCTION("""COMPUTED_VALUE"""),45301.0)</f>
        <v>45301</v>
      </c>
      <c r="V108" s="59" t="str">
        <f>IFERROR(__xludf.DUMMYFUNCTION("""COMPUTED_VALUE"""),"Abenson Ventures, Inc.")</f>
        <v>Abenson Ventures, Inc.</v>
      </c>
      <c r="W108" s="4">
        <f>IFERROR(__xludf.DUMMYFUNCTION("""COMPUTED_VALUE"""),4.691666666666666)</f>
        <v>4.691666667</v>
      </c>
      <c r="X108" s="60">
        <f>IFERROR(__xludf.DUMMYFUNCTION("""COMPUTED_VALUE"""),45579.0)</f>
        <v>45579</v>
      </c>
      <c r="AA108" s="4"/>
      <c r="AD108" s="4"/>
      <c r="AG108" s="4"/>
    </row>
    <row r="109">
      <c r="A109" s="179"/>
      <c r="C109" s="2"/>
      <c r="E109" s="181"/>
      <c r="F109" s="181"/>
      <c r="G109" s="2"/>
      <c r="I109" s="83" t="s">
        <v>564</v>
      </c>
      <c r="J109" s="85"/>
      <c r="K109" s="55" t="str">
        <f>average(K110:K113)</f>
        <v>#DIV/0!</v>
      </c>
      <c r="N109" s="59" t="str">
        <f>IFERROR(__xludf.DUMMYFUNCTION("""COMPUTED_VALUE"""),"Creative Juice Digital Printing")</f>
        <v>Creative Juice Digital Printing</v>
      </c>
      <c r="O109" s="4">
        <f>IFERROR(__xludf.DUMMYFUNCTION("""COMPUTED_VALUE"""),4.8774999999999995)</f>
        <v>4.8775</v>
      </c>
      <c r="P109" s="60">
        <f>IFERROR(__xludf.DUMMYFUNCTION("""COMPUTED_VALUE"""),44989.0)</f>
        <v>44989</v>
      </c>
      <c r="R109" s="59" t="str">
        <f>IFERROR(__xludf.DUMMYFUNCTION("""COMPUTED_VALUE"""),"Creative Juice Digital Printing")</f>
        <v>Creative Juice Digital Printing</v>
      </c>
      <c r="S109" s="4">
        <f>IFERROR(__xludf.DUMMYFUNCTION("""COMPUTED_VALUE"""),4.5)</f>
        <v>4.5</v>
      </c>
      <c r="T109" s="60">
        <f>IFERROR(__xludf.DUMMYFUNCTION("""COMPUTED_VALUE"""),45301.0)</f>
        <v>45301</v>
      </c>
      <c r="V109" s="59" t="str">
        <f>IFERROR(__xludf.DUMMYFUNCTION("""COMPUTED_VALUE"""),"Bobman Trading")</f>
        <v>Bobman Trading</v>
      </c>
      <c r="W109" s="4">
        <f>IFERROR(__xludf.DUMMYFUNCTION("""COMPUTED_VALUE"""),4.833333333333333)</f>
        <v>4.833333333</v>
      </c>
      <c r="X109" s="60">
        <f>IFERROR(__xludf.DUMMYFUNCTION("""COMPUTED_VALUE"""),45580.0)</f>
        <v>45580</v>
      </c>
      <c r="AA109" s="4"/>
      <c r="AD109" s="4"/>
      <c r="AG109" s="4"/>
    </row>
    <row r="110">
      <c r="A110" s="179"/>
      <c r="C110" s="2"/>
      <c r="E110" s="181"/>
      <c r="F110" s="181"/>
      <c r="G110" s="2"/>
      <c r="I110" s="101">
        <v>91.0</v>
      </c>
      <c r="J110" s="111" t="s">
        <v>569</v>
      </c>
      <c r="K110" s="2"/>
      <c r="N110" s="59" t="str">
        <f>IFERROR(__xludf.DUMMYFUNCTION("""COMPUTED_VALUE"""),"Chemtrust Global Market, Inc.")</f>
        <v>Chemtrust Global Market, Inc.</v>
      </c>
      <c r="O110" s="4">
        <f>IFERROR(__xludf.DUMMYFUNCTION("""COMPUTED_VALUE"""),3.6)</f>
        <v>3.6</v>
      </c>
      <c r="P110" s="60">
        <f>IFERROR(__xludf.DUMMYFUNCTION("""COMPUTED_VALUE"""),44993.0)</f>
        <v>44993</v>
      </c>
      <c r="R110" s="59" t="str">
        <f>IFERROR(__xludf.DUMMYFUNCTION("""COMPUTED_VALUE"""),"Wisechoice Cleaning Supplies and Trading Corp.")</f>
        <v>Wisechoice Cleaning Supplies and Trading Corp.</v>
      </c>
      <c r="S110" s="4">
        <f>IFERROR(__xludf.DUMMYFUNCTION("""COMPUTED_VALUE"""),4.258333333333334)</f>
        <v>4.258333333</v>
      </c>
      <c r="T110" s="60">
        <f>IFERROR(__xludf.DUMMYFUNCTION("""COMPUTED_VALUE"""),45308.0)</f>
        <v>45308</v>
      </c>
      <c r="V110" s="59" t="str">
        <f>IFERROR(__xludf.DUMMYFUNCTION("""COMPUTED_VALUE"""),"Net Ad IT Solutions")</f>
        <v>Net Ad IT Solutions</v>
      </c>
      <c r="W110" s="4">
        <f>IFERROR(__xludf.DUMMYFUNCTION("""COMPUTED_VALUE"""),4.833333333333333)</f>
        <v>4.833333333</v>
      </c>
      <c r="X110" s="60">
        <f>IFERROR(__xludf.DUMMYFUNCTION("""COMPUTED_VALUE"""),45582.0)</f>
        <v>45582</v>
      </c>
      <c r="AA110" s="4"/>
      <c r="AD110" s="4"/>
      <c r="AG110" s="4"/>
    </row>
    <row r="111">
      <c r="A111" s="179"/>
      <c r="B111" s="180"/>
      <c r="C111" s="2"/>
      <c r="E111" s="181"/>
      <c r="G111" s="2"/>
      <c r="I111" s="101">
        <v>92.0</v>
      </c>
      <c r="J111" s="111" t="s">
        <v>574</v>
      </c>
      <c r="K111" s="2"/>
      <c r="N111" s="59" t="str">
        <f>IFERROR(__xludf.DUMMYFUNCTION("""COMPUTED_VALUE"""),"Rivchem Enterprises")</f>
        <v>Rivchem Enterprises</v>
      </c>
      <c r="O111" s="4">
        <f>IFERROR(__xludf.DUMMYFUNCTION("""COMPUTED_VALUE"""),4.366666666666666)</f>
        <v>4.366666667</v>
      </c>
      <c r="P111" s="60">
        <f>IFERROR(__xludf.DUMMYFUNCTION("""COMPUTED_VALUE"""),44995.0)</f>
        <v>44995</v>
      </c>
      <c r="R111" s="59" t="str">
        <f>IFERROR(__xludf.DUMMYFUNCTION("""COMPUTED_VALUE"""),"Rivchem Enterprises")</f>
        <v>Rivchem Enterprises</v>
      </c>
      <c r="S111" s="4">
        <f>IFERROR(__xludf.DUMMYFUNCTION("""COMPUTED_VALUE"""),4.258333333333334)</f>
        <v>4.258333333</v>
      </c>
      <c r="T111" s="60">
        <f>IFERROR(__xludf.DUMMYFUNCTION("""COMPUTED_VALUE"""),45310.0)</f>
        <v>45310</v>
      </c>
      <c r="V111" s="59" t="str">
        <f>IFERROR(__xludf.DUMMYFUNCTION("""COMPUTED_VALUE"""),"Contrade Integrated Depot")</f>
        <v>Contrade Integrated Depot</v>
      </c>
      <c r="W111" s="4">
        <f>IFERROR(__xludf.DUMMYFUNCTION("""COMPUTED_VALUE"""),4.416666666666667)</f>
        <v>4.416666667</v>
      </c>
      <c r="X111" s="60">
        <f>IFERROR(__xludf.DUMMYFUNCTION("""COMPUTED_VALUE"""),45583.0)</f>
        <v>45583</v>
      </c>
      <c r="AA111" s="4"/>
      <c r="AD111" s="4"/>
      <c r="AG111" s="4"/>
    </row>
    <row r="112">
      <c r="A112" s="179"/>
      <c r="B112" s="180"/>
      <c r="C112" s="2"/>
      <c r="E112" s="181"/>
      <c r="G112" s="2"/>
      <c r="I112" s="101">
        <v>93.0</v>
      </c>
      <c r="J112" s="111" t="s">
        <v>579</v>
      </c>
      <c r="K112" s="2"/>
      <c r="N112" s="59" t="str">
        <f>IFERROR(__xludf.DUMMYFUNCTION("""COMPUTED_VALUE"""),"Microsmith Technology System,Inc.")</f>
        <v>Microsmith Technology System,Inc.</v>
      </c>
      <c r="O112" s="4">
        <f>IFERROR(__xludf.DUMMYFUNCTION("""COMPUTED_VALUE"""),4.766666666666667)</f>
        <v>4.766666667</v>
      </c>
      <c r="P112" s="60">
        <f>IFERROR(__xludf.DUMMYFUNCTION("""COMPUTED_VALUE"""),45000.0)</f>
        <v>45000</v>
      </c>
      <c r="R112" s="59" t="str">
        <f>IFERROR(__xludf.DUMMYFUNCTION("""COMPUTED_VALUE"""),"Luminaire Printing And Publishing Corp.")</f>
        <v>Luminaire Printing And Publishing Corp.</v>
      </c>
      <c r="S112" s="4">
        <f>IFERROR(__xludf.DUMMYFUNCTION("""COMPUTED_VALUE"""),4.833333333333333)</f>
        <v>4.833333333</v>
      </c>
      <c r="T112" s="60">
        <f>IFERROR(__xludf.DUMMYFUNCTION("""COMPUTED_VALUE"""),45313.0)</f>
        <v>45313</v>
      </c>
      <c r="V112" s="59" t="str">
        <f>IFERROR(__xludf.DUMMYFUNCTION("""COMPUTED_VALUE"""),"Rivchem Enterprises")</f>
        <v>Rivchem Enterprises</v>
      </c>
      <c r="W112" s="4">
        <f>IFERROR(__xludf.DUMMYFUNCTION("""COMPUTED_VALUE"""),4.791666666666667)</f>
        <v>4.791666667</v>
      </c>
      <c r="X112" s="60">
        <f>IFERROR(__xludf.DUMMYFUNCTION("""COMPUTED_VALUE"""),45583.0)</f>
        <v>45583</v>
      </c>
      <c r="AA112" s="4"/>
      <c r="AD112" s="4"/>
      <c r="AG112" s="4"/>
    </row>
    <row r="113">
      <c r="A113" s="179"/>
      <c r="B113" s="180"/>
      <c r="C113" s="2"/>
      <c r="E113" s="181"/>
      <c r="G113" s="2"/>
      <c r="I113" s="101">
        <v>94.0</v>
      </c>
      <c r="J113" s="111" t="s">
        <v>582</v>
      </c>
      <c r="K113" s="2"/>
      <c r="N113" s="59" t="str">
        <f>IFERROR(__xludf.DUMMYFUNCTION("""COMPUTED_VALUE"""),"Tropical Palms Fashion House, Inc.")</f>
        <v>Tropical Palms Fashion House, Inc.</v>
      </c>
      <c r="O113" s="4">
        <f>IFERROR(__xludf.DUMMYFUNCTION("""COMPUTED_VALUE"""),4.133333333333333)</f>
        <v>4.133333333</v>
      </c>
      <c r="P113" s="60">
        <f>IFERROR(__xludf.DUMMYFUNCTION("""COMPUTED_VALUE"""),45001.0)</f>
        <v>45001</v>
      </c>
      <c r="R113" s="59" t="str">
        <f>IFERROR(__xludf.DUMMYFUNCTION("""COMPUTED_VALUE"""),"Rivchem Enterprises")</f>
        <v>Rivchem Enterprises</v>
      </c>
      <c r="S113" s="4">
        <f>IFERROR(__xludf.DUMMYFUNCTION("""COMPUTED_VALUE"""),4.75)</f>
        <v>4.75</v>
      </c>
      <c r="T113" s="60">
        <f>IFERROR(__xludf.DUMMYFUNCTION("""COMPUTED_VALUE"""),45314.0)</f>
        <v>45314</v>
      </c>
      <c r="V113" s="59" t="str">
        <f>IFERROR(__xludf.DUMMYFUNCTION("""COMPUTED_VALUE"""),"Leonard Prints Inc.")</f>
        <v>Leonard Prints Inc.</v>
      </c>
      <c r="W113" s="4">
        <f>IFERROR(__xludf.DUMMYFUNCTION("""COMPUTED_VALUE"""),4.791666666666667)</f>
        <v>4.791666667</v>
      </c>
      <c r="X113" s="60">
        <f>IFERROR(__xludf.DUMMYFUNCTION("""COMPUTED_VALUE"""),45586.0)</f>
        <v>45586</v>
      </c>
      <c r="AA113" s="4"/>
      <c r="AD113" s="4"/>
      <c r="AG113" s="4"/>
    </row>
    <row r="114">
      <c r="A114" s="179"/>
      <c r="B114" s="180"/>
      <c r="C114" s="2"/>
      <c r="E114" s="181"/>
      <c r="G114" s="2"/>
      <c r="I114" s="83" t="s">
        <v>586</v>
      </c>
      <c r="J114" s="85"/>
      <c r="K114" s="55">
        <f>average(K115:K119)</f>
        <v>5</v>
      </c>
      <c r="N114" s="59" t="str">
        <f>IFERROR(__xludf.DUMMYFUNCTION("""COMPUTED_VALUE"""),"Ergo Contracts Phil., Inc.")</f>
        <v>Ergo Contracts Phil., Inc.</v>
      </c>
      <c r="O114" s="4">
        <f>IFERROR(__xludf.DUMMYFUNCTION("""COMPUTED_VALUE"""),4.766666666666667)</f>
        <v>4.766666667</v>
      </c>
      <c r="P114" s="60">
        <f>IFERROR(__xludf.DUMMYFUNCTION("""COMPUTED_VALUE"""),45007.0)</f>
        <v>45007</v>
      </c>
      <c r="R114" s="59" t="str">
        <f>IFERROR(__xludf.DUMMYFUNCTION("""COMPUTED_VALUE"""),"Chronos Athletics Shop")</f>
        <v>Chronos Athletics Shop</v>
      </c>
      <c r="S114" s="4">
        <f>IFERROR(__xludf.DUMMYFUNCTION("""COMPUTED_VALUE"""),4.541666666666667)</f>
        <v>4.541666667</v>
      </c>
      <c r="T114" s="60">
        <f>IFERROR(__xludf.DUMMYFUNCTION("""COMPUTED_VALUE"""),45315.0)</f>
        <v>45315</v>
      </c>
      <c r="V114" s="59" t="str">
        <f>IFERROR(__xludf.DUMMYFUNCTION("""COMPUTED_VALUE"""),"Luminaire Printing And Publishing Corp.")</f>
        <v>Luminaire Printing And Publishing Corp.</v>
      </c>
      <c r="W114" s="4">
        <f>IFERROR(__xludf.DUMMYFUNCTION("""COMPUTED_VALUE"""),4.416666666666667)</f>
        <v>4.416666667</v>
      </c>
      <c r="X114" s="60">
        <f>IFERROR(__xludf.DUMMYFUNCTION("""COMPUTED_VALUE"""),45586.0)</f>
        <v>45586</v>
      </c>
      <c r="AA114" s="4"/>
      <c r="AD114" s="4"/>
      <c r="AG114" s="4"/>
    </row>
    <row r="115">
      <c r="A115" s="179"/>
      <c r="C115" s="2"/>
      <c r="E115" s="181"/>
      <c r="F115" s="181"/>
      <c r="G115" s="2"/>
      <c r="I115" s="186">
        <v>95.0</v>
      </c>
      <c r="J115" s="111" t="s">
        <v>394</v>
      </c>
      <c r="K115" s="2"/>
      <c r="N115" s="59" t="str">
        <f>IFERROR(__xludf.DUMMYFUNCTION("""COMPUTED_VALUE"""),"Hytec Power, Inc.")</f>
        <v>Hytec Power, Inc.</v>
      </c>
      <c r="O115" s="4">
        <f>IFERROR(__xludf.DUMMYFUNCTION("""COMPUTED_VALUE"""),3.466666666666667)</f>
        <v>3.466666667</v>
      </c>
      <c r="P115" s="60">
        <f>IFERROR(__xludf.DUMMYFUNCTION("""COMPUTED_VALUE"""),45033.0)</f>
        <v>45033</v>
      </c>
      <c r="R115" s="59" t="str">
        <f>IFERROR(__xludf.DUMMYFUNCTION("""COMPUTED_VALUE"""),"Printing Shop PrintPilipinas.com")</f>
        <v>Printing Shop PrintPilipinas.com</v>
      </c>
      <c r="S115" s="4">
        <f>IFERROR(__xludf.DUMMYFUNCTION("""COMPUTED_VALUE"""),4.833333333333333)</f>
        <v>4.833333333</v>
      </c>
      <c r="T115" s="60">
        <f>IFERROR(__xludf.DUMMYFUNCTION("""COMPUTED_VALUE"""),45315.0)</f>
        <v>45315</v>
      </c>
      <c r="V115" s="59" t="str">
        <f>IFERROR(__xludf.DUMMYFUNCTION("""COMPUTED_VALUE"""),"Contrade Integrated Depot")</f>
        <v>Contrade Integrated Depot</v>
      </c>
      <c r="W115" s="4">
        <f>IFERROR(__xludf.DUMMYFUNCTION("""COMPUTED_VALUE"""),4.833333333333333)</f>
        <v>4.833333333</v>
      </c>
      <c r="X115" s="60">
        <f>IFERROR(__xludf.DUMMYFUNCTION("""COMPUTED_VALUE"""),45586.0)</f>
        <v>45586</v>
      </c>
      <c r="AA115" s="4"/>
      <c r="AD115" s="4"/>
      <c r="AG115" s="4"/>
    </row>
    <row r="116">
      <c r="A116" s="179"/>
      <c r="C116" s="2"/>
      <c r="E116" s="181"/>
      <c r="F116" s="181"/>
      <c r="G116" s="2"/>
      <c r="I116" s="186">
        <v>96.0</v>
      </c>
      <c r="J116" s="111" t="s">
        <v>593</v>
      </c>
      <c r="K116" s="2"/>
      <c r="N116" s="59" t="str">
        <f>IFERROR(__xludf.DUMMYFUNCTION("""COMPUTED_VALUE"""),"Lordfel Marketing")</f>
        <v>Lordfel Marketing</v>
      </c>
      <c r="O116" s="4">
        <f>IFERROR(__xludf.DUMMYFUNCTION("""COMPUTED_VALUE"""),5.0)</f>
        <v>5</v>
      </c>
      <c r="P116" s="60">
        <f>IFERROR(__xludf.DUMMYFUNCTION("""COMPUTED_VALUE"""),45106.0)</f>
        <v>45106</v>
      </c>
      <c r="R116" s="59" t="str">
        <f>IFERROR(__xludf.DUMMYFUNCTION("""COMPUTED_VALUE"""),"Printing Shop PrintPilipinas.com")</f>
        <v>Printing Shop PrintPilipinas.com</v>
      </c>
      <c r="S116" s="4">
        <f>IFERROR(__xludf.DUMMYFUNCTION("""COMPUTED_VALUE"""),4.833333333333333)</f>
        <v>4.833333333</v>
      </c>
      <c r="T116" s="60">
        <f>IFERROR(__xludf.DUMMYFUNCTION("""COMPUTED_VALUE"""),45315.0)</f>
        <v>45315</v>
      </c>
      <c r="V116" s="59" t="str">
        <f>IFERROR(__xludf.DUMMYFUNCTION("""COMPUTED_VALUE"""),"Printing Shop PrintPilipinas.com")</f>
        <v>Printing Shop PrintPilipinas.com</v>
      </c>
      <c r="W116" s="4">
        <f>IFERROR(__xludf.DUMMYFUNCTION("""COMPUTED_VALUE"""),4.833333333333333)</f>
        <v>4.833333333</v>
      </c>
      <c r="X116" s="60">
        <f>IFERROR(__xludf.DUMMYFUNCTION("""COMPUTED_VALUE"""),45586.0)</f>
        <v>45586</v>
      </c>
      <c r="AA116" s="4"/>
      <c r="AD116" s="4"/>
      <c r="AG116" s="4"/>
    </row>
    <row r="117">
      <c r="A117" s="179"/>
      <c r="B117" s="180"/>
      <c r="C117" s="2"/>
      <c r="E117" s="181"/>
      <c r="F117" s="181"/>
      <c r="G117" s="2"/>
      <c r="I117" s="186">
        <v>97.0</v>
      </c>
      <c r="J117" s="111" t="s">
        <v>600</v>
      </c>
      <c r="K117" s="2"/>
      <c r="R117" s="59" t="str">
        <f>IFERROR(__xludf.DUMMYFUNCTION("""COMPUTED_VALUE"""),"Times Trading Co., Inc.")</f>
        <v>Times Trading Co., Inc.</v>
      </c>
      <c r="S117" s="4">
        <f>IFERROR(__xludf.DUMMYFUNCTION("""COMPUTED_VALUE"""),3.9966666666666666)</f>
        <v>3.996666667</v>
      </c>
      <c r="T117" s="60">
        <f>IFERROR(__xludf.DUMMYFUNCTION("""COMPUTED_VALUE"""),45315.0)</f>
        <v>45315</v>
      </c>
      <c r="V117" s="59" t="str">
        <f>IFERROR(__xludf.DUMMYFUNCTION("""COMPUTED_VALUE"""),"Colent Marketing Philippines, Inc.")</f>
        <v>Colent Marketing Philippines, Inc.</v>
      </c>
      <c r="W117" s="4">
        <f>IFERROR(__xludf.DUMMYFUNCTION("""COMPUTED_VALUE"""),4.166666666666667)</f>
        <v>4.166666667</v>
      </c>
      <c r="X117" s="60">
        <f>IFERROR(__xludf.DUMMYFUNCTION("""COMPUTED_VALUE"""),45591.0)</f>
        <v>45591</v>
      </c>
      <c r="AA117" s="4"/>
      <c r="AD117" s="4"/>
      <c r="AG117" s="4"/>
    </row>
    <row r="118">
      <c r="A118" s="179"/>
      <c r="C118" s="2"/>
      <c r="E118" s="181"/>
      <c r="F118" s="181"/>
      <c r="G118" s="2"/>
      <c r="I118" s="186">
        <v>98.0</v>
      </c>
      <c r="J118" s="111" t="s">
        <v>605</v>
      </c>
      <c r="K118" s="4">
        <v>5.0</v>
      </c>
      <c r="R118" s="59" t="str">
        <f>IFERROR(__xludf.DUMMYFUNCTION("""COMPUTED_VALUE"""),"Rivchem Enterprises")</f>
        <v>Rivchem Enterprises</v>
      </c>
      <c r="S118" s="4">
        <f>IFERROR(__xludf.DUMMYFUNCTION("""COMPUTED_VALUE"""),4.75)</f>
        <v>4.75</v>
      </c>
      <c r="T118" s="60">
        <f>IFERROR(__xludf.DUMMYFUNCTION("""COMPUTED_VALUE"""),45315.0)</f>
        <v>45315</v>
      </c>
      <c r="V118" s="59" t="str">
        <f>IFERROR(__xludf.DUMMYFUNCTION("""COMPUTED_VALUE"""),"Elle Tech and Trend Office Furniture and Interiors")</f>
        <v>Elle Tech and Trend Office Furniture and Interiors</v>
      </c>
      <c r="W118" s="4">
        <f>IFERROR(__xludf.DUMMYFUNCTION("""COMPUTED_VALUE"""),5.0)</f>
        <v>5</v>
      </c>
      <c r="X118" s="60">
        <f>IFERROR(__xludf.DUMMYFUNCTION("""COMPUTED_VALUE"""),45600.0)</f>
        <v>45600</v>
      </c>
      <c r="AA118" s="4"/>
      <c r="AD118" s="4"/>
      <c r="AG118" s="4"/>
    </row>
    <row r="119">
      <c r="A119" s="179"/>
      <c r="B119" s="180"/>
      <c r="C119" s="2"/>
      <c r="E119" s="181"/>
      <c r="G119" s="2"/>
      <c r="I119" s="187">
        <v>99.0</v>
      </c>
      <c r="J119" s="98" t="s">
        <v>420</v>
      </c>
      <c r="K119" s="2"/>
      <c r="R119" s="59" t="str">
        <f>IFERROR(__xludf.DUMMYFUNCTION("""COMPUTED_VALUE"""),"Circuitrocks Electronic Store")</f>
        <v>Circuitrocks Electronic Store</v>
      </c>
      <c r="S119" s="4">
        <f>IFERROR(__xludf.DUMMYFUNCTION("""COMPUTED_VALUE"""),4.908333333333333)</f>
        <v>4.908333333</v>
      </c>
      <c r="T119" s="60">
        <f>IFERROR(__xludf.DUMMYFUNCTION("""COMPUTED_VALUE"""),45316.0)</f>
        <v>45316</v>
      </c>
      <c r="V119" s="59" t="str">
        <f>IFERROR(__xludf.DUMMYFUNCTION("""COMPUTED_VALUE"""),"Leonard Prints Inc.")</f>
        <v>Leonard Prints Inc.</v>
      </c>
      <c r="W119" s="4">
        <f>IFERROR(__xludf.DUMMYFUNCTION("""COMPUTED_VALUE"""),4.591666666666667)</f>
        <v>4.591666667</v>
      </c>
      <c r="X119" s="60">
        <f>IFERROR(__xludf.DUMMYFUNCTION("""COMPUTED_VALUE"""),45601.0)</f>
        <v>45601</v>
      </c>
      <c r="AA119" s="4"/>
      <c r="AD119" s="4"/>
      <c r="AG119" s="4"/>
    </row>
    <row r="120">
      <c r="A120" s="179"/>
      <c r="B120" s="180"/>
      <c r="C120" s="2"/>
      <c r="E120" s="181"/>
      <c r="G120" s="2"/>
      <c r="I120" s="181"/>
      <c r="J120" s="181"/>
      <c r="K120" s="2"/>
      <c r="R120" s="59" t="str">
        <f>IFERROR(__xludf.DUMMYFUNCTION("""COMPUTED_VALUE"""),"Wisechoice Cleaning Supplies and Trading Corp.")</f>
        <v>Wisechoice Cleaning Supplies and Trading Corp.</v>
      </c>
      <c r="S120" s="4">
        <f>IFERROR(__xludf.DUMMYFUNCTION("""COMPUTED_VALUE"""),4.75)</f>
        <v>4.75</v>
      </c>
      <c r="T120" s="60">
        <f>IFERROR(__xludf.DUMMYFUNCTION("""COMPUTED_VALUE"""),45316.0)</f>
        <v>45316</v>
      </c>
      <c r="V120" s="59" t="str">
        <f>IFERROR(__xludf.DUMMYFUNCTION("""COMPUTED_VALUE"""),"Contrade Integrated Depot")</f>
        <v>Contrade Integrated Depot</v>
      </c>
      <c r="W120" s="4">
        <f>IFERROR(__xludf.DUMMYFUNCTION("""COMPUTED_VALUE"""),4.75)</f>
        <v>4.75</v>
      </c>
      <c r="X120" s="60">
        <f>IFERROR(__xludf.DUMMYFUNCTION("""COMPUTED_VALUE"""),45604.0)</f>
        <v>45604</v>
      </c>
      <c r="AA120" s="4"/>
      <c r="AD120" s="4"/>
      <c r="AG120" s="4"/>
    </row>
    <row r="121">
      <c r="A121" s="179"/>
      <c r="B121" s="180"/>
      <c r="C121" s="2"/>
      <c r="E121" s="181"/>
      <c r="F121" s="181"/>
      <c r="G121" s="2"/>
      <c r="I121" s="188"/>
      <c r="K121" s="2"/>
      <c r="R121" s="59" t="str">
        <f>IFERROR(__xludf.DUMMYFUNCTION("""COMPUTED_VALUE"""),"V.M Industries Corp.")</f>
        <v>V.M Industries Corp.</v>
      </c>
      <c r="S121" s="4">
        <f>IFERROR(__xludf.DUMMYFUNCTION("""COMPUTED_VALUE"""),4.441666666666666)</f>
        <v>4.441666667</v>
      </c>
      <c r="T121" s="60">
        <f>IFERROR(__xludf.DUMMYFUNCTION("""COMPUTED_VALUE"""),45317.0)</f>
        <v>45317</v>
      </c>
      <c r="V121" s="59" t="str">
        <f>IFERROR(__xludf.DUMMYFUNCTION("""COMPUTED_VALUE"""),"Contrade Integrated Depot")</f>
        <v>Contrade Integrated Depot</v>
      </c>
      <c r="W121" s="4">
        <f>IFERROR(__xludf.DUMMYFUNCTION("""COMPUTED_VALUE"""),4.75)</f>
        <v>4.75</v>
      </c>
      <c r="X121" s="60">
        <f>IFERROR(__xludf.DUMMYFUNCTION("""COMPUTED_VALUE"""),45604.0)</f>
        <v>45604</v>
      </c>
      <c r="AA121" s="4"/>
      <c r="AD121" s="4"/>
      <c r="AG121" s="4"/>
    </row>
    <row r="122">
      <c r="A122" s="179"/>
      <c r="B122" s="180"/>
      <c r="C122" s="2"/>
      <c r="E122" s="181"/>
      <c r="G122" s="2"/>
      <c r="I122" s="190"/>
      <c r="J122" s="190"/>
      <c r="K122" s="2"/>
      <c r="R122" s="59" t="str">
        <f>IFERROR(__xludf.DUMMYFUNCTION("""COMPUTED_VALUE"""),"Rivchem Enterprises")</f>
        <v>Rivchem Enterprises</v>
      </c>
      <c r="S122" s="4">
        <f>IFERROR(__xludf.DUMMYFUNCTION("""COMPUTED_VALUE"""),5.0)</f>
        <v>5</v>
      </c>
      <c r="T122" s="60">
        <f>IFERROR(__xludf.DUMMYFUNCTION("""COMPUTED_VALUE"""),45317.0)</f>
        <v>45317</v>
      </c>
      <c r="V122" s="59" t="str">
        <f>IFERROR(__xludf.DUMMYFUNCTION("""COMPUTED_VALUE"""),"Contrade Integrated Depot")</f>
        <v>Contrade Integrated Depot</v>
      </c>
      <c r="W122" s="4">
        <f>IFERROR(__xludf.DUMMYFUNCTION("""COMPUTED_VALUE"""),4.75)</f>
        <v>4.75</v>
      </c>
      <c r="X122" s="60">
        <f>IFERROR(__xludf.DUMMYFUNCTION("""COMPUTED_VALUE"""),45604.0)</f>
        <v>45604</v>
      </c>
      <c r="AA122" s="4"/>
      <c r="AD122" s="4"/>
      <c r="AG122" s="4"/>
    </row>
    <row r="123">
      <c r="A123" s="179"/>
      <c r="B123" s="180"/>
      <c r="C123" s="2"/>
      <c r="E123" s="181"/>
      <c r="F123" s="181"/>
      <c r="G123" s="2"/>
      <c r="I123" s="190"/>
      <c r="J123" s="190"/>
      <c r="K123" s="2"/>
      <c r="R123" s="59" t="str">
        <f>IFERROR(__xludf.DUMMYFUNCTION("""COMPUTED_VALUE"""),"Leonard Prints Inc.")</f>
        <v>Leonard Prints Inc.</v>
      </c>
      <c r="S123" s="4">
        <f>IFERROR(__xludf.DUMMYFUNCTION("""COMPUTED_VALUE"""),4.833333333333333)</f>
        <v>4.833333333</v>
      </c>
      <c r="T123" s="60">
        <f>IFERROR(__xludf.DUMMYFUNCTION("""COMPUTED_VALUE"""),45320.0)</f>
        <v>45320</v>
      </c>
      <c r="V123" s="59" t="str">
        <f>IFERROR(__xludf.DUMMYFUNCTION("""COMPUTED_VALUE"""),"Contrade Integrated Depot")</f>
        <v>Contrade Integrated Depot</v>
      </c>
      <c r="W123" s="4">
        <f>IFERROR(__xludf.DUMMYFUNCTION("""COMPUTED_VALUE"""),4.75)</f>
        <v>4.75</v>
      </c>
      <c r="X123" s="60">
        <f>IFERROR(__xludf.DUMMYFUNCTION("""COMPUTED_VALUE"""),45604.0)</f>
        <v>45604</v>
      </c>
      <c r="AA123" s="4"/>
      <c r="AD123" s="4"/>
      <c r="AG123" s="4"/>
    </row>
    <row r="124">
      <c r="A124" s="179"/>
      <c r="B124" s="180"/>
      <c r="C124" s="2"/>
      <c r="E124" s="181"/>
      <c r="F124" s="181"/>
      <c r="G124" s="2"/>
      <c r="I124" s="190"/>
      <c r="J124" s="190"/>
      <c r="K124" s="2"/>
      <c r="R124" s="59" t="str">
        <f>IFERROR(__xludf.DUMMYFUNCTION("""COMPUTED_VALUE"""),"Printing Shop PrintPilipinas.com")</f>
        <v>Printing Shop PrintPilipinas.com</v>
      </c>
      <c r="S124" s="4">
        <f>IFERROR(__xludf.DUMMYFUNCTION("""COMPUTED_VALUE"""),4.833333333333333)</f>
        <v>4.833333333</v>
      </c>
      <c r="T124" s="60">
        <f>IFERROR(__xludf.DUMMYFUNCTION("""COMPUTED_VALUE"""),45320.0)</f>
        <v>45320</v>
      </c>
      <c r="V124" s="59" t="str">
        <f>IFERROR(__xludf.DUMMYFUNCTION("""COMPUTED_VALUE"""),"Contrade Integrated Depot")</f>
        <v>Contrade Integrated Depot</v>
      </c>
      <c r="W124" s="4">
        <f>IFERROR(__xludf.DUMMYFUNCTION("""COMPUTED_VALUE"""),4.75)</f>
        <v>4.75</v>
      </c>
      <c r="X124" s="60">
        <f>IFERROR(__xludf.DUMMYFUNCTION("""COMPUTED_VALUE"""),45604.0)</f>
        <v>45604</v>
      </c>
      <c r="AA124" s="4"/>
      <c r="AD124" s="4"/>
      <c r="AG124" s="4"/>
    </row>
    <row r="125">
      <c r="A125" s="179"/>
      <c r="B125" s="180"/>
      <c r="C125" s="2"/>
      <c r="E125" s="181"/>
      <c r="F125" s="181"/>
      <c r="G125" s="2"/>
      <c r="I125" s="190"/>
      <c r="J125" s="190"/>
      <c r="K125" s="2"/>
      <c r="R125" s="59" t="str">
        <f>IFERROR(__xludf.DUMMYFUNCTION("""COMPUTED_VALUE"""),"Contrade Integrated Depot")</f>
        <v>Contrade Integrated Depot</v>
      </c>
      <c r="S125" s="4">
        <f>IFERROR(__xludf.DUMMYFUNCTION("""COMPUTED_VALUE"""),4.0)</f>
        <v>4</v>
      </c>
      <c r="T125" s="60">
        <f>IFERROR(__xludf.DUMMYFUNCTION("""COMPUTED_VALUE"""),45322.0)</f>
        <v>45322</v>
      </c>
      <c r="V125" s="59" t="str">
        <f>IFERROR(__xludf.DUMMYFUNCTION("""COMPUTED_VALUE"""),"Colent Marketing Philippines, Inc.")</f>
        <v>Colent Marketing Philippines, Inc.</v>
      </c>
      <c r="W125" s="4">
        <f>IFERROR(__xludf.DUMMYFUNCTION("""COMPUTED_VALUE"""),4.833333333333333)</f>
        <v>4.833333333</v>
      </c>
      <c r="X125" s="60">
        <f>IFERROR(__xludf.DUMMYFUNCTION("""COMPUTED_VALUE"""),45608.0)</f>
        <v>45608</v>
      </c>
      <c r="AA125" s="4"/>
      <c r="AD125" s="4"/>
      <c r="AG125" s="4"/>
    </row>
    <row r="126">
      <c r="A126" s="179"/>
      <c r="B126" s="180"/>
      <c r="C126" s="2"/>
      <c r="E126" s="181"/>
      <c r="F126" s="181"/>
      <c r="G126" s="2"/>
      <c r="I126" s="190"/>
      <c r="J126" s="190"/>
      <c r="K126" s="2"/>
      <c r="R126" s="59" t="str">
        <f>IFERROR(__xludf.DUMMYFUNCTION("""COMPUTED_VALUE"""),"Contrade Integrated Depot")</f>
        <v>Contrade Integrated Depot</v>
      </c>
      <c r="S126" s="4">
        <f>IFERROR(__xludf.DUMMYFUNCTION("""COMPUTED_VALUE"""),4.0)</f>
        <v>4</v>
      </c>
      <c r="T126" s="60">
        <f>IFERROR(__xludf.DUMMYFUNCTION("""COMPUTED_VALUE"""),45322.0)</f>
        <v>45322</v>
      </c>
      <c r="V126" s="59" t="str">
        <f>IFERROR(__xludf.DUMMYFUNCTION("""COMPUTED_VALUE"""),"Northwind Communications and Electronics")</f>
        <v>Northwind Communications and Electronics</v>
      </c>
      <c r="W126" s="4">
        <f>IFERROR(__xludf.DUMMYFUNCTION("""COMPUTED_VALUE"""),4.25)</f>
        <v>4.25</v>
      </c>
      <c r="X126" s="60">
        <f>IFERROR(__xludf.DUMMYFUNCTION("""COMPUTED_VALUE"""),45608.0)</f>
        <v>45608</v>
      </c>
      <c r="AA126" s="4"/>
      <c r="AD126" s="4"/>
      <c r="AG126" s="4"/>
    </row>
    <row r="127">
      <c r="A127" s="179"/>
      <c r="B127" s="180"/>
      <c r="C127" s="2"/>
      <c r="E127" s="181"/>
      <c r="F127" s="181"/>
      <c r="G127" s="2"/>
      <c r="I127" s="190"/>
      <c r="J127" s="190"/>
      <c r="K127" s="2"/>
      <c r="R127" s="59" t="str">
        <f>IFERROR(__xludf.DUMMYFUNCTION("""COMPUTED_VALUE"""),"Data Computer Forms, Inc.")</f>
        <v>Data Computer Forms, Inc.</v>
      </c>
      <c r="S127" s="4">
        <f>IFERROR(__xludf.DUMMYFUNCTION("""COMPUTED_VALUE"""),4.0)</f>
        <v>4</v>
      </c>
      <c r="T127" s="60">
        <f>IFERROR(__xludf.DUMMYFUNCTION("""COMPUTED_VALUE"""),45322.0)</f>
        <v>45322</v>
      </c>
      <c r="V127" s="59" t="str">
        <f>IFERROR(__xludf.DUMMYFUNCTION("""COMPUTED_VALUE"""),"Alpha-Cored Technology Systems, Inc.")</f>
        <v>Alpha-Cored Technology Systems, Inc.</v>
      </c>
      <c r="W127" s="4">
        <f>IFERROR(__xludf.DUMMYFUNCTION("""COMPUTED_VALUE"""),5.0)</f>
        <v>5</v>
      </c>
      <c r="X127" s="60">
        <f>IFERROR(__xludf.DUMMYFUNCTION("""COMPUTED_VALUE"""),45611.0)</f>
        <v>45611</v>
      </c>
      <c r="AA127" s="4"/>
      <c r="AD127" s="4"/>
      <c r="AG127" s="4"/>
    </row>
    <row r="128">
      <c r="A128" s="179"/>
      <c r="B128" s="180"/>
      <c r="C128" s="2"/>
      <c r="E128" s="181"/>
      <c r="F128" s="181"/>
      <c r="G128" s="2"/>
      <c r="I128" s="190"/>
      <c r="J128" s="190"/>
      <c r="K128" s="2"/>
      <c r="R128" s="59" t="str">
        <f>IFERROR(__xludf.DUMMYFUNCTION("""COMPUTED_VALUE"""),"Net Ad IT Solutions")</f>
        <v>Net Ad IT Solutions</v>
      </c>
      <c r="S128" s="4">
        <f>IFERROR(__xludf.DUMMYFUNCTION("""COMPUTED_VALUE"""),4.0)</f>
        <v>4</v>
      </c>
      <c r="T128" s="60">
        <f>IFERROR(__xludf.DUMMYFUNCTION("""COMPUTED_VALUE"""),45322.0)</f>
        <v>45322</v>
      </c>
      <c r="V128" s="59" t="str">
        <f>IFERROR(__xludf.DUMMYFUNCTION("""COMPUTED_VALUE"""),"Net Ad IT Solutions")</f>
        <v>Net Ad IT Solutions</v>
      </c>
      <c r="W128" s="4">
        <f>IFERROR(__xludf.DUMMYFUNCTION("""COMPUTED_VALUE"""),4.833333333333333)</f>
        <v>4.833333333</v>
      </c>
      <c r="X128" s="60">
        <f>IFERROR(__xludf.DUMMYFUNCTION("""COMPUTED_VALUE"""),45611.0)</f>
        <v>45611</v>
      </c>
      <c r="AA128" s="4"/>
      <c r="AD128" s="4"/>
      <c r="AG128" s="4"/>
    </row>
    <row r="129">
      <c r="A129" s="179"/>
      <c r="B129" s="180"/>
      <c r="C129" s="2"/>
      <c r="E129" s="181"/>
      <c r="F129" s="181"/>
      <c r="G129" s="2"/>
      <c r="I129" s="190"/>
      <c r="J129" s="190"/>
      <c r="K129" s="2"/>
      <c r="R129" s="59" t="str">
        <f>IFERROR(__xludf.DUMMYFUNCTION("""COMPUTED_VALUE"""),"Abenson Ventures, Inc.")</f>
        <v>Abenson Ventures, Inc.</v>
      </c>
      <c r="S129" s="4">
        <f>IFERROR(__xludf.DUMMYFUNCTION("""COMPUTED_VALUE"""),4.533333333333333)</f>
        <v>4.533333333</v>
      </c>
      <c r="T129" s="60">
        <f>IFERROR(__xludf.DUMMYFUNCTION("""COMPUTED_VALUE"""),45324.0)</f>
        <v>45324</v>
      </c>
      <c r="V129" s="59" t="str">
        <f>IFERROR(__xludf.DUMMYFUNCTION("""COMPUTED_VALUE"""),"Net Ad IT Solutions")</f>
        <v>Net Ad IT Solutions</v>
      </c>
      <c r="W129" s="4">
        <f>IFERROR(__xludf.DUMMYFUNCTION("""COMPUTED_VALUE"""),4.833333333333333)</f>
        <v>4.833333333</v>
      </c>
      <c r="X129" s="60">
        <f>IFERROR(__xludf.DUMMYFUNCTION("""COMPUTED_VALUE"""),45611.0)</f>
        <v>45611</v>
      </c>
      <c r="AA129" s="4"/>
      <c r="AD129" s="4"/>
      <c r="AG129" s="4"/>
    </row>
    <row r="130">
      <c r="A130" s="179"/>
      <c r="B130" s="180"/>
      <c r="C130" s="2"/>
      <c r="E130" s="181"/>
      <c r="F130" s="181"/>
      <c r="G130" s="2"/>
      <c r="I130" s="190"/>
      <c r="J130" s="190"/>
      <c r="K130" s="2"/>
      <c r="R130" s="59" t="str">
        <f>IFERROR(__xludf.DUMMYFUNCTION("""COMPUTED_VALUE"""),"Belview Co., Inc.")</f>
        <v>Belview Co., Inc.</v>
      </c>
      <c r="S130" s="4">
        <f>IFERROR(__xludf.DUMMYFUNCTION("""COMPUTED_VALUE"""),4.733333333333333)</f>
        <v>4.733333333</v>
      </c>
      <c r="T130" s="60">
        <f>IFERROR(__xludf.DUMMYFUNCTION("""COMPUTED_VALUE"""),45327.0)</f>
        <v>45327</v>
      </c>
      <c r="V130" s="59" t="str">
        <f>IFERROR(__xludf.DUMMYFUNCTION("""COMPUTED_VALUE"""),"Net Ad IT Solutions")</f>
        <v>Net Ad IT Solutions</v>
      </c>
      <c r="W130" s="4">
        <f>IFERROR(__xludf.DUMMYFUNCTION("""COMPUTED_VALUE"""),4.833333333333333)</f>
        <v>4.833333333</v>
      </c>
      <c r="X130" s="60">
        <f>IFERROR(__xludf.DUMMYFUNCTION("""COMPUTED_VALUE"""),45611.0)</f>
        <v>45611</v>
      </c>
      <c r="AA130" s="4"/>
      <c r="AD130" s="4"/>
      <c r="AG130" s="4"/>
    </row>
    <row r="131">
      <c r="A131" s="179"/>
      <c r="B131" s="180"/>
      <c r="C131" s="2"/>
      <c r="E131" s="181"/>
      <c r="F131" s="181"/>
      <c r="G131" s="2"/>
      <c r="I131" s="190"/>
      <c r="J131" s="190"/>
      <c r="K131" s="2"/>
      <c r="R131" s="59" t="str">
        <f>IFERROR(__xludf.DUMMYFUNCTION("""COMPUTED_VALUE"""),"Times Trading Co., Inc.")</f>
        <v>Times Trading Co., Inc.</v>
      </c>
      <c r="S131" s="4">
        <f>IFERROR(__xludf.DUMMYFUNCTION("""COMPUTED_VALUE"""),5.0)</f>
        <v>5</v>
      </c>
      <c r="T131" s="60">
        <f>IFERROR(__xludf.DUMMYFUNCTION("""COMPUTED_VALUE"""),45327.0)</f>
        <v>45327</v>
      </c>
      <c r="V131" s="59" t="str">
        <f>IFERROR(__xludf.DUMMYFUNCTION("""COMPUTED_VALUE"""),"Net Ad IT Solutions")</f>
        <v>Net Ad IT Solutions</v>
      </c>
      <c r="W131" s="4">
        <f>IFERROR(__xludf.DUMMYFUNCTION("""COMPUTED_VALUE"""),4.833333333333333)</f>
        <v>4.833333333</v>
      </c>
      <c r="X131" s="60">
        <f>IFERROR(__xludf.DUMMYFUNCTION("""COMPUTED_VALUE"""),45611.0)</f>
        <v>45611</v>
      </c>
      <c r="AA131" s="4"/>
      <c r="AD131" s="4"/>
      <c r="AG131" s="4"/>
    </row>
    <row r="132">
      <c r="A132" s="179"/>
      <c r="B132" s="180"/>
      <c r="C132" s="2"/>
      <c r="E132" s="181"/>
      <c r="F132" s="181"/>
      <c r="G132" s="2"/>
      <c r="I132" s="190"/>
      <c r="J132" s="190"/>
      <c r="K132" s="2"/>
      <c r="R132" s="59" t="str">
        <f>IFERROR(__xludf.DUMMYFUNCTION("""COMPUTED_VALUE"""),"Contrade Integrated Depot")</f>
        <v>Contrade Integrated Depot</v>
      </c>
      <c r="S132" s="4">
        <f>IFERROR(__xludf.DUMMYFUNCTION("""COMPUTED_VALUE"""),4.0)</f>
        <v>4</v>
      </c>
      <c r="T132" s="60">
        <f>IFERROR(__xludf.DUMMYFUNCTION("""COMPUTED_VALUE"""),45329.0)</f>
        <v>45329</v>
      </c>
      <c r="V132" s="59" t="str">
        <f>IFERROR(__xludf.DUMMYFUNCTION("""COMPUTED_VALUE"""),"Net Ad IT Solutions")</f>
        <v>Net Ad IT Solutions</v>
      </c>
      <c r="W132" s="4">
        <f>IFERROR(__xludf.DUMMYFUNCTION("""COMPUTED_VALUE"""),4.791666666666667)</f>
        <v>4.791666667</v>
      </c>
      <c r="X132" s="60">
        <f>IFERROR(__xludf.DUMMYFUNCTION("""COMPUTED_VALUE"""),45611.0)</f>
        <v>45611</v>
      </c>
      <c r="AA132" s="4"/>
      <c r="AD132" s="4"/>
      <c r="AG132" s="4"/>
    </row>
    <row r="133">
      <c r="A133" s="179"/>
      <c r="B133" s="180"/>
      <c r="C133" s="2"/>
      <c r="E133" s="181"/>
      <c r="F133" s="181"/>
      <c r="G133" s="2"/>
      <c r="I133" s="190"/>
      <c r="J133" s="190"/>
      <c r="K133" s="2"/>
      <c r="R133" s="59" t="str">
        <f>IFERROR(__xludf.DUMMYFUNCTION("""COMPUTED_VALUE"""),"Contrade Integrated Depot")</f>
        <v>Contrade Integrated Depot</v>
      </c>
      <c r="S133" s="4">
        <f>IFERROR(__xludf.DUMMYFUNCTION("""COMPUTED_VALUE"""),4.5)</f>
        <v>4.5</v>
      </c>
      <c r="T133" s="60">
        <f>IFERROR(__xludf.DUMMYFUNCTION("""COMPUTED_VALUE"""),45331.0)</f>
        <v>45331</v>
      </c>
      <c r="V133" s="59" t="str">
        <f>IFERROR(__xludf.DUMMYFUNCTION("""COMPUTED_VALUE"""),"Abacus Book &amp; Card Corp.")</f>
        <v>Abacus Book &amp; Card Corp.</v>
      </c>
      <c r="W133" s="4">
        <f>IFERROR(__xludf.DUMMYFUNCTION("""COMPUTED_VALUE"""),4.666666666666667)</f>
        <v>4.666666667</v>
      </c>
      <c r="X133" s="60">
        <f>IFERROR(__xludf.DUMMYFUNCTION("""COMPUTED_VALUE"""),45616.0)</f>
        <v>45616</v>
      </c>
      <c r="AA133" s="4"/>
      <c r="AD133" s="4"/>
      <c r="AG133" s="4"/>
    </row>
    <row r="134">
      <c r="A134" s="179"/>
      <c r="B134" s="180"/>
      <c r="C134" s="2"/>
      <c r="E134" s="181"/>
      <c r="F134" s="181"/>
      <c r="G134" s="2"/>
      <c r="I134" s="190"/>
      <c r="J134" s="190"/>
      <c r="K134" s="2"/>
      <c r="R134" s="59" t="str">
        <f>IFERROR(__xludf.DUMMYFUNCTION("""COMPUTED_VALUE"""),"Belview Co., Inc.")</f>
        <v>Belview Co., Inc.</v>
      </c>
      <c r="S134" s="4">
        <f>IFERROR(__xludf.DUMMYFUNCTION("""COMPUTED_VALUE"""),4.733333333333333)</f>
        <v>4.733333333</v>
      </c>
      <c r="T134" s="60">
        <f>IFERROR(__xludf.DUMMYFUNCTION("""COMPUTED_VALUE"""),45335.0)</f>
        <v>45335</v>
      </c>
      <c r="V134" s="59" t="str">
        <f>IFERROR(__xludf.DUMMYFUNCTION("""COMPUTED_VALUE"""),"Abacus Book &amp; Card Corp.")</f>
        <v>Abacus Book &amp; Card Corp.</v>
      </c>
      <c r="W134" s="4">
        <f>IFERROR(__xludf.DUMMYFUNCTION("""COMPUTED_VALUE"""),4.75)</f>
        <v>4.75</v>
      </c>
      <c r="X134" s="60">
        <f>IFERROR(__xludf.DUMMYFUNCTION("""COMPUTED_VALUE"""),45618.0)</f>
        <v>45618</v>
      </c>
      <c r="AA134" s="4"/>
      <c r="AD134" s="4"/>
      <c r="AG134" s="4"/>
    </row>
    <row r="135">
      <c r="A135" s="179"/>
      <c r="B135" s="180"/>
      <c r="C135" s="2"/>
      <c r="E135" s="181"/>
      <c r="F135" s="181"/>
      <c r="G135" s="2"/>
      <c r="I135" s="190"/>
      <c r="J135" s="190"/>
      <c r="K135" s="2"/>
      <c r="R135" s="59" t="str">
        <f>IFERROR(__xludf.DUMMYFUNCTION("""COMPUTED_VALUE"""),"REX Bookstore, Inc.")</f>
        <v>REX Bookstore, Inc.</v>
      </c>
      <c r="S135" s="4">
        <f>IFERROR(__xludf.DUMMYFUNCTION("""COMPUTED_VALUE"""),4.833333333333333)</f>
        <v>4.833333333</v>
      </c>
      <c r="T135" s="60">
        <f>IFERROR(__xludf.DUMMYFUNCTION("""COMPUTED_VALUE"""),45336.0)</f>
        <v>45336</v>
      </c>
      <c r="V135" s="59" t="str">
        <f>IFERROR(__xludf.DUMMYFUNCTION("""COMPUTED_VALUE"""),"Abacus Book &amp; Card Corp.")</f>
        <v>Abacus Book &amp; Card Corp.</v>
      </c>
      <c r="W135" s="4">
        <f>IFERROR(__xludf.DUMMYFUNCTION("""COMPUTED_VALUE"""),4.75)</f>
        <v>4.75</v>
      </c>
      <c r="X135" s="60">
        <f>IFERROR(__xludf.DUMMYFUNCTION("""COMPUTED_VALUE"""),45618.0)</f>
        <v>45618</v>
      </c>
      <c r="AA135" s="4"/>
      <c r="AD135" s="4"/>
      <c r="AG135" s="4"/>
    </row>
    <row r="136">
      <c r="A136" s="179"/>
      <c r="B136" s="180"/>
      <c r="C136" s="2"/>
      <c r="E136" s="181"/>
      <c r="F136" s="181"/>
      <c r="G136" s="2"/>
      <c r="I136" s="190"/>
      <c r="J136" s="190"/>
      <c r="K136" s="2"/>
      <c r="R136" s="59" t="str">
        <f>IFERROR(__xludf.DUMMYFUNCTION("""COMPUTED_VALUE"""),"REX Bookstore, Inc.")</f>
        <v>REX Bookstore, Inc.</v>
      </c>
      <c r="S136" s="4">
        <f>IFERROR(__xludf.DUMMYFUNCTION("""COMPUTED_VALUE"""),4.833333333333333)</f>
        <v>4.833333333</v>
      </c>
      <c r="T136" s="60">
        <f>IFERROR(__xludf.DUMMYFUNCTION("""COMPUTED_VALUE"""),45336.0)</f>
        <v>45336</v>
      </c>
      <c r="V136" s="59" t="str">
        <f>IFERROR(__xludf.DUMMYFUNCTION("""COMPUTED_VALUE"""),"Mostaco Printing")</f>
        <v>Mostaco Printing</v>
      </c>
      <c r="W136" s="4">
        <f>IFERROR(__xludf.DUMMYFUNCTION("""COMPUTED_VALUE"""),4.0)</f>
        <v>4</v>
      </c>
      <c r="X136" s="60">
        <f>IFERROR(__xludf.DUMMYFUNCTION("""COMPUTED_VALUE"""),45619.0)</f>
        <v>45619</v>
      </c>
      <c r="AA136" s="4"/>
      <c r="AD136" s="4"/>
      <c r="AG136" s="4"/>
    </row>
    <row r="137">
      <c r="A137" s="179"/>
      <c r="B137" s="180"/>
      <c r="C137" s="2"/>
      <c r="E137" s="181"/>
      <c r="F137" s="181"/>
      <c r="G137" s="2"/>
      <c r="I137" s="190"/>
      <c r="J137" s="190"/>
      <c r="K137" s="2"/>
      <c r="R137" s="59" t="str">
        <f>IFERROR(__xludf.DUMMYFUNCTION("""COMPUTED_VALUE"""),"Rivchem Enterprises")</f>
        <v>Rivchem Enterprises</v>
      </c>
      <c r="S137" s="4">
        <f>IFERROR(__xludf.DUMMYFUNCTION("""COMPUTED_VALUE"""),4.75)</f>
        <v>4.75</v>
      </c>
      <c r="T137" s="60">
        <f>IFERROR(__xludf.DUMMYFUNCTION("""COMPUTED_VALUE"""),45337.0)</f>
        <v>45337</v>
      </c>
      <c r="V137" s="59" t="str">
        <f>IFERROR(__xludf.DUMMYFUNCTION("""COMPUTED_VALUE"""),"Montesan Enterprises")</f>
        <v>Montesan Enterprises</v>
      </c>
      <c r="W137" s="4">
        <f>IFERROR(__xludf.DUMMYFUNCTION("""COMPUTED_VALUE"""),4.833333333333333)</f>
        <v>4.833333333</v>
      </c>
      <c r="X137" s="60">
        <f>IFERROR(__xludf.DUMMYFUNCTION("""COMPUTED_VALUE"""),45625.0)</f>
        <v>45625</v>
      </c>
      <c r="AA137" s="4"/>
      <c r="AD137" s="4"/>
      <c r="AG137" s="4"/>
    </row>
    <row r="138">
      <c r="A138" s="179"/>
      <c r="B138" s="180"/>
      <c r="C138" s="2"/>
      <c r="E138" s="181"/>
      <c r="F138" s="181"/>
      <c r="G138" s="2"/>
      <c r="I138" s="190"/>
      <c r="J138" s="190"/>
      <c r="K138" s="2"/>
      <c r="R138" s="59" t="str">
        <f>IFERROR(__xludf.DUMMYFUNCTION("""COMPUTED_VALUE"""),"Belview Co., Inc.")</f>
        <v>Belview Co., Inc.</v>
      </c>
      <c r="S138" s="4">
        <f>IFERROR(__xludf.DUMMYFUNCTION("""COMPUTED_VALUE"""),4.733333333333333)</f>
        <v>4.733333333</v>
      </c>
      <c r="T138" s="60">
        <f>IFERROR(__xludf.DUMMYFUNCTION("""COMPUTED_VALUE"""),45338.0)</f>
        <v>45338</v>
      </c>
      <c r="V138" s="59" t="str">
        <f>IFERROR(__xludf.DUMMYFUNCTION("""COMPUTED_VALUE"""),"Rivchem Enterprises")</f>
        <v>Rivchem Enterprises</v>
      </c>
      <c r="W138" s="4">
        <f>IFERROR(__xludf.DUMMYFUNCTION("""COMPUTED_VALUE"""),4.625)</f>
        <v>4.625</v>
      </c>
      <c r="X138" s="60">
        <f>IFERROR(__xludf.DUMMYFUNCTION("""COMPUTED_VALUE"""),45628.0)</f>
        <v>45628</v>
      </c>
      <c r="AA138" s="4"/>
      <c r="AD138" s="4"/>
      <c r="AG138" s="4"/>
    </row>
    <row r="139">
      <c r="A139" s="179"/>
      <c r="B139" s="180"/>
      <c r="C139" s="2"/>
      <c r="E139" s="181"/>
      <c r="F139" s="181"/>
      <c r="G139" s="2"/>
      <c r="I139" s="190"/>
      <c r="J139" s="190"/>
      <c r="K139" s="2"/>
      <c r="R139" s="59" t="str">
        <f>IFERROR(__xludf.DUMMYFUNCTION("""COMPUTED_VALUE"""),"Belview Co., Inc.")</f>
        <v>Belview Co., Inc.</v>
      </c>
      <c r="S139" s="4">
        <f>IFERROR(__xludf.DUMMYFUNCTION("""COMPUTED_VALUE"""),4.833333333333333)</f>
        <v>4.833333333</v>
      </c>
      <c r="T139" s="60">
        <f>IFERROR(__xludf.DUMMYFUNCTION("""COMPUTED_VALUE"""),45338.0)</f>
        <v>45338</v>
      </c>
      <c r="V139" s="59" t="str">
        <f>IFERROR(__xludf.DUMMYFUNCTION("""COMPUTED_VALUE"""),"Chemtrust Global Market, Inc.")</f>
        <v>Chemtrust Global Market, Inc.</v>
      </c>
      <c r="W139" s="4">
        <f>IFERROR(__xludf.DUMMYFUNCTION("""COMPUTED_VALUE"""),4.625)</f>
        <v>4.625</v>
      </c>
      <c r="X139" s="60">
        <f>IFERROR(__xludf.DUMMYFUNCTION("""COMPUTED_VALUE"""),45630.0)</f>
        <v>45630</v>
      </c>
      <c r="AA139" s="4"/>
      <c r="AD139" s="4"/>
      <c r="AG139" s="4"/>
    </row>
    <row r="140">
      <c r="A140" s="179"/>
      <c r="B140" s="180"/>
      <c r="C140" s="2"/>
      <c r="E140" s="181"/>
      <c r="F140" s="181"/>
      <c r="G140" s="2"/>
      <c r="I140" s="190"/>
      <c r="J140" s="190"/>
      <c r="K140" s="2"/>
      <c r="R140" s="59" t="str">
        <f>IFERROR(__xludf.DUMMYFUNCTION("""COMPUTED_VALUE"""),"ADBM Lightning Equipment Trading")</f>
        <v>ADBM Lightning Equipment Trading</v>
      </c>
      <c r="S140" s="4">
        <f>IFERROR(__xludf.DUMMYFUNCTION("""COMPUTED_VALUE"""),5.0)</f>
        <v>5</v>
      </c>
      <c r="T140" s="60">
        <f>IFERROR(__xludf.DUMMYFUNCTION("""COMPUTED_VALUE"""),45342.0)</f>
        <v>45342</v>
      </c>
      <c r="V140" s="59" t="str">
        <f>IFERROR(__xludf.DUMMYFUNCTION("""COMPUTED_VALUE"""),"Print Depot Inc.")</f>
        <v>Print Depot Inc.</v>
      </c>
      <c r="W140" s="4">
        <f>IFERROR(__xludf.DUMMYFUNCTION("""COMPUTED_VALUE"""),4.75)</f>
        <v>4.75</v>
      </c>
      <c r="X140" s="60">
        <f>IFERROR(__xludf.DUMMYFUNCTION("""COMPUTED_VALUE"""),45630.0)</f>
        <v>45630</v>
      </c>
      <c r="AA140" s="4"/>
      <c r="AD140" s="4"/>
      <c r="AG140" s="4"/>
    </row>
    <row r="141">
      <c r="A141" s="179"/>
      <c r="B141" s="180"/>
      <c r="C141" s="2"/>
      <c r="E141" s="181"/>
      <c r="F141" s="181"/>
      <c r="G141" s="2"/>
      <c r="I141" s="190"/>
      <c r="J141" s="190"/>
      <c r="K141" s="2"/>
      <c r="R141" s="59" t="str">
        <f>IFERROR(__xludf.DUMMYFUNCTION("""COMPUTED_VALUE"""),"Creative Juice Digital Printing")</f>
        <v>Creative Juice Digital Printing</v>
      </c>
      <c r="S141" s="4">
        <f>IFERROR(__xludf.DUMMYFUNCTION("""COMPUTED_VALUE"""),4.588888888888889)</f>
        <v>4.588888889</v>
      </c>
      <c r="T141" s="60">
        <f>IFERROR(__xludf.DUMMYFUNCTION("""COMPUTED_VALUE"""),45348.0)</f>
        <v>45348</v>
      </c>
      <c r="V141" s="59" t="str">
        <f>IFERROR(__xludf.DUMMYFUNCTION("""COMPUTED_VALUE"""),"Rivchem Enterprises")</f>
        <v>Rivchem Enterprises</v>
      </c>
      <c r="W141" s="4">
        <f>IFERROR(__xludf.DUMMYFUNCTION("""COMPUTED_VALUE"""),4.625)</f>
        <v>4.625</v>
      </c>
      <c r="X141" s="60">
        <f>IFERROR(__xludf.DUMMYFUNCTION("""COMPUTED_VALUE"""),45632.0)</f>
        <v>45632</v>
      </c>
      <c r="AA141" s="4"/>
      <c r="AD141" s="4"/>
      <c r="AG141" s="4"/>
    </row>
    <row r="142">
      <c r="A142" s="179"/>
      <c r="B142" s="180"/>
      <c r="C142" s="2"/>
      <c r="E142" s="181"/>
      <c r="F142" s="181"/>
      <c r="G142" s="2"/>
      <c r="I142" s="190"/>
      <c r="J142" s="190"/>
      <c r="K142" s="2"/>
      <c r="R142" s="59" t="str">
        <f>IFERROR(__xludf.DUMMYFUNCTION("""COMPUTED_VALUE"""),"Creative Juice Digital Printing")</f>
        <v>Creative Juice Digital Printing</v>
      </c>
      <c r="S142" s="4">
        <f>IFERROR(__xludf.DUMMYFUNCTION("""COMPUTED_VALUE"""),4.533333333333333)</f>
        <v>4.533333333</v>
      </c>
      <c r="T142" s="60">
        <f>IFERROR(__xludf.DUMMYFUNCTION("""COMPUTED_VALUE"""),45348.0)</f>
        <v>45348</v>
      </c>
      <c r="V142" s="59" t="str">
        <f>IFERROR(__xludf.DUMMYFUNCTION("""COMPUTED_VALUE"""),"Printing Shop PrintPilipinas.com")</f>
        <v>Printing Shop PrintPilipinas.com</v>
      </c>
      <c r="W142" s="4">
        <f>IFERROR(__xludf.DUMMYFUNCTION("""COMPUTED_VALUE"""),4.833333333333333)</f>
        <v>4.833333333</v>
      </c>
      <c r="X142" s="60">
        <f>IFERROR(__xludf.DUMMYFUNCTION("""COMPUTED_VALUE"""),45632.0)</f>
        <v>45632</v>
      </c>
      <c r="AA142" s="4"/>
      <c r="AD142" s="4"/>
      <c r="AG142" s="4"/>
    </row>
    <row r="143">
      <c r="A143" s="179"/>
      <c r="B143" s="180"/>
      <c r="C143" s="2"/>
      <c r="E143" s="181"/>
      <c r="F143" s="181"/>
      <c r="G143" s="2"/>
      <c r="I143" s="190"/>
      <c r="J143" s="190"/>
      <c r="K143" s="2"/>
      <c r="R143" s="59" t="str">
        <f>IFERROR(__xludf.DUMMYFUNCTION("""COMPUTED_VALUE"""),"Creative Juice Digital Printing")</f>
        <v>Creative Juice Digital Printing</v>
      </c>
      <c r="S143" s="4">
        <f>IFERROR(__xludf.DUMMYFUNCTION("""COMPUTED_VALUE"""),4.0)</f>
        <v>4</v>
      </c>
      <c r="T143" s="60">
        <f>IFERROR(__xludf.DUMMYFUNCTION("""COMPUTED_VALUE"""),45348.0)</f>
        <v>45348</v>
      </c>
      <c r="V143" s="59" t="str">
        <f>IFERROR(__xludf.DUMMYFUNCTION("""COMPUTED_VALUE"""),"Printing Shop PrintPilipinas.com")</f>
        <v>Printing Shop PrintPilipinas.com</v>
      </c>
      <c r="W143" s="4">
        <f>IFERROR(__xludf.DUMMYFUNCTION("""COMPUTED_VALUE"""),4.833333333333333)</f>
        <v>4.833333333</v>
      </c>
      <c r="X143" s="60">
        <f>IFERROR(__xludf.DUMMYFUNCTION("""COMPUTED_VALUE"""),45632.0)</f>
        <v>45632</v>
      </c>
      <c r="AA143" s="4"/>
      <c r="AD143" s="4"/>
      <c r="AG143" s="4"/>
    </row>
    <row r="144">
      <c r="A144" s="179"/>
      <c r="B144" s="180"/>
      <c r="C144" s="2"/>
      <c r="E144" s="181"/>
      <c r="F144" s="181"/>
      <c r="G144" s="2"/>
      <c r="I144" s="190"/>
      <c r="J144" s="190"/>
      <c r="K144" s="2"/>
      <c r="R144" s="59" t="str">
        <f>IFERROR(__xludf.DUMMYFUNCTION("""COMPUTED_VALUE"""),"Primeline Products Philippines, Inc.")</f>
        <v>Primeline Products Philippines, Inc.</v>
      </c>
      <c r="S144" s="4">
        <f>IFERROR(__xludf.DUMMYFUNCTION("""COMPUTED_VALUE"""),4.75)</f>
        <v>4.75</v>
      </c>
      <c r="T144" s="60">
        <f>IFERROR(__xludf.DUMMYFUNCTION("""COMPUTED_VALUE"""),45348.0)</f>
        <v>45348</v>
      </c>
      <c r="V144" s="59" t="str">
        <f>IFERROR(__xludf.DUMMYFUNCTION("""COMPUTED_VALUE"""),"Printing Shop PrintPilipinas.com")</f>
        <v>Printing Shop PrintPilipinas.com</v>
      </c>
      <c r="W144" s="4">
        <f>IFERROR(__xludf.DUMMYFUNCTION("""COMPUTED_VALUE"""),4.833333333333333)</f>
        <v>4.833333333</v>
      </c>
      <c r="X144" s="60">
        <f>IFERROR(__xludf.DUMMYFUNCTION("""COMPUTED_VALUE"""),45632.0)</f>
        <v>45632</v>
      </c>
      <c r="AA144" s="4"/>
      <c r="AD144" s="4"/>
      <c r="AG144" s="4"/>
    </row>
    <row r="145">
      <c r="A145" s="179"/>
      <c r="B145" s="180"/>
      <c r="C145" s="2"/>
      <c r="E145" s="181"/>
      <c r="F145" s="181"/>
      <c r="G145" s="2"/>
      <c r="I145" s="190"/>
      <c r="J145" s="190"/>
      <c r="K145" s="2"/>
      <c r="R145" s="59" t="str">
        <f>IFERROR(__xludf.DUMMYFUNCTION("""COMPUTED_VALUE"""),"Crosspoint Paper, Inc.")</f>
        <v>Crosspoint Paper, Inc.</v>
      </c>
      <c r="S145" s="4">
        <f>IFERROR(__xludf.DUMMYFUNCTION("""COMPUTED_VALUE"""),5.0)</f>
        <v>5</v>
      </c>
      <c r="T145" s="60">
        <f>IFERROR(__xludf.DUMMYFUNCTION("""COMPUTED_VALUE"""),45348.0)</f>
        <v>45348</v>
      </c>
      <c r="V145" s="59" t="str">
        <f>IFERROR(__xludf.DUMMYFUNCTION("""COMPUTED_VALUE"""),"Microsmith Technology System,Inc.")</f>
        <v>Microsmith Technology System,Inc.</v>
      </c>
      <c r="W145" s="4">
        <f>IFERROR(__xludf.DUMMYFUNCTION("""COMPUTED_VALUE"""),4.5)</f>
        <v>4.5</v>
      </c>
      <c r="X145" s="60">
        <f>IFERROR(__xludf.DUMMYFUNCTION("""COMPUTED_VALUE"""),45632.0)</f>
        <v>45632</v>
      </c>
      <c r="AA145" s="4"/>
      <c r="AD145" s="4"/>
      <c r="AG145" s="4"/>
    </row>
    <row r="146">
      <c r="A146" s="179"/>
      <c r="B146" s="180"/>
      <c r="C146" s="2"/>
      <c r="E146" s="181"/>
      <c r="F146" s="181"/>
      <c r="G146" s="2"/>
      <c r="I146" s="190"/>
      <c r="J146" s="190"/>
      <c r="K146" s="2"/>
      <c r="R146" s="59" t="str">
        <f>IFERROR(__xludf.DUMMYFUNCTION("""COMPUTED_VALUE"""),"Contrade Integrated Depot")</f>
        <v>Contrade Integrated Depot</v>
      </c>
      <c r="S146" s="4">
        <f>IFERROR(__xludf.DUMMYFUNCTION("""COMPUTED_VALUE"""),4.5)</f>
        <v>4.5</v>
      </c>
      <c r="T146" s="60">
        <f>IFERROR(__xludf.DUMMYFUNCTION("""COMPUTED_VALUE"""),45348.0)</f>
        <v>45348</v>
      </c>
      <c r="V146" s="59" t="str">
        <f>IFERROR(__xludf.DUMMYFUNCTION("""COMPUTED_VALUE"""),"Abenson Ventures, Inc.")</f>
        <v>Abenson Ventures, Inc.</v>
      </c>
      <c r="W146" s="4">
        <f>IFERROR(__xludf.DUMMYFUNCTION("""COMPUTED_VALUE"""),4.916666666666667)</f>
        <v>4.916666667</v>
      </c>
      <c r="X146" s="60">
        <f>IFERROR(__xludf.DUMMYFUNCTION("""COMPUTED_VALUE"""),45632.0)</f>
        <v>45632</v>
      </c>
      <c r="AA146" s="4"/>
      <c r="AD146" s="4"/>
      <c r="AG146" s="4"/>
    </row>
    <row r="147">
      <c r="A147" s="179"/>
      <c r="B147" s="180"/>
      <c r="C147" s="2"/>
      <c r="E147" s="181"/>
      <c r="F147" s="181"/>
      <c r="G147" s="2"/>
      <c r="I147" s="190"/>
      <c r="J147" s="190"/>
      <c r="K147" s="2"/>
      <c r="R147" s="59" t="str">
        <f>IFERROR(__xludf.DUMMYFUNCTION("""COMPUTED_VALUE"""),"Abacus Book &amp; Card Corp.")</f>
        <v>Abacus Book &amp; Card Corp.</v>
      </c>
      <c r="S147" s="4">
        <f>IFERROR(__xludf.DUMMYFUNCTION("""COMPUTED_VALUE"""),5.0)</f>
        <v>5</v>
      </c>
      <c r="T147" s="60">
        <f>IFERROR(__xludf.DUMMYFUNCTION("""COMPUTED_VALUE"""),45348.0)</f>
        <v>45348</v>
      </c>
      <c r="V147" s="59" t="str">
        <f>IFERROR(__xludf.DUMMYFUNCTION("""COMPUTED_VALUE"""),"Contrade Integrated Depot")</f>
        <v>Contrade Integrated Depot</v>
      </c>
      <c r="W147" s="4">
        <f>IFERROR(__xludf.DUMMYFUNCTION("""COMPUTED_VALUE"""),4.75)</f>
        <v>4.75</v>
      </c>
      <c r="X147" s="60">
        <f>IFERROR(__xludf.DUMMYFUNCTION("""COMPUTED_VALUE"""),45632.0)</f>
        <v>45632</v>
      </c>
      <c r="AA147" s="4"/>
      <c r="AD147" s="4"/>
      <c r="AG147" s="4"/>
    </row>
    <row r="148">
      <c r="A148" s="179"/>
      <c r="B148" s="180"/>
      <c r="C148" s="2"/>
      <c r="E148" s="181"/>
      <c r="F148" s="181"/>
      <c r="G148" s="2"/>
      <c r="I148" s="190"/>
      <c r="J148" s="190"/>
      <c r="K148" s="2"/>
      <c r="R148" s="59" t="str">
        <f>IFERROR(__xludf.DUMMYFUNCTION("""COMPUTED_VALUE"""),"Contrade Integrated Depot")</f>
        <v>Contrade Integrated Depot</v>
      </c>
      <c r="S148" s="4">
        <f>IFERROR(__xludf.DUMMYFUNCTION("""COMPUTED_VALUE"""),4.5)</f>
        <v>4.5</v>
      </c>
      <c r="T148" s="60">
        <f>IFERROR(__xludf.DUMMYFUNCTION("""COMPUTED_VALUE"""),45348.0)</f>
        <v>45348</v>
      </c>
      <c r="V148" s="59" t="str">
        <f>IFERROR(__xludf.DUMMYFUNCTION("""COMPUTED_VALUE"""),"Contrade Integrated Depot")</f>
        <v>Contrade Integrated Depot</v>
      </c>
      <c r="W148" s="4">
        <f>IFERROR(__xludf.DUMMYFUNCTION("""COMPUTED_VALUE"""),4.75)</f>
        <v>4.75</v>
      </c>
      <c r="X148" s="60">
        <f>IFERROR(__xludf.DUMMYFUNCTION("""COMPUTED_VALUE"""),45632.0)</f>
        <v>45632</v>
      </c>
      <c r="AA148" s="4"/>
      <c r="AD148" s="4"/>
      <c r="AG148" s="4"/>
    </row>
    <row r="149">
      <c r="A149" s="179"/>
      <c r="B149" s="180"/>
      <c r="C149" s="2"/>
      <c r="E149" s="181"/>
      <c r="F149" s="181"/>
      <c r="G149" s="2"/>
      <c r="I149" s="190"/>
      <c r="J149" s="190"/>
      <c r="K149" s="2"/>
      <c r="R149" s="59" t="str">
        <f>IFERROR(__xludf.DUMMYFUNCTION("""COMPUTED_VALUE"""),"Chemtrust Global Market, Inc.")</f>
        <v>Chemtrust Global Market, Inc.</v>
      </c>
      <c r="S149" s="4">
        <f>IFERROR(__xludf.DUMMYFUNCTION("""COMPUTED_VALUE"""),4.766666666666667)</f>
        <v>4.766666667</v>
      </c>
      <c r="T149" s="60">
        <f>IFERROR(__xludf.DUMMYFUNCTION("""COMPUTED_VALUE"""),45349.0)</f>
        <v>45349</v>
      </c>
      <c r="V149" s="59" t="str">
        <f>IFERROR(__xludf.DUMMYFUNCTION("""COMPUTED_VALUE"""),"Microsmith Technology System,Inc.")</f>
        <v>Microsmith Technology System,Inc.</v>
      </c>
      <c r="W149" s="4">
        <f>IFERROR(__xludf.DUMMYFUNCTION("""COMPUTED_VALUE"""),5.0)</f>
        <v>5</v>
      </c>
      <c r="X149" s="60">
        <f>IFERROR(__xludf.DUMMYFUNCTION("""COMPUTED_VALUE"""),45635.0)</f>
        <v>45635</v>
      </c>
      <c r="AA149" s="4"/>
      <c r="AD149" s="4"/>
      <c r="AG149" s="4"/>
    </row>
    <row r="150">
      <c r="A150" s="179"/>
      <c r="B150" s="180"/>
      <c r="C150" s="2"/>
      <c r="E150" s="181"/>
      <c r="F150" s="181"/>
      <c r="G150" s="2"/>
      <c r="I150" s="190"/>
      <c r="J150" s="190"/>
      <c r="K150" s="2"/>
      <c r="R150" s="59" t="str">
        <f>IFERROR(__xludf.DUMMYFUNCTION("""COMPUTED_VALUE"""),"Contrade Integrated Depot")</f>
        <v>Contrade Integrated Depot</v>
      </c>
      <c r="S150" s="4">
        <f>IFERROR(__xludf.DUMMYFUNCTION("""COMPUTED_VALUE"""),5.0)</f>
        <v>5</v>
      </c>
      <c r="T150" s="60">
        <f>IFERROR(__xludf.DUMMYFUNCTION("""COMPUTED_VALUE"""),45349.0)</f>
        <v>45349</v>
      </c>
      <c r="V150" s="59" t="str">
        <f>IFERROR(__xludf.DUMMYFUNCTION("""COMPUTED_VALUE"""),"Contrade Integrated Depot")</f>
        <v>Contrade Integrated Depot</v>
      </c>
      <c r="W150" s="4">
        <f>IFERROR(__xludf.DUMMYFUNCTION("""COMPUTED_VALUE"""),4.75)</f>
        <v>4.75</v>
      </c>
      <c r="X150" s="60">
        <f>IFERROR(__xludf.DUMMYFUNCTION("""COMPUTED_VALUE"""),45635.0)</f>
        <v>45635</v>
      </c>
      <c r="AA150" s="4"/>
      <c r="AD150" s="4"/>
      <c r="AG150" s="4"/>
    </row>
    <row r="151">
      <c r="A151" s="179"/>
      <c r="B151" s="180"/>
      <c r="C151" s="2"/>
      <c r="E151" s="181"/>
      <c r="F151" s="181"/>
      <c r="G151" s="2"/>
      <c r="I151" s="190"/>
      <c r="J151" s="190"/>
      <c r="K151" s="2"/>
      <c r="R151" s="59" t="str">
        <f>IFERROR(__xludf.DUMMYFUNCTION("""COMPUTED_VALUE"""),"Luminaire Printing And Publishing Corp.")</f>
        <v>Luminaire Printing And Publishing Corp.</v>
      </c>
      <c r="S151" s="4">
        <f>IFERROR(__xludf.DUMMYFUNCTION("""COMPUTED_VALUE"""),4.833333333333333)</f>
        <v>4.833333333</v>
      </c>
      <c r="T151" s="60">
        <f>IFERROR(__xludf.DUMMYFUNCTION("""COMPUTED_VALUE"""),45350.0)</f>
        <v>45350</v>
      </c>
      <c r="V151" s="59" t="str">
        <f>IFERROR(__xludf.DUMMYFUNCTION("""COMPUTED_VALUE"""),"Contrade Integrated Depot")</f>
        <v>Contrade Integrated Depot</v>
      </c>
      <c r="W151" s="4">
        <f>IFERROR(__xludf.DUMMYFUNCTION("""COMPUTED_VALUE"""),4.75)</f>
        <v>4.75</v>
      </c>
      <c r="X151" s="60">
        <f>IFERROR(__xludf.DUMMYFUNCTION("""COMPUTED_VALUE"""),45635.0)</f>
        <v>45635</v>
      </c>
      <c r="AA151" s="4"/>
      <c r="AD151" s="4"/>
      <c r="AG151" s="4"/>
    </row>
    <row r="152">
      <c r="A152" s="179"/>
      <c r="B152" s="180"/>
      <c r="C152" s="2"/>
      <c r="E152" s="181"/>
      <c r="F152" s="181"/>
      <c r="G152" s="2"/>
      <c r="I152" s="190"/>
      <c r="J152" s="190"/>
      <c r="K152" s="2"/>
      <c r="R152" s="59" t="str">
        <f>IFERROR(__xludf.DUMMYFUNCTION("""COMPUTED_VALUE"""),"Luminaire Printing And Publishing Corp.")</f>
        <v>Luminaire Printing And Publishing Corp.</v>
      </c>
      <c r="S152" s="4">
        <f>IFERROR(__xludf.DUMMYFUNCTION("""COMPUTED_VALUE"""),5.0)</f>
        <v>5</v>
      </c>
      <c r="T152" s="60">
        <f>IFERROR(__xludf.DUMMYFUNCTION("""COMPUTED_VALUE"""),45350.0)</f>
        <v>45350</v>
      </c>
      <c r="V152" s="59" t="str">
        <f>IFERROR(__xludf.DUMMYFUNCTION("""COMPUTED_VALUE"""),"Contrade Integrated Depot")</f>
        <v>Contrade Integrated Depot</v>
      </c>
      <c r="W152" s="4">
        <f>IFERROR(__xludf.DUMMYFUNCTION("""COMPUTED_VALUE"""),4.75)</f>
        <v>4.75</v>
      </c>
      <c r="X152" s="60">
        <f>IFERROR(__xludf.DUMMYFUNCTION("""COMPUTED_VALUE"""),45635.0)</f>
        <v>45635</v>
      </c>
      <c r="AA152" s="4"/>
      <c r="AD152" s="4"/>
      <c r="AG152" s="4"/>
    </row>
    <row r="153">
      <c r="A153" s="179"/>
      <c r="B153" s="180"/>
      <c r="C153" s="2"/>
      <c r="E153" s="181"/>
      <c r="F153" s="181"/>
      <c r="G153" s="2"/>
      <c r="I153" s="190"/>
      <c r="J153" s="190"/>
      <c r="K153" s="2"/>
      <c r="R153" s="59" t="str">
        <f>IFERROR(__xludf.DUMMYFUNCTION("""COMPUTED_VALUE"""),"Contrade Integrated Depot")</f>
        <v>Contrade Integrated Depot</v>
      </c>
      <c r="S153" s="4">
        <f>IFERROR(__xludf.DUMMYFUNCTION("""COMPUTED_VALUE"""),4.5)</f>
        <v>4.5</v>
      </c>
      <c r="T153" s="60">
        <f>IFERROR(__xludf.DUMMYFUNCTION("""COMPUTED_VALUE"""),45351.0)</f>
        <v>45351</v>
      </c>
      <c r="V153" s="59" t="str">
        <f>IFERROR(__xludf.DUMMYFUNCTION("""COMPUTED_VALUE"""),"Contrade Integrated Depot")</f>
        <v>Contrade Integrated Depot</v>
      </c>
      <c r="W153" s="4">
        <f>IFERROR(__xludf.DUMMYFUNCTION("""COMPUTED_VALUE"""),4.75)</f>
        <v>4.75</v>
      </c>
      <c r="X153" s="60">
        <f>IFERROR(__xludf.DUMMYFUNCTION("""COMPUTED_VALUE"""),45635.0)</f>
        <v>45635</v>
      </c>
      <c r="AA153" s="4"/>
      <c r="AD153" s="4"/>
      <c r="AG153" s="4"/>
    </row>
    <row r="154">
      <c r="A154" s="179"/>
      <c r="B154" s="180"/>
      <c r="C154" s="2"/>
      <c r="E154" s="181"/>
      <c r="F154" s="181"/>
      <c r="G154" s="2"/>
      <c r="I154" s="190"/>
      <c r="J154" s="190"/>
      <c r="K154" s="2"/>
      <c r="R154" s="59" t="str">
        <f>IFERROR(__xludf.DUMMYFUNCTION("""COMPUTED_VALUE"""),"Mostaco Printing")</f>
        <v>Mostaco Printing</v>
      </c>
      <c r="S154" s="4">
        <f>IFERROR(__xludf.DUMMYFUNCTION("""COMPUTED_VALUE"""),5.0)</f>
        <v>5</v>
      </c>
      <c r="T154" s="60">
        <f>IFERROR(__xludf.DUMMYFUNCTION("""COMPUTED_VALUE"""),45351.0)</f>
        <v>45351</v>
      </c>
      <c r="V154" s="59" t="str">
        <f>IFERROR(__xludf.DUMMYFUNCTION("""COMPUTED_VALUE"""),"Contrade Integrated Depot")</f>
        <v>Contrade Integrated Depot</v>
      </c>
      <c r="W154" s="4">
        <f>IFERROR(__xludf.DUMMYFUNCTION("""COMPUTED_VALUE"""),4.0)</f>
        <v>4</v>
      </c>
      <c r="X154" s="60">
        <f>IFERROR(__xludf.DUMMYFUNCTION("""COMPUTED_VALUE"""),45635.0)</f>
        <v>45635</v>
      </c>
      <c r="AA154" s="4"/>
      <c r="AD154" s="4"/>
      <c r="AG154" s="4"/>
    </row>
    <row r="155">
      <c r="A155" s="179"/>
      <c r="B155" s="180"/>
      <c r="C155" s="2"/>
      <c r="E155" s="181"/>
      <c r="F155" s="181"/>
      <c r="G155" s="2"/>
      <c r="I155" s="190"/>
      <c r="J155" s="190"/>
      <c r="K155" s="2"/>
      <c r="R155" s="59" t="str">
        <f>IFERROR(__xludf.DUMMYFUNCTION("""COMPUTED_VALUE"""),"Leonard Prints Inc.")</f>
        <v>Leonard Prints Inc.</v>
      </c>
      <c r="S155" s="4">
        <f>IFERROR(__xludf.DUMMYFUNCTION("""COMPUTED_VALUE"""),5.0)</f>
        <v>5</v>
      </c>
      <c r="T155" s="60">
        <f>IFERROR(__xludf.DUMMYFUNCTION("""COMPUTED_VALUE"""),45352.0)</f>
        <v>45352</v>
      </c>
      <c r="V155" s="59" t="str">
        <f>IFERROR(__xludf.DUMMYFUNCTION("""COMPUTED_VALUE"""),"Contrade Integrated Depot")</f>
        <v>Contrade Integrated Depot</v>
      </c>
      <c r="W155" s="4">
        <f>IFERROR(__xludf.DUMMYFUNCTION("""COMPUTED_VALUE"""),3.8333333333333335)</f>
        <v>3.833333333</v>
      </c>
      <c r="X155" s="60">
        <f>IFERROR(__xludf.DUMMYFUNCTION("""COMPUTED_VALUE"""),45635.0)</f>
        <v>45635</v>
      </c>
      <c r="AA155" s="4"/>
      <c r="AD155" s="4"/>
      <c r="AG155" s="4"/>
    </row>
    <row r="156">
      <c r="A156" s="179"/>
      <c r="B156" s="180"/>
      <c r="C156" s="2"/>
      <c r="E156" s="181"/>
      <c r="F156" s="181"/>
      <c r="G156" s="2"/>
      <c r="I156" s="190"/>
      <c r="J156" s="190"/>
      <c r="K156" s="2"/>
      <c r="R156" s="59" t="str">
        <f>IFERROR(__xludf.DUMMYFUNCTION("""COMPUTED_VALUE"""),"Abenson Ventures, Inc.")</f>
        <v>Abenson Ventures, Inc.</v>
      </c>
      <c r="S156" s="4">
        <f>IFERROR(__xludf.DUMMYFUNCTION("""COMPUTED_VALUE"""),4.575)</f>
        <v>4.575</v>
      </c>
      <c r="T156" s="60">
        <f>IFERROR(__xludf.DUMMYFUNCTION("""COMPUTED_VALUE"""),45353.0)</f>
        <v>45353</v>
      </c>
      <c r="V156" s="59" t="str">
        <f>IFERROR(__xludf.DUMMYFUNCTION("""COMPUTED_VALUE"""),"Contrade Integrated Depot")</f>
        <v>Contrade Integrated Depot</v>
      </c>
      <c r="W156" s="4">
        <f>IFERROR(__xludf.DUMMYFUNCTION("""COMPUTED_VALUE"""),4.75)</f>
        <v>4.75</v>
      </c>
      <c r="X156" s="60">
        <f>IFERROR(__xludf.DUMMYFUNCTION("""COMPUTED_VALUE"""),45635.0)</f>
        <v>45635</v>
      </c>
      <c r="AA156" s="4"/>
      <c r="AD156" s="4"/>
      <c r="AG156" s="4"/>
    </row>
    <row r="157">
      <c r="A157" s="179"/>
      <c r="B157" s="180"/>
      <c r="C157" s="2"/>
      <c r="E157" s="181"/>
      <c r="F157" s="181"/>
      <c r="G157" s="2"/>
      <c r="I157" s="190"/>
      <c r="J157" s="190"/>
      <c r="K157" s="2"/>
      <c r="R157" s="59" t="str">
        <f>IFERROR(__xludf.DUMMYFUNCTION("""COMPUTED_VALUE"""),"Rivchem Enterprises")</f>
        <v>Rivchem Enterprises</v>
      </c>
      <c r="S157" s="4">
        <f>IFERROR(__xludf.DUMMYFUNCTION("""COMPUTED_VALUE"""),4.75)</f>
        <v>4.75</v>
      </c>
      <c r="T157" s="60">
        <f>IFERROR(__xludf.DUMMYFUNCTION("""COMPUTED_VALUE"""),45355.0)</f>
        <v>45355</v>
      </c>
      <c r="V157" s="59" t="str">
        <f>IFERROR(__xludf.DUMMYFUNCTION("""COMPUTED_VALUE"""),"Contrade Integrated Depot")</f>
        <v>Contrade Integrated Depot</v>
      </c>
      <c r="W157" s="4">
        <f>IFERROR(__xludf.DUMMYFUNCTION("""COMPUTED_VALUE"""),4.833333333333333)</f>
        <v>4.833333333</v>
      </c>
      <c r="X157" s="60">
        <f>IFERROR(__xludf.DUMMYFUNCTION("""COMPUTED_VALUE"""),45635.0)</f>
        <v>45635</v>
      </c>
      <c r="AA157" s="4"/>
      <c r="AD157" s="4"/>
      <c r="AG157" s="4"/>
    </row>
    <row r="158">
      <c r="A158" s="179"/>
      <c r="B158" s="180"/>
      <c r="C158" s="2"/>
      <c r="E158" s="181"/>
      <c r="F158" s="181"/>
      <c r="G158" s="2"/>
      <c r="I158" s="190"/>
      <c r="J158" s="190"/>
      <c r="K158" s="2"/>
      <c r="R158" s="59" t="str">
        <f>IFERROR(__xludf.DUMMYFUNCTION("""COMPUTED_VALUE"""),"Abacus Book &amp; Card Corp.")</f>
        <v>Abacus Book &amp; Card Corp.</v>
      </c>
      <c r="S158" s="4">
        <f>IFERROR(__xludf.DUMMYFUNCTION("""COMPUTED_VALUE"""),4.5)</f>
        <v>4.5</v>
      </c>
      <c r="T158" s="60">
        <f>IFERROR(__xludf.DUMMYFUNCTION("""COMPUTED_VALUE"""),45356.0)</f>
        <v>45356</v>
      </c>
      <c r="V158" s="59" t="str">
        <f>IFERROR(__xludf.DUMMYFUNCTION("""COMPUTED_VALUE"""),"Rivchem Enterprises")</f>
        <v>Rivchem Enterprises</v>
      </c>
      <c r="W158" s="4">
        <f>IFERROR(__xludf.DUMMYFUNCTION("""COMPUTED_VALUE"""),4.625)</f>
        <v>4.625</v>
      </c>
      <c r="X158" s="60">
        <f>IFERROR(__xludf.DUMMYFUNCTION("""COMPUTED_VALUE"""),45637.0)</f>
        <v>45637</v>
      </c>
      <c r="AA158" s="4"/>
      <c r="AD158" s="4"/>
      <c r="AG158" s="4"/>
    </row>
    <row r="159">
      <c r="A159" s="179"/>
      <c r="B159" s="180"/>
      <c r="C159" s="2"/>
      <c r="E159" s="181"/>
      <c r="F159" s="181"/>
      <c r="G159" s="2"/>
      <c r="I159" s="190"/>
      <c r="J159" s="190"/>
      <c r="K159" s="2"/>
      <c r="R159" s="59" t="str">
        <f>IFERROR(__xludf.DUMMYFUNCTION("""COMPUTED_VALUE"""),"Commerce Asia, Inc.")</f>
        <v>Commerce Asia, Inc.</v>
      </c>
      <c r="S159" s="4">
        <f>IFERROR(__xludf.DUMMYFUNCTION("""COMPUTED_VALUE"""),4.496666666666667)</f>
        <v>4.496666667</v>
      </c>
      <c r="T159" s="60">
        <f>IFERROR(__xludf.DUMMYFUNCTION("""COMPUTED_VALUE"""),45356.0)</f>
        <v>45356</v>
      </c>
      <c r="V159" s="59" t="str">
        <f>IFERROR(__xludf.DUMMYFUNCTION("""COMPUTED_VALUE"""),"Rivchem Enterprises")</f>
        <v>Rivchem Enterprises</v>
      </c>
      <c r="W159" s="4">
        <f>IFERROR(__xludf.DUMMYFUNCTION("""COMPUTED_VALUE"""),4.625)</f>
        <v>4.625</v>
      </c>
      <c r="X159" s="60">
        <f>IFERROR(__xludf.DUMMYFUNCTION("""COMPUTED_VALUE"""),45637.0)</f>
        <v>45637</v>
      </c>
      <c r="AA159" s="4"/>
      <c r="AD159" s="4"/>
      <c r="AG159" s="4"/>
    </row>
    <row r="160">
      <c r="A160" s="179"/>
      <c r="B160" s="180"/>
      <c r="C160" s="2"/>
      <c r="E160" s="181"/>
      <c r="F160" s="181"/>
      <c r="G160" s="2"/>
      <c r="I160" s="190"/>
      <c r="J160" s="190"/>
      <c r="K160" s="2"/>
      <c r="R160" s="59" t="str">
        <f>IFERROR(__xludf.DUMMYFUNCTION("""COMPUTED_VALUE"""),"DKL Laboratory Supplies")</f>
        <v>DKL Laboratory Supplies</v>
      </c>
      <c r="S160" s="4">
        <f>IFERROR(__xludf.DUMMYFUNCTION("""COMPUTED_VALUE"""),3.6666666666666665)</f>
        <v>3.666666667</v>
      </c>
      <c r="T160" s="60">
        <f>IFERROR(__xludf.DUMMYFUNCTION("""COMPUTED_VALUE"""),45356.0)</f>
        <v>45356</v>
      </c>
      <c r="V160" s="59" t="str">
        <f>IFERROR(__xludf.DUMMYFUNCTION("""COMPUTED_VALUE"""),"Rivchem Enterprises")</f>
        <v>Rivchem Enterprises</v>
      </c>
      <c r="W160" s="4">
        <f>IFERROR(__xludf.DUMMYFUNCTION("""COMPUTED_VALUE"""),4.625)</f>
        <v>4.625</v>
      </c>
      <c r="X160" s="60">
        <f>IFERROR(__xludf.DUMMYFUNCTION("""COMPUTED_VALUE"""),45637.0)</f>
        <v>45637</v>
      </c>
      <c r="AA160" s="4"/>
      <c r="AD160" s="4"/>
      <c r="AG160" s="4"/>
    </row>
    <row r="161">
      <c r="A161" s="179"/>
      <c r="B161" s="180"/>
      <c r="C161" s="2"/>
      <c r="E161" s="181"/>
      <c r="F161" s="181"/>
      <c r="G161" s="2"/>
      <c r="I161" s="190"/>
      <c r="J161" s="190"/>
      <c r="K161" s="2"/>
      <c r="R161" s="59" t="str">
        <f>IFERROR(__xludf.DUMMYFUNCTION("""COMPUTED_VALUE"""),"Patagonian Enterprises ")</f>
        <v>Patagonian Enterprises </v>
      </c>
      <c r="S161" s="4">
        <f>IFERROR(__xludf.DUMMYFUNCTION("""COMPUTED_VALUE"""),3.6666666666666665)</f>
        <v>3.666666667</v>
      </c>
      <c r="T161" s="60">
        <f>IFERROR(__xludf.DUMMYFUNCTION("""COMPUTED_VALUE"""),45356.0)</f>
        <v>45356</v>
      </c>
      <c r="V161" s="59" t="str">
        <f>IFERROR(__xludf.DUMMYFUNCTION("""COMPUTED_VALUE"""),"Elle Tech and Trend Office Furniture and Interiors")</f>
        <v>Elle Tech and Trend Office Furniture and Interiors</v>
      </c>
      <c r="W161" s="4">
        <f>IFERROR(__xludf.DUMMYFUNCTION("""COMPUTED_VALUE"""),4.0)</f>
        <v>4</v>
      </c>
      <c r="X161" s="60">
        <f>IFERROR(__xludf.DUMMYFUNCTION("""COMPUTED_VALUE"""),45637.0)</f>
        <v>45637</v>
      </c>
      <c r="AA161" s="4"/>
      <c r="AD161" s="4"/>
      <c r="AG161" s="4"/>
    </row>
    <row r="162">
      <c r="A162" s="179"/>
      <c r="B162" s="180"/>
      <c r="C162" s="2"/>
      <c r="E162" s="181"/>
      <c r="F162" s="181"/>
      <c r="G162" s="2"/>
      <c r="I162" s="190"/>
      <c r="J162" s="190"/>
      <c r="K162" s="2"/>
      <c r="R162" s="59" t="str">
        <f>IFERROR(__xludf.DUMMYFUNCTION("""COMPUTED_VALUE"""),"Contrade Integrated Depot")</f>
        <v>Contrade Integrated Depot</v>
      </c>
      <c r="S162" s="4">
        <f>IFERROR(__xludf.DUMMYFUNCTION("""COMPUTED_VALUE"""),4.496666666666667)</f>
        <v>4.496666667</v>
      </c>
      <c r="T162" s="60">
        <f>IFERROR(__xludf.DUMMYFUNCTION("""COMPUTED_VALUE"""),45357.0)</f>
        <v>45357</v>
      </c>
      <c r="V162" s="59" t="str">
        <f>IFERROR(__xludf.DUMMYFUNCTION("""COMPUTED_VALUE"""),"Mostaco Printing")</f>
        <v>Mostaco Printing</v>
      </c>
      <c r="W162" s="4">
        <f>IFERROR(__xludf.DUMMYFUNCTION("""COMPUTED_VALUE"""),4.833333333333333)</f>
        <v>4.833333333</v>
      </c>
      <c r="X162" s="60">
        <f>IFERROR(__xludf.DUMMYFUNCTION("""COMPUTED_VALUE"""),45637.0)</f>
        <v>45637</v>
      </c>
      <c r="AA162" s="4"/>
      <c r="AD162" s="4"/>
      <c r="AG162" s="4"/>
    </row>
    <row r="163">
      <c r="A163" s="179"/>
      <c r="B163" s="180"/>
      <c r="C163" s="2"/>
      <c r="E163" s="181"/>
      <c r="F163" s="181"/>
      <c r="G163" s="2"/>
      <c r="I163" s="190"/>
      <c r="J163" s="190"/>
      <c r="K163" s="2"/>
      <c r="R163" s="59" t="str">
        <f>IFERROR(__xludf.DUMMYFUNCTION("""COMPUTED_VALUE"""),"Contrade Integrated Depot")</f>
        <v>Contrade Integrated Depot</v>
      </c>
      <c r="S163" s="4">
        <f>IFERROR(__xludf.DUMMYFUNCTION("""COMPUTED_VALUE"""),4.5)</f>
        <v>4.5</v>
      </c>
      <c r="T163" s="60">
        <f>IFERROR(__xludf.DUMMYFUNCTION("""COMPUTED_VALUE"""),45357.0)</f>
        <v>45357</v>
      </c>
      <c r="V163" s="59" t="str">
        <f>IFERROR(__xludf.DUMMYFUNCTION("""COMPUTED_VALUE"""),"Times Trading Co., Inc.")</f>
        <v>Times Trading Co., Inc.</v>
      </c>
      <c r="W163" s="4">
        <f>IFERROR(__xludf.DUMMYFUNCTION("""COMPUTED_VALUE"""),4.833333333333333)</f>
        <v>4.833333333</v>
      </c>
      <c r="X163" s="60">
        <f>IFERROR(__xludf.DUMMYFUNCTION("""COMPUTED_VALUE"""),45639.0)</f>
        <v>45639</v>
      </c>
      <c r="AA163" s="4"/>
      <c r="AD163" s="4"/>
      <c r="AG163" s="4"/>
    </row>
    <row r="164">
      <c r="A164" s="179"/>
      <c r="B164" s="180"/>
      <c r="C164" s="2"/>
      <c r="E164" s="181"/>
      <c r="F164" s="181"/>
      <c r="G164" s="2"/>
      <c r="I164" s="190"/>
      <c r="J164" s="190"/>
      <c r="K164" s="2"/>
      <c r="R164" s="59" t="str">
        <f>IFERROR(__xludf.DUMMYFUNCTION("""COMPUTED_VALUE"""),"Mostaco Printing")</f>
        <v>Mostaco Printing</v>
      </c>
      <c r="S164" s="4">
        <f>IFERROR(__xludf.DUMMYFUNCTION("""COMPUTED_VALUE"""),5.0)</f>
        <v>5</v>
      </c>
      <c r="T164" s="60">
        <f>IFERROR(__xludf.DUMMYFUNCTION("""COMPUTED_VALUE"""),45358.0)</f>
        <v>45358</v>
      </c>
      <c r="V164" s="59" t="str">
        <f>IFERROR(__xludf.DUMMYFUNCTION("""COMPUTED_VALUE"""),"Rivchem Enterprises")</f>
        <v>Rivchem Enterprises</v>
      </c>
      <c r="W164" s="4">
        <f>IFERROR(__xludf.DUMMYFUNCTION("""COMPUTED_VALUE"""),4.625)</f>
        <v>4.625</v>
      </c>
      <c r="X164" s="60">
        <f>IFERROR(__xludf.DUMMYFUNCTION("""COMPUTED_VALUE"""),45642.0)</f>
        <v>45642</v>
      </c>
      <c r="AA164" s="4"/>
      <c r="AD164" s="4"/>
      <c r="AG164" s="4"/>
    </row>
    <row r="165">
      <c r="A165" s="179"/>
      <c r="B165" s="180"/>
      <c r="C165" s="2"/>
      <c r="E165" s="181"/>
      <c r="F165" s="181"/>
      <c r="G165" s="2"/>
      <c r="I165" s="190"/>
      <c r="J165" s="190"/>
      <c r="K165" s="2"/>
      <c r="R165" s="59" t="str">
        <f>IFERROR(__xludf.DUMMYFUNCTION("""COMPUTED_VALUE"""),"Abacus Book &amp; Card Corp.")</f>
        <v>Abacus Book &amp; Card Corp.</v>
      </c>
      <c r="S165" s="4">
        <f>IFERROR(__xludf.DUMMYFUNCTION("""COMPUTED_VALUE"""),4.5)</f>
        <v>4.5</v>
      </c>
      <c r="T165" s="60">
        <f>IFERROR(__xludf.DUMMYFUNCTION("""COMPUTED_VALUE"""),45359.0)</f>
        <v>45359</v>
      </c>
      <c r="V165" s="59" t="str">
        <f>IFERROR(__xludf.DUMMYFUNCTION("""COMPUTED_VALUE"""),"V.M Industries Corp.")</f>
        <v>V.M Industries Corp.</v>
      </c>
      <c r="W165" s="4">
        <f>IFERROR(__xludf.DUMMYFUNCTION("""COMPUTED_VALUE"""),4.625)</f>
        <v>4.625</v>
      </c>
      <c r="X165" s="60">
        <f>IFERROR(__xludf.DUMMYFUNCTION("""COMPUTED_VALUE"""),45645.0)</f>
        <v>45645</v>
      </c>
      <c r="AA165" s="4"/>
      <c r="AD165" s="4"/>
      <c r="AG165" s="4"/>
    </row>
    <row r="166">
      <c r="A166" s="179"/>
      <c r="B166" s="180"/>
      <c r="C166" s="2"/>
      <c r="E166" s="181"/>
      <c r="F166" s="181"/>
      <c r="G166" s="2"/>
      <c r="I166" s="190"/>
      <c r="J166" s="190"/>
      <c r="K166" s="2"/>
      <c r="R166" s="59" t="str">
        <f>IFERROR(__xludf.DUMMYFUNCTION("""COMPUTED_VALUE"""),"Abacus Book &amp; Card Corp.")</f>
        <v>Abacus Book &amp; Card Corp.</v>
      </c>
      <c r="S166" s="4">
        <f>IFERROR(__xludf.DUMMYFUNCTION("""COMPUTED_VALUE"""),4.496666666666667)</f>
        <v>4.496666667</v>
      </c>
      <c r="T166" s="60">
        <f>IFERROR(__xludf.DUMMYFUNCTION("""COMPUTED_VALUE"""),45359.0)</f>
        <v>45359</v>
      </c>
      <c r="V166" s="59" t="str">
        <f>IFERROR(__xludf.DUMMYFUNCTION("""COMPUTED_VALUE"""),"Rivchem Enterprises")</f>
        <v>Rivchem Enterprises</v>
      </c>
      <c r="W166" s="4">
        <f>IFERROR(__xludf.DUMMYFUNCTION("""COMPUTED_VALUE"""),4.625)</f>
        <v>4.625</v>
      </c>
      <c r="X166" s="60">
        <f>IFERROR(__xludf.DUMMYFUNCTION("""COMPUTED_VALUE"""),45645.0)</f>
        <v>45645</v>
      </c>
      <c r="AA166" s="4"/>
      <c r="AD166" s="4"/>
      <c r="AG166" s="4"/>
    </row>
    <row r="167">
      <c r="A167" s="179"/>
      <c r="B167" s="180"/>
      <c r="C167" s="2"/>
      <c r="E167" s="181"/>
      <c r="F167" s="181"/>
      <c r="G167" s="2"/>
      <c r="I167" s="190"/>
      <c r="J167" s="190"/>
      <c r="K167" s="2"/>
      <c r="R167" s="59" t="str">
        <f>IFERROR(__xludf.DUMMYFUNCTION("""COMPUTED_VALUE"""),"Creative Juice Digital Printing")</f>
        <v>Creative Juice Digital Printing</v>
      </c>
      <c r="S167" s="4">
        <f>IFERROR(__xludf.DUMMYFUNCTION("""COMPUTED_VALUE"""),4.833333333333333)</f>
        <v>4.833333333</v>
      </c>
      <c r="T167" s="60">
        <f>IFERROR(__xludf.DUMMYFUNCTION("""COMPUTED_VALUE"""),45360.0)</f>
        <v>45360</v>
      </c>
      <c r="V167" s="59" t="str">
        <f>IFERROR(__xludf.DUMMYFUNCTION("""COMPUTED_VALUE"""),"Microsmith Technology System,Inc.")</f>
        <v>Microsmith Technology System,Inc.</v>
      </c>
      <c r="W167" s="4">
        <f>IFERROR(__xludf.DUMMYFUNCTION("""COMPUTED_VALUE"""),5.0)</f>
        <v>5</v>
      </c>
      <c r="X167" s="60">
        <f>IFERROR(__xludf.DUMMYFUNCTION("""COMPUTED_VALUE"""),45645.0)</f>
        <v>45645</v>
      </c>
      <c r="AA167" s="4"/>
      <c r="AD167" s="4"/>
      <c r="AG167" s="4"/>
    </row>
    <row r="168">
      <c r="A168" s="179"/>
      <c r="B168" s="180"/>
      <c r="C168" s="2"/>
      <c r="E168" s="181"/>
      <c r="F168" s="181"/>
      <c r="G168" s="2"/>
      <c r="I168" s="190"/>
      <c r="J168" s="190"/>
      <c r="K168" s="2"/>
      <c r="R168" s="59" t="str">
        <f>IFERROR(__xludf.DUMMYFUNCTION("""COMPUTED_VALUE"""),"Creative Juice Digital Printing")</f>
        <v>Creative Juice Digital Printing</v>
      </c>
      <c r="S168" s="4">
        <f>IFERROR(__xludf.DUMMYFUNCTION("""COMPUTED_VALUE"""),5.0)</f>
        <v>5</v>
      </c>
      <c r="T168" s="60">
        <f>IFERROR(__xludf.DUMMYFUNCTION("""COMPUTED_VALUE"""),45360.0)</f>
        <v>45360</v>
      </c>
      <c r="V168" s="59" t="str">
        <f>IFERROR(__xludf.DUMMYFUNCTION("""COMPUTED_VALUE"""),"Arkin Hardware")</f>
        <v>Arkin Hardware</v>
      </c>
      <c r="W168" s="4">
        <f>IFERROR(__xludf.DUMMYFUNCTION("""COMPUTED_VALUE"""),4.0)</f>
        <v>4</v>
      </c>
      <c r="X168" s="60">
        <f>IFERROR(__xludf.DUMMYFUNCTION("""COMPUTED_VALUE"""),45645.0)</f>
        <v>45645</v>
      </c>
      <c r="AA168" s="4"/>
      <c r="AD168" s="4"/>
      <c r="AG168" s="4"/>
    </row>
    <row r="169">
      <c r="A169" s="179"/>
      <c r="B169" s="180"/>
      <c r="C169" s="2"/>
      <c r="E169" s="181"/>
      <c r="F169" s="181"/>
      <c r="G169" s="2"/>
      <c r="I169" s="190"/>
      <c r="J169" s="190"/>
      <c r="K169" s="2"/>
      <c r="R169" s="59" t="str">
        <f>IFERROR(__xludf.DUMMYFUNCTION("""COMPUTED_VALUE"""),"Rivchem Enterprises")</f>
        <v>Rivchem Enterprises</v>
      </c>
      <c r="S169" s="4">
        <f>IFERROR(__xludf.DUMMYFUNCTION("""COMPUTED_VALUE"""),4.75)</f>
        <v>4.75</v>
      </c>
      <c r="T169" s="60">
        <f>IFERROR(__xludf.DUMMYFUNCTION("""COMPUTED_VALUE"""),45360.0)</f>
        <v>45360</v>
      </c>
      <c r="V169" s="59" t="str">
        <f>IFERROR(__xludf.DUMMYFUNCTION("""COMPUTED_VALUE"""),"Luminaire Printing And Publishing Corp.")</f>
        <v>Luminaire Printing And Publishing Corp.</v>
      </c>
      <c r="W169" s="4">
        <f>IFERROR(__xludf.DUMMYFUNCTION("""COMPUTED_VALUE"""),4.75)</f>
        <v>4.75</v>
      </c>
      <c r="X169" s="60">
        <f>IFERROR(__xludf.DUMMYFUNCTION("""COMPUTED_VALUE"""),45645.0)</f>
        <v>45645</v>
      </c>
      <c r="AA169" s="4"/>
      <c r="AD169" s="4"/>
      <c r="AG169" s="4"/>
    </row>
    <row r="170">
      <c r="A170" s="179"/>
      <c r="B170" s="180"/>
      <c r="C170" s="2"/>
      <c r="E170" s="181"/>
      <c r="F170" s="181"/>
      <c r="G170" s="2"/>
      <c r="I170" s="190"/>
      <c r="J170" s="190"/>
      <c r="K170" s="2"/>
      <c r="R170" s="59" t="str">
        <f>IFERROR(__xludf.DUMMYFUNCTION("""COMPUTED_VALUE"""),"Rivchem Enterprises")</f>
        <v>Rivchem Enterprises</v>
      </c>
      <c r="S170" s="4">
        <f>IFERROR(__xludf.DUMMYFUNCTION("""COMPUTED_VALUE"""),4.75)</f>
        <v>4.75</v>
      </c>
      <c r="T170" s="60">
        <f>IFERROR(__xludf.DUMMYFUNCTION("""COMPUTED_VALUE"""),45362.0)</f>
        <v>45362</v>
      </c>
      <c r="V170" s="59" t="str">
        <f>IFERROR(__xludf.DUMMYFUNCTION("""COMPUTED_VALUE"""),"Luminaire Printing And Publishing Corp.")</f>
        <v>Luminaire Printing And Publishing Corp.</v>
      </c>
      <c r="W170" s="4">
        <f>IFERROR(__xludf.DUMMYFUNCTION("""COMPUTED_VALUE"""),4.333333333333333)</f>
        <v>4.333333333</v>
      </c>
      <c r="X170" s="60">
        <f>IFERROR(__xludf.DUMMYFUNCTION("""COMPUTED_VALUE"""),45645.0)</f>
        <v>45645</v>
      </c>
      <c r="AA170" s="4"/>
      <c r="AD170" s="4"/>
      <c r="AG170" s="4"/>
    </row>
    <row r="171">
      <c r="A171" s="179"/>
      <c r="B171" s="180"/>
      <c r="C171" s="2"/>
      <c r="E171" s="181"/>
      <c r="F171" s="181"/>
      <c r="G171" s="2"/>
      <c r="I171" s="190"/>
      <c r="J171" s="190"/>
      <c r="K171" s="2"/>
      <c r="R171" s="59" t="str">
        <f>IFERROR(__xludf.DUMMYFUNCTION("""COMPUTED_VALUE"""),"Rivchem Enterprises")</f>
        <v>Rivchem Enterprises</v>
      </c>
      <c r="S171" s="4">
        <f>IFERROR(__xludf.DUMMYFUNCTION("""COMPUTED_VALUE"""),4.75)</f>
        <v>4.75</v>
      </c>
      <c r="T171" s="60">
        <f>IFERROR(__xludf.DUMMYFUNCTION("""COMPUTED_VALUE"""),45362.0)</f>
        <v>45362</v>
      </c>
      <c r="V171" s="59" t="str">
        <f>IFERROR(__xludf.DUMMYFUNCTION("""COMPUTED_VALUE"""),"Microsmith Technology System,Inc.")</f>
        <v>Microsmith Technology System,Inc.</v>
      </c>
      <c r="W171" s="4">
        <f>IFERROR(__xludf.DUMMYFUNCTION("""COMPUTED_VALUE"""),4.833333333333333)</f>
        <v>4.833333333</v>
      </c>
      <c r="X171" s="60">
        <f>IFERROR(__xludf.DUMMYFUNCTION("""COMPUTED_VALUE"""),45660.0)</f>
        <v>45660</v>
      </c>
      <c r="AA171" s="4"/>
      <c r="AD171" s="4"/>
      <c r="AG171" s="4"/>
    </row>
    <row r="172">
      <c r="A172" s="179"/>
      <c r="B172" s="180"/>
      <c r="C172" s="2"/>
      <c r="E172" s="181"/>
      <c r="F172" s="181"/>
      <c r="G172" s="2"/>
      <c r="I172" s="190"/>
      <c r="J172" s="190"/>
      <c r="K172" s="2"/>
      <c r="R172" s="59" t="str">
        <f>IFERROR(__xludf.DUMMYFUNCTION("""COMPUTED_VALUE"""),"Leonard Prints Inc.")</f>
        <v>Leonard Prints Inc.</v>
      </c>
      <c r="S172" s="4">
        <f>IFERROR(__xludf.DUMMYFUNCTION("""COMPUTED_VALUE"""),4.666666666666667)</f>
        <v>4.666666667</v>
      </c>
      <c r="T172" s="60">
        <f>IFERROR(__xludf.DUMMYFUNCTION("""COMPUTED_VALUE"""),45363.0)</f>
        <v>45363</v>
      </c>
      <c r="V172" s="59" t="str">
        <f>IFERROR(__xludf.DUMMYFUNCTION("""COMPUTED_VALUE"""),"Microsmith Technology System,Inc.")</f>
        <v>Microsmith Technology System,Inc.</v>
      </c>
      <c r="W172" s="4">
        <f>IFERROR(__xludf.DUMMYFUNCTION("""COMPUTED_VALUE"""),4.833333333333333)</f>
        <v>4.833333333</v>
      </c>
      <c r="X172" s="60">
        <f>IFERROR(__xludf.DUMMYFUNCTION("""COMPUTED_VALUE"""),45667.0)</f>
        <v>45667</v>
      </c>
      <c r="AA172" s="4"/>
      <c r="AD172" s="4"/>
      <c r="AG172" s="4"/>
    </row>
    <row r="173">
      <c r="A173" s="179"/>
      <c r="B173" s="180"/>
      <c r="C173" s="2"/>
      <c r="E173" s="181"/>
      <c r="F173" s="181"/>
      <c r="G173" s="2"/>
      <c r="I173" s="190"/>
      <c r="J173" s="190"/>
      <c r="K173" s="2"/>
      <c r="R173" s="59" t="str">
        <f>IFERROR(__xludf.DUMMYFUNCTION("""COMPUTED_VALUE"""),"Luminaire Printing And Publishing Corp.")</f>
        <v>Luminaire Printing And Publishing Corp.</v>
      </c>
      <c r="S173" s="4">
        <f>IFERROR(__xludf.DUMMYFUNCTION("""COMPUTED_VALUE"""),4.833333333333333)</f>
        <v>4.833333333</v>
      </c>
      <c r="T173" s="60">
        <f>IFERROR(__xludf.DUMMYFUNCTION("""COMPUTED_VALUE"""),45365.0)</f>
        <v>45365</v>
      </c>
      <c r="V173" s="59" t="str">
        <f>IFERROR(__xludf.DUMMYFUNCTION("""COMPUTED_VALUE"""),"Printing Shop PrintPilipinas.com")</f>
        <v>Printing Shop PrintPilipinas.com</v>
      </c>
      <c r="W173" s="4">
        <f>IFERROR(__xludf.DUMMYFUNCTION("""COMPUTED_VALUE"""),4.833333333333333)</f>
        <v>4.833333333</v>
      </c>
      <c r="X173" s="60">
        <f>IFERROR(__xludf.DUMMYFUNCTION("""COMPUTED_VALUE"""),45672.0)</f>
        <v>45672</v>
      </c>
      <c r="AA173" s="4"/>
      <c r="AD173" s="4"/>
      <c r="AG173" s="4"/>
    </row>
    <row r="174">
      <c r="A174" s="179"/>
      <c r="B174" s="180"/>
      <c r="C174" s="2"/>
      <c r="E174" s="181"/>
      <c r="F174" s="181"/>
      <c r="G174" s="2"/>
      <c r="I174" s="190"/>
      <c r="J174" s="190"/>
      <c r="K174" s="2"/>
      <c r="R174" s="59" t="str">
        <f>IFERROR(__xludf.DUMMYFUNCTION("""COMPUTED_VALUE"""),"Rivchem Enterprises")</f>
        <v>Rivchem Enterprises</v>
      </c>
      <c r="S174" s="4">
        <f>IFERROR(__xludf.DUMMYFUNCTION("""COMPUTED_VALUE"""),4.75)</f>
        <v>4.75</v>
      </c>
      <c r="T174" s="60">
        <f>IFERROR(__xludf.DUMMYFUNCTION("""COMPUTED_VALUE"""),45365.0)</f>
        <v>45365</v>
      </c>
      <c r="V174" s="59" t="str">
        <f>IFERROR(__xludf.DUMMYFUNCTION("""COMPUTED_VALUE"""),"Oray Copier Solutions")</f>
        <v>Oray Copier Solutions</v>
      </c>
      <c r="W174" s="4">
        <f>IFERROR(__xludf.DUMMYFUNCTION("""COMPUTED_VALUE"""),5.0)</f>
        <v>5</v>
      </c>
      <c r="X174" s="60">
        <f>IFERROR(__xludf.DUMMYFUNCTION("""COMPUTED_VALUE"""),45675.0)</f>
        <v>45675</v>
      </c>
      <c r="AA174" s="4"/>
      <c r="AD174" s="4"/>
      <c r="AG174" s="4"/>
    </row>
    <row r="175">
      <c r="A175" s="179"/>
      <c r="B175" s="180"/>
      <c r="C175" s="2"/>
      <c r="E175" s="181"/>
      <c r="F175" s="181"/>
      <c r="G175" s="2"/>
      <c r="I175" s="190"/>
      <c r="J175" s="190"/>
      <c r="K175" s="2"/>
      <c r="R175" s="59" t="str">
        <f>IFERROR(__xludf.DUMMYFUNCTION("""COMPUTED_VALUE"""),"Tropical Palms Fashion House, Inc.")</f>
        <v>Tropical Palms Fashion House, Inc.</v>
      </c>
      <c r="S175" s="4">
        <f>IFERROR(__xludf.DUMMYFUNCTION("""COMPUTED_VALUE"""),5.0)</f>
        <v>5</v>
      </c>
      <c r="T175" s="60">
        <f>IFERROR(__xludf.DUMMYFUNCTION("""COMPUTED_VALUE"""),45366.0)</f>
        <v>45366</v>
      </c>
      <c r="V175" s="59" t="str">
        <f>IFERROR(__xludf.DUMMYFUNCTION("""COMPUTED_VALUE"""),"Printing Shop PrintPilipinas.com")</f>
        <v>Printing Shop PrintPilipinas.com</v>
      </c>
      <c r="W175" s="4">
        <f>IFERROR(__xludf.DUMMYFUNCTION("""COMPUTED_VALUE"""),4.833333333333333)</f>
        <v>4.833333333</v>
      </c>
      <c r="X175" s="60">
        <f>IFERROR(__xludf.DUMMYFUNCTION("""COMPUTED_VALUE"""),45677.0)</f>
        <v>45677</v>
      </c>
      <c r="AA175" s="4"/>
      <c r="AD175" s="4"/>
      <c r="AG175" s="4"/>
    </row>
    <row r="176">
      <c r="A176" s="179"/>
      <c r="B176" s="180"/>
      <c r="C176" s="2"/>
      <c r="E176" s="181"/>
      <c r="F176" s="181"/>
      <c r="G176" s="2"/>
      <c r="I176" s="190"/>
      <c r="J176" s="190"/>
      <c r="K176" s="2"/>
      <c r="R176" s="59" t="str">
        <f>IFERROR(__xludf.DUMMYFUNCTION("""COMPUTED_VALUE"""),"Rivchem Enterprises")</f>
        <v>Rivchem Enterprises</v>
      </c>
      <c r="S176" s="4">
        <f>IFERROR(__xludf.DUMMYFUNCTION("""COMPUTED_VALUE"""),4.75)</f>
        <v>4.75</v>
      </c>
      <c r="T176" s="60">
        <f>IFERROR(__xludf.DUMMYFUNCTION("""COMPUTED_VALUE"""),45366.0)</f>
        <v>45366</v>
      </c>
      <c r="V176" s="59" t="str">
        <f>IFERROR(__xludf.DUMMYFUNCTION("""COMPUTED_VALUE"""),"Printing Shop PrintPilipinas.com")</f>
        <v>Printing Shop PrintPilipinas.com</v>
      </c>
      <c r="W176" s="4">
        <f>IFERROR(__xludf.DUMMYFUNCTION("""COMPUTED_VALUE"""),4.833333333333333)</f>
        <v>4.833333333</v>
      </c>
      <c r="X176" s="60">
        <f>IFERROR(__xludf.DUMMYFUNCTION("""COMPUTED_VALUE"""),45677.0)</f>
        <v>45677</v>
      </c>
      <c r="AA176" s="4"/>
      <c r="AD176" s="4"/>
      <c r="AG176" s="4"/>
    </row>
    <row r="177">
      <c r="A177" s="179"/>
      <c r="B177" s="180"/>
      <c r="C177" s="2"/>
      <c r="E177" s="181"/>
      <c r="F177" s="181"/>
      <c r="G177" s="2"/>
      <c r="I177" s="190"/>
      <c r="J177" s="190"/>
      <c r="K177" s="2"/>
      <c r="R177" s="59" t="str">
        <f>IFERROR(__xludf.DUMMYFUNCTION("""COMPUTED_VALUE"""),"Rivchem Enterprises")</f>
        <v>Rivchem Enterprises</v>
      </c>
      <c r="S177" s="4">
        <f>IFERROR(__xludf.DUMMYFUNCTION("""COMPUTED_VALUE"""),4.75)</f>
        <v>4.75</v>
      </c>
      <c r="T177" s="60">
        <f>IFERROR(__xludf.DUMMYFUNCTION("""COMPUTED_VALUE"""),45366.0)</f>
        <v>45366</v>
      </c>
      <c r="V177" s="59" t="str">
        <f>IFERROR(__xludf.DUMMYFUNCTION("""COMPUTED_VALUE"""),"Printing Shop PrintPilipinas.com")</f>
        <v>Printing Shop PrintPilipinas.com</v>
      </c>
      <c r="W177" s="4">
        <f>IFERROR(__xludf.DUMMYFUNCTION("""COMPUTED_VALUE"""),4.833333333333333)</f>
        <v>4.833333333</v>
      </c>
      <c r="X177" s="60">
        <f>IFERROR(__xludf.DUMMYFUNCTION("""COMPUTED_VALUE"""),45677.0)</f>
        <v>45677</v>
      </c>
      <c r="AA177" s="4"/>
      <c r="AD177" s="4"/>
      <c r="AG177" s="4"/>
    </row>
    <row r="178">
      <c r="A178" s="179"/>
      <c r="B178" s="180"/>
      <c r="C178" s="2"/>
      <c r="E178" s="181"/>
      <c r="F178" s="181"/>
      <c r="G178" s="2"/>
      <c r="I178" s="190"/>
      <c r="J178" s="190"/>
      <c r="K178" s="2"/>
      <c r="R178" s="59" t="str">
        <f>IFERROR(__xludf.DUMMYFUNCTION("""COMPUTED_VALUE"""),"Dynamics Electrical Supply and Hardware")</f>
        <v>Dynamics Electrical Supply and Hardware</v>
      </c>
      <c r="S178" s="4">
        <f>IFERROR(__xludf.DUMMYFUNCTION("""COMPUTED_VALUE"""),4.0)</f>
        <v>4</v>
      </c>
      <c r="T178" s="60">
        <f>IFERROR(__xludf.DUMMYFUNCTION("""COMPUTED_VALUE"""),45367.0)</f>
        <v>45367</v>
      </c>
      <c r="V178" s="59" t="str">
        <f>IFERROR(__xludf.DUMMYFUNCTION("""COMPUTED_VALUE"""),"Printing Shop PrintPilipinas.com")</f>
        <v>Printing Shop PrintPilipinas.com</v>
      </c>
      <c r="W178" s="4">
        <f>IFERROR(__xludf.DUMMYFUNCTION("""COMPUTED_VALUE"""),4.833333333333333)</f>
        <v>4.833333333</v>
      </c>
      <c r="X178" s="60">
        <f>IFERROR(__xludf.DUMMYFUNCTION("""COMPUTED_VALUE"""),45677.0)</f>
        <v>45677</v>
      </c>
      <c r="AA178" s="4"/>
      <c r="AD178" s="4"/>
      <c r="AG178" s="4"/>
    </row>
    <row r="179">
      <c r="A179" s="179"/>
      <c r="B179" s="180"/>
      <c r="C179" s="2"/>
      <c r="E179" s="181"/>
      <c r="F179" s="181"/>
      <c r="G179" s="2"/>
      <c r="I179" s="190"/>
      <c r="J179" s="190"/>
      <c r="K179" s="2"/>
      <c r="R179" s="59" t="str">
        <f>IFERROR(__xludf.DUMMYFUNCTION("""COMPUTED_VALUE"""),"Net Ad IT Solutions")</f>
        <v>Net Ad IT Solutions</v>
      </c>
      <c r="S179" s="4">
        <f>IFERROR(__xludf.DUMMYFUNCTION("""COMPUTED_VALUE"""),5.0)</f>
        <v>5</v>
      </c>
      <c r="T179" s="60">
        <f>IFERROR(__xludf.DUMMYFUNCTION("""COMPUTED_VALUE"""),45367.0)</f>
        <v>45367</v>
      </c>
      <c r="V179" s="59" t="str">
        <f>IFERROR(__xludf.DUMMYFUNCTION("""COMPUTED_VALUE"""),"Printing Shop PrintPilipinas.com")</f>
        <v>Printing Shop PrintPilipinas.com</v>
      </c>
      <c r="W179" s="4">
        <f>IFERROR(__xludf.DUMMYFUNCTION("""COMPUTED_VALUE"""),4.833333333333333)</f>
        <v>4.833333333</v>
      </c>
      <c r="X179" s="60">
        <f>IFERROR(__xludf.DUMMYFUNCTION("""COMPUTED_VALUE"""),45677.0)</f>
        <v>45677</v>
      </c>
      <c r="AA179" s="4"/>
      <c r="AD179" s="4"/>
      <c r="AG179" s="4"/>
    </row>
    <row r="180">
      <c r="A180" s="179"/>
      <c r="B180" s="180"/>
      <c r="C180" s="2"/>
      <c r="E180" s="181"/>
      <c r="F180" s="181"/>
      <c r="G180" s="2"/>
      <c r="I180" s="190"/>
      <c r="J180" s="190"/>
      <c r="K180" s="2"/>
      <c r="R180" s="59" t="str">
        <f>IFERROR(__xludf.DUMMYFUNCTION("""COMPUTED_VALUE"""),"Primeline Products Philippines, Inc.")</f>
        <v>Primeline Products Philippines, Inc.</v>
      </c>
      <c r="S180" s="4">
        <f>IFERROR(__xludf.DUMMYFUNCTION("""COMPUTED_VALUE"""),4.75)</f>
        <v>4.75</v>
      </c>
      <c r="T180" s="60">
        <f>IFERROR(__xludf.DUMMYFUNCTION("""COMPUTED_VALUE"""),45367.0)</f>
        <v>45367</v>
      </c>
      <c r="V180" s="59" t="str">
        <f>IFERROR(__xludf.DUMMYFUNCTION("""COMPUTED_VALUE"""),"Printing Shop PrintPilipinas.com")</f>
        <v>Printing Shop PrintPilipinas.com</v>
      </c>
      <c r="W180" s="4">
        <f>IFERROR(__xludf.DUMMYFUNCTION("""COMPUTED_VALUE"""),4.833333333333333)</f>
        <v>4.833333333</v>
      </c>
      <c r="X180" s="60">
        <f>IFERROR(__xludf.DUMMYFUNCTION("""COMPUTED_VALUE"""),45680.0)</f>
        <v>45680</v>
      </c>
      <c r="AA180" s="4"/>
      <c r="AD180" s="4"/>
      <c r="AG180" s="4"/>
    </row>
    <row r="181">
      <c r="A181" s="179"/>
      <c r="B181" s="180"/>
      <c r="C181" s="2"/>
      <c r="E181" s="181"/>
      <c r="F181" s="181"/>
      <c r="G181" s="2"/>
      <c r="I181" s="190"/>
      <c r="J181" s="190"/>
      <c r="K181" s="2"/>
      <c r="R181" s="59" t="str">
        <f>IFERROR(__xludf.DUMMYFUNCTION("""COMPUTED_VALUE"""),"Chronos Athletics Shop")</f>
        <v>Chronos Athletics Shop</v>
      </c>
      <c r="S181" s="4">
        <f>IFERROR(__xludf.DUMMYFUNCTION("""COMPUTED_VALUE"""),4.3999999999999995)</f>
        <v>4.4</v>
      </c>
      <c r="T181" s="60">
        <f>IFERROR(__xludf.DUMMYFUNCTION("""COMPUTED_VALUE"""),45370.0)</f>
        <v>45370</v>
      </c>
      <c r="V181" s="59" t="str">
        <f>IFERROR(__xludf.DUMMYFUNCTION("""COMPUTED_VALUE"""),"Microsmith Technology System,Inc.")</f>
        <v>Microsmith Technology System,Inc.</v>
      </c>
      <c r="W181" s="4">
        <f>IFERROR(__xludf.DUMMYFUNCTION("""COMPUTED_VALUE"""),4.833333333333333)</f>
        <v>4.833333333</v>
      </c>
      <c r="X181" s="60">
        <f>IFERROR(__xludf.DUMMYFUNCTION("""COMPUTED_VALUE"""),45681.0)</f>
        <v>45681</v>
      </c>
      <c r="AA181" s="4"/>
      <c r="AD181" s="4"/>
      <c r="AG181" s="4"/>
    </row>
    <row r="182">
      <c r="A182" s="179"/>
      <c r="B182" s="180"/>
      <c r="C182" s="2"/>
      <c r="E182" s="181"/>
      <c r="F182" s="181"/>
      <c r="G182" s="2"/>
      <c r="I182" s="190"/>
      <c r="J182" s="190"/>
      <c r="K182" s="2"/>
      <c r="R182" s="59" t="str">
        <f>IFERROR(__xludf.DUMMYFUNCTION("""COMPUTED_VALUE"""),"Microsmith Technology System,Inc.")</f>
        <v>Microsmith Technology System,Inc.</v>
      </c>
      <c r="S182" s="4">
        <f>IFERROR(__xludf.DUMMYFUNCTION("""COMPUTED_VALUE"""),4.833333333333333)</f>
        <v>4.833333333</v>
      </c>
      <c r="T182" s="60">
        <f>IFERROR(__xludf.DUMMYFUNCTION("""COMPUTED_VALUE"""),45370.0)</f>
        <v>45370</v>
      </c>
      <c r="V182" s="59" t="str">
        <f>IFERROR(__xludf.DUMMYFUNCTION("""COMPUTED_VALUE"""),"Abenson Ventures, Inc.")</f>
        <v>Abenson Ventures, Inc.</v>
      </c>
      <c r="W182" s="4">
        <f>IFERROR(__xludf.DUMMYFUNCTION("""COMPUTED_VALUE"""),5.0)</f>
        <v>5</v>
      </c>
      <c r="X182" s="60">
        <f>IFERROR(__xludf.DUMMYFUNCTION("""COMPUTED_VALUE"""),45685.0)</f>
        <v>45685</v>
      </c>
      <c r="AA182" s="4"/>
      <c r="AD182" s="4"/>
      <c r="AG182" s="4"/>
    </row>
    <row r="183">
      <c r="A183" s="179"/>
      <c r="B183" s="180"/>
      <c r="C183" s="2"/>
      <c r="E183" s="181"/>
      <c r="F183" s="181"/>
      <c r="G183" s="2"/>
      <c r="I183" s="190"/>
      <c r="J183" s="190"/>
      <c r="K183" s="2"/>
      <c r="R183" s="59" t="str">
        <f>IFERROR(__xludf.DUMMYFUNCTION("""COMPUTED_VALUE"""),"Times Trading Co., Inc.")</f>
        <v>Times Trading Co., Inc.</v>
      </c>
      <c r="S183" s="4">
        <f>IFERROR(__xludf.DUMMYFUNCTION("""COMPUTED_VALUE"""),4.325)</f>
        <v>4.325</v>
      </c>
      <c r="T183" s="60">
        <f>IFERROR(__xludf.DUMMYFUNCTION("""COMPUTED_VALUE"""),45370.0)</f>
        <v>45370</v>
      </c>
      <c r="V183" s="59" t="str">
        <f>IFERROR(__xludf.DUMMYFUNCTION("""COMPUTED_VALUE"""),"Printing Shop PrintPilipinas.com")</f>
        <v>Printing Shop PrintPilipinas.com</v>
      </c>
      <c r="W183" s="4">
        <f>IFERROR(__xludf.DUMMYFUNCTION("""COMPUTED_VALUE"""),4.833333333333333)</f>
        <v>4.833333333</v>
      </c>
      <c r="X183" s="60">
        <f>IFERROR(__xludf.DUMMYFUNCTION("""COMPUTED_VALUE"""),45687.0)</f>
        <v>45687</v>
      </c>
      <c r="AA183" s="4"/>
      <c r="AD183" s="4"/>
      <c r="AG183" s="4"/>
    </row>
    <row r="184">
      <c r="A184" s="179"/>
      <c r="B184" s="180"/>
      <c r="C184" s="2"/>
      <c r="E184" s="181"/>
      <c r="F184" s="181"/>
      <c r="G184" s="2"/>
      <c r="I184" s="190"/>
      <c r="J184" s="190"/>
      <c r="K184" s="2"/>
      <c r="R184" s="59" t="str">
        <f>IFERROR(__xludf.DUMMYFUNCTION("""COMPUTED_VALUE"""),"Chemtrust Global Market, Inc.")</f>
        <v>Chemtrust Global Market, Inc.</v>
      </c>
      <c r="S184" s="4">
        <f>IFERROR(__xludf.DUMMYFUNCTION("""COMPUTED_VALUE"""),4.75)</f>
        <v>4.75</v>
      </c>
      <c r="T184" s="60">
        <f>IFERROR(__xludf.DUMMYFUNCTION("""COMPUTED_VALUE"""),45370.0)</f>
        <v>45370</v>
      </c>
      <c r="V184" s="59" t="str">
        <f>IFERROR(__xludf.DUMMYFUNCTION("""COMPUTED_VALUE"""),"Rivchem Enterprises")</f>
        <v>Rivchem Enterprises</v>
      </c>
      <c r="W184" s="4">
        <f>IFERROR(__xludf.DUMMYFUNCTION("""COMPUTED_VALUE"""),4.791666666666667)</f>
        <v>4.791666667</v>
      </c>
      <c r="X184" s="60">
        <f>IFERROR(__xludf.DUMMYFUNCTION("""COMPUTED_VALUE"""),45688.0)</f>
        <v>45688</v>
      </c>
      <c r="AA184" s="4"/>
      <c r="AD184" s="4"/>
      <c r="AG184" s="4"/>
    </row>
    <row r="185">
      <c r="A185" s="179"/>
      <c r="B185" s="180"/>
      <c r="C185" s="2"/>
      <c r="E185" s="181"/>
      <c r="F185" s="181"/>
      <c r="G185" s="2"/>
      <c r="I185" s="190"/>
      <c r="J185" s="190"/>
      <c r="K185" s="2"/>
      <c r="R185" s="59" t="str">
        <f>IFERROR(__xludf.DUMMYFUNCTION("""COMPUTED_VALUE"""),"I-Stop Graphics and Business Center")</f>
        <v>I-Stop Graphics and Business Center</v>
      </c>
      <c r="S185" s="4">
        <f>IFERROR(__xludf.DUMMYFUNCTION("""COMPUTED_VALUE"""),4.166666666666667)</f>
        <v>4.166666667</v>
      </c>
      <c r="T185" s="60">
        <f>IFERROR(__xludf.DUMMYFUNCTION("""COMPUTED_VALUE"""),45373.0)</f>
        <v>45373</v>
      </c>
      <c r="V185" s="59" t="str">
        <f>IFERROR(__xludf.DUMMYFUNCTION("""COMPUTED_VALUE"""),"Data Computer Forms, Inc.")</f>
        <v>Data Computer Forms, Inc.</v>
      </c>
      <c r="W185" s="4">
        <f>IFERROR(__xludf.DUMMYFUNCTION("""COMPUTED_VALUE"""),4.916666666666667)</f>
        <v>4.916666667</v>
      </c>
      <c r="X185" s="60">
        <f>IFERROR(__xludf.DUMMYFUNCTION("""COMPUTED_VALUE"""),45688.0)</f>
        <v>45688</v>
      </c>
      <c r="AA185" s="4"/>
      <c r="AD185" s="4"/>
      <c r="AG185" s="4"/>
    </row>
    <row r="186">
      <c r="A186" s="179"/>
      <c r="B186" s="180"/>
      <c r="C186" s="2"/>
      <c r="E186" s="181"/>
      <c r="F186" s="181"/>
      <c r="G186" s="2"/>
      <c r="I186" s="190"/>
      <c r="J186" s="190"/>
      <c r="K186" s="2"/>
      <c r="R186" s="59" t="str">
        <f>IFERROR(__xludf.DUMMYFUNCTION("""COMPUTED_VALUE"""),"I-Stop Graphics and Business Center")</f>
        <v>I-Stop Graphics and Business Center</v>
      </c>
      <c r="S186" s="4">
        <f>IFERROR(__xludf.DUMMYFUNCTION("""COMPUTED_VALUE"""),4.0)</f>
        <v>4</v>
      </c>
      <c r="T186" s="60">
        <f>IFERROR(__xludf.DUMMYFUNCTION("""COMPUTED_VALUE"""),45373.0)</f>
        <v>45373</v>
      </c>
      <c r="V186" s="59" t="str">
        <f>IFERROR(__xludf.DUMMYFUNCTION("""COMPUTED_VALUE"""),"Chemtrust Global Market, Inc.")</f>
        <v>Chemtrust Global Market, Inc.</v>
      </c>
      <c r="W186" s="4">
        <f>IFERROR(__xludf.DUMMYFUNCTION("""COMPUTED_VALUE"""),4.666666666666667)</f>
        <v>4.666666667</v>
      </c>
      <c r="X186" s="60">
        <f>IFERROR(__xludf.DUMMYFUNCTION("""COMPUTED_VALUE"""),45692.0)</f>
        <v>45692</v>
      </c>
      <c r="AA186" s="4"/>
      <c r="AD186" s="4"/>
      <c r="AG186" s="4"/>
    </row>
    <row r="187">
      <c r="A187" s="179"/>
      <c r="B187" s="180"/>
      <c r="C187" s="2"/>
      <c r="E187" s="181"/>
      <c r="F187" s="181"/>
      <c r="G187" s="2"/>
      <c r="I187" s="190"/>
      <c r="J187" s="190"/>
      <c r="K187" s="2"/>
      <c r="R187" s="59" t="str">
        <f>IFERROR(__xludf.DUMMYFUNCTION("""COMPUTED_VALUE"""),"RSAZ Corporation")</f>
        <v>RSAZ Corporation</v>
      </c>
      <c r="S187" s="4">
        <f>IFERROR(__xludf.DUMMYFUNCTION("""COMPUTED_VALUE"""),4.833333333333333)</f>
        <v>4.833333333</v>
      </c>
      <c r="T187" s="60">
        <f>IFERROR(__xludf.DUMMYFUNCTION("""COMPUTED_VALUE"""),45373.0)</f>
        <v>45373</v>
      </c>
      <c r="V187" s="59" t="str">
        <f>IFERROR(__xludf.DUMMYFUNCTION("""COMPUTED_VALUE"""),"Printing Shop PrintPilipinas.com")</f>
        <v>Printing Shop PrintPilipinas.com</v>
      </c>
      <c r="W187" s="4">
        <f>IFERROR(__xludf.DUMMYFUNCTION("""COMPUTED_VALUE"""),4.833333333333333)</f>
        <v>4.833333333</v>
      </c>
      <c r="X187" s="60">
        <f>IFERROR(__xludf.DUMMYFUNCTION("""COMPUTED_VALUE"""),45692.0)</f>
        <v>45692</v>
      </c>
      <c r="AA187" s="4"/>
      <c r="AD187" s="4"/>
      <c r="AG187" s="4"/>
    </row>
    <row r="188">
      <c r="A188" s="179"/>
      <c r="B188" s="180"/>
      <c r="C188" s="2"/>
      <c r="E188" s="181"/>
      <c r="F188" s="181"/>
      <c r="G188" s="2"/>
      <c r="I188" s="190"/>
      <c r="J188" s="190"/>
      <c r="K188" s="2"/>
      <c r="R188" s="59" t="str">
        <f>IFERROR(__xludf.DUMMYFUNCTION("""COMPUTED_VALUE"""),"Rivchem Enterprises")</f>
        <v>Rivchem Enterprises</v>
      </c>
      <c r="S188" s="4">
        <f>IFERROR(__xludf.DUMMYFUNCTION("""COMPUTED_VALUE"""),4.75)</f>
        <v>4.75</v>
      </c>
      <c r="T188" s="60">
        <f>IFERROR(__xludf.DUMMYFUNCTION("""COMPUTED_VALUE"""),45373.0)</f>
        <v>45373</v>
      </c>
      <c r="V188" s="59" t="str">
        <f>IFERROR(__xludf.DUMMYFUNCTION("""COMPUTED_VALUE"""),"Printing Shop PrintPilipinas.com")</f>
        <v>Printing Shop PrintPilipinas.com</v>
      </c>
      <c r="W188" s="4">
        <f>IFERROR(__xludf.DUMMYFUNCTION("""COMPUTED_VALUE"""),4.833333333333333)</f>
        <v>4.833333333</v>
      </c>
      <c r="X188" s="60">
        <f>IFERROR(__xludf.DUMMYFUNCTION("""COMPUTED_VALUE"""),45692.0)</f>
        <v>45692</v>
      </c>
      <c r="AA188" s="4"/>
      <c r="AD188" s="4"/>
      <c r="AG188" s="4"/>
    </row>
    <row r="189">
      <c r="A189" s="179"/>
      <c r="B189" s="180"/>
      <c r="C189" s="2"/>
      <c r="E189" s="181"/>
      <c r="F189" s="181"/>
      <c r="G189" s="2"/>
      <c r="I189" s="190"/>
      <c r="J189" s="190"/>
      <c r="K189" s="2"/>
      <c r="R189" s="59" t="str">
        <f>IFERROR(__xludf.DUMMYFUNCTION("""COMPUTED_VALUE"""),"Contrade Integrated Depot")</f>
        <v>Contrade Integrated Depot</v>
      </c>
      <c r="S189" s="4">
        <f>IFERROR(__xludf.DUMMYFUNCTION("""COMPUTED_VALUE"""),4.3999999999999995)</f>
        <v>4.4</v>
      </c>
      <c r="T189" s="60">
        <f>IFERROR(__xludf.DUMMYFUNCTION("""COMPUTED_VALUE"""),45374.0)</f>
        <v>45374</v>
      </c>
      <c r="V189" s="59" t="str">
        <f>IFERROR(__xludf.DUMMYFUNCTION("""COMPUTED_VALUE"""),"Hospeco Philippines, Inc.")</f>
        <v>Hospeco Philippines, Inc.</v>
      </c>
      <c r="W189" s="4">
        <f>IFERROR(__xludf.DUMMYFUNCTION("""COMPUTED_VALUE"""),4.791666666666667)</f>
        <v>4.791666667</v>
      </c>
      <c r="X189" s="60">
        <f>IFERROR(__xludf.DUMMYFUNCTION("""COMPUTED_VALUE"""),45695.0)</f>
        <v>45695</v>
      </c>
      <c r="AA189" s="4"/>
      <c r="AD189" s="4"/>
      <c r="AG189" s="4"/>
    </row>
    <row r="190">
      <c r="A190" s="179"/>
      <c r="B190" s="180"/>
      <c r="C190" s="2"/>
      <c r="E190" s="181"/>
      <c r="F190" s="181"/>
      <c r="G190" s="2"/>
      <c r="I190" s="190"/>
      <c r="J190" s="190"/>
      <c r="K190" s="2"/>
      <c r="R190" s="59" t="str">
        <f>IFERROR(__xludf.DUMMYFUNCTION("""COMPUTED_VALUE"""),"Contrade Integrated Depot")</f>
        <v>Contrade Integrated Depot</v>
      </c>
      <c r="S190" s="4">
        <f>IFERROR(__xludf.DUMMYFUNCTION("""COMPUTED_VALUE"""),4.5)</f>
        <v>4.5</v>
      </c>
      <c r="T190" s="60">
        <f>IFERROR(__xludf.DUMMYFUNCTION("""COMPUTED_VALUE"""),45374.0)</f>
        <v>45374</v>
      </c>
      <c r="V190" s="59" t="str">
        <f>IFERROR(__xludf.DUMMYFUNCTION("""COMPUTED_VALUE"""),"Ace Hardware")</f>
        <v>Ace Hardware</v>
      </c>
      <c r="W190" s="4">
        <f>IFERROR(__xludf.DUMMYFUNCTION("""COMPUTED_VALUE"""),4.791666666666667)</f>
        <v>4.791666667</v>
      </c>
      <c r="X190" s="60">
        <f>IFERROR(__xludf.DUMMYFUNCTION("""COMPUTED_VALUE"""),45695.0)</f>
        <v>45695</v>
      </c>
      <c r="AA190" s="4"/>
      <c r="AD190" s="4"/>
      <c r="AG190" s="4"/>
    </row>
    <row r="191">
      <c r="A191" s="179"/>
      <c r="B191" s="180"/>
      <c r="C191" s="2"/>
      <c r="E191" s="181"/>
      <c r="F191" s="181"/>
      <c r="G191" s="2"/>
      <c r="I191" s="190"/>
      <c r="J191" s="190"/>
      <c r="K191" s="2"/>
      <c r="R191" s="59" t="str">
        <f>IFERROR(__xludf.DUMMYFUNCTION("""COMPUTED_VALUE"""),"Times Trading Co., Inc.")</f>
        <v>Times Trading Co., Inc.</v>
      </c>
      <c r="S191" s="4">
        <f>IFERROR(__xludf.DUMMYFUNCTION("""COMPUTED_VALUE"""),4.833333333333333)</f>
        <v>4.833333333</v>
      </c>
      <c r="T191" s="60">
        <f>IFERROR(__xludf.DUMMYFUNCTION("""COMPUTED_VALUE"""),45376.0)</f>
        <v>45376</v>
      </c>
      <c r="V191" s="59" t="str">
        <f>IFERROR(__xludf.DUMMYFUNCTION("""COMPUTED_VALUE"""),"Printing Shop PrintPilipinas.com")</f>
        <v>Printing Shop PrintPilipinas.com</v>
      </c>
      <c r="W191" s="4">
        <f>IFERROR(__xludf.DUMMYFUNCTION("""COMPUTED_VALUE"""),4.833333333333333)</f>
        <v>4.833333333</v>
      </c>
      <c r="X191" s="60">
        <f>IFERROR(__xludf.DUMMYFUNCTION("""COMPUTED_VALUE"""),45699.0)</f>
        <v>45699</v>
      </c>
      <c r="AA191" s="4"/>
      <c r="AD191" s="4"/>
      <c r="AG191" s="4"/>
    </row>
    <row r="192">
      <c r="A192" s="179"/>
      <c r="B192" s="180"/>
      <c r="C192" s="2"/>
      <c r="E192" s="181"/>
      <c r="F192" s="181"/>
      <c r="G192" s="2"/>
      <c r="I192" s="190"/>
      <c r="J192" s="190"/>
      <c r="K192" s="2"/>
      <c r="R192" s="59" t="str">
        <f>IFERROR(__xludf.DUMMYFUNCTION("""COMPUTED_VALUE"""),"JLY Garment Trading")</f>
        <v>JLY Garment Trading</v>
      </c>
      <c r="S192" s="4">
        <f>IFERROR(__xludf.DUMMYFUNCTION("""COMPUTED_VALUE"""),4.475)</f>
        <v>4.475</v>
      </c>
      <c r="T192" s="60">
        <f>IFERROR(__xludf.DUMMYFUNCTION("""COMPUTED_VALUE"""),45377.0)</f>
        <v>45377</v>
      </c>
      <c r="V192" s="59" t="str">
        <f>IFERROR(__xludf.DUMMYFUNCTION("""COMPUTED_VALUE"""),"Printing Shop PrintPilipinas.com")</f>
        <v>Printing Shop PrintPilipinas.com</v>
      </c>
      <c r="W192" s="4">
        <f>IFERROR(__xludf.DUMMYFUNCTION("""COMPUTED_VALUE"""),4.833333333333333)</f>
        <v>4.833333333</v>
      </c>
      <c r="X192" s="60">
        <f>IFERROR(__xludf.DUMMYFUNCTION("""COMPUTED_VALUE"""),45699.0)</f>
        <v>45699</v>
      </c>
      <c r="AA192" s="4"/>
      <c r="AD192" s="4"/>
      <c r="AG192" s="4"/>
    </row>
    <row r="193">
      <c r="A193" s="179"/>
      <c r="B193" s="180"/>
      <c r="C193" s="2"/>
      <c r="E193" s="181"/>
      <c r="F193" s="181"/>
      <c r="G193" s="2"/>
      <c r="I193" s="190"/>
      <c r="J193" s="190"/>
      <c r="K193" s="2"/>
      <c r="R193" s="59" t="str">
        <f>IFERROR(__xludf.DUMMYFUNCTION("""COMPUTED_VALUE"""),"JLY Garment Trading")</f>
        <v>JLY Garment Trading</v>
      </c>
      <c r="S193" s="4">
        <f>IFERROR(__xludf.DUMMYFUNCTION("""COMPUTED_VALUE"""),4.833333333333333)</f>
        <v>4.833333333</v>
      </c>
      <c r="T193" s="60">
        <f>IFERROR(__xludf.DUMMYFUNCTION("""COMPUTED_VALUE"""),45377.0)</f>
        <v>45377</v>
      </c>
      <c r="V193" s="59" t="str">
        <f>IFERROR(__xludf.DUMMYFUNCTION("""COMPUTED_VALUE"""),"Wisechoice Cleaning Supplies and Trading Corp.")</f>
        <v>Wisechoice Cleaning Supplies and Trading Corp.</v>
      </c>
      <c r="W193" s="4">
        <f>IFERROR(__xludf.DUMMYFUNCTION("""COMPUTED_VALUE"""),4.708333333333333)</f>
        <v>4.708333333</v>
      </c>
      <c r="X193" s="60">
        <f>IFERROR(__xludf.DUMMYFUNCTION("""COMPUTED_VALUE"""),45699.0)</f>
        <v>45699</v>
      </c>
      <c r="AA193" s="4"/>
      <c r="AD193" s="4"/>
      <c r="AG193" s="4"/>
    </row>
    <row r="194">
      <c r="A194" s="179"/>
      <c r="B194" s="180"/>
      <c r="C194" s="2"/>
      <c r="E194" s="181"/>
      <c r="F194" s="181"/>
      <c r="G194" s="2"/>
      <c r="I194" s="190"/>
      <c r="J194" s="190"/>
      <c r="K194" s="2"/>
      <c r="R194" s="59" t="str">
        <f>IFERROR(__xludf.DUMMYFUNCTION("""COMPUTED_VALUE"""),"Rivchem Enterprises")</f>
        <v>Rivchem Enterprises</v>
      </c>
      <c r="S194" s="4">
        <f>IFERROR(__xludf.DUMMYFUNCTION("""COMPUTED_VALUE"""),4.75)</f>
        <v>4.75</v>
      </c>
      <c r="T194" s="60">
        <f>IFERROR(__xludf.DUMMYFUNCTION("""COMPUTED_VALUE"""),45377.0)</f>
        <v>45377</v>
      </c>
      <c r="V194" s="59" t="str">
        <f>IFERROR(__xludf.DUMMYFUNCTION("""COMPUTED_VALUE"""),"Printing Shop PrintPilipinas.com")</f>
        <v>Printing Shop PrintPilipinas.com</v>
      </c>
      <c r="W194" s="4">
        <f>IFERROR(__xludf.DUMMYFUNCTION("""COMPUTED_VALUE"""),4.833333333333333)</f>
        <v>4.833333333</v>
      </c>
      <c r="X194" s="60">
        <f>IFERROR(__xludf.DUMMYFUNCTION("""COMPUTED_VALUE"""),45701.0)</f>
        <v>45701</v>
      </c>
      <c r="AA194" s="4"/>
      <c r="AD194" s="4"/>
      <c r="AG194" s="4"/>
    </row>
    <row r="195">
      <c r="A195" s="179"/>
      <c r="B195" s="180"/>
      <c r="C195" s="2"/>
      <c r="E195" s="181"/>
      <c r="F195" s="181"/>
      <c r="G195" s="2"/>
      <c r="I195" s="190"/>
      <c r="J195" s="190"/>
      <c r="K195" s="2"/>
      <c r="R195" s="59" t="str">
        <f>IFERROR(__xludf.DUMMYFUNCTION("""COMPUTED_VALUE"""),"JLY Garment Trading")</f>
        <v>JLY Garment Trading</v>
      </c>
      <c r="S195" s="4">
        <f>IFERROR(__xludf.DUMMYFUNCTION("""COMPUTED_VALUE"""),4.833333333333333)</f>
        <v>4.833333333</v>
      </c>
      <c r="T195" s="60">
        <f>IFERROR(__xludf.DUMMYFUNCTION("""COMPUTED_VALUE"""),45377.0)</f>
        <v>45377</v>
      </c>
      <c r="V195" s="59" t="str">
        <f>IFERROR(__xludf.DUMMYFUNCTION("""COMPUTED_VALUE"""),"Rivchem Enterprises")</f>
        <v>Rivchem Enterprises</v>
      </c>
      <c r="W195" s="4">
        <f>IFERROR(__xludf.DUMMYFUNCTION("""COMPUTED_VALUE"""),4.791666666666667)</f>
        <v>4.791666667</v>
      </c>
      <c r="X195" s="60">
        <f>IFERROR(__xludf.DUMMYFUNCTION("""COMPUTED_VALUE"""),45701.0)</f>
        <v>45701</v>
      </c>
      <c r="AA195" s="4"/>
      <c r="AD195" s="4"/>
      <c r="AG195" s="4"/>
    </row>
    <row r="196">
      <c r="A196" s="179"/>
      <c r="B196" s="180"/>
      <c r="C196" s="2"/>
      <c r="E196" s="181"/>
      <c r="F196" s="181"/>
      <c r="G196" s="2"/>
      <c r="I196" s="190"/>
      <c r="J196" s="190"/>
      <c r="K196" s="2"/>
      <c r="R196" s="59" t="str">
        <f>IFERROR(__xludf.DUMMYFUNCTION("""COMPUTED_VALUE"""),"Luminaire Printing And Publishing Corp.")</f>
        <v>Luminaire Printing And Publishing Corp.</v>
      </c>
      <c r="S196" s="4">
        <f>IFERROR(__xludf.DUMMYFUNCTION("""COMPUTED_VALUE"""),4.833333333333333)</f>
        <v>4.833333333</v>
      </c>
      <c r="T196" s="60">
        <f>IFERROR(__xludf.DUMMYFUNCTION("""COMPUTED_VALUE"""),45379.0)</f>
        <v>45379</v>
      </c>
      <c r="V196" s="59" t="str">
        <f>IFERROR(__xludf.DUMMYFUNCTION("""COMPUTED_VALUE"""),"Abenson Ventures, Inc.")</f>
        <v>Abenson Ventures, Inc.</v>
      </c>
      <c r="W196" s="4">
        <f>IFERROR(__xludf.DUMMYFUNCTION("""COMPUTED_VALUE"""),4.5)</f>
        <v>4.5</v>
      </c>
      <c r="X196" s="60">
        <f>IFERROR(__xludf.DUMMYFUNCTION("""COMPUTED_VALUE"""),45702.0)</f>
        <v>45702</v>
      </c>
      <c r="AA196" s="4"/>
      <c r="AD196" s="4"/>
      <c r="AG196" s="4"/>
    </row>
    <row r="197">
      <c r="A197" s="179"/>
      <c r="B197" s="180"/>
      <c r="C197" s="2"/>
      <c r="E197" s="181"/>
      <c r="F197" s="181"/>
      <c r="G197" s="2"/>
      <c r="I197" s="190"/>
      <c r="J197" s="190"/>
      <c r="K197" s="2"/>
      <c r="R197" s="59" t="str">
        <f>IFERROR(__xludf.DUMMYFUNCTION("""COMPUTED_VALUE"""),"Alpha Steel Office and Home Furnishing Company")</f>
        <v>Alpha Steel Office and Home Furnishing Company</v>
      </c>
      <c r="S197" s="4">
        <f>IFERROR(__xludf.DUMMYFUNCTION("""COMPUTED_VALUE"""),5.0)</f>
        <v>5</v>
      </c>
      <c r="T197" s="60">
        <f>IFERROR(__xludf.DUMMYFUNCTION("""COMPUTED_VALUE"""),45380.0)</f>
        <v>45380</v>
      </c>
      <c r="V197" s="59" t="str">
        <f>IFERROR(__xludf.DUMMYFUNCTION("""COMPUTED_VALUE"""),"Abenson Ventures, Inc.")</f>
        <v>Abenson Ventures, Inc.</v>
      </c>
      <c r="W197" s="4">
        <f>IFERROR(__xludf.DUMMYFUNCTION("""COMPUTED_VALUE"""),4.916666666666667)</f>
        <v>4.916666667</v>
      </c>
      <c r="X197" s="60">
        <f>IFERROR(__xludf.DUMMYFUNCTION("""COMPUTED_VALUE"""),45702.0)</f>
        <v>45702</v>
      </c>
      <c r="AA197" s="4"/>
      <c r="AD197" s="4"/>
      <c r="AG197" s="4"/>
    </row>
    <row r="198">
      <c r="A198" s="179"/>
      <c r="B198" s="180"/>
      <c r="C198" s="2"/>
      <c r="E198" s="181"/>
      <c r="F198" s="181"/>
      <c r="G198" s="2"/>
      <c r="I198" s="190"/>
      <c r="J198" s="190"/>
      <c r="K198" s="2"/>
      <c r="R198" s="59" t="str">
        <f>IFERROR(__xludf.DUMMYFUNCTION("""COMPUTED_VALUE"""),"Alpha Steel Office and Home Furnishing Company")</f>
        <v>Alpha Steel Office and Home Furnishing Company</v>
      </c>
      <c r="S198" s="4">
        <f>IFERROR(__xludf.DUMMYFUNCTION("""COMPUTED_VALUE"""),5.0)</f>
        <v>5</v>
      </c>
      <c r="T198" s="60">
        <f>IFERROR(__xludf.DUMMYFUNCTION("""COMPUTED_VALUE"""),45380.0)</f>
        <v>45380</v>
      </c>
      <c r="V198" s="59" t="str">
        <f>IFERROR(__xludf.DUMMYFUNCTION("""COMPUTED_VALUE"""),"Printing Shop PrintPilipinas.com")</f>
        <v>Printing Shop PrintPilipinas.com</v>
      </c>
      <c r="W198" s="4">
        <f>IFERROR(__xludf.DUMMYFUNCTION("""COMPUTED_VALUE"""),4.833333333333333)</f>
        <v>4.833333333</v>
      </c>
      <c r="X198" s="60">
        <f>IFERROR(__xludf.DUMMYFUNCTION("""COMPUTED_VALUE"""),45703.0)</f>
        <v>45703</v>
      </c>
      <c r="AA198" s="4"/>
      <c r="AD198" s="4"/>
      <c r="AG198" s="4"/>
    </row>
    <row r="199">
      <c r="A199" s="179"/>
      <c r="B199" s="180"/>
      <c r="C199" s="2"/>
      <c r="E199" s="181"/>
      <c r="F199" s="181"/>
      <c r="G199" s="2"/>
      <c r="I199" s="190"/>
      <c r="J199" s="190"/>
      <c r="K199" s="2"/>
      <c r="R199" s="59" t="str">
        <f>IFERROR(__xludf.DUMMYFUNCTION("""COMPUTED_VALUE"""),"Creative Juice Digital Printing")</f>
        <v>Creative Juice Digital Printing</v>
      </c>
      <c r="S199" s="4">
        <f>IFERROR(__xludf.DUMMYFUNCTION("""COMPUTED_VALUE"""),4.833333333333333)</f>
        <v>4.833333333</v>
      </c>
      <c r="T199" s="60">
        <f>IFERROR(__xludf.DUMMYFUNCTION("""COMPUTED_VALUE"""),45383.0)</f>
        <v>45383</v>
      </c>
      <c r="V199" s="59" t="str">
        <f>IFERROR(__xludf.DUMMYFUNCTION("""COMPUTED_VALUE"""),"Paper Tree Marketing Group, Inc.")</f>
        <v>Paper Tree Marketing Group, Inc.</v>
      </c>
      <c r="W199" s="4">
        <f>IFERROR(__xludf.DUMMYFUNCTION("""COMPUTED_VALUE"""),4.916666666666667)</f>
        <v>4.916666667</v>
      </c>
      <c r="X199" s="60">
        <f>IFERROR(__xludf.DUMMYFUNCTION("""COMPUTED_VALUE"""),45707.0)</f>
        <v>45707</v>
      </c>
      <c r="AA199" s="4"/>
      <c r="AD199" s="4"/>
      <c r="AG199" s="4"/>
    </row>
    <row r="200">
      <c r="A200" s="179"/>
      <c r="B200" s="180"/>
      <c r="C200" s="2"/>
      <c r="E200" s="181"/>
      <c r="F200" s="181"/>
      <c r="G200" s="2"/>
      <c r="I200" s="190"/>
      <c r="J200" s="190"/>
      <c r="K200" s="2"/>
      <c r="R200" s="59" t="str">
        <f>IFERROR(__xludf.DUMMYFUNCTION("""COMPUTED_VALUE"""),"Creative Juice Digital Printing")</f>
        <v>Creative Juice Digital Printing</v>
      </c>
      <c r="S200" s="4">
        <f>IFERROR(__xludf.DUMMYFUNCTION("""COMPUTED_VALUE"""),4.833333333333333)</f>
        <v>4.833333333</v>
      </c>
      <c r="T200" s="60">
        <f>IFERROR(__xludf.DUMMYFUNCTION("""COMPUTED_VALUE"""),45383.0)</f>
        <v>45383</v>
      </c>
      <c r="V200" s="59" t="str">
        <f>IFERROR(__xludf.DUMMYFUNCTION("""COMPUTED_VALUE"""),"Printing Shop PrintPilipinas.com")</f>
        <v>Printing Shop PrintPilipinas.com</v>
      </c>
      <c r="W200" s="4">
        <f>IFERROR(__xludf.DUMMYFUNCTION("""COMPUTED_VALUE"""),4.833333333333333)</f>
        <v>4.833333333</v>
      </c>
      <c r="X200" s="60">
        <f>IFERROR(__xludf.DUMMYFUNCTION("""COMPUTED_VALUE"""),45709.0)</f>
        <v>45709</v>
      </c>
      <c r="AA200" s="4"/>
      <c r="AD200" s="4"/>
      <c r="AG200" s="4"/>
    </row>
    <row r="201">
      <c r="A201" s="179"/>
      <c r="B201" s="180"/>
      <c r="C201" s="2"/>
      <c r="E201" s="181"/>
      <c r="F201" s="181"/>
      <c r="G201" s="2"/>
      <c r="I201" s="190"/>
      <c r="J201" s="190"/>
      <c r="K201" s="2"/>
      <c r="R201" s="59" t="str">
        <f>IFERROR(__xludf.DUMMYFUNCTION("""COMPUTED_VALUE"""),"Printing Shop PrintPilipinas.com")</f>
        <v>Printing Shop PrintPilipinas.com</v>
      </c>
      <c r="S201" s="4">
        <f>IFERROR(__xludf.DUMMYFUNCTION("""COMPUTED_VALUE"""),4.833333333333333)</f>
        <v>4.833333333</v>
      </c>
      <c r="T201" s="60">
        <f>IFERROR(__xludf.DUMMYFUNCTION("""COMPUTED_VALUE"""),45383.0)</f>
        <v>45383</v>
      </c>
      <c r="V201" s="59" t="str">
        <f>IFERROR(__xludf.DUMMYFUNCTION("""COMPUTED_VALUE"""),"Leonard Prints Inc.")</f>
        <v>Leonard Prints Inc.</v>
      </c>
      <c r="W201" s="4">
        <f>IFERROR(__xludf.DUMMYFUNCTION("""COMPUTED_VALUE"""),4.308333333333334)</f>
        <v>4.308333333</v>
      </c>
      <c r="X201" s="60">
        <f>IFERROR(__xludf.DUMMYFUNCTION("""COMPUTED_VALUE"""),45709.0)</f>
        <v>45709</v>
      </c>
      <c r="AA201" s="4"/>
      <c r="AD201" s="4"/>
      <c r="AG201" s="4"/>
    </row>
    <row r="202">
      <c r="A202" s="179"/>
      <c r="B202" s="180"/>
      <c r="C202" s="2"/>
      <c r="E202" s="181"/>
      <c r="F202" s="181"/>
      <c r="G202" s="2"/>
      <c r="I202" s="190"/>
      <c r="J202" s="190"/>
      <c r="K202" s="2"/>
      <c r="R202" s="59" t="str">
        <f>IFERROR(__xludf.DUMMYFUNCTION("""COMPUTED_VALUE"""),"Printing Shop PrintPilipinas.com")</f>
        <v>Printing Shop PrintPilipinas.com</v>
      </c>
      <c r="S202" s="4">
        <f>IFERROR(__xludf.DUMMYFUNCTION("""COMPUTED_VALUE"""),4.833333333333333)</f>
        <v>4.833333333</v>
      </c>
      <c r="T202" s="60">
        <f>IFERROR(__xludf.DUMMYFUNCTION("""COMPUTED_VALUE"""),45383.0)</f>
        <v>45383</v>
      </c>
      <c r="V202" s="59" t="str">
        <f>IFERROR(__xludf.DUMMYFUNCTION("""COMPUTED_VALUE"""),"Abenson Ventures, Inc.")</f>
        <v>Abenson Ventures, Inc.</v>
      </c>
      <c r="W202" s="4">
        <f>IFERROR(__xludf.DUMMYFUNCTION("""COMPUTED_VALUE"""),4.916666666666667)</f>
        <v>4.916666667</v>
      </c>
      <c r="X202" s="60">
        <f>IFERROR(__xludf.DUMMYFUNCTION("""COMPUTED_VALUE"""),45710.0)</f>
        <v>45710</v>
      </c>
      <c r="AA202" s="4"/>
      <c r="AD202" s="4"/>
      <c r="AG202" s="4"/>
    </row>
    <row r="203">
      <c r="A203" s="179"/>
      <c r="B203" s="180"/>
      <c r="C203" s="2"/>
      <c r="E203" s="181"/>
      <c r="F203" s="181"/>
      <c r="G203" s="2"/>
      <c r="I203" s="190"/>
      <c r="J203" s="190"/>
      <c r="K203" s="2"/>
      <c r="R203" s="59" t="str">
        <f>IFERROR(__xludf.DUMMYFUNCTION("""COMPUTED_VALUE"""),"Rivchem Enterprises")</f>
        <v>Rivchem Enterprises</v>
      </c>
      <c r="S203" s="4">
        <f>IFERROR(__xludf.DUMMYFUNCTION("""COMPUTED_VALUE"""),5.0)</f>
        <v>5</v>
      </c>
      <c r="T203" s="60">
        <f>IFERROR(__xludf.DUMMYFUNCTION("""COMPUTED_VALUE"""),45383.0)</f>
        <v>45383</v>
      </c>
      <c r="V203" s="59" t="str">
        <f>IFERROR(__xludf.DUMMYFUNCTION("""COMPUTED_VALUE"""),"Leonard Prints Inc.")</f>
        <v>Leonard Prints Inc.</v>
      </c>
      <c r="W203" s="4">
        <f>IFERROR(__xludf.DUMMYFUNCTION("""COMPUTED_VALUE"""),4.2749999999999995)</f>
        <v>4.275</v>
      </c>
      <c r="X203" s="60">
        <f>IFERROR(__xludf.DUMMYFUNCTION("""COMPUTED_VALUE"""),45712.0)</f>
        <v>45712</v>
      </c>
      <c r="AA203" s="4"/>
      <c r="AD203" s="4"/>
      <c r="AG203" s="4"/>
    </row>
    <row r="204">
      <c r="A204" s="179"/>
      <c r="B204" s="180"/>
      <c r="C204" s="2"/>
      <c r="E204" s="181"/>
      <c r="F204" s="181"/>
      <c r="G204" s="2"/>
      <c r="I204" s="190"/>
      <c r="J204" s="190"/>
      <c r="K204" s="2"/>
      <c r="R204" s="59" t="str">
        <f>IFERROR(__xludf.DUMMYFUNCTION("""COMPUTED_VALUE"""),"Tropical Palms Fashion House, Inc.")</f>
        <v>Tropical Palms Fashion House, Inc.</v>
      </c>
      <c r="S204" s="4">
        <f>IFERROR(__xludf.DUMMYFUNCTION("""COMPUTED_VALUE"""),5.0)</f>
        <v>5</v>
      </c>
      <c r="T204" s="60">
        <f>IFERROR(__xludf.DUMMYFUNCTION("""COMPUTED_VALUE"""),45383.0)</f>
        <v>45383</v>
      </c>
      <c r="V204" s="59" t="str">
        <f>IFERROR(__xludf.DUMMYFUNCTION("""COMPUTED_VALUE"""),"Rivchem Enterprises")</f>
        <v>Rivchem Enterprises</v>
      </c>
      <c r="W204" s="4">
        <f>IFERROR(__xludf.DUMMYFUNCTION("""COMPUTED_VALUE"""),4.791666666666667)</f>
        <v>4.791666667</v>
      </c>
      <c r="X204" s="60">
        <f>IFERROR(__xludf.DUMMYFUNCTION("""COMPUTED_VALUE"""),45716.0)</f>
        <v>45716</v>
      </c>
      <c r="AA204" s="4"/>
      <c r="AD204" s="4"/>
      <c r="AG204" s="4"/>
    </row>
    <row r="205">
      <c r="A205" s="179"/>
      <c r="B205" s="180"/>
      <c r="C205" s="2"/>
      <c r="E205" s="181"/>
      <c r="F205" s="181"/>
      <c r="G205" s="2"/>
      <c r="I205" s="190"/>
      <c r="J205" s="190"/>
      <c r="K205" s="2"/>
      <c r="R205" s="59" t="str">
        <f>IFERROR(__xludf.DUMMYFUNCTION("""COMPUTED_VALUE"""),"Raynard's Enterprises")</f>
        <v>Raynard's Enterprises</v>
      </c>
      <c r="S205" s="4">
        <f>IFERROR(__xludf.DUMMYFUNCTION("""COMPUTED_VALUE"""),4.733333333333333)</f>
        <v>4.733333333</v>
      </c>
      <c r="T205" s="60">
        <f>IFERROR(__xludf.DUMMYFUNCTION("""COMPUTED_VALUE"""),45387.0)</f>
        <v>45387</v>
      </c>
      <c r="V205" s="59" t="str">
        <f>IFERROR(__xludf.DUMMYFUNCTION("""COMPUTED_VALUE"""),"Rivchem Enterprises")</f>
        <v>Rivchem Enterprises</v>
      </c>
      <c r="W205" s="4">
        <f>IFERROR(__xludf.DUMMYFUNCTION("""COMPUTED_VALUE"""),4.791666666666667)</f>
        <v>4.791666667</v>
      </c>
      <c r="X205" s="60">
        <f>IFERROR(__xludf.DUMMYFUNCTION("""COMPUTED_VALUE"""),45716.0)</f>
        <v>45716</v>
      </c>
      <c r="AA205" s="4"/>
      <c r="AD205" s="4"/>
      <c r="AG205" s="4"/>
    </row>
    <row r="206">
      <c r="A206" s="179"/>
      <c r="B206" s="180"/>
      <c r="C206" s="2"/>
      <c r="E206" s="181"/>
      <c r="F206" s="181"/>
      <c r="G206" s="2"/>
      <c r="I206" s="190"/>
      <c r="J206" s="190"/>
      <c r="K206" s="2"/>
      <c r="R206" s="59" t="str">
        <f>IFERROR(__xludf.DUMMYFUNCTION("""COMPUTED_VALUE"""),"Rivchem Enterprises")</f>
        <v>Rivchem Enterprises</v>
      </c>
      <c r="S206" s="4">
        <f>IFERROR(__xludf.DUMMYFUNCTION("""COMPUTED_VALUE"""),4.496666666666667)</f>
        <v>4.496666667</v>
      </c>
      <c r="T206" s="60">
        <f>IFERROR(__xludf.DUMMYFUNCTION("""COMPUTED_VALUE"""),45390.0)</f>
        <v>45390</v>
      </c>
      <c r="V206" s="59" t="str">
        <f>IFERROR(__xludf.DUMMYFUNCTION("""COMPUTED_VALUE"""),"Creative Juice Digital Printing")</f>
        <v>Creative Juice Digital Printing</v>
      </c>
      <c r="W206" s="4">
        <f>IFERROR(__xludf.DUMMYFUNCTION("""COMPUTED_VALUE"""),5.0)</f>
        <v>5</v>
      </c>
      <c r="X206" s="60">
        <f>IFERROR(__xludf.DUMMYFUNCTION("""COMPUTED_VALUE"""),45666.0)</f>
        <v>45666</v>
      </c>
      <c r="AA206" s="4"/>
      <c r="AD206" s="4"/>
      <c r="AG206" s="4"/>
    </row>
    <row r="207">
      <c r="A207" s="179"/>
      <c r="B207" s="180"/>
      <c r="C207" s="2"/>
      <c r="E207" s="181"/>
      <c r="F207" s="181"/>
      <c r="G207" s="2"/>
      <c r="I207" s="190"/>
      <c r="J207" s="190"/>
      <c r="K207" s="2"/>
      <c r="R207" s="59" t="str">
        <f>IFERROR(__xludf.DUMMYFUNCTION("""COMPUTED_VALUE"""),"Rivchem Enterprises")</f>
        <v>Rivchem Enterprises</v>
      </c>
      <c r="S207" s="4">
        <f>IFERROR(__xludf.DUMMYFUNCTION("""COMPUTED_VALUE"""),5.0)</f>
        <v>5</v>
      </c>
      <c r="T207" s="60">
        <f>IFERROR(__xludf.DUMMYFUNCTION("""COMPUTED_VALUE"""),45390.0)</f>
        <v>45390</v>
      </c>
      <c r="V207" s="59" t="str">
        <f>IFERROR(__xludf.DUMMYFUNCTION("""COMPUTED_VALUE"""),"Data Computer Forms, Inc.")</f>
        <v>Data Computer Forms, Inc.</v>
      </c>
      <c r="W207" s="4">
        <f>IFERROR(__xludf.DUMMYFUNCTION("""COMPUTED_VALUE"""),5.0)</f>
        <v>5</v>
      </c>
      <c r="X207" s="60">
        <f>IFERROR(__xludf.DUMMYFUNCTION("""COMPUTED_VALUE"""),45666.0)</f>
        <v>45666</v>
      </c>
      <c r="AA207" s="4"/>
      <c r="AD207" s="4"/>
      <c r="AG207" s="4"/>
    </row>
    <row r="208">
      <c r="A208" s="179"/>
      <c r="B208" s="180"/>
      <c r="C208" s="2"/>
      <c r="E208" s="181"/>
      <c r="F208" s="181"/>
      <c r="G208" s="2"/>
      <c r="I208" s="190"/>
      <c r="J208" s="190"/>
      <c r="K208" s="2"/>
      <c r="R208" s="59" t="str">
        <f>IFERROR(__xludf.DUMMYFUNCTION("""COMPUTED_VALUE"""),"Times Trading Co., Inc.")</f>
        <v>Times Trading Co., Inc.</v>
      </c>
      <c r="S208" s="4">
        <f>IFERROR(__xludf.DUMMYFUNCTION("""COMPUTED_VALUE"""),4.666666666666667)</f>
        <v>4.666666667</v>
      </c>
      <c r="T208" s="60">
        <f>IFERROR(__xludf.DUMMYFUNCTION("""COMPUTED_VALUE"""),45390.0)</f>
        <v>45390</v>
      </c>
      <c r="V208" s="59" t="str">
        <f>IFERROR(__xludf.DUMMYFUNCTION("""COMPUTED_VALUE"""),"Tadeos Scientific Industries OPC")</f>
        <v>Tadeos Scientific Industries OPC</v>
      </c>
      <c r="W208" s="4">
        <f>IFERROR(__xludf.DUMMYFUNCTION("""COMPUTED_VALUE"""),4.0)</f>
        <v>4</v>
      </c>
      <c r="X208" s="60">
        <f>IFERROR(__xludf.DUMMYFUNCTION("""COMPUTED_VALUE"""),45666.0)</f>
        <v>45666</v>
      </c>
      <c r="AA208" s="4"/>
      <c r="AD208" s="4"/>
      <c r="AG208" s="4"/>
    </row>
    <row r="209">
      <c r="A209" s="179"/>
      <c r="B209" s="180"/>
      <c r="C209" s="2"/>
      <c r="E209" s="181"/>
      <c r="F209" s="181"/>
      <c r="G209" s="2"/>
      <c r="I209" s="190"/>
      <c r="J209" s="190"/>
      <c r="K209" s="2"/>
      <c r="R209" s="59" t="str">
        <f>IFERROR(__xludf.DUMMYFUNCTION("""COMPUTED_VALUE"""),"Times Trading Co., Inc.")</f>
        <v>Times Trading Co., Inc.</v>
      </c>
      <c r="S209" s="4">
        <f>IFERROR(__xludf.DUMMYFUNCTION("""COMPUTED_VALUE"""),4.833333333333333)</f>
        <v>4.833333333</v>
      </c>
      <c r="T209" s="60">
        <f>IFERROR(__xludf.DUMMYFUNCTION("""COMPUTED_VALUE"""),45390.0)</f>
        <v>45390</v>
      </c>
      <c r="V209" s="59" t="str">
        <f>IFERROR(__xludf.DUMMYFUNCTION("""COMPUTED_VALUE"""),"Patagonian Enterprises ")</f>
        <v>Patagonian Enterprises </v>
      </c>
      <c r="W209" s="4">
        <f>IFERROR(__xludf.DUMMYFUNCTION("""COMPUTED_VALUE"""),4.0)</f>
        <v>4</v>
      </c>
      <c r="X209" s="60">
        <f>IFERROR(__xludf.DUMMYFUNCTION("""COMPUTED_VALUE"""),45666.0)</f>
        <v>45666</v>
      </c>
      <c r="AA209" s="4"/>
      <c r="AD209" s="4"/>
      <c r="AG209" s="4"/>
    </row>
    <row r="210">
      <c r="A210" s="179"/>
      <c r="B210" s="180"/>
      <c r="C210" s="2"/>
      <c r="E210" s="181"/>
      <c r="F210" s="181"/>
      <c r="G210" s="2"/>
      <c r="I210" s="190"/>
      <c r="J210" s="190"/>
      <c r="K210" s="2"/>
      <c r="R210" s="59" t="str">
        <f>IFERROR(__xludf.DUMMYFUNCTION("""COMPUTED_VALUE"""),"Times Trading Co., Inc.")</f>
        <v>Times Trading Co., Inc.</v>
      </c>
      <c r="S210" s="4">
        <f>IFERROR(__xludf.DUMMYFUNCTION("""COMPUTED_VALUE"""),4.833333333333333)</f>
        <v>4.833333333</v>
      </c>
      <c r="T210" s="60">
        <f>IFERROR(__xludf.DUMMYFUNCTION("""COMPUTED_VALUE"""),45390.0)</f>
        <v>45390</v>
      </c>
      <c r="V210" s="59" t="str">
        <f>IFERROR(__xludf.DUMMYFUNCTION("""COMPUTED_VALUE"""),"Contrade Integrated Depot")</f>
        <v>Contrade Integrated Depot</v>
      </c>
      <c r="W210" s="4">
        <f>IFERROR(__xludf.DUMMYFUNCTION("""COMPUTED_VALUE"""),4.75)</f>
        <v>4.75</v>
      </c>
      <c r="X210" s="60">
        <f>IFERROR(__xludf.DUMMYFUNCTION("""COMPUTED_VALUE"""),45719.0)</f>
        <v>45719</v>
      </c>
      <c r="AA210" s="4"/>
      <c r="AD210" s="4"/>
      <c r="AG210" s="4"/>
    </row>
    <row r="211">
      <c r="A211" s="179"/>
      <c r="B211" s="180"/>
      <c r="C211" s="2"/>
      <c r="E211" s="181"/>
      <c r="F211" s="181"/>
      <c r="G211" s="2"/>
      <c r="I211" s="190"/>
      <c r="J211" s="190"/>
      <c r="K211" s="2"/>
      <c r="R211" s="59" t="str">
        <f>IFERROR(__xludf.DUMMYFUNCTION("""COMPUTED_VALUE"""),"Goldlink Indsutrial Sales")</f>
        <v>Goldlink Indsutrial Sales</v>
      </c>
      <c r="S211" s="4">
        <f>IFERROR(__xludf.DUMMYFUNCTION("""COMPUTED_VALUE"""),4.75)</f>
        <v>4.75</v>
      </c>
      <c r="T211" s="60">
        <f>IFERROR(__xludf.DUMMYFUNCTION("""COMPUTED_VALUE"""),45394.0)</f>
        <v>45394</v>
      </c>
      <c r="V211" s="59" t="str">
        <f>IFERROR(__xludf.DUMMYFUNCTION("""COMPUTED_VALUE"""),"Velca Equipment And Engineered ")</f>
        <v>Velca Equipment And Engineered </v>
      </c>
      <c r="W211" s="4">
        <f>IFERROR(__xludf.DUMMYFUNCTION("""COMPUTED_VALUE"""),4.0)</f>
        <v>4</v>
      </c>
      <c r="X211" s="60">
        <f>IFERROR(__xludf.DUMMYFUNCTION("""COMPUTED_VALUE"""),45688.0)</f>
        <v>45688</v>
      </c>
      <c r="AA211" s="4"/>
      <c r="AD211" s="4"/>
      <c r="AG211" s="4"/>
    </row>
    <row r="212">
      <c r="A212" s="179"/>
      <c r="B212" s="180"/>
      <c r="C212" s="2"/>
      <c r="E212" s="181"/>
      <c r="F212" s="181"/>
      <c r="G212" s="2"/>
      <c r="I212" s="190"/>
      <c r="J212" s="190"/>
      <c r="K212" s="2"/>
      <c r="R212" s="59" t="str">
        <f>IFERROR(__xludf.DUMMYFUNCTION("""COMPUTED_VALUE"""),"Zariah's Non-Specialized Wholesale Trading")</f>
        <v>Zariah's Non-Specialized Wholesale Trading</v>
      </c>
      <c r="S212" s="4">
        <f>IFERROR(__xludf.DUMMYFUNCTION("""COMPUTED_VALUE"""),4.791666666666667)</f>
        <v>4.791666667</v>
      </c>
      <c r="T212" s="60">
        <f>IFERROR(__xludf.DUMMYFUNCTION("""COMPUTED_VALUE"""),45397.0)</f>
        <v>45397</v>
      </c>
      <c r="V212" s="59" t="str">
        <f>IFERROR(__xludf.DUMMYFUNCTION("""COMPUTED_VALUE"""),"Chemtrust Global Market, Inc.")</f>
        <v>Chemtrust Global Market, Inc.</v>
      </c>
      <c r="W212" s="4">
        <f>IFERROR(__xludf.DUMMYFUNCTION("""COMPUTED_VALUE"""),4.791666666666667)</f>
        <v>4.791666667</v>
      </c>
      <c r="X212" s="60">
        <f>IFERROR(__xludf.DUMMYFUNCTION("""COMPUTED_VALUE"""),45722.0)</f>
        <v>45722</v>
      </c>
      <c r="AA212" s="4"/>
      <c r="AD212" s="4"/>
      <c r="AG212" s="4"/>
    </row>
    <row r="213">
      <c r="A213" s="179"/>
      <c r="B213" s="180"/>
      <c r="C213" s="2"/>
      <c r="E213" s="181"/>
      <c r="F213" s="181"/>
      <c r="G213" s="2"/>
      <c r="I213" s="190"/>
      <c r="J213" s="190"/>
      <c r="K213" s="2"/>
      <c r="R213" s="59" t="str">
        <f>IFERROR(__xludf.DUMMYFUNCTION("""COMPUTED_VALUE"""),"Rivchem Enterprises")</f>
        <v>Rivchem Enterprises</v>
      </c>
      <c r="S213" s="4">
        <f>IFERROR(__xludf.DUMMYFUNCTION("""COMPUTED_VALUE"""),5.0)</f>
        <v>5</v>
      </c>
      <c r="T213" s="60">
        <f>IFERROR(__xludf.DUMMYFUNCTION("""COMPUTED_VALUE"""),45398.0)</f>
        <v>45398</v>
      </c>
      <c r="V213" s="59" t="str">
        <f>IFERROR(__xludf.DUMMYFUNCTION("""COMPUTED_VALUE"""),"Rivchem Enterprises")</f>
        <v>Rivchem Enterprises</v>
      </c>
      <c r="W213" s="4">
        <f>IFERROR(__xludf.DUMMYFUNCTION("""COMPUTED_VALUE"""),4.791666666666667)</f>
        <v>4.791666667</v>
      </c>
      <c r="X213" s="60">
        <f>IFERROR(__xludf.DUMMYFUNCTION("""COMPUTED_VALUE"""),45724.0)</f>
        <v>45724</v>
      </c>
      <c r="AA213" s="4"/>
      <c r="AD213" s="4"/>
      <c r="AG213" s="4"/>
    </row>
    <row r="214">
      <c r="A214" s="179"/>
      <c r="B214" s="180"/>
      <c r="C214" s="2"/>
      <c r="E214" s="181"/>
      <c r="F214" s="181"/>
      <c r="G214" s="2"/>
      <c r="I214" s="190"/>
      <c r="J214" s="190"/>
      <c r="K214" s="2"/>
      <c r="R214" s="59" t="str">
        <f>IFERROR(__xludf.DUMMYFUNCTION("""COMPUTED_VALUE"""),"Contrade Integrated Depot")</f>
        <v>Contrade Integrated Depot</v>
      </c>
      <c r="S214" s="4">
        <f>IFERROR(__xludf.DUMMYFUNCTION("""COMPUTED_VALUE"""),4.5)</f>
        <v>4.5</v>
      </c>
      <c r="T214" s="60">
        <f>IFERROR(__xludf.DUMMYFUNCTION("""COMPUTED_VALUE"""),45400.0)</f>
        <v>45400</v>
      </c>
      <c r="V214" s="59" t="str">
        <f>IFERROR(__xludf.DUMMYFUNCTION("""COMPUTED_VALUE"""),"Rivchem Enterprises")</f>
        <v>Rivchem Enterprises</v>
      </c>
      <c r="W214" s="4">
        <f>IFERROR(__xludf.DUMMYFUNCTION("""COMPUTED_VALUE"""),4.791666666666667)</f>
        <v>4.791666667</v>
      </c>
      <c r="X214" s="60">
        <f>IFERROR(__xludf.DUMMYFUNCTION("""COMPUTED_VALUE"""),45737.0)</f>
        <v>45737</v>
      </c>
      <c r="AA214" s="4"/>
      <c r="AD214" s="4"/>
      <c r="AG214" s="4"/>
    </row>
    <row r="215">
      <c r="A215" s="179"/>
      <c r="B215" s="180"/>
      <c r="C215" s="2"/>
      <c r="E215" s="181"/>
      <c r="F215" s="181"/>
      <c r="G215" s="2"/>
      <c r="I215" s="190"/>
      <c r="J215" s="190"/>
      <c r="K215" s="2"/>
      <c r="R215" s="59" t="str">
        <f>IFERROR(__xludf.DUMMYFUNCTION("""COMPUTED_VALUE"""),"Printing Shop PrintPilipinas.com")</f>
        <v>Printing Shop PrintPilipinas.com</v>
      </c>
      <c r="S215" s="4">
        <f>IFERROR(__xludf.DUMMYFUNCTION("""COMPUTED_VALUE"""),4.691666666666666)</f>
        <v>4.691666667</v>
      </c>
      <c r="T215" s="60">
        <f>IFERROR(__xludf.DUMMYFUNCTION("""COMPUTED_VALUE"""),45401.0)</f>
        <v>45401</v>
      </c>
      <c r="V215" s="59" t="str">
        <f>IFERROR(__xludf.DUMMYFUNCTION("""COMPUTED_VALUE"""),"Arkin Hardware")</f>
        <v>Arkin Hardware</v>
      </c>
      <c r="W215" s="4">
        <f>IFERROR(__xludf.DUMMYFUNCTION("""COMPUTED_VALUE"""),5.0)</f>
        <v>5</v>
      </c>
      <c r="X215" s="60">
        <f>IFERROR(__xludf.DUMMYFUNCTION("""COMPUTED_VALUE"""),45702.0)</f>
        <v>45702</v>
      </c>
      <c r="AA215" s="4"/>
      <c r="AD215" s="4"/>
      <c r="AG215" s="4"/>
    </row>
    <row r="216">
      <c r="A216" s="179"/>
      <c r="B216" s="180"/>
      <c r="C216" s="2"/>
      <c r="E216" s="181"/>
      <c r="F216" s="181"/>
      <c r="G216" s="2"/>
      <c r="I216" s="190"/>
      <c r="J216" s="190"/>
      <c r="K216" s="2"/>
      <c r="R216" s="59" t="str">
        <f>IFERROR(__xludf.DUMMYFUNCTION("""COMPUTED_VALUE"""),"Arkin Hardware")</f>
        <v>Arkin Hardware</v>
      </c>
      <c r="S216" s="4">
        <f>IFERROR(__xludf.DUMMYFUNCTION("""COMPUTED_VALUE"""),4.6499999999999995)</f>
        <v>4.65</v>
      </c>
      <c r="T216" s="60">
        <f>IFERROR(__xludf.DUMMYFUNCTION("""COMPUTED_VALUE"""),45402.0)</f>
        <v>45402</v>
      </c>
      <c r="V216" s="59" t="str">
        <f>IFERROR(__xludf.DUMMYFUNCTION("""COMPUTED_VALUE"""),"Atlas Superflags")</f>
        <v>Atlas Superflags</v>
      </c>
      <c r="W216" s="4">
        <f>IFERROR(__xludf.DUMMYFUNCTION("""COMPUTED_VALUE"""),5.0)</f>
        <v>5</v>
      </c>
      <c r="X216" s="60">
        <f>IFERROR(__xludf.DUMMYFUNCTION("""COMPUTED_VALUE"""),45625.0)</f>
        <v>45625</v>
      </c>
      <c r="AA216" s="4"/>
      <c r="AD216" s="4"/>
      <c r="AG216" s="4"/>
    </row>
    <row r="217">
      <c r="A217" s="179"/>
      <c r="B217" s="180"/>
      <c r="C217" s="2"/>
      <c r="E217" s="181"/>
      <c r="F217" s="181"/>
      <c r="G217" s="2"/>
      <c r="I217" s="190"/>
      <c r="J217" s="190"/>
      <c r="K217" s="2"/>
      <c r="R217" s="59" t="str">
        <f>IFERROR(__xludf.DUMMYFUNCTION("""COMPUTED_VALUE"""),"Printing Shop PrintPilipinas.com")</f>
        <v>Printing Shop PrintPilipinas.com</v>
      </c>
      <c r="S217" s="4">
        <f>IFERROR(__xludf.DUMMYFUNCTION("""COMPUTED_VALUE"""),4.608333333333333)</f>
        <v>4.608333333</v>
      </c>
      <c r="T217" s="60">
        <f>IFERROR(__xludf.DUMMYFUNCTION("""COMPUTED_VALUE"""),45406.0)</f>
        <v>45406</v>
      </c>
      <c r="V217" s="59" t="str">
        <f>IFERROR(__xludf.DUMMYFUNCTION("""COMPUTED_VALUE"""),"Times Trading Co., Inc.")</f>
        <v>Times Trading Co., Inc.</v>
      </c>
      <c r="W217" s="4">
        <f>IFERROR(__xludf.DUMMYFUNCTION("""COMPUTED_VALUE"""),5.0)</f>
        <v>5</v>
      </c>
      <c r="X217" s="60">
        <f>IFERROR(__xludf.DUMMYFUNCTION("""COMPUTED_VALUE"""),45602.0)</f>
        <v>45602</v>
      </c>
      <c r="AA217" s="4"/>
      <c r="AD217" s="4"/>
      <c r="AG217" s="4"/>
    </row>
    <row r="218">
      <c r="A218" s="179"/>
      <c r="B218" s="180"/>
      <c r="C218" s="2"/>
      <c r="E218" s="181"/>
      <c r="F218" s="181"/>
      <c r="G218" s="2"/>
      <c r="I218" s="190"/>
      <c r="J218" s="190"/>
      <c r="K218" s="2"/>
      <c r="R218" s="59" t="str">
        <f>IFERROR(__xludf.DUMMYFUNCTION("""COMPUTED_VALUE"""),"Rivchem Enterprises")</f>
        <v>Rivchem Enterprises</v>
      </c>
      <c r="S218" s="4">
        <f>IFERROR(__xludf.DUMMYFUNCTION("""COMPUTED_VALUE"""),4.833333333333333)</f>
        <v>4.833333333</v>
      </c>
      <c r="T218" s="60">
        <f>IFERROR(__xludf.DUMMYFUNCTION("""COMPUTED_VALUE"""),45406.0)</f>
        <v>45406</v>
      </c>
      <c r="V218" s="59" t="str">
        <f>IFERROR(__xludf.DUMMYFUNCTION("""COMPUTED_VALUE"""),"Arkin Hardware")</f>
        <v>Arkin Hardware</v>
      </c>
      <c r="W218" s="4">
        <f>IFERROR(__xludf.DUMMYFUNCTION("""COMPUTED_VALUE"""),5.0)</f>
        <v>5</v>
      </c>
      <c r="X218" s="60">
        <f>IFERROR(__xludf.DUMMYFUNCTION("""COMPUTED_VALUE"""),45712.0)</f>
        <v>45712</v>
      </c>
      <c r="AA218" s="4"/>
      <c r="AD218" s="4"/>
      <c r="AG218" s="4"/>
    </row>
    <row r="219">
      <c r="A219" s="179"/>
      <c r="B219" s="180"/>
      <c r="C219" s="2"/>
      <c r="E219" s="181"/>
      <c r="F219" s="181"/>
      <c r="G219" s="2"/>
      <c r="I219" s="190"/>
      <c r="J219" s="190"/>
      <c r="K219" s="2"/>
      <c r="R219" s="59" t="str">
        <f>IFERROR(__xludf.DUMMYFUNCTION("""COMPUTED_VALUE"""),"Crosspoint Paper, Inc.")</f>
        <v>Crosspoint Paper, Inc.</v>
      </c>
      <c r="S219" s="4">
        <f>IFERROR(__xludf.DUMMYFUNCTION("""COMPUTED_VALUE"""),5.0)</f>
        <v>5</v>
      </c>
      <c r="T219" s="60">
        <f>IFERROR(__xludf.DUMMYFUNCTION("""COMPUTED_VALUE"""),45406.0)</f>
        <v>45406</v>
      </c>
      <c r="V219" s="59" t="str">
        <f>IFERROR(__xludf.DUMMYFUNCTION("""COMPUTED_VALUE"""),"Arkin Hardware")</f>
        <v>Arkin Hardware</v>
      </c>
      <c r="W219" s="4">
        <f>IFERROR(__xludf.DUMMYFUNCTION("""COMPUTED_VALUE"""),5.0)</f>
        <v>5</v>
      </c>
      <c r="X219" s="60">
        <f>IFERROR(__xludf.DUMMYFUNCTION("""COMPUTED_VALUE"""),45689.0)</f>
        <v>45689</v>
      </c>
      <c r="AA219" s="4"/>
      <c r="AD219" s="4"/>
      <c r="AG219" s="4"/>
    </row>
    <row r="220">
      <c r="A220" s="179"/>
      <c r="B220" s="180"/>
      <c r="C220" s="2"/>
      <c r="E220" s="181"/>
      <c r="F220" s="181"/>
      <c r="G220" s="2"/>
      <c r="I220" s="190"/>
      <c r="J220" s="190"/>
      <c r="K220" s="2"/>
      <c r="R220" s="59" t="str">
        <f>IFERROR(__xludf.DUMMYFUNCTION("""COMPUTED_VALUE"""),"Abenson Ventures, Inc.")</f>
        <v>Abenson Ventures, Inc.</v>
      </c>
      <c r="S220" s="4">
        <f>IFERROR(__xludf.DUMMYFUNCTION("""COMPUTED_VALUE"""),4.833333333333333)</f>
        <v>4.833333333</v>
      </c>
      <c r="T220" s="60">
        <f>IFERROR(__xludf.DUMMYFUNCTION("""COMPUTED_VALUE"""),45407.0)</f>
        <v>45407</v>
      </c>
      <c r="V220" s="59" t="str">
        <f>IFERROR(__xludf.DUMMYFUNCTION("""COMPUTED_VALUE"""),"Times Trading Co., Inc.")</f>
        <v>Times Trading Co., Inc.</v>
      </c>
      <c r="W220" s="4">
        <f>IFERROR(__xludf.DUMMYFUNCTION("""COMPUTED_VALUE"""),4.916666666666667)</f>
        <v>4.916666667</v>
      </c>
      <c r="X220" s="60">
        <f>IFERROR(__xludf.DUMMYFUNCTION("""COMPUTED_VALUE"""),45803.0)</f>
        <v>45803</v>
      </c>
      <c r="AA220" s="4"/>
      <c r="AD220" s="4"/>
      <c r="AG220" s="4"/>
    </row>
    <row r="221">
      <c r="A221" s="179"/>
      <c r="B221" s="180"/>
      <c r="C221" s="2"/>
      <c r="E221" s="181"/>
      <c r="F221" s="181"/>
      <c r="G221" s="2"/>
      <c r="I221" s="190"/>
      <c r="J221" s="190"/>
      <c r="K221" s="2"/>
      <c r="R221" s="59" t="str">
        <f>IFERROR(__xludf.DUMMYFUNCTION("""COMPUTED_VALUE"""),"Abenson Ventures, Inc.")</f>
        <v>Abenson Ventures, Inc.</v>
      </c>
      <c r="S221" s="4">
        <f>IFERROR(__xludf.DUMMYFUNCTION("""COMPUTED_VALUE"""),4.233333333333333)</f>
        <v>4.233333333</v>
      </c>
      <c r="T221" s="60">
        <f>IFERROR(__xludf.DUMMYFUNCTION("""COMPUTED_VALUE"""),45407.0)</f>
        <v>45407</v>
      </c>
      <c r="V221" s="59" t="str">
        <f>IFERROR(__xludf.DUMMYFUNCTION("""COMPUTED_VALUE"""),"Crosspoint Paper, Inc.")</f>
        <v>Crosspoint Paper, Inc.</v>
      </c>
      <c r="W221" s="4">
        <f>IFERROR(__xludf.DUMMYFUNCTION("""COMPUTED_VALUE"""),5.0)</f>
        <v>5</v>
      </c>
      <c r="X221" s="60">
        <f>IFERROR(__xludf.DUMMYFUNCTION("""COMPUTED_VALUE"""),45803.0)</f>
        <v>45803</v>
      </c>
      <c r="AA221" s="4"/>
      <c r="AD221" s="4"/>
      <c r="AG221" s="4"/>
    </row>
    <row r="222">
      <c r="A222" s="179"/>
      <c r="B222" s="180"/>
      <c r="C222" s="2"/>
      <c r="E222" s="181"/>
      <c r="F222" s="181"/>
      <c r="G222" s="2"/>
      <c r="I222" s="190"/>
      <c r="J222" s="190"/>
      <c r="K222" s="2"/>
      <c r="R222" s="59" t="str">
        <f>IFERROR(__xludf.DUMMYFUNCTION("""COMPUTED_VALUE"""),"Abenson Ventures, Inc.")</f>
        <v>Abenson Ventures, Inc.</v>
      </c>
      <c r="S222" s="4">
        <f>IFERROR(__xludf.DUMMYFUNCTION("""COMPUTED_VALUE"""),4.0)</f>
        <v>4</v>
      </c>
      <c r="T222" s="60">
        <f>IFERROR(__xludf.DUMMYFUNCTION("""COMPUTED_VALUE"""),45407.0)</f>
        <v>45407</v>
      </c>
      <c r="V222" s="59" t="str">
        <f>IFERROR(__xludf.DUMMYFUNCTION("""COMPUTED_VALUE"""),"Express Cards Enterprises Co.")</f>
        <v>Express Cards Enterprises Co.</v>
      </c>
      <c r="W222" s="4">
        <f>IFERROR(__xludf.DUMMYFUNCTION("""COMPUTED_VALUE"""),5.0)</f>
        <v>5</v>
      </c>
      <c r="X222" s="60">
        <f>IFERROR(__xludf.DUMMYFUNCTION("""COMPUTED_VALUE"""),45803.0)</f>
        <v>45803</v>
      </c>
      <c r="AA222" s="4"/>
      <c r="AD222" s="4"/>
      <c r="AG222" s="4"/>
    </row>
    <row r="223">
      <c r="A223" s="179"/>
      <c r="B223" s="180"/>
      <c r="C223" s="2"/>
      <c r="E223" s="181"/>
      <c r="F223" s="181"/>
      <c r="G223" s="2"/>
      <c r="I223" s="190"/>
      <c r="J223" s="190"/>
      <c r="K223" s="2"/>
      <c r="R223" s="59" t="str">
        <f>IFERROR(__xludf.DUMMYFUNCTION("""COMPUTED_VALUE"""),"Tropical Palms Fashion House, Inc.")</f>
        <v>Tropical Palms Fashion House, Inc.</v>
      </c>
      <c r="S223" s="4">
        <f>IFERROR(__xludf.DUMMYFUNCTION("""COMPUTED_VALUE"""),4.75)</f>
        <v>4.75</v>
      </c>
      <c r="T223" s="60">
        <f>IFERROR(__xludf.DUMMYFUNCTION("""COMPUTED_VALUE"""),45407.0)</f>
        <v>45407</v>
      </c>
      <c r="V223" s="59" t="str">
        <f>IFERROR(__xludf.DUMMYFUNCTION("""COMPUTED_VALUE"""),"Contrade Integrated Depot")</f>
        <v>Contrade Integrated Depot</v>
      </c>
      <c r="W223" s="4">
        <f>IFERROR(__xludf.DUMMYFUNCTION("""COMPUTED_VALUE"""),4.8)</f>
        <v>4.8</v>
      </c>
      <c r="X223" s="60">
        <f>IFERROR(__xludf.DUMMYFUNCTION("""COMPUTED_VALUE"""),45803.0)</f>
        <v>45803</v>
      </c>
      <c r="AA223" s="4"/>
      <c r="AD223" s="4"/>
      <c r="AG223" s="4"/>
    </row>
    <row r="224">
      <c r="A224" s="179"/>
      <c r="B224" s="180"/>
      <c r="C224" s="2"/>
      <c r="E224" s="181"/>
      <c r="F224" s="181"/>
      <c r="G224" s="2"/>
      <c r="I224" s="190"/>
      <c r="J224" s="190"/>
      <c r="K224" s="2"/>
      <c r="R224" s="59" t="str">
        <f>IFERROR(__xludf.DUMMYFUNCTION("""COMPUTED_VALUE"""),"ULTRA PETRONNE INTERIOR SUPPLY CORPORATION")</f>
        <v>ULTRA PETRONNE INTERIOR SUPPLY CORPORATION</v>
      </c>
      <c r="S224" s="4">
        <f>IFERROR(__xludf.DUMMYFUNCTION("""COMPUTED_VALUE"""),4.5)</f>
        <v>4.5</v>
      </c>
      <c r="T224" s="60">
        <f>IFERROR(__xludf.DUMMYFUNCTION("""COMPUTED_VALUE"""),45408.0)</f>
        <v>45408</v>
      </c>
      <c r="V224" s="59" t="str">
        <f>IFERROR(__xludf.DUMMYFUNCTION("""COMPUTED_VALUE"""),"Times Trading Co., Inc.")</f>
        <v>Times Trading Co., Inc.</v>
      </c>
      <c r="W224" s="4">
        <f>IFERROR(__xludf.DUMMYFUNCTION("""COMPUTED_VALUE"""),4.966666666666666)</f>
        <v>4.966666667</v>
      </c>
      <c r="X224" s="60">
        <f>IFERROR(__xludf.DUMMYFUNCTION("""COMPUTED_VALUE"""),45803.0)</f>
        <v>45803</v>
      </c>
      <c r="AA224" s="4"/>
      <c r="AD224" s="4"/>
      <c r="AG224" s="4"/>
    </row>
    <row r="225">
      <c r="A225" s="179"/>
      <c r="B225" s="180"/>
      <c r="C225" s="2"/>
      <c r="E225" s="181"/>
      <c r="F225" s="181"/>
      <c r="G225" s="2"/>
      <c r="I225" s="190"/>
      <c r="J225" s="190"/>
      <c r="K225" s="2"/>
      <c r="R225" s="59" t="str">
        <f>IFERROR(__xludf.DUMMYFUNCTION("""COMPUTED_VALUE"""),"Abacus Book &amp; Card Corp.")</f>
        <v>Abacus Book &amp; Card Corp.</v>
      </c>
      <c r="S225" s="4">
        <f>IFERROR(__xludf.DUMMYFUNCTION("""COMPUTED_VALUE"""),5.0)</f>
        <v>5</v>
      </c>
      <c r="T225" s="60">
        <f>IFERROR(__xludf.DUMMYFUNCTION("""COMPUTED_VALUE"""),45411.0)</f>
        <v>45411</v>
      </c>
      <c r="V225" s="59" t="str">
        <f>IFERROR(__xludf.DUMMYFUNCTION("""COMPUTED_VALUE"""),"Mostaco Printing")</f>
        <v>Mostaco Printing</v>
      </c>
      <c r="W225" s="4">
        <f>IFERROR(__xludf.DUMMYFUNCTION("""COMPUTED_VALUE"""),5.0)</f>
        <v>5</v>
      </c>
      <c r="X225" s="60">
        <f>IFERROR(__xludf.DUMMYFUNCTION("""COMPUTED_VALUE"""),45803.0)</f>
        <v>45803</v>
      </c>
      <c r="AA225" s="4"/>
      <c r="AD225" s="4"/>
      <c r="AG225" s="4"/>
    </row>
    <row r="226">
      <c r="A226" s="179"/>
      <c r="B226" s="180"/>
      <c r="C226" s="2"/>
      <c r="E226" s="181"/>
      <c r="F226" s="181"/>
      <c r="G226" s="2"/>
      <c r="I226" s="190"/>
      <c r="J226" s="190"/>
      <c r="K226" s="2"/>
      <c r="R226" s="59" t="str">
        <f>IFERROR(__xludf.DUMMYFUNCTION("""COMPUTED_VALUE"""),"Alpha-Cored Technology Systems, Inc.")</f>
        <v>Alpha-Cored Technology Systems, Inc.</v>
      </c>
      <c r="S226" s="4">
        <f>IFERROR(__xludf.DUMMYFUNCTION("""COMPUTED_VALUE"""),5.0)</f>
        <v>5</v>
      </c>
      <c r="T226" s="60">
        <f>IFERROR(__xludf.DUMMYFUNCTION("""COMPUTED_VALUE"""),45411.0)</f>
        <v>45411</v>
      </c>
      <c r="V226" s="59" t="str">
        <f>IFERROR(__xludf.DUMMYFUNCTION("""COMPUTED_VALUE"""),"Trojan Computer Forms Mfg. Corp.")</f>
        <v>Trojan Computer Forms Mfg. Corp.</v>
      </c>
      <c r="W226" s="4">
        <f>IFERROR(__xludf.DUMMYFUNCTION("""COMPUTED_VALUE"""),5.0)</f>
        <v>5</v>
      </c>
      <c r="X226" s="60">
        <f>IFERROR(__xludf.DUMMYFUNCTION("""COMPUTED_VALUE"""),45485.0)</f>
        <v>45485</v>
      </c>
      <c r="AA226" s="4"/>
      <c r="AD226" s="4"/>
      <c r="AG226" s="4"/>
    </row>
    <row r="227">
      <c r="A227" s="179"/>
      <c r="B227" s="180"/>
      <c r="C227" s="2"/>
      <c r="E227" s="181"/>
      <c r="F227" s="181"/>
      <c r="G227" s="2"/>
      <c r="I227" s="190"/>
      <c r="J227" s="190"/>
      <c r="K227" s="2"/>
      <c r="R227" s="59" t="str">
        <f>IFERROR(__xludf.DUMMYFUNCTION("""COMPUTED_VALUE"""),"Contrade Integrated Depot")</f>
        <v>Contrade Integrated Depot</v>
      </c>
      <c r="S227" s="4">
        <f>IFERROR(__xludf.DUMMYFUNCTION("""COMPUTED_VALUE"""),4.5)</f>
        <v>4.5</v>
      </c>
      <c r="T227" s="60">
        <f>IFERROR(__xludf.DUMMYFUNCTION("""COMPUTED_VALUE"""),45411.0)</f>
        <v>45411</v>
      </c>
      <c r="V227" s="59" t="str">
        <f>IFERROR(__xludf.DUMMYFUNCTION("""COMPUTED_VALUE"""),"Microsmith Technology System,Inc.")</f>
        <v>Microsmith Technology System,Inc.</v>
      </c>
      <c r="W227" s="4">
        <f>IFERROR(__xludf.DUMMYFUNCTION("""COMPUTED_VALUE"""),4.816666666666666)</f>
        <v>4.816666667</v>
      </c>
      <c r="X227" s="60">
        <f>IFERROR(__xludf.DUMMYFUNCTION("""COMPUTED_VALUE"""),45702.0)</f>
        <v>45702</v>
      </c>
      <c r="AA227" s="4"/>
      <c r="AD227" s="4"/>
      <c r="AG227" s="4"/>
    </row>
    <row r="228">
      <c r="A228" s="179"/>
      <c r="B228" s="180"/>
      <c r="C228" s="2"/>
      <c r="E228" s="181"/>
      <c r="F228" s="181"/>
      <c r="G228" s="2"/>
      <c r="I228" s="190"/>
      <c r="J228" s="190"/>
      <c r="K228" s="2"/>
      <c r="R228" s="59" t="str">
        <f>IFERROR(__xludf.DUMMYFUNCTION("""COMPUTED_VALUE"""),"Hospeco Philippines, Inc.")</f>
        <v>Hospeco Philippines, Inc.</v>
      </c>
      <c r="S228" s="4">
        <f>IFERROR(__xludf.DUMMYFUNCTION("""COMPUTED_VALUE"""),4.833333333333333)</f>
        <v>4.833333333</v>
      </c>
      <c r="T228" s="60">
        <f>IFERROR(__xludf.DUMMYFUNCTION("""COMPUTED_VALUE"""),45411.0)</f>
        <v>45411</v>
      </c>
      <c r="V228" s="59" t="str">
        <f>IFERROR(__xludf.DUMMYFUNCTION("""COMPUTED_VALUE"""),"Net Ad IT Solutions")</f>
        <v>Net Ad IT Solutions</v>
      </c>
      <c r="W228" s="4">
        <f>IFERROR(__xludf.DUMMYFUNCTION("""COMPUTED_VALUE"""),5.0)</f>
        <v>5</v>
      </c>
      <c r="X228" s="60">
        <f>IFERROR(__xludf.DUMMYFUNCTION("""COMPUTED_VALUE"""),45692.0)</f>
        <v>45692</v>
      </c>
      <c r="AA228" s="4"/>
      <c r="AD228" s="4"/>
      <c r="AG228" s="4"/>
    </row>
    <row r="229">
      <c r="A229" s="179"/>
      <c r="B229" s="180"/>
      <c r="C229" s="2"/>
      <c r="E229" s="181"/>
      <c r="F229" s="181"/>
      <c r="G229" s="2"/>
      <c r="I229" s="190"/>
      <c r="J229" s="190"/>
      <c r="K229" s="2"/>
      <c r="R229" s="59" t="str">
        <f>IFERROR(__xludf.DUMMYFUNCTION("""COMPUTED_VALUE"""),"Contrade Integrated Depot")</f>
        <v>Contrade Integrated Depot</v>
      </c>
      <c r="S229" s="4">
        <f>IFERROR(__xludf.DUMMYFUNCTION("""COMPUTED_VALUE"""),4.566666666666666)</f>
        <v>4.566666667</v>
      </c>
      <c r="T229" s="60">
        <f>IFERROR(__xludf.DUMMYFUNCTION("""COMPUTED_VALUE"""),45411.0)</f>
        <v>45411</v>
      </c>
      <c r="V229" s="59" t="str">
        <f>IFERROR(__xludf.DUMMYFUNCTION("""COMPUTED_VALUE"""),"COMPUTECHNOLOGIES CORP.")</f>
        <v>COMPUTECHNOLOGIES CORP.</v>
      </c>
      <c r="W229" s="4">
        <f>IFERROR(__xludf.DUMMYFUNCTION("""COMPUTED_VALUE"""),4.858333333333333)</f>
        <v>4.858333333</v>
      </c>
      <c r="X229" s="60">
        <f>IFERROR(__xludf.DUMMYFUNCTION("""COMPUTED_VALUE"""),45728.0)</f>
        <v>45728</v>
      </c>
      <c r="AA229" s="4"/>
      <c r="AD229" s="4"/>
      <c r="AG229" s="4"/>
    </row>
    <row r="230">
      <c r="A230" s="179"/>
      <c r="B230" s="180"/>
      <c r="C230" s="2"/>
      <c r="E230" s="181"/>
      <c r="F230" s="181"/>
      <c r="G230" s="2"/>
      <c r="I230" s="190"/>
      <c r="J230" s="190"/>
      <c r="K230" s="2"/>
      <c r="R230" s="59" t="str">
        <f>IFERROR(__xludf.DUMMYFUNCTION("""COMPUTED_VALUE"""),"Abacus Book &amp; Card Corp.")</f>
        <v>Abacus Book &amp; Card Corp.</v>
      </c>
      <c r="S230" s="4">
        <f>IFERROR(__xludf.DUMMYFUNCTION("""COMPUTED_VALUE"""),5.0)</f>
        <v>5</v>
      </c>
      <c r="T230" s="60">
        <f>IFERROR(__xludf.DUMMYFUNCTION("""COMPUTED_VALUE"""),45411.0)</f>
        <v>45411</v>
      </c>
      <c r="V230" s="59" t="str">
        <f>IFERROR(__xludf.DUMMYFUNCTION("""COMPUTED_VALUE"""),"Columbia Technologies, Inc.")</f>
        <v>Columbia Technologies, Inc.</v>
      </c>
      <c r="W230" s="4">
        <f>IFERROR(__xludf.DUMMYFUNCTION("""COMPUTED_VALUE"""),4.883333333333334)</f>
        <v>4.883333333</v>
      </c>
      <c r="X230" s="60">
        <f>IFERROR(__xludf.DUMMYFUNCTION("""COMPUTED_VALUE"""),45491.0)</f>
        <v>45491</v>
      </c>
      <c r="AA230" s="4"/>
      <c r="AD230" s="4"/>
      <c r="AG230" s="4"/>
    </row>
    <row r="231">
      <c r="A231" s="179"/>
      <c r="B231" s="180"/>
      <c r="C231" s="2"/>
      <c r="E231" s="181"/>
      <c r="F231" s="181"/>
      <c r="G231" s="2"/>
      <c r="I231" s="190"/>
      <c r="J231" s="190"/>
      <c r="K231" s="2"/>
      <c r="R231" s="59" t="str">
        <f>IFERROR(__xludf.DUMMYFUNCTION("""COMPUTED_VALUE"""),"Abenson Ventures, Inc.")</f>
        <v>Abenson Ventures, Inc.</v>
      </c>
      <c r="S231" s="4">
        <f>IFERROR(__xludf.DUMMYFUNCTION("""COMPUTED_VALUE"""),4.733333333333333)</f>
        <v>4.733333333</v>
      </c>
      <c r="T231" s="60">
        <f>IFERROR(__xludf.DUMMYFUNCTION("""COMPUTED_VALUE"""),45412.0)</f>
        <v>45412</v>
      </c>
      <c r="V231" s="59" t="str">
        <f>IFERROR(__xludf.DUMMYFUNCTION("""COMPUTED_VALUE"""),"Arkin Hardware")</f>
        <v>Arkin Hardware</v>
      </c>
      <c r="W231" s="4">
        <f>IFERROR(__xludf.DUMMYFUNCTION("""COMPUTED_VALUE"""),4.95)</f>
        <v>4.95</v>
      </c>
      <c r="X231" s="60">
        <f>IFERROR(__xludf.DUMMYFUNCTION("""COMPUTED_VALUE"""),45625.0)</f>
        <v>45625</v>
      </c>
      <c r="AA231" s="4"/>
      <c r="AD231" s="4"/>
      <c r="AG231" s="4"/>
    </row>
    <row r="232">
      <c r="A232" s="179"/>
      <c r="B232" s="180"/>
      <c r="C232" s="2"/>
      <c r="E232" s="181"/>
      <c r="F232" s="181"/>
      <c r="G232" s="2"/>
      <c r="I232" s="190"/>
      <c r="J232" s="190"/>
      <c r="K232" s="2"/>
      <c r="R232" s="59" t="str">
        <f>IFERROR(__xludf.DUMMYFUNCTION("""COMPUTED_VALUE"""),"Abenson Ventures, Inc.")</f>
        <v>Abenson Ventures, Inc.</v>
      </c>
      <c r="S232" s="4">
        <f>IFERROR(__xludf.DUMMYFUNCTION("""COMPUTED_VALUE"""),4.733333333333333)</f>
        <v>4.733333333</v>
      </c>
      <c r="T232" s="60">
        <f>IFERROR(__xludf.DUMMYFUNCTION("""COMPUTED_VALUE"""),45412.0)</f>
        <v>45412</v>
      </c>
      <c r="V232" s="59" t="str">
        <f>IFERROR(__xludf.DUMMYFUNCTION("""COMPUTED_VALUE"""),"Net Ad IT Solutions")</f>
        <v>Net Ad IT Solutions</v>
      </c>
      <c r="W232" s="4">
        <f>IFERROR(__xludf.DUMMYFUNCTION("""COMPUTED_VALUE"""),5.0)</f>
        <v>5</v>
      </c>
      <c r="X232" s="60">
        <f>IFERROR(__xludf.DUMMYFUNCTION("""COMPUTED_VALUE"""),45482.0)</f>
        <v>45482</v>
      </c>
      <c r="AA232" s="4"/>
      <c r="AD232" s="4"/>
      <c r="AG232" s="4"/>
    </row>
    <row r="233">
      <c r="A233" s="179"/>
      <c r="B233" s="180"/>
      <c r="C233" s="2"/>
      <c r="E233" s="181"/>
      <c r="F233" s="181"/>
      <c r="G233" s="2"/>
      <c r="I233" s="190"/>
      <c r="J233" s="190"/>
      <c r="K233" s="2"/>
      <c r="R233" s="59" t="str">
        <f>IFERROR(__xludf.DUMMYFUNCTION("""COMPUTED_VALUE"""),"DOOPLO ADVERTISING")</f>
        <v>DOOPLO ADVERTISING</v>
      </c>
      <c r="S233" s="4">
        <f>IFERROR(__xludf.DUMMYFUNCTION("""COMPUTED_VALUE"""),4.0)</f>
        <v>4</v>
      </c>
      <c r="T233" s="60">
        <f>IFERROR(__xludf.DUMMYFUNCTION("""COMPUTED_VALUE"""),45412.0)</f>
        <v>45412</v>
      </c>
      <c r="V233" s="59" t="str">
        <f>IFERROR(__xludf.DUMMYFUNCTION("""COMPUTED_VALUE"""),"Microsmith Technology System,Inc.")</f>
        <v>Microsmith Technology System,Inc.</v>
      </c>
      <c r="W233" s="4">
        <f>IFERROR(__xludf.DUMMYFUNCTION("""COMPUTED_VALUE"""),5.0)</f>
        <v>5</v>
      </c>
      <c r="X233" s="60">
        <f>IFERROR(__xludf.DUMMYFUNCTION("""COMPUTED_VALUE"""),45531.0)</f>
        <v>45531</v>
      </c>
      <c r="AA233" s="4"/>
      <c r="AD233" s="4"/>
      <c r="AG233" s="4"/>
    </row>
    <row r="234">
      <c r="A234" s="179"/>
      <c r="B234" s="180"/>
      <c r="C234" s="2"/>
      <c r="E234" s="181"/>
      <c r="F234" s="181"/>
      <c r="G234" s="2"/>
      <c r="I234" s="190"/>
      <c r="J234" s="190"/>
      <c r="K234" s="2"/>
      <c r="R234" s="59" t="str">
        <f>IFERROR(__xludf.DUMMYFUNCTION("""COMPUTED_VALUE"""),"Arkin Hardware")</f>
        <v>Arkin Hardware</v>
      </c>
      <c r="S234" s="4">
        <f>IFERROR(__xludf.DUMMYFUNCTION("""COMPUTED_VALUE"""),4.5)</f>
        <v>4.5</v>
      </c>
      <c r="T234" s="60">
        <f>IFERROR(__xludf.DUMMYFUNCTION("""COMPUTED_VALUE"""),45415.0)</f>
        <v>45415</v>
      </c>
      <c r="V234" s="59" t="str">
        <f>IFERROR(__xludf.DUMMYFUNCTION("""COMPUTED_VALUE"""),"iEquity Technologies Corp.")</f>
        <v>iEquity Technologies Corp.</v>
      </c>
      <c r="W234" s="4">
        <f>IFERROR(__xludf.DUMMYFUNCTION("""COMPUTED_VALUE"""),4.916666666666667)</f>
        <v>4.916666667</v>
      </c>
      <c r="X234" s="60">
        <f>IFERROR(__xludf.DUMMYFUNCTION("""COMPUTED_VALUE"""),45595.0)</f>
        <v>45595</v>
      </c>
      <c r="AA234" s="4"/>
      <c r="AD234" s="4"/>
      <c r="AG234" s="4"/>
    </row>
    <row r="235">
      <c r="A235" s="179"/>
      <c r="B235" s="180"/>
      <c r="C235" s="2"/>
      <c r="E235" s="181"/>
      <c r="F235" s="181"/>
      <c r="G235" s="2"/>
      <c r="I235" s="190"/>
      <c r="J235" s="190"/>
      <c r="K235" s="2"/>
      <c r="R235" s="59" t="str">
        <f>IFERROR(__xludf.DUMMYFUNCTION("""COMPUTED_VALUE"""),"Arkin Hardware")</f>
        <v>Arkin Hardware</v>
      </c>
      <c r="S235" s="4">
        <f>IFERROR(__xludf.DUMMYFUNCTION("""COMPUTED_VALUE"""),4.166666666666667)</f>
        <v>4.166666667</v>
      </c>
      <c r="T235" s="60">
        <f>IFERROR(__xludf.DUMMYFUNCTION("""COMPUTED_VALUE"""),45415.0)</f>
        <v>45415</v>
      </c>
      <c r="V235" s="59" t="str">
        <f>IFERROR(__xludf.DUMMYFUNCTION("""COMPUTED_VALUE"""),"Printing Shop PrintPilipinas.com")</f>
        <v>Printing Shop PrintPilipinas.com</v>
      </c>
      <c r="W235" s="4">
        <f>IFERROR(__xludf.DUMMYFUNCTION("""COMPUTED_VALUE"""),5.0)</f>
        <v>5</v>
      </c>
      <c r="X235" s="60">
        <f>IFERROR(__xludf.DUMMYFUNCTION("""COMPUTED_VALUE"""),45741.0)</f>
        <v>45741</v>
      </c>
      <c r="AA235" s="4"/>
      <c r="AD235" s="4"/>
      <c r="AG235" s="4"/>
    </row>
    <row r="236">
      <c r="A236" s="179"/>
      <c r="B236" s="180"/>
      <c r="C236" s="2"/>
      <c r="E236" s="181"/>
      <c r="F236" s="181"/>
      <c r="G236" s="2"/>
      <c r="I236" s="190"/>
      <c r="J236" s="190"/>
      <c r="K236" s="2"/>
      <c r="R236" s="59" t="str">
        <f>IFERROR(__xludf.DUMMYFUNCTION("""COMPUTED_VALUE"""),"Tropical Palms Fashion House, Inc.")</f>
        <v>Tropical Palms Fashion House, Inc.</v>
      </c>
      <c r="S236" s="4">
        <f>IFERROR(__xludf.DUMMYFUNCTION("""COMPUTED_VALUE"""),4.5)</f>
        <v>4.5</v>
      </c>
      <c r="T236" s="60">
        <f>IFERROR(__xludf.DUMMYFUNCTION("""COMPUTED_VALUE"""),45415.0)</f>
        <v>45415</v>
      </c>
      <c r="V236" s="59" t="str">
        <f>IFERROR(__xludf.DUMMYFUNCTION("""COMPUTED_VALUE"""),"Printing Shop PrintPilipinas.com")</f>
        <v>Printing Shop PrintPilipinas.com</v>
      </c>
      <c r="W236" s="4">
        <f>IFERROR(__xludf.DUMMYFUNCTION("""COMPUTED_VALUE"""),5.0)</f>
        <v>5</v>
      </c>
      <c r="X236" s="60">
        <f>IFERROR(__xludf.DUMMYFUNCTION("""COMPUTED_VALUE"""),45741.0)</f>
        <v>45741</v>
      </c>
      <c r="AA236" s="4"/>
      <c r="AD236" s="4"/>
      <c r="AG236" s="4"/>
    </row>
    <row r="237">
      <c r="A237" s="179"/>
      <c r="B237" s="180"/>
      <c r="C237" s="2"/>
      <c r="E237" s="181"/>
      <c r="F237" s="181"/>
      <c r="G237" s="2"/>
      <c r="I237" s="190"/>
      <c r="J237" s="190"/>
      <c r="K237" s="2"/>
      <c r="R237" s="59" t="str">
        <f>IFERROR(__xludf.DUMMYFUNCTION("""COMPUTED_VALUE"""),"Creative Juice Digital Printing")</f>
        <v>Creative Juice Digital Printing</v>
      </c>
      <c r="S237" s="4">
        <f>IFERROR(__xludf.DUMMYFUNCTION("""COMPUTED_VALUE"""),4.6499999999999995)</f>
        <v>4.65</v>
      </c>
      <c r="T237" s="60">
        <f>IFERROR(__xludf.DUMMYFUNCTION("""COMPUTED_VALUE"""),45416.0)</f>
        <v>45416</v>
      </c>
      <c r="V237" s="59" t="str">
        <f>IFERROR(__xludf.DUMMYFUNCTION("""COMPUTED_VALUE"""),"Printing Shop PrintPilipinas.com")</f>
        <v>Printing Shop PrintPilipinas.com</v>
      </c>
      <c r="W237" s="4">
        <f>IFERROR(__xludf.DUMMYFUNCTION("""COMPUTED_VALUE"""),5.0)</f>
        <v>5</v>
      </c>
      <c r="X237" s="60">
        <f>IFERROR(__xludf.DUMMYFUNCTION("""COMPUTED_VALUE"""),45755.0)</f>
        <v>45755</v>
      </c>
      <c r="AA237" s="4"/>
      <c r="AD237" s="4"/>
      <c r="AG237" s="4"/>
    </row>
    <row r="238">
      <c r="A238" s="179"/>
      <c r="B238" s="180"/>
      <c r="C238" s="2"/>
      <c r="E238" s="181"/>
      <c r="F238" s="181"/>
      <c r="G238" s="2"/>
      <c r="I238" s="190"/>
      <c r="J238" s="190"/>
      <c r="K238" s="2"/>
      <c r="R238" s="59" t="str">
        <f>IFERROR(__xludf.DUMMYFUNCTION("""COMPUTED_VALUE"""),"DOOPLO ADVERTISING")</f>
        <v>DOOPLO ADVERTISING</v>
      </c>
      <c r="S238" s="4">
        <f>IFERROR(__xludf.DUMMYFUNCTION("""COMPUTED_VALUE"""),4.75)</f>
        <v>4.75</v>
      </c>
      <c r="T238" s="60">
        <f>IFERROR(__xludf.DUMMYFUNCTION("""COMPUTED_VALUE"""),45418.0)</f>
        <v>45418</v>
      </c>
      <c r="V238" s="59" t="str">
        <f>IFERROR(__xludf.DUMMYFUNCTION("""COMPUTED_VALUE"""),"Printing Shop PrintPilipinas.com")</f>
        <v>Printing Shop PrintPilipinas.com</v>
      </c>
      <c r="W238" s="4">
        <f>IFERROR(__xludf.DUMMYFUNCTION("""COMPUTED_VALUE"""),5.0)</f>
        <v>5</v>
      </c>
      <c r="X238" s="60">
        <f>IFERROR(__xludf.DUMMYFUNCTION("""COMPUTED_VALUE"""),45723.0)</f>
        <v>45723</v>
      </c>
      <c r="AA238" s="4"/>
      <c r="AD238" s="4"/>
      <c r="AG238" s="4"/>
    </row>
    <row r="239">
      <c r="A239" s="179"/>
      <c r="B239" s="180"/>
      <c r="C239" s="2"/>
      <c r="E239" s="181"/>
      <c r="F239" s="181"/>
      <c r="G239" s="2"/>
      <c r="I239" s="190"/>
      <c r="J239" s="190"/>
      <c r="K239" s="2"/>
      <c r="R239" s="59" t="str">
        <f>IFERROR(__xludf.DUMMYFUNCTION("""COMPUTED_VALUE"""),"Arkin Hardware")</f>
        <v>Arkin Hardware</v>
      </c>
      <c r="S239" s="4">
        <f>IFERROR(__xludf.DUMMYFUNCTION("""COMPUTED_VALUE"""),4.0)</f>
        <v>4</v>
      </c>
      <c r="T239" s="60">
        <f>IFERROR(__xludf.DUMMYFUNCTION("""COMPUTED_VALUE"""),45418.0)</f>
        <v>45418</v>
      </c>
      <c r="V239" s="59" t="str">
        <f>IFERROR(__xludf.DUMMYFUNCTION("""COMPUTED_VALUE"""),"Printing Shop PrintPilipinas.com")</f>
        <v>Printing Shop PrintPilipinas.com</v>
      </c>
      <c r="W239" s="4">
        <f>IFERROR(__xludf.DUMMYFUNCTION("""COMPUTED_VALUE"""),5.083333333333333)</f>
        <v>5.083333333</v>
      </c>
      <c r="X239" s="60">
        <f>IFERROR(__xludf.DUMMYFUNCTION("""COMPUTED_VALUE"""),45741.0)</f>
        <v>45741</v>
      </c>
      <c r="AA239" s="4"/>
      <c r="AD239" s="4"/>
      <c r="AG239" s="4"/>
    </row>
    <row r="240">
      <c r="A240" s="179"/>
      <c r="B240" s="180"/>
      <c r="C240" s="2"/>
      <c r="E240" s="181"/>
      <c r="F240" s="181"/>
      <c r="G240" s="2"/>
      <c r="I240" s="190"/>
      <c r="J240" s="190"/>
      <c r="K240" s="2"/>
      <c r="R240" s="59" t="str">
        <f>IFERROR(__xludf.DUMMYFUNCTION("""COMPUTED_VALUE"""),"Abacus Book &amp; Card Corp.")</f>
        <v>Abacus Book &amp; Card Corp.</v>
      </c>
      <c r="S240" s="4">
        <f>IFERROR(__xludf.DUMMYFUNCTION("""COMPUTED_VALUE"""),5.0)</f>
        <v>5</v>
      </c>
      <c r="T240" s="60">
        <f>IFERROR(__xludf.DUMMYFUNCTION("""COMPUTED_VALUE"""),45421.0)</f>
        <v>45421</v>
      </c>
      <c r="V240" s="59" t="str">
        <f>IFERROR(__xludf.DUMMYFUNCTION("""COMPUTED_VALUE"""),"Printing Shop PrintPilipinas.com")</f>
        <v>Printing Shop PrintPilipinas.com</v>
      </c>
      <c r="W240" s="4">
        <f>IFERROR(__xludf.DUMMYFUNCTION("""COMPUTED_VALUE"""),5.083333333333333)</f>
        <v>5.083333333</v>
      </c>
      <c r="X240" s="60">
        <f>IFERROR(__xludf.DUMMYFUNCTION("""COMPUTED_VALUE"""),45741.0)</f>
        <v>45741</v>
      </c>
      <c r="AA240" s="4"/>
      <c r="AD240" s="4"/>
      <c r="AG240" s="4"/>
    </row>
    <row r="241">
      <c r="A241" s="179"/>
      <c r="B241" s="180"/>
      <c r="C241" s="2"/>
      <c r="E241" s="181"/>
      <c r="F241" s="181"/>
      <c r="G241" s="2"/>
      <c r="I241" s="190"/>
      <c r="J241" s="190"/>
      <c r="K241" s="2"/>
      <c r="R241" s="59" t="str">
        <f>IFERROR(__xludf.DUMMYFUNCTION("""COMPUTED_VALUE"""),"Creative Juice Digital Printing")</f>
        <v>Creative Juice Digital Printing</v>
      </c>
      <c r="S241" s="4">
        <f>IFERROR(__xludf.DUMMYFUNCTION("""COMPUTED_VALUE"""),4.0)</f>
        <v>4</v>
      </c>
      <c r="T241" s="60">
        <f>IFERROR(__xludf.DUMMYFUNCTION("""COMPUTED_VALUE"""),45423.0)</f>
        <v>45423</v>
      </c>
      <c r="V241" s="59" t="str">
        <f>IFERROR(__xludf.DUMMYFUNCTION("""COMPUTED_VALUE"""),"Printing Shop PrintPilipinas.com")</f>
        <v>Printing Shop PrintPilipinas.com</v>
      </c>
      <c r="W241" s="4">
        <f>IFERROR(__xludf.DUMMYFUNCTION("""COMPUTED_VALUE"""),5.0)</f>
        <v>5</v>
      </c>
      <c r="X241" s="60">
        <f>IFERROR(__xludf.DUMMYFUNCTION("""COMPUTED_VALUE"""),45755.0)</f>
        <v>45755</v>
      </c>
      <c r="AA241" s="4"/>
      <c r="AD241" s="4"/>
      <c r="AG241" s="4"/>
    </row>
    <row r="242">
      <c r="A242" s="179"/>
      <c r="B242" s="180"/>
      <c r="C242" s="2"/>
      <c r="E242" s="181"/>
      <c r="F242" s="181"/>
      <c r="G242" s="2"/>
      <c r="I242" s="190"/>
      <c r="J242" s="190"/>
      <c r="K242" s="2"/>
      <c r="R242" s="59" t="str">
        <f>IFERROR(__xludf.DUMMYFUNCTION("""COMPUTED_VALUE"""),"Printing Shop PrintPilipinas.com")</f>
        <v>Printing Shop PrintPilipinas.com</v>
      </c>
      <c r="S242" s="4">
        <f>IFERROR(__xludf.DUMMYFUNCTION("""COMPUTED_VALUE"""),5.0)</f>
        <v>5</v>
      </c>
      <c r="T242" s="60">
        <f>IFERROR(__xludf.DUMMYFUNCTION("""COMPUTED_VALUE"""),45423.0)</f>
        <v>45423</v>
      </c>
      <c r="V242" s="59" t="str">
        <f>IFERROR(__xludf.DUMMYFUNCTION("""COMPUTED_VALUE"""),"Printing Shop PrintPilipinas.com")</f>
        <v>Printing Shop PrintPilipinas.com</v>
      </c>
      <c r="W242" s="4">
        <f>IFERROR(__xludf.DUMMYFUNCTION("""COMPUTED_VALUE"""),5.0)</f>
        <v>5</v>
      </c>
      <c r="X242" s="60">
        <f>IFERROR(__xludf.DUMMYFUNCTION("""COMPUTED_VALUE"""),45751.0)</f>
        <v>45751</v>
      </c>
      <c r="AA242" s="4"/>
      <c r="AD242" s="4"/>
      <c r="AG242" s="4"/>
    </row>
    <row r="243">
      <c r="A243" s="179"/>
      <c r="B243" s="180"/>
      <c r="C243" s="2"/>
      <c r="E243" s="181"/>
      <c r="F243" s="181"/>
      <c r="G243" s="2"/>
      <c r="I243" s="190"/>
      <c r="J243" s="190"/>
      <c r="K243" s="2"/>
      <c r="R243" s="59" t="str">
        <f>IFERROR(__xludf.DUMMYFUNCTION("""COMPUTED_VALUE"""),"Arkin Hardware")</f>
        <v>Arkin Hardware</v>
      </c>
      <c r="S243" s="4">
        <f>IFERROR(__xludf.DUMMYFUNCTION("""COMPUTED_VALUE"""),4.625)</f>
        <v>4.625</v>
      </c>
      <c r="T243" s="60">
        <f>IFERROR(__xludf.DUMMYFUNCTION("""COMPUTED_VALUE"""),45425.0)</f>
        <v>45425</v>
      </c>
      <c r="V243" s="59" t="str">
        <f>IFERROR(__xludf.DUMMYFUNCTION("""COMPUTED_VALUE"""),"Printing Shop PrintPilipinas.com")</f>
        <v>Printing Shop PrintPilipinas.com</v>
      </c>
      <c r="W243" s="4">
        <f>IFERROR(__xludf.DUMMYFUNCTION("""COMPUTED_VALUE"""),5.0)</f>
        <v>5</v>
      </c>
      <c r="X243" s="60">
        <f>IFERROR(__xludf.DUMMYFUNCTION("""COMPUTED_VALUE"""),45751.0)</f>
        <v>45751</v>
      </c>
      <c r="AA243" s="4"/>
      <c r="AD243" s="4"/>
      <c r="AG243" s="4"/>
    </row>
    <row r="244">
      <c r="A244" s="179"/>
      <c r="B244" s="180"/>
      <c r="C244" s="2"/>
      <c r="E244" s="181"/>
      <c r="F244" s="181"/>
      <c r="G244" s="2"/>
      <c r="I244" s="190"/>
      <c r="J244" s="190"/>
      <c r="K244" s="2"/>
      <c r="R244" s="59" t="str">
        <f>IFERROR(__xludf.DUMMYFUNCTION("""COMPUTED_VALUE"""),"Chemtrust Global Market, Inc.")</f>
        <v>Chemtrust Global Market, Inc.</v>
      </c>
      <c r="S244" s="4">
        <f>IFERROR(__xludf.DUMMYFUNCTION("""COMPUTED_VALUE"""),5.0)</f>
        <v>5</v>
      </c>
      <c r="T244" s="60">
        <f>IFERROR(__xludf.DUMMYFUNCTION("""COMPUTED_VALUE"""),45426.0)</f>
        <v>45426</v>
      </c>
      <c r="V244" s="59" t="str">
        <f>IFERROR(__xludf.DUMMYFUNCTION("""COMPUTED_VALUE"""),"Roavsan General Merchandise")</f>
        <v>Roavsan General Merchandise</v>
      </c>
      <c r="W244" s="4">
        <f>IFERROR(__xludf.DUMMYFUNCTION("""COMPUTED_VALUE"""),4.758333333333334)</f>
        <v>4.758333333</v>
      </c>
      <c r="X244" s="60">
        <f>IFERROR(__xludf.DUMMYFUNCTION("""COMPUTED_VALUE"""),45608.0)</f>
        <v>45608</v>
      </c>
      <c r="AA244" s="4"/>
      <c r="AD244" s="4"/>
      <c r="AG244" s="4"/>
    </row>
    <row r="245">
      <c r="A245" s="179"/>
      <c r="B245" s="180"/>
      <c r="C245" s="2"/>
      <c r="E245" s="181"/>
      <c r="F245" s="181"/>
      <c r="G245" s="2"/>
      <c r="I245" s="190"/>
      <c r="J245" s="190"/>
      <c r="K245" s="2"/>
      <c r="R245" s="59" t="str">
        <f>IFERROR(__xludf.DUMMYFUNCTION("""COMPUTED_VALUE"""),"Amalgamated Specialties Corporation")</f>
        <v>Amalgamated Specialties Corporation</v>
      </c>
      <c r="S245" s="4">
        <f>IFERROR(__xludf.DUMMYFUNCTION("""COMPUTED_VALUE"""),5.0)</f>
        <v>5</v>
      </c>
      <c r="T245" s="60">
        <f>IFERROR(__xludf.DUMMYFUNCTION("""COMPUTED_VALUE"""),45429.0)</f>
        <v>45429</v>
      </c>
      <c r="V245" s="59" t="str">
        <f>IFERROR(__xludf.DUMMYFUNCTION("""COMPUTED_VALUE"""),"Bobman Trading")</f>
        <v>Bobman Trading</v>
      </c>
      <c r="W245" s="4">
        <f>IFERROR(__xludf.DUMMYFUNCTION("""COMPUTED_VALUE"""),4.838888888888889)</f>
        <v>4.838888889</v>
      </c>
      <c r="X245" s="60">
        <f>IFERROR(__xludf.DUMMYFUNCTION("""COMPUTED_VALUE"""),45737.0)</f>
        <v>45737</v>
      </c>
      <c r="AA245" s="4"/>
      <c r="AD245" s="4"/>
      <c r="AG245" s="4"/>
    </row>
    <row r="246">
      <c r="A246" s="179"/>
      <c r="B246" s="180"/>
      <c r="C246" s="2"/>
      <c r="E246" s="181"/>
      <c r="F246" s="181"/>
      <c r="G246" s="2"/>
      <c r="I246" s="190"/>
      <c r="J246" s="190"/>
      <c r="K246" s="2"/>
      <c r="R246" s="59" t="str">
        <f>IFERROR(__xludf.DUMMYFUNCTION("""COMPUTED_VALUE"""),"Printing Shop PrintPilipinas.com")</f>
        <v>Printing Shop PrintPilipinas.com</v>
      </c>
      <c r="S246" s="4">
        <f>IFERROR(__xludf.DUMMYFUNCTION("""COMPUTED_VALUE"""),4.625)</f>
        <v>4.625</v>
      </c>
      <c r="T246" s="60">
        <f>IFERROR(__xludf.DUMMYFUNCTION("""COMPUTED_VALUE"""),45433.0)</f>
        <v>45433</v>
      </c>
      <c r="V246" s="59" t="str">
        <f>IFERROR(__xludf.DUMMYFUNCTION("""COMPUTED_VALUE"""),"Abenson Ventures, Inc.")</f>
        <v>Abenson Ventures, Inc.</v>
      </c>
      <c r="W246" s="4">
        <f>IFERROR(__xludf.DUMMYFUNCTION("""COMPUTED_VALUE"""),5.0)</f>
        <v>5</v>
      </c>
      <c r="X246" s="60">
        <f>IFERROR(__xludf.DUMMYFUNCTION("""COMPUTED_VALUE"""),45589.0)</f>
        <v>45589</v>
      </c>
      <c r="AA246" s="4"/>
      <c r="AD246" s="4"/>
      <c r="AG246" s="4"/>
    </row>
    <row r="247">
      <c r="A247" s="179"/>
      <c r="B247" s="180"/>
      <c r="C247" s="2"/>
      <c r="E247" s="181"/>
      <c r="F247" s="181"/>
      <c r="G247" s="2"/>
      <c r="I247" s="190"/>
      <c r="J247" s="190"/>
      <c r="K247" s="2"/>
      <c r="R247" s="59" t="str">
        <f>IFERROR(__xludf.DUMMYFUNCTION("""COMPUTED_VALUE"""),"Arkin Hardware")</f>
        <v>Arkin Hardware</v>
      </c>
      <c r="S247" s="4">
        <f>IFERROR(__xludf.DUMMYFUNCTION("""COMPUTED_VALUE"""),4.733333333333333)</f>
        <v>4.733333333</v>
      </c>
      <c r="T247" s="60">
        <f>IFERROR(__xludf.DUMMYFUNCTION("""COMPUTED_VALUE"""),45434.0)</f>
        <v>45434</v>
      </c>
      <c r="V247" s="59" t="str">
        <f>IFERROR(__xludf.DUMMYFUNCTION("""COMPUTED_VALUE"""),"Multiflex RNC Philippines inc.")</f>
        <v>Multiflex RNC Philippines inc.</v>
      </c>
      <c r="W247" s="4">
        <f>IFERROR(__xludf.DUMMYFUNCTION("""COMPUTED_VALUE"""),5.0)</f>
        <v>5</v>
      </c>
      <c r="X247" s="60">
        <f>IFERROR(__xludf.DUMMYFUNCTION("""COMPUTED_VALUE"""),45575.0)</f>
        <v>45575</v>
      </c>
      <c r="AA247" s="4"/>
      <c r="AD247" s="4"/>
      <c r="AG247" s="4"/>
    </row>
    <row r="248">
      <c r="A248" s="179"/>
      <c r="B248" s="180"/>
      <c r="C248" s="2"/>
      <c r="E248" s="181"/>
      <c r="F248" s="181"/>
      <c r="G248" s="2"/>
      <c r="I248" s="190"/>
      <c r="J248" s="190"/>
      <c r="K248" s="2"/>
      <c r="R248" s="59" t="str">
        <f>IFERROR(__xludf.DUMMYFUNCTION("""COMPUTED_VALUE"""),"Abenson Ventures, Inc.")</f>
        <v>Abenson Ventures, Inc.</v>
      </c>
      <c r="S248" s="4">
        <f>IFERROR(__xludf.DUMMYFUNCTION("""COMPUTED_VALUE"""),5.0)</f>
        <v>5</v>
      </c>
      <c r="T248" s="60">
        <f>IFERROR(__xludf.DUMMYFUNCTION("""COMPUTED_VALUE"""),45435.0)</f>
        <v>45435</v>
      </c>
      <c r="V248" s="59" t="str">
        <f>IFERROR(__xludf.DUMMYFUNCTION("""COMPUTED_VALUE"""),"Elle Tech and Trend Office Furniture and Interiors")</f>
        <v>Elle Tech and Trend Office Furniture and Interiors</v>
      </c>
      <c r="W248" s="4">
        <f>IFERROR(__xludf.DUMMYFUNCTION("""COMPUTED_VALUE"""),5.0)</f>
        <v>5</v>
      </c>
      <c r="X248" s="60">
        <f>IFERROR(__xludf.DUMMYFUNCTION("""COMPUTED_VALUE"""),45486.0)</f>
        <v>45486</v>
      </c>
      <c r="AA248" s="4"/>
      <c r="AD248" s="4"/>
      <c r="AG248" s="4"/>
    </row>
    <row r="249">
      <c r="A249" s="179"/>
      <c r="B249" s="180"/>
      <c r="C249" s="2"/>
      <c r="E249" s="181"/>
      <c r="F249" s="181"/>
      <c r="G249" s="2"/>
      <c r="I249" s="190"/>
      <c r="J249" s="190"/>
      <c r="K249" s="2"/>
      <c r="R249" s="59" t="str">
        <f>IFERROR(__xludf.DUMMYFUNCTION("""COMPUTED_VALUE"""),"Hospeco Philippines, Inc.")</f>
        <v>Hospeco Philippines, Inc.</v>
      </c>
      <c r="S249" s="4">
        <f>IFERROR(__xludf.DUMMYFUNCTION("""COMPUTED_VALUE"""),4.0)</f>
        <v>4</v>
      </c>
      <c r="T249" s="60">
        <f>IFERROR(__xludf.DUMMYFUNCTION("""COMPUTED_VALUE"""),45436.0)</f>
        <v>45436</v>
      </c>
      <c r="V249" s="59" t="str">
        <f>IFERROR(__xludf.DUMMYFUNCTION("""COMPUTED_VALUE"""),"Arkin Hardware")</f>
        <v>Arkin Hardware</v>
      </c>
      <c r="W249" s="4">
        <f>IFERROR(__xludf.DUMMYFUNCTION("""COMPUTED_VALUE"""),4.916666666666667)</f>
        <v>4.916666667</v>
      </c>
      <c r="X249" s="60">
        <f>IFERROR(__xludf.DUMMYFUNCTION("""COMPUTED_VALUE"""),45608.0)</f>
        <v>45608</v>
      </c>
      <c r="AA249" s="4"/>
      <c r="AD249" s="4"/>
      <c r="AG249" s="4"/>
    </row>
    <row r="250">
      <c r="A250" s="179"/>
      <c r="B250" s="180"/>
      <c r="C250" s="2"/>
      <c r="E250" s="181"/>
      <c r="F250" s="181"/>
      <c r="G250" s="2"/>
      <c r="I250" s="190"/>
      <c r="J250" s="190"/>
      <c r="K250" s="2"/>
      <c r="R250" s="59" t="str">
        <f>IFERROR(__xludf.DUMMYFUNCTION("""COMPUTED_VALUE"""),"Leonard Prints Inc.")</f>
        <v>Leonard Prints Inc.</v>
      </c>
      <c r="S250" s="4">
        <f>IFERROR(__xludf.DUMMYFUNCTION("""COMPUTED_VALUE"""),4.833333333333333)</f>
        <v>4.833333333</v>
      </c>
      <c r="T250" s="60">
        <f>IFERROR(__xludf.DUMMYFUNCTION("""COMPUTED_VALUE"""),45439.0)</f>
        <v>45439</v>
      </c>
      <c r="V250" s="59" t="str">
        <f>IFERROR(__xludf.DUMMYFUNCTION("""COMPUTED_VALUE"""),"Zariah's Non-Specialized Wholesale Trading")</f>
        <v>Zariah's Non-Specialized Wholesale Trading</v>
      </c>
      <c r="W250" s="4">
        <f>IFERROR(__xludf.DUMMYFUNCTION("""COMPUTED_VALUE"""),5.0)</f>
        <v>5</v>
      </c>
      <c r="X250" s="60">
        <f>IFERROR(__xludf.DUMMYFUNCTION("""COMPUTED_VALUE"""),45510.0)</f>
        <v>45510</v>
      </c>
      <c r="AA250" s="4"/>
      <c r="AD250" s="4"/>
      <c r="AG250" s="4"/>
    </row>
    <row r="251">
      <c r="A251" s="179"/>
      <c r="B251" s="180"/>
      <c r="C251" s="2"/>
      <c r="E251" s="181"/>
      <c r="F251" s="181"/>
      <c r="G251" s="2"/>
      <c r="I251" s="190"/>
      <c r="J251" s="190"/>
      <c r="K251" s="2"/>
      <c r="R251" s="59" t="str">
        <f>IFERROR(__xludf.DUMMYFUNCTION("""COMPUTED_VALUE"""),"Jarm Printing Press")</f>
        <v>Jarm Printing Press</v>
      </c>
      <c r="S251" s="4">
        <f>IFERROR(__xludf.DUMMYFUNCTION("""COMPUTED_VALUE"""),4.833333333333333)</f>
        <v>4.833333333</v>
      </c>
      <c r="T251" s="60">
        <f>IFERROR(__xludf.DUMMYFUNCTION("""COMPUTED_VALUE"""),45443.0)</f>
        <v>45443</v>
      </c>
      <c r="V251" s="59" t="str">
        <f>IFERROR(__xludf.DUMMYFUNCTION("""COMPUTED_VALUE"""),"Printing Shop PrintPilipinas.com")</f>
        <v>Printing Shop PrintPilipinas.com</v>
      </c>
      <c r="W251" s="4">
        <f>IFERROR(__xludf.DUMMYFUNCTION("""COMPUTED_VALUE"""),5.0)</f>
        <v>5</v>
      </c>
      <c r="X251" s="60">
        <f>IFERROR(__xludf.DUMMYFUNCTION("""COMPUTED_VALUE"""),45505.0)</f>
        <v>45505</v>
      </c>
      <c r="AA251" s="4"/>
      <c r="AD251" s="4"/>
      <c r="AG251" s="4"/>
    </row>
    <row r="252">
      <c r="A252" s="179"/>
      <c r="B252" s="180"/>
      <c r="C252" s="2"/>
      <c r="E252" s="181"/>
      <c r="F252" s="181"/>
      <c r="G252" s="2"/>
      <c r="I252" s="190"/>
      <c r="J252" s="190"/>
      <c r="K252" s="2"/>
      <c r="R252" s="59" t="str">
        <f>IFERROR(__xludf.DUMMYFUNCTION("""COMPUTED_VALUE"""),"Jarm Printing Press")</f>
        <v>Jarm Printing Press</v>
      </c>
      <c r="S252" s="4">
        <f>IFERROR(__xludf.DUMMYFUNCTION("""COMPUTED_VALUE"""),4.833333333333333)</f>
        <v>4.833333333</v>
      </c>
      <c r="T252" s="60">
        <f>IFERROR(__xludf.DUMMYFUNCTION("""COMPUTED_VALUE"""),45443.0)</f>
        <v>45443</v>
      </c>
      <c r="V252" s="59" t="str">
        <f>IFERROR(__xludf.DUMMYFUNCTION("""COMPUTED_VALUE"""),"Printing Shop PrintPilipinas.com")</f>
        <v>Printing Shop PrintPilipinas.com</v>
      </c>
      <c r="W252" s="4">
        <f>IFERROR(__xludf.DUMMYFUNCTION("""COMPUTED_VALUE"""),5.0)</f>
        <v>5</v>
      </c>
      <c r="X252" s="60">
        <f>IFERROR(__xludf.DUMMYFUNCTION("""COMPUTED_VALUE"""),45511.0)</f>
        <v>45511</v>
      </c>
      <c r="AA252" s="4"/>
      <c r="AD252" s="4"/>
      <c r="AG252" s="4"/>
    </row>
    <row r="253">
      <c r="A253" s="179"/>
      <c r="B253" s="180"/>
      <c r="C253" s="2"/>
      <c r="E253" s="181"/>
      <c r="F253" s="181"/>
      <c r="G253" s="2"/>
      <c r="I253" s="190"/>
      <c r="J253" s="190"/>
      <c r="K253" s="2"/>
      <c r="R253" s="59" t="str">
        <f>IFERROR(__xludf.DUMMYFUNCTION("""COMPUTED_VALUE"""),"Jarm Printing Press")</f>
        <v>Jarm Printing Press</v>
      </c>
      <c r="S253" s="4">
        <f>IFERROR(__xludf.DUMMYFUNCTION("""COMPUTED_VALUE"""),4.833333333333333)</f>
        <v>4.833333333</v>
      </c>
      <c r="T253" s="60">
        <f>IFERROR(__xludf.DUMMYFUNCTION("""COMPUTED_VALUE"""),45443.0)</f>
        <v>45443</v>
      </c>
      <c r="V253" s="59" t="str">
        <f>IFERROR(__xludf.DUMMYFUNCTION("""COMPUTED_VALUE"""),"Creative Juice Digital Printing")</f>
        <v>Creative Juice Digital Printing</v>
      </c>
      <c r="W253" s="4">
        <f>IFERROR(__xludf.DUMMYFUNCTION("""COMPUTED_VALUE"""),5.0)</f>
        <v>5</v>
      </c>
      <c r="X253" s="60">
        <f>IFERROR(__xludf.DUMMYFUNCTION("""COMPUTED_VALUE"""),45608.0)</f>
        <v>45608</v>
      </c>
      <c r="AA253" s="4"/>
      <c r="AD253" s="4"/>
      <c r="AG253" s="4"/>
    </row>
    <row r="254">
      <c r="A254" s="179"/>
      <c r="B254" s="180"/>
      <c r="C254" s="2"/>
      <c r="E254" s="181"/>
      <c r="F254" s="181"/>
      <c r="G254" s="2"/>
      <c r="I254" s="190"/>
      <c r="J254" s="190"/>
      <c r="K254" s="2"/>
      <c r="R254" s="59" t="str">
        <f>IFERROR(__xludf.DUMMYFUNCTION("""COMPUTED_VALUE"""),"Oray Copier Solutions")</f>
        <v>Oray Copier Solutions</v>
      </c>
      <c r="S254" s="4">
        <f>IFERROR(__xludf.DUMMYFUNCTION("""COMPUTED_VALUE"""),4.666666666666667)</f>
        <v>4.666666667</v>
      </c>
      <c r="T254" s="60">
        <f>IFERROR(__xludf.DUMMYFUNCTION("""COMPUTED_VALUE"""),45443.0)</f>
        <v>45443</v>
      </c>
      <c r="V254" s="59" t="str">
        <f>IFERROR(__xludf.DUMMYFUNCTION("""COMPUTED_VALUE"""),"Net Ad IT Solutions")</f>
        <v>Net Ad IT Solutions</v>
      </c>
      <c r="W254" s="4">
        <f>IFERROR(__xludf.DUMMYFUNCTION("""COMPUTED_VALUE"""),5.0)</f>
        <v>5</v>
      </c>
      <c r="X254" s="60">
        <f>IFERROR(__xludf.DUMMYFUNCTION("""COMPUTED_VALUE"""),45741.0)</f>
        <v>45741</v>
      </c>
      <c r="AA254" s="4"/>
      <c r="AD254" s="4"/>
      <c r="AG254" s="4"/>
    </row>
    <row r="255">
      <c r="A255" s="179"/>
      <c r="B255" s="180"/>
      <c r="C255" s="2"/>
      <c r="E255" s="181"/>
      <c r="F255" s="181"/>
      <c r="G255" s="2"/>
      <c r="I255" s="190"/>
      <c r="J255" s="190"/>
      <c r="K255" s="2"/>
      <c r="R255" s="59" t="str">
        <f>IFERROR(__xludf.DUMMYFUNCTION("""COMPUTED_VALUE"""),"Chemtrust Global Market, Inc.")</f>
        <v>Chemtrust Global Market, Inc.</v>
      </c>
      <c r="S255" s="4">
        <f>IFERROR(__xludf.DUMMYFUNCTION("""COMPUTED_VALUE"""),5.0)</f>
        <v>5</v>
      </c>
      <c r="T255" s="60">
        <f>IFERROR(__xludf.DUMMYFUNCTION("""COMPUTED_VALUE"""),45449.0)</f>
        <v>45449</v>
      </c>
      <c r="V255" s="59" t="str">
        <f>IFERROR(__xludf.DUMMYFUNCTION("""COMPUTED_VALUE"""),"Net Ad IT Solutions")</f>
        <v>Net Ad IT Solutions</v>
      </c>
      <c r="W255" s="4">
        <f>IFERROR(__xludf.DUMMYFUNCTION("""COMPUTED_VALUE"""),5.0)</f>
        <v>5</v>
      </c>
      <c r="X255" s="60">
        <f>IFERROR(__xludf.DUMMYFUNCTION("""COMPUTED_VALUE"""),45741.0)</f>
        <v>45741</v>
      </c>
      <c r="AA255" s="4"/>
      <c r="AD255" s="4"/>
      <c r="AG255" s="4"/>
    </row>
    <row r="256">
      <c r="A256" s="179"/>
      <c r="B256" s="180"/>
      <c r="C256" s="2"/>
      <c r="E256" s="181"/>
      <c r="F256" s="181"/>
      <c r="G256" s="2"/>
      <c r="I256" s="190"/>
      <c r="J256" s="190"/>
      <c r="K256" s="2"/>
      <c r="R256" s="59" t="str">
        <f>IFERROR(__xludf.DUMMYFUNCTION("""COMPUTED_VALUE"""),"Abenson Ventures, Inc.")</f>
        <v>Abenson Ventures, Inc.</v>
      </c>
      <c r="S256" s="4">
        <f>IFERROR(__xludf.DUMMYFUNCTION("""COMPUTED_VALUE"""),4.833333333333333)</f>
        <v>4.833333333</v>
      </c>
      <c r="T256" s="60">
        <f>IFERROR(__xludf.DUMMYFUNCTION("""COMPUTED_VALUE"""),45453.0)</f>
        <v>45453</v>
      </c>
      <c r="V256" s="59" t="str">
        <f>IFERROR(__xludf.DUMMYFUNCTION("""COMPUTED_VALUE"""),"Wilcon Depot Inc.")</f>
        <v>Wilcon Depot Inc.</v>
      </c>
      <c r="W256" s="4">
        <f>IFERROR(__xludf.DUMMYFUNCTION("""COMPUTED_VALUE"""),5.0)</f>
        <v>5</v>
      </c>
      <c r="X256" s="60">
        <f>IFERROR(__xludf.DUMMYFUNCTION("""COMPUTED_VALUE"""),45807.0)</f>
        <v>45807</v>
      </c>
      <c r="AA256" s="4"/>
      <c r="AD256" s="4"/>
      <c r="AG256" s="4"/>
    </row>
    <row r="257">
      <c r="A257" s="179"/>
      <c r="B257" s="180"/>
      <c r="C257" s="2"/>
      <c r="E257" s="181"/>
      <c r="F257" s="181"/>
      <c r="G257" s="2"/>
      <c r="I257" s="190"/>
      <c r="J257" s="190"/>
      <c r="K257" s="2"/>
      <c r="R257" s="59" t="str">
        <f>IFERROR(__xludf.DUMMYFUNCTION("""COMPUTED_VALUE"""),"Manila Rubber Corporation")</f>
        <v>Manila Rubber Corporation</v>
      </c>
      <c r="S257" s="4">
        <f>IFERROR(__xludf.DUMMYFUNCTION("""COMPUTED_VALUE"""),4.0)</f>
        <v>4</v>
      </c>
      <c r="T257" s="60">
        <f>IFERROR(__xludf.DUMMYFUNCTION("""COMPUTED_VALUE"""),45458.0)</f>
        <v>45458</v>
      </c>
      <c r="V257" s="59" t="str">
        <f>IFERROR(__xludf.DUMMYFUNCTION("""COMPUTED_VALUE"""),"Abacus Book &amp; Card Corp.")</f>
        <v>Abacus Book &amp; Card Corp.</v>
      </c>
      <c r="W257" s="4">
        <f>IFERROR(__xludf.DUMMYFUNCTION("""COMPUTED_VALUE"""),5.0)</f>
        <v>5</v>
      </c>
      <c r="X257" s="60">
        <f>IFERROR(__xludf.DUMMYFUNCTION("""COMPUTED_VALUE"""),45680.0)</f>
        <v>45680</v>
      </c>
      <c r="AA257" s="4"/>
      <c r="AD257" s="4"/>
      <c r="AG257" s="4"/>
    </row>
    <row r="258">
      <c r="A258" s="179"/>
      <c r="B258" s="180"/>
      <c r="C258" s="2"/>
      <c r="E258" s="181"/>
      <c r="F258" s="181"/>
      <c r="G258" s="2"/>
      <c r="I258" s="190"/>
      <c r="J258" s="190"/>
      <c r="K258" s="2"/>
      <c r="R258" s="59" t="str">
        <f>IFERROR(__xludf.DUMMYFUNCTION("""COMPUTED_VALUE"""),"Manila Rubber Corporation")</f>
        <v>Manila Rubber Corporation</v>
      </c>
      <c r="S258" s="4">
        <f>IFERROR(__xludf.DUMMYFUNCTION("""COMPUTED_VALUE"""),4.75)</f>
        <v>4.75</v>
      </c>
      <c r="T258" s="60">
        <f>IFERROR(__xludf.DUMMYFUNCTION("""COMPUTED_VALUE"""),45458.0)</f>
        <v>45458</v>
      </c>
      <c r="V258" s="59" t="str">
        <f>IFERROR(__xludf.DUMMYFUNCTION("""COMPUTED_VALUE"""),"Tropical Palms Fashion House, Inc.")</f>
        <v>Tropical Palms Fashion House, Inc.</v>
      </c>
      <c r="W258" s="4">
        <f>IFERROR(__xludf.DUMMYFUNCTION("""COMPUTED_VALUE"""),5.0)</f>
        <v>5</v>
      </c>
      <c r="X258" s="60">
        <f>IFERROR(__xludf.DUMMYFUNCTION("""COMPUTED_VALUE"""),45685.0)</f>
        <v>45685</v>
      </c>
      <c r="AA258" s="4"/>
      <c r="AD258" s="4"/>
      <c r="AG258" s="4"/>
    </row>
    <row r="259">
      <c r="A259" s="179"/>
      <c r="B259" s="180"/>
      <c r="C259" s="2"/>
      <c r="E259" s="181"/>
      <c r="F259" s="181"/>
      <c r="G259" s="2"/>
      <c r="I259" s="190"/>
      <c r="J259" s="190"/>
      <c r="K259" s="2"/>
      <c r="R259" s="59" t="str">
        <f>IFERROR(__xludf.DUMMYFUNCTION("""COMPUTED_VALUE"""),"Printing Shop PrintPilipinas.com")</f>
        <v>Printing Shop PrintPilipinas.com</v>
      </c>
      <c r="S259" s="4">
        <f>IFERROR(__xludf.DUMMYFUNCTION("""COMPUTED_VALUE"""),4.625)</f>
        <v>4.625</v>
      </c>
      <c r="T259" s="60">
        <f>IFERROR(__xludf.DUMMYFUNCTION("""COMPUTED_VALUE"""),45463.0)</f>
        <v>45463</v>
      </c>
      <c r="V259" s="59" t="str">
        <f>IFERROR(__xludf.DUMMYFUNCTION("""COMPUTED_VALUE"""),"Mostaco Marketing")</f>
        <v>Mostaco Marketing</v>
      </c>
      <c r="W259" s="4">
        <f>IFERROR(__xludf.DUMMYFUNCTION("""COMPUTED_VALUE"""),5.0)</f>
        <v>5</v>
      </c>
      <c r="X259" s="60">
        <f>IFERROR(__xludf.DUMMYFUNCTION("""COMPUTED_VALUE"""),45688.0)</f>
        <v>45688</v>
      </c>
      <c r="AA259" s="4"/>
      <c r="AD259" s="4"/>
      <c r="AG259" s="4"/>
    </row>
    <row r="260">
      <c r="A260" s="179"/>
      <c r="B260" s="180"/>
      <c r="C260" s="2"/>
      <c r="E260" s="181"/>
      <c r="F260" s="181"/>
      <c r="G260" s="2"/>
      <c r="I260" s="190"/>
      <c r="J260" s="190"/>
      <c r="K260" s="2"/>
      <c r="R260" s="59" t="str">
        <f>IFERROR(__xludf.DUMMYFUNCTION("""COMPUTED_VALUE"""),"Roavsan General Merchandise")</f>
        <v>Roavsan General Merchandise</v>
      </c>
      <c r="S260" s="4">
        <f>IFERROR(__xludf.DUMMYFUNCTION("""COMPUTED_VALUE"""),4.0)</f>
        <v>4</v>
      </c>
      <c r="T260" s="60">
        <f>IFERROR(__xludf.DUMMYFUNCTION("""COMPUTED_VALUE"""),45464.0)</f>
        <v>45464</v>
      </c>
      <c r="V260" s="59" t="str">
        <f>IFERROR(__xludf.DUMMYFUNCTION("""COMPUTED_VALUE"""),"Crosspoint Paper, Inc.")</f>
        <v>Crosspoint Paper, Inc.</v>
      </c>
      <c r="W260" s="4">
        <f>IFERROR(__xludf.DUMMYFUNCTION("""COMPUTED_VALUE"""),5.0)</f>
        <v>5</v>
      </c>
      <c r="X260" s="60">
        <f>IFERROR(__xludf.DUMMYFUNCTION("""COMPUTED_VALUE"""),45681.0)</f>
        <v>45681</v>
      </c>
      <c r="AA260" s="4"/>
      <c r="AD260" s="4"/>
      <c r="AG260" s="4"/>
    </row>
    <row r="261">
      <c r="A261" s="179"/>
      <c r="B261" s="180"/>
      <c r="C261" s="2"/>
      <c r="E261" s="181"/>
      <c r="F261" s="181"/>
      <c r="G261" s="2"/>
      <c r="I261" s="190"/>
      <c r="J261" s="190"/>
      <c r="K261" s="2"/>
      <c r="R261" s="59" t="str">
        <f>IFERROR(__xludf.DUMMYFUNCTION("""COMPUTED_VALUE"""),"Printing Shop PrintPilipinas.com")</f>
        <v>Printing Shop PrintPilipinas.com</v>
      </c>
      <c r="S261" s="4">
        <f>IFERROR(__xludf.DUMMYFUNCTION("""COMPUTED_VALUE"""),4.75)</f>
        <v>4.75</v>
      </c>
      <c r="T261" s="60">
        <f>IFERROR(__xludf.DUMMYFUNCTION("""COMPUTED_VALUE"""),45468.0)</f>
        <v>45468</v>
      </c>
      <c r="V261" s="59" t="str">
        <f>IFERROR(__xludf.DUMMYFUNCTION("""COMPUTED_VALUE"""),"Contrade Integrated Depot")</f>
        <v>Contrade Integrated Depot</v>
      </c>
      <c r="W261" s="4">
        <f>IFERROR(__xludf.DUMMYFUNCTION("""COMPUTED_VALUE"""),5.0)</f>
        <v>5</v>
      </c>
      <c r="X261" s="60">
        <f>IFERROR(__xludf.DUMMYFUNCTION("""COMPUTED_VALUE"""),45709.0)</f>
        <v>45709</v>
      </c>
      <c r="AA261" s="4"/>
      <c r="AD261" s="4"/>
      <c r="AG261" s="4"/>
    </row>
    <row r="262">
      <c r="A262" s="179"/>
      <c r="B262" s="180"/>
      <c r="C262" s="2"/>
      <c r="E262" s="181"/>
      <c r="F262" s="181"/>
      <c r="G262" s="2"/>
      <c r="I262" s="190"/>
      <c r="J262" s="190"/>
      <c r="K262" s="2"/>
      <c r="R262" s="59" t="str">
        <f>IFERROR(__xludf.DUMMYFUNCTION("""COMPUTED_VALUE"""),"Printing Shop PrintPilipinas.com")</f>
        <v>Printing Shop PrintPilipinas.com</v>
      </c>
      <c r="S262" s="4">
        <f>IFERROR(__xludf.DUMMYFUNCTION("""COMPUTED_VALUE"""),4.75)</f>
        <v>4.75</v>
      </c>
      <c r="T262" s="60">
        <f>IFERROR(__xludf.DUMMYFUNCTION("""COMPUTED_VALUE"""),45468.0)</f>
        <v>45468</v>
      </c>
      <c r="V262" s="59" t="str">
        <f>IFERROR(__xludf.DUMMYFUNCTION("""COMPUTED_VALUE"""),"Mostaco Marketing")</f>
        <v>Mostaco Marketing</v>
      </c>
      <c r="W262" s="4">
        <f>IFERROR(__xludf.DUMMYFUNCTION("""COMPUTED_VALUE"""),5.0)</f>
        <v>5</v>
      </c>
      <c r="X262" s="60">
        <f>IFERROR(__xludf.DUMMYFUNCTION("""COMPUTED_VALUE"""),45706.0)</f>
        <v>45706</v>
      </c>
      <c r="AA262" s="4"/>
      <c r="AD262" s="4"/>
      <c r="AG262" s="4"/>
    </row>
    <row r="263">
      <c r="A263" s="179"/>
      <c r="B263" s="180"/>
      <c r="C263" s="2"/>
      <c r="E263" s="181"/>
      <c r="F263" s="181"/>
      <c r="G263" s="2"/>
      <c r="I263" s="190"/>
      <c r="J263" s="190"/>
      <c r="K263" s="2"/>
      <c r="R263" s="59" t="str">
        <f>IFERROR(__xludf.DUMMYFUNCTION("""COMPUTED_VALUE"""),"Arkin Hardware")</f>
        <v>Arkin Hardware</v>
      </c>
      <c r="S263" s="4">
        <f>IFERROR(__xludf.DUMMYFUNCTION("""COMPUTED_VALUE"""),4.625)</f>
        <v>4.625</v>
      </c>
      <c r="T263" s="60">
        <f>IFERROR(__xludf.DUMMYFUNCTION("""COMPUTED_VALUE"""),45468.0)</f>
        <v>45468</v>
      </c>
      <c r="V263" s="59" t="str">
        <f>IFERROR(__xludf.DUMMYFUNCTION("""COMPUTED_VALUE"""),"EIG Metal Engravers")</f>
        <v>EIG Metal Engravers</v>
      </c>
      <c r="W263" s="4">
        <f>IFERROR(__xludf.DUMMYFUNCTION("""COMPUTED_VALUE"""),5.0)</f>
        <v>5</v>
      </c>
      <c r="X263" s="60">
        <f>IFERROR(__xludf.DUMMYFUNCTION("""COMPUTED_VALUE"""),45716.0)</f>
        <v>45716</v>
      </c>
      <c r="AA263" s="4"/>
      <c r="AD263" s="4"/>
      <c r="AG263" s="4"/>
    </row>
    <row r="264">
      <c r="A264" s="179"/>
      <c r="B264" s="180"/>
      <c r="C264" s="2"/>
      <c r="E264" s="181"/>
      <c r="F264" s="181"/>
      <c r="G264" s="2"/>
      <c r="I264" s="190"/>
      <c r="J264" s="190"/>
      <c r="K264" s="2"/>
      <c r="R264" s="59" t="str">
        <f>IFERROR(__xludf.DUMMYFUNCTION("""COMPUTED_VALUE"""),"Microsmith Technology System,Inc.")</f>
        <v>Microsmith Technology System,Inc.</v>
      </c>
      <c r="S264" s="4">
        <f>IFERROR(__xludf.DUMMYFUNCTION("""COMPUTED_VALUE"""),4.875)</f>
        <v>4.875</v>
      </c>
      <c r="T264" s="60">
        <f>IFERROR(__xludf.DUMMYFUNCTION("""COMPUTED_VALUE"""),45471.0)</f>
        <v>45471</v>
      </c>
      <c r="V264" s="59" t="str">
        <f>IFERROR(__xludf.DUMMYFUNCTION("""COMPUTED_VALUE"""),"Abacus Book &amp; Card Corp.")</f>
        <v>Abacus Book &amp; Card Corp.</v>
      </c>
      <c r="W264" s="4">
        <f>IFERROR(__xludf.DUMMYFUNCTION("""COMPUTED_VALUE"""),4.916666666666667)</f>
        <v>4.916666667</v>
      </c>
      <c r="X264" s="60">
        <f>IFERROR(__xludf.DUMMYFUNCTION("""COMPUTED_VALUE"""),45719.0)</f>
        <v>45719</v>
      </c>
      <c r="AA264" s="4"/>
      <c r="AD264" s="4"/>
      <c r="AG264" s="4"/>
    </row>
    <row r="265">
      <c r="A265" s="179"/>
      <c r="B265" s="180"/>
      <c r="C265" s="2"/>
      <c r="E265" s="181"/>
      <c r="F265" s="181"/>
      <c r="G265" s="2"/>
      <c r="I265" s="190"/>
      <c r="J265" s="190"/>
      <c r="K265" s="2"/>
      <c r="R265" s="59" t="str">
        <f>IFERROR(__xludf.DUMMYFUNCTION("""COMPUTED_VALUE"""),"Data Computer Forms, Inc.")</f>
        <v>Data Computer Forms, Inc.</v>
      </c>
      <c r="S265" s="4">
        <f>IFERROR(__xludf.DUMMYFUNCTION("""COMPUTED_VALUE"""),4.0)</f>
        <v>4</v>
      </c>
      <c r="T265" s="144">
        <f>IFERROR(__xludf.DUMMYFUNCTION("""COMPUTED_VALUE"""),45254.0)</f>
        <v>45254</v>
      </c>
      <c r="V265" s="59" t="str">
        <f>IFERROR(__xludf.DUMMYFUNCTION("""COMPUTED_VALUE"""),"Inkonvert Enterprises")</f>
        <v>Inkonvert Enterprises</v>
      </c>
      <c r="W265" s="4">
        <f>IFERROR(__xludf.DUMMYFUNCTION("""COMPUTED_VALUE"""),5.0)</f>
        <v>5</v>
      </c>
      <c r="X265" s="60">
        <f>IFERROR(__xludf.DUMMYFUNCTION("""COMPUTED_VALUE"""),45726.0)</f>
        <v>45726</v>
      </c>
      <c r="AA265" s="4"/>
      <c r="AD265" s="4"/>
      <c r="AG265" s="4"/>
    </row>
    <row r="266">
      <c r="A266" s="179"/>
      <c r="B266" s="180"/>
      <c r="C266" s="2"/>
      <c r="E266" s="181"/>
      <c r="F266" s="181"/>
      <c r="G266" s="2"/>
      <c r="I266" s="190"/>
      <c r="J266" s="190"/>
      <c r="K266" s="2"/>
      <c r="R266" s="59" t="str">
        <f>IFERROR(__xludf.DUMMYFUNCTION("""COMPUTED_VALUE"""),"Net Ad IT Solutions")</f>
        <v>Net Ad IT Solutions</v>
      </c>
      <c r="S266" s="4">
        <f>IFERROR(__xludf.DUMMYFUNCTION("""COMPUTED_VALUE"""),5.0)</f>
        <v>5</v>
      </c>
      <c r="T266" s="60">
        <f>IFERROR(__xludf.DUMMYFUNCTION("""COMPUTED_VALUE"""),45351.0)</f>
        <v>45351</v>
      </c>
      <c r="V266" s="59" t="str">
        <f>IFERROR(__xludf.DUMMYFUNCTION("""COMPUTED_VALUE"""),"Javammp Printing Services")</f>
        <v>Javammp Printing Services</v>
      </c>
      <c r="W266" s="4">
        <f>IFERROR(__xludf.DUMMYFUNCTION("""COMPUTED_VALUE"""),5.0)</f>
        <v>5</v>
      </c>
      <c r="X266" s="60">
        <f>IFERROR(__xludf.DUMMYFUNCTION("""COMPUTED_VALUE"""),45736.0)</f>
        <v>45736</v>
      </c>
      <c r="AA266" s="4"/>
      <c r="AD266" s="4"/>
      <c r="AG266" s="4"/>
    </row>
    <row r="267">
      <c r="A267" s="179"/>
      <c r="B267" s="180"/>
      <c r="C267" s="2"/>
      <c r="E267" s="181"/>
      <c r="F267" s="181"/>
      <c r="G267" s="2"/>
      <c r="I267" s="190"/>
      <c r="J267" s="190"/>
      <c r="K267" s="2"/>
      <c r="R267" s="59" t="str">
        <f>IFERROR(__xludf.DUMMYFUNCTION("""COMPUTED_VALUE"""),"Colent Marketing Philippines, Inc.")</f>
        <v>Colent Marketing Philippines, Inc.</v>
      </c>
      <c r="S267" s="4">
        <f>IFERROR(__xludf.DUMMYFUNCTION("""COMPUTED_VALUE"""),5.0)</f>
        <v>5</v>
      </c>
      <c r="T267" s="60">
        <f>IFERROR(__xludf.DUMMYFUNCTION("""COMPUTED_VALUE"""),45453.0)</f>
        <v>45453</v>
      </c>
      <c r="V267" s="59" t="str">
        <f>IFERROR(__xludf.DUMMYFUNCTION("""COMPUTED_VALUE"""),"Contrade Integrated Depot")</f>
        <v>Contrade Integrated Depot</v>
      </c>
      <c r="W267" s="4">
        <f>IFERROR(__xludf.DUMMYFUNCTION("""COMPUTED_VALUE"""),4.666666666666667)</f>
        <v>4.666666667</v>
      </c>
      <c r="X267" s="60">
        <f>IFERROR(__xludf.DUMMYFUNCTION("""COMPUTED_VALUE"""),45724.0)</f>
        <v>45724</v>
      </c>
      <c r="AA267" s="4"/>
      <c r="AD267" s="4"/>
      <c r="AG267" s="4"/>
    </row>
    <row r="268">
      <c r="A268" s="179"/>
      <c r="B268" s="180"/>
      <c r="C268" s="2"/>
      <c r="E268" s="181"/>
      <c r="F268" s="181"/>
      <c r="G268" s="2"/>
      <c r="I268" s="190"/>
      <c r="J268" s="190"/>
      <c r="K268" s="2"/>
      <c r="R268" s="59" t="str">
        <f>IFERROR(__xludf.DUMMYFUNCTION("""COMPUTED_VALUE"""),"Belview Co., Inc.")</f>
        <v>Belview Co., Inc.</v>
      </c>
      <c r="S268" s="4">
        <f>IFERROR(__xludf.DUMMYFUNCTION("""COMPUTED_VALUE"""),4.733333333333333)</f>
        <v>4.733333333</v>
      </c>
      <c r="T268" s="60">
        <f>IFERROR(__xludf.DUMMYFUNCTION("""COMPUTED_VALUE"""),45335.0)</f>
        <v>45335</v>
      </c>
      <c r="V268" s="59" t="str">
        <f>IFERROR(__xludf.DUMMYFUNCTION("""COMPUTED_VALUE"""),"Contrade Integrated Depot")</f>
        <v>Contrade Integrated Depot</v>
      </c>
      <c r="W268" s="4">
        <f>IFERROR(__xludf.DUMMYFUNCTION("""COMPUTED_VALUE"""),4.916666666666667)</f>
        <v>4.916666667</v>
      </c>
      <c r="X268" s="60">
        <f>IFERROR(__xludf.DUMMYFUNCTION("""COMPUTED_VALUE"""),45724.0)</f>
        <v>45724</v>
      </c>
      <c r="AA268" s="4"/>
      <c r="AD268" s="4"/>
      <c r="AG268" s="4"/>
    </row>
    <row r="269">
      <c r="A269" s="179"/>
      <c r="B269" s="180"/>
      <c r="C269" s="2"/>
      <c r="E269" s="181"/>
      <c r="F269" s="181"/>
      <c r="G269" s="2"/>
      <c r="I269" s="190"/>
      <c r="J269" s="190"/>
      <c r="K269" s="2"/>
      <c r="R269" s="59" t="str">
        <f>IFERROR(__xludf.DUMMYFUNCTION("""COMPUTED_VALUE"""),"Net Ad IT Solutions")</f>
        <v>Net Ad IT Solutions</v>
      </c>
      <c r="S269" s="4">
        <f>IFERROR(__xludf.DUMMYFUNCTION("""COMPUTED_VALUE"""),5.0)</f>
        <v>5</v>
      </c>
      <c r="T269" s="60">
        <f>IFERROR(__xludf.DUMMYFUNCTION("""COMPUTED_VALUE"""),45468.0)</f>
        <v>45468</v>
      </c>
      <c r="V269" s="59" t="str">
        <f>IFERROR(__xludf.DUMMYFUNCTION("""COMPUTED_VALUE"""),"Abenson Ventures, Inc.")</f>
        <v>Abenson Ventures, Inc.</v>
      </c>
      <c r="W269" s="4">
        <f>IFERROR(__xludf.DUMMYFUNCTION("""COMPUTED_VALUE"""),4.833333333333333)</f>
        <v>4.833333333</v>
      </c>
      <c r="X269" s="60">
        <f>IFERROR(__xludf.DUMMYFUNCTION("""COMPUTED_VALUE"""),45610.0)</f>
        <v>45610</v>
      </c>
      <c r="AA269" s="4"/>
      <c r="AD269" s="4"/>
      <c r="AG269" s="4"/>
    </row>
    <row r="270">
      <c r="A270" s="179"/>
      <c r="B270" s="180"/>
      <c r="C270" s="2"/>
      <c r="E270" s="181"/>
      <c r="F270" s="181"/>
      <c r="G270" s="2"/>
      <c r="I270" s="190"/>
      <c r="J270" s="190"/>
      <c r="K270" s="2"/>
      <c r="R270" s="59" t="str">
        <f>IFERROR(__xludf.DUMMYFUNCTION("""COMPUTED_VALUE"""),"Net Ad IT Solutions")</f>
        <v>Net Ad IT Solutions</v>
      </c>
      <c r="S270" s="4">
        <f>IFERROR(__xludf.DUMMYFUNCTION("""COMPUTED_VALUE"""),5.0)</f>
        <v>5</v>
      </c>
      <c r="T270" s="60">
        <f>IFERROR(__xludf.DUMMYFUNCTION("""COMPUTED_VALUE"""),45461.0)</f>
        <v>45461</v>
      </c>
      <c r="V270" s="59" t="str">
        <f>IFERROR(__xludf.DUMMYFUNCTION("""COMPUTED_VALUE"""),"Hospeco Philippines, Inc.")</f>
        <v>Hospeco Philippines, Inc.</v>
      </c>
      <c r="W270" s="4">
        <f>IFERROR(__xludf.DUMMYFUNCTION("""COMPUTED_VALUE"""),4.666666666666667)</f>
        <v>4.666666667</v>
      </c>
      <c r="X270" s="60">
        <f>IFERROR(__xludf.DUMMYFUNCTION("""COMPUTED_VALUE"""),45579.0)</f>
        <v>45579</v>
      </c>
      <c r="AA270" s="4"/>
      <c r="AD270" s="4"/>
      <c r="AG270" s="4"/>
    </row>
    <row r="271">
      <c r="A271" s="179"/>
      <c r="B271" s="180"/>
      <c r="C271" s="2"/>
      <c r="E271" s="181"/>
      <c r="F271" s="181"/>
      <c r="G271" s="2"/>
      <c r="I271" s="190"/>
      <c r="J271" s="190"/>
      <c r="K271" s="2"/>
      <c r="R271" s="59" t="str">
        <f>IFERROR(__xludf.DUMMYFUNCTION("""COMPUTED_VALUE"""),"Microsmith Technology System,Inc.")</f>
        <v>Microsmith Technology System,Inc.</v>
      </c>
      <c r="S271" s="4">
        <f>IFERROR(__xludf.DUMMYFUNCTION("""COMPUTED_VALUE"""),5.0)</f>
        <v>5</v>
      </c>
      <c r="T271" s="60">
        <f>IFERROR(__xludf.DUMMYFUNCTION("""COMPUTED_VALUE"""),45352.0)</f>
        <v>45352</v>
      </c>
      <c r="V271" s="59" t="str">
        <f>IFERROR(__xludf.DUMMYFUNCTION("""COMPUTED_VALUE"""),"Atlas Superflags")</f>
        <v>Atlas Superflags</v>
      </c>
      <c r="W271" s="4">
        <f>IFERROR(__xludf.DUMMYFUNCTION("""COMPUTED_VALUE"""),4.75)</f>
        <v>4.75</v>
      </c>
      <c r="X271" s="60">
        <f>IFERROR(__xludf.DUMMYFUNCTION("""COMPUTED_VALUE"""),45582.0)</f>
        <v>45582</v>
      </c>
      <c r="AA271" s="4"/>
      <c r="AD271" s="4"/>
      <c r="AG271" s="4"/>
    </row>
    <row r="272">
      <c r="A272" s="179"/>
      <c r="B272" s="180"/>
      <c r="C272" s="2"/>
      <c r="E272" s="181"/>
      <c r="F272" s="181"/>
      <c r="G272" s="2"/>
      <c r="I272" s="190"/>
      <c r="J272" s="190"/>
      <c r="K272" s="2"/>
      <c r="R272" s="59" t="str">
        <f>IFERROR(__xludf.DUMMYFUNCTION("""COMPUTED_VALUE"""),"Alpha-Cored Technology Systems, Inc.")</f>
        <v>Alpha-Cored Technology Systems, Inc.</v>
      </c>
      <c r="S272" s="4">
        <f>IFERROR(__xludf.DUMMYFUNCTION("""COMPUTED_VALUE"""),5.0)</f>
        <v>5</v>
      </c>
      <c r="T272" s="60">
        <f>IFERROR(__xludf.DUMMYFUNCTION("""COMPUTED_VALUE"""),45366.0)</f>
        <v>45366</v>
      </c>
      <c r="V272" s="59" t="str">
        <f>IFERROR(__xludf.DUMMYFUNCTION("""COMPUTED_VALUE"""),"Atlas Superflags")</f>
        <v>Atlas Superflags</v>
      </c>
      <c r="W272" s="4">
        <f>IFERROR(__xludf.DUMMYFUNCTION("""COMPUTED_VALUE"""),4.666666666666667)</f>
        <v>4.666666667</v>
      </c>
      <c r="X272" s="60">
        <f>IFERROR(__xludf.DUMMYFUNCTION("""COMPUTED_VALUE"""),45660.0)</f>
        <v>45660</v>
      </c>
      <c r="AA272" s="4"/>
      <c r="AD272" s="4"/>
      <c r="AG272" s="4"/>
    </row>
    <row r="273">
      <c r="A273" s="179"/>
      <c r="B273" s="180"/>
      <c r="C273" s="2"/>
      <c r="E273" s="181"/>
      <c r="F273" s="181"/>
      <c r="G273" s="2"/>
      <c r="I273" s="190"/>
      <c r="J273" s="190"/>
      <c r="K273" s="2"/>
      <c r="R273" s="59" t="str">
        <f>IFERROR(__xludf.DUMMYFUNCTION("""COMPUTED_VALUE"""),"Alpha-Cored Technology Systems, Inc.")</f>
        <v>Alpha-Cored Technology Systems, Inc.</v>
      </c>
      <c r="S273" s="4">
        <f>IFERROR(__xludf.DUMMYFUNCTION("""COMPUTED_VALUE"""),5.0)</f>
        <v>5</v>
      </c>
      <c r="T273" s="60">
        <f>IFERROR(__xludf.DUMMYFUNCTION("""COMPUTED_VALUE"""),45366.0)</f>
        <v>45366</v>
      </c>
      <c r="V273" s="59" t="str">
        <f>IFERROR(__xludf.DUMMYFUNCTION("""COMPUTED_VALUE"""),"Atlas Superflags")</f>
        <v>Atlas Superflags</v>
      </c>
      <c r="W273" s="4">
        <f>IFERROR(__xludf.DUMMYFUNCTION("""COMPUTED_VALUE"""),4.583333333333333)</f>
        <v>4.583333333</v>
      </c>
      <c r="X273" s="60">
        <f>IFERROR(__xludf.DUMMYFUNCTION("""COMPUTED_VALUE"""),45660.0)</f>
        <v>45660</v>
      </c>
      <c r="AA273" s="4"/>
      <c r="AD273" s="4"/>
      <c r="AG273" s="4"/>
    </row>
    <row r="274">
      <c r="A274" s="179"/>
      <c r="B274" s="180"/>
      <c r="C274" s="2"/>
      <c r="E274" s="181"/>
      <c r="F274" s="181"/>
      <c r="G274" s="2"/>
      <c r="I274" s="190"/>
      <c r="J274" s="190"/>
      <c r="K274" s="2"/>
      <c r="R274" s="59" t="str">
        <f>IFERROR(__xludf.DUMMYFUNCTION("""COMPUTED_VALUE"""),"EIG Metal Engravers")</f>
        <v>EIG Metal Engravers</v>
      </c>
      <c r="S274" s="4">
        <f>IFERROR(__xludf.DUMMYFUNCTION("""COMPUTED_VALUE"""),4.75)</f>
        <v>4.75</v>
      </c>
      <c r="T274" s="60">
        <f>IFERROR(__xludf.DUMMYFUNCTION("""COMPUTED_VALUE"""),45412.0)</f>
        <v>45412</v>
      </c>
      <c r="V274" s="59" t="str">
        <f>IFERROR(__xludf.DUMMYFUNCTION("""COMPUTED_VALUE"""),"Contrade Integrated Depot")</f>
        <v>Contrade Integrated Depot</v>
      </c>
      <c r="W274" s="4">
        <f>IFERROR(__xludf.DUMMYFUNCTION("""COMPUTED_VALUE"""),5.0)</f>
        <v>5</v>
      </c>
      <c r="X274" s="60">
        <f>IFERROR(__xludf.DUMMYFUNCTION("""COMPUTED_VALUE"""),45593.0)</f>
        <v>45593</v>
      </c>
      <c r="AA274" s="4"/>
      <c r="AD274" s="4"/>
      <c r="AG274" s="4"/>
    </row>
    <row r="275">
      <c r="A275" s="179"/>
      <c r="B275" s="180"/>
      <c r="C275" s="2"/>
      <c r="E275" s="181"/>
      <c r="F275" s="181"/>
      <c r="G275" s="2"/>
      <c r="I275" s="190"/>
      <c r="J275" s="190"/>
      <c r="K275" s="2"/>
      <c r="R275" s="59" t="str">
        <f>IFERROR(__xludf.DUMMYFUNCTION("""COMPUTED_VALUE"""),"Alpha-Cored Technology Systems, Inc.")</f>
        <v>Alpha-Cored Technology Systems, Inc.</v>
      </c>
      <c r="S275" s="4">
        <f>IFERROR(__xludf.DUMMYFUNCTION("""COMPUTED_VALUE"""),5.0)</f>
        <v>5</v>
      </c>
      <c r="T275" s="60">
        <f>IFERROR(__xludf.DUMMYFUNCTION("""COMPUTED_VALUE"""),45268.0)</f>
        <v>45268</v>
      </c>
      <c r="V275" s="59" t="str">
        <f>IFERROR(__xludf.DUMMYFUNCTION("""COMPUTED_VALUE"""),"Contrade Integrated Depot")</f>
        <v>Contrade Integrated Depot</v>
      </c>
      <c r="W275" s="4">
        <f>IFERROR(__xludf.DUMMYFUNCTION("""COMPUTED_VALUE"""),5.0)</f>
        <v>5</v>
      </c>
      <c r="X275" s="60">
        <f>IFERROR(__xludf.DUMMYFUNCTION("""COMPUTED_VALUE"""),45593.0)</f>
        <v>45593</v>
      </c>
      <c r="AA275" s="4"/>
      <c r="AD275" s="4"/>
      <c r="AG275" s="4"/>
    </row>
    <row r="276">
      <c r="A276" s="179"/>
      <c r="B276" s="180"/>
      <c r="C276" s="2"/>
      <c r="E276" s="181"/>
      <c r="F276" s="181"/>
      <c r="G276" s="2"/>
      <c r="I276" s="190"/>
      <c r="J276" s="190"/>
      <c r="K276" s="2"/>
      <c r="R276" s="59" t="str">
        <f>IFERROR(__xludf.DUMMYFUNCTION("""COMPUTED_VALUE"""),"Tropical Palms Fashion House, Inc.")</f>
        <v>Tropical Palms Fashion House, Inc.</v>
      </c>
      <c r="S276" s="4">
        <f>IFERROR(__xludf.DUMMYFUNCTION("""COMPUTED_VALUE"""),4.5)</f>
        <v>4.5</v>
      </c>
      <c r="T276" s="60">
        <f>IFERROR(__xludf.DUMMYFUNCTION("""COMPUTED_VALUE"""),45415.0)</f>
        <v>45415</v>
      </c>
      <c r="V276" s="59" t="str">
        <f>IFERROR(__xludf.DUMMYFUNCTION("""COMPUTED_VALUE"""),"Contrade Integrated Depot")</f>
        <v>Contrade Integrated Depot</v>
      </c>
      <c r="W276" s="4">
        <f>IFERROR(__xludf.DUMMYFUNCTION("""COMPUTED_VALUE"""),5.0)</f>
        <v>5</v>
      </c>
      <c r="X276" s="60">
        <f>IFERROR(__xludf.DUMMYFUNCTION("""COMPUTED_VALUE"""),45593.0)</f>
        <v>45593</v>
      </c>
      <c r="AA276" s="4"/>
      <c r="AD276" s="4"/>
      <c r="AG276" s="4"/>
    </row>
    <row r="277">
      <c r="A277" s="179"/>
      <c r="B277" s="180"/>
      <c r="C277" s="2"/>
      <c r="E277" s="181"/>
      <c r="F277" s="181"/>
      <c r="G277" s="2"/>
      <c r="I277" s="190"/>
      <c r="J277" s="190"/>
      <c r="K277" s="2"/>
      <c r="R277" s="59" t="str">
        <f>IFERROR(__xludf.DUMMYFUNCTION("""COMPUTED_VALUE"""),"Tropical Palms Fashion House, Inc.")</f>
        <v>Tropical Palms Fashion House, Inc.</v>
      </c>
      <c r="S277" s="4">
        <f>IFERROR(__xludf.DUMMYFUNCTION("""COMPUTED_VALUE"""),4.75)</f>
        <v>4.75</v>
      </c>
      <c r="T277" s="60">
        <f>IFERROR(__xludf.DUMMYFUNCTION("""COMPUTED_VALUE"""),45407.0)</f>
        <v>45407</v>
      </c>
      <c r="V277" s="59" t="str">
        <f>IFERROR(__xludf.DUMMYFUNCTION("""COMPUTED_VALUE"""),"Rivchem Enterprises")</f>
        <v>Rivchem Enterprises</v>
      </c>
      <c r="W277" s="4">
        <f>IFERROR(__xludf.DUMMYFUNCTION("""COMPUTED_VALUE"""),5.0)</f>
        <v>5</v>
      </c>
      <c r="X277" s="60">
        <f>IFERROR(__xludf.DUMMYFUNCTION("""COMPUTED_VALUE"""),45593.0)</f>
        <v>45593</v>
      </c>
      <c r="AA277" s="4"/>
      <c r="AD277" s="4"/>
      <c r="AG277" s="4"/>
    </row>
    <row r="278">
      <c r="A278" s="179"/>
      <c r="B278" s="180"/>
      <c r="C278" s="2"/>
      <c r="E278" s="181"/>
      <c r="F278" s="181"/>
      <c r="G278" s="2"/>
      <c r="I278" s="190"/>
      <c r="J278" s="190"/>
      <c r="K278" s="2"/>
      <c r="R278" s="59" t="str">
        <f>IFERROR(__xludf.DUMMYFUNCTION("""COMPUTED_VALUE"""),"Leonard Prints Inc.")</f>
        <v>Leonard Prints Inc.</v>
      </c>
      <c r="S278" s="4">
        <f>IFERROR(__xludf.DUMMYFUNCTION("""COMPUTED_VALUE"""),4.833333333333333)</f>
        <v>4.833333333</v>
      </c>
      <c r="T278" s="60">
        <f>IFERROR(__xludf.DUMMYFUNCTION("""COMPUTED_VALUE"""),45110.0)</f>
        <v>45110</v>
      </c>
      <c r="V278" s="59" t="str">
        <f>IFERROR(__xludf.DUMMYFUNCTION("""COMPUTED_VALUE"""),"Abacus Book &amp; Card Corp.")</f>
        <v>Abacus Book &amp; Card Corp.</v>
      </c>
      <c r="W278" s="4">
        <f>IFERROR(__xludf.DUMMYFUNCTION("""COMPUTED_VALUE"""),4.916666666666667)</f>
        <v>4.916666667</v>
      </c>
      <c r="X278" s="60">
        <f>IFERROR(__xludf.DUMMYFUNCTION("""COMPUTED_VALUE"""),45595.0)</f>
        <v>45595</v>
      </c>
      <c r="AA278" s="4"/>
      <c r="AD278" s="4"/>
      <c r="AG278" s="4"/>
    </row>
    <row r="279">
      <c r="A279" s="179"/>
      <c r="B279" s="180"/>
      <c r="C279" s="2"/>
      <c r="E279" s="181"/>
      <c r="F279" s="181"/>
      <c r="G279" s="2"/>
      <c r="I279" s="190"/>
      <c r="J279" s="190"/>
      <c r="K279" s="2"/>
      <c r="R279" s="59" t="str">
        <f>IFERROR(__xludf.DUMMYFUNCTION("""COMPUTED_VALUE"""),"Alpha-Cored Technology Systems, Inc.")</f>
        <v>Alpha-Cored Technology Systems, Inc.</v>
      </c>
      <c r="S279" s="4">
        <f>IFERROR(__xludf.DUMMYFUNCTION("""COMPUTED_VALUE"""),5.0)</f>
        <v>5</v>
      </c>
      <c r="T279" s="60">
        <f>IFERROR(__xludf.DUMMYFUNCTION("""COMPUTED_VALUE"""),45366.0)</f>
        <v>45366</v>
      </c>
      <c r="V279" s="59" t="str">
        <f>IFERROR(__xludf.DUMMYFUNCTION("""COMPUTED_VALUE"""),"Mostaco Printing")</f>
        <v>Mostaco Printing</v>
      </c>
      <c r="W279" s="4">
        <f>IFERROR(__xludf.DUMMYFUNCTION("""COMPUTED_VALUE"""),5.0)</f>
        <v>5</v>
      </c>
      <c r="X279" s="60">
        <f>IFERROR(__xludf.DUMMYFUNCTION("""COMPUTED_VALUE"""),45596.0)</f>
        <v>45596</v>
      </c>
      <c r="AA279" s="4"/>
      <c r="AD279" s="4"/>
      <c r="AG279" s="4"/>
    </row>
    <row r="280">
      <c r="A280" s="179"/>
      <c r="B280" s="180"/>
      <c r="C280" s="2"/>
      <c r="E280" s="181"/>
      <c r="F280" s="181"/>
      <c r="G280" s="2"/>
      <c r="I280" s="190"/>
      <c r="J280" s="190"/>
      <c r="K280" s="2"/>
      <c r="R280" s="59" t="str">
        <f>IFERROR(__xludf.DUMMYFUNCTION("""COMPUTED_VALUE"""),"Ahrcel's Gift Shop")</f>
        <v>Ahrcel's Gift Shop</v>
      </c>
      <c r="S280" s="4">
        <f>IFERROR(__xludf.DUMMYFUNCTION("""COMPUTED_VALUE"""),4.836111111111111)</f>
        <v>4.836111111</v>
      </c>
      <c r="T280" s="60">
        <f>IFERROR(__xludf.DUMMYFUNCTION("""COMPUTED_VALUE"""),45471.0)</f>
        <v>45471</v>
      </c>
      <c r="V280" s="59" t="str">
        <f>IFERROR(__xludf.DUMMYFUNCTION("""COMPUTED_VALUE"""),"Primeline Products Philippines, Inc.")</f>
        <v>Primeline Products Philippines, Inc.</v>
      </c>
      <c r="W280" s="4">
        <f>IFERROR(__xludf.DUMMYFUNCTION("""COMPUTED_VALUE"""),4.3566666666666665)</f>
        <v>4.356666667</v>
      </c>
      <c r="X280" s="60">
        <f>IFERROR(__xludf.DUMMYFUNCTION("""COMPUTED_VALUE"""),45566.0)</f>
        <v>45566</v>
      </c>
      <c r="AA280" s="4"/>
      <c r="AD280" s="4"/>
      <c r="AG280" s="4"/>
    </row>
    <row r="281">
      <c r="A281" s="179"/>
      <c r="B281" s="180"/>
      <c r="C281" s="2"/>
      <c r="E281" s="181"/>
      <c r="F281" s="181"/>
      <c r="G281" s="2"/>
      <c r="I281" s="190"/>
      <c r="J281" s="190"/>
      <c r="K281" s="2"/>
      <c r="R281" s="59" t="str">
        <f>IFERROR(__xludf.DUMMYFUNCTION("""COMPUTED_VALUE"""),"Paper Tree Marketing Group, Inc.")</f>
        <v>Paper Tree Marketing Group, Inc.</v>
      </c>
      <c r="S281" s="4">
        <f>IFERROR(__xludf.DUMMYFUNCTION("""COMPUTED_VALUE"""),4.8)</f>
        <v>4.8</v>
      </c>
      <c r="T281" s="60">
        <f>IFERROR(__xludf.DUMMYFUNCTION("""COMPUTED_VALUE"""),45434.0)</f>
        <v>45434</v>
      </c>
      <c r="V281" s="59" t="str">
        <f>IFERROR(__xludf.DUMMYFUNCTION("""COMPUTED_VALUE"""),"Hospeco Philippines, Inc.")</f>
        <v>Hospeco Philippines, Inc.</v>
      </c>
      <c r="W281" s="4">
        <f>IFERROR(__xludf.DUMMYFUNCTION("""COMPUTED_VALUE"""),4.9750000000000005)</f>
        <v>4.975</v>
      </c>
      <c r="X281" s="60">
        <f>IFERROR(__xludf.DUMMYFUNCTION("""COMPUTED_VALUE"""),45573.0)</f>
        <v>45573</v>
      </c>
      <c r="AA281" s="4"/>
      <c r="AD281" s="4"/>
      <c r="AG281" s="4"/>
    </row>
    <row r="282">
      <c r="A282" s="179"/>
      <c r="B282" s="180"/>
      <c r="C282" s="2"/>
      <c r="E282" s="181"/>
      <c r="F282" s="181"/>
      <c r="G282" s="2"/>
      <c r="I282" s="190"/>
      <c r="J282" s="190"/>
      <c r="K282" s="2"/>
      <c r="V282" s="59" t="str">
        <f>IFERROR(__xludf.DUMMYFUNCTION("""COMPUTED_VALUE"""),"Data Computer Forms, Inc.")</f>
        <v>Data Computer Forms, Inc.</v>
      </c>
      <c r="W282" s="4">
        <f>IFERROR(__xludf.DUMMYFUNCTION("""COMPUTED_VALUE"""),4.941666666666666)</f>
        <v>4.941666667</v>
      </c>
      <c r="X282" s="60">
        <f>IFERROR(__xludf.DUMMYFUNCTION("""COMPUTED_VALUE"""),45614.0)</f>
        <v>45614</v>
      </c>
      <c r="AA282" s="4"/>
      <c r="AD282" s="4"/>
      <c r="AG282" s="4"/>
    </row>
    <row r="283">
      <c r="A283" s="179"/>
      <c r="B283" s="180"/>
      <c r="C283" s="2"/>
      <c r="E283" s="181"/>
      <c r="F283" s="181"/>
      <c r="G283" s="2"/>
      <c r="I283" s="190"/>
      <c r="J283" s="190"/>
      <c r="K283" s="2"/>
      <c r="V283" s="59" t="str">
        <f>IFERROR(__xludf.DUMMYFUNCTION("""COMPUTED_VALUE"""),"Rivchem Enterprises")</f>
        <v>Rivchem Enterprises</v>
      </c>
      <c r="W283" s="4">
        <f>IFERROR(__xludf.DUMMYFUNCTION("""COMPUTED_VALUE"""),4.958333333333333)</f>
        <v>4.958333333</v>
      </c>
      <c r="X283" s="60">
        <f>IFERROR(__xludf.DUMMYFUNCTION("""COMPUTED_VALUE"""),45604.0)</f>
        <v>45604</v>
      </c>
      <c r="AA283" s="4"/>
      <c r="AD283" s="4"/>
      <c r="AG283" s="4"/>
    </row>
    <row r="284">
      <c r="A284" s="179"/>
      <c r="B284" s="180"/>
      <c r="C284" s="2"/>
      <c r="E284" s="181"/>
      <c r="F284" s="181"/>
      <c r="G284" s="2"/>
      <c r="I284" s="190"/>
      <c r="J284" s="190"/>
      <c r="K284" s="2"/>
      <c r="V284" s="59" t="str">
        <f>IFERROR(__xludf.DUMMYFUNCTION("""COMPUTED_VALUE"""),"Chemtrust Global Market, Inc.")</f>
        <v>Chemtrust Global Market, Inc.</v>
      </c>
      <c r="W284" s="4">
        <f>IFERROR(__xludf.DUMMYFUNCTION("""COMPUTED_VALUE"""),4.891666666666667)</f>
        <v>4.891666667</v>
      </c>
      <c r="X284" s="60">
        <f>IFERROR(__xludf.DUMMYFUNCTION("""COMPUTED_VALUE"""),45604.0)</f>
        <v>45604</v>
      </c>
      <c r="AA284" s="4"/>
      <c r="AD284" s="4"/>
      <c r="AG284" s="4"/>
    </row>
    <row r="285">
      <c r="A285" s="179"/>
      <c r="B285" s="180"/>
      <c r="C285" s="2"/>
      <c r="E285" s="181"/>
      <c r="F285" s="181"/>
      <c r="G285" s="2"/>
      <c r="I285" s="190"/>
      <c r="J285" s="190"/>
      <c r="K285" s="2"/>
      <c r="V285" s="59" t="str">
        <f>IFERROR(__xludf.DUMMYFUNCTION("""COMPUTED_VALUE"""),"Chemtrust Global Market, Inc.")</f>
        <v>Chemtrust Global Market, Inc.</v>
      </c>
      <c r="W285" s="4">
        <f>IFERROR(__xludf.DUMMYFUNCTION("""COMPUTED_VALUE"""),4.808333333333334)</f>
        <v>4.808333333</v>
      </c>
      <c r="X285" s="60">
        <f>IFERROR(__xludf.DUMMYFUNCTION("""COMPUTED_VALUE"""),45604.0)</f>
        <v>45604</v>
      </c>
      <c r="AA285" s="4"/>
      <c r="AD285" s="4"/>
      <c r="AG285" s="4"/>
    </row>
    <row r="286">
      <c r="A286" s="179"/>
      <c r="B286" s="180"/>
      <c r="C286" s="2"/>
      <c r="E286" s="181"/>
      <c r="F286" s="181"/>
      <c r="G286" s="2"/>
      <c r="I286" s="190"/>
      <c r="J286" s="190"/>
      <c r="K286" s="2"/>
      <c r="V286" s="59" t="str">
        <f>IFERROR(__xludf.DUMMYFUNCTION("""COMPUTED_VALUE"""),"Belview Co., Inc.")</f>
        <v>Belview Co., Inc.</v>
      </c>
      <c r="W286" s="4">
        <f>IFERROR(__xludf.DUMMYFUNCTION("""COMPUTED_VALUE"""),4.833333333333333)</f>
        <v>4.833333333</v>
      </c>
      <c r="X286" s="60">
        <f>IFERROR(__xludf.DUMMYFUNCTION("""COMPUTED_VALUE"""),45691.0)</f>
        <v>45691</v>
      </c>
      <c r="AA286" s="4"/>
      <c r="AD286" s="4"/>
      <c r="AG286" s="4"/>
    </row>
    <row r="287">
      <c r="A287" s="179"/>
      <c r="B287" s="180"/>
      <c r="C287" s="2"/>
      <c r="E287" s="181"/>
      <c r="F287" s="181"/>
      <c r="G287" s="2"/>
      <c r="I287" s="190"/>
      <c r="J287" s="190"/>
      <c r="K287" s="2"/>
      <c r="V287" s="59" t="str">
        <f>IFERROR(__xludf.DUMMYFUNCTION("""COMPUTED_VALUE"""),"Arkin Hardware")</f>
        <v>Arkin Hardware</v>
      </c>
      <c r="W287" s="4">
        <f>IFERROR(__xludf.DUMMYFUNCTION("""COMPUTED_VALUE"""),5.0)</f>
        <v>5</v>
      </c>
      <c r="X287" s="60">
        <f>IFERROR(__xludf.DUMMYFUNCTION("""COMPUTED_VALUE"""),45644.0)</f>
        <v>45644</v>
      </c>
      <c r="AA287" s="4"/>
      <c r="AD287" s="4"/>
      <c r="AG287" s="4"/>
    </row>
    <row r="288">
      <c r="A288" s="179"/>
      <c r="B288" s="180"/>
      <c r="C288" s="2"/>
      <c r="E288" s="181"/>
      <c r="F288" s="181"/>
      <c r="G288" s="2"/>
      <c r="I288" s="190"/>
      <c r="J288" s="190"/>
      <c r="K288" s="2"/>
      <c r="V288" s="59" t="str">
        <f>IFERROR(__xludf.DUMMYFUNCTION("""COMPUTED_VALUE"""),"Belview Co., Inc.")</f>
        <v>Belview Co., Inc.</v>
      </c>
      <c r="W288" s="4">
        <f>IFERROR(__xludf.DUMMYFUNCTION("""COMPUTED_VALUE"""),4.733333333333333)</f>
        <v>4.733333333</v>
      </c>
      <c r="X288" s="60">
        <f>IFERROR(__xludf.DUMMYFUNCTION("""COMPUTED_VALUE"""),45615.0)</f>
        <v>45615</v>
      </c>
      <c r="AA288" s="4"/>
      <c r="AD288" s="4"/>
      <c r="AG288" s="4"/>
    </row>
    <row r="289">
      <c r="A289" s="179"/>
      <c r="B289" s="180"/>
      <c r="C289" s="2"/>
      <c r="E289" s="181"/>
      <c r="F289" s="181"/>
      <c r="G289" s="2"/>
      <c r="I289" s="190"/>
      <c r="J289" s="190"/>
      <c r="K289" s="2"/>
      <c r="V289" s="59" t="str">
        <f>IFERROR(__xludf.DUMMYFUNCTION("""COMPUTED_VALUE"""),"Mostaco Printing")</f>
        <v>Mostaco Printing</v>
      </c>
      <c r="W289" s="4">
        <f>IFERROR(__xludf.DUMMYFUNCTION("""COMPUTED_VALUE"""),4.0)</f>
        <v>4</v>
      </c>
      <c r="X289" s="60">
        <f>IFERROR(__xludf.DUMMYFUNCTION("""COMPUTED_VALUE"""),45619.0)</f>
        <v>45619</v>
      </c>
      <c r="AA289" s="4"/>
      <c r="AD289" s="4"/>
      <c r="AG289" s="4"/>
    </row>
    <row r="290">
      <c r="A290" s="179"/>
      <c r="B290" s="180"/>
      <c r="C290" s="2"/>
      <c r="E290" s="181"/>
      <c r="F290" s="181"/>
      <c r="G290" s="2"/>
      <c r="I290" s="190"/>
      <c r="J290" s="190"/>
      <c r="K290" s="2"/>
      <c r="V290" s="59" t="str">
        <f>IFERROR(__xludf.DUMMYFUNCTION("""COMPUTED_VALUE"""),"Microsmith Technology System,Inc.")</f>
        <v>Microsmith Technology System,Inc.</v>
      </c>
      <c r="W290" s="4">
        <f>IFERROR(__xludf.DUMMYFUNCTION("""COMPUTED_VALUE"""),5.0)</f>
        <v>5</v>
      </c>
      <c r="X290" s="60">
        <f>IFERROR(__xludf.DUMMYFUNCTION("""COMPUTED_VALUE"""),45614.0)</f>
        <v>45614</v>
      </c>
      <c r="AA290" s="4"/>
      <c r="AD290" s="4"/>
      <c r="AG290" s="4"/>
    </row>
    <row r="291">
      <c r="A291" s="179"/>
      <c r="B291" s="180"/>
      <c r="C291" s="2"/>
      <c r="E291" s="181"/>
      <c r="F291" s="181"/>
      <c r="G291" s="2"/>
      <c r="I291" s="190"/>
      <c r="J291" s="190"/>
      <c r="K291" s="2"/>
      <c r="V291" s="59" t="str">
        <f>IFERROR(__xludf.DUMMYFUNCTION("""COMPUTED_VALUE"""),"Arkin Hardware")</f>
        <v>Arkin Hardware</v>
      </c>
      <c r="W291" s="4">
        <f>IFERROR(__xludf.DUMMYFUNCTION("""COMPUTED_VALUE"""),5.0)</f>
        <v>5</v>
      </c>
      <c r="X291" s="60">
        <f>IFERROR(__xludf.DUMMYFUNCTION("""COMPUTED_VALUE"""),45665.0)</f>
        <v>45665</v>
      </c>
      <c r="AA291" s="4"/>
      <c r="AD291" s="4"/>
      <c r="AG291" s="4"/>
    </row>
    <row r="292">
      <c r="A292" s="179"/>
      <c r="B292" s="180"/>
      <c r="C292" s="2"/>
      <c r="E292" s="181"/>
      <c r="F292" s="181"/>
      <c r="G292" s="2"/>
      <c r="I292" s="190"/>
      <c r="J292" s="190"/>
      <c r="K292" s="2"/>
      <c r="V292" s="59" t="str">
        <f>IFERROR(__xludf.DUMMYFUNCTION("""COMPUTED_VALUE"""),"Columbia Technologies, Inc.")</f>
        <v>Columbia Technologies, Inc.</v>
      </c>
      <c r="W292" s="4">
        <f>IFERROR(__xludf.DUMMYFUNCTION("""COMPUTED_VALUE"""),5.0)</f>
        <v>5</v>
      </c>
      <c r="X292" s="60">
        <f>IFERROR(__xludf.DUMMYFUNCTION("""COMPUTED_VALUE"""),45512.0)</f>
        <v>45512</v>
      </c>
      <c r="AA292" s="4"/>
      <c r="AD292" s="4"/>
      <c r="AG292" s="4"/>
    </row>
    <row r="293">
      <c r="A293" s="179"/>
      <c r="B293" s="180"/>
      <c r="C293" s="2"/>
      <c r="E293" s="181"/>
      <c r="F293" s="181"/>
      <c r="G293" s="2"/>
      <c r="I293" s="190"/>
      <c r="J293" s="190"/>
      <c r="K293" s="2"/>
      <c r="V293" s="59" t="str">
        <f>IFERROR(__xludf.DUMMYFUNCTION("""COMPUTED_VALUE"""),"Net Ad IT Solutions")</f>
        <v>Net Ad IT Solutions</v>
      </c>
      <c r="W293" s="4">
        <f>IFERROR(__xludf.DUMMYFUNCTION("""COMPUTED_VALUE"""),5.0)</f>
        <v>5</v>
      </c>
      <c r="X293" s="60">
        <f>IFERROR(__xludf.DUMMYFUNCTION("""COMPUTED_VALUE"""),45722.0)</f>
        <v>45722</v>
      </c>
      <c r="AA293" s="4"/>
      <c r="AD293" s="4"/>
      <c r="AG293" s="4"/>
    </row>
    <row r="294">
      <c r="A294" s="179"/>
      <c r="B294" s="180"/>
      <c r="C294" s="2"/>
      <c r="E294" s="181"/>
      <c r="F294" s="181"/>
      <c r="G294" s="2"/>
      <c r="I294" s="190"/>
      <c r="J294" s="190"/>
      <c r="K294" s="2"/>
      <c r="V294" s="59" t="str">
        <f>IFERROR(__xludf.DUMMYFUNCTION("""COMPUTED_VALUE"""),"Net Ad IT Solutions")</f>
        <v>Net Ad IT Solutions</v>
      </c>
      <c r="W294" s="4">
        <f>IFERROR(__xludf.DUMMYFUNCTION("""COMPUTED_VALUE"""),5.0)</f>
        <v>5</v>
      </c>
      <c r="X294" s="60">
        <f>IFERROR(__xludf.DUMMYFUNCTION("""COMPUTED_VALUE"""),45803.0)</f>
        <v>45803</v>
      </c>
      <c r="AA294" s="4"/>
      <c r="AD294" s="4"/>
      <c r="AG294" s="4"/>
    </row>
    <row r="295">
      <c r="A295" s="179"/>
      <c r="B295" s="180"/>
      <c r="C295" s="2"/>
      <c r="E295" s="181"/>
      <c r="F295" s="181"/>
      <c r="G295" s="2"/>
      <c r="I295" s="190"/>
      <c r="J295" s="190"/>
      <c r="K295" s="2"/>
      <c r="V295" s="59" t="str">
        <f>IFERROR(__xludf.DUMMYFUNCTION("""COMPUTED_VALUE"""),"iEquity Technologies Corp.")</f>
        <v>iEquity Technologies Corp.</v>
      </c>
      <c r="W295" s="4">
        <f>IFERROR(__xludf.DUMMYFUNCTION("""COMPUTED_VALUE"""),5.0)</f>
        <v>5</v>
      </c>
      <c r="X295" s="60">
        <f>IFERROR(__xludf.DUMMYFUNCTION("""COMPUTED_VALUE"""),45614.0)</f>
        <v>45614</v>
      </c>
      <c r="AA295" s="4"/>
      <c r="AD295" s="4"/>
      <c r="AG295" s="4"/>
    </row>
    <row r="296">
      <c r="A296" s="179"/>
      <c r="B296" s="180"/>
      <c r="C296" s="2"/>
      <c r="E296" s="181"/>
      <c r="F296" s="181"/>
      <c r="G296" s="2"/>
      <c r="I296" s="190"/>
      <c r="J296" s="190"/>
      <c r="K296" s="2"/>
      <c r="V296" s="59" t="str">
        <f>IFERROR(__xludf.DUMMYFUNCTION("""COMPUTED_VALUE"""),"Printing Shop PrintPilipinas.com")</f>
        <v>Printing Shop PrintPilipinas.com</v>
      </c>
      <c r="W296" s="4">
        <f>IFERROR(__xludf.DUMMYFUNCTION("""COMPUTED_VALUE"""),5.0)</f>
        <v>5</v>
      </c>
      <c r="X296" s="60">
        <f>IFERROR(__xludf.DUMMYFUNCTION("""COMPUTED_VALUE"""),45730.0)</f>
        <v>45730</v>
      </c>
      <c r="AA296" s="4"/>
      <c r="AD296" s="4"/>
      <c r="AG296" s="4"/>
    </row>
    <row r="297">
      <c r="A297" s="179"/>
      <c r="B297" s="180"/>
      <c r="C297" s="2"/>
      <c r="E297" s="181"/>
      <c r="F297" s="181"/>
      <c r="G297" s="2"/>
      <c r="I297" s="190"/>
      <c r="J297" s="190"/>
      <c r="K297" s="2"/>
      <c r="V297" s="59" t="str">
        <f>IFERROR(__xludf.DUMMYFUNCTION("""COMPUTED_VALUE"""),"Arkin Hardware")</f>
        <v>Arkin Hardware</v>
      </c>
      <c r="W297" s="4">
        <f>IFERROR(__xludf.DUMMYFUNCTION("""COMPUTED_VALUE"""),5.0)</f>
        <v>5</v>
      </c>
      <c r="X297" s="60">
        <f>IFERROR(__xludf.DUMMYFUNCTION("""COMPUTED_VALUE"""),45534.0)</f>
        <v>45534</v>
      </c>
      <c r="AA297" s="4"/>
      <c r="AD297" s="4"/>
      <c r="AG297" s="4"/>
    </row>
    <row r="298">
      <c r="A298" s="179"/>
      <c r="B298" s="180"/>
      <c r="C298" s="2"/>
      <c r="E298" s="181"/>
      <c r="F298" s="181"/>
      <c r="G298" s="2"/>
      <c r="I298" s="190"/>
      <c r="J298" s="190"/>
      <c r="K298" s="2"/>
      <c r="V298" s="59" t="str">
        <f>IFERROR(__xludf.DUMMYFUNCTION("""COMPUTED_VALUE"""),"Primeline Products Philippines, Inc.")</f>
        <v>Primeline Products Philippines, Inc.</v>
      </c>
      <c r="W298" s="4">
        <f>IFERROR(__xludf.DUMMYFUNCTION("""COMPUTED_VALUE"""),5.0)</f>
        <v>5</v>
      </c>
      <c r="X298" s="60">
        <f>IFERROR(__xludf.DUMMYFUNCTION("""COMPUTED_VALUE"""),45730.0)</f>
        <v>45730</v>
      </c>
      <c r="AA298" s="4"/>
      <c r="AD298" s="4"/>
      <c r="AG298" s="4"/>
    </row>
    <row r="299">
      <c r="A299" s="179"/>
      <c r="B299" s="180"/>
      <c r="C299" s="2"/>
      <c r="E299" s="181"/>
      <c r="F299" s="181"/>
      <c r="G299" s="2"/>
      <c r="I299" s="190"/>
      <c r="J299" s="190"/>
      <c r="K299" s="2"/>
      <c r="V299" s="59" t="str">
        <f>IFERROR(__xludf.DUMMYFUNCTION("""COMPUTED_VALUE"""),"Arkin Hardware")</f>
        <v>Arkin Hardware</v>
      </c>
      <c r="W299" s="4">
        <f>IFERROR(__xludf.DUMMYFUNCTION("""COMPUTED_VALUE"""),5.0)</f>
        <v>5</v>
      </c>
      <c r="X299" s="60">
        <f>IFERROR(__xludf.DUMMYFUNCTION("""COMPUTED_VALUE"""),45587.0)</f>
        <v>45587</v>
      </c>
      <c r="AA299" s="4"/>
      <c r="AD299" s="4"/>
      <c r="AG299" s="4"/>
    </row>
    <row r="300">
      <c r="A300" s="179"/>
      <c r="B300" s="180"/>
      <c r="C300" s="2"/>
      <c r="E300" s="181"/>
      <c r="F300" s="181"/>
      <c r="G300" s="2"/>
      <c r="I300" s="190"/>
      <c r="J300" s="190"/>
      <c r="K300" s="2"/>
      <c r="V300" s="59" t="str">
        <f>IFERROR(__xludf.DUMMYFUNCTION("""COMPUTED_VALUE"""),"Leonard Prints Inc.")</f>
        <v>Leonard Prints Inc.</v>
      </c>
      <c r="W300" s="4">
        <f>IFERROR(__xludf.DUMMYFUNCTION("""COMPUTED_VALUE"""),5.0)</f>
        <v>5</v>
      </c>
      <c r="X300" s="60">
        <f>IFERROR(__xludf.DUMMYFUNCTION("""COMPUTED_VALUE"""),45803.0)</f>
        <v>45803</v>
      </c>
      <c r="AA300" s="4"/>
      <c r="AD300" s="4"/>
      <c r="AG300" s="4"/>
    </row>
    <row r="301">
      <c r="A301" s="179"/>
      <c r="B301" s="180"/>
      <c r="C301" s="2"/>
      <c r="E301" s="181"/>
      <c r="F301" s="181"/>
      <c r="G301" s="2"/>
      <c r="I301" s="190"/>
      <c r="J301" s="190"/>
      <c r="K301" s="2"/>
      <c r="V301" s="59" t="str">
        <f>IFERROR(__xludf.DUMMYFUNCTION("""COMPUTED_VALUE"""),"Rivchem Enterprises")</f>
        <v>Rivchem Enterprises</v>
      </c>
      <c r="W301" s="4">
        <f>IFERROR(__xludf.DUMMYFUNCTION("""COMPUTED_VALUE"""),4.616666666666666)</f>
        <v>4.616666667</v>
      </c>
      <c r="X301" s="60">
        <f>IFERROR(__xludf.DUMMYFUNCTION("""COMPUTED_VALUE"""),45777.0)</f>
        <v>45777</v>
      </c>
      <c r="AA301" s="4"/>
      <c r="AD301" s="4"/>
      <c r="AG301" s="4"/>
    </row>
    <row r="302">
      <c r="A302" s="179"/>
      <c r="B302" s="180"/>
      <c r="C302" s="2"/>
      <c r="E302" s="181"/>
      <c r="F302" s="181"/>
      <c r="G302" s="2"/>
      <c r="I302" s="190"/>
      <c r="J302" s="190"/>
      <c r="K302" s="2"/>
      <c r="V302" s="59" t="str">
        <f>IFERROR(__xludf.DUMMYFUNCTION("""COMPUTED_VALUE"""),"Rivchem Enterprises")</f>
        <v>Rivchem Enterprises</v>
      </c>
      <c r="W302" s="4">
        <f>IFERROR(__xludf.DUMMYFUNCTION("""COMPUTED_VALUE"""),4.816666666666666)</f>
        <v>4.816666667</v>
      </c>
      <c r="X302" s="60">
        <f>IFERROR(__xludf.DUMMYFUNCTION("""COMPUTED_VALUE"""),45751.0)</f>
        <v>45751</v>
      </c>
      <c r="AA302" s="4"/>
      <c r="AD302" s="4"/>
      <c r="AG302" s="4"/>
    </row>
    <row r="303">
      <c r="A303" s="179"/>
      <c r="B303" s="180"/>
      <c r="C303" s="2"/>
      <c r="E303" s="181"/>
      <c r="F303" s="181"/>
      <c r="G303" s="2"/>
      <c r="I303" s="190"/>
      <c r="J303" s="190"/>
      <c r="K303" s="2"/>
      <c r="V303" s="59" t="str">
        <f>IFERROR(__xludf.DUMMYFUNCTION("""COMPUTED_VALUE"""),"Rivchem Enterprises")</f>
        <v>Rivchem Enterprises</v>
      </c>
      <c r="W303" s="4">
        <f>IFERROR(__xludf.DUMMYFUNCTION("""COMPUTED_VALUE"""),4.916666666666667)</f>
        <v>4.916666667</v>
      </c>
      <c r="X303" s="60">
        <f>IFERROR(__xludf.DUMMYFUNCTION("""COMPUTED_VALUE"""),45806.0)</f>
        <v>45806</v>
      </c>
      <c r="AA303" s="4"/>
      <c r="AD303" s="4"/>
      <c r="AG303" s="4"/>
    </row>
    <row r="304">
      <c r="A304" s="179"/>
      <c r="B304" s="180"/>
      <c r="C304" s="2"/>
      <c r="E304" s="181"/>
      <c r="F304" s="181"/>
      <c r="G304" s="2"/>
      <c r="I304" s="190"/>
      <c r="J304" s="190"/>
      <c r="K304" s="2"/>
      <c r="V304" s="59" t="str">
        <f>IFERROR(__xludf.DUMMYFUNCTION("""COMPUTED_VALUE"""),"Chemtrust Global Market, Inc.")</f>
        <v>Chemtrust Global Market, Inc.</v>
      </c>
      <c r="W304" s="4">
        <f>IFERROR(__xludf.DUMMYFUNCTION("""COMPUTED_VALUE"""),4.791666666666667)</f>
        <v>4.791666667</v>
      </c>
      <c r="X304" s="60">
        <f>IFERROR(__xludf.DUMMYFUNCTION("""COMPUTED_VALUE"""),45806.0)</f>
        <v>45806</v>
      </c>
      <c r="AA304" s="4"/>
      <c r="AD304" s="4"/>
      <c r="AG304" s="4"/>
    </row>
    <row r="305">
      <c r="A305" s="179"/>
      <c r="B305" s="180"/>
      <c r="C305" s="2"/>
      <c r="E305" s="181"/>
      <c r="F305" s="181"/>
      <c r="G305" s="2"/>
      <c r="I305" s="190"/>
      <c r="J305" s="190"/>
      <c r="K305" s="2"/>
      <c r="V305" s="59" t="str">
        <f>IFERROR(__xludf.DUMMYFUNCTION("""COMPUTED_VALUE"""),"Belview Co., Inc.")</f>
        <v>Belview Co., Inc.</v>
      </c>
      <c r="W305" s="4">
        <f>IFERROR(__xludf.DUMMYFUNCTION("""COMPUTED_VALUE"""),4.833333333333333)</f>
        <v>4.833333333</v>
      </c>
      <c r="X305" s="60">
        <f>IFERROR(__xludf.DUMMYFUNCTION("""COMPUTED_VALUE"""),45691.0)</f>
        <v>45691</v>
      </c>
      <c r="AA305" s="4"/>
      <c r="AD305" s="4"/>
      <c r="AG305" s="4"/>
    </row>
    <row r="306">
      <c r="A306" s="179"/>
      <c r="B306" s="180"/>
      <c r="C306" s="2"/>
      <c r="E306" s="181"/>
      <c r="F306" s="181"/>
      <c r="G306" s="2"/>
      <c r="I306" s="190"/>
      <c r="J306" s="190"/>
      <c r="K306" s="2"/>
      <c r="V306" s="59" t="str">
        <f>IFERROR(__xludf.DUMMYFUNCTION("""COMPUTED_VALUE"""),"Belview Co., Inc.")</f>
        <v>Belview Co., Inc.</v>
      </c>
      <c r="W306" s="4">
        <f>IFERROR(__xludf.DUMMYFUNCTION("""COMPUTED_VALUE"""),4.833333333333333)</f>
        <v>4.833333333</v>
      </c>
      <c r="X306" s="60">
        <f>IFERROR(__xludf.DUMMYFUNCTION("""COMPUTED_VALUE"""),45691.0)</f>
        <v>45691</v>
      </c>
      <c r="AA306" s="4"/>
      <c r="AD306" s="4"/>
      <c r="AG306" s="4"/>
    </row>
    <row r="307">
      <c r="A307" s="179"/>
      <c r="B307" s="180"/>
      <c r="C307" s="2"/>
      <c r="E307" s="181"/>
      <c r="F307" s="181"/>
      <c r="G307" s="2"/>
      <c r="I307" s="190"/>
      <c r="J307" s="190"/>
      <c r="K307" s="2"/>
      <c r="V307" s="59" t="str">
        <f>IFERROR(__xludf.DUMMYFUNCTION("""COMPUTED_VALUE"""),"Belview Co., Inc.")</f>
        <v>Belview Co., Inc.</v>
      </c>
      <c r="W307" s="4">
        <f>IFERROR(__xludf.DUMMYFUNCTION("""COMPUTED_VALUE"""),4.833333333333333)</f>
        <v>4.833333333</v>
      </c>
      <c r="X307" s="60">
        <f>IFERROR(__xludf.DUMMYFUNCTION("""COMPUTED_VALUE"""),45691.0)</f>
        <v>45691</v>
      </c>
      <c r="AA307" s="4"/>
      <c r="AD307" s="4"/>
      <c r="AG307" s="4"/>
    </row>
    <row r="308">
      <c r="A308" s="179"/>
      <c r="B308" s="180"/>
      <c r="C308" s="2"/>
      <c r="E308" s="181"/>
      <c r="F308" s="181"/>
      <c r="G308" s="2"/>
      <c r="I308" s="190"/>
      <c r="J308" s="190"/>
      <c r="K308" s="2"/>
      <c r="V308" s="59" t="str">
        <f>IFERROR(__xludf.DUMMYFUNCTION("""COMPUTED_VALUE"""),"Creative Juice Digital Printing")</f>
        <v>Creative Juice Digital Printing</v>
      </c>
      <c r="W308" s="4">
        <f>IFERROR(__xludf.DUMMYFUNCTION("""COMPUTED_VALUE"""),4.833333333333333)</f>
        <v>4.833333333</v>
      </c>
      <c r="X308" s="60">
        <f>IFERROR(__xludf.DUMMYFUNCTION("""COMPUTED_VALUE"""),45691.0)</f>
        <v>45691</v>
      </c>
      <c r="AA308" s="4"/>
      <c r="AD308" s="4"/>
      <c r="AG308" s="4"/>
    </row>
    <row r="309">
      <c r="A309" s="179"/>
      <c r="B309" s="180"/>
      <c r="C309" s="2"/>
      <c r="E309" s="181"/>
      <c r="F309" s="181"/>
      <c r="G309" s="2"/>
      <c r="I309" s="190"/>
      <c r="J309" s="190"/>
      <c r="K309" s="2"/>
      <c r="V309" s="59" t="str">
        <f>IFERROR(__xludf.DUMMYFUNCTION("""COMPUTED_VALUE"""),"Belview Co., Inc.")</f>
        <v>Belview Co., Inc.</v>
      </c>
      <c r="W309" s="4">
        <f>IFERROR(__xludf.DUMMYFUNCTION("""COMPUTED_VALUE"""),4.833333333333333)</f>
        <v>4.833333333</v>
      </c>
      <c r="X309" s="60">
        <f>IFERROR(__xludf.DUMMYFUNCTION("""COMPUTED_VALUE"""),45691.0)</f>
        <v>45691</v>
      </c>
      <c r="AA309" s="4"/>
      <c r="AD309" s="4"/>
      <c r="AG309" s="4"/>
    </row>
    <row r="310">
      <c r="A310" s="179"/>
      <c r="B310" s="180"/>
      <c r="C310" s="2"/>
      <c r="E310" s="181"/>
      <c r="F310" s="181"/>
      <c r="G310" s="2"/>
      <c r="I310" s="190"/>
      <c r="J310" s="190"/>
      <c r="K310" s="2"/>
      <c r="V310" s="59" t="str">
        <f>IFERROR(__xludf.DUMMYFUNCTION("""COMPUTED_VALUE"""),"Belview Co., Inc.")</f>
        <v>Belview Co., Inc.</v>
      </c>
      <c r="W310" s="4">
        <f>IFERROR(__xludf.DUMMYFUNCTION("""COMPUTED_VALUE"""),4.833333333333333)</f>
        <v>4.833333333</v>
      </c>
      <c r="X310" s="60">
        <f>IFERROR(__xludf.DUMMYFUNCTION("""COMPUTED_VALUE"""),45691.0)</f>
        <v>45691</v>
      </c>
      <c r="AA310" s="4"/>
      <c r="AD310" s="4"/>
      <c r="AG310" s="4"/>
    </row>
    <row r="311">
      <c r="A311" s="179"/>
      <c r="B311" s="180"/>
      <c r="C311" s="2"/>
      <c r="E311" s="181"/>
      <c r="F311" s="181"/>
      <c r="G311" s="2"/>
      <c r="I311" s="190"/>
      <c r="J311" s="190"/>
      <c r="K311" s="2"/>
      <c r="V311" s="59" t="str">
        <f>IFERROR(__xludf.DUMMYFUNCTION("""COMPUTED_VALUE"""),"Abiva Publishing House, Inc.")</f>
        <v>Abiva Publishing House, Inc.</v>
      </c>
      <c r="W311" s="4">
        <f>IFERROR(__xludf.DUMMYFUNCTION("""COMPUTED_VALUE"""),4.833333333333333)</f>
        <v>4.833333333</v>
      </c>
      <c r="X311" s="60">
        <f>IFERROR(__xludf.DUMMYFUNCTION("""COMPUTED_VALUE"""),45691.0)</f>
        <v>45691</v>
      </c>
      <c r="AA311" s="4"/>
      <c r="AD311" s="4"/>
      <c r="AG311" s="4"/>
    </row>
    <row r="312">
      <c r="A312" s="179"/>
      <c r="B312" s="180"/>
      <c r="C312" s="2"/>
      <c r="E312" s="181"/>
      <c r="F312" s="181"/>
      <c r="G312" s="2"/>
      <c r="I312" s="190"/>
      <c r="J312" s="190"/>
      <c r="K312" s="2"/>
      <c r="V312" s="59" t="str">
        <f>IFERROR(__xludf.DUMMYFUNCTION("""COMPUTED_VALUE"""),"Shelves and Cups Book Store")</f>
        <v>Shelves and Cups Book Store</v>
      </c>
      <c r="W312" s="4"/>
      <c r="X312" s="60">
        <f>IFERROR(__xludf.DUMMYFUNCTION("""COMPUTED_VALUE"""),45691.0)</f>
        <v>45691</v>
      </c>
      <c r="AA312" s="4"/>
      <c r="AD312" s="4"/>
      <c r="AG312" s="4"/>
    </row>
    <row r="313">
      <c r="A313" s="179"/>
      <c r="B313" s="180"/>
      <c r="C313" s="2"/>
      <c r="E313" s="181"/>
      <c r="F313" s="181"/>
      <c r="G313" s="2"/>
      <c r="I313" s="190"/>
      <c r="J313" s="190"/>
      <c r="K313" s="2"/>
      <c r="V313" s="59" t="str">
        <f>IFERROR(__xludf.DUMMYFUNCTION("""COMPUTED_VALUE"""),"Creative Juice Digital Printing")</f>
        <v>Creative Juice Digital Printing</v>
      </c>
      <c r="W313" s="4">
        <f>IFERROR(__xludf.DUMMYFUNCTION("""COMPUTED_VALUE"""),4.833333333333333)</f>
        <v>4.833333333</v>
      </c>
      <c r="X313" s="60">
        <f>IFERROR(__xludf.DUMMYFUNCTION("""COMPUTED_VALUE"""),45691.0)</f>
        <v>45691</v>
      </c>
      <c r="AA313" s="4"/>
      <c r="AD313" s="4"/>
      <c r="AG313" s="4"/>
    </row>
    <row r="314">
      <c r="A314" s="179"/>
      <c r="B314" s="180"/>
      <c r="C314" s="2"/>
      <c r="E314" s="181"/>
      <c r="F314" s="181"/>
      <c r="G314" s="2"/>
      <c r="I314" s="190"/>
      <c r="J314" s="190"/>
      <c r="K314" s="2"/>
      <c r="V314" s="59" t="str">
        <f>IFERROR(__xludf.DUMMYFUNCTION("""COMPUTED_VALUE"""),"Abiva Publishing House, Inc.")</f>
        <v>Abiva Publishing House, Inc.</v>
      </c>
      <c r="W314" s="4">
        <f>IFERROR(__xludf.DUMMYFUNCTION("""COMPUTED_VALUE"""),4.833333333333333)</f>
        <v>4.833333333</v>
      </c>
      <c r="X314" s="60">
        <f>IFERROR(__xludf.DUMMYFUNCTION("""COMPUTED_VALUE"""),45691.0)</f>
        <v>45691</v>
      </c>
      <c r="AA314" s="4"/>
      <c r="AD314" s="4"/>
      <c r="AG314" s="4"/>
    </row>
    <row r="315">
      <c r="A315" s="179"/>
      <c r="B315" s="180"/>
      <c r="C315" s="2"/>
      <c r="E315" s="181"/>
      <c r="F315" s="181"/>
      <c r="G315" s="2"/>
      <c r="I315" s="190"/>
      <c r="J315" s="190"/>
      <c r="K315" s="2"/>
      <c r="V315" s="59" t="str">
        <f>IFERROR(__xludf.DUMMYFUNCTION("""COMPUTED_VALUE"""),"Belview Co., Inc.")</f>
        <v>Belview Co., Inc.</v>
      </c>
      <c r="W315" s="4">
        <f>IFERROR(__xludf.DUMMYFUNCTION("""COMPUTED_VALUE"""),4.833333333333333)</f>
        <v>4.833333333</v>
      </c>
      <c r="X315" s="60">
        <f>IFERROR(__xludf.DUMMYFUNCTION("""COMPUTED_VALUE"""),45691.0)</f>
        <v>45691</v>
      </c>
      <c r="AA315" s="4"/>
      <c r="AD315" s="4"/>
      <c r="AG315" s="4"/>
    </row>
    <row r="316">
      <c r="A316" s="179"/>
      <c r="B316" s="180"/>
      <c r="C316" s="2"/>
      <c r="E316" s="181"/>
      <c r="F316" s="181"/>
      <c r="G316" s="2"/>
      <c r="I316" s="190"/>
      <c r="J316" s="190"/>
      <c r="K316" s="2"/>
      <c r="V316" s="59" t="str">
        <f>IFERROR(__xludf.DUMMYFUNCTION("""COMPUTED_VALUE"""),"Belview Co., Inc.")</f>
        <v>Belview Co., Inc.</v>
      </c>
      <c r="W316" s="4">
        <f>IFERROR(__xludf.DUMMYFUNCTION("""COMPUTED_VALUE"""),4.833333333333333)</f>
        <v>4.833333333</v>
      </c>
      <c r="X316" s="60">
        <f>IFERROR(__xludf.DUMMYFUNCTION("""COMPUTED_VALUE"""),45691.0)</f>
        <v>45691</v>
      </c>
      <c r="AA316" s="4"/>
      <c r="AD316" s="4"/>
      <c r="AG316" s="4"/>
    </row>
    <row r="317">
      <c r="A317" s="179"/>
      <c r="B317" s="180"/>
      <c r="C317" s="2"/>
      <c r="E317" s="181"/>
      <c r="F317" s="181"/>
      <c r="G317" s="2"/>
      <c r="I317" s="190"/>
      <c r="J317" s="190"/>
      <c r="K317" s="2"/>
      <c r="V317" s="59" t="str">
        <f>IFERROR(__xludf.DUMMYFUNCTION("""COMPUTED_VALUE"""),"CD Books International, Inc.")</f>
        <v>CD Books International, Inc.</v>
      </c>
      <c r="W317" s="4">
        <f>IFERROR(__xludf.DUMMYFUNCTION("""COMPUTED_VALUE"""),4.833333333333333)</f>
        <v>4.833333333</v>
      </c>
      <c r="X317" s="60">
        <f>IFERROR(__xludf.DUMMYFUNCTION("""COMPUTED_VALUE"""),45691.0)</f>
        <v>45691</v>
      </c>
      <c r="AA317" s="4"/>
      <c r="AD317" s="4"/>
      <c r="AG317" s="4"/>
    </row>
    <row r="318">
      <c r="A318" s="179"/>
      <c r="B318" s="180"/>
      <c r="C318" s="2"/>
      <c r="E318" s="181"/>
      <c r="F318" s="181"/>
      <c r="G318" s="2"/>
      <c r="I318" s="190"/>
      <c r="J318" s="190"/>
      <c r="K318" s="2"/>
      <c r="V318" s="59" t="str">
        <f>IFERROR(__xludf.DUMMYFUNCTION("""COMPUTED_VALUE"""),"4David's Book Trading")</f>
        <v>4David's Book Trading</v>
      </c>
      <c r="W318" s="4">
        <f>IFERROR(__xludf.DUMMYFUNCTION("""COMPUTED_VALUE"""),4.833333333333333)</f>
        <v>4.833333333</v>
      </c>
      <c r="X318" s="60">
        <f>IFERROR(__xludf.DUMMYFUNCTION("""COMPUTED_VALUE"""),45691.0)</f>
        <v>45691</v>
      </c>
      <c r="AA318" s="4"/>
      <c r="AD318" s="4"/>
      <c r="AG318" s="4"/>
    </row>
    <row r="319">
      <c r="A319" s="179"/>
      <c r="B319" s="180"/>
      <c r="C319" s="2"/>
      <c r="E319" s="181"/>
      <c r="F319" s="181"/>
      <c r="G319" s="2"/>
      <c r="I319" s="190"/>
      <c r="J319" s="190"/>
      <c r="K319" s="2"/>
      <c r="V319" s="59" t="str">
        <f>IFERROR(__xludf.DUMMYFUNCTION("""COMPUTED_VALUE"""),"Belview Co., Inc.")</f>
        <v>Belview Co., Inc.</v>
      </c>
      <c r="W319" s="4">
        <f>IFERROR(__xludf.DUMMYFUNCTION("""COMPUTED_VALUE"""),4.833333333333333)</f>
        <v>4.833333333</v>
      </c>
      <c r="X319" s="60">
        <f>IFERROR(__xludf.DUMMYFUNCTION("""COMPUTED_VALUE"""),45691.0)</f>
        <v>45691</v>
      </c>
      <c r="AA319" s="4"/>
      <c r="AD319" s="4"/>
      <c r="AG319" s="4"/>
    </row>
    <row r="320">
      <c r="A320" s="179"/>
      <c r="B320" s="180"/>
      <c r="C320" s="2"/>
      <c r="E320" s="181"/>
      <c r="F320" s="181"/>
      <c r="G320" s="2"/>
      <c r="I320" s="190"/>
      <c r="J320" s="190"/>
      <c r="K320" s="2"/>
      <c r="V320" s="59" t="str">
        <f>IFERROR(__xludf.DUMMYFUNCTION("""COMPUTED_VALUE"""),"CD Books International, Inc.")</f>
        <v>CD Books International, Inc.</v>
      </c>
      <c r="W320" s="4">
        <f>IFERROR(__xludf.DUMMYFUNCTION("""COMPUTED_VALUE"""),4.833333333333333)</f>
        <v>4.833333333</v>
      </c>
      <c r="X320" s="60">
        <f>IFERROR(__xludf.DUMMYFUNCTION("""COMPUTED_VALUE"""),45691.0)</f>
        <v>45691</v>
      </c>
      <c r="AA320" s="4"/>
      <c r="AD320" s="4"/>
      <c r="AG320" s="4"/>
    </row>
    <row r="321">
      <c r="A321" s="179"/>
      <c r="B321" s="180"/>
      <c r="C321" s="2"/>
      <c r="E321" s="181"/>
      <c r="F321" s="181"/>
      <c r="G321" s="2"/>
      <c r="I321" s="190"/>
      <c r="J321" s="190"/>
      <c r="K321" s="2"/>
      <c r="V321" s="59" t="str">
        <f>IFERROR(__xludf.DUMMYFUNCTION("""COMPUTED_VALUE"""),"Belview Co., Inc.")</f>
        <v>Belview Co., Inc.</v>
      </c>
      <c r="W321" s="4">
        <f>IFERROR(__xludf.DUMMYFUNCTION("""COMPUTED_VALUE"""),4.833333333333333)</f>
        <v>4.833333333</v>
      </c>
      <c r="X321" s="60">
        <f>IFERROR(__xludf.DUMMYFUNCTION("""COMPUTED_VALUE"""),45691.0)</f>
        <v>45691</v>
      </c>
      <c r="AA321" s="4"/>
      <c r="AD321" s="4"/>
      <c r="AG321" s="4"/>
    </row>
    <row r="322">
      <c r="A322" s="179"/>
      <c r="B322" s="180"/>
      <c r="C322" s="2"/>
      <c r="E322" s="181"/>
      <c r="F322" s="181"/>
      <c r="G322" s="2"/>
      <c r="I322" s="190"/>
      <c r="J322" s="190"/>
      <c r="K322" s="2"/>
      <c r="V322" s="59" t="str">
        <f>IFERROR(__xludf.DUMMYFUNCTION("""COMPUTED_VALUE"""),"CD Books International, Inc.")</f>
        <v>CD Books International, Inc.</v>
      </c>
      <c r="W322" s="4">
        <f>IFERROR(__xludf.DUMMYFUNCTION("""COMPUTED_VALUE"""),4.833333333333333)</f>
        <v>4.833333333</v>
      </c>
      <c r="X322" s="60">
        <f>IFERROR(__xludf.DUMMYFUNCTION("""COMPUTED_VALUE"""),45691.0)</f>
        <v>45691</v>
      </c>
      <c r="AA322" s="4"/>
      <c r="AD322" s="4"/>
      <c r="AG322" s="4"/>
    </row>
    <row r="323">
      <c r="A323" s="179"/>
      <c r="B323" s="180"/>
      <c r="C323" s="2"/>
      <c r="E323" s="181"/>
      <c r="F323" s="181"/>
      <c r="G323" s="2"/>
      <c r="I323" s="190"/>
      <c r="J323" s="190"/>
      <c r="K323" s="2"/>
      <c r="V323" s="59" t="str">
        <f>IFERROR(__xludf.DUMMYFUNCTION("""COMPUTED_VALUE"""),"Abenson Ventures, Inc.")</f>
        <v>Abenson Ventures, Inc.</v>
      </c>
      <c r="W323" s="4">
        <f>IFERROR(__xludf.DUMMYFUNCTION("""COMPUTED_VALUE"""),5.0)</f>
        <v>5</v>
      </c>
      <c r="X323" s="60">
        <f>IFERROR(__xludf.DUMMYFUNCTION("""COMPUTED_VALUE"""),45625.0)</f>
        <v>45625</v>
      </c>
      <c r="AA323" s="4"/>
      <c r="AD323" s="4"/>
      <c r="AG323" s="4"/>
    </row>
    <row r="324">
      <c r="A324" s="179"/>
      <c r="B324" s="180"/>
      <c r="C324" s="2"/>
      <c r="E324" s="181"/>
      <c r="F324" s="181"/>
      <c r="G324" s="2"/>
      <c r="I324" s="190"/>
      <c r="J324" s="190"/>
      <c r="K324" s="2"/>
      <c r="V324" s="59" t="str">
        <f>IFERROR(__xludf.DUMMYFUNCTION("""COMPUTED_VALUE"""),"Abenson Ventures, Inc.")</f>
        <v>Abenson Ventures, Inc.</v>
      </c>
      <c r="W324" s="4">
        <f>IFERROR(__xludf.DUMMYFUNCTION("""COMPUTED_VALUE"""),5.0)</f>
        <v>5</v>
      </c>
      <c r="X324" s="60">
        <f>IFERROR(__xludf.DUMMYFUNCTION("""COMPUTED_VALUE"""),45554.0)</f>
        <v>45554</v>
      </c>
      <c r="AA324" s="4"/>
      <c r="AD324" s="4"/>
      <c r="AG324" s="4"/>
    </row>
    <row r="325">
      <c r="A325" s="179"/>
      <c r="B325" s="180"/>
      <c r="C325" s="2"/>
      <c r="E325" s="181"/>
      <c r="F325" s="181"/>
      <c r="G325" s="2"/>
      <c r="I325" s="190"/>
      <c r="J325" s="190"/>
      <c r="K325" s="2"/>
      <c r="V325" s="59" t="str">
        <f>IFERROR(__xludf.DUMMYFUNCTION("""COMPUTED_VALUE"""),"Creative Juice Digital Printing")</f>
        <v>Creative Juice Digital Printing</v>
      </c>
      <c r="W325" s="4">
        <f>IFERROR(__xludf.DUMMYFUNCTION("""COMPUTED_VALUE"""),4.933333333333334)</f>
        <v>4.933333333</v>
      </c>
      <c r="X325" s="60">
        <f>IFERROR(__xludf.DUMMYFUNCTION("""COMPUTED_VALUE"""),45566.0)</f>
        <v>45566</v>
      </c>
      <c r="AA325" s="4"/>
      <c r="AD325" s="4"/>
      <c r="AG325" s="4"/>
    </row>
    <row r="326">
      <c r="A326" s="179"/>
      <c r="B326" s="180"/>
      <c r="C326" s="2"/>
      <c r="E326" s="181"/>
      <c r="F326" s="181"/>
      <c r="G326" s="2"/>
      <c r="I326" s="190"/>
      <c r="J326" s="190"/>
      <c r="K326" s="2"/>
      <c r="V326" s="59" t="str">
        <f>IFERROR(__xludf.DUMMYFUNCTION("""COMPUTED_VALUE"""),"Abenson Ventures, Inc.")</f>
        <v>Abenson Ventures, Inc.</v>
      </c>
      <c r="W326" s="4">
        <f>IFERROR(__xludf.DUMMYFUNCTION("""COMPUTED_VALUE"""),4.916666666666667)</f>
        <v>4.916666667</v>
      </c>
      <c r="X326" s="60">
        <f>IFERROR(__xludf.DUMMYFUNCTION("""COMPUTED_VALUE"""),45565.0)</f>
        <v>45565</v>
      </c>
      <c r="AA326" s="4"/>
      <c r="AD326" s="4"/>
      <c r="AG326" s="4"/>
    </row>
    <row r="327">
      <c r="A327" s="179"/>
      <c r="B327" s="180"/>
      <c r="C327" s="2"/>
      <c r="E327" s="181"/>
      <c r="F327" s="181"/>
      <c r="G327" s="2"/>
      <c r="I327" s="190"/>
      <c r="J327" s="190"/>
      <c r="K327" s="2"/>
      <c r="V327" s="59" t="str">
        <f>IFERROR(__xludf.DUMMYFUNCTION("""COMPUTED_VALUE"""),"Elle Tech and Trend Office Furniture and Interiors")</f>
        <v>Elle Tech and Trend Office Furniture and Interiors</v>
      </c>
      <c r="W327" s="4">
        <f>IFERROR(__xludf.DUMMYFUNCTION("""COMPUTED_VALUE"""),4.8)</f>
        <v>4.8</v>
      </c>
      <c r="X327" s="60">
        <f>IFERROR(__xludf.DUMMYFUNCTION("""COMPUTED_VALUE"""),45549.0)</f>
        <v>45549</v>
      </c>
      <c r="AA327" s="4"/>
      <c r="AD327" s="4"/>
      <c r="AG327" s="4"/>
    </row>
    <row r="328">
      <c r="A328" s="179"/>
      <c r="B328" s="180"/>
      <c r="C328" s="2"/>
      <c r="E328" s="181"/>
      <c r="F328" s="181"/>
      <c r="G328" s="2"/>
      <c r="I328" s="190"/>
      <c r="J328" s="190"/>
      <c r="K328" s="2"/>
      <c r="V328" s="59" t="str">
        <f>IFERROR(__xludf.DUMMYFUNCTION("""COMPUTED_VALUE"""),"Abacus Book &amp; Card Corp.")</f>
        <v>Abacus Book &amp; Card Corp.</v>
      </c>
      <c r="W328" s="4">
        <f>IFERROR(__xludf.DUMMYFUNCTION("""COMPUTED_VALUE"""),4.888888888888889)</f>
        <v>4.888888889</v>
      </c>
      <c r="X328" s="60">
        <f>IFERROR(__xludf.DUMMYFUNCTION("""COMPUTED_VALUE"""),45723.0)</f>
        <v>45723</v>
      </c>
      <c r="AA328" s="4"/>
      <c r="AD328" s="4"/>
      <c r="AG328" s="4"/>
    </row>
    <row r="329">
      <c r="A329" s="179"/>
      <c r="B329" s="180"/>
      <c r="C329" s="2"/>
      <c r="E329" s="181"/>
      <c r="F329" s="181"/>
      <c r="G329" s="2"/>
      <c r="I329" s="190"/>
      <c r="J329" s="190"/>
      <c r="K329" s="2"/>
      <c r="V329" s="59" t="str">
        <f>IFERROR(__xludf.DUMMYFUNCTION("""COMPUTED_VALUE"""),"Net Ad IT Solutions")</f>
        <v>Net Ad IT Solutions</v>
      </c>
      <c r="W329" s="4">
        <f>IFERROR(__xludf.DUMMYFUNCTION("""COMPUTED_VALUE"""),4.694444444444444)</f>
        <v>4.694444444</v>
      </c>
      <c r="X329" s="60">
        <f>IFERROR(__xludf.DUMMYFUNCTION("""COMPUTED_VALUE"""),45737.0)</f>
        <v>45737</v>
      </c>
      <c r="AA329" s="4"/>
      <c r="AD329" s="4"/>
      <c r="AG329" s="4"/>
    </row>
    <row r="330">
      <c r="A330" s="179"/>
      <c r="B330" s="180"/>
      <c r="C330" s="2"/>
      <c r="E330" s="181"/>
      <c r="F330" s="181"/>
      <c r="G330" s="2"/>
      <c r="I330" s="190"/>
      <c r="J330" s="190"/>
      <c r="K330" s="2"/>
      <c r="V330" s="59" t="str">
        <f>IFERROR(__xludf.DUMMYFUNCTION("""COMPUTED_VALUE"""),"Creative Juice Digital Printing")</f>
        <v>Creative Juice Digital Printing</v>
      </c>
      <c r="W330" s="4">
        <f>IFERROR(__xludf.DUMMYFUNCTION("""COMPUTED_VALUE"""),4.416666666666667)</f>
        <v>4.416666667</v>
      </c>
      <c r="X330" s="60">
        <f>IFERROR(__xludf.DUMMYFUNCTION("""COMPUTED_VALUE"""),45721.0)</f>
        <v>45721</v>
      </c>
      <c r="AA330" s="4"/>
      <c r="AD330" s="4"/>
      <c r="AG330" s="4"/>
    </row>
    <row r="331">
      <c r="A331" s="179"/>
      <c r="B331" s="180"/>
      <c r="C331" s="2"/>
      <c r="E331" s="181"/>
      <c r="F331" s="181"/>
      <c r="G331" s="2"/>
      <c r="I331" s="190"/>
      <c r="J331" s="190"/>
      <c r="K331" s="2"/>
      <c r="V331" s="59" t="str">
        <f>IFERROR(__xludf.DUMMYFUNCTION("""COMPUTED_VALUE"""),"RSAZ Corporation")</f>
        <v>RSAZ Corporation</v>
      </c>
      <c r="W331" s="4">
        <f>IFERROR(__xludf.DUMMYFUNCTION("""COMPUTED_VALUE"""),5.0)</f>
        <v>5</v>
      </c>
      <c r="X331" s="60">
        <f>IFERROR(__xludf.DUMMYFUNCTION("""COMPUTED_VALUE"""),45748.0)</f>
        <v>45748</v>
      </c>
      <c r="AA331" s="4"/>
      <c r="AD331" s="4"/>
      <c r="AG331" s="4"/>
    </row>
    <row r="332">
      <c r="A332" s="179"/>
      <c r="B332" s="180"/>
      <c r="C332" s="2"/>
      <c r="E332" s="181"/>
      <c r="F332" s="181"/>
      <c r="G332" s="2"/>
      <c r="I332" s="190"/>
      <c r="J332" s="190"/>
      <c r="K332" s="2"/>
      <c r="V332" s="59" t="str">
        <f>IFERROR(__xludf.DUMMYFUNCTION("""COMPUTED_VALUE"""),"Printing Shop PrintPilipinas.com")</f>
        <v>Printing Shop PrintPilipinas.com</v>
      </c>
      <c r="W332" s="4">
        <f>IFERROR(__xludf.DUMMYFUNCTION("""COMPUTED_VALUE"""),4.966666666666667)</f>
        <v>4.966666667</v>
      </c>
      <c r="X332" s="60">
        <f>IFERROR(__xludf.DUMMYFUNCTION("""COMPUTED_VALUE"""),45586.0)</f>
        <v>45586</v>
      </c>
      <c r="AA332" s="4"/>
      <c r="AD332" s="4"/>
      <c r="AG332" s="4"/>
    </row>
    <row r="333">
      <c r="A333" s="179"/>
      <c r="B333" s="180"/>
      <c r="C333" s="2"/>
      <c r="E333" s="181"/>
      <c r="F333" s="181"/>
      <c r="G333" s="2"/>
      <c r="I333" s="190"/>
      <c r="J333" s="190"/>
      <c r="K333" s="2"/>
      <c r="V333" s="59" t="str">
        <f>IFERROR(__xludf.DUMMYFUNCTION("""COMPUTED_VALUE"""),"888 Tile Phil Corp")</f>
        <v>888 Tile Phil Corp</v>
      </c>
      <c r="W333" s="4">
        <f>IFERROR(__xludf.DUMMYFUNCTION("""COMPUTED_VALUE"""),4.416666666666667)</f>
        <v>4.416666667</v>
      </c>
      <c r="X333" s="60">
        <f>IFERROR(__xludf.DUMMYFUNCTION("""COMPUTED_VALUE"""),45720.0)</f>
        <v>45720</v>
      </c>
      <c r="AA333" s="4"/>
      <c r="AD333" s="4"/>
      <c r="AG333" s="4"/>
    </row>
    <row r="334">
      <c r="A334" s="179"/>
      <c r="B334" s="180"/>
      <c r="C334" s="2"/>
      <c r="E334" s="181"/>
      <c r="F334" s="181"/>
      <c r="G334" s="2"/>
      <c r="I334" s="190"/>
      <c r="J334" s="190"/>
      <c r="K334" s="2"/>
      <c r="V334" s="59" t="str">
        <f>IFERROR(__xludf.DUMMYFUNCTION("""COMPUTED_VALUE"""),"ECOSHIFT CORPORATION")</f>
        <v>ECOSHIFT CORPORATION</v>
      </c>
      <c r="W334" s="4">
        <f>IFERROR(__xludf.DUMMYFUNCTION("""COMPUTED_VALUE"""),4.966666666666667)</f>
        <v>4.966666667</v>
      </c>
      <c r="X334" s="60">
        <f>IFERROR(__xludf.DUMMYFUNCTION("""COMPUTED_VALUE"""),45713.0)</f>
        <v>45713</v>
      </c>
      <c r="AA334" s="4"/>
      <c r="AD334" s="4"/>
      <c r="AG334" s="4"/>
    </row>
    <row r="335">
      <c r="A335" s="179"/>
      <c r="B335" s="180"/>
      <c r="C335" s="2"/>
      <c r="E335" s="181"/>
      <c r="F335" s="181"/>
      <c r="G335" s="2"/>
      <c r="I335" s="190"/>
      <c r="J335" s="190"/>
      <c r="K335" s="2"/>
      <c r="V335" s="59" t="str">
        <f>IFERROR(__xludf.DUMMYFUNCTION("""COMPUTED_VALUE"""),"Dynamics Electrical Supply and Hardware")</f>
        <v>Dynamics Electrical Supply and Hardware</v>
      </c>
      <c r="W335" s="4">
        <f>IFERROR(__xludf.DUMMYFUNCTION("""COMPUTED_VALUE"""),4.333333333333333)</f>
        <v>4.333333333</v>
      </c>
      <c r="X335" s="60">
        <f>IFERROR(__xludf.DUMMYFUNCTION("""COMPUTED_VALUE"""),45702.0)</f>
        <v>45702</v>
      </c>
      <c r="AA335" s="4"/>
      <c r="AD335" s="4"/>
      <c r="AG335" s="4"/>
    </row>
    <row r="336">
      <c r="A336" s="179"/>
      <c r="B336" s="180"/>
      <c r="C336" s="2"/>
      <c r="E336" s="181"/>
      <c r="F336" s="181"/>
      <c r="G336" s="2"/>
      <c r="I336" s="190"/>
      <c r="J336" s="190"/>
      <c r="K336" s="2"/>
      <c r="V336" s="59" t="str">
        <f>IFERROR(__xludf.DUMMYFUNCTION("""COMPUTED_VALUE"""),"Asahl Design Centre Inc.")</f>
        <v>Asahl Design Centre Inc.</v>
      </c>
      <c r="W336" s="4">
        <f>IFERROR(__xludf.DUMMYFUNCTION("""COMPUTED_VALUE"""),4.858333333333333)</f>
        <v>4.858333333</v>
      </c>
      <c r="X336" s="60">
        <f>IFERROR(__xludf.DUMMYFUNCTION("""COMPUTED_VALUE"""),45601.0)</f>
        <v>45601</v>
      </c>
      <c r="AA336" s="4"/>
      <c r="AD336" s="4"/>
      <c r="AG336" s="4"/>
    </row>
    <row r="337">
      <c r="A337" s="179"/>
      <c r="B337" s="180"/>
      <c r="C337" s="2"/>
      <c r="E337" s="181"/>
      <c r="F337" s="181"/>
      <c r="G337" s="2"/>
      <c r="I337" s="190"/>
      <c r="J337" s="190"/>
      <c r="K337" s="2"/>
      <c r="V337" s="59" t="str">
        <f>IFERROR(__xludf.DUMMYFUNCTION("""COMPUTED_VALUE"""),"Rivchem Enterprises")</f>
        <v>Rivchem Enterprises</v>
      </c>
      <c r="W337" s="4">
        <f>IFERROR(__xludf.DUMMYFUNCTION("""COMPUTED_VALUE"""),4.611111111111111)</f>
        <v>4.611111111</v>
      </c>
      <c r="X337" s="60">
        <f>IFERROR(__xludf.DUMMYFUNCTION("""COMPUTED_VALUE"""),45628.0)</f>
        <v>45628</v>
      </c>
      <c r="AA337" s="4"/>
      <c r="AD337" s="4"/>
      <c r="AG337" s="4"/>
    </row>
    <row r="338">
      <c r="A338" s="179"/>
      <c r="B338" s="180"/>
      <c r="C338" s="2"/>
      <c r="E338" s="181"/>
      <c r="F338" s="181"/>
      <c r="G338" s="2"/>
      <c r="I338" s="190"/>
      <c r="J338" s="190"/>
      <c r="K338" s="2"/>
      <c r="V338" s="59" t="str">
        <f>IFERROR(__xludf.DUMMYFUNCTION("""COMPUTED_VALUE"""),"Abenson Ventures, Inc.")</f>
        <v>Abenson Ventures, Inc.</v>
      </c>
      <c r="W338" s="4">
        <f>IFERROR(__xludf.DUMMYFUNCTION("""COMPUTED_VALUE"""),5.0)</f>
        <v>5</v>
      </c>
      <c r="X338" s="60">
        <f>IFERROR(__xludf.DUMMYFUNCTION("""COMPUTED_VALUE"""),45624.0)</f>
        <v>45624</v>
      </c>
      <c r="AA338" s="4"/>
      <c r="AD338" s="4"/>
      <c r="AG338" s="4"/>
    </row>
    <row r="339">
      <c r="A339" s="179"/>
      <c r="B339" s="180"/>
      <c r="C339" s="2"/>
      <c r="E339" s="181"/>
      <c r="F339" s="181"/>
      <c r="G339" s="2"/>
      <c r="I339" s="190"/>
      <c r="J339" s="190"/>
      <c r="K339" s="2"/>
      <c r="V339" s="59" t="str">
        <f>IFERROR(__xludf.DUMMYFUNCTION("""COMPUTED_VALUE"""),"Atlas Superflags")</f>
        <v>Atlas Superflags</v>
      </c>
      <c r="W339" s="4">
        <f>IFERROR(__xludf.DUMMYFUNCTION("""COMPUTED_VALUE"""),4.722222222222222)</f>
        <v>4.722222222</v>
      </c>
      <c r="X339" s="60">
        <f>IFERROR(__xludf.DUMMYFUNCTION("""COMPUTED_VALUE"""),45762.0)</f>
        <v>45762</v>
      </c>
      <c r="AA339" s="4"/>
      <c r="AD339" s="4"/>
      <c r="AG339" s="4"/>
    </row>
    <row r="340">
      <c r="A340" s="179"/>
      <c r="B340" s="180"/>
      <c r="C340" s="2"/>
      <c r="E340" s="181"/>
      <c r="F340" s="181"/>
      <c r="G340" s="2"/>
      <c r="I340" s="190"/>
      <c r="J340" s="190"/>
      <c r="K340" s="2"/>
      <c r="V340" s="59" t="str">
        <f>IFERROR(__xludf.DUMMYFUNCTION("""COMPUTED_VALUE"""),"Bobman Trading")</f>
        <v>Bobman Trading</v>
      </c>
      <c r="W340" s="4">
        <f>IFERROR(__xludf.DUMMYFUNCTION("""COMPUTED_VALUE"""),5.0)</f>
        <v>5</v>
      </c>
      <c r="X340" s="60">
        <f>IFERROR(__xludf.DUMMYFUNCTION("""COMPUTED_VALUE"""),45719.0)</f>
        <v>45719</v>
      </c>
      <c r="AA340" s="4"/>
      <c r="AD340" s="4"/>
      <c r="AG340" s="4"/>
    </row>
    <row r="341">
      <c r="A341" s="179"/>
      <c r="B341" s="180"/>
      <c r="C341" s="2"/>
      <c r="E341" s="181"/>
      <c r="F341" s="181"/>
      <c r="G341" s="2"/>
      <c r="I341" s="190"/>
      <c r="J341" s="190"/>
      <c r="K341" s="2"/>
      <c r="V341" s="59" t="str">
        <f>IFERROR(__xludf.DUMMYFUNCTION("""COMPUTED_VALUE"""),"Sprintec Printing Press, Inc.")</f>
        <v>Sprintec Printing Press, Inc.</v>
      </c>
      <c r="W341" s="4">
        <f>IFERROR(__xludf.DUMMYFUNCTION("""COMPUTED_VALUE"""),3.4166666666666665)</f>
        <v>3.416666667</v>
      </c>
      <c r="X341" s="60">
        <f>IFERROR(__xludf.DUMMYFUNCTION("""COMPUTED_VALUE"""),45613.0)</f>
        <v>45613</v>
      </c>
      <c r="AA341" s="4"/>
      <c r="AD341" s="4"/>
      <c r="AG341" s="4"/>
    </row>
    <row r="342">
      <c r="A342" s="179"/>
      <c r="B342" s="180"/>
      <c r="C342" s="2"/>
      <c r="E342" s="181"/>
      <c r="F342" s="181"/>
      <c r="G342" s="2"/>
      <c r="I342" s="190"/>
      <c r="J342" s="190"/>
      <c r="K342" s="2"/>
      <c r="V342" s="59" t="str">
        <f>IFERROR(__xludf.DUMMYFUNCTION("""COMPUTED_VALUE"""),"Golden Advance Marketing")</f>
        <v>Golden Advance Marketing</v>
      </c>
      <c r="W342" s="4">
        <f>IFERROR(__xludf.DUMMYFUNCTION("""COMPUTED_VALUE"""),4.763888888888889)</f>
        <v>4.763888889</v>
      </c>
      <c r="X342" s="60">
        <f>IFERROR(__xludf.DUMMYFUNCTION("""COMPUTED_VALUE"""),45806.0)</f>
        <v>45806</v>
      </c>
      <c r="AA342" s="4"/>
      <c r="AD342" s="4"/>
      <c r="AG342" s="4"/>
    </row>
    <row r="343">
      <c r="A343" s="179"/>
      <c r="B343" s="180"/>
      <c r="C343" s="2"/>
      <c r="E343" s="181"/>
      <c r="F343" s="181"/>
      <c r="G343" s="2"/>
      <c r="I343" s="190"/>
      <c r="J343" s="190"/>
      <c r="K343" s="2"/>
      <c r="V343" s="59" t="str">
        <f>IFERROR(__xludf.DUMMYFUNCTION("""COMPUTED_VALUE"""),"Multiflex RNC Philippines inc.")</f>
        <v>Multiflex RNC Philippines inc.</v>
      </c>
      <c r="W343" s="4">
        <f>IFERROR(__xludf.DUMMYFUNCTION("""COMPUTED_VALUE"""),4.958333333333333)</f>
        <v>4.958333333</v>
      </c>
      <c r="X343" s="60">
        <f>IFERROR(__xludf.DUMMYFUNCTION("""COMPUTED_VALUE"""),45810.0)</f>
        <v>45810</v>
      </c>
      <c r="AA343" s="4"/>
      <c r="AD343" s="4"/>
      <c r="AG343" s="4"/>
    </row>
    <row r="344">
      <c r="A344" s="179"/>
      <c r="B344" s="180"/>
      <c r="C344" s="2"/>
      <c r="E344" s="181"/>
      <c r="F344" s="181"/>
      <c r="G344" s="2"/>
      <c r="I344" s="190"/>
      <c r="J344" s="190"/>
      <c r="K344" s="2"/>
      <c r="V344" s="59" t="str">
        <f>IFERROR(__xludf.DUMMYFUNCTION("""COMPUTED_VALUE"""),"Multiflex RNC Philippines inc.")</f>
        <v>Multiflex RNC Philippines inc.</v>
      </c>
      <c r="W344" s="4">
        <f>IFERROR(__xludf.DUMMYFUNCTION("""COMPUTED_VALUE"""),4.958333333333333)</f>
        <v>4.958333333</v>
      </c>
      <c r="X344" s="60">
        <f>IFERROR(__xludf.DUMMYFUNCTION("""COMPUTED_VALUE"""),45810.0)</f>
        <v>45810</v>
      </c>
      <c r="AA344" s="4"/>
      <c r="AD344" s="4"/>
      <c r="AG344" s="4"/>
    </row>
    <row r="345">
      <c r="A345" s="179"/>
      <c r="B345" s="180"/>
      <c r="C345" s="2"/>
      <c r="E345" s="181"/>
      <c r="F345" s="181"/>
      <c r="G345" s="2"/>
      <c r="I345" s="190"/>
      <c r="J345" s="190"/>
      <c r="K345" s="2"/>
      <c r="V345" s="59" t="str">
        <f>IFERROR(__xludf.DUMMYFUNCTION("""COMPUTED_VALUE"""),"Rivchem Enterprises")</f>
        <v>Rivchem Enterprises</v>
      </c>
      <c r="W345" s="4">
        <f>IFERROR(__xludf.DUMMYFUNCTION("""COMPUTED_VALUE"""),4.738888888888889)</f>
        <v>4.738888889</v>
      </c>
      <c r="X345" s="60">
        <f>IFERROR(__xludf.DUMMYFUNCTION("""COMPUTED_VALUE"""),45807.0)</f>
        <v>45807</v>
      </c>
      <c r="AA345" s="4"/>
      <c r="AD345" s="4"/>
      <c r="AG345" s="4"/>
    </row>
    <row r="346">
      <c r="A346" s="179"/>
      <c r="B346" s="180"/>
      <c r="C346" s="2"/>
      <c r="E346" s="181"/>
      <c r="F346" s="181"/>
      <c r="G346" s="2"/>
      <c r="I346" s="190"/>
      <c r="J346" s="190"/>
      <c r="K346" s="2"/>
      <c r="V346" s="59" t="str">
        <f>IFERROR(__xludf.DUMMYFUNCTION("""COMPUTED_VALUE"""),"Rivchem Enterprises")</f>
        <v>Rivchem Enterprises</v>
      </c>
      <c r="W346" s="4">
        <f>IFERROR(__xludf.DUMMYFUNCTION("""COMPUTED_VALUE"""),4.738888888888889)</f>
        <v>4.738888889</v>
      </c>
      <c r="X346" s="60">
        <f>IFERROR(__xludf.DUMMYFUNCTION("""COMPUTED_VALUE"""),45807.0)</f>
        <v>45807</v>
      </c>
      <c r="AA346" s="4"/>
      <c r="AD346" s="4"/>
      <c r="AG346" s="4"/>
    </row>
    <row r="347">
      <c r="A347" s="179"/>
      <c r="B347" s="180"/>
      <c r="C347" s="2"/>
      <c r="E347" s="181"/>
      <c r="F347" s="181"/>
      <c r="G347" s="2"/>
      <c r="I347" s="190"/>
      <c r="J347" s="190"/>
      <c r="K347" s="2"/>
      <c r="V347" s="59" t="str">
        <f>IFERROR(__xludf.DUMMYFUNCTION("""COMPUTED_VALUE"""),"Hytec Power, Inc.")</f>
        <v>Hytec Power, Inc.</v>
      </c>
      <c r="W347" s="4">
        <f>IFERROR(__xludf.DUMMYFUNCTION("""COMPUTED_VALUE"""),3.8333333333333335)</f>
        <v>3.833333333</v>
      </c>
      <c r="X347" s="60">
        <f>IFERROR(__xludf.DUMMYFUNCTION("""COMPUTED_VALUE"""),45593.0)</f>
        <v>45593</v>
      </c>
      <c r="AA347" s="4"/>
      <c r="AD347" s="4"/>
      <c r="AG347" s="4"/>
    </row>
    <row r="348">
      <c r="A348" s="179"/>
      <c r="B348" s="180"/>
      <c r="C348" s="2"/>
      <c r="E348" s="181"/>
      <c r="F348" s="181"/>
      <c r="G348" s="2"/>
      <c r="I348" s="190"/>
      <c r="J348" s="190"/>
      <c r="K348" s="2"/>
      <c r="V348" s="59" t="str">
        <f>IFERROR(__xludf.DUMMYFUNCTION("""COMPUTED_VALUE"""),"Jassen Harris  Industries Corp.")</f>
        <v>Jassen Harris  Industries Corp.</v>
      </c>
      <c r="W348" s="4">
        <f>IFERROR(__xludf.DUMMYFUNCTION("""COMPUTED_VALUE"""),5.0)</f>
        <v>5</v>
      </c>
      <c r="X348" s="60">
        <f>IFERROR(__xludf.DUMMYFUNCTION("""COMPUTED_VALUE"""),45664.0)</f>
        <v>45664</v>
      </c>
      <c r="AA348" s="4"/>
      <c r="AD348" s="4"/>
      <c r="AG348" s="4"/>
    </row>
    <row r="349">
      <c r="A349" s="179"/>
      <c r="B349" s="180"/>
      <c r="C349" s="2"/>
      <c r="E349" s="181"/>
      <c r="F349" s="181"/>
      <c r="G349" s="2"/>
      <c r="I349" s="190"/>
      <c r="J349" s="190"/>
      <c r="K349" s="2"/>
      <c r="V349" s="59" t="str">
        <f>IFERROR(__xludf.DUMMYFUNCTION("""COMPUTED_VALUE"""),"Jassen Harris  Industries Corp.")</f>
        <v>Jassen Harris  Industries Corp.</v>
      </c>
      <c r="W349" s="4">
        <f>IFERROR(__xludf.DUMMYFUNCTION("""COMPUTED_VALUE"""),4.666666666666667)</f>
        <v>4.666666667</v>
      </c>
      <c r="X349" s="60">
        <f>IFERROR(__xludf.DUMMYFUNCTION("""COMPUTED_VALUE"""),45581.0)</f>
        <v>45581</v>
      </c>
      <c r="AA349" s="4"/>
      <c r="AD349" s="4"/>
      <c r="AG349" s="4"/>
    </row>
    <row r="350">
      <c r="A350" s="179"/>
      <c r="B350" s="180"/>
      <c r="C350" s="2"/>
      <c r="E350" s="181"/>
      <c r="F350" s="181"/>
      <c r="G350" s="2"/>
      <c r="I350" s="190"/>
      <c r="J350" s="190"/>
      <c r="K350" s="2"/>
      <c r="V350" s="59" t="str">
        <f>IFERROR(__xludf.DUMMYFUNCTION("""COMPUTED_VALUE"""),"Alpha-Cored Technology Systems, Inc.")</f>
        <v>Alpha-Cored Technology Systems, Inc.</v>
      </c>
      <c r="W350" s="4">
        <f>IFERROR(__xludf.DUMMYFUNCTION("""COMPUTED_VALUE"""),5.0)</f>
        <v>5</v>
      </c>
      <c r="X350" s="60">
        <f>IFERROR(__xludf.DUMMYFUNCTION("""COMPUTED_VALUE"""),45790.0)</f>
        <v>45790</v>
      </c>
      <c r="AA350" s="4"/>
      <c r="AD350" s="4"/>
      <c r="AG350" s="4"/>
    </row>
    <row r="351">
      <c r="A351" s="179"/>
      <c r="B351" s="180"/>
      <c r="C351" s="2"/>
      <c r="E351" s="181"/>
      <c r="F351" s="181"/>
      <c r="G351" s="2"/>
      <c r="I351" s="190"/>
      <c r="J351" s="190"/>
      <c r="K351" s="2"/>
      <c r="V351" s="59" t="str">
        <f>IFERROR(__xludf.DUMMYFUNCTION("""COMPUTED_VALUE"""),"Microsmith Technology System,Inc.")</f>
        <v>Microsmith Technology System,Inc.</v>
      </c>
      <c r="W351" s="4">
        <f>IFERROR(__xludf.DUMMYFUNCTION("""COMPUTED_VALUE"""),5.0)</f>
        <v>5</v>
      </c>
      <c r="X351" s="60">
        <f>IFERROR(__xludf.DUMMYFUNCTION("""COMPUTED_VALUE"""),45790.0)</f>
        <v>45790</v>
      </c>
      <c r="AA351" s="4"/>
      <c r="AD351" s="4"/>
      <c r="AG351" s="4"/>
    </row>
    <row r="352">
      <c r="A352" s="179"/>
      <c r="B352" s="180"/>
      <c r="C352" s="2"/>
      <c r="E352" s="181"/>
      <c r="F352" s="181"/>
      <c r="G352" s="2"/>
      <c r="I352" s="190"/>
      <c r="J352" s="190"/>
      <c r="K352" s="2"/>
      <c r="V352" s="59" t="str">
        <f>IFERROR(__xludf.DUMMYFUNCTION("""COMPUTED_VALUE"""),"Net Ad IT Solutions")</f>
        <v>Net Ad IT Solutions</v>
      </c>
      <c r="W352" s="4">
        <f>IFERROR(__xludf.DUMMYFUNCTION("""COMPUTED_VALUE"""),5.0)</f>
        <v>5</v>
      </c>
      <c r="X352" s="60">
        <f>IFERROR(__xludf.DUMMYFUNCTION("""COMPUTED_VALUE"""),45771.0)</f>
        <v>45771</v>
      </c>
      <c r="AA352" s="4"/>
      <c r="AD352" s="4"/>
      <c r="AG352" s="4"/>
    </row>
    <row r="353">
      <c r="A353" s="179"/>
      <c r="B353" s="180"/>
      <c r="C353" s="2"/>
      <c r="E353" s="181"/>
      <c r="F353" s="181"/>
      <c r="G353" s="2"/>
      <c r="I353" s="190"/>
      <c r="J353" s="190"/>
      <c r="K353" s="2"/>
      <c r="V353" s="59" t="str">
        <f>IFERROR(__xludf.DUMMYFUNCTION("""COMPUTED_VALUE"""),"Alpha-Cored Technology Systems, Inc.")</f>
        <v>Alpha-Cored Technology Systems, Inc.</v>
      </c>
      <c r="W353" s="4">
        <f>IFERROR(__xludf.DUMMYFUNCTION("""COMPUTED_VALUE"""),4.888888888888889)</f>
        <v>4.888888889</v>
      </c>
      <c r="X353" s="60">
        <f>IFERROR(__xludf.DUMMYFUNCTION("""COMPUTED_VALUE"""),45771.0)</f>
        <v>45771</v>
      </c>
      <c r="AA353" s="4"/>
      <c r="AD353" s="4"/>
      <c r="AG353" s="4"/>
    </row>
    <row r="354">
      <c r="A354" s="179"/>
      <c r="B354" s="180"/>
      <c r="C354" s="2"/>
      <c r="E354" s="181"/>
      <c r="F354" s="181"/>
      <c r="G354" s="2"/>
      <c r="I354" s="190"/>
      <c r="J354" s="190"/>
      <c r="K354" s="2"/>
      <c r="V354" s="59" t="str">
        <f>IFERROR(__xludf.DUMMYFUNCTION("""COMPUTED_VALUE"""),"Alpha-Cored Technology Systems, Inc.")</f>
        <v>Alpha-Cored Technology Systems, Inc.</v>
      </c>
      <c r="W354" s="4">
        <f>IFERROR(__xludf.DUMMYFUNCTION("""COMPUTED_VALUE"""),5.0)</f>
        <v>5</v>
      </c>
      <c r="X354" s="60">
        <f>IFERROR(__xludf.DUMMYFUNCTION("""COMPUTED_VALUE"""),45786.0)</f>
        <v>45786</v>
      </c>
      <c r="AA354" s="4"/>
      <c r="AD354" s="4"/>
      <c r="AG354" s="4"/>
    </row>
    <row r="355">
      <c r="A355" s="179"/>
      <c r="B355" s="180"/>
      <c r="C355" s="2"/>
      <c r="E355" s="181"/>
      <c r="F355" s="181"/>
      <c r="G355" s="2"/>
      <c r="I355" s="190"/>
      <c r="J355" s="190"/>
      <c r="K355" s="2"/>
      <c r="V355" s="59" t="str">
        <f>IFERROR(__xludf.DUMMYFUNCTION("""COMPUTED_VALUE"""),"Abenson Ventures, Inc.")</f>
        <v>Abenson Ventures, Inc.</v>
      </c>
      <c r="W355" s="4">
        <f>IFERROR(__xludf.DUMMYFUNCTION("""COMPUTED_VALUE"""),5.0)</f>
        <v>5</v>
      </c>
      <c r="X355" s="60">
        <f>IFERROR(__xludf.DUMMYFUNCTION("""COMPUTED_VALUE"""),45769.0)</f>
        <v>45769</v>
      </c>
      <c r="AA355" s="4"/>
      <c r="AD355" s="4"/>
      <c r="AG355" s="4"/>
    </row>
    <row r="356">
      <c r="A356" s="179"/>
      <c r="B356" s="180"/>
      <c r="C356" s="2"/>
      <c r="E356" s="181"/>
      <c r="F356" s="181"/>
      <c r="G356" s="2"/>
      <c r="I356" s="190"/>
      <c r="J356" s="190"/>
      <c r="K356" s="2"/>
      <c r="V356" s="59" t="str">
        <f>IFERROR(__xludf.DUMMYFUNCTION("""COMPUTED_VALUE"""),"Net Ad IT Solutions")</f>
        <v>Net Ad IT Solutions</v>
      </c>
      <c r="W356" s="4">
        <f>IFERROR(__xludf.DUMMYFUNCTION("""COMPUTED_VALUE"""),5.0)</f>
        <v>5</v>
      </c>
      <c r="X356" s="60">
        <f>IFERROR(__xludf.DUMMYFUNCTION("""COMPUTED_VALUE"""),45771.0)</f>
        <v>45771</v>
      </c>
      <c r="AA356" s="4"/>
      <c r="AD356" s="4"/>
      <c r="AG356" s="4"/>
    </row>
    <row r="357">
      <c r="A357" s="179"/>
      <c r="B357" s="180"/>
      <c r="C357" s="2"/>
      <c r="E357" s="181"/>
      <c r="F357" s="181"/>
      <c r="G357" s="2"/>
      <c r="I357" s="190"/>
      <c r="J357" s="190"/>
      <c r="K357" s="2"/>
      <c r="V357" s="59" t="str">
        <f>IFERROR(__xludf.DUMMYFUNCTION("""COMPUTED_VALUE"""),"Microsmith Technology System,Inc.")</f>
        <v>Microsmith Technology System,Inc.</v>
      </c>
      <c r="W357" s="4">
        <f>IFERROR(__xludf.DUMMYFUNCTION("""COMPUTED_VALUE"""),4.555555555555556)</f>
        <v>4.555555556</v>
      </c>
      <c r="X357" s="60">
        <f>IFERROR(__xludf.DUMMYFUNCTION("""COMPUTED_VALUE"""),45799.0)</f>
        <v>45799</v>
      </c>
      <c r="AA357" s="4"/>
      <c r="AD357" s="4"/>
      <c r="AG357" s="4"/>
    </row>
    <row r="358">
      <c r="A358" s="179"/>
      <c r="B358" s="180"/>
      <c r="C358" s="2"/>
      <c r="E358" s="181"/>
      <c r="F358" s="181"/>
      <c r="G358" s="2"/>
      <c r="I358" s="190"/>
      <c r="J358" s="190"/>
      <c r="K358" s="2"/>
      <c r="V358" s="59" t="str">
        <f>IFERROR(__xludf.DUMMYFUNCTION("""COMPUTED_VALUE"""),"Net Ad IT Solutions")</f>
        <v>Net Ad IT Solutions</v>
      </c>
      <c r="W358" s="4">
        <f>IFERROR(__xludf.DUMMYFUNCTION("""COMPUTED_VALUE"""),5.0)</f>
        <v>5</v>
      </c>
      <c r="X358" s="60">
        <f>IFERROR(__xludf.DUMMYFUNCTION("""COMPUTED_VALUE"""),45482.0)</f>
        <v>45482</v>
      </c>
      <c r="AA358" s="4"/>
      <c r="AD358" s="4"/>
      <c r="AG358" s="4"/>
    </row>
    <row r="359">
      <c r="A359" s="179"/>
      <c r="B359" s="180"/>
      <c r="C359" s="2"/>
      <c r="E359" s="181"/>
      <c r="F359" s="181"/>
      <c r="G359" s="2"/>
      <c r="I359" s="190"/>
      <c r="J359" s="190"/>
      <c r="K359" s="2"/>
      <c r="V359" s="59" t="str">
        <f>IFERROR(__xludf.DUMMYFUNCTION("""COMPUTED_VALUE"""),"Abenson Ventures, Inc.")</f>
        <v>Abenson Ventures, Inc.</v>
      </c>
      <c r="W359" s="4">
        <f>IFERROR(__xludf.DUMMYFUNCTION("""COMPUTED_VALUE"""),5.0)</f>
        <v>5</v>
      </c>
      <c r="X359" s="60">
        <f>IFERROR(__xludf.DUMMYFUNCTION("""COMPUTED_VALUE"""),45497.0)</f>
        <v>45497</v>
      </c>
      <c r="AA359" s="4"/>
      <c r="AD359" s="4"/>
      <c r="AG359" s="4"/>
    </row>
    <row r="360">
      <c r="A360" s="179"/>
      <c r="B360" s="180"/>
      <c r="C360" s="2"/>
      <c r="E360" s="181"/>
      <c r="F360" s="181"/>
      <c r="G360" s="2"/>
      <c r="I360" s="190"/>
      <c r="J360" s="190"/>
      <c r="K360" s="2"/>
      <c r="V360" s="59" t="str">
        <f>IFERROR(__xludf.DUMMYFUNCTION("""COMPUTED_VALUE"""),"Philippine Educational Theater Association, Inc.")</f>
        <v>Philippine Educational Theater Association, Inc.</v>
      </c>
      <c r="W360" s="4">
        <f>IFERROR(__xludf.DUMMYFUNCTION("""COMPUTED_VALUE"""),4.766666666666667)</f>
        <v>4.766666667</v>
      </c>
      <c r="X360" s="60">
        <f>IFERROR(__xludf.DUMMYFUNCTION("""COMPUTED_VALUE"""),45670.0)</f>
        <v>45670</v>
      </c>
      <c r="AA360" s="4"/>
      <c r="AD360" s="4"/>
      <c r="AG360" s="4"/>
    </row>
    <row r="361">
      <c r="A361" s="179"/>
      <c r="B361" s="180"/>
      <c r="C361" s="2"/>
      <c r="E361" s="181"/>
      <c r="F361" s="181"/>
      <c r="G361" s="2"/>
      <c r="I361" s="190"/>
      <c r="J361" s="190"/>
      <c r="K361" s="2"/>
      <c r="V361" s="59" t="str">
        <f>IFERROR(__xludf.DUMMYFUNCTION("""COMPUTED_VALUE"""),"Belview Co., Inc.")</f>
        <v>Belview Co., Inc.</v>
      </c>
      <c r="W361" s="4">
        <f>IFERROR(__xludf.DUMMYFUNCTION("""COMPUTED_VALUE"""),5.0)</f>
        <v>5</v>
      </c>
      <c r="X361" s="60">
        <f>IFERROR(__xludf.DUMMYFUNCTION("""COMPUTED_VALUE"""),45838.0)</f>
        <v>45838</v>
      </c>
      <c r="AA361" s="4"/>
      <c r="AD361" s="4"/>
      <c r="AG361" s="4"/>
    </row>
    <row r="362">
      <c r="A362" s="179"/>
      <c r="B362" s="180"/>
      <c r="C362" s="2"/>
      <c r="E362" s="181"/>
      <c r="F362" s="181"/>
      <c r="G362" s="2"/>
      <c r="I362" s="190"/>
      <c r="J362" s="190"/>
      <c r="K362" s="2"/>
      <c r="V362" s="59" t="str">
        <f>IFERROR(__xludf.DUMMYFUNCTION("""COMPUTED_VALUE"""),"Belview Co., Inc.")</f>
        <v>Belview Co., Inc.</v>
      </c>
      <c r="W362" s="4">
        <f>IFERROR(__xludf.DUMMYFUNCTION("""COMPUTED_VALUE"""),5.0)</f>
        <v>5</v>
      </c>
      <c r="X362" s="60">
        <f>IFERROR(__xludf.DUMMYFUNCTION("""COMPUTED_VALUE"""),45834.0)</f>
        <v>45834</v>
      </c>
      <c r="AA362" s="4"/>
      <c r="AD362" s="4"/>
      <c r="AG362" s="4"/>
    </row>
    <row r="363">
      <c r="A363" s="179"/>
      <c r="B363" s="180"/>
      <c r="C363" s="2"/>
      <c r="E363" s="181"/>
      <c r="F363" s="181"/>
      <c r="G363" s="2"/>
      <c r="I363" s="190"/>
      <c r="J363" s="190"/>
      <c r="K363" s="2"/>
      <c r="V363" s="59" t="str">
        <f>IFERROR(__xludf.DUMMYFUNCTION("""COMPUTED_VALUE"""),"Printing Shop PrintPilipinas.com")</f>
        <v>Printing Shop PrintPilipinas.com</v>
      </c>
      <c r="W363" s="4">
        <f>IFERROR(__xludf.DUMMYFUNCTION("""COMPUTED_VALUE"""),4.993333333333333)</f>
        <v>4.993333333</v>
      </c>
      <c r="X363" s="60">
        <f>IFERROR(__xludf.DUMMYFUNCTION("""COMPUTED_VALUE"""),45670.0)</f>
        <v>45670</v>
      </c>
      <c r="AA363" s="4"/>
      <c r="AD363" s="4"/>
      <c r="AG363" s="4"/>
    </row>
    <row r="364">
      <c r="A364" s="179"/>
      <c r="B364" s="180"/>
      <c r="C364" s="2"/>
      <c r="E364" s="181"/>
      <c r="F364" s="181"/>
      <c r="G364" s="2"/>
      <c r="I364" s="190"/>
      <c r="J364" s="190"/>
      <c r="K364" s="2"/>
      <c r="V364" s="59" t="str">
        <f>IFERROR(__xludf.DUMMYFUNCTION("""COMPUTED_VALUE"""),"Microsmith Technology System,Inc.")</f>
        <v>Microsmith Technology System,Inc.</v>
      </c>
      <c r="W364" s="4">
        <f>IFERROR(__xludf.DUMMYFUNCTION("""COMPUTED_VALUE"""),5.0)</f>
        <v>5</v>
      </c>
      <c r="X364" s="60">
        <f>IFERROR(__xludf.DUMMYFUNCTION("""COMPUTED_VALUE"""),45513.0)</f>
        <v>45513</v>
      </c>
      <c r="AA364" s="4"/>
      <c r="AD364" s="4"/>
      <c r="AG364" s="4"/>
    </row>
    <row r="365">
      <c r="A365" s="179"/>
      <c r="B365" s="180"/>
      <c r="C365" s="2"/>
      <c r="E365" s="181"/>
      <c r="F365" s="181"/>
      <c r="G365" s="2"/>
      <c r="I365" s="190"/>
      <c r="J365" s="190"/>
      <c r="K365" s="2"/>
      <c r="V365" s="59" t="str">
        <f>IFERROR(__xludf.DUMMYFUNCTION("""COMPUTED_VALUE"""),"Palces Manufacturing, Inc.")</f>
        <v>Palces Manufacturing, Inc.</v>
      </c>
      <c r="W365" s="4">
        <f>IFERROR(__xludf.DUMMYFUNCTION("""COMPUTED_VALUE"""),4.933333333333334)</f>
        <v>4.933333333</v>
      </c>
      <c r="X365" s="60">
        <f>IFERROR(__xludf.DUMMYFUNCTION("""COMPUTED_VALUE"""),45819.0)</f>
        <v>45819</v>
      </c>
      <c r="AA365" s="4"/>
      <c r="AD365" s="4"/>
      <c r="AG365" s="4"/>
    </row>
    <row r="366">
      <c r="A366" s="179"/>
      <c r="B366" s="180"/>
      <c r="C366" s="2"/>
      <c r="E366" s="181"/>
      <c r="F366" s="181"/>
      <c r="G366" s="2"/>
      <c r="I366" s="190"/>
      <c r="J366" s="190"/>
      <c r="K366" s="2"/>
      <c r="V366" s="59" t="str">
        <f>IFERROR(__xludf.DUMMYFUNCTION("""COMPUTED_VALUE"""),"Chemtrust Global Market, Inc.")</f>
        <v>Chemtrust Global Market, Inc.</v>
      </c>
      <c r="W366" s="4">
        <f>IFERROR(__xludf.DUMMYFUNCTION("""COMPUTED_VALUE"""),4.802777777777778)</f>
        <v>4.802777778</v>
      </c>
      <c r="X366" s="60">
        <f>IFERROR(__xludf.DUMMYFUNCTION("""COMPUTED_VALUE"""),45737.0)</f>
        <v>45737</v>
      </c>
      <c r="AA366" s="4"/>
      <c r="AD366" s="4"/>
      <c r="AG366" s="4"/>
    </row>
    <row r="367">
      <c r="A367" s="179"/>
      <c r="B367" s="180"/>
      <c r="C367" s="2"/>
      <c r="E367" s="181"/>
      <c r="F367" s="181"/>
      <c r="G367" s="2"/>
      <c r="I367" s="190"/>
      <c r="J367" s="190"/>
      <c r="K367" s="2"/>
      <c r="V367" s="59" t="str">
        <f>IFERROR(__xludf.DUMMYFUNCTION("""COMPUTED_VALUE"""),"Wilcon Depot Inc.")</f>
        <v>Wilcon Depot Inc.</v>
      </c>
      <c r="W367" s="4">
        <f>IFERROR(__xludf.DUMMYFUNCTION("""COMPUTED_VALUE"""),4.366666666666666)</f>
        <v>4.366666667</v>
      </c>
      <c r="X367" s="60">
        <f>IFERROR(__xludf.DUMMYFUNCTION("""COMPUTED_VALUE"""),45778.0)</f>
        <v>45778</v>
      </c>
      <c r="AA367" s="4"/>
      <c r="AD367" s="4"/>
      <c r="AG367" s="4"/>
    </row>
    <row r="368">
      <c r="A368" s="179"/>
      <c r="B368" s="180"/>
      <c r="C368" s="2"/>
      <c r="E368" s="181"/>
      <c r="F368" s="181"/>
      <c r="G368" s="2"/>
      <c r="I368" s="190"/>
      <c r="J368" s="190"/>
      <c r="K368" s="2"/>
      <c r="V368" s="59" t="str">
        <f>IFERROR(__xludf.DUMMYFUNCTION("""COMPUTED_VALUE"""),"Arkin Hardware")</f>
        <v>Arkin Hardware</v>
      </c>
      <c r="W368" s="4">
        <f>IFERROR(__xludf.DUMMYFUNCTION("""COMPUTED_VALUE"""),4.966666666666667)</f>
        <v>4.966666667</v>
      </c>
      <c r="X368" s="60">
        <f>IFERROR(__xludf.DUMMYFUNCTION("""COMPUTED_VALUE"""),45778.0)</f>
        <v>45778</v>
      </c>
      <c r="AA368" s="4"/>
      <c r="AD368" s="4"/>
      <c r="AG368" s="4"/>
    </row>
    <row r="369">
      <c r="A369" s="179"/>
      <c r="B369" s="180"/>
      <c r="C369" s="2"/>
      <c r="E369" s="181"/>
      <c r="F369" s="181"/>
      <c r="G369" s="2"/>
      <c r="I369" s="190"/>
      <c r="J369" s="190"/>
      <c r="K369" s="2"/>
      <c r="V369" s="59" t="str">
        <f>IFERROR(__xludf.DUMMYFUNCTION("""COMPUTED_VALUE"""),"Arkin Hardware")</f>
        <v>Arkin Hardware</v>
      </c>
      <c r="W369" s="4">
        <f>IFERROR(__xludf.DUMMYFUNCTION("""COMPUTED_VALUE"""),4.958333333333333)</f>
        <v>4.958333333</v>
      </c>
      <c r="X369" s="60">
        <f>IFERROR(__xludf.DUMMYFUNCTION("""COMPUTED_VALUE"""),45801.0)</f>
        <v>45801</v>
      </c>
      <c r="AA369" s="4"/>
      <c r="AD369" s="4"/>
      <c r="AG369" s="4"/>
    </row>
    <row r="370">
      <c r="A370" s="179"/>
      <c r="B370" s="180"/>
      <c r="C370" s="2"/>
      <c r="E370" s="181"/>
      <c r="F370" s="181"/>
      <c r="G370" s="2"/>
      <c r="I370" s="190"/>
      <c r="J370" s="190"/>
      <c r="K370" s="2"/>
      <c r="V370" s="59" t="str">
        <f>IFERROR(__xludf.DUMMYFUNCTION("""COMPUTED_VALUE"""),"Wilcon Depot Inc.")</f>
        <v>Wilcon Depot Inc.</v>
      </c>
      <c r="W370" s="4">
        <f>IFERROR(__xludf.DUMMYFUNCTION("""COMPUTED_VALUE"""),4.2)</f>
        <v>4.2</v>
      </c>
      <c r="X370" s="60">
        <f>IFERROR(__xludf.DUMMYFUNCTION("""COMPUTED_VALUE"""),45826.0)</f>
        <v>45826</v>
      </c>
      <c r="AA370" s="4"/>
      <c r="AD370" s="4"/>
      <c r="AG370" s="4"/>
    </row>
    <row r="371">
      <c r="A371" s="179"/>
      <c r="B371" s="180"/>
      <c r="C371" s="2"/>
      <c r="E371" s="181"/>
      <c r="F371" s="181"/>
      <c r="G371" s="2"/>
      <c r="I371" s="190"/>
      <c r="J371" s="190"/>
      <c r="K371" s="2"/>
      <c r="V371" s="59" t="str">
        <f>IFERROR(__xludf.DUMMYFUNCTION("""COMPUTED_VALUE"""),"Arkin Hardware")</f>
        <v>Arkin Hardware</v>
      </c>
      <c r="W371" s="4">
        <f>IFERROR(__xludf.DUMMYFUNCTION("""COMPUTED_VALUE"""),4.966666666666667)</f>
        <v>4.966666667</v>
      </c>
      <c r="X371" s="60">
        <f>IFERROR(__xludf.DUMMYFUNCTION("""COMPUTED_VALUE"""),45778.0)</f>
        <v>45778</v>
      </c>
      <c r="AA371" s="4"/>
      <c r="AD371" s="4"/>
      <c r="AG371" s="4"/>
    </row>
    <row r="372">
      <c r="A372" s="179"/>
      <c r="B372" s="180"/>
      <c r="C372" s="2"/>
      <c r="E372" s="181"/>
      <c r="F372" s="181"/>
      <c r="G372" s="2"/>
      <c r="I372" s="190"/>
      <c r="J372" s="190"/>
      <c r="K372" s="2"/>
      <c r="V372" s="59" t="str">
        <f>IFERROR(__xludf.DUMMYFUNCTION("""COMPUTED_VALUE"""),"Wilcon Depot Inc.")</f>
        <v>Wilcon Depot Inc.</v>
      </c>
      <c r="W372" s="4">
        <f>IFERROR(__xludf.DUMMYFUNCTION("""COMPUTED_VALUE"""),4.377777777777777)</f>
        <v>4.377777778</v>
      </c>
      <c r="X372" s="60">
        <f>IFERROR(__xludf.DUMMYFUNCTION("""COMPUTED_VALUE"""),45832.0)</f>
        <v>45832</v>
      </c>
      <c r="AA372" s="4"/>
      <c r="AD372" s="4"/>
      <c r="AG372" s="4"/>
    </row>
    <row r="373">
      <c r="A373" s="179"/>
      <c r="B373" s="180"/>
      <c r="C373" s="2"/>
      <c r="E373" s="181"/>
      <c r="F373" s="181"/>
      <c r="G373" s="2"/>
      <c r="I373" s="190"/>
      <c r="J373" s="190"/>
      <c r="K373" s="2"/>
      <c r="V373" s="59" t="str">
        <f>IFERROR(__xludf.DUMMYFUNCTION("""COMPUTED_VALUE"""),"Creative Juice Digital Printing")</f>
        <v>Creative Juice Digital Printing</v>
      </c>
      <c r="W373" s="4">
        <f>IFERROR(__xludf.DUMMYFUNCTION("""COMPUTED_VALUE"""),4.8)</f>
        <v>4.8</v>
      </c>
      <c r="X373" s="60">
        <f>IFERROR(__xludf.DUMMYFUNCTION("""COMPUTED_VALUE"""),45585.0)</f>
        <v>45585</v>
      </c>
      <c r="AA373" s="4"/>
      <c r="AD373" s="4"/>
      <c r="AG373" s="4"/>
    </row>
    <row r="374">
      <c r="A374" s="179"/>
      <c r="B374" s="180"/>
      <c r="C374" s="2"/>
      <c r="E374" s="181"/>
      <c r="F374" s="181"/>
      <c r="G374" s="2"/>
      <c r="I374" s="190"/>
      <c r="J374" s="190"/>
      <c r="K374" s="2"/>
      <c r="V374" s="59" t="str">
        <f>IFERROR(__xludf.DUMMYFUNCTION("""COMPUTED_VALUE"""),"Belview Co., Inc.")</f>
        <v>Belview Co., Inc.</v>
      </c>
      <c r="W374" s="4">
        <f>IFERROR(__xludf.DUMMYFUNCTION("""COMPUTED_VALUE"""),4.833333333333333)</f>
        <v>4.833333333</v>
      </c>
      <c r="X374" s="60">
        <f>IFERROR(__xludf.DUMMYFUNCTION("""COMPUTED_VALUE"""),45838.0)</f>
        <v>45838</v>
      </c>
      <c r="AA374" s="4"/>
      <c r="AD374" s="4"/>
      <c r="AG374" s="4"/>
    </row>
    <row r="375">
      <c r="A375" s="179"/>
      <c r="B375" s="180"/>
      <c r="C375" s="2"/>
      <c r="E375" s="181"/>
      <c r="F375" s="181"/>
      <c r="G375" s="2"/>
      <c r="I375" s="190"/>
      <c r="J375" s="190"/>
      <c r="K375" s="2"/>
      <c r="V375" s="59" t="str">
        <f>IFERROR(__xludf.DUMMYFUNCTION("""COMPUTED_VALUE"""),"Manos Allied Corporation")</f>
        <v>Manos Allied Corporation</v>
      </c>
      <c r="W375" s="4">
        <f>IFERROR(__xludf.DUMMYFUNCTION("""COMPUTED_VALUE"""),4.933333333333334)</f>
        <v>4.933333333</v>
      </c>
      <c r="X375" s="60">
        <f>IFERROR(__xludf.DUMMYFUNCTION("""COMPUTED_VALUE"""),45683.0)</f>
        <v>45683</v>
      </c>
      <c r="AA375" s="4"/>
      <c r="AD375" s="4"/>
      <c r="AG375" s="4"/>
    </row>
    <row r="376">
      <c r="A376" s="179"/>
      <c r="B376" s="180"/>
      <c r="C376" s="2"/>
      <c r="E376" s="181"/>
      <c r="F376" s="181"/>
      <c r="G376" s="2"/>
      <c r="I376" s="190"/>
      <c r="J376" s="190"/>
      <c r="K376" s="2"/>
      <c r="V376" s="59" t="str">
        <f>IFERROR(__xludf.DUMMYFUNCTION("""COMPUTED_VALUE"""),"Net Ad IT Solutions")</f>
        <v>Net Ad IT Solutions</v>
      </c>
      <c r="W376" s="4">
        <f>IFERROR(__xludf.DUMMYFUNCTION("""COMPUTED_VALUE"""),5.0)</f>
        <v>5</v>
      </c>
      <c r="X376" s="60">
        <f>IFERROR(__xludf.DUMMYFUNCTION("""COMPUTED_VALUE"""),45798.0)</f>
        <v>45798</v>
      </c>
      <c r="AA376" s="4"/>
      <c r="AD376" s="4"/>
      <c r="AG376" s="4"/>
    </row>
    <row r="377">
      <c r="A377" s="179"/>
      <c r="B377" s="180"/>
      <c r="C377" s="2"/>
      <c r="E377" s="181"/>
      <c r="F377" s="181"/>
      <c r="G377" s="2"/>
      <c r="I377" s="190"/>
      <c r="J377" s="190"/>
      <c r="K377" s="2"/>
      <c r="V377" s="59" t="str">
        <f>IFERROR(__xludf.DUMMYFUNCTION("""COMPUTED_VALUE"""),"Belview Co., Inc.")</f>
        <v>Belview Co., Inc.</v>
      </c>
      <c r="W377" s="4">
        <f>IFERROR(__xludf.DUMMYFUNCTION("""COMPUTED_VALUE"""),5.0)</f>
        <v>5</v>
      </c>
      <c r="X377" s="60">
        <f>IFERROR(__xludf.DUMMYFUNCTION("""COMPUTED_VALUE"""),45838.0)</f>
        <v>45838</v>
      </c>
      <c r="AA377" s="4"/>
      <c r="AD377" s="4"/>
      <c r="AG377" s="4"/>
    </row>
    <row r="378">
      <c r="A378" s="179"/>
      <c r="B378" s="180"/>
      <c r="C378" s="2"/>
      <c r="E378" s="181"/>
      <c r="F378" s="181"/>
      <c r="G378" s="2"/>
      <c r="I378" s="190"/>
      <c r="J378" s="190"/>
      <c r="K378" s="2"/>
      <c r="V378" s="59" t="str">
        <f>IFERROR(__xludf.DUMMYFUNCTION("""COMPUTED_VALUE"""),"Belview Co., Inc.")</f>
        <v>Belview Co., Inc.</v>
      </c>
      <c r="W378" s="4">
        <f>IFERROR(__xludf.DUMMYFUNCTION("""COMPUTED_VALUE"""),5.0)</f>
        <v>5</v>
      </c>
      <c r="X378" s="60">
        <f>IFERROR(__xludf.DUMMYFUNCTION("""COMPUTED_VALUE"""),45833.0)</f>
        <v>45833</v>
      </c>
      <c r="AA378" s="4"/>
      <c r="AD378" s="4"/>
      <c r="AG378" s="4"/>
    </row>
    <row r="379">
      <c r="A379" s="179"/>
      <c r="B379" s="180"/>
      <c r="C379" s="2"/>
      <c r="E379" s="181"/>
      <c r="F379" s="181"/>
      <c r="G379" s="2"/>
      <c r="I379" s="190"/>
      <c r="J379" s="190"/>
      <c r="K379" s="2"/>
      <c r="V379" s="59" t="str">
        <f>IFERROR(__xludf.DUMMYFUNCTION("""COMPUTED_VALUE"""),"Belview Co., Inc.")</f>
        <v>Belview Co., Inc.</v>
      </c>
      <c r="W379" s="4">
        <f>IFERROR(__xludf.DUMMYFUNCTION("""COMPUTED_VALUE"""),5.0)</f>
        <v>5</v>
      </c>
      <c r="X379" s="60">
        <f>IFERROR(__xludf.DUMMYFUNCTION("""COMPUTED_VALUE"""),45833.0)</f>
        <v>45833</v>
      </c>
      <c r="AA379" s="4"/>
      <c r="AD379" s="4"/>
      <c r="AG379" s="4"/>
    </row>
    <row r="380">
      <c r="A380" s="179"/>
      <c r="B380" s="180"/>
      <c r="C380" s="2"/>
      <c r="E380" s="181"/>
      <c r="F380" s="181"/>
      <c r="G380" s="2"/>
      <c r="I380" s="190"/>
      <c r="J380" s="190"/>
      <c r="K380" s="2"/>
      <c r="V380" s="59" t="str">
        <f>IFERROR(__xludf.DUMMYFUNCTION("""COMPUTED_VALUE"""),"Belview Co., Inc.")</f>
        <v>Belview Co., Inc.</v>
      </c>
      <c r="W380" s="4">
        <f>IFERROR(__xludf.DUMMYFUNCTION("""COMPUTED_VALUE"""),5.0)</f>
        <v>5</v>
      </c>
      <c r="X380" s="60">
        <f>IFERROR(__xludf.DUMMYFUNCTION("""COMPUTED_VALUE"""),45834.0)</f>
        <v>45834</v>
      </c>
      <c r="AA380" s="4"/>
      <c r="AD380" s="4"/>
      <c r="AG380" s="4"/>
    </row>
    <row r="381">
      <c r="A381" s="179"/>
      <c r="B381" s="180"/>
      <c r="C381" s="2"/>
      <c r="E381" s="181"/>
      <c r="F381" s="181"/>
      <c r="G381" s="2"/>
      <c r="I381" s="190"/>
      <c r="J381" s="190"/>
      <c r="K381" s="2"/>
      <c r="V381" s="59" t="str">
        <f>IFERROR(__xludf.DUMMYFUNCTION("""COMPUTED_VALUE"""),"Belview Co., Inc.")</f>
        <v>Belview Co., Inc.</v>
      </c>
      <c r="W381" s="4">
        <f>IFERROR(__xludf.DUMMYFUNCTION("""COMPUTED_VALUE"""),5.0)</f>
        <v>5</v>
      </c>
      <c r="X381" s="60">
        <f>IFERROR(__xludf.DUMMYFUNCTION("""COMPUTED_VALUE"""),45834.0)</f>
        <v>45834</v>
      </c>
      <c r="AA381" s="4"/>
      <c r="AD381" s="4"/>
      <c r="AG381" s="4"/>
    </row>
    <row r="382">
      <c r="A382" s="179"/>
      <c r="B382" s="180"/>
      <c r="C382" s="2"/>
      <c r="E382" s="181"/>
      <c r="F382" s="181"/>
      <c r="G382" s="2"/>
      <c r="I382" s="190"/>
      <c r="J382" s="190"/>
      <c r="K382" s="2"/>
      <c r="V382" s="59" t="str">
        <f>IFERROR(__xludf.DUMMYFUNCTION("""COMPUTED_VALUE"""),"Belview Co., Inc.")</f>
        <v>Belview Co., Inc.</v>
      </c>
      <c r="W382" s="4">
        <f>IFERROR(__xludf.DUMMYFUNCTION("""COMPUTED_VALUE"""),5.0)</f>
        <v>5</v>
      </c>
      <c r="X382" s="60">
        <f>IFERROR(__xludf.DUMMYFUNCTION("""COMPUTED_VALUE"""),45834.0)</f>
        <v>45834</v>
      </c>
      <c r="AA382" s="4"/>
      <c r="AD382" s="4"/>
      <c r="AG382" s="4"/>
    </row>
    <row r="383">
      <c r="A383" s="179"/>
      <c r="B383" s="180"/>
      <c r="C383" s="2"/>
      <c r="E383" s="181"/>
      <c r="F383" s="181"/>
      <c r="G383" s="2"/>
      <c r="I383" s="190"/>
      <c r="J383" s="190"/>
      <c r="K383" s="2"/>
      <c r="V383" s="59" t="str">
        <f>IFERROR(__xludf.DUMMYFUNCTION("""COMPUTED_VALUE"""),"Belview Co., Inc.")</f>
        <v>Belview Co., Inc.</v>
      </c>
      <c r="W383" s="4">
        <f>IFERROR(__xludf.DUMMYFUNCTION("""COMPUTED_VALUE"""),5.0)</f>
        <v>5</v>
      </c>
      <c r="X383" s="60">
        <f>IFERROR(__xludf.DUMMYFUNCTION("""COMPUTED_VALUE"""),45833.0)</f>
        <v>45833</v>
      </c>
      <c r="AA383" s="4"/>
      <c r="AD383" s="4"/>
      <c r="AG383" s="4"/>
    </row>
    <row r="384">
      <c r="A384" s="179"/>
      <c r="B384" s="180"/>
      <c r="C384" s="2"/>
      <c r="E384" s="181"/>
      <c r="F384" s="181"/>
      <c r="G384" s="2"/>
      <c r="I384" s="190"/>
      <c r="J384" s="190"/>
      <c r="K384" s="2"/>
      <c r="V384" s="59" t="str">
        <f>IFERROR(__xludf.DUMMYFUNCTION("""COMPUTED_VALUE"""),"Belview Co., Inc.")</f>
        <v>Belview Co., Inc.</v>
      </c>
      <c r="W384" s="4">
        <f>IFERROR(__xludf.DUMMYFUNCTION("""COMPUTED_VALUE"""),5.0)</f>
        <v>5</v>
      </c>
      <c r="X384" s="60">
        <f>IFERROR(__xludf.DUMMYFUNCTION("""COMPUTED_VALUE"""),45833.0)</f>
        <v>45833</v>
      </c>
      <c r="AA384" s="4"/>
      <c r="AD384" s="4"/>
      <c r="AG384" s="4"/>
    </row>
    <row r="385">
      <c r="A385" s="179"/>
      <c r="B385" s="180"/>
      <c r="C385" s="2"/>
      <c r="E385" s="181"/>
      <c r="F385" s="181"/>
      <c r="G385" s="2"/>
      <c r="I385" s="190"/>
      <c r="J385" s="190"/>
      <c r="K385" s="2"/>
      <c r="V385" s="59" t="str">
        <f>IFERROR(__xludf.DUMMYFUNCTION("""COMPUTED_VALUE"""),"Belview Co., Inc.")</f>
        <v>Belview Co., Inc.</v>
      </c>
      <c r="W385" s="4">
        <f>IFERROR(__xludf.DUMMYFUNCTION("""COMPUTED_VALUE"""),5.0)</f>
        <v>5</v>
      </c>
      <c r="X385" s="60">
        <f>IFERROR(__xludf.DUMMYFUNCTION("""COMPUTED_VALUE"""),45834.0)</f>
        <v>45834</v>
      </c>
      <c r="AA385" s="4"/>
      <c r="AD385" s="4"/>
      <c r="AG385" s="4"/>
    </row>
    <row r="386">
      <c r="A386" s="179"/>
      <c r="B386" s="180"/>
      <c r="C386" s="2"/>
      <c r="E386" s="181"/>
      <c r="F386" s="181"/>
      <c r="G386" s="2"/>
      <c r="I386" s="190"/>
      <c r="J386" s="190"/>
      <c r="K386" s="2"/>
      <c r="V386" s="59" t="str">
        <f>IFERROR(__xludf.DUMMYFUNCTION("""COMPUTED_VALUE"""),"Belview Co., Inc.")</f>
        <v>Belview Co., Inc.</v>
      </c>
      <c r="W386" s="4">
        <f>IFERROR(__xludf.DUMMYFUNCTION("""COMPUTED_VALUE"""),5.0)</f>
        <v>5</v>
      </c>
      <c r="X386" s="60">
        <f>IFERROR(__xludf.DUMMYFUNCTION("""COMPUTED_VALUE"""),45833.0)</f>
        <v>45833</v>
      </c>
      <c r="AA386" s="4"/>
      <c r="AD386" s="4"/>
      <c r="AG386" s="4"/>
    </row>
    <row r="387">
      <c r="A387" s="179"/>
      <c r="B387" s="180"/>
      <c r="C387" s="2"/>
      <c r="E387" s="181"/>
      <c r="F387" s="181"/>
      <c r="G387" s="2"/>
      <c r="I387" s="190"/>
      <c r="J387" s="190"/>
      <c r="K387" s="2"/>
      <c r="V387" s="59" t="str">
        <f>IFERROR(__xludf.DUMMYFUNCTION("""COMPUTED_VALUE"""),"Belview Co., Inc.")</f>
        <v>Belview Co., Inc.</v>
      </c>
      <c r="W387" s="4">
        <f>IFERROR(__xludf.DUMMYFUNCTION("""COMPUTED_VALUE"""),5.0)</f>
        <v>5</v>
      </c>
      <c r="X387" s="60">
        <f>IFERROR(__xludf.DUMMYFUNCTION("""COMPUTED_VALUE"""),45838.0)</f>
        <v>45838</v>
      </c>
      <c r="AA387" s="4"/>
      <c r="AD387" s="4"/>
      <c r="AG387" s="4"/>
    </row>
    <row r="388">
      <c r="A388" s="179"/>
      <c r="B388" s="180"/>
      <c r="C388" s="2"/>
      <c r="E388" s="181"/>
      <c r="F388" s="181"/>
      <c r="G388" s="2"/>
      <c r="I388" s="190"/>
      <c r="J388" s="190"/>
      <c r="K388" s="2"/>
      <c r="V388" s="59" t="str">
        <f>IFERROR(__xludf.DUMMYFUNCTION("""COMPUTED_VALUE"""),"Belview Co., Inc.")</f>
        <v>Belview Co., Inc.</v>
      </c>
      <c r="W388" s="4">
        <f>IFERROR(__xludf.DUMMYFUNCTION("""COMPUTED_VALUE"""),5.0)</f>
        <v>5</v>
      </c>
      <c r="X388" s="60">
        <f>IFERROR(__xludf.DUMMYFUNCTION("""COMPUTED_VALUE"""),45838.0)</f>
        <v>45838</v>
      </c>
      <c r="AA388" s="4"/>
      <c r="AD388" s="4"/>
      <c r="AG388" s="4"/>
    </row>
    <row r="389">
      <c r="A389" s="179"/>
      <c r="B389" s="180"/>
      <c r="C389" s="2"/>
      <c r="E389" s="181"/>
      <c r="F389" s="181"/>
      <c r="G389" s="2"/>
      <c r="I389" s="190"/>
      <c r="J389" s="190"/>
      <c r="K389" s="2"/>
      <c r="V389" s="59" t="str">
        <f>IFERROR(__xludf.DUMMYFUNCTION("""COMPUTED_VALUE"""),"Microsmith Technology System,Inc.")</f>
        <v>Microsmith Technology System,Inc.</v>
      </c>
      <c r="W389" s="4">
        <f>IFERROR(__xludf.DUMMYFUNCTION("""COMPUTED_VALUE"""),5.0)</f>
        <v>5</v>
      </c>
      <c r="X389" s="60">
        <f>IFERROR(__xludf.DUMMYFUNCTION("""COMPUTED_VALUE"""),45835.0)</f>
        <v>45835</v>
      </c>
      <c r="AA389" s="4"/>
      <c r="AD389" s="4"/>
      <c r="AG389" s="4"/>
    </row>
    <row r="390">
      <c r="A390" s="179"/>
      <c r="B390" s="180"/>
      <c r="C390" s="2"/>
      <c r="E390" s="181"/>
      <c r="F390" s="181"/>
      <c r="G390" s="2"/>
      <c r="I390" s="190"/>
      <c r="J390" s="190"/>
      <c r="K390" s="2"/>
      <c r="V390" s="59" t="str">
        <f>IFERROR(__xludf.DUMMYFUNCTION("""COMPUTED_VALUE"""),"Belview Co., Inc.")</f>
        <v>Belview Co., Inc.</v>
      </c>
      <c r="W390" s="4">
        <f>IFERROR(__xludf.DUMMYFUNCTION("""COMPUTED_VALUE"""),5.0)</f>
        <v>5</v>
      </c>
      <c r="X390" s="60">
        <f>IFERROR(__xludf.DUMMYFUNCTION("""COMPUTED_VALUE"""),45838.0)</f>
        <v>45838</v>
      </c>
      <c r="AA390" s="4"/>
      <c r="AD390" s="4"/>
      <c r="AG390" s="4"/>
    </row>
    <row r="391">
      <c r="A391" s="179"/>
      <c r="B391" s="180"/>
      <c r="C391" s="2"/>
      <c r="E391" s="181"/>
      <c r="F391" s="181"/>
      <c r="G391" s="2"/>
      <c r="I391" s="190"/>
      <c r="J391" s="190"/>
      <c r="K391" s="2"/>
      <c r="V391" s="59" t="str">
        <f>IFERROR(__xludf.DUMMYFUNCTION("""COMPUTED_VALUE"""),"Belview Co., Inc.")</f>
        <v>Belview Co., Inc.</v>
      </c>
      <c r="W391" s="4">
        <f>IFERROR(__xludf.DUMMYFUNCTION("""COMPUTED_VALUE"""),5.0)</f>
        <v>5</v>
      </c>
      <c r="X391" s="60">
        <f>IFERROR(__xludf.DUMMYFUNCTION("""COMPUTED_VALUE"""),45838.0)</f>
        <v>45838</v>
      </c>
      <c r="AA391" s="4"/>
      <c r="AD391" s="4"/>
      <c r="AG391" s="4"/>
    </row>
    <row r="392">
      <c r="A392" s="179"/>
      <c r="B392" s="180"/>
      <c r="C392" s="2"/>
      <c r="E392" s="181"/>
      <c r="F392" s="181"/>
      <c r="G392" s="2"/>
      <c r="I392" s="190"/>
      <c r="J392" s="190"/>
      <c r="K392" s="2"/>
      <c r="V392" s="59" t="str">
        <f>IFERROR(__xludf.DUMMYFUNCTION("""COMPUTED_VALUE"""),"Belview Co., Inc.")</f>
        <v>Belview Co., Inc.</v>
      </c>
      <c r="W392" s="4">
        <f>IFERROR(__xludf.DUMMYFUNCTION("""COMPUTED_VALUE"""),5.0)</f>
        <v>5</v>
      </c>
      <c r="X392" s="60">
        <f>IFERROR(__xludf.DUMMYFUNCTION("""COMPUTED_VALUE"""),45838.0)</f>
        <v>45838</v>
      </c>
      <c r="AA392" s="4"/>
      <c r="AD392" s="4"/>
      <c r="AG392" s="4"/>
    </row>
    <row r="393">
      <c r="A393" s="179"/>
      <c r="B393" s="180"/>
      <c r="C393" s="2"/>
      <c r="E393" s="181"/>
      <c r="F393" s="181"/>
      <c r="G393" s="2"/>
      <c r="I393" s="190"/>
      <c r="J393" s="190"/>
      <c r="K393" s="2"/>
      <c r="V393" s="59" t="str">
        <f>IFERROR(__xludf.DUMMYFUNCTION("""COMPUTED_VALUE"""),"Belview Co., Inc.")</f>
        <v>Belview Co., Inc.</v>
      </c>
      <c r="W393" s="4">
        <f>IFERROR(__xludf.DUMMYFUNCTION("""COMPUTED_VALUE"""),5.0)</f>
        <v>5</v>
      </c>
      <c r="X393" s="60">
        <f>IFERROR(__xludf.DUMMYFUNCTION("""COMPUTED_VALUE"""),45838.0)</f>
        <v>45838</v>
      </c>
      <c r="AA393" s="4"/>
      <c r="AD393" s="4"/>
      <c r="AG393" s="4"/>
    </row>
    <row r="394">
      <c r="A394" s="179"/>
      <c r="B394" s="180"/>
      <c r="C394" s="2"/>
      <c r="E394" s="181"/>
      <c r="F394" s="181"/>
      <c r="G394" s="2"/>
      <c r="I394" s="190"/>
      <c r="J394" s="190"/>
      <c r="K394" s="2"/>
      <c r="V394" s="59" t="str">
        <f>IFERROR(__xludf.DUMMYFUNCTION("""COMPUTED_VALUE"""),"Barcaman Couture Corporation")</f>
        <v>Barcaman Couture Corporation</v>
      </c>
      <c r="W394" s="4">
        <f>IFERROR(__xludf.DUMMYFUNCTION("""COMPUTED_VALUE"""),3.5666666666666664)</f>
        <v>3.566666667</v>
      </c>
      <c r="X394" s="60">
        <f>IFERROR(__xludf.DUMMYFUNCTION("""COMPUTED_VALUE"""),45604.0)</f>
        <v>45604</v>
      </c>
      <c r="AA394" s="4"/>
      <c r="AD394" s="4"/>
      <c r="AG394" s="4"/>
    </row>
    <row r="395">
      <c r="A395" s="179"/>
      <c r="B395" s="180"/>
      <c r="C395" s="2"/>
      <c r="E395" s="181"/>
      <c r="F395" s="181"/>
      <c r="G395" s="2"/>
      <c r="I395" s="190"/>
      <c r="J395" s="190"/>
      <c r="K395" s="2"/>
      <c r="V395" s="59" t="str">
        <f>IFERROR(__xludf.DUMMYFUNCTION("""COMPUTED_VALUE"""),"Printing Shop PrintPilipinas.com")</f>
        <v>Printing Shop PrintPilipinas.com</v>
      </c>
      <c r="W395" s="4">
        <f>IFERROR(__xludf.DUMMYFUNCTION("""COMPUTED_VALUE"""),5.0)</f>
        <v>5</v>
      </c>
      <c r="X395" s="60">
        <f>IFERROR(__xludf.DUMMYFUNCTION("""COMPUTED_VALUE"""),45662.0)</f>
        <v>45662</v>
      </c>
      <c r="AA395" s="4"/>
      <c r="AD395" s="4"/>
      <c r="AG395" s="4"/>
    </row>
    <row r="396">
      <c r="A396" s="179"/>
      <c r="B396" s="180"/>
      <c r="C396" s="2"/>
      <c r="E396" s="181"/>
      <c r="F396" s="181"/>
      <c r="G396" s="2"/>
      <c r="I396" s="190"/>
      <c r="J396" s="190"/>
      <c r="K396" s="2"/>
      <c r="V396" s="59" t="str">
        <f>IFERROR(__xludf.DUMMYFUNCTION("""COMPUTED_VALUE"""),"Belview Co., Inc.")</f>
        <v>Belview Co., Inc.</v>
      </c>
      <c r="W396" s="4">
        <f>IFERROR(__xludf.DUMMYFUNCTION("""COMPUTED_VALUE"""),5.0)</f>
        <v>5</v>
      </c>
      <c r="X396" s="60">
        <f>IFERROR(__xludf.DUMMYFUNCTION("""COMPUTED_VALUE"""),45833.0)</f>
        <v>45833</v>
      </c>
      <c r="AA396" s="4"/>
      <c r="AD396" s="4"/>
      <c r="AG396" s="4"/>
    </row>
    <row r="397">
      <c r="A397" s="179"/>
      <c r="B397" s="180"/>
      <c r="C397" s="2"/>
      <c r="E397" s="181"/>
      <c r="F397" s="181"/>
      <c r="G397" s="2"/>
      <c r="I397" s="190"/>
      <c r="J397" s="190"/>
      <c r="K397" s="2"/>
      <c r="V397" s="59" t="str">
        <f>IFERROR(__xludf.DUMMYFUNCTION("""COMPUTED_VALUE"""),"Belview Co., Inc.")</f>
        <v>Belview Co., Inc.</v>
      </c>
      <c r="W397" s="4">
        <f>IFERROR(__xludf.DUMMYFUNCTION("""COMPUTED_VALUE"""),4.833333333333333)</f>
        <v>4.833333333</v>
      </c>
      <c r="X397" s="60">
        <f>IFERROR(__xludf.DUMMYFUNCTION("""COMPUTED_VALUE"""),45838.0)</f>
        <v>45838</v>
      </c>
      <c r="AA397" s="4"/>
      <c r="AD397" s="4"/>
      <c r="AG397" s="4"/>
    </row>
    <row r="398">
      <c r="A398" s="179"/>
      <c r="B398" s="180"/>
      <c r="C398" s="2"/>
      <c r="E398" s="181"/>
      <c r="F398" s="181"/>
      <c r="G398" s="2"/>
      <c r="I398" s="190"/>
      <c r="J398" s="190"/>
      <c r="K398" s="2"/>
      <c r="V398" s="59" t="str">
        <f>IFERROR(__xludf.DUMMYFUNCTION("""COMPUTED_VALUE"""),"Belview Co., Inc.")</f>
        <v>Belview Co., Inc.</v>
      </c>
      <c r="W398" s="4">
        <f>IFERROR(__xludf.DUMMYFUNCTION("""COMPUTED_VALUE"""),4.833333333333333)</f>
        <v>4.833333333</v>
      </c>
      <c r="X398" s="60">
        <f>IFERROR(__xludf.DUMMYFUNCTION("""COMPUTED_VALUE"""),45838.0)</f>
        <v>45838</v>
      </c>
      <c r="AA398" s="4"/>
      <c r="AD398" s="4"/>
      <c r="AG398" s="4"/>
    </row>
    <row r="399">
      <c r="A399" s="179"/>
      <c r="B399" s="180"/>
      <c r="C399" s="2"/>
      <c r="E399" s="181"/>
      <c r="F399" s="181"/>
      <c r="G399" s="2"/>
      <c r="I399" s="190"/>
      <c r="J399" s="190"/>
      <c r="K399" s="2"/>
      <c r="V399" s="59" t="str">
        <f>IFERROR(__xludf.DUMMYFUNCTION("""COMPUTED_VALUE"""),"Belview Co., Inc.")</f>
        <v>Belview Co., Inc.</v>
      </c>
      <c r="W399" s="4">
        <f>IFERROR(__xludf.DUMMYFUNCTION("""COMPUTED_VALUE"""),4.833333333333333)</f>
        <v>4.833333333</v>
      </c>
      <c r="X399" s="60">
        <f>IFERROR(__xludf.DUMMYFUNCTION("""COMPUTED_VALUE"""),45838.0)</f>
        <v>45838</v>
      </c>
      <c r="AA399" s="4"/>
      <c r="AD399" s="4"/>
      <c r="AG399" s="4"/>
    </row>
    <row r="400">
      <c r="A400" s="179"/>
      <c r="B400" s="180"/>
      <c r="C400" s="2"/>
      <c r="E400" s="181"/>
      <c r="F400" s="181"/>
      <c r="G400" s="2"/>
      <c r="I400" s="190"/>
      <c r="J400" s="190"/>
      <c r="K400" s="2"/>
      <c r="V400" s="59" t="str">
        <f>IFERROR(__xludf.DUMMYFUNCTION("""COMPUTED_VALUE"""),"Belview Co., Inc.")</f>
        <v>Belview Co., Inc.</v>
      </c>
      <c r="W400" s="4">
        <f>IFERROR(__xludf.DUMMYFUNCTION("""COMPUTED_VALUE"""),4.833333333333333)</f>
        <v>4.833333333</v>
      </c>
      <c r="X400" s="60">
        <f>IFERROR(__xludf.DUMMYFUNCTION("""COMPUTED_VALUE"""),45838.0)</f>
        <v>45838</v>
      </c>
      <c r="AA400" s="4"/>
      <c r="AD400" s="4"/>
      <c r="AG400" s="4"/>
    </row>
    <row r="401">
      <c r="A401" s="179"/>
      <c r="B401" s="180"/>
      <c r="C401" s="2"/>
      <c r="E401" s="181"/>
      <c r="F401" s="181"/>
      <c r="G401" s="2"/>
      <c r="I401" s="190"/>
      <c r="J401" s="190"/>
      <c r="K401" s="2"/>
      <c r="V401" s="59" t="str">
        <f>IFERROR(__xludf.DUMMYFUNCTION("""COMPUTED_VALUE"""),"Belview Co., Inc.")</f>
        <v>Belview Co., Inc.</v>
      </c>
      <c r="W401" s="4">
        <f>IFERROR(__xludf.DUMMYFUNCTION("""COMPUTED_VALUE"""),4.833333333333333)</f>
        <v>4.833333333</v>
      </c>
      <c r="X401" s="60">
        <f>IFERROR(__xludf.DUMMYFUNCTION("""COMPUTED_VALUE"""),45838.0)</f>
        <v>45838</v>
      </c>
      <c r="AA401" s="4"/>
      <c r="AD401" s="4"/>
      <c r="AG401" s="4"/>
    </row>
    <row r="402">
      <c r="A402" s="179"/>
      <c r="B402" s="180"/>
      <c r="C402" s="2"/>
      <c r="E402" s="181"/>
      <c r="F402" s="181"/>
      <c r="G402" s="2"/>
      <c r="I402" s="190"/>
      <c r="J402" s="190"/>
      <c r="K402" s="2"/>
      <c r="V402" s="59" t="str">
        <f>IFERROR(__xludf.DUMMYFUNCTION("""COMPUTED_VALUE"""),"Belview Co., Inc.")</f>
        <v>Belview Co., Inc.</v>
      </c>
      <c r="W402" s="4">
        <f>IFERROR(__xludf.DUMMYFUNCTION("""COMPUTED_VALUE"""),4.833333333333333)</f>
        <v>4.833333333</v>
      </c>
      <c r="X402" s="60">
        <f>IFERROR(__xludf.DUMMYFUNCTION("""COMPUTED_VALUE"""),45838.0)</f>
        <v>45838</v>
      </c>
      <c r="AA402" s="4"/>
      <c r="AD402" s="4"/>
      <c r="AG402" s="4"/>
    </row>
    <row r="403">
      <c r="A403" s="179"/>
      <c r="B403" s="180"/>
      <c r="C403" s="2"/>
      <c r="E403" s="181"/>
      <c r="F403" s="181"/>
      <c r="G403" s="2"/>
      <c r="I403" s="190"/>
      <c r="J403" s="190"/>
      <c r="K403" s="2"/>
      <c r="V403" s="59" t="str">
        <f>IFERROR(__xludf.DUMMYFUNCTION("""COMPUTED_VALUE"""),"Belview Co., Inc.")</f>
        <v>Belview Co., Inc.</v>
      </c>
      <c r="W403" s="4">
        <f>IFERROR(__xludf.DUMMYFUNCTION("""COMPUTED_VALUE"""),4.833333333333333)</f>
        <v>4.833333333</v>
      </c>
      <c r="X403" s="60">
        <f>IFERROR(__xludf.DUMMYFUNCTION("""COMPUTED_VALUE"""),45838.0)</f>
        <v>45838</v>
      </c>
      <c r="AA403" s="4"/>
      <c r="AD403" s="4"/>
      <c r="AG403" s="4"/>
    </row>
    <row r="404">
      <c r="A404" s="179"/>
      <c r="B404" s="180"/>
      <c r="C404" s="2"/>
      <c r="E404" s="181"/>
      <c r="F404" s="181"/>
      <c r="G404" s="2"/>
      <c r="I404" s="190"/>
      <c r="J404" s="190"/>
      <c r="K404" s="2"/>
      <c r="V404" s="59" t="str">
        <f>IFERROR(__xludf.DUMMYFUNCTION("""COMPUTED_VALUE"""),"Belview Co., Inc.")</f>
        <v>Belview Co., Inc.</v>
      </c>
      <c r="W404" s="4">
        <f>IFERROR(__xludf.DUMMYFUNCTION("""COMPUTED_VALUE"""),8.208333333333334)</f>
        <v>8.208333333</v>
      </c>
      <c r="X404" s="60">
        <f>IFERROR(__xludf.DUMMYFUNCTION("""COMPUTED_VALUE"""),45838.0)</f>
        <v>45838</v>
      </c>
      <c r="AA404" s="4"/>
      <c r="AD404" s="4"/>
      <c r="AG404" s="4"/>
    </row>
    <row r="405">
      <c r="A405" s="179"/>
      <c r="B405" s="180"/>
      <c r="C405" s="2"/>
      <c r="E405" s="181"/>
      <c r="F405" s="181"/>
      <c r="G405" s="2"/>
      <c r="I405" s="190"/>
      <c r="J405" s="190"/>
      <c r="K405" s="2"/>
      <c r="V405" s="59" t="str">
        <f>IFERROR(__xludf.DUMMYFUNCTION("""COMPUTED_VALUE"""),"Leonard Prints Inc.")</f>
        <v>Leonard Prints Inc.</v>
      </c>
      <c r="W405" s="4">
        <f>IFERROR(__xludf.DUMMYFUNCTION("""COMPUTED_VALUE"""),4.833333333333333)</f>
        <v>4.833333333</v>
      </c>
      <c r="X405" s="60">
        <f>IFERROR(__xludf.DUMMYFUNCTION("""COMPUTED_VALUE"""),45632.0)</f>
        <v>45632</v>
      </c>
      <c r="AA405" s="4"/>
      <c r="AD405" s="4"/>
      <c r="AG405" s="4"/>
    </row>
    <row r="406">
      <c r="A406" s="179"/>
      <c r="B406" s="180"/>
      <c r="C406" s="2"/>
      <c r="E406" s="181"/>
      <c r="F406" s="181"/>
      <c r="G406" s="2"/>
      <c r="I406" s="190"/>
      <c r="J406" s="190"/>
      <c r="K406" s="2"/>
      <c r="V406" s="59" t="str">
        <f>IFERROR(__xludf.DUMMYFUNCTION("""COMPUTED_VALUE"""),"4David's Book Trading")</f>
        <v>4David's Book Trading</v>
      </c>
      <c r="W406" s="4">
        <f>IFERROR(__xludf.DUMMYFUNCTION("""COMPUTED_VALUE"""),4.8)</f>
        <v>4.8</v>
      </c>
      <c r="X406" s="60">
        <f>IFERROR(__xludf.DUMMYFUNCTION("""COMPUTED_VALUE"""),45724.0)</f>
        <v>45724</v>
      </c>
      <c r="AA406" s="4"/>
      <c r="AD406" s="4"/>
      <c r="AG406" s="4"/>
    </row>
    <row r="407">
      <c r="A407" s="179"/>
      <c r="B407" s="180"/>
      <c r="C407" s="2"/>
      <c r="E407" s="181"/>
      <c r="F407" s="181"/>
      <c r="G407" s="2"/>
      <c r="I407" s="190"/>
      <c r="J407" s="190"/>
      <c r="K407" s="2"/>
      <c r="V407" s="59" t="str">
        <f>IFERROR(__xludf.DUMMYFUNCTION("""COMPUTED_VALUE"""),"CD Books International, Inc.")</f>
        <v>CD Books International, Inc.</v>
      </c>
      <c r="W407" s="4">
        <f>IFERROR(__xludf.DUMMYFUNCTION("""COMPUTED_VALUE"""),5.0)</f>
        <v>5</v>
      </c>
      <c r="X407" s="60">
        <f>IFERROR(__xludf.DUMMYFUNCTION("""COMPUTED_VALUE"""),45777.0)</f>
        <v>45777</v>
      </c>
      <c r="AA407" s="4"/>
      <c r="AD407" s="4"/>
      <c r="AG407" s="4"/>
    </row>
    <row r="408">
      <c r="A408" s="179"/>
      <c r="B408" s="180"/>
      <c r="C408" s="2"/>
      <c r="E408" s="181"/>
      <c r="F408" s="181"/>
      <c r="G408" s="2"/>
      <c r="I408" s="190"/>
      <c r="J408" s="190"/>
      <c r="K408" s="2"/>
      <c r="V408" s="59" t="str">
        <f>IFERROR(__xludf.DUMMYFUNCTION("""COMPUTED_VALUE"""),"4David's Book Trading")</f>
        <v>4David's Book Trading</v>
      </c>
      <c r="W408" s="4">
        <f>IFERROR(__xludf.DUMMYFUNCTION("""COMPUTED_VALUE"""),4.8)</f>
        <v>4.8</v>
      </c>
      <c r="X408" s="60">
        <f>IFERROR(__xludf.DUMMYFUNCTION("""COMPUTED_VALUE"""),45716.0)</f>
        <v>45716</v>
      </c>
      <c r="AA408" s="4"/>
      <c r="AD408" s="4"/>
      <c r="AG408" s="4"/>
    </row>
    <row r="409">
      <c r="A409" s="179"/>
      <c r="B409" s="180"/>
      <c r="C409" s="2"/>
      <c r="E409" s="181"/>
      <c r="F409" s="181"/>
      <c r="G409" s="2"/>
      <c r="I409" s="190"/>
      <c r="J409" s="190"/>
      <c r="K409" s="2"/>
      <c r="V409" s="59" t="str">
        <f>IFERROR(__xludf.DUMMYFUNCTION("""COMPUTED_VALUE"""),"4David's Book Trading")</f>
        <v>4David's Book Trading</v>
      </c>
      <c r="W409" s="4">
        <f>IFERROR(__xludf.DUMMYFUNCTION("""COMPUTED_VALUE"""),4.8)</f>
        <v>4.8</v>
      </c>
      <c r="X409" s="60">
        <f>IFERROR(__xludf.DUMMYFUNCTION("""COMPUTED_VALUE"""),45724.0)</f>
        <v>45724</v>
      </c>
      <c r="AA409" s="4"/>
      <c r="AD409" s="4"/>
      <c r="AG409" s="4"/>
    </row>
    <row r="410">
      <c r="A410" s="179"/>
      <c r="B410" s="180"/>
      <c r="C410" s="2"/>
      <c r="E410" s="181"/>
      <c r="F410" s="181"/>
      <c r="G410" s="2"/>
      <c r="I410" s="190"/>
      <c r="J410" s="190"/>
      <c r="K410" s="2"/>
      <c r="V410" s="59" t="str">
        <f>IFERROR(__xludf.DUMMYFUNCTION("""COMPUTED_VALUE"""),"4David's Book Trading")</f>
        <v>4David's Book Trading</v>
      </c>
      <c r="W410" s="4">
        <f>IFERROR(__xludf.DUMMYFUNCTION("""COMPUTED_VALUE"""),4.8)</f>
        <v>4.8</v>
      </c>
      <c r="X410" s="60">
        <f>IFERROR(__xludf.DUMMYFUNCTION("""COMPUTED_VALUE"""),45724.0)</f>
        <v>45724</v>
      </c>
      <c r="AA410" s="4"/>
      <c r="AD410" s="4"/>
      <c r="AG410" s="4"/>
    </row>
    <row r="411">
      <c r="A411" s="179"/>
      <c r="B411" s="180"/>
      <c r="C411" s="2"/>
      <c r="E411" s="181"/>
      <c r="F411" s="181"/>
      <c r="G411" s="2"/>
      <c r="I411" s="190"/>
      <c r="J411" s="190"/>
      <c r="K411" s="2"/>
      <c r="V411" s="59" t="str">
        <f>IFERROR(__xludf.DUMMYFUNCTION("""COMPUTED_VALUE"""),"4David's Book Trading")</f>
        <v>4David's Book Trading</v>
      </c>
      <c r="W411" s="4">
        <f>IFERROR(__xludf.DUMMYFUNCTION("""COMPUTED_VALUE"""),4.8)</f>
        <v>4.8</v>
      </c>
      <c r="X411" s="60">
        <f>IFERROR(__xludf.DUMMYFUNCTION("""COMPUTED_VALUE"""),45724.0)</f>
        <v>45724</v>
      </c>
      <c r="AA411" s="4"/>
      <c r="AD411" s="4"/>
      <c r="AG411" s="4"/>
    </row>
    <row r="412">
      <c r="A412" s="179"/>
      <c r="B412" s="180"/>
      <c r="C412" s="2"/>
      <c r="E412" s="181"/>
      <c r="F412" s="181"/>
      <c r="G412" s="2"/>
      <c r="I412" s="190"/>
      <c r="J412" s="190"/>
      <c r="K412" s="2"/>
      <c r="V412" s="59" t="str">
        <f>IFERROR(__xludf.DUMMYFUNCTION("""COMPUTED_VALUE"""),"4David's Book Trading")</f>
        <v>4David's Book Trading</v>
      </c>
      <c r="W412" s="4">
        <f>IFERROR(__xludf.DUMMYFUNCTION("""COMPUTED_VALUE"""),4.8)</f>
        <v>4.8</v>
      </c>
      <c r="X412" s="60">
        <f>IFERROR(__xludf.DUMMYFUNCTION("""COMPUTED_VALUE"""),45724.0)</f>
        <v>45724</v>
      </c>
      <c r="AA412" s="4"/>
      <c r="AD412" s="4"/>
      <c r="AG412" s="4"/>
    </row>
    <row r="413">
      <c r="A413" s="179"/>
      <c r="B413" s="180"/>
      <c r="C413" s="2"/>
      <c r="E413" s="181"/>
      <c r="F413" s="181"/>
      <c r="G413" s="2"/>
      <c r="I413" s="190"/>
      <c r="J413" s="190"/>
      <c r="K413" s="2"/>
      <c r="V413" s="59" t="str">
        <f>IFERROR(__xludf.DUMMYFUNCTION("""COMPUTED_VALUE"""),"4David's Book Trading")</f>
        <v>4David's Book Trading</v>
      </c>
      <c r="W413" s="4">
        <f>IFERROR(__xludf.DUMMYFUNCTION("""COMPUTED_VALUE"""),4.8)</f>
        <v>4.8</v>
      </c>
      <c r="X413" s="60">
        <f>IFERROR(__xludf.DUMMYFUNCTION("""COMPUTED_VALUE"""),45724.0)</f>
        <v>45724</v>
      </c>
      <c r="AA413" s="4"/>
      <c r="AD413" s="4"/>
      <c r="AG413" s="4"/>
    </row>
    <row r="414">
      <c r="A414" s="179"/>
      <c r="B414" s="180"/>
      <c r="C414" s="2"/>
      <c r="E414" s="181"/>
      <c r="F414" s="181"/>
      <c r="G414" s="2"/>
      <c r="I414" s="190"/>
      <c r="J414" s="190"/>
      <c r="K414" s="2"/>
      <c r="V414" s="59" t="str">
        <f>IFERROR(__xludf.DUMMYFUNCTION("""COMPUTED_VALUE"""),"4David's Book Trading")</f>
        <v>4David's Book Trading</v>
      </c>
      <c r="W414" s="4">
        <f>IFERROR(__xludf.DUMMYFUNCTION("""COMPUTED_VALUE"""),4.8)</f>
        <v>4.8</v>
      </c>
      <c r="X414" s="60">
        <f>IFERROR(__xludf.DUMMYFUNCTION("""COMPUTED_VALUE"""),45724.0)</f>
        <v>45724</v>
      </c>
      <c r="AA414" s="4"/>
      <c r="AD414" s="4"/>
      <c r="AG414" s="4"/>
    </row>
    <row r="415">
      <c r="A415" s="179"/>
      <c r="B415" s="180"/>
      <c r="C415" s="2"/>
      <c r="E415" s="181"/>
      <c r="F415" s="181"/>
      <c r="G415" s="2"/>
      <c r="I415" s="190"/>
      <c r="J415" s="190"/>
      <c r="K415" s="2"/>
      <c r="V415" s="59" t="str">
        <f>IFERROR(__xludf.DUMMYFUNCTION("""COMPUTED_VALUE"""),"4David's Book Trading")</f>
        <v>4David's Book Trading</v>
      </c>
      <c r="W415" s="4">
        <f>IFERROR(__xludf.DUMMYFUNCTION("""COMPUTED_VALUE"""),4.8)</f>
        <v>4.8</v>
      </c>
      <c r="X415" s="60">
        <f>IFERROR(__xludf.DUMMYFUNCTION("""COMPUTED_VALUE"""),45724.0)</f>
        <v>45724</v>
      </c>
      <c r="AA415" s="4"/>
      <c r="AD415" s="4"/>
      <c r="AG415" s="4"/>
    </row>
    <row r="416">
      <c r="A416" s="179"/>
      <c r="B416" s="180"/>
      <c r="C416" s="2"/>
      <c r="E416" s="181"/>
      <c r="F416" s="181"/>
      <c r="G416" s="2"/>
      <c r="I416" s="190"/>
      <c r="J416" s="190"/>
      <c r="K416" s="2"/>
      <c r="V416" s="59" t="str">
        <f>IFERROR(__xludf.DUMMYFUNCTION("""COMPUTED_VALUE"""),"Leonard Prints Inc.")</f>
        <v>Leonard Prints Inc.</v>
      </c>
      <c r="W416" s="4">
        <f>IFERROR(__xludf.DUMMYFUNCTION("""COMPUTED_VALUE"""),4.116666666666666)</f>
        <v>4.116666667</v>
      </c>
      <c r="X416" s="60">
        <f>IFERROR(__xludf.DUMMYFUNCTION("""COMPUTED_VALUE"""),45775.0)</f>
        <v>45775</v>
      </c>
      <c r="AA416" s="4"/>
      <c r="AD416" s="4"/>
      <c r="AG416" s="4"/>
    </row>
    <row r="417">
      <c r="A417" s="179"/>
      <c r="B417" s="180"/>
      <c r="C417" s="2"/>
      <c r="E417" s="181"/>
      <c r="F417" s="181"/>
      <c r="G417" s="2"/>
      <c r="I417" s="190"/>
      <c r="J417" s="190"/>
      <c r="K417" s="2"/>
      <c r="V417" s="59" t="str">
        <f>IFERROR(__xludf.DUMMYFUNCTION("""COMPUTED_VALUE"""),"Leonard Prints Inc.")</f>
        <v>Leonard Prints Inc.</v>
      </c>
      <c r="W417" s="4">
        <f>IFERROR(__xludf.DUMMYFUNCTION("""COMPUTED_VALUE"""),4.5)</f>
        <v>4.5</v>
      </c>
      <c r="X417" s="60">
        <f>IFERROR(__xludf.DUMMYFUNCTION("""COMPUTED_VALUE"""),45828.0)</f>
        <v>45828</v>
      </c>
      <c r="AA417" s="4"/>
      <c r="AD417" s="4"/>
      <c r="AG417" s="4"/>
    </row>
    <row r="418">
      <c r="A418" s="179"/>
      <c r="B418" s="180"/>
      <c r="C418" s="2"/>
      <c r="E418" s="181"/>
      <c r="F418" s="181"/>
      <c r="G418" s="2"/>
      <c r="I418" s="190"/>
      <c r="J418" s="190"/>
      <c r="K418" s="2"/>
      <c r="V418" s="59" t="str">
        <f>IFERROR(__xludf.DUMMYFUNCTION("""COMPUTED_VALUE"""),"Leonard Prints Inc.")</f>
        <v>Leonard Prints Inc.</v>
      </c>
      <c r="W418" s="4">
        <f>IFERROR(__xludf.DUMMYFUNCTION("""COMPUTED_VALUE"""),4.8)</f>
        <v>4.8</v>
      </c>
      <c r="X418" s="60">
        <f>IFERROR(__xludf.DUMMYFUNCTION("""COMPUTED_VALUE"""),45772.0)</f>
        <v>45772</v>
      </c>
      <c r="AA418" s="4"/>
      <c r="AD418" s="4"/>
      <c r="AG418" s="4"/>
    </row>
    <row r="419">
      <c r="A419" s="179"/>
      <c r="B419" s="180"/>
      <c r="C419" s="2"/>
      <c r="E419" s="181"/>
      <c r="F419" s="181"/>
      <c r="G419" s="2"/>
      <c r="I419" s="190"/>
      <c r="J419" s="190"/>
      <c r="K419" s="2"/>
      <c r="V419" s="59" t="str">
        <f>IFERROR(__xludf.DUMMYFUNCTION("""COMPUTED_VALUE"""),"Leonard Prints Inc.")</f>
        <v>Leonard Prints Inc.</v>
      </c>
      <c r="W419" s="4">
        <f>IFERROR(__xludf.DUMMYFUNCTION("""COMPUTED_VALUE"""),4.8)</f>
        <v>4.8</v>
      </c>
      <c r="X419" s="60">
        <f>IFERROR(__xludf.DUMMYFUNCTION("""COMPUTED_VALUE"""),45604.0)</f>
        <v>45604</v>
      </c>
      <c r="AA419" s="4"/>
      <c r="AD419" s="4"/>
      <c r="AG419" s="4"/>
    </row>
    <row r="420">
      <c r="A420" s="179"/>
      <c r="B420" s="180"/>
      <c r="C420" s="2"/>
      <c r="E420" s="181"/>
      <c r="F420" s="181"/>
      <c r="G420" s="2"/>
      <c r="I420" s="190"/>
      <c r="J420" s="190"/>
      <c r="K420" s="2"/>
      <c r="AA420" s="4"/>
      <c r="AD420" s="4"/>
      <c r="AG420" s="4"/>
    </row>
    <row r="421">
      <c r="A421" s="179"/>
      <c r="B421" s="180"/>
      <c r="C421" s="2"/>
      <c r="E421" s="181"/>
      <c r="F421" s="181"/>
      <c r="G421" s="2"/>
      <c r="I421" s="190"/>
      <c r="J421" s="190"/>
      <c r="K421" s="2"/>
      <c r="AA421" s="4"/>
      <c r="AD421" s="4"/>
      <c r="AG421" s="4"/>
    </row>
    <row r="422">
      <c r="A422" s="179"/>
      <c r="B422" s="180"/>
      <c r="C422" s="2"/>
      <c r="E422" s="181"/>
      <c r="F422" s="181"/>
      <c r="G422" s="2"/>
      <c r="I422" s="190"/>
      <c r="J422" s="190"/>
      <c r="K422" s="2"/>
      <c r="AA422" s="4"/>
      <c r="AD422" s="4"/>
      <c r="AG422" s="4"/>
    </row>
    <row r="423">
      <c r="A423" s="179"/>
      <c r="B423" s="180"/>
      <c r="C423" s="2"/>
      <c r="E423" s="181"/>
      <c r="F423" s="181"/>
      <c r="G423" s="2"/>
      <c r="I423" s="190"/>
      <c r="J423" s="190"/>
      <c r="K423" s="2"/>
      <c r="AA423" s="4"/>
      <c r="AD423" s="4"/>
      <c r="AG423" s="4"/>
    </row>
    <row r="424">
      <c r="A424" s="179"/>
      <c r="B424" s="180"/>
      <c r="C424" s="2"/>
      <c r="E424" s="181"/>
      <c r="F424" s="181"/>
      <c r="G424" s="2"/>
      <c r="I424" s="190"/>
      <c r="J424" s="190"/>
      <c r="K424" s="2"/>
      <c r="AA424" s="4"/>
      <c r="AD424" s="4"/>
      <c r="AG424" s="4"/>
    </row>
    <row r="425">
      <c r="A425" s="179"/>
      <c r="B425" s="180"/>
      <c r="C425" s="2"/>
      <c r="E425" s="181"/>
      <c r="F425" s="181"/>
      <c r="G425" s="2"/>
      <c r="I425" s="190"/>
      <c r="J425" s="190"/>
      <c r="K425" s="2"/>
      <c r="AA425" s="4"/>
      <c r="AD425" s="4"/>
      <c r="AG425" s="4"/>
    </row>
    <row r="426">
      <c r="A426" s="179"/>
      <c r="B426" s="180"/>
      <c r="C426" s="2"/>
      <c r="E426" s="181"/>
      <c r="F426" s="181"/>
      <c r="G426" s="2"/>
      <c r="I426" s="190"/>
      <c r="J426" s="190"/>
      <c r="K426" s="2"/>
      <c r="AA426" s="4"/>
      <c r="AD426" s="4"/>
      <c r="AG426" s="4"/>
    </row>
    <row r="427">
      <c r="A427" s="179"/>
      <c r="B427" s="180"/>
      <c r="C427" s="2"/>
      <c r="E427" s="181"/>
      <c r="F427" s="181"/>
      <c r="G427" s="2"/>
      <c r="I427" s="190"/>
      <c r="J427" s="190"/>
      <c r="K427" s="2"/>
      <c r="AA427" s="4"/>
      <c r="AD427" s="4"/>
      <c r="AG427" s="4"/>
    </row>
    <row r="428">
      <c r="A428" s="179"/>
      <c r="B428" s="180"/>
      <c r="C428" s="2"/>
      <c r="E428" s="181"/>
      <c r="F428" s="181"/>
      <c r="G428" s="2"/>
      <c r="I428" s="190"/>
      <c r="J428" s="190"/>
      <c r="K428" s="2"/>
      <c r="AA428" s="4"/>
      <c r="AD428" s="4"/>
      <c r="AG428" s="4"/>
    </row>
    <row r="429">
      <c r="A429" s="179"/>
      <c r="B429" s="180"/>
      <c r="C429" s="2"/>
      <c r="E429" s="181"/>
      <c r="F429" s="181"/>
      <c r="G429" s="2"/>
      <c r="I429" s="190"/>
      <c r="J429" s="190"/>
      <c r="K429" s="2"/>
      <c r="AA429" s="4"/>
      <c r="AD429" s="4"/>
      <c r="AG429" s="4"/>
    </row>
    <row r="430">
      <c r="A430" s="179"/>
      <c r="B430" s="180"/>
      <c r="C430" s="2"/>
      <c r="E430" s="181"/>
      <c r="F430" s="181"/>
      <c r="G430" s="2"/>
      <c r="I430" s="190"/>
      <c r="J430" s="190"/>
      <c r="K430" s="2"/>
      <c r="AA430" s="4"/>
      <c r="AD430" s="4"/>
      <c r="AG430" s="4"/>
    </row>
    <row r="431">
      <c r="A431" s="179"/>
      <c r="B431" s="180"/>
      <c r="C431" s="2"/>
      <c r="E431" s="181"/>
      <c r="F431" s="181"/>
      <c r="G431" s="2"/>
      <c r="I431" s="190"/>
      <c r="J431" s="190"/>
      <c r="K431" s="2"/>
      <c r="AA431" s="4"/>
      <c r="AD431" s="4"/>
      <c r="AG431" s="4"/>
    </row>
    <row r="432">
      <c r="A432" s="179"/>
      <c r="B432" s="180"/>
      <c r="C432" s="2"/>
      <c r="E432" s="181"/>
      <c r="F432" s="181"/>
      <c r="G432" s="2"/>
      <c r="I432" s="190"/>
      <c r="J432" s="190"/>
      <c r="K432" s="2"/>
      <c r="AA432" s="4"/>
      <c r="AD432" s="4"/>
      <c r="AG432" s="4"/>
    </row>
    <row r="433">
      <c r="A433" s="179"/>
      <c r="B433" s="180"/>
      <c r="C433" s="2"/>
      <c r="E433" s="181"/>
      <c r="F433" s="181"/>
      <c r="G433" s="2"/>
      <c r="I433" s="190"/>
      <c r="J433" s="190"/>
      <c r="K433" s="2"/>
      <c r="AA433" s="4"/>
      <c r="AD433" s="4"/>
      <c r="AG433" s="4"/>
    </row>
    <row r="434">
      <c r="A434" s="179"/>
      <c r="B434" s="180"/>
      <c r="C434" s="2"/>
      <c r="E434" s="181"/>
      <c r="F434" s="181"/>
      <c r="G434" s="2"/>
      <c r="I434" s="190"/>
      <c r="J434" s="190"/>
      <c r="K434" s="2"/>
      <c r="AA434" s="4"/>
      <c r="AD434" s="4"/>
      <c r="AG434" s="4"/>
    </row>
    <row r="435">
      <c r="A435" s="179"/>
      <c r="B435" s="180"/>
      <c r="C435" s="2"/>
      <c r="E435" s="181"/>
      <c r="F435" s="181"/>
      <c r="G435" s="2"/>
      <c r="I435" s="190"/>
      <c r="J435" s="190"/>
      <c r="K435" s="2"/>
      <c r="AA435" s="4"/>
      <c r="AD435" s="4"/>
      <c r="AG435" s="4"/>
    </row>
    <row r="436">
      <c r="A436" s="179"/>
      <c r="B436" s="180"/>
      <c r="C436" s="2"/>
      <c r="E436" s="181"/>
      <c r="F436" s="181"/>
      <c r="G436" s="2"/>
      <c r="I436" s="190"/>
      <c r="J436" s="190"/>
      <c r="K436" s="2"/>
      <c r="AA436" s="4"/>
      <c r="AD436" s="4"/>
      <c r="AG436" s="4"/>
    </row>
    <row r="437">
      <c r="A437" s="179"/>
      <c r="B437" s="180"/>
      <c r="C437" s="2"/>
      <c r="E437" s="181"/>
      <c r="F437" s="181"/>
      <c r="G437" s="2"/>
      <c r="I437" s="190"/>
      <c r="J437" s="190"/>
      <c r="K437" s="2"/>
      <c r="AA437" s="4"/>
      <c r="AD437" s="4"/>
      <c r="AG437" s="4"/>
    </row>
    <row r="438">
      <c r="A438" s="179"/>
      <c r="B438" s="180"/>
      <c r="C438" s="2"/>
      <c r="E438" s="181"/>
      <c r="F438" s="181"/>
      <c r="G438" s="2"/>
      <c r="I438" s="190"/>
      <c r="J438" s="190"/>
      <c r="K438" s="2"/>
      <c r="AA438" s="4"/>
      <c r="AD438" s="4"/>
      <c r="AG438" s="4"/>
    </row>
    <row r="439">
      <c r="A439" s="179"/>
      <c r="B439" s="180"/>
      <c r="C439" s="2"/>
      <c r="E439" s="181"/>
      <c r="F439" s="181"/>
      <c r="G439" s="2"/>
      <c r="I439" s="190"/>
      <c r="J439" s="190"/>
      <c r="K439" s="2"/>
      <c r="AA439" s="4"/>
      <c r="AD439" s="4"/>
      <c r="AG439" s="4"/>
    </row>
    <row r="440">
      <c r="A440" s="179"/>
      <c r="B440" s="180"/>
      <c r="C440" s="2"/>
      <c r="E440" s="181"/>
      <c r="F440" s="181"/>
      <c r="G440" s="2"/>
      <c r="I440" s="190"/>
      <c r="J440" s="190"/>
      <c r="K440" s="2"/>
      <c r="AA440" s="4"/>
      <c r="AD440" s="4"/>
      <c r="AG440" s="4"/>
    </row>
    <row r="441">
      <c r="A441" s="179"/>
      <c r="B441" s="180"/>
      <c r="C441" s="2"/>
      <c r="E441" s="181"/>
      <c r="F441" s="181"/>
      <c r="G441" s="2"/>
      <c r="I441" s="190"/>
      <c r="J441" s="190"/>
      <c r="K441" s="2"/>
      <c r="AA441" s="4"/>
      <c r="AD441" s="4"/>
      <c r="AG441" s="4"/>
    </row>
    <row r="442">
      <c r="A442" s="179"/>
      <c r="B442" s="180"/>
      <c r="C442" s="2"/>
      <c r="E442" s="181"/>
      <c r="F442" s="181"/>
      <c r="G442" s="2"/>
      <c r="I442" s="190"/>
      <c r="J442" s="190"/>
      <c r="K442" s="2"/>
      <c r="AA442" s="4"/>
      <c r="AD442" s="4"/>
      <c r="AG442" s="4"/>
    </row>
    <row r="443">
      <c r="A443" s="179"/>
      <c r="B443" s="180"/>
      <c r="C443" s="2"/>
      <c r="E443" s="181"/>
      <c r="F443" s="181"/>
      <c r="G443" s="2"/>
      <c r="I443" s="190"/>
      <c r="J443" s="190"/>
      <c r="K443" s="2"/>
      <c r="AA443" s="4"/>
      <c r="AD443" s="4"/>
      <c r="AG443" s="4"/>
    </row>
    <row r="444">
      <c r="A444" s="179"/>
      <c r="B444" s="180"/>
      <c r="C444" s="2"/>
      <c r="E444" s="181"/>
      <c r="F444" s="181"/>
      <c r="G444" s="2"/>
      <c r="I444" s="190"/>
      <c r="J444" s="190"/>
      <c r="K444" s="2"/>
      <c r="AA444" s="4"/>
      <c r="AD444" s="4"/>
      <c r="AG444" s="4"/>
    </row>
    <row r="445">
      <c r="A445" s="179"/>
      <c r="B445" s="180"/>
      <c r="C445" s="2"/>
      <c r="E445" s="181"/>
      <c r="F445" s="181"/>
      <c r="G445" s="2"/>
      <c r="I445" s="190"/>
      <c r="J445" s="190"/>
      <c r="K445" s="2"/>
      <c r="AA445" s="4"/>
      <c r="AD445" s="4"/>
      <c r="AG445" s="4"/>
    </row>
    <row r="446">
      <c r="A446" s="179"/>
      <c r="B446" s="180"/>
      <c r="C446" s="2"/>
      <c r="E446" s="181"/>
      <c r="F446" s="181"/>
      <c r="G446" s="2"/>
      <c r="I446" s="190"/>
      <c r="J446" s="190"/>
      <c r="K446" s="2"/>
      <c r="AA446" s="4"/>
      <c r="AD446" s="4"/>
      <c r="AG446" s="4"/>
    </row>
    <row r="447">
      <c r="A447" s="179"/>
      <c r="B447" s="180"/>
      <c r="C447" s="2"/>
      <c r="E447" s="181"/>
      <c r="F447" s="181"/>
      <c r="G447" s="2"/>
      <c r="I447" s="190"/>
      <c r="J447" s="190"/>
      <c r="K447" s="2"/>
      <c r="AA447" s="4"/>
      <c r="AD447" s="4"/>
      <c r="AG447" s="4"/>
    </row>
    <row r="448">
      <c r="A448" s="179"/>
      <c r="B448" s="180"/>
      <c r="C448" s="2"/>
      <c r="E448" s="181"/>
      <c r="F448" s="181"/>
      <c r="G448" s="2"/>
      <c r="I448" s="190"/>
      <c r="J448" s="190"/>
      <c r="K448" s="2"/>
      <c r="AA448" s="4"/>
      <c r="AD448" s="4"/>
      <c r="AG448" s="4"/>
    </row>
    <row r="449">
      <c r="A449" s="179"/>
      <c r="B449" s="180"/>
      <c r="C449" s="2"/>
      <c r="E449" s="181"/>
      <c r="F449" s="181"/>
      <c r="G449" s="2"/>
      <c r="I449" s="190"/>
      <c r="J449" s="190"/>
      <c r="K449" s="2"/>
      <c r="AA449" s="4"/>
      <c r="AD449" s="4"/>
      <c r="AG449" s="4"/>
    </row>
    <row r="450">
      <c r="A450" s="179"/>
      <c r="B450" s="180"/>
      <c r="C450" s="2"/>
      <c r="E450" s="181"/>
      <c r="F450" s="181"/>
      <c r="G450" s="2"/>
      <c r="I450" s="190"/>
      <c r="J450" s="190"/>
      <c r="K450" s="2"/>
      <c r="AA450" s="4"/>
      <c r="AD450" s="4"/>
      <c r="AG450" s="4"/>
    </row>
    <row r="451">
      <c r="A451" s="179"/>
      <c r="B451" s="180"/>
      <c r="C451" s="2"/>
      <c r="E451" s="181"/>
      <c r="F451" s="181"/>
      <c r="G451" s="2"/>
      <c r="I451" s="190"/>
      <c r="J451" s="190"/>
      <c r="K451" s="2"/>
      <c r="AA451" s="4"/>
      <c r="AD451" s="4"/>
      <c r="AG451" s="4"/>
    </row>
    <row r="452">
      <c r="A452" s="179"/>
      <c r="B452" s="180"/>
      <c r="C452" s="2"/>
      <c r="E452" s="181"/>
      <c r="F452" s="181"/>
      <c r="G452" s="2"/>
      <c r="I452" s="190"/>
      <c r="J452" s="190"/>
      <c r="K452" s="2"/>
      <c r="AA452" s="4"/>
      <c r="AD452" s="4"/>
      <c r="AG452" s="4"/>
    </row>
    <row r="453">
      <c r="A453" s="179"/>
      <c r="B453" s="180"/>
      <c r="C453" s="2"/>
      <c r="E453" s="181"/>
      <c r="F453" s="181"/>
      <c r="G453" s="2"/>
      <c r="I453" s="190"/>
      <c r="J453" s="190"/>
      <c r="K453" s="2"/>
      <c r="AA453" s="4"/>
      <c r="AD453" s="4"/>
      <c r="AG453" s="4"/>
    </row>
    <row r="454">
      <c r="A454" s="179"/>
      <c r="B454" s="180"/>
      <c r="C454" s="2"/>
      <c r="E454" s="181"/>
      <c r="F454" s="181"/>
      <c r="G454" s="2"/>
      <c r="I454" s="190"/>
      <c r="J454" s="190"/>
      <c r="K454" s="2"/>
      <c r="AA454" s="4"/>
      <c r="AD454" s="4"/>
      <c r="AG454" s="4"/>
    </row>
    <row r="455">
      <c r="A455" s="179"/>
      <c r="B455" s="180"/>
      <c r="C455" s="2"/>
      <c r="E455" s="181"/>
      <c r="F455" s="181"/>
      <c r="G455" s="2"/>
      <c r="I455" s="190"/>
      <c r="J455" s="190"/>
      <c r="K455" s="2"/>
      <c r="AA455" s="4"/>
      <c r="AD455" s="4"/>
      <c r="AG455" s="4"/>
    </row>
    <row r="456">
      <c r="A456" s="179"/>
      <c r="B456" s="180"/>
      <c r="C456" s="2"/>
      <c r="E456" s="181"/>
      <c r="F456" s="181"/>
      <c r="G456" s="2"/>
      <c r="I456" s="190"/>
      <c r="J456" s="190"/>
      <c r="K456" s="2"/>
      <c r="AA456" s="4"/>
      <c r="AD456" s="4"/>
      <c r="AG456" s="4"/>
    </row>
    <row r="457">
      <c r="A457" s="179"/>
      <c r="B457" s="180"/>
      <c r="C457" s="2"/>
      <c r="E457" s="181"/>
      <c r="F457" s="181"/>
      <c r="G457" s="2"/>
      <c r="I457" s="190"/>
      <c r="J457" s="190"/>
      <c r="K457" s="2"/>
      <c r="AA457" s="4"/>
      <c r="AD457" s="4"/>
      <c r="AG457" s="4"/>
    </row>
    <row r="458">
      <c r="A458" s="179"/>
      <c r="B458" s="180"/>
      <c r="C458" s="2"/>
      <c r="E458" s="181"/>
      <c r="F458" s="181"/>
      <c r="G458" s="2"/>
      <c r="I458" s="190"/>
      <c r="J458" s="190"/>
      <c r="K458" s="2"/>
      <c r="AA458" s="4"/>
      <c r="AD458" s="4"/>
      <c r="AG458" s="4"/>
    </row>
    <row r="459">
      <c r="A459" s="179"/>
      <c r="B459" s="180"/>
      <c r="C459" s="2"/>
      <c r="E459" s="181"/>
      <c r="F459" s="181"/>
      <c r="G459" s="2"/>
      <c r="I459" s="190"/>
      <c r="J459" s="190"/>
      <c r="K459" s="2"/>
      <c r="AA459" s="4"/>
      <c r="AD459" s="4"/>
      <c r="AG459" s="4"/>
    </row>
    <row r="460">
      <c r="A460" s="179"/>
      <c r="B460" s="180"/>
      <c r="C460" s="2"/>
      <c r="E460" s="181"/>
      <c r="F460" s="181"/>
      <c r="G460" s="2"/>
      <c r="I460" s="190"/>
      <c r="J460" s="190"/>
      <c r="K460" s="2"/>
      <c r="AA460" s="4"/>
      <c r="AD460" s="4"/>
      <c r="AG460" s="4"/>
    </row>
    <row r="461">
      <c r="A461" s="179"/>
      <c r="B461" s="180"/>
      <c r="C461" s="2"/>
      <c r="E461" s="181"/>
      <c r="F461" s="181"/>
      <c r="G461" s="2"/>
      <c r="I461" s="190"/>
      <c r="J461" s="190"/>
      <c r="K461" s="2"/>
      <c r="AA461" s="4"/>
      <c r="AD461" s="4"/>
      <c r="AG461" s="4"/>
    </row>
    <row r="462">
      <c r="A462" s="179"/>
      <c r="B462" s="180"/>
      <c r="C462" s="2"/>
      <c r="E462" s="181"/>
      <c r="F462" s="181"/>
      <c r="G462" s="2"/>
      <c r="I462" s="190"/>
      <c r="J462" s="190"/>
      <c r="K462" s="2"/>
      <c r="AA462" s="4"/>
      <c r="AD462" s="4"/>
      <c r="AG462" s="4"/>
    </row>
    <row r="463">
      <c r="A463" s="179"/>
      <c r="B463" s="180"/>
      <c r="C463" s="2"/>
      <c r="E463" s="181"/>
      <c r="F463" s="181"/>
      <c r="G463" s="2"/>
      <c r="I463" s="190"/>
      <c r="J463" s="190"/>
      <c r="K463" s="2"/>
      <c r="AA463" s="4"/>
      <c r="AD463" s="4"/>
      <c r="AG463" s="4"/>
    </row>
    <row r="464">
      <c r="A464" s="179"/>
      <c r="B464" s="180"/>
      <c r="C464" s="2"/>
      <c r="E464" s="181"/>
      <c r="F464" s="181"/>
      <c r="G464" s="2"/>
      <c r="I464" s="190"/>
      <c r="J464" s="190"/>
      <c r="K464" s="2"/>
      <c r="AA464" s="4"/>
      <c r="AD464" s="4"/>
      <c r="AG464" s="4"/>
    </row>
    <row r="465">
      <c r="A465" s="179"/>
      <c r="B465" s="180"/>
      <c r="C465" s="2"/>
      <c r="E465" s="181"/>
      <c r="F465" s="181"/>
      <c r="G465" s="2"/>
      <c r="I465" s="190"/>
      <c r="J465" s="190"/>
      <c r="K465" s="2"/>
      <c r="AA465" s="4"/>
      <c r="AD465" s="4"/>
      <c r="AG465" s="4"/>
    </row>
    <row r="466">
      <c r="A466" s="179"/>
      <c r="B466" s="180"/>
      <c r="C466" s="2"/>
      <c r="E466" s="181"/>
      <c r="F466" s="181"/>
      <c r="G466" s="2"/>
      <c r="I466" s="190"/>
      <c r="J466" s="190"/>
      <c r="K466" s="2"/>
      <c r="AA466" s="4"/>
      <c r="AD466" s="4"/>
      <c r="AG466" s="4"/>
    </row>
    <row r="467">
      <c r="A467" s="179"/>
      <c r="B467" s="180"/>
      <c r="C467" s="2"/>
      <c r="E467" s="181"/>
      <c r="F467" s="181"/>
      <c r="G467" s="2"/>
      <c r="I467" s="190"/>
      <c r="J467" s="190"/>
      <c r="K467" s="2"/>
      <c r="AA467" s="4"/>
      <c r="AD467" s="4"/>
      <c r="AG467" s="4"/>
    </row>
    <row r="468">
      <c r="A468" s="179"/>
      <c r="B468" s="180"/>
      <c r="C468" s="2"/>
      <c r="E468" s="181"/>
      <c r="F468" s="181"/>
      <c r="G468" s="2"/>
      <c r="I468" s="190"/>
      <c r="J468" s="190"/>
      <c r="K468" s="2"/>
      <c r="AA468" s="4"/>
      <c r="AD468" s="4"/>
      <c r="AG468" s="4"/>
    </row>
    <row r="469">
      <c r="A469" s="179"/>
      <c r="B469" s="180"/>
      <c r="C469" s="2"/>
      <c r="E469" s="181"/>
      <c r="F469" s="181"/>
      <c r="G469" s="2"/>
      <c r="I469" s="190"/>
      <c r="J469" s="190"/>
      <c r="K469" s="2"/>
      <c r="AA469" s="4"/>
      <c r="AD469" s="4"/>
      <c r="AG469" s="4"/>
    </row>
    <row r="470">
      <c r="A470" s="179"/>
      <c r="B470" s="180"/>
      <c r="C470" s="2"/>
      <c r="E470" s="181"/>
      <c r="F470" s="181"/>
      <c r="G470" s="2"/>
      <c r="I470" s="190"/>
      <c r="J470" s="190"/>
      <c r="K470" s="2"/>
      <c r="AA470" s="4"/>
      <c r="AD470" s="4"/>
      <c r="AG470" s="4"/>
    </row>
    <row r="471">
      <c r="A471" s="179"/>
      <c r="B471" s="180"/>
      <c r="C471" s="2"/>
      <c r="E471" s="181"/>
      <c r="F471" s="181"/>
      <c r="G471" s="2"/>
      <c r="I471" s="190"/>
      <c r="J471" s="190"/>
      <c r="K471" s="2"/>
      <c r="AA471" s="4"/>
      <c r="AD471" s="4"/>
      <c r="AG471" s="4"/>
    </row>
    <row r="472">
      <c r="A472" s="179"/>
      <c r="B472" s="180"/>
      <c r="C472" s="2"/>
      <c r="E472" s="181"/>
      <c r="F472" s="181"/>
      <c r="G472" s="2"/>
      <c r="I472" s="190"/>
      <c r="J472" s="190"/>
      <c r="K472" s="2"/>
      <c r="AA472" s="4"/>
      <c r="AD472" s="4"/>
      <c r="AG472" s="4"/>
    </row>
    <row r="473">
      <c r="A473" s="179"/>
      <c r="B473" s="180"/>
      <c r="C473" s="2"/>
      <c r="E473" s="181"/>
      <c r="F473" s="181"/>
      <c r="G473" s="2"/>
      <c r="I473" s="190"/>
      <c r="J473" s="190"/>
      <c r="K473" s="2"/>
      <c r="AA473" s="4"/>
      <c r="AD473" s="4"/>
      <c r="AG473" s="4"/>
    </row>
    <row r="474">
      <c r="A474" s="179"/>
      <c r="B474" s="180"/>
      <c r="C474" s="2"/>
      <c r="E474" s="181"/>
      <c r="F474" s="181"/>
      <c r="G474" s="2"/>
      <c r="I474" s="190"/>
      <c r="J474" s="190"/>
      <c r="K474" s="2"/>
      <c r="AA474" s="4"/>
      <c r="AD474" s="4"/>
      <c r="AG474" s="4"/>
    </row>
    <row r="475">
      <c r="A475" s="179"/>
      <c r="B475" s="180"/>
      <c r="C475" s="2"/>
      <c r="E475" s="181"/>
      <c r="F475" s="181"/>
      <c r="G475" s="2"/>
      <c r="I475" s="190"/>
      <c r="J475" s="190"/>
      <c r="K475" s="2"/>
      <c r="AA475" s="4"/>
      <c r="AD475" s="4"/>
      <c r="AG475" s="4"/>
    </row>
    <row r="476">
      <c r="A476" s="179"/>
      <c r="B476" s="180"/>
      <c r="C476" s="2"/>
      <c r="E476" s="181"/>
      <c r="F476" s="181"/>
      <c r="G476" s="2"/>
      <c r="I476" s="190"/>
      <c r="J476" s="190"/>
      <c r="K476" s="2"/>
      <c r="AA476" s="4"/>
      <c r="AD476" s="4"/>
      <c r="AG476" s="4"/>
    </row>
    <row r="477">
      <c r="A477" s="179"/>
      <c r="B477" s="180"/>
      <c r="C477" s="2"/>
      <c r="E477" s="181"/>
      <c r="F477" s="181"/>
      <c r="G477" s="2"/>
      <c r="I477" s="190"/>
      <c r="J477" s="190"/>
      <c r="K477" s="2"/>
      <c r="AA477" s="4"/>
      <c r="AD477" s="4"/>
      <c r="AG477" s="4"/>
    </row>
    <row r="478">
      <c r="A478" s="179"/>
      <c r="B478" s="180"/>
      <c r="C478" s="2"/>
      <c r="E478" s="181"/>
      <c r="F478" s="181"/>
      <c r="G478" s="2"/>
      <c r="I478" s="190"/>
      <c r="J478" s="190"/>
      <c r="K478" s="2"/>
      <c r="AA478" s="4"/>
      <c r="AD478" s="4"/>
      <c r="AG478" s="4"/>
    </row>
    <row r="479">
      <c r="A479" s="179"/>
      <c r="B479" s="180"/>
      <c r="C479" s="2"/>
      <c r="E479" s="181"/>
      <c r="F479" s="181"/>
      <c r="G479" s="2"/>
      <c r="I479" s="190"/>
      <c r="J479" s="190"/>
      <c r="K479" s="2"/>
      <c r="AA479" s="4"/>
      <c r="AD479" s="4"/>
      <c r="AG479" s="4"/>
    </row>
    <row r="480">
      <c r="A480" s="179"/>
      <c r="B480" s="180"/>
      <c r="C480" s="2"/>
      <c r="E480" s="181"/>
      <c r="F480" s="181"/>
      <c r="G480" s="2"/>
      <c r="I480" s="190"/>
      <c r="J480" s="190"/>
      <c r="K480" s="2"/>
      <c r="AA480" s="4"/>
      <c r="AD480" s="4"/>
      <c r="AG480" s="4"/>
    </row>
    <row r="481">
      <c r="A481" s="179"/>
      <c r="B481" s="180"/>
      <c r="C481" s="2"/>
      <c r="E481" s="181"/>
      <c r="F481" s="181"/>
      <c r="G481" s="2"/>
      <c r="I481" s="190"/>
      <c r="J481" s="190"/>
      <c r="K481" s="2"/>
      <c r="AA481" s="4"/>
      <c r="AD481" s="4"/>
      <c r="AG481" s="4"/>
    </row>
    <row r="482">
      <c r="A482" s="179"/>
      <c r="B482" s="180"/>
      <c r="C482" s="2"/>
      <c r="E482" s="181"/>
      <c r="F482" s="181"/>
      <c r="G482" s="2"/>
      <c r="I482" s="190"/>
      <c r="J482" s="190"/>
      <c r="K482" s="2"/>
      <c r="AA482" s="4"/>
      <c r="AD482" s="4"/>
      <c r="AG482" s="4"/>
    </row>
    <row r="483">
      <c r="A483" s="179"/>
      <c r="B483" s="180"/>
      <c r="C483" s="2"/>
      <c r="E483" s="181"/>
      <c r="F483" s="181"/>
      <c r="G483" s="2"/>
      <c r="I483" s="190"/>
      <c r="J483" s="190"/>
      <c r="K483" s="2"/>
      <c r="AA483" s="4"/>
      <c r="AD483" s="4"/>
      <c r="AG483" s="4"/>
    </row>
    <row r="484">
      <c r="A484" s="179"/>
      <c r="B484" s="180"/>
      <c r="C484" s="2"/>
      <c r="E484" s="181"/>
      <c r="F484" s="181"/>
      <c r="G484" s="2"/>
      <c r="I484" s="190"/>
      <c r="J484" s="190"/>
      <c r="K484" s="2"/>
      <c r="AA484" s="4"/>
      <c r="AD484" s="4"/>
      <c r="AG484" s="4"/>
    </row>
    <row r="485">
      <c r="A485" s="179"/>
      <c r="B485" s="180"/>
      <c r="C485" s="2"/>
      <c r="E485" s="181"/>
      <c r="F485" s="181"/>
      <c r="G485" s="2"/>
      <c r="I485" s="190"/>
      <c r="J485" s="190"/>
      <c r="K485" s="2"/>
      <c r="AA485" s="4"/>
      <c r="AD485" s="4"/>
      <c r="AG485" s="4"/>
    </row>
    <row r="486">
      <c r="A486" s="179"/>
      <c r="B486" s="180"/>
      <c r="C486" s="2"/>
      <c r="E486" s="181"/>
      <c r="F486" s="181"/>
      <c r="G486" s="2"/>
      <c r="I486" s="190"/>
      <c r="J486" s="190"/>
      <c r="K486" s="2"/>
      <c r="AA486" s="4"/>
      <c r="AD486" s="4"/>
      <c r="AG486" s="4"/>
    </row>
    <row r="487">
      <c r="A487" s="179"/>
      <c r="B487" s="180"/>
      <c r="C487" s="2"/>
      <c r="E487" s="181"/>
      <c r="F487" s="181"/>
      <c r="G487" s="2"/>
      <c r="I487" s="190"/>
      <c r="J487" s="190"/>
      <c r="K487" s="2"/>
      <c r="AA487" s="4"/>
      <c r="AD487" s="4"/>
      <c r="AG487" s="4"/>
    </row>
    <row r="488">
      <c r="A488" s="179"/>
      <c r="B488" s="180"/>
      <c r="C488" s="2"/>
      <c r="E488" s="181"/>
      <c r="F488" s="181"/>
      <c r="G488" s="2"/>
      <c r="I488" s="190"/>
      <c r="J488" s="190"/>
      <c r="K488" s="2"/>
      <c r="AA488" s="4"/>
      <c r="AD488" s="4"/>
      <c r="AG488" s="4"/>
    </row>
    <row r="489">
      <c r="A489" s="179"/>
      <c r="B489" s="180"/>
      <c r="C489" s="2"/>
      <c r="E489" s="181"/>
      <c r="F489" s="181"/>
      <c r="G489" s="2"/>
      <c r="I489" s="190"/>
      <c r="J489" s="190"/>
      <c r="K489" s="2"/>
      <c r="AA489" s="4"/>
      <c r="AD489" s="4"/>
      <c r="AG489" s="4"/>
    </row>
    <row r="490">
      <c r="A490" s="179"/>
      <c r="B490" s="180"/>
      <c r="C490" s="2"/>
      <c r="E490" s="181"/>
      <c r="F490" s="181"/>
      <c r="G490" s="2"/>
      <c r="I490" s="190"/>
      <c r="J490" s="190"/>
      <c r="K490" s="2"/>
      <c r="AA490" s="4"/>
      <c r="AD490" s="4"/>
      <c r="AG490" s="4"/>
    </row>
    <row r="491">
      <c r="A491" s="179"/>
      <c r="B491" s="180"/>
      <c r="C491" s="2"/>
      <c r="E491" s="181"/>
      <c r="F491" s="181"/>
      <c r="G491" s="2"/>
      <c r="I491" s="190"/>
      <c r="J491" s="190"/>
      <c r="K491" s="2"/>
      <c r="AA491" s="4"/>
      <c r="AD491" s="4"/>
      <c r="AG491" s="4"/>
    </row>
    <row r="492">
      <c r="A492" s="179"/>
      <c r="B492" s="180"/>
      <c r="C492" s="2"/>
      <c r="E492" s="181"/>
      <c r="F492" s="181"/>
      <c r="G492" s="2"/>
      <c r="I492" s="190"/>
      <c r="J492" s="190"/>
      <c r="K492" s="2"/>
      <c r="AA492" s="4"/>
      <c r="AD492" s="4"/>
      <c r="AG492" s="4"/>
    </row>
    <row r="493">
      <c r="A493" s="179"/>
      <c r="B493" s="180"/>
      <c r="C493" s="2"/>
      <c r="E493" s="181"/>
      <c r="F493" s="181"/>
      <c r="G493" s="2"/>
      <c r="I493" s="190"/>
      <c r="J493" s="190"/>
      <c r="K493" s="2"/>
      <c r="AA493" s="4"/>
      <c r="AD493" s="4"/>
      <c r="AG493" s="4"/>
    </row>
    <row r="494">
      <c r="A494" s="179"/>
      <c r="B494" s="180"/>
      <c r="C494" s="2"/>
      <c r="E494" s="181"/>
      <c r="F494" s="181"/>
      <c r="G494" s="2"/>
      <c r="I494" s="190"/>
      <c r="J494" s="190"/>
      <c r="K494" s="2"/>
      <c r="AA494" s="4"/>
      <c r="AD494" s="4"/>
      <c r="AG494" s="4"/>
    </row>
    <row r="495">
      <c r="A495" s="179"/>
      <c r="B495" s="180"/>
      <c r="C495" s="2"/>
      <c r="E495" s="181"/>
      <c r="F495" s="181"/>
      <c r="G495" s="2"/>
      <c r="I495" s="190"/>
      <c r="J495" s="190"/>
      <c r="K495" s="2"/>
      <c r="AA495" s="4"/>
      <c r="AD495" s="4"/>
      <c r="AG495" s="4"/>
    </row>
    <row r="496">
      <c r="A496" s="179"/>
      <c r="B496" s="180"/>
      <c r="C496" s="2"/>
      <c r="E496" s="181"/>
      <c r="F496" s="181"/>
      <c r="G496" s="2"/>
      <c r="I496" s="190"/>
      <c r="J496" s="190"/>
      <c r="K496" s="2"/>
      <c r="AA496" s="4"/>
      <c r="AD496" s="4"/>
      <c r="AG496" s="4"/>
    </row>
    <row r="497">
      <c r="A497" s="179"/>
      <c r="B497" s="180"/>
      <c r="C497" s="2"/>
      <c r="E497" s="181"/>
      <c r="F497" s="181"/>
      <c r="G497" s="2"/>
      <c r="I497" s="190"/>
      <c r="J497" s="190"/>
      <c r="K497" s="2"/>
      <c r="AA497" s="4"/>
      <c r="AD497" s="4"/>
      <c r="AG497" s="4"/>
    </row>
    <row r="498">
      <c r="A498" s="179"/>
      <c r="B498" s="180"/>
      <c r="C498" s="2"/>
      <c r="E498" s="181"/>
      <c r="F498" s="181"/>
      <c r="G498" s="2"/>
      <c r="I498" s="190"/>
      <c r="J498" s="190"/>
      <c r="K498" s="2"/>
      <c r="AA498" s="4"/>
      <c r="AD498" s="4"/>
      <c r="AG498" s="4"/>
    </row>
    <row r="499">
      <c r="A499" s="179"/>
      <c r="B499" s="180"/>
      <c r="C499" s="2"/>
      <c r="E499" s="181"/>
      <c r="F499" s="181"/>
      <c r="G499" s="2"/>
      <c r="I499" s="190"/>
      <c r="J499" s="190"/>
      <c r="K499" s="2"/>
      <c r="AA499" s="4"/>
      <c r="AD499" s="4"/>
      <c r="AG499" s="4"/>
    </row>
    <row r="500">
      <c r="A500" s="179"/>
      <c r="B500" s="180"/>
      <c r="C500" s="2"/>
      <c r="E500" s="181"/>
      <c r="F500" s="181"/>
      <c r="G500" s="2"/>
      <c r="I500" s="190"/>
      <c r="J500" s="190"/>
      <c r="K500" s="2"/>
      <c r="AA500" s="4"/>
      <c r="AD500" s="4"/>
      <c r="AG500" s="4"/>
    </row>
    <row r="501">
      <c r="A501" s="179"/>
      <c r="B501" s="180"/>
      <c r="C501" s="2"/>
      <c r="E501" s="181"/>
      <c r="F501" s="181"/>
      <c r="G501" s="2"/>
      <c r="I501" s="190"/>
      <c r="J501" s="190"/>
      <c r="K501" s="2"/>
      <c r="AA501" s="4"/>
      <c r="AD501" s="4"/>
      <c r="AG501" s="4"/>
    </row>
    <row r="502">
      <c r="A502" s="179"/>
      <c r="B502" s="180"/>
      <c r="C502" s="2"/>
      <c r="E502" s="181"/>
      <c r="F502" s="181"/>
      <c r="G502" s="2"/>
      <c r="I502" s="190"/>
      <c r="J502" s="190"/>
      <c r="K502" s="2"/>
      <c r="AA502" s="4"/>
      <c r="AD502" s="4"/>
      <c r="AG502" s="4"/>
    </row>
    <row r="503">
      <c r="A503" s="179"/>
      <c r="B503" s="180"/>
      <c r="C503" s="2"/>
      <c r="E503" s="181"/>
      <c r="F503" s="181"/>
      <c r="G503" s="2"/>
      <c r="I503" s="190"/>
      <c r="J503" s="190"/>
      <c r="K503" s="2"/>
      <c r="AA503" s="4"/>
      <c r="AD503" s="4"/>
      <c r="AG503" s="4"/>
    </row>
    <row r="504">
      <c r="A504" s="179"/>
      <c r="B504" s="180"/>
      <c r="C504" s="2"/>
      <c r="E504" s="181"/>
      <c r="F504" s="181"/>
      <c r="G504" s="2"/>
      <c r="I504" s="190"/>
      <c r="J504" s="190"/>
      <c r="K504" s="2"/>
      <c r="AA504" s="4"/>
      <c r="AD504" s="4"/>
      <c r="AG504" s="4"/>
    </row>
    <row r="505">
      <c r="A505" s="179"/>
      <c r="B505" s="180"/>
      <c r="C505" s="2"/>
      <c r="E505" s="181"/>
      <c r="F505" s="181"/>
      <c r="G505" s="2"/>
      <c r="I505" s="190"/>
      <c r="J505" s="190"/>
      <c r="K505" s="2"/>
      <c r="AA505" s="4"/>
      <c r="AD505" s="4"/>
      <c r="AG505" s="4"/>
    </row>
    <row r="506">
      <c r="A506" s="179"/>
      <c r="B506" s="180"/>
      <c r="C506" s="2"/>
      <c r="E506" s="181"/>
      <c r="F506" s="181"/>
      <c r="G506" s="2"/>
      <c r="I506" s="190"/>
      <c r="J506" s="190"/>
      <c r="K506" s="2"/>
      <c r="AA506" s="4"/>
      <c r="AD506" s="4"/>
      <c r="AG506" s="4"/>
    </row>
    <row r="507">
      <c r="A507" s="179"/>
      <c r="B507" s="180"/>
      <c r="C507" s="2"/>
      <c r="E507" s="181"/>
      <c r="F507" s="181"/>
      <c r="G507" s="2"/>
      <c r="I507" s="190"/>
      <c r="J507" s="190"/>
      <c r="K507" s="2"/>
      <c r="AA507" s="4"/>
      <c r="AD507" s="4"/>
      <c r="AG507" s="4"/>
    </row>
    <row r="508">
      <c r="A508" s="179"/>
      <c r="B508" s="180"/>
      <c r="C508" s="2"/>
      <c r="E508" s="181"/>
      <c r="F508" s="181"/>
      <c r="G508" s="2"/>
      <c r="I508" s="190"/>
      <c r="J508" s="190"/>
      <c r="K508" s="2"/>
      <c r="AA508" s="4"/>
      <c r="AD508" s="4"/>
      <c r="AG508" s="4"/>
    </row>
    <row r="509">
      <c r="A509" s="179"/>
      <c r="B509" s="180"/>
      <c r="C509" s="2"/>
      <c r="E509" s="181"/>
      <c r="F509" s="181"/>
      <c r="G509" s="2"/>
      <c r="I509" s="190"/>
      <c r="J509" s="190"/>
      <c r="K509" s="2"/>
      <c r="AA509" s="4"/>
      <c r="AD509" s="4"/>
      <c r="AG509" s="4"/>
    </row>
    <row r="510">
      <c r="A510" s="179"/>
      <c r="B510" s="180"/>
      <c r="C510" s="2"/>
      <c r="E510" s="181"/>
      <c r="F510" s="181"/>
      <c r="G510" s="2"/>
      <c r="I510" s="190"/>
      <c r="J510" s="190"/>
      <c r="K510" s="2"/>
      <c r="AA510" s="4"/>
      <c r="AD510" s="4"/>
      <c r="AG510" s="4"/>
    </row>
    <row r="511">
      <c r="A511" s="179"/>
      <c r="B511" s="180"/>
      <c r="C511" s="2"/>
      <c r="E511" s="181"/>
      <c r="F511" s="181"/>
      <c r="G511" s="2"/>
      <c r="I511" s="190"/>
      <c r="J511" s="190"/>
      <c r="K511" s="2"/>
      <c r="AA511" s="4"/>
      <c r="AD511" s="4"/>
      <c r="AG511" s="4"/>
    </row>
    <row r="512">
      <c r="A512" s="179"/>
      <c r="B512" s="180"/>
      <c r="C512" s="2"/>
      <c r="E512" s="181"/>
      <c r="F512" s="181"/>
      <c r="G512" s="2"/>
      <c r="I512" s="190"/>
      <c r="J512" s="190"/>
      <c r="K512" s="2"/>
      <c r="AA512" s="4"/>
      <c r="AD512" s="4"/>
      <c r="AG512" s="4"/>
    </row>
    <row r="513">
      <c r="A513" s="179"/>
      <c r="B513" s="180"/>
      <c r="C513" s="2"/>
      <c r="E513" s="181"/>
      <c r="F513" s="181"/>
      <c r="G513" s="2"/>
      <c r="I513" s="190"/>
      <c r="J513" s="190"/>
      <c r="K513" s="2"/>
      <c r="AA513" s="4"/>
      <c r="AD513" s="4"/>
      <c r="AG513" s="4"/>
    </row>
    <row r="514">
      <c r="A514" s="179"/>
      <c r="B514" s="180"/>
      <c r="C514" s="2"/>
      <c r="E514" s="181"/>
      <c r="F514" s="181"/>
      <c r="G514" s="2"/>
      <c r="I514" s="190"/>
      <c r="J514" s="190"/>
      <c r="K514" s="2"/>
      <c r="AA514" s="4"/>
      <c r="AD514" s="4"/>
      <c r="AG514" s="4"/>
    </row>
    <row r="515">
      <c r="A515" s="179"/>
      <c r="B515" s="180"/>
      <c r="C515" s="2"/>
      <c r="E515" s="181"/>
      <c r="F515" s="181"/>
      <c r="G515" s="2"/>
      <c r="I515" s="190"/>
      <c r="J515" s="190"/>
      <c r="K515" s="2"/>
      <c r="AA515" s="4"/>
      <c r="AD515" s="4"/>
      <c r="AG515" s="4"/>
    </row>
    <row r="516">
      <c r="A516" s="179"/>
      <c r="B516" s="180"/>
      <c r="C516" s="2"/>
      <c r="E516" s="181"/>
      <c r="F516" s="181"/>
      <c r="G516" s="2"/>
      <c r="I516" s="190"/>
      <c r="J516" s="190"/>
      <c r="K516" s="2"/>
      <c r="AA516" s="4"/>
      <c r="AD516" s="4"/>
      <c r="AG516" s="4"/>
    </row>
    <row r="517">
      <c r="A517" s="179"/>
      <c r="B517" s="180"/>
      <c r="C517" s="2"/>
      <c r="E517" s="181"/>
      <c r="F517" s="181"/>
      <c r="G517" s="2"/>
      <c r="I517" s="190"/>
      <c r="J517" s="190"/>
      <c r="K517" s="2"/>
      <c r="AA517" s="4"/>
      <c r="AD517" s="4"/>
      <c r="AG517" s="4"/>
    </row>
    <row r="518">
      <c r="A518" s="179"/>
      <c r="B518" s="180"/>
      <c r="C518" s="2"/>
      <c r="E518" s="181"/>
      <c r="F518" s="181"/>
      <c r="G518" s="2"/>
      <c r="I518" s="190"/>
      <c r="J518" s="190"/>
      <c r="K518" s="2"/>
      <c r="AA518" s="4"/>
      <c r="AD518" s="4"/>
      <c r="AG518" s="4"/>
    </row>
    <row r="519">
      <c r="A519" s="179"/>
      <c r="B519" s="180"/>
      <c r="C519" s="2"/>
      <c r="E519" s="181"/>
      <c r="F519" s="181"/>
      <c r="G519" s="2"/>
      <c r="I519" s="190"/>
      <c r="J519" s="190"/>
      <c r="K519" s="2"/>
      <c r="AA519" s="4"/>
      <c r="AD519" s="4"/>
      <c r="AG519" s="4"/>
    </row>
    <row r="520">
      <c r="A520" s="179"/>
      <c r="B520" s="180"/>
      <c r="C520" s="2"/>
      <c r="E520" s="181"/>
      <c r="F520" s="181"/>
      <c r="G520" s="2"/>
      <c r="I520" s="190"/>
      <c r="J520" s="190"/>
      <c r="K520" s="2"/>
      <c r="AA520" s="4"/>
      <c r="AD520" s="4"/>
      <c r="AG520" s="4"/>
    </row>
    <row r="521">
      <c r="A521" s="179"/>
      <c r="B521" s="180"/>
      <c r="C521" s="2"/>
      <c r="E521" s="181"/>
      <c r="F521" s="181"/>
      <c r="G521" s="2"/>
      <c r="I521" s="190"/>
      <c r="J521" s="190"/>
      <c r="K521" s="2"/>
      <c r="AA521" s="4"/>
      <c r="AD521" s="4"/>
      <c r="AG521" s="4"/>
    </row>
    <row r="522">
      <c r="A522" s="179"/>
      <c r="B522" s="180"/>
      <c r="C522" s="2"/>
      <c r="E522" s="181"/>
      <c r="F522" s="181"/>
      <c r="G522" s="2"/>
      <c r="I522" s="190"/>
      <c r="J522" s="190"/>
      <c r="K522" s="2"/>
      <c r="AA522" s="4"/>
      <c r="AD522" s="4"/>
      <c r="AG522" s="4"/>
    </row>
    <row r="523">
      <c r="A523" s="179"/>
      <c r="B523" s="180"/>
      <c r="C523" s="2"/>
      <c r="E523" s="181"/>
      <c r="F523" s="181"/>
      <c r="G523" s="2"/>
      <c r="I523" s="190"/>
      <c r="J523" s="190"/>
      <c r="K523" s="2"/>
      <c r="AA523" s="4"/>
      <c r="AD523" s="4"/>
      <c r="AG523" s="4"/>
    </row>
    <row r="524">
      <c r="A524" s="179"/>
      <c r="B524" s="180"/>
      <c r="C524" s="2"/>
      <c r="E524" s="181"/>
      <c r="F524" s="181"/>
      <c r="G524" s="2"/>
      <c r="I524" s="190"/>
      <c r="J524" s="190"/>
      <c r="K524" s="2"/>
      <c r="AA524" s="4"/>
      <c r="AD524" s="4"/>
      <c r="AG524" s="4"/>
    </row>
    <row r="525">
      <c r="A525" s="179"/>
      <c r="B525" s="180"/>
      <c r="C525" s="2"/>
      <c r="E525" s="181"/>
      <c r="F525" s="181"/>
      <c r="G525" s="2"/>
      <c r="I525" s="190"/>
      <c r="J525" s="190"/>
      <c r="K525" s="2"/>
      <c r="AA525" s="4"/>
      <c r="AD525" s="4"/>
      <c r="AG525" s="4"/>
    </row>
    <row r="526">
      <c r="A526" s="179"/>
      <c r="B526" s="180"/>
      <c r="C526" s="2"/>
      <c r="E526" s="181"/>
      <c r="F526" s="181"/>
      <c r="G526" s="2"/>
      <c r="I526" s="190"/>
      <c r="J526" s="190"/>
      <c r="K526" s="2"/>
      <c r="AA526" s="4"/>
      <c r="AD526" s="4"/>
      <c r="AG526" s="4"/>
    </row>
    <row r="527">
      <c r="A527" s="179"/>
      <c r="B527" s="180"/>
      <c r="C527" s="2"/>
      <c r="E527" s="181"/>
      <c r="F527" s="181"/>
      <c r="G527" s="2"/>
      <c r="I527" s="190"/>
      <c r="J527" s="190"/>
      <c r="K527" s="2"/>
      <c r="AA527" s="4"/>
      <c r="AD527" s="4"/>
      <c r="AG527" s="4"/>
    </row>
    <row r="528">
      <c r="A528" s="179"/>
      <c r="B528" s="180"/>
      <c r="C528" s="2"/>
      <c r="E528" s="181"/>
      <c r="F528" s="181"/>
      <c r="G528" s="2"/>
      <c r="I528" s="190"/>
      <c r="J528" s="190"/>
      <c r="K528" s="2"/>
      <c r="AA528" s="4"/>
      <c r="AD528" s="4"/>
      <c r="AG528" s="4"/>
    </row>
    <row r="529">
      <c r="A529" s="179"/>
      <c r="B529" s="180"/>
      <c r="C529" s="2"/>
      <c r="E529" s="181"/>
      <c r="F529" s="181"/>
      <c r="G529" s="2"/>
      <c r="I529" s="190"/>
      <c r="J529" s="190"/>
      <c r="K529" s="2"/>
      <c r="AA529" s="4"/>
      <c r="AD529" s="4"/>
      <c r="AG529" s="4"/>
    </row>
    <row r="530">
      <c r="A530" s="179"/>
      <c r="B530" s="180"/>
      <c r="C530" s="2"/>
      <c r="E530" s="181"/>
      <c r="F530" s="181"/>
      <c r="G530" s="2"/>
      <c r="I530" s="190"/>
      <c r="J530" s="190"/>
      <c r="K530" s="2"/>
      <c r="AA530" s="4"/>
      <c r="AD530" s="4"/>
      <c r="AG530" s="4"/>
    </row>
    <row r="531">
      <c r="A531" s="179"/>
      <c r="B531" s="180"/>
      <c r="C531" s="2"/>
      <c r="E531" s="181"/>
      <c r="F531" s="181"/>
      <c r="G531" s="2"/>
      <c r="I531" s="190"/>
      <c r="J531" s="190"/>
      <c r="K531" s="2"/>
      <c r="AA531" s="4"/>
      <c r="AD531" s="4"/>
      <c r="AG531" s="4"/>
    </row>
    <row r="532">
      <c r="A532" s="179"/>
      <c r="B532" s="180"/>
      <c r="C532" s="2"/>
      <c r="E532" s="181"/>
      <c r="F532" s="181"/>
      <c r="G532" s="2"/>
      <c r="I532" s="190"/>
      <c r="J532" s="190"/>
      <c r="K532" s="2"/>
      <c r="AA532" s="4"/>
      <c r="AD532" s="4"/>
      <c r="AG532" s="4"/>
    </row>
    <row r="533">
      <c r="A533" s="179"/>
      <c r="B533" s="180"/>
      <c r="C533" s="2"/>
      <c r="E533" s="181"/>
      <c r="F533" s="181"/>
      <c r="G533" s="2"/>
      <c r="I533" s="190"/>
      <c r="J533" s="190"/>
      <c r="K533" s="2"/>
      <c r="AA533" s="4"/>
      <c r="AD533" s="4"/>
      <c r="AG533" s="4"/>
    </row>
    <row r="534">
      <c r="A534" s="179"/>
      <c r="B534" s="180"/>
      <c r="C534" s="2"/>
      <c r="E534" s="181"/>
      <c r="F534" s="181"/>
      <c r="G534" s="2"/>
      <c r="I534" s="190"/>
      <c r="J534" s="190"/>
      <c r="K534" s="2"/>
      <c r="AA534" s="4"/>
      <c r="AD534" s="4"/>
      <c r="AG534" s="4"/>
    </row>
    <row r="535">
      <c r="A535" s="179"/>
      <c r="B535" s="180"/>
      <c r="C535" s="2"/>
      <c r="E535" s="181"/>
      <c r="F535" s="181"/>
      <c r="G535" s="2"/>
      <c r="I535" s="190"/>
      <c r="J535" s="190"/>
      <c r="K535" s="2"/>
      <c r="AA535" s="4"/>
      <c r="AD535" s="4"/>
      <c r="AG535" s="4"/>
    </row>
    <row r="536">
      <c r="A536" s="179"/>
      <c r="B536" s="180"/>
      <c r="C536" s="2"/>
      <c r="E536" s="181"/>
      <c r="F536" s="181"/>
      <c r="G536" s="2"/>
      <c r="I536" s="190"/>
      <c r="J536" s="190"/>
      <c r="K536" s="2"/>
      <c r="AA536" s="4"/>
      <c r="AD536" s="4"/>
      <c r="AG536" s="4"/>
    </row>
    <row r="537">
      <c r="A537" s="179"/>
      <c r="B537" s="180"/>
      <c r="C537" s="2"/>
      <c r="E537" s="181"/>
      <c r="F537" s="181"/>
      <c r="G537" s="2"/>
      <c r="I537" s="190"/>
      <c r="J537" s="190"/>
      <c r="K537" s="2"/>
      <c r="AA537" s="4"/>
      <c r="AD537" s="4"/>
      <c r="AG537" s="4"/>
    </row>
    <row r="538">
      <c r="A538" s="179"/>
      <c r="B538" s="180"/>
      <c r="C538" s="2"/>
      <c r="E538" s="181"/>
      <c r="F538" s="181"/>
      <c r="G538" s="2"/>
      <c r="I538" s="190"/>
      <c r="J538" s="190"/>
      <c r="K538" s="2"/>
      <c r="AA538" s="4"/>
      <c r="AD538" s="4"/>
      <c r="AG538" s="4"/>
    </row>
    <row r="539">
      <c r="A539" s="179"/>
      <c r="B539" s="180"/>
      <c r="C539" s="2"/>
      <c r="E539" s="181"/>
      <c r="F539" s="181"/>
      <c r="G539" s="2"/>
      <c r="I539" s="190"/>
      <c r="J539" s="190"/>
      <c r="K539" s="2"/>
      <c r="AA539" s="4"/>
      <c r="AD539" s="4"/>
      <c r="AG539" s="4"/>
    </row>
    <row r="540">
      <c r="A540" s="179"/>
      <c r="B540" s="180"/>
      <c r="C540" s="2"/>
      <c r="E540" s="181"/>
      <c r="F540" s="181"/>
      <c r="G540" s="2"/>
      <c r="I540" s="190"/>
      <c r="J540" s="190"/>
      <c r="K540" s="2"/>
      <c r="AA540" s="4"/>
      <c r="AD540" s="4"/>
      <c r="AG540" s="4"/>
    </row>
    <row r="541">
      <c r="A541" s="179"/>
      <c r="B541" s="180"/>
      <c r="C541" s="2"/>
      <c r="E541" s="181"/>
      <c r="F541" s="181"/>
      <c r="G541" s="2"/>
      <c r="I541" s="190"/>
      <c r="J541" s="190"/>
      <c r="K541" s="2"/>
      <c r="AA541" s="4"/>
      <c r="AD541" s="4"/>
      <c r="AG541" s="4"/>
    </row>
    <row r="542">
      <c r="A542" s="179"/>
      <c r="B542" s="180"/>
      <c r="C542" s="2"/>
      <c r="E542" s="181"/>
      <c r="F542" s="181"/>
      <c r="G542" s="2"/>
      <c r="I542" s="190"/>
      <c r="J542" s="190"/>
      <c r="K542" s="2"/>
      <c r="AA542" s="4"/>
      <c r="AD542" s="4"/>
      <c r="AG542" s="4"/>
    </row>
    <row r="543">
      <c r="A543" s="179"/>
      <c r="B543" s="180"/>
      <c r="C543" s="2"/>
      <c r="E543" s="181"/>
      <c r="F543" s="181"/>
      <c r="G543" s="2"/>
      <c r="I543" s="190"/>
      <c r="J543" s="190"/>
      <c r="K543" s="2"/>
      <c r="AA543" s="4"/>
      <c r="AD543" s="4"/>
      <c r="AG543" s="4"/>
    </row>
    <row r="544">
      <c r="A544" s="179"/>
      <c r="B544" s="180"/>
      <c r="C544" s="2"/>
      <c r="E544" s="181"/>
      <c r="F544" s="181"/>
      <c r="G544" s="2"/>
      <c r="I544" s="190"/>
      <c r="J544" s="190"/>
      <c r="K544" s="2"/>
      <c r="AA544" s="4"/>
      <c r="AD544" s="4"/>
      <c r="AG544" s="4"/>
    </row>
    <row r="545">
      <c r="A545" s="179"/>
      <c r="B545" s="180"/>
      <c r="C545" s="2"/>
      <c r="E545" s="181"/>
      <c r="F545" s="181"/>
      <c r="G545" s="2"/>
      <c r="I545" s="190"/>
      <c r="J545" s="190"/>
      <c r="K545" s="2"/>
      <c r="AA545" s="4"/>
      <c r="AD545" s="4"/>
      <c r="AG545" s="4"/>
    </row>
    <row r="546">
      <c r="A546" s="179"/>
      <c r="B546" s="180"/>
      <c r="C546" s="2"/>
      <c r="E546" s="181"/>
      <c r="F546" s="181"/>
      <c r="G546" s="2"/>
      <c r="I546" s="190"/>
      <c r="J546" s="190"/>
      <c r="K546" s="2"/>
      <c r="AA546" s="4"/>
      <c r="AD546" s="4"/>
      <c r="AG546" s="4"/>
    </row>
    <row r="547">
      <c r="A547" s="179"/>
      <c r="B547" s="180"/>
      <c r="C547" s="2"/>
      <c r="E547" s="181"/>
      <c r="F547" s="181"/>
      <c r="G547" s="2"/>
      <c r="I547" s="190"/>
      <c r="J547" s="190"/>
      <c r="K547" s="2"/>
      <c r="AA547" s="4"/>
      <c r="AD547" s="4"/>
      <c r="AG547" s="4"/>
    </row>
    <row r="548">
      <c r="A548" s="179"/>
      <c r="B548" s="180"/>
      <c r="C548" s="2"/>
      <c r="E548" s="181"/>
      <c r="F548" s="181"/>
      <c r="G548" s="2"/>
      <c r="I548" s="190"/>
      <c r="J548" s="190"/>
      <c r="K548" s="2"/>
      <c r="AA548" s="4"/>
      <c r="AD548" s="4"/>
      <c r="AG548" s="4"/>
    </row>
    <row r="549">
      <c r="A549" s="179"/>
      <c r="B549" s="180"/>
      <c r="C549" s="2"/>
      <c r="E549" s="181"/>
      <c r="F549" s="181"/>
      <c r="G549" s="2"/>
      <c r="I549" s="190"/>
      <c r="J549" s="190"/>
      <c r="K549" s="2"/>
      <c r="AA549" s="4"/>
      <c r="AD549" s="4"/>
      <c r="AG549" s="4"/>
    </row>
    <row r="550">
      <c r="A550" s="179"/>
      <c r="B550" s="180"/>
      <c r="C550" s="2"/>
      <c r="E550" s="181"/>
      <c r="F550" s="181"/>
      <c r="G550" s="2"/>
      <c r="I550" s="190"/>
      <c r="J550" s="190"/>
      <c r="K550" s="2"/>
      <c r="AA550" s="4"/>
      <c r="AD550" s="4"/>
      <c r="AG550" s="4"/>
    </row>
    <row r="551">
      <c r="A551" s="179"/>
      <c r="B551" s="180"/>
      <c r="C551" s="2"/>
      <c r="E551" s="181"/>
      <c r="F551" s="181"/>
      <c r="G551" s="2"/>
      <c r="I551" s="190"/>
      <c r="J551" s="190"/>
      <c r="K551" s="2"/>
      <c r="AA551" s="4"/>
      <c r="AD551" s="4"/>
      <c r="AG551" s="4"/>
    </row>
    <row r="552">
      <c r="A552" s="179"/>
      <c r="B552" s="180"/>
      <c r="C552" s="2"/>
      <c r="E552" s="181"/>
      <c r="F552" s="181"/>
      <c r="G552" s="2"/>
      <c r="I552" s="190"/>
      <c r="J552" s="190"/>
      <c r="K552" s="2"/>
      <c r="AA552" s="4"/>
      <c r="AD552" s="4"/>
      <c r="AG552" s="4"/>
    </row>
    <row r="553">
      <c r="A553" s="179"/>
      <c r="B553" s="180"/>
      <c r="C553" s="2"/>
      <c r="E553" s="181"/>
      <c r="F553" s="181"/>
      <c r="G553" s="2"/>
      <c r="I553" s="190"/>
      <c r="J553" s="190"/>
      <c r="K553" s="2"/>
      <c r="AA553" s="4"/>
      <c r="AD553" s="4"/>
      <c r="AG553" s="4"/>
    </row>
    <row r="554">
      <c r="A554" s="179"/>
      <c r="B554" s="180"/>
      <c r="C554" s="2"/>
      <c r="E554" s="181"/>
      <c r="F554" s="181"/>
      <c r="G554" s="2"/>
      <c r="I554" s="190"/>
      <c r="J554" s="190"/>
      <c r="K554" s="2"/>
      <c r="AA554" s="4"/>
      <c r="AD554" s="4"/>
      <c r="AG554" s="4"/>
    </row>
    <row r="555">
      <c r="A555" s="179"/>
      <c r="B555" s="180"/>
      <c r="C555" s="2"/>
      <c r="E555" s="181"/>
      <c r="F555" s="181"/>
      <c r="G555" s="2"/>
      <c r="I555" s="190"/>
      <c r="J555" s="190"/>
      <c r="K555" s="2"/>
      <c r="AA555" s="4"/>
      <c r="AD555" s="4"/>
      <c r="AG555" s="4"/>
    </row>
    <row r="556">
      <c r="A556" s="179"/>
      <c r="B556" s="180"/>
      <c r="C556" s="2"/>
      <c r="E556" s="181"/>
      <c r="F556" s="181"/>
      <c r="G556" s="2"/>
      <c r="I556" s="190"/>
      <c r="J556" s="190"/>
      <c r="K556" s="2"/>
      <c r="AA556" s="4"/>
      <c r="AD556" s="4"/>
      <c r="AG556" s="4"/>
    </row>
    <row r="557">
      <c r="A557" s="179"/>
      <c r="B557" s="180"/>
      <c r="C557" s="2"/>
      <c r="E557" s="181"/>
      <c r="F557" s="181"/>
      <c r="G557" s="2"/>
      <c r="I557" s="190"/>
      <c r="J557" s="190"/>
      <c r="K557" s="2"/>
      <c r="AA557" s="4"/>
      <c r="AD557" s="4"/>
      <c r="AG557" s="4"/>
    </row>
    <row r="558">
      <c r="A558" s="179"/>
      <c r="B558" s="180"/>
      <c r="C558" s="2"/>
      <c r="E558" s="181"/>
      <c r="F558" s="181"/>
      <c r="G558" s="2"/>
      <c r="I558" s="190"/>
      <c r="J558" s="190"/>
      <c r="K558" s="2"/>
      <c r="AA558" s="4"/>
      <c r="AD558" s="4"/>
      <c r="AG558" s="4"/>
    </row>
    <row r="559">
      <c r="A559" s="179"/>
      <c r="B559" s="180"/>
      <c r="C559" s="2"/>
      <c r="E559" s="181"/>
      <c r="F559" s="181"/>
      <c r="G559" s="2"/>
      <c r="I559" s="190"/>
      <c r="J559" s="190"/>
      <c r="K559" s="2"/>
      <c r="AA559" s="4"/>
      <c r="AD559" s="4"/>
      <c r="AG559" s="4"/>
    </row>
    <row r="560">
      <c r="A560" s="179"/>
      <c r="B560" s="180"/>
      <c r="C560" s="2"/>
      <c r="E560" s="181"/>
      <c r="F560" s="181"/>
      <c r="G560" s="2"/>
      <c r="I560" s="190"/>
      <c r="J560" s="190"/>
      <c r="K560" s="2"/>
      <c r="AA560" s="4"/>
      <c r="AD560" s="4"/>
      <c r="AG560" s="4"/>
    </row>
    <row r="561">
      <c r="A561" s="179"/>
      <c r="B561" s="180"/>
      <c r="C561" s="2"/>
      <c r="E561" s="181"/>
      <c r="F561" s="181"/>
      <c r="G561" s="2"/>
      <c r="I561" s="190"/>
      <c r="J561" s="190"/>
      <c r="K561" s="2"/>
      <c r="AA561" s="4"/>
      <c r="AD561" s="4"/>
      <c r="AG561" s="4"/>
    </row>
    <row r="562">
      <c r="A562" s="179"/>
      <c r="B562" s="180"/>
      <c r="C562" s="2"/>
      <c r="E562" s="181"/>
      <c r="F562" s="181"/>
      <c r="G562" s="2"/>
      <c r="I562" s="190"/>
      <c r="J562" s="190"/>
      <c r="K562" s="2"/>
      <c r="AA562" s="4"/>
      <c r="AD562" s="4"/>
      <c r="AG562" s="4"/>
    </row>
    <row r="563">
      <c r="A563" s="179"/>
      <c r="B563" s="180"/>
      <c r="C563" s="2"/>
      <c r="E563" s="181"/>
      <c r="F563" s="181"/>
      <c r="G563" s="2"/>
      <c r="I563" s="190"/>
      <c r="J563" s="190"/>
      <c r="K563" s="2"/>
      <c r="AA563" s="4"/>
      <c r="AD563" s="4"/>
      <c r="AG563" s="4"/>
    </row>
    <row r="564">
      <c r="A564" s="179"/>
      <c r="B564" s="180"/>
      <c r="C564" s="2"/>
      <c r="E564" s="181"/>
      <c r="F564" s="181"/>
      <c r="G564" s="2"/>
      <c r="I564" s="190"/>
      <c r="J564" s="190"/>
      <c r="K564" s="2"/>
      <c r="AA564" s="4"/>
      <c r="AD564" s="4"/>
      <c r="AG564" s="4"/>
    </row>
    <row r="565">
      <c r="A565" s="179"/>
      <c r="B565" s="180"/>
      <c r="C565" s="2"/>
      <c r="E565" s="181"/>
      <c r="F565" s="181"/>
      <c r="G565" s="2"/>
      <c r="I565" s="190"/>
      <c r="J565" s="190"/>
      <c r="K565" s="2"/>
      <c r="AA565" s="4"/>
      <c r="AD565" s="4"/>
      <c r="AG565" s="4"/>
    </row>
    <row r="566">
      <c r="A566" s="179"/>
      <c r="B566" s="180"/>
      <c r="C566" s="2"/>
      <c r="E566" s="181"/>
      <c r="F566" s="181"/>
      <c r="G566" s="2"/>
      <c r="I566" s="190"/>
      <c r="J566" s="190"/>
      <c r="K566" s="2"/>
      <c r="AA566" s="4"/>
      <c r="AD566" s="4"/>
      <c r="AG566" s="4"/>
    </row>
    <row r="567">
      <c r="A567" s="179"/>
      <c r="B567" s="180"/>
      <c r="C567" s="2"/>
      <c r="E567" s="181"/>
      <c r="F567" s="181"/>
      <c r="G567" s="2"/>
      <c r="I567" s="190"/>
      <c r="J567" s="190"/>
      <c r="K567" s="2"/>
      <c r="AA567" s="4"/>
      <c r="AD567" s="4"/>
      <c r="AG567" s="4"/>
    </row>
    <row r="568">
      <c r="A568" s="179"/>
      <c r="B568" s="180"/>
      <c r="C568" s="2"/>
      <c r="E568" s="181"/>
      <c r="F568" s="181"/>
      <c r="G568" s="2"/>
      <c r="I568" s="190"/>
      <c r="J568" s="190"/>
      <c r="K568" s="2"/>
      <c r="AA568" s="4"/>
      <c r="AD568" s="4"/>
      <c r="AG568" s="4"/>
    </row>
    <row r="569">
      <c r="A569" s="179"/>
      <c r="B569" s="180"/>
      <c r="C569" s="2"/>
      <c r="E569" s="181"/>
      <c r="F569" s="181"/>
      <c r="G569" s="2"/>
      <c r="I569" s="190"/>
      <c r="J569" s="190"/>
      <c r="K569" s="2"/>
      <c r="AA569" s="4"/>
      <c r="AD569" s="4"/>
      <c r="AG569" s="4"/>
    </row>
    <row r="570">
      <c r="A570" s="179"/>
      <c r="B570" s="180"/>
      <c r="C570" s="2"/>
      <c r="E570" s="181"/>
      <c r="F570" s="181"/>
      <c r="G570" s="2"/>
      <c r="I570" s="190"/>
      <c r="J570" s="190"/>
      <c r="K570" s="2"/>
      <c r="AA570" s="4"/>
      <c r="AD570" s="4"/>
      <c r="AG570" s="4"/>
    </row>
    <row r="571">
      <c r="A571" s="179"/>
      <c r="B571" s="180"/>
      <c r="C571" s="2"/>
      <c r="E571" s="181"/>
      <c r="F571" s="181"/>
      <c r="G571" s="2"/>
      <c r="I571" s="190"/>
      <c r="J571" s="190"/>
      <c r="K571" s="2"/>
      <c r="AA571" s="4"/>
      <c r="AD571" s="4"/>
      <c r="AG571" s="4"/>
    </row>
    <row r="572">
      <c r="A572" s="179"/>
      <c r="B572" s="180"/>
      <c r="C572" s="2"/>
      <c r="E572" s="181"/>
      <c r="F572" s="181"/>
      <c r="G572" s="2"/>
      <c r="I572" s="190"/>
      <c r="J572" s="190"/>
      <c r="K572" s="2"/>
      <c r="AA572" s="4"/>
      <c r="AD572" s="4"/>
      <c r="AG572" s="4"/>
    </row>
    <row r="573">
      <c r="A573" s="179"/>
      <c r="B573" s="180"/>
      <c r="C573" s="2"/>
      <c r="E573" s="181"/>
      <c r="F573" s="181"/>
      <c r="G573" s="2"/>
      <c r="I573" s="190"/>
      <c r="J573" s="190"/>
      <c r="K573" s="2"/>
      <c r="AA573" s="4"/>
      <c r="AD573" s="4"/>
      <c r="AG573" s="4"/>
    </row>
    <row r="574">
      <c r="A574" s="179"/>
      <c r="B574" s="180"/>
      <c r="C574" s="2"/>
      <c r="E574" s="181"/>
      <c r="F574" s="181"/>
      <c r="G574" s="2"/>
      <c r="I574" s="190"/>
      <c r="J574" s="190"/>
      <c r="K574" s="2"/>
      <c r="AA574" s="4"/>
      <c r="AD574" s="4"/>
      <c r="AG574" s="4"/>
    </row>
    <row r="575">
      <c r="A575" s="179"/>
      <c r="B575" s="180"/>
      <c r="C575" s="2"/>
      <c r="E575" s="181"/>
      <c r="F575" s="181"/>
      <c r="G575" s="2"/>
      <c r="I575" s="190"/>
      <c r="J575" s="190"/>
      <c r="K575" s="2"/>
      <c r="AA575" s="4"/>
      <c r="AD575" s="4"/>
      <c r="AG575" s="4"/>
    </row>
    <row r="576">
      <c r="A576" s="179"/>
      <c r="B576" s="180"/>
      <c r="C576" s="2"/>
      <c r="E576" s="181"/>
      <c r="F576" s="181"/>
      <c r="G576" s="2"/>
      <c r="I576" s="190"/>
      <c r="J576" s="190"/>
      <c r="K576" s="2"/>
      <c r="AA576" s="4"/>
      <c r="AD576" s="4"/>
      <c r="AG576" s="4"/>
    </row>
    <row r="577">
      <c r="A577" s="179"/>
      <c r="B577" s="180"/>
      <c r="C577" s="2"/>
      <c r="E577" s="181"/>
      <c r="F577" s="181"/>
      <c r="G577" s="2"/>
      <c r="I577" s="190"/>
      <c r="J577" s="190"/>
      <c r="K577" s="2"/>
      <c r="AA577" s="4"/>
      <c r="AD577" s="4"/>
      <c r="AG577" s="4"/>
    </row>
    <row r="578">
      <c r="A578" s="179"/>
      <c r="B578" s="180"/>
      <c r="C578" s="2"/>
      <c r="E578" s="181"/>
      <c r="F578" s="181"/>
      <c r="G578" s="2"/>
      <c r="I578" s="190"/>
      <c r="J578" s="190"/>
      <c r="K578" s="2"/>
      <c r="AA578" s="4"/>
      <c r="AD578" s="4"/>
      <c r="AG578" s="4"/>
    </row>
    <row r="579">
      <c r="A579" s="179"/>
      <c r="B579" s="180"/>
      <c r="C579" s="2"/>
      <c r="E579" s="181"/>
      <c r="F579" s="181"/>
      <c r="G579" s="2"/>
      <c r="I579" s="190"/>
      <c r="J579" s="190"/>
      <c r="K579" s="2"/>
      <c r="AA579" s="4"/>
      <c r="AD579" s="4"/>
      <c r="AG579" s="4"/>
    </row>
    <row r="580">
      <c r="A580" s="179"/>
      <c r="B580" s="180"/>
      <c r="C580" s="2"/>
      <c r="E580" s="181"/>
      <c r="F580" s="181"/>
      <c r="G580" s="2"/>
      <c r="I580" s="190"/>
      <c r="J580" s="190"/>
      <c r="K580" s="2"/>
      <c r="AA580" s="4"/>
      <c r="AD580" s="4"/>
      <c r="AG580" s="4"/>
    </row>
    <row r="581">
      <c r="A581" s="179"/>
      <c r="B581" s="180"/>
      <c r="C581" s="2"/>
      <c r="E581" s="181"/>
      <c r="F581" s="181"/>
      <c r="G581" s="2"/>
      <c r="I581" s="190"/>
      <c r="J581" s="190"/>
      <c r="K581" s="2"/>
      <c r="AA581" s="4"/>
      <c r="AD581" s="4"/>
      <c r="AG581" s="4"/>
    </row>
    <row r="582">
      <c r="A582" s="179"/>
      <c r="B582" s="180"/>
      <c r="C582" s="2"/>
      <c r="E582" s="181"/>
      <c r="F582" s="181"/>
      <c r="G582" s="2"/>
      <c r="I582" s="190"/>
      <c r="J582" s="190"/>
      <c r="K582" s="2"/>
      <c r="AA582" s="4"/>
      <c r="AD582" s="4"/>
      <c r="AG582" s="4"/>
    </row>
    <row r="583">
      <c r="A583" s="179"/>
      <c r="B583" s="180"/>
      <c r="C583" s="2"/>
      <c r="E583" s="181"/>
      <c r="F583" s="181"/>
      <c r="G583" s="2"/>
      <c r="I583" s="190"/>
      <c r="J583" s="190"/>
      <c r="K583" s="2"/>
      <c r="AA583" s="4"/>
      <c r="AD583" s="4"/>
      <c r="AG583" s="4"/>
    </row>
    <row r="584">
      <c r="A584" s="179"/>
      <c r="B584" s="180"/>
      <c r="C584" s="2"/>
      <c r="E584" s="181"/>
      <c r="F584" s="181"/>
      <c r="G584" s="2"/>
      <c r="I584" s="190"/>
      <c r="J584" s="190"/>
      <c r="K584" s="2"/>
      <c r="AA584" s="4"/>
      <c r="AD584" s="4"/>
      <c r="AG584" s="4"/>
    </row>
    <row r="585">
      <c r="A585" s="179"/>
      <c r="B585" s="180"/>
      <c r="C585" s="2"/>
      <c r="E585" s="181"/>
      <c r="F585" s="181"/>
      <c r="G585" s="2"/>
      <c r="I585" s="190"/>
      <c r="J585" s="190"/>
      <c r="K585" s="2"/>
      <c r="AA585" s="4"/>
      <c r="AD585" s="4"/>
      <c r="AG585" s="4"/>
    </row>
    <row r="586">
      <c r="A586" s="179"/>
      <c r="B586" s="180"/>
      <c r="C586" s="2"/>
      <c r="E586" s="181"/>
      <c r="F586" s="181"/>
      <c r="G586" s="2"/>
      <c r="I586" s="190"/>
      <c r="J586" s="190"/>
      <c r="K586" s="2"/>
      <c r="AA586" s="4"/>
      <c r="AD586" s="4"/>
      <c r="AG586" s="4"/>
    </row>
    <row r="587">
      <c r="A587" s="179"/>
      <c r="B587" s="180"/>
      <c r="C587" s="2"/>
      <c r="E587" s="181"/>
      <c r="F587" s="181"/>
      <c r="G587" s="2"/>
      <c r="I587" s="190"/>
      <c r="J587" s="190"/>
      <c r="K587" s="2"/>
      <c r="AA587" s="4"/>
      <c r="AD587" s="4"/>
      <c r="AG587" s="4"/>
    </row>
    <row r="588">
      <c r="A588" s="179"/>
      <c r="B588" s="180"/>
      <c r="C588" s="2"/>
      <c r="E588" s="181"/>
      <c r="F588" s="181"/>
      <c r="G588" s="2"/>
      <c r="I588" s="190"/>
      <c r="J588" s="190"/>
      <c r="K588" s="2"/>
      <c r="AA588" s="4"/>
      <c r="AD588" s="4"/>
      <c r="AG588" s="4"/>
    </row>
    <row r="589">
      <c r="A589" s="179"/>
      <c r="B589" s="180"/>
      <c r="C589" s="2"/>
      <c r="E589" s="181"/>
      <c r="F589" s="181"/>
      <c r="G589" s="2"/>
      <c r="I589" s="190"/>
      <c r="J589" s="190"/>
      <c r="K589" s="2"/>
      <c r="AA589" s="4"/>
      <c r="AD589" s="4"/>
      <c r="AG589" s="4"/>
    </row>
    <row r="590">
      <c r="A590" s="179"/>
      <c r="B590" s="180"/>
      <c r="C590" s="2"/>
      <c r="E590" s="181"/>
      <c r="F590" s="181"/>
      <c r="G590" s="2"/>
      <c r="I590" s="190"/>
      <c r="J590" s="190"/>
      <c r="K590" s="2"/>
      <c r="AA590" s="4"/>
      <c r="AD590" s="4"/>
      <c r="AG590" s="4"/>
    </row>
    <row r="591">
      <c r="A591" s="179"/>
      <c r="B591" s="180"/>
      <c r="C591" s="2"/>
      <c r="E591" s="181"/>
      <c r="F591" s="181"/>
      <c r="G591" s="2"/>
      <c r="I591" s="190"/>
      <c r="J591" s="190"/>
      <c r="K591" s="2"/>
      <c r="AA591" s="4"/>
      <c r="AD591" s="4"/>
      <c r="AG591" s="4"/>
    </row>
    <row r="592">
      <c r="A592" s="179"/>
      <c r="B592" s="180"/>
      <c r="C592" s="2"/>
      <c r="E592" s="181"/>
      <c r="F592" s="181"/>
      <c r="G592" s="2"/>
      <c r="I592" s="190"/>
      <c r="J592" s="190"/>
      <c r="K592" s="2"/>
      <c r="AA592" s="4"/>
      <c r="AD592" s="4"/>
      <c r="AG592" s="4"/>
    </row>
    <row r="593">
      <c r="A593" s="179"/>
      <c r="B593" s="180"/>
      <c r="C593" s="2"/>
      <c r="E593" s="181"/>
      <c r="F593" s="181"/>
      <c r="G593" s="2"/>
      <c r="I593" s="190"/>
      <c r="J593" s="190"/>
      <c r="K593" s="2"/>
      <c r="AA593" s="4"/>
      <c r="AD593" s="4"/>
      <c r="AG593" s="4"/>
    </row>
    <row r="594">
      <c r="A594" s="179"/>
      <c r="B594" s="180"/>
      <c r="C594" s="2"/>
      <c r="E594" s="181"/>
      <c r="F594" s="181"/>
      <c r="G594" s="2"/>
      <c r="I594" s="190"/>
      <c r="J594" s="190"/>
      <c r="K594" s="2"/>
      <c r="AA594" s="4"/>
      <c r="AD594" s="4"/>
      <c r="AG594" s="4"/>
    </row>
    <row r="595">
      <c r="A595" s="179"/>
      <c r="B595" s="180"/>
      <c r="C595" s="2"/>
      <c r="E595" s="181"/>
      <c r="F595" s="181"/>
      <c r="G595" s="2"/>
      <c r="I595" s="190"/>
      <c r="J595" s="190"/>
      <c r="K595" s="2"/>
      <c r="AA595" s="4"/>
      <c r="AD595" s="4"/>
      <c r="AG595" s="4"/>
    </row>
    <row r="596">
      <c r="A596" s="179"/>
      <c r="B596" s="180"/>
      <c r="C596" s="2"/>
      <c r="E596" s="181"/>
      <c r="F596" s="181"/>
      <c r="G596" s="2"/>
      <c r="I596" s="190"/>
      <c r="J596" s="190"/>
      <c r="K596" s="2"/>
      <c r="AA596" s="4"/>
      <c r="AD596" s="4"/>
      <c r="AG596" s="4"/>
    </row>
    <row r="597">
      <c r="A597" s="179"/>
      <c r="B597" s="180"/>
      <c r="C597" s="2"/>
      <c r="E597" s="181"/>
      <c r="F597" s="181"/>
      <c r="G597" s="2"/>
      <c r="I597" s="190"/>
      <c r="J597" s="190"/>
      <c r="K597" s="2"/>
      <c r="AA597" s="4"/>
      <c r="AD597" s="4"/>
      <c r="AG597" s="4"/>
    </row>
    <row r="598">
      <c r="A598" s="179"/>
      <c r="B598" s="180"/>
      <c r="C598" s="2"/>
      <c r="E598" s="181"/>
      <c r="F598" s="181"/>
      <c r="G598" s="2"/>
      <c r="I598" s="190"/>
      <c r="J598" s="190"/>
      <c r="K598" s="2"/>
      <c r="AA598" s="4"/>
      <c r="AD598" s="4"/>
      <c r="AG598" s="4"/>
    </row>
    <row r="599">
      <c r="A599" s="179"/>
      <c r="B599" s="180"/>
      <c r="C599" s="2"/>
      <c r="E599" s="181"/>
      <c r="F599" s="181"/>
      <c r="G599" s="2"/>
      <c r="I599" s="190"/>
      <c r="J599" s="190"/>
      <c r="K599" s="2"/>
      <c r="AA599" s="4"/>
      <c r="AD599" s="4"/>
      <c r="AG599" s="4"/>
    </row>
    <row r="600">
      <c r="A600" s="179"/>
      <c r="B600" s="180"/>
      <c r="C600" s="2"/>
      <c r="E600" s="181"/>
      <c r="F600" s="181"/>
      <c r="G600" s="2"/>
      <c r="I600" s="190"/>
      <c r="J600" s="190"/>
      <c r="K600" s="2"/>
      <c r="AA600" s="4"/>
      <c r="AD600" s="4"/>
      <c r="AG600" s="4"/>
    </row>
    <row r="601">
      <c r="A601" s="179"/>
      <c r="B601" s="180"/>
      <c r="C601" s="2"/>
      <c r="E601" s="181"/>
      <c r="F601" s="181"/>
      <c r="G601" s="2"/>
      <c r="I601" s="190"/>
      <c r="J601" s="190"/>
      <c r="K601" s="2"/>
      <c r="AA601" s="4"/>
      <c r="AD601" s="4"/>
      <c r="AG601" s="4"/>
    </row>
    <row r="602">
      <c r="A602" s="179"/>
      <c r="B602" s="180"/>
      <c r="C602" s="2"/>
      <c r="E602" s="181"/>
      <c r="F602" s="181"/>
      <c r="G602" s="2"/>
      <c r="I602" s="190"/>
      <c r="J602" s="190"/>
      <c r="K602" s="2"/>
      <c r="AA602" s="4"/>
      <c r="AD602" s="4"/>
      <c r="AG602" s="4"/>
    </row>
    <row r="603">
      <c r="A603" s="179"/>
      <c r="B603" s="180"/>
      <c r="C603" s="2"/>
      <c r="E603" s="181"/>
      <c r="F603" s="181"/>
      <c r="G603" s="2"/>
      <c r="I603" s="190"/>
      <c r="J603" s="190"/>
      <c r="K603" s="2"/>
      <c r="AA603" s="4"/>
      <c r="AD603" s="4"/>
      <c r="AG603" s="4"/>
    </row>
    <row r="604">
      <c r="A604" s="179"/>
      <c r="B604" s="180"/>
      <c r="C604" s="2"/>
      <c r="E604" s="181"/>
      <c r="F604" s="181"/>
      <c r="G604" s="2"/>
      <c r="I604" s="190"/>
      <c r="J604" s="190"/>
      <c r="K604" s="2"/>
      <c r="AA604" s="4"/>
      <c r="AD604" s="4"/>
      <c r="AG604" s="4"/>
    </row>
    <row r="605">
      <c r="A605" s="179"/>
      <c r="B605" s="180"/>
      <c r="C605" s="2"/>
      <c r="E605" s="181"/>
      <c r="F605" s="181"/>
      <c r="G605" s="2"/>
      <c r="I605" s="190"/>
      <c r="J605" s="190"/>
      <c r="K605" s="2"/>
      <c r="AA605" s="4"/>
      <c r="AD605" s="4"/>
      <c r="AG605" s="4"/>
    </row>
    <row r="606">
      <c r="A606" s="179"/>
      <c r="B606" s="180"/>
      <c r="C606" s="2"/>
      <c r="E606" s="181"/>
      <c r="F606" s="181"/>
      <c r="G606" s="2"/>
      <c r="I606" s="190"/>
      <c r="J606" s="190"/>
      <c r="K606" s="2"/>
      <c r="AA606" s="4"/>
      <c r="AD606" s="4"/>
      <c r="AG606" s="4"/>
    </row>
    <row r="607">
      <c r="A607" s="179"/>
      <c r="B607" s="180"/>
      <c r="C607" s="2"/>
      <c r="E607" s="181"/>
      <c r="F607" s="181"/>
      <c r="G607" s="2"/>
      <c r="I607" s="190"/>
      <c r="J607" s="190"/>
      <c r="K607" s="2"/>
      <c r="AA607" s="4"/>
      <c r="AD607" s="4"/>
      <c r="AG607" s="4"/>
    </row>
    <row r="608">
      <c r="A608" s="179"/>
      <c r="B608" s="180"/>
      <c r="C608" s="2"/>
      <c r="E608" s="181"/>
      <c r="F608" s="181"/>
      <c r="G608" s="2"/>
      <c r="I608" s="190"/>
      <c r="J608" s="190"/>
      <c r="K608" s="2"/>
      <c r="AA608" s="4"/>
      <c r="AD608" s="4"/>
      <c r="AG608" s="4"/>
    </row>
    <row r="609">
      <c r="A609" s="179"/>
      <c r="B609" s="180"/>
      <c r="C609" s="2"/>
      <c r="E609" s="181"/>
      <c r="F609" s="181"/>
      <c r="G609" s="2"/>
      <c r="I609" s="190"/>
      <c r="J609" s="190"/>
      <c r="K609" s="2"/>
      <c r="AA609" s="4"/>
      <c r="AD609" s="4"/>
      <c r="AG609" s="4"/>
    </row>
    <row r="610">
      <c r="A610" s="179"/>
      <c r="B610" s="180"/>
      <c r="C610" s="2"/>
      <c r="E610" s="181"/>
      <c r="F610" s="181"/>
      <c r="G610" s="2"/>
      <c r="I610" s="190"/>
      <c r="J610" s="190"/>
      <c r="K610" s="2"/>
      <c r="AA610" s="4"/>
      <c r="AD610" s="4"/>
      <c r="AG610" s="4"/>
    </row>
    <row r="611">
      <c r="A611" s="179"/>
      <c r="B611" s="180"/>
      <c r="C611" s="2"/>
      <c r="E611" s="181"/>
      <c r="F611" s="181"/>
      <c r="G611" s="2"/>
      <c r="I611" s="190"/>
      <c r="J611" s="190"/>
      <c r="K611" s="2"/>
      <c r="AA611" s="4"/>
      <c r="AD611" s="4"/>
      <c r="AG611" s="4"/>
    </row>
    <row r="612">
      <c r="A612" s="179"/>
      <c r="B612" s="180"/>
      <c r="C612" s="2"/>
      <c r="E612" s="181"/>
      <c r="F612" s="181"/>
      <c r="G612" s="2"/>
      <c r="I612" s="190"/>
      <c r="J612" s="190"/>
      <c r="K612" s="2"/>
      <c r="AA612" s="4"/>
      <c r="AD612" s="4"/>
      <c r="AG612" s="4"/>
    </row>
    <row r="613">
      <c r="A613" s="179"/>
      <c r="B613" s="180"/>
      <c r="C613" s="2"/>
      <c r="E613" s="181"/>
      <c r="F613" s="181"/>
      <c r="G613" s="2"/>
      <c r="I613" s="190"/>
      <c r="J613" s="190"/>
      <c r="K613" s="2"/>
      <c r="AA613" s="4"/>
      <c r="AD613" s="4"/>
      <c r="AG613" s="4"/>
    </row>
    <row r="614">
      <c r="A614" s="179"/>
      <c r="B614" s="180"/>
      <c r="C614" s="2"/>
      <c r="E614" s="181"/>
      <c r="F614" s="181"/>
      <c r="G614" s="2"/>
      <c r="I614" s="190"/>
      <c r="J614" s="190"/>
      <c r="K614" s="2"/>
      <c r="AA614" s="4"/>
      <c r="AD614" s="4"/>
      <c r="AG614" s="4"/>
    </row>
    <row r="615">
      <c r="A615" s="179"/>
      <c r="B615" s="180"/>
      <c r="C615" s="2"/>
      <c r="E615" s="181"/>
      <c r="F615" s="181"/>
      <c r="G615" s="2"/>
      <c r="I615" s="190"/>
      <c r="J615" s="190"/>
      <c r="K615" s="2"/>
      <c r="AA615" s="4"/>
      <c r="AD615" s="4"/>
      <c r="AG615" s="4"/>
    </row>
    <row r="616">
      <c r="A616" s="179"/>
      <c r="B616" s="180"/>
      <c r="C616" s="2"/>
      <c r="E616" s="181"/>
      <c r="F616" s="181"/>
      <c r="G616" s="2"/>
      <c r="I616" s="190"/>
      <c r="J616" s="190"/>
      <c r="K616" s="2"/>
      <c r="AA616" s="4"/>
      <c r="AD616" s="4"/>
      <c r="AG616" s="4"/>
    </row>
    <row r="617">
      <c r="A617" s="179"/>
      <c r="B617" s="180"/>
      <c r="C617" s="2"/>
      <c r="E617" s="181"/>
      <c r="F617" s="181"/>
      <c r="G617" s="2"/>
      <c r="I617" s="190"/>
      <c r="J617" s="190"/>
      <c r="K617" s="2"/>
      <c r="AA617" s="4"/>
      <c r="AD617" s="4"/>
      <c r="AG617" s="4"/>
    </row>
    <row r="618">
      <c r="A618" s="179"/>
      <c r="B618" s="180"/>
      <c r="C618" s="2"/>
      <c r="E618" s="181"/>
      <c r="F618" s="181"/>
      <c r="G618" s="2"/>
      <c r="I618" s="190"/>
      <c r="J618" s="190"/>
      <c r="K618" s="2"/>
      <c r="AA618" s="4"/>
      <c r="AD618" s="4"/>
      <c r="AG618" s="4"/>
    </row>
    <row r="619">
      <c r="A619" s="179"/>
      <c r="B619" s="180"/>
      <c r="C619" s="2"/>
      <c r="E619" s="181"/>
      <c r="F619" s="181"/>
      <c r="G619" s="2"/>
      <c r="I619" s="190"/>
      <c r="J619" s="190"/>
      <c r="K619" s="2"/>
      <c r="AA619" s="4"/>
      <c r="AD619" s="4"/>
      <c r="AG619" s="4"/>
    </row>
    <row r="620">
      <c r="A620" s="179"/>
      <c r="B620" s="180"/>
      <c r="C620" s="2"/>
      <c r="E620" s="181"/>
      <c r="F620" s="181"/>
      <c r="G620" s="2"/>
      <c r="I620" s="190"/>
      <c r="J620" s="190"/>
      <c r="K620" s="2"/>
      <c r="AA620" s="4"/>
      <c r="AD620" s="4"/>
      <c r="AG620" s="4"/>
    </row>
    <row r="621">
      <c r="A621" s="179"/>
      <c r="B621" s="180"/>
      <c r="C621" s="2"/>
      <c r="E621" s="181"/>
      <c r="F621" s="181"/>
      <c r="G621" s="2"/>
      <c r="I621" s="190"/>
      <c r="J621" s="190"/>
      <c r="K621" s="2"/>
      <c r="AA621" s="4"/>
      <c r="AD621" s="4"/>
      <c r="AG621" s="4"/>
    </row>
    <row r="622">
      <c r="A622" s="179"/>
      <c r="B622" s="180"/>
      <c r="C622" s="2"/>
      <c r="E622" s="181"/>
      <c r="F622" s="181"/>
      <c r="G622" s="2"/>
      <c r="I622" s="190"/>
      <c r="J622" s="190"/>
      <c r="K622" s="2"/>
      <c r="AA622" s="4"/>
      <c r="AD622" s="4"/>
      <c r="AG622" s="4"/>
    </row>
    <row r="623">
      <c r="A623" s="179"/>
      <c r="B623" s="180"/>
      <c r="C623" s="2"/>
      <c r="E623" s="181"/>
      <c r="F623" s="181"/>
      <c r="G623" s="2"/>
      <c r="I623" s="190"/>
      <c r="J623" s="190"/>
      <c r="K623" s="2"/>
      <c r="AA623" s="4"/>
      <c r="AD623" s="4"/>
      <c r="AG623" s="4"/>
    </row>
    <row r="624">
      <c r="A624" s="179"/>
      <c r="B624" s="180"/>
      <c r="C624" s="2"/>
      <c r="E624" s="181"/>
      <c r="F624" s="181"/>
      <c r="G624" s="2"/>
      <c r="I624" s="190"/>
      <c r="J624" s="190"/>
      <c r="K624" s="2"/>
      <c r="AA624" s="4"/>
      <c r="AD624" s="4"/>
      <c r="AG624" s="4"/>
    </row>
    <row r="625">
      <c r="A625" s="179"/>
      <c r="B625" s="180"/>
      <c r="C625" s="2"/>
      <c r="E625" s="181"/>
      <c r="F625" s="181"/>
      <c r="G625" s="2"/>
      <c r="I625" s="190"/>
      <c r="J625" s="190"/>
      <c r="K625" s="2"/>
      <c r="AA625" s="4"/>
      <c r="AD625" s="4"/>
      <c r="AG625" s="4"/>
    </row>
    <row r="626">
      <c r="A626" s="179"/>
      <c r="B626" s="180"/>
      <c r="C626" s="2"/>
      <c r="E626" s="181"/>
      <c r="F626" s="181"/>
      <c r="G626" s="2"/>
      <c r="I626" s="190"/>
      <c r="J626" s="190"/>
      <c r="K626" s="2"/>
      <c r="AA626" s="4"/>
      <c r="AD626" s="4"/>
      <c r="AG626" s="4"/>
    </row>
    <row r="627">
      <c r="A627" s="179"/>
      <c r="B627" s="180"/>
      <c r="C627" s="2"/>
      <c r="E627" s="181"/>
      <c r="F627" s="181"/>
      <c r="G627" s="2"/>
      <c r="I627" s="190"/>
      <c r="J627" s="190"/>
      <c r="K627" s="2"/>
      <c r="AA627" s="4"/>
      <c r="AD627" s="4"/>
      <c r="AG627" s="4"/>
    </row>
    <row r="628">
      <c r="A628" s="179"/>
      <c r="B628" s="180"/>
      <c r="C628" s="2"/>
      <c r="E628" s="181"/>
      <c r="F628" s="181"/>
      <c r="G628" s="2"/>
      <c r="I628" s="190"/>
      <c r="J628" s="190"/>
      <c r="K628" s="2"/>
      <c r="AA628" s="4"/>
      <c r="AD628" s="4"/>
      <c r="AG628" s="4"/>
    </row>
    <row r="629">
      <c r="A629" s="179"/>
      <c r="B629" s="180"/>
      <c r="C629" s="2"/>
      <c r="E629" s="181"/>
      <c r="F629" s="181"/>
      <c r="G629" s="2"/>
      <c r="I629" s="190"/>
      <c r="J629" s="190"/>
      <c r="K629" s="2"/>
      <c r="AA629" s="4"/>
      <c r="AD629" s="4"/>
      <c r="AG629" s="4"/>
    </row>
    <row r="630">
      <c r="A630" s="179"/>
      <c r="B630" s="180"/>
      <c r="C630" s="2"/>
      <c r="E630" s="181"/>
      <c r="F630" s="181"/>
      <c r="G630" s="2"/>
      <c r="I630" s="190"/>
      <c r="J630" s="190"/>
      <c r="K630" s="2"/>
      <c r="AA630" s="4"/>
      <c r="AD630" s="4"/>
      <c r="AG630" s="4"/>
    </row>
    <row r="631">
      <c r="A631" s="179"/>
      <c r="B631" s="180"/>
      <c r="C631" s="2"/>
      <c r="E631" s="181"/>
      <c r="F631" s="181"/>
      <c r="G631" s="2"/>
      <c r="I631" s="190"/>
      <c r="J631" s="190"/>
      <c r="K631" s="2"/>
      <c r="AA631" s="4"/>
      <c r="AD631" s="4"/>
      <c r="AG631" s="4"/>
    </row>
    <row r="632">
      <c r="A632" s="179"/>
      <c r="B632" s="180"/>
      <c r="C632" s="2"/>
      <c r="E632" s="181"/>
      <c r="F632" s="181"/>
      <c r="G632" s="2"/>
      <c r="I632" s="190"/>
      <c r="J632" s="190"/>
      <c r="K632" s="2"/>
      <c r="AA632" s="4"/>
      <c r="AD632" s="4"/>
      <c r="AG632" s="4"/>
    </row>
    <row r="633">
      <c r="A633" s="179"/>
      <c r="B633" s="180"/>
      <c r="C633" s="2"/>
      <c r="E633" s="181"/>
      <c r="F633" s="181"/>
      <c r="G633" s="2"/>
      <c r="I633" s="190"/>
      <c r="J633" s="190"/>
      <c r="K633" s="2"/>
      <c r="AA633" s="4"/>
      <c r="AD633" s="4"/>
      <c r="AG633" s="4"/>
    </row>
    <row r="634">
      <c r="A634" s="179"/>
      <c r="B634" s="180"/>
      <c r="C634" s="2"/>
      <c r="E634" s="181"/>
      <c r="F634" s="181"/>
      <c r="G634" s="2"/>
      <c r="I634" s="190"/>
      <c r="J634" s="190"/>
      <c r="K634" s="2"/>
      <c r="AA634" s="4"/>
      <c r="AD634" s="4"/>
      <c r="AG634" s="4"/>
    </row>
    <row r="635">
      <c r="A635" s="179"/>
      <c r="B635" s="180"/>
      <c r="C635" s="2"/>
      <c r="E635" s="181"/>
      <c r="F635" s="181"/>
      <c r="G635" s="2"/>
      <c r="I635" s="190"/>
      <c r="J635" s="190"/>
      <c r="K635" s="2"/>
      <c r="AA635" s="4"/>
      <c r="AD635" s="4"/>
      <c r="AG635" s="4"/>
    </row>
    <row r="636">
      <c r="A636" s="179"/>
      <c r="B636" s="180"/>
      <c r="C636" s="2"/>
      <c r="E636" s="181"/>
      <c r="F636" s="181"/>
      <c r="G636" s="2"/>
      <c r="I636" s="190"/>
      <c r="J636" s="190"/>
      <c r="K636" s="2"/>
      <c r="AA636" s="4"/>
      <c r="AD636" s="4"/>
      <c r="AG636" s="4"/>
    </row>
    <row r="637">
      <c r="A637" s="179"/>
      <c r="B637" s="180"/>
      <c r="C637" s="2"/>
      <c r="E637" s="181"/>
      <c r="F637" s="181"/>
      <c r="G637" s="2"/>
      <c r="I637" s="190"/>
      <c r="J637" s="190"/>
      <c r="K637" s="2"/>
      <c r="AA637" s="4"/>
      <c r="AD637" s="4"/>
      <c r="AG637" s="4"/>
    </row>
    <row r="638">
      <c r="A638" s="179"/>
      <c r="B638" s="180"/>
      <c r="C638" s="2"/>
      <c r="E638" s="181"/>
      <c r="F638" s="181"/>
      <c r="G638" s="2"/>
      <c r="I638" s="190"/>
      <c r="J638" s="190"/>
      <c r="K638" s="2"/>
      <c r="AA638" s="4"/>
      <c r="AD638" s="4"/>
      <c r="AG638" s="4"/>
    </row>
    <row r="639">
      <c r="A639" s="179"/>
      <c r="B639" s="180"/>
      <c r="C639" s="2"/>
      <c r="E639" s="181"/>
      <c r="F639" s="181"/>
      <c r="G639" s="2"/>
      <c r="I639" s="190"/>
      <c r="J639" s="190"/>
      <c r="K639" s="2"/>
      <c r="AA639" s="4"/>
      <c r="AD639" s="4"/>
      <c r="AG639" s="4"/>
    </row>
    <row r="640">
      <c r="A640" s="179"/>
      <c r="B640" s="180"/>
      <c r="C640" s="2"/>
      <c r="E640" s="181"/>
      <c r="F640" s="181"/>
      <c r="G640" s="2"/>
      <c r="I640" s="190"/>
      <c r="J640" s="190"/>
      <c r="K640" s="2"/>
      <c r="AA640" s="4"/>
      <c r="AD640" s="4"/>
      <c r="AG640" s="4"/>
    </row>
    <row r="641">
      <c r="A641" s="179"/>
      <c r="B641" s="180"/>
      <c r="C641" s="2"/>
      <c r="E641" s="181"/>
      <c r="F641" s="181"/>
      <c r="G641" s="2"/>
      <c r="I641" s="190"/>
      <c r="J641" s="190"/>
      <c r="K641" s="2"/>
      <c r="AA641" s="4"/>
      <c r="AD641" s="4"/>
      <c r="AG641" s="4"/>
    </row>
    <row r="642">
      <c r="A642" s="179"/>
      <c r="B642" s="180"/>
      <c r="C642" s="2"/>
      <c r="E642" s="181"/>
      <c r="F642" s="181"/>
      <c r="G642" s="2"/>
      <c r="I642" s="190"/>
      <c r="J642" s="190"/>
      <c r="K642" s="2"/>
      <c r="AA642" s="4"/>
      <c r="AD642" s="4"/>
      <c r="AG642" s="4"/>
    </row>
    <row r="643">
      <c r="A643" s="179"/>
      <c r="B643" s="180"/>
      <c r="C643" s="2"/>
      <c r="E643" s="181"/>
      <c r="F643" s="181"/>
      <c r="G643" s="2"/>
      <c r="I643" s="190"/>
      <c r="J643" s="190"/>
      <c r="K643" s="2"/>
      <c r="AA643" s="4"/>
      <c r="AD643" s="4"/>
      <c r="AG643" s="4"/>
    </row>
    <row r="644">
      <c r="A644" s="179"/>
      <c r="B644" s="180"/>
      <c r="C644" s="2"/>
      <c r="E644" s="181"/>
      <c r="F644" s="181"/>
      <c r="G644" s="2"/>
      <c r="I644" s="190"/>
      <c r="J644" s="190"/>
      <c r="K644" s="2"/>
      <c r="AA644" s="4"/>
      <c r="AD644" s="4"/>
      <c r="AG644" s="4"/>
    </row>
    <row r="645">
      <c r="A645" s="179"/>
      <c r="B645" s="180"/>
      <c r="C645" s="2"/>
      <c r="E645" s="181"/>
      <c r="F645" s="181"/>
      <c r="G645" s="2"/>
      <c r="I645" s="190"/>
      <c r="J645" s="190"/>
      <c r="K645" s="2"/>
      <c r="AA645" s="4"/>
      <c r="AD645" s="4"/>
      <c r="AG645" s="4"/>
    </row>
    <row r="646">
      <c r="A646" s="179"/>
      <c r="B646" s="180"/>
      <c r="C646" s="2"/>
      <c r="E646" s="181"/>
      <c r="F646" s="181"/>
      <c r="G646" s="2"/>
      <c r="I646" s="190"/>
      <c r="J646" s="190"/>
      <c r="K646" s="2"/>
      <c r="AA646" s="4"/>
      <c r="AD646" s="4"/>
      <c r="AG646" s="4"/>
    </row>
    <row r="647">
      <c r="A647" s="179"/>
      <c r="B647" s="180"/>
      <c r="C647" s="2"/>
      <c r="E647" s="181"/>
      <c r="F647" s="181"/>
      <c r="G647" s="2"/>
      <c r="I647" s="190"/>
      <c r="J647" s="190"/>
      <c r="K647" s="2"/>
      <c r="AA647" s="4"/>
      <c r="AD647" s="4"/>
      <c r="AG647" s="4"/>
    </row>
    <row r="648">
      <c r="A648" s="179"/>
      <c r="B648" s="180"/>
      <c r="C648" s="2"/>
      <c r="E648" s="181"/>
      <c r="F648" s="181"/>
      <c r="G648" s="2"/>
      <c r="I648" s="190"/>
      <c r="J648" s="190"/>
      <c r="K648" s="2"/>
      <c r="AA648" s="4"/>
      <c r="AD648" s="4"/>
      <c r="AG648" s="4"/>
    </row>
    <row r="649">
      <c r="A649" s="179"/>
      <c r="B649" s="180"/>
      <c r="C649" s="2"/>
      <c r="E649" s="181"/>
      <c r="F649" s="181"/>
      <c r="G649" s="2"/>
      <c r="I649" s="190"/>
      <c r="J649" s="190"/>
      <c r="K649" s="2"/>
      <c r="AA649" s="4"/>
      <c r="AD649" s="4"/>
      <c r="AG649" s="4"/>
    </row>
    <row r="650">
      <c r="A650" s="179"/>
      <c r="B650" s="180"/>
      <c r="C650" s="2"/>
      <c r="E650" s="181"/>
      <c r="F650" s="181"/>
      <c r="G650" s="2"/>
      <c r="I650" s="190"/>
      <c r="J650" s="190"/>
      <c r="K650" s="2"/>
      <c r="AA650" s="4"/>
      <c r="AD650" s="4"/>
      <c r="AG650" s="4"/>
    </row>
    <row r="651">
      <c r="A651" s="179"/>
      <c r="B651" s="180"/>
      <c r="C651" s="2"/>
      <c r="E651" s="181"/>
      <c r="F651" s="181"/>
      <c r="G651" s="2"/>
      <c r="I651" s="190"/>
      <c r="J651" s="190"/>
      <c r="K651" s="2"/>
      <c r="AA651" s="4"/>
      <c r="AD651" s="4"/>
      <c r="AG651" s="4"/>
    </row>
    <row r="652">
      <c r="A652" s="179"/>
      <c r="B652" s="180"/>
      <c r="C652" s="2"/>
      <c r="E652" s="181"/>
      <c r="F652" s="181"/>
      <c r="G652" s="2"/>
      <c r="I652" s="190"/>
      <c r="J652" s="190"/>
      <c r="K652" s="2"/>
      <c r="AA652" s="4"/>
      <c r="AD652" s="4"/>
      <c r="AG652" s="4"/>
    </row>
    <row r="653">
      <c r="A653" s="179"/>
      <c r="B653" s="180"/>
      <c r="C653" s="2"/>
      <c r="E653" s="181"/>
      <c r="F653" s="181"/>
      <c r="G653" s="2"/>
      <c r="I653" s="190"/>
      <c r="J653" s="190"/>
      <c r="K653" s="2"/>
      <c r="AA653" s="4"/>
      <c r="AD653" s="4"/>
      <c r="AG653" s="4"/>
    </row>
    <row r="654">
      <c r="A654" s="179"/>
      <c r="B654" s="180"/>
      <c r="C654" s="2"/>
      <c r="E654" s="181"/>
      <c r="F654" s="181"/>
      <c r="G654" s="2"/>
      <c r="I654" s="190"/>
      <c r="J654" s="190"/>
      <c r="K654" s="2"/>
      <c r="AA654" s="4"/>
      <c r="AD654" s="4"/>
      <c r="AG654" s="4"/>
    </row>
    <row r="655">
      <c r="A655" s="179"/>
      <c r="B655" s="180"/>
      <c r="C655" s="2"/>
      <c r="E655" s="181"/>
      <c r="F655" s="181"/>
      <c r="G655" s="2"/>
      <c r="I655" s="190"/>
      <c r="J655" s="190"/>
      <c r="K655" s="2"/>
      <c r="AA655" s="4"/>
      <c r="AD655" s="4"/>
      <c r="AG655" s="4"/>
    </row>
    <row r="656">
      <c r="A656" s="179"/>
      <c r="B656" s="180"/>
      <c r="C656" s="2"/>
      <c r="E656" s="181"/>
      <c r="F656" s="181"/>
      <c r="G656" s="2"/>
      <c r="I656" s="190"/>
      <c r="J656" s="190"/>
      <c r="K656" s="2"/>
      <c r="AA656" s="4"/>
      <c r="AD656" s="4"/>
      <c r="AG656" s="4"/>
    </row>
    <row r="657">
      <c r="A657" s="179"/>
      <c r="B657" s="180"/>
      <c r="C657" s="2"/>
      <c r="E657" s="181"/>
      <c r="F657" s="181"/>
      <c r="G657" s="2"/>
      <c r="I657" s="190"/>
      <c r="J657" s="190"/>
      <c r="K657" s="2"/>
      <c r="AA657" s="4"/>
      <c r="AD657" s="4"/>
      <c r="AG657" s="4"/>
    </row>
    <row r="658">
      <c r="A658" s="179"/>
      <c r="B658" s="180"/>
      <c r="C658" s="2"/>
      <c r="E658" s="181"/>
      <c r="F658" s="181"/>
      <c r="G658" s="2"/>
      <c r="I658" s="190"/>
      <c r="J658" s="190"/>
      <c r="K658" s="2"/>
      <c r="AA658" s="4"/>
      <c r="AD658" s="4"/>
      <c r="AG658" s="4"/>
    </row>
    <row r="659">
      <c r="A659" s="179"/>
      <c r="B659" s="180"/>
      <c r="C659" s="2"/>
      <c r="E659" s="181"/>
      <c r="F659" s="181"/>
      <c r="G659" s="2"/>
      <c r="I659" s="190"/>
      <c r="J659" s="190"/>
      <c r="K659" s="2"/>
      <c r="AA659" s="4"/>
      <c r="AD659" s="4"/>
      <c r="AG659" s="4"/>
    </row>
    <row r="660">
      <c r="A660" s="179"/>
      <c r="B660" s="180"/>
      <c r="C660" s="2"/>
      <c r="E660" s="181"/>
      <c r="F660" s="181"/>
      <c r="G660" s="2"/>
      <c r="I660" s="190"/>
      <c r="J660" s="190"/>
      <c r="K660" s="2"/>
      <c r="AA660" s="4"/>
      <c r="AD660" s="4"/>
      <c r="AG660" s="4"/>
    </row>
    <row r="661">
      <c r="A661" s="179"/>
      <c r="B661" s="180"/>
      <c r="C661" s="2"/>
      <c r="E661" s="181"/>
      <c r="F661" s="181"/>
      <c r="G661" s="2"/>
      <c r="I661" s="190"/>
      <c r="J661" s="190"/>
      <c r="K661" s="2"/>
      <c r="AA661" s="4"/>
      <c r="AD661" s="4"/>
      <c r="AG661" s="4"/>
    </row>
    <row r="662">
      <c r="A662" s="179"/>
      <c r="B662" s="180"/>
      <c r="C662" s="2"/>
      <c r="E662" s="181"/>
      <c r="F662" s="181"/>
      <c r="G662" s="2"/>
      <c r="I662" s="190"/>
      <c r="J662" s="190"/>
      <c r="K662" s="2"/>
      <c r="AA662" s="4"/>
      <c r="AD662" s="4"/>
      <c r="AG662" s="4"/>
    </row>
    <row r="663">
      <c r="A663" s="179"/>
      <c r="B663" s="180"/>
      <c r="C663" s="2"/>
      <c r="E663" s="181"/>
      <c r="F663" s="181"/>
      <c r="G663" s="2"/>
      <c r="I663" s="190"/>
      <c r="J663" s="190"/>
      <c r="K663" s="2"/>
      <c r="AA663" s="4"/>
      <c r="AD663" s="4"/>
      <c r="AG663" s="4"/>
    </row>
    <row r="664">
      <c r="A664" s="179"/>
      <c r="B664" s="180"/>
      <c r="C664" s="2"/>
      <c r="E664" s="181"/>
      <c r="F664" s="181"/>
      <c r="G664" s="2"/>
      <c r="I664" s="190"/>
      <c r="J664" s="190"/>
      <c r="K664" s="2"/>
      <c r="AA664" s="4"/>
      <c r="AD664" s="4"/>
      <c r="AG664" s="4"/>
    </row>
    <row r="665">
      <c r="A665" s="179"/>
      <c r="B665" s="180"/>
      <c r="C665" s="2"/>
      <c r="E665" s="181"/>
      <c r="F665" s="181"/>
      <c r="G665" s="2"/>
      <c r="I665" s="190"/>
      <c r="J665" s="190"/>
      <c r="K665" s="2"/>
      <c r="AA665" s="4"/>
      <c r="AD665" s="4"/>
      <c r="AG665" s="4"/>
    </row>
    <row r="666">
      <c r="A666" s="179"/>
      <c r="B666" s="180"/>
      <c r="C666" s="2"/>
      <c r="E666" s="181"/>
      <c r="F666" s="181"/>
      <c r="G666" s="2"/>
      <c r="I666" s="190"/>
      <c r="J666" s="190"/>
      <c r="K666" s="2"/>
      <c r="AA666" s="4"/>
      <c r="AD666" s="4"/>
      <c r="AG666" s="4"/>
    </row>
    <row r="667">
      <c r="A667" s="179"/>
      <c r="B667" s="180"/>
      <c r="C667" s="2"/>
      <c r="E667" s="181"/>
      <c r="F667" s="181"/>
      <c r="G667" s="2"/>
      <c r="I667" s="190"/>
      <c r="J667" s="190"/>
      <c r="K667" s="2"/>
      <c r="AA667" s="4"/>
      <c r="AD667" s="4"/>
      <c r="AG667" s="4"/>
    </row>
    <row r="668">
      <c r="A668" s="179"/>
      <c r="B668" s="180"/>
      <c r="C668" s="2"/>
      <c r="E668" s="181"/>
      <c r="F668" s="181"/>
      <c r="G668" s="2"/>
      <c r="I668" s="190"/>
      <c r="J668" s="190"/>
      <c r="K668" s="2"/>
      <c r="AA668" s="4"/>
      <c r="AD668" s="4"/>
      <c r="AG668" s="4"/>
    </row>
    <row r="669">
      <c r="A669" s="179"/>
      <c r="B669" s="180"/>
      <c r="C669" s="2"/>
      <c r="E669" s="181"/>
      <c r="F669" s="181"/>
      <c r="G669" s="2"/>
      <c r="I669" s="190"/>
      <c r="J669" s="190"/>
      <c r="K669" s="2"/>
      <c r="AA669" s="4"/>
      <c r="AD669" s="4"/>
      <c r="AG669" s="4"/>
    </row>
    <row r="670">
      <c r="A670" s="179"/>
      <c r="B670" s="180"/>
      <c r="C670" s="2"/>
      <c r="E670" s="181"/>
      <c r="F670" s="181"/>
      <c r="G670" s="2"/>
      <c r="I670" s="190"/>
      <c r="J670" s="190"/>
      <c r="K670" s="2"/>
      <c r="AA670" s="4"/>
      <c r="AD670" s="4"/>
      <c r="AG670" s="4"/>
    </row>
    <row r="671">
      <c r="A671" s="179"/>
      <c r="B671" s="180"/>
      <c r="C671" s="2"/>
      <c r="E671" s="181"/>
      <c r="F671" s="181"/>
      <c r="G671" s="2"/>
      <c r="I671" s="190"/>
      <c r="J671" s="190"/>
      <c r="K671" s="2"/>
      <c r="AA671" s="4"/>
      <c r="AD671" s="4"/>
      <c r="AG671" s="4"/>
    </row>
    <row r="672">
      <c r="A672" s="179"/>
      <c r="B672" s="180"/>
      <c r="C672" s="2"/>
      <c r="E672" s="181"/>
      <c r="F672" s="181"/>
      <c r="G672" s="2"/>
      <c r="I672" s="190"/>
      <c r="J672" s="190"/>
      <c r="K672" s="2"/>
      <c r="AA672" s="4"/>
      <c r="AD672" s="4"/>
      <c r="AG672" s="4"/>
    </row>
    <row r="673">
      <c r="A673" s="179"/>
      <c r="B673" s="180"/>
      <c r="C673" s="2"/>
      <c r="E673" s="181"/>
      <c r="F673" s="181"/>
      <c r="G673" s="2"/>
      <c r="I673" s="190"/>
      <c r="J673" s="190"/>
      <c r="K673" s="2"/>
      <c r="AA673" s="4"/>
      <c r="AD673" s="4"/>
      <c r="AG673" s="4"/>
    </row>
    <row r="674">
      <c r="A674" s="179"/>
      <c r="B674" s="180"/>
      <c r="C674" s="2"/>
      <c r="E674" s="181"/>
      <c r="F674" s="181"/>
      <c r="G674" s="2"/>
      <c r="I674" s="190"/>
      <c r="J674" s="190"/>
      <c r="K674" s="2"/>
      <c r="AA674" s="4"/>
      <c r="AD674" s="4"/>
      <c r="AG674" s="4"/>
    </row>
    <row r="675">
      <c r="A675" s="179"/>
      <c r="B675" s="180"/>
      <c r="C675" s="2"/>
      <c r="E675" s="181"/>
      <c r="F675" s="181"/>
      <c r="G675" s="2"/>
      <c r="I675" s="190"/>
      <c r="J675" s="190"/>
      <c r="K675" s="2"/>
      <c r="AA675" s="4"/>
      <c r="AD675" s="4"/>
      <c r="AG675" s="4"/>
    </row>
    <row r="676">
      <c r="A676" s="179"/>
      <c r="B676" s="180"/>
      <c r="C676" s="2"/>
      <c r="E676" s="181"/>
      <c r="F676" s="181"/>
      <c r="G676" s="2"/>
      <c r="I676" s="190"/>
      <c r="J676" s="190"/>
      <c r="K676" s="2"/>
      <c r="AA676" s="4"/>
      <c r="AD676" s="4"/>
      <c r="AG676" s="4"/>
    </row>
    <row r="677">
      <c r="A677" s="179"/>
      <c r="B677" s="180"/>
      <c r="C677" s="2"/>
      <c r="E677" s="181"/>
      <c r="F677" s="181"/>
      <c r="G677" s="2"/>
      <c r="I677" s="190"/>
      <c r="J677" s="190"/>
      <c r="K677" s="2"/>
      <c r="AA677" s="4"/>
      <c r="AD677" s="4"/>
      <c r="AG677" s="4"/>
    </row>
    <row r="678">
      <c r="A678" s="179"/>
      <c r="B678" s="180"/>
      <c r="C678" s="2"/>
      <c r="E678" s="181"/>
      <c r="F678" s="181"/>
      <c r="G678" s="2"/>
      <c r="I678" s="190"/>
      <c r="J678" s="190"/>
      <c r="K678" s="2"/>
      <c r="AA678" s="4"/>
      <c r="AD678" s="4"/>
      <c r="AG678" s="4"/>
    </row>
    <row r="679">
      <c r="A679" s="179"/>
      <c r="B679" s="180"/>
      <c r="C679" s="2"/>
      <c r="E679" s="181"/>
      <c r="F679" s="181"/>
      <c r="G679" s="2"/>
      <c r="I679" s="190"/>
      <c r="J679" s="190"/>
      <c r="K679" s="2"/>
      <c r="AA679" s="4"/>
      <c r="AD679" s="4"/>
      <c r="AG679" s="4"/>
    </row>
    <row r="680">
      <c r="A680" s="179"/>
      <c r="B680" s="180"/>
      <c r="C680" s="2"/>
      <c r="E680" s="181"/>
      <c r="F680" s="181"/>
      <c r="G680" s="2"/>
      <c r="I680" s="190"/>
      <c r="J680" s="190"/>
      <c r="K680" s="2"/>
      <c r="AA680" s="4"/>
      <c r="AD680" s="4"/>
      <c r="AG680" s="4"/>
    </row>
    <row r="681">
      <c r="A681" s="179"/>
      <c r="B681" s="180"/>
      <c r="C681" s="2"/>
      <c r="E681" s="181"/>
      <c r="F681" s="181"/>
      <c r="G681" s="2"/>
      <c r="I681" s="190"/>
      <c r="J681" s="190"/>
      <c r="K681" s="2"/>
      <c r="AA681" s="4"/>
      <c r="AD681" s="4"/>
      <c r="AG681" s="4"/>
    </row>
    <row r="682">
      <c r="A682" s="179"/>
      <c r="B682" s="180"/>
      <c r="C682" s="2"/>
      <c r="E682" s="181"/>
      <c r="F682" s="181"/>
      <c r="G682" s="2"/>
      <c r="I682" s="190"/>
      <c r="J682" s="190"/>
      <c r="K682" s="2"/>
      <c r="AA682" s="4"/>
      <c r="AD682" s="4"/>
      <c r="AG682" s="4"/>
    </row>
    <row r="683">
      <c r="A683" s="179"/>
      <c r="B683" s="180"/>
      <c r="C683" s="2"/>
      <c r="E683" s="181"/>
      <c r="F683" s="181"/>
      <c r="G683" s="2"/>
      <c r="I683" s="190"/>
      <c r="J683" s="190"/>
      <c r="K683" s="2"/>
      <c r="AA683" s="4"/>
      <c r="AD683" s="4"/>
      <c r="AG683" s="4"/>
    </row>
    <row r="684">
      <c r="A684" s="179"/>
      <c r="B684" s="180"/>
      <c r="C684" s="2"/>
      <c r="E684" s="181"/>
      <c r="F684" s="181"/>
      <c r="G684" s="2"/>
      <c r="I684" s="190"/>
      <c r="J684" s="190"/>
      <c r="K684" s="2"/>
      <c r="AA684" s="4"/>
      <c r="AD684" s="4"/>
      <c r="AG684" s="4"/>
    </row>
    <row r="685">
      <c r="A685" s="179"/>
      <c r="B685" s="180"/>
      <c r="C685" s="2"/>
      <c r="E685" s="181"/>
      <c r="F685" s="181"/>
      <c r="G685" s="2"/>
      <c r="I685" s="190"/>
      <c r="J685" s="190"/>
      <c r="K685" s="2"/>
      <c r="AA685" s="4"/>
      <c r="AD685" s="4"/>
      <c r="AG685" s="4"/>
    </row>
    <row r="686">
      <c r="A686" s="179"/>
      <c r="B686" s="180"/>
      <c r="C686" s="2"/>
      <c r="E686" s="181"/>
      <c r="F686" s="181"/>
      <c r="G686" s="2"/>
      <c r="I686" s="190"/>
      <c r="J686" s="190"/>
      <c r="K686" s="2"/>
      <c r="AA686" s="4"/>
      <c r="AD686" s="4"/>
      <c r="AG686" s="4"/>
    </row>
    <row r="687">
      <c r="A687" s="179"/>
      <c r="B687" s="180"/>
      <c r="C687" s="2"/>
      <c r="E687" s="181"/>
      <c r="F687" s="181"/>
      <c r="G687" s="2"/>
      <c r="I687" s="190"/>
      <c r="J687" s="190"/>
      <c r="K687" s="2"/>
      <c r="AA687" s="4"/>
      <c r="AD687" s="4"/>
      <c r="AG687" s="4"/>
    </row>
    <row r="688">
      <c r="A688" s="179"/>
      <c r="B688" s="180"/>
      <c r="C688" s="2"/>
      <c r="E688" s="181"/>
      <c r="F688" s="181"/>
      <c r="G688" s="2"/>
      <c r="I688" s="190"/>
      <c r="J688" s="190"/>
      <c r="K688" s="2"/>
      <c r="AA688" s="4"/>
      <c r="AD688" s="4"/>
      <c r="AG688" s="4"/>
    </row>
    <row r="689">
      <c r="A689" s="179"/>
      <c r="B689" s="180"/>
      <c r="C689" s="2"/>
      <c r="E689" s="181"/>
      <c r="F689" s="181"/>
      <c r="G689" s="2"/>
      <c r="I689" s="190"/>
      <c r="J689" s="190"/>
      <c r="K689" s="2"/>
      <c r="AA689" s="4"/>
      <c r="AD689" s="4"/>
      <c r="AG689" s="4"/>
    </row>
    <row r="690">
      <c r="A690" s="179"/>
      <c r="B690" s="180"/>
      <c r="C690" s="2"/>
      <c r="E690" s="181"/>
      <c r="F690" s="181"/>
      <c r="G690" s="2"/>
      <c r="I690" s="190"/>
      <c r="J690" s="190"/>
      <c r="K690" s="2"/>
      <c r="AA690" s="4"/>
      <c r="AD690" s="4"/>
      <c r="AG690" s="4"/>
    </row>
    <row r="691">
      <c r="A691" s="179"/>
      <c r="B691" s="180"/>
      <c r="C691" s="2"/>
      <c r="E691" s="181"/>
      <c r="F691" s="181"/>
      <c r="G691" s="2"/>
      <c r="I691" s="190"/>
      <c r="J691" s="190"/>
      <c r="K691" s="2"/>
      <c r="AA691" s="4"/>
      <c r="AD691" s="4"/>
      <c r="AG691" s="4"/>
    </row>
    <row r="692">
      <c r="A692" s="179"/>
      <c r="B692" s="180"/>
      <c r="C692" s="2"/>
      <c r="E692" s="181"/>
      <c r="F692" s="181"/>
      <c r="G692" s="2"/>
      <c r="I692" s="190"/>
      <c r="J692" s="190"/>
      <c r="K692" s="2"/>
      <c r="AA692" s="4"/>
      <c r="AD692" s="4"/>
      <c r="AG692" s="4"/>
    </row>
    <row r="693">
      <c r="A693" s="179"/>
      <c r="B693" s="180"/>
      <c r="C693" s="2"/>
      <c r="E693" s="181"/>
      <c r="F693" s="181"/>
      <c r="G693" s="2"/>
      <c r="I693" s="190"/>
      <c r="J693" s="190"/>
      <c r="K693" s="2"/>
      <c r="AA693" s="4"/>
      <c r="AD693" s="4"/>
      <c r="AG693" s="4"/>
    </row>
    <row r="694">
      <c r="A694" s="179"/>
      <c r="B694" s="180"/>
      <c r="C694" s="2"/>
      <c r="E694" s="181"/>
      <c r="F694" s="181"/>
      <c r="G694" s="2"/>
      <c r="I694" s="190"/>
      <c r="J694" s="190"/>
      <c r="K694" s="2"/>
      <c r="AA694" s="4"/>
      <c r="AD694" s="4"/>
      <c r="AG694" s="4"/>
    </row>
    <row r="695">
      <c r="A695" s="179"/>
      <c r="B695" s="180"/>
      <c r="C695" s="2"/>
      <c r="E695" s="181"/>
      <c r="F695" s="181"/>
      <c r="G695" s="2"/>
      <c r="I695" s="190"/>
      <c r="J695" s="190"/>
      <c r="K695" s="2"/>
      <c r="AA695" s="4"/>
      <c r="AD695" s="4"/>
      <c r="AG695" s="4"/>
    </row>
    <row r="696">
      <c r="A696" s="179"/>
      <c r="B696" s="180"/>
      <c r="C696" s="2"/>
      <c r="E696" s="181"/>
      <c r="F696" s="181"/>
      <c r="G696" s="2"/>
      <c r="I696" s="190"/>
      <c r="J696" s="190"/>
      <c r="K696" s="2"/>
      <c r="AA696" s="4"/>
      <c r="AD696" s="4"/>
      <c r="AG696" s="4"/>
    </row>
    <row r="697">
      <c r="A697" s="179"/>
      <c r="B697" s="180"/>
      <c r="C697" s="2"/>
      <c r="E697" s="181"/>
      <c r="F697" s="181"/>
      <c r="G697" s="2"/>
      <c r="I697" s="190"/>
      <c r="J697" s="190"/>
      <c r="K697" s="2"/>
      <c r="AA697" s="4"/>
      <c r="AD697" s="4"/>
      <c r="AG697" s="4"/>
    </row>
    <row r="698">
      <c r="A698" s="179"/>
      <c r="B698" s="180"/>
      <c r="C698" s="2"/>
      <c r="E698" s="181"/>
      <c r="F698" s="181"/>
      <c r="G698" s="2"/>
      <c r="I698" s="190"/>
      <c r="J698" s="190"/>
      <c r="K698" s="2"/>
      <c r="AA698" s="4"/>
      <c r="AD698" s="4"/>
      <c r="AG698" s="4"/>
    </row>
    <row r="699">
      <c r="A699" s="179"/>
      <c r="B699" s="180"/>
      <c r="C699" s="2"/>
      <c r="E699" s="181"/>
      <c r="F699" s="181"/>
      <c r="G699" s="2"/>
      <c r="I699" s="190"/>
      <c r="J699" s="190"/>
      <c r="K699" s="2"/>
      <c r="AA699" s="4"/>
      <c r="AD699" s="4"/>
      <c r="AG699" s="4"/>
    </row>
    <row r="700">
      <c r="A700" s="179"/>
      <c r="B700" s="180"/>
      <c r="C700" s="2"/>
      <c r="E700" s="181"/>
      <c r="F700" s="181"/>
      <c r="G700" s="2"/>
      <c r="I700" s="190"/>
      <c r="J700" s="190"/>
      <c r="K700" s="2"/>
      <c r="AA700" s="4"/>
      <c r="AD700" s="4"/>
      <c r="AG700" s="4"/>
    </row>
    <row r="701">
      <c r="A701" s="179"/>
      <c r="B701" s="180"/>
      <c r="C701" s="2"/>
      <c r="E701" s="181"/>
      <c r="F701" s="181"/>
      <c r="G701" s="2"/>
      <c r="I701" s="190"/>
      <c r="J701" s="190"/>
      <c r="K701" s="2"/>
      <c r="AA701" s="4"/>
      <c r="AD701" s="4"/>
      <c r="AG701" s="4"/>
    </row>
    <row r="702">
      <c r="A702" s="179"/>
      <c r="B702" s="180"/>
      <c r="C702" s="2"/>
      <c r="E702" s="181"/>
      <c r="F702" s="181"/>
      <c r="G702" s="2"/>
      <c r="I702" s="190"/>
      <c r="J702" s="190"/>
      <c r="K702" s="2"/>
      <c r="AA702" s="4"/>
      <c r="AD702" s="4"/>
      <c r="AG702" s="4"/>
    </row>
    <row r="703">
      <c r="A703" s="179"/>
      <c r="B703" s="180"/>
      <c r="C703" s="2"/>
      <c r="E703" s="181"/>
      <c r="F703" s="181"/>
      <c r="G703" s="2"/>
      <c r="I703" s="190"/>
      <c r="J703" s="190"/>
      <c r="K703" s="2"/>
      <c r="AA703" s="4"/>
      <c r="AD703" s="4"/>
      <c r="AG703" s="4"/>
    </row>
    <row r="704">
      <c r="A704" s="179"/>
      <c r="B704" s="180"/>
      <c r="C704" s="2"/>
      <c r="E704" s="181"/>
      <c r="F704" s="181"/>
      <c r="G704" s="2"/>
      <c r="I704" s="190"/>
      <c r="J704" s="190"/>
      <c r="K704" s="2"/>
      <c r="AA704" s="4"/>
      <c r="AD704" s="4"/>
      <c r="AG704" s="4"/>
    </row>
    <row r="705">
      <c r="A705" s="179"/>
      <c r="B705" s="180"/>
      <c r="C705" s="2"/>
      <c r="E705" s="181"/>
      <c r="F705" s="181"/>
      <c r="G705" s="2"/>
      <c r="I705" s="190"/>
      <c r="J705" s="190"/>
      <c r="K705" s="2"/>
      <c r="AA705" s="4"/>
      <c r="AD705" s="4"/>
      <c r="AG705" s="4"/>
    </row>
    <row r="706">
      <c r="A706" s="179"/>
      <c r="B706" s="180"/>
      <c r="C706" s="2"/>
      <c r="E706" s="181"/>
      <c r="F706" s="181"/>
      <c r="G706" s="2"/>
      <c r="I706" s="190"/>
      <c r="J706" s="190"/>
      <c r="K706" s="2"/>
      <c r="AA706" s="4"/>
      <c r="AD706" s="4"/>
      <c r="AG706" s="4"/>
    </row>
    <row r="707">
      <c r="A707" s="179"/>
      <c r="B707" s="180"/>
      <c r="C707" s="2"/>
      <c r="E707" s="181"/>
      <c r="F707" s="181"/>
      <c r="G707" s="2"/>
      <c r="I707" s="190"/>
      <c r="J707" s="190"/>
      <c r="K707" s="2"/>
      <c r="AA707" s="4"/>
      <c r="AD707" s="4"/>
      <c r="AG707" s="4"/>
    </row>
    <row r="708">
      <c r="A708" s="179"/>
      <c r="B708" s="180"/>
      <c r="C708" s="2"/>
      <c r="E708" s="181"/>
      <c r="F708" s="181"/>
      <c r="G708" s="2"/>
      <c r="I708" s="190"/>
      <c r="J708" s="190"/>
      <c r="K708" s="2"/>
      <c r="AA708" s="4"/>
      <c r="AD708" s="4"/>
      <c r="AG708" s="4"/>
    </row>
    <row r="709">
      <c r="A709" s="179"/>
      <c r="B709" s="180"/>
      <c r="C709" s="2"/>
      <c r="E709" s="181"/>
      <c r="F709" s="181"/>
      <c r="G709" s="2"/>
      <c r="I709" s="190"/>
      <c r="J709" s="190"/>
      <c r="K709" s="2"/>
      <c r="AA709" s="4"/>
      <c r="AD709" s="4"/>
      <c r="AG709" s="4"/>
    </row>
    <row r="710">
      <c r="A710" s="179"/>
      <c r="B710" s="180"/>
      <c r="C710" s="2"/>
      <c r="E710" s="181"/>
      <c r="F710" s="181"/>
      <c r="G710" s="2"/>
      <c r="I710" s="190"/>
      <c r="J710" s="190"/>
      <c r="K710" s="2"/>
      <c r="AA710" s="4"/>
      <c r="AD710" s="4"/>
      <c r="AG710" s="4"/>
    </row>
    <row r="711">
      <c r="A711" s="179"/>
      <c r="B711" s="180"/>
      <c r="C711" s="2"/>
      <c r="E711" s="181"/>
      <c r="F711" s="181"/>
      <c r="G711" s="2"/>
      <c r="I711" s="190"/>
      <c r="J711" s="190"/>
      <c r="K711" s="2"/>
      <c r="AA711" s="4"/>
      <c r="AD711" s="4"/>
      <c r="AG711" s="4"/>
    </row>
    <row r="712">
      <c r="A712" s="179"/>
      <c r="B712" s="180"/>
      <c r="C712" s="2"/>
      <c r="E712" s="181"/>
      <c r="F712" s="181"/>
      <c r="G712" s="2"/>
      <c r="I712" s="190"/>
      <c r="J712" s="190"/>
      <c r="K712" s="2"/>
      <c r="AA712" s="4"/>
      <c r="AD712" s="4"/>
      <c r="AG712" s="4"/>
    </row>
    <row r="713">
      <c r="A713" s="179"/>
      <c r="B713" s="180"/>
      <c r="C713" s="2"/>
      <c r="E713" s="181"/>
      <c r="F713" s="181"/>
      <c r="G713" s="2"/>
      <c r="I713" s="190"/>
      <c r="J713" s="190"/>
      <c r="K713" s="2"/>
      <c r="AA713" s="4"/>
      <c r="AD713" s="4"/>
      <c r="AG713" s="4"/>
    </row>
    <row r="714">
      <c r="A714" s="179"/>
      <c r="B714" s="180"/>
      <c r="C714" s="2"/>
      <c r="E714" s="181"/>
      <c r="F714" s="181"/>
      <c r="G714" s="2"/>
      <c r="I714" s="190"/>
      <c r="J714" s="190"/>
      <c r="K714" s="2"/>
      <c r="AA714" s="4"/>
      <c r="AD714" s="4"/>
      <c r="AG714" s="4"/>
    </row>
    <row r="715">
      <c r="A715" s="179"/>
      <c r="B715" s="180"/>
      <c r="C715" s="2"/>
      <c r="E715" s="181"/>
      <c r="F715" s="181"/>
      <c r="G715" s="2"/>
      <c r="I715" s="190"/>
      <c r="J715" s="190"/>
      <c r="K715" s="2"/>
      <c r="AA715" s="4"/>
      <c r="AD715" s="4"/>
      <c r="AG715" s="4"/>
    </row>
    <row r="716">
      <c r="A716" s="179"/>
      <c r="B716" s="180"/>
      <c r="C716" s="2"/>
      <c r="E716" s="181"/>
      <c r="F716" s="181"/>
      <c r="G716" s="2"/>
      <c r="I716" s="190"/>
      <c r="J716" s="190"/>
      <c r="K716" s="2"/>
      <c r="AA716" s="4"/>
      <c r="AD716" s="4"/>
      <c r="AG716" s="4"/>
    </row>
    <row r="717">
      <c r="A717" s="179"/>
      <c r="B717" s="180"/>
      <c r="C717" s="2"/>
      <c r="E717" s="181"/>
      <c r="F717" s="181"/>
      <c r="G717" s="2"/>
      <c r="I717" s="190"/>
      <c r="J717" s="190"/>
      <c r="K717" s="2"/>
      <c r="AA717" s="4"/>
      <c r="AD717" s="4"/>
      <c r="AG717" s="4"/>
    </row>
    <row r="718">
      <c r="A718" s="179"/>
      <c r="B718" s="180"/>
      <c r="C718" s="2"/>
      <c r="E718" s="181"/>
      <c r="F718" s="181"/>
      <c r="G718" s="2"/>
      <c r="I718" s="190"/>
      <c r="J718" s="190"/>
      <c r="K718" s="2"/>
      <c r="AA718" s="4"/>
      <c r="AD718" s="4"/>
      <c r="AG718" s="4"/>
    </row>
    <row r="719">
      <c r="A719" s="179"/>
      <c r="B719" s="180"/>
      <c r="C719" s="2"/>
      <c r="E719" s="181"/>
      <c r="F719" s="181"/>
      <c r="G719" s="2"/>
      <c r="I719" s="190"/>
      <c r="J719" s="190"/>
      <c r="K719" s="2"/>
      <c r="AA719" s="4"/>
      <c r="AD719" s="4"/>
      <c r="AG719" s="4"/>
    </row>
    <row r="720">
      <c r="A720" s="179"/>
      <c r="B720" s="180"/>
      <c r="C720" s="2"/>
      <c r="E720" s="181"/>
      <c r="F720" s="181"/>
      <c r="G720" s="2"/>
      <c r="I720" s="190"/>
      <c r="J720" s="190"/>
      <c r="K720" s="2"/>
      <c r="AA720" s="4"/>
      <c r="AD720" s="4"/>
      <c r="AG720" s="4"/>
    </row>
    <row r="721">
      <c r="A721" s="179"/>
      <c r="B721" s="180"/>
      <c r="C721" s="2"/>
      <c r="E721" s="181"/>
      <c r="F721" s="181"/>
      <c r="G721" s="2"/>
      <c r="I721" s="190"/>
      <c r="J721" s="190"/>
      <c r="K721" s="2"/>
      <c r="AA721" s="4"/>
      <c r="AD721" s="4"/>
      <c r="AG721" s="4"/>
    </row>
    <row r="722">
      <c r="A722" s="179"/>
      <c r="B722" s="180"/>
      <c r="C722" s="2"/>
      <c r="E722" s="181"/>
      <c r="F722" s="181"/>
      <c r="G722" s="2"/>
      <c r="I722" s="190"/>
      <c r="J722" s="190"/>
      <c r="K722" s="2"/>
      <c r="AA722" s="4"/>
      <c r="AD722" s="4"/>
      <c r="AG722" s="4"/>
    </row>
    <row r="723">
      <c r="A723" s="179"/>
      <c r="B723" s="180"/>
      <c r="C723" s="2"/>
      <c r="E723" s="181"/>
      <c r="F723" s="181"/>
      <c r="G723" s="2"/>
      <c r="I723" s="190"/>
      <c r="J723" s="190"/>
      <c r="K723" s="2"/>
      <c r="AA723" s="4"/>
      <c r="AD723" s="4"/>
      <c r="AG723" s="4"/>
    </row>
    <row r="724">
      <c r="A724" s="179"/>
      <c r="B724" s="180"/>
      <c r="C724" s="2"/>
      <c r="E724" s="181"/>
      <c r="F724" s="181"/>
      <c r="G724" s="2"/>
      <c r="I724" s="190"/>
      <c r="J724" s="190"/>
      <c r="K724" s="2"/>
      <c r="AA724" s="4"/>
      <c r="AD724" s="4"/>
      <c r="AG724" s="4"/>
    </row>
    <row r="725">
      <c r="A725" s="179"/>
      <c r="B725" s="180"/>
      <c r="C725" s="2"/>
      <c r="E725" s="181"/>
      <c r="F725" s="181"/>
      <c r="G725" s="2"/>
      <c r="I725" s="190"/>
      <c r="J725" s="190"/>
      <c r="K725" s="2"/>
      <c r="AA725" s="4"/>
      <c r="AD725" s="4"/>
      <c r="AG725" s="4"/>
    </row>
    <row r="726">
      <c r="A726" s="179"/>
      <c r="B726" s="180"/>
      <c r="C726" s="2"/>
      <c r="E726" s="181"/>
      <c r="F726" s="181"/>
      <c r="G726" s="2"/>
      <c r="I726" s="190"/>
      <c r="J726" s="190"/>
      <c r="K726" s="2"/>
      <c r="AA726" s="4"/>
      <c r="AD726" s="4"/>
      <c r="AG726" s="4"/>
    </row>
    <row r="727">
      <c r="A727" s="179"/>
      <c r="B727" s="180"/>
      <c r="C727" s="2"/>
      <c r="E727" s="181"/>
      <c r="F727" s="181"/>
      <c r="G727" s="2"/>
      <c r="I727" s="190"/>
      <c r="J727" s="190"/>
      <c r="K727" s="2"/>
      <c r="AA727" s="4"/>
      <c r="AD727" s="4"/>
      <c r="AG727" s="4"/>
    </row>
    <row r="728">
      <c r="A728" s="179"/>
      <c r="B728" s="180"/>
      <c r="C728" s="2"/>
      <c r="E728" s="181"/>
      <c r="F728" s="181"/>
      <c r="G728" s="2"/>
      <c r="I728" s="190"/>
      <c r="J728" s="190"/>
      <c r="K728" s="2"/>
      <c r="AA728" s="4"/>
      <c r="AD728" s="4"/>
      <c r="AG728" s="4"/>
    </row>
    <row r="729">
      <c r="A729" s="179"/>
      <c r="B729" s="180"/>
      <c r="C729" s="2"/>
      <c r="E729" s="181"/>
      <c r="F729" s="181"/>
      <c r="G729" s="2"/>
      <c r="I729" s="190"/>
      <c r="J729" s="190"/>
      <c r="K729" s="2"/>
      <c r="AA729" s="4"/>
      <c r="AD729" s="4"/>
      <c r="AG729" s="4"/>
    </row>
    <row r="730">
      <c r="A730" s="179"/>
      <c r="B730" s="180"/>
      <c r="C730" s="2"/>
      <c r="E730" s="181"/>
      <c r="F730" s="181"/>
      <c r="G730" s="2"/>
      <c r="I730" s="190"/>
      <c r="J730" s="190"/>
      <c r="K730" s="2"/>
      <c r="AA730" s="4"/>
      <c r="AD730" s="4"/>
      <c r="AG730" s="4"/>
    </row>
    <row r="731">
      <c r="A731" s="179"/>
      <c r="B731" s="180"/>
      <c r="C731" s="2"/>
      <c r="E731" s="181"/>
      <c r="F731" s="181"/>
      <c r="G731" s="2"/>
      <c r="I731" s="190"/>
      <c r="J731" s="190"/>
      <c r="K731" s="2"/>
      <c r="AA731" s="4"/>
      <c r="AD731" s="4"/>
      <c r="AG731" s="4"/>
    </row>
    <row r="732">
      <c r="A732" s="179"/>
      <c r="B732" s="180"/>
      <c r="C732" s="2"/>
      <c r="E732" s="181"/>
      <c r="F732" s="181"/>
      <c r="G732" s="2"/>
      <c r="I732" s="190"/>
      <c r="J732" s="190"/>
      <c r="K732" s="2"/>
      <c r="AA732" s="4"/>
      <c r="AD732" s="4"/>
      <c r="AG732" s="4"/>
    </row>
    <row r="733">
      <c r="A733" s="179"/>
      <c r="B733" s="180"/>
      <c r="C733" s="2"/>
      <c r="E733" s="181"/>
      <c r="F733" s="181"/>
      <c r="G733" s="2"/>
      <c r="I733" s="190"/>
      <c r="J733" s="190"/>
      <c r="K733" s="2"/>
      <c r="AA733" s="4"/>
      <c r="AD733" s="4"/>
      <c r="AG733" s="4"/>
    </row>
    <row r="734">
      <c r="A734" s="179"/>
      <c r="B734" s="180"/>
      <c r="C734" s="2"/>
      <c r="E734" s="181"/>
      <c r="F734" s="181"/>
      <c r="G734" s="2"/>
      <c r="I734" s="190"/>
      <c r="J734" s="190"/>
      <c r="K734" s="2"/>
      <c r="AA734" s="4"/>
      <c r="AD734" s="4"/>
      <c r="AG734" s="4"/>
    </row>
    <row r="735">
      <c r="A735" s="179"/>
      <c r="B735" s="180"/>
      <c r="C735" s="2"/>
      <c r="E735" s="181"/>
      <c r="F735" s="181"/>
      <c r="G735" s="2"/>
      <c r="I735" s="190"/>
      <c r="J735" s="190"/>
      <c r="K735" s="2"/>
      <c r="AA735" s="4"/>
      <c r="AD735" s="4"/>
      <c r="AG735" s="4"/>
    </row>
    <row r="736">
      <c r="A736" s="179"/>
      <c r="B736" s="180"/>
      <c r="C736" s="2"/>
      <c r="E736" s="181"/>
      <c r="F736" s="181"/>
      <c r="G736" s="2"/>
      <c r="I736" s="190"/>
      <c r="J736" s="190"/>
      <c r="K736" s="2"/>
      <c r="AA736" s="4"/>
      <c r="AD736" s="4"/>
      <c r="AG736" s="4"/>
    </row>
    <row r="737">
      <c r="A737" s="179"/>
      <c r="B737" s="180"/>
      <c r="C737" s="2"/>
      <c r="E737" s="181"/>
      <c r="F737" s="181"/>
      <c r="G737" s="2"/>
      <c r="I737" s="190"/>
      <c r="J737" s="190"/>
      <c r="K737" s="2"/>
      <c r="AA737" s="4"/>
      <c r="AD737" s="4"/>
      <c r="AG737" s="4"/>
    </row>
    <row r="738">
      <c r="A738" s="179"/>
      <c r="B738" s="180"/>
      <c r="C738" s="2"/>
      <c r="E738" s="181"/>
      <c r="F738" s="181"/>
      <c r="G738" s="2"/>
      <c r="I738" s="190"/>
      <c r="J738" s="190"/>
      <c r="K738" s="2"/>
      <c r="AA738" s="4"/>
      <c r="AD738" s="4"/>
      <c r="AG738" s="4"/>
    </row>
    <row r="739">
      <c r="A739" s="179"/>
      <c r="B739" s="180"/>
      <c r="C739" s="2"/>
      <c r="E739" s="181"/>
      <c r="F739" s="181"/>
      <c r="G739" s="2"/>
      <c r="I739" s="190"/>
      <c r="J739" s="190"/>
      <c r="K739" s="2"/>
      <c r="AA739" s="4"/>
      <c r="AD739" s="4"/>
      <c r="AG739" s="4"/>
    </row>
    <row r="740">
      <c r="A740" s="179"/>
      <c r="B740" s="180"/>
      <c r="C740" s="2"/>
      <c r="E740" s="181"/>
      <c r="F740" s="181"/>
      <c r="G740" s="2"/>
      <c r="I740" s="190"/>
      <c r="J740" s="190"/>
      <c r="K740" s="2"/>
      <c r="AA740" s="4"/>
      <c r="AD740" s="4"/>
      <c r="AG740" s="4"/>
    </row>
    <row r="741">
      <c r="A741" s="179"/>
      <c r="B741" s="180"/>
      <c r="C741" s="2"/>
      <c r="E741" s="181"/>
      <c r="F741" s="181"/>
      <c r="G741" s="2"/>
      <c r="I741" s="190"/>
      <c r="J741" s="190"/>
      <c r="K741" s="2"/>
      <c r="AA741" s="4"/>
      <c r="AD741" s="4"/>
      <c r="AG741" s="4"/>
    </row>
    <row r="742">
      <c r="A742" s="179"/>
      <c r="B742" s="180"/>
      <c r="C742" s="2"/>
      <c r="E742" s="181"/>
      <c r="F742" s="181"/>
      <c r="G742" s="2"/>
      <c r="I742" s="190"/>
      <c r="J742" s="190"/>
      <c r="K742" s="2"/>
      <c r="AA742" s="4"/>
      <c r="AD742" s="4"/>
      <c r="AG742" s="4"/>
    </row>
    <row r="743">
      <c r="A743" s="179"/>
      <c r="B743" s="180"/>
      <c r="C743" s="2"/>
      <c r="E743" s="181"/>
      <c r="F743" s="181"/>
      <c r="G743" s="2"/>
      <c r="I743" s="190"/>
      <c r="J743" s="190"/>
      <c r="K743" s="2"/>
      <c r="AA743" s="4"/>
      <c r="AD743" s="4"/>
      <c r="AG743" s="4"/>
    </row>
    <row r="744">
      <c r="A744" s="179"/>
      <c r="B744" s="180"/>
      <c r="C744" s="2"/>
      <c r="E744" s="181"/>
      <c r="F744" s="181"/>
      <c r="G744" s="2"/>
      <c r="I744" s="190"/>
      <c r="J744" s="190"/>
      <c r="K744" s="2"/>
      <c r="AA744" s="4"/>
      <c r="AD744" s="4"/>
      <c r="AG744" s="4"/>
    </row>
    <row r="745">
      <c r="A745" s="179"/>
      <c r="B745" s="180"/>
      <c r="C745" s="2"/>
      <c r="E745" s="181"/>
      <c r="F745" s="181"/>
      <c r="G745" s="2"/>
      <c r="I745" s="190"/>
      <c r="J745" s="190"/>
      <c r="K745" s="2"/>
      <c r="AA745" s="4"/>
      <c r="AD745" s="4"/>
      <c r="AG745" s="4"/>
    </row>
    <row r="746">
      <c r="A746" s="179"/>
      <c r="B746" s="180"/>
      <c r="C746" s="2"/>
      <c r="E746" s="181"/>
      <c r="F746" s="181"/>
      <c r="G746" s="2"/>
      <c r="I746" s="190"/>
      <c r="J746" s="190"/>
      <c r="K746" s="2"/>
      <c r="AA746" s="4"/>
      <c r="AD746" s="4"/>
      <c r="AG746" s="4"/>
    </row>
    <row r="747">
      <c r="A747" s="179"/>
      <c r="B747" s="180"/>
      <c r="C747" s="2"/>
      <c r="E747" s="181"/>
      <c r="F747" s="181"/>
      <c r="G747" s="2"/>
      <c r="I747" s="190"/>
      <c r="J747" s="190"/>
      <c r="K747" s="2"/>
      <c r="AA747" s="4"/>
      <c r="AD747" s="4"/>
      <c r="AG747" s="4"/>
    </row>
    <row r="748">
      <c r="A748" s="179"/>
      <c r="B748" s="180"/>
      <c r="C748" s="2"/>
      <c r="E748" s="181"/>
      <c r="F748" s="181"/>
      <c r="G748" s="2"/>
      <c r="I748" s="190"/>
      <c r="J748" s="190"/>
      <c r="K748" s="2"/>
      <c r="AA748" s="4"/>
      <c r="AD748" s="4"/>
      <c r="AG748" s="4"/>
    </row>
    <row r="749">
      <c r="A749" s="179"/>
      <c r="B749" s="180"/>
      <c r="C749" s="2"/>
      <c r="E749" s="181"/>
      <c r="F749" s="181"/>
      <c r="G749" s="2"/>
      <c r="I749" s="190"/>
      <c r="J749" s="190"/>
      <c r="K749" s="2"/>
      <c r="AA749" s="4"/>
      <c r="AD749" s="4"/>
      <c r="AG749" s="4"/>
    </row>
    <row r="750">
      <c r="A750" s="179"/>
      <c r="B750" s="180"/>
      <c r="C750" s="2"/>
      <c r="E750" s="181"/>
      <c r="F750" s="181"/>
      <c r="G750" s="2"/>
      <c r="I750" s="190"/>
      <c r="J750" s="190"/>
      <c r="K750" s="2"/>
      <c r="AA750" s="4"/>
      <c r="AD750" s="4"/>
      <c r="AG750" s="4"/>
    </row>
    <row r="751">
      <c r="A751" s="179"/>
      <c r="B751" s="180"/>
      <c r="C751" s="2"/>
      <c r="E751" s="181"/>
      <c r="F751" s="181"/>
      <c r="G751" s="2"/>
      <c r="I751" s="190"/>
      <c r="J751" s="190"/>
      <c r="K751" s="2"/>
      <c r="AA751" s="4"/>
      <c r="AD751" s="4"/>
      <c r="AG751" s="4"/>
    </row>
    <row r="752">
      <c r="A752" s="179"/>
      <c r="B752" s="180"/>
      <c r="C752" s="2"/>
      <c r="E752" s="181"/>
      <c r="F752" s="181"/>
      <c r="G752" s="2"/>
      <c r="I752" s="190"/>
      <c r="J752" s="190"/>
      <c r="K752" s="2"/>
      <c r="AA752" s="4"/>
      <c r="AD752" s="4"/>
      <c r="AG752" s="4"/>
    </row>
    <row r="753">
      <c r="A753" s="179"/>
      <c r="B753" s="180"/>
      <c r="C753" s="2"/>
      <c r="E753" s="181"/>
      <c r="F753" s="181"/>
      <c r="G753" s="2"/>
      <c r="I753" s="190"/>
      <c r="J753" s="190"/>
      <c r="K753" s="2"/>
      <c r="AA753" s="4"/>
      <c r="AD753" s="4"/>
      <c r="AG753" s="4"/>
    </row>
    <row r="754">
      <c r="A754" s="179"/>
      <c r="B754" s="180"/>
      <c r="C754" s="2"/>
      <c r="E754" s="181"/>
      <c r="F754" s="181"/>
      <c r="G754" s="2"/>
      <c r="I754" s="190"/>
      <c r="J754" s="190"/>
      <c r="K754" s="2"/>
      <c r="AA754" s="4"/>
      <c r="AD754" s="4"/>
      <c r="AG754" s="4"/>
    </row>
    <row r="755">
      <c r="A755" s="179"/>
      <c r="B755" s="180"/>
      <c r="C755" s="2"/>
      <c r="E755" s="181"/>
      <c r="F755" s="181"/>
      <c r="G755" s="2"/>
      <c r="I755" s="190"/>
      <c r="J755" s="190"/>
      <c r="K755" s="2"/>
      <c r="AA755" s="4"/>
      <c r="AD755" s="4"/>
      <c r="AG755" s="4"/>
    </row>
    <row r="756">
      <c r="A756" s="179"/>
      <c r="B756" s="180"/>
      <c r="C756" s="2"/>
      <c r="E756" s="181"/>
      <c r="F756" s="181"/>
      <c r="G756" s="2"/>
      <c r="I756" s="190"/>
      <c r="J756" s="190"/>
      <c r="K756" s="2"/>
      <c r="AA756" s="4"/>
      <c r="AD756" s="4"/>
      <c r="AG756" s="4"/>
    </row>
    <row r="757">
      <c r="A757" s="179"/>
      <c r="B757" s="180"/>
      <c r="C757" s="2"/>
      <c r="E757" s="181"/>
      <c r="F757" s="181"/>
      <c r="G757" s="2"/>
      <c r="I757" s="190"/>
      <c r="J757" s="190"/>
      <c r="K757" s="2"/>
      <c r="AA757" s="4"/>
      <c r="AD757" s="4"/>
      <c r="AG757" s="4"/>
    </row>
    <row r="758">
      <c r="A758" s="179"/>
      <c r="B758" s="180"/>
      <c r="C758" s="2"/>
      <c r="E758" s="181"/>
      <c r="F758" s="181"/>
      <c r="G758" s="2"/>
      <c r="I758" s="190"/>
      <c r="J758" s="190"/>
      <c r="K758" s="2"/>
      <c r="AA758" s="4"/>
      <c r="AD758" s="4"/>
      <c r="AG758" s="4"/>
    </row>
    <row r="759">
      <c r="A759" s="179"/>
      <c r="B759" s="180"/>
      <c r="C759" s="2"/>
      <c r="E759" s="181"/>
      <c r="F759" s="181"/>
      <c r="G759" s="2"/>
      <c r="I759" s="190"/>
      <c r="J759" s="190"/>
      <c r="K759" s="2"/>
      <c r="AA759" s="4"/>
      <c r="AD759" s="4"/>
      <c r="AG759" s="4"/>
    </row>
    <row r="760">
      <c r="A760" s="179"/>
      <c r="B760" s="180"/>
      <c r="C760" s="2"/>
      <c r="E760" s="181"/>
      <c r="F760" s="181"/>
      <c r="G760" s="2"/>
      <c r="I760" s="190"/>
      <c r="J760" s="190"/>
      <c r="K760" s="2"/>
      <c r="AA760" s="4"/>
      <c r="AD760" s="4"/>
      <c r="AG760" s="4"/>
    </row>
    <row r="761">
      <c r="A761" s="179"/>
      <c r="B761" s="180"/>
      <c r="C761" s="2"/>
      <c r="E761" s="181"/>
      <c r="F761" s="181"/>
      <c r="G761" s="2"/>
      <c r="I761" s="190"/>
      <c r="J761" s="190"/>
      <c r="K761" s="2"/>
      <c r="AA761" s="4"/>
      <c r="AD761" s="4"/>
      <c r="AG761" s="4"/>
    </row>
    <row r="762">
      <c r="A762" s="179"/>
      <c r="B762" s="180"/>
      <c r="C762" s="2"/>
      <c r="E762" s="181"/>
      <c r="F762" s="181"/>
      <c r="G762" s="2"/>
      <c r="I762" s="190"/>
      <c r="J762" s="190"/>
      <c r="K762" s="2"/>
      <c r="AA762" s="4"/>
      <c r="AD762" s="4"/>
      <c r="AG762" s="4"/>
    </row>
    <row r="763">
      <c r="A763" s="179"/>
      <c r="B763" s="180"/>
      <c r="C763" s="2"/>
      <c r="E763" s="181"/>
      <c r="F763" s="181"/>
      <c r="G763" s="2"/>
      <c r="I763" s="190"/>
      <c r="J763" s="190"/>
      <c r="K763" s="2"/>
      <c r="AA763" s="4"/>
      <c r="AD763" s="4"/>
      <c r="AG763" s="4"/>
    </row>
    <row r="764">
      <c r="A764" s="179"/>
      <c r="B764" s="180"/>
      <c r="C764" s="2"/>
      <c r="E764" s="181"/>
      <c r="F764" s="181"/>
      <c r="G764" s="2"/>
      <c r="I764" s="190"/>
      <c r="J764" s="190"/>
      <c r="K764" s="2"/>
      <c r="AA764" s="4"/>
      <c r="AD764" s="4"/>
      <c r="AG764" s="4"/>
    </row>
    <row r="765">
      <c r="A765" s="179"/>
      <c r="B765" s="180"/>
      <c r="C765" s="2"/>
      <c r="E765" s="181"/>
      <c r="F765" s="181"/>
      <c r="G765" s="2"/>
      <c r="I765" s="190"/>
      <c r="J765" s="190"/>
      <c r="K765" s="2"/>
      <c r="AA765" s="4"/>
      <c r="AD765" s="4"/>
      <c r="AG765" s="4"/>
    </row>
    <row r="766">
      <c r="A766" s="179"/>
      <c r="B766" s="180"/>
      <c r="C766" s="2"/>
      <c r="E766" s="181"/>
      <c r="F766" s="181"/>
      <c r="G766" s="2"/>
      <c r="I766" s="190"/>
      <c r="J766" s="190"/>
      <c r="K766" s="2"/>
      <c r="AA766" s="4"/>
      <c r="AD766" s="4"/>
      <c r="AG766" s="4"/>
    </row>
    <row r="767">
      <c r="A767" s="179"/>
      <c r="B767" s="180"/>
      <c r="C767" s="2"/>
      <c r="E767" s="181"/>
      <c r="F767" s="181"/>
      <c r="G767" s="2"/>
      <c r="I767" s="190"/>
      <c r="J767" s="190"/>
      <c r="K767" s="2"/>
      <c r="AA767" s="4"/>
      <c r="AD767" s="4"/>
      <c r="AG767" s="4"/>
    </row>
    <row r="768">
      <c r="A768" s="179"/>
      <c r="B768" s="180"/>
      <c r="C768" s="2"/>
      <c r="E768" s="181"/>
      <c r="F768" s="181"/>
      <c r="G768" s="2"/>
      <c r="I768" s="190"/>
      <c r="J768" s="190"/>
      <c r="K768" s="2"/>
      <c r="AA768" s="4"/>
      <c r="AD768" s="4"/>
      <c r="AG768" s="4"/>
    </row>
    <row r="769">
      <c r="A769" s="179"/>
      <c r="B769" s="180"/>
      <c r="C769" s="2"/>
      <c r="E769" s="181"/>
      <c r="F769" s="181"/>
      <c r="G769" s="2"/>
      <c r="I769" s="190"/>
      <c r="J769" s="190"/>
      <c r="K769" s="2"/>
      <c r="AA769" s="4"/>
      <c r="AD769" s="4"/>
      <c r="AG769" s="4"/>
    </row>
    <row r="770">
      <c r="A770" s="179"/>
      <c r="B770" s="180"/>
      <c r="C770" s="2"/>
      <c r="E770" s="181"/>
      <c r="F770" s="181"/>
      <c r="G770" s="2"/>
      <c r="I770" s="190"/>
      <c r="J770" s="190"/>
      <c r="K770" s="2"/>
      <c r="AA770" s="4"/>
      <c r="AD770" s="4"/>
      <c r="AG770" s="4"/>
    </row>
    <row r="771">
      <c r="A771" s="179"/>
      <c r="B771" s="180"/>
      <c r="C771" s="2"/>
      <c r="E771" s="181"/>
      <c r="F771" s="181"/>
      <c r="G771" s="2"/>
      <c r="I771" s="190"/>
      <c r="J771" s="190"/>
      <c r="K771" s="2"/>
      <c r="AA771" s="4"/>
      <c r="AD771" s="4"/>
      <c r="AG771" s="4"/>
    </row>
    <row r="772">
      <c r="A772" s="179"/>
      <c r="B772" s="180"/>
      <c r="C772" s="2"/>
      <c r="E772" s="181"/>
      <c r="F772" s="181"/>
      <c r="G772" s="2"/>
      <c r="I772" s="190"/>
      <c r="J772" s="190"/>
      <c r="K772" s="2"/>
      <c r="AA772" s="4"/>
      <c r="AD772" s="4"/>
      <c r="AG772" s="4"/>
    </row>
    <row r="773">
      <c r="A773" s="179"/>
      <c r="B773" s="180"/>
      <c r="C773" s="2"/>
      <c r="E773" s="181"/>
      <c r="F773" s="181"/>
      <c r="G773" s="2"/>
      <c r="I773" s="190"/>
      <c r="J773" s="190"/>
      <c r="K773" s="2"/>
      <c r="AA773" s="4"/>
      <c r="AD773" s="4"/>
      <c r="AG773" s="4"/>
    </row>
    <row r="774">
      <c r="A774" s="179"/>
      <c r="B774" s="180"/>
      <c r="C774" s="2"/>
      <c r="E774" s="181"/>
      <c r="F774" s="181"/>
      <c r="G774" s="2"/>
      <c r="I774" s="190"/>
      <c r="J774" s="190"/>
      <c r="K774" s="2"/>
      <c r="AA774" s="4"/>
      <c r="AD774" s="4"/>
      <c r="AG774" s="4"/>
    </row>
    <row r="775">
      <c r="A775" s="179"/>
      <c r="B775" s="180"/>
      <c r="C775" s="2"/>
      <c r="E775" s="181"/>
      <c r="F775" s="181"/>
      <c r="G775" s="2"/>
      <c r="I775" s="190"/>
      <c r="J775" s="190"/>
      <c r="K775" s="2"/>
      <c r="AA775" s="4"/>
      <c r="AD775" s="4"/>
      <c r="AG775" s="4"/>
    </row>
    <row r="776">
      <c r="A776" s="179"/>
      <c r="B776" s="180"/>
      <c r="C776" s="2"/>
      <c r="E776" s="181"/>
      <c r="F776" s="181"/>
      <c r="G776" s="2"/>
      <c r="I776" s="190"/>
      <c r="J776" s="190"/>
      <c r="K776" s="2"/>
      <c r="AA776" s="4"/>
      <c r="AD776" s="4"/>
      <c r="AG776" s="4"/>
    </row>
    <row r="777">
      <c r="A777" s="179"/>
      <c r="B777" s="180"/>
      <c r="C777" s="2"/>
      <c r="E777" s="181"/>
      <c r="F777" s="181"/>
      <c r="G777" s="2"/>
      <c r="I777" s="190"/>
      <c r="J777" s="190"/>
      <c r="K777" s="2"/>
      <c r="AA777" s="4"/>
      <c r="AD777" s="4"/>
      <c r="AG777" s="4"/>
    </row>
    <row r="778">
      <c r="A778" s="179"/>
      <c r="B778" s="180"/>
      <c r="C778" s="2"/>
      <c r="E778" s="181"/>
      <c r="F778" s="181"/>
      <c r="G778" s="2"/>
      <c r="I778" s="190"/>
      <c r="J778" s="190"/>
      <c r="K778" s="2"/>
      <c r="AA778" s="4"/>
      <c r="AD778" s="4"/>
      <c r="AG778" s="4"/>
    </row>
    <row r="779">
      <c r="A779" s="179"/>
      <c r="B779" s="180"/>
      <c r="C779" s="2"/>
      <c r="E779" s="181"/>
      <c r="F779" s="181"/>
      <c r="G779" s="2"/>
      <c r="I779" s="190"/>
      <c r="J779" s="190"/>
      <c r="K779" s="2"/>
      <c r="AA779" s="4"/>
      <c r="AD779" s="4"/>
      <c r="AG779" s="4"/>
    </row>
    <row r="780">
      <c r="A780" s="179"/>
      <c r="B780" s="180"/>
      <c r="C780" s="2"/>
      <c r="E780" s="181"/>
      <c r="F780" s="181"/>
      <c r="G780" s="2"/>
      <c r="I780" s="190"/>
      <c r="J780" s="190"/>
      <c r="K780" s="2"/>
      <c r="AA780" s="4"/>
      <c r="AD780" s="4"/>
      <c r="AG780" s="4"/>
    </row>
    <row r="781">
      <c r="A781" s="179"/>
      <c r="B781" s="180"/>
      <c r="C781" s="2"/>
      <c r="E781" s="181"/>
      <c r="F781" s="181"/>
      <c r="G781" s="2"/>
      <c r="I781" s="190"/>
      <c r="J781" s="190"/>
      <c r="K781" s="2"/>
      <c r="AA781" s="4"/>
      <c r="AD781" s="4"/>
      <c r="AG781" s="4"/>
    </row>
    <row r="782">
      <c r="A782" s="179"/>
      <c r="B782" s="180"/>
      <c r="C782" s="2"/>
      <c r="E782" s="181"/>
      <c r="F782" s="181"/>
      <c r="G782" s="2"/>
      <c r="I782" s="190"/>
      <c r="J782" s="190"/>
      <c r="K782" s="2"/>
      <c r="AA782" s="4"/>
      <c r="AD782" s="4"/>
      <c r="AG782" s="4"/>
    </row>
    <row r="783">
      <c r="A783" s="179"/>
      <c r="B783" s="180"/>
      <c r="C783" s="2"/>
      <c r="E783" s="181"/>
      <c r="F783" s="181"/>
      <c r="G783" s="2"/>
      <c r="I783" s="190"/>
      <c r="J783" s="190"/>
      <c r="K783" s="2"/>
      <c r="AA783" s="4"/>
      <c r="AD783" s="4"/>
      <c r="AG783" s="4"/>
    </row>
    <row r="784">
      <c r="A784" s="179"/>
      <c r="B784" s="180"/>
      <c r="C784" s="2"/>
      <c r="E784" s="181"/>
      <c r="F784" s="181"/>
      <c r="G784" s="2"/>
      <c r="I784" s="190"/>
      <c r="J784" s="190"/>
      <c r="K784" s="2"/>
      <c r="AA784" s="4"/>
      <c r="AD784" s="4"/>
      <c r="AG784" s="4"/>
    </row>
    <row r="785">
      <c r="A785" s="179"/>
      <c r="B785" s="180"/>
      <c r="C785" s="2"/>
      <c r="E785" s="181"/>
      <c r="F785" s="181"/>
      <c r="G785" s="2"/>
      <c r="I785" s="190"/>
      <c r="J785" s="190"/>
      <c r="K785" s="2"/>
      <c r="AA785" s="4"/>
      <c r="AD785" s="4"/>
      <c r="AG785" s="4"/>
    </row>
    <row r="786">
      <c r="A786" s="179"/>
      <c r="B786" s="180"/>
      <c r="C786" s="2"/>
      <c r="E786" s="181"/>
      <c r="F786" s="181"/>
      <c r="G786" s="2"/>
      <c r="I786" s="190"/>
      <c r="J786" s="190"/>
      <c r="K786" s="2"/>
      <c r="AA786" s="4"/>
      <c r="AD786" s="4"/>
      <c r="AG786" s="4"/>
    </row>
    <row r="787">
      <c r="A787" s="179"/>
      <c r="B787" s="180"/>
      <c r="C787" s="2"/>
      <c r="E787" s="181"/>
      <c r="F787" s="181"/>
      <c r="G787" s="2"/>
      <c r="I787" s="190"/>
      <c r="J787" s="190"/>
      <c r="K787" s="2"/>
      <c r="AA787" s="4"/>
      <c r="AD787" s="4"/>
      <c r="AG787" s="4"/>
    </row>
    <row r="788">
      <c r="A788" s="179"/>
      <c r="B788" s="180"/>
      <c r="C788" s="2"/>
      <c r="E788" s="181"/>
      <c r="F788" s="181"/>
      <c r="G788" s="2"/>
      <c r="I788" s="190"/>
      <c r="J788" s="190"/>
      <c r="K788" s="2"/>
      <c r="AA788" s="4"/>
      <c r="AD788" s="4"/>
      <c r="AG788" s="4"/>
    </row>
    <row r="789">
      <c r="A789" s="179"/>
      <c r="B789" s="180"/>
      <c r="C789" s="2"/>
      <c r="E789" s="181"/>
      <c r="F789" s="181"/>
      <c r="G789" s="2"/>
      <c r="I789" s="190"/>
      <c r="J789" s="190"/>
      <c r="K789" s="2"/>
      <c r="AA789" s="4"/>
      <c r="AD789" s="4"/>
      <c r="AG789" s="4"/>
    </row>
    <row r="790">
      <c r="A790" s="179"/>
      <c r="B790" s="180"/>
      <c r="C790" s="2"/>
      <c r="E790" s="181"/>
      <c r="F790" s="181"/>
      <c r="G790" s="2"/>
      <c r="I790" s="190"/>
      <c r="J790" s="190"/>
      <c r="K790" s="2"/>
      <c r="AA790" s="4"/>
      <c r="AD790" s="4"/>
      <c r="AG790" s="4"/>
    </row>
    <row r="791">
      <c r="A791" s="179"/>
      <c r="B791" s="180"/>
      <c r="C791" s="2"/>
      <c r="E791" s="181"/>
      <c r="F791" s="181"/>
      <c r="G791" s="2"/>
      <c r="I791" s="190"/>
      <c r="J791" s="190"/>
      <c r="K791" s="2"/>
      <c r="AA791" s="4"/>
      <c r="AD791" s="4"/>
      <c r="AG791" s="4"/>
    </row>
    <row r="792">
      <c r="A792" s="179"/>
      <c r="B792" s="180"/>
      <c r="C792" s="2"/>
      <c r="E792" s="181"/>
      <c r="F792" s="181"/>
      <c r="G792" s="2"/>
      <c r="I792" s="190"/>
      <c r="J792" s="190"/>
      <c r="K792" s="2"/>
      <c r="AA792" s="4"/>
      <c r="AD792" s="4"/>
      <c r="AG792" s="4"/>
    </row>
    <row r="793">
      <c r="A793" s="179"/>
      <c r="B793" s="180"/>
      <c r="C793" s="2"/>
      <c r="E793" s="181"/>
      <c r="F793" s="181"/>
      <c r="G793" s="2"/>
      <c r="I793" s="190"/>
      <c r="J793" s="190"/>
      <c r="K793" s="2"/>
      <c r="AA793" s="4"/>
      <c r="AD793" s="4"/>
      <c r="AG793" s="4"/>
    </row>
    <row r="794">
      <c r="A794" s="179"/>
      <c r="B794" s="180"/>
      <c r="C794" s="2"/>
      <c r="E794" s="181"/>
      <c r="F794" s="181"/>
      <c r="G794" s="2"/>
      <c r="I794" s="190"/>
      <c r="J794" s="190"/>
      <c r="K794" s="2"/>
      <c r="AA794" s="4"/>
      <c r="AD794" s="4"/>
      <c r="AG794" s="4"/>
    </row>
    <row r="795">
      <c r="A795" s="179"/>
      <c r="B795" s="180"/>
      <c r="C795" s="2"/>
      <c r="E795" s="181"/>
      <c r="F795" s="181"/>
      <c r="G795" s="2"/>
      <c r="I795" s="190"/>
      <c r="J795" s="190"/>
      <c r="K795" s="2"/>
      <c r="AA795" s="4"/>
      <c r="AD795" s="4"/>
      <c r="AG795" s="4"/>
    </row>
    <row r="796">
      <c r="A796" s="179"/>
      <c r="B796" s="180"/>
      <c r="C796" s="2"/>
      <c r="E796" s="181"/>
      <c r="F796" s="181"/>
      <c r="G796" s="2"/>
      <c r="I796" s="190"/>
      <c r="J796" s="190"/>
      <c r="K796" s="2"/>
      <c r="AA796" s="4"/>
      <c r="AD796" s="4"/>
      <c r="AG796" s="4"/>
    </row>
    <row r="797">
      <c r="A797" s="179"/>
      <c r="B797" s="180"/>
      <c r="C797" s="2"/>
      <c r="E797" s="181"/>
      <c r="F797" s="181"/>
      <c r="G797" s="2"/>
      <c r="I797" s="190"/>
      <c r="J797" s="190"/>
      <c r="K797" s="2"/>
      <c r="AA797" s="4"/>
      <c r="AD797" s="4"/>
      <c r="AG797" s="4"/>
    </row>
    <row r="798">
      <c r="A798" s="179"/>
      <c r="B798" s="180"/>
      <c r="C798" s="2"/>
      <c r="E798" s="181"/>
      <c r="F798" s="181"/>
      <c r="G798" s="2"/>
      <c r="I798" s="190"/>
      <c r="J798" s="190"/>
      <c r="K798" s="2"/>
      <c r="AA798" s="4"/>
      <c r="AD798" s="4"/>
      <c r="AG798" s="4"/>
    </row>
    <row r="799">
      <c r="A799" s="179"/>
      <c r="B799" s="180"/>
      <c r="C799" s="2"/>
      <c r="E799" s="181"/>
      <c r="F799" s="181"/>
      <c r="G799" s="2"/>
      <c r="I799" s="190"/>
      <c r="J799" s="190"/>
      <c r="K799" s="2"/>
      <c r="AA799" s="4"/>
      <c r="AD799" s="4"/>
      <c r="AG799" s="4"/>
    </row>
    <row r="800">
      <c r="A800" s="179"/>
      <c r="B800" s="180"/>
      <c r="C800" s="2"/>
      <c r="E800" s="181"/>
      <c r="F800" s="181"/>
      <c r="G800" s="2"/>
      <c r="I800" s="190"/>
      <c r="J800" s="190"/>
      <c r="K800" s="2"/>
      <c r="AA800" s="4"/>
      <c r="AD800" s="4"/>
      <c r="AG800" s="4"/>
    </row>
    <row r="801">
      <c r="A801" s="179"/>
      <c r="B801" s="180"/>
      <c r="C801" s="2"/>
      <c r="E801" s="181"/>
      <c r="F801" s="181"/>
      <c r="G801" s="2"/>
      <c r="I801" s="190"/>
      <c r="J801" s="190"/>
      <c r="K801" s="2"/>
      <c r="AA801" s="4"/>
      <c r="AD801" s="4"/>
      <c r="AG801" s="4"/>
    </row>
    <row r="802">
      <c r="A802" s="179"/>
      <c r="B802" s="180"/>
      <c r="C802" s="2"/>
      <c r="E802" s="181"/>
      <c r="F802" s="181"/>
      <c r="G802" s="2"/>
      <c r="I802" s="190"/>
      <c r="J802" s="190"/>
      <c r="K802" s="2"/>
      <c r="AA802" s="4"/>
      <c r="AD802" s="4"/>
      <c r="AG802" s="4"/>
    </row>
    <row r="803">
      <c r="A803" s="179"/>
      <c r="B803" s="180"/>
      <c r="C803" s="2"/>
      <c r="E803" s="181"/>
      <c r="F803" s="181"/>
      <c r="G803" s="2"/>
      <c r="I803" s="190"/>
      <c r="J803" s="190"/>
      <c r="K803" s="2"/>
      <c r="AA803" s="4"/>
      <c r="AD803" s="4"/>
      <c r="AG803" s="4"/>
    </row>
    <row r="804">
      <c r="A804" s="179"/>
      <c r="B804" s="180"/>
      <c r="C804" s="2"/>
      <c r="E804" s="181"/>
      <c r="F804" s="181"/>
      <c r="G804" s="2"/>
      <c r="I804" s="190"/>
      <c r="J804" s="190"/>
      <c r="K804" s="2"/>
      <c r="AA804" s="4"/>
      <c r="AD804" s="4"/>
      <c r="AG804" s="4"/>
    </row>
    <row r="805">
      <c r="A805" s="179"/>
      <c r="B805" s="180"/>
      <c r="C805" s="2"/>
      <c r="E805" s="181"/>
      <c r="F805" s="181"/>
      <c r="G805" s="2"/>
      <c r="I805" s="190"/>
      <c r="J805" s="190"/>
      <c r="K805" s="2"/>
      <c r="AA805" s="4"/>
      <c r="AD805" s="4"/>
      <c r="AG805" s="4"/>
    </row>
    <row r="806">
      <c r="A806" s="179"/>
      <c r="B806" s="180"/>
      <c r="C806" s="2"/>
      <c r="E806" s="181"/>
      <c r="F806" s="181"/>
      <c r="G806" s="2"/>
      <c r="I806" s="190"/>
      <c r="J806" s="190"/>
      <c r="K806" s="2"/>
      <c r="AA806" s="4"/>
      <c r="AD806" s="4"/>
      <c r="AG806" s="4"/>
    </row>
    <row r="807">
      <c r="A807" s="179"/>
      <c r="B807" s="180"/>
      <c r="C807" s="2"/>
      <c r="E807" s="181"/>
      <c r="F807" s="181"/>
      <c r="G807" s="2"/>
      <c r="I807" s="190"/>
      <c r="J807" s="190"/>
      <c r="K807" s="2"/>
      <c r="AA807" s="4"/>
      <c r="AD807" s="4"/>
      <c r="AG807" s="4"/>
    </row>
    <row r="808">
      <c r="A808" s="179"/>
      <c r="B808" s="180"/>
      <c r="C808" s="2"/>
      <c r="E808" s="181"/>
      <c r="F808" s="181"/>
      <c r="G808" s="2"/>
      <c r="I808" s="190"/>
      <c r="J808" s="190"/>
      <c r="K808" s="2"/>
      <c r="AA808" s="4"/>
      <c r="AD808" s="4"/>
      <c r="AG808" s="4"/>
    </row>
    <row r="809">
      <c r="A809" s="179"/>
      <c r="B809" s="180"/>
      <c r="C809" s="2"/>
      <c r="E809" s="181"/>
      <c r="F809" s="181"/>
      <c r="G809" s="2"/>
      <c r="I809" s="190"/>
      <c r="J809" s="190"/>
      <c r="K809" s="2"/>
      <c r="AA809" s="4"/>
      <c r="AD809" s="4"/>
      <c r="AG809" s="4"/>
    </row>
    <row r="810">
      <c r="A810" s="179"/>
      <c r="B810" s="180"/>
      <c r="C810" s="2"/>
      <c r="E810" s="181"/>
      <c r="F810" s="181"/>
      <c r="G810" s="2"/>
      <c r="I810" s="190"/>
      <c r="J810" s="190"/>
      <c r="K810" s="2"/>
      <c r="AA810" s="4"/>
      <c r="AD810" s="4"/>
      <c r="AG810" s="4"/>
    </row>
    <row r="811">
      <c r="A811" s="179"/>
      <c r="B811" s="180"/>
      <c r="C811" s="2"/>
      <c r="E811" s="181"/>
      <c r="F811" s="181"/>
      <c r="G811" s="2"/>
      <c r="I811" s="190"/>
      <c r="J811" s="190"/>
      <c r="K811" s="2"/>
      <c r="AA811" s="4"/>
      <c r="AD811" s="4"/>
      <c r="AG811" s="4"/>
    </row>
    <row r="812">
      <c r="A812" s="179"/>
      <c r="B812" s="180"/>
      <c r="C812" s="2"/>
      <c r="E812" s="181"/>
      <c r="F812" s="181"/>
      <c r="G812" s="2"/>
      <c r="I812" s="190"/>
      <c r="J812" s="190"/>
      <c r="K812" s="2"/>
      <c r="AA812" s="4"/>
      <c r="AD812" s="4"/>
      <c r="AG812" s="4"/>
    </row>
    <row r="813">
      <c r="A813" s="179"/>
      <c r="B813" s="180"/>
      <c r="C813" s="2"/>
      <c r="E813" s="181"/>
      <c r="F813" s="181"/>
      <c r="G813" s="2"/>
      <c r="I813" s="190"/>
      <c r="J813" s="190"/>
      <c r="K813" s="2"/>
      <c r="AA813" s="4"/>
      <c r="AD813" s="4"/>
      <c r="AG813" s="4"/>
    </row>
    <row r="814">
      <c r="A814" s="179"/>
      <c r="B814" s="180"/>
      <c r="C814" s="2"/>
      <c r="E814" s="181"/>
      <c r="F814" s="181"/>
      <c r="G814" s="2"/>
      <c r="I814" s="190"/>
      <c r="J814" s="190"/>
      <c r="K814" s="2"/>
      <c r="AA814" s="4"/>
      <c r="AD814" s="4"/>
      <c r="AG814" s="4"/>
    </row>
    <row r="815">
      <c r="A815" s="179"/>
      <c r="B815" s="180"/>
      <c r="C815" s="2"/>
      <c r="E815" s="181"/>
      <c r="F815" s="181"/>
      <c r="G815" s="2"/>
      <c r="I815" s="190"/>
      <c r="J815" s="190"/>
      <c r="K815" s="2"/>
      <c r="AA815" s="4"/>
      <c r="AD815" s="4"/>
      <c r="AG815" s="4"/>
    </row>
    <row r="816">
      <c r="A816" s="179"/>
      <c r="B816" s="180"/>
      <c r="C816" s="2"/>
      <c r="E816" s="181"/>
      <c r="F816" s="181"/>
      <c r="G816" s="2"/>
      <c r="I816" s="190"/>
      <c r="J816" s="190"/>
      <c r="K816" s="2"/>
      <c r="AA816" s="4"/>
      <c r="AD816" s="4"/>
      <c r="AG816" s="4"/>
    </row>
    <row r="817">
      <c r="A817" s="179"/>
      <c r="B817" s="180"/>
      <c r="C817" s="2"/>
      <c r="E817" s="181"/>
      <c r="F817" s="181"/>
      <c r="G817" s="2"/>
      <c r="I817" s="190"/>
      <c r="J817" s="190"/>
      <c r="K817" s="2"/>
      <c r="AA817" s="4"/>
      <c r="AD817" s="4"/>
      <c r="AG817" s="4"/>
    </row>
    <row r="818">
      <c r="A818" s="179"/>
      <c r="B818" s="180"/>
      <c r="C818" s="2"/>
      <c r="E818" s="181"/>
      <c r="F818" s="181"/>
      <c r="G818" s="2"/>
      <c r="I818" s="190"/>
      <c r="J818" s="190"/>
      <c r="K818" s="2"/>
      <c r="AA818" s="4"/>
      <c r="AD818" s="4"/>
      <c r="AG818" s="4"/>
    </row>
    <row r="819">
      <c r="A819" s="179"/>
      <c r="B819" s="180"/>
      <c r="C819" s="2"/>
      <c r="E819" s="181"/>
      <c r="F819" s="181"/>
      <c r="G819" s="2"/>
      <c r="I819" s="190"/>
      <c r="J819" s="190"/>
      <c r="K819" s="2"/>
      <c r="AA819" s="4"/>
      <c r="AD819" s="4"/>
      <c r="AG819" s="4"/>
    </row>
    <row r="820">
      <c r="A820" s="179"/>
      <c r="B820" s="180"/>
      <c r="C820" s="2"/>
      <c r="E820" s="181"/>
      <c r="F820" s="181"/>
      <c r="G820" s="2"/>
      <c r="I820" s="190"/>
      <c r="J820" s="190"/>
      <c r="K820" s="2"/>
      <c r="AA820" s="4"/>
      <c r="AD820" s="4"/>
      <c r="AG820" s="4"/>
    </row>
    <row r="821">
      <c r="A821" s="179"/>
      <c r="B821" s="180"/>
      <c r="C821" s="2"/>
      <c r="E821" s="181"/>
      <c r="F821" s="181"/>
      <c r="G821" s="2"/>
      <c r="I821" s="190"/>
      <c r="J821" s="190"/>
      <c r="K821" s="2"/>
      <c r="AA821" s="4"/>
      <c r="AD821" s="4"/>
      <c r="AG821" s="4"/>
    </row>
    <row r="822">
      <c r="A822" s="179"/>
      <c r="B822" s="180"/>
      <c r="C822" s="2"/>
      <c r="E822" s="181"/>
      <c r="F822" s="181"/>
      <c r="G822" s="2"/>
      <c r="I822" s="190"/>
      <c r="J822" s="190"/>
      <c r="K822" s="2"/>
      <c r="AA822" s="4"/>
      <c r="AD822" s="4"/>
      <c r="AG822" s="4"/>
    </row>
    <row r="823">
      <c r="A823" s="179"/>
      <c r="B823" s="180"/>
      <c r="C823" s="2"/>
      <c r="E823" s="181"/>
      <c r="F823" s="181"/>
      <c r="G823" s="2"/>
      <c r="I823" s="190"/>
      <c r="J823" s="190"/>
      <c r="K823" s="2"/>
      <c r="AA823" s="4"/>
      <c r="AD823" s="4"/>
      <c r="AG823" s="4"/>
    </row>
    <row r="824">
      <c r="A824" s="179"/>
      <c r="B824" s="180"/>
      <c r="C824" s="2"/>
      <c r="E824" s="181"/>
      <c r="F824" s="181"/>
      <c r="G824" s="2"/>
      <c r="I824" s="190"/>
      <c r="J824" s="190"/>
      <c r="K824" s="2"/>
      <c r="AA824" s="4"/>
      <c r="AD824" s="4"/>
      <c r="AG824" s="4"/>
    </row>
    <row r="825">
      <c r="A825" s="179"/>
      <c r="B825" s="180"/>
      <c r="C825" s="2"/>
      <c r="E825" s="181"/>
      <c r="F825" s="181"/>
      <c r="G825" s="2"/>
      <c r="I825" s="190"/>
      <c r="J825" s="190"/>
      <c r="K825" s="2"/>
      <c r="AA825" s="4"/>
      <c r="AD825" s="4"/>
      <c r="AG825" s="4"/>
    </row>
    <row r="826">
      <c r="A826" s="179"/>
      <c r="B826" s="180"/>
      <c r="C826" s="2"/>
      <c r="E826" s="181"/>
      <c r="F826" s="181"/>
      <c r="G826" s="2"/>
      <c r="I826" s="190"/>
      <c r="J826" s="190"/>
      <c r="K826" s="2"/>
      <c r="AA826" s="4"/>
      <c r="AD826" s="4"/>
      <c r="AG826" s="4"/>
    </row>
    <row r="827">
      <c r="A827" s="179"/>
      <c r="B827" s="180"/>
      <c r="C827" s="2"/>
      <c r="E827" s="181"/>
      <c r="F827" s="181"/>
      <c r="G827" s="2"/>
      <c r="I827" s="190"/>
      <c r="J827" s="190"/>
      <c r="K827" s="2"/>
      <c r="AA827" s="4"/>
      <c r="AD827" s="4"/>
      <c r="AG827" s="4"/>
    </row>
    <row r="828">
      <c r="A828" s="179"/>
      <c r="B828" s="180"/>
      <c r="C828" s="2"/>
      <c r="E828" s="181"/>
      <c r="F828" s="181"/>
      <c r="G828" s="2"/>
      <c r="I828" s="190"/>
      <c r="J828" s="190"/>
      <c r="K828" s="2"/>
      <c r="AA828" s="4"/>
      <c r="AD828" s="4"/>
      <c r="AG828" s="4"/>
    </row>
    <row r="829">
      <c r="A829" s="179"/>
      <c r="B829" s="180"/>
      <c r="C829" s="2"/>
      <c r="E829" s="181"/>
      <c r="F829" s="181"/>
      <c r="G829" s="2"/>
      <c r="I829" s="190"/>
      <c r="J829" s="190"/>
      <c r="K829" s="2"/>
      <c r="AA829" s="4"/>
      <c r="AD829" s="4"/>
      <c r="AG829" s="4"/>
    </row>
    <row r="830">
      <c r="A830" s="179"/>
      <c r="B830" s="180"/>
      <c r="C830" s="2"/>
      <c r="E830" s="181"/>
      <c r="F830" s="181"/>
      <c r="G830" s="2"/>
      <c r="I830" s="190"/>
      <c r="J830" s="190"/>
      <c r="K830" s="2"/>
      <c r="AA830" s="4"/>
      <c r="AD830" s="4"/>
      <c r="AG830" s="4"/>
    </row>
    <row r="831">
      <c r="A831" s="179"/>
      <c r="B831" s="180"/>
      <c r="C831" s="2"/>
      <c r="E831" s="181"/>
      <c r="F831" s="181"/>
      <c r="G831" s="2"/>
      <c r="I831" s="190"/>
      <c r="J831" s="190"/>
      <c r="K831" s="2"/>
      <c r="AA831" s="4"/>
      <c r="AD831" s="4"/>
      <c r="AG831" s="4"/>
    </row>
    <row r="832">
      <c r="A832" s="179"/>
      <c r="B832" s="180"/>
      <c r="C832" s="2"/>
      <c r="E832" s="181"/>
      <c r="F832" s="181"/>
      <c r="G832" s="2"/>
      <c r="I832" s="190"/>
      <c r="J832" s="190"/>
      <c r="K832" s="2"/>
      <c r="AA832" s="4"/>
      <c r="AD832" s="4"/>
      <c r="AG832" s="4"/>
    </row>
    <row r="833">
      <c r="A833" s="179"/>
      <c r="B833" s="180"/>
      <c r="C833" s="2"/>
      <c r="E833" s="181"/>
      <c r="F833" s="181"/>
      <c r="G833" s="2"/>
      <c r="I833" s="190"/>
      <c r="J833" s="190"/>
      <c r="K833" s="2"/>
      <c r="AA833" s="4"/>
      <c r="AD833" s="4"/>
      <c r="AG833" s="4"/>
    </row>
    <row r="834">
      <c r="A834" s="179"/>
      <c r="B834" s="180"/>
      <c r="C834" s="2"/>
      <c r="E834" s="181"/>
      <c r="F834" s="181"/>
      <c r="G834" s="2"/>
      <c r="I834" s="190"/>
      <c r="J834" s="190"/>
      <c r="K834" s="2"/>
      <c r="AA834" s="4"/>
      <c r="AD834" s="4"/>
      <c r="AG834" s="4"/>
    </row>
    <row r="835">
      <c r="A835" s="179"/>
      <c r="B835" s="180"/>
      <c r="C835" s="2"/>
      <c r="E835" s="181"/>
      <c r="F835" s="181"/>
      <c r="G835" s="2"/>
      <c r="I835" s="190"/>
      <c r="J835" s="190"/>
      <c r="K835" s="2"/>
      <c r="AA835" s="4"/>
      <c r="AD835" s="4"/>
      <c r="AG835" s="4"/>
    </row>
    <row r="836">
      <c r="A836" s="179"/>
      <c r="B836" s="180"/>
      <c r="C836" s="2"/>
      <c r="E836" s="181"/>
      <c r="F836" s="181"/>
      <c r="G836" s="2"/>
      <c r="I836" s="190"/>
      <c r="J836" s="190"/>
      <c r="K836" s="2"/>
      <c r="AA836" s="4"/>
      <c r="AD836" s="4"/>
      <c r="AG836" s="4"/>
    </row>
    <row r="837">
      <c r="A837" s="179"/>
      <c r="B837" s="180"/>
      <c r="C837" s="2"/>
      <c r="E837" s="181"/>
      <c r="F837" s="181"/>
      <c r="G837" s="2"/>
      <c r="I837" s="190"/>
      <c r="J837" s="190"/>
      <c r="K837" s="2"/>
      <c r="AA837" s="4"/>
      <c r="AD837" s="4"/>
      <c r="AG837" s="4"/>
    </row>
    <row r="838">
      <c r="A838" s="179"/>
      <c r="B838" s="180"/>
      <c r="C838" s="2"/>
      <c r="E838" s="181"/>
      <c r="F838" s="181"/>
      <c r="G838" s="2"/>
      <c r="I838" s="190"/>
      <c r="J838" s="190"/>
      <c r="K838" s="2"/>
      <c r="AA838" s="4"/>
      <c r="AD838" s="4"/>
      <c r="AG838" s="4"/>
    </row>
    <row r="839">
      <c r="A839" s="179"/>
      <c r="B839" s="180"/>
      <c r="C839" s="2"/>
      <c r="E839" s="181"/>
      <c r="F839" s="181"/>
      <c r="G839" s="2"/>
      <c r="I839" s="190"/>
      <c r="J839" s="190"/>
      <c r="K839" s="2"/>
      <c r="AA839" s="4"/>
      <c r="AD839" s="4"/>
      <c r="AG839" s="4"/>
    </row>
    <row r="840">
      <c r="A840" s="179"/>
      <c r="B840" s="180"/>
      <c r="C840" s="2"/>
      <c r="E840" s="181"/>
      <c r="F840" s="181"/>
      <c r="G840" s="2"/>
      <c r="I840" s="190"/>
      <c r="J840" s="190"/>
      <c r="K840" s="2"/>
      <c r="AA840" s="4"/>
      <c r="AD840" s="4"/>
      <c r="AG840" s="4"/>
    </row>
    <row r="841">
      <c r="A841" s="179"/>
      <c r="B841" s="180"/>
      <c r="C841" s="2"/>
      <c r="E841" s="181"/>
      <c r="F841" s="181"/>
      <c r="G841" s="2"/>
      <c r="I841" s="190"/>
      <c r="J841" s="190"/>
      <c r="K841" s="2"/>
      <c r="AA841" s="4"/>
      <c r="AD841" s="4"/>
      <c r="AG841" s="4"/>
    </row>
    <row r="842">
      <c r="A842" s="179"/>
      <c r="B842" s="180"/>
      <c r="C842" s="2"/>
      <c r="E842" s="181"/>
      <c r="F842" s="181"/>
      <c r="G842" s="2"/>
      <c r="I842" s="190"/>
      <c r="J842" s="190"/>
      <c r="K842" s="2"/>
      <c r="AA842" s="4"/>
      <c r="AD842" s="4"/>
      <c r="AG842" s="4"/>
    </row>
    <row r="843">
      <c r="A843" s="179"/>
      <c r="B843" s="180"/>
      <c r="C843" s="2"/>
      <c r="E843" s="181"/>
      <c r="F843" s="181"/>
      <c r="G843" s="2"/>
      <c r="I843" s="190"/>
      <c r="J843" s="190"/>
      <c r="K843" s="2"/>
      <c r="AA843" s="4"/>
      <c r="AD843" s="4"/>
      <c r="AG843" s="4"/>
    </row>
    <row r="844">
      <c r="A844" s="179"/>
      <c r="B844" s="180"/>
      <c r="C844" s="2"/>
      <c r="E844" s="181"/>
      <c r="F844" s="181"/>
      <c r="G844" s="2"/>
      <c r="I844" s="190"/>
      <c r="J844" s="190"/>
      <c r="K844" s="2"/>
      <c r="AA844" s="4"/>
      <c r="AD844" s="4"/>
      <c r="AG844" s="4"/>
    </row>
    <row r="845">
      <c r="A845" s="179"/>
      <c r="B845" s="180"/>
      <c r="C845" s="2"/>
      <c r="E845" s="181"/>
      <c r="F845" s="181"/>
      <c r="G845" s="2"/>
      <c r="I845" s="190"/>
      <c r="J845" s="190"/>
      <c r="K845" s="2"/>
      <c r="AA845" s="4"/>
      <c r="AD845" s="4"/>
      <c r="AG845" s="4"/>
    </row>
    <row r="846">
      <c r="A846" s="179"/>
      <c r="B846" s="180"/>
      <c r="C846" s="2"/>
      <c r="E846" s="181"/>
      <c r="F846" s="181"/>
      <c r="G846" s="2"/>
      <c r="I846" s="190"/>
      <c r="J846" s="190"/>
      <c r="K846" s="2"/>
      <c r="AA846" s="4"/>
      <c r="AD846" s="4"/>
      <c r="AG846" s="4"/>
    </row>
    <row r="847">
      <c r="A847" s="179"/>
      <c r="B847" s="180"/>
      <c r="C847" s="2"/>
      <c r="E847" s="181"/>
      <c r="F847" s="181"/>
      <c r="G847" s="2"/>
      <c r="I847" s="190"/>
      <c r="J847" s="190"/>
      <c r="K847" s="2"/>
      <c r="AA847" s="4"/>
      <c r="AD847" s="4"/>
      <c r="AG847" s="4"/>
    </row>
    <row r="848">
      <c r="A848" s="179"/>
      <c r="B848" s="180"/>
      <c r="C848" s="2"/>
      <c r="E848" s="181"/>
      <c r="F848" s="181"/>
      <c r="G848" s="2"/>
      <c r="I848" s="190"/>
      <c r="J848" s="190"/>
      <c r="K848" s="2"/>
      <c r="AA848" s="4"/>
      <c r="AD848" s="4"/>
      <c r="AG848" s="4"/>
    </row>
    <row r="849">
      <c r="A849" s="179"/>
      <c r="B849" s="180"/>
      <c r="C849" s="2"/>
      <c r="E849" s="181"/>
      <c r="F849" s="181"/>
      <c r="G849" s="2"/>
      <c r="I849" s="190"/>
      <c r="J849" s="190"/>
      <c r="K849" s="2"/>
      <c r="AA849" s="4"/>
      <c r="AD849" s="4"/>
      <c r="AG849" s="4"/>
    </row>
    <row r="850">
      <c r="A850" s="179"/>
      <c r="B850" s="180"/>
      <c r="C850" s="2"/>
      <c r="E850" s="181"/>
      <c r="F850" s="181"/>
      <c r="G850" s="2"/>
      <c r="I850" s="190"/>
      <c r="J850" s="190"/>
      <c r="K850" s="2"/>
      <c r="AA850" s="4"/>
      <c r="AD850" s="4"/>
      <c r="AG850" s="4"/>
    </row>
    <row r="851">
      <c r="A851" s="179"/>
      <c r="B851" s="180"/>
      <c r="C851" s="2"/>
      <c r="E851" s="181"/>
      <c r="F851" s="181"/>
      <c r="G851" s="2"/>
      <c r="I851" s="190"/>
      <c r="J851" s="190"/>
      <c r="K851" s="2"/>
      <c r="AA851" s="4"/>
      <c r="AD851" s="4"/>
      <c r="AG851" s="4"/>
    </row>
    <row r="852">
      <c r="A852" s="179"/>
      <c r="B852" s="180"/>
      <c r="C852" s="2"/>
      <c r="E852" s="181"/>
      <c r="F852" s="181"/>
      <c r="G852" s="2"/>
      <c r="I852" s="190"/>
      <c r="J852" s="190"/>
      <c r="K852" s="2"/>
      <c r="AA852" s="4"/>
      <c r="AD852" s="4"/>
      <c r="AG852" s="4"/>
    </row>
    <row r="853">
      <c r="A853" s="179"/>
      <c r="B853" s="180"/>
      <c r="C853" s="2"/>
      <c r="E853" s="181"/>
      <c r="F853" s="181"/>
      <c r="G853" s="2"/>
      <c r="I853" s="190"/>
      <c r="J853" s="190"/>
      <c r="K853" s="2"/>
      <c r="AA853" s="4"/>
      <c r="AD853" s="4"/>
      <c r="AG853" s="4"/>
    </row>
    <row r="854">
      <c r="A854" s="179"/>
      <c r="B854" s="180"/>
      <c r="C854" s="2"/>
      <c r="E854" s="181"/>
      <c r="F854" s="181"/>
      <c r="G854" s="2"/>
      <c r="I854" s="190"/>
      <c r="J854" s="190"/>
      <c r="K854" s="2"/>
      <c r="AA854" s="4"/>
      <c r="AD854" s="4"/>
      <c r="AG854" s="4"/>
    </row>
    <row r="855">
      <c r="A855" s="179"/>
      <c r="B855" s="180"/>
      <c r="C855" s="2"/>
      <c r="E855" s="181"/>
      <c r="F855" s="181"/>
      <c r="G855" s="2"/>
      <c r="I855" s="190"/>
      <c r="J855" s="190"/>
      <c r="K855" s="2"/>
      <c r="AA855" s="4"/>
      <c r="AD855" s="4"/>
      <c r="AG855" s="4"/>
    </row>
    <row r="856">
      <c r="A856" s="179"/>
      <c r="B856" s="180"/>
      <c r="C856" s="2"/>
      <c r="E856" s="181"/>
      <c r="F856" s="181"/>
      <c r="G856" s="2"/>
      <c r="I856" s="190"/>
      <c r="J856" s="190"/>
      <c r="K856" s="2"/>
      <c r="AA856" s="4"/>
      <c r="AD856" s="4"/>
      <c r="AG856" s="4"/>
    </row>
    <row r="857">
      <c r="A857" s="179"/>
      <c r="B857" s="180"/>
      <c r="C857" s="2"/>
      <c r="E857" s="181"/>
      <c r="F857" s="181"/>
      <c r="G857" s="2"/>
      <c r="I857" s="190"/>
      <c r="J857" s="190"/>
      <c r="K857" s="2"/>
      <c r="AA857" s="4"/>
      <c r="AD857" s="4"/>
      <c r="AG857" s="4"/>
    </row>
    <row r="858">
      <c r="A858" s="179"/>
      <c r="B858" s="180"/>
      <c r="C858" s="2"/>
      <c r="E858" s="181"/>
      <c r="F858" s="181"/>
      <c r="G858" s="2"/>
      <c r="I858" s="190"/>
      <c r="J858" s="190"/>
      <c r="K858" s="2"/>
      <c r="AA858" s="4"/>
      <c r="AD858" s="4"/>
      <c r="AG858" s="4"/>
    </row>
    <row r="859">
      <c r="A859" s="179"/>
      <c r="B859" s="180"/>
      <c r="C859" s="2"/>
      <c r="E859" s="181"/>
      <c r="F859" s="181"/>
      <c r="G859" s="2"/>
      <c r="I859" s="190"/>
      <c r="J859" s="190"/>
      <c r="K859" s="2"/>
      <c r="AA859" s="4"/>
      <c r="AD859" s="4"/>
      <c r="AG859" s="4"/>
    </row>
    <row r="860">
      <c r="A860" s="179"/>
      <c r="B860" s="180"/>
      <c r="C860" s="2"/>
      <c r="E860" s="181"/>
      <c r="F860" s="181"/>
      <c r="G860" s="2"/>
      <c r="I860" s="190"/>
      <c r="J860" s="190"/>
      <c r="K860" s="2"/>
      <c r="AA860" s="4"/>
      <c r="AD860" s="4"/>
      <c r="AG860" s="4"/>
    </row>
    <row r="861">
      <c r="A861" s="179"/>
      <c r="B861" s="180"/>
      <c r="C861" s="2"/>
      <c r="E861" s="181"/>
      <c r="F861" s="181"/>
      <c r="G861" s="2"/>
      <c r="I861" s="190"/>
      <c r="J861" s="190"/>
      <c r="K861" s="2"/>
      <c r="AA861" s="4"/>
      <c r="AD861" s="4"/>
      <c r="AG861" s="4"/>
    </row>
    <row r="862">
      <c r="A862" s="179"/>
      <c r="B862" s="180"/>
      <c r="C862" s="2"/>
      <c r="E862" s="181"/>
      <c r="F862" s="181"/>
      <c r="G862" s="2"/>
      <c r="I862" s="190"/>
      <c r="J862" s="190"/>
      <c r="K862" s="2"/>
      <c r="AA862" s="4"/>
      <c r="AD862" s="4"/>
      <c r="AG862" s="4"/>
    </row>
    <row r="863">
      <c r="A863" s="179"/>
      <c r="B863" s="180"/>
      <c r="C863" s="2"/>
      <c r="E863" s="181"/>
      <c r="F863" s="181"/>
      <c r="G863" s="2"/>
      <c r="I863" s="190"/>
      <c r="J863" s="190"/>
      <c r="K863" s="2"/>
      <c r="AA863" s="4"/>
      <c r="AD863" s="4"/>
      <c r="AG863" s="4"/>
    </row>
    <row r="864">
      <c r="A864" s="179"/>
      <c r="B864" s="180"/>
      <c r="C864" s="2"/>
      <c r="E864" s="181"/>
      <c r="F864" s="181"/>
      <c r="G864" s="2"/>
      <c r="I864" s="190"/>
      <c r="J864" s="190"/>
      <c r="K864" s="2"/>
      <c r="AA864" s="4"/>
      <c r="AD864" s="4"/>
      <c r="AG864" s="4"/>
    </row>
    <row r="865">
      <c r="A865" s="179"/>
      <c r="B865" s="180"/>
      <c r="C865" s="2"/>
      <c r="E865" s="181"/>
      <c r="F865" s="181"/>
      <c r="G865" s="2"/>
      <c r="I865" s="190"/>
      <c r="J865" s="190"/>
      <c r="K865" s="2"/>
      <c r="AA865" s="4"/>
      <c r="AD865" s="4"/>
      <c r="AG865" s="4"/>
    </row>
    <row r="866">
      <c r="A866" s="179"/>
      <c r="B866" s="180"/>
      <c r="C866" s="2"/>
      <c r="E866" s="181"/>
      <c r="F866" s="181"/>
      <c r="G866" s="2"/>
      <c r="I866" s="190"/>
      <c r="J866" s="190"/>
      <c r="K866" s="2"/>
      <c r="AA866" s="4"/>
      <c r="AD866" s="4"/>
      <c r="AG866" s="4"/>
    </row>
    <row r="867">
      <c r="A867" s="179"/>
      <c r="B867" s="180"/>
      <c r="C867" s="2"/>
      <c r="E867" s="181"/>
      <c r="F867" s="181"/>
      <c r="G867" s="2"/>
      <c r="I867" s="190"/>
      <c r="J867" s="190"/>
      <c r="K867" s="2"/>
      <c r="AA867" s="4"/>
      <c r="AD867" s="4"/>
      <c r="AG867" s="4"/>
    </row>
    <row r="868">
      <c r="A868" s="179"/>
      <c r="B868" s="180"/>
      <c r="C868" s="2"/>
      <c r="E868" s="181"/>
      <c r="F868" s="181"/>
      <c r="G868" s="2"/>
      <c r="I868" s="190"/>
      <c r="J868" s="190"/>
      <c r="K868" s="2"/>
      <c r="AA868" s="4"/>
      <c r="AD868" s="4"/>
      <c r="AG868" s="4"/>
    </row>
    <row r="869">
      <c r="A869" s="179"/>
      <c r="B869" s="180"/>
      <c r="C869" s="2"/>
      <c r="E869" s="181"/>
      <c r="F869" s="181"/>
      <c r="G869" s="2"/>
      <c r="I869" s="190"/>
      <c r="J869" s="190"/>
      <c r="K869" s="2"/>
      <c r="AA869" s="4"/>
      <c r="AD869" s="4"/>
      <c r="AG869" s="4"/>
    </row>
    <row r="870">
      <c r="A870" s="179"/>
      <c r="B870" s="180"/>
      <c r="C870" s="2"/>
      <c r="E870" s="181"/>
      <c r="F870" s="181"/>
      <c r="G870" s="2"/>
      <c r="I870" s="190"/>
      <c r="J870" s="190"/>
      <c r="K870" s="2"/>
      <c r="AA870" s="4"/>
      <c r="AD870" s="4"/>
      <c r="AG870" s="4"/>
    </row>
    <row r="871">
      <c r="A871" s="179"/>
      <c r="B871" s="180"/>
      <c r="C871" s="2"/>
      <c r="E871" s="181"/>
      <c r="F871" s="181"/>
      <c r="G871" s="2"/>
      <c r="I871" s="190"/>
      <c r="J871" s="190"/>
      <c r="K871" s="2"/>
      <c r="AA871" s="4"/>
      <c r="AD871" s="4"/>
      <c r="AG871" s="4"/>
    </row>
    <row r="872">
      <c r="A872" s="179"/>
      <c r="B872" s="180"/>
      <c r="C872" s="2"/>
      <c r="E872" s="181"/>
      <c r="F872" s="181"/>
      <c r="G872" s="2"/>
      <c r="I872" s="190"/>
      <c r="J872" s="190"/>
      <c r="K872" s="2"/>
      <c r="AA872" s="4"/>
      <c r="AD872" s="4"/>
      <c r="AG872" s="4"/>
    </row>
    <row r="873">
      <c r="A873" s="179"/>
      <c r="B873" s="180"/>
      <c r="C873" s="2"/>
      <c r="E873" s="181"/>
      <c r="F873" s="181"/>
      <c r="G873" s="2"/>
      <c r="I873" s="190"/>
      <c r="J873" s="190"/>
      <c r="K873" s="2"/>
      <c r="AA873" s="4"/>
      <c r="AD873" s="4"/>
      <c r="AG873" s="4"/>
    </row>
    <row r="874">
      <c r="A874" s="179"/>
      <c r="B874" s="180"/>
      <c r="C874" s="2"/>
      <c r="E874" s="181"/>
      <c r="F874" s="181"/>
      <c r="G874" s="2"/>
      <c r="I874" s="190"/>
      <c r="J874" s="190"/>
      <c r="K874" s="2"/>
      <c r="AA874" s="4"/>
      <c r="AD874" s="4"/>
      <c r="AG874" s="4"/>
    </row>
    <row r="875">
      <c r="A875" s="179"/>
      <c r="B875" s="180"/>
      <c r="C875" s="2"/>
      <c r="E875" s="181"/>
      <c r="F875" s="181"/>
      <c r="G875" s="2"/>
      <c r="I875" s="190"/>
      <c r="J875" s="190"/>
      <c r="K875" s="2"/>
      <c r="AA875" s="4"/>
      <c r="AD875" s="4"/>
      <c r="AG875" s="4"/>
    </row>
    <row r="876">
      <c r="A876" s="179"/>
      <c r="B876" s="180"/>
      <c r="C876" s="2"/>
      <c r="E876" s="181"/>
      <c r="F876" s="181"/>
      <c r="G876" s="2"/>
      <c r="I876" s="190"/>
      <c r="J876" s="190"/>
      <c r="K876" s="2"/>
      <c r="AA876" s="4"/>
      <c r="AD876" s="4"/>
      <c r="AG876" s="4"/>
    </row>
    <row r="877">
      <c r="A877" s="179"/>
      <c r="B877" s="180"/>
      <c r="C877" s="2"/>
      <c r="E877" s="181"/>
      <c r="F877" s="181"/>
      <c r="G877" s="2"/>
      <c r="I877" s="190"/>
      <c r="J877" s="190"/>
      <c r="K877" s="2"/>
      <c r="AA877" s="4"/>
      <c r="AD877" s="4"/>
      <c r="AG877" s="4"/>
    </row>
    <row r="878">
      <c r="A878" s="179"/>
      <c r="B878" s="180"/>
      <c r="C878" s="2"/>
      <c r="E878" s="181"/>
      <c r="F878" s="181"/>
      <c r="G878" s="2"/>
      <c r="I878" s="190"/>
      <c r="J878" s="190"/>
      <c r="K878" s="2"/>
      <c r="AA878" s="4"/>
      <c r="AD878" s="4"/>
      <c r="AG878" s="4"/>
    </row>
    <row r="879">
      <c r="A879" s="179"/>
      <c r="B879" s="180"/>
      <c r="C879" s="2"/>
      <c r="E879" s="181"/>
      <c r="F879" s="181"/>
      <c r="G879" s="2"/>
      <c r="I879" s="190"/>
      <c r="J879" s="190"/>
      <c r="K879" s="2"/>
      <c r="AA879" s="4"/>
      <c r="AD879" s="4"/>
      <c r="AG879" s="4"/>
    </row>
    <row r="880">
      <c r="A880" s="179"/>
      <c r="B880" s="180"/>
      <c r="C880" s="2"/>
      <c r="E880" s="181"/>
      <c r="F880" s="181"/>
      <c r="G880" s="2"/>
      <c r="I880" s="190"/>
      <c r="J880" s="190"/>
      <c r="K880" s="2"/>
      <c r="AA880" s="4"/>
      <c r="AD880" s="4"/>
      <c r="AG880" s="4"/>
    </row>
    <row r="881">
      <c r="A881" s="179"/>
      <c r="B881" s="180"/>
      <c r="C881" s="2"/>
      <c r="E881" s="181"/>
      <c r="F881" s="181"/>
      <c r="G881" s="2"/>
      <c r="I881" s="190"/>
      <c r="J881" s="190"/>
      <c r="K881" s="2"/>
      <c r="AA881" s="4"/>
      <c r="AD881" s="4"/>
      <c r="AG881" s="4"/>
    </row>
    <row r="882">
      <c r="A882" s="179"/>
      <c r="B882" s="180"/>
      <c r="C882" s="2"/>
      <c r="E882" s="181"/>
      <c r="F882" s="181"/>
      <c r="G882" s="2"/>
      <c r="I882" s="190"/>
      <c r="J882" s="190"/>
      <c r="K882" s="2"/>
      <c r="AA882" s="4"/>
      <c r="AD882" s="4"/>
      <c r="AG882" s="4"/>
    </row>
    <row r="883">
      <c r="A883" s="179"/>
      <c r="B883" s="180"/>
      <c r="C883" s="2"/>
      <c r="E883" s="181"/>
      <c r="F883" s="181"/>
      <c r="G883" s="2"/>
      <c r="I883" s="190"/>
      <c r="J883" s="190"/>
      <c r="K883" s="2"/>
      <c r="AA883" s="4"/>
      <c r="AD883" s="4"/>
      <c r="AG883" s="4"/>
    </row>
    <row r="884">
      <c r="A884" s="179"/>
      <c r="B884" s="180"/>
      <c r="C884" s="2"/>
      <c r="E884" s="181"/>
      <c r="F884" s="181"/>
      <c r="G884" s="2"/>
      <c r="I884" s="190"/>
      <c r="J884" s="190"/>
      <c r="K884" s="2"/>
      <c r="AA884" s="4"/>
      <c r="AD884" s="4"/>
      <c r="AG884" s="4"/>
    </row>
    <row r="885">
      <c r="A885" s="179"/>
      <c r="B885" s="180"/>
      <c r="C885" s="2"/>
      <c r="E885" s="181"/>
      <c r="F885" s="181"/>
      <c r="G885" s="2"/>
      <c r="I885" s="190"/>
      <c r="J885" s="190"/>
      <c r="K885" s="2"/>
      <c r="AA885" s="4"/>
      <c r="AD885" s="4"/>
      <c r="AG885" s="4"/>
    </row>
    <row r="886">
      <c r="A886" s="179"/>
      <c r="B886" s="180"/>
      <c r="C886" s="2"/>
      <c r="E886" s="181"/>
      <c r="F886" s="181"/>
      <c r="G886" s="2"/>
      <c r="I886" s="190"/>
      <c r="J886" s="190"/>
      <c r="K886" s="2"/>
      <c r="AA886" s="4"/>
      <c r="AD886" s="4"/>
      <c r="AG886" s="4"/>
    </row>
    <row r="887">
      <c r="A887" s="179"/>
      <c r="B887" s="180"/>
      <c r="C887" s="2"/>
      <c r="E887" s="181"/>
      <c r="F887" s="181"/>
      <c r="G887" s="2"/>
      <c r="I887" s="190"/>
      <c r="J887" s="190"/>
      <c r="K887" s="2"/>
      <c r="AA887" s="4"/>
      <c r="AD887" s="4"/>
      <c r="AG887" s="4"/>
    </row>
    <row r="888">
      <c r="A888" s="179"/>
      <c r="B888" s="180"/>
      <c r="C888" s="2"/>
      <c r="E888" s="181"/>
      <c r="F888" s="181"/>
      <c r="G888" s="2"/>
      <c r="I888" s="190"/>
      <c r="J888" s="190"/>
      <c r="K888" s="2"/>
      <c r="AA888" s="4"/>
      <c r="AD888" s="4"/>
      <c r="AG888" s="4"/>
    </row>
    <row r="889">
      <c r="A889" s="179"/>
      <c r="B889" s="180"/>
      <c r="C889" s="2"/>
      <c r="E889" s="181"/>
      <c r="F889" s="181"/>
      <c r="G889" s="2"/>
      <c r="I889" s="190"/>
      <c r="J889" s="190"/>
      <c r="K889" s="2"/>
      <c r="AA889" s="4"/>
      <c r="AD889" s="4"/>
      <c r="AG889" s="4"/>
    </row>
    <row r="890">
      <c r="A890" s="179"/>
      <c r="B890" s="180"/>
      <c r="C890" s="2"/>
      <c r="E890" s="181"/>
      <c r="F890" s="181"/>
      <c r="G890" s="2"/>
      <c r="I890" s="190"/>
      <c r="J890" s="190"/>
      <c r="K890" s="2"/>
      <c r="AA890" s="4"/>
      <c r="AD890" s="4"/>
      <c r="AG890" s="4"/>
    </row>
    <row r="891">
      <c r="A891" s="179"/>
      <c r="B891" s="180"/>
      <c r="C891" s="2"/>
      <c r="E891" s="181"/>
      <c r="F891" s="181"/>
      <c r="G891" s="2"/>
      <c r="I891" s="190"/>
      <c r="J891" s="190"/>
      <c r="K891" s="2"/>
      <c r="AA891" s="4"/>
      <c r="AD891" s="4"/>
      <c r="AG891" s="4"/>
    </row>
    <row r="892">
      <c r="A892" s="179"/>
      <c r="B892" s="180"/>
      <c r="C892" s="2"/>
      <c r="E892" s="181"/>
      <c r="F892" s="181"/>
      <c r="G892" s="2"/>
      <c r="I892" s="190"/>
      <c r="J892" s="190"/>
      <c r="K892" s="2"/>
      <c r="AA892" s="4"/>
      <c r="AD892" s="4"/>
      <c r="AG892" s="4"/>
    </row>
    <row r="893">
      <c r="A893" s="179"/>
      <c r="B893" s="180"/>
      <c r="C893" s="2"/>
      <c r="E893" s="181"/>
      <c r="F893" s="181"/>
      <c r="G893" s="2"/>
      <c r="I893" s="190"/>
      <c r="J893" s="190"/>
      <c r="K893" s="2"/>
      <c r="AA893" s="4"/>
      <c r="AD893" s="4"/>
      <c r="AG893" s="4"/>
    </row>
    <row r="894">
      <c r="A894" s="179"/>
      <c r="B894" s="180"/>
      <c r="C894" s="2"/>
      <c r="E894" s="181"/>
      <c r="F894" s="181"/>
      <c r="G894" s="2"/>
      <c r="I894" s="190"/>
      <c r="J894" s="190"/>
      <c r="K894" s="2"/>
      <c r="AA894" s="4"/>
      <c r="AD894" s="4"/>
      <c r="AG894" s="4"/>
    </row>
    <row r="895">
      <c r="A895" s="179"/>
      <c r="B895" s="180"/>
      <c r="C895" s="2"/>
      <c r="E895" s="181"/>
      <c r="F895" s="181"/>
      <c r="G895" s="2"/>
      <c r="I895" s="190"/>
      <c r="J895" s="190"/>
      <c r="K895" s="2"/>
      <c r="AA895" s="4"/>
      <c r="AD895" s="4"/>
      <c r="AG895" s="4"/>
    </row>
    <row r="896">
      <c r="A896" s="179"/>
      <c r="B896" s="180"/>
      <c r="C896" s="2"/>
      <c r="E896" s="181"/>
      <c r="F896" s="181"/>
      <c r="G896" s="2"/>
      <c r="I896" s="190"/>
      <c r="J896" s="190"/>
      <c r="K896" s="2"/>
      <c r="AA896" s="4"/>
      <c r="AD896" s="4"/>
      <c r="AG896" s="4"/>
    </row>
    <row r="897">
      <c r="A897" s="179"/>
      <c r="B897" s="180"/>
      <c r="C897" s="2"/>
      <c r="E897" s="181"/>
      <c r="F897" s="181"/>
      <c r="G897" s="2"/>
      <c r="I897" s="190"/>
      <c r="J897" s="190"/>
      <c r="K897" s="2"/>
      <c r="AA897" s="4"/>
      <c r="AD897" s="4"/>
      <c r="AG897" s="4"/>
    </row>
    <row r="898">
      <c r="A898" s="179"/>
      <c r="B898" s="180"/>
      <c r="C898" s="2"/>
      <c r="E898" s="181"/>
      <c r="F898" s="181"/>
      <c r="G898" s="2"/>
      <c r="I898" s="190"/>
      <c r="J898" s="190"/>
      <c r="K898" s="2"/>
      <c r="AA898" s="4"/>
      <c r="AD898" s="4"/>
      <c r="AG898" s="4"/>
    </row>
    <row r="899">
      <c r="A899" s="179"/>
      <c r="B899" s="180"/>
      <c r="C899" s="2"/>
      <c r="E899" s="181"/>
      <c r="F899" s="181"/>
      <c r="G899" s="2"/>
      <c r="I899" s="190"/>
      <c r="J899" s="190"/>
      <c r="K899" s="2"/>
      <c r="AA899" s="4"/>
      <c r="AD899" s="4"/>
      <c r="AG899" s="4"/>
    </row>
    <row r="900">
      <c r="A900" s="179"/>
      <c r="B900" s="180"/>
      <c r="C900" s="2"/>
      <c r="E900" s="181"/>
      <c r="F900" s="181"/>
      <c r="G900" s="2"/>
      <c r="I900" s="190"/>
      <c r="J900" s="190"/>
      <c r="K900" s="2"/>
      <c r="AA900" s="4"/>
      <c r="AD900" s="4"/>
      <c r="AG900" s="4"/>
    </row>
    <row r="901">
      <c r="A901" s="179"/>
      <c r="B901" s="180"/>
      <c r="C901" s="2"/>
      <c r="E901" s="181"/>
      <c r="F901" s="181"/>
      <c r="G901" s="2"/>
      <c r="I901" s="190"/>
      <c r="J901" s="190"/>
      <c r="K901" s="2"/>
      <c r="AA901" s="4"/>
      <c r="AD901" s="4"/>
      <c r="AG901" s="4"/>
    </row>
    <row r="902">
      <c r="A902" s="179"/>
      <c r="B902" s="180"/>
      <c r="C902" s="2"/>
      <c r="E902" s="181"/>
      <c r="F902" s="181"/>
      <c r="G902" s="2"/>
      <c r="I902" s="190"/>
      <c r="J902" s="190"/>
      <c r="K902" s="2"/>
      <c r="AA902" s="4"/>
      <c r="AD902" s="4"/>
      <c r="AG902" s="4"/>
    </row>
    <row r="903">
      <c r="A903" s="179"/>
      <c r="B903" s="180"/>
      <c r="C903" s="2"/>
      <c r="E903" s="181"/>
      <c r="F903" s="181"/>
      <c r="G903" s="2"/>
      <c r="I903" s="190"/>
      <c r="J903" s="190"/>
      <c r="K903" s="2"/>
      <c r="AA903" s="4"/>
      <c r="AD903" s="4"/>
      <c r="AG903" s="4"/>
    </row>
    <row r="904">
      <c r="A904" s="179"/>
      <c r="B904" s="180"/>
      <c r="C904" s="2"/>
      <c r="E904" s="181"/>
      <c r="F904" s="181"/>
      <c r="G904" s="2"/>
      <c r="I904" s="190"/>
      <c r="J904" s="190"/>
      <c r="K904" s="2"/>
      <c r="AA904" s="4"/>
      <c r="AD904" s="4"/>
      <c r="AG904" s="4"/>
    </row>
    <row r="905">
      <c r="A905" s="179"/>
      <c r="B905" s="180"/>
      <c r="C905" s="2"/>
      <c r="E905" s="181"/>
      <c r="F905" s="181"/>
      <c r="G905" s="2"/>
      <c r="I905" s="190"/>
      <c r="J905" s="190"/>
      <c r="K905" s="2"/>
      <c r="AA905" s="4"/>
      <c r="AD905" s="4"/>
      <c r="AG905" s="4"/>
    </row>
    <row r="906">
      <c r="A906" s="179"/>
      <c r="B906" s="180"/>
      <c r="C906" s="2"/>
      <c r="E906" s="181"/>
      <c r="F906" s="181"/>
      <c r="G906" s="2"/>
      <c r="I906" s="190"/>
      <c r="J906" s="190"/>
      <c r="K906" s="2"/>
      <c r="AA906" s="4"/>
      <c r="AD906" s="4"/>
      <c r="AG906" s="4"/>
    </row>
    <row r="907">
      <c r="A907" s="179"/>
      <c r="B907" s="180"/>
      <c r="C907" s="2"/>
      <c r="E907" s="181"/>
      <c r="F907" s="181"/>
      <c r="G907" s="2"/>
      <c r="I907" s="190"/>
      <c r="J907" s="190"/>
      <c r="K907" s="2"/>
      <c r="AA907" s="4"/>
      <c r="AD907" s="4"/>
      <c r="AG907" s="4"/>
    </row>
    <row r="908">
      <c r="A908" s="179"/>
      <c r="B908" s="180"/>
      <c r="C908" s="2"/>
      <c r="E908" s="181"/>
      <c r="F908" s="181"/>
      <c r="G908" s="2"/>
      <c r="I908" s="190"/>
      <c r="J908" s="190"/>
      <c r="K908" s="2"/>
      <c r="AA908" s="4"/>
      <c r="AD908" s="4"/>
      <c r="AG908" s="4"/>
    </row>
    <row r="909">
      <c r="A909" s="179"/>
      <c r="B909" s="180"/>
      <c r="C909" s="2"/>
      <c r="E909" s="181"/>
      <c r="F909" s="181"/>
      <c r="G909" s="2"/>
      <c r="I909" s="190"/>
      <c r="J909" s="190"/>
      <c r="K909" s="2"/>
      <c r="AA909" s="4"/>
      <c r="AD909" s="4"/>
      <c r="AG909" s="4"/>
    </row>
    <row r="910">
      <c r="A910" s="179"/>
      <c r="B910" s="180"/>
      <c r="C910" s="2"/>
      <c r="E910" s="181"/>
      <c r="F910" s="181"/>
      <c r="G910" s="2"/>
      <c r="I910" s="190"/>
      <c r="J910" s="190"/>
      <c r="K910" s="2"/>
      <c r="AA910" s="4"/>
      <c r="AD910" s="4"/>
      <c r="AG910" s="4"/>
    </row>
    <row r="911">
      <c r="A911" s="179"/>
      <c r="B911" s="180"/>
      <c r="C911" s="2"/>
      <c r="E911" s="181"/>
      <c r="F911" s="181"/>
      <c r="G911" s="2"/>
      <c r="I911" s="190"/>
      <c r="J911" s="190"/>
      <c r="K911" s="2"/>
      <c r="AA911" s="4"/>
      <c r="AD911" s="4"/>
      <c r="AG911" s="4"/>
    </row>
    <row r="912">
      <c r="A912" s="179"/>
      <c r="B912" s="180"/>
      <c r="C912" s="2"/>
      <c r="E912" s="181"/>
      <c r="F912" s="181"/>
      <c r="G912" s="2"/>
      <c r="I912" s="190"/>
      <c r="J912" s="190"/>
      <c r="K912" s="2"/>
      <c r="AA912" s="4"/>
      <c r="AD912" s="4"/>
      <c r="AG912" s="4"/>
    </row>
    <row r="913">
      <c r="A913" s="179"/>
      <c r="B913" s="180"/>
      <c r="C913" s="2"/>
      <c r="E913" s="181"/>
      <c r="F913" s="181"/>
      <c r="G913" s="2"/>
      <c r="I913" s="190"/>
      <c r="J913" s="190"/>
      <c r="K913" s="2"/>
      <c r="AA913" s="4"/>
      <c r="AD913" s="4"/>
      <c r="AG913" s="4"/>
    </row>
    <row r="914">
      <c r="A914" s="179"/>
      <c r="B914" s="180"/>
      <c r="C914" s="2"/>
      <c r="E914" s="181"/>
      <c r="F914" s="181"/>
      <c r="G914" s="2"/>
      <c r="I914" s="190"/>
      <c r="J914" s="190"/>
      <c r="K914" s="2"/>
      <c r="AA914" s="4"/>
      <c r="AD914" s="4"/>
      <c r="AG914" s="4"/>
    </row>
    <row r="915">
      <c r="A915" s="179"/>
      <c r="B915" s="180"/>
      <c r="C915" s="2"/>
      <c r="E915" s="181"/>
      <c r="F915" s="181"/>
      <c r="G915" s="2"/>
      <c r="I915" s="190"/>
      <c r="J915" s="190"/>
      <c r="K915" s="2"/>
      <c r="AA915" s="4"/>
      <c r="AD915" s="4"/>
      <c r="AG915" s="4"/>
    </row>
    <row r="916">
      <c r="A916" s="179"/>
      <c r="B916" s="180"/>
      <c r="C916" s="2"/>
      <c r="E916" s="181"/>
      <c r="F916" s="181"/>
      <c r="G916" s="2"/>
      <c r="I916" s="190"/>
      <c r="J916" s="190"/>
      <c r="K916" s="2"/>
      <c r="AA916" s="4"/>
      <c r="AD916" s="4"/>
      <c r="AG916" s="4"/>
    </row>
    <row r="917">
      <c r="A917" s="179"/>
      <c r="B917" s="180"/>
      <c r="C917" s="2"/>
      <c r="E917" s="181"/>
      <c r="F917" s="181"/>
      <c r="G917" s="2"/>
      <c r="I917" s="190"/>
      <c r="J917" s="190"/>
      <c r="K917" s="2"/>
      <c r="AA917" s="4"/>
      <c r="AD917" s="4"/>
      <c r="AG917" s="4"/>
    </row>
    <row r="918">
      <c r="A918" s="179"/>
      <c r="B918" s="180"/>
      <c r="C918" s="2"/>
      <c r="E918" s="181"/>
      <c r="F918" s="181"/>
      <c r="G918" s="2"/>
      <c r="I918" s="190"/>
      <c r="J918" s="190"/>
      <c r="K918" s="2"/>
      <c r="AA918" s="4"/>
      <c r="AD918" s="4"/>
      <c r="AG918" s="4"/>
    </row>
    <row r="919">
      <c r="A919" s="179"/>
      <c r="B919" s="180"/>
      <c r="C919" s="2"/>
      <c r="E919" s="181"/>
      <c r="F919" s="181"/>
      <c r="G919" s="2"/>
      <c r="I919" s="190"/>
      <c r="J919" s="190"/>
      <c r="K919" s="2"/>
      <c r="AA919" s="4"/>
      <c r="AD919" s="4"/>
      <c r="AG919" s="4"/>
    </row>
    <row r="920">
      <c r="A920" s="179"/>
      <c r="B920" s="180"/>
      <c r="C920" s="2"/>
      <c r="E920" s="181"/>
      <c r="F920" s="181"/>
      <c r="G920" s="2"/>
      <c r="I920" s="190"/>
      <c r="J920" s="190"/>
      <c r="K920" s="2"/>
      <c r="AA920" s="4"/>
      <c r="AD920" s="4"/>
      <c r="AG920" s="4"/>
    </row>
    <row r="921">
      <c r="A921" s="179"/>
      <c r="B921" s="180"/>
      <c r="C921" s="2"/>
      <c r="E921" s="181"/>
      <c r="F921" s="181"/>
      <c r="G921" s="2"/>
      <c r="I921" s="190"/>
      <c r="J921" s="190"/>
      <c r="K921" s="2"/>
      <c r="AA921" s="4"/>
      <c r="AD921" s="4"/>
      <c r="AG921" s="4"/>
    </row>
    <row r="922">
      <c r="A922" s="179"/>
      <c r="B922" s="180"/>
      <c r="C922" s="2"/>
      <c r="E922" s="181"/>
      <c r="F922" s="181"/>
      <c r="G922" s="2"/>
      <c r="I922" s="190"/>
      <c r="J922" s="190"/>
      <c r="K922" s="2"/>
      <c r="AA922" s="4"/>
      <c r="AD922" s="4"/>
      <c r="AG922" s="4"/>
    </row>
    <row r="923">
      <c r="A923" s="179"/>
      <c r="B923" s="180"/>
      <c r="C923" s="2"/>
      <c r="E923" s="181"/>
      <c r="F923" s="181"/>
      <c r="G923" s="2"/>
      <c r="I923" s="190"/>
      <c r="J923" s="190"/>
      <c r="K923" s="2"/>
      <c r="AA923" s="4"/>
      <c r="AD923" s="4"/>
      <c r="AG923" s="4"/>
    </row>
    <row r="924">
      <c r="A924" s="179"/>
      <c r="B924" s="180"/>
      <c r="C924" s="2"/>
      <c r="E924" s="181"/>
      <c r="F924" s="181"/>
      <c r="G924" s="2"/>
      <c r="I924" s="190"/>
      <c r="J924" s="190"/>
      <c r="K924" s="2"/>
      <c r="AA924" s="4"/>
      <c r="AD924" s="4"/>
      <c r="AG924" s="4"/>
    </row>
    <row r="925">
      <c r="A925" s="179"/>
      <c r="B925" s="180"/>
      <c r="C925" s="2"/>
      <c r="E925" s="181"/>
      <c r="F925" s="181"/>
      <c r="G925" s="2"/>
      <c r="I925" s="190"/>
      <c r="J925" s="190"/>
      <c r="K925" s="2"/>
      <c r="AA925" s="4"/>
      <c r="AD925" s="4"/>
      <c r="AG925" s="4"/>
    </row>
    <row r="926">
      <c r="A926" s="179"/>
      <c r="B926" s="180"/>
      <c r="C926" s="2"/>
      <c r="E926" s="181"/>
      <c r="F926" s="181"/>
      <c r="G926" s="2"/>
      <c r="I926" s="190"/>
      <c r="J926" s="190"/>
      <c r="K926" s="2"/>
      <c r="AA926" s="4"/>
      <c r="AD926" s="4"/>
      <c r="AG926" s="4"/>
    </row>
    <row r="927">
      <c r="A927" s="179"/>
      <c r="B927" s="180"/>
      <c r="C927" s="2"/>
      <c r="E927" s="181"/>
      <c r="F927" s="181"/>
      <c r="G927" s="2"/>
      <c r="I927" s="190"/>
      <c r="J927" s="190"/>
      <c r="K927" s="2"/>
      <c r="AA927" s="4"/>
      <c r="AD927" s="4"/>
      <c r="AG927" s="4"/>
    </row>
    <row r="928">
      <c r="A928" s="179"/>
      <c r="B928" s="180"/>
      <c r="C928" s="2"/>
      <c r="E928" s="181"/>
      <c r="F928" s="181"/>
      <c r="G928" s="2"/>
      <c r="I928" s="190"/>
      <c r="J928" s="190"/>
      <c r="K928" s="2"/>
      <c r="AA928" s="4"/>
      <c r="AD928" s="4"/>
      <c r="AG928" s="4"/>
    </row>
    <row r="929">
      <c r="A929" s="179"/>
      <c r="B929" s="180"/>
      <c r="C929" s="2"/>
      <c r="E929" s="181"/>
      <c r="F929" s="181"/>
      <c r="G929" s="2"/>
      <c r="I929" s="190"/>
      <c r="J929" s="190"/>
      <c r="K929" s="2"/>
      <c r="AA929" s="4"/>
      <c r="AD929" s="4"/>
      <c r="AG929" s="4"/>
    </row>
    <row r="930">
      <c r="A930" s="179"/>
      <c r="B930" s="180"/>
      <c r="C930" s="2"/>
      <c r="E930" s="181"/>
      <c r="F930" s="181"/>
      <c r="G930" s="2"/>
      <c r="I930" s="190"/>
      <c r="J930" s="190"/>
      <c r="K930" s="2"/>
      <c r="AA930" s="4"/>
      <c r="AD930" s="4"/>
      <c r="AG930" s="4"/>
    </row>
    <row r="931">
      <c r="A931" s="179"/>
      <c r="B931" s="180"/>
      <c r="C931" s="2"/>
      <c r="E931" s="181"/>
      <c r="F931" s="181"/>
      <c r="G931" s="2"/>
      <c r="I931" s="190"/>
      <c r="J931" s="190"/>
      <c r="K931" s="2"/>
      <c r="AA931" s="4"/>
      <c r="AD931" s="4"/>
      <c r="AG931" s="4"/>
    </row>
    <row r="932">
      <c r="A932" s="179"/>
      <c r="B932" s="180"/>
      <c r="C932" s="2"/>
      <c r="E932" s="181"/>
      <c r="F932" s="181"/>
      <c r="G932" s="2"/>
      <c r="I932" s="190"/>
      <c r="J932" s="190"/>
      <c r="K932" s="2"/>
      <c r="AA932" s="4"/>
      <c r="AD932" s="4"/>
      <c r="AG932" s="4"/>
    </row>
    <row r="933">
      <c r="A933" s="179"/>
      <c r="B933" s="180"/>
      <c r="C933" s="2"/>
      <c r="E933" s="181"/>
      <c r="F933" s="181"/>
      <c r="G933" s="2"/>
      <c r="I933" s="190"/>
      <c r="J933" s="190"/>
      <c r="K933" s="2"/>
      <c r="AA933" s="4"/>
      <c r="AD933" s="4"/>
      <c r="AG933" s="4"/>
    </row>
    <row r="934">
      <c r="A934" s="179"/>
      <c r="B934" s="180"/>
      <c r="C934" s="2"/>
      <c r="E934" s="181"/>
      <c r="F934" s="181"/>
      <c r="G934" s="2"/>
      <c r="I934" s="190"/>
      <c r="J934" s="190"/>
      <c r="K934" s="2"/>
      <c r="AA934" s="4"/>
      <c r="AD934" s="4"/>
      <c r="AG934" s="4"/>
    </row>
    <row r="935">
      <c r="A935" s="179"/>
      <c r="B935" s="180"/>
      <c r="C935" s="2"/>
      <c r="E935" s="181"/>
      <c r="F935" s="181"/>
      <c r="G935" s="2"/>
      <c r="I935" s="190"/>
      <c r="J935" s="190"/>
      <c r="K935" s="2"/>
      <c r="AA935" s="4"/>
      <c r="AD935" s="4"/>
      <c r="AG935" s="4"/>
    </row>
    <row r="936">
      <c r="A936" s="179"/>
      <c r="B936" s="180"/>
      <c r="C936" s="2"/>
      <c r="E936" s="181"/>
      <c r="F936" s="181"/>
      <c r="G936" s="2"/>
      <c r="I936" s="190"/>
      <c r="J936" s="190"/>
      <c r="K936" s="2"/>
      <c r="AA936" s="4"/>
      <c r="AD936" s="4"/>
      <c r="AG936" s="4"/>
    </row>
    <row r="937">
      <c r="A937" s="179"/>
      <c r="B937" s="180"/>
      <c r="C937" s="2"/>
      <c r="E937" s="181"/>
      <c r="F937" s="181"/>
      <c r="G937" s="2"/>
      <c r="I937" s="190"/>
      <c r="J937" s="190"/>
      <c r="K937" s="2"/>
      <c r="AA937" s="4"/>
      <c r="AD937" s="4"/>
      <c r="AG937" s="4"/>
    </row>
    <row r="938">
      <c r="A938" s="179"/>
      <c r="B938" s="180"/>
      <c r="C938" s="2"/>
      <c r="E938" s="181"/>
      <c r="F938" s="181"/>
      <c r="G938" s="2"/>
      <c r="I938" s="190"/>
      <c r="J938" s="190"/>
      <c r="K938" s="2"/>
      <c r="AA938" s="4"/>
      <c r="AD938" s="4"/>
      <c r="AG938" s="4"/>
    </row>
    <row r="939">
      <c r="A939" s="179"/>
      <c r="B939" s="180"/>
      <c r="C939" s="2"/>
      <c r="E939" s="181"/>
      <c r="F939" s="181"/>
      <c r="G939" s="2"/>
      <c r="I939" s="190"/>
      <c r="J939" s="190"/>
      <c r="K939" s="2"/>
      <c r="AA939" s="4"/>
      <c r="AD939" s="4"/>
      <c r="AG939" s="4"/>
    </row>
    <row r="940">
      <c r="A940" s="179"/>
      <c r="B940" s="180"/>
      <c r="C940" s="2"/>
      <c r="E940" s="181"/>
      <c r="F940" s="181"/>
      <c r="G940" s="2"/>
      <c r="I940" s="190"/>
      <c r="J940" s="190"/>
      <c r="K940" s="2"/>
      <c r="AA940" s="4"/>
      <c r="AD940" s="4"/>
      <c r="AG940" s="4"/>
    </row>
    <row r="941">
      <c r="A941" s="179"/>
      <c r="B941" s="180"/>
      <c r="C941" s="2"/>
      <c r="E941" s="181"/>
      <c r="F941" s="181"/>
      <c r="G941" s="2"/>
      <c r="I941" s="190"/>
      <c r="J941" s="190"/>
      <c r="K941" s="2"/>
      <c r="AA941" s="4"/>
      <c r="AD941" s="4"/>
      <c r="AG941" s="4"/>
    </row>
    <row r="942">
      <c r="A942" s="179"/>
      <c r="B942" s="180"/>
      <c r="C942" s="2"/>
      <c r="E942" s="181"/>
      <c r="F942" s="181"/>
      <c r="G942" s="2"/>
      <c r="I942" s="190"/>
      <c r="J942" s="190"/>
      <c r="K942" s="2"/>
      <c r="AA942" s="4"/>
      <c r="AD942" s="4"/>
      <c r="AG942" s="4"/>
    </row>
    <row r="943">
      <c r="A943" s="179"/>
      <c r="B943" s="180"/>
      <c r="C943" s="2"/>
      <c r="E943" s="181"/>
      <c r="F943" s="181"/>
      <c r="G943" s="2"/>
      <c r="I943" s="190"/>
      <c r="J943" s="190"/>
      <c r="K943" s="2"/>
      <c r="AA943" s="4"/>
      <c r="AD943" s="4"/>
      <c r="AG943" s="4"/>
    </row>
    <row r="944">
      <c r="A944" s="179"/>
      <c r="B944" s="180"/>
      <c r="C944" s="2"/>
      <c r="E944" s="181"/>
      <c r="F944" s="181"/>
      <c r="G944" s="2"/>
      <c r="I944" s="190"/>
      <c r="J944" s="190"/>
      <c r="K944" s="2"/>
      <c r="AA944" s="4"/>
      <c r="AD944" s="4"/>
      <c r="AG944" s="4"/>
    </row>
    <row r="945">
      <c r="A945" s="179"/>
      <c r="B945" s="180"/>
      <c r="C945" s="2"/>
      <c r="E945" s="181"/>
      <c r="F945" s="181"/>
      <c r="G945" s="2"/>
      <c r="I945" s="190"/>
      <c r="J945" s="190"/>
      <c r="K945" s="2"/>
      <c r="AA945" s="4"/>
      <c r="AD945" s="4"/>
      <c r="AG945" s="4"/>
    </row>
    <row r="946">
      <c r="A946" s="179"/>
      <c r="B946" s="180"/>
      <c r="C946" s="2"/>
      <c r="E946" s="181"/>
      <c r="F946" s="181"/>
      <c r="G946" s="2"/>
      <c r="I946" s="190"/>
      <c r="J946" s="190"/>
      <c r="K946" s="2"/>
      <c r="AA946" s="4"/>
      <c r="AD946" s="4"/>
      <c r="AG946" s="4"/>
    </row>
    <row r="947">
      <c r="A947" s="179"/>
      <c r="B947" s="180"/>
      <c r="C947" s="2"/>
      <c r="E947" s="181"/>
      <c r="F947" s="181"/>
      <c r="G947" s="2"/>
      <c r="I947" s="190"/>
      <c r="J947" s="190"/>
      <c r="K947" s="2"/>
      <c r="AA947" s="4"/>
      <c r="AD947" s="4"/>
      <c r="AG947" s="4"/>
    </row>
    <row r="948">
      <c r="A948" s="179"/>
      <c r="B948" s="180"/>
      <c r="C948" s="2"/>
      <c r="E948" s="181"/>
      <c r="F948" s="181"/>
      <c r="G948" s="2"/>
      <c r="I948" s="190"/>
      <c r="J948" s="190"/>
      <c r="K948" s="2"/>
      <c r="AA948" s="4"/>
      <c r="AD948" s="4"/>
      <c r="AG948" s="4"/>
    </row>
    <row r="949">
      <c r="A949" s="179"/>
      <c r="B949" s="180"/>
      <c r="C949" s="2"/>
      <c r="E949" s="181"/>
      <c r="F949" s="181"/>
      <c r="G949" s="2"/>
      <c r="I949" s="190"/>
      <c r="J949" s="190"/>
      <c r="K949" s="2"/>
      <c r="AA949" s="4"/>
      <c r="AD949" s="4"/>
      <c r="AG949" s="4"/>
    </row>
    <row r="950">
      <c r="A950" s="179"/>
      <c r="B950" s="180"/>
      <c r="C950" s="2"/>
      <c r="E950" s="181"/>
      <c r="F950" s="181"/>
      <c r="G950" s="2"/>
      <c r="I950" s="190"/>
      <c r="J950" s="190"/>
      <c r="K950" s="2"/>
      <c r="AA950" s="4"/>
      <c r="AD950" s="4"/>
      <c r="AG950" s="4"/>
    </row>
    <row r="951">
      <c r="A951" s="179"/>
      <c r="B951" s="180"/>
      <c r="C951" s="2"/>
      <c r="E951" s="181"/>
      <c r="F951" s="181"/>
      <c r="G951" s="2"/>
      <c r="I951" s="190"/>
      <c r="J951" s="190"/>
      <c r="K951" s="2"/>
      <c r="AA951" s="4"/>
      <c r="AD951" s="4"/>
      <c r="AG951" s="4"/>
    </row>
    <row r="952">
      <c r="A952" s="179"/>
      <c r="B952" s="180"/>
      <c r="C952" s="2"/>
      <c r="E952" s="181"/>
      <c r="F952" s="181"/>
      <c r="G952" s="2"/>
      <c r="I952" s="190"/>
      <c r="J952" s="190"/>
      <c r="K952" s="2"/>
      <c r="AA952" s="4"/>
      <c r="AD952" s="4"/>
      <c r="AG952" s="4"/>
    </row>
    <row r="953">
      <c r="A953" s="179"/>
      <c r="B953" s="180"/>
      <c r="C953" s="2"/>
      <c r="E953" s="181"/>
      <c r="F953" s="181"/>
      <c r="G953" s="2"/>
      <c r="I953" s="190"/>
      <c r="J953" s="190"/>
      <c r="K953" s="2"/>
      <c r="AA953" s="4"/>
      <c r="AD953" s="4"/>
      <c r="AG953" s="4"/>
    </row>
    <row r="954">
      <c r="A954" s="179"/>
      <c r="B954" s="180"/>
      <c r="C954" s="2"/>
      <c r="E954" s="181"/>
      <c r="F954" s="181"/>
      <c r="G954" s="2"/>
      <c r="I954" s="190"/>
      <c r="J954" s="190"/>
      <c r="K954" s="2"/>
      <c r="AA954" s="4"/>
      <c r="AD954" s="4"/>
      <c r="AG954" s="4"/>
    </row>
    <row r="955">
      <c r="A955" s="179"/>
      <c r="B955" s="180"/>
      <c r="C955" s="2"/>
      <c r="E955" s="181"/>
      <c r="F955" s="181"/>
      <c r="G955" s="2"/>
      <c r="I955" s="190"/>
      <c r="J955" s="190"/>
      <c r="K955" s="2"/>
      <c r="AA955" s="4"/>
      <c r="AD955" s="4"/>
      <c r="AG955" s="4"/>
    </row>
    <row r="956">
      <c r="A956" s="179"/>
      <c r="B956" s="180"/>
      <c r="C956" s="2"/>
      <c r="E956" s="181"/>
      <c r="F956" s="181"/>
      <c r="G956" s="2"/>
      <c r="I956" s="190"/>
      <c r="J956" s="190"/>
      <c r="K956" s="2"/>
      <c r="AA956" s="4"/>
      <c r="AD956" s="4"/>
      <c r="AG956" s="4"/>
    </row>
    <row r="957">
      <c r="A957" s="179"/>
      <c r="B957" s="180"/>
      <c r="C957" s="2"/>
      <c r="E957" s="181"/>
      <c r="F957" s="181"/>
      <c r="G957" s="2"/>
      <c r="I957" s="190"/>
      <c r="J957" s="190"/>
      <c r="K957" s="2"/>
      <c r="AA957" s="4"/>
      <c r="AD957" s="4"/>
      <c r="AG957" s="4"/>
    </row>
    <row r="958">
      <c r="A958" s="179"/>
      <c r="B958" s="180"/>
      <c r="C958" s="2"/>
      <c r="E958" s="181"/>
      <c r="F958" s="181"/>
      <c r="G958" s="2"/>
      <c r="I958" s="190"/>
      <c r="J958" s="190"/>
      <c r="K958" s="2"/>
      <c r="AA958" s="4"/>
      <c r="AD958" s="4"/>
      <c r="AG958" s="4"/>
    </row>
    <row r="959">
      <c r="A959" s="179"/>
      <c r="B959" s="180"/>
      <c r="C959" s="2"/>
      <c r="E959" s="181"/>
      <c r="F959" s="181"/>
      <c r="G959" s="2"/>
      <c r="I959" s="190"/>
      <c r="J959" s="190"/>
      <c r="K959" s="2"/>
      <c r="AA959" s="4"/>
      <c r="AD959" s="4"/>
      <c r="AG959" s="4"/>
    </row>
    <row r="960">
      <c r="A960" s="179"/>
      <c r="B960" s="180"/>
      <c r="C960" s="2"/>
      <c r="E960" s="181"/>
      <c r="F960" s="181"/>
      <c r="G960" s="2"/>
      <c r="I960" s="190"/>
      <c r="J960" s="190"/>
      <c r="K960" s="2"/>
      <c r="AA960" s="4"/>
      <c r="AD960" s="4"/>
      <c r="AG960" s="4"/>
    </row>
    <row r="961">
      <c r="A961" s="179"/>
      <c r="B961" s="180"/>
      <c r="C961" s="2"/>
      <c r="E961" s="181"/>
      <c r="F961" s="181"/>
      <c r="G961" s="2"/>
      <c r="I961" s="190"/>
      <c r="J961" s="190"/>
      <c r="K961" s="2"/>
      <c r="AA961" s="4"/>
      <c r="AD961" s="4"/>
      <c r="AG961" s="4"/>
    </row>
    <row r="962">
      <c r="A962" s="179"/>
      <c r="B962" s="180"/>
      <c r="C962" s="2"/>
      <c r="E962" s="181"/>
      <c r="F962" s="181"/>
      <c r="G962" s="2"/>
      <c r="I962" s="190"/>
      <c r="J962" s="190"/>
      <c r="K962" s="2"/>
      <c r="AA962" s="4"/>
      <c r="AD962" s="4"/>
      <c r="AG962" s="4"/>
    </row>
    <row r="963">
      <c r="A963" s="179"/>
      <c r="B963" s="180"/>
      <c r="C963" s="2"/>
      <c r="E963" s="181"/>
      <c r="F963" s="181"/>
      <c r="G963" s="2"/>
      <c r="I963" s="190"/>
      <c r="J963" s="190"/>
      <c r="K963" s="2"/>
      <c r="AA963" s="4"/>
      <c r="AD963" s="4"/>
      <c r="AG963" s="4"/>
    </row>
    <row r="964">
      <c r="A964" s="179"/>
      <c r="B964" s="180"/>
      <c r="C964" s="2"/>
      <c r="E964" s="181"/>
      <c r="F964" s="181"/>
      <c r="G964" s="2"/>
      <c r="I964" s="190"/>
      <c r="J964" s="190"/>
      <c r="K964" s="2"/>
      <c r="AA964" s="4"/>
      <c r="AD964" s="4"/>
      <c r="AG964" s="4"/>
    </row>
    <row r="965">
      <c r="A965" s="179"/>
      <c r="B965" s="180"/>
      <c r="C965" s="2"/>
      <c r="E965" s="181"/>
      <c r="F965" s="181"/>
      <c r="G965" s="2"/>
      <c r="I965" s="190"/>
      <c r="J965" s="190"/>
      <c r="K965" s="2"/>
      <c r="AA965" s="4"/>
      <c r="AD965" s="4"/>
      <c r="AG965" s="4"/>
    </row>
    <row r="966">
      <c r="A966" s="179"/>
      <c r="B966" s="180"/>
      <c r="C966" s="2"/>
      <c r="E966" s="181"/>
      <c r="F966" s="181"/>
      <c r="G966" s="2"/>
      <c r="I966" s="190"/>
      <c r="J966" s="190"/>
      <c r="K966" s="2"/>
      <c r="AA966" s="4"/>
      <c r="AD966" s="4"/>
      <c r="AG966" s="4"/>
    </row>
    <row r="967">
      <c r="A967" s="179"/>
      <c r="B967" s="180"/>
      <c r="C967" s="2"/>
      <c r="E967" s="181"/>
      <c r="F967" s="181"/>
      <c r="G967" s="2"/>
      <c r="I967" s="190"/>
      <c r="J967" s="190"/>
      <c r="K967" s="2"/>
      <c r="AA967" s="4"/>
      <c r="AD967" s="4"/>
      <c r="AG967" s="4"/>
    </row>
    <row r="968">
      <c r="A968" s="179"/>
      <c r="B968" s="180"/>
      <c r="C968" s="2"/>
      <c r="E968" s="181"/>
      <c r="F968" s="181"/>
      <c r="G968" s="2"/>
      <c r="I968" s="190"/>
      <c r="J968" s="190"/>
      <c r="K968" s="2"/>
      <c r="AA968" s="4"/>
      <c r="AD968" s="4"/>
      <c r="AG968" s="4"/>
    </row>
    <row r="969">
      <c r="A969" s="179"/>
      <c r="B969" s="180"/>
      <c r="C969" s="2"/>
      <c r="E969" s="181"/>
      <c r="F969" s="181"/>
      <c r="G969" s="2"/>
      <c r="I969" s="190"/>
      <c r="J969" s="190"/>
      <c r="K969" s="2"/>
      <c r="AA969" s="4"/>
      <c r="AD969" s="4"/>
      <c r="AG969" s="4"/>
    </row>
    <row r="970">
      <c r="A970" s="179"/>
      <c r="B970" s="180"/>
      <c r="C970" s="2"/>
      <c r="E970" s="181"/>
      <c r="F970" s="181"/>
      <c r="G970" s="2"/>
      <c r="I970" s="190"/>
      <c r="J970" s="190"/>
      <c r="K970" s="2"/>
      <c r="AA970" s="4"/>
      <c r="AD970" s="4"/>
      <c r="AG970" s="4"/>
    </row>
    <row r="971">
      <c r="A971" s="179"/>
      <c r="B971" s="180"/>
      <c r="C971" s="2"/>
      <c r="E971" s="181"/>
      <c r="F971" s="181"/>
      <c r="G971" s="2"/>
      <c r="I971" s="190"/>
      <c r="J971" s="190"/>
      <c r="K971" s="2"/>
      <c r="AA971" s="4"/>
      <c r="AD971" s="4"/>
      <c r="AG971" s="4"/>
    </row>
    <row r="972">
      <c r="A972" s="179"/>
      <c r="B972" s="180"/>
      <c r="C972" s="2"/>
      <c r="E972" s="181"/>
      <c r="F972" s="181"/>
      <c r="G972" s="2"/>
      <c r="I972" s="190"/>
      <c r="J972" s="190"/>
      <c r="K972" s="2"/>
      <c r="AA972" s="4"/>
      <c r="AD972" s="4"/>
      <c r="AG972" s="4"/>
    </row>
    <row r="973">
      <c r="A973" s="179"/>
      <c r="B973" s="180"/>
      <c r="C973" s="2"/>
      <c r="E973" s="181"/>
      <c r="F973" s="181"/>
      <c r="G973" s="2"/>
      <c r="I973" s="190"/>
      <c r="J973" s="190"/>
      <c r="K973" s="2"/>
      <c r="AA973" s="4"/>
      <c r="AD973" s="4"/>
      <c r="AG973" s="4"/>
    </row>
    <row r="974">
      <c r="A974" s="179"/>
      <c r="B974" s="180"/>
      <c r="C974" s="2"/>
      <c r="E974" s="181"/>
      <c r="F974" s="181"/>
      <c r="G974" s="2"/>
      <c r="I974" s="190"/>
      <c r="J974" s="190"/>
      <c r="K974" s="2"/>
      <c r="AA974" s="4"/>
      <c r="AD974" s="4"/>
      <c r="AG974" s="4"/>
    </row>
    <row r="975">
      <c r="A975" s="179"/>
      <c r="B975" s="180"/>
      <c r="C975" s="2"/>
      <c r="E975" s="181"/>
      <c r="F975" s="181"/>
      <c r="G975" s="2"/>
      <c r="I975" s="190"/>
      <c r="J975" s="190"/>
      <c r="K975" s="2"/>
      <c r="AA975" s="4"/>
      <c r="AD975" s="4"/>
      <c r="AG975" s="4"/>
    </row>
    <row r="976">
      <c r="A976" s="179"/>
      <c r="B976" s="180"/>
      <c r="C976" s="2"/>
      <c r="E976" s="181"/>
      <c r="F976" s="181"/>
      <c r="G976" s="2"/>
      <c r="I976" s="190"/>
      <c r="J976" s="190"/>
      <c r="K976" s="2"/>
      <c r="AA976" s="4"/>
      <c r="AD976" s="4"/>
      <c r="AG976" s="4"/>
    </row>
    <row r="977">
      <c r="A977" s="179"/>
      <c r="B977" s="180"/>
      <c r="C977" s="2"/>
      <c r="E977" s="181"/>
      <c r="F977" s="181"/>
      <c r="G977" s="2"/>
      <c r="I977" s="190"/>
      <c r="J977" s="190"/>
      <c r="K977" s="2"/>
      <c r="AA977" s="4"/>
      <c r="AD977" s="4"/>
      <c r="AG977" s="4"/>
    </row>
    <row r="978">
      <c r="A978" s="179"/>
      <c r="B978" s="180"/>
      <c r="C978" s="2"/>
      <c r="E978" s="181"/>
      <c r="F978" s="181"/>
      <c r="G978" s="2"/>
      <c r="I978" s="190"/>
      <c r="J978" s="190"/>
      <c r="K978" s="2"/>
      <c r="AA978" s="4"/>
      <c r="AD978" s="4"/>
      <c r="AG978" s="4"/>
    </row>
    <row r="979">
      <c r="A979" s="179"/>
      <c r="B979" s="180"/>
      <c r="C979" s="2"/>
      <c r="E979" s="181"/>
      <c r="F979" s="181"/>
      <c r="G979" s="2"/>
      <c r="I979" s="190"/>
      <c r="J979" s="190"/>
      <c r="K979" s="2"/>
      <c r="AA979" s="4"/>
      <c r="AD979" s="4"/>
      <c r="AG979" s="4"/>
    </row>
    <row r="980">
      <c r="A980" s="179"/>
      <c r="B980" s="180"/>
      <c r="C980" s="2"/>
      <c r="E980" s="181"/>
      <c r="F980" s="181"/>
      <c r="G980" s="2"/>
      <c r="I980" s="190"/>
      <c r="J980" s="190"/>
      <c r="K980" s="2"/>
      <c r="AA980" s="4"/>
      <c r="AD980" s="4"/>
      <c r="AG980" s="4"/>
    </row>
    <row r="981">
      <c r="A981" s="179"/>
      <c r="B981" s="180"/>
      <c r="C981" s="2"/>
      <c r="E981" s="181"/>
      <c r="F981" s="181"/>
      <c r="G981" s="2"/>
      <c r="I981" s="190"/>
      <c r="J981" s="190"/>
      <c r="K981" s="2"/>
      <c r="AA981" s="4"/>
      <c r="AD981" s="4"/>
      <c r="AG981" s="4"/>
    </row>
    <row r="982">
      <c r="A982" s="179"/>
      <c r="B982" s="180"/>
      <c r="C982" s="2"/>
      <c r="E982" s="181"/>
      <c r="F982" s="181"/>
      <c r="G982" s="2"/>
      <c r="I982" s="190"/>
      <c r="J982" s="190"/>
      <c r="K982" s="2"/>
      <c r="AA982" s="4"/>
      <c r="AD982" s="4"/>
      <c r="AG982" s="4"/>
    </row>
    <row r="983">
      <c r="A983" s="179"/>
      <c r="B983" s="180"/>
      <c r="C983" s="2"/>
      <c r="E983" s="181"/>
      <c r="F983" s="181"/>
      <c r="G983" s="2"/>
      <c r="I983" s="190"/>
      <c r="J983" s="190"/>
      <c r="K983" s="2"/>
      <c r="AA983" s="4"/>
      <c r="AD983" s="4"/>
      <c r="AG983" s="4"/>
    </row>
    <row r="984">
      <c r="A984" s="179"/>
      <c r="B984" s="180"/>
      <c r="C984" s="2"/>
      <c r="E984" s="181"/>
      <c r="F984" s="181"/>
      <c r="G984" s="2"/>
      <c r="I984" s="190"/>
      <c r="J984" s="190"/>
      <c r="K984" s="2"/>
      <c r="AA984" s="4"/>
      <c r="AD984" s="4"/>
      <c r="AG984" s="4"/>
    </row>
    <row r="985">
      <c r="A985" s="179"/>
      <c r="B985" s="180"/>
      <c r="C985" s="2"/>
      <c r="E985" s="181"/>
      <c r="F985" s="181"/>
      <c r="G985" s="2"/>
      <c r="I985" s="190"/>
      <c r="J985" s="190"/>
      <c r="K985" s="2"/>
      <c r="AA985" s="4"/>
      <c r="AD985" s="4"/>
      <c r="AG985" s="4"/>
    </row>
    <row r="986">
      <c r="A986" s="179"/>
      <c r="B986" s="180"/>
      <c r="C986" s="2"/>
      <c r="E986" s="181"/>
      <c r="F986" s="181"/>
      <c r="G986" s="2"/>
      <c r="I986" s="190"/>
      <c r="J986" s="190"/>
      <c r="K986" s="2"/>
      <c r="AA986" s="4"/>
      <c r="AD986" s="4"/>
      <c r="AG986" s="4"/>
    </row>
    <row r="987">
      <c r="A987" s="179"/>
      <c r="B987" s="180"/>
      <c r="C987" s="2"/>
      <c r="E987" s="181"/>
      <c r="F987" s="181"/>
      <c r="G987" s="2"/>
      <c r="I987" s="190"/>
      <c r="J987" s="190"/>
      <c r="K987" s="2"/>
      <c r="AA987" s="4"/>
      <c r="AD987" s="4"/>
      <c r="AG987" s="4"/>
    </row>
    <row r="988">
      <c r="A988" s="179"/>
      <c r="B988" s="180"/>
      <c r="C988" s="2"/>
      <c r="E988" s="181"/>
      <c r="F988" s="181"/>
      <c r="G988" s="2"/>
      <c r="I988" s="190"/>
      <c r="J988" s="190"/>
      <c r="K988" s="2"/>
      <c r="AA988" s="4"/>
      <c r="AD988" s="4"/>
      <c r="AG988" s="4"/>
    </row>
    <row r="989">
      <c r="A989" s="179"/>
      <c r="B989" s="180"/>
      <c r="C989" s="2"/>
      <c r="E989" s="181"/>
      <c r="F989" s="181"/>
      <c r="G989" s="2"/>
      <c r="I989" s="190"/>
      <c r="J989" s="190"/>
      <c r="K989" s="2"/>
      <c r="AA989" s="4"/>
      <c r="AD989" s="4"/>
      <c r="AG989" s="4"/>
    </row>
    <row r="990">
      <c r="A990" s="179"/>
      <c r="B990" s="180"/>
      <c r="C990" s="2"/>
      <c r="E990" s="181"/>
      <c r="F990" s="181"/>
      <c r="G990" s="2"/>
      <c r="I990" s="190"/>
      <c r="J990" s="190"/>
      <c r="K990" s="2"/>
      <c r="AA990" s="4"/>
      <c r="AD990" s="4"/>
      <c r="AG990" s="4"/>
    </row>
    <row r="991">
      <c r="A991" s="179"/>
      <c r="B991" s="180"/>
      <c r="C991" s="2"/>
      <c r="E991" s="181"/>
      <c r="F991" s="181"/>
      <c r="G991" s="2"/>
      <c r="I991" s="190"/>
      <c r="J991" s="190"/>
      <c r="K991" s="2"/>
      <c r="AA991" s="4"/>
      <c r="AD991" s="4"/>
      <c r="AG991" s="4"/>
    </row>
    <row r="992">
      <c r="A992" s="179"/>
      <c r="B992" s="180"/>
      <c r="C992" s="2"/>
      <c r="E992" s="181"/>
      <c r="F992" s="181"/>
      <c r="G992" s="2"/>
      <c r="I992" s="190"/>
      <c r="J992" s="190"/>
      <c r="K992" s="2"/>
      <c r="AA992" s="4"/>
      <c r="AD992" s="4"/>
      <c r="AG992" s="4"/>
    </row>
    <row r="993">
      <c r="A993" s="179"/>
      <c r="B993" s="180"/>
      <c r="C993" s="2"/>
      <c r="E993" s="181"/>
      <c r="F993" s="181"/>
      <c r="G993" s="2"/>
      <c r="I993" s="190"/>
      <c r="J993" s="190"/>
      <c r="K993" s="2"/>
      <c r="AA993" s="4"/>
      <c r="AD993" s="4"/>
      <c r="AG993" s="4"/>
    </row>
    <row r="994">
      <c r="A994" s="179"/>
      <c r="B994" s="180"/>
      <c r="C994" s="2"/>
      <c r="E994" s="181"/>
      <c r="F994" s="181"/>
      <c r="G994" s="2"/>
      <c r="I994" s="190"/>
      <c r="J994" s="190"/>
      <c r="K994" s="2"/>
      <c r="AA994" s="4"/>
      <c r="AD994" s="4"/>
      <c r="AG994" s="4"/>
    </row>
    <row r="995">
      <c r="A995" s="179"/>
      <c r="B995" s="180"/>
      <c r="C995" s="2"/>
      <c r="E995" s="181"/>
      <c r="F995" s="181"/>
      <c r="G995" s="2"/>
      <c r="I995" s="190"/>
      <c r="J995" s="190"/>
      <c r="K995" s="2"/>
      <c r="AA995" s="4"/>
      <c r="AD995" s="4"/>
      <c r="AG995" s="4"/>
    </row>
    <row r="996">
      <c r="A996" s="179"/>
      <c r="B996" s="180"/>
      <c r="C996" s="2"/>
      <c r="E996" s="181"/>
      <c r="F996" s="181"/>
      <c r="G996" s="2"/>
      <c r="I996" s="190"/>
      <c r="J996" s="190"/>
      <c r="K996" s="2"/>
      <c r="AA996" s="4"/>
      <c r="AD996" s="4"/>
      <c r="AG996" s="4"/>
    </row>
    <row r="997">
      <c r="A997" s="179"/>
      <c r="B997" s="180"/>
      <c r="C997" s="2"/>
      <c r="E997" s="181"/>
      <c r="F997" s="181"/>
      <c r="G997" s="2"/>
      <c r="I997" s="190"/>
      <c r="J997" s="190"/>
      <c r="K997" s="2"/>
      <c r="AA997" s="4"/>
      <c r="AD997" s="4"/>
      <c r="AG997" s="4"/>
    </row>
    <row r="998">
      <c r="A998" s="179"/>
      <c r="B998" s="180"/>
      <c r="C998" s="2"/>
      <c r="E998" s="181"/>
      <c r="F998" s="181"/>
      <c r="G998" s="2"/>
      <c r="I998" s="190"/>
      <c r="J998" s="190"/>
      <c r="K998" s="2"/>
      <c r="AA998" s="4"/>
      <c r="AD998" s="4"/>
      <c r="AG998" s="4"/>
    </row>
    <row r="999">
      <c r="A999" s="179"/>
      <c r="B999" s="180"/>
      <c r="C999" s="2"/>
      <c r="E999" s="181"/>
      <c r="F999" s="181"/>
      <c r="G999" s="2"/>
      <c r="I999" s="190"/>
      <c r="J999" s="190"/>
      <c r="K999" s="2"/>
      <c r="AA999" s="4"/>
      <c r="AD999" s="4"/>
      <c r="AG999" s="4"/>
    </row>
    <row r="1000">
      <c r="A1000" s="179"/>
      <c r="B1000" s="180"/>
      <c r="C1000" s="2"/>
      <c r="E1000" s="181"/>
      <c r="F1000" s="181"/>
      <c r="G1000" s="2"/>
      <c r="I1000" s="190"/>
      <c r="J1000" s="190"/>
      <c r="K1000" s="2"/>
      <c r="AA1000" s="4"/>
      <c r="AD1000" s="4"/>
      <c r="AG1000" s="4"/>
    </row>
    <row r="1001">
      <c r="A1001" s="179"/>
      <c r="B1001" s="180"/>
      <c r="C1001" s="2"/>
      <c r="E1001" s="181"/>
      <c r="F1001" s="181"/>
      <c r="G1001" s="2"/>
      <c r="I1001" s="190"/>
      <c r="J1001" s="190"/>
      <c r="K1001" s="2"/>
      <c r="AA1001" s="4"/>
      <c r="AD1001" s="4"/>
      <c r="AG1001" s="4"/>
    </row>
    <row r="1002">
      <c r="A1002" s="179"/>
      <c r="B1002" s="180"/>
      <c r="C1002" s="2"/>
      <c r="E1002" s="181"/>
      <c r="F1002" s="181"/>
      <c r="G1002" s="2"/>
      <c r="I1002" s="190"/>
      <c r="J1002" s="190"/>
      <c r="K1002" s="2"/>
      <c r="AA1002" s="4"/>
      <c r="AD1002" s="4"/>
      <c r="AG1002" s="4"/>
    </row>
    <row r="1003">
      <c r="A1003" s="179"/>
      <c r="B1003" s="180"/>
      <c r="C1003" s="2"/>
      <c r="E1003" s="181"/>
      <c r="F1003" s="181"/>
      <c r="G1003" s="2"/>
      <c r="I1003" s="190"/>
      <c r="J1003" s="190"/>
      <c r="K1003" s="2"/>
      <c r="AA1003" s="4"/>
      <c r="AD1003" s="4"/>
      <c r="AG1003" s="4"/>
    </row>
    <row r="1004">
      <c r="A1004" s="179"/>
      <c r="B1004" s="180"/>
      <c r="C1004" s="2"/>
      <c r="E1004" s="181"/>
      <c r="F1004" s="181"/>
      <c r="G1004" s="2"/>
      <c r="I1004" s="190"/>
      <c r="J1004" s="190"/>
      <c r="K1004" s="2"/>
      <c r="AA1004" s="4"/>
      <c r="AD1004" s="4"/>
      <c r="AG1004" s="4"/>
    </row>
    <row r="1005">
      <c r="A1005" s="179"/>
      <c r="B1005" s="180"/>
      <c r="C1005" s="2"/>
      <c r="E1005" s="181"/>
      <c r="F1005" s="181"/>
      <c r="G1005" s="2"/>
      <c r="I1005" s="190"/>
      <c r="J1005" s="190"/>
      <c r="K1005" s="2"/>
      <c r="AA1005" s="4"/>
      <c r="AD1005" s="4"/>
      <c r="AG1005" s="4"/>
    </row>
    <row r="1006">
      <c r="A1006" s="179"/>
      <c r="B1006" s="180"/>
      <c r="C1006" s="2"/>
      <c r="E1006" s="181"/>
      <c r="F1006" s="181"/>
      <c r="G1006" s="2"/>
      <c r="I1006" s="190"/>
      <c r="J1006" s="190"/>
      <c r="K1006" s="2"/>
      <c r="AA1006" s="4"/>
      <c r="AD1006" s="4"/>
      <c r="AG1006" s="4"/>
    </row>
    <row r="1007">
      <c r="A1007" s="179"/>
      <c r="B1007" s="180"/>
      <c r="C1007" s="2"/>
      <c r="E1007" s="181"/>
      <c r="F1007" s="181"/>
      <c r="G1007" s="2"/>
      <c r="I1007" s="190"/>
      <c r="J1007" s="190"/>
      <c r="K1007" s="2"/>
      <c r="AA1007" s="4"/>
      <c r="AD1007" s="4"/>
      <c r="AG1007" s="4"/>
    </row>
    <row r="1008">
      <c r="A1008" s="179"/>
      <c r="B1008" s="180"/>
      <c r="C1008" s="2"/>
      <c r="E1008" s="181"/>
      <c r="F1008" s="181"/>
      <c r="G1008" s="2"/>
      <c r="I1008" s="190"/>
      <c r="J1008" s="190"/>
      <c r="K1008" s="2"/>
      <c r="AA1008" s="4"/>
      <c r="AD1008" s="4"/>
      <c r="AG1008" s="4"/>
    </row>
    <row r="1009">
      <c r="A1009" s="179"/>
      <c r="B1009" s="180"/>
      <c r="C1009" s="2"/>
      <c r="E1009" s="181"/>
      <c r="F1009" s="181"/>
      <c r="G1009" s="2"/>
      <c r="I1009" s="190"/>
      <c r="J1009" s="190"/>
      <c r="K1009" s="2"/>
      <c r="AA1009" s="4"/>
      <c r="AD1009" s="4"/>
      <c r="AG1009" s="4"/>
    </row>
    <row r="1010">
      <c r="A1010" s="179"/>
      <c r="B1010" s="180"/>
      <c r="C1010" s="2"/>
      <c r="E1010" s="181"/>
      <c r="F1010" s="181"/>
      <c r="G1010" s="2"/>
      <c r="I1010" s="190"/>
      <c r="J1010" s="190"/>
      <c r="K1010" s="2"/>
      <c r="AA1010" s="4"/>
      <c r="AD1010" s="4"/>
      <c r="AG1010" s="4"/>
    </row>
    <row r="1011">
      <c r="A1011" s="179"/>
      <c r="B1011" s="180"/>
      <c r="C1011" s="2"/>
      <c r="E1011" s="181"/>
      <c r="F1011" s="181"/>
      <c r="G1011" s="2"/>
      <c r="I1011" s="190"/>
      <c r="J1011" s="190"/>
      <c r="K1011" s="2"/>
      <c r="AA1011" s="4"/>
      <c r="AD1011" s="4"/>
      <c r="AG1011" s="4"/>
    </row>
    <row r="1012">
      <c r="A1012" s="179"/>
      <c r="B1012" s="180"/>
      <c r="C1012" s="2"/>
      <c r="E1012" s="181"/>
      <c r="F1012" s="181"/>
      <c r="G1012" s="2"/>
      <c r="K1012" s="2"/>
      <c r="AA1012" s="4"/>
      <c r="AD1012" s="4"/>
      <c r="AG1012" s="4"/>
    </row>
    <row r="1013">
      <c r="A1013" s="179"/>
      <c r="B1013" s="180"/>
      <c r="C1013" s="2"/>
      <c r="E1013" s="181"/>
      <c r="F1013" s="181"/>
      <c r="G1013" s="2"/>
      <c r="K1013" s="2"/>
      <c r="AA1013" s="4"/>
      <c r="AD1013" s="4"/>
      <c r="AG1013" s="4"/>
    </row>
    <row r="1014">
      <c r="A1014" s="179"/>
      <c r="B1014" s="180"/>
      <c r="C1014" s="2"/>
      <c r="E1014" s="181"/>
      <c r="F1014" s="181"/>
      <c r="G1014" s="2"/>
      <c r="K1014" s="2"/>
      <c r="AA1014" s="4"/>
      <c r="AD1014" s="4"/>
      <c r="AG1014" s="4"/>
    </row>
    <row r="1015">
      <c r="A1015" s="179"/>
      <c r="B1015" s="180"/>
      <c r="C1015" s="2"/>
      <c r="E1015" s="181"/>
      <c r="F1015" s="181"/>
      <c r="G1015" s="2"/>
      <c r="K1015" s="2"/>
      <c r="AA1015" s="4"/>
      <c r="AD1015" s="4"/>
      <c r="AG1015" s="4"/>
    </row>
    <row r="1016">
      <c r="A1016" s="179"/>
      <c r="B1016" s="180"/>
      <c r="C1016" s="2"/>
      <c r="E1016" s="181"/>
      <c r="F1016" s="181"/>
      <c r="G1016" s="2"/>
      <c r="K1016" s="2"/>
      <c r="AA1016" s="4"/>
      <c r="AD1016" s="4"/>
      <c r="AG1016" s="4"/>
    </row>
    <row r="1017">
      <c r="A1017" s="179"/>
      <c r="B1017" s="180"/>
      <c r="C1017" s="2"/>
      <c r="E1017" s="181"/>
      <c r="F1017" s="181"/>
      <c r="G1017" s="2"/>
      <c r="K1017" s="2"/>
      <c r="AA1017" s="4"/>
      <c r="AD1017" s="4"/>
      <c r="AG1017" s="4"/>
    </row>
    <row r="1018">
      <c r="A1018" s="179"/>
      <c r="B1018" s="180"/>
      <c r="C1018" s="2"/>
      <c r="E1018" s="181"/>
      <c r="F1018" s="181"/>
      <c r="G1018" s="2"/>
      <c r="K1018" s="2"/>
      <c r="AA1018" s="4"/>
      <c r="AD1018" s="4"/>
      <c r="AG1018" s="4"/>
    </row>
    <row r="1019">
      <c r="A1019" s="179"/>
      <c r="B1019" s="180"/>
      <c r="C1019" s="2"/>
      <c r="E1019" s="181"/>
      <c r="F1019" s="181"/>
      <c r="G1019" s="2"/>
      <c r="K1019" s="2"/>
      <c r="AA1019" s="4"/>
      <c r="AD1019" s="4"/>
      <c r="AG1019" s="4"/>
    </row>
    <row r="1020">
      <c r="A1020" s="179"/>
      <c r="B1020" s="180"/>
      <c r="C1020" s="2"/>
      <c r="E1020" s="181"/>
      <c r="F1020" s="181"/>
      <c r="G1020" s="2"/>
      <c r="K1020" s="2"/>
      <c r="AA1020" s="4"/>
      <c r="AD1020" s="4"/>
      <c r="AG1020" s="4"/>
    </row>
    <row r="1021">
      <c r="A1021" s="179"/>
      <c r="B1021" s="180"/>
      <c r="C1021" s="2"/>
      <c r="E1021" s="181"/>
      <c r="F1021" s="181"/>
      <c r="G1021" s="2"/>
      <c r="K1021" s="2"/>
      <c r="AA1021" s="4"/>
      <c r="AD1021" s="4"/>
      <c r="AG1021" s="4"/>
    </row>
    <row r="1022">
      <c r="A1022" s="179"/>
      <c r="B1022" s="180"/>
      <c r="C1022" s="2"/>
      <c r="E1022" s="181"/>
      <c r="F1022" s="181"/>
      <c r="G1022" s="2"/>
      <c r="K1022" s="2"/>
      <c r="AA1022" s="4"/>
      <c r="AD1022" s="4"/>
      <c r="AG1022" s="4"/>
    </row>
    <row r="1023">
      <c r="A1023" s="179"/>
      <c r="B1023" s="180"/>
      <c r="C1023" s="2"/>
      <c r="E1023" s="181"/>
      <c r="F1023" s="181"/>
      <c r="G1023" s="2"/>
      <c r="K1023" s="2"/>
      <c r="AA1023" s="4"/>
      <c r="AD1023" s="4"/>
      <c r="AG1023" s="4"/>
    </row>
    <row r="1024">
      <c r="A1024" s="179"/>
      <c r="B1024" s="180"/>
      <c r="C1024" s="2"/>
      <c r="E1024" s="181"/>
      <c r="F1024" s="181"/>
      <c r="G1024" s="2"/>
      <c r="K1024" s="2"/>
      <c r="AA1024" s="4"/>
      <c r="AD1024" s="4"/>
      <c r="AG1024" s="4"/>
    </row>
    <row r="1025">
      <c r="A1025" s="179"/>
      <c r="B1025" s="180"/>
      <c r="C1025" s="2"/>
      <c r="E1025" s="181"/>
      <c r="F1025" s="181"/>
      <c r="G1025" s="2"/>
      <c r="K1025" s="2"/>
      <c r="AA1025" s="4"/>
      <c r="AD1025" s="4"/>
      <c r="AG1025" s="4"/>
    </row>
    <row r="1026">
      <c r="A1026" s="179"/>
      <c r="B1026" s="180"/>
      <c r="C1026" s="2"/>
      <c r="E1026" s="181"/>
      <c r="F1026" s="181"/>
      <c r="G1026" s="2"/>
      <c r="K1026" s="2"/>
      <c r="AA1026" s="4"/>
      <c r="AD1026" s="4"/>
      <c r="AG1026" s="4"/>
    </row>
    <row r="1027">
      <c r="A1027" s="179"/>
      <c r="B1027" s="180"/>
      <c r="C1027" s="2"/>
      <c r="E1027" s="181"/>
      <c r="F1027" s="181"/>
      <c r="G1027" s="2"/>
      <c r="K1027" s="2"/>
      <c r="AA1027" s="4"/>
      <c r="AD1027" s="4"/>
      <c r="AG1027" s="4"/>
    </row>
    <row r="1028">
      <c r="A1028" s="179"/>
      <c r="B1028" s="180"/>
      <c r="C1028" s="2"/>
      <c r="E1028" s="181"/>
      <c r="F1028" s="181"/>
      <c r="G1028" s="2"/>
      <c r="K1028" s="2"/>
      <c r="AA1028" s="4"/>
      <c r="AD1028" s="4"/>
      <c r="AG1028" s="4"/>
    </row>
    <row r="1029">
      <c r="A1029" s="179"/>
      <c r="B1029" s="180"/>
      <c r="C1029" s="2"/>
      <c r="E1029" s="181"/>
      <c r="F1029" s="181"/>
      <c r="G1029" s="2"/>
      <c r="K1029" s="2"/>
      <c r="AA1029" s="4"/>
      <c r="AD1029" s="4"/>
      <c r="AG1029" s="4"/>
    </row>
    <row r="1030">
      <c r="A1030" s="179"/>
      <c r="B1030" s="180"/>
      <c r="C1030" s="2"/>
      <c r="E1030" s="181"/>
      <c r="F1030" s="181"/>
      <c r="G1030" s="2"/>
      <c r="K1030" s="2"/>
      <c r="AA1030" s="4"/>
      <c r="AD1030" s="4"/>
      <c r="AG1030" s="4"/>
    </row>
    <row r="1031">
      <c r="A1031" s="179"/>
      <c r="B1031" s="180"/>
      <c r="C1031" s="2"/>
      <c r="E1031" s="181"/>
      <c r="F1031" s="181"/>
      <c r="G1031" s="2"/>
      <c r="K1031" s="2"/>
      <c r="AA1031" s="4"/>
      <c r="AD1031" s="4"/>
      <c r="AG1031" s="4"/>
    </row>
    <row r="1032">
      <c r="A1032" s="179"/>
      <c r="B1032" s="180"/>
      <c r="C1032" s="2"/>
      <c r="E1032" s="181"/>
      <c r="F1032" s="181"/>
      <c r="G1032" s="2"/>
      <c r="K1032" s="2"/>
      <c r="AA1032" s="4"/>
      <c r="AD1032" s="4"/>
      <c r="AG1032" s="4"/>
    </row>
    <row r="1033">
      <c r="A1033" s="179"/>
      <c r="B1033" s="180"/>
      <c r="C1033" s="2"/>
      <c r="E1033" s="181"/>
      <c r="F1033" s="181"/>
      <c r="G1033" s="2"/>
      <c r="K1033" s="2"/>
      <c r="AA1033" s="4"/>
      <c r="AD1033" s="4"/>
      <c r="AG1033" s="4"/>
    </row>
    <row r="1034">
      <c r="A1034" s="179"/>
      <c r="B1034" s="180"/>
      <c r="C1034" s="2"/>
      <c r="E1034" s="181"/>
      <c r="F1034" s="181"/>
      <c r="G1034" s="2"/>
      <c r="K1034" s="2"/>
      <c r="AA1034" s="4"/>
      <c r="AD1034" s="4"/>
      <c r="AG1034" s="4"/>
    </row>
    <row r="1035">
      <c r="A1035" s="179"/>
      <c r="B1035" s="180"/>
      <c r="C1035" s="2"/>
      <c r="E1035" s="181"/>
      <c r="F1035" s="181"/>
      <c r="G1035" s="2"/>
      <c r="K1035" s="2"/>
      <c r="AA1035" s="4"/>
      <c r="AD1035" s="4"/>
      <c r="AG1035" s="4"/>
    </row>
    <row r="1036">
      <c r="A1036" s="179"/>
      <c r="B1036" s="180"/>
      <c r="C1036" s="2"/>
      <c r="E1036" s="181"/>
      <c r="F1036" s="181"/>
      <c r="G1036" s="2"/>
      <c r="K1036" s="2"/>
      <c r="AA1036" s="4"/>
      <c r="AD1036" s="4"/>
      <c r="AG1036" s="4"/>
    </row>
    <row r="1037">
      <c r="A1037" s="179"/>
      <c r="B1037" s="180"/>
      <c r="C1037" s="2"/>
      <c r="E1037" s="181"/>
      <c r="F1037" s="181"/>
      <c r="G1037" s="2"/>
      <c r="K1037" s="2"/>
      <c r="AA1037" s="4"/>
      <c r="AD1037" s="4"/>
      <c r="AG1037" s="4"/>
    </row>
    <row r="1038">
      <c r="A1038" s="179"/>
      <c r="B1038" s="180"/>
      <c r="C1038" s="2"/>
      <c r="E1038" s="181"/>
      <c r="F1038" s="181"/>
      <c r="G1038" s="2"/>
      <c r="K1038" s="2"/>
      <c r="AA1038" s="4"/>
      <c r="AD1038" s="4"/>
      <c r="AG1038" s="4"/>
    </row>
    <row r="1039">
      <c r="A1039" s="179"/>
      <c r="B1039" s="180"/>
      <c r="C1039" s="2"/>
      <c r="E1039" s="181"/>
      <c r="F1039" s="181"/>
      <c r="G1039" s="2"/>
      <c r="K1039" s="2"/>
      <c r="AA1039" s="4"/>
      <c r="AD1039" s="4"/>
      <c r="AG1039" s="4"/>
    </row>
    <row r="1040">
      <c r="A1040" s="179"/>
      <c r="B1040" s="180"/>
      <c r="C1040" s="2"/>
      <c r="E1040" s="181"/>
      <c r="F1040" s="181"/>
      <c r="G1040" s="2"/>
      <c r="K1040" s="2"/>
      <c r="AA1040" s="4"/>
      <c r="AD1040" s="4"/>
      <c r="AG1040" s="4"/>
    </row>
    <row r="1041">
      <c r="A1041" s="179"/>
      <c r="B1041" s="180"/>
      <c r="C1041" s="2"/>
      <c r="E1041" s="181"/>
      <c r="F1041" s="181"/>
      <c r="G1041" s="2"/>
      <c r="K1041" s="2"/>
      <c r="AA1041" s="4"/>
      <c r="AD1041" s="4"/>
      <c r="AG1041" s="4"/>
    </row>
    <row r="1042">
      <c r="A1042" s="179"/>
      <c r="B1042" s="180"/>
      <c r="C1042" s="2"/>
      <c r="E1042" s="181"/>
      <c r="F1042" s="181"/>
      <c r="G1042" s="2"/>
      <c r="K1042" s="2"/>
      <c r="AA1042" s="4"/>
      <c r="AD1042" s="4"/>
      <c r="AG1042" s="4"/>
    </row>
    <row r="1043">
      <c r="A1043" s="179"/>
      <c r="B1043" s="180"/>
      <c r="C1043" s="2"/>
      <c r="E1043" s="181"/>
      <c r="F1043" s="181"/>
      <c r="G1043" s="2"/>
      <c r="K1043" s="2"/>
      <c r="AA1043" s="4"/>
      <c r="AD1043" s="4"/>
      <c r="AG1043" s="4"/>
    </row>
    <row r="1044">
      <c r="A1044" s="179"/>
      <c r="B1044" s="180"/>
      <c r="C1044" s="2"/>
      <c r="E1044" s="181"/>
      <c r="F1044" s="181"/>
      <c r="G1044" s="2"/>
      <c r="K1044" s="2"/>
      <c r="AA1044" s="4"/>
      <c r="AD1044" s="4"/>
      <c r="AG1044" s="4"/>
    </row>
    <row r="1045">
      <c r="A1045" s="179"/>
      <c r="B1045" s="180"/>
      <c r="C1045" s="2"/>
      <c r="E1045" s="181"/>
      <c r="F1045" s="181"/>
      <c r="G1045" s="2"/>
      <c r="K1045" s="2"/>
      <c r="AA1045" s="4"/>
      <c r="AD1045" s="4"/>
      <c r="AG1045" s="4"/>
    </row>
    <row r="1046">
      <c r="A1046" s="179"/>
      <c r="B1046" s="180"/>
      <c r="C1046" s="2"/>
      <c r="E1046" s="181"/>
      <c r="F1046" s="181"/>
      <c r="G1046" s="2"/>
      <c r="K1046" s="2"/>
      <c r="AA1046" s="4"/>
      <c r="AD1046" s="4"/>
      <c r="AG1046" s="4"/>
    </row>
    <row r="1047">
      <c r="A1047" s="179"/>
      <c r="B1047" s="180"/>
      <c r="C1047" s="2"/>
      <c r="E1047" s="181"/>
      <c r="F1047" s="181"/>
      <c r="G1047" s="2"/>
      <c r="K1047" s="2"/>
      <c r="AA1047" s="4"/>
      <c r="AD1047" s="4"/>
      <c r="AG1047" s="4"/>
    </row>
    <row r="1048">
      <c r="A1048" s="179"/>
      <c r="B1048" s="180"/>
      <c r="C1048" s="2"/>
      <c r="E1048" s="181"/>
      <c r="F1048" s="181"/>
      <c r="G1048" s="2"/>
      <c r="K1048" s="2"/>
      <c r="AA1048" s="4"/>
      <c r="AD1048" s="4"/>
      <c r="AG1048" s="4"/>
    </row>
    <row r="1049">
      <c r="A1049" s="179"/>
      <c r="B1049" s="180"/>
      <c r="C1049" s="2"/>
      <c r="E1049" s="181"/>
      <c r="F1049" s="181"/>
      <c r="G1049" s="2"/>
      <c r="K1049" s="2"/>
      <c r="AA1049" s="4"/>
      <c r="AD1049" s="4"/>
      <c r="AG1049" s="4"/>
    </row>
    <row r="1050">
      <c r="A1050" s="179"/>
      <c r="B1050" s="180"/>
      <c r="C1050" s="2"/>
      <c r="E1050" s="181"/>
      <c r="F1050" s="181"/>
      <c r="G1050" s="2"/>
      <c r="K1050" s="2"/>
      <c r="AA1050" s="4"/>
      <c r="AD1050" s="4"/>
      <c r="AG1050" s="4"/>
    </row>
    <row r="1051">
      <c r="A1051" s="179"/>
      <c r="B1051" s="180"/>
      <c r="C1051" s="2"/>
      <c r="E1051" s="181"/>
      <c r="F1051" s="181"/>
      <c r="G1051" s="2"/>
      <c r="K1051" s="2"/>
      <c r="AA1051" s="4"/>
      <c r="AD1051" s="4"/>
      <c r="AG1051" s="4"/>
    </row>
    <row r="1052">
      <c r="A1052" s="179"/>
      <c r="B1052" s="180"/>
      <c r="C1052" s="2"/>
      <c r="E1052" s="181"/>
      <c r="F1052" s="181"/>
      <c r="G1052" s="2"/>
      <c r="K1052" s="2"/>
      <c r="AA1052" s="4"/>
      <c r="AD1052" s="4"/>
      <c r="AG1052" s="4"/>
    </row>
    <row r="1053">
      <c r="A1053" s="179"/>
      <c r="B1053" s="180"/>
      <c r="C1053" s="2"/>
      <c r="E1053" s="181"/>
      <c r="F1053" s="181"/>
      <c r="G1053" s="2"/>
      <c r="K1053" s="2"/>
      <c r="AA1053" s="4"/>
      <c r="AD1053" s="4"/>
      <c r="AG1053" s="4"/>
    </row>
    <row r="1054">
      <c r="A1054" s="179"/>
      <c r="B1054" s="180"/>
      <c r="C1054" s="2"/>
      <c r="E1054" s="181"/>
      <c r="F1054" s="181"/>
      <c r="G1054" s="2"/>
      <c r="K1054" s="2"/>
      <c r="AA1054" s="4"/>
      <c r="AD1054" s="4"/>
      <c r="AG1054" s="4"/>
    </row>
    <row r="1055">
      <c r="A1055" s="179"/>
      <c r="B1055" s="180"/>
      <c r="C1055" s="2"/>
      <c r="E1055" s="181"/>
      <c r="F1055" s="181"/>
      <c r="G1055" s="2"/>
      <c r="K1055" s="2"/>
      <c r="AA1055" s="4"/>
      <c r="AD1055" s="4"/>
      <c r="AG1055" s="4"/>
    </row>
    <row r="1056">
      <c r="A1056" s="179"/>
      <c r="B1056" s="180"/>
      <c r="C1056" s="2"/>
      <c r="E1056" s="181"/>
      <c r="F1056" s="181"/>
      <c r="G1056" s="2"/>
      <c r="K1056" s="2"/>
      <c r="AA1056" s="4"/>
      <c r="AD1056" s="4"/>
      <c r="AG1056" s="4"/>
    </row>
    <row r="1057">
      <c r="A1057" s="179"/>
      <c r="B1057" s="180"/>
      <c r="C1057" s="2"/>
      <c r="E1057" s="181"/>
      <c r="F1057" s="181"/>
      <c r="G1057" s="2"/>
      <c r="K1057" s="2"/>
      <c r="AA1057" s="4"/>
      <c r="AD1057" s="4"/>
      <c r="AG1057" s="4"/>
    </row>
    <row r="1058">
      <c r="A1058" s="179"/>
      <c r="B1058" s="180"/>
      <c r="C1058" s="2"/>
      <c r="E1058" s="181"/>
      <c r="F1058" s="181"/>
      <c r="G1058" s="2"/>
      <c r="K1058" s="2"/>
      <c r="AA1058" s="4"/>
      <c r="AD1058" s="4"/>
      <c r="AG1058" s="4"/>
    </row>
    <row r="1059">
      <c r="A1059" s="179"/>
      <c r="B1059" s="180"/>
      <c r="C1059" s="2"/>
      <c r="E1059" s="181"/>
      <c r="F1059" s="181"/>
      <c r="G1059" s="2"/>
      <c r="K1059" s="2"/>
      <c r="AA1059" s="4"/>
      <c r="AD1059" s="4"/>
      <c r="AG1059" s="4"/>
    </row>
    <row r="1060">
      <c r="A1060" s="179"/>
      <c r="B1060" s="180"/>
      <c r="C1060" s="2"/>
      <c r="E1060" s="181"/>
      <c r="F1060" s="181"/>
      <c r="G1060" s="2"/>
      <c r="K1060" s="2"/>
      <c r="AA1060" s="4"/>
      <c r="AD1060" s="4"/>
      <c r="AG1060" s="4"/>
    </row>
    <row r="1061">
      <c r="A1061" s="179"/>
      <c r="B1061" s="180"/>
      <c r="C1061" s="2"/>
      <c r="E1061" s="181"/>
      <c r="F1061" s="181"/>
      <c r="G1061" s="2"/>
      <c r="K1061" s="2"/>
      <c r="AA1061" s="4"/>
      <c r="AD1061" s="4"/>
      <c r="AG1061" s="4"/>
    </row>
    <row r="1062">
      <c r="A1062" s="179"/>
      <c r="B1062" s="180"/>
      <c r="C1062" s="2"/>
      <c r="E1062" s="181"/>
      <c r="F1062" s="181"/>
      <c r="G1062" s="2"/>
      <c r="K1062" s="2"/>
      <c r="AA1062" s="4"/>
      <c r="AD1062" s="4"/>
      <c r="AG1062" s="4"/>
    </row>
    <row r="1063">
      <c r="A1063" s="179"/>
      <c r="B1063" s="180"/>
      <c r="C1063" s="2"/>
      <c r="E1063" s="181"/>
      <c r="F1063" s="181"/>
      <c r="G1063" s="2"/>
      <c r="K1063" s="2"/>
      <c r="AA1063" s="4"/>
      <c r="AD1063" s="4"/>
      <c r="AG1063" s="4"/>
    </row>
    <row r="1064">
      <c r="A1064" s="179"/>
      <c r="B1064" s="180"/>
      <c r="C1064" s="2"/>
      <c r="E1064" s="181"/>
      <c r="F1064" s="181"/>
      <c r="G1064" s="2"/>
      <c r="K1064" s="2"/>
      <c r="AA1064" s="4"/>
      <c r="AD1064" s="4"/>
      <c r="AG1064" s="4"/>
    </row>
    <row r="1065">
      <c r="A1065" s="179"/>
      <c r="B1065" s="180"/>
      <c r="C1065" s="2"/>
      <c r="E1065" s="181"/>
      <c r="F1065" s="181"/>
      <c r="G1065" s="2"/>
      <c r="K1065" s="2"/>
      <c r="AA1065" s="4"/>
      <c r="AD1065" s="4"/>
      <c r="AG1065" s="4"/>
    </row>
    <row r="1066">
      <c r="A1066" s="179"/>
      <c r="B1066" s="180"/>
      <c r="C1066" s="2"/>
      <c r="E1066" s="181"/>
      <c r="F1066" s="181"/>
      <c r="G1066" s="2"/>
      <c r="K1066" s="2"/>
      <c r="AA1066" s="4"/>
      <c r="AD1066" s="4"/>
      <c r="AG1066" s="4"/>
    </row>
    <row r="1067">
      <c r="A1067" s="179"/>
      <c r="B1067" s="180"/>
      <c r="C1067" s="2"/>
      <c r="E1067" s="181"/>
      <c r="F1067" s="181"/>
      <c r="G1067" s="2"/>
      <c r="K1067" s="2"/>
      <c r="AA1067" s="4"/>
      <c r="AD1067" s="4"/>
      <c r="AG1067" s="4"/>
    </row>
    <row r="1068">
      <c r="A1068" s="179"/>
      <c r="B1068" s="180"/>
      <c r="C1068" s="2"/>
      <c r="E1068" s="181"/>
      <c r="F1068" s="181"/>
      <c r="G1068" s="2"/>
      <c r="K1068" s="2"/>
      <c r="AA1068" s="4"/>
      <c r="AD1068" s="4"/>
      <c r="AG1068" s="4"/>
    </row>
    <row r="1069">
      <c r="A1069" s="179"/>
      <c r="B1069" s="180"/>
      <c r="C1069" s="2"/>
      <c r="E1069" s="181"/>
      <c r="F1069" s="181"/>
      <c r="G1069" s="2"/>
      <c r="K1069" s="2"/>
      <c r="AA1069" s="4"/>
      <c r="AD1069" s="4"/>
      <c r="AG1069" s="4"/>
    </row>
    <row r="1070">
      <c r="A1070" s="179"/>
      <c r="B1070" s="180"/>
      <c r="C1070" s="2"/>
      <c r="E1070" s="181"/>
      <c r="F1070" s="181"/>
      <c r="G1070" s="2"/>
      <c r="K1070" s="2"/>
      <c r="AA1070" s="4"/>
      <c r="AD1070" s="4"/>
      <c r="AG1070" s="4"/>
    </row>
    <row r="1071">
      <c r="A1071" s="179"/>
      <c r="B1071" s="180"/>
      <c r="C1071" s="2"/>
      <c r="E1071" s="181"/>
      <c r="F1071" s="181"/>
      <c r="G1071" s="2"/>
      <c r="K1071" s="2"/>
      <c r="AA1071" s="4"/>
      <c r="AD1071" s="4"/>
      <c r="AG1071" s="4"/>
    </row>
    <row r="1072">
      <c r="A1072" s="179"/>
      <c r="B1072" s="180"/>
      <c r="C1072" s="2"/>
      <c r="E1072" s="181"/>
      <c r="F1072" s="181"/>
      <c r="G1072" s="2"/>
      <c r="K1072" s="2"/>
      <c r="AA1072" s="4"/>
      <c r="AD1072" s="4"/>
      <c r="AG1072" s="4"/>
    </row>
    <row r="1073">
      <c r="A1073" s="179"/>
      <c r="B1073" s="180"/>
      <c r="C1073" s="2"/>
      <c r="E1073" s="181"/>
      <c r="F1073" s="181"/>
      <c r="G1073" s="2"/>
      <c r="K1073" s="2"/>
      <c r="AA1073" s="4"/>
      <c r="AD1073" s="4"/>
      <c r="AG1073" s="4"/>
    </row>
    <row r="1074">
      <c r="A1074" s="179"/>
      <c r="B1074" s="180"/>
      <c r="C1074" s="2"/>
      <c r="E1074" s="181"/>
      <c r="F1074" s="181"/>
      <c r="G1074" s="2"/>
      <c r="K1074" s="2"/>
      <c r="AA1074" s="4"/>
      <c r="AD1074" s="4"/>
      <c r="AG1074" s="4"/>
    </row>
    <row r="1075">
      <c r="A1075" s="179"/>
      <c r="B1075" s="180"/>
      <c r="C1075" s="2"/>
      <c r="E1075" s="181"/>
      <c r="F1075" s="181"/>
      <c r="G1075" s="2"/>
      <c r="K1075" s="2"/>
      <c r="AA1075" s="4"/>
      <c r="AD1075" s="4"/>
      <c r="AG1075" s="4"/>
    </row>
    <row r="1076">
      <c r="A1076" s="179"/>
      <c r="B1076" s="180"/>
      <c r="C1076" s="2"/>
      <c r="E1076" s="181"/>
      <c r="F1076" s="181"/>
      <c r="G1076" s="2"/>
      <c r="K1076" s="2"/>
      <c r="AA1076" s="4"/>
      <c r="AD1076" s="4"/>
      <c r="AG1076" s="4"/>
    </row>
    <row r="1077">
      <c r="A1077" s="179"/>
      <c r="B1077" s="180"/>
      <c r="C1077" s="2"/>
      <c r="E1077" s="181"/>
      <c r="F1077" s="181"/>
      <c r="G1077" s="2"/>
      <c r="K1077" s="2"/>
      <c r="AA1077" s="4"/>
      <c r="AD1077" s="4"/>
      <c r="AG1077" s="4"/>
    </row>
    <row r="1078">
      <c r="A1078" s="179"/>
      <c r="B1078" s="180"/>
      <c r="C1078" s="2"/>
      <c r="E1078" s="181"/>
      <c r="F1078" s="181"/>
      <c r="G1078" s="2"/>
      <c r="K1078" s="2"/>
      <c r="AA1078" s="4"/>
      <c r="AD1078" s="4"/>
      <c r="AG1078" s="4"/>
    </row>
    <row r="1079">
      <c r="A1079" s="179"/>
      <c r="B1079" s="180"/>
      <c r="C1079" s="2"/>
      <c r="E1079" s="181"/>
      <c r="F1079" s="181"/>
      <c r="G1079" s="2"/>
      <c r="K1079" s="2"/>
      <c r="AA1079" s="4"/>
      <c r="AD1079" s="4"/>
      <c r="AG1079" s="4"/>
    </row>
    <row r="1080">
      <c r="A1080" s="179"/>
      <c r="B1080" s="180"/>
      <c r="C1080" s="2"/>
      <c r="E1080" s="181"/>
      <c r="F1080" s="181"/>
      <c r="G1080" s="2"/>
      <c r="K1080" s="2"/>
      <c r="AA1080" s="4"/>
      <c r="AD1080" s="4"/>
      <c r="AG1080" s="4"/>
    </row>
    <row r="1081">
      <c r="A1081" s="179"/>
      <c r="B1081" s="180"/>
      <c r="C1081" s="2"/>
      <c r="E1081" s="181"/>
      <c r="F1081" s="181"/>
      <c r="G1081" s="2"/>
      <c r="K1081" s="2"/>
      <c r="AA1081" s="4"/>
      <c r="AD1081" s="4"/>
      <c r="AG1081" s="4"/>
    </row>
    <row r="1082">
      <c r="A1082" s="179"/>
      <c r="B1082" s="180"/>
      <c r="C1082" s="2"/>
      <c r="E1082" s="181"/>
      <c r="F1082" s="181"/>
      <c r="G1082" s="2"/>
      <c r="K1082" s="2"/>
      <c r="AA1082" s="4"/>
      <c r="AD1082" s="4"/>
      <c r="AG1082" s="4"/>
    </row>
    <row r="1083">
      <c r="A1083" s="179"/>
      <c r="B1083" s="180"/>
      <c r="C1083" s="2"/>
      <c r="E1083" s="181"/>
      <c r="F1083" s="181"/>
      <c r="G1083" s="2"/>
      <c r="K1083" s="2"/>
      <c r="AA1083" s="4"/>
      <c r="AD1083" s="4"/>
      <c r="AG1083" s="4"/>
    </row>
    <row r="1084">
      <c r="A1084" s="179"/>
      <c r="B1084" s="180"/>
      <c r="C1084" s="2"/>
      <c r="E1084" s="181"/>
      <c r="F1084" s="181"/>
      <c r="G1084" s="2"/>
      <c r="K1084" s="2"/>
      <c r="AA1084" s="4"/>
      <c r="AD1084" s="4"/>
      <c r="AG1084" s="4"/>
    </row>
    <row r="1085">
      <c r="A1085" s="179"/>
      <c r="B1085" s="180"/>
      <c r="C1085" s="2"/>
      <c r="E1085" s="181"/>
      <c r="F1085" s="181"/>
      <c r="G1085" s="2"/>
      <c r="K1085" s="2"/>
      <c r="AA1085" s="4"/>
      <c r="AD1085" s="4"/>
      <c r="AG1085" s="4"/>
    </row>
    <row r="1086">
      <c r="A1086" s="179"/>
      <c r="B1086" s="180"/>
      <c r="C1086" s="2"/>
      <c r="E1086" s="181"/>
      <c r="F1086" s="181"/>
      <c r="G1086" s="2"/>
      <c r="K1086" s="2"/>
      <c r="AA1086" s="4"/>
      <c r="AD1086" s="4"/>
      <c r="AG1086" s="4"/>
    </row>
    <row r="1087">
      <c r="A1087" s="179"/>
      <c r="B1087" s="180"/>
      <c r="C1087" s="2"/>
      <c r="E1087" s="181"/>
      <c r="F1087" s="181"/>
      <c r="G1087" s="2"/>
      <c r="K1087" s="2"/>
      <c r="AA1087" s="4"/>
      <c r="AD1087" s="4"/>
      <c r="AG1087" s="4"/>
    </row>
    <row r="1088">
      <c r="A1088" s="179"/>
      <c r="B1088" s="180"/>
      <c r="C1088" s="2"/>
      <c r="E1088" s="181"/>
      <c r="F1088" s="181"/>
      <c r="G1088" s="2"/>
      <c r="K1088" s="2"/>
      <c r="AA1088" s="4"/>
      <c r="AD1088" s="4"/>
      <c r="AG1088" s="4"/>
    </row>
    <row r="1089">
      <c r="A1089" s="179"/>
      <c r="B1089" s="180"/>
      <c r="C1089" s="2"/>
      <c r="E1089" s="181"/>
      <c r="F1089" s="181"/>
      <c r="G1089" s="2"/>
      <c r="K1089" s="2"/>
      <c r="AA1089" s="4"/>
      <c r="AD1089" s="4"/>
      <c r="AG1089" s="4"/>
    </row>
    <row r="1090">
      <c r="A1090" s="179"/>
      <c r="B1090" s="180"/>
      <c r="C1090" s="2"/>
      <c r="E1090" s="181"/>
      <c r="F1090" s="181"/>
      <c r="G1090" s="2"/>
      <c r="K1090" s="2"/>
      <c r="AA1090" s="4"/>
      <c r="AD1090" s="4"/>
      <c r="AG1090" s="4"/>
    </row>
    <row r="1091">
      <c r="A1091" s="179"/>
      <c r="B1091" s="180"/>
      <c r="C1091" s="2"/>
      <c r="E1091" s="181"/>
      <c r="F1091" s="181"/>
      <c r="G1091" s="2"/>
      <c r="K1091" s="2"/>
      <c r="AA1091" s="4"/>
      <c r="AD1091" s="4"/>
      <c r="AG1091" s="4"/>
    </row>
    <row r="1092">
      <c r="A1092" s="179"/>
      <c r="B1092" s="180"/>
      <c r="C1092" s="2"/>
      <c r="E1092" s="181"/>
      <c r="F1092" s="181"/>
      <c r="G1092" s="2"/>
      <c r="K1092" s="2"/>
      <c r="AA1092" s="4"/>
      <c r="AD1092" s="4"/>
      <c r="AG1092" s="4"/>
    </row>
    <row r="1093">
      <c r="A1093" s="179"/>
      <c r="B1093" s="180"/>
      <c r="C1093" s="2"/>
      <c r="E1093" s="181"/>
      <c r="F1093" s="181"/>
      <c r="G1093" s="2"/>
      <c r="K1093" s="2"/>
      <c r="AA1093" s="4"/>
      <c r="AD1093" s="4"/>
      <c r="AG1093" s="4"/>
    </row>
    <row r="1094">
      <c r="A1094" s="179"/>
      <c r="B1094" s="180"/>
      <c r="C1094" s="2"/>
      <c r="E1094" s="181"/>
      <c r="F1094" s="181"/>
      <c r="G1094" s="2"/>
      <c r="K1094" s="2"/>
      <c r="AA1094" s="4"/>
      <c r="AD1094" s="4"/>
      <c r="AG1094" s="4"/>
    </row>
    <row r="1095">
      <c r="A1095" s="179"/>
      <c r="B1095" s="180"/>
      <c r="C1095" s="2"/>
      <c r="E1095" s="181"/>
      <c r="F1095" s="181"/>
      <c r="G1095" s="2"/>
      <c r="K1095" s="2"/>
      <c r="AA1095" s="4"/>
      <c r="AD1095" s="4"/>
      <c r="AG1095" s="4"/>
    </row>
    <row r="1096">
      <c r="A1096" s="226"/>
      <c r="B1096" s="227"/>
      <c r="C1096" s="2"/>
      <c r="E1096" s="181"/>
      <c r="F1096" s="181"/>
      <c r="G1096" s="2"/>
      <c r="K1096" s="2"/>
      <c r="AA1096" s="4"/>
      <c r="AD1096" s="4"/>
      <c r="AG1096" s="4"/>
    </row>
    <row r="1097">
      <c r="A1097" s="226"/>
      <c r="B1097" s="227"/>
      <c r="C1097" s="2"/>
      <c r="E1097" s="181"/>
      <c r="F1097" s="181"/>
      <c r="G1097" s="2"/>
      <c r="K1097" s="2"/>
      <c r="AA1097" s="4"/>
      <c r="AD1097" s="4"/>
      <c r="AG1097" s="4"/>
    </row>
    <row r="1098">
      <c r="A1098" s="226"/>
      <c r="B1098" s="227"/>
      <c r="C1098" s="2"/>
      <c r="E1098" s="181"/>
      <c r="F1098" s="181"/>
      <c r="G1098" s="2"/>
      <c r="K1098" s="2"/>
      <c r="AA1098" s="4"/>
      <c r="AD1098" s="4"/>
      <c r="AG1098" s="4"/>
    </row>
    <row r="1099">
      <c r="A1099" s="226"/>
      <c r="B1099" s="227"/>
      <c r="C1099" s="2"/>
      <c r="E1099" s="181"/>
      <c r="F1099" s="181"/>
      <c r="G1099" s="2"/>
      <c r="K1099" s="2"/>
      <c r="AA1099" s="4"/>
      <c r="AD1099" s="4"/>
      <c r="AG1099" s="4"/>
    </row>
  </sheetData>
  <mergeCells count="68">
    <mergeCell ref="A108:B108"/>
    <mergeCell ref="A109:B109"/>
    <mergeCell ref="A110:B110"/>
    <mergeCell ref="A115:B115"/>
    <mergeCell ref="A116:B116"/>
    <mergeCell ref="A118:B118"/>
    <mergeCell ref="A48:B48"/>
    <mergeCell ref="A54:B54"/>
    <mergeCell ref="A58:B58"/>
    <mergeCell ref="A61:B61"/>
    <mergeCell ref="A78:B78"/>
    <mergeCell ref="A86:B86"/>
    <mergeCell ref="A107:B107"/>
    <mergeCell ref="I2:J2"/>
    <mergeCell ref="I3:J3"/>
    <mergeCell ref="N3:O3"/>
    <mergeCell ref="R3:S3"/>
    <mergeCell ref="V3:W3"/>
    <mergeCell ref="Z3:AA3"/>
    <mergeCell ref="AC3:AD3"/>
    <mergeCell ref="AF3:AG3"/>
    <mergeCell ref="A1:B1"/>
    <mergeCell ref="E1:F1"/>
    <mergeCell ref="I1:J1"/>
    <mergeCell ref="A2:B2"/>
    <mergeCell ref="E2:F2"/>
    <mergeCell ref="E3:F3"/>
    <mergeCell ref="E6:F6"/>
    <mergeCell ref="E41:F41"/>
    <mergeCell ref="E47:F47"/>
    <mergeCell ref="E53:F53"/>
    <mergeCell ref="E57:F57"/>
    <mergeCell ref="E63:F63"/>
    <mergeCell ref="E81:F81"/>
    <mergeCell ref="I5:J5"/>
    <mergeCell ref="I6:J6"/>
    <mergeCell ref="I10:J10"/>
    <mergeCell ref="I12:J12"/>
    <mergeCell ref="E13:F13"/>
    <mergeCell ref="E22:F22"/>
    <mergeCell ref="E28:F28"/>
    <mergeCell ref="A3:B3"/>
    <mergeCell ref="A6:B6"/>
    <mergeCell ref="A13:B13"/>
    <mergeCell ref="A16:B16"/>
    <mergeCell ref="A27:B27"/>
    <mergeCell ref="A33:B33"/>
    <mergeCell ref="A45:B45"/>
    <mergeCell ref="I22:J22"/>
    <mergeCell ref="I31:J31"/>
    <mergeCell ref="I40:J40"/>
    <mergeCell ref="I59:J59"/>
    <mergeCell ref="I72:J72"/>
    <mergeCell ref="I83:J83"/>
    <mergeCell ref="I90:J90"/>
    <mergeCell ref="E114:F114"/>
    <mergeCell ref="I114:J114"/>
    <mergeCell ref="E119:F119"/>
    <mergeCell ref="E120:F120"/>
    <mergeCell ref="I121:J121"/>
    <mergeCell ref="E122:F122"/>
    <mergeCell ref="I98:J98"/>
    <mergeCell ref="I103:J103"/>
    <mergeCell ref="I106:J106"/>
    <mergeCell ref="I109:J109"/>
    <mergeCell ref="E111:F111"/>
    <mergeCell ref="E112:F112"/>
    <mergeCell ref="E113:F11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2.88"/>
    <col customWidth="1" min="2" max="2" width="2.13"/>
    <col customWidth="1" min="3" max="3" width="15.38"/>
    <col customWidth="1" min="4" max="5" width="19.25"/>
    <col customWidth="1" min="6" max="6" width="12.25"/>
    <col customWidth="1" min="7" max="7" width="13.75"/>
    <col customWidth="1" min="8" max="8" width="13.25"/>
    <col customWidth="1" min="9" max="9" width="35.75"/>
    <col customWidth="1" min="10" max="10" width="3.13"/>
    <col customWidth="1" min="11" max="11" width="2.88"/>
    <col customWidth="1" hidden="1" min="12" max="12" width="2.88"/>
    <col customWidth="1" hidden="1" min="13" max="13" width="17.0"/>
    <col customWidth="1" hidden="1" min="14" max="14" width="28.5"/>
    <col customWidth="1" hidden="1" min="15" max="15" width="2.88"/>
    <col customWidth="1" min="16" max="16" width="2.88"/>
  </cols>
  <sheetData>
    <row r="1">
      <c r="A1" s="34" t="s">
        <v>93</v>
      </c>
      <c r="B1" s="12"/>
      <c r="C1" s="12"/>
      <c r="D1" s="12"/>
      <c r="E1" s="12"/>
      <c r="F1" s="12"/>
      <c r="G1" s="12"/>
      <c r="H1" s="12"/>
      <c r="I1" s="12"/>
      <c r="J1" s="12"/>
      <c r="K1" s="12"/>
      <c r="L1" s="12"/>
      <c r="M1" s="12"/>
      <c r="N1" s="12"/>
      <c r="O1" s="12"/>
      <c r="P1" s="12"/>
    </row>
    <row r="2">
      <c r="A2" s="12"/>
      <c r="B2" s="16"/>
      <c r="C2" s="18"/>
      <c r="D2" s="18"/>
      <c r="E2" s="18"/>
      <c r="F2" s="18"/>
      <c r="G2" s="18"/>
      <c r="H2" s="18"/>
      <c r="I2" s="18"/>
      <c r="J2" s="22"/>
      <c r="K2" s="12"/>
      <c r="L2" s="12"/>
      <c r="M2" s="12"/>
      <c r="N2" s="12"/>
      <c r="O2" s="12"/>
      <c r="P2" s="12"/>
    </row>
    <row r="3">
      <c r="A3" s="12"/>
      <c r="B3" s="25"/>
      <c r="C3" s="27"/>
      <c r="D3" s="28" t="s">
        <v>5</v>
      </c>
      <c r="J3" s="29"/>
      <c r="K3" s="12"/>
      <c r="L3" s="12"/>
      <c r="M3" s="12"/>
      <c r="N3" s="12"/>
      <c r="O3" s="12"/>
      <c r="P3" s="12"/>
    </row>
    <row r="4">
      <c r="A4" s="12"/>
      <c r="B4" s="25"/>
      <c r="D4" s="31" t="s">
        <v>6</v>
      </c>
      <c r="J4" s="29"/>
      <c r="K4" s="12"/>
      <c r="L4" s="12"/>
      <c r="M4" s="12"/>
      <c r="N4" s="12"/>
      <c r="O4" s="12"/>
      <c r="P4" s="12"/>
    </row>
    <row r="5">
      <c r="A5" s="32"/>
      <c r="B5" s="33"/>
      <c r="C5" s="34"/>
      <c r="D5" s="35"/>
      <c r="E5" s="34"/>
      <c r="F5" s="12"/>
      <c r="G5" s="12"/>
      <c r="H5" s="32"/>
      <c r="I5" s="32"/>
      <c r="J5" s="38"/>
      <c r="K5" s="32"/>
      <c r="L5" s="32"/>
      <c r="M5" s="32"/>
      <c r="N5" s="32"/>
      <c r="O5" s="32"/>
      <c r="P5" s="32"/>
    </row>
    <row r="6">
      <c r="A6" s="12"/>
      <c r="B6" s="25"/>
      <c r="C6" s="39"/>
      <c r="D6" s="129"/>
      <c r="E6" s="12"/>
      <c r="F6" s="12"/>
      <c r="G6" s="12"/>
      <c r="H6" s="12"/>
      <c r="I6" s="34"/>
      <c r="J6" s="29"/>
      <c r="K6" s="12"/>
      <c r="L6" s="12"/>
      <c r="M6" s="12"/>
      <c r="N6" s="12"/>
      <c r="O6" s="12"/>
      <c r="P6" s="12"/>
    </row>
    <row r="7">
      <c r="A7" s="12"/>
      <c r="B7" s="25"/>
      <c r="C7" s="42" t="s">
        <v>9</v>
      </c>
      <c r="D7" s="130" t="s">
        <v>97</v>
      </c>
      <c r="E7" s="12"/>
      <c r="F7" s="12"/>
      <c r="G7" s="12"/>
      <c r="H7" s="12"/>
      <c r="I7" s="49"/>
      <c r="J7" s="29"/>
      <c r="K7" s="12"/>
      <c r="L7" s="12"/>
      <c r="M7" s="12"/>
      <c r="N7" s="12"/>
      <c r="O7" s="12"/>
      <c r="P7" s="12"/>
    </row>
    <row r="8" ht="9.75" customHeight="1">
      <c r="A8" s="12"/>
      <c r="B8" s="25"/>
      <c r="C8" s="12"/>
      <c r="D8" s="34"/>
      <c r="E8" s="12"/>
      <c r="F8" s="12"/>
      <c r="G8" s="12"/>
      <c r="H8" s="12"/>
      <c r="I8" s="34"/>
      <c r="J8" s="29"/>
      <c r="K8" s="12"/>
      <c r="L8" s="16"/>
      <c r="M8" s="18"/>
      <c r="N8" s="18"/>
      <c r="O8" s="22"/>
      <c r="P8" s="12"/>
    </row>
    <row r="9">
      <c r="A9" s="12"/>
      <c r="B9" s="25"/>
      <c r="C9" s="39" t="s">
        <v>16</v>
      </c>
      <c r="D9" s="131" t="s">
        <v>100</v>
      </c>
      <c r="E9" s="57"/>
      <c r="F9" s="57"/>
      <c r="G9" s="58"/>
      <c r="H9" s="39" t="s">
        <v>21</v>
      </c>
      <c r="I9" s="132">
        <v>106750.0</v>
      </c>
      <c r="J9" s="29"/>
      <c r="K9" s="12"/>
      <c r="L9" s="25"/>
      <c r="M9" s="31" t="s">
        <v>23</v>
      </c>
      <c r="O9" s="29"/>
      <c r="P9" s="12"/>
    </row>
    <row r="10" ht="6.75" customHeight="1">
      <c r="A10" s="12"/>
      <c r="B10" s="25"/>
      <c r="C10" s="39"/>
      <c r="D10" s="34"/>
      <c r="H10" s="12"/>
      <c r="I10" s="34"/>
      <c r="J10" s="29"/>
      <c r="K10" s="12"/>
      <c r="L10" s="25"/>
      <c r="M10" s="12"/>
      <c r="N10" s="12"/>
      <c r="O10" s="29"/>
      <c r="P10" s="12"/>
    </row>
    <row r="11">
      <c r="A11" s="12"/>
      <c r="B11" s="25"/>
      <c r="C11" s="39" t="s">
        <v>24</v>
      </c>
      <c r="D11" s="63"/>
      <c r="E11" s="64"/>
      <c r="F11" s="64"/>
      <c r="G11" s="65"/>
      <c r="H11" s="39" t="s">
        <v>25</v>
      </c>
      <c r="I11" s="132" t="s">
        <v>105</v>
      </c>
      <c r="J11" s="29"/>
      <c r="K11" s="12"/>
      <c r="L11" s="25"/>
      <c r="M11" s="39" t="s">
        <v>27</v>
      </c>
      <c r="N11" s="66"/>
      <c r="O11" s="29"/>
      <c r="P11" s="12"/>
    </row>
    <row r="12" ht="6.75" customHeight="1">
      <c r="A12" s="12"/>
      <c r="B12" s="25"/>
      <c r="C12" s="39"/>
      <c r="D12" s="67"/>
      <c r="E12" s="67"/>
      <c r="F12" s="67"/>
      <c r="G12" s="67"/>
      <c r="H12" s="39"/>
      <c r="I12" s="34"/>
      <c r="J12" s="29"/>
      <c r="K12" s="12"/>
      <c r="L12" s="25"/>
      <c r="M12" s="12"/>
      <c r="N12" s="12"/>
      <c r="O12" s="29"/>
      <c r="P12" s="12"/>
    </row>
    <row r="13">
      <c r="A13" s="12"/>
      <c r="B13" s="25"/>
      <c r="C13" s="68" t="s">
        <v>28</v>
      </c>
      <c r="D13" s="69" t="str">
        <f>IFERROR(__xludf.DUMMYFUNCTION("IFERROR(FILTER('PRF Details'!D3:D48, 'PRF Details'!A3:A48 = I9), FILTER('PRF Details v2'!D3:D48, 'PRF Details v2'!A3:A48 = I9))
"),"16 SISC COURSES BANNER 2026 32 IN X 62.5 IN 13 OZ ADD SEAMING ONLY")</f>
        <v>16 SISC COURSES BANNER 2026 32 IN X 62.5 IN 13 OZ ADD SEAMING ONLY</v>
      </c>
      <c r="G13" s="70"/>
      <c r="H13" s="39" t="s">
        <v>30</v>
      </c>
      <c r="I13" s="72"/>
      <c r="J13" s="29"/>
      <c r="K13" s="12"/>
      <c r="L13" s="25"/>
      <c r="M13" s="39" t="s">
        <v>31</v>
      </c>
      <c r="N13" s="66"/>
      <c r="O13" s="29"/>
      <c r="P13" s="12"/>
    </row>
    <row r="14">
      <c r="A14" s="12"/>
      <c r="B14" s="25"/>
      <c r="D14" s="73"/>
      <c r="G14" s="70"/>
      <c r="H14" s="12"/>
      <c r="I14" s="74"/>
      <c r="J14" s="29"/>
      <c r="K14" s="12"/>
      <c r="L14" s="75"/>
      <c r="M14" s="76"/>
      <c r="N14" s="76"/>
      <c r="O14" s="77"/>
      <c r="P14" s="12"/>
    </row>
    <row r="15">
      <c r="A15" s="12"/>
      <c r="B15" s="25"/>
      <c r="D15" s="79"/>
      <c r="E15" s="80"/>
      <c r="F15" s="80"/>
      <c r="G15" s="81"/>
      <c r="H15" s="12"/>
      <c r="I15" s="82"/>
      <c r="J15" s="29"/>
      <c r="K15" s="12"/>
      <c r="L15" s="12"/>
      <c r="M15" s="12"/>
      <c r="N15" s="12"/>
      <c r="O15" s="12"/>
      <c r="P15" s="12"/>
    </row>
    <row r="16">
      <c r="A16" s="12"/>
      <c r="B16" s="25"/>
      <c r="C16" s="12"/>
      <c r="D16" s="12"/>
      <c r="E16" s="12"/>
      <c r="F16" s="12"/>
      <c r="G16" s="12"/>
      <c r="H16" s="12"/>
      <c r="I16" s="12"/>
      <c r="J16" s="29"/>
      <c r="K16" s="12"/>
      <c r="L16" s="12"/>
      <c r="M16" s="12"/>
      <c r="N16" s="12"/>
      <c r="O16" s="12"/>
      <c r="P16" s="12"/>
    </row>
    <row r="17">
      <c r="A17" s="84"/>
      <c r="B17" s="86"/>
      <c r="C17" s="88" t="s">
        <v>34</v>
      </c>
      <c r="D17" s="57"/>
      <c r="E17" s="58"/>
      <c r="F17" s="90" t="s">
        <v>36</v>
      </c>
      <c r="G17" s="90" t="s">
        <v>38</v>
      </c>
      <c r="H17" s="90" t="s">
        <v>39</v>
      </c>
      <c r="I17" s="90" t="s">
        <v>109</v>
      </c>
      <c r="J17" s="91"/>
      <c r="K17" s="84"/>
      <c r="L17" s="84"/>
      <c r="M17" s="84"/>
      <c r="N17" s="84"/>
      <c r="O17" s="84"/>
      <c r="P17" s="84"/>
    </row>
    <row r="18">
      <c r="A18" s="12"/>
      <c r="B18" s="25"/>
      <c r="C18" s="92" t="s">
        <v>43</v>
      </c>
      <c r="D18" s="57"/>
      <c r="E18" s="58"/>
      <c r="F18" s="133">
        <v>5.0</v>
      </c>
      <c r="G18" s="133">
        <v>5.0</v>
      </c>
      <c r="H18" s="133">
        <v>5.0</v>
      </c>
      <c r="I18" s="133"/>
      <c r="J18" s="29"/>
      <c r="K18" s="12"/>
      <c r="L18" s="12"/>
      <c r="M18" s="12"/>
      <c r="N18" s="12"/>
      <c r="O18" s="12"/>
      <c r="P18" s="12"/>
    </row>
    <row r="19">
      <c r="A19" s="12"/>
      <c r="B19" s="25"/>
      <c r="C19" s="92" t="s">
        <v>44</v>
      </c>
      <c r="D19" s="57"/>
      <c r="E19" s="58"/>
      <c r="F19" s="133">
        <v>5.0</v>
      </c>
      <c r="G19" s="133">
        <v>5.0</v>
      </c>
      <c r="H19" s="133">
        <v>5.0</v>
      </c>
      <c r="I19" s="133"/>
      <c r="J19" s="29"/>
      <c r="K19" s="12"/>
      <c r="L19" s="12"/>
      <c r="M19" s="12"/>
      <c r="N19" s="12"/>
      <c r="O19" s="12"/>
      <c r="P19" s="12"/>
    </row>
    <row r="20">
      <c r="A20" s="12"/>
      <c r="B20" s="25"/>
      <c r="C20" s="92" t="s">
        <v>45</v>
      </c>
      <c r="D20" s="57"/>
      <c r="E20" s="58"/>
      <c r="F20" s="133">
        <v>5.0</v>
      </c>
      <c r="G20" s="133">
        <v>5.0</v>
      </c>
      <c r="H20" s="133">
        <v>5.0</v>
      </c>
      <c r="I20" s="133"/>
      <c r="J20" s="29"/>
      <c r="K20" s="12"/>
      <c r="L20" s="12"/>
      <c r="M20" s="12"/>
      <c r="N20" s="12"/>
      <c r="O20" s="12"/>
      <c r="P20" s="12"/>
    </row>
    <row r="21">
      <c r="A21" s="12"/>
      <c r="B21" s="25"/>
      <c r="C21" s="92" t="s">
        <v>47</v>
      </c>
      <c r="D21" s="57"/>
      <c r="E21" s="58"/>
      <c r="F21" s="133">
        <v>5.0</v>
      </c>
      <c r="G21" s="133">
        <v>5.0</v>
      </c>
      <c r="H21" s="133">
        <v>5.0</v>
      </c>
      <c r="I21" s="133"/>
      <c r="J21" s="134"/>
      <c r="K21" s="12"/>
      <c r="L21" s="12"/>
      <c r="M21" s="12"/>
      <c r="N21" s="12"/>
      <c r="O21" s="12"/>
      <c r="P21" s="34" t="s">
        <v>112</v>
      </c>
    </row>
    <row r="22">
      <c r="A22" s="12"/>
      <c r="B22" s="25"/>
      <c r="C22" s="92" t="s">
        <v>49</v>
      </c>
      <c r="D22" s="57"/>
      <c r="E22" s="58"/>
      <c r="F22" s="133">
        <v>5.0</v>
      </c>
      <c r="G22" s="135" t="s">
        <v>50</v>
      </c>
      <c r="H22" s="135" t="s">
        <v>50</v>
      </c>
      <c r="I22" s="62"/>
      <c r="J22" s="29"/>
      <c r="K22" s="12"/>
      <c r="L22" s="12"/>
      <c r="M22" s="12"/>
      <c r="N22" s="12"/>
      <c r="O22" s="12"/>
      <c r="P22" s="12"/>
    </row>
    <row r="23" ht="6.0" customHeight="1">
      <c r="A23" s="12"/>
      <c r="B23" s="25"/>
      <c r="C23" s="12"/>
      <c r="D23" s="39"/>
      <c r="E23" s="39"/>
      <c r="F23" s="12"/>
      <c r="G23" s="12"/>
      <c r="H23" s="12"/>
      <c r="I23" s="12"/>
      <c r="J23" s="29"/>
      <c r="K23" s="12"/>
      <c r="L23" s="12"/>
      <c r="M23" s="12"/>
      <c r="N23" s="12"/>
      <c r="O23" s="12"/>
      <c r="P23" s="12"/>
    </row>
    <row r="24">
      <c r="A24" s="12"/>
      <c r="B24" s="25"/>
      <c r="C24" s="12"/>
      <c r="D24" s="12"/>
      <c r="E24" s="39" t="s">
        <v>42</v>
      </c>
      <c r="F24" s="104">
        <f>IFERROR(AVERAGE(F18:F22),"")</f>
        <v>5</v>
      </c>
      <c r="G24" s="104">
        <f>IFERROR(AVERAGE(G18:G21),"")</f>
        <v>5</v>
      </c>
      <c r="H24" s="104">
        <f>IFERROR(AVERAGE(H18:H22),"")</f>
        <v>5</v>
      </c>
      <c r="I24" s="12"/>
      <c r="J24" s="29"/>
      <c r="K24" s="12"/>
      <c r="L24" s="12"/>
      <c r="M24" s="12"/>
      <c r="N24" s="12"/>
      <c r="O24" s="12"/>
      <c r="P24" s="12"/>
    </row>
    <row r="25" ht="6.75" customHeight="1">
      <c r="A25" s="12"/>
      <c r="B25" s="25"/>
      <c r="C25" s="12"/>
      <c r="D25" s="39"/>
      <c r="E25" s="39"/>
      <c r="F25" s="12"/>
      <c r="G25" s="12"/>
      <c r="H25" s="12"/>
      <c r="I25" s="12"/>
      <c r="J25" s="29"/>
      <c r="K25" s="12"/>
      <c r="L25" s="12"/>
      <c r="M25" s="12"/>
      <c r="N25" s="12"/>
      <c r="O25" s="12"/>
      <c r="P25" s="12"/>
    </row>
    <row r="26">
      <c r="A26" s="12"/>
      <c r="B26" s="25"/>
      <c r="C26" s="12"/>
      <c r="D26" s="34" t="s">
        <v>62</v>
      </c>
      <c r="E26" s="39" t="s">
        <v>52</v>
      </c>
      <c r="F26" s="106">
        <f>IFERROR(AVERAGE(F24:H24),"")</f>
        <v>5</v>
      </c>
      <c r="G26" s="12"/>
      <c r="H26" s="12"/>
      <c r="I26" s="12"/>
      <c r="J26" s="29"/>
      <c r="K26" s="12"/>
      <c r="L26" s="12"/>
      <c r="M26" s="12"/>
      <c r="N26" s="12"/>
      <c r="O26" s="12"/>
      <c r="P26" s="12"/>
    </row>
    <row r="27">
      <c r="A27" s="12"/>
      <c r="B27" s="25"/>
      <c r="C27" s="12"/>
      <c r="D27" s="12"/>
      <c r="E27" s="12"/>
      <c r="F27" s="12"/>
      <c r="G27" s="12"/>
      <c r="H27" s="12"/>
      <c r="I27" s="12"/>
      <c r="J27" s="29"/>
      <c r="K27" s="12"/>
      <c r="L27" s="12"/>
      <c r="M27" s="12"/>
      <c r="N27" s="12"/>
      <c r="O27" s="12"/>
      <c r="P27" s="12"/>
    </row>
    <row r="28">
      <c r="A28" s="12"/>
      <c r="B28" s="25"/>
      <c r="C28" s="109" t="s">
        <v>54</v>
      </c>
      <c r="D28" s="110"/>
      <c r="E28" s="110"/>
      <c r="F28" s="110"/>
      <c r="G28" s="54"/>
      <c r="H28" s="112"/>
      <c r="I28" s="113" t="s">
        <v>56</v>
      </c>
      <c r="J28" s="29"/>
      <c r="K28" s="12"/>
      <c r="L28" s="12"/>
      <c r="M28" s="12"/>
      <c r="N28" s="12"/>
      <c r="O28" s="12"/>
      <c r="P28" s="12"/>
    </row>
    <row r="29">
      <c r="A29" s="12"/>
      <c r="B29" s="25"/>
      <c r="C29" s="115" t="s">
        <v>118</v>
      </c>
      <c r="D29" s="110"/>
      <c r="E29" s="110"/>
      <c r="F29" s="110"/>
      <c r="G29" s="54"/>
      <c r="H29" s="34"/>
      <c r="I29" s="116" t="s">
        <v>119</v>
      </c>
      <c r="J29" s="29"/>
      <c r="K29" s="12"/>
      <c r="L29" s="12"/>
      <c r="M29" s="12"/>
      <c r="N29" s="12"/>
      <c r="O29" s="12"/>
      <c r="P29" s="12"/>
    </row>
    <row r="30">
      <c r="A30" s="12"/>
      <c r="B30" s="25"/>
      <c r="C30" s="117" t="s">
        <v>120</v>
      </c>
      <c r="D30" s="110"/>
      <c r="E30" s="110"/>
      <c r="F30" s="110"/>
      <c r="G30" s="54"/>
      <c r="H30" s="119"/>
      <c r="I30" s="116" t="s">
        <v>121</v>
      </c>
      <c r="J30" s="29"/>
      <c r="K30" s="12"/>
      <c r="L30" s="12"/>
      <c r="M30" s="12"/>
      <c r="N30" s="12"/>
      <c r="O30" s="12"/>
      <c r="P30" s="12"/>
    </row>
    <row r="31">
      <c r="A31" s="12"/>
      <c r="B31" s="33" t="s">
        <v>62</v>
      </c>
      <c r="C31" s="115" t="s">
        <v>123</v>
      </c>
      <c r="D31" s="110"/>
      <c r="E31" s="110"/>
      <c r="F31" s="110"/>
      <c r="G31" s="54"/>
      <c r="H31" s="34"/>
      <c r="I31" s="116" t="s">
        <v>124</v>
      </c>
      <c r="J31" s="29"/>
      <c r="K31" s="12"/>
      <c r="L31" s="12"/>
      <c r="M31" s="12"/>
      <c r="N31" s="12"/>
      <c r="O31" s="12"/>
      <c r="P31" s="12"/>
    </row>
    <row r="32">
      <c r="A32" s="12"/>
      <c r="B32" s="25"/>
      <c r="C32" s="115" t="s">
        <v>126</v>
      </c>
      <c r="D32" s="110"/>
      <c r="E32" s="110"/>
      <c r="F32" s="110"/>
      <c r="G32" s="54"/>
      <c r="H32" s="34"/>
      <c r="I32" s="116" t="s">
        <v>128</v>
      </c>
      <c r="J32" s="29"/>
      <c r="K32" s="12"/>
      <c r="L32" s="12"/>
      <c r="M32" s="12"/>
      <c r="N32" s="12"/>
      <c r="O32" s="12"/>
      <c r="P32" s="12"/>
    </row>
    <row r="33">
      <c r="A33" s="12"/>
      <c r="B33" s="25"/>
      <c r="C33" s="115" t="s">
        <v>129</v>
      </c>
      <c r="D33" s="110"/>
      <c r="E33" s="110"/>
      <c r="F33" s="110"/>
      <c r="G33" s="54"/>
      <c r="H33" s="34"/>
      <c r="I33" s="116" t="s">
        <v>130</v>
      </c>
      <c r="J33" s="29"/>
      <c r="K33" s="12"/>
      <c r="L33" s="12"/>
      <c r="M33" s="12"/>
      <c r="N33" s="12"/>
      <c r="O33" s="12"/>
      <c r="P33" s="12"/>
    </row>
    <row r="34" ht="6.75" customHeight="1">
      <c r="A34" s="12"/>
      <c r="B34" s="25"/>
      <c r="C34" s="12"/>
      <c r="D34" s="12"/>
      <c r="E34" s="12"/>
      <c r="F34" s="12"/>
      <c r="G34" s="12"/>
      <c r="H34" s="12"/>
      <c r="I34" s="12"/>
      <c r="J34" s="29"/>
      <c r="K34" s="12"/>
      <c r="L34" s="12"/>
      <c r="M34" s="12"/>
      <c r="N34" s="12"/>
      <c r="O34" s="12"/>
      <c r="P34" s="12"/>
    </row>
    <row r="35" ht="18.0" customHeight="1">
      <c r="A35" s="12"/>
      <c r="B35" s="25"/>
      <c r="C35" s="34" t="s">
        <v>131</v>
      </c>
      <c r="H35" s="12"/>
      <c r="I35" s="12"/>
      <c r="J35" s="29"/>
      <c r="K35" s="12"/>
      <c r="L35" s="12"/>
      <c r="M35" s="12"/>
      <c r="N35" s="12"/>
      <c r="O35" s="12"/>
      <c r="P35" s="12"/>
    </row>
    <row r="36">
      <c r="A36" s="12"/>
      <c r="B36" s="25"/>
      <c r="C36" s="12"/>
      <c r="D36" s="12"/>
      <c r="E36" s="12"/>
      <c r="F36" s="12"/>
      <c r="G36" s="12"/>
      <c r="H36" s="12"/>
      <c r="I36" s="12"/>
      <c r="J36" s="29"/>
      <c r="K36" s="12"/>
      <c r="L36" s="12"/>
      <c r="M36" s="12"/>
      <c r="N36" s="12"/>
      <c r="O36" s="12"/>
      <c r="P36" s="12"/>
    </row>
    <row r="37">
      <c r="A37" s="12"/>
      <c r="B37" s="25"/>
      <c r="C37" s="121" t="s">
        <v>71</v>
      </c>
      <c r="D37" s="12"/>
      <c r="E37" s="12"/>
      <c r="F37" s="12"/>
      <c r="G37" s="12"/>
      <c r="H37" s="12"/>
      <c r="I37" s="12"/>
      <c r="J37" s="29"/>
      <c r="K37" s="12"/>
      <c r="L37" s="12"/>
      <c r="M37" s="12"/>
      <c r="N37" s="12"/>
      <c r="O37" s="12"/>
      <c r="P37" s="12"/>
    </row>
    <row r="38">
      <c r="A38" s="12"/>
      <c r="B38" s="25"/>
      <c r="C38" s="76"/>
      <c r="D38" s="122"/>
      <c r="E38" s="12"/>
      <c r="F38" s="12"/>
      <c r="G38" s="12"/>
      <c r="H38" s="12"/>
      <c r="I38" s="12"/>
      <c r="J38" s="29"/>
      <c r="K38" s="12"/>
      <c r="L38" s="12"/>
      <c r="M38" s="12"/>
      <c r="N38" s="12"/>
      <c r="O38" s="12"/>
      <c r="P38" s="12"/>
    </row>
    <row r="39">
      <c r="A39" s="12"/>
      <c r="B39" s="25"/>
      <c r="C39" s="31" t="s">
        <v>46</v>
      </c>
      <c r="E39" s="31"/>
      <c r="F39" s="12"/>
      <c r="G39" s="12"/>
      <c r="H39" s="12"/>
      <c r="I39" s="12"/>
      <c r="J39" s="29"/>
      <c r="K39" s="12"/>
      <c r="L39" s="12"/>
      <c r="M39" s="12"/>
      <c r="N39" s="12"/>
      <c r="O39" s="12"/>
      <c r="P39" s="12"/>
    </row>
    <row r="40">
      <c r="A40" s="12"/>
      <c r="B40" s="25"/>
      <c r="C40" s="12"/>
      <c r="D40" s="12"/>
      <c r="E40" s="12"/>
      <c r="F40" s="12"/>
      <c r="G40" s="12"/>
      <c r="H40" s="12"/>
      <c r="I40" s="12"/>
      <c r="J40" s="29"/>
      <c r="K40" s="12"/>
      <c r="L40" s="12"/>
      <c r="M40" s="12"/>
      <c r="N40" s="12"/>
      <c r="O40" s="12"/>
      <c r="P40" s="12"/>
    </row>
    <row r="41">
      <c r="A41" s="12"/>
      <c r="B41" s="25"/>
      <c r="C41" s="121" t="s">
        <v>74</v>
      </c>
      <c r="D41" s="12"/>
      <c r="E41" s="39" t="s">
        <v>75</v>
      </c>
      <c r="F41" s="12"/>
      <c r="G41" s="12"/>
      <c r="H41" s="39" t="s">
        <v>76</v>
      </c>
      <c r="I41" s="12"/>
      <c r="J41" s="29"/>
      <c r="K41" s="12"/>
      <c r="L41" s="12"/>
      <c r="M41" s="12"/>
      <c r="N41" s="12"/>
      <c r="O41" s="12"/>
      <c r="P41" s="12"/>
    </row>
    <row r="42">
      <c r="A42" s="12"/>
      <c r="B42" s="25"/>
      <c r="C42" s="136"/>
      <c r="D42" s="122"/>
      <c r="E42" s="12"/>
      <c r="F42" s="12"/>
      <c r="H42" s="12"/>
      <c r="I42" s="27" t="s">
        <v>77</v>
      </c>
      <c r="J42" s="29"/>
      <c r="K42" s="12"/>
      <c r="L42" s="12"/>
      <c r="M42" s="12"/>
      <c r="N42" s="12"/>
      <c r="O42" s="12"/>
      <c r="P42" s="12"/>
    </row>
    <row r="43">
      <c r="A43" s="12"/>
      <c r="B43" s="25"/>
      <c r="C43" s="31" t="s">
        <v>78</v>
      </c>
      <c r="E43" s="12"/>
      <c r="F43" s="123" t="s">
        <v>79</v>
      </c>
      <c r="G43" s="124"/>
      <c r="H43" s="12"/>
      <c r="I43" s="123" t="s">
        <v>80</v>
      </c>
      <c r="J43" s="29"/>
      <c r="K43" s="12"/>
      <c r="L43" s="12"/>
      <c r="M43" s="12"/>
      <c r="N43" s="12"/>
      <c r="O43" s="12"/>
      <c r="P43" s="12"/>
    </row>
    <row r="44">
      <c r="A44" s="12"/>
      <c r="B44" s="25"/>
      <c r="C44" s="12"/>
      <c r="D44" s="12"/>
      <c r="E44" s="12"/>
      <c r="F44" s="12"/>
      <c r="G44" s="12"/>
      <c r="H44" s="12"/>
      <c r="I44" s="12"/>
      <c r="J44" s="29"/>
      <c r="K44" s="12"/>
      <c r="L44" s="12"/>
      <c r="M44" s="12"/>
      <c r="N44" s="12"/>
      <c r="O44" s="12"/>
      <c r="P44" s="12"/>
    </row>
    <row r="45">
      <c r="A45" s="12"/>
      <c r="B45" s="25"/>
      <c r="C45" s="12"/>
      <c r="D45" s="12"/>
      <c r="E45" s="12"/>
      <c r="F45" s="12"/>
      <c r="G45" s="12"/>
      <c r="H45" s="12"/>
      <c r="I45" s="12"/>
      <c r="J45" s="29"/>
      <c r="K45" s="12"/>
      <c r="L45" s="12"/>
      <c r="M45" s="12"/>
      <c r="N45" s="12"/>
      <c r="O45" s="12"/>
      <c r="P45" s="12"/>
    </row>
    <row r="46">
      <c r="A46" s="12"/>
      <c r="B46" s="25"/>
      <c r="C46" s="12"/>
      <c r="D46" s="12"/>
      <c r="E46" s="12"/>
      <c r="F46" s="12"/>
      <c r="G46" s="12"/>
      <c r="H46" s="12"/>
      <c r="I46" s="12"/>
      <c r="J46" s="29"/>
      <c r="K46" s="12"/>
      <c r="L46" s="12"/>
      <c r="M46" s="12"/>
      <c r="N46" s="12"/>
      <c r="O46" s="12"/>
      <c r="P46" s="12"/>
    </row>
    <row r="47">
      <c r="A47" s="12"/>
      <c r="B47" s="75"/>
      <c r="C47" s="76"/>
      <c r="D47" s="76"/>
      <c r="E47" s="76"/>
      <c r="F47" s="76"/>
      <c r="G47" s="76"/>
      <c r="H47" s="76"/>
      <c r="I47" s="76"/>
      <c r="J47" s="77"/>
      <c r="K47" s="12"/>
      <c r="L47" s="12"/>
      <c r="M47" s="12"/>
      <c r="N47" s="12"/>
      <c r="O47" s="12"/>
      <c r="P47" s="12"/>
    </row>
    <row r="48">
      <c r="A48" s="12"/>
      <c r="B48" s="12"/>
      <c r="C48" s="12"/>
      <c r="D48" s="12"/>
      <c r="E48" s="12"/>
      <c r="F48" s="12"/>
      <c r="G48" s="12"/>
      <c r="H48" s="12"/>
      <c r="I48" s="12"/>
      <c r="J48" s="12"/>
      <c r="K48" s="12"/>
      <c r="L48" s="12"/>
      <c r="M48" s="12"/>
      <c r="N48" s="12"/>
      <c r="O48" s="12"/>
      <c r="P48" s="12"/>
    </row>
  </sheetData>
  <mergeCells count="29">
    <mergeCell ref="C3:C4"/>
    <mergeCell ref="D3:I3"/>
    <mergeCell ref="D4:I4"/>
    <mergeCell ref="D9:G9"/>
    <mergeCell ref="M9:N9"/>
    <mergeCell ref="D10:G10"/>
    <mergeCell ref="D11:G11"/>
    <mergeCell ref="C13:C15"/>
    <mergeCell ref="D13:G15"/>
    <mergeCell ref="I13:I15"/>
    <mergeCell ref="C17:E17"/>
    <mergeCell ref="C18:E18"/>
    <mergeCell ref="C19:E19"/>
    <mergeCell ref="C20:E20"/>
    <mergeCell ref="C33:G33"/>
    <mergeCell ref="C35:G35"/>
    <mergeCell ref="C38:D38"/>
    <mergeCell ref="C39:D39"/>
    <mergeCell ref="C42:D42"/>
    <mergeCell ref="F42:G42"/>
    <mergeCell ref="C43:D43"/>
    <mergeCell ref="F43:G43"/>
    <mergeCell ref="C21:E21"/>
    <mergeCell ref="C22:E22"/>
    <mergeCell ref="C28:G28"/>
    <mergeCell ref="C29:G29"/>
    <mergeCell ref="C30:G30"/>
    <mergeCell ref="C31:G31"/>
    <mergeCell ref="C32:G32"/>
  </mergeCells>
  <dataValidations>
    <dataValidation type="custom" allowBlank="1" showDropDown="1" showInputMessage="1" prompt="Enter a valid date" sqref="D6:E6 E7">
      <formula1>OR(NOT(ISERROR(DATEVALUE(D6))), AND(ISNUMBER(D6), LEFT(CELL("format", D6))="D"))</formula1>
    </dataValidation>
    <dataValidation type="list" allowBlank="1" sqref="I7">
      <formula1>DATABASE!$B$3:$B48</formula1>
    </dataValidation>
    <dataValidation type="list" allowBlank="1" sqref="I9">
      <formula1>'PRF Details'!$A$3:$A48</formula1>
    </dataValidation>
    <dataValidation type="list" allowBlank="1" sqref="D9">
      <formula1>DATABASE!$E$3:$E48</formula1>
    </dataValidation>
  </dataValidations>
  <hyperlinks>
    <hyperlink r:id="rId1" ref="D9"/>
  </hyperlinks>
  <printOptions gridLines="1" horizontalCentered="1"/>
  <pageMargins bottom="0.75" footer="0.0" header="0.0" left="0.7" right="0.7" top="0.75"/>
  <pageSetup cellComments="atEnd" orientation="landscape" pageOrder="overThenDown"/>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2.88"/>
    <col customWidth="1" min="2" max="2" width="2.13"/>
    <col customWidth="1" min="3" max="3" width="15.38"/>
    <col customWidth="1" min="4" max="5" width="19.25"/>
    <col customWidth="1" min="6" max="6" width="12.25"/>
    <col customWidth="1" min="7" max="7" width="13.75"/>
    <col customWidth="1" min="8" max="8" width="13.25"/>
    <col customWidth="1" min="9" max="9" width="35.75"/>
    <col customWidth="1" min="10" max="10" width="3.13"/>
    <col customWidth="1" min="11" max="11" width="2.88"/>
    <col customWidth="1" hidden="1" min="12" max="12" width="2.88"/>
    <col customWidth="1" hidden="1" min="13" max="13" width="17.0"/>
    <col customWidth="1" hidden="1" min="14" max="14" width="28.5"/>
    <col customWidth="1" hidden="1" min="15" max="15" width="2.88"/>
    <col customWidth="1" min="16" max="16" width="2.88"/>
  </cols>
  <sheetData>
    <row r="1">
      <c r="A1" s="34">
        <v>49.0</v>
      </c>
      <c r="B1" s="12"/>
      <c r="C1" s="12"/>
      <c r="D1" s="12"/>
      <c r="E1" s="12"/>
      <c r="F1" s="12"/>
      <c r="G1" s="12"/>
      <c r="H1" s="12"/>
      <c r="I1" s="12"/>
      <c r="J1" s="12"/>
      <c r="K1" s="12"/>
      <c r="L1" s="12"/>
      <c r="M1" s="12"/>
      <c r="N1" s="12"/>
      <c r="O1" s="12"/>
      <c r="P1" s="12"/>
    </row>
    <row r="2">
      <c r="A2" s="12"/>
      <c r="B2" s="16"/>
      <c r="C2" s="18"/>
      <c r="D2" s="18"/>
      <c r="E2" s="18"/>
      <c r="F2" s="18"/>
      <c r="G2" s="18"/>
      <c r="H2" s="18"/>
      <c r="I2" s="18"/>
      <c r="J2" s="22"/>
      <c r="K2" s="12"/>
      <c r="L2" s="12"/>
      <c r="M2" s="12"/>
      <c r="N2" s="12"/>
      <c r="O2" s="12"/>
      <c r="P2" s="12"/>
    </row>
    <row r="3">
      <c r="A3" s="12"/>
      <c r="B3" s="25"/>
      <c r="C3" s="27"/>
      <c r="D3" s="28" t="s">
        <v>5</v>
      </c>
      <c r="J3" s="29"/>
      <c r="K3" s="12"/>
      <c r="L3" s="12"/>
      <c r="M3" s="12"/>
      <c r="N3" s="12"/>
      <c r="O3" s="12"/>
      <c r="P3" s="12"/>
    </row>
    <row r="4">
      <c r="A4" s="12"/>
      <c r="B4" s="25"/>
      <c r="D4" s="31" t="s">
        <v>6</v>
      </c>
      <c r="J4" s="29"/>
      <c r="K4" s="12"/>
      <c r="L4" s="12"/>
      <c r="M4" s="12"/>
      <c r="N4" s="12"/>
      <c r="O4" s="12"/>
      <c r="P4" s="12"/>
    </row>
    <row r="5">
      <c r="A5" s="32"/>
      <c r="B5" s="33"/>
      <c r="C5" s="34"/>
      <c r="D5" s="35"/>
      <c r="E5" s="34"/>
      <c r="F5" s="12"/>
      <c r="G5" s="12"/>
      <c r="H5" s="32"/>
      <c r="I5" s="32"/>
      <c r="J5" s="38"/>
      <c r="K5" s="32"/>
      <c r="L5" s="32"/>
      <c r="M5" s="32"/>
      <c r="N5" s="32"/>
      <c r="O5" s="32"/>
      <c r="P5" s="32"/>
    </row>
    <row r="6">
      <c r="A6" s="12"/>
      <c r="B6" s="25"/>
      <c r="C6" s="39"/>
      <c r="D6" s="12"/>
      <c r="E6" s="12"/>
      <c r="F6" s="12"/>
      <c r="G6" s="12"/>
      <c r="H6" s="12"/>
      <c r="I6" s="34"/>
      <c r="J6" s="29"/>
      <c r="K6" s="12"/>
      <c r="L6" s="12"/>
      <c r="M6" s="12"/>
      <c r="N6" s="12"/>
      <c r="O6" s="12"/>
      <c r="P6" s="12"/>
    </row>
    <row r="7">
      <c r="A7" s="12"/>
      <c r="B7" s="25"/>
      <c r="C7" s="42" t="s">
        <v>9</v>
      </c>
      <c r="D7" s="138"/>
      <c r="E7" s="12"/>
      <c r="F7" s="12"/>
      <c r="G7" s="12"/>
      <c r="H7" s="12"/>
      <c r="I7" s="49"/>
      <c r="J7" s="29"/>
      <c r="K7" s="12"/>
      <c r="L7" s="12"/>
      <c r="M7" s="12"/>
      <c r="N7" s="12"/>
      <c r="O7" s="12"/>
      <c r="P7" s="12"/>
    </row>
    <row r="8" ht="9.75" customHeight="1">
      <c r="A8" s="12"/>
      <c r="B8" s="25"/>
      <c r="C8" s="12"/>
      <c r="D8" s="12"/>
      <c r="E8" s="12"/>
      <c r="F8" s="12"/>
      <c r="G8" s="12"/>
      <c r="H8" s="12"/>
      <c r="I8" s="12"/>
      <c r="J8" s="29"/>
      <c r="K8" s="12"/>
      <c r="L8" s="16"/>
      <c r="M8" s="18"/>
      <c r="N8" s="18"/>
      <c r="O8" s="22"/>
      <c r="P8" s="12"/>
    </row>
    <row r="9">
      <c r="A9" s="12"/>
      <c r="B9" s="25"/>
      <c r="C9" s="39" t="s">
        <v>16</v>
      </c>
      <c r="D9" s="139"/>
      <c r="E9" s="57"/>
      <c r="F9" s="57"/>
      <c r="G9" s="58"/>
      <c r="H9" s="39" t="s">
        <v>21</v>
      </c>
      <c r="I9" s="132"/>
      <c r="J9" s="29"/>
      <c r="K9" s="12"/>
      <c r="L9" s="25"/>
      <c r="M9" s="31" t="s">
        <v>23</v>
      </c>
      <c r="O9" s="29"/>
      <c r="P9" s="12"/>
    </row>
    <row r="10" ht="6.75" customHeight="1">
      <c r="A10" s="12"/>
      <c r="B10" s="25"/>
      <c r="C10" s="39"/>
      <c r="D10" s="34" t="s">
        <v>146</v>
      </c>
      <c r="E10" s="12"/>
      <c r="F10" s="12"/>
      <c r="G10" s="12"/>
      <c r="H10" s="39"/>
      <c r="I10" s="12"/>
      <c r="J10" s="29"/>
      <c r="K10" s="12"/>
      <c r="L10" s="25"/>
      <c r="M10" s="12"/>
      <c r="N10" s="12"/>
      <c r="O10" s="29"/>
      <c r="P10" s="12"/>
    </row>
    <row r="11">
      <c r="A11" s="12"/>
      <c r="B11" s="25"/>
      <c r="C11" s="39" t="s">
        <v>24</v>
      </c>
      <c r="D11" s="63"/>
      <c r="E11" s="64"/>
      <c r="F11" s="64"/>
      <c r="G11" s="65"/>
      <c r="H11" s="39" t="s">
        <v>25</v>
      </c>
      <c r="I11" s="132"/>
      <c r="J11" s="29"/>
      <c r="K11" s="12"/>
      <c r="L11" s="25"/>
      <c r="M11" s="39" t="s">
        <v>27</v>
      </c>
      <c r="N11" s="66"/>
      <c r="O11" s="29"/>
      <c r="P11" s="12"/>
    </row>
    <row r="12" ht="6.75" customHeight="1">
      <c r="A12" s="12"/>
      <c r="B12" s="25"/>
      <c r="C12" s="39"/>
      <c r="D12" s="67"/>
      <c r="E12" s="67"/>
      <c r="F12" s="67"/>
      <c r="G12" s="67"/>
      <c r="H12" s="39"/>
      <c r="I12" s="34" t="s">
        <v>147</v>
      </c>
      <c r="J12" s="29"/>
      <c r="K12" s="12"/>
      <c r="L12" s="25"/>
      <c r="M12" s="12"/>
      <c r="N12" s="12"/>
      <c r="O12" s="29"/>
      <c r="P12" s="12"/>
    </row>
    <row r="13">
      <c r="A13" s="12"/>
      <c r="B13" s="25"/>
      <c r="C13" s="68" t="s">
        <v>28</v>
      </c>
      <c r="D13" s="69" t="str">
        <f>IFERROR(__xludf.DUMMYFUNCTION("IFERROR(FILTER('PRF Details'!D3:D48, 'PRF Details'!A3:A48 = I9), FILTER('PRF Details v2'!D3:D48, 'PRF Details v2'!A3:A48 = I9))
"),"")</f>
        <v/>
      </c>
      <c r="G13" s="70"/>
      <c r="H13" s="39" t="s">
        <v>30</v>
      </c>
      <c r="I13" s="72"/>
      <c r="J13" s="29"/>
      <c r="K13" s="12"/>
      <c r="L13" s="25"/>
      <c r="M13" s="39" t="s">
        <v>31</v>
      </c>
      <c r="N13" s="66"/>
      <c r="O13" s="29"/>
      <c r="P13" s="12"/>
    </row>
    <row r="14">
      <c r="A14" s="12"/>
      <c r="B14" s="25"/>
      <c r="D14" s="73"/>
      <c r="G14" s="70"/>
      <c r="H14" s="12"/>
      <c r="I14" s="74"/>
      <c r="J14" s="29"/>
      <c r="K14" s="12"/>
      <c r="L14" s="75"/>
      <c r="M14" s="76"/>
      <c r="N14" s="76"/>
      <c r="O14" s="77"/>
      <c r="P14" s="12"/>
    </row>
    <row r="15">
      <c r="A15" s="12"/>
      <c r="B15" s="25"/>
      <c r="D15" s="79"/>
      <c r="E15" s="80"/>
      <c r="F15" s="80"/>
      <c r="G15" s="81"/>
      <c r="H15" s="12"/>
      <c r="I15" s="82"/>
      <c r="J15" s="29"/>
      <c r="K15" s="12"/>
      <c r="L15" s="12"/>
      <c r="M15" s="12"/>
      <c r="N15" s="12"/>
      <c r="O15" s="12"/>
      <c r="P15" s="12"/>
    </row>
    <row r="16">
      <c r="A16" s="12"/>
      <c r="B16" s="25"/>
      <c r="C16" s="12"/>
      <c r="D16" s="12"/>
      <c r="E16" s="12"/>
      <c r="F16" s="12"/>
      <c r="G16" s="12"/>
      <c r="H16" s="12"/>
      <c r="I16" s="12"/>
      <c r="J16" s="29"/>
      <c r="K16" s="12"/>
      <c r="L16" s="12"/>
      <c r="M16" s="12"/>
      <c r="N16" s="12"/>
      <c r="O16" s="12"/>
      <c r="P16" s="12"/>
    </row>
    <row r="17">
      <c r="A17" s="84"/>
      <c r="B17" s="86"/>
      <c r="C17" s="88" t="s">
        <v>34</v>
      </c>
      <c r="D17" s="57"/>
      <c r="E17" s="58"/>
      <c r="F17" s="90" t="s">
        <v>36</v>
      </c>
      <c r="G17" s="90" t="s">
        <v>38</v>
      </c>
      <c r="H17" s="90" t="s">
        <v>39</v>
      </c>
      <c r="I17" s="90" t="s">
        <v>152</v>
      </c>
      <c r="J17" s="91"/>
      <c r="K17" s="84"/>
      <c r="L17" s="84"/>
      <c r="M17" s="84"/>
      <c r="N17" s="84"/>
      <c r="O17" s="84"/>
      <c r="P17" s="84"/>
    </row>
    <row r="18">
      <c r="A18" s="12"/>
      <c r="B18" s="25"/>
      <c r="C18" s="92" t="s">
        <v>43</v>
      </c>
      <c r="D18" s="57"/>
      <c r="E18" s="58"/>
      <c r="F18" s="133"/>
      <c r="G18" s="133"/>
      <c r="H18" s="133"/>
      <c r="I18" s="62"/>
      <c r="J18" s="29"/>
      <c r="K18" s="12"/>
      <c r="L18" s="12"/>
      <c r="M18" s="12"/>
      <c r="N18" s="12"/>
      <c r="O18" s="12"/>
      <c r="P18" s="12"/>
    </row>
    <row r="19">
      <c r="A19" s="12"/>
      <c r="B19" s="25"/>
      <c r="C19" s="92" t="s">
        <v>44</v>
      </c>
      <c r="D19" s="57"/>
      <c r="E19" s="58"/>
      <c r="F19" s="133"/>
      <c r="G19" s="133"/>
      <c r="H19" s="133"/>
      <c r="I19" s="62"/>
      <c r="J19" s="29"/>
      <c r="K19" s="12"/>
      <c r="L19" s="12"/>
      <c r="M19" s="12"/>
      <c r="N19" s="12"/>
      <c r="O19" s="12"/>
      <c r="P19" s="12"/>
    </row>
    <row r="20">
      <c r="A20" s="12"/>
      <c r="B20" s="25"/>
      <c r="C20" s="92" t="s">
        <v>45</v>
      </c>
      <c r="D20" s="57"/>
      <c r="E20" s="58"/>
      <c r="F20" s="133"/>
      <c r="G20" s="133"/>
      <c r="H20" s="133"/>
      <c r="I20" s="94"/>
      <c r="J20" s="29"/>
      <c r="K20" s="12"/>
      <c r="L20" s="12"/>
      <c r="M20" s="12"/>
      <c r="N20" s="12"/>
      <c r="O20" s="12"/>
      <c r="P20" s="12"/>
    </row>
    <row r="21">
      <c r="A21" s="12"/>
      <c r="B21" s="25"/>
      <c r="C21" s="92" t="s">
        <v>47</v>
      </c>
      <c r="D21" s="57"/>
      <c r="E21" s="58"/>
      <c r="F21" s="133"/>
      <c r="G21" s="133"/>
      <c r="H21" s="133"/>
      <c r="I21" s="94"/>
      <c r="J21" s="29"/>
      <c r="K21" s="12"/>
      <c r="L21" s="12"/>
      <c r="M21" s="12"/>
      <c r="N21" s="12"/>
      <c r="O21" s="12"/>
      <c r="P21" s="12"/>
    </row>
    <row r="22">
      <c r="A22" s="12"/>
      <c r="B22" s="25"/>
      <c r="C22" s="92" t="s">
        <v>49</v>
      </c>
      <c r="D22" s="57"/>
      <c r="E22" s="58"/>
      <c r="F22" s="133"/>
      <c r="G22" s="99" t="s">
        <v>50</v>
      </c>
      <c r="H22" s="99" t="s">
        <v>50</v>
      </c>
      <c r="I22" s="62"/>
      <c r="J22" s="29"/>
      <c r="K22" s="12"/>
      <c r="L22" s="12"/>
      <c r="M22" s="12"/>
      <c r="N22" s="12"/>
      <c r="O22" s="12"/>
      <c r="P22" s="12"/>
    </row>
    <row r="23" ht="6.0" customHeight="1">
      <c r="A23" s="12"/>
      <c r="B23" s="25"/>
      <c r="C23" s="12"/>
      <c r="D23" s="39"/>
      <c r="E23" s="39"/>
      <c r="F23" s="12"/>
      <c r="G23" s="12"/>
      <c r="H23" s="12"/>
      <c r="I23" s="12"/>
      <c r="J23" s="29"/>
      <c r="K23" s="12"/>
      <c r="L23" s="12"/>
      <c r="M23" s="12"/>
      <c r="N23" s="12"/>
      <c r="O23" s="12"/>
      <c r="P23" s="12"/>
    </row>
    <row r="24">
      <c r="A24" s="12"/>
      <c r="B24" s="25"/>
      <c r="C24" s="12"/>
      <c r="D24" s="12"/>
      <c r="E24" s="39" t="s">
        <v>42</v>
      </c>
      <c r="F24" s="104" t="str">
        <f>IFERROR(AVERAGE(F18:F22),"")</f>
        <v/>
      </c>
      <c r="G24" s="104" t="str">
        <f>IFERROR(AVERAGE(G18:G21),"")</f>
        <v/>
      </c>
      <c r="H24" s="104" t="str">
        <f>IFERROR(AVERAGE(H18:H22),"")</f>
        <v/>
      </c>
      <c r="I24" s="12"/>
      <c r="J24" s="29"/>
      <c r="K24" s="12"/>
      <c r="L24" s="12"/>
      <c r="M24" s="12"/>
      <c r="N24" s="12"/>
      <c r="O24" s="12"/>
      <c r="P24" s="12"/>
    </row>
    <row r="25" ht="6.75" customHeight="1">
      <c r="A25" s="12"/>
      <c r="B25" s="25"/>
      <c r="C25" s="12"/>
      <c r="D25" s="39"/>
      <c r="E25" s="39"/>
      <c r="F25" s="12"/>
      <c r="G25" s="12"/>
      <c r="H25" s="12"/>
      <c r="I25" s="12"/>
      <c r="J25" s="29"/>
      <c r="K25" s="12"/>
      <c r="L25" s="12"/>
      <c r="M25" s="12"/>
      <c r="N25" s="12"/>
      <c r="O25" s="12"/>
      <c r="P25" s="12"/>
    </row>
    <row r="26">
      <c r="A26" s="12"/>
      <c r="B26" s="25"/>
      <c r="C26" s="12"/>
      <c r="D26" s="12"/>
      <c r="E26" s="39" t="s">
        <v>52</v>
      </c>
      <c r="F26" s="106" t="str">
        <f>IFERROR(AVERAGE(F24:H24),"")</f>
        <v/>
      </c>
      <c r="G26" s="12"/>
      <c r="H26" s="12"/>
      <c r="I26" s="12"/>
      <c r="J26" s="29"/>
      <c r="K26" s="12"/>
      <c r="L26" s="12"/>
      <c r="M26" s="12"/>
      <c r="N26" s="12"/>
      <c r="O26" s="12"/>
      <c r="P26" s="12"/>
    </row>
    <row r="27">
      <c r="A27" s="12"/>
      <c r="B27" s="25"/>
      <c r="C27" s="12"/>
      <c r="D27" s="12"/>
      <c r="E27" s="12"/>
      <c r="F27" s="12"/>
      <c r="G27" s="12"/>
      <c r="H27" s="12"/>
      <c r="I27" s="12"/>
      <c r="J27" s="29"/>
      <c r="K27" s="12"/>
      <c r="L27" s="12"/>
      <c r="M27" s="12"/>
      <c r="N27" s="12"/>
      <c r="O27" s="12"/>
      <c r="P27" s="12"/>
    </row>
    <row r="28">
      <c r="A28" s="12"/>
      <c r="B28" s="25"/>
      <c r="C28" s="109" t="s">
        <v>54</v>
      </c>
      <c r="D28" s="110"/>
      <c r="E28" s="110"/>
      <c r="F28" s="110"/>
      <c r="G28" s="54"/>
      <c r="H28" s="112"/>
      <c r="I28" s="113" t="s">
        <v>56</v>
      </c>
      <c r="J28" s="29"/>
      <c r="K28" s="12"/>
      <c r="L28" s="12"/>
      <c r="M28" s="12"/>
      <c r="N28" s="12"/>
      <c r="O28" s="12"/>
      <c r="P28" s="12"/>
    </row>
    <row r="29">
      <c r="A29" s="12"/>
      <c r="B29" s="25"/>
      <c r="C29" s="115" t="s">
        <v>159</v>
      </c>
      <c r="D29" s="110"/>
      <c r="E29" s="110"/>
      <c r="F29" s="110"/>
      <c r="G29" s="54"/>
      <c r="H29" s="34"/>
      <c r="I29" s="116" t="s">
        <v>160</v>
      </c>
      <c r="J29" s="29"/>
      <c r="K29" s="12"/>
      <c r="L29" s="12"/>
      <c r="M29" s="12"/>
      <c r="N29" s="12"/>
      <c r="O29" s="12"/>
      <c r="P29" s="12"/>
    </row>
    <row r="30">
      <c r="A30" s="12"/>
      <c r="B30" s="25"/>
      <c r="C30" s="117" t="s">
        <v>161</v>
      </c>
      <c r="D30" s="110"/>
      <c r="E30" s="110"/>
      <c r="F30" s="110"/>
      <c r="G30" s="54"/>
      <c r="H30" s="119"/>
      <c r="I30" s="116" t="s">
        <v>162</v>
      </c>
      <c r="J30" s="29"/>
      <c r="K30" s="12"/>
      <c r="L30" s="12"/>
      <c r="M30" s="12"/>
      <c r="N30" s="12"/>
      <c r="O30" s="12"/>
      <c r="P30" s="12"/>
    </row>
    <row r="31">
      <c r="A31" s="12"/>
      <c r="B31" s="33" t="s">
        <v>62</v>
      </c>
      <c r="C31" s="115" t="s">
        <v>164</v>
      </c>
      <c r="D31" s="110"/>
      <c r="E31" s="110"/>
      <c r="F31" s="110"/>
      <c r="G31" s="54"/>
      <c r="H31" s="34"/>
      <c r="I31" s="116" t="s">
        <v>165</v>
      </c>
      <c r="J31" s="29"/>
      <c r="K31" s="12"/>
      <c r="L31" s="12"/>
      <c r="M31" s="12"/>
      <c r="N31" s="12"/>
      <c r="O31" s="12"/>
      <c r="P31" s="12"/>
    </row>
    <row r="32">
      <c r="A32" s="12"/>
      <c r="B32" s="25"/>
      <c r="C32" s="115" t="s">
        <v>167</v>
      </c>
      <c r="D32" s="110"/>
      <c r="E32" s="110"/>
      <c r="F32" s="110"/>
      <c r="G32" s="54"/>
      <c r="H32" s="34"/>
      <c r="I32" s="116" t="s">
        <v>168</v>
      </c>
      <c r="J32" s="29"/>
      <c r="K32" s="12"/>
      <c r="L32" s="12"/>
      <c r="M32" s="12"/>
      <c r="N32" s="12"/>
      <c r="O32" s="12"/>
      <c r="P32" s="12"/>
    </row>
    <row r="33">
      <c r="A33" s="12"/>
      <c r="B33" s="25"/>
      <c r="C33" s="115" t="s">
        <v>169</v>
      </c>
      <c r="D33" s="110"/>
      <c r="E33" s="110"/>
      <c r="F33" s="110"/>
      <c r="G33" s="54"/>
      <c r="H33" s="34"/>
      <c r="I33" s="116" t="s">
        <v>170</v>
      </c>
      <c r="J33" s="29"/>
      <c r="K33" s="12"/>
      <c r="L33" s="12"/>
      <c r="M33" s="12"/>
      <c r="N33" s="12"/>
      <c r="O33" s="12"/>
      <c r="P33" s="12"/>
    </row>
    <row r="34" ht="6.75" customHeight="1">
      <c r="A34" s="12"/>
      <c r="B34" s="25"/>
      <c r="C34" s="12"/>
      <c r="D34" s="12"/>
      <c r="E34" s="12"/>
      <c r="F34" s="12"/>
      <c r="G34" s="12"/>
      <c r="H34" s="12"/>
      <c r="I34" s="12"/>
      <c r="J34" s="29"/>
      <c r="K34" s="12"/>
      <c r="L34" s="12"/>
      <c r="M34" s="12"/>
      <c r="N34" s="12"/>
      <c r="O34" s="12"/>
      <c r="P34" s="12"/>
    </row>
    <row r="35" ht="18.0" customHeight="1">
      <c r="A35" s="12"/>
      <c r="B35" s="25"/>
      <c r="C35" s="34" t="s">
        <v>171</v>
      </c>
      <c r="H35" s="12"/>
      <c r="I35" s="12"/>
      <c r="J35" s="29"/>
      <c r="K35" s="12"/>
      <c r="L35" s="12"/>
      <c r="M35" s="12"/>
      <c r="N35" s="12"/>
      <c r="O35" s="12"/>
      <c r="P35" s="12"/>
    </row>
    <row r="36">
      <c r="A36" s="12"/>
      <c r="B36" s="25"/>
      <c r="C36" s="12"/>
      <c r="D36" s="12"/>
      <c r="E36" s="12"/>
      <c r="F36" s="12"/>
      <c r="G36" s="12"/>
      <c r="H36" s="12"/>
      <c r="I36" s="12"/>
      <c r="J36" s="29"/>
      <c r="K36" s="12"/>
      <c r="L36" s="12"/>
      <c r="M36" s="12"/>
      <c r="N36" s="12"/>
      <c r="O36" s="12"/>
      <c r="P36" s="12"/>
    </row>
    <row r="37">
      <c r="A37" s="12"/>
      <c r="B37" s="25"/>
      <c r="C37" s="121" t="s">
        <v>71</v>
      </c>
      <c r="D37" s="12"/>
      <c r="E37" s="12"/>
      <c r="F37" s="12"/>
      <c r="G37" s="12"/>
      <c r="H37" s="12"/>
      <c r="I37" s="12"/>
      <c r="J37" s="29"/>
      <c r="K37" s="12"/>
      <c r="L37" s="12"/>
      <c r="M37" s="12"/>
      <c r="N37" s="12"/>
      <c r="O37" s="12"/>
      <c r="P37" s="12"/>
    </row>
    <row r="38">
      <c r="A38" s="12"/>
      <c r="B38" s="25"/>
      <c r="C38" s="76"/>
      <c r="D38" s="122"/>
      <c r="E38" s="12"/>
      <c r="F38" s="12"/>
      <c r="G38" s="12"/>
      <c r="H38" s="12"/>
      <c r="I38" s="12"/>
      <c r="J38" s="29"/>
      <c r="K38" s="12"/>
      <c r="L38" s="12"/>
      <c r="M38" s="12"/>
      <c r="N38" s="12"/>
      <c r="O38" s="12"/>
      <c r="P38" s="12"/>
    </row>
    <row r="39">
      <c r="A39" s="12"/>
      <c r="B39" s="25"/>
      <c r="C39" s="31" t="s">
        <v>46</v>
      </c>
      <c r="E39" s="31"/>
      <c r="F39" s="12"/>
      <c r="G39" s="12"/>
      <c r="H39" s="12"/>
      <c r="I39" s="12"/>
      <c r="J39" s="29"/>
      <c r="K39" s="12"/>
      <c r="L39" s="12"/>
      <c r="M39" s="12"/>
      <c r="N39" s="12"/>
      <c r="O39" s="12"/>
      <c r="P39" s="12"/>
    </row>
    <row r="40">
      <c r="A40" s="12"/>
      <c r="B40" s="25"/>
      <c r="C40" s="12"/>
      <c r="D40" s="12"/>
      <c r="E40" s="12"/>
      <c r="F40" s="12"/>
      <c r="G40" s="12"/>
      <c r="H40" s="12"/>
      <c r="I40" s="12"/>
      <c r="J40" s="29"/>
      <c r="K40" s="12"/>
      <c r="L40" s="12"/>
      <c r="M40" s="12"/>
      <c r="N40" s="12"/>
      <c r="O40" s="12"/>
      <c r="P40" s="12"/>
    </row>
    <row r="41">
      <c r="A41" s="12"/>
      <c r="B41" s="25"/>
      <c r="C41" s="121" t="s">
        <v>74</v>
      </c>
      <c r="D41" s="12"/>
      <c r="E41" s="39" t="s">
        <v>75</v>
      </c>
      <c r="F41" s="12"/>
      <c r="G41" s="12"/>
      <c r="H41" s="39" t="s">
        <v>76</v>
      </c>
      <c r="I41" s="12"/>
      <c r="J41" s="29"/>
      <c r="K41" s="12"/>
      <c r="L41" s="12"/>
      <c r="M41" s="12"/>
      <c r="N41" s="12"/>
      <c r="O41" s="12"/>
      <c r="P41" s="12"/>
    </row>
    <row r="42">
      <c r="A42" s="12"/>
      <c r="B42" s="25"/>
      <c r="C42" s="76"/>
      <c r="D42" s="122"/>
      <c r="E42" s="12"/>
      <c r="F42" s="12"/>
      <c r="H42" s="12"/>
      <c r="I42" s="27" t="s">
        <v>77</v>
      </c>
      <c r="J42" s="29"/>
      <c r="K42" s="12"/>
      <c r="L42" s="12"/>
      <c r="M42" s="12"/>
      <c r="N42" s="12"/>
      <c r="O42" s="12"/>
      <c r="P42" s="12"/>
    </row>
    <row r="43">
      <c r="A43" s="12"/>
      <c r="B43" s="25"/>
      <c r="C43" s="31" t="s">
        <v>78</v>
      </c>
      <c r="E43" s="12"/>
      <c r="F43" s="123" t="s">
        <v>79</v>
      </c>
      <c r="G43" s="124"/>
      <c r="H43" s="12"/>
      <c r="I43" s="123" t="s">
        <v>80</v>
      </c>
      <c r="J43" s="29"/>
      <c r="K43" s="12"/>
      <c r="L43" s="12"/>
      <c r="M43" s="12"/>
      <c r="N43" s="12"/>
      <c r="O43" s="12"/>
      <c r="P43" s="12"/>
    </row>
    <row r="44">
      <c r="A44" s="12"/>
      <c r="B44" s="25"/>
      <c r="C44" s="12"/>
      <c r="D44" s="12"/>
      <c r="E44" s="12"/>
      <c r="F44" s="12"/>
      <c r="G44" s="12"/>
      <c r="H44" s="12"/>
      <c r="I44" s="12"/>
      <c r="J44" s="29"/>
      <c r="K44" s="12"/>
      <c r="L44" s="12"/>
      <c r="M44" s="12"/>
      <c r="N44" s="12"/>
      <c r="O44" s="12"/>
      <c r="P44" s="12"/>
    </row>
    <row r="45">
      <c r="A45" s="12"/>
      <c r="B45" s="25"/>
      <c r="C45" s="12"/>
      <c r="D45" s="12"/>
      <c r="E45" s="12"/>
      <c r="F45" s="12"/>
      <c r="G45" s="12"/>
      <c r="H45" s="12"/>
      <c r="I45" s="12"/>
      <c r="J45" s="29"/>
      <c r="K45" s="12"/>
      <c r="L45" s="12"/>
      <c r="M45" s="12"/>
      <c r="N45" s="12"/>
      <c r="O45" s="12"/>
      <c r="P45" s="12"/>
    </row>
    <row r="46">
      <c r="A46" s="12"/>
      <c r="B46" s="25"/>
      <c r="C46" s="12"/>
      <c r="D46" s="12"/>
      <c r="E46" s="12"/>
      <c r="F46" s="12"/>
      <c r="G46" s="12"/>
      <c r="H46" s="12"/>
      <c r="I46" s="12"/>
      <c r="J46" s="29"/>
      <c r="K46" s="12"/>
      <c r="L46" s="12"/>
      <c r="M46" s="12"/>
      <c r="N46" s="12"/>
      <c r="O46" s="12"/>
      <c r="P46" s="12"/>
    </row>
    <row r="47">
      <c r="A47" s="12"/>
      <c r="B47" s="75"/>
      <c r="C47" s="76"/>
      <c r="D47" s="76"/>
      <c r="E47" s="76"/>
      <c r="F47" s="76"/>
      <c r="G47" s="76"/>
      <c r="H47" s="76"/>
      <c r="I47" s="76"/>
      <c r="J47" s="77"/>
      <c r="K47" s="12"/>
      <c r="L47" s="12"/>
      <c r="M47" s="12"/>
      <c r="N47" s="12"/>
      <c r="O47" s="12"/>
      <c r="P47" s="12"/>
    </row>
    <row r="48">
      <c r="A48" s="12"/>
      <c r="B48" s="12"/>
      <c r="C48" s="12"/>
      <c r="D48" s="12"/>
      <c r="E48" s="12"/>
      <c r="F48" s="12"/>
      <c r="G48" s="12"/>
      <c r="H48" s="12"/>
      <c r="I48" s="12"/>
      <c r="J48" s="12"/>
      <c r="K48" s="12"/>
      <c r="L48" s="12"/>
      <c r="M48" s="12"/>
      <c r="N48" s="12"/>
      <c r="O48" s="12"/>
      <c r="P48" s="12"/>
    </row>
  </sheetData>
  <mergeCells count="28">
    <mergeCell ref="C3:C4"/>
    <mergeCell ref="D3:I3"/>
    <mergeCell ref="D4:I4"/>
    <mergeCell ref="D9:G9"/>
    <mergeCell ref="M9:N9"/>
    <mergeCell ref="D11:G11"/>
    <mergeCell ref="C13:C15"/>
    <mergeCell ref="D13:G15"/>
    <mergeCell ref="I13:I15"/>
    <mergeCell ref="C17:E17"/>
    <mergeCell ref="C18:E18"/>
    <mergeCell ref="C19:E19"/>
    <mergeCell ref="C20:E20"/>
    <mergeCell ref="C21:E21"/>
    <mergeCell ref="C35:G35"/>
    <mergeCell ref="C38:D38"/>
    <mergeCell ref="C39:D39"/>
    <mergeCell ref="C42:D42"/>
    <mergeCell ref="F42:G42"/>
    <mergeCell ref="C43:D43"/>
    <mergeCell ref="F43:G43"/>
    <mergeCell ref="C22:E22"/>
    <mergeCell ref="C28:G28"/>
    <mergeCell ref="C29:G29"/>
    <mergeCell ref="C30:G30"/>
    <mergeCell ref="C31:G31"/>
    <mergeCell ref="C32:G32"/>
    <mergeCell ref="C33:G33"/>
  </mergeCells>
  <dataValidations>
    <dataValidation type="custom" allowBlank="1" showDropDown="1" showInputMessage="1" prompt="Enter a valid date" sqref="D6:E6 E7">
      <formula1>OR(NOT(ISERROR(DATEVALUE(D6))), AND(ISNUMBER(D6), LEFT(CELL("format", D6))="D"))</formula1>
    </dataValidation>
    <dataValidation type="list" allowBlank="1" sqref="I7">
      <formula1>DATABASE!$B$3:$B48</formula1>
    </dataValidation>
    <dataValidation type="list" allowBlank="1" sqref="I9 I11">
      <formula1>'PRF Details'!$A$3:$A48</formula1>
    </dataValidation>
    <dataValidation type="list" allowBlank="1" sqref="D9">
      <formula1>DATABASE!$E$3:$E48</formula1>
    </dataValidation>
  </dataValidations>
  <printOptions gridLines="1" horizontalCentered="1"/>
  <pageMargins bottom="0.75" footer="0.0" header="0.0" left="0.7" right="0.7" top="0.75"/>
  <pageSetup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3" max="3" width="40.13"/>
    <col customWidth="1" min="4" max="4" width="14.13"/>
    <col customWidth="1" min="5" max="5" width="27.63"/>
    <col customWidth="1" min="6" max="6" width="25.13"/>
    <col customWidth="1" min="7" max="7" width="25.75"/>
    <col customWidth="1" min="8" max="12" width="4.38"/>
    <col customWidth="1" min="13" max="13" width="8.75"/>
    <col customWidth="1" min="14" max="17" width="4.38"/>
    <col customWidth="1" min="18" max="18" width="9.63"/>
    <col customWidth="1" min="19" max="22" width="4.63"/>
    <col customWidth="1" min="23" max="23" width="9.38"/>
    <col customWidth="1" min="29" max="30" width="7.5"/>
  </cols>
  <sheetData>
    <row r="1">
      <c r="A1" s="143" t="s">
        <v>186</v>
      </c>
      <c r="B1" s="143" t="s">
        <v>187</v>
      </c>
      <c r="C1" s="143" t="s">
        <v>188</v>
      </c>
      <c r="D1" s="143" t="s">
        <v>189</v>
      </c>
      <c r="E1" s="143" t="s">
        <v>190</v>
      </c>
      <c r="F1" s="143" t="s">
        <v>191</v>
      </c>
      <c r="G1" s="143" t="s">
        <v>192</v>
      </c>
      <c r="H1" s="145" t="s">
        <v>195</v>
      </c>
      <c r="I1" s="110"/>
      <c r="J1" s="110"/>
      <c r="K1" s="110"/>
      <c r="L1" s="54"/>
      <c r="M1" s="146" t="s">
        <v>196</v>
      </c>
      <c r="N1" s="145" t="s">
        <v>197</v>
      </c>
      <c r="O1" s="110"/>
      <c r="P1" s="110"/>
      <c r="Q1" s="54"/>
      <c r="R1" s="146" t="s">
        <v>196</v>
      </c>
      <c r="S1" s="145" t="s">
        <v>39</v>
      </c>
      <c r="T1" s="110"/>
      <c r="U1" s="110"/>
      <c r="V1" s="54"/>
      <c r="W1" s="146" t="s">
        <v>196</v>
      </c>
      <c r="X1" s="147" t="s">
        <v>200</v>
      </c>
      <c r="Y1" s="110"/>
      <c r="Z1" s="110"/>
      <c r="AA1" s="110"/>
      <c r="AB1" s="54"/>
      <c r="AC1" s="148" t="s">
        <v>52</v>
      </c>
      <c r="AD1" s="149" t="s">
        <v>201</v>
      </c>
    </row>
    <row r="2">
      <c r="A2" s="150"/>
      <c r="B2" s="150"/>
      <c r="C2" s="150"/>
      <c r="D2" s="151"/>
      <c r="E2" s="150"/>
      <c r="F2" s="150"/>
      <c r="G2" s="150"/>
      <c r="H2" s="146" t="s">
        <v>204</v>
      </c>
      <c r="I2" s="146" t="s">
        <v>205</v>
      </c>
      <c r="J2" s="146" t="s">
        <v>206</v>
      </c>
      <c r="K2" s="146" t="s">
        <v>207</v>
      </c>
      <c r="L2" s="146" t="s">
        <v>208</v>
      </c>
      <c r="M2" s="150"/>
      <c r="N2" s="146" t="s">
        <v>204</v>
      </c>
      <c r="O2" s="146" t="s">
        <v>205</v>
      </c>
      <c r="P2" s="146" t="s">
        <v>206</v>
      </c>
      <c r="Q2" s="146" t="s">
        <v>207</v>
      </c>
      <c r="R2" s="150"/>
      <c r="S2" s="146" t="s">
        <v>204</v>
      </c>
      <c r="T2" s="146" t="s">
        <v>205</v>
      </c>
      <c r="U2" s="146" t="s">
        <v>206</v>
      </c>
      <c r="V2" s="146" t="s">
        <v>207</v>
      </c>
      <c r="W2" s="150"/>
      <c r="X2" s="143" t="s">
        <v>204</v>
      </c>
      <c r="Y2" s="143" t="s">
        <v>205</v>
      </c>
      <c r="Z2" s="143" t="s">
        <v>206</v>
      </c>
      <c r="AA2" s="143" t="s">
        <v>207</v>
      </c>
      <c r="AB2" s="143" t="s">
        <v>208</v>
      </c>
      <c r="AC2" s="152"/>
      <c r="AD2" s="153"/>
    </row>
    <row r="3">
      <c r="A3" s="154">
        <v>101756.0</v>
      </c>
      <c r="B3" s="155" t="s">
        <v>211</v>
      </c>
      <c r="C3" s="156" t="s">
        <v>212</v>
      </c>
      <c r="D3" s="157">
        <v>43836.0</v>
      </c>
      <c r="E3" s="156" t="s">
        <v>213</v>
      </c>
      <c r="F3" s="158"/>
      <c r="G3" s="158"/>
      <c r="H3" s="159">
        <v>4.0</v>
      </c>
      <c r="I3" s="159">
        <v>4.0</v>
      </c>
      <c r="J3" s="159">
        <v>4.0</v>
      </c>
      <c r="K3" s="159">
        <v>4.0</v>
      </c>
      <c r="L3" s="159">
        <v>4.0</v>
      </c>
      <c r="M3" s="160">
        <v>4.0</v>
      </c>
      <c r="N3" s="159">
        <v>4.0</v>
      </c>
      <c r="O3" s="159">
        <v>4.0</v>
      </c>
      <c r="P3" s="159">
        <v>4.0</v>
      </c>
      <c r="Q3" s="159">
        <v>4.0</v>
      </c>
      <c r="R3" s="160">
        <v>4.0</v>
      </c>
      <c r="S3" s="159">
        <v>4.0</v>
      </c>
      <c r="T3" s="159">
        <v>4.0</v>
      </c>
      <c r="U3" s="159">
        <v>4.0</v>
      </c>
      <c r="V3" s="159">
        <v>4.0</v>
      </c>
      <c r="W3" s="160">
        <v>4.0</v>
      </c>
      <c r="X3" s="161"/>
      <c r="Y3" s="161"/>
      <c r="Z3" s="161"/>
      <c r="AA3" s="161"/>
      <c r="AB3" s="161"/>
      <c r="AC3" s="160">
        <v>4.0</v>
      </c>
      <c r="AD3" s="159"/>
    </row>
    <row r="4">
      <c r="A4" s="162">
        <v>101601.0</v>
      </c>
      <c r="B4" s="163" t="s">
        <v>216</v>
      </c>
      <c r="C4" s="164" t="s">
        <v>217</v>
      </c>
      <c r="D4" s="165">
        <v>44020.0</v>
      </c>
      <c r="E4" s="164" t="s">
        <v>219</v>
      </c>
      <c r="F4" s="161"/>
      <c r="G4" s="161"/>
      <c r="H4" s="159">
        <v>5.0</v>
      </c>
      <c r="I4" s="159">
        <v>5.0</v>
      </c>
      <c r="J4" s="159">
        <v>5.0</v>
      </c>
      <c r="K4" s="159">
        <v>5.0</v>
      </c>
      <c r="L4" s="159">
        <v>5.0</v>
      </c>
      <c r="M4" s="159">
        <v>5.0</v>
      </c>
      <c r="N4" s="159">
        <v>5.0</v>
      </c>
      <c r="O4" s="159">
        <v>5.0</v>
      </c>
      <c r="P4" s="159">
        <v>5.0</v>
      </c>
      <c r="Q4" s="159">
        <v>5.0</v>
      </c>
      <c r="R4" s="159">
        <v>5.0</v>
      </c>
      <c r="S4" s="159">
        <v>5.0</v>
      </c>
      <c r="T4" s="159">
        <v>5.0</v>
      </c>
      <c r="U4" s="159">
        <v>5.0</v>
      </c>
      <c r="V4" s="159">
        <v>5.0</v>
      </c>
      <c r="W4" s="159">
        <v>5.0</v>
      </c>
      <c r="X4" s="161"/>
      <c r="Y4" s="161"/>
      <c r="Z4" s="161"/>
      <c r="AA4" s="161"/>
      <c r="AB4" s="161"/>
      <c r="AC4" s="159">
        <v>5.0</v>
      </c>
      <c r="AD4" s="159"/>
    </row>
    <row r="5">
      <c r="A5" s="162">
        <v>101601.0</v>
      </c>
      <c r="B5" s="163" t="s">
        <v>221</v>
      </c>
      <c r="C5" s="164" t="s">
        <v>217</v>
      </c>
      <c r="D5" s="165">
        <v>44029.0</v>
      </c>
      <c r="E5" s="164" t="s">
        <v>94</v>
      </c>
      <c r="F5" s="161"/>
      <c r="G5" s="161"/>
      <c r="H5" s="159">
        <v>5.0</v>
      </c>
      <c r="I5" s="159">
        <v>5.0</v>
      </c>
      <c r="J5" s="159">
        <v>5.0</v>
      </c>
      <c r="K5" s="159">
        <v>5.0</v>
      </c>
      <c r="L5" s="159">
        <v>5.0</v>
      </c>
      <c r="M5" s="159">
        <v>5.0</v>
      </c>
      <c r="N5" s="159">
        <v>4.5</v>
      </c>
      <c r="O5" s="159">
        <v>4.5</v>
      </c>
      <c r="P5" s="159">
        <v>4.5</v>
      </c>
      <c r="Q5" s="159">
        <v>4.5</v>
      </c>
      <c r="R5" s="159">
        <v>4.5</v>
      </c>
      <c r="S5" s="159">
        <v>4.5</v>
      </c>
      <c r="T5" s="159">
        <v>4.5</v>
      </c>
      <c r="U5" s="159">
        <v>4.5</v>
      </c>
      <c r="V5" s="159">
        <v>4.5</v>
      </c>
      <c r="W5" s="159">
        <v>4.5</v>
      </c>
      <c r="X5" s="161"/>
      <c r="Y5" s="161"/>
      <c r="Z5" s="161"/>
      <c r="AA5" s="161"/>
      <c r="AB5" s="161"/>
      <c r="AC5" s="159">
        <v>4.666666666666667</v>
      </c>
      <c r="AD5" s="159"/>
    </row>
    <row r="6">
      <c r="A6" s="162">
        <v>101598.0</v>
      </c>
      <c r="B6" s="163" t="s">
        <v>223</v>
      </c>
      <c r="C6" s="164" t="s">
        <v>224</v>
      </c>
      <c r="D6" s="165">
        <v>44041.0</v>
      </c>
      <c r="E6" s="164" t="s">
        <v>225</v>
      </c>
      <c r="F6" s="161"/>
      <c r="G6" s="161"/>
      <c r="H6" s="159">
        <v>5.0</v>
      </c>
      <c r="I6" s="159">
        <v>5.0</v>
      </c>
      <c r="J6" s="159">
        <v>5.0</v>
      </c>
      <c r="K6" s="159">
        <v>5.0</v>
      </c>
      <c r="L6" s="159">
        <v>5.0</v>
      </c>
      <c r="M6" s="159">
        <v>5.0</v>
      </c>
      <c r="N6" s="159">
        <v>5.0</v>
      </c>
      <c r="O6" s="159">
        <v>5.0</v>
      </c>
      <c r="P6" s="159">
        <v>5.0</v>
      </c>
      <c r="Q6" s="159">
        <v>5.0</v>
      </c>
      <c r="R6" s="159">
        <v>5.0</v>
      </c>
      <c r="S6" s="159">
        <v>5.0</v>
      </c>
      <c r="T6" s="159">
        <v>5.0</v>
      </c>
      <c r="U6" s="159">
        <v>5.0</v>
      </c>
      <c r="V6" s="159">
        <v>5.0</v>
      </c>
      <c r="W6" s="159">
        <v>5.0</v>
      </c>
      <c r="X6" s="161"/>
      <c r="Y6" s="161"/>
      <c r="Z6" s="161"/>
      <c r="AA6" s="161"/>
      <c r="AB6" s="161"/>
      <c r="AC6" s="159">
        <v>5.0</v>
      </c>
      <c r="AD6" s="159"/>
    </row>
    <row r="7">
      <c r="A7" s="162">
        <v>101599.0</v>
      </c>
      <c r="B7" s="163" t="s">
        <v>226</v>
      </c>
      <c r="C7" s="164" t="s">
        <v>227</v>
      </c>
      <c r="D7" s="165">
        <v>44041.0</v>
      </c>
      <c r="E7" s="164" t="s">
        <v>225</v>
      </c>
      <c r="F7" s="161"/>
      <c r="G7" s="161"/>
      <c r="H7" s="159">
        <v>5.0</v>
      </c>
      <c r="I7" s="159">
        <v>5.0</v>
      </c>
      <c r="J7" s="159">
        <v>5.0</v>
      </c>
      <c r="K7" s="159">
        <v>5.0</v>
      </c>
      <c r="L7" s="159">
        <v>5.0</v>
      </c>
      <c r="M7" s="159">
        <v>5.0</v>
      </c>
      <c r="N7" s="159">
        <v>5.0</v>
      </c>
      <c r="O7" s="159">
        <v>5.0</v>
      </c>
      <c r="P7" s="159">
        <v>5.0</v>
      </c>
      <c r="Q7" s="159">
        <v>5.0</v>
      </c>
      <c r="R7" s="159">
        <v>5.0</v>
      </c>
      <c r="S7" s="159">
        <v>5.0</v>
      </c>
      <c r="T7" s="159">
        <v>5.0</v>
      </c>
      <c r="U7" s="159">
        <v>5.0</v>
      </c>
      <c r="V7" s="159">
        <v>5.0</v>
      </c>
      <c r="W7" s="159">
        <v>5.0</v>
      </c>
      <c r="X7" s="161"/>
      <c r="Y7" s="161"/>
      <c r="Z7" s="161"/>
      <c r="AA7" s="161"/>
      <c r="AB7" s="161"/>
      <c r="AC7" s="159">
        <v>5.0</v>
      </c>
      <c r="AD7" s="159"/>
    </row>
    <row r="8">
      <c r="A8" s="162">
        <v>101600.0</v>
      </c>
      <c r="B8" s="163" t="s">
        <v>228</v>
      </c>
      <c r="C8" s="164" t="s">
        <v>229</v>
      </c>
      <c r="D8" s="165">
        <v>44042.0</v>
      </c>
      <c r="E8" s="164" t="s">
        <v>225</v>
      </c>
      <c r="F8" s="161"/>
      <c r="G8" s="161"/>
      <c r="H8" s="159">
        <v>5.0</v>
      </c>
      <c r="I8" s="159">
        <v>5.0</v>
      </c>
      <c r="J8" s="159">
        <v>5.0</v>
      </c>
      <c r="K8" s="159">
        <v>5.0</v>
      </c>
      <c r="L8" s="159">
        <v>5.0</v>
      </c>
      <c r="M8" s="159">
        <v>5.0</v>
      </c>
      <c r="N8" s="159">
        <v>5.0</v>
      </c>
      <c r="O8" s="159">
        <v>5.0</v>
      </c>
      <c r="P8" s="159">
        <v>5.0</v>
      </c>
      <c r="Q8" s="159">
        <v>5.0</v>
      </c>
      <c r="R8" s="159">
        <v>5.0</v>
      </c>
      <c r="S8" s="159">
        <v>5.0</v>
      </c>
      <c r="T8" s="159">
        <v>5.0</v>
      </c>
      <c r="U8" s="159">
        <v>5.0</v>
      </c>
      <c r="V8" s="159">
        <v>5.0</v>
      </c>
      <c r="W8" s="159">
        <v>5.0</v>
      </c>
      <c r="X8" s="161"/>
      <c r="Y8" s="161"/>
      <c r="Z8" s="161"/>
      <c r="AA8" s="161"/>
      <c r="AB8" s="161"/>
      <c r="AC8" s="159">
        <v>5.0</v>
      </c>
      <c r="AD8" s="159"/>
    </row>
    <row r="9">
      <c r="A9" s="162">
        <v>101600.0</v>
      </c>
      <c r="B9" s="163" t="s">
        <v>228</v>
      </c>
      <c r="C9" s="164" t="s">
        <v>229</v>
      </c>
      <c r="D9" s="165">
        <v>44042.0</v>
      </c>
      <c r="E9" s="164" t="s">
        <v>225</v>
      </c>
      <c r="F9" s="161"/>
      <c r="G9" s="161"/>
      <c r="H9" s="159">
        <v>4.5</v>
      </c>
      <c r="I9" s="159">
        <v>4.5</v>
      </c>
      <c r="J9" s="159">
        <v>4.5</v>
      </c>
      <c r="K9" s="159">
        <v>4.5</v>
      </c>
      <c r="L9" s="159">
        <v>4.5</v>
      </c>
      <c r="M9" s="159">
        <v>4.5</v>
      </c>
      <c r="N9" s="159">
        <v>4.5</v>
      </c>
      <c r="O9" s="159">
        <v>4.5</v>
      </c>
      <c r="P9" s="159">
        <v>4.5</v>
      </c>
      <c r="Q9" s="159">
        <v>4.5</v>
      </c>
      <c r="R9" s="159">
        <v>4.5</v>
      </c>
      <c r="S9" s="159">
        <v>4.5</v>
      </c>
      <c r="T9" s="159">
        <v>4.5</v>
      </c>
      <c r="U9" s="159">
        <v>4.5</v>
      </c>
      <c r="V9" s="159">
        <v>4.5</v>
      </c>
      <c r="W9" s="159">
        <v>4.5</v>
      </c>
      <c r="X9" s="161"/>
      <c r="Y9" s="161"/>
      <c r="Z9" s="161"/>
      <c r="AA9" s="161"/>
      <c r="AB9" s="161"/>
      <c r="AC9" s="159">
        <v>4.5</v>
      </c>
      <c r="AD9" s="159"/>
    </row>
    <row r="10">
      <c r="A10" s="163" t="s">
        <v>232</v>
      </c>
      <c r="B10" s="169"/>
      <c r="C10" s="161"/>
      <c r="D10" s="165">
        <v>44050.0</v>
      </c>
      <c r="E10" s="164" t="s">
        <v>233</v>
      </c>
      <c r="F10" s="161"/>
      <c r="G10" s="161"/>
      <c r="H10" s="159">
        <v>4.5</v>
      </c>
      <c r="I10" s="159">
        <v>4.5</v>
      </c>
      <c r="J10" s="159">
        <v>4.5</v>
      </c>
      <c r="K10" s="159">
        <v>4.5</v>
      </c>
      <c r="L10" s="159">
        <v>4.5</v>
      </c>
      <c r="M10" s="159">
        <v>4.5</v>
      </c>
      <c r="N10" s="159">
        <v>4.5</v>
      </c>
      <c r="O10" s="159">
        <v>4.5</v>
      </c>
      <c r="P10" s="159">
        <v>4.5</v>
      </c>
      <c r="Q10" s="159">
        <v>4.5</v>
      </c>
      <c r="R10" s="159">
        <v>4.5</v>
      </c>
      <c r="S10" s="159">
        <v>4.5</v>
      </c>
      <c r="T10" s="159">
        <v>4.5</v>
      </c>
      <c r="U10" s="159">
        <v>4.5</v>
      </c>
      <c r="V10" s="159">
        <v>4.5</v>
      </c>
      <c r="W10" s="159">
        <v>4.5</v>
      </c>
      <c r="X10" s="161"/>
      <c r="Y10" s="161"/>
      <c r="Z10" s="161"/>
      <c r="AA10" s="161"/>
      <c r="AB10" s="161"/>
      <c r="AC10" s="159">
        <v>4.5</v>
      </c>
      <c r="AD10" s="159"/>
    </row>
    <row r="11">
      <c r="A11" s="162">
        <v>101601.0</v>
      </c>
      <c r="B11" s="163" t="s">
        <v>236</v>
      </c>
      <c r="C11" s="164" t="s">
        <v>217</v>
      </c>
      <c r="D11" s="165">
        <v>44055.0</v>
      </c>
      <c r="E11" s="164" t="s">
        <v>237</v>
      </c>
      <c r="F11" s="161"/>
      <c r="G11" s="161"/>
      <c r="H11" s="159">
        <v>5.0</v>
      </c>
      <c r="I11" s="159">
        <v>5.0</v>
      </c>
      <c r="J11" s="159">
        <v>5.0</v>
      </c>
      <c r="K11" s="159">
        <v>5.0</v>
      </c>
      <c r="L11" s="159">
        <v>5.0</v>
      </c>
      <c r="M11" s="159">
        <v>5.0</v>
      </c>
      <c r="N11" s="159">
        <v>4.5</v>
      </c>
      <c r="O11" s="159">
        <v>4.5</v>
      </c>
      <c r="P11" s="159">
        <v>4.5</v>
      </c>
      <c r="Q11" s="159">
        <v>4.5</v>
      </c>
      <c r="R11" s="159">
        <v>4.5</v>
      </c>
      <c r="S11" s="159">
        <v>4.5</v>
      </c>
      <c r="T11" s="159">
        <v>4.5</v>
      </c>
      <c r="U11" s="159">
        <v>4.5</v>
      </c>
      <c r="V11" s="159">
        <v>4.5</v>
      </c>
      <c r="W11" s="159">
        <v>4.5</v>
      </c>
      <c r="X11" s="161"/>
      <c r="Y11" s="161"/>
      <c r="Z11" s="161"/>
      <c r="AA11" s="161"/>
      <c r="AB11" s="161"/>
      <c r="AC11" s="159">
        <v>4.666666666666667</v>
      </c>
      <c r="AD11" s="159"/>
    </row>
    <row r="12">
      <c r="A12" s="162">
        <v>101698.0</v>
      </c>
      <c r="B12" s="163" t="s">
        <v>238</v>
      </c>
      <c r="C12" s="164" t="s">
        <v>239</v>
      </c>
      <c r="D12" s="165">
        <v>44111.0</v>
      </c>
      <c r="E12" s="164" t="s">
        <v>51</v>
      </c>
      <c r="F12" s="161"/>
      <c r="G12" s="161"/>
      <c r="H12" s="159">
        <v>4.0</v>
      </c>
      <c r="I12" s="159">
        <v>4.0</v>
      </c>
      <c r="J12" s="159">
        <v>4.0</v>
      </c>
      <c r="K12" s="159">
        <v>4.0</v>
      </c>
      <c r="L12" s="159">
        <v>4.0</v>
      </c>
      <c r="M12" s="159">
        <v>4.0</v>
      </c>
      <c r="N12" s="159">
        <v>4.0</v>
      </c>
      <c r="O12" s="159">
        <v>4.0</v>
      </c>
      <c r="P12" s="159">
        <v>4.0</v>
      </c>
      <c r="Q12" s="159">
        <v>4.0</v>
      </c>
      <c r="R12" s="159">
        <v>4.0</v>
      </c>
      <c r="S12" s="159">
        <v>4.0</v>
      </c>
      <c r="T12" s="159">
        <v>4.0</v>
      </c>
      <c r="U12" s="159">
        <v>4.0</v>
      </c>
      <c r="V12" s="159">
        <v>4.0</v>
      </c>
      <c r="W12" s="159">
        <v>4.0</v>
      </c>
      <c r="X12" s="161"/>
      <c r="Y12" s="161"/>
      <c r="Z12" s="161"/>
      <c r="AA12" s="161"/>
      <c r="AB12" s="161"/>
      <c r="AC12" s="159">
        <v>4.0</v>
      </c>
      <c r="AD12" s="159"/>
    </row>
    <row r="13">
      <c r="A13" s="162">
        <v>101457.0</v>
      </c>
      <c r="B13" s="163" t="s">
        <v>242</v>
      </c>
      <c r="C13" s="164" t="s">
        <v>243</v>
      </c>
      <c r="D13" s="165">
        <v>44113.0</v>
      </c>
      <c r="E13" s="164" t="s">
        <v>244</v>
      </c>
      <c r="F13" s="161"/>
      <c r="G13" s="161"/>
      <c r="H13" s="159">
        <v>5.0</v>
      </c>
      <c r="I13" s="159">
        <v>4.0</v>
      </c>
      <c r="J13" s="159">
        <v>4.0</v>
      </c>
      <c r="K13" s="159">
        <v>4.0</v>
      </c>
      <c r="L13" s="159">
        <v>5.0</v>
      </c>
      <c r="M13" s="159">
        <v>4.4</v>
      </c>
      <c r="N13" s="159">
        <v>5.0</v>
      </c>
      <c r="O13" s="159">
        <v>4.0</v>
      </c>
      <c r="P13" s="159">
        <v>4.0</v>
      </c>
      <c r="Q13" s="159">
        <v>4.0</v>
      </c>
      <c r="R13" s="159">
        <v>4.25</v>
      </c>
      <c r="S13" s="159">
        <v>4.5</v>
      </c>
      <c r="T13" s="159">
        <v>4.5</v>
      </c>
      <c r="U13" s="159">
        <v>4.5</v>
      </c>
      <c r="V13" s="159">
        <v>4.5</v>
      </c>
      <c r="W13" s="159">
        <v>4.5</v>
      </c>
      <c r="X13" s="161"/>
      <c r="Y13" s="161"/>
      <c r="Z13" s="161"/>
      <c r="AA13" s="161"/>
      <c r="AB13" s="161"/>
      <c r="AC13" s="159">
        <v>4.383333333333334</v>
      </c>
      <c r="AD13" s="159"/>
    </row>
    <row r="14">
      <c r="A14" s="162">
        <v>101726.0</v>
      </c>
      <c r="B14" s="163" t="s">
        <v>245</v>
      </c>
      <c r="C14" s="164" t="s">
        <v>246</v>
      </c>
      <c r="D14" s="165">
        <v>44116.0</v>
      </c>
      <c r="E14" s="164" t="s">
        <v>247</v>
      </c>
      <c r="F14" s="161"/>
      <c r="G14" s="161"/>
      <c r="H14" s="159">
        <v>4.0</v>
      </c>
      <c r="I14" s="159">
        <v>4.0</v>
      </c>
      <c r="J14" s="159">
        <v>4.0</v>
      </c>
      <c r="K14" s="159">
        <v>4.0</v>
      </c>
      <c r="L14" s="159">
        <v>4.0</v>
      </c>
      <c r="M14" s="159">
        <v>4.0</v>
      </c>
      <c r="N14" s="159">
        <v>4.0</v>
      </c>
      <c r="O14" s="159">
        <v>4.0</v>
      </c>
      <c r="P14" s="159">
        <v>4.0</v>
      </c>
      <c r="Q14" s="159">
        <v>4.0</v>
      </c>
      <c r="R14" s="159">
        <v>4.0</v>
      </c>
      <c r="S14" s="159">
        <v>4.0</v>
      </c>
      <c r="T14" s="159">
        <v>4.0</v>
      </c>
      <c r="U14" s="159">
        <v>4.0</v>
      </c>
      <c r="V14" s="159">
        <v>4.0</v>
      </c>
      <c r="W14" s="159">
        <v>4.0</v>
      </c>
      <c r="X14" s="161"/>
      <c r="Y14" s="161"/>
      <c r="Z14" s="161"/>
      <c r="AA14" s="161"/>
      <c r="AB14" s="161"/>
      <c r="AC14" s="159">
        <v>4.0</v>
      </c>
      <c r="AD14" s="159"/>
    </row>
    <row r="15">
      <c r="A15" s="162">
        <v>101731.0</v>
      </c>
      <c r="B15" s="163" t="s">
        <v>249</v>
      </c>
      <c r="C15" s="164" t="s">
        <v>251</v>
      </c>
      <c r="D15" s="165">
        <v>44119.0</v>
      </c>
      <c r="E15" s="164" t="s">
        <v>125</v>
      </c>
      <c r="F15" s="161"/>
      <c r="G15" s="161"/>
      <c r="H15" s="159">
        <v>4.0</v>
      </c>
      <c r="I15" s="159">
        <v>4.0</v>
      </c>
      <c r="J15" s="159">
        <v>4.0</v>
      </c>
      <c r="K15" s="159">
        <v>4.0</v>
      </c>
      <c r="L15" s="159">
        <v>4.0</v>
      </c>
      <c r="M15" s="159">
        <v>4.0</v>
      </c>
      <c r="N15" s="159">
        <v>4.0</v>
      </c>
      <c r="O15" s="159">
        <v>4.0</v>
      </c>
      <c r="P15" s="159">
        <v>4.0</v>
      </c>
      <c r="Q15" s="159">
        <v>4.0</v>
      </c>
      <c r="R15" s="159">
        <v>4.0</v>
      </c>
      <c r="S15" s="159">
        <v>4.0</v>
      </c>
      <c r="T15" s="159">
        <v>4.0</v>
      </c>
      <c r="U15" s="159">
        <v>4.0</v>
      </c>
      <c r="V15" s="159">
        <v>4.0</v>
      </c>
      <c r="W15" s="159">
        <v>4.0</v>
      </c>
      <c r="X15" s="161"/>
      <c r="Y15" s="161"/>
      <c r="Z15" s="161"/>
      <c r="AA15" s="161"/>
      <c r="AB15" s="161"/>
      <c r="AC15" s="159">
        <v>4.0</v>
      </c>
      <c r="AD15" s="159"/>
    </row>
    <row r="16">
      <c r="A16" s="162">
        <v>101694.0</v>
      </c>
      <c r="B16" s="163" t="s">
        <v>252</v>
      </c>
      <c r="C16" s="164" t="s">
        <v>253</v>
      </c>
      <c r="D16" s="165">
        <v>44123.0</v>
      </c>
      <c r="E16" s="164" t="s">
        <v>254</v>
      </c>
      <c r="F16" s="161"/>
      <c r="G16" s="161"/>
      <c r="H16" s="159">
        <v>4.0</v>
      </c>
      <c r="I16" s="159">
        <v>4.0</v>
      </c>
      <c r="J16" s="159">
        <v>4.0</v>
      </c>
      <c r="K16" s="159">
        <v>4.0</v>
      </c>
      <c r="L16" s="159">
        <v>4.0</v>
      </c>
      <c r="M16" s="159">
        <v>4.0</v>
      </c>
      <c r="N16" s="159">
        <v>4.0</v>
      </c>
      <c r="O16" s="159">
        <v>4.0</v>
      </c>
      <c r="P16" s="159">
        <v>4.0</v>
      </c>
      <c r="Q16" s="159">
        <v>4.0</v>
      </c>
      <c r="R16" s="159">
        <v>4.0</v>
      </c>
      <c r="S16" s="159">
        <v>4.0</v>
      </c>
      <c r="T16" s="159">
        <v>4.0</v>
      </c>
      <c r="U16" s="159">
        <v>4.0</v>
      </c>
      <c r="V16" s="159">
        <v>4.0</v>
      </c>
      <c r="W16" s="159">
        <v>4.0</v>
      </c>
      <c r="X16" s="161"/>
      <c r="Y16" s="161"/>
      <c r="Z16" s="161"/>
      <c r="AA16" s="161"/>
      <c r="AB16" s="161"/>
      <c r="AC16" s="159">
        <v>4.0</v>
      </c>
      <c r="AD16" s="159"/>
    </row>
    <row r="17">
      <c r="A17" s="162">
        <v>101694.0</v>
      </c>
      <c r="B17" s="163" t="s">
        <v>255</v>
      </c>
      <c r="C17" s="164" t="s">
        <v>253</v>
      </c>
      <c r="D17" s="165">
        <v>44123.0</v>
      </c>
      <c r="E17" s="164" t="s">
        <v>254</v>
      </c>
      <c r="F17" s="161"/>
      <c r="G17" s="161"/>
      <c r="H17" s="159">
        <v>4.0</v>
      </c>
      <c r="I17" s="159">
        <v>4.0</v>
      </c>
      <c r="J17" s="159">
        <v>4.0</v>
      </c>
      <c r="K17" s="159">
        <v>4.0</v>
      </c>
      <c r="L17" s="159">
        <v>4.0</v>
      </c>
      <c r="M17" s="159">
        <v>4.0</v>
      </c>
      <c r="N17" s="159">
        <v>4.0</v>
      </c>
      <c r="O17" s="159">
        <v>4.0</v>
      </c>
      <c r="P17" s="159">
        <v>4.0</v>
      </c>
      <c r="Q17" s="159">
        <v>4.0</v>
      </c>
      <c r="R17" s="159">
        <v>4.0</v>
      </c>
      <c r="S17" s="159">
        <v>4.0</v>
      </c>
      <c r="T17" s="159">
        <v>4.0</v>
      </c>
      <c r="U17" s="159">
        <v>4.0</v>
      </c>
      <c r="V17" s="159">
        <v>4.0</v>
      </c>
      <c r="W17" s="159">
        <v>4.0</v>
      </c>
      <c r="X17" s="161"/>
      <c r="Y17" s="161"/>
      <c r="Z17" s="161"/>
      <c r="AA17" s="161"/>
      <c r="AB17" s="161"/>
      <c r="AC17" s="159">
        <v>4.0</v>
      </c>
      <c r="AD17" s="159"/>
    </row>
    <row r="18">
      <c r="A18" s="162">
        <v>101741.0</v>
      </c>
      <c r="B18" s="163" t="s">
        <v>256</v>
      </c>
      <c r="C18" s="164" t="s">
        <v>257</v>
      </c>
      <c r="D18" s="165">
        <v>44127.0</v>
      </c>
      <c r="E18" s="164" t="s">
        <v>51</v>
      </c>
      <c r="F18" s="161"/>
      <c r="G18" s="161"/>
      <c r="H18" s="159">
        <v>4.0</v>
      </c>
      <c r="I18" s="159">
        <v>4.0</v>
      </c>
      <c r="J18" s="159">
        <v>4.0</v>
      </c>
      <c r="K18" s="159">
        <v>4.0</v>
      </c>
      <c r="L18" s="159">
        <v>4.0</v>
      </c>
      <c r="M18" s="159">
        <v>4.0</v>
      </c>
      <c r="N18" s="159">
        <v>4.0</v>
      </c>
      <c r="O18" s="159">
        <v>4.0</v>
      </c>
      <c r="P18" s="159">
        <v>4.0</v>
      </c>
      <c r="Q18" s="159">
        <v>4.0</v>
      </c>
      <c r="R18" s="159">
        <v>4.0</v>
      </c>
      <c r="S18" s="159">
        <v>4.0</v>
      </c>
      <c r="T18" s="159">
        <v>4.0</v>
      </c>
      <c r="U18" s="159">
        <v>4.0</v>
      </c>
      <c r="V18" s="159">
        <v>4.0</v>
      </c>
      <c r="W18" s="159">
        <v>4.0</v>
      </c>
      <c r="X18" s="161"/>
      <c r="Y18" s="161"/>
      <c r="Z18" s="161"/>
      <c r="AA18" s="161"/>
      <c r="AB18" s="161"/>
      <c r="AC18" s="159">
        <v>4.0</v>
      </c>
      <c r="AD18" s="159"/>
    </row>
    <row r="19">
      <c r="A19" s="162">
        <v>101739.0</v>
      </c>
      <c r="B19" s="163" t="s">
        <v>260</v>
      </c>
      <c r="C19" s="164" t="s">
        <v>261</v>
      </c>
      <c r="D19" s="165">
        <v>44127.0</v>
      </c>
      <c r="E19" s="164" t="s">
        <v>51</v>
      </c>
      <c r="F19" s="161"/>
      <c r="G19" s="161"/>
      <c r="H19" s="159">
        <v>4.0</v>
      </c>
      <c r="I19" s="159">
        <v>4.0</v>
      </c>
      <c r="J19" s="159">
        <v>4.0</v>
      </c>
      <c r="K19" s="159">
        <v>4.0</v>
      </c>
      <c r="L19" s="159">
        <v>4.0</v>
      </c>
      <c r="M19" s="159">
        <v>4.0</v>
      </c>
      <c r="N19" s="159">
        <v>4.0</v>
      </c>
      <c r="O19" s="159">
        <v>4.0</v>
      </c>
      <c r="P19" s="159">
        <v>4.0</v>
      </c>
      <c r="Q19" s="159">
        <v>4.0</v>
      </c>
      <c r="R19" s="159">
        <v>4.0</v>
      </c>
      <c r="S19" s="159">
        <v>4.0</v>
      </c>
      <c r="T19" s="159">
        <v>4.0</v>
      </c>
      <c r="U19" s="159">
        <v>4.0</v>
      </c>
      <c r="V19" s="159">
        <v>4.0</v>
      </c>
      <c r="W19" s="159">
        <v>4.0</v>
      </c>
      <c r="X19" s="161"/>
      <c r="Y19" s="161"/>
      <c r="Z19" s="161"/>
      <c r="AA19" s="161"/>
      <c r="AB19" s="161"/>
      <c r="AC19" s="159">
        <v>4.0</v>
      </c>
      <c r="AD19" s="159"/>
    </row>
    <row r="20">
      <c r="A20" s="162">
        <v>101727.0</v>
      </c>
      <c r="B20" s="163" t="s">
        <v>262</v>
      </c>
      <c r="C20" s="164" t="s">
        <v>263</v>
      </c>
      <c r="D20" s="165">
        <v>44127.0</v>
      </c>
      <c r="E20" s="164" t="s">
        <v>265</v>
      </c>
      <c r="F20" s="161"/>
      <c r="G20" s="161"/>
      <c r="H20" s="159">
        <v>4.0</v>
      </c>
      <c r="I20" s="159">
        <v>4.0</v>
      </c>
      <c r="J20" s="159">
        <v>4.0</v>
      </c>
      <c r="K20" s="159">
        <v>4.0</v>
      </c>
      <c r="L20" s="159">
        <v>4.0</v>
      </c>
      <c r="M20" s="159">
        <v>4.0</v>
      </c>
      <c r="N20" s="159">
        <v>4.0</v>
      </c>
      <c r="O20" s="159">
        <v>4.0</v>
      </c>
      <c r="P20" s="159">
        <v>4.0</v>
      </c>
      <c r="Q20" s="159">
        <v>4.0</v>
      </c>
      <c r="R20" s="159">
        <v>4.0</v>
      </c>
      <c r="S20" s="159">
        <v>4.0</v>
      </c>
      <c r="T20" s="159">
        <v>4.0</v>
      </c>
      <c r="U20" s="159">
        <v>4.0</v>
      </c>
      <c r="V20" s="159">
        <v>4.0</v>
      </c>
      <c r="W20" s="159">
        <v>4.0</v>
      </c>
      <c r="X20" s="161"/>
      <c r="Y20" s="161"/>
      <c r="Z20" s="161"/>
      <c r="AA20" s="161"/>
      <c r="AB20" s="161"/>
      <c r="AC20" s="159">
        <v>4.0</v>
      </c>
      <c r="AD20" s="159"/>
    </row>
    <row r="21">
      <c r="A21" s="162">
        <v>101550.0</v>
      </c>
      <c r="B21" s="163" t="s">
        <v>267</v>
      </c>
      <c r="C21" s="164" t="s">
        <v>268</v>
      </c>
      <c r="D21" s="165">
        <v>44127.0</v>
      </c>
      <c r="E21" s="164" t="s">
        <v>254</v>
      </c>
      <c r="F21" s="161"/>
      <c r="G21" s="161"/>
      <c r="H21" s="159">
        <v>4.0</v>
      </c>
      <c r="I21" s="159">
        <v>4.0</v>
      </c>
      <c r="J21" s="159">
        <v>4.0</v>
      </c>
      <c r="K21" s="159">
        <v>4.0</v>
      </c>
      <c r="L21" s="159">
        <v>4.0</v>
      </c>
      <c r="M21" s="159">
        <v>4.0</v>
      </c>
      <c r="N21" s="159">
        <v>4.0</v>
      </c>
      <c r="O21" s="159">
        <v>4.0</v>
      </c>
      <c r="P21" s="159">
        <v>4.0</v>
      </c>
      <c r="Q21" s="159">
        <v>4.0</v>
      </c>
      <c r="R21" s="159">
        <v>4.0</v>
      </c>
      <c r="S21" s="159">
        <v>4.0</v>
      </c>
      <c r="T21" s="159">
        <v>4.0</v>
      </c>
      <c r="U21" s="159">
        <v>4.0</v>
      </c>
      <c r="V21" s="159">
        <v>4.0</v>
      </c>
      <c r="W21" s="159">
        <v>4.0</v>
      </c>
      <c r="X21" s="161"/>
      <c r="Y21" s="161"/>
      <c r="Z21" s="161"/>
      <c r="AA21" s="161"/>
      <c r="AB21" s="161"/>
      <c r="AC21" s="159">
        <v>4.0</v>
      </c>
      <c r="AD21" s="159"/>
    </row>
    <row r="22">
      <c r="A22" s="162">
        <v>101745.0</v>
      </c>
      <c r="B22" s="163" t="s">
        <v>269</v>
      </c>
      <c r="C22" s="164" t="s">
        <v>270</v>
      </c>
      <c r="D22" s="165">
        <v>44132.0</v>
      </c>
      <c r="E22" s="164" t="s">
        <v>51</v>
      </c>
      <c r="F22" s="161"/>
      <c r="G22" s="161"/>
      <c r="H22" s="159">
        <v>4.0</v>
      </c>
      <c r="I22" s="159">
        <v>4.0</v>
      </c>
      <c r="J22" s="159">
        <v>4.0</v>
      </c>
      <c r="K22" s="159">
        <v>4.0</v>
      </c>
      <c r="L22" s="159">
        <v>4.0</v>
      </c>
      <c r="M22" s="159">
        <v>4.0</v>
      </c>
      <c r="N22" s="159">
        <v>4.0</v>
      </c>
      <c r="O22" s="159">
        <v>4.0</v>
      </c>
      <c r="P22" s="159">
        <v>4.0</v>
      </c>
      <c r="Q22" s="159">
        <v>4.0</v>
      </c>
      <c r="R22" s="159">
        <v>4.0</v>
      </c>
      <c r="S22" s="159">
        <v>4.0</v>
      </c>
      <c r="T22" s="159">
        <v>4.0</v>
      </c>
      <c r="U22" s="159">
        <v>4.0</v>
      </c>
      <c r="V22" s="159">
        <v>4.0</v>
      </c>
      <c r="W22" s="159">
        <v>4.0</v>
      </c>
      <c r="X22" s="161"/>
      <c r="Y22" s="161"/>
      <c r="Z22" s="161"/>
      <c r="AA22" s="161"/>
      <c r="AB22" s="161"/>
      <c r="AC22" s="159">
        <v>4.0</v>
      </c>
      <c r="AD22" s="159"/>
    </row>
    <row r="23">
      <c r="A23" s="162">
        <v>101749.0</v>
      </c>
      <c r="B23" s="163" t="s">
        <v>271</v>
      </c>
      <c r="C23" s="164" t="s">
        <v>272</v>
      </c>
      <c r="D23" s="165">
        <v>44132.0</v>
      </c>
      <c r="E23" s="164" t="s">
        <v>51</v>
      </c>
      <c r="F23" s="161"/>
      <c r="G23" s="161"/>
      <c r="H23" s="159">
        <v>4.0</v>
      </c>
      <c r="I23" s="159">
        <v>4.0</v>
      </c>
      <c r="J23" s="159">
        <v>4.0</v>
      </c>
      <c r="K23" s="159">
        <v>4.0</v>
      </c>
      <c r="L23" s="159">
        <v>4.0</v>
      </c>
      <c r="M23" s="159">
        <v>4.0</v>
      </c>
      <c r="N23" s="159">
        <v>4.0</v>
      </c>
      <c r="O23" s="159">
        <v>4.0</v>
      </c>
      <c r="P23" s="159">
        <v>4.0</v>
      </c>
      <c r="Q23" s="159">
        <v>4.0</v>
      </c>
      <c r="R23" s="159">
        <v>4.0</v>
      </c>
      <c r="S23" s="159">
        <v>4.0</v>
      </c>
      <c r="T23" s="159">
        <v>4.0</v>
      </c>
      <c r="U23" s="159">
        <v>4.0</v>
      </c>
      <c r="V23" s="159">
        <v>4.0</v>
      </c>
      <c r="W23" s="159">
        <v>4.0</v>
      </c>
      <c r="X23" s="161"/>
      <c r="Y23" s="161"/>
      <c r="Z23" s="161"/>
      <c r="AA23" s="161"/>
      <c r="AB23" s="161"/>
      <c r="AC23" s="159">
        <v>4.0</v>
      </c>
      <c r="AD23" s="159"/>
    </row>
    <row r="24">
      <c r="A24" s="162">
        <v>101750.0</v>
      </c>
      <c r="B24" s="163" t="s">
        <v>275</v>
      </c>
      <c r="C24" s="164" t="s">
        <v>276</v>
      </c>
      <c r="D24" s="165">
        <v>44132.0</v>
      </c>
      <c r="E24" s="164" t="s">
        <v>51</v>
      </c>
      <c r="F24" s="161"/>
      <c r="G24" s="161"/>
      <c r="H24" s="159">
        <v>4.0</v>
      </c>
      <c r="I24" s="159">
        <v>4.0</v>
      </c>
      <c r="J24" s="159">
        <v>4.0</v>
      </c>
      <c r="K24" s="159">
        <v>4.0</v>
      </c>
      <c r="L24" s="159">
        <v>4.0</v>
      </c>
      <c r="M24" s="159">
        <v>4.0</v>
      </c>
      <c r="N24" s="159">
        <v>4.0</v>
      </c>
      <c r="O24" s="159">
        <v>4.0</v>
      </c>
      <c r="P24" s="159">
        <v>4.0</v>
      </c>
      <c r="Q24" s="159">
        <v>4.0</v>
      </c>
      <c r="R24" s="159">
        <v>4.0</v>
      </c>
      <c r="S24" s="159">
        <v>4.0</v>
      </c>
      <c r="T24" s="159">
        <v>4.0</v>
      </c>
      <c r="U24" s="159">
        <v>4.0</v>
      </c>
      <c r="V24" s="159">
        <v>4.0</v>
      </c>
      <c r="W24" s="159">
        <v>4.0</v>
      </c>
      <c r="X24" s="161"/>
      <c r="Y24" s="161"/>
      <c r="Z24" s="161"/>
      <c r="AA24" s="161"/>
      <c r="AB24" s="161"/>
      <c r="AC24" s="159">
        <v>4.0</v>
      </c>
      <c r="AD24" s="159"/>
    </row>
    <row r="25">
      <c r="A25" s="162">
        <v>101736.0</v>
      </c>
      <c r="B25" s="163" t="s">
        <v>277</v>
      </c>
      <c r="C25" s="164" t="s">
        <v>278</v>
      </c>
      <c r="D25" s="165">
        <v>44133.0</v>
      </c>
      <c r="E25" s="164" t="s">
        <v>125</v>
      </c>
      <c r="F25" s="161"/>
      <c r="G25" s="161"/>
      <c r="H25" s="159">
        <v>4.0</v>
      </c>
      <c r="I25" s="159">
        <v>4.0</v>
      </c>
      <c r="J25" s="159">
        <v>4.0</v>
      </c>
      <c r="K25" s="159">
        <v>4.0</v>
      </c>
      <c r="L25" s="159">
        <v>4.0</v>
      </c>
      <c r="M25" s="159">
        <v>4.0</v>
      </c>
      <c r="N25" s="159">
        <v>4.0</v>
      </c>
      <c r="O25" s="159">
        <v>4.0</v>
      </c>
      <c r="P25" s="159">
        <v>4.0</v>
      </c>
      <c r="Q25" s="159">
        <v>4.0</v>
      </c>
      <c r="R25" s="159">
        <v>4.0</v>
      </c>
      <c r="S25" s="159">
        <v>4.0</v>
      </c>
      <c r="T25" s="159">
        <v>4.0</v>
      </c>
      <c r="U25" s="159">
        <v>4.0</v>
      </c>
      <c r="V25" s="159">
        <v>4.0</v>
      </c>
      <c r="W25" s="159">
        <v>4.0</v>
      </c>
      <c r="X25" s="161"/>
      <c r="Y25" s="161"/>
      <c r="Z25" s="161"/>
      <c r="AA25" s="161"/>
      <c r="AB25" s="161"/>
      <c r="AC25" s="159">
        <v>4.0</v>
      </c>
      <c r="AD25" s="159"/>
    </row>
    <row r="26">
      <c r="A26" s="162">
        <v>101737.0</v>
      </c>
      <c r="B26" s="163" t="s">
        <v>280</v>
      </c>
      <c r="C26" s="164" t="s">
        <v>278</v>
      </c>
      <c r="D26" s="165">
        <v>44133.0</v>
      </c>
      <c r="E26" s="164" t="s">
        <v>125</v>
      </c>
      <c r="F26" s="161"/>
      <c r="G26" s="161"/>
      <c r="H26" s="159">
        <v>4.0</v>
      </c>
      <c r="I26" s="159">
        <v>4.0</v>
      </c>
      <c r="J26" s="159">
        <v>4.0</v>
      </c>
      <c r="K26" s="159">
        <v>4.0</v>
      </c>
      <c r="L26" s="159">
        <v>4.0</v>
      </c>
      <c r="M26" s="159">
        <v>4.0</v>
      </c>
      <c r="N26" s="159">
        <v>4.0</v>
      </c>
      <c r="O26" s="159">
        <v>4.0</v>
      </c>
      <c r="P26" s="159">
        <v>4.0</v>
      </c>
      <c r="Q26" s="159">
        <v>4.0</v>
      </c>
      <c r="R26" s="159">
        <v>4.0</v>
      </c>
      <c r="S26" s="159">
        <v>4.0</v>
      </c>
      <c r="T26" s="159">
        <v>4.0</v>
      </c>
      <c r="U26" s="159">
        <v>4.0</v>
      </c>
      <c r="V26" s="159">
        <v>4.0</v>
      </c>
      <c r="W26" s="159">
        <v>4.0</v>
      </c>
      <c r="X26" s="161"/>
      <c r="Y26" s="161"/>
      <c r="Z26" s="161"/>
      <c r="AA26" s="161"/>
      <c r="AB26" s="161"/>
      <c r="AC26" s="159">
        <v>4.0</v>
      </c>
      <c r="AD26" s="159"/>
    </row>
    <row r="27">
      <c r="A27" s="162">
        <v>101725.0</v>
      </c>
      <c r="B27" s="163" t="s">
        <v>283</v>
      </c>
      <c r="C27" s="164" t="s">
        <v>284</v>
      </c>
      <c r="D27" s="165">
        <v>44134.0</v>
      </c>
      <c r="E27" s="164" t="s">
        <v>285</v>
      </c>
      <c r="F27" s="161"/>
      <c r="G27" s="161"/>
      <c r="H27" s="159">
        <v>4.0</v>
      </c>
      <c r="I27" s="159">
        <v>4.0</v>
      </c>
      <c r="J27" s="159">
        <v>4.0</v>
      </c>
      <c r="K27" s="159">
        <v>4.0</v>
      </c>
      <c r="L27" s="159">
        <v>4.0</v>
      </c>
      <c r="M27" s="159">
        <v>4.0</v>
      </c>
      <c r="N27" s="159">
        <v>4.0</v>
      </c>
      <c r="O27" s="159">
        <v>4.0</v>
      </c>
      <c r="P27" s="159">
        <v>4.0</v>
      </c>
      <c r="Q27" s="159">
        <v>4.0</v>
      </c>
      <c r="R27" s="159">
        <v>4.0</v>
      </c>
      <c r="S27" s="159">
        <v>4.0</v>
      </c>
      <c r="T27" s="159">
        <v>4.0</v>
      </c>
      <c r="U27" s="159">
        <v>4.0</v>
      </c>
      <c r="V27" s="159">
        <v>4.0</v>
      </c>
      <c r="W27" s="159">
        <v>4.0</v>
      </c>
      <c r="X27" s="161"/>
      <c r="Y27" s="161"/>
      <c r="Z27" s="161"/>
      <c r="AA27" s="161"/>
      <c r="AB27" s="161"/>
      <c r="AC27" s="159">
        <v>4.0</v>
      </c>
      <c r="AD27" s="159"/>
    </row>
    <row r="28">
      <c r="A28" s="162">
        <v>101735.0</v>
      </c>
      <c r="B28" s="169"/>
      <c r="C28" s="164" t="s">
        <v>286</v>
      </c>
      <c r="D28" s="165">
        <v>44135.0</v>
      </c>
      <c r="E28" s="164" t="s">
        <v>233</v>
      </c>
      <c r="F28" s="161"/>
      <c r="G28" s="161"/>
      <c r="H28" s="159">
        <v>4.0</v>
      </c>
      <c r="I28" s="159">
        <v>4.0</v>
      </c>
      <c r="J28" s="159">
        <v>4.0</v>
      </c>
      <c r="K28" s="159">
        <v>4.0</v>
      </c>
      <c r="L28" s="159">
        <v>4.0</v>
      </c>
      <c r="M28" s="159">
        <v>4.0</v>
      </c>
      <c r="N28" s="159">
        <v>4.0</v>
      </c>
      <c r="O28" s="159">
        <v>4.0</v>
      </c>
      <c r="P28" s="159">
        <v>4.0</v>
      </c>
      <c r="Q28" s="159">
        <v>4.0</v>
      </c>
      <c r="R28" s="159">
        <v>4.0</v>
      </c>
      <c r="S28" s="159">
        <v>4.0</v>
      </c>
      <c r="T28" s="159">
        <v>4.0</v>
      </c>
      <c r="U28" s="159">
        <v>4.0</v>
      </c>
      <c r="V28" s="159">
        <v>4.0</v>
      </c>
      <c r="W28" s="159">
        <v>4.0</v>
      </c>
      <c r="X28" s="161"/>
      <c r="Y28" s="161"/>
      <c r="Z28" s="161"/>
      <c r="AA28" s="161"/>
      <c r="AB28" s="161"/>
      <c r="AC28" s="159">
        <v>4.0</v>
      </c>
      <c r="AD28" s="159"/>
    </row>
    <row r="29">
      <c r="A29" s="162">
        <v>101379.0</v>
      </c>
      <c r="B29" s="163" t="s">
        <v>288</v>
      </c>
      <c r="C29" s="164" t="s">
        <v>289</v>
      </c>
      <c r="D29" s="165">
        <v>44137.0</v>
      </c>
      <c r="E29" s="164" t="s">
        <v>144</v>
      </c>
      <c r="F29" s="161"/>
      <c r="G29" s="161"/>
      <c r="H29" s="159">
        <v>4.0</v>
      </c>
      <c r="I29" s="159">
        <v>4.0</v>
      </c>
      <c r="J29" s="159">
        <v>4.0</v>
      </c>
      <c r="K29" s="159">
        <v>4.0</v>
      </c>
      <c r="L29" s="159">
        <v>4.0</v>
      </c>
      <c r="M29" s="159">
        <v>4.0</v>
      </c>
      <c r="N29" s="159">
        <v>4.0</v>
      </c>
      <c r="O29" s="159">
        <v>4.0</v>
      </c>
      <c r="P29" s="159">
        <v>4.0</v>
      </c>
      <c r="Q29" s="159">
        <v>4.0</v>
      </c>
      <c r="R29" s="159">
        <v>4.0</v>
      </c>
      <c r="S29" s="159">
        <v>4.0</v>
      </c>
      <c r="T29" s="159">
        <v>4.0</v>
      </c>
      <c r="U29" s="159">
        <v>4.0</v>
      </c>
      <c r="V29" s="159">
        <v>4.0</v>
      </c>
      <c r="W29" s="159">
        <v>4.0</v>
      </c>
      <c r="X29" s="161"/>
      <c r="Y29" s="161"/>
      <c r="Z29" s="161"/>
      <c r="AA29" s="161"/>
      <c r="AB29" s="161"/>
      <c r="AC29" s="159">
        <v>4.0</v>
      </c>
      <c r="AD29" s="159"/>
    </row>
    <row r="30">
      <c r="A30" s="162">
        <v>101734.0</v>
      </c>
      <c r="B30" s="163" t="s">
        <v>290</v>
      </c>
      <c r="C30" s="164" t="s">
        <v>291</v>
      </c>
      <c r="D30" s="165">
        <v>44139.0</v>
      </c>
      <c r="E30" s="164" t="s">
        <v>237</v>
      </c>
      <c r="F30" s="161"/>
      <c r="G30" s="161"/>
      <c r="H30" s="159">
        <v>4.0</v>
      </c>
      <c r="I30" s="159">
        <v>4.0</v>
      </c>
      <c r="J30" s="159">
        <v>3.0</v>
      </c>
      <c r="K30" s="159">
        <v>4.0</v>
      </c>
      <c r="L30" s="159">
        <v>4.0</v>
      </c>
      <c r="M30" s="159">
        <v>3.8</v>
      </c>
      <c r="N30" s="159">
        <v>4.0</v>
      </c>
      <c r="O30" s="159">
        <v>4.0</v>
      </c>
      <c r="P30" s="159">
        <v>4.0</v>
      </c>
      <c r="Q30" s="159">
        <v>4.0</v>
      </c>
      <c r="R30" s="159">
        <v>4.0</v>
      </c>
      <c r="S30" s="159">
        <v>4.0</v>
      </c>
      <c r="T30" s="159">
        <v>4.0</v>
      </c>
      <c r="U30" s="159">
        <v>4.0</v>
      </c>
      <c r="V30" s="159">
        <v>4.0</v>
      </c>
      <c r="W30" s="159">
        <v>4.0</v>
      </c>
      <c r="X30" s="161"/>
      <c r="Y30" s="161"/>
      <c r="Z30" s="161"/>
      <c r="AA30" s="161"/>
      <c r="AB30" s="161"/>
      <c r="AC30" s="159">
        <v>3.9333333333333336</v>
      </c>
      <c r="AD30" s="159"/>
    </row>
    <row r="31">
      <c r="A31" s="162">
        <v>101680.0</v>
      </c>
      <c r="B31" s="163" t="s">
        <v>292</v>
      </c>
      <c r="C31" s="164" t="s">
        <v>293</v>
      </c>
      <c r="D31" s="165">
        <v>44145.0</v>
      </c>
      <c r="E31" s="164" t="s">
        <v>294</v>
      </c>
      <c r="F31" s="161"/>
      <c r="G31" s="161"/>
      <c r="H31" s="159">
        <v>4.0</v>
      </c>
      <c r="I31" s="159">
        <v>4.0</v>
      </c>
      <c r="J31" s="159">
        <v>4.0</v>
      </c>
      <c r="K31" s="159">
        <v>4.0</v>
      </c>
      <c r="L31" s="159">
        <v>4.0</v>
      </c>
      <c r="M31" s="159">
        <v>4.0</v>
      </c>
      <c r="N31" s="159">
        <v>4.0</v>
      </c>
      <c r="O31" s="159">
        <v>4.0</v>
      </c>
      <c r="P31" s="159">
        <v>4.0</v>
      </c>
      <c r="Q31" s="159">
        <v>4.0</v>
      </c>
      <c r="R31" s="159">
        <v>4.0</v>
      </c>
      <c r="S31" s="159">
        <v>4.0</v>
      </c>
      <c r="T31" s="159">
        <v>4.0</v>
      </c>
      <c r="U31" s="159">
        <v>4.0</v>
      </c>
      <c r="V31" s="159">
        <v>4.0</v>
      </c>
      <c r="W31" s="159">
        <v>4.0</v>
      </c>
      <c r="X31" s="161"/>
      <c r="Y31" s="161"/>
      <c r="Z31" s="161"/>
      <c r="AA31" s="161"/>
      <c r="AB31" s="161"/>
      <c r="AC31" s="159">
        <v>4.0</v>
      </c>
      <c r="AD31" s="159"/>
    </row>
    <row r="32">
      <c r="A32" s="162">
        <v>101733.0</v>
      </c>
      <c r="B32" s="163" t="s">
        <v>296</v>
      </c>
      <c r="C32" s="164" t="s">
        <v>297</v>
      </c>
      <c r="D32" s="165">
        <v>44148.0</v>
      </c>
      <c r="E32" s="164" t="s">
        <v>298</v>
      </c>
      <c r="F32" s="161"/>
      <c r="G32" s="161"/>
      <c r="H32" s="159">
        <v>4.0</v>
      </c>
      <c r="I32" s="159">
        <v>4.0</v>
      </c>
      <c r="J32" s="159">
        <v>4.0</v>
      </c>
      <c r="K32" s="159">
        <v>4.0</v>
      </c>
      <c r="L32" s="159">
        <v>4.0</v>
      </c>
      <c r="M32" s="159">
        <v>4.0</v>
      </c>
      <c r="N32" s="159">
        <v>4.2</v>
      </c>
      <c r="O32" s="159">
        <v>4.2</v>
      </c>
      <c r="P32" s="159">
        <v>4.2</v>
      </c>
      <c r="Q32" s="159">
        <v>3.49</v>
      </c>
      <c r="R32" s="159">
        <v>4.022500000000001</v>
      </c>
      <c r="S32" s="159">
        <v>4.0</v>
      </c>
      <c r="T32" s="159">
        <v>4.0</v>
      </c>
      <c r="U32" s="159">
        <v>4.0</v>
      </c>
      <c r="V32" s="159">
        <v>4.0</v>
      </c>
      <c r="W32" s="159">
        <v>4.0</v>
      </c>
      <c r="X32" s="161"/>
      <c r="Y32" s="161"/>
      <c r="Z32" s="161"/>
      <c r="AA32" s="161"/>
      <c r="AB32" s="161"/>
      <c r="AC32" s="159">
        <v>4.0075</v>
      </c>
      <c r="AD32" s="159"/>
    </row>
    <row r="33">
      <c r="A33" s="162">
        <v>101738.0</v>
      </c>
      <c r="B33" s="163" t="s">
        <v>299</v>
      </c>
      <c r="C33" s="164" t="s">
        <v>300</v>
      </c>
      <c r="D33" s="165">
        <v>44151.0</v>
      </c>
      <c r="E33" s="164" t="s">
        <v>265</v>
      </c>
      <c r="F33" s="161"/>
      <c r="G33" s="161"/>
      <c r="H33" s="159">
        <v>3.0</v>
      </c>
      <c r="I33" s="159">
        <v>4.0</v>
      </c>
      <c r="J33" s="159">
        <v>4.0</v>
      </c>
      <c r="K33" s="159">
        <v>4.0</v>
      </c>
      <c r="L33" s="159">
        <v>4.0</v>
      </c>
      <c r="M33" s="159">
        <v>3.8</v>
      </c>
      <c r="N33" s="159">
        <v>4.0</v>
      </c>
      <c r="O33" s="159">
        <v>4.0</v>
      </c>
      <c r="P33" s="159">
        <v>4.0</v>
      </c>
      <c r="Q33" s="159">
        <v>4.0</v>
      </c>
      <c r="R33" s="159">
        <v>4.0</v>
      </c>
      <c r="S33" s="159">
        <v>4.0</v>
      </c>
      <c r="T33" s="159">
        <v>4.0</v>
      </c>
      <c r="U33" s="159">
        <v>4.0</v>
      </c>
      <c r="V33" s="159">
        <v>4.0</v>
      </c>
      <c r="W33" s="159">
        <v>4.0</v>
      </c>
      <c r="X33" s="161"/>
      <c r="Y33" s="161"/>
      <c r="Z33" s="161"/>
      <c r="AA33" s="161"/>
      <c r="AB33" s="161"/>
      <c r="AC33" s="159">
        <v>3.9333333333333336</v>
      </c>
      <c r="AD33" s="159"/>
    </row>
    <row r="34">
      <c r="A34" s="162">
        <v>101757.0</v>
      </c>
      <c r="B34" s="163" t="s">
        <v>301</v>
      </c>
      <c r="C34" s="164" t="s">
        <v>302</v>
      </c>
      <c r="D34" s="165">
        <v>44160.0</v>
      </c>
      <c r="E34" s="164" t="s">
        <v>265</v>
      </c>
      <c r="F34" s="161"/>
      <c r="G34" s="161"/>
      <c r="H34" s="159">
        <v>4.0</v>
      </c>
      <c r="I34" s="159">
        <v>4.0</v>
      </c>
      <c r="J34" s="159">
        <v>4.0</v>
      </c>
      <c r="K34" s="159">
        <v>4.0</v>
      </c>
      <c r="L34" s="159">
        <v>4.0</v>
      </c>
      <c r="M34" s="159">
        <v>4.0</v>
      </c>
      <c r="N34" s="159">
        <v>4.0</v>
      </c>
      <c r="O34" s="159">
        <v>4.0</v>
      </c>
      <c r="P34" s="159">
        <v>4.0</v>
      </c>
      <c r="Q34" s="159">
        <v>4.0</v>
      </c>
      <c r="R34" s="159">
        <v>4.0</v>
      </c>
      <c r="S34" s="159">
        <v>4.0</v>
      </c>
      <c r="T34" s="159">
        <v>4.0</v>
      </c>
      <c r="U34" s="159">
        <v>4.0</v>
      </c>
      <c r="V34" s="159">
        <v>4.0</v>
      </c>
      <c r="W34" s="159">
        <v>4.0</v>
      </c>
      <c r="X34" s="161"/>
      <c r="Y34" s="161"/>
      <c r="Z34" s="161"/>
      <c r="AA34" s="161"/>
      <c r="AB34" s="161"/>
      <c r="AC34" s="159">
        <v>4.0</v>
      </c>
      <c r="AD34" s="159"/>
    </row>
    <row r="35">
      <c r="A35" s="162">
        <v>101695.0</v>
      </c>
      <c r="B35" s="163" t="s">
        <v>304</v>
      </c>
      <c r="C35" s="164" t="s">
        <v>305</v>
      </c>
      <c r="D35" s="165">
        <v>44161.0</v>
      </c>
      <c r="E35" s="164" t="s">
        <v>306</v>
      </c>
      <c r="F35" s="161"/>
      <c r="G35" s="161"/>
      <c r="H35" s="159">
        <v>4.0</v>
      </c>
      <c r="I35" s="159">
        <v>4.0</v>
      </c>
      <c r="J35" s="159">
        <v>4.0</v>
      </c>
      <c r="K35" s="159">
        <v>4.0</v>
      </c>
      <c r="L35" s="159">
        <v>4.0</v>
      </c>
      <c r="M35" s="159">
        <v>4.0</v>
      </c>
      <c r="N35" s="159">
        <v>4.5</v>
      </c>
      <c r="O35" s="159">
        <v>4.5</v>
      </c>
      <c r="P35" s="159">
        <v>4.5</v>
      </c>
      <c r="Q35" s="159">
        <v>4.5</v>
      </c>
      <c r="R35" s="159">
        <v>4.5</v>
      </c>
      <c r="S35" s="159">
        <v>4.5</v>
      </c>
      <c r="T35" s="159">
        <v>4.5</v>
      </c>
      <c r="U35" s="159">
        <v>4.5</v>
      </c>
      <c r="V35" s="159">
        <v>4.5</v>
      </c>
      <c r="W35" s="159">
        <v>4.5</v>
      </c>
      <c r="X35" s="161"/>
      <c r="Y35" s="161"/>
      <c r="Z35" s="161"/>
      <c r="AA35" s="161"/>
      <c r="AB35" s="161"/>
      <c r="AC35" s="159">
        <v>4.333333333333333</v>
      </c>
      <c r="AD35" s="159"/>
    </row>
    <row r="36">
      <c r="A36" s="162">
        <v>101768.0</v>
      </c>
      <c r="B36" s="163" t="s">
        <v>307</v>
      </c>
      <c r="C36" s="164" t="s">
        <v>308</v>
      </c>
      <c r="D36" s="165">
        <v>44162.0</v>
      </c>
      <c r="E36" s="164" t="s">
        <v>309</v>
      </c>
      <c r="F36" s="161"/>
      <c r="G36" s="161"/>
      <c r="H36" s="159">
        <v>3.0</v>
      </c>
      <c r="I36" s="159">
        <v>3.0</v>
      </c>
      <c r="J36" s="159">
        <v>3.0</v>
      </c>
      <c r="K36" s="159">
        <v>3.0</v>
      </c>
      <c r="L36" s="159">
        <v>3.0</v>
      </c>
      <c r="M36" s="159">
        <v>3.0</v>
      </c>
      <c r="N36" s="159">
        <v>3.0</v>
      </c>
      <c r="O36" s="159">
        <v>3.0</v>
      </c>
      <c r="P36" s="159">
        <v>3.0</v>
      </c>
      <c r="Q36" s="159">
        <v>3.0</v>
      </c>
      <c r="R36" s="159">
        <v>3.0</v>
      </c>
      <c r="S36" s="159">
        <v>3.0</v>
      </c>
      <c r="T36" s="159">
        <v>3.0</v>
      </c>
      <c r="U36" s="159">
        <v>3.0</v>
      </c>
      <c r="V36" s="159">
        <v>3.0</v>
      </c>
      <c r="W36" s="159">
        <v>3.0</v>
      </c>
      <c r="X36" s="161"/>
      <c r="Y36" s="161"/>
      <c r="Z36" s="161"/>
      <c r="AA36" s="161"/>
      <c r="AB36" s="161"/>
      <c r="AC36" s="159">
        <v>3.0</v>
      </c>
      <c r="AD36" s="159"/>
    </row>
    <row r="37">
      <c r="A37" s="162">
        <v>101752.0</v>
      </c>
      <c r="B37" s="163" t="s">
        <v>310</v>
      </c>
      <c r="C37" s="164" t="s">
        <v>311</v>
      </c>
      <c r="D37" s="165">
        <v>44163.0</v>
      </c>
      <c r="E37" s="164" t="s">
        <v>312</v>
      </c>
      <c r="F37" s="161"/>
      <c r="G37" s="161"/>
      <c r="H37" s="159">
        <v>4.0</v>
      </c>
      <c r="I37" s="159">
        <v>4.0</v>
      </c>
      <c r="J37" s="159">
        <v>4.0</v>
      </c>
      <c r="K37" s="159">
        <v>4.0</v>
      </c>
      <c r="L37" s="159">
        <v>4.0</v>
      </c>
      <c r="M37" s="159">
        <v>4.0</v>
      </c>
      <c r="N37" s="159">
        <v>4.0</v>
      </c>
      <c r="O37" s="159">
        <v>4.0</v>
      </c>
      <c r="P37" s="159">
        <v>4.0</v>
      </c>
      <c r="Q37" s="159">
        <v>4.0</v>
      </c>
      <c r="R37" s="159">
        <v>4.0</v>
      </c>
      <c r="S37" s="159">
        <v>4.0</v>
      </c>
      <c r="T37" s="159">
        <v>4.0</v>
      </c>
      <c r="U37" s="159">
        <v>4.0</v>
      </c>
      <c r="V37" s="159">
        <v>4.0</v>
      </c>
      <c r="W37" s="159">
        <v>4.0</v>
      </c>
      <c r="X37" s="161"/>
      <c r="Y37" s="161"/>
      <c r="Z37" s="161"/>
      <c r="AA37" s="161"/>
      <c r="AB37" s="161"/>
      <c r="AC37" s="159">
        <v>4.0</v>
      </c>
      <c r="AD37" s="159"/>
    </row>
    <row r="38">
      <c r="A38" s="162">
        <v>101728.0</v>
      </c>
      <c r="B38" s="163" t="s">
        <v>313</v>
      </c>
      <c r="C38" s="164" t="s">
        <v>314</v>
      </c>
      <c r="D38" s="165">
        <v>44165.0</v>
      </c>
      <c r="E38" s="164" t="s">
        <v>315</v>
      </c>
      <c r="F38" s="161"/>
      <c r="G38" s="161"/>
      <c r="H38" s="159">
        <v>4.0</v>
      </c>
      <c r="I38" s="159">
        <v>4.0</v>
      </c>
      <c r="J38" s="159">
        <v>4.0</v>
      </c>
      <c r="K38" s="159">
        <v>4.0</v>
      </c>
      <c r="L38" s="159">
        <v>4.0</v>
      </c>
      <c r="M38" s="159">
        <v>4.0</v>
      </c>
      <c r="N38" s="159">
        <v>4.0</v>
      </c>
      <c r="O38" s="159">
        <v>4.0</v>
      </c>
      <c r="P38" s="159">
        <v>4.0</v>
      </c>
      <c r="Q38" s="159">
        <v>4.0</v>
      </c>
      <c r="R38" s="159">
        <v>4.0</v>
      </c>
      <c r="S38" s="159">
        <v>4.0</v>
      </c>
      <c r="T38" s="159">
        <v>4.0</v>
      </c>
      <c r="U38" s="159">
        <v>4.0</v>
      </c>
      <c r="V38" s="159">
        <v>4.0</v>
      </c>
      <c r="W38" s="159">
        <v>4.0</v>
      </c>
      <c r="X38" s="161"/>
      <c r="Y38" s="161"/>
      <c r="Z38" s="161"/>
      <c r="AA38" s="161"/>
      <c r="AB38" s="161"/>
      <c r="AC38" s="159">
        <v>4.0</v>
      </c>
      <c r="AD38" s="159"/>
    </row>
    <row r="39">
      <c r="A39" s="162">
        <v>101728.0</v>
      </c>
      <c r="B39" s="163" t="s">
        <v>317</v>
      </c>
      <c r="C39" s="164" t="s">
        <v>314</v>
      </c>
      <c r="D39" s="165">
        <v>44169.0</v>
      </c>
      <c r="E39" s="164" t="s">
        <v>318</v>
      </c>
      <c r="F39" s="161"/>
      <c r="G39" s="161"/>
      <c r="H39" s="159">
        <v>4.0</v>
      </c>
      <c r="I39" s="159">
        <v>4.0</v>
      </c>
      <c r="J39" s="159">
        <v>4.0</v>
      </c>
      <c r="K39" s="159">
        <v>4.0</v>
      </c>
      <c r="L39" s="159">
        <v>4.0</v>
      </c>
      <c r="M39" s="159">
        <v>4.0</v>
      </c>
      <c r="N39" s="159">
        <v>4.0</v>
      </c>
      <c r="O39" s="159">
        <v>4.0</v>
      </c>
      <c r="P39" s="159">
        <v>4.0</v>
      </c>
      <c r="Q39" s="159">
        <v>4.0</v>
      </c>
      <c r="R39" s="159">
        <v>4.0</v>
      </c>
      <c r="S39" s="159">
        <v>4.0</v>
      </c>
      <c r="T39" s="159">
        <v>4.0</v>
      </c>
      <c r="U39" s="159">
        <v>4.0</v>
      </c>
      <c r="V39" s="159">
        <v>4.0</v>
      </c>
      <c r="W39" s="159">
        <v>4.0</v>
      </c>
      <c r="X39" s="161"/>
      <c r="Y39" s="161"/>
      <c r="Z39" s="161"/>
      <c r="AA39" s="161"/>
      <c r="AB39" s="161"/>
      <c r="AC39" s="159">
        <v>4.0</v>
      </c>
      <c r="AD39" s="159"/>
    </row>
    <row r="40">
      <c r="A40" s="162">
        <v>101424.0</v>
      </c>
      <c r="B40" s="163" t="s">
        <v>319</v>
      </c>
      <c r="C40" s="164" t="s">
        <v>320</v>
      </c>
      <c r="D40" s="165">
        <v>44173.0</v>
      </c>
      <c r="E40" s="164" t="s">
        <v>254</v>
      </c>
      <c r="F40" s="161"/>
      <c r="G40" s="161"/>
      <c r="H40" s="159">
        <v>4.0</v>
      </c>
      <c r="I40" s="159">
        <v>4.0</v>
      </c>
      <c r="J40" s="159">
        <v>4.0</v>
      </c>
      <c r="K40" s="159">
        <v>4.0</v>
      </c>
      <c r="L40" s="159">
        <v>4.0</v>
      </c>
      <c r="M40" s="159">
        <v>4.0</v>
      </c>
      <c r="N40" s="159">
        <v>4.0</v>
      </c>
      <c r="O40" s="159">
        <v>4.0</v>
      </c>
      <c r="P40" s="159">
        <v>4.0</v>
      </c>
      <c r="Q40" s="159">
        <v>4.0</v>
      </c>
      <c r="R40" s="159">
        <v>4.0</v>
      </c>
      <c r="S40" s="159">
        <v>4.0</v>
      </c>
      <c r="T40" s="159">
        <v>4.0</v>
      </c>
      <c r="U40" s="159">
        <v>4.0</v>
      </c>
      <c r="V40" s="159">
        <v>4.0</v>
      </c>
      <c r="W40" s="159">
        <v>4.0</v>
      </c>
      <c r="X40" s="161"/>
      <c r="Y40" s="161"/>
      <c r="Z40" s="161"/>
      <c r="AA40" s="161"/>
      <c r="AB40" s="161"/>
      <c r="AC40" s="159">
        <v>4.0</v>
      </c>
      <c r="AD40" s="159"/>
    </row>
    <row r="41">
      <c r="A41" s="162">
        <v>101784.0</v>
      </c>
      <c r="B41" s="163" t="s">
        <v>319</v>
      </c>
      <c r="C41" s="164" t="s">
        <v>322</v>
      </c>
      <c r="D41" s="138">
        <v>44176.0</v>
      </c>
      <c r="E41" s="164" t="s">
        <v>295</v>
      </c>
      <c r="F41" s="161"/>
      <c r="G41" s="161"/>
      <c r="H41" s="159">
        <v>4.0</v>
      </c>
      <c r="I41" s="159">
        <v>4.0</v>
      </c>
      <c r="J41" s="159">
        <v>3.0</v>
      </c>
      <c r="K41" s="159">
        <v>4.0</v>
      </c>
      <c r="L41" s="159">
        <v>4.0</v>
      </c>
      <c r="M41" s="159">
        <v>3.8</v>
      </c>
      <c r="N41" s="171"/>
      <c r="O41" s="171"/>
      <c r="P41" s="171"/>
      <c r="Q41" s="171"/>
      <c r="R41" s="171"/>
      <c r="S41" s="159">
        <v>4.0</v>
      </c>
      <c r="T41" s="159">
        <v>4.0</v>
      </c>
      <c r="U41" s="159">
        <v>5.0</v>
      </c>
      <c r="V41" s="159">
        <v>4.0</v>
      </c>
      <c r="W41" s="159">
        <v>4.25</v>
      </c>
      <c r="X41" s="161"/>
      <c r="Y41" s="161"/>
      <c r="Z41" s="161"/>
      <c r="AA41" s="161"/>
      <c r="AB41" s="161"/>
      <c r="AC41" s="159">
        <v>4.025</v>
      </c>
      <c r="AD41" s="159"/>
    </row>
    <row r="42">
      <c r="A42" s="162">
        <v>101753.0</v>
      </c>
      <c r="B42" s="163" t="s">
        <v>324</v>
      </c>
      <c r="C42" s="164" t="s">
        <v>325</v>
      </c>
      <c r="D42" s="165">
        <v>44176.0</v>
      </c>
      <c r="E42" s="164" t="s">
        <v>326</v>
      </c>
      <c r="F42" s="161"/>
      <c r="G42" s="161"/>
      <c r="H42" s="159">
        <v>4.0</v>
      </c>
      <c r="I42" s="159">
        <v>4.0</v>
      </c>
      <c r="J42" s="159">
        <v>4.0</v>
      </c>
      <c r="K42" s="159">
        <v>4.0</v>
      </c>
      <c r="L42" s="159">
        <v>4.0</v>
      </c>
      <c r="M42" s="159">
        <v>4.0</v>
      </c>
      <c r="N42" s="159">
        <v>4.0</v>
      </c>
      <c r="O42" s="159">
        <v>4.0</v>
      </c>
      <c r="P42" s="159">
        <v>5.0</v>
      </c>
      <c r="Q42" s="159">
        <v>5.0</v>
      </c>
      <c r="R42" s="159">
        <v>4.5</v>
      </c>
      <c r="S42" s="159">
        <v>4.0</v>
      </c>
      <c r="T42" s="159">
        <v>4.0</v>
      </c>
      <c r="U42" s="159">
        <v>4.0</v>
      </c>
      <c r="V42" s="159">
        <v>4.0</v>
      </c>
      <c r="W42" s="159">
        <v>4.0</v>
      </c>
      <c r="X42" s="161"/>
      <c r="Y42" s="161"/>
      <c r="Z42" s="161"/>
      <c r="AA42" s="161"/>
      <c r="AB42" s="161"/>
      <c r="AC42" s="159">
        <v>4.166666666666667</v>
      </c>
      <c r="AD42" s="159"/>
    </row>
    <row r="43">
      <c r="A43" s="162">
        <v>101783.0</v>
      </c>
      <c r="B43" s="163" t="s">
        <v>327</v>
      </c>
      <c r="C43" s="164" t="s">
        <v>328</v>
      </c>
      <c r="D43" s="165">
        <v>44179.0</v>
      </c>
      <c r="E43" s="164" t="s">
        <v>51</v>
      </c>
      <c r="F43" s="161"/>
      <c r="G43" s="161"/>
      <c r="H43" s="159">
        <v>4.0</v>
      </c>
      <c r="I43" s="159">
        <v>4.0</v>
      </c>
      <c r="J43" s="159">
        <v>4.0</v>
      </c>
      <c r="K43" s="159">
        <v>4.0</v>
      </c>
      <c r="L43" s="159">
        <v>4.0</v>
      </c>
      <c r="M43" s="159">
        <v>4.0</v>
      </c>
      <c r="N43" s="159">
        <v>4.0</v>
      </c>
      <c r="O43" s="159">
        <v>4.0</v>
      </c>
      <c r="P43" s="159">
        <v>4.0</v>
      </c>
      <c r="Q43" s="159">
        <v>4.0</v>
      </c>
      <c r="R43" s="159">
        <v>4.0</v>
      </c>
      <c r="S43" s="159">
        <v>4.0</v>
      </c>
      <c r="T43" s="159">
        <v>4.0</v>
      </c>
      <c r="U43" s="159">
        <v>4.0</v>
      </c>
      <c r="V43" s="159">
        <v>4.0</v>
      </c>
      <c r="W43" s="159">
        <v>4.0</v>
      </c>
      <c r="X43" s="161"/>
      <c r="Y43" s="161"/>
      <c r="Z43" s="161"/>
      <c r="AA43" s="161"/>
      <c r="AB43" s="161"/>
      <c r="AC43" s="159">
        <v>4.0</v>
      </c>
      <c r="AD43" s="159"/>
    </row>
    <row r="44">
      <c r="A44" s="162">
        <v>101761.0</v>
      </c>
      <c r="B44" s="163" t="s">
        <v>329</v>
      </c>
      <c r="C44" s="164" t="s">
        <v>330</v>
      </c>
      <c r="D44" s="165">
        <v>44183.0</v>
      </c>
      <c r="E44" s="164" t="s">
        <v>254</v>
      </c>
      <c r="F44" s="161"/>
      <c r="G44" s="161"/>
      <c r="H44" s="159">
        <v>4.0</v>
      </c>
      <c r="I44" s="159">
        <v>4.0</v>
      </c>
      <c r="J44" s="159">
        <v>4.0</v>
      </c>
      <c r="K44" s="159">
        <v>4.0</v>
      </c>
      <c r="L44" s="159">
        <v>4.0</v>
      </c>
      <c r="M44" s="159">
        <v>4.0</v>
      </c>
      <c r="N44" s="159">
        <v>4.0</v>
      </c>
      <c r="O44" s="159">
        <v>4.0</v>
      </c>
      <c r="P44" s="159">
        <v>4.0</v>
      </c>
      <c r="Q44" s="159">
        <v>4.0</v>
      </c>
      <c r="R44" s="159">
        <v>4.0</v>
      </c>
      <c r="S44" s="159">
        <v>4.0</v>
      </c>
      <c r="T44" s="159">
        <v>4.0</v>
      </c>
      <c r="U44" s="159">
        <v>4.0</v>
      </c>
      <c r="V44" s="159">
        <v>4.0</v>
      </c>
      <c r="W44" s="159">
        <v>4.0</v>
      </c>
      <c r="X44" s="161"/>
      <c r="Y44" s="161"/>
      <c r="Z44" s="161"/>
      <c r="AA44" s="161"/>
      <c r="AB44" s="161"/>
      <c r="AC44" s="159">
        <v>4.0</v>
      </c>
      <c r="AD44" s="159"/>
    </row>
    <row r="45">
      <c r="A45" s="162">
        <v>101792.0</v>
      </c>
      <c r="B45" s="163" t="s">
        <v>331</v>
      </c>
      <c r="C45" s="164" t="s">
        <v>332</v>
      </c>
      <c r="D45" s="165">
        <v>44184.0</v>
      </c>
      <c r="E45" s="164" t="s">
        <v>51</v>
      </c>
      <c r="F45" s="161"/>
      <c r="G45" s="161"/>
      <c r="H45" s="159">
        <v>4.0</v>
      </c>
      <c r="I45" s="159">
        <v>4.0</v>
      </c>
      <c r="J45" s="159">
        <v>4.0</v>
      </c>
      <c r="K45" s="159">
        <v>4.0</v>
      </c>
      <c r="L45" s="159">
        <v>4.0</v>
      </c>
      <c r="M45" s="159">
        <v>4.0</v>
      </c>
      <c r="N45" s="159">
        <v>4.0</v>
      </c>
      <c r="O45" s="159">
        <v>4.0</v>
      </c>
      <c r="P45" s="159">
        <v>4.0</v>
      </c>
      <c r="Q45" s="159">
        <v>4.0</v>
      </c>
      <c r="R45" s="159">
        <v>4.0</v>
      </c>
      <c r="S45" s="159">
        <v>4.0</v>
      </c>
      <c r="T45" s="159">
        <v>4.0</v>
      </c>
      <c r="U45" s="159">
        <v>4.0</v>
      </c>
      <c r="V45" s="159">
        <v>4.0</v>
      </c>
      <c r="W45" s="159">
        <v>4.0</v>
      </c>
      <c r="X45" s="161"/>
      <c r="Y45" s="161"/>
      <c r="Z45" s="161"/>
      <c r="AA45" s="161"/>
      <c r="AB45" s="161"/>
      <c r="AC45" s="159">
        <v>4.0</v>
      </c>
      <c r="AD45" s="159"/>
    </row>
    <row r="46">
      <c r="A46" s="162">
        <v>101793.0</v>
      </c>
      <c r="B46" s="163" t="s">
        <v>333</v>
      </c>
      <c r="C46" s="164" t="s">
        <v>334</v>
      </c>
      <c r="D46" s="165">
        <v>44188.0</v>
      </c>
      <c r="E46" s="164" t="s">
        <v>51</v>
      </c>
      <c r="F46" s="161"/>
      <c r="G46" s="161"/>
      <c r="H46" s="159">
        <v>4.0</v>
      </c>
      <c r="I46" s="159">
        <v>4.0</v>
      </c>
      <c r="J46" s="159">
        <v>4.0</v>
      </c>
      <c r="K46" s="159">
        <v>4.0</v>
      </c>
      <c r="L46" s="159">
        <v>4.0</v>
      </c>
      <c r="M46" s="159">
        <v>4.0</v>
      </c>
      <c r="N46" s="159">
        <v>4.0</v>
      </c>
      <c r="O46" s="159">
        <v>4.0</v>
      </c>
      <c r="P46" s="159">
        <v>4.0</v>
      </c>
      <c r="Q46" s="159">
        <v>4.0</v>
      </c>
      <c r="R46" s="159">
        <v>4.0</v>
      </c>
      <c r="S46" s="159">
        <v>4.0</v>
      </c>
      <c r="T46" s="159">
        <v>4.0</v>
      </c>
      <c r="U46" s="159">
        <v>4.0</v>
      </c>
      <c r="V46" s="159">
        <v>4.0</v>
      </c>
      <c r="W46" s="159">
        <v>4.0</v>
      </c>
      <c r="X46" s="161"/>
      <c r="Y46" s="161"/>
      <c r="Z46" s="161"/>
      <c r="AA46" s="161"/>
      <c r="AB46" s="161"/>
      <c r="AC46" s="159">
        <v>4.0</v>
      </c>
      <c r="AD46" s="159"/>
    </row>
    <row r="47">
      <c r="A47" s="162">
        <v>101773.0</v>
      </c>
      <c r="B47" s="163" t="s">
        <v>335</v>
      </c>
      <c r="C47" s="164" t="s">
        <v>336</v>
      </c>
      <c r="D47" s="165">
        <v>44188.0</v>
      </c>
      <c r="E47" s="164" t="s">
        <v>326</v>
      </c>
      <c r="F47" s="161"/>
      <c r="G47" s="161"/>
      <c r="H47" s="159">
        <v>4.0</v>
      </c>
      <c r="I47" s="159">
        <v>4.0</v>
      </c>
      <c r="J47" s="159">
        <v>4.0</v>
      </c>
      <c r="K47" s="159">
        <v>4.0</v>
      </c>
      <c r="L47" s="159">
        <v>4.0</v>
      </c>
      <c r="M47" s="159">
        <v>4.0</v>
      </c>
      <c r="N47" s="159">
        <v>4.0</v>
      </c>
      <c r="O47" s="159">
        <v>4.0</v>
      </c>
      <c r="P47" s="159">
        <v>4.0</v>
      </c>
      <c r="Q47" s="159">
        <v>4.0</v>
      </c>
      <c r="R47" s="159">
        <v>4.0</v>
      </c>
      <c r="S47" s="159">
        <v>4.0</v>
      </c>
      <c r="T47" s="159">
        <v>4.0</v>
      </c>
      <c r="U47" s="159">
        <v>4.0</v>
      </c>
      <c r="V47" s="159">
        <v>4.0</v>
      </c>
      <c r="W47" s="159">
        <v>4.0</v>
      </c>
      <c r="X47" s="161"/>
      <c r="Y47" s="161"/>
      <c r="Z47" s="161"/>
      <c r="AA47" s="161"/>
      <c r="AB47" s="161"/>
      <c r="AC47" s="159">
        <v>4.0</v>
      </c>
      <c r="AD47" s="159"/>
    </row>
    <row r="48">
      <c r="A48" s="162">
        <v>101796.0</v>
      </c>
      <c r="B48" s="163" t="s">
        <v>337</v>
      </c>
      <c r="C48" s="164" t="s">
        <v>338</v>
      </c>
      <c r="D48" s="165">
        <v>44200.0</v>
      </c>
      <c r="E48" s="164" t="s">
        <v>51</v>
      </c>
      <c r="F48" s="161"/>
      <c r="G48" s="161"/>
      <c r="H48" s="159">
        <v>4.0</v>
      </c>
      <c r="I48" s="159">
        <v>4.0</v>
      </c>
      <c r="J48" s="159">
        <v>4.0</v>
      </c>
      <c r="K48" s="159">
        <v>4.0</v>
      </c>
      <c r="L48" s="159">
        <v>4.0</v>
      </c>
      <c r="M48" s="159">
        <v>4.0</v>
      </c>
      <c r="N48" s="159">
        <v>4.0</v>
      </c>
      <c r="O48" s="159">
        <v>4.0</v>
      </c>
      <c r="P48" s="159">
        <v>4.0</v>
      </c>
      <c r="Q48" s="159">
        <v>4.0</v>
      </c>
      <c r="R48" s="159">
        <v>4.0</v>
      </c>
      <c r="S48" s="159">
        <v>4.0</v>
      </c>
      <c r="T48" s="159">
        <v>4.0</v>
      </c>
      <c r="U48" s="159">
        <v>5.0</v>
      </c>
      <c r="V48" s="159">
        <v>4.0</v>
      </c>
      <c r="W48" s="159">
        <v>4.25</v>
      </c>
      <c r="X48" s="161"/>
      <c r="Y48" s="161"/>
      <c r="Z48" s="161"/>
      <c r="AA48" s="161"/>
      <c r="AB48" s="161"/>
      <c r="AC48" s="159">
        <v>4.083333333333333</v>
      </c>
      <c r="AD48" s="159"/>
    </row>
    <row r="49">
      <c r="A49" s="162">
        <v>101772.0</v>
      </c>
      <c r="B49" s="163" t="s">
        <v>341</v>
      </c>
      <c r="C49" s="164" t="s">
        <v>342</v>
      </c>
      <c r="D49" s="165">
        <v>44203.0</v>
      </c>
      <c r="E49" s="164" t="s">
        <v>125</v>
      </c>
      <c r="F49" s="161"/>
      <c r="G49" s="161"/>
      <c r="H49" s="159">
        <v>4.0</v>
      </c>
      <c r="I49" s="159">
        <v>4.0</v>
      </c>
      <c r="J49" s="159">
        <v>3.5</v>
      </c>
      <c r="K49" s="159">
        <v>4.0</v>
      </c>
      <c r="L49" s="159">
        <v>4.0</v>
      </c>
      <c r="M49" s="159">
        <v>3.9</v>
      </c>
      <c r="N49" s="159">
        <v>4.0</v>
      </c>
      <c r="O49" s="159">
        <v>4.0</v>
      </c>
      <c r="P49" s="159">
        <v>4.0</v>
      </c>
      <c r="Q49" s="159">
        <v>4.0</v>
      </c>
      <c r="R49" s="159">
        <v>4.0</v>
      </c>
      <c r="S49" s="159">
        <v>4.0</v>
      </c>
      <c r="T49" s="159">
        <v>4.0</v>
      </c>
      <c r="U49" s="159">
        <v>4.0</v>
      </c>
      <c r="V49" s="159">
        <v>4.0</v>
      </c>
      <c r="W49" s="159">
        <v>4.0</v>
      </c>
      <c r="X49" s="161"/>
      <c r="Y49" s="161"/>
      <c r="Z49" s="161"/>
      <c r="AA49" s="161"/>
      <c r="AB49" s="161"/>
      <c r="AC49" s="159">
        <v>3.966666666666667</v>
      </c>
      <c r="AD49" s="159"/>
    </row>
    <row r="50">
      <c r="A50" s="162">
        <v>101789.0</v>
      </c>
      <c r="B50" s="163" t="s">
        <v>343</v>
      </c>
      <c r="C50" s="164" t="s">
        <v>344</v>
      </c>
      <c r="D50" s="165">
        <v>44208.0</v>
      </c>
      <c r="E50" s="164" t="s">
        <v>125</v>
      </c>
      <c r="F50" s="161"/>
      <c r="G50" s="161"/>
      <c r="H50" s="159">
        <v>4.0</v>
      </c>
      <c r="I50" s="159">
        <v>4.0</v>
      </c>
      <c r="J50" s="159">
        <v>4.0</v>
      </c>
      <c r="K50" s="159">
        <v>4.0</v>
      </c>
      <c r="L50" s="159">
        <v>4.0</v>
      </c>
      <c r="M50" s="159">
        <v>4.0</v>
      </c>
      <c r="N50" s="159">
        <v>4.0</v>
      </c>
      <c r="O50" s="159">
        <v>4.0</v>
      </c>
      <c r="P50" s="159">
        <v>4.0</v>
      </c>
      <c r="Q50" s="159">
        <v>4.0</v>
      </c>
      <c r="R50" s="159">
        <v>4.0</v>
      </c>
      <c r="S50" s="159">
        <v>4.0</v>
      </c>
      <c r="T50" s="159">
        <v>4.0</v>
      </c>
      <c r="U50" s="159">
        <v>4.0</v>
      </c>
      <c r="V50" s="159">
        <v>4.0</v>
      </c>
      <c r="W50" s="159">
        <v>4.0</v>
      </c>
      <c r="X50" s="161"/>
      <c r="Y50" s="161"/>
      <c r="Z50" s="161"/>
      <c r="AA50" s="161"/>
      <c r="AB50" s="161"/>
      <c r="AC50" s="159">
        <v>4.0</v>
      </c>
      <c r="AD50" s="159"/>
    </row>
    <row r="51">
      <c r="A51" s="162">
        <v>101797.0</v>
      </c>
      <c r="B51" s="163" t="s">
        <v>345</v>
      </c>
      <c r="C51" s="164" t="s">
        <v>346</v>
      </c>
      <c r="D51" s="165">
        <v>44208.0</v>
      </c>
      <c r="E51" s="164" t="s">
        <v>51</v>
      </c>
      <c r="F51" s="161"/>
      <c r="G51" s="161"/>
      <c r="H51" s="159">
        <v>4.0</v>
      </c>
      <c r="I51" s="159">
        <v>4.0</v>
      </c>
      <c r="J51" s="159">
        <v>4.0</v>
      </c>
      <c r="K51" s="159">
        <v>4.0</v>
      </c>
      <c r="L51" s="159">
        <v>4.0</v>
      </c>
      <c r="M51" s="159">
        <v>4.0</v>
      </c>
      <c r="N51" s="159">
        <v>4.0</v>
      </c>
      <c r="O51" s="159">
        <v>4.0</v>
      </c>
      <c r="P51" s="159">
        <v>4.0</v>
      </c>
      <c r="Q51" s="159">
        <v>4.0</v>
      </c>
      <c r="R51" s="159">
        <v>4.0</v>
      </c>
      <c r="S51" s="159">
        <v>4.0</v>
      </c>
      <c r="T51" s="159">
        <v>4.0</v>
      </c>
      <c r="U51" s="159">
        <v>5.0</v>
      </c>
      <c r="V51" s="159">
        <v>4.0</v>
      </c>
      <c r="W51" s="159">
        <v>4.25</v>
      </c>
      <c r="X51" s="161"/>
      <c r="Y51" s="161"/>
      <c r="Z51" s="161"/>
      <c r="AA51" s="161"/>
      <c r="AB51" s="161"/>
      <c r="AC51" s="159">
        <v>4.083333333333333</v>
      </c>
      <c r="AD51" s="159"/>
    </row>
    <row r="52">
      <c r="A52" s="162">
        <v>101802.0</v>
      </c>
      <c r="B52" s="163" t="s">
        <v>349</v>
      </c>
      <c r="C52" s="164" t="s">
        <v>350</v>
      </c>
      <c r="D52" s="165">
        <v>44208.0</v>
      </c>
      <c r="E52" s="164" t="s">
        <v>340</v>
      </c>
      <c r="F52" s="161"/>
      <c r="G52" s="161"/>
      <c r="H52" s="159">
        <v>4.0</v>
      </c>
      <c r="I52" s="159">
        <v>4.0</v>
      </c>
      <c r="J52" s="159">
        <v>4.0</v>
      </c>
      <c r="K52" s="159">
        <v>4.0</v>
      </c>
      <c r="L52" s="159">
        <v>4.0</v>
      </c>
      <c r="M52" s="159">
        <v>4.0</v>
      </c>
      <c r="N52" s="171"/>
      <c r="O52" s="171"/>
      <c r="P52" s="171"/>
      <c r="Q52" s="171"/>
      <c r="R52" s="171"/>
      <c r="S52" s="159">
        <v>4.0</v>
      </c>
      <c r="T52" s="159">
        <v>4.0</v>
      </c>
      <c r="U52" s="159">
        <v>4.0</v>
      </c>
      <c r="V52" s="159">
        <v>4.0</v>
      </c>
      <c r="W52" s="159">
        <v>4.0</v>
      </c>
      <c r="X52" s="161"/>
      <c r="Y52" s="161"/>
      <c r="Z52" s="161"/>
      <c r="AA52" s="161"/>
      <c r="AB52" s="161"/>
      <c r="AC52" s="159">
        <v>4.0</v>
      </c>
      <c r="AD52" s="159"/>
    </row>
    <row r="53">
      <c r="A53" s="162">
        <v>101801.0</v>
      </c>
      <c r="B53" s="163" t="s">
        <v>351</v>
      </c>
      <c r="C53" s="164" t="s">
        <v>352</v>
      </c>
      <c r="D53" s="165">
        <v>44208.0</v>
      </c>
      <c r="E53" s="164" t="s">
        <v>87</v>
      </c>
      <c r="F53" s="161"/>
      <c r="G53" s="161"/>
      <c r="H53" s="159">
        <v>4.0</v>
      </c>
      <c r="I53" s="159">
        <v>4.0</v>
      </c>
      <c r="J53" s="159">
        <v>4.0</v>
      </c>
      <c r="K53" s="159">
        <v>4.0</v>
      </c>
      <c r="L53" s="159">
        <v>4.0</v>
      </c>
      <c r="M53" s="159">
        <v>4.0</v>
      </c>
      <c r="N53" s="171"/>
      <c r="O53" s="171"/>
      <c r="P53" s="171"/>
      <c r="Q53" s="171"/>
      <c r="R53" s="171"/>
      <c r="S53" s="159">
        <v>5.0</v>
      </c>
      <c r="T53" s="159">
        <v>5.0</v>
      </c>
      <c r="U53" s="159">
        <v>5.0</v>
      </c>
      <c r="V53" s="159">
        <v>5.0</v>
      </c>
      <c r="W53" s="159">
        <v>5.0</v>
      </c>
      <c r="X53" s="161"/>
      <c r="Y53" s="161"/>
      <c r="Z53" s="161"/>
      <c r="AA53" s="161"/>
      <c r="AB53" s="161"/>
      <c r="AC53" s="159">
        <v>4.5</v>
      </c>
      <c r="AD53" s="159"/>
    </row>
    <row r="54">
      <c r="A54" s="162">
        <v>101805.0</v>
      </c>
      <c r="B54" s="163" t="s">
        <v>353</v>
      </c>
      <c r="C54" s="164" t="s">
        <v>354</v>
      </c>
      <c r="D54" s="165">
        <v>44211.0</v>
      </c>
      <c r="E54" s="164" t="s">
        <v>51</v>
      </c>
      <c r="F54" s="161"/>
      <c r="G54" s="161"/>
      <c r="H54" s="159">
        <v>4.0</v>
      </c>
      <c r="I54" s="159">
        <v>4.0</v>
      </c>
      <c r="J54" s="159">
        <v>4.0</v>
      </c>
      <c r="K54" s="159">
        <v>4.0</v>
      </c>
      <c r="L54" s="159">
        <v>4.0</v>
      </c>
      <c r="M54" s="159">
        <v>4.0</v>
      </c>
      <c r="N54" s="159">
        <v>4.0</v>
      </c>
      <c r="O54" s="159">
        <v>4.0</v>
      </c>
      <c r="P54" s="159">
        <v>4.0</v>
      </c>
      <c r="Q54" s="159">
        <v>4.0</v>
      </c>
      <c r="R54" s="159">
        <v>4.0</v>
      </c>
      <c r="S54" s="159">
        <v>5.0</v>
      </c>
      <c r="T54" s="159">
        <v>5.0</v>
      </c>
      <c r="U54" s="159">
        <v>5.0</v>
      </c>
      <c r="V54" s="159">
        <v>5.0</v>
      </c>
      <c r="W54" s="159">
        <v>5.0</v>
      </c>
      <c r="X54" s="161"/>
      <c r="Y54" s="161"/>
      <c r="Z54" s="161"/>
      <c r="AA54" s="161"/>
      <c r="AB54" s="161"/>
      <c r="AC54" s="159">
        <v>4.333333333333333</v>
      </c>
      <c r="AD54" s="159"/>
    </row>
    <row r="55">
      <c r="A55" s="162">
        <v>101818.0</v>
      </c>
      <c r="B55" s="163" t="s">
        <v>355</v>
      </c>
      <c r="C55" s="164" t="s">
        <v>356</v>
      </c>
      <c r="D55" s="165">
        <v>44216.0</v>
      </c>
      <c r="E55" s="164" t="s">
        <v>357</v>
      </c>
      <c r="F55" s="161"/>
      <c r="G55" s="161"/>
      <c r="H55" s="159">
        <v>4.0</v>
      </c>
      <c r="I55" s="159">
        <v>4.0</v>
      </c>
      <c r="J55" s="159">
        <v>4.0</v>
      </c>
      <c r="K55" s="159">
        <v>4.0</v>
      </c>
      <c r="L55" s="159">
        <v>4.0</v>
      </c>
      <c r="M55" s="159">
        <v>4.0</v>
      </c>
      <c r="N55" s="171"/>
      <c r="O55" s="171"/>
      <c r="P55" s="171"/>
      <c r="Q55" s="171"/>
      <c r="R55" s="171"/>
      <c r="S55" s="159">
        <v>5.0</v>
      </c>
      <c r="T55" s="159">
        <v>5.0</v>
      </c>
      <c r="U55" s="159">
        <v>5.0</v>
      </c>
      <c r="V55" s="159">
        <v>5.0</v>
      </c>
      <c r="W55" s="159">
        <v>5.0</v>
      </c>
      <c r="X55" s="161"/>
      <c r="Y55" s="161"/>
      <c r="Z55" s="161"/>
      <c r="AA55" s="161"/>
      <c r="AB55" s="161"/>
      <c r="AC55" s="159">
        <v>4.5</v>
      </c>
      <c r="AD55" s="159"/>
    </row>
    <row r="56">
      <c r="A56" s="162">
        <v>101800.0</v>
      </c>
      <c r="B56" s="163" t="s">
        <v>358</v>
      </c>
      <c r="C56" s="164" t="s">
        <v>359</v>
      </c>
      <c r="D56" s="165">
        <v>44238.0</v>
      </c>
      <c r="E56" s="164" t="s">
        <v>360</v>
      </c>
      <c r="F56" s="161"/>
      <c r="G56" s="161"/>
      <c r="H56" s="159">
        <v>4.0</v>
      </c>
      <c r="I56" s="159">
        <v>4.0</v>
      </c>
      <c r="J56" s="159">
        <v>4.0</v>
      </c>
      <c r="K56" s="159">
        <v>4.0</v>
      </c>
      <c r="L56" s="159">
        <v>4.0</v>
      </c>
      <c r="M56" s="159">
        <v>4.0</v>
      </c>
      <c r="N56" s="171"/>
      <c r="O56" s="171"/>
      <c r="P56" s="171"/>
      <c r="Q56" s="171"/>
      <c r="R56" s="171"/>
      <c r="S56" s="159">
        <v>4.0</v>
      </c>
      <c r="T56" s="159">
        <v>4.0</v>
      </c>
      <c r="U56" s="159">
        <v>4.0</v>
      </c>
      <c r="V56" s="159">
        <v>4.0</v>
      </c>
      <c r="W56" s="159">
        <v>4.0</v>
      </c>
      <c r="X56" s="161"/>
      <c r="Y56" s="161"/>
      <c r="Z56" s="161"/>
      <c r="AA56" s="161"/>
      <c r="AB56" s="161"/>
      <c r="AC56" s="159">
        <v>4.0</v>
      </c>
      <c r="AD56" s="159"/>
    </row>
    <row r="57">
      <c r="A57" s="162">
        <v>101800.0</v>
      </c>
      <c r="B57" s="163" t="s">
        <v>361</v>
      </c>
      <c r="C57" s="164" t="s">
        <v>359</v>
      </c>
      <c r="D57" s="165">
        <v>44238.0</v>
      </c>
      <c r="E57" s="164" t="s">
        <v>295</v>
      </c>
      <c r="F57" s="161"/>
      <c r="G57" s="161"/>
      <c r="H57" s="159">
        <v>4.0</v>
      </c>
      <c r="I57" s="159">
        <v>4.0</v>
      </c>
      <c r="J57" s="159">
        <v>4.0</v>
      </c>
      <c r="K57" s="159">
        <v>4.0</v>
      </c>
      <c r="L57" s="159">
        <v>4.0</v>
      </c>
      <c r="M57" s="159">
        <v>4.0</v>
      </c>
      <c r="N57" s="171"/>
      <c r="O57" s="171"/>
      <c r="P57" s="171"/>
      <c r="Q57" s="171"/>
      <c r="R57" s="171"/>
      <c r="S57" s="159">
        <v>4.0</v>
      </c>
      <c r="T57" s="159">
        <v>4.0</v>
      </c>
      <c r="U57" s="159">
        <v>4.0</v>
      </c>
      <c r="V57" s="159">
        <v>4.0</v>
      </c>
      <c r="W57" s="159">
        <v>4.0</v>
      </c>
      <c r="X57" s="161"/>
      <c r="Y57" s="161"/>
      <c r="Z57" s="161"/>
      <c r="AA57" s="161"/>
      <c r="AB57" s="161"/>
      <c r="AC57" s="159">
        <v>4.0</v>
      </c>
      <c r="AD57" s="159"/>
    </row>
    <row r="58">
      <c r="A58" s="162">
        <v>101812.0</v>
      </c>
      <c r="B58" s="163" t="s">
        <v>363</v>
      </c>
      <c r="C58" s="164" t="s">
        <v>364</v>
      </c>
      <c r="D58" s="165">
        <v>44238.0</v>
      </c>
      <c r="E58" s="164" t="s">
        <v>295</v>
      </c>
      <c r="F58" s="161"/>
      <c r="G58" s="161"/>
      <c r="H58" s="159">
        <v>4.0</v>
      </c>
      <c r="I58" s="159">
        <v>4.0</v>
      </c>
      <c r="J58" s="159">
        <v>3.0</v>
      </c>
      <c r="K58" s="159">
        <v>4.0</v>
      </c>
      <c r="L58" s="159">
        <v>4.0</v>
      </c>
      <c r="M58" s="159">
        <v>3.8</v>
      </c>
      <c r="N58" s="171"/>
      <c r="O58" s="171"/>
      <c r="P58" s="171"/>
      <c r="Q58" s="171"/>
      <c r="R58" s="171"/>
      <c r="S58" s="159">
        <v>4.0</v>
      </c>
      <c r="T58" s="159">
        <v>4.0</v>
      </c>
      <c r="U58" s="159">
        <v>3.0</v>
      </c>
      <c r="V58" s="159">
        <v>4.0</v>
      </c>
      <c r="W58" s="159">
        <v>3.75</v>
      </c>
      <c r="X58" s="161"/>
      <c r="Y58" s="161"/>
      <c r="Z58" s="161"/>
      <c r="AA58" s="161"/>
      <c r="AB58" s="161"/>
      <c r="AC58" s="159">
        <v>3.775</v>
      </c>
      <c r="AD58" s="159"/>
    </row>
    <row r="59">
      <c r="A59" s="162">
        <v>101836.0</v>
      </c>
      <c r="B59" s="163" t="s">
        <v>365</v>
      </c>
      <c r="C59" s="164" t="s">
        <v>366</v>
      </c>
      <c r="D59" s="165">
        <v>44238.0</v>
      </c>
      <c r="E59" s="164" t="s">
        <v>51</v>
      </c>
      <c r="F59" s="161"/>
      <c r="G59" s="161"/>
      <c r="H59" s="159">
        <v>4.7</v>
      </c>
      <c r="I59" s="159">
        <v>4.7</v>
      </c>
      <c r="J59" s="159">
        <v>4.6</v>
      </c>
      <c r="K59" s="159">
        <v>4.7</v>
      </c>
      <c r="L59" s="159">
        <v>4.6</v>
      </c>
      <c r="M59" s="159">
        <v>4.659999999999999</v>
      </c>
      <c r="N59" s="159">
        <v>4.6</v>
      </c>
      <c r="O59" s="159">
        <v>4.5</v>
      </c>
      <c r="P59" s="159">
        <v>4.6</v>
      </c>
      <c r="Q59" s="159">
        <v>4.7</v>
      </c>
      <c r="R59" s="159">
        <v>4.6</v>
      </c>
      <c r="S59" s="159">
        <v>4.7</v>
      </c>
      <c r="T59" s="159">
        <v>4.7</v>
      </c>
      <c r="U59" s="159">
        <v>4.6</v>
      </c>
      <c r="V59" s="159">
        <v>4.7</v>
      </c>
      <c r="W59" s="159">
        <v>4.675</v>
      </c>
      <c r="X59" s="161"/>
      <c r="Y59" s="161"/>
      <c r="Z59" s="161"/>
      <c r="AA59" s="161"/>
      <c r="AB59" s="161"/>
      <c r="AC59" s="159">
        <v>4.645</v>
      </c>
      <c r="AD59" s="159"/>
    </row>
    <row r="60">
      <c r="A60" s="162">
        <v>101823.0</v>
      </c>
      <c r="B60" s="163" t="s">
        <v>368</v>
      </c>
      <c r="C60" s="164" t="s">
        <v>369</v>
      </c>
      <c r="D60" s="165">
        <v>44238.0</v>
      </c>
      <c r="E60" s="164" t="s">
        <v>87</v>
      </c>
      <c r="F60" s="161"/>
      <c r="G60" s="161"/>
      <c r="H60" s="159">
        <v>4.0</v>
      </c>
      <c r="I60" s="159">
        <v>4.0</v>
      </c>
      <c r="J60" s="159">
        <v>4.0</v>
      </c>
      <c r="K60" s="159">
        <v>4.0</v>
      </c>
      <c r="L60" s="159">
        <v>4.0</v>
      </c>
      <c r="M60" s="159">
        <v>4.0</v>
      </c>
      <c r="N60" s="171"/>
      <c r="O60" s="171"/>
      <c r="P60" s="171"/>
      <c r="Q60" s="171"/>
      <c r="R60" s="171"/>
      <c r="S60" s="159">
        <v>5.0</v>
      </c>
      <c r="T60" s="159">
        <v>5.0</v>
      </c>
      <c r="U60" s="159">
        <v>5.0</v>
      </c>
      <c r="V60" s="159">
        <v>5.0</v>
      </c>
      <c r="W60" s="159">
        <v>5.0</v>
      </c>
      <c r="X60" s="161"/>
      <c r="Y60" s="161"/>
      <c r="Z60" s="161"/>
      <c r="AA60" s="161"/>
      <c r="AB60" s="161"/>
      <c r="AC60" s="159">
        <v>4.5</v>
      </c>
      <c r="AD60" s="159"/>
    </row>
    <row r="61">
      <c r="A61" s="162">
        <v>101818.0</v>
      </c>
      <c r="B61" s="163" t="s">
        <v>370</v>
      </c>
      <c r="C61" s="164" t="s">
        <v>356</v>
      </c>
      <c r="D61" s="165">
        <v>44243.0</v>
      </c>
      <c r="E61" s="164" t="s">
        <v>339</v>
      </c>
      <c r="F61" s="161"/>
      <c r="G61" s="161"/>
      <c r="H61" s="159">
        <v>4.5</v>
      </c>
      <c r="I61" s="159">
        <v>4.6</v>
      </c>
      <c r="J61" s="159">
        <v>4.4</v>
      </c>
      <c r="K61" s="159">
        <v>4.5</v>
      </c>
      <c r="L61" s="159">
        <v>5.0</v>
      </c>
      <c r="M61" s="159">
        <v>4.6</v>
      </c>
      <c r="N61" s="159">
        <v>4.6</v>
      </c>
      <c r="O61" s="159">
        <v>4.5</v>
      </c>
      <c r="P61" s="159">
        <v>4.5</v>
      </c>
      <c r="Q61" s="159">
        <v>4.5</v>
      </c>
      <c r="R61" s="159">
        <v>4.525</v>
      </c>
      <c r="S61" s="159">
        <v>4.5</v>
      </c>
      <c r="T61" s="159">
        <v>4.6</v>
      </c>
      <c r="U61" s="159">
        <v>4.4</v>
      </c>
      <c r="V61" s="159">
        <v>4.5</v>
      </c>
      <c r="W61" s="159">
        <v>4.5</v>
      </c>
      <c r="X61" s="161"/>
      <c r="Y61" s="161"/>
      <c r="Z61" s="161"/>
      <c r="AA61" s="161"/>
      <c r="AB61" s="161"/>
      <c r="AC61" s="159">
        <v>4.541666666666667</v>
      </c>
      <c r="AD61" s="159"/>
    </row>
    <row r="62">
      <c r="A62" s="162">
        <v>101849.0</v>
      </c>
      <c r="B62" s="163" t="s">
        <v>372</v>
      </c>
      <c r="C62" s="164" t="s">
        <v>373</v>
      </c>
      <c r="D62" s="165">
        <v>44263.0</v>
      </c>
      <c r="E62" s="164" t="s">
        <v>51</v>
      </c>
      <c r="F62" s="161"/>
      <c r="G62" s="161"/>
      <c r="H62" s="159">
        <v>4.6</v>
      </c>
      <c r="I62" s="159">
        <v>4.6</v>
      </c>
      <c r="J62" s="159">
        <v>4.7</v>
      </c>
      <c r="K62" s="159">
        <v>4.6</v>
      </c>
      <c r="L62" s="159">
        <v>4.6</v>
      </c>
      <c r="M62" s="159">
        <v>4.62</v>
      </c>
      <c r="N62" s="159">
        <v>4.6</v>
      </c>
      <c r="O62" s="159">
        <v>4.5</v>
      </c>
      <c r="P62" s="159">
        <v>4.6</v>
      </c>
      <c r="Q62" s="159">
        <v>4.5</v>
      </c>
      <c r="R62" s="159">
        <v>4.55</v>
      </c>
      <c r="S62" s="159">
        <v>4.7</v>
      </c>
      <c r="T62" s="159">
        <v>4.6</v>
      </c>
      <c r="U62" s="159">
        <v>4.7</v>
      </c>
      <c r="V62" s="159">
        <v>4.6</v>
      </c>
      <c r="W62" s="159">
        <v>4.65</v>
      </c>
      <c r="X62" s="161"/>
      <c r="Y62" s="161"/>
      <c r="Z62" s="161"/>
      <c r="AA62" s="161"/>
      <c r="AB62" s="161"/>
      <c r="AC62" s="159">
        <v>4.6066666666666665</v>
      </c>
      <c r="AD62" s="159"/>
    </row>
    <row r="63">
      <c r="A63" s="162">
        <v>101854.0</v>
      </c>
      <c r="B63" s="163" t="s">
        <v>374</v>
      </c>
      <c r="C63" s="164" t="s">
        <v>375</v>
      </c>
      <c r="D63" s="165">
        <v>44265.0</v>
      </c>
      <c r="E63" s="164" t="s">
        <v>295</v>
      </c>
      <c r="F63" s="161"/>
      <c r="G63" s="161"/>
      <c r="H63" s="159">
        <v>4.7</v>
      </c>
      <c r="I63" s="159">
        <v>4.7</v>
      </c>
      <c r="J63" s="159">
        <v>4.7</v>
      </c>
      <c r="K63" s="159">
        <v>4.7</v>
      </c>
      <c r="L63" s="159">
        <v>4.7</v>
      </c>
      <c r="M63" s="159">
        <v>4.7</v>
      </c>
      <c r="N63" s="159">
        <v>4.6</v>
      </c>
      <c r="O63" s="159">
        <v>4.6</v>
      </c>
      <c r="P63" s="159">
        <v>4.6</v>
      </c>
      <c r="Q63" s="159">
        <v>4.6</v>
      </c>
      <c r="R63" s="159">
        <v>4.6</v>
      </c>
      <c r="S63" s="159">
        <v>4.6</v>
      </c>
      <c r="T63" s="159">
        <v>4.6</v>
      </c>
      <c r="U63" s="159">
        <v>4.6</v>
      </c>
      <c r="V63" s="159">
        <v>4.6</v>
      </c>
      <c r="W63" s="159">
        <v>4.6</v>
      </c>
      <c r="X63" s="161"/>
      <c r="Y63" s="161"/>
      <c r="Z63" s="161"/>
      <c r="AA63" s="161"/>
      <c r="AB63" s="161"/>
      <c r="AC63" s="159">
        <v>4.633333333333334</v>
      </c>
      <c r="AD63" s="159"/>
    </row>
    <row r="64">
      <c r="A64" s="162">
        <v>101790.0</v>
      </c>
      <c r="B64" s="163" t="s">
        <v>376</v>
      </c>
      <c r="C64" s="164" t="s">
        <v>377</v>
      </c>
      <c r="D64" s="165">
        <v>44267.0</v>
      </c>
      <c r="E64" s="164" t="s">
        <v>113</v>
      </c>
      <c r="F64" s="161"/>
      <c r="G64" s="161"/>
      <c r="H64" s="159">
        <v>5.0</v>
      </c>
      <c r="I64" s="159">
        <v>5.0</v>
      </c>
      <c r="J64" s="159">
        <v>5.0</v>
      </c>
      <c r="K64" s="159">
        <v>5.0</v>
      </c>
      <c r="L64" s="159">
        <v>5.0</v>
      </c>
      <c r="M64" s="159">
        <v>5.0</v>
      </c>
      <c r="N64" s="159">
        <v>5.0</v>
      </c>
      <c r="O64" s="159">
        <v>5.0</v>
      </c>
      <c r="P64" s="159">
        <v>5.0</v>
      </c>
      <c r="Q64" s="159">
        <v>5.0</v>
      </c>
      <c r="R64" s="159">
        <v>5.0</v>
      </c>
      <c r="S64" s="159">
        <v>4.5</v>
      </c>
      <c r="T64" s="159">
        <v>4.5</v>
      </c>
      <c r="U64" s="159">
        <v>4.5</v>
      </c>
      <c r="V64" s="159">
        <v>4.5</v>
      </c>
      <c r="W64" s="159">
        <v>4.5</v>
      </c>
      <c r="X64" s="161"/>
      <c r="Y64" s="161"/>
      <c r="Z64" s="161"/>
      <c r="AA64" s="161"/>
      <c r="AB64" s="161"/>
      <c r="AC64" s="159">
        <v>4.833333333333333</v>
      </c>
      <c r="AD64" s="159"/>
    </row>
    <row r="65">
      <c r="A65" s="162">
        <v>101855.0</v>
      </c>
      <c r="B65" s="163" t="s">
        <v>378</v>
      </c>
      <c r="C65" s="164" t="s">
        <v>379</v>
      </c>
      <c r="D65" s="165">
        <v>44267.0</v>
      </c>
      <c r="E65" s="164" t="s">
        <v>380</v>
      </c>
      <c r="F65" s="161"/>
      <c r="G65" s="161"/>
      <c r="H65" s="159">
        <v>4.7</v>
      </c>
      <c r="I65" s="159">
        <v>4.7</v>
      </c>
      <c r="J65" s="159">
        <v>4.7</v>
      </c>
      <c r="K65" s="159">
        <v>4.7</v>
      </c>
      <c r="L65" s="159">
        <v>4.7</v>
      </c>
      <c r="M65" s="159">
        <v>4.7</v>
      </c>
      <c r="N65" s="159">
        <v>4.7</v>
      </c>
      <c r="O65" s="159">
        <v>4.7</v>
      </c>
      <c r="P65" s="159">
        <v>4.7</v>
      </c>
      <c r="Q65" s="159">
        <v>4.7</v>
      </c>
      <c r="R65" s="159">
        <v>4.7</v>
      </c>
      <c r="S65" s="159">
        <v>4.7</v>
      </c>
      <c r="T65" s="159">
        <v>4.7</v>
      </c>
      <c r="U65" s="159">
        <v>4.7</v>
      </c>
      <c r="V65" s="159">
        <v>4.7</v>
      </c>
      <c r="W65" s="159">
        <v>4.7</v>
      </c>
      <c r="X65" s="161"/>
      <c r="Y65" s="161"/>
      <c r="Z65" s="161"/>
      <c r="AA65" s="161"/>
      <c r="AB65" s="161"/>
      <c r="AC65" s="159">
        <v>4.7</v>
      </c>
      <c r="AD65" s="159"/>
    </row>
    <row r="66">
      <c r="A66" s="162">
        <v>102055.0</v>
      </c>
      <c r="B66" s="163" t="s">
        <v>381</v>
      </c>
      <c r="C66" s="164" t="s">
        <v>382</v>
      </c>
      <c r="D66" s="165">
        <v>44268.0</v>
      </c>
      <c r="E66" s="164" t="s">
        <v>51</v>
      </c>
      <c r="F66" s="161"/>
      <c r="G66" s="161"/>
      <c r="H66" s="159">
        <v>4.0</v>
      </c>
      <c r="I66" s="159">
        <v>4.0</v>
      </c>
      <c r="J66" s="159">
        <v>4.0</v>
      </c>
      <c r="K66" s="159">
        <v>4.0</v>
      </c>
      <c r="L66" s="159">
        <v>4.0</v>
      </c>
      <c r="M66" s="159">
        <v>4.0</v>
      </c>
      <c r="N66" s="159">
        <v>5.0</v>
      </c>
      <c r="O66" s="159">
        <v>5.0</v>
      </c>
      <c r="P66" s="159">
        <v>5.0</v>
      </c>
      <c r="Q66" s="159">
        <v>5.0</v>
      </c>
      <c r="R66" s="159">
        <v>5.0</v>
      </c>
      <c r="S66" s="159">
        <v>5.0</v>
      </c>
      <c r="T66" s="159">
        <v>5.0</v>
      </c>
      <c r="U66" s="159">
        <v>5.0</v>
      </c>
      <c r="V66" s="159">
        <v>5.0</v>
      </c>
      <c r="W66" s="159">
        <v>5.0</v>
      </c>
      <c r="X66" s="161"/>
      <c r="Y66" s="161"/>
      <c r="Z66" s="161"/>
      <c r="AA66" s="161"/>
      <c r="AB66" s="161"/>
      <c r="AC66" s="159">
        <f>AVERAGE(W66,R66,M66)</f>
        <v>4.666666667</v>
      </c>
      <c r="AD66" s="159"/>
    </row>
    <row r="67">
      <c r="A67" s="162">
        <v>101854.0</v>
      </c>
      <c r="B67" s="163" t="s">
        <v>384</v>
      </c>
      <c r="C67" s="164" t="s">
        <v>375</v>
      </c>
      <c r="D67" s="165">
        <v>44272.0</v>
      </c>
      <c r="E67" s="164" t="s">
        <v>295</v>
      </c>
      <c r="F67" s="161"/>
      <c r="G67" s="161"/>
      <c r="H67" s="159">
        <v>4.7</v>
      </c>
      <c r="I67" s="159">
        <v>4.7</v>
      </c>
      <c r="J67" s="159">
        <v>4.7</v>
      </c>
      <c r="K67" s="159">
        <v>4.7</v>
      </c>
      <c r="L67" s="159">
        <v>4.7</v>
      </c>
      <c r="M67" s="159">
        <v>4.7</v>
      </c>
      <c r="N67" s="159">
        <v>4.7</v>
      </c>
      <c r="O67" s="159">
        <v>4.7</v>
      </c>
      <c r="P67" s="159">
        <v>4.7</v>
      </c>
      <c r="Q67" s="159">
        <v>4.7</v>
      </c>
      <c r="R67" s="159">
        <v>4.7</v>
      </c>
      <c r="S67" s="159">
        <v>4.7</v>
      </c>
      <c r="T67" s="159">
        <v>4.7</v>
      </c>
      <c r="U67" s="159">
        <v>4.7</v>
      </c>
      <c r="V67" s="159">
        <v>4.7</v>
      </c>
      <c r="W67" s="159">
        <v>4.7</v>
      </c>
      <c r="X67" s="161"/>
      <c r="Y67" s="161"/>
      <c r="Z67" s="161"/>
      <c r="AA67" s="161"/>
      <c r="AB67" s="161"/>
      <c r="AC67" s="159">
        <v>4.7</v>
      </c>
      <c r="AD67" s="159"/>
    </row>
    <row r="68">
      <c r="A68" s="162">
        <v>101850.0</v>
      </c>
      <c r="B68" s="163" t="s">
        <v>386</v>
      </c>
      <c r="C68" s="164" t="s">
        <v>387</v>
      </c>
      <c r="D68" s="165">
        <v>44272.0</v>
      </c>
      <c r="E68" s="164" t="s">
        <v>51</v>
      </c>
      <c r="F68" s="161"/>
      <c r="G68" s="161"/>
      <c r="H68" s="159">
        <v>4.8</v>
      </c>
      <c r="I68" s="159">
        <v>4.5</v>
      </c>
      <c r="J68" s="159">
        <v>4.6</v>
      </c>
      <c r="K68" s="159">
        <v>4.8</v>
      </c>
      <c r="L68" s="159">
        <v>4.4</v>
      </c>
      <c r="M68" s="159">
        <v>4.62</v>
      </c>
      <c r="N68" s="159">
        <v>4.8</v>
      </c>
      <c r="O68" s="159">
        <v>4.8</v>
      </c>
      <c r="P68" s="159">
        <v>4.8</v>
      </c>
      <c r="Q68" s="159">
        <v>4.8</v>
      </c>
      <c r="R68" s="159">
        <v>4.8</v>
      </c>
      <c r="S68" s="159">
        <v>4.7</v>
      </c>
      <c r="T68" s="159">
        <v>4.6</v>
      </c>
      <c r="U68" s="159">
        <v>4.8</v>
      </c>
      <c r="V68" s="159">
        <v>4.7</v>
      </c>
      <c r="W68" s="159">
        <v>4.7</v>
      </c>
      <c r="X68" s="161"/>
      <c r="Y68" s="161"/>
      <c r="Z68" s="161"/>
      <c r="AA68" s="161"/>
      <c r="AB68" s="161"/>
      <c r="AC68" s="159">
        <v>4.706666666666667</v>
      </c>
      <c r="AD68" s="159"/>
    </row>
    <row r="69">
      <c r="A69" s="162">
        <v>101827.0</v>
      </c>
      <c r="B69" s="163" t="s">
        <v>389</v>
      </c>
      <c r="C69" s="164" t="s">
        <v>390</v>
      </c>
      <c r="D69" s="165">
        <v>44272.0</v>
      </c>
      <c r="E69" s="164" t="s">
        <v>326</v>
      </c>
      <c r="F69" s="161"/>
      <c r="G69" s="161"/>
      <c r="H69" s="159">
        <v>4.5</v>
      </c>
      <c r="I69" s="159">
        <v>4.5</v>
      </c>
      <c r="J69" s="159">
        <v>4.6</v>
      </c>
      <c r="K69" s="159">
        <v>4.5</v>
      </c>
      <c r="L69" s="159">
        <v>5.0</v>
      </c>
      <c r="M69" s="159">
        <v>4.62</v>
      </c>
      <c r="N69" s="159">
        <v>4.5</v>
      </c>
      <c r="O69" s="159">
        <v>4.5</v>
      </c>
      <c r="P69" s="159">
        <v>4.6</v>
      </c>
      <c r="Q69" s="159">
        <v>4.5</v>
      </c>
      <c r="R69" s="159">
        <v>4.525</v>
      </c>
      <c r="S69" s="159">
        <v>4.5</v>
      </c>
      <c r="T69" s="159">
        <v>4.6</v>
      </c>
      <c r="U69" s="159">
        <v>4.6</v>
      </c>
      <c r="V69" s="159">
        <v>4.7</v>
      </c>
      <c r="W69" s="159">
        <v>4.6</v>
      </c>
      <c r="X69" s="161"/>
      <c r="Y69" s="161"/>
      <c r="Z69" s="161"/>
      <c r="AA69" s="161"/>
      <c r="AB69" s="161"/>
      <c r="AC69" s="159">
        <v>4.581666666666666</v>
      </c>
      <c r="AD69" s="159"/>
    </row>
    <row r="70">
      <c r="A70" s="162">
        <v>101837.0</v>
      </c>
      <c r="B70" s="163" t="s">
        <v>391</v>
      </c>
      <c r="C70" s="164" t="s">
        <v>392</v>
      </c>
      <c r="D70" s="165">
        <v>44272.0</v>
      </c>
      <c r="E70" s="164" t="s">
        <v>393</v>
      </c>
      <c r="F70" s="161"/>
      <c r="G70" s="161"/>
      <c r="H70" s="159">
        <v>4.5</v>
      </c>
      <c r="I70" s="159">
        <v>4.6</v>
      </c>
      <c r="J70" s="159">
        <v>4.6</v>
      </c>
      <c r="K70" s="159">
        <v>4.5</v>
      </c>
      <c r="L70" s="159">
        <v>4.5</v>
      </c>
      <c r="M70" s="159">
        <v>4.54</v>
      </c>
      <c r="N70" s="159">
        <v>4.5</v>
      </c>
      <c r="O70" s="159">
        <v>4.6</v>
      </c>
      <c r="P70" s="159">
        <v>4.6</v>
      </c>
      <c r="Q70" s="159">
        <v>4.5</v>
      </c>
      <c r="R70" s="159">
        <v>4.55</v>
      </c>
      <c r="S70" s="159">
        <v>4.5</v>
      </c>
      <c r="T70" s="159">
        <v>4.6</v>
      </c>
      <c r="U70" s="159">
        <v>4.6</v>
      </c>
      <c r="V70" s="159">
        <v>4.5</v>
      </c>
      <c r="W70" s="159">
        <v>4.55</v>
      </c>
      <c r="X70" s="161"/>
      <c r="Y70" s="161"/>
      <c r="Z70" s="161"/>
      <c r="AA70" s="161"/>
      <c r="AB70" s="161"/>
      <c r="AC70" s="159">
        <v>4.546666666666667</v>
      </c>
      <c r="AD70" s="159"/>
    </row>
    <row r="71">
      <c r="A71" s="162">
        <v>100054.0</v>
      </c>
      <c r="B71" s="163" t="s">
        <v>395</v>
      </c>
      <c r="C71" s="164" t="s">
        <v>396</v>
      </c>
      <c r="D71" s="165">
        <v>44272.0</v>
      </c>
      <c r="E71" s="164" t="s">
        <v>397</v>
      </c>
      <c r="F71" s="161"/>
      <c r="G71" s="161"/>
      <c r="H71" s="159">
        <v>4.6</v>
      </c>
      <c r="I71" s="159">
        <v>4.6</v>
      </c>
      <c r="J71" s="159">
        <v>4.7</v>
      </c>
      <c r="K71" s="159">
        <v>4.6</v>
      </c>
      <c r="L71" s="159">
        <v>4.7</v>
      </c>
      <c r="M71" s="159">
        <v>4.64</v>
      </c>
      <c r="N71" s="159">
        <v>4.6</v>
      </c>
      <c r="O71" s="159">
        <v>4.5</v>
      </c>
      <c r="P71" s="159">
        <v>4.6</v>
      </c>
      <c r="Q71" s="159">
        <v>4.5</v>
      </c>
      <c r="R71" s="159">
        <v>4.55</v>
      </c>
      <c r="S71" s="159">
        <v>4.5</v>
      </c>
      <c r="T71" s="159">
        <v>4.5</v>
      </c>
      <c r="U71" s="159">
        <v>4.5</v>
      </c>
      <c r="V71" s="159">
        <v>4.5</v>
      </c>
      <c r="W71" s="159">
        <v>4.5</v>
      </c>
      <c r="X71" s="161"/>
      <c r="Y71" s="161"/>
      <c r="Z71" s="161"/>
      <c r="AA71" s="161"/>
      <c r="AB71" s="161"/>
      <c r="AC71" s="159">
        <v>4.5633333333333335</v>
      </c>
      <c r="AD71" s="159"/>
    </row>
    <row r="72">
      <c r="A72" s="162">
        <v>101808.0</v>
      </c>
      <c r="B72" s="163" t="s">
        <v>399</v>
      </c>
      <c r="C72" s="164" t="s">
        <v>400</v>
      </c>
      <c r="D72" s="165">
        <v>44272.0</v>
      </c>
      <c r="E72" s="164" t="s">
        <v>397</v>
      </c>
      <c r="F72" s="161"/>
      <c r="G72" s="161"/>
      <c r="H72" s="159">
        <v>4.7</v>
      </c>
      <c r="I72" s="159">
        <v>4.6</v>
      </c>
      <c r="J72" s="159">
        <v>4.7</v>
      </c>
      <c r="K72" s="159">
        <v>4.6</v>
      </c>
      <c r="L72" s="159">
        <v>4.7</v>
      </c>
      <c r="M72" s="159">
        <v>4.66</v>
      </c>
      <c r="N72" s="159">
        <v>4.6</v>
      </c>
      <c r="O72" s="159">
        <v>4.7</v>
      </c>
      <c r="P72" s="159">
        <v>4.6</v>
      </c>
      <c r="Q72" s="159">
        <v>4.6</v>
      </c>
      <c r="R72" s="159">
        <v>4.625</v>
      </c>
      <c r="S72" s="159">
        <v>4.6</v>
      </c>
      <c r="T72" s="159">
        <v>4.6</v>
      </c>
      <c r="U72" s="159">
        <v>4.7</v>
      </c>
      <c r="V72" s="159">
        <v>4.6</v>
      </c>
      <c r="W72" s="159">
        <v>4.625</v>
      </c>
      <c r="X72" s="161"/>
      <c r="Y72" s="161"/>
      <c r="Z72" s="161"/>
      <c r="AA72" s="161"/>
      <c r="AB72" s="161"/>
      <c r="AC72" s="159">
        <v>4.636666666666667</v>
      </c>
      <c r="AD72" s="159"/>
    </row>
    <row r="73">
      <c r="A73" s="162">
        <v>101808.0</v>
      </c>
      <c r="B73" s="163" t="s">
        <v>402</v>
      </c>
      <c r="C73" s="164" t="s">
        <v>400</v>
      </c>
      <c r="D73" s="165">
        <v>44272.0</v>
      </c>
      <c r="E73" s="164" t="s">
        <v>397</v>
      </c>
      <c r="F73" s="161"/>
      <c r="G73" s="161"/>
      <c r="H73" s="159">
        <v>4.6</v>
      </c>
      <c r="I73" s="159">
        <v>4.6</v>
      </c>
      <c r="J73" s="159">
        <v>4.6</v>
      </c>
      <c r="K73" s="159">
        <v>4.6</v>
      </c>
      <c r="L73" s="159">
        <v>4.7</v>
      </c>
      <c r="M73" s="159">
        <v>4.619999999999999</v>
      </c>
      <c r="N73" s="159">
        <v>4.6</v>
      </c>
      <c r="O73" s="159">
        <v>4.6</v>
      </c>
      <c r="P73" s="159">
        <v>4.6</v>
      </c>
      <c r="Q73" s="159">
        <v>4.6</v>
      </c>
      <c r="R73" s="159">
        <v>4.6</v>
      </c>
      <c r="S73" s="159">
        <v>4.6</v>
      </c>
      <c r="T73" s="159">
        <v>4.6</v>
      </c>
      <c r="U73" s="159">
        <v>4.7</v>
      </c>
      <c r="V73" s="159">
        <v>4.6</v>
      </c>
      <c r="W73" s="159">
        <v>4.625</v>
      </c>
      <c r="X73" s="161"/>
      <c r="Y73" s="161"/>
      <c r="Z73" s="161"/>
      <c r="AA73" s="161"/>
      <c r="AB73" s="161"/>
      <c r="AC73" s="159">
        <v>4.614999999999999</v>
      </c>
      <c r="AD73" s="159"/>
    </row>
    <row r="74">
      <c r="A74" s="162">
        <v>101808.0</v>
      </c>
      <c r="B74" s="163" t="s">
        <v>404</v>
      </c>
      <c r="C74" s="164" t="s">
        <v>400</v>
      </c>
      <c r="D74" s="165">
        <v>44272.0</v>
      </c>
      <c r="E74" s="164" t="s">
        <v>397</v>
      </c>
      <c r="F74" s="161"/>
      <c r="G74" s="161"/>
      <c r="H74" s="159">
        <v>4.6</v>
      </c>
      <c r="I74" s="159">
        <v>4.6</v>
      </c>
      <c r="J74" s="159">
        <v>4.7</v>
      </c>
      <c r="K74" s="159">
        <v>4.6</v>
      </c>
      <c r="L74" s="159">
        <v>4.7</v>
      </c>
      <c r="M74" s="159">
        <v>4.64</v>
      </c>
      <c r="N74" s="159">
        <v>4.5</v>
      </c>
      <c r="O74" s="159">
        <v>4.5</v>
      </c>
      <c r="P74" s="159">
        <v>4.7</v>
      </c>
      <c r="Q74" s="159">
        <v>4.6</v>
      </c>
      <c r="R74" s="159">
        <v>4.574999999999999</v>
      </c>
      <c r="S74" s="159">
        <v>4.6</v>
      </c>
      <c r="T74" s="159">
        <v>4.6</v>
      </c>
      <c r="U74" s="159">
        <v>4.7</v>
      </c>
      <c r="V74" s="159">
        <v>4.6</v>
      </c>
      <c r="W74" s="159">
        <v>4.625</v>
      </c>
      <c r="X74" s="161"/>
      <c r="Y74" s="161"/>
      <c r="Z74" s="161"/>
      <c r="AA74" s="161"/>
      <c r="AB74" s="161"/>
      <c r="AC74" s="159">
        <v>4.613333333333333</v>
      </c>
      <c r="AD74" s="159"/>
    </row>
    <row r="75">
      <c r="A75" s="162">
        <v>101848.0</v>
      </c>
      <c r="B75" s="163" t="s">
        <v>405</v>
      </c>
      <c r="C75" s="164" t="s">
        <v>406</v>
      </c>
      <c r="D75" s="165">
        <v>44272.0</v>
      </c>
      <c r="E75" s="164" t="s">
        <v>254</v>
      </c>
      <c r="F75" s="161"/>
      <c r="G75" s="161"/>
      <c r="H75" s="159">
        <v>4.5</v>
      </c>
      <c r="I75" s="159">
        <v>4.5</v>
      </c>
      <c r="J75" s="159">
        <v>4.8</v>
      </c>
      <c r="K75" s="159">
        <v>4.8</v>
      </c>
      <c r="L75" s="159">
        <v>5.0</v>
      </c>
      <c r="M75" s="159">
        <v>4.720000000000001</v>
      </c>
      <c r="N75" s="159">
        <v>4.5</v>
      </c>
      <c r="O75" s="159">
        <v>4.5</v>
      </c>
      <c r="P75" s="159">
        <v>4.7</v>
      </c>
      <c r="Q75" s="159">
        <v>4.8</v>
      </c>
      <c r="R75" s="159">
        <v>4.625</v>
      </c>
      <c r="S75" s="159">
        <v>4.5</v>
      </c>
      <c r="T75" s="159">
        <v>4.6</v>
      </c>
      <c r="U75" s="159">
        <v>4.7</v>
      </c>
      <c r="V75" s="159">
        <v>4.7</v>
      </c>
      <c r="W75" s="159">
        <v>4.625</v>
      </c>
      <c r="X75" s="161"/>
      <c r="Y75" s="161"/>
      <c r="Z75" s="161"/>
      <c r="AA75" s="161"/>
      <c r="AB75" s="161"/>
      <c r="AC75" s="159">
        <v>4.656666666666667</v>
      </c>
      <c r="AD75" s="159"/>
    </row>
    <row r="76">
      <c r="A76" s="162">
        <v>101827.0</v>
      </c>
      <c r="B76" s="163" t="s">
        <v>407</v>
      </c>
      <c r="C76" s="164" t="s">
        <v>390</v>
      </c>
      <c r="D76" s="165">
        <v>44272.0</v>
      </c>
      <c r="E76" s="164" t="s">
        <v>254</v>
      </c>
      <c r="F76" s="161"/>
      <c r="G76" s="161"/>
      <c r="H76" s="159">
        <v>4.5</v>
      </c>
      <c r="I76" s="159">
        <v>4.5</v>
      </c>
      <c r="J76" s="159">
        <v>4.7</v>
      </c>
      <c r="K76" s="159">
        <v>4.8</v>
      </c>
      <c r="L76" s="159">
        <v>5.0</v>
      </c>
      <c r="M76" s="159">
        <v>4.7</v>
      </c>
      <c r="N76" s="159">
        <v>4.5</v>
      </c>
      <c r="O76" s="159">
        <v>4.5</v>
      </c>
      <c r="P76" s="159">
        <v>4.7</v>
      </c>
      <c r="Q76" s="159">
        <v>4.8</v>
      </c>
      <c r="R76" s="159">
        <v>4.625</v>
      </c>
      <c r="S76" s="159">
        <v>4.5</v>
      </c>
      <c r="T76" s="159">
        <v>4.5</v>
      </c>
      <c r="U76" s="159">
        <v>4.7</v>
      </c>
      <c r="V76" s="159">
        <v>4.8</v>
      </c>
      <c r="W76" s="159">
        <v>4.625</v>
      </c>
      <c r="X76" s="161"/>
      <c r="Y76" s="161"/>
      <c r="Z76" s="161"/>
      <c r="AA76" s="161"/>
      <c r="AB76" s="161"/>
      <c r="AC76" s="159">
        <v>4.6499999999999995</v>
      </c>
      <c r="AD76" s="159"/>
    </row>
    <row r="77">
      <c r="A77" s="162">
        <v>101547.0</v>
      </c>
      <c r="B77" s="163" t="s">
        <v>409</v>
      </c>
      <c r="C77" s="164" t="s">
        <v>410</v>
      </c>
      <c r="D77" s="165">
        <v>44272.0</v>
      </c>
      <c r="E77" s="164" t="s">
        <v>411</v>
      </c>
      <c r="F77" s="161"/>
      <c r="G77" s="161"/>
      <c r="H77" s="159">
        <v>4.7</v>
      </c>
      <c r="I77" s="159">
        <v>4.6</v>
      </c>
      <c r="J77" s="159">
        <v>4.7</v>
      </c>
      <c r="K77" s="159">
        <v>4.7</v>
      </c>
      <c r="L77" s="159">
        <v>4.7</v>
      </c>
      <c r="M77" s="159">
        <v>4.68</v>
      </c>
      <c r="N77" s="159">
        <v>4.7</v>
      </c>
      <c r="O77" s="159">
        <v>4.6</v>
      </c>
      <c r="P77" s="159">
        <v>4.6</v>
      </c>
      <c r="Q77" s="159">
        <v>4.7</v>
      </c>
      <c r="R77" s="159">
        <v>4.65</v>
      </c>
      <c r="S77" s="159">
        <v>4.7</v>
      </c>
      <c r="T77" s="159">
        <v>4.6</v>
      </c>
      <c r="U77" s="159">
        <v>4.7</v>
      </c>
      <c r="V77" s="159">
        <v>4.7</v>
      </c>
      <c r="W77" s="159">
        <v>4.675</v>
      </c>
      <c r="X77" s="161"/>
      <c r="Y77" s="161"/>
      <c r="Z77" s="161"/>
      <c r="AA77" s="161"/>
      <c r="AB77" s="161"/>
      <c r="AC77" s="159">
        <v>4.668333333333333</v>
      </c>
      <c r="AD77" s="159"/>
    </row>
    <row r="78">
      <c r="A78" s="162">
        <v>101832.0</v>
      </c>
      <c r="B78" s="163" t="s">
        <v>412</v>
      </c>
      <c r="C78" s="164" t="s">
        <v>413</v>
      </c>
      <c r="D78" s="165">
        <v>44272.0</v>
      </c>
      <c r="E78" s="164" t="s">
        <v>87</v>
      </c>
      <c r="F78" s="161"/>
      <c r="G78" s="161"/>
      <c r="H78" s="159">
        <v>4.6</v>
      </c>
      <c r="I78" s="159">
        <v>4.5</v>
      </c>
      <c r="J78" s="159">
        <v>4.6</v>
      </c>
      <c r="K78" s="159">
        <v>4.7</v>
      </c>
      <c r="L78" s="159">
        <v>4.7</v>
      </c>
      <c r="M78" s="159">
        <v>4.619999999999999</v>
      </c>
      <c r="N78" s="159">
        <v>4.6</v>
      </c>
      <c r="O78" s="159">
        <v>4.5</v>
      </c>
      <c r="P78" s="159">
        <v>4.6</v>
      </c>
      <c r="Q78" s="159">
        <v>4.7</v>
      </c>
      <c r="R78" s="159">
        <v>4.6</v>
      </c>
      <c r="S78" s="159">
        <v>4.6</v>
      </c>
      <c r="T78" s="159">
        <v>4.5</v>
      </c>
      <c r="U78" s="159">
        <v>4.6</v>
      </c>
      <c r="V78" s="159">
        <v>4.7</v>
      </c>
      <c r="W78" s="159">
        <v>4.6</v>
      </c>
      <c r="X78" s="161"/>
      <c r="Y78" s="161"/>
      <c r="Z78" s="161"/>
      <c r="AA78" s="161"/>
      <c r="AB78" s="161"/>
      <c r="AC78" s="159">
        <v>4.6066666666666665</v>
      </c>
      <c r="AD78" s="159"/>
    </row>
    <row r="79">
      <c r="A79" s="162">
        <v>101832.0</v>
      </c>
      <c r="B79" s="163" t="s">
        <v>374</v>
      </c>
      <c r="C79" s="164" t="s">
        <v>413</v>
      </c>
      <c r="D79" s="165">
        <v>44272.0</v>
      </c>
      <c r="E79" s="164" t="s">
        <v>414</v>
      </c>
      <c r="F79" s="161"/>
      <c r="G79" s="161"/>
      <c r="H79" s="159">
        <v>4.4</v>
      </c>
      <c r="I79" s="159">
        <v>4.4</v>
      </c>
      <c r="J79" s="159">
        <v>4.5</v>
      </c>
      <c r="K79" s="159">
        <v>4.5</v>
      </c>
      <c r="L79" s="159">
        <v>4.5</v>
      </c>
      <c r="M79" s="159">
        <v>4.46</v>
      </c>
      <c r="N79" s="159">
        <v>4.4</v>
      </c>
      <c r="O79" s="159">
        <v>4.4</v>
      </c>
      <c r="P79" s="159">
        <v>4.5</v>
      </c>
      <c r="Q79" s="159">
        <v>4.5</v>
      </c>
      <c r="R79" s="159">
        <v>4.45</v>
      </c>
      <c r="S79" s="159">
        <v>4.4</v>
      </c>
      <c r="T79" s="159">
        <v>4.4</v>
      </c>
      <c r="U79" s="159">
        <v>4.5</v>
      </c>
      <c r="V79" s="159">
        <v>4.5</v>
      </c>
      <c r="W79" s="159">
        <v>4.45</v>
      </c>
      <c r="X79" s="161"/>
      <c r="Y79" s="161"/>
      <c r="Z79" s="161"/>
      <c r="AA79" s="161"/>
      <c r="AB79" s="161"/>
      <c r="AC79" s="159">
        <v>4.453333333333333</v>
      </c>
      <c r="AD79" s="159"/>
    </row>
    <row r="80">
      <c r="A80" s="162">
        <v>101864.0</v>
      </c>
      <c r="B80" s="163" t="s">
        <v>416</v>
      </c>
      <c r="C80" s="164" t="s">
        <v>417</v>
      </c>
      <c r="D80" s="165">
        <v>44273.0</v>
      </c>
      <c r="E80" s="164" t="s">
        <v>51</v>
      </c>
      <c r="F80" s="161"/>
      <c r="G80" s="161"/>
      <c r="H80" s="159">
        <v>4.4</v>
      </c>
      <c r="I80" s="159">
        <v>4.8</v>
      </c>
      <c r="J80" s="159">
        <v>4.7</v>
      </c>
      <c r="K80" s="159">
        <v>4.4</v>
      </c>
      <c r="L80" s="159">
        <v>4.3</v>
      </c>
      <c r="M80" s="159">
        <v>4.52</v>
      </c>
      <c r="N80" s="159">
        <v>4.4</v>
      </c>
      <c r="O80" s="159">
        <v>4.8</v>
      </c>
      <c r="P80" s="159">
        <v>4.5</v>
      </c>
      <c r="Q80" s="159">
        <v>4.5</v>
      </c>
      <c r="R80" s="159">
        <v>4.55</v>
      </c>
      <c r="S80" s="159">
        <v>4.4</v>
      </c>
      <c r="T80" s="159">
        <v>4.7</v>
      </c>
      <c r="U80" s="159">
        <v>4.6</v>
      </c>
      <c r="V80" s="159">
        <v>4.5</v>
      </c>
      <c r="W80" s="159">
        <v>4.550000000000001</v>
      </c>
      <c r="X80" s="161"/>
      <c r="Y80" s="161"/>
      <c r="Z80" s="161"/>
      <c r="AA80" s="161"/>
      <c r="AB80" s="161"/>
      <c r="AC80" s="159">
        <v>4.54</v>
      </c>
      <c r="AD80" s="159"/>
    </row>
    <row r="81">
      <c r="A81" s="162">
        <v>101867.0</v>
      </c>
      <c r="B81" s="163" t="s">
        <v>418</v>
      </c>
      <c r="C81" s="164" t="s">
        <v>419</v>
      </c>
      <c r="D81" s="165">
        <v>44273.0</v>
      </c>
      <c r="E81" s="164" t="s">
        <v>357</v>
      </c>
      <c r="F81" s="161"/>
      <c r="G81" s="161"/>
      <c r="H81" s="159">
        <v>4.8</v>
      </c>
      <c r="I81" s="159">
        <v>4.8</v>
      </c>
      <c r="J81" s="159">
        <v>4.8</v>
      </c>
      <c r="K81" s="159">
        <v>4.7</v>
      </c>
      <c r="L81" s="159">
        <v>4.7</v>
      </c>
      <c r="M81" s="159">
        <v>4.76</v>
      </c>
      <c r="N81" s="159">
        <v>4.8</v>
      </c>
      <c r="O81" s="159">
        <v>4.8</v>
      </c>
      <c r="P81" s="159">
        <v>4.8</v>
      </c>
      <c r="Q81" s="159">
        <v>4.7</v>
      </c>
      <c r="R81" s="159">
        <v>4.7749999999999995</v>
      </c>
      <c r="S81" s="159">
        <v>4.8</v>
      </c>
      <c r="T81" s="159">
        <v>4.8</v>
      </c>
      <c r="U81" s="159">
        <v>4.8</v>
      </c>
      <c r="V81" s="159">
        <v>4.7</v>
      </c>
      <c r="W81" s="159">
        <v>4.7749999999999995</v>
      </c>
      <c r="X81" s="161"/>
      <c r="Y81" s="161"/>
      <c r="Z81" s="161"/>
      <c r="AA81" s="161"/>
      <c r="AB81" s="161"/>
      <c r="AC81" s="159">
        <v>4.77</v>
      </c>
      <c r="AD81" s="159"/>
    </row>
    <row r="82">
      <c r="A82" s="162">
        <v>101868.0</v>
      </c>
      <c r="B82" s="163" t="s">
        <v>421</v>
      </c>
      <c r="C82" s="164" t="s">
        <v>422</v>
      </c>
      <c r="D82" s="165">
        <v>44278.0</v>
      </c>
      <c r="E82" s="164" t="s">
        <v>87</v>
      </c>
      <c r="F82" s="161"/>
      <c r="G82" s="161"/>
      <c r="H82" s="159">
        <v>4.7</v>
      </c>
      <c r="I82" s="159">
        <v>4.7</v>
      </c>
      <c r="J82" s="159">
        <v>4.7</v>
      </c>
      <c r="K82" s="159">
        <v>4.7</v>
      </c>
      <c r="L82" s="159">
        <v>4.7</v>
      </c>
      <c r="M82" s="159">
        <v>4.7</v>
      </c>
      <c r="N82" s="159">
        <v>4.6</v>
      </c>
      <c r="O82" s="159">
        <v>4.6</v>
      </c>
      <c r="P82" s="159">
        <v>4.6</v>
      </c>
      <c r="Q82" s="159">
        <v>4.6</v>
      </c>
      <c r="R82" s="159">
        <v>4.6</v>
      </c>
      <c r="S82" s="159">
        <v>4.6</v>
      </c>
      <c r="T82" s="159">
        <v>4.6</v>
      </c>
      <c r="U82" s="159">
        <v>4.6</v>
      </c>
      <c r="V82" s="159">
        <v>4.6</v>
      </c>
      <c r="W82" s="159">
        <v>4.6</v>
      </c>
      <c r="X82" s="161"/>
      <c r="Y82" s="161"/>
      <c r="Z82" s="161"/>
      <c r="AA82" s="161"/>
      <c r="AB82" s="161"/>
      <c r="AC82" s="159">
        <v>4.633333333333334</v>
      </c>
      <c r="AD82" s="159"/>
    </row>
    <row r="83">
      <c r="A83" s="162">
        <v>101890.0</v>
      </c>
      <c r="B83" s="163" t="s">
        <v>423</v>
      </c>
      <c r="C83" s="164" t="s">
        <v>424</v>
      </c>
      <c r="D83" s="165">
        <v>44303.0</v>
      </c>
      <c r="E83" s="164" t="s">
        <v>87</v>
      </c>
      <c r="F83" s="161"/>
      <c r="G83" s="161"/>
      <c r="H83" s="159">
        <v>4.6</v>
      </c>
      <c r="I83" s="159">
        <v>4.7</v>
      </c>
      <c r="J83" s="159">
        <v>4.6</v>
      </c>
      <c r="K83" s="159">
        <v>4.7</v>
      </c>
      <c r="L83" s="159">
        <v>4.7</v>
      </c>
      <c r="M83" s="159">
        <v>4.66</v>
      </c>
      <c r="N83" s="159">
        <v>4.7</v>
      </c>
      <c r="O83" s="159">
        <v>4.5</v>
      </c>
      <c r="P83" s="159">
        <v>4.5</v>
      </c>
      <c r="Q83" s="159">
        <v>4.5</v>
      </c>
      <c r="R83" s="159">
        <v>4.55</v>
      </c>
      <c r="S83" s="159">
        <v>4.7</v>
      </c>
      <c r="T83" s="159">
        <v>4.5</v>
      </c>
      <c r="U83" s="159">
        <v>4.5</v>
      </c>
      <c r="V83" s="159">
        <v>4.5</v>
      </c>
      <c r="W83" s="159">
        <v>4.55</v>
      </c>
      <c r="X83" s="161"/>
      <c r="Y83" s="161"/>
      <c r="Z83" s="161"/>
      <c r="AA83" s="161"/>
      <c r="AB83" s="161"/>
      <c r="AC83" s="159">
        <v>4.586666666666667</v>
      </c>
      <c r="AD83" s="159"/>
    </row>
    <row r="84">
      <c r="A84" s="162">
        <v>101881.0</v>
      </c>
      <c r="B84" s="163" t="s">
        <v>425</v>
      </c>
      <c r="C84" s="164" t="s">
        <v>426</v>
      </c>
      <c r="D84" s="165">
        <v>44307.0</v>
      </c>
      <c r="E84" s="164" t="s">
        <v>427</v>
      </c>
      <c r="F84" s="161"/>
      <c r="G84" s="161"/>
      <c r="H84" s="159">
        <v>4.8</v>
      </c>
      <c r="I84" s="159">
        <v>4.7</v>
      </c>
      <c r="J84" s="159">
        <v>4.6</v>
      </c>
      <c r="K84" s="159">
        <v>4.7</v>
      </c>
      <c r="L84" s="159">
        <v>4.7</v>
      </c>
      <c r="M84" s="159">
        <v>4.7</v>
      </c>
      <c r="N84" s="159">
        <v>4.6</v>
      </c>
      <c r="O84" s="159">
        <v>4.6</v>
      </c>
      <c r="P84" s="159">
        <v>4.6</v>
      </c>
      <c r="Q84" s="159">
        <v>4.6</v>
      </c>
      <c r="R84" s="159">
        <v>4.6</v>
      </c>
      <c r="S84" s="159">
        <v>4.6</v>
      </c>
      <c r="T84" s="159">
        <v>4.6</v>
      </c>
      <c r="U84" s="159">
        <v>4.6</v>
      </c>
      <c r="V84" s="159">
        <v>4.6</v>
      </c>
      <c r="W84" s="159">
        <v>4.6</v>
      </c>
      <c r="X84" s="161"/>
      <c r="Y84" s="161"/>
      <c r="Z84" s="161"/>
      <c r="AA84" s="161"/>
      <c r="AB84" s="161"/>
      <c r="AC84" s="159">
        <v>4.633333333333334</v>
      </c>
      <c r="AD84" s="159"/>
    </row>
    <row r="85">
      <c r="A85" s="162">
        <v>101895.0</v>
      </c>
      <c r="B85" s="163" t="s">
        <v>430</v>
      </c>
      <c r="C85" s="164" t="s">
        <v>431</v>
      </c>
      <c r="D85" s="165">
        <v>44309.0</v>
      </c>
      <c r="E85" s="164" t="s">
        <v>432</v>
      </c>
      <c r="F85" s="161"/>
      <c r="G85" s="161"/>
      <c r="H85" s="159">
        <v>4.8</v>
      </c>
      <c r="I85" s="159">
        <v>4.8</v>
      </c>
      <c r="J85" s="159">
        <v>4.9</v>
      </c>
      <c r="K85" s="159">
        <v>4.9</v>
      </c>
      <c r="L85" s="159">
        <v>4.8</v>
      </c>
      <c r="M85" s="159">
        <v>4.84</v>
      </c>
      <c r="N85" s="159">
        <v>4.8</v>
      </c>
      <c r="O85" s="159">
        <v>4.8</v>
      </c>
      <c r="P85" s="159">
        <v>5.0</v>
      </c>
      <c r="Q85" s="159">
        <v>4.9</v>
      </c>
      <c r="R85" s="159">
        <v>4.875</v>
      </c>
      <c r="S85" s="159">
        <v>4.8</v>
      </c>
      <c r="T85" s="159">
        <v>4.8</v>
      </c>
      <c r="U85" s="159">
        <v>5.0</v>
      </c>
      <c r="V85" s="159">
        <v>4.9</v>
      </c>
      <c r="W85" s="159">
        <v>4.875</v>
      </c>
      <c r="X85" s="161"/>
      <c r="Y85" s="161"/>
      <c r="Z85" s="161"/>
      <c r="AA85" s="161"/>
      <c r="AB85" s="161"/>
      <c r="AC85" s="159">
        <v>4.863333333333333</v>
      </c>
      <c r="AD85" s="159"/>
    </row>
    <row r="86">
      <c r="A86" s="162">
        <v>101881.0</v>
      </c>
      <c r="B86" s="163" t="s">
        <v>433</v>
      </c>
      <c r="C86" s="164" t="s">
        <v>426</v>
      </c>
      <c r="D86" s="165">
        <v>44310.0</v>
      </c>
      <c r="E86" s="164" t="s">
        <v>87</v>
      </c>
      <c r="F86" s="161"/>
      <c r="G86" s="161"/>
      <c r="H86" s="159">
        <v>4.6</v>
      </c>
      <c r="I86" s="159">
        <v>4.6</v>
      </c>
      <c r="J86" s="159">
        <v>4.6</v>
      </c>
      <c r="K86" s="159">
        <v>4.6</v>
      </c>
      <c r="L86" s="159">
        <v>4.6</v>
      </c>
      <c r="M86" s="159">
        <v>4.6</v>
      </c>
      <c r="N86" s="159">
        <v>4.5</v>
      </c>
      <c r="O86" s="159">
        <v>4.5</v>
      </c>
      <c r="P86" s="159">
        <v>4.5</v>
      </c>
      <c r="Q86" s="159">
        <v>4.5</v>
      </c>
      <c r="R86" s="159">
        <v>4.5</v>
      </c>
      <c r="S86" s="159">
        <v>4.5</v>
      </c>
      <c r="T86" s="159">
        <v>4.5</v>
      </c>
      <c r="U86" s="159">
        <v>4.5</v>
      </c>
      <c r="V86" s="159">
        <v>4.5</v>
      </c>
      <c r="W86" s="159">
        <v>4.5</v>
      </c>
      <c r="X86" s="161"/>
      <c r="Y86" s="161"/>
      <c r="Z86" s="161"/>
      <c r="AA86" s="161"/>
      <c r="AB86" s="161"/>
      <c r="AC86" s="159">
        <v>4.533333333333333</v>
      </c>
      <c r="AD86" s="159"/>
    </row>
    <row r="87">
      <c r="A87" s="162">
        <v>101896.0</v>
      </c>
      <c r="B87" s="163" t="s">
        <v>435</v>
      </c>
      <c r="C87" s="164" t="s">
        <v>436</v>
      </c>
      <c r="D87" s="165">
        <v>44319.0</v>
      </c>
      <c r="E87" s="164" t="s">
        <v>437</v>
      </c>
      <c r="F87" s="161"/>
      <c r="G87" s="161"/>
      <c r="H87" s="159">
        <v>4.7</v>
      </c>
      <c r="I87" s="159">
        <v>4.8</v>
      </c>
      <c r="J87" s="159">
        <v>4.7</v>
      </c>
      <c r="K87" s="159">
        <v>4.7</v>
      </c>
      <c r="L87" s="159">
        <v>4.7</v>
      </c>
      <c r="M87" s="159">
        <v>4.72</v>
      </c>
      <c r="N87" s="159">
        <v>4.6</v>
      </c>
      <c r="O87" s="159">
        <v>4.6</v>
      </c>
      <c r="P87" s="159">
        <v>4.6</v>
      </c>
      <c r="Q87" s="159">
        <v>4.6</v>
      </c>
      <c r="R87" s="159">
        <v>4.6</v>
      </c>
      <c r="S87" s="159">
        <v>4.6</v>
      </c>
      <c r="T87" s="159">
        <v>4.6</v>
      </c>
      <c r="U87" s="159">
        <v>4.6</v>
      </c>
      <c r="V87" s="159">
        <v>4.6</v>
      </c>
      <c r="W87" s="159">
        <v>4.6</v>
      </c>
      <c r="X87" s="161"/>
      <c r="Y87" s="161"/>
      <c r="Z87" s="161"/>
      <c r="AA87" s="161"/>
      <c r="AB87" s="161"/>
      <c r="AC87" s="159">
        <v>4.64</v>
      </c>
      <c r="AD87" s="159"/>
    </row>
    <row r="88">
      <c r="A88" s="162">
        <v>101906.0</v>
      </c>
      <c r="B88" s="163" t="s">
        <v>438</v>
      </c>
      <c r="C88" s="164" t="s">
        <v>439</v>
      </c>
      <c r="D88" s="165">
        <v>44320.0</v>
      </c>
      <c r="E88" s="164" t="s">
        <v>340</v>
      </c>
      <c r="F88" s="161"/>
      <c r="G88" s="161"/>
      <c r="H88" s="159">
        <v>4.8</v>
      </c>
      <c r="I88" s="159">
        <v>4.8</v>
      </c>
      <c r="J88" s="159">
        <v>4.8</v>
      </c>
      <c r="K88" s="159">
        <v>4.8</v>
      </c>
      <c r="L88" s="159">
        <v>4.8</v>
      </c>
      <c r="M88" s="159">
        <v>4.8</v>
      </c>
      <c r="N88" s="159">
        <v>4.8</v>
      </c>
      <c r="O88" s="159">
        <v>4.8</v>
      </c>
      <c r="P88" s="159">
        <v>4.8</v>
      </c>
      <c r="Q88" s="159">
        <v>4.8</v>
      </c>
      <c r="R88" s="159">
        <v>4.8</v>
      </c>
      <c r="S88" s="159">
        <v>4.8</v>
      </c>
      <c r="T88" s="159">
        <v>4.8</v>
      </c>
      <c r="U88" s="159">
        <v>4.8</v>
      </c>
      <c r="V88" s="159">
        <v>4.8</v>
      </c>
      <c r="W88" s="159">
        <v>4.8</v>
      </c>
      <c r="X88" s="161"/>
      <c r="Y88" s="161"/>
      <c r="Z88" s="161"/>
      <c r="AA88" s="161"/>
      <c r="AB88" s="161"/>
      <c r="AC88" s="159">
        <v>4.8</v>
      </c>
      <c r="AD88" s="159"/>
    </row>
    <row r="89">
      <c r="A89" s="162">
        <v>101904.0</v>
      </c>
      <c r="B89" s="163" t="s">
        <v>441</v>
      </c>
      <c r="C89" s="164" t="s">
        <v>442</v>
      </c>
      <c r="D89" s="165">
        <v>44321.0</v>
      </c>
      <c r="E89" s="164" t="s">
        <v>443</v>
      </c>
      <c r="F89" s="161"/>
      <c r="G89" s="161"/>
      <c r="H89" s="159">
        <v>4.6</v>
      </c>
      <c r="I89" s="159">
        <v>4.6</v>
      </c>
      <c r="J89" s="159">
        <v>4.6</v>
      </c>
      <c r="K89" s="159">
        <v>4.6</v>
      </c>
      <c r="L89" s="159">
        <v>4.6</v>
      </c>
      <c r="M89" s="159">
        <v>4.6</v>
      </c>
      <c r="N89" s="159">
        <v>4.6</v>
      </c>
      <c r="O89" s="159">
        <v>4.5</v>
      </c>
      <c r="P89" s="159">
        <v>4.6</v>
      </c>
      <c r="Q89" s="159">
        <v>4.5</v>
      </c>
      <c r="R89" s="159">
        <v>4.55</v>
      </c>
      <c r="S89" s="159">
        <v>4.6</v>
      </c>
      <c r="T89" s="159">
        <v>4.6</v>
      </c>
      <c r="U89" s="159">
        <v>4.6</v>
      </c>
      <c r="V89" s="159">
        <v>4.5</v>
      </c>
      <c r="W89" s="159">
        <v>4.574999999999999</v>
      </c>
      <c r="X89" s="161"/>
      <c r="Y89" s="161"/>
      <c r="Z89" s="161"/>
      <c r="AA89" s="161"/>
      <c r="AB89" s="161"/>
      <c r="AC89" s="159">
        <v>4.574999999999999</v>
      </c>
      <c r="AD89" s="159"/>
    </row>
    <row r="90">
      <c r="A90" s="162">
        <v>101853.0</v>
      </c>
      <c r="B90" s="163" t="s">
        <v>444</v>
      </c>
      <c r="C90" s="164" t="s">
        <v>445</v>
      </c>
      <c r="D90" s="165">
        <v>44322.0</v>
      </c>
      <c r="E90" s="164" t="s">
        <v>326</v>
      </c>
      <c r="F90" s="161"/>
      <c r="G90" s="161"/>
      <c r="H90" s="159">
        <v>4.6</v>
      </c>
      <c r="I90" s="159">
        <v>4.6</v>
      </c>
      <c r="J90" s="159">
        <v>4.6</v>
      </c>
      <c r="K90" s="159">
        <v>4.6</v>
      </c>
      <c r="L90" s="159">
        <v>4.6</v>
      </c>
      <c r="M90" s="159">
        <v>4.6</v>
      </c>
      <c r="N90" s="159">
        <v>4.6</v>
      </c>
      <c r="O90" s="159">
        <v>4.6</v>
      </c>
      <c r="P90" s="159">
        <v>4.6</v>
      </c>
      <c r="Q90" s="159">
        <v>4.6</v>
      </c>
      <c r="R90" s="159">
        <v>4.6</v>
      </c>
      <c r="S90" s="159">
        <v>4.5</v>
      </c>
      <c r="T90" s="159">
        <v>4.5</v>
      </c>
      <c r="U90" s="159">
        <v>4.5</v>
      </c>
      <c r="V90" s="159">
        <v>4.5</v>
      </c>
      <c r="W90" s="159">
        <v>4.5</v>
      </c>
      <c r="X90" s="161"/>
      <c r="Y90" s="161"/>
      <c r="Z90" s="161"/>
      <c r="AA90" s="161"/>
      <c r="AB90" s="161"/>
      <c r="AC90" s="159">
        <v>4.566666666666666</v>
      </c>
      <c r="AD90" s="159"/>
    </row>
    <row r="91">
      <c r="A91" s="162">
        <v>101915.0</v>
      </c>
      <c r="B91" s="163" t="s">
        <v>446</v>
      </c>
      <c r="C91" s="164" t="s">
        <v>447</v>
      </c>
      <c r="D91" s="165">
        <v>44323.0</v>
      </c>
      <c r="E91" s="164" t="s">
        <v>87</v>
      </c>
      <c r="F91" s="161"/>
      <c r="G91" s="161"/>
      <c r="H91" s="159">
        <v>4.6</v>
      </c>
      <c r="I91" s="159">
        <v>4.7</v>
      </c>
      <c r="J91" s="159">
        <v>4.7</v>
      </c>
      <c r="K91" s="159">
        <v>4.7</v>
      </c>
      <c r="L91" s="159">
        <v>4.7</v>
      </c>
      <c r="M91" s="159">
        <v>4.68</v>
      </c>
      <c r="N91" s="159">
        <v>4.6</v>
      </c>
      <c r="O91" s="159">
        <v>4.7</v>
      </c>
      <c r="P91" s="159">
        <v>4.7</v>
      </c>
      <c r="Q91" s="159">
        <v>4.7</v>
      </c>
      <c r="R91" s="159">
        <v>4.675</v>
      </c>
      <c r="S91" s="159">
        <v>4.6</v>
      </c>
      <c r="T91" s="159">
        <v>4.7</v>
      </c>
      <c r="U91" s="159">
        <v>4.7</v>
      </c>
      <c r="V91" s="159">
        <v>4.7</v>
      </c>
      <c r="W91" s="159">
        <v>4.675</v>
      </c>
      <c r="X91" s="161"/>
      <c r="Y91" s="161"/>
      <c r="Z91" s="161"/>
      <c r="AA91" s="161"/>
      <c r="AB91" s="161"/>
      <c r="AC91" s="159">
        <v>4.676666666666667</v>
      </c>
      <c r="AD91" s="159"/>
    </row>
    <row r="92">
      <c r="A92" s="162">
        <v>101918.0</v>
      </c>
      <c r="B92" s="163" t="s">
        <v>448</v>
      </c>
      <c r="C92" s="164" t="s">
        <v>449</v>
      </c>
      <c r="D92" s="165">
        <v>44327.0</v>
      </c>
      <c r="E92" s="164" t="s">
        <v>295</v>
      </c>
      <c r="F92" s="161"/>
      <c r="G92" s="161"/>
      <c r="H92" s="159">
        <v>4.0</v>
      </c>
      <c r="I92" s="159">
        <v>4.0</v>
      </c>
      <c r="J92" s="159">
        <v>4.0</v>
      </c>
      <c r="K92" s="159">
        <v>4.0</v>
      </c>
      <c r="L92" s="159">
        <v>4.0</v>
      </c>
      <c r="M92" s="159">
        <v>4.0</v>
      </c>
      <c r="N92" s="171"/>
      <c r="O92" s="171"/>
      <c r="P92" s="171"/>
      <c r="Q92" s="171"/>
      <c r="R92" s="171"/>
      <c r="S92" s="171"/>
      <c r="T92" s="171"/>
      <c r="U92" s="171"/>
      <c r="V92" s="171"/>
      <c r="W92" s="171"/>
      <c r="X92" s="161"/>
      <c r="Y92" s="161"/>
      <c r="Z92" s="161"/>
      <c r="AA92" s="161"/>
      <c r="AB92" s="161"/>
      <c r="AC92" s="159">
        <v>4.0</v>
      </c>
      <c r="AD92" s="159"/>
    </row>
    <row r="93">
      <c r="A93" s="162">
        <v>101916.0</v>
      </c>
      <c r="B93" s="163" t="s">
        <v>450</v>
      </c>
      <c r="C93" s="164" t="s">
        <v>451</v>
      </c>
      <c r="D93" s="165">
        <v>44333.0</v>
      </c>
      <c r="E93" s="164" t="s">
        <v>432</v>
      </c>
      <c r="F93" s="161"/>
      <c r="G93" s="161"/>
      <c r="H93" s="159">
        <v>4.0</v>
      </c>
      <c r="I93" s="159">
        <v>4.0</v>
      </c>
      <c r="J93" s="159">
        <v>4.0</v>
      </c>
      <c r="K93" s="159">
        <v>4.0</v>
      </c>
      <c r="L93" s="159">
        <v>4.0</v>
      </c>
      <c r="M93" s="159">
        <v>4.0</v>
      </c>
      <c r="N93" s="171"/>
      <c r="O93" s="171"/>
      <c r="P93" s="171"/>
      <c r="Q93" s="171"/>
      <c r="R93" s="171"/>
      <c r="S93" s="171"/>
      <c r="T93" s="171"/>
      <c r="U93" s="171"/>
      <c r="V93" s="171"/>
      <c r="W93" s="171"/>
      <c r="X93" s="161"/>
      <c r="Y93" s="161"/>
      <c r="Z93" s="161"/>
      <c r="AA93" s="161"/>
      <c r="AB93" s="161"/>
      <c r="AC93" s="159">
        <v>4.0</v>
      </c>
      <c r="AD93" s="159"/>
    </row>
    <row r="94">
      <c r="A94" s="162">
        <v>101917.0</v>
      </c>
      <c r="B94" s="163" t="s">
        <v>452</v>
      </c>
      <c r="C94" s="164" t="s">
        <v>453</v>
      </c>
      <c r="D94" s="165">
        <v>44337.0</v>
      </c>
      <c r="E94" s="164" t="s">
        <v>219</v>
      </c>
      <c r="F94" s="161"/>
      <c r="G94" s="161"/>
      <c r="H94" s="159">
        <v>4.5</v>
      </c>
      <c r="I94" s="159">
        <v>4.5</v>
      </c>
      <c r="J94" s="159">
        <v>4.5</v>
      </c>
      <c r="K94" s="159">
        <v>4.5</v>
      </c>
      <c r="L94" s="159">
        <v>4.5</v>
      </c>
      <c r="M94" s="159">
        <v>4.5</v>
      </c>
      <c r="N94" s="159">
        <v>4.5</v>
      </c>
      <c r="O94" s="159">
        <v>4.5</v>
      </c>
      <c r="P94" s="159">
        <v>4.5</v>
      </c>
      <c r="Q94" s="159">
        <v>4.5</v>
      </c>
      <c r="R94" s="159">
        <v>4.5</v>
      </c>
      <c r="S94" s="159">
        <v>4.5</v>
      </c>
      <c r="T94" s="159">
        <v>4.5</v>
      </c>
      <c r="U94" s="159">
        <v>4.5</v>
      </c>
      <c r="V94" s="159">
        <v>4.5</v>
      </c>
      <c r="W94" s="159">
        <v>4.5</v>
      </c>
      <c r="X94" s="161"/>
      <c r="Y94" s="161"/>
      <c r="Z94" s="161"/>
      <c r="AA94" s="161"/>
      <c r="AB94" s="161"/>
      <c r="AC94" s="159">
        <v>4.5</v>
      </c>
      <c r="AD94" s="159"/>
    </row>
    <row r="95">
      <c r="A95" s="162">
        <v>101924.0</v>
      </c>
      <c r="B95" s="163" t="s">
        <v>455</v>
      </c>
      <c r="C95" s="164" t="s">
        <v>456</v>
      </c>
      <c r="D95" s="165">
        <v>44347.0</v>
      </c>
      <c r="E95" s="164" t="s">
        <v>432</v>
      </c>
      <c r="F95" s="161"/>
      <c r="G95" s="161"/>
      <c r="H95" s="159">
        <v>4.7</v>
      </c>
      <c r="I95" s="159">
        <v>4.6</v>
      </c>
      <c r="J95" s="159">
        <v>4.7</v>
      </c>
      <c r="K95" s="159">
        <v>4.8</v>
      </c>
      <c r="L95" s="159">
        <v>4.7</v>
      </c>
      <c r="M95" s="159">
        <v>4.7</v>
      </c>
      <c r="N95" s="159">
        <v>4.7</v>
      </c>
      <c r="O95" s="159">
        <v>4.7</v>
      </c>
      <c r="P95" s="159">
        <v>4.7</v>
      </c>
      <c r="Q95" s="159">
        <v>4.7</v>
      </c>
      <c r="R95" s="159">
        <v>4.7</v>
      </c>
      <c r="S95" s="159">
        <v>4.7</v>
      </c>
      <c r="T95" s="159">
        <v>4.7</v>
      </c>
      <c r="U95" s="159">
        <v>4.7</v>
      </c>
      <c r="V95" s="159">
        <v>4.7</v>
      </c>
      <c r="W95" s="159">
        <v>4.7</v>
      </c>
      <c r="X95" s="161"/>
      <c r="Y95" s="161"/>
      <c r="Z95" s="161"/>
      <c r="AA95" s="161"/>
      <c r="AB95" s="161"/>
      <c r="AC95" s="159">
        <v>4.7</v>
      </c>
      <c r="AD95" s="159"/>
    </row>
    <row r="96">
      <c r="A96" s="162">
        <v>101971.0</v>
      </c>
      <c r="B96" s="163" t="s">
        <v>458</v>
      </c>
      <c r="C96" s="164" t="s">
        <v>459</v>
      </c>
      <c r="D96" s="165">
        <v>44376.0</v>
      </c>
      <c r="E96" s="164" t="s">
        <v>141</v>
      </c>
      <c r="F96" s="161"/>
      <c r="G96" s="161"/>
      <c r="H96" s="159">
        <v>4.0</v>
      </c>
      <c r="I96" s="159">
        <v>4.0</v>
      </c>
      <c r="J96" s="159">
        <v>4.0</v>
      </c>
      <c r="K96" s="159">
        <v>4.0</v>
      </c>
      <c r="L96" s="159">
        <v>4.0</v>
      </c>
      <c r="M96" s="159">
        <v>4.0</v>
      </c>
      <c r="N96" s="159">
        <v>4.0</v>
      </c>
      <c r="O96" s="159">
        <v>4.0</v>
      </c>
      <c r="P96" s="159">
        <v>3.0</v>
      </c>
      <c r="Q96" s="159">
        <v>4.0</v>
      </c>
      <c r="R96" s="159">
        <v>3.75</v>
      </c>
      <c r="S96" s="159">
        <v>4.0</v>
      </c>
      <c r="T96" s="159">
        <v>4.0</v>
      </c>
      <c r="U96" s="159">
        <v>3.0</v>
      </c>
      <c r="V96" s="159">
        <v>4.0</v>
      </c>
      <c r="W96" s="159">
        <v>3.75</v>
      </c>
      <c r="X96" s="161"/>
      <c r="Y96" s="161"/>
      <c r="Z96" s="161"/>
      <c r="AA96" s="161"/>
      <c r="AB96" s="161"/>
      <c r="AC96" s="159">
        <v>3.8333333333333335</v>
      </c>
      <c r="AD96" s="159"/>
    </row>
    <row r="97">
      <c r="A97" s="162">
        <v>101971.0</v>
      </c>
      <c r="B97" s="163" t="s">
        <v>460</v>
      </c>
      <c r="C97" s="164" t="s">
        <v>459</v>
      </c>
      <c r="D97" s="165">
        <v>44379.0</v>
      </c>
      <c r="E97" s="164" t="s">
        <v>51</v>
      </c>
      <c r="F97" s="161"/>
      <c r="G97" s="161"/>
      <c r="H97" s="159">
        <v>5.0</v>
      </c>
      <c r="I97" s="159">
        <v>5.0</v>
      </c>
      <c r="J97" s="159">
        <v>5.0</v>
      </c>
      <c r="K97" s="159">
        <v>5.0</v>
      </c>
      <c r="L97" s="159">
        <v>5.0</v>
      </c>
      <c r="M97" s="159">
        <v>5.0</v>
      </c>
      <c r="N97" s="159">
        <v>5.0</v>
      </c>
      <c r="O97" s="159">
        <v>5.0</v>
      </c>
      <c r="P97" s="159">
        <v>5.0</v>
      </c>
      <c r="Q97" s="159">
        <v>5.0</v>
      </c>
      <c r="R97" s="159">
        <v>5.0</v>
      </c>
      <c r="S97" s="159">
        <v>5.0</v>
      </c>
      <c r="T97" s="159">
        <v>5.0</v>
      </c>
      <c r="U97" s="159">
        <v>5.0</v>
      </c>
      <c r="V97" s="159">
        <v>5.0</v>
      </c>
      <c r="W97" s="159">
        <v>5.0</v>
      </c>
      <c r="X97" s="161"/>
      <c r="Y97" s="161"/>
      <c r="Z97" s="161"/>
      <c r="AA97" s="161"/>
      <c r="AB97" s="161"/>
      <c r="AC97" s="159">
        <v>5.0</v>
      </c>
      <c r="AD97" s="159"/>
    </row>
    <row r="98">
      <c r="A98" s="162">
        <v>101985.0</v>
      </c>
      <c r="B98" s="163" t="s">
        <v>461</v>
      </c>
      <c r="C98" s="164" t="s">
        <v>462</v>
      </c>
      <c r="D98" s="165">
        <v>44379.0</v>
      </c>
      <c r="E98" s="164" t="s">
        <v>51</v>
      </c>
      <c r="F98" s="161"/>
      <c r="G98" s="161"/>
      <c r="H98" s="159">
        <v>5.0</v>
      </c>
      <c r="I98" s="159">
        <v>5.0</v>
      </c>
      <c r="J98" s="159">
        <v>5.0</v>
      </c>
      <c r="K98" s="159">
        <v>5.0</v>
      </c>
      <c r="L98" s="159">
        <v>5.0</v>
      </c>
      <c r="M98" s="159">
        <v>5.0</v>
      </c>
      <c r="N98" s="159">
        <v>5.0</v>
      </c>
      <c r="O98" s="159">
        <v>5.0</v>
      </c>
      <c r="P98" s="159">
        <v>5.0</v>
      </c>
      <c r="Q98" s="159">
        <v>5.0</v>
      </c>
      <c r="R98" s="159">
        <v>5.0</v>
      </c>
      <c r="S98" s="159">
        <v>5.0</v>
      </c>
      <c r="T98" s="159">
        <v>5.0</v>
      </c>
      <c r="U98" s="159">
        <v>5.0</v>
      </c>
      <c r="V98" s="159">
        <v>5.0</v>
      </c>
      <c r="W98" s="159">
        <v>5.0</v>
      </c>
      <c r="X98" s="161"/>
      <c r="Y98" s="161"/>
      <c r="Z98" s="161"/>
      <c r="AA98" s="161"/>
      <c r="AB98" s="161"/>
      <c r="AC98" s="159">
        <v>5.0</v>
      </c>
      <c r="AD98" s="159"/>
    </row>
    <row r="99">
      <c r="A99" s="162">
        <v>101986.0</v>
      </c>
      <c r="B99" s="163" t="s">
        <v>464</v>
      </c>
      <c r="C99" s="164" t="s">
        <v>465</v>
      </c>
      <c r="D99" s="165">
        <v>44379.0</v>
      </c>
      <c r="E99" s="164" t="s">
        <v>51</v>
      </c>
      <c r="F99" s="161"/>
      <c r="G99" s="161"/>
      <c r="H99" s="159">
        <v>5.0</v>
      </c>
      <c r="I99" s="159">
        <v>5.0</v>
      </c>
      <c r="J99" s="159">
        <v>5.0</v>
      </c>
      <c r="K99" s="159">
        <v>5.0</v>
      </c>
      <c r="L99" s="159">
        <v>5.0</v>
      </c>
      <c r="M99" s="159">
        <v>5.0</v>
      </c>
      <c r="N99" s="159">
        <v>5.0</v>
      </c>
      <c r="O99" s="159">
        <v>5.0</v>
      </c>
      <c r="P99" s="159">
        <v>5.0</v>
      </c>
      <c r="Q99" s="159">
        <v>5.0</v>
      </c>
      <c r="R99" s="159">
        <v>5.0</v>
      </c>
      <c r="S99" s="159">
        <v>5.0</v>
      </c>
      <c r="T99" s="159">
        <v>5.0</v>
      </c>
      <c r="U99" s="159">
        <v>5.0</v>
      </c>
      <c r="V99" s="159">
        <v>5.0</v>
      </c>
      <c r="W99" s="159">
        <v>5.0</v>
      </c>
      <c r="X99" s="161"/>
      <c r="Y99" s="161"/>
      <c r="Z99" s="161"/>
      <c r="AA99" s="161"/>
      <c r="AB99" s="161"/>
      <c r="AC99" s="159">
        <v>5.0</v>
      </c>
      <c r="AD99" s="159"/>
    </row>
    <row r="100">
      <c r="A100" s="162">
        <v>101971.0</v>
      </c>
      <c r="B100" s="163" t="s">
        <v>466</v>
      </c>
      <c r="C100" s="164" t="s">
        <v>459</v>
      </c>
      <c r="D100" s="165">
        <v>44379.0</v>
      </c>
      <c r="E100" s="164" t="s">
        <v>51</v>
      </c>
      <c r="F100" s="161"/>
      <c r="G100" s="161"/>
      <c r="H100" s="159">
        <v>5.0</v>
      </c>
      <c r="I100" s="159">
        <v>5.0</v>
      </c>
      <c r="J100" s="159">
        <v>5.0</v>
      </c>
      <c r="K100" s="159">
        <v>5.0</v>
      </c>
      <c r="L100" s="159">
        <v>5.0</v>
      </c>
      <c r="M100" s="159">
        <v>5.0</v>
      </c>
      <c r="N100" s="159">
        <v>5.0</v>
      </c>
      <c r="O100" s="159">
        <v>5.0</v>
      </c>
      <c r="P100" s="159">
        <v>5.0</v>
      </c>
      <c r="Q100" s="159">
        <v>5.0</v>
      </c>
      <c r="R100" s="159">
        <v>5.0</v>
      </c>
      <c r="S100" s="159">
        <v>5.0</v>
      </c>
      <c r="T100" s="159">
        <v>5.0</v>
      </c>
      <c r="U100" s="159">
        <v>5.0</v>
      </c>
      <c r="V100" s="159">
        <v>5.0</v>
      </c>
      <c r="W100" s="159">
        <v>5.0</v>
      </c>
      <c r="X100" s="161"/>
      <c r="Y100" s="161"/>
      <c r="Z100" s="161"/>
      <c r="AA100" s="161"/>
      <c r="AB100" s="161"/>
      <c r="AC100" s="159">
        <v>5.0</v>
      </c>
      <c r="AD100" s="159"/>
    </row>
    <row r="101">
      <c r="A101" s="162">
        <v>101991.0</v>
      </c>
      <c r="B101" s="163" t="s">
        <v>467</v>
      </c>
      <c r="C101" s="164" t="s">
        <v>468</v>
      </c>
      <c r="D101" s="165">
        <v>44386.0</v>
      </c>
      <c r="E101" s="164" t="s">
        <v>209</v>
      </c>
      <c r="F101" s="161"/>
      <c r="G101" s="161"/>
      <c r="H101" s="159">
        <v>5.0</v>
      </c>
      <c r="I101" s="159">
        <v>5.0</v>
      </c>
      <c r="J101" s="159">
        <v>5.0</v>
      </c>
      <c r="K101" s="159">
        <v>5.0</v>
      </c>
      <c r="L101" s="159">
        <v>5.0</v>
      </c>
      <c r="M101" s="159">
        <v>5.0</v>
      </c>
      <c r="N101" s="159">
        <v>5.0</v>
      </c>
      <c r="O101" s="159">
        <v>5.0</v>
      </c>
      <c r="P101" s="159">
        <v>5.0</v>
      </c>
      <c r="Q101" s="159">
        <v>5.0</v>
      </c>
      <c r="R101" s="159">
        <v>5.0</v>
      </c>
      <c r="S101" s="159">
        <v>5.0</v>
      </c>
      <c r="T101" s="159">
        <v>5.0</v>
      </c>
      <c r="U101" s="159">
        <v>5.0</v>
      </c>
      <c r="V101" s="159">
        <v>5.0</v>
      </c>
      <c r="W101" s="159">
        <v>5.0</v>
      </c>
      <c r="X101" s="161"/>
      <c r="Y101" s="161"/>
      <c r="Z101" s="161"/>
      <c r="AA101" s="161"/>
      <c r="AB101" s="161"/>
      <c r="AC101" s="159">
        <v>5.0</v>
      </c>
      <c r="AD101" s="159"/>
    </row>
    <row r="102">
      <c r="A102" s="162">
        <v>101998.0</v>
      </c>
      <c r="B102" s="163" t="s">
        <v>469</v>
      </c>
      <c r="C102" s="164" t="s">
        <v>470</v>
      </c>
      <c r="D102" s="165">
        <v>44391.0</v>
      </c>
      <c r="E102" s="164" t="s">
        <v>254</v>
      </c>
      <c r="F102" s="161"/>
      <c r="G102" s="161"/>
      <c r="H102" s="171"/>
      <c r="I102" s="171"/>
      <c r="J102" s="171"/>
      <c r="K102" s="171"/>
      <c r="L102" s="171"/>
      <c r="M102" s="171"/>
      <c r="N102" s="171"/>
      <c r="O102" s="171"/>
      <c r="P102" s="171"/>
      <c r="Q102" s="171"/>
      <c r="R102" s="171"/>
      <c r="S102" s="171"/>
      <c r="T102" s="171"/>
      <c r="U102" s="171"/>
      <c r="V102" s="171"/>
      <c r="W102" s="171"/>
      <c r="X102" s="161"/>
      <c r="Y102" s="161"/>
      <c r="Z102" s="161"/>
      <c r="AA102" s="161"/>
      <c r="AB102" s="161"/>
      <c r="AC102" s="171"/>
      <c r="AD102" s="171"/>
    </row>
    <row r="103">
      <c r="A103" s="162">
        <v>101948.0</v>
      </c>
      <c r="B103" s="163" t="s">
        <v>471</v>
      </c>
      <c r="C103" s="164" t="s">
        <v>472</v>
      </c>
      <c r="D103" s="165">
        <v>44391.0</v>
      </c>
      <c r="E103" s="164" t="s">
        <v>87</v>
      </c>
      <c r="F103" s="161"/>
      <c r="G103" s="161"/>
      <c r="H103" s="159">
        <v>5.0</v>
      </c>
      <c r="I103" s="159">
        <v>5.0</v>
      </c>
      <c r="J103" s="159">
        <v>5.0</v>
      </c>
      <c r="K103" s="159">
        <v>4.5</v>
      </c>
      <c r="L103" s="159">
        <v>5.0</v>
      </c>
      <c r="M103" s="159">
        <v>4.9</v>
      </c>
      <c r="N103" s="159">
        <v>5.0</v>
      </c>
      <c r="O103" s="159">
        <v>5.0</v>
      </c>
      <c r="P103" s="159">
        <v>5.0</v>
      </c>
      <c r="Q103" s="159">
        <v>5.0</v>
      </c>
      <c r="R103" s="159">
        <v>5.0</v>
      </c>
      <c r="S103" s="159">
        <v>5.0</v>
      </c>
      <c r="T103" s="159">
        <v>5.0</v>
      </c>
      <c r="U103" s="159">
        <v>5.0</v>
      </c>
      <c r="V103" s="159">
        <v>5.0</v>
      </c>
      <c r="W103" s="159">
        <v>5.0</v>
      </c>
      <c r="X103" s="161"/>
      <c r="Y103" s="161"/>
      <c r="Z103" s="161"/>
      <c r="AA103" s="161"/>
      <c r="AB103" s="161"/>
      <c r="AC103" s="159">
        <v>4.966666666666667</v>
      </c>
      <c r="AD103" s="159"/>
    </row>
    <row r="104">
      <c r="A104" s="162">
        <v>101989.0</v>
      </c>
      <c r="B104" s="163" t="s">
        <v>473</v>
      </c>
      <c r="C104" s="164" t="s">
        <v>474</v>
      </c>
      <c r="D104" s="165">
        <v>44394.0</v>
      </c>
      <c r="E104" s="164" t="s">
        <v>87</v>
      </c>
      <c r="F104" s="161"/>
      <c r="G104" s="161"/>
      <c r="H104" s="159">
        <v>5.0</v>
      </c>
      <c r="I104" s="159">
        <v>5.0</v>
      </c>
      <c r="J104" s="159">
        <v>5.0</v>
      </c>
      <c r="K104" s="159">
        <v>5.0</v>
      </c>
      <c r="L104" s="159">
        <v>5.0</v>
      </c>
      <c r="M104" s="159">
        <v>5.0</v>
      </c>
      <c r="N104" s="159">
        <v>5.0</v>
      </c>
      <c r="O104" s="159">
        <v>5.0</v>
      </c>
      <c r="P104" s="159">
        <v>5.0</v>
      </c>
      <c r="Q104" s="159">
        <v>5.0</v>
      </c>
      <c r="R104" s="159">
        <v>5.0</v>
      </c>
      <c r="S104" s="159">
        <v>5.0</v>
      </c>
      <c r="T104" s="159">
        <v>5.0</v>
      </c>
      <c r="U104" s="159">
        <v>5.0</v>
      </c>
      <c r="V104" s="159">
        <v>5.0</v>
      </c>
      <c r="W104" s="159">
        <v>5.0</v>
      </c>
      <c r="X104" s="161"/>
      <c r="Y104" s="161"/>
      <c r="Z104" s="161"/>
      <c r="AA104" s="161"/>
      <c r="AB104" s="161"/>
      <c r="AC104" s="159">
        <v>5.0</v>
      </c>
      <c r="AD104" s="159"/>
    </row>
    <row r="105">
      <c r="A105" s="162">
        <v>102001.0</v>
      </c>
      <c r="B105" s="163" t="s">
        <v>475</v>
      </c>
      <c r="C105" s="164" t="s">
        <v>476</v>
      </c>
      <c r="D105" s="165">
        <v>44396.0</v>
      </c>
      <c r="E105" s="164" t="s">
        <v>340</v>
      </c>
      <c r="F105" s="161"/>
      <c r="G105" s="161"/>
      <c r="H105" s="159">
        <v>5.0</v>
      </c>
      <c r="I105" s="159">
        <v>5.0</v>
      </c>
      <c r="J105" s="159">
        <v>5.0</v>
      </c>
      <c r="K105" s="159">
        <v>5.0</v>
      </c>
      <c r="L105" s="159">
        <v>5.0</v>
      </c>
      <c r="M105" s="159">
        <v>5.0</v>
      </c>
      <c r="N105" s="159">
        <v>5.0</v>
      </c>
      <c r="O105" s="159">
        <v>5.0</v>
      </c>
      <c r="P105" s="159">
        <v>5.0</v>
      </c>
      <c r="Q105" s="159">
        <v>5.0</v>
      </c>
      <c r="R105" s="159">
        <v>5.0</v>
      </c>
      <c r="S105" s="159">
        <v>5.0</v>
      </c>
      <c r="T105" s="159">
        <v>5.0</v>
      </c>
      <c r="U105" s="159">
        <v>5.0</v>
      </c>
      <c r="V105" s="159">
        <v>5.0</v>
      </c>
      <c r="W105" s="159">
        <v>5.0</v>
      </c>
      <c r="X105" s="161"/>
      <c r="Y105" s="161"/>
      <c r="Z105" s="161"/>
      <c r="AA105" s="161"/>
      <c r="AB105" s="161"/>
      <c r="AC105" s="159">
        <v>5.0</v>
      </c>
      <c r="AD105" s="159"/>
    </row>
    <row r="106">
      <c r="A106" s="162">
        <v>101987.0</v>
      </c>
      <c r="B106" s="163" t="s">
        <v>477</v>
      </c>
      <c r="C106" s="164" t="s">
        <v>478</v>
      </c>
      <c r="D106" s="165">
        <v>44398.0</v>
      </c>
      <c r="E106" s="164" t="s">
        <v>432</v>
      </c>
      <c r="F106" s="161"/>
      <c r="G106" s="161"/>
      <c r="H106" s="159">
        <v>5.0</v>
      </c>
      <c r="I106" s="159">
        <v>5.0</v>
      </c>
      <c r="J106" s="159">
        <v>5.0</v>
      </c>
      <c r="K106" s="159">
        <v>5.0</v>
      </c>
      <c r="L106" s="159">
        <v>5.0</v>
      </c>
      <c r="M106" s="159">
        <v>5.0</v>
      </c>
      <c r="N106" s="159">
        <v>5.0</v>
      </c>
      <c r="O106" s="159">
        <v>5.0</v>
      </c>
      <c r="P106" s="159">
        <v>5.0</v>
      </c>
      <c r="Q106" s="159">
        <v>5.0</v>
      </c>
      <c r="R106" s="159">
        <v>5.0</v>
      </c>
      <c r="S106" s="159">
        <v>5.0</v>
      </c>
      <c r="T106" s="159">
        <v>5.0</v>
      </c>
      <c r="U106" s="159">
        <v>5.0</v>
      </c>
      <c r="V106" s="159">
        <v>5.0</v>
      </c>
      <c r="W106" s="159">
        <v>5.0</v>
      </c>
      <c r="X106" s="161"/>
      <c r="Y106" s="161"/>
      <c r="Z106" s="161"/>
      <c r="AA106" s="161"/>
      <c r="AB106" s="161"/>
      <c r="AC106" s="159">
        <v>5.0</v>
      </c>
      <c r="AD106" s="159"/>
    </row>
    <row r="107">
      <c r="A107" s="162">
        <v>101990.0</v>
      </c>
      <c r="B107" s="169"/>
      <c r="C107" s="164" t="s">
        <v>479</v>
      </c>
      <c r="D107" s="165">
        <v>44399.0</v>
      </c>
      <c r="E107" s="164" t="s">
        <v>51</v>
      </c>
      <c r="F107" s="161"/>
      <c r="G107" s="161"/>
      <c r="H107" s="159">
        <v>5.0</v>
      </c>
      <c r="I107" s="159">
        <v>5.0</v>
      </c>
      <c r="J107" s="159">
        <v>5.0</v>
      </c>
      <c r="K107" s="159">
        <v>5.0</v>
      </c>
      <c r="L107" s="159">
        <v>5.0</v>
      </c>
      <c r="M107" s="159">
        <v>5.0</v>
      </c>
      <c r="N107" s="159">
        <v>5.0</v>
      </c>
      <c r="O107" s="159">
        <v>5.0</v>
      </c>
      <c r="P107" s="159">
        <v>5.0</v>
      </c>
      <c r="Q107" s="159">
        <v>5.0</v>
      </c>
      <c r="R107" s="159">
        <v>5.0</v>
      </c>
      <c r="S107" s="159">
        <v>5.0</v>
      </c>
      <c r="T107" s="159">
        <v>5.0</v>
      </c>
      <c r="U107" s="159">
        <v>5.0</v>
      </c>
      <c r="V107" s="159">
        <v>5.0</v>
      </c>
      <c r="W107" s="159">
        <v>5.0</v>
      </c>
      <c r="X107" s="161"/>
      <c r="Y107" s="161"/>
      <c r="Z107" s="161"/>
      <c r="AA107" s="161"/>
      <c r="AB107" s="161"/>
      <c r="AC107" s="159">
        <v>5.0</v>
      </c>
      <c r="AD107" s="159"/>
    </row>
    <row r="108">
      <c r="A108" s="162">
        <v>102006.0</v>
      </c>
      <c r="B108" s="163" t="s">
        <v>480</v>
      </c>
      <c r="C108" s="164" t="s">
        <v>481</v>
      </c>
      <c r="D108" s="165">
        <v>44400.0</v>
      </c>
      <c r="E108" s="164" t="s">
        <v>380</v>
      </c>
      <c r="F108" s="161"/>
      <c r="G108" s="161"/>
      <c r="H108" s="159">
        <v>5.0</v>
      </c>
      <c r="I108" s="159">
        <v>5.0</v>
      </c>
      <c r="J108" s="159">
        <v>5.0</v>
      </c>
      <c r="K108" s="159">
        <v>5.0</v>
      </c>
      <c r="L108" s="159">
        <v>5.0</v>
      </c>
      <c r="M108" s="159">
        <v>5.0</v>
      </c>
      <c r="N108" s="159">
        <v>5.0</v>
      </c>
      <c r="O108" s="159">
        <v>5.0</v>
      </c>
      <c r="P108" s="159">
        <v>5.0</v>
      </c>
      <c r="Q108" s="159">
        <v>5.0</v>
      </c>
      <c r="R108" s="159">
        <v>5.0</v>
      </c>
      <c r="S108" s="159">
        <v>5.0</v>
      </c>
      <c r="T108" s="159">
        <v>5.0</v>
      </c>
      <c r="U108" s="159">
        <v>5.0</v>
      </c>
      <c r="V108" s="159">
        <v>5.0</v>
      </c>
      <c r="W108" s="159">
        <v>5.0</v>
      </c>
      <c r="X108" s="161"/>
      <c r="Y108" s="161"/>
      <c r="Z108" s="161"/>
      <c r="AA108" s="161"/>
      <c r="AB108" s="161"/>
      <c r="AC108" s="159">
        <v>5.0</v>
      </c>
      <c r="AD108" s="159"/>
    </row>
    <row r="109">
      <c r="A109" s="162">
        <v>101989.0</v>
      </c>
      <c r="B109" s="163" t="s">
        <v>482</v>
      </c>
      <c r="C109" s="164" t="s">
        <v>474</v>
      </c>
      <c r="D109" s="165">
        <v>44400.0</v>
      </c>
      <c r="E109" s="164" t="s">
        <v>483</v>
      </c>
      <c r="F109" s="161"/>
      <c r="G109" s="161"/>
      <c r="H109" s="159">
        <v>5.0</v>
      </c>
      <c r="I109" s="159">
        <v>5.0</v>
      </c>
      <c r="J109" s="159">
        <v>4.0</v>
      </c>
      <c r="K109" s="159">
        <v>5.0</v>
      </c>
      <c r="L109" s="159">
        <v>5.0</v>
      </c>
      <c r="M109" s="159">
        <v>4.8</v>
      </c>
      <c r="N109" s="159">
        <v>5.0</v>
      </c>
      <c r="O109" s="159">
        <v>5.0</v>
      </c>
      <c r="P109" s="159">
        <v>4.5</v>
      </c>
      <c r="Q109" s="159">
        <v>5.0</v>
      </c>
      <c r="R109" s="159">
        <v>4.875</v>
      </c>
      <c r="S109" s="159">
        <v>5.0</v>
      </c>
      <c r="T109" s="159">
        <v>5.0</v>
      </c>
      <c r="U109" s="159">
        <v>5.0</v>
      </c>
      <c r="V109" s="159">
        <v>5.0</v>
      </c>
      <c r="W109" s="159">
        <v>5.0</v>
      </c>
      <c r="X109" s="161"/>
      <c r="Y109" s="161"/>
      <c r="Z109" s="161"/>
      <c r="AA109" s="161"/>
      <c r="AB109" s="161"/>
      <c r="AC109" s="159">
        <v>4.891666666666667</v>
      </c>
      <c r="AD109" s="159"/>
    </row>
    <row r="110">
      <c r="A110" s="162">
        <v>101922.0</v>
      </c>
      <c r="B110" s="163" t="s">
        <v>484</v>
      </c>
      <c r="C110" s="164" t="s">
        <v>485</v>
      </c>
      <c r="D110" s="165">
        <v>44403.0</v>
      </c>
      <c r="E110" s="164" t="s">
        <v>295</v>
      </c>
      <c r="F110" s="161"/>
      <c r="G110" s="161"/>
      <c r="H110" s="159">
        <v>4.0</v>
      </c>
      <c r="I110" s="159">
        <v>4.0</v>
      </c>
      <c r="J110" s="159">
        <v>4.0</v>
      </c>
      <c r="K110" s="159">
        <v>4.0</v>
      </c>
      <c r="L110" s="159">
        <v>4.0</v>
      </c>
      <c r="M110" s="159">
        <v>4.0</v>
      </c>
      <c r="N110" s="171"/>
      <c r="O110" s="171"/>
      <c r="P110" s="171"/>
      <c r="Q110" s="171"/>
      <c r="R110" s="171"/>
      <c r="S110" s="171"/>
      <c r="T110" s="171"/>
      <c r="U110" s="171"/>
      <c r="V110" s="171"/>
      <c r="W110" s="171"/>
      <c r="X110" s="161"/>
      <c r="Y110" s="161"/>
      <c r="Z110" s="161"/>
      <c r="AA110" s="161"/>
      <c r="AB110" s="161"/>
      <c r="AC110" s="159">
        <v>4.0</v>
      </c>
      <c r="AD110" s="159"/>
    </row>
    <row r="111">
      <c r="A111" s="162">
        <v>101985.0</v>
      </c>
      <c r="B111" s="163" t="s">
        <v>486</v>
      </c>
      <c r="C111" s="164" t="s">
        <v>462</v>
      </c>
      <c r="D111" s="165">
        <v>44403.0</v>
      </c>
      <c r="E111" s="164" t="s">
        <v>487</v>
      </c>
      <c r="F111" s="161"/>
      <c r="G111" s="161"/>
      <c r="H111" s="171"/>
      <c r="I111" s="171"/>
      <c r="J111" s="171"/>
      <c r="K111" s="171"/>
      <c r="L111" s="171"/>
      <c r="M111" s="171"/>
      <c r="N111" s="171"/>
      <c r="O111" s="171"/>
      <c r="P111" s="171"/>
      <c r="Q111" s="171"/>
      <c r="R111" s="171"/>
      <c r="S111" s="171"/>
      <c r="T111" s="171"/>
      <c r="U111" s="171"/>
      <c r="V111" s="171"/>
      <c r="W111" s="171"/>
      <c r="X111" s="161"/>
      <c r="Y111" s="161"/>
      <c r="Z111" s="161"/>
      <c r="AA111" s="161"/>
      <c r="AB111" s="161"/>
      <c r="AC111" s="171"/>
      <c r="AD111" s="171"/>
    </row>
    <row r="112">
      <c r="A112" s="162">
        <v>101922.0</v>
      </c>
      <c r="B112" s="163" t="s">
        <v>488</v>
      </c>
      <c r="C112" s="164" t="s">
        <v>485</v>
      </c>
      <c r="D112" s="165">
        <v>44403.0</v>
      </c>
      <c r="E112" s="164" t="s">
        <v>312</v>
      </c>
      <c r="F112" s="161"/>
      <c r="G112" s="161"/>
      <c r="H112" s="159">
        <v>5.0</v>
      </c>
      <c r="I112" s="159">
        <v>5.0</v>
      </c>
      <c r="J112" s="159">
        <v>5.0</v>
      </c>
      <c r="K112" s="159">
        <v>5.0</v>
      </c>
      <c r="L112" s="159">
        <v>5.0</v>
      </c>
      <c r="M112" s="159">
        <v>5.0</v>
      </c>
      <c r="N112" s="159">
        <v>5.0</v>
      </c>
      <c r="O112" s="159">
        <v>5.0</v>
      </c>
      <c r="P112" s="159">
        <v>5.0</v>
      </c>
      <c r="Q112" s="159">
        <v>5.0</v>
      </c>
      <c r="R112" s="159">
        <v>5.0</v>
      </c>
      <c r="S112" s="159">
        <v>5.0</v>
      </c>
      <c r="T112" s="159">
        <v>5.0</v>
      </c>
      <c r="U112" s="159">
        <v>5.0</v>
      </c>
      <c r="V112" s="159">
        <v>5.0</v>
      </c>
      <c r="W112" s="159">
        <v>5.0</v>
      </c>
      <c r="X112" s="161"/>
      <c r="Y112" s="161"/>
      <c r="Z112" s="161"/>
      <c r="AA112" s="161"/>
      <c r="AB112" s="161"/>
      <c r="AC112" s="159">
        <v>5.0</v>
      </c>
      <c r="AD112" s="159"/>
    </row>
    <row r="113">
      <c r="A113" s="162">
        <v>101980.0</v>
      </c>
      <c r="B113" s="163" t="s">
        <v>489</v>
      </c>
      <c r="C113" s="164" t="s">
        <v>490</v>
      </c>
      <c r="D113" s="165">
        <v>44404.0</v>
      </c>
      <c r="E113" s="164" t="s">
        <v>309</v>
      </c>
      <c r="F113" s="161"/>
      <c r="G113" s="161"/>
      <c r="H113" s="159">
        <v>5.0</v>
      </c>
      <c r="I113" s="159">
        <v>5.0</v>
      </c>
      <c r="J113" s="159">
        <v>5.0</v>
      </c>
      <c r="K113" s="159">
        <v>4.5</v>
      </c>
      <c r="L113" s="159">
        <v>5.0</v>
      </c>
      <c r="M113" s="159">
        <v>4.9</v>
      </c>
      <c r="N113" s="159">
        <v>5.0</v>
      </c>
      <c r="O113" s="159">
        <v>5.0</v>
      </c>
      <c r="P113" s="159">
        <v>5.0</v>
      </c>
      <c r="Q113" s="159">
        <v>4.5</v>
      </c>
      <c r="R113" s="159">
        <v>4.875</v>
      </c>
      <c r="S113" s="159">
        <v>5.0</v>
      </c>
      <c r="T113" s="159">
        <v>5.0</v>
      </c>
      <c r="U113" s="159">
        <v>5.0</v>
      </c>
      <c r="V113" s="159">
        <v>5.0</v>
      </c>
      <c r="W113" s="159">
        <v>5.0</v>
      </c>
      <c r="X113" s="161"/>
      <c r="Y113" s="161"/>
      <c r="Z113" s="161"/>
      <c r="AA113" s="161"/>
      <c r="AB113" s="161"/>
      <c r="AC113" s="159">
        <v>4.925</v>
      </c>
      <c r="AD113" s="159"/>
    </row>
    <row r="114">
      <c r="A114" s="162">
        <v>101981.0</v>
      </c>
      <c r="B114" s="163" t="s">
        <v>491</v>
      </c>
      <c r="C114" s="164" t="s">
        <v>492</v>
      </c>
      <c r="D114" s="165">
        <v>44404.0</v>
      </c>
      <c r="E114" s="164" t="s">
        <v>309</v>
      </c>
      <c r="F114" s="161"/>
      <c r="G114" s="161"/>
      <c r="H114" s="159">
        <v>5.0</v>
      </c>
      <c r="I114" s="159">
        <v>5.0</v>
      </c>
      <c r="J114" s="159">
        <v>5.0</v>
      </c>
      <c r="K114" s="159">
        <v>4.5</v>
      </c>
      <c r="L114" s="159">
        <v>5.0</v>
      </c>
      <c r="M114" s="159">
        <v>4.9</v>
      </c>
      <c r="N114" s="159">
        <v>5.0</v>
      </c>
      <c r="O114" s="159">
        <v>5.0</v>
      </c>
      <c r="P114" s="159">
        <v>5.0</v>
      </c>
      <c r="Q114" s="159">
        <v>5.0</v>
      </c>
      <c r="R114" s="159">
        <v>5.0</v>
      </c>
      <c r="S114" s="159">
        <v>5.0</v>
      </c>
      <c r="T114" s="159">
        <v>5.0</v>
      </c>
      <c r="U114" s="159">
        <v>5.0</v>
      </c>
      <c r="V114" s="159">
        <v>5.0</v>
      </c>
      <c r="W114" s="159">
        <v>5.0</v>
      </c>
      <c r="X114" s="161"/>
      <c r="Y114" s="161"/>
      <c r="Z114" s="161"/>
      <c r="AA114" s="161"/>
      <c r="AB114" s="161"/>
      <c r="AC114" s="159">
        <v>4.966666666666667</v>
      </c>
      <c r="AD114" s="159"/>
    </row>
    <row r="115">
      <c r="A115" s="162">
        <v>102004.0</v>
      </c>
      <c r="B115" s="163" t="s">
        <v>493</v>
      </c>
      <c r="C115" s="164" t="s">
        <v>494</v>
      </c>
      <c r="D115" s="165">
        <v>44404.0</v>
      </c>
      <c r="E115" s="164" t="s">
        <v>309</v>
      </c>
      <c r="F115" s="161"/>
      <c r="G115" s="161"/>
      <c r="H115" s="159">
        <v>5.0</v>
      </c>
      <c r="I115" s="159">
        <v>5.0</v>
      </c>
      <c r="J115" s="159">
        <v>4.5</v>
      </c>
      <c r="K115" s="159">
        <v>4.5</v>
      </c>
      <c r="L115" s="159">
        <v>5.0</v>
      </c>
      <c r="M115" s="159">
        <v>4.8</v>
      </c>
      <c r="N115" s="159">
        <v>5.0</v>
      </c>
      <c r="O115" s="159">
        <v>5.0</v>
      </c>
      <c r="P115" s="159">
        <v>4.5</v>
      </c>
      <c r="Q115" s="159">
        <v>4.5</v>
      </c>
      <c r="R115" s="159">
        <v>4.75</v>
      </c>
      <c r="S115" s="159">
        <v>5.0</v>
      </c>
      <c r="T115" s="159">
        <v>5.0</v>
      </c>
      <c r="U115" s="159">
        <v>5.0</v>
      </c>
      <c r="V115" s="159">
        <v>5.0</v>
      </c>
      <c r="W115" s="159">
        <v>5.0</v>
      </c>
      <c r="X115" s="161"/>
      <c r="Y115" s="161"/>
      <c r="Z115" s="161"/>
      <c r="AA115" s="161"/>
      <c r="AB115" s="161"/>
      <c r="AC115" s="159">
        <v>4.8500000000000005</v>
      </c>
      <c r="AD115" s="159"/>
    </row>
    <row r="116">
      <c r="A116" s="162">
        <v>101999.0</v>
      </c>
      <c r="B116" s="163" t="s">
        <v>496</v>
      </c>
      <c r="C116" s="164" t="s">
        <v>497</v>
      </c>
      <c r="D116" s="165">
        <v>44404.0</v>
      </c>
      <c r="E116" s="164" t="s">
        <v>265</v>
      </c>
      <c r="F116" s="161"/>
      <c r="G116" s="161"/>
      <c r="H116" s="159">
        <v>5.0</v>
      </c>
      <c r="I116" s="159">
        <v>5.0</v>
      </c>
      <c r="J116" s="159">
        <v>5.0</v>
      </c>
      <c r="K116" s="159">
        <v>5.0</v>
      </c>
      <c r="L116" s="159">
        <v>5.0</v>
      </c>
      <c r="M116" s="159">
        <v>5.0</v>
      </c>
      <c r="N116" s="159">
        <v>5.0</v>
      </c>
      <c r="O116" s="159">
        <v>5.0</v>
      </c>
      <c r="P116" s="159">
        <v>5.0</v>
      </c>
      <c r="Q116" s="159">
        <v>5.0</v>
      </c>
      <c r="R116" s="159">
        <v>5.0</v>
      </c>
      <c r="S116" s="159">
        <v>5.0</v>
      </c>
      <c r="T116" s="159">
        <v>5.0</v>
      </c>
      <c r="U116" s="159">
        <v>5.0</v>
      </c>
      <c r="V116" s="159">
        <v>5.0</v>
      </c>
      <c r="W116" s="159">
        <v>5.0</v>
      </c>
      <c r="X116" s="161"/>
      <c r="Y116" s="161"/>
      <c r="Z116" s="161"/>
      <c r="AA116" s="161"/>
      <c r="AB116" s="161"/>
      <c r="AC116" s="159">
        <v>5.0</v>
      </c>
      <c r="AD116" s="159"/>
    </row>
    <row r="117">
      <c r="A117" s="162">
        <v>102002.0</v>
      </c>
      <c r="B117" s="163" t="s">
        <v>498</v>
      </c>
      <c r="C117" s="164" t="s">
        <v>499</v>
      </c>
      <c r="D117" s="165">
        <v>44405.0</v>
      </c>
      <c r="E117" s="164" t="s">
        <v>357</v>
      </c>
      <c r="F117" s="161"/>
      <c r="G117" s="161"/>
      <c r="H117" s="159">
        <v>5.0</v>
      </c>
      <c r="I117" s="159">
        <v>5.0</v>
      </c>
      <c r="J117" s="159">
        <v>5.0</v>
      </c>
      <c r="K117" s="159">
        <v>5.0</v>
      </c>
      <c r="L117" s="159">
        <v>5.0</v>
      </c>
      <c r="M117" s="159">
        <v>5.0</v>
      </c>
      <c r="N117" s="159">
        <v>5.0</v>
      </c>
      <c r="O117" s="159">
        <v>5.0</v>
      </c>
      <c r="P117" s="159">
        <v>5.0</v>
      </c>
      <c r="Q117" s="159">
        <v>5.0</v>
      </c>
      <c r="R117" s="159">
        <v>5.0</v>
      </c>
      <c r="S117" s="159">
        <v>5.0</v>
      </c>
      <c r="T117" s="159">
        <v>5.0</v>
      </c>
      <c r="U117" s="159">
        <v>5.0</v>
      </c>
      <c r="V117" s="159">
        <v>5.0</v>
      </c>
      <c r="W117" s="159">
        <v>5.0</v>
      </c>
      <c r="X117" s="161"/>
      <c r="Y117" s="161"/>
      <c r="Z117" s="161"/>
      <c r="AA117" s="161"/>
      <c r="AB117" s="161"/>
      <c r="AC117" s="159">
        <v>5.0</v>
      </c>
      <c r="AD117" s="159"/>
    </row>
    <row r="118">
      <c r="A118" s="162">
        <v>102008.0</v>
      </c>
      <c r="B118" s="163" t="s">
        <v>500</v>
      </c>
      <c r="C118" s="164" t="s">
        <v>501</v>
      </c>
      <c r="D118" s="165">
        <v>44406.0</v>
      </c>
      <c r="E118" s="164" t="s">
        <v>295</v>
      </c>
      <c r="F118" s="161"/>
      <c r="G118" s="161"/>
      <c r="H118" s="159">
        <v>5.0</v>
      </c>
      <c r="I118" s="159">
        <v>5.0</v>
      </c>
      <c r="J118" s="159">
        <v>5.0</v>
      </c>
      <c r="K118" s="159">
        <v>5.0</v>
      </c>
      <c r="L118" s="159">
        <v>5.0</v>
      </c>
      <c r="M118" s="159">
        <v>5.0</v>
      </c>
      <c r="N118" s="159">
        <v>5.0</v>
      </c>
      <c r="O118" s="159">
        <v>5.0</v>
      </c>
      <c r="P118" s="159">
        <v>5.0</v>
      </c>
      <c r="Q118" s="159">
        <v>5.0</v>
      </c>
      <c r="R118" s="159">
        <v>5.0</v>
      </c>
      <c r="S118" s="159">
        <v>5.0</v>
      </c>
      <c r="T118" s="159">
        <v>5.0</v>
      </c>
      <c r="U118" s="159">
        <v>5.0</v>
      </c>
      <c r="V118" s="159">
        <v>5.0</v>
      </c>
      <c r="W118" s="159">
        <v>5.0</v>
      </c>
      <c r="X118" s="161"/>
      <c r="Y118" s="161"/>
      <c r="Z118" s="161"/>
      <c r="AA118" s="161"/>
      <c r="AB118" s="161"/>
      <c r="AC118" s="159">
        <v>5.0</v>
      </c>
      <c r="AD118" s="159"/>
    </row>
    <row r="119">
      <c r="A119" s="162">
        <v>102018.0</v>
      </c>
      <c r="B119" s="163" t="s">
        <v>502</v>
      </c>
      <c r="C119" s="164" t="s">
        <v>503</v>
      </c>
      <c r="D119" s="165">
        <v>44407.0</v>
      </c>
      <c r="E119" s="164" t="s">
        <v>51</v>
      </c>
      <c r="F119" s="161"/>
      <c r="G119" s="161"/>
      <c r="H119" s="159">
        <v>5.0</v>
      </c>
      <c r="I119" s="159">
        <v>5.0</v>
      </c>
      <c r="J119" s="159">
        <v>5.0</v>
      </c>
      <c r="K119" s="159">
        <v>5.0</v>
      </c>
      <c r="L119" s="159">
        <v>5.0</v>
      </c>
      <c r="M119" s="159">
        <v>5.0</v>
      </c>
      <c r="N119" s="159">
        <v>5.0</v>
      </c>
      <c r="O119" s="159">
        <v>5.0</v>
      </c>
      <c r="P119" s="159">
        <v>5.0</v>
      </c>
      <c r="Q119" s="159">
        <v>5.0</v>
      </c>
      <c r="R119" s="159">
        <v>5.0</v>
      </c>
      <c r="S119" s="159">
        <v>5.0</v>
      </c>
      <c r="T119" s="159">
        <v>5.0</v>
      </c>
      <c r="U119" s="159">
        <v>5.0</v>
      </c>
      <c r="V119" s="159">
        <v>5.0</v>
      </c>
      <c r="W119" s="159">
        <v>5.0</v>
      </c>
      <c r="X119" s="161"/>
      <c r="Y119" s="161"/>
      <c r="Z119" s="161"/>
      <c r="AA119" s="161"/>
      <c r="AB119" s="161"/>
      <c r="AC119" s="159">
        <v>5.0</v>
      </c>
      <c r="AD119" s="159"/>
    </row>
    <row r="120">
      <c r="A120" s="162">
        <v>102015.0</v>
      </c>
      <c r="B120" s="163" t="s">
        <v>504</v>
      </c>
      <c r="C120" s="164" t="s">
        <v>505</v>
      </c>
      <c r="D120" s="165">
        <v>44407.0</v>
      </c>
      <c r="E120" s="164" t="s">
        <v>432</v>
      </c>
      <c r="F120" s="161"/>
      <c r="G120" s="161"/>
      <c r="H120" s="159">
        <v>5.0</v>
      </c>
      <c r="I120" s="159">
        <v>5.0</v>
      </c>
      <c r="J120" s="159">
        <v>5.0</v>
      </c>
      <c r="K120" s="159">
        <v>5.0</v>
      </c>
      <c r="L120" s="159">
        <v>5.0</v>
      </c>
      <c r="M120" s="159">
        <v>5.0</v>
      </c>
      <c r="N120" s="159">
        <v>5.0</v>
      </c>
      <c r="O120" s="159">
        <v>5.0</v>
      </c>
      <c r="P120" s="159">
        <v>5.0</v>
      </c>
      <c r="Q120" s="159">
        <v>5.0</v>
      </c>
      <c r="R120" s="159">
        <v>5.0</v>
      </c>
      <c r="S120" s="159">
        <v>5.0</v>
      </c>
      <c r="T120" s="159">
        <v>5.0</v>
      </c>
      <c r="U120" s="159">
        <v>5.0</v>
      </c>
      <c r="V120" s="159">
        <v>5.0</v>
      </c>
      <c r="W120" s="159">
        <v>5.0</v>
      </c>
      <c r="X120" s="161"/>
      <c r="Y120" s="161"/>
      <c r="Z120" s="161"/>
      <c r="AA120" s="161"/>
      <c r="AB120" s="161"/>
      <c r="AC120" s="159">
        <v>5.0</v>
      </c>
      <c r="AD120" s="159"/>
    </row>
    <row r="121">
      <c r="A121" s="162">
        <v>102003.0</v>
      </c>
      <c r="B121" s="163" t="s">
        <v>506</v>
      </c>
      <c r="C121" s="164" t="s">
        <v>507</v>
      </c>
      <c r="D121" s="165">
        <v>44408.0</v>
      </c>
      <c r="E121" s="164" t="s">
        <v>312</v>
      </c>
      <c r="F121" s="161"/>
      <c r="G121" s="161"/>
      <c r="H121" s="159">
        <v>5.0</v>
      </c>
      <c r="I121" s="159">
        <v>5.0</v>
      </c>
      <c r="J121" s="159">
        <v>5.0</v>
      </c>
      <c r="K121" s="159">
        <v>5.0</v>
      </c>
      <c r="L121" s="159">
        <v>5.0</v>
      </c>
      <c r="M121" s="159">
        <v>5.0</v>
      </c>
      <c r="N121" s="159">
        <v>5.0</v>
      </c>
      <c r="O121" s="159">
        <v>5.0</v>
      </c>
      <c r="P121" s="159">
        <v>5.0</v>
      </c>
      <c r="Q121" s="159">
        <v>5.0</v>
      </c>
      <c r="R121" s="159">
        <v>5.0</v>
      </c>
      <c r="S121" s="159">
        <v>5.0</v>
      </c>
      <c r="T121" s="159">
        <v>5.0</v>
      </c>
      <c r="U121" s="159">
        <v>5.0</v>
      </c>
      <c r="V121" s="159">
        <v>5.0</v>
      </c>
      <c r="W121" s="159">
        <v>5.0</v>
      </c>
      <c r="X121" s="161"/>
      <c r="Y121" s="161"/>
      <c r="Z121" s="161"/>
      <c r="AA121" s="161"/>
      <c r="AB121" s="161"/>
      <c r="AC121" s="159">
        <v>5.0</v>
      </c>
      <c r="AD121" s="159"/>
    </row>
    <row r="122">
      <c r="A122" s="162">
        <v>102005.0</v>
      </c>
      <c r="B122" s="163" t="s">
        <v>509</v>
      </c>
      <c r="C122" s="164" t="s">
        <v>510</v>
      </c>
      <c r="D122" s="165">
        <v>44410.0</v>
      </c>
      <c r="E122" s="164" t="s">
        <v>265</v>
      </c>
      <c r="F122" s="161"/>
      <c r="G122" s="161"/>
      <c r="H122" s="159">
        <v>5.0</v>
      </c>
      <c r="I122" s="159">
        <v>5.0</v>
      </c>
      <c r="J122" s="159">
        <v>5.0</v>
      </c>
      <c r="K122" s="159">
        <v>5.0</v>
      </c>
      <c r="L122" s="159">
        <v>5.0</v>
      </c>
      <c r="M122" s="159">
        <v>5.0</v>
      </c>
      <c r="N122" s="159">
        <v>5.0</v>
      </c>
      <c r="O122" s="159">
        <v>5.0</v>
      </c>
      <c r="P122" s="159">
        <v>5.0</v>
      </c>
      <c r="Q122" s="159">
        <v>5.0</v>
      </c>
      <c r="R122" s="159">
        <v>5.0</v>
      </c>
      <c r="S122" s="159">
        <v>5.0</v>
      </c>
      <c r="T122" s="159">
        <v>5.0</v>
      </c>
      <c r="U122" s="159">
        <v>5.0</v>
      </c>
      <c r="V122" s="159">
        <v>5.0</v>
      </c>
      <c r="W122" s="159">
        <v>5.0</v>
      </c>
      <c r="X122" s="161"/>
      <c r="Y122" s="161"/>
      <c r="Z122" s="161"/>
      <c r="AA122" s="161"/>
      <c r="AB122" s="161"/>
      <c r="AC122" s="159">
        <v>5.0</v>
      </c>
      <c r="AD122" s="159"/>
    </row>
    <row r="123">
      <c r="A123" s="162">
        <v>102010.0</v>
      </c>
      <c r="B123" s="163" t="s">
        <v>511</v>
      </c>
      <c r="C123" s="164" t="s">
        <v>512</v>
      </c>
      <c r="D123" s="165">
        <v>44412.0</v>
      </c>
      <c r="E123" s="164" t="s">
        <v>339</v>
      </c>
      <c r="F123" s="161"/>
      <c r="G123" s="161"/>
      <c r="H123" s="159">
        <v>5.0</v>
      </c>
      <c r="I123" s="159">
        <v>5.0</v>
      </c>
      <c r="J123" s="159">
        <v>5.0</v>
      </c>
      <c r="K123" s="159">
        <v>5.0</v>
      </c>
      <c r="L123" s="159">
        <v>5.0</v>
      </c>
      <c r="M123" s="159">
        <v>5.0</v>
      </c>
      <c r="N123" s="159">
        <v>5.0</v>
      </c>
      <c r="O123" s="159">
        <v>5.0</v>
      </c>
      <c r="P123" s="159">
        <v>5.0</v>
      </c>
      <c r="Q123" s="159">
        <v>5.0</v>
      </c>
      <c r="R123" s="159">
        <v>5.0</v>
      </c>
      <c r="S123" s="159">
        <v>5.0</v>
      </c>
      <c r="T123" s="159">
        <v>5.0</v>
      </c>
      <c r="U123" s="159">
        <v>5.0</v>
      </c>
      <c r="V123" s="159">
        <v>5.0</v>
      </c>
      <c r="W123" s="159">
        <v>5.0</v>
      </c>
      <c r="X123" s="161"/>
      <c r="Y123" s="161"/>
      <c r="Z123" s="161"/>
      <c r="AA123" s="161"/>
      <c r="AB123" s="161"/>
      <c r="AC123" s="159">
        <v>5.0</v>
      </c>
      <c r="AD123" s="159"/>
    </row>
    <row r="124">
      <c r="A124" s="162">
        <v>102001.0</v>
      </c>
      <c r="B124" s="163" t="s">
        <v>513</v>
      </c>
      <c r="C124" s="164" t="s">
        <v>476</v>
      </c>
      <c r="D124" s="165">
        <v>44414.0</v>
      </c>
      <c r="E124" s="164" t="s">
        <v>295</v>
      </c>
      <c r="F124" s="161"/>
      <c r="G124" s="161"/>
      <c r="H124" s="159">
        <v>5.0</v>
      </c>
      <c r="I124" s="159">
        <v>5.0</v>
      </c>
      <c r="J124" s="159">
        <v>5.0</v>
      </c>
      <c r="K124" s="159">
        <v>5.0</v>
      </c>
      <c r="L124" s="159">
        <v>5.0</v>
      </c>
      <c r="M124" s="159">
        <v>5.0</v>
      </c>
      <c r="N124" s="159">
        <v>5.0</v>
      </c>
      <c r="O124" s="159">
        <v>5.0</v>
      </c>
      <c r="P124" s="159">
        <v>5.0</v>
      </c>
      <c r="Q124" s="159">
        <v>5.0</v>
      </c>
      <c r="R124" s="159">
        <v>5.0</v>
      </c>
      <c r="S124" s="159">
        <v>5.0</v>
      </c>
      <c r="T124" s="159">
        <v>5.0</v>
      </c>
      <c r="U124" s="159">
        <v>5.0</v>
      </c>
      <c r="V124" s="159">
        <v>5.0</v>
      </c>
      <c r="W124" s="159">
        <v>5.0</v>
      </c>
      <c r="X124" s="161"/>
      <c r="Y124" s="161"/>
      <c r="Z124" s="161"/>
      <c r="AA124" s="161"/>
      <c r="AB124" s="161"/>
      <c r="AC124" s="159">
        <v>5.0</v>
      </c>
      <c r="AD124" s="159"/>
    </row>
    <row r="125">
      <c r="A125" s="162">
        <v>102000.0</v>
      </c>
      <c r="B125" s="163" t="s">
        <v>514</v>
      </c>
      <c r="C125" s="164" t="s">
        <v>515</v>
      </c>
      <c r="D125" s="165">
        <v>44414.0</v>
      </c>
      <c r="E125" s="164" t="s">
        <v>295</v>
      </c>
      <c r="F125" s="161"/>
      <c r="G125" s="161"/>
      <c r="H125" s="159">
        <v>4.5</v>
      </c>
      <c r="I125" s="159">
        <v>4.5</v>
      </c>
      <c r="J125" s="159">
        <v>4.5</v>
      </c>
      <c r="K125" s="159">
        <v>4.5</v>
      </c>
      <c r="L125" s="159">
        <v>5.0</v>
      </c>
      <c r="M125" s="159">
        <v>4.6</v>
      </c>
      <c r="N125" s="159">
        <v>4.4</v>
      </c>
      <c r="O125" s="159">
        <v>4.4</v>
      </c>
      <c r="P125" s="159">
        <v>4.4</v>
      </c>
      <c r="Q125" s="159">
        <v>4.4</v>
      </c>
      <c r="R125" s="159">
        <v>4.4</v>
      </c>
      <c r="S125" s="159">
        <v>4.4</v>
      </c>
      <c r="T125" s="159">
        <v>4.4</v>
      </c>
      <c r="U125" s="159">
        <v>4.4</v>
      </c>
      <c r="V125" s="159">
        <v>4.4</v>
      </c>
      <c r="W125" s="159">
        <v>4.4</v>
      </c>
      <c r="X125" s="161"/>
      <c r="Y125" s="161"/>
      <c r="Z125" s="161"/>
      <c r="AA125" s="161"/>
      <c r="AB125" s="161"/>
      <c r="AC125" s="159">
        <v>4.466666666666667</v>
      </c>
      <c r="AD125" s="159"/>
    </row>
    <row r="126">
      <c r="A126" s="162">
        <v>102021.0</v>
      </c>
      <c r="B126" s="163" t="s">
        <v>516</v>
      </c>
      <c r="C126" s="164" t="s">
        <v>517</v>
      </c>
      <c r="D126" s="165">
        <v>44419.0</v>
      </c>
      <c r="E126" s="164" t="s">
        <v>295</v>
      </c>
      <c r="F126" s="161"/>
      <c r="G126" s="161"/>
      <c r="H126" s="159">
        <v>5.0</v>
      </c>
      <c r="I126" s="159">
        <v>5.0</v>
      </c>
      <c r="J126" s="159">
        <v>5.0</v>
      </c>
      <c r="K126" s="159">
        <v>5.0</v>
      </c>
      <c r="L126" s="159">
        <v>5.0</v>
      </c>
      <c r="M126" s="159">
        <v>5.0</v>
      </c>
      <c r="N126" s="159">
        <v>5.0</v>
      </c>
      <c r="O126" s="159">
        <v>5.0</v>
      </c>
      <c r="P126" s="159">
        <v>5.0</v>
      </c>
      <c r="Q126" s="159">
        <v>5.0</v>
      </c>
      <c r="R126" s="159">
        <v>5.0</v>
      </c>
      <c r="S126" s="159">
        <v>5.0</v>
      </c>
      <c r="T126" s="159">
        <v>5.0</v>
      </c>
      <c r="U126" s="159">
        <v>5.0</v>
      </c>
      <c r="V126" s="159">
        <v>5.0</v>
      </c>
      <c r="W126" s="159">
        <v>5.0</v>
      </c>
      <c r="X126" s="161"/>
      <c r="Y126" s="161"/>
      <c r="Z126" s="161"/>
      <c r="AA126" s="161"/>
      <c r="AB126" s="161"/>
      <c r="AC126" s="159">
        <v>5.0</v>
      </c>
      <c r="AD126" s="159"/>
    </row>
    <row r="127">
      <c r="A127" s="162">
        <v>102020.0</v>
      </c>
      <c r="B127" s="163" t="s">
        <v>518</v>
      </c>
      <c r="C127" s="164" t="s">
        <v>519</v>
      </c>
      <c r="D127" s="165">
        <v>44421.0</v>
      </c>
      <c r="E127" s="164" t="s">
        <v>393</v>
      </c>
      <c r="F127" s="161"/>
      <c r="G127" s="161"/>
      <c r="H127" s="159">
        <v>4.5</v>
      </c>
      <c r="I127" s="159">
        <v>4.5</v>
      </c>
      <c r="J127" s="159">
        <v>4.5</v>
      </c>
      <c r="K127" s="159">
        <v>4.5</v>
      </c>
      <c r="L127" s="159">
        <v>5.0</v>
      </c>
      <c r="M127" s="159">
        <v>4.6</v>
      </c>
      <c r="N127" s="159">
        <v>5.0</v>
      </c>
      <c r="O127" s="159">
        <v>4.5</v>
      </c>
      <c r="P127" s="159">
        <v>4.5</v>
      </c>
      <c r="Q127" s="159">
        <v>5.0</v>
      </c>
      <c r="R127" s="159">
        <v>4.75</v>
      </c>
      <c r="S127" s="159">
        <v>5.0</v>
      </c>
      <c r="T127" s="159">
        <v>4.4</v>
      </c>
      <c r="U127" s="159">
        <v>4.4</v>
      </c>
      <c r="V127" s="159">
        <v>5.0</v>
      </c>
      <c r="W127" s="159">
        <v>4.7</v>
      </c>
      <c r="X127" s="161"/>
      <c r="Y127" s="161"/>
      <c r="Z127" s="161"/>
      <c r="AA127" s="161"/>
      <c r="AB127" s="161"/>
      <c r="AC127" s="159">
        <v>4.683333333333334</v>
      </c>
      <c r="AD127" s="159"/>
    </row>
    <row r="128">
      <c r="A128" s="162">
        <v>102022.0</v>
      </c>
      <c r="B128" s="163" t="s">
        <v>520</v>
      </c>
      <c r="C128" s="164" t="s">
        <v>521</v>
      </c>
      <c r="D128" s="165">
        <v>44421.0</v>
      </c>
      <c r="E128" s="164" t="s">
        <v>522</v>
      </c>
      <c r="F128" s="161"/>
      <c r="G128" s="161"/>
      <c r="H128" s="159">
        <v>4.5</v>
      </c>
      <c r="I128" s="159">
        <v>4.5</v>
      </c>
      <c r="J128" s="159">
        <v>4.5</v>
      </c>
      <c r="K128" s="159">
        <v>4.5</v>
      </c>
      <c r="L128" s="159">
        <v>4.5</v>
      </c>
      <c r="M128" s="159">
        <v>4.5</v>
      </c>
      <c r="N128" s="159">
        <v>4.5</v>
      </c>
      <c r="O128" s="159">
        <v>4.5</v>
      </c>
      <c r="P128" s="159">
        <v>4.5</v>
      </c>
      <c r="Q128" s="159">
        <v>5.0</v>
      </c>
      <c r="R128" s="159">
        <v>4.625</v>
      </c>
      <c r="S128" s="159">
        <v>4.4</v>
      </c>
      <c r="T128" s="159">
        <v>4.4</v>
      </c>
      <c r="U128" s="159">
        <v>4.4</v>
      </c>
      <c r="V128" s="159">
        <v>5.0</v>
      </c>
      <c r="W128" s="159">
        <v>4.550000000000001</v>
      </c>
      <c r="X128" s="161"/>
      <c r="Y128" s="161"/>
      <c r="Z128" s="161"/>
      <c r="AA128" s="161"/>
      <c r="AB128" s="161"/>
      <c r="AC128" s="159">
        <v>4.558333333333334</v>
      </c>
      <c r="AD128" s="159"/>
    </row>
    <row r="129">
      <c r="A129" s="162">
        <v>102024.0</v>
      </c>
      <c r="B129" s="163" t="s">
        <v>523</v>
      </c>
      <c r="C129" s="164" t="s">
        <v>524</v>
      </c>
      <c r="D129" s="165">
        <v>44422.0</v>
      </c>
      <c r="E129" s="164" t="s">
        <v>87</v>
      </c>
      <c r="F129" s="161"/>
      <c r="G129" s="161"/>
      <c r="H129" s="159">
        <v>5.0</v>
      </c>
      <c r="I129" s="159">
        <v>5.0</v>
      </c>
      <c r="J129" s="159">
        <v>5.0</v>
      </c>
      <c r="K129" s="159">
        <v>5.0</v>
      </c>
      <c r="L129" s="159">
        <v>5.0</v>
      </c>
      <c r="M129" s="159">
        <v>5.0</v>
      </c>
      <c r="N129" s="159">
        <v>5.0</v>
      </c>
      <c r="O129" s="159">
        <v>5.0</v>
      </c>
      <c r="P129" s="159">
        <v>5.0</v>
      </c>
      <c r="Q129" s="159">
        <v>5.0</v>
      </c>
      <c r="R129" s="159">
        <v>5.0</v>
      </c>
      <c r="S129" s="159">
        <v>5.0</v>
      </c>
      <c r="T129" s="159">
        <v>5.0</v>
      </c>
      <c r="U129" s="159">
        <v>5.0</v>
      </c>
      <c r="V129" s="159">
        <v>5.0</v>
      </c>
      <c r="W129" s="159">
        <v>5.0</v>
      </c>
      <c r="X129" s="161"/>
      <c r="Y129" s="161"/>
      <c r="Z129" s="161"/>
      <c r="AA129" s="161"/>
      <c r="AB129" s="161"/>
      <c r="AC129" s="159">
        <v>5.0</v>
      </c>
      <c r="AD129" s="159"/>
    </row>
    <row r="130">
      <c r="A130" s="162">
        <v>102040.0</v>
      </c>
      <c r="B130" s="163" t="s">
        <v>525</v>
      </c>
      <c r="C130" s="164" t="s">
        <v>526</v>
      </c>
      <c r="D130" s="165">
        <v>44431.0</v>
      </c>
      <c r="E130" s="164" t="s">
        <v>432</v>
      </c>
      <c r="F130" s="161"/>
      <c r="G130" s="161"/>
      <c r="H130" s="159">
        <v>5.0</v>
      </c>
      <c r="I130" s="159">
        <v>5.0</v>
      </c>
      <c r="J130" s="159">
        <v>5.0</v>
      </c>
      <c r="K130" s="159">
        <v>5.0</v>
      </c>
      <c r="L130" s="159">
        <v>5.0</v>
      </c>
      <c r="M130" s="159">
        <v>5.0</v>
      </c>
      <c r="N130" s="159">
        <v>5.0</v>
      </c>
      <c r="O130" s="159">
        <v>5.0</v>
      </c>
      <c r="P130" s="159">
        <v>5.0</v>
      </c>
      <c r="Q130" s="159">
        <v>5.0</v>
      </c>
      <c r="R130" s="159">
        <v>5.0</v>
      </c>
      <c r="S130" s="159">
        <v>5.0</v>
      </c>
      <c r="T130" s="159">
        <v>5.0</v>
      </c>
      <c r="U130" s="159">
        <v>5.0</v>
      </c>
      <c r="V130" s="159">
        <v>5.0</v>
      </c>
      <c r="W130" s="159">
        <v>5.0</v>
      </c>
      <c r="X130" s="161"/>
      <c r="Y130" s="161"/>
      <c r="Z130" s="161"/>
      <c r="AA130" s="161"/>
      <c r="AB130" s="161"/>
      <c r="AC130" s="159">
        <v>5.0</v>
      </c>
      <c r="AD130" s="159"/>
    </row>
    <row r="131">
      <c r="A131" s="162">
        <v>102046.0</v>
      </c>
      <c r="B131" s="163" t="s">
        <v>527</v>
      </c>
      <c r="C131" s="164" t="s">
        <v>528</v>
      </c>
      <c r="D131" s="165">
        <v>44431.0</v>
      </c>
      <c r="E131" s="164" t="s">
        <v>437</v>
      </c>
      <c r="F131" s="161"/>
      <c r="G131" s="161"/>
      <c r="H131" s="159">
        <v>5.0</v>
      </c>
      <c r="I131" s="159">
        <v>5.0</v>
      </c>
      <c r="J131" s="159">
        <v>5.0</v>
      </c>
      <c r="K131" s="159">
        <v>5.0</v>
      </c>
      <c r="L131" s="159">
        <v>5.0</v>
      </c>
      <c r="M131" s="159">
        <v>5.0</v>
      </c>
      <c r="N131" s="159">
        <v>5.0</v>
      </c>
      <c r="O131" s="159">
        <v>5.0</v>
      </c>
      <c r="P131" s="159">
        <v>5.0</v>
      </c>
      <c r="Q131" s="159">
        <v>5.0</v>
      </c>
      <c r="R131" s="159">
        <v>5.0</v>
      </c>
      <c r="S131" s="159">
        <v>5.0</v>
      </c>
      <c r="T131" s="159">
        <v>5.0</v>
      </c>
      <c r="U131" s="159">
        <v>5.0</v>
      </c>
      <c r="V131" s="159">
        <v>5.0</v>
      </c>
      <c r="W131" s="159">
        <v>5.0</v>
      </c>
      <c r="X131" s="161"/>
      <c r="Y131" s="161"/>
      <c r="Z131" s="161"/>
      <c r="AA131" s="161"/>
      <c r="AB131" s="161"/>
      <c r="AC131" s="159">
        <v>5.0</v>
      </c>
      <c r="AD131" s="159"/>
    </row>
    <row r="132">
      <c r="A132" s="162">
        <v>102023.0</v>
      </c>
      <c r="B132" s="163" t="s">
        <v>529</v>
      </c>
      <c r="C132" s="164" t="s">
        <v>530</v>
      </c>
      <c r="D132" s="165">
        <v>44433.0</v>
      </c>
      <c r="E132" s="164" t="s">
        <v>87</v>
      </c>
      <c r="F132" s="161"/>
      <c r="G132" s="161"/>
      <c r="H132" s="159">
        <v>4.5</v>
      </c>
      <c r="I132" s="159">
        <v>4.5</v>
      </c>
      <c r="J132" s="159">
        <v>4.5</v>
      </c>
      <c r="K132" s="159">
        <v>4.5</v>
      </c>
      <c r="L132" s="159">
        <v>5.0</v>
      </c>
      <c r="M132" s="159">
        <v>4.6</v>
      </c>
      <c r="N132" s="159">
        <v>4.5</v>
      </c>
      <c r="O132" s="159">
        <v>4.5</v>
      </c>
      <c r="P132" s="159">
        <v>4.5</v>
      </c>
      <c r="Q132" s="159">
        <v>4.5</v>
      </c>
      <c r="R132" s="159">
        <v>4.5</v>
      </c>
      <c r="S132" s="159">
        <v>4.4</v>
      </c>
      <c r="T132" s="159">
        <v>4.4</v>
      </c>
      <c r="U132" s="159">
        <v>4.4</v>
      </c>
      <c r="V132" s="159">
        <v>4.4</v>
      </c>
      <c r="W132" s="159">
        <v>4.4</v>
      </c>
      <c r="X132" s="161"/>
      <c r="Y132" s="161"/>
      <c r="Z132" s="161"/>
      <c r="AA132" s="161"/>
      <c r="AB132" s="161"/>
      <c r="AC132" s="159">
        <v>4.5</v>
      </c>
      <c r="AD132" s="159"/>
    </row>
    <row r="133">
      <c r="A133" s="162">
        <v>102011.0</v>
      </c>
      <c r="B133" s="163" t="s">
        <v>531</v>
      </c>
      <c r="C133" s="164" t="s">
        <v>532</v>
      </c>
      <c r="D133" s="165">
        <v>44434.0</v>
      </c>
      <c r="E133" s="164" t="s">
        <v>408</v>
      </c>
      <c r="F133" s="161"/>
      <c r="G133" s="161"/>
      <c r="H133" s="159">
        <v>5.0</v>
      </c>
      <c r="I133" s="159">
        <v>5.0</v>
      </c>
      <c r="J133" s="159">
        <v>5.0</v>
      </c>
      <c r="K133" s="159">
        <v>5.0</v>
      </c>
      <c r="L133" s="159">
        <v>5.0</v>
      </c>
      <c r="M133" s="159">
        <v>5.0</v>
      </c>
      <c r="N133" s="159">
        <v>5.0</v>
      </c>
      <c r="O133" s="159">
        <v>5.0</v>
      </c>
      <c r="P133" s="159">
        <v>5.0</v>
      </c>
      <c r="Q133" s="159">
        <v>5.0</v>
      </c>
      <c r="R133" s="159">
        <v>5.0</v>
      </c>
      <c r="S133" s="159">
        <v>5.0</v>
      </c>
      <c r="T133" s="159">
        <v>5.0</v>
      </c>
      <c r="U133" s="159">
        <v>5.0</v>
      </c>
      <c r="V133" s="159">
        <v>5.0</v>
      </c>
      <c r="W133" s="159">
        <v>5.0</v>
      </c>
      <c r="X133" s="161"/>
      <c r="Y133" s="161"/>
      <c r="Z133" s="161"/>
      <c r="AA133" s="161"/>
      <c r="AB133" s="161"/>
      <c r="AC133" s="159">
        <v>5.0</v>
      </c>
      <c r="AD133" s="159"/>
    </row>
    <row r="134">
      <c r="A134" s="162">
        <v>102041.0</v>
      </c>
      <c r="B134" s="163" t="s">
        <v>533</v>
      </c>
      <c r="C134" s="164" t="s">
        <v>534</v>
      </c>
      <c r="D134" s="165">
        <v>44435.0</v>
      </c>
      <c r="E134" s="164" t="s">
        <v>295</v>
      </c>
      <c r="F134" s="161"/>
      <c r="G134" s="161"/>
      <c r="H134" s="159">
        <v>5.0</v>
      </c>
      <c r="I134" s="159">
        <v>5.0</v>
      </c>
      <c r="J134" s="159">
        <v>5.0</v>
      </c>
      <c r="K134" s="159">
        <v>5.0</v>
      </c>
      <c r="L134" s="159">
        <v>5.0</v>
      </c>
      <c r="M134" s="159">
        <v>5.0</v>
      </c>
      <c r="N134" s="159">
        <v>4.5</v>
      </c>
      <c r="O134" s="159">
        <v>4.5</v>
      </c>
      <c r="P134" s="159">
        <v>4.5</v>
      </c>
      <c r="Q134" s="159">
        <v>4.5</v>
      </c>
      <c r="R134" s="159">
        <v>4.5</v>
      </c>
      <c r="S134" s="159">
        <v>5.0</v>
      </c>
      <c r="T134" s="159">
        <v>4.5</v>
      </c>
      <c r="U134" s="159">
        <v>4.0</v>
      </c>
      <c r="V134" s="159">
        <v>5.0</v>
      </c>
      <c r="W134" s="159">
        <v>4.625</v>
      </c>
      <c r="X134" s="161"/>
      <c r="Y134" s="161"/>
      <c r="Z134" s="161"/>
      <c r="AA134" s="161"/>
      <c r="AB134" s="161"/>
      <c r="AC134" s="159">
        <v>4.708333333333333</v>
      </c>
      <c r="AD134" s="159"/>
    </row>
    <row r="135">
      <c r="A135" s="162">
        <v>102050.0</v>
      </c>
      <c r="B135" s="163" t="s">
        <v>535</v>
      </c>
      <c r="C135" s="164" t="s">
        <v>536</v>
      </c>
      <c r="D135" s="165">
        <v>44435.0</v>
      </c>
      <c r="E135" s="164" t="s">
        <v>380</v>
      </c>
      <c r="F135" s="161"/>
      <c r="G135" s="161"/>
      <c r="H135" s="159">
        <v>5.0</v>
      </c>
      <c r="I135" s="159">
        <v>5.0</v>
      </c>
      <c r="J135" s="159">
        <v>5.0</v>
      </c>
      <c r="K135" s="159">
        <v>5.0</v>
      </c>
      <c r="L135" s="159">
        <v>5.0</v>
      </c>
      <c r="M135" s="159">
        <v>5.0</v>
      </c>
      <c r="N135" s="159">
        <v>5.0</v>
      </c>
      <c r="O135" s="159">
        <v>5.0</v>
      </c>
      <c r="P135" s="159">
        <v>5.0</v>
      </c>
      <c r="Q135" s="159">
        <v>5.0</v>
      </c>
      <c r="R135" s="159">
        <v>5.0</v>
      </c>
      <c r="S135" s="159">
        <v>5.0</v>
      </c>
      <c r="T135" s="159">
        <v>5.0</v>
      </c>
      <c r="U135" s="159">
        <v>5.0</v>
      </c>
      <c r="V135" s="159">
        <v>5.0</v>
      </c>
      <c r="W135" s="159">
        <v>5.0</v>
      </c>
      <c r="X135" s="161"/>
      <c r="Y135" s="161"/>
      <c r="Z135" s="161"/>
      <c r="AA135" s="161"/>
      <c r="AB135" s="161"/>
      <c r="AC135" s="159">
        <v>5.0</v>
      </c>
      <c r="AD135" s="159"/>
    </row>
    <row r="136">
      <c r="A136" s="162">
        <v>102048.0</v>
      </c>
      <c r="B136" s="163" t="s">
        <v>537</v>
      </c>
      <c r="C136" s="164" t="s">
        <v>538</v>
      </c>
      <c r="D136" s="165">
        <v>44435.0</v>
      </c>
      <c r="E136" s="164" t="s">
        <v>432</v>
      </c>
      <c r="F136" s="161"/>
      <c r="G136" s="161"/>
      <c r="H136" s="159">
        <v>5.0</v>
      </c>
      <c r="I136" s="159">
        <v>5.0</v>
      </c>
      <c r="J136" s="159">
        <v>5.0</v>
      </c>
      <c r="K136" s="159">
        <v>5.0</v>
      </c>
      <c r="L136" s="159">
        <v>5.0</v>
      </c>
      <c r="M136" s="159">
        <v>5.0</v>
      </c>
      <c r="N136" s="159">
        <v>5.0</v>
      </c>
      <c r="O136" s="159">
        <v>5.0</v>
      </c>
      <c r="P136" s="159">
        <v>5.0</v>
      </c>
      <c r="Q136" s="159">
        <v>5.0</v>
      </c>
      <c r="R136" s="159">
        <v>5.0</v>
      </c>
      <c r="S136" s="159">
        <v>5.0</v>
      </c>
      <c r="T136" s="159">
        <v>5.0</v>
      </c>
      <c r="U136" s="159">
        <v>5.0</v>
      </c>
      <c r="V136" s="159">
        <v>5.0</v>
      </c>
      <c r="W136" s="159">
        <v>5.0</v>
      </c>
      <c r="X136" s="161"/>
      <c r="Y136" s="161"/>
      <c r="Z136" s="161"/>
      <c r="AA136" s="161"/>
      <c r="AB136" s="161"/>
      <c r="AC136" s="159">
        <v>5.0</v>
      </c>
      <c r="AD136" s="159"/>
    </row>
    <row r="137">
      <c r="A137" s="162">
        <v>101958.0</v>
      </c>
      <c r="B137" s="163" t="s">
        <v>539</v>
      </c>
      <c r="C137" s="164" t="s">
        <v>540</v>
      </c>
      <c r="D137" s="165">
        <v>44435.0</v>
      </c>
      <c r="E137" s="164" t="s">
        <v>247</v>
      </c>
      <c r="F137" s="161"/>
      <c r="G137" s="161"/>
      <c r="H137" s="159">
        <v>5.0</v>
      </c>
      <c r="I137" s="159">
        <v>5.0</v>
      </c>
      <c r="J137" s="159">
        <v>5.0</v>
      </c>
      <c r="K137" s="159">
        <v>5.0</v>
      </c>
      <c r="L137" s="159">
        <v>5.0</v>
      </c>
      <c r="M137" s="159">
        <v>5.0</v>
      </c>
      <c r="N137" s="159">
        <v>5.0</v>
      </c>
      <c r="O137" s="159">
        <v>5.0</v>
      </c>
      <c r="P137" s="159">
        <v>5.0</v>
      </c>
      <c r="Q137" s="159">
        <v>5.0</v>
      </c>
      <c r="R137" s="159">
        <v>5.0</v>
      </c>
      <c r="S137" s="159">
        <v>5.0</v>
      </c>
      <c r="T137" s="159">
        <v>5.0</v>
      </c>
      <c r="U137" s="159">
        <v>5.0</v>
      </c>
      <c r="V137" s="159">
        <v>5.0</v>
      </c>
      <c r="W137" s="159">
        <v>5.0</v>
      </c>
      <c r="X137" s="161"/>
      <c r="Y137" s="161"/>
      <c r="Z137" s="161"/>
      <c r="AA137" s="161"/>
      <c r="AB137" s="161"/>
      <c r="AC137" s="159">
        <v>5.0</v>
      </c>
      <c r="AD137" s="159"/>
    </row>
    <row r="138">
      <c r="A138" s="162">
        <v>101988.0</v>
      </c>
      <c r="B138" s="169"/>
      <c r="C138" s="164" t="s">
        <v>541</v>
      </c>
      <c r="D138" s="165">
        <v>44442.0</v>
      </c>
      <c r="E138" s="164" t="s">
        <v>225</v>
      </c>
      <c r="F138" s="161"/>
      <c r="G138" s="161"/>
      <c r="H138" s="159">
        <v>5.0</v>
      </c>
      <c r="I138" s="159">
        <v>5.0</v>
      </c>
      <c r="J138" s="159">
        <v>5.0</v>
      </c>
      <c r="K138" s="159">
        <v>5.0</v>
      </c>
      <c r="L138" s="159">
        <v>5.0</v>
      </c>
      <c r="M138" s="159">
        <v>5.0</v>
      </c>
      <c r="N138" s="159">
        <v>5.0</v>
      </c>
      <c r="O138" s="159">
        <v>5.0</v>
      </c>
      <c r="P138" s="159">
        <v>5.0</v>
      </c>
      <c r="Q138" s="159">
        <v>5.0</v>
      </c>
      <c r="R138" s="159">
        <v>5.0</v>
      </c>
      <c r="S138" s="159">
        <v>5.0</v>
      </c>
      <c r="T138" s="159">
        <v>5.0</v>
      </c>
      <c r="U138" s="159">
        <v>5.0</v>
      </c>
      <c r="V138" s="159">
        <v>5.0</v>
      </c>
      <c r="W138" s="159">
        <v>5.0</v>
      </c>
      <c r="X138" s="161"/>
      <c r="Y138" s="161"/>
      <c r="Z138" s="161"/>
      <c r="AA138" s="161"/>
      <c r="AB138" s="161"/>
      <c r="AC138" s="159">
        <v>5.0</v>
      </c>
      <c r="AD138" s="159"/>
    </row>
    <row r="139">
      <c r="A139" s="162">
        <v>102049.0</v>
      </c>
      <c r="B139" s="163" t="s">
        <v>543</v>
      </c>
      <c r="C139" s="164" t="s">
        <v>544</v>
      </c>
      <c r="D139" s="165">
        <v>44446.0</v>
      </c>
      <c r="E139" s="164" t="s">
        <v>254</v>
      </c>
      <c r="F139" s="161"/>
      <c r="G139" s="161"/>
      <c r="H139" s="159">
        <v>5.0</v>
      </c>
      <c r="I139" s="159">
        <v>5.0</v>
      </c>
      <c r="J139" s="159">
        <v>5.0</v>
      </c>
      <c r="K139" s="159">
        <v>5.0</v>
      </c>
      <c r="L139" s="159">
        <v>5.0</v>
      </c>
      <c r="M139" s="159">
        <v>5.0</v>
      </c>
      <c r="N139" s="159">
        <v>5.0</v>
      </c>
      <c r="O139" s="159">
        <v>5.0</v>
      </c>
      <c r="P139" s="159">
        <v>5.0</v>
      </c>
      <c r="Q139" s="159">
        <v>5.0</v>
      </c>
      <c r="R139" s="159">
        <v>5.0</v>
      </c>
      <c r="S139" s="159">
        <v>5.0</v>
      </c>
      <c r="T139" s="159">
        <v>5.0</v>
      </c>
      <c r="U139" s="159">
        <v>5.0</v>
      </c>
      <c r="V139" s="159">
        <v>5.0</v>
      </c>
      <c r="W139" s="159">
        <v>5.0</v>
      </c>
      <c r="X139" s="161"/>
      <c r="Y139" s="161"/>
      <c r="Z139" s="161"/>
      <c r="AA139" s="161"/>
      <c r="AB139" s="161"/>
      <c r="AC139" s="159">
        <v>5.0</v>
      </c>
      <c r="AD139" s="159"/>
    </row>
    <row r="140">
      <c r="A140" s="162">
        <v>102501.0</v>
      </c>
      <c r="B140" s="163" t="s">
        <v>545</v>
      </c>
      <c r="C140" s="164" t="s">
        <v>546</v>
      </c>
      <c r="D140" s="165">
        <v>44446.0</v>
      </c>
      <c r="E140" s="164" t="s">
        <v>547</v>
      </c>
      <c r="F140" s="161"/>
      <c r="G140" s="161"/>
      <c r="H140" s="159">
        <v>4.0</v>
      </c>
      <c r="I140" s="159">
        <v>4.0</v>
      </c>
      <c r="J140" s="159">
        <v>4.0</v>
      </c>
      <c r="K140" s="159">
        <v>4.0</v>
      </c>
      <c r="L140" s="159">
        <v>4.0</v>
      </c>
      <c r="M140" s="159">
        <v>4.0</v>
      </c>
      <c r="N140" s="159">
        <v>4.0</v>
      </c>
      <c r="O140" s="159">
        <v>4.0</v>
      </c>
      <c r="P140" s="159">
        <v>4.0</v>
      </c>
      <c r="Q140" s="159">
        <v>4.0</v>
      </c>
      <c r="R140" s="159">
        <v>4.0</v>
      </c>
      <c r="S140" s="159">
        <v>4.0</v>
      </c>
      <c r="T140" s="159">
        <v>4.0</v>
      </c>
      <c r="U140" s="159">
        <v>4.0</v>
      </c>
      <c r="V140" s="159">
        <v>4.0</v>
      </c>
      <c r="W140" s="159">
        <v>4.0</v>
      </c>
      <c r="X140" s="161"/>
      <c r="Y140" s="161"/>
      <c r="Z140" s="161"/>
      <c r="AA140" s="161"/>
      <c r="AB140" s="161"/>
      <c r="AC140" s="159">
        <v>4.0</v>
      </c>
      <c r="AD140" s="159"/>
    </row>
    <row r="141">
      <c r="A141" s="162">
        <v>102506.0</v>
      </c>
      <c r="B141" s="163" t="s">
        <v>548</v>
      </c>
      <c r="C141" s="164" t="s">
        <v>549</v>
      </c>
      <c r="D141" s="165">
        <v>44450.0</v>
      </c>
      <c r="E141" s="164" t="s">
        <v>295</v>
      </c>
      <c r="F141" s="161"/>
      <c r="G141" s="161"/>
      <c r="H141" s="159">
        <v>4.0</v>
      </c>
      <c r="I141" s="159">
        <v>4.0</v>
      </c>
      <c r="J141" s="159">
        <v>4.0</v>
      </c>
      <c r="K141" s="159">
        <v>4.0</v>
      </c>
      <c r="L141" s="159">
        <v>4.0</v>
      </c>
      <c r="M141" s="159">
        <v>4.0</v>
      </c>
      <c r="N141" s="159">
        <v>4.0</v>
      </c>
      <c r="O141" s="159">
        <v>4.0</v>
      </c>
      <c r="P141" s="159">
        <v>4.0</v>
      </c>
      <c r="Q141" s="159">
        <v>4.0</v>
      </c>
      <c r="R141" s="159">
        <v>4.0</v>
      </c>
      <c r="S141" s="159">
        <v>4.0</v>
      </c>
      <c r="T141" s="159">
        <v>4.0</v>
      </c>
      <c r="U141" s="159">
        <v>4.0</v>
      </c>
      <c r="V141" s="159">
        <v>4.0</v>
      </c>
      <c r="W141" s="159">
        <v>4.0</v>
      </c>
      <c r="X141" s="161"/>
      <c r="Y141" s="161"/>
      <c r="Z141" s="161"/>
      <c r="AA141" s="161"/>
      <c r="AB141" s="161"/>
      <c r="AC141" s="159">
        <v>4.0</v>
      </c>
      <c r="AD141" s="159"/>
    </row>
    <row r="142">
      <c r="A142" s="162">
        <v>102030.0</v>
      </c>
      <c r="B142" s="163" t="s">
        <v>550</v>
      </c>
      <c r="C142" s="164" t="s">
        <v>551</v>
      </c>
      <c r="D142" s="165">
        <v>44450.0</v>
      </c>
      <c r="E142" s="164" t="s">
        <v>51</v>
      </c>
      <c r="F142" s="161"/>
      <c r="G142" s="161"/>
      <c r="H142" s="159">
        <v>5.0</v>
      </c>
      <c r="I142" s="159">
        <v>5.0</v>
      </c>
      <c r="J142" s="159">
        <v>5.0</v>
      </c>
      <c r="K142" s="159">
        <v>5.0</v>
      </c>
      <c r="L142" s="159">
        <v>5.0</v>
      </c>
      <c r="M142" s="159">
        <v>5.0</v>
      </c>
      <c r="N142" s="159">
        <v>5.0</v>
      </c>
      <c r="O142" s="159">
        <v>5.0</v>
      </c>
      <c r="P142" s="159">
        <v>5.0</v>
      </c>
      <c r="Q142" s="159">
        <v>5.0</v>
      </c>
      <c r="R142" s="159">
        <v>5.0</v>
      </c>
      <c r="S142" s="159">
        <v>5.0</v>
      </c>
      <c r="T142" s="159">
        <v>5.0</v>
      </c>
      <c r="U142" s="159">
        <v>5.0</v>
      </c>
      <c r="V142" s="159">
        <v>5.0</v>
      </c>
      <c r="W142" s="159">
        <v>5.0</v>
      </c>
      <c r="X142" s="161"/>
      <c r="Y142" s="161"/>
      <c r="Z142" s="161"/>
      <c r="AA142" s="161"/>
      <c r="AB142" s="161"/>
      <c r="AC142" s="159">
        <v>5.0</v>
      </c>
      <c r="AD142" s="159"/>
    </row>
    <row r="143">
      <c r="A143" s="162">
        <v>102042.0</v>
      </c>
      <c r="B143" s="163" t="s">
        <v>552</v>
      </c>
      <c r="C143" s="164" t="s">
        <v>553</v>
      </c>
      <c r="D143" s="165">
        <v>44450.0</v>
      </c>
      <c r="E143" s="164" t="s">
        <v>51</v>
      </c>
      <c r="F143" s="161"/>
      <c r="G143" s="161"/>
      <c r="H143" s="159">
        <v>5.0</v>
      </c>
      <c r="I143" s="159">
        <v>5.0</v>
      </c>
      <c r="J143" s="159">
        <v>5.0</v>
      </c>
      <c r="K143" s="159">
        <v>5.0</v>
      </c>
      <c r="L143" s="159">
        <v>5.0</v>
      </c>
      <c r="M143" s="159">
        <v>5.0</v>
      </c>
      <c r="N143" s="159">
        <v>5.0</v>
      </c>
      <c r="O143" s="159">
        <v>5.0</v>
      </c>
      <c r="P143" s="159">
        <v>5.0</v>
      </c>
      <c r="Q143" s="159">
        <v>5.0</v>
      </c>
      <c r="R143" s="159">
        <v>5.0</v>
      </c>
      <c r="S143" s="159">
        <v>5.0</v>
      </c>
      <c r="T143" s="159">
        <v>5.0</v>
      </c>
      <c r="U143" s="159">
        <v>5.0</v>
      </c>
      <c r="V143" s="159">
        <v>5.0</v>
      </c>
      <c r="W143" s="159">
        <v>5.0</v>
      </c>
      <c r="X143" s="161"/>
      <c r="Y143" s="161"/>
      <c r="Z143" s="161"/>
      <c r="AA143" s="161"/>
      <c r="AB143" s="161"/>
      <c r="AC143" s="159">
        <v>5.0</v>
      </c>
      <c r="AD143" s="159"/>
    </row>
    <row r="144">
      <c r="A144" s="162">
        <v>102040.0</v>
      </c>
      <c r="B144" s="163" t="s">
        <v>554</v>
      </c>
      <c r="C144" s="164" t="s">
        <v>526</v>
      </c>
      <c r="D144" s="165">
        <v>44450.0</v>
      </c>
      <c r="E144" s="164" t="s">
        <v>432</v>
      </c>
      <c r="F144" s="161"/>
      <c r="G144" s="161"/>
      <c r="H144" s="159">
        <v>5.0</v>
      </c>
      <c r="I144" s="159">
        <v>5.0</v>
      </c>
      <c r="J144" s="159">
        <v>5.0</v>
      </c>
      <c r="K144" s="159">
        <v>5.0</v>
      </c>
      <c r="L144" s="159">
        <v>5.0</v>
      </c>
      <c r="M144" s="159">
        <v>5.0</v>
      </c>
      <c r="N144" s="159">
        <v>5.0</v>
      </c>
      <c r="O144" s="159">
        <v>5.0</v>
      </c>
      <c r="P144" s="159">
        <v>5.0</v>
      </c>
      <c r="Q144" s="159">
        <v>5.0</v>
      </c>
      <c r="R144" s="159">
        <v>5.0</v>
      </c>
      <c r="S144" s="159">
        <v>5.0</v>
      </c>
      <c r="T144" s="159">
        <v>5.0</v>
      </c>
      <c r="U144" s="159">
        <v>5.0</v>
      </c>
      <c r="V144" s="159">
        <v>5.0</v>
      </c>
      <c r="W144" s="159">
        <v>5.0</v>
      </c>
      <c r="X144" s="161"/>
      <c r="Y144" s="161"/>
      <c r="Z144" s="161"/>
      <c r="AA144" s="161"/>
      <c r="AB144" s="161"/>
      <c r="AC144" s="159">
        <v>5.0</v>
      </c>
      <c r="AD144" s="159"/>
    </row>
    <row r="145">
      <c r="A145" s="162">
        <v>102065.0</v>
      </c>
      <c r="B145" s="163" t="s">
        <v>555</v>
      </c>
      <c r="C145" s="164" t="s">
        <v>556</v>
      </c>
      <c r="D145" s="165">
        <v>44453.0</v>
      </c>
      <c r="E145" s="164" t="s">
        <v>557</v>
      </c>
      <c r="F145" s="161"/>
      <c r="G145" s="161"/>
      <c r="H145" s="159">
        <v>5.0</v>
      </c>
      <c r="I145" s="159">
        <v>5.0</v>
      </c>
      <c r="J145" s="159">
        <v>5.0</v>
      </c>
      <c r="K145" s="159">
        <v>5.0</v>
      </c>
      <c r="L145" s="159">
        <v>5.0</v>
      </c>
      <c r="M145" s="159">
        <v>5.0</v>
      </c>
      <c r="N145" s="159">
        <v>5.0</v>
      </c>
      <c r="O145" s="159">
        <v>5.0</v>
      </c>
      <c r="P145" s="159">
        <v>5.0</v>
      </c>
      <c r="Q145" s="159">
        <v>5.0</v>
      </c>
      <c r="R145" s="159">
        <v>5.0</v>
      </c>
      <c r="S145" s="159">
        <v>5.0</v>
      </c>
      <c r="T145" s="159">
        <v>5.0</v>
      </c>
      <c r="U145" s="159">
        <v>5.0</v>
      </c>
      <c r="V145" s="159">
        <v>5.0</v>
      </c>
      <c r="W145" s="159">
        <v>5.0</v>
      </c>
      <c r="X145" s="161"/>
      <c r="Y145" s="161"/>
      <c r="Z145" s="161"/>
      <c r="AA145" s="161"/>
      <c r="AB145" s="161"/>
      <c r="AC145" s="159">
        <v>5.0</v>
      </c>
      <c r="AD145" s="159"/>
    </row>
    <row r="146">
      <c r="A146" s="162">
        <v>102069.0</v>
      </c>
      <c r="B146" s="163" t="s">
        <v>558</v>
      </c>
      <c r="C146" s="164" t="s">
        <v>559</v>
      </c>
      <c r="D146" s="165">
        <v>44459.0</v>
      </c>
      <c r="E146" s="164" t="s">
        <v>219</v>
      </c>
      <c r="F146" s="161"/>
      <c r="G146" s="161"/>
      <c r="H146" s="159">
        <v>4.0</v>
      </c>
      <c r="I146" s="159">
        <v>4.0</v>
      </c>
      <c r="J146" s="159">
        <v>4.0</v>
      </c>
      <c r="K146" s="159">
        <v>4.0</v>
      </c>
      <c r="L146" s="159">
        <v>4.0</v>
      </c>
      <c r="M146" s="159">
        <v>4.0</v>
      </c>
      <c r="N146" s="171"/>
      <c r="O146" s="171"/>
      <c r="P146" s="171"/>
      <c r="Q146" s="171"/>
      <c r="R146" s="171"/>
      <c r="S146" s="171"/>
      <c r="T146" s="171"/>
      <c r="U146" s="171"/>
      <c r="V146" s="171"/>
      <c r="W146" s="171"/>
      <c r="X146" s="161"/>
      <c r="Y146" s="161"/>
      <c r="Z146" s="161"/>
      <c r="AA146" s="161"/>
      <c r="AB146" s="161"/>
      <c r="AC146" s="159">
        <v>4.0</v>
      </c>
      <c r="AD146" s="159"/>
    </row>
    <row r="147">
      <c r="A147" s="162">
        <v>102067.0</v>
      </c>
      <c r="B147" s="163" t="s">
        <v>560</v>
      </c>
      <c r="C147" s="164" t="s">
        <v>561</v>
      </c>
      <c r="D147" s="165">
        <v>44459.0</v>
      </c>
      <c r="E147" s="164" t="s">
        <v>295</v>
      </c>
      <c r="F147" s="161"/>
      <c r="G147" s="161"/>
      <c r="H147" s="159">
        <v>4.0</v>
      </c>
      <c r="I147" s="159">
        <v>4.0</v>
      </c>
      <c r="J147" s="159">
        <v>4.0</v>
      </c>
      <c r="K147" s="159">
        <v>4.0</v>
      </c>
      <c r="L147" s="159">
        <v>4.0</v>
      </c>
      <c r="M147" s="159">
        <v>4.0</v>
      </c>
      <c r="N147" s="171"/>
      <c r="O147" s="171"/>
      <c r="P147" s="171"/>
      <c r="Q147" s="171"/>
      <c r="R147" s="171"/>
      <c r="S147" s="171"/>
      <c r="T147" s="171"/>
      <c r="U147" s="171"/>
      <c r="V147" s="171"/>
      <c r="W147" s="171"/>
      <c r="X147" s="161"/>
      <c r="Y147" s="161"/>
      <c r="Z147" s="161"/>
      <c r="AA147" s="161"/>
      <c r="AB147" s="161"/>
      <c r="AC147" s="159">
        <v>4.0</v>
      </c>
      <c r="AD147" s="159"/>
    </row>
    <row r="148">
      <c r="A148" s="162">
        <v>102062.0</v>
      </c>
      <c r="B148" s="163" t="s">
        <v>562</v>
      </c>
      <c r="C148" s="164" t="s">
        <v>563</v>
      </c>
      <c r="D148" s="165">
        <v>44459.0</v>
      </c>
      <c r="E148" s="164" t="s">
        <v>51</v>
      </c>
      <c r="F148" s="161"/>
      <c r="G148" s="161"/>
      <c r="H148" s="159">
        <v>4.0</v>
      </c>
      <c r="I148" s="159">
        <v>4.0</v>
      </c>
      <c r="J148" s="159">
        <v>4.0</v>
      </c>
      <c r="K148" s="159">
        <v>4.0</v>
      </c>
      <c r="L148" s="159">
        <v>4.0</v>
      </c>
      <c r="M148" s="159">
        <v>4.0</v>
      </c>
      <c r="N148" s="159">
        <v>5.0</v>
      </c>
      <c r="O148" s="159">
        <v>5.0</v>
      </c>
      <c r="P148" s="159">
        <v>5.0</v>
      </c>
      <c r="Q148" s="159">
        <v>5.0</v>
      </c>
      <c r="R148" s="159">
        <v>5.0</v>
      </c>
      <c r="S148" s="159">
        <v>5.0</v>
      </c>
      <c r="T148" s="159">
        <v>5.0</v>
      </c>
      <c r="U148" s="159">
        <v>5.0</v>
      </c>
      <c r="V148" s="159">
        <v>5.0</v>
      </c>
      <c r="W148" s="159">
        <v>5.0</v>
      </c>
      <c r="X148" s="161"/>
      <c r="Y148" s="161"/>
      <c r="Z148" s="161"/>
      <c r="AA148" s="161"/>
      <c r="AB148" s="161"/>
      <c r="AC148" s="159">
        <f t="shared" ref="AC148:AC149" si="1">AVERAGE(W148,R148,M148)</f>
        <v>4.666666667</v>
      </c>
      <c r="AD148" s="159"/>
    </row>
    <row r="149">
      <c r="A149" s="162">
        <v>102058.0</v>
      </c>
      <c r="B149" s="163" t="s">
        <v>565</v>
      </c>
      <c r="C149" s="164" t="s">
        <v>566</v>
      </c>
      <c r="D149" s="165">
        <v>44459.0</v>
      </c>
      <c r="E149" s="164" t="s">
        <v>214</v>
      </c>
      <c r="F149" s="161"/>
      <c r="G149" s="161"/>
      <c r="H149" s="159">
        <v>4.0</v>
      </c>
      <c r="I149" s="159">
        <v>4.0</v>
      </c>
      <c r="J149" s="159">
        <v>4.0</v>
      </c>
      <c r="K149" s="159">
        <v>4.0</v>
      </c>
      <c r="L149" s="159">
        <v>4.0</v>
      </c>
      <c r="M149" s="159">
        <v>4.0</v>
      </c>
      <c r="N149" s="159">
        <v>5.0</v>
      </c>
      <c r="O149" s="159">
        <v>5.0</v>
      </c>
      <c r="P149" s="159">
        <v>5.0</v>
      </c>
      <c r="Q149" s="159">
        <v>5.0</v>
      </c>
      <c r="R149" s="159">
        <v>5.0</v>
      </c>
      <c r="S149" s="159">
        <v>5.0</v>
      </c>
      <c r="T149" s="159">
        <v>5.0</v>
      </c>
      <c r="U149" s="159">
        <v>5.0</v>
      </c>
      <c r="V149" s="159">
        <v>5.0</v>
      </c>
      <c r="W149" s="159">
        <v>5.0</v>
      </c>
      <c r="X149" s="161"/>
      <c r="Y149" s="161"/>
      <c r="Z149" s="161"/>
      <c r="AA149" s="161"/>
      <c r="AB149" s="161"/>
      <c r="AC149" s="159">
        <f t="shared" si="1"/>
        <v>4.666666667</v>
      </c>
      <c r="AD149" s="159"/>
    </row>
    <row r="150">
      <c r="A150" s="162">
        <v>102068.0</v>
      </c>
      <c r="B150" s="163" t="s">
        <v>567</v>
      </c>
      <c r="C150" s="164" t="s">
        <v>568</v>
      </c>
      <c r="D150" s="165">
        <v>44459.0</v>
      </c>
      <c r="E150" s="164" t="s">
        <v>432</v>
      </c>
      <c r="F150" s="161"/>
      <c r="G150" s="161"/>
      <c r="H150" s="159">
        <v>4.0</v>
      </c>
      <c r="I150" s="159">
        <v>4.0</v>
      </c>
      <c r="J150" s="159">
        <v>4.0</v>
      </c>
      <c r="K150" s="159">
        <v>4.0</v>
      </c>
      <c r="L150" s="159">
        <v>4.0</v>
      </c>
      <c r="M150" s="159">
        <v>4.0</v>
      </c>
      <c r="N150" s="171"/>
      <c r="O150" s="171"/>
      <c r="P150" s="171"/>
      <c r="Q150" s="171"/>
      <c r="R150" s="171"/>
      <c r="S150" s="171"/>
      <c r="T150" s="171"/>
      <c r="U150" s="171"/>
      <c r="V150" s="171"/>
      <c r="W150" s="171"/>
      <c r="X150" s="161"/>
      <c r="Y150" s="161"/>
      <c r="Z150" s="161"/>
      <c r="AA150" s="161"/>
      <c r="AB150" s="161"/>
      <c r="AC150" s="159">
        <v>4.0</v>
      </c>
      <c r="AD150" s="159"/>
    </row>
    <row r="151">
      <c r="A151" s="162">
        <v>102059.0</v>
      </c>
      <c r="B151" s="163" t="s">
        <v>570</v>
      </c>
      <c r="C151" s="164" t="s">
        <v>571</v>
      </c>
      <c r="D151" s="165">
        <v>44460.0</v>
      </c>
      <c r="E151" s="164" t="s">
        <v>125</v>
      </c>
      <c r="F151" s="161"/>
      <c r="G151" s="161"/>
      <c r="H151" s="159">
        <v>5.0</v>
      </c>
      <c r="I151" s="159">
        <v>5.0</v>
      </c>
      <c r="J151" s="159">
        <v>5.0</v>
      </c>
      <c r="K151" s="159">
        <v>5.0</v>
      </c>
      <c r="L151" s="159">
        <v>5.0</v>
      </c>
      <c r="M151" s="159">
        <v>5.0</v>
      </c>
      <c r="N151" s="159">
        <v>5.0</v>
      </c>
      <c r="O151" s="159">
        <v>5.0</v>
      </c>
      <c r="P151" s="159">
        <v>5.0</v>
      </c>
      <c r="Q151" s="159">
        <v>5.0</v>
      </c>
      <c r="R151" s="159">
        <v>5.0</v>
      </c>
      <c r="S151" s="159">
        <v>5.0</v>
      </c>
      <c r="T151" s="159">
        <v>5.0</v>
      </c>
      <c r="U151" s="159">
        <v>5.0</v>
      </c>
      <c r="V151" s="159">
        <v>5.0</v>
      </c>
      <c r="W151" s="159">
        <v>5.0</v>
      </c>
      <c r="X151" s="161"/>
      <c r="Y151" s="161"/>
      <c r="Z151" s="161"/>
      <c r="AA151" s="161"/>
      <c r="AB151" s="161"/>
      <c r="AC151" s="159">
        <v>5.0</v>
      </c>
      <c r="AD151" s="159"/>
    </row>
    <row r="152">
      <c r="A152" s="162">
        <v>102078.0</v>
      </c>
      <c r="B152" s="163" t="s">
        <v>572</v>
      </c>
      <c r="C152" s="164" t="s">
        <v>573</v>
      </c>
      <c r="D152" s="165">
        <v>44461.0</v>
      </c>
      <c r="E152" s="164" t="s">
        <v>557</v>
      </c>
      <c r="F152" s="161"/>
      <c r="G152" s="161"/>
      <c r="H152" s="159">
        <v>5.0</v>
      </c>
      <c r="I152" s="159">
        <v>5.0</v>
      </c>
      <c r="J152" s="159">
        <v>5.0</v>
      </c>
      <c r="K152" s="159">
        <v>5.0</v>
      </c>
      <c r="L152" s="159">
        <v>5.0</v>
      </c>
      <c r="M152" s="159">
        <v>5.0</v>
      </c>
      <c r="N152" s="159">
        <v>5.0</v>
      </c>
      <c r="O152" s="159">
        <v>5.0</v>
      </c>
      <c r="P152" s="159">
        <v>5.0</v>
      </c>
      <c r="Q152" s="159">
        <v>5.0</v>
      </c>
      <c r="R152" s="159">
        <v>5.0</v>
      </c>
      <c r="S152" s="159">
        <v>5.0</v>
      </c>
      <c r="T152" s="159">
        <v>5.0</v>
      </c>
      <c r="U152" s="159">
        <v>5.0</v>
      </c>
      <c r="V152" s="159">
        <v>5.0</v>
      </c>
      <c r="W152" s="159">
        <v>5.0</v>
      </c>
      <c r="X152" s="161"/>
      <c r="Y152" s="161"/>
      <c r="Z152" s="161"/>
      <c r="AA152" s="161"/>
      <c r="AB152" s="161"/>
      <c r="AC152" s="159">
        <v>5.0</v>
      </c>
      <c r="AD152" s="159"/>
    </row>
    <row r="153">
      <c r="A153" s="162">
        <v>102025.0</v>
      </c>
      <c r="B153" s="163" t="s">
        <v>575</v>
      </c>
      <c r="C153" s="164" t="s">
        <v>576</v>
      </c>
      <c r="D153" s="165">
        <v>44463.0</v>
      </c>
      <c r="E153" s="164" t="s">
        <v>87</v>
      </c>
      <c r="F153" s="161"/>
      <c r="G153" s="161"/>
      <c r="H153" s="159">
        <v>5.0</v>
      </c>
      <c r="I153" s="159">
        <v>5.0</v>
      </c>
      <c r="J153" s="159">
        <v>5.0</v>
      </c>
      <c r="K153" s="159">
        <v>5.0</v>
      </c>
      <c r="L153" s="159">
        <v>5.0</v>
      </c>
      <c r="M153" s="159">
        <v>5.0</v>
      </c>
      <c r="N153" s="159">
        <v>5.0</v>
      </c>
      <c r="O153" s="159">
        <v>5.0</v>
      </c>
      <c r="P153" s="159">
        <v>5.0</v>
      </c>
      <c r="Q153" s="159">
        <v>5.0</v>
      </c>
      <c r="R153" s="159">
        <v>5.0</v>
      </c>
      <c r="S153" s="159">
        <v>5.0</v>
      </c>
      <c r="T153" s="159">
        <v>5.0</v>
      </c>
      <c r="U153" s="159">
        <v>5.0</v>
      </c>
      <c r="V153" s="159">
        <v>5.0</v>
      </c>
      <c r="W153" s="159">
        <v>5.0</v>
      </c>
      <c r="X153" s="161"/>
      <c r="Y153" s="161"/>
      <c r="Z153" s="161"/>
      <c r="AA153" s="161"/>
      <c r="AB153" s="161"/>
      <c r="AC153" s="159">
        <v>5.0</v>
      </c>
      <c r="AD153" s="159"/>
    </row>
    <row r="154">
      <c r="A154" s="162">
        <v>102063.0</v>
      </c>
      <c r="B154" s="163" t="s">
        <v>577</v>
      </c>
      <c r="C154" s="164" t="s">
        <v>578</v>
      </c>
      <c r="D154" s="165">
        <v>44467.0</v>
      </c>
      <c r="E154" s="164" t="s">
        <v>87</v>
      </c>
      <c r="F154" s="161"/>
      <c r="G154" s="161"/>
      <c r="H154" s="159">
        <v>5.0</v>
      </c>
      <c r="I154" s="159">
        <v>5.0</v>
      </c>
      <c r="J154" s="159">
        <v>5.0</v>
      </c>
      <c r="K154" s="159">
        <v>5.0</v>
      </c>
      <c r="L154" s="159">
        <v>5.0</v>
      </c>
      <c r="M154" s="159">
        <v>5.0</v>
      </c>
      <c r="N154" s="159">
        <v>5.0</v>
      </c>
      <c r="O154" s="159">
        <v>5.0</v>
      </c>
      <c r="P154" s="159">
        <v>5.0</v>
      </c>
      <c r="Q154" s="159">
        <v>5.0</v>
      </c>
      <c r="R154" s="159">
        <v>5.0</v>
      </c>
      <c r="S154" s="159">
        <v>5.0</v>
      </c>
      <c r="T154" s="159">
        <v>5.0</v>
      </c>
      <c r="U154" s="159">
        <v>5.0</v>
      </c>
      <c r="V154" s="159">
        <v>5.0</v>
      </c>
      <c r="W154" s="159">
        <v>5.0</v>
      </c>
      <c r="X154" s="161"/>
      <c r="Y154" s="161"/>
      <c r="Z154" s="161"/>
      <c r="AA154" s="161"/>
      <c r="AB154" s="161"/>
      <c r="AC154" s="159">
        <v>5.0</v>
      </c>
      <c r="AD154" s="185">
        <f>AVERAGE(AC141:AC154)</f>
        <v>4.666666667</v>
      </c>
    </row>
    <row r="155">
      <c r="A155" s="162">
        <v>102087.0</v>
      </c>
      <c r="B155" s="163" t="s">
        <v>580</v>
      </c>
      <c r="C155" s="164" t="s">
        <v>581</v>
      </c>
      <c r="D155" s="165">
        <v>44475.0</v>
      </c>
      <c r="E155" s="164" t="s">
        <v>134</v>
      </c>
      <c r="F155" s="161"/>
      <c r="G155" s="161"/>
      <c r="H155" s="159">
        <v>5.0</v>
      </c>
      <c r="I155" s="159">
        <v>5.0</v>
      </c>
      <c r="J155" s="159">
        <v>5.0</v>
      </c>
      <c r="K155" s="159">
        <v>4.0</v>
      </c>
      <c r="L155" s="159">
        <v>5.0</v>
      </c>
      <c r="M155" s="159">
        <v>4.8</v>
      </c>
      <c r="N155" s="159">
        <v>5.0</v>
      </c>
      <c r="O155" s="159">
        <v>5.0</v>
      </c>
      <c r="P155" s="159">
        <v>5.0</v>
      </c>
      <c r="Q155" s="159">
        <v>4.0</v>
      </c>
      <c r="R155" s="159">
        <v>4.75</v>
      </c>
      <c r="S155" s="159">
        <v>5.0</v>
      </c>
      <c r="T155" s="159">
        <v>5.0</v>
      </c>
      <c r="U155" s="159">
        <v>5.0</v>
      </c>
      <c r="V155" s="159">
        <v>5.0</v>
      </c>
      <c r="W155" s="159">
        <v>5.0</v>
      </c>
      <c r="X155" s="161"/>
      <c r="Y155" s="161"/>
      <c r="Z155" s="161"/>
      <c r="AA155" s="161"/>
      <c r="AB155" s="161"/>
      <c r="AC155" s="159">
        <v>4.8500000000000005</v>
      </c>
      <c r="AD155" s="159"/>
    </row>
    <row r="156">
      <c r="A156" s="162">
        <v>102090.0</v>
      </c>
      <c r="B156" s="163" t="s">
        <v>583</v>
      </c>
      <c r="C156" s="164" t="s">
        <v>419</v>
      </c>
      <c r="D156" s="165">
        <v>44477.0</v>
      </c>
      <c r="E156" s="164" t="s">
        <v>357</v>
      </c>
      <c r="F156" s="161"/>
      <c r="G156" s="161"/>
      <c r="H156" s="159">
        <v>5.0</v>
      </c>
      <c r="I156" s="159">
        <v>5.0</v>
      </c>
      <c r="J156" s="159">
        <v>5.0</v>
      </c>
      <c r="K156" s="159">
        <v>5.0</v>
      </c>
      <c r="L156" s="159">
        <v>5.0</v>
      </c>
      <c r="M156" s="159">
        <v>5.0</v>
      </c>
      <c r="N156" s="159">
        <v>5.0</v>
      </c>
      <c r="O156" s="159">
        <v>5.0</v>
      </c>
      <c r="P156" s="159">
        <v>5.0</v>
      </c>
      <c r="Q156" s="159">
        <v>5.0</v>
      </c>
      <c r="R156" s="159">
        <v>5.0</v>
      </c>
      <c r="S156" s="159">
        <v>5.0</v>
      </c>
      <c r="T156" s="159">
        <v>5.0</v>
      </c>
      <c r="U156" s="159">
        <v>5.0</v>
      </c>
      <c r="V156" s="159">
        <v>5.0</v>
      </c>
      <c r="W156" s="159">
        <v>5.0</v>
      </c>
      <c r="X156" s="161"/>
      <c r="Y156" s="161"/>
      <c r="Z156" s="161"/>
      <c r="AA156" s="161"/>
      <c r="AB156" s="161"/>
      <c r="AC156" s="159">
        <v>5.0</v>
      </c>
      <c r="AD156" s="159"/>
    </row>
    <row r="157">
      <c r="A157" s="162">
        <v>102029.0</v>
      </c>
      <c r="B157" s="163" t="s">
        <v>584</v>
      </c>
      <c r="C157" s="164" t="s">
        <v>585</v>
      </c>
      <c r="D157" s="165">
        <v>44480.0</v>
      </c>
      <c r="E157" s="164" t="s">
        <v>254</v>
      </c>
      <c r="F157" s="161"/>
      <c r="G157" s="161"/>
      <c r="H157" s="159">
        <v>5.0</v>
      </c>
      <c r="I157" s="159">
        <v>5.0</v>
      </c>
      <c r="J157" s="159">
        <v>5.0</v>
      </c>
      <c r="K157" s="159">
        <v>5.0</v>
      </c>
      <c r="L157" s="159">
        <v>5.0</v>
      </c>
      <c r="M157" s="159">
        <v>5.0</v>
      </c>
      <c r="N157" s="159">
        <v>5.0</v>
      </c>
      <c r="O157" s="159">
        <v>5.0</v>
      </c>
      <c r="P157" s="159">
        <v>5.0</v>
      </c>
      <c r="Q157" s="159">
        <v>5.0</v>
      </c>
      <c r="R157" s="159">
        <v>5.0</v>
      </c>
      <c r="S157" s="159">
        <v>5.0</v>
      </c>
      <c r="T157" s="159">
        <v>5.0</v>
      </c>
      <c r="U157" s="159">
        <v>5.0</v>
      </c>
      <c r="V157" s="159">
        <v>5.0</v>
      </c>
      <c r="W157" s="159">
        <v>5.0</v>
      </c>
      <c r="X157" s="161"/>
      <c r="Y157" s="161"/>
      <c r="Z157" s="161"/>
      <c r="AA157" s="161"/>
      <c r="AB157" s="161"/>
      <c r="AC157" s="159">
        <v>5.0</v>
      </c>
      <c r="AD157" s="159"/>
    </row>
    <row r="158">
      <c r="A158" s="162">
        <v>102057.0</v>
      </c>
      <c r="B158" s="163" t="s">
        <v>587</v>
      </c>
      <c r="C158" s="164" t="s">
        <v>588</v>
      </c>
      <c r="D158" s="165">
        <v>44483.0</v>
      </c>
      <c r="E158" s="164" t="s">
        <v>214</v>
      </c>
      <c r="F158" s="161"/>
      <c r="G158" s="161"/>
      <c r="H158" s="159">
        <v>5.0</v>
      </c>
      <c r="I158" s="159">
        <v>5.0</v>
      </c>
      <c r="J158" s="159">
        <v>5.0</v>
      </c>
      <c r="K158" s="159">
        <v>5.0</v>
      </c>
      <c r="L158" s="159">
        <v>5.0</v>
      </c>
      <c r="M158" s="159">
        <v>5.0</v>
      </c>
      <c r="N158" s="159">
        <v>5.0</v>
      </c>
      <c r="O158" s="159">
        <v>5.0</v>
      </c>
      <c r="P158" s="159">
        <v>5.0</v>
      </c>
      <c r="Q158" s="159">
        <v>5.0</v>
      </c>
      <c r="R158" s="159">
        <v>5.0</v>
      </c>
      <c r="S158" s="159">
        <v>5.0</v>
      </c>
      <c r="T158" s="159">
        <v>5.0</v>
      </c>
      <c r="U158" s="159">
        <v>5.0</v>
      </c>
      <c r="V158" s="159">
        <v>5.0</v>
      </c>
      <c r="W158" s="159">
        <v>5.0</v>
      </c>
      <c r="X158" s="161"/>
      <c r="Y158" s="161"/>
      <c r="Z158" s="161"/>
      <c r="AA158" s="161"/>
      <c r="AB158" s="161"/>
      <c r="AC158" s="159">
        <v>5.0</v>
      </c>
      <c r="AD158" s="159"/>
    </row>
    <row r="159">
      <c r="A159" s="162">
        <v>102100.0</v>
      </c>
      <c r="B159" s="169"/>
      <c r="C159" s="164" t="s">
        <v>589</v>
      </c>
      <c r="D159" s="165">
        <v>44484.0</v>
      </c>
      <c r="E159" s="164" t="s">
        <v>295</v>
      </c>
      <c r="F159" s="161"/>
      <c r="G159" s="161"/>
      <c r="H159" s="159">
        <v>5.0</v>
      </c>
      <c r="I159" s="159">
        <v>5.0</v>
      </c>
      <c r="J159" s="159">
        <v>5.0</v>
      </c>
      <c r="K159" s="159">
        <v>5.0</v>
      </c>
      <c r="L159" s="159">
        <v>5.0</v>
      </c>
      <c r="M159" s="159">
        <v>5.0</v>
      </c>
      <c r="N159" s="159">
        <v>5.0</v>
      </c>
      <c r="O159" s="159">
        <v>5.0</v>
      </c>
      <c r="P159" s="159">
        <v>5.0</v>
      </c>
      <c r="Q159" s="159">
        <v>5.0</v>
      </c>
      <c r="R159" s="159">
        <v>5.0</v>
      </c>
      <c r="S159" s="159">
        <v>5.0</v>
      </c>
      <c r="T159" s="159">
        <v>5.0</v>
      </c>
      <c r="U159" s="159">
        <v>5.0</v>
      </c>
      <c r="V159" s="159">
        <v>5.0</v>
      </c>
      <c r="W159" s="159">
        <v>5.0</v>
      </c>
      <c r="X159" s="161"/>
      <c r="Y159" s="161"/>
      <c r="Z159" s="161"/>
      <c r="AA159" s="161"/>
      <c r="AB159" s="161"/>
      <c r="AC159" s="159">
        <v>5.0</v>
      </c>
      <c r="AD159" s="159"/>
    </row>
    <row r="160">
      <c r="A160" s="162">
        <v>102100.0</v>
      </c>
      <c r="B160" s="169"/>
      <c r="C160" s="164" t="s">
        <v>589</v>
      </c>
      <c r="D160" s="165">
        <v>44484.0</v>
      </c>
      <c r="E160" s="164" t="s">
        <v>295</v>
      </c>
      <c r="F160" s="161"/>
      <c r="G160" s="161"/>
      <c r="H160" s="159">
        <v>5.0</v>
      </c>
      <c r="I160" s="159">
        <v>5.0</v>
      </c>
      <c r="J160" s="159">
        <v>5.0</v>
      </c>
      <c r="K160" s="159">
        <v>5.0</v>
      </c>
      <c r="L160" s="159">
        <v>5.0</v>
      </c>
      <c r="M160" s="159">
        <v>5.0</v>
      </c>
      <c r="N160" s="159">
        <v>5.0</v>
      </c>
      <c r="O160" s="159">
        <v>5.0</v>
      </c>
      <c r="P160" s="159">
        <v>5.0</v>
      </c>
      <c r="Q160" s="159">
        <v>5.0</v>
      </c>
      <c r="R160" s="159">
        <v>5.0</v>
      </c>
      <c r="S160" s="159">
        <v>5.0</v>
      </c>
      <c r="T160" s="159">
        <v>5.0</v>
      </c>
      <c r="U160" s="159">
        <v>5.0</v>
      </c>
      <c r="V160" s="159">
        <v>5.0</v>
      </c>
      <c r="W160" s="159">
        <v>5.0</v>
      </c>
      <c r="X160" s="161"/>
      <c r="Y160" s="161"/>
      <c r="Z160" s="161"/>
      <c r="AA160" s="161"/>
      <c r="AB160" s="161"/>
      <c r="AC160" s="159">
        <v>5.0</v>
      </c>
      <c r="AD160" s="159"/>
    </row>
    <row r="161">
      <c r="A161" s="162">
        <v>102100.0</v>
      </c>
      <c r="B161" s="163" t="s">
        <v>590</v>
      </c>
      <c r="C161" s="164" t="s">
        <v>589</v>
      </c>
      <c r="D161" s="165">
        <v>44484.0</v>
      </c>
      <c r="E161" s="164" t="s">
        <v>295</v>
      </c>
      <c r="F161" s="161"/>
      <c r="G161" s="161"/>
      <c r="H161" s="159">
        <v>5.0</v>
      </c>
      <c r="I161" s="159">
        <v>5.0</v>
      </c>
      <c r="J161" s="159">
        <v>5.0</v>
      </c>
      <c r="K161" s="159">
        <v>5.0</v>
      </c>
      <c r="L161" s="159">
        <v>5.0</v>
      </c>
      <c r="M161" s="159">
        <v>5.0</v>
      </c>
      <c r="N161" s="159">
        <v>5.0</v>
      </c>
      <c r="O161" s="159">
        <v>5.0</v>
      </c>
      <c r="P161" s="159">
        <v>5.0</v>
      </c>
      <c r="Q161" s="159">
        <v>5.0</v>
      </c>
      <c r="R161" s="159">
        <v>5.0</v>
      </c>
      <c r="S161" s="159">
        <v>5.0</v>
      </c>
      <c r="T161" s="159">
        <v>5.0</v>
      </c>
      <c r="U161" s="159">
        <v>5.0</v>
      </c>
      <c r="V161" s="159">
        <v>5.0</v>
      </c>
      <c r="W161" s="159">
        <v>5.0</v>
      </c>
      <c r="X161" s="161"/>
      <c r="Y161" s="161"/>
      <c r="Z161" s="161"/>
      <c r="AA161" s="161"/>
      <c r="AB161" s="161"/>
      <c r="AC161" s="159">
        <v>5.0</v>
      </c>
      <c r="AD161" s="159"/>
    </row>
    <row r="162">
      <c r="A162" s="162">
        <v>102086.0</v>
      </c>
      <c r="B162" s="163" t="s">
        <v>591</v>
      </c>
      <c r="C162" s="164" t="s">
        <v>592</v>
      </c>
      <c r="D162" s="165">
        <v>44491.0</v>
      </c>
      <c r="E162" s="164" t="s">
        <v>295</v>
      </c>
      <c r="F162" s="161"/>
      <c r="G162" s="161"/>
      <c r="H162" s="159">
        <v>5.0</v>
      </c>
      <c r="I162" s="159">
        <v>5.0</v>
      </c>
      <c r="J162" s="159">
        <v>5.0</v>
      </c>
      <c r="K162" s="159">
        <v>5.0</v>
      </c>
      <c r="L162" s="159">
        <v>5.0</v>
      </c>
      <c r="M162" s="159">
        <v>5.0</v>
      </c>
      <c r="N162" s="159">
        <v>5.0</v>
      </c>
      <c r="O162" s="159">
        <v>5.0</v>
      </c>
      <c r="P162" s="159">
        <v>5.0</v>
      </c>
      <c r="Q162" s="159">
        <v>5.0</v>
      </c>
      <c r="R162" s="159">
        <v>5.0</v>
      </c>
      <c r="S162" s="159">
        <v>5.0</v>
      </c>
      <c r="T162" s="159">
        <v>5.0</v>
      </c>
      <c r="U162" s="159">
        <v>5.0</v>
      </c>
      <c r="V162" s="159">
        <v>5.0</v>
      </c>
      <c r="W162" s="159">
        <v>5.0</v>
      </c>
      <c r="X162" s="161"/>
      <c r="Y162" s="161"/>
      <c r="Z162" s="161"/>
      <c r="AA162" s="161"/>
      <c r="AB162" s="161"/>
      <c r="AC162" s="159">
        <v>5.0</v>
      </c>
      <c r="AD162" s="159"/>
    </row>
    <row r="163">
      <c r="A163" s="162">
        <v>102094.0</v>
      </c>
      <c r="B163" s="163" t="s">
        <v>594</v>
      </c>
      <c r="C163" s="164" t="s">
        <v>595</v>
      </c>
      <c r="D163" s="165">
        <v>44495.0</v>
      </c>
      <c r="E163" s="164" t="s">
        <v>87</v>
      </c>
      <c r="F163" s="161"/>
      <c r="G163" s="161"/>
      <c r="H163" s="159">
        <v>5.0</v>
      </c>
      <c r="I163" s="159">
        <v>5.0</v>
      </c>
      <c r="J163" s="159">
        <v>4.5</v>
      </c>
      <c r="K163" s="159">
        <v>5.0</v>
      </c>
      <c r="L163" s="159">
        <v>5.0</v>
      </c>
      <c r="M163" s="159">
        <v>4.9</v>
      </c>
      <c r="N163" s="159">
        <v>5.0</v>
      </c>
      <c r="O163" s="159">
        <v>5.0</v>
      </c>
      <c r="P163" s="159">
        <v>5.0</v>
      </c>
      <c r="Q163" s="159">
        <v>5.0</v>
      </c>
      <c r="R163" s="159">
        <v>5.0</v>
      </c>
      <c r="S163" s="159">
        <v>5.0</v>
      </c>
      <c r="T163" s="159">
        <v>5.0</v>
      </c>
      <c r="U163" s="159">
        <v>5.0</v>
      </c>
      <c r="V163" s="159">
        <v>5.0</v>
      </c>
      <c r="W163" s="159">
        <v>5.0</v>
      </c>
      <c r="X163" s="161"/>
      <c r="Y163" s="161"/>
      <c r="Z163" s="161"/>
      <c r="AA163" s="161"/>
      <c r="AB163" s="161"/>
      <c r="AC163" s="159">
        <v>4.966666666666667</v>
      </c>
      <c r="AD163" s="159"/>
    </row>
    <row r="164">
      <c r="A164" s="162">
        <v>102095.0</v>
      </c>
      <c r="B164" s="163" t="s">
        <v>596</v>
      </c>
      <c r="C164" s="164" t="s">
        <v>597</v>
      </c>
      <c r="D164" s="165">
        <v>44495.0</v>
      </c>
      <c r="E164" s="164" t="s">
        <v>87</v>
      </c>
      <c r="F164" s="161"/>
      <c r="G164" s="161"/>
      <c r="H164" s="159">
        <v>5.0</v>
      </c>
      <c r="I164" s="159">
        <v>5.0</v>
      </c>
      <c r="J164" s="159">
        <v>5.0</v>
      </c>
      <c r="K164" s="159">
        <v>5.0</v>
      </c>
      <c r="L164" s="159">
        <v>5.0</v>
      </c>
      <c r="M164" s="159">
        <v>5.0</v>
      </c>
      <c r="N164" s="159">
        <v>5.0</v>
      </c>
      <c r="O164" s="159">
        <v>5.0</v>
      </c>
      <c r="P164" s="159">
        <v>5.0</v>
      </c>
      <c r="Q164" s="159">
        <v>5.0</v>
      </c>
      <c r="R164" s="159">
        <v>5.0</v>
      </c>
      <c r="S164" s="159">
        <v>5.0</v>
      </c>
      <c r="T164" s="159">
        <v>5.0</v>
      </c>
      <c r="U164" s="159">
        <v>5.0</v>
      </c>
      <c r="V164" s="159">
        <v>5.0</v>
      </c>
      <c r="W164" s="159">
        <v>5.0</v>
      </c>
      <c r="X164" s="161"/>
      <c r="Y164" s="161"/>
      <c r="Z164" s="161"/>
      <c r="AA164" s="161"/>
      <c r="AB164" s="161"/>
      <c r="AC164" s="159">
        <v>5.0</v>
      </c>
      <c r="AD164" s="159"/>
    </row>
    <row r="165">
      <c r="A165" s="162">
        <v>102112.0</v>
      </c>
      <c r="B165" s="163" t="s">
        <v>598</v>
      </c>
      <c r="C165" s="164" t="s">
        <v>599</v>
      </c>
      <c r="D165" s="165">
        <v>44496.0</v>
      </c>
      <c r="E165" s="164" t="s">
        <v>154</v>
      </c>
      <c r="F165" s="161"/>
      <c r="G165" s="161"/>
      <c r="H165" s="159">
        <v>5.0</v>
      </c>
      <c r="I165" s="159">
        <v>5.0</v>
      </c>
      <c r="J165" s="159">
        <v>5.0</v>
      </c>
      <c r="K165" s="159">
        <v>5.0</v>
      </c>
      <c r="L165" s="159">
        <v>5.0</v>
      </c>
      <c r="M165" s="159">
        <v>5.0</v>
      </c>
      <c r="N165" s="159">
        <v>5.0</v>
      </c>
      <c r="O165" s="159">
        <v>5.0</v>
      </c>
      <c r="P165" s="159">
        <v>5.0</v>
      </c>
      <c r="Q165" s="159">
        <v>5.0</v>
      </c>
      <c r="R165" s="159">
        <v>5.0</v>
      </c>
      <c r="S165" s="159">
        <v>5.0</v>
      </c>
      <c r="T165" s="159">
        <v>5.0</v>
      </c>
      <c r="U165" s="159">
        <v>5.0</v>
      </c>
      <c r="V165" s="159">
        <v>5.0</v>
      </c>
      <c r="W165" s="159">
        <v>5.0</v>
      </c>
      <c r="X165" s="161"/>
      <c r="Y165" s="161"/>
      <c r="Z165" s="161"/>
      <c r="AA165" s="161"/>
      <c r="AB165" s="161"/>
      <c r="AC165" s="159">
        <v>5.0</v>
      </c>
      <c r="AD165" s="159"/>
    </row>
    <row r="166">
      <c r="A166" s="162">
        <v>102099.0</v>
      </c>
      <c r="B166" s="163" t="s">
        <v>26</v>
      </c>
      <c r="C166" s="164" t="s">
        <v>601</v>
      </c>
      <c r="D166" s="165">
        <v>44498.0</v>
      </c>
      <c r="E166" s="164" t="s">
        <v>602</v>
      </c>
      <c r="F166" s="161"/>
      <c r="G166" s="161"/>
      <c r="H166" s="159">
        <v>5.0</v>
      </c>
      <c r="I166" s="159">
        <v>5.0</v>
      </c>
      <c r="J166" s="159">
        <v>5.0</v>
      </c>
      <c r="K166" s="159">
        <v>5.0</v>
      </c>
      <c r="L166" s="159">
        <v>5.0</v>
      </c>
      <c r="M166" s="159">
        <v>5.0</v>
      </c>
      <c r="N166" s="159">
        <v>5.0</v>
      </c>
      <c r="O166" s="159">
        <v>5.0</v>
      </c>
      <c r="P166" s="159">
        <v>5.0</v>
      </c>
      <c r="Q166" s="159">
        <v>5.0</v>
      </c>
      <c r="R166" s="159">
        <v>5.0</v>
      </c>
      <c r="S166" s="159">
        <v>5.0</v>
      </c>
      <c r="T166" s="159">
        <v>5.0</v>
      </c>
      <c r="U166" s="159">
        <v>5.0</v>
      </c>
      <c r="V166" s="159">
        <v>5.0</v>
      </c>
      <c r="W166" s="159">
        <v>5.0</v>
      </c>
      <c r="X166" s="161"/>
      <c r="Y166" s="161"/>
      <c r="Z166" s="161"/>
      <c r="AA166" s="161"/>
      <c r="AB166" s="161"/>
      <c r="AC166" s="159">
        <v>5.0</v>
      </c>
      <c r="AD166" s="159"/>
    </row>
    <row r="167">
      <c r="A167" s="162">
        <v>102124.0</v>
      </c>
      <c r="B167" s="163" t="s">
        <v>603</v>
      </c>
      <c r="C167" s="164" t="s">
        <v>604</v>
      </c>
      <c r="D167" s="165">
        <v>44505.0</v>
      </c>
      <c r="E167" s="164" t="s">
        <v>295</v>
      </c>
      <c r="F167" s="161"/>
      <c r="G167" s="161"/>
      <c r="H167" s="159">
        <v>5.0</v>
      </c>
      <c r="I167" s="159">
        <v>5.0</v>
      </c>
      <c r="J167" s="159">
        <v>5.0</v>
      </c>
      <c r="K167" s="159">
        <v>5.0</v>
      </c>
      <c r="L167" s="159">
        <v>5.0</v>
      </c>
      <c r="M167" s="159">
        <v>5.0</v>
      </c>
      <c r="N167" s="159">
        <v>5.0</v>
      </c>
      <c r="O167" s="159">
        <v>5.0</v>
      </c>
      <c r="P167" s="159">
        <v>5.0</v>
      </c>
      <c r="Q167" s="159">
        <v>5.0</v>
      </c>
      <c r="R167" s="159">
        <v>5.0</v>
      </c>
      <c r="S167" s="159">
        <v>5.0</v>
      </c>
      <c r="T167" s="159">
        <v>5.0</v>
      </c>
      <c r="U167" s="159">
        <v>5.0</v>
      </c>
      <c r="V167" s="159">
        <v>5.0</v>
      </c>
      <c r="W167" s="159">
        <v>5.0</v>
      </c>
      <c r="X167" s="161"/>
      <c r="Y167" s="161"/>
      <c r="Z167" s="161"/>
      <c r="AA167" s="161"/>
      <c r="AB167" s="161"/>
      <c r="AC167" s="159">
        <v>5.0</v>
      </c>
      <c r="AD167" s="159"/>
    </row>
    <row r="168">
      <c r="A168" s="162">
        <v>102120.0</v>
      </c>
      <c r="B168" s="163" t="s">
        <v>606</v>
      </c>
      <c r="C168" s="164" t="s">
        <v>607</v>
      </c>
      <c r="D168" s="165">
        <v>44505.0</v>
      </c>
      <c r="E168" s="164" t="s">
        <v>380</v>
      </c>
      <c r="F168" s="161"/>
      <c r="G168" s="161"/>
      <c r="H168" s="159">
        <v>5.0</v>
      </c>
      <c r="I168" s="159">
        <v>5.0</v>
      </c>
      <c r="J168" s="159">
        <v>5.0</v>
      </c>
      <c r="K168" s="159">
        <v>5.0</v>
      </c>
      <c r="L168" s="159">
        <v>5.0</v>
      </c>
      <c r="M168" s="159">
        <v>5.0</v>
      </c>
      <c r="N168" s="159">
        <v>5.0</v>
      </c>
      <c r="O168" s="159">
        <v>5.0</v>
      </c>
      <c r="P168" s="159">
        <v>5.0</v>
      </c>
      <c r="Q168" s="159">
        <v>5.0</v>
      </c>
      <c r="R168" s="159">
        <v>5.0</v>
      </c>
      <c r="S168" s="159">
        <v>5.0</v>
      </c>
      <c r="T168" s="159">
        <v>5.0</v>
      </c>
      <c r="U168" s="159">
        <v>5.0</v>
      </c>
      <c r="V168" s="159">
        <v>5.0</v>
      </c>
      <c r="W168" s="159">
        <v>5.0</v>
      </c>
      <c r="X168" s="161"/>
      <c r="Y168" s="161"/>
      <c r="Z168" s="161"/>
      <c r="AA168" s="161"/>
      <c r="AB168" s="161"/>
      <c r="AC168" s="159">
        <v>5.0</v>
      </c>
      <c r="AD168" s="159"/>
    </row>
    <row r="169">
      <c r="A169" s="162">
        <v>102125.0</v>
      </c>
      <c r="B169" s="163" t="s">
        <v>608</v>
      </c>
      <c r="C169" s="164" t="s">
        <v>609</v>
      </c>
      <c r="D169" s="165">
        <v>44505.0</v>
      </c>
      <c r="E169" s="164" t="s">
        <v>134</v>
      </c>
      <c r="F169" s="161"/>
      <c r="G169" s="161"/>
      <c r="H169" s="159">
        <v>5.0</v>
      </c>
      <c r="I169" s="159">
        <v>5.0</v>
      </c>
      <c r="J169" s="159">
        <v>5.0</v>
      </c>
      <c r="K169" s="159">
        <v>4.5</v>
      </c>
      <c r="L169" s="159">
        <v>5.0</v>
      </c>
      <c r="M169" s="159">
        <v>4.9</v>
      </c>
      <c r="N169" s="159">
        <v>5.0</v>
      </c>
      <c r="O169" s="159">
        <v>5.0</v>
      </c>
      <c r="P169" s="159">
        <v>5.0</v>
      </c>
      <c r="Q169" s="159">
        <v>5.0</v>
      </c>
      <c r="R169" s="159">
        <v>5.0</v>
      </c>
      <c r="S169" s="159">
        <v>5.0</v>
      </c>
      <c r="T169" s="159">
        <v>5.0</v>
      </c>
      <c r="U169" s="159">
        <v>5.0</v>
      </c>
      <c r="V169" s="159">
        <v>5.0</v>
      </c>
      <c r="W169" s="159">
        <v>5.0</v>
      </c>
      <c r="X169" s="161"/>
      <c r="Y169" s="161"/>
      <c r="Z169" s="161"/>
      <c r="AA169" s="161"/>
      <c r="AB169" s="161"/>
      <c r="AC169" s="159">
        <v>4.966666666666667</v>
      </c>
      <c r="AD169" s="159"/>
    </row>
    <row r="170">
      <c r="A170" s="162">
        <v>102121.0</v>
      </c>
      <c r="B170" s="163" t="s">
        <v>610</v>
      </c>
      <c r="C170" s="164" t="s">
        <v>611</v>
      </c>
      <c r="D170" s="165">
        <v>44506.0</v>
      </c>
      <c r="E170" s="164" t="s">
        <v>87</v>
      </c>
      <c r="F170" s="161"/>
      <c r="G170" s="161"/>
      <c r="H170" s="159">
        <v>5.0</v>
      </c>
      <c r="I170" s="159">
        <v>5.0</v>
      </c>
      <c r="J170" s="159">
        <v>5.0</v>
      </c>
      <c r="K170" s="159">
        <v>5.0</v>
      </c>
      <c r="L170" s="159">
        <v>5.0</v>
      </c>
      <c r="M170" s="159">
        <v>5.0</v>
      </c>
      <c r="N170" s="159">
        <v>5.0</v>
      </c>
      <c r="O170" s="159">
        <v>5.0</v>
      </c>
      <c r="P170" s="159">
        <v>5.0</v>
      </c>
      <c r="Q170" s="159">
        <v>5.0</v>
      </c>
      <c r="R170" s="159">
        <v>5.0</v>
      </c>
      <c r="S170" s="159">
        <v>5.0</v>
      </c>
      <c r="T170" s="159">
        <v>5.0</v>
      </c>
      <c r="U170" s="159">
        <v>5.0</v>
      </c>
      <c r="V170" s="171"/>
      <c r="W170" s="159">
        <v>5.0</v>
      </c>
      <c r="X170" s="161"/>
      <c r="Y170" s="161"/>
      <c r="Z170" s="161"/>
      <c r="AA170" s="161"/>
      <c r="AB170" s="161"/>
      <c r="AC170" s="159">
        <v>5.0</v>
      </c>
      <c r="AD170" s="159"/>
    </row>
    <row r="171">
      <c r="A171" s="162">
        <v>102128.0</v>
      </c>
      <c r="B171" s="163" t="s">
        <v>612</v>
      </c>
      <c r="C171" s="164" t="s">
        <v>613</v>
      </c>
      <c r="D171" s="165">
        <v>44510.0</v>
      </c>
      <c r="E171" s="164" t="s">
        <v>87</v>
      </c>
      <c r="F171" s="161"/>
      <c r="G171" s="161"/>
      <c r="H171" s="159">
        <v>5.0</v>
      </c>
      <c r="I171" s="159">
        <v>5.0</v>
      </c>
      <c r="J171" s="159">
        <v>5.0</v>
      </c>
      <c r="K171" s="159">
        <v>5.0</v>
      </c>
      <c r="L171" s="159">
        <v>5.0</v>
      </c>
      <c r="M171" s="159">
        <v>5.0</v>
      </c>
      <c r="N171" s="159">
        <v>5.0</v>
      </c>
      <c r="O171" s="159">
        <v>5.0</v>
      </c>
      <c r="P171" s="159">
        <v>5.0</v>
      </c>
      <c r="Q171" s="159">
        <v>5.0</v>
      </c>
      <c r="R171" s="159">
        <v>5.0</v>
      </c>
      <c r="S171" s="159">
        <v>5.0</v>
      </c>
      <c r="T171" s="159">
        <v>5.0</v>
      </c>
      <c r="U171" s="159">
        <v>5.0</v>
      </c>
      <c r="V171" s="159">
        <v>5.0</v>
      </c>
      <c r="W171" s="159">
        <v>5.0</v>
      </c>
      <c r="X171" s="161"/>
      <c r="Y171" s="161"/>
      <c r="Z171" s="161"/>
      <c r="AA171" s="161"/>
      <c r="AB171" s="161"/>
      <c r="AC171" s="159">
        <v>5.0</v>
      </c>
      <c r="AD171" s="159"/>
    </row>
    <row r="172">
      <c r="A172" s="162">
        <v>102148.0</v>
      </c>
      <c r="B172" s="163" t="s">
        <v>614</v>
      </c>
      <c r="C172" s="164" t="s">
        <v>615</v>
      </c>
      <c r="D172" s="165">
        <v>44516.0</v>
      </c>
      <c r="E172" s="164" t="s">
        <v>51</v>
      </c>
      <c r="F172" s="161"/>
      <c r="G172" s="161"/>
      <c r="H172" s="159">
        <v>5.0</v>
      </c>
      <c r="I172" s="159">
        <v>5.0</v>
      </c>
      <c r="J172" s="159">
        <v>5.0</v>
      </c>
      <c r="K172" s="159">
        <v>5.0</v>
      </c>
      <c r="L172" s="159">
        <v>5.0</v>
      </c>
      <c r="M172" s="159">
        <v>5.0</v>
      </c>
      <c r="N172" s="159">
        <v>5.0</v>
      </c>
      <c r="O172" s="159">
        <v>5.0</v>
      </c>
      <c r="P172" s="159">
        <v>5.0</v>
      </c>
      <c r="Q172" s="159">
        <v>5.0</v>
      </c>
      <c r="R172" s="159">
        <v>5.0</v>
      </c>
      <c r="S172" s="159">
        <v>5.0</v>
      </c>
      <c r="T172" s="159">
        <v>5.0</v>
      </c>
      <c r="U172" s="159">
        <v>5.0</v>
      </c>
      <c r="V172" s="159">
        <v>5.0</v>
      </c>
      <c r="W172" s="159">
        <v>5.0</v>
      </c>
      <c r="X172" s="161"/>
      <c r="Y172" s="161"/>
      <c r="Z172" s="161"/>
      <c r="AA172" s="161"/>
      <c r="AB172" s="161"/>
      <c r="AC172" s="159">
        <v>5.0</v>
      </c>
      <c r="AD172" s="159"/>
    </row>
    <row r="173">
      <c r="A173" s="189">
        <v>44519.0</v>
      </c>
      <c r="B173" s="163" t="s">
        <v>616</v>
      </c>
      <c r="C173" s="161"/>
      <c r="D173" s="165">
        <v>44519.0</v>
      </c>
      <c r="E173" s="164" t="s">
        <v>357</v>
      </c>
      <c r="F173" s="161"/>
      <c r="G173" s="161"/>
      <c r="H173" s="159">
        <v>5.0</v>
      </c>
      <c r="I173" s="159">
        <v>5.0</v>
      </c>
      <c r="J173" s="159">
        <v>5.0</v>
      </c>
      <c r="K173" s="159">
        <v>5.0</v>
      </c>
      <c r="L173" s="159">
        <v>5.0</v>
      </c>
      <c r="M173" s="159">
        <v>5.0</v>
      </c>
      <c r="N173" s="159">
        <v>5.0</v>
      </c>
      <c r="O173" s="159">
        <v>5.0</v>
      </c>
      <c r="P173" s="159">
        <v>5.0</v>
      </c>
      <c r="Q173" s="159">
        <v>5.0</v>
      </c>
      <c r="R173" s="159">
        <v>5.0</v>
      </c>
      <c r="S173" s="159">
        <v>5.0</v>
      </c>
      <c r="T173" s="159">
        <v>5.0</v>
      </c>
      <c r="U173" s="159">
        <v>5.0</v>
      </c>
      <c r="V173" s="159">
        <v>5.0</v>
      </c>
      <c r="W173" s="159">
        <v>5.0</v>
      </c>
      <c r="X173" s="161"/>
      <c r="Y173" s="161"/>
      <c r="Z173" s="161"/>
      <c r="AA173" s="161"/>
      <c r="AB173" s="161"/>
      <c r="AC173" s="159">
        <v>5.0</v>
      </c>
      <c r="AD173" s="159"/>
    </row>
    <row r="174">
      <c r="A174" s="162">
        <v>102136.0</v>
      </c>
      <c r="B174" s="163" t="s">
        <v>617</v>
      </c>
      <c r="C174" s="164" t="s">
        <v>618</v>
      </c>
      <c r="D174" s="165">
        <v>44525.0</v>
      </c>
      <c r="E174" s="164" t="s">
        <v>312</v>
      </c>
      <c r="F174" s="161"/>
      <c r="G174" s="161"/>
      <c r="H174" s="159">
        <v>5.0</v>
      </c>
      <c r="I174" s="159">
        <v>5.0</v>
      </c>
      <c r="J174" s="159">
        <v>5.0</v>
      </c>
      <c r="K174" s="159">
        <v>5.0</v>
      </c>
      <c r="L174" s="159">
        <v>5.0</v>
      </c>
      <c r="M174" s="159">
        <v>5.0</v>
      </c>
      <c r="N174" s="159">
        <v>5.0</v>
      </c>
      <c r="O174" s="159">
        <v>5.0</v>
      </c>
      <c r="P174" s="159">
        <v>5.0</v>
      </c>
      <c r="Q174" s="159">
        <v>5.0</v>
      </c>
      <c r="R174" s="159">
        <v>5.0</v>
      </c>
      <c r="S174" s="159">
        <v>5.0</v>
      </c>
      <c r="T174" s="159">
        <v>5.0</v>
      </c>
      <c r="U174" s="159">
        <v>5.0</v>
      </c>
      <c r="V174" s="159">
        <v>5.0</v>
      </c>
      <c r="W174" s="159">
        <v>5.0</v>
      </c>
      <c r="X174" s="161"/>
      <c r="Y174" s="161"/>
      <c r="Z174" s="161"/>
      <c r="AA174" s="161"/>
      <c r="AB174" s="161"/>
      <c r="AC174" s="159">
        <v>5.0</v>
      </c>
      <c r="AD174" s="159"/>
    </row>
    <row r="175">
      <c r="A175" s="162">
        <v>102155.0</v>
      </c>
      <c r="B175" s="163" t="s">
        <v>619</v>
      </c>
      <c r="C175" s="164" t="s">
        <v>620</v>
      </c>
      <c r="D175" s="165">
        <v>44540.0</v>
      </c>
      <c r="E175" s="164" t="s">
        <v>295</v>
      </c>
      <c r="F175" s="161"/>
      <c r="G175" s="161"/>
      <c r="H175" s="159">
        <v>5.0</v>
      </c>
      <c r="I175" s="159">
        <v>5.0</v>
      </c>
      <c r="J175" s="159">
        <v>5.0</v>
      </c>
      <c r="K175" s="159">
        <v>5.0</v>
      </c>
      <c r="L175" s="159">
        <v>5.0</v>
      </c>
      <c r="M175" s="159">
        <v>5.0</v>
      </c>
      <c r="N175" s="159">
        <v>5.0</v>
      </c>
      <c r="O175" s="159">
        <v>5.0</v>
      </c>
      <c r="P175" s="159">
        <v>5.0</v>
      </c>
      <c r="Q175" s="159">
        <v>5.0</v>
      </c>
      <c r="R175" s="159">
        <v>5.0</v>
      </c>
      <c r="S175" s="159">
        <v>5.0</v>
      </c>
      <c r="T175" s="159">
        <v>5.0</v>
      </c>
      <c r="U175" s="159">
        <v>5.0</v>
      </c>
      <c r="V175" s="159">
        <v>5.0</v>
      </c>
      <c r="W175" s="159">
        <v>5.0</v>
      </c>
      <c r="X175" s="161"/>
      <c r="Y175" s="161"/>
      <c r="Z175" s="161"/>
      <c r="AA175" s="161"/>
      <c r="AB175" s="161"/>
      <c r="AC175" s="159">
        <v>5.0</v>
      </c>
      <c r="AD175" s="159"/>
    </row>
    <row r="176">
      <c r="A176" s="162">
        <v>102165.0</v>
      </c>
      <c r="B176" s="163" t="s">
        <v>621</v>
      </c>
      <c r="C176" s="164" t="s">
        <v>622</v>
      </c>
      <c r="D176" s="165">
        <v>44540.0</v>
      </c>
      <c r="E176" s="164" t="s">
        <v>214</v>
      </c>
      <c r="F176" s="161"/>
      <c r="G176" s="161"/>
      <c r="H176" s="159">
        <v>5.0</v>
      </c>
      <c r="I176" s="159">
        <v>5.0</v>
      </c>
      <c r="J176" s="159">
        <v>5.0</v>
      </c>
      <c r="K176" s="159">
        <v>5.0</v>
      </c>
      <c r="L176" s="159">
        <v>5.0</v>
      </c>
      <c r="M176" s="159">
        <v>5.0</v>
      </c>
      <c r="N176" s="159">
        <v>5.0</v>
      </c>
      <c r="O176" s="159">
        <v>5.0</v>
      </c>
      <c r="P176" s="159">
        <v>5.0</v>
      </c>
      <c r="Q176" s="159">
        <v>5.0</v>
      </c>
      <c r="R176" s="159">
        <v>5.0</v>
      </c>
      <c r="S176" s="159">
        <v>5.0</v>
      </c>
      <c r="T176" s="159">
        <v>5.0</v>
      </c>
      <c r="U176" s="159">
        <v>5.0</v>
      </c>
      <c r="V176" s="159">
        <v>5.0</v>
      </c>
      <c r="W176" s="159">
        <v>5.0</v>
      </c>
      <c r="X176" s="161"/>
      <c r="Y176" s="161"/>
      <c r="Z176" s="161"/>
      <c r="AA176" s="161"/>
      <c r="AB176" s="161"/>
      <c r="AC176" s="159">
        <v>5.0</v>
      </c>
      <c r="AD176" s="159"/>
    </row>
    <row r="177">
      <c r="A177" s="162">
        <v>102116.0</v>
      </c>
      <c r="B177" s="163" t="s">
        <v>623</v>
      </c>
      <c r="C177" s="164" t="s">
        <v>624</v>
      </c>
      <c r="D177" s="165">
        <v>44541.0</v>
      </c>
      <c r="E177" s="164" t="s">
        <v>625</v>
      </c>
      <c r="F177" s="161"/>
      <c r="G177" s="161"/>
      <c r="H177" s="159">
        <v>5.0</v>
      </c>
      <c r="I177" s="159">
        <v>5.0</v>
      </c>
      <c r="J177" s="159">
        <v>5.0</v>
      </c>
      <c r="K177" s="159">
        <v>5.0</v>
      </c>
      <c r="L177" s="159">
        <v>5.0</v>
      </c>
      <c r="M177" s="159">
        <v>5.0</v>
      </c>
      <c r="N177" s="159">
        <v>5.0</v>
      </c>
      <c r="O177" s="159">
        <v>5.0</v>
      </c>
      <c r="P177" s="159">
        <v>5.0</v>
      </c>
      <c r="Q177" s="159">
        <v>5.0</v>
      </c>
      <c r="R177" s="159">
        <v>5.0</v>
      </c>
      <c r="S177" s="159">
        <v>5.0</v>
      </c>
      <c r="T177" s="159">
        <v>5.0</v>
      </c>
      <c r="U177" s="159">
        <v>5.0</v>
      </c>
      <c r="V177" s="159">
        <v>5.0</v>
      </c>
      <c r="W177" s="159">
        <v>5.0</v>
      </c>
      <c r="X177" s="161"/>
      <c r="Y177" s="161"/>
      <c r="Z177" s="161"/>
      <c r="AA177" s="161"/>
      <c r="AB177" s="161"/>
      <c r="AC177" s="159">
        <v>5.0</v>
      </c>
      <c r="AD177" s="159"/>
    </row>
    <row r="178">
      <c r="A178" s="162">
        <v>102181.0</v>
      </c>
      <c r="B178" s="163" t="s">
        <v>626</v>
      </c>
      <c r="C178" s="164" t="s">
        <v>627</v>
      </c>
      <c r="D178" s="165">
        <v>44543.0</v>
      </c>
      <c r="E178" s="164" t="s">
        <v>51</v>
      </c>
      <c r="F178" s="161"/>
      <c r="G178" s="161"/>
      <c r="H178" s="159">
        <v>5.0</v>
      </c>
      <c r="I178" s="159">
        <v>5.0</v>
      </c>
      <c r="J178" s="159">
        <v>5.0</v>
      </c>
      <c r="K178" s="159">
        <v>5.0</v>
      </c>
      <c r="L178" s="159">
        <v>5.0</v>
      </c>
      <c r="M178" s="159">
        <v>5.0</v>
      </c>
      <c r="N178" s="159">
        <v>5.0</v>
      </c>
      <c r="O178" s="159">
        <v>5.0</v>
      </c>
      <c r="P178" s="159">
        <v>5.0</v>
      </c>
      <c r="Q178" s="159">
        <v>5.0</v>
      </c>
      <c r="R178" s="159">
        <v>5.0</v>
      </c>
      <c r="S178" s="159">
        <v>5.0</v>
      </c>
      <c r="T178" s="159">
        <v>5.0</v>
      </c>
      <c r="U178" s="159">
        <v>5.0</v>
      </c>
      <c r="V178" s="159">
        <v>5.0</v>
      </c>
      <c r="W178" s="159">
        <v>5.0</v>
      </c>
      <c r="X178" s="161"/>
      <c r="Y178" s="161"/>
      <c r="Z178" s="161"/>
      <c r="AA178" s="161"/>
      <c r="AB178" s="161"/>
      <c r="AC178" s="159">
        <v>5.0</v>
      </c>
      <c r="AD178" s="159"/>
    </row>
    <row r="179">
      <c r="A179" s="162">
        <v>102091.0</v>
      </c>
      <c r="B179" s="163" t="s">
        <v>628</v>
      </c>
      <c r="C179" s="164" t="s">
        <v>629</v>
      </c>
      <c r="D179" s="165">
        <v>44545.0</v>
      </c>
      <c r="E179" s="164" t="s">
        <v>432</v>
      </c>
      <c r="F179" s="161"/>
      <c r="G179" s="161"/>
      <c r="H179" s="159">
        <v>5.0</v>
      </c>
      <c r="I179" s="159">
        <v>5.0</v>
      </c>
      <c r="J179" s="159">
        <v>5.0</v>
      </c>
      <c r="K179" s="159">
        <v>5.0</v>
      </c>
      <c r="L179" s="159">
        <v>5.0</v>
      </c>
      <c r="M179" s="159">
        <v>5.0</v>
      </c>
      <c r="N179" s="159">
        <v>5.0</v>
      </c>
      <c r="O179" s="159">
        <v>5.0</v>
      </c>
      <c r="P179" s="159">
        <v>5.0</v>
      </c>
      <c r="Q179" s="159">
        <v>5.0</v>
      </c>
      <c r="R179" s="159">
        <v>5.0</v>
      </c>
      <c r="S179" s="159">
        <v>5.0</v>
      </c>
      <c r="T179" s="159">
        <v>5.0</v>
      </c>
      <c r="U179" s="159">
        <v>5.0</v>
      </c>
      <c r="V179" s="159">
        <v>5.0</v>
      </c>
      <c r="W179" s="159">
        <v>5.0</v>
      </c>
      <c r="X179" s="161"/>
      <c r="Y179" s="161"/>
      <c r="Z179" s="161"/>
      <c r="AA179" s="161"/>
      <c r="AB179" s="161"/>
      <c r="AC179" s="159">
        <v>5.0</v>
      </c>
      <c r="AD179" s="159"/>
    </row>
    <row r="180">
      <c r="A180" s="162">
        <v>102189.0</v>
      </c>
      <c r="B180" s="163" t="s">
        <v>630</v>
      </c>
      <c r="C180" s="164" t="s">
        <v>631</v>
      </c>
      <c r="D180" s="165">
        <v>44550.0</v>
      </c>
      <c r="E180" s="164" t="s">
        <v>326</v>
      </c>
      <c r="F180" s="161"/>
      <c r="G180" s="161"/>
      <c r="H180" s="159">
        <v>5.0</v>
      </c>
      <c r="I180" s="159">
        <v>5.0</v>
      </c>
      <c r="J180" s="159">
        <v>5.0</v>
      </c>
      <c r="K180" s="159">
        <v>5.0</v>
      </c>
      <c r="L180" s="159">
        <v>5.0</v>
      </c>
      <c r="M180" s="159">
        <v>5.0</v>
      </c>
      <c r="N180" s="159">
        <v>5.0</v>
      </c>
      <c r="O180" s="159">
        <v>5.0</v>
      </c>
      <c r="P180" s="159">
        <v>5.0</v>
      </c>
      <c r="Q180" s="159">
        <v>5.0</v>
      </c>
      <c r="R180" s="159">
        <v>5.0</v>
      </c>
      <c r="S180" s="159">
        <v>5.0</v>
      </c>
      <c r="T180" s="159">
        <v>5.0</v>
      </c>
      <c r="U180" s="159">
        <v>5.0</v>
      </c>
      <c r="V180" s="159">
        <v>5.0</v>
      </c>
      <c r="W180" s="159">
        <v>5.0</v>
      </c>
      <c r="X180" s="161"/>
      <c r="Y180" s="161"/>
      <c r="Z180" s="161"/>
      <c r="AA180" s="161"/>
      <c r="AB180" s="161"/>
      <c r="AC180" s="159">
        <v>5.0</v>
      </c>
      <c r="AD180" s="159"/>
    </row>
    <row r="181">
      <c r="A181" s="162">
        <v>102187.0</v>
      </c>
      <c r="B181" s="163" t="s">
        <v>632</v>
      </c>
      <c r="C181" s="164" t="s">
        <v>633</v>
      </c>
      <c r="D181" s="165">
        <v>44553.0</v>
      </c>
      <c r="E181" s="164" t="s">
        <v>113</v>
      </c>
      <c r="F181" s="161"/>
      <c r="G181" s="161"/>
      <c r="H181" s="159">
        <v>5.0</v>
      </c>
      <c r="I181" s="159">
        <v>5.0</v>
      </c>
      <c r="J181" s="159">
        <v>5.0</v>
      </c>
      <c r="K181" s="159">
        <v>5.0</v>
      </c>
      <c r="L181" s="159">
        <v>5.0</v>
      </c>
      <c r="M181" s="159">
        <v>5.0</v>
      </c>
      <c r="N181" s="159">
        <v>5.0</v>
      </c>
      <c r="O181" s="159">
        <v>5.0</v>
      </c>
      <c r="P181" s="159">
        <v>5.0</v>
      </c>
      <c r="Q181" s="159">
        <v>5.0</v>
      </c>
      <c r="R181" s="159">
        <v>5.0</v>
      </c>
      <c r="S181" s="159">
        <v>5.0</v>
      </c>
      <c r="T181" s="159">
        <v>5.0</v>
      </c>
      <c r="U181" s="159">
        <v>5.0</v>
      </c>
      <c r="V181" s="159">
        <v>5.0</v>
      </c>
      <c r="W181" s="159">
        <v>5.0</v>
      </c>
      <c r="X181" s="161"/>
      <c r="Y181" s="161"/>
      <c r="Z181" s="161"/>
      <c r="AA181" s="161"/>
      <c r="AB181" s="161"/>
      <c r="AC181" s="159">
        <v>5.0</v>
      </c>
      <c r="AD181" s="159"/>
    </row>
    <row r="182">
      <c r="A182" s="162">
        <v>102212.0</v>
      </c>
      <c r="B182" s="163" t="s">
        <v>634</v>
      </c>
      <c r="C182" s="164" t="s">
        <v>635</v>
      </c>
      <c r="D182" s="165">
        <v>44559.0</v>
      </c>
      <c r="E182" s="164" t="s">
        <v>51</v>
      </c>
      <c r="F182" s="161"/>
      <c r="G182" s="161"/>
      <c r="H182" s="159">
        <v>5.0</v>
      </c>
      <c r="I182" s="159">
        <v>5.0</v>
      </c>
      <c r="J182" s="159">
        <v>5.0</v>
      </c>
      <c r="K182" s="159">
        <v>5.0</v>
      </c>
      <c r="L182" s="159">
        <v>5.0</v>
      </c>
      <c r="M182" s="159">
        <v>5.0</v>
      </c>
      <c r="N182" s="159">
        <v>5.0</v>
      </c>
      <c r="O182" s="159">
        <v>5.0</v>
      </c>
      <c r="P182" s="159">
        <v>5.0</v>
      </c>
      <c r="Q182" s="159">
        <v>5.0</v>
      </c>
      <c r="R182" s="159">
        <v>5.0</v>
      </c>
      <c r="S182" s="159">
        <v>5.0</v>
      </c>
      <c r="T182" s="159">
        <v>5.0</v>
      </c>
      <c r="U182" s="159">
        <v>5.0</v>
      </c>
      <c r="V182" s="159">
        <v>5.0</v>
      </c>
      <c r="W182" s="159">
        <v>5.0</v>
      </c>
      <c r="X182" s="161"/>
      <c r="Y182" s="161"/>
      <c r="Z182" s="161"/>
      <c r="AA182" s="161"/>
      <c r="AB182" s="161"/>
      <c r="AC182" s="159">
        <v>5.0</v>
      </c>
      <c r="AD182" s="159"/>
    </row>
    <row r="183">
      <c r="A183" s="162">
        <v>102214.0</v>
      </c>
      <c r="B183" s="163" t="s">
        <v>636</v>
      </c>
      <c r="C183" s="164" t="s">
        <v>637</v>
      </c>
      <c r="D183" s="165">
        <v>44559.0</v>
      </c>
      <c r="E183" s="164" t="s">
        <v>51</v>
      </c>
      <c r="F183" s="161"/>
      <c r="G183" s="161"/>
      <c r="H183" s="159">
        <v>5.0</v>
      </c>
      <c r="I183" s="159">
        <v>5.0</v>
      </c>
      <c r="J183" s="159">
        <v>5.0</v>
      </c>
      <c r="K183" s="159">
        <v>5.0</v>
      </c>
      <c r="L183" s="159">
        <v>5.0</v>
      </c>
      <c r="M183" s="159">
        <v>5.0</v>
      </c>
      <c r="N183" s="159">
        <v>5.0</v>
      </c>
      <c r="O183" s="159">
        <v>5.0</v>
      </c>
      <c r="P183" s="159">
        <v>5.0</v>
      </c>
      <c r="Q183" s="159">
        <v>5.0</v>
      </c>
      <c r="R183" s="159">
        <v>5.0</v>
      </c>
      <c r="S183" s="159">
        <v>5.0</v>
      </c>
      <c r="T183" s="159">
        <v>5.0</v>
      </c>
      <c r="U183" s="159">
        <v>5.0</v>
      </c>
      <c r="V183" s="159">
        <v>5.0</v>
      </c>
      <c r="W183" s="159">
        <v>5.0</v>
      </c>
      <c r="X183" s="161"/>
      <c r="Y183" s="161"/>
      <c r="Z183" s="161"/>
      <c r="AA183" s="161"/>
      <c r="AB183" s="161"/>
      <c r="AC183" s="159">
        <v>5.0</v>
      </c>
      <c r="AD183" s="159"/>
    </row>
    <row r="184">
      <c r="A184" s="162">
        <v>102213.0</v>
      </c>
      <c r="B184" s="163" t="s">
        <v>638</v>
      </c>
      <c r="C184" s="164" t="s">
        <v>639</v>
      </c>
      <c r="D184" s="165">
        <v>44559.0</v>
      </c>
      <c r="E184" s="164" t="s">
        <v>51</v>
      </c>
      <c r="F184" s="161"/>
      <c r="G184" s="161"/>
      <c r="H184" s="159">
        <v>5.0</v>
      </c>
      <c r="I184" s="159">
        <v>5.0</v>
      </c>
      <c r="J184" s="159">
        <v>5.0</v>
      </c>
      <c r="K184" s="159">
        <v>5.0</v>
      </c>
      <c r="L184" s="159">
        <v>5.0</v>
      </c>
      <c r="M184" s="159">
        <v>5.0</v>
      </c>
      <c r="N184" s="159">
        <v>5.0</v>
      </c>
      <c r="O184" s="159">
        <v>5.0</v>
      </c>
      <c r="P184" s="159">
        <v>5.0</v>
      </c>
      <c r="Q184" s="159">
        <v>5.0</v>
      </c>
      <c r="R184" s="159">
        <v>5.0</v>
      </c>
      <c r="S184" s="159">
        <v>5.0</v>
      </c>
      <c r="T184" s="159">
        <v>5.0</v>
      </c>
      <c r="U184" s="159">
        <v>5.0</v>
      </c>
      <c r="V184" s="159">
        <v>5.0</v>
      </c>
      <c r="W184" s="159">
        <v>5.0</v>
      </c>
      <c r="X184" s="161"/>
      <c r="Y184" s="161"/>
      <c r="Z184" s="161"/>
      <c r="AA184" s="161"/>
      <c r="AB184" s="161"/>
      <c r="AC184" s="159">
        <v>5.0</v>
      </c>
      <c r="AD184" s="159"/>
    </row>
    <row r="185">
      <c r="A185" s="162">
        <v>102207.0</v>
      </c>
      <c r="B185" s="163" t="s">
        <v>640</v>
      </c>
      <c r="C185" s="164" t="s">
        <v>641</v>
      </c>
      <c r="D185" s="165">
        <v>44569.0</v>
      </c>
      <c r="E185" s="164" t="s">
        <v>625</v>
      </c>
      <c r="F185" s="161"/>
      <c r="G185" s="161"/>
      <c r="H185" s="159">
        <v>5.0</v>
      </c>
      <c r="I185" s="159">
        <v>5.0</v>
      </c>
      <c r="J185" s="159">
        <v>5.0</v>
      </c>
      <c r="K185" s="159">
        <v>5.0</v>
      </c>
      <c r="L185" s="159">
        <v>5.0</v>
      </c>
      <c r="M185" s="159">
        <v>5.0</v>
      </c>
      <c r="N185" s="159">
        <v>5.0</v>
      </c>
      <c r="O185" s="159">
        <v>5.0</v>
      </c>
      <c r="P185" s="159">
        <v>5.0</v>
      </c>
      <c r="Q185" s="159">
        <v>5.0</v>
      </c>
      <c r="R185" s="159">
        <v>5.0</v>
      </c>
      <c r="S185" s="159">
        <v>5.0</v>
      </c>
      <c r="T185" s="159">
        <v>5.0</v>
      </c>
      <c r="U185" s="159">
        <v>5.0</v>
      </c>
      <c r="V185" s="159">
        <v>5.0</v>
      </c>
      <c r="W185" s="159">
        <v>5.0</v>
      </c>
      <c r="X185" s="161"/>
      <c r="Y185" s="161"/>
      <c r="Z185" s="161"/>
      <c r="AA185" s="161"/>
      <c r="AB185" s="161"/>
      <c r="AC185" s="159">
        <v>5.0</v>
      </c>
      <c r="AD185" s="159"/>
    </row>
    <row r="186">
      <c r="A186" s="162">
        <v>102210.0</v>
      </c>
      <c r="B186" s="163" t="s">
        <v>642</v>
      </c>
      <c r="C186" s="164" t="s">
        <v>643</v>
      </c>
      <c r="D186" s="165">
        <v>44582.0</v>
      </c>
      <c r="E186" s="164" t="s">
        <v>602</v>
      </c>
      <c r="F186" s="161"/>
      <c r="G186" s="161"/>
      <c r="H186" s="159">
        <v>5.0</v>
      </c>
      <c r="I186" s="159">
        <v>5.0</v>
      </c>
      <c r="J186" s="159">
        <v>5.0</v>
      </c>
      <c r="K186" s="159">
        <v>5.0</v>
      </c>
      <c r="L186" s="159">
        <v>5.0</v>
      </c>
      <c r="M186" s="159">
        <v>5.0</v>
      </c>
      <c r="N186" s="159">
        <v>5.0</v>
      </c>
      <c r="O186" s="159">
        <v>5.0</v>
      </c>
      <c r="P186" s="159">
        <v>5.0</v>
      </c>
      <c r="Q186" s="159">
        <v>5.0</v>
      </c>
      <c r="R186" s="159">
        <v>5.0</v>
      </c>
      <c r="S186" s="159">
        <v>5.0</v>
      </c>
      <c r="T186" s="159">
        <v>5.0</v>
      </c>
      <c r="U186" s="159">
        <v>5.0</v>
      </c>
      <c r="V186" s="159">
        <v>5.0</v>
      </c>
      <c r="W186" s="159">
        <v>5.0</v>
      </c>
      <c r="X186" s="161"/>
      <c r="Y186" s="161"/>
      <c r="Z186" s="161"/>
      <c r="AA186" s="161"/>
      <c r="AB186" s="161"/>
      <c r="AC186" s="159">
        <v>5.0</v>
      </c>
      <c r="AD186" s="159"/>
    </row>
    <row r="187">
      <c r="A187" s="162">
        <v>102231.0</v>
      </c>
      <c r="B187" s="163" t="s">
        <v>644</v>
      </c>
      <c r="C187" s="164" t="s">
        <v>645</v>
      </c>
      <c r="D187" s="165">
        <v>44592.0</v>
      </c>
      <c r="E187" s="164" t="s">
        <v>646</v>
      </c>
      <c r="F187" s="161"/>
      <c r="G187" s="161"/>
      <c r="H187" s="159">
        <v>5.0</v>
      </c>
      <c r="I187" s="159">
        <v>5.0</v>
      </c>
      <c r="J187" s="159">
        <v>5.0</v>
      </c>
      <c r="K187" s="159">
        <v>5.0</v>
      </c>
      <c r="L187" s="159">
        <v>5.0</v>
      </c>
      <c r="M187" s="159">
        <v>5.0</v>
      </c>
      <c r="N187" s="159">
        <v>5.0</v>
      </c>
      <c r="O187" s="159">
        <v>5.0</v>
      </c>
      <c r="P187" s="159">
        <v>5.0</v>
      </c>
      <c r="Q187" s="159">
        <v>5.0</v>
      </c>
      <c r="R187" s="159">
        <v>5.0</v>
      </c>
      <c r="S187" s="159">
        <v>5.0</v>
      </c>
      <c r="T187" s="159">
        <v>5.0</v>
      </c>
      <c r="U187" s="159">
        <v>5.0</v>
      </c>
      <c r="V187" s="159">
        <v>5.0</v>
      </c>
      <c r="W187" s="159">
        <v>5.0</v>
      </c>
      <c r="X187" s="161"/>
      <c r="Y187" s="161"/>
      <c r="Z187" s="161"/>
      <c r="AA187" s="161"/>
      <c r="AB187" s="161"/>
      <c r="AC187" s="159">
        <v>5.0</v>
      </c>
      <c r="AD187" s="159"/>
    </row>
    <row r="188">
      <c r="A188" s="162">
        <v>102248.0</v>
      </c>
      <c r="B188" s="163" t="s">
        <v>647</v>
      </c>
      <c r="C188" s="164" t="s">
        <v>648</v>
      </c>
      <c r="D188" s="165">
        <v>44624.0</v>
      </c>
      <c r="E188" s="164" t="s">
        <v>432</v>
      </c>
      <c r="F188" s="161"/>
      <c r="G188" s="161"/>
      <c r="H188" s="159">
        <v>5.0</v>
      </c>
      <c r="I188" s="159">
        <v>5.0</v>
      </c>
      <c r="J188" s="159">
        <v>5.0</v>
      </c>
      <c r="K188" s="159">
        <v>5.0</v>
      </c>
      <c r="L188" s="159">
        <v>5.0</v>
      </c>
      <c r="M188" s="159">
        <v>5.0</v>
      </c>
      <c r="N188" s="159">
        <v>5.0</v>
      </c>
      <c r="O188" s="159">
        <v>5.0</v>
      </c>
      <c r="P188" s="159">
        <v>5.0</v>
      </c>
      <c r="Q188" s="159">
        <v>5.0</v>
      </c>
      <c r="R188" s="159">
        <v>5.0</v>
      </c>
      <c r="S188" s="159">
        <v>5.0</v>
      </c>
      <c r="T188" s="159">
        <v>5.0</v>
      </c>
      <c r="U188" s="159">
        <v>5.0</v>
      </c>
      <c r="V188" s="159">
        <v>5.0</v>
      </c>
      <c r="W188" s="159">
        <v>5.0</v>
      </c>
      <c r="X188" s="161"/>
      <c r="Y188" s="161"/>
      <c r="Z188" s="161"/>
      <c r="AA188" s="161"/>
      <c r="AB188" s="161"/>
      <c r="AC188" s="159">
        <v>5.0</v>
      </c>
      <c r="AD188" s="159"/>
    </row>
    <row r="189">
      <c r="A189" s="162">
        <v>102277.0</v>
      </c>
      <c r="B189" s="163" t="s">
        <v>649</v>
      </c>
      <c r="C189" s="164" t="s">
        <v>650</v>
      </c>
      <c r="D189" s="165">
        <v>44625.0</v>
      </c>
      <c r="E189" s="164" t="s">
        <v>295</v>
      </c>
      <c r="F189" s="161"/>
      <c r="G189" s="161"/>
      <c r="H189" s="159">
        <v>5.0</v>
      </c>
      <c r="I189" s="159">
        <v>5.0</v>
      </c>
      <c r="J189" s="159">
        <v>5.0</v>
      </c>
      <c r="K189" s="159">
        <v>5.0</v>
      </c>
      <c r="L189" s="159">
        <v>5.0</v>
      </c>
      <c r="M189" s="159">
        <v>5.0</v>
      </c>
      <c r="N189" s="159">
        <v>5.0</v>
      </c>
      <c r="O189" s="159">
        <v>5.0</v>
      </c>
      <c r="P189" s="159">
        <v>5.0</v>
      </c>
      <c r="Q189" s="159">
        <v>5.0</v>
      </c>
      <c r="R189" s="159">
        <v>5.0</v>
      </c>
      <c r="S189" s="159">
        <v>5.0</v>
      </c>
      <c r="T189" s="159">
        <v>5.0</v>
      </c>
      <c r="U189" s="159">
        <v>5.0</v>
      </c>
      <c r="V189" s="159">
        <v>5.0</v>
      </c>
      <c r="W189" s="159">
        <v>5.0</v>
      </c>
      <c r="X189" s="161"/>
      <c r="Y189" s="161"/>
      <c r="Z189" s="161"/>
      <c r="AA189" s="161"/>
      <c r="AB189" s="161"/>
      <c r="AC189" s="159">
        <v>5.0</v>
      </c>
      <c r="AD189" s="159"/>
    </row>
    <row r="190">
      <c r="A190" s="162">
        <v>102291.0</v>
      </c>
      <c r="B190" s="163" t="s">
        <v>651</v>
      </c>
      <c r="C190" s="164" t="s">
        <v>652</v>
      </c>
      <c r="D190" s="165">
        <v>44625.0</v>
      </c>
      <c r="E190" s="164" t="s">
        <v>295</v>
      </c>
      <c r="F190" s="161"/>
      <c r="G190" s="161"/>
      <c r="H190" s="159">
        <v>5.0</v>
      </c>
      <c r="I190" s="159">
        <v>5.0</v>
      </c>
      <c r="J190" s="159">
        <v>5.0</v>
      </c>
      <c r="K190" s="159">
        <v>5.0</v>
      </c>
      <c r="L190" s="159">
        <v>5.0</v>
      </c>
      <c r="M190" s="159">
        <v>5.0</v>
      </c>
      <c r="N190" s="159">
        <v>5.0</v>
      </c>
      <c r="O190" s="159">
        <v>5.0</v>
      </c>
      <c r="P190" s="159">
        <v>5.0</v>
      </c>
      <c r="Q190" s="159">
        <v>5.0</v>
      </c>
      <c r="R190" s="159">
        <v>5.0</v>
      </c>
      <c r="S190" s="159">
        <v>5.0</v>
      </c>
      <c r="T190" s="159">
        <v>5.0</v>
      </c>
      <c r="U190" s="159">
        <v>5.0</v>
      </c>
      <c r="V190" s="159">
        <v>5.0</v>
      </c>
      <c r="W190" s="159">
        <v>5.0</v>
      </c>
      <c r="X190" s="161"/>
      <c r="Y190" s="161"/>
      <c r="Z190" s="161"/>
      <c r="AA190" s="161"/>
      <c r="AB190" s="161"/>
      <c r="AC190" s="159">
        <v>5.0</v>
      </c>
      <c r="AD190" s="159"/>
    </row>
    <row r="191">
      <c r="A191" s="162">
        <v>102283.0</v>
      </c>
      <c r="B191" s="163" t="s">
        <v>653</v>
      </c>
      <c r="C191" s="164" t="s">
        <v>654</v>
      </c>
      <c r="D191" s="165">
        <v>44625.0</v>
      </c>
      <c r="E191" s="164" t="s">
        <v>51</v>
      </c>
      <c r="F191" s="161"/>
      <c r="G191" s="161"/>
      <c r="H191" s="159">
        <v>5.0</v>
      </c>
      <c r="I191" s="159">
        <v>5.0</v>
      </c>
      <c r="J191" s="159">
        <v>5.0</v>
      </c>
      <c r="K191" s="159">
        <v>5.0</v>
      </c>
      <c r="L191" s="159">
        <v>5.0</v>
      </c>
      <c r="M191" s="159">
        <v>5.0</v>
      </c>
      <c r="N191" s="159">
        <v>5.0</v>
      </c>
      <c r="O191" s="159">
        <v>5.0</v>
      </c>
      <c r="P191" s="159">
        <v>5.0</v>
      </c>
      <c r="Q191" s="159">
        <v>5.0</v>
      </c>
      <c r="R191" s="159">
        <v>5.0</v>
      </c>
      <c r="S191" s="159">
        <v>5.0</v>
      </c>
      <c r="T191" s="159">
        <v>5.0</v>
      </c>
      <c r="U191" s="159">
        <v>5.0</v>
      </c>
      <c r="V191" s="159">
        <v>5.0</v>
      </c>
      <c r="W191" s="159">
        <v>5.0</v>
      </c>
      <c r="X191" s="161"/>
      <c r="Y191" s="161"/>
      <c r="Z191" s="161"/>
      <c r="AA191" s="161"/>
      <c r="AB191" s="161"/>
      <c r="AC191" s="159">
        <v>5.0</v>
      </c>
      <c r="AD191" s="159"/>
    </row>
    <row r="192">
      <c r="A192" s="162">
        <v>102250.0</v>
      </c>
      <c r="B192" s="163" t="s">
        <v>655</v>
      </c>
      <c r="C192" s="164" t="s">
        <v>656</v>
      </c>
      <c r="D192" s="165">
        <v>44630.0</v>
      </c>
      <c r="E192" s="164" t="s">
        <v>87</v>
      </c>
      <c r="F192" s="161"/>
      <c r="G192" s="161"/>
      <c r="H192" s="159">
        <v>5.0</v>
      </c>
      <c r="I192" s="159">
        <v>5.0</v>
      </c>
      <c r="J192" s="159">
        <v>4.5</v>
      </c>
      <c r="K192" s="159">
        <v>5.0</v>
      </c>
      <c r="L192" s="159">
        <v>5.0</v>
      </c>
      <c r="M192" s="159">
        <v>4.9</v>
      </c>
      <c r="N192" s="159">
        <v>5.0</v>
      </c>
      <c r="O192" s="159">
        <v>5.0</v>
      </c>
      <c r="P192" s="159">
        <v>5.0</v>
      </c>
      <c r="Q192" s="159">
        <v>5.0</v>
      </c>
      <c r="R192" s="159">
        <v>5.0</v>
      </c>
      <c r="S192" s="159">
        <v>5.0</v>
      </c>
      <c r="T192" s="159">
        <v>5.0</v>
      </c>
      <c r="U192" s="159">
        <v>5.0</v>
      </c>
      <c r="V192" s="159">
        <v>5.0</v>
      </c>
      <c r="W192" s="159">
        <v>5.0</v>
      </c>
      <c r="X192" s="161"/>
      <c r="Y192" s="161"/>
      <c r="Z192" s="161"/>
      <c r="AA192" s="161"/>
      <c r="AB192" s="161"/>
      <c r="AC192" s="159">
        <v>4.966666666666667</v>
      </c>
      <c r="AD192" s="159"/>
    </row>
    <row r="193">
      <c r="A193" s="162">
        <v>102365.0</v>
      </c>
      <c r="B193" s="163" t="s">
        <v>657</v>
      </c>
      <c r="C193" s="164" t="s">
        <v>658</v>
      </c>
      <c r="D193" s="165">
        <v>44670.0</v>
      </c>
      <c r="E193" s="164" t="s">
        <v>51</v>
      </c>
      <c r="F193" s="161"/>
      <c r="G193" s="161"/>
      <c r="H193" s="159">
        <v>5.0</v>
      </c>
      <c r="I193" s="159">
        <v>5.0</v>
      </c>
      <c r="J193" s="159">
        <v>5.0</v>
      </c>
      <c r="K193" s="159">
        <v>5.0</v>
      </c>
      <c r="L193" s="159">
        <v>5.0</v>
      </c>
      <c r="M193" s="159">
        <v>5.0</v>
      </c>
      <c r="N193" s="159">
        <v>5.0</v>
      </c>
      <c r="O193" s="159">
        <v>5.0</v>
      </c>
      <c r="P193" s="159">
        <v>5.0</v>
      </c>
      <c r="Q193" s="159">
        <v>5.0</v>
      </c>
      <c r="R193" s="159">
        <v>5.0</v>
      </c>
      <c r="S193" s="159">
        <v>5.0</v>
      </c>
      <c r="T193" s="159">
        <v>5.0</v>
      </c>
      <c r="U193" s="159">
        <v>5.0</v>
      </c>
      <c r="V193" s="159">
        <v>5.0</v>
      </c>
      <c r="W193" s="159">
        <v>5.0</v>
      </c>
      <c r="X193" s="161"/>
      <c r="Y193" s="161"/>
      <c r="Z193" s="161"/>
      <c r="AA193" s="161"/>
      <c r="AB193" s="161"/>
      <c r="AC193" s="159">
        <v>5.0</v>
      </c>
      <c r="AD193" s="159"/>
    </row>
    <row r="194">
      <c r="A194" s="162">
        <v>102360.0</v>
      </c>
      <c r="B194" s="163" t="s">
        <v>659</v>
      </c>
      <c r="C194" s="164" t="s">
        <v>660</v>
      </c>
      <c r="D194" s="165">
        <v>44670.0</v>
      </c>
      <c r="E194" s="164" t="s">
        <v>312</v>
      </c>
      <c r="F194" s="161"/>
      <c r="G194" s="161"/>
      <c r="H194" s="159">
        <v>5.0</v>
      </c>
      <c r="I194" s="159">
        <v>5.0</v>
      </c>
      <c r="J194" s="159">
        <v>5.0</v>
      </c>
      <c r="K194" s="159">
        <v>5.0</v>
      </c>
      <c r="L194" s="159">
        <v>5.0</v>
      </c>
      <c r="M194" s="159">
        <v>5.0</v>
      </c>
      <c r="N194" s="159">
        <v>5.0</v>
      </c>
      <c r="O194" s="159">
        <v>5.0</v>
      </c>
      <c r="P194" s="159">
        <v>5.0</v>
      </c>
      <c r="Q194" s="159">
        <v>5.0</v>
      </c>
      <c r="R194" s="159">
        <v>5.0</v>
      </c>
      <c r="S194" s="159">
        <v>5.0</v>
      </c>
      <c r="T194" s="159">
        <v>5.0</v>
      </c>
      <c r="U194" s="159">
        <v>5.0</v>
      </c>
      <c r="V194" s="159">
        <v>5.0</v>
      </c>
      <c r="W194" s="159">
        <v>5.0</v>
      </c>
      <c r="X194" s="161"/>
      <c r="Y194" s="161"/>
      <c r="Z194" s="161"/>
      <c r="AA194" s="161"/>
      <c r="AB194" s="161"/>
      <c r="AC194" s="159">
        <v>5.0</v>
      </c>
      <c r="AD194" s="159"/>
    </row>
    <row r="195">
      <c r="A195" s="162">
        <v>102339.0</v>
      </c>
      <c r="B195" s="163" t="s">
        <v>661</v>
      </c>
      <c r="C195" s="164" t="s">
        <v>662</v>
      </c>
      <c r="D195" s="165">
        <v>44676.0</v>
      </c>
      <c r="E195" s="164" t="s">
        <v>312</v>
      </c>
      <c r="F195" s="161"/>
      <c r="G195" s="161"/>
      <c r="H195" s="159">
        <v>5.0</v>
      </c>
      <c r="I195" s="159">
        <v>5.0</v>
      </c>
      <c r="J195" s="159">
        <v>5.0</v>
      </c>
      <c r="K195" s="159">
        <v>5.0</v>
      </c>
      <c r="L195" s="159">
        <v>5.0</v>
      </c>
      <c r="M195" s="159">
        <v>5.0</v>
      </c>
      <c r="N195" s="159">
        <v>5.0</v>
      </c>
      <c r="O195" s="159">
        <v>5.0</v>
      </c>
      <c r="P195" s="159">
        <v>5.0</v>
      </c>
      <c r="Q195" s="159">
        <v>5.0</v>
      </c>
      <c r="R195" s="159">
        <v>5.0</v>
      </c>
      <c r="S195" s="159">
        <v>5.0</v>
      </c>
      <c r="T195" s="159">
        <v>5.0</v>
      </c>
      <c r="U195" s="159">
        <v>5.0</v>
      </c>
      <c r="V195" s="159">
        <v>5.0</v>
      </c>
      <c r="W195" s="159">
        <v>5.0</v>
      </c>
      <c r="X195" s="161"/>
      <c r="Y195" s="161"/>
      <c r="Z195" s="161"/>
      <c r="AA195" s="161"/>
      <c r="AB195" s="161"/>
      <c r="AC195" s="159">
        <v>5.0</v>
      </c>
      <c r="AD195" s="159"/>
    </row>
    <row r="196">
      <c r="A196" s="162">
        <v>102320.0</v>
      </c>
      <c r="B196" s="163" t="s">
        <v>663</v>
      </c>
      <c r="C196" s="164" t="s">
        <v>664</v>
      </c>
      <c r="D196" s="165">
        <v>44681.0</v>
      </c>
      <c r="E196" s="164" t="s">
        <v>312</v>
      </c>
      <c r="F196" s="161"/>
      <c r="G196" s="161"/>
      <c r="H196" s="159">
        <v>5.0</v>
      </c>
      <c r="I196" s="159">
        <v>5.0</v>
      </c>
      <c r="J196" s="159">
        <v>5.0</v>
      </c>
      <c r="K196" s="159">
        <v>5.0</v>
      </c>
      <c r="L196" s="159">
        <v>5.0</v>
      </c>
      <c r="M196" s="159">
        <v>5.0</v>
      </c>
      <c r="N196" s="159">
        <v>5.0</v>
      </c>
      <c r="O196" s="159">
        <v>5.0</v>
      </c>
      <c r="P196" s="159">
        <v>5.0</v>
      </c>
      <c r="Q196" s="159">
        <v>5.0</v>
      </c>
      <c r="R196" s="159">
        <v>5.0</v>
      </c>
      <c r="S196" s="159">
        <v>5.0</v>
      </c>
      <c r="T196" s="159">
        <v>5.0</v>
      </c>
      <c r="U196" s="159">
        <v>5.0</v>
      </c>
      <c r="V196" s="159">
        <v>5.0</v>
      </c>
      <c r="W196" s="159">
        <v>5.0</v>
      </c>
      <c r="X196" s="161"/>
      <c r="Y196" s="161"/>
      <c r="Z196" s="161"/>
      <c r="AA196" s="161"/>
      <c r="AB196" s="161"/>
      <c r="AC196" s="159">
        <v>5.0</v>
      </c>
      <c r="AD196" s="185">
        <f>AVERAGE(AC187:AC196)</f>
        <v>4.996666667</v>
      </c>
    </row>
    <row r="197">
      <c r="A197" s="162">
        <v>102383.0</v>
      </c>
      <c r="B197" s="163" t="s">
        <v>665</v>
      </c>
      <c r="C197" s="164" t="s">
        <v>666</v>
      </c>
      <c r="D197" s="165">
        <v>44685.0</v>
      </c>
      <c r="E197" s="164" t="s">
        <v>295</v>
      </c>
      <c r="F197" s="161"/>
      <c r="G197" s="161"/>
      <c r="H197" s="159">
        <v>5.0</v>
      </c>
      <c r="I197" s="159">
        <v>5.0</v>
      </c>
      <c r="J197" s="159">
        <v>5.0</v>
      </c>
      <c r="K197" s="159">
        <v>5.0</v>
      </c>
      <c r="L197" s="159">
        <v>5.0</v>
      </c>
      <c r="M197" s="159">
        <v>5.0</v>
      </c>
      <c r="N197" s="159">
        <v>5.0</v>
      </c>
      <c r="O197" s="159">
        <v>5.0</v>
      </c>
      <c r="P197" s="159">
        <v>5.0</v>
      </c>
      <c r="Q197" s="159">
        <v>5.0</v>
      </c>
      <c r="R197" s="159">
        <v>5.0</v>
      </c>
      <c r="S197" s="159">
        <v>5.0</v>
      </c>
      <c r="T197" s="159">
        <v>5.0</v>
      </c>
      <c r="U197" s="159">
        <v>5.0</v>
      </c>
      <c r="V197" s="159">
        <v>5.0</v>
      </c>
      <c r="W197" s="159">
        <v>5.0</v>
      </c>
      <c r="X197" s="161"/>
      <c r="Y197" s="161"/>
      <c r="Z197" s="161"/>
      <c r="AA197" s="161"/>
      <c r="AB197" s="161"/>
      <c r="AC197" s="159">
        <v>5.0</v>
      </c>
      <c r="AD197" s="159"/>
    </row>
    <row r="198">
      <c r="A198" s="162">
        <v>102342.0</v>
      </c>
      <c r="B198" s="163" t="s">
        <v>667</v>
      </c>
      <c r="C198" s="164" t="s">
        <v>668</v>
      </c>
      <c r="D198" s="165">
        <v>44685.0</v>
      </c>
      <c r="E198" s="164" t="s">
        <v>295</v>
      </c>
      <c r="F198" s="161"/>
      <c r="G198" s="161"/>
      <c r="H198" s="159">
        <v>5.0</v>
      </c>
      <c r="I198" s="159">
        <v>5.0</v>
      </c>
      <c r="J198" s="159">
        <v>5.0</v>
      </c>
      <c r="K198" s="159">
        <v>5.0</v>
      </c>
      <c r="L198" s="159">
        <v>5.0</v>
      </c>
      <c r="M198" s="159">
        <v>5.0</v>
      </c>
      <c r="N198" s="159">
        <v>5.0</v>
      </c>
      <c r="O198" s="159">
        <v>5.0</v>
      </c>
      <c r="P198" s="159">
        <v>5.0</v>
      </c>
      <c r="Q198" s="159">
        <v>5.0</v>
      </c>
      <c r="R198" s="159">
        <v>5.0</v>
      </c>
      <c r="S198" s="159">
        <v>5.0</v>
      </c>
      <c r="T198" s="159">
        <v>5.0</v>
      </c>
      <c r="U198" s="159">
        <v>5.0</v>
      </c>
      <c r="V198" s="159">
        <v>5.0</v>
      </c>
      <c r="W198" s="159">
        <v>5.0</v>
      </c>
      <c r="X198" s="161"/>
      <c r="Y198" s="161"/>
      <c r="Z198" s="161"/>
      <c r="AA198" s="161"/>
      <c r="AB198" s="161"/>
      <c r="AC198" s="159">
        <v>5.0</v>
      </c>
      <c r="AD198" s="159"/>
    </row>
    <row r="199">
      <c r="A199" s="162">
        <v>102330.0</v>
      </c>
      <c r="B199" s="163" t="s">
        <v>669</v>
      </c>
      <c r="C199" s="164" t="s">
        <v>670</v>
      </c>
      <c r="D199" s="165">
        <v>44687.0</v>
      </c>
      <c r="E199" s="164" t="s">
        <v>360</v>
      </c>
      <c r="F199" s="161"/>
      <c r="G199" s="161"/>
      <c r="H199" s="159">
        <v>5.0</v>
      </c>
      <c r="I199" s="159">
        <v>5.0</v>
      </c>
      <c r="J199" s="159">
        <v>5.0</v>
      </c>
      <c r="K199" s="159">
        <v>5.0</v>
      </c>
      <c r="L199" s="159">
        <v>5.0</v>
      </c>
      <c r="M199" s="159">
        <v>5.0</v>
      </c>
      <c r="N199" s="159">
        <v>5.0</v>
      </c>
      <c r="O199" s="159">
        <v>5.0</v>
      </c>
      <c r="P199" s="159">
        <v>5.0</v>
      </c>
      <c r="Q199" s="159">
        <v>5.0</v>
      </c>
      <c r="R199" s="159">
        <v>5.0</v>
      </c>
      <c r="S199" s="159">
        <v>5.0</v>
      </c>
      <c r="T199" s="159">
        <v>5.0</v>
      </c>
      <c r="U199" s="159">
        <v>5.0</v>
      </c>
      <c r="V199" s="159">
        <v>5.0</v>
      </c>
      <c r="W199" s="159">
        <v>5.0</v>
      </c>
      <c r="X199" s="161"/>
      <c r="Y199" s="161"/>
      <c r="Z199" s="161"/>
      <c r="AA199" s="161"/>
      <c r="AB199" s="161"/>
      <c r="AC199" s="159">
        <v>5.0</v>
      </c>
      <c r="AD199" s="159"/>
    </row>
    <row r="200">
      <c r="A200" s="162">
        <v>102411.0</v>
      </c>
      <c r="B200" s="163" t="s">
        <v>671</v>
      </c>
      <c r="C200" s="164" t="s">
        <v>672</v>
      </c>
      <c r="D200" s="165">
        <v>44687.0</v>
      </c>
      <c r="E200" s="164" t="s">
        <v>443</v>
      </c>
      <c r="F200" s="161"/>
      <c r="G200" s="161"/>
      <c r="H200" s="159">
        <v>5.0</v>
      </c>
      <c r="I200" s="159">
        <v>5.0</v>
      </c>
      <c r="J200" s="159">
        <v>5.0</v>
      </c>
      <c r="K200" s="159">
        <v>5.0</v>
      </c>
      <c r="L200" s="159">
        <v>5.0</v>
      </c>
      <c r="M200" s="159">
        <v>5.0</v>
      </c>
      <c r="N200" s="159">
        <v>5.0</v>
      </c>
      <c r="O200" s="159">
        <v>5.0</v>
      </c>
      <c r="P200" s="159">
        <v>5.0</v>
      </c>
      <c r="Q200" s="159">
        <v>5.0</v>
      </c>
      <c r="R200" s="159">
        <v>5.0</v>
      </c>
      <c r="S200" s="159">
        <v>5.0</v>
      </c>
      <c r="T200" s="159">
        <v>5.0</v>
      </c>
      <c r="U200" s="159">
        <v>5.0</v>
      </c>
      <c r="V200" s="159">
        <v>5.0</v>
      </c>
      <c r="W200" s="159">
        <v>5.0</v>
      </c>
      <c r="X200" s="161"/>
      <c r="Y200" s="161"/>
      <c r="Z200" s="161"/>
      <c r="AA200" s="161"/>
      <c r="AB200" s="161"/>
      <c r="AC200" s="159">
        <v>5.0</v>
      </c>
      <c r="AD200" s="159"/>
    </row>
    <row r="201">
      <c r="A201" s="162">
        <v>102373.0</v>
      </c>
      <c r="B201" s="163" t="s">
        <v>673</v>
      </c>
      <c r="C201" s="164" t="s">
        <v>674</v>
      </c>
      <c r="D201" s="165">
        <v>44687.0</v>
      </c>
      <c r="E201" s="164" t="s">
        <v>154</v>
      </c>
      <c r="F201" s="161"/>
      <c r="G201" s="161"/>
      <c r="H201" s="159">
        <v>5.0</v>
      </c>
      <c r="I201" s="159">
        <v>5.0</v>
      </c>
      <c r="J201" s="159">
        <v>5.0</v>
      </c>
      <c r="K201" s="159">
        <v>5.0</v>
      </c>
      <c r="L201" s="159">
        <v>5.0</v>
      </c>
      <c r="M201" s="159">
        <v>5.0</v>
      </c>
      <c r="N201" s="159">
        <v>5.0</v>
      </c>
      <c r="O201" s="159">
        <v>5.0</v>
      </c>
      <c r="P201" s="159">
        <v>5.0</v>
      </c>
      <c r="Q201" s="159">
        <v>5.0</v>
      </c>
      <c r="R201" s="159">
        <v>5.0</v>
      </c>
      <c r="S201" s="159">
        <v>4.9</v>
      </c>
      <c r="T201" s="159">
        <v>5.0</v>
      </c>
      <c r="U201" s="159">
        <v>5.0</v>
      </c>
      <c r="V201" s="159">
        <v>5.0</v>
      </c>
      <c r="W201" s="159">
        <v>4.975</v>
      </c>
      <c r="X201" s="161"/>
      <c r="Y201" s="161"/>
      <c r="Z201" s="161"/>
      <c r="AA201" s="161"/>
      <c r="AB201" s="161"/>
      <c r="AC201" s="159">
        <v>4.991666666666666</v>
      </c>
      <c r="AD201" s="159"/>
    </row>
    <row r="202">
      <c r="A202" s="162">
        <v>102389.0</v>
      </c>
      <c r="B202" s="163" t="s">
        <v>675</v>
      </c>
      <c r="C202" s="164" t="s">
        <v>676</v>
      </c>
      <c r="D202" s="165">
        <v>44691.0</v>
      </c>
      <c r="E202" s="164" t="s">
        <v>326</v>
      </c>
      <c r="F202" s="161"/>
      <c r="G202" s="161"/>
      <c r="H202" s="159">
        <v>5.0</v>
      </c>
      <c r="I202" s="159">
        <v>5.0</v>
      </c>
      <c r="J202" s="159">
        <v>5.0</v>
      </c>
      <c r="K202" s="159">
        <v>5.0</v>
      </c>
      <c r="L202" s="159">
        <v>5.0</v>
      </c>
      <c r="M202" s="159">
        <v>5.0</v>
      </c>
      <c r="N202" s="159">
        <v>5.0</v>
      </c>
      <c r="O202" s="159">
        <v>5.0</v>
      </c>
      <c r="P202" s="159">
        <v>5.0</v>
      </c>
      <c r="Q202" s="159">
        <v>5.0</v>
      </c>
      <c r="R202" s="159">
        <v>5.0</v>
      </c>
      <c r="S202" s="159">
        <v>5.0</v>
      </c>
      <c r="T202" s="159">
        <v>5.0</v>
      </c>
      <c r="U202" s="159">
        <v>5.0</v>
      </c>
      <c r="V202" s="159">
        <v>5.0</v>
      </c>
      <c r="W202" s="159">
        <v>5.0</v>
      </c>
      <c r="X202" s="161"/>
      <c r="Y202" s="161"/>
      <c r="Z202" s="161"/>
      <c r="AA202" s="161"/>
      <c r="AB202" s="161"/>
      <c r="AC202" s="159">
        <v>5.0</v>
      </c>
      <c r="AD202" s="159"/>
    </row>
    <row r="203">
      <c r="A203" s="162">
        <v>102395.0</v>
      </c>
      <c r="B203" s="163" t="s">
        <v>677</v>
      </c>
      <c r="C203" s="164" t="s">
        <v>678</v>
      </c>
      <c r="D203" s="165">
        <v>44691.0</v>
      </c>
      <c r="E203" s="164" t="s">
        <v>247</v>
      </c>
      <c r="F203" s="161"/>
      <c r="G203" s="161"/>
      <c r="H203" s="159">
        <v>5.0</v>
      </c>
      <c r="I203" s="159">
        <v>5.0</v>
      </c>
      <c r="J203" s="159">
        <v>5.0</v>
      </c>
      <c r="K203" s="159">
        <v>5.0</v>
      </c>
      <c r="L203" s="159">
        <v>5.0</v>
      </c>
      <c r="M203" s="159">
        <v>5.0</v>
      </c>
      <c r="N203" s="159">
        <v>5.0</v>
      </c>
      <c r="O203" s="159">
        <v>5.0</v>
      </c>
      <c r="P203" s="159">
        <v>5.0</v>
      </c>
      <c r="Q203" s="159">
        <v>5.0</v>
      </c>
      <c r="R203" s="159">
        <v>5.0</v>
      </c>
      <c r="S203" s="159">
        <v>5.0</v>
      </c>
      <c r="T203" s="159">
        <v>5.0</v>
      </c>
      <c r="U203" s="159">
        <v>5.0</v>
      </c>
      <c r="V203" s="159">
        <v>5.0</v>
      </c>
      <c r="W203" s="159">
        <v>5.0</v>
      </c>
      <c r="X203" s="161"/>
      <c r="Y203" s="161"/>
      <c r="Z203" s="161"/>
      <c r="AA203" s="161"/>
      <c r="AB203" s="161"/>
      <c r="AC203" s="159">
        <v>5.0</v>
      </c>
      <c r="AD203" s="159"/>
    </row>
    <row r="204">
      <c r="A204" s="162">
        <v>102393.0</v>
      </c>
      <c r="B204" s="163" t="s">
        <v>679</v>
      </c>
      <c r="C204" s="164" t="s">
        <v>680</v>
      </c>
      <c r="D204" s="165">
        <v>44691.0</v>
      </c>
      <c r="E204" s="164" t="s">
        <v>247</v>
      </c>
      <c r="F204" s="161"/>
      <c r="G204" s="161"/>
      <c r="H204" s="159">
        <v>5.0</v>
      </c>
      <c r="I204" s="159">
        <v>5.0</v>
      </c>
      <c r="J204" s="159">
        <v>5.0</v>
      </c>
      <c r="K204" s="159">
        <v>5.0</v>
      </c>
      <c r="L204" s="159">
        <v>5.0</v>
      </c>
      <c r="M204" s="159">
        <v>5.0</v>
      </c>
      <c r="N204" s="159">
        <v>5.0</v>
      </c>
      <c r="O204" s="159">
        <v>5.0</v>
      </c>
      <c r="P204" s="159">
        <v>5.0</v>
      </c>
      <c r="Q204" s="159">
        <v>5.0</v>
      </c>
      <c r="R204" s="159">
        <v>5.0</v>
      </c>
      <c r="S204" s="159">
        <v>5.0</v>
      </c>
      <c r="T204" s="159">
        <v>5.0</v>
      </c>
      <c r="U204" s="159">
        <v>5.0</v>
      </c>
      <c r="V204" s="159">
        <v>5.0</v>
      </c>
      <c r="W204" s="159">
        <v>5.0</v>
      </c>
      <c r="X204" s="161"/>
      <c r="Y204" s="161"/>
      <c r="Z204" s="161"/>
      <c r="AA204" s="161"/>
      <c r="AB204" s="161"/>
      <c r="AC204" s="159">
        <v>5.0</v>
      </c>
      <c r="AD204" s="159"/>
    </row>
    <row r="205">
      <c r="A205" s="162">
        <v>102396.0</v>
      </c>
      <c r="B205" s="163" t="s">
        <v>681</v>
      </c>
      <c r="C205" s="164" t="s">
        <v>682</v>
      </c>
      <c r="D205" s="165">
        <v>44691.0</v>
      </c>
      <c r="E205" s="164" t="s">
        <v>247</v>
      </c>
      <c r="F205" s="161"/>
      <c r="G205" s="161"/>
      <c r="H205" s="159">
        <v>5.0</v>
      </c>
      <c r="I205" s="159">
        <v>5.0</v>
      </c>
      <c r="J205" s="159">
        <v>5.0</v>
      </c>
      <c r="K205" s="159">
        <v>5.0</v>
      </c>
      <c r="L205" s="159">
        <v>5.0</v>
      </c>
      <c r="M205" s="159">
        <v>5.0</v>
      </c>
      <c r="N205" s="159">
        <v>5.0</v>
      </c>
      <c r="O205" s="159">
        <v>5.0</v>
      </c>
      <c r="P205" s="159">
        <v>5.0</v>
      </c>
      <c r="Q205" s="159">
        <v>5.0</v>
      </c>
      <c r="R205" s="159">
        <v>5.0</v>
      </c>
      <c r="S205" s="159">
        <v>5.0</v>
      </c>
      <c r="T205" s="159">
        <v>5.0</v>
      </c>
      <c r="U205" s="159">
        <v>5.0</v>
      </c>
      <c r="V205" s="159">
        <v>5.0</v>
      </c>
      <c r="W205" s="159">
        <v>5.0</v>
      </c>
      <c r="X205" s="161"/>
      <c r="Y205" s="161"/>
      <c r="Z205" s="161"/>
      <c r="AA205" s="161"/>
      <c r="AB205" s="161"/>
      <c r="AC205" s="159">
        <v>5.0</v>
      </c>
      <c r="AD205" s="159"/>
    </row>
    <row r="206">
      <c r="A206" s="162">
        <v>102397.0</v>
      </c>
      <c r="B206" s="169"/>
      <c r="C206" s="164" t="s">
        <v>683</v>
      </c>
      <c r="D206" s="165">
        <v>44691.0</v>
      </c>
      <c r="E206" s="164" t="s">
        <v>247</v>
      </c>
      <c r="F206" s="161"/>
      <c r="G206" s="161"/>
      <c r="H206" s="159">
        <v>5.0</v>
      </c>
      <c r="I206" s="159">
        <v>5.0</v>
      </c>
      <c r="J206" s="159">
        <v>5.0</v>
      </c>
      <c r="K206" s="159">
        <v>5.0</v>
      </c>
      <c r="L206" s="159">
        <v>5.0</v>
      </c>
      <c r="M206" s="159">
        <v>5.0</v>
      </c>
      <c r="N206" s="159">
        <v>5.0</v>
      </c>
      <c r="O206" s="159">
        <v>5.0</v>
      </c>
      <c r="P206" s="159">
        <v>5.0</v>
      </c>
      <c r="Q206" s="159">
        <v>5.0</v>
      </c>
      <c r="R206" s="159">
        <v>5.0</v>
      </c>
      <c r="S206" s="159">
        <v>5.0</v>
      </c>
      <c r="T206" s="159">
        <v>5.0</v>
      </c>
      <c r="U206" s="159">
        <v>5.0</v>
      </c>
      <c r="V206" s="159">
        <v>5.0</v>
      </c>
      <c r="W206" s="159">
        <v>5.0</v>
      </c>
      <c r="X206" s="161"/>
      <c r="Y206" s="161"/>
      <c r="Z206" s="161"/>
      <c r="AA206" s="161"/>
      <c r="AB206" s="161"/>
      <c r="AC206" s="159">
        <v>5.0</v>
      </c>
      <c r="AD206" s="159"/>
    </row>
    <row r="207">
      <c r="A207" s="162">
        <v>102358.0</v>
      </c>
      <c r="B207" s="163" t="s">
        <v>684</v>
      </c>
      <c r="C207" s="164" t="s">
        <v>685</v>
      </c>
      <c r="D207" s="165">
        <v>44691.0</v>
      </c>
      <c r="E207" s="164" t="s">
        <v>185</v>
      </c>
      <c r="F207" s="161"/>
      <c r="G207" s="161"/>
      <c r="H207" s="159">
        <v>5.0</v>
      </c>
      <c r="I207" s="159">
        <v>5.0</v>
      </c>
      <c r="J207" s="159">
        <v>5.0</v>
      </c>
      <c r="K207" s="159">
        <v>5.0</v>
      </c>
      <c r="L207" s="159">
        <v>5.0</v>
      </c>
      <c r="M207" s="159">
        <v>5.0</v>
      </c>
      <c r="N207" s="159">
        <v>5.0</v>
      </c>
      <c r="O207" s="159">
        <v>5.0</v>
      </c>
      <c r="P207" s="159">
        <v>5.0</v>
      </c>
      <c r="Q207" s="159">
        <v>5.0</v>
      </c>
      <c r="R207" s="159">
        <v>5.0</v>
      </c>
      <c r="S207" s="159">
        <v>5.0</v>
      </c>
      <c r="T207" s="159">
        <v>5.0</v>
      </c>
      <c r="U207" s="159">
        <v>5.0</v>
      </c>
      <c r="V207" s="159">
        <v>5.0</v>
      </c>
      <c r="W207" s="159">
        <v>5.0</v>
      </c>
      <c r="X207" s="161"/>
      <c r="Y207" s="161"/>
      <c r="Z207" s="161"/>
      <c r="AA207" s="161"/>
      <c r="AB207" s="161"/>
      <c r="AC207" s="159">
        <v>5.0</v>
      </c>
      <c r="AD207" s="159"/>
    </row>
    <row r="208">
      <c r="A208" s="162">
        <v>102382.0</v>
      </c>
      <c r="B208" s="163" t="s">
        <v>686</v>
      </c>
      <c r="C208" s="164" t="s">
        <v>613</v>
      </c>
      <c r="D208" s="165">
        <v>44692.0</v>
      </c>
      <c r="E208" s="164" t="s">
        <v>87</v>
      </c>
      <c r="F208" s="161"/>
      <c r="G208" s="161"/>
      <c r="H208" s="159">
        <v>5.0</v>
      </c>
      <c r="I208" s="159">
        <v>5.0</v>
      </c>
      <c r="J208" s="159">
        <v>5.0</v>
      </c>
      <c r="K208" s="159">
        <v>5.0</v>
      </c>
      <c r="L208" s="159">
        <v>5.0</v>
      </c>
      <c r="M208" s="159">
        <v>5.0</v>
      </c>
      <c r="N208" s="159">
        <v>5.0</v>
      </c>
      <c r="O208" s="159">
        <v>5.0</v>
      </c>
      <c r="P208" s="159">
        <v>5.0</v>
      </c>
      <c r="Q208" s="159">
        <v>5.0</v>
      </c>
      <c r="R208" s="159">
        <v>5.0</v>
      </c>
      <c r="S208" s="159">
        <v>5.0</v>
      </c>
      <c r="T208" s="159">
        <v>5.0</v>
      </c>
      <c r="U208" s="159">
        <v>5.0</v>
      </c>
      <c r="V208" s="159">
        <v>5.0</v>
      </c>
      <c r="W208" s="159">
        <v>5.0</v>
      </c>
      <c r="X208" s="161"/>
      <c r="Y208" s="161"/>
      <c r="Z208" s="161"/>
      <c r="AA208" s="161"/>
      <c r="AB208" s="161"/>
      <c r="AC208" s="159">
        <v>5.0</v>
      </c>
      <c r="AD208" s="159"/>
    </row>
    <row r="209">
      <c r="A209" s="162">
        <v>102351.0</v>
      </c>
      <c r="B209" s="163" t="s">
        <v>687</v>
      </c>
      <c r="C209" s="164" t="s">
        <v>688</v>
      </c>
      <c r="D209" s="165">
        <v>44707.0</v>
      </c>
      <c r="E209" s="164" t="s">
        <v>689</v>
      </c>
      <c r="F209" s="161"/>
      <c r="G209" s="161"/>
      <c r="H209" s="159">
        <v>5.0</v>
      </c>
      <c r="I209" s="159">
        <v>5.0</v>
      </c>
      <c r="J209" s="159">
        <v>5.0</v>
      </c>
      <c r="K209" s="159">
        <v>5.0</v>
      </c>
      <c r="L209" s="159">
        <v>5.0</v>
      </c>
      <c r="M209" s="159">
        <v>5.0</v>
      </c>
      <c r="N209" s="159">
        <v>5.0</v>
      </c>
      <c r="O209" s="159">
        <v>5.0</v>
      </c>
      <c r="P209" s="159">
        <v>5.0</v>
      </c>
      <c r="Q209" s="159">
        <v>5.0</v>
      </c>
      <c r="R209" s="159">
        <v>5.0</v>
      </c>
      <c r="S209" s="159">
        <v>5.0</v>
      </c>
      <c r="T209" s="159">
        <v>5.0</v>
      </c>
      <c r="U209" s="159">
        <v>5.0</v>
      </c>
      <c r="V209" s="159">
        <v>5.0</v>
      </c>
      <c r="W209" s="159">
        <v>5.0</v>
      </c>
      <c r="X209" s="161"/>
      <c r="Y209" s="161"/>
      <c r="Z209" s="161"/>
      <c r="AA209" s="161"/>
      <c r="AB209" s="161"/>
      <c r="AC209" s="159">
        <v>5.0</v>
      </c>
      <c r="AD209" s="159"/>
    </row>
    <row r="210">
      <c r="A210" s="162">
        <v>102412.0</v>
      </c>
      <c r="B210" s="163" t="s">
        <v>690</v>
      </c>
      <c r="C210" s="164" t="s">
        <v>691</v>
      </c>
      <c r="D210" s="165">
        <v>44712.0</v>
      </c>
      <c r="E210" s="164" t="s">
        <v>233</v>
      </c>
      <c r="F210" s="161"/>
      <c r="G210" s="161"/>
      <c r="H210" s="159">
        <v>5.0</v>
      </c>
      <c r="I210" s="159">
        <v>5.0</v>
      </c>
      <c r="J210" s="159">
        <v>5.0</v>
      </c>
      <c r="K210" s="159">
        <v>5.0</v>
      </c>
      <c r="L210" s="159">
        <v>5.0</v>
      </c>
      <c r="M210" s="159">
        <v>5.0</v>
      </c>
      <c r="N210" s="159">
        <v>5.0</v>
      </c>
      <c r="O210" s="159">
        <v>5.0</v>
      </c>
      <c r="P210" s="159">
        <v>5.0</v>
      </c>
      <c r="Q210" s="159">
        <v>5.0</v>
      </c>
      <c r="R210" s="159">
        <v>5.0</v>
      </c>
      <c r="S210" s="159">
        <v>5.0</v>
      </c>
      <c r="T210" s="159">
        <v>5.0</v>
      </c>
      <c r="U210" s="159">
        <v>5.0</v>
      </c>
      <c r="V210" s="159">
        <v>5.0</v>
      </c>
      <c r="W210" s="159">
        <v>5.0</v>
      </c>
      <c r="X210" s="161"/>
      <c r="Y210" s="161"/>
      <c r="Z210" s="161"/>
      <c r="AA210" s="161"/>
      <c r="AB210" s="161"/>
      <c r="AC210" s="159">
        <v>5.0</v>
      </c>
      <c r="AD210" s="159"/>
    </row>
    <row r="211">
      <c r="A211" s="162">
        <v>102329.0</v>
      </c>
      <c r="B211" s="163" t="s">
        <v>692</v>
      </c>
      <c r="C211" s="164" t="s">
        <v>693</v>
      </c>
      <c r="D211" s="165">
        <v>44712.0</v>
      </c>
      <c r="E211" s="164" t="s">
        <v>141</v>
      </c>
      <c r="F211" s="161"/>
      <c r="G211" s="161"/>
      <c r="H211" s="159">
        <v>4.0</v>
      </c>
      <c r="I211" s="159">
        <v>4.5</v>
      </c>
      <c r="J211" s="159">
        <v>3.0</v>
      </c>
      <c r="K211" s="159">
        <v>4.0</v>
      </c>
      <c r="L211" s="159">
        <v>5.0</v>
      </c>
      <c r="M211" s="159">
        <v>4.1</v>
      </c>
      <c r="N211" s="159">
        <v>5.0</v>
      </c>
      <c r="O211" s="159">
        <v>5.0</v>
      </c>
      <c r="P211" s="159">
        <v>5.0</v>
      </c>
      <c r="Q211" s="159">
        <v>5.0</v>
      </c>
      <c r="R211" s="159">
        <v>5.0</v>
      </c>
      <c r="S211" s="159">
        <v>5.0</v>
      </c>
      <c r="T211" s="159">
        <v>5.0</v>
      </c>
      <c r="U211" s="159">
        <v>5.0</v>
      </c>
      <c r="V211" s="159">
        <v>5.0</v>
      </c>
      <c r="W211" s="159">
        <v>5.0</v>
      </c>
      <c r="X211" s="161"/>
      <c r="Y211" s="161"/>
      <c r="Z211" s="161"/>
      <c r="AA211" s="161"/>
      <c r="AB211" s="161"/>
      <c r="AC211" s="159">
        <v>4.7</v>
      </c>
      <c r="AD211" s="159"/>
    </row>
    <row r="212">
      <c r="A212" s="162">
        <v>102375.0</v>
      </c>
      <c r="B212" s="163" t="s">
        <v>694</v>
      </c>
      <c r="C212" s="164" t="s">
        <v>695</v>
      </c>
      <c r="D212" s="165">
        <v>44712.0</v>
      </c>
      <c r="E212" s="164" t="s">
        <v>141</v>
      </c>
      <c r="F212" s="161"/>
      <c r="G212" s="161"/>
      <c r="H212" s="159">
        <v>4.5</v>
      </c>
      <c r="I212" s="159">
        <v>4.5</v>
      </c>
      <c r="J212" s="159">
        <v>3.0</v>
      </c>
      <c r="K212" s="159">
        <v>4.0</v>
      </c>
      <c r="L212" s="159">
        <v>4.5</v>
      </c>
      <c r="M212" s="159">
        <v>4.1</v>
      </c>
      <c r="N212" s="159">
        <v>5.0</v>
      </c>
      <c r="O212" s="159">
        <v>5.0</v>
      </c>
      <c r="P212" s="159">
        <v>5.0</v>
      </c>
      <c r="Q212" s="159">
        <v>5.0</v>
      </c>
      <c r="R212" s="159">
        <v>5.0</v>
      </c>
      <c r="S212" s="159">
        <v>5.0</v>
      </c>
      <c r="T212" s="159">
        <v>5.0</v>
      </c>
      <c r="U212" s="159">
        <v>5.0</v>
      </c>
      <c r="V212" s="159">
        <v>5.0</v>
      </c>
      <c r="W212" s="159">
        <v>5.0</v>
      </c>
      <c r="X212" s="161"/>
      <c r="Y212" s="161"/>
      <c r="Z212" s="161"/>
      <c r="AA212" s="161"/>
      <c r="AB212" s="161"/>
      <c r="AC212" s="159">
        <v>4.7</v>
      </c>
      <c r="AD212" s="159"/>
    </row>
    <row r="213">
      <c r="A213" s="162">
        <v>102379.0</v>
      </c>
      <c r="B213" s="163" t="s">
        <v>696</v>
      </c>
      <c r="C213" s="164" t="s">
        <v>697</v>
      </c>
      <c r="D213" s="165">
        <v>44712.0</v>
      </c>
      <c r="E213" s="164" t="s">
        <v>141</v>
      </c>
      <c r="F213" s="161"/>
      <c r="G213" s="161"/>
      <c r="H213" s="159">
        <v>4.0</v>
      </c>
      <c r="I213" s="159">
        <v>4.5</v>
      </c>
      <c r="J213" s="159">
        <v>3.0</v>
      </c>
      <c r="K213" s="159">
        <v>4.5</v>
      </c>
      <c r="L213" s="159">
        <v>4.5</v>
      </c>
      <c r="M213" s="159">
        <v>4.1</v>
      </c>
      <c r="N213" s="159">
        <v>5.0</v>
      </c>
      <c r="O213" s="159">
        <v>5.0</v>
      </c>
      <c r="P213" s="159">
        <v>5.0</v>
      </c>
      <c r="Q213" s="159">
        <v>5.0</v>
      </c>
      <c r="R213" s="159">
        <v>5.0</v>
      </c>
      <c r="S213" s="159">
        <v>5.0</v>
      </c>
      <c r="T213" s="159">
        <v>5.0</v>
      </c>
      <c r="U213" s="159">
        <v>5.0</v>
      </c>
      <c r="V213" s="159">
        <v>5.0</v>
      </c>
      <c r="W213" s="159">
        <v>5.0</v>
      </c>
      <c r="X213" s="161"/>
      <c r="Y213" s="161"/>
      <c r="Z213" s="161"/>
      <c r="AA213" s="161"/>
      <c r="AB213" s="161"/>
      <c r="AC213" s="159">
        <v>4.7</v>
      </c>
      <c r="AD213" s="159"/>
    </row>
    <row r="214">
      <c r="A214" s="162">
        <v>102271.0</v>
      </c>
      <c r="B214" s="163" t="s">
        <v>698</v>
      </c>
      <c r="C214" s="164" t="s">
        <v>699</v>
      </c>
      <c r="D214" s="165">
        <v>44712.0</v>
      </c>
      <c r="E214" s="164" t="s">
        <v>312</v>
      </c>
      <c r="F214" s="161"/>
      <c r="G214" s="161"/>
      <c r="H214" s="159">
        <v>4.0</v>
      </c>
      <c r="I214" s="159">
        <v>4.0</v>
      </c>
      <c r="J214" s="159">
        <v>5.0</v>
      </c>
      <c r="K214" s="159">
        <v>5.0</v>
      </c>
      <c r="L214" s="159">
        <v>4.0</v>
      </c>
      <c r="M214" s="159">
        <v>4.4</v>
      </c>
      <c r="N214" s="159">
        <v>4.0</v>
      </c>
      <c r="O214" s="159">
        <v>4.0</v>
      </c>
      <c r="P214" s="159">
        <v>5.0</v>
      </c>
      <c r="Q214" s="159">
        <v>5.0</v>
      </c>
      <c r="R214" s="159">
        <v>4.5</v>
      </c>
      <c r="S214" s="159">
        <v>4.0</v>
      </c>
      <c r="T214" s="159">
        <v>4.0</v>
      </c>
      <c r="U214" s="159">
        <v>5.0</v>
      </c>
      <c r="V214" s="159">
        <v>5.0</v>
      </c>
      <c r="W214" s="159">
        <v>4.5</v>
      </c>
      <c r="X214" s="161"/>
      <c r="Y214" s="161"/>
      <c r="Z214" s="161"/>
      <c r="AA214" s="161"/>
      <c r="AB214" s="161"/>
      <c r="AC214" s="159">
        <v>4.466666666666667</v>
      </c>
      <c r="AD214" s="159"/>
    </row>
    <row r="215">
      <c r="A215" s="162">
        <v>102460.0</v>
      </c>
      <c r="B215" s="163" t="s">
        <v>700</v>
      </c>
      <c r="C215" s="164" t="s">
        <v>701</v>
      </c>
      <c r="D215" s="165">
        <v>44713.0</v>
      </c>
      <c r="E215" s="164" t="s">
        <v>522</v>
      </c>
      <c r="F215" s="161"/>
      <c r="G215" s="161"/>
      <c r="H215" s="159">
        <v>5.0</v>
      </c>
      <c r="I215" s="159">
        <v>5.0</v>
      </c>
      <c r="J215" s="159">
        <v>5.0</v>
      </c>
      <c r="K215" s="159">
        <v>5.0</v>
      </c>
      <c r="L215" s="159">
        <v>5.0</v>
      </c>
      <c r="M215" s="159">
        <v>5.0</v>
      </c>
      <c r="N215" s="159">
        <v>5.0</v>
      </c>
      <c r="O215" s="159">
        <v>5.0</v>
      </c>
      <c r="P215" s="159">
        <v>5.0</v>
      </c>
      <c r="Q215" s="159">
        <v>5.0</v>
      </c>
      <c r="R215" s="159">
        <v>5.0</v>
      </c>
      <c r="S215" s="159">
        <v>5.0</v>
      </c>
      <c r="T215" s="159">
        <v>5.0</v>
      </c>
      <c r="U215" s="159">
        <v>5.0</v>
      </c>
      <c r="V215" s="159">
        <v>5.0</v>
      </c>
      <c r="W215" s="159">
        <v>5.0</v>
      </c>
      <c r="X215" s="161"/>
      <c r="Y215" s="161"/>
      <c r="Z215" s="161"/>
      <c r="AA215" s="161"/>
      <c r="AB215" s="161"/>
      <c r="AC215" s="159">
        <v>5.0</v>
      </c>
      <c r="AD215" s="159"/>
    </row>
    <row r="216">
      <c r="A216" s="162">
        <v>102436.0</v>
      </c>
      <c r="B216" s="163" t="s">
        <v>702</v>
      </c>
      <c r="C216" s="164" t="s">
        <v>703</v>
      </c>
      <c r="D216" s="165">
        <v>44714.0</v>
      </c>
      <c r="E216" s="164" t="s">
        <v>704</v>
      </c>
      <c r="F216" s="161"/>
      <c r="G216" s="161"/>
      <c r="H216" s="159">
        <v>5.0</v>
      </c>
      <c r="I216" s="159">
        <v>5.0</v>
      </c>
      <c r="J216" s="159">
        <v>5.0</v>
      </c>
      <c r="K216" s="159">
        <v>5.0</v>
      </c>
      <c r="L216" s="159">
        <v>5.0</v>
      </c>
      <c r="M216" s="159">
        <v>5.0</v>
      </c>
      <c r="N216" s="159">
        <v>5.0</v>
      </c>
      <c r="O216" s="159">
        <v>5.0</v>
      </c>
      <c r="P216" s="159">
        <v>5.0</v>
      </c>
      <c r="Q216" s="159">
        <v>5.0</v>
      </c>
      <c r="R216" s="159">
        <v>5.0</v>
      </c>
      <c r="S216" s="159">
        <v>5.0</v>
      </c>
      <c r="T216" s="159">
        <v>5.0</v>
      </c>
      <c r="U216" s="159">
        <v>5.0</v>
      </c>
      <c r="V216" s="159">
        <v>5.0</v>
      </c>
      <c r="W216" s="159">
        <v>5.0</v>
      </c>
      <c r="X216" s="161"/>
      <c r="Y216" s="161"/>
      <c r="Z216" s="161"/>
      <c r="AA216" s="161"/>
      <c r="AB216" s="161"/>
      <c r="AC216" s="159">
        <v>5.0</v>
      </c>
      <c r="AD216" s="159"/>
    </row>
    <row r="217">
      <c r="A217" s="162">
        <v>102449.0</v>
      </c>
      <c r="B217" s="163" t="s">
        <v>705</v>
      </c>
      <c r="C217" s="164" t="s">
        <v>706</v>
      </c>
      <c r="D217" s="165">
        <v>44714.0</v>
      </c>
      <c r="E217" s="164" t="s">
        <v>51</v>
      </c>
      <c r="F217" s="161"/>
      <c r="G217" s="161"/>
      <c r="H217" s="159">
        <v>5.0</v>
      </c>
      <c r="I217" s="159">
        <v>5.0</v>
      </c>
      <c r="J217" s="159">
        <v>5.0</v>
      </c>
      <c r="K217" s="159">
        <v>5.0</v>
      </c>
      <c r="L217" s="159">
        <v>5.0</v>
      </c>
      <c r="M217" s="159">
        <v>5.0</v>
      </c>
      <c r="N217" s="159">
        <v>5.0</v>
      </c>
      <c r="O217" s="159">
        <v>5.0</v>
      </c>
      <c r="P217" s="159">
        <v>5.0</v>
      </c>
      <c r="Q217" s="159">
        <v>5.0</v>
      </c>
      <c r="R217" s="159">
        <v>5.0</v>
      </c>
      <c r="S217" s="159">
        <v>5.0</v>
      </c>
      <c r="T217" s="159">
        <v>5.0</v>
      </c>
      <c r="U217" s="159">
        <v>5.0</v>
      </c>
      <c r="V217" s="159">
        <v>5.0</v>
      </c>
      <c r="W217" s="159">
        <v>5.0</v>
      </c>
      <c r="X217" s="161"/>
      <c r="Y217" s="161"/>
      <c r="Z217" s="161"/>
      <c r="AA217" s="161"/>
      <c r="AB217" s="161"/>
      <c r="AC217" s="159">
        <v>5.0</v>
      </c>
      <c r="AD217" s="159"/>
    </row>
    <row r="218">
      <c r="A218" s="162">
        <v>102459.0</v>
      </c>
      <c r="B218" s="163" t="s">
        <v>707</v>
      </c>
      <c r="C218" s="164" t="s">
        <v>708</v>
      </c>
      <c r="D218" s="165">
        <v>44714.0</v>
      </c>
      <c r="E218" s="164" t="s">
        <v>51</v>
      </c>
      <c r="F218" s="161"/>
      <c r="G218" s="161"/>
      <c r="H218" s="159">
        <v>5.0</v>
      </c>
      <c r="I218" s="159">
        <v>5.0</v>
      </c>
      <c r="J218" s="159">
        <v>5.0</v>
      </c>
      <c r="K218" s="159">
        <v>5.0</v>
      </c>
      <c r="L218" s="159">
        <v>5.0</v>
      </c>
      <c r="M218" s="159">
        <v>5.0</v>
      </c>
      <c r="N218" s="159">
        <v>5.0</v>
      </c>
      <c r="O218" s="159">
        <v>5.0</v>
      </c>
      <c r="P218" s="159">
        <v>5.0</v>
      </c>
      <c r="Q218" s="159">
        <v>5.0</v>
      </c>
      <c r="R218" s="159">
        <v>5.0</v>
      </c>
      <c r="S218" s="159">
        <v>5.0</v>
      </c>
      <c r="T218" s="159">
        <v>5.0</v>
      </c>
      <c r="U218" s="159">
        <v>5.0</v>
      </c>
      <c r="V218" s="159">
        <v>5.0</v>
      </c>
      <c r="W218" s="159">
        <v>5.0</v>
      </c>
      <c r="X218" s="161"/>
      <c r="Y218" s="161"/>
      <c r="Z218" s="161"/>
      <c r="AA218" s="161"/>
      <c r="AB218" s="161"/>
      <c r="AC218" s="159">
        <v>5.0</v>
      </c>
      <c r="AD218" s="159"/>
    </row>
    <row r="219">
      <c r="A219" s="162">
        <v>102446.0</v>
      </c>
      <c r="B219" s="163" t="s">
        <v>709</v>
      </c>
      <c r="C219" s="164" t="s">
        <v>710</v>
      </c>
      <c r="D219" s="165">
        <v>44715.0</v>
      </c>
      <c r="E219" s="164" t="s">
        <v>295</v>
      </c>
      <c r="F219" s="161"/>
      <c r="G219" s="161"/>
      <c r="H219" s="159">
        <v>4.0</v>
      </c>
      <c r="I219" s="159">
        <v>4.0</v>
      </c>
      <c r="J219" s="159">
        <v>4.0</v>
      </c>
      <c r="K219" s="159">
        <v>4.0</v>
      </c>
      <c r="L219" s="159">
        <v>4.0</v>
      </c>
      <c r="M219" s="159">
        <v>4.0</v>
      </c>
      <c r="N219" s="159">
        <v>4.4</v>
      </c>
      <c r="O219" s="159">
        <v>4.4</v>
      </c>
      <c r="P219" s="159">
        <v>4.4</v>
      </c>
      <c r="Q219" s="159">
        <v>4.0</v>
      </c>
      <c r="R219" s="159">
        <v>4.300000000000001</v>
      </c>
      <c r="S219" s="159">
        <v>3.9</v>
      </c>
      <c r="T219" s="159">
        <v>5.0</v>
      </c>
      <c r="U219" s="159">
        <v>3.8</v>
      </c>
      <c r="V219" s="159">
        <v>4.0</v>
      </c>
      <c r="W219" s="159">
        <v>4.175</v>
      </c>
      <c r="X219" s="161"/>
      <c r="Y219" s="161"/>
      <c r="Z219" s="161"/>
      <c r="AA219" s="161"/>
      <c r="AB219" s="161"/>
      <c r="AC219" s="159">
        <v>4.158333333333334</v>
      </c>
      <c r="AD219" s="159"/>
    </row>
    <row r="220">
      <c r="A220" s="162">
        <v>102456.0</v>
      </c>
      <c r="B220" s="163" t="s">
        <v>711</v>
      </c>
      <c r="C220" s="164" t="s">
        <v>712</v>
      </c>
      <c r="D220" s="165">
        <v>44715.0</v>
      </c>
      <c r="E220" s="164" t="s">
        <v>209</v>
      </c>
      <c r="F220" s="161"/>
      <c r="G220" s="161"/>
      <c r="H220" s="159">
        <v>5.0</v>
      </c>
      <c r="I220" s="159">
        <v>5.0</v>
      </c>
      <c r="J220" s="159">
        <v>5.0</v>
      </c>
      <c r="K220" s="159">
        <v>5.0</v>
      </c>
      <c r="L220" s="159">
        <v>5.0</v>
      </c>
      <c r="M220" s="159">
        <v>5.0</v>
      </c>
      <c r="N220" s="159">
        <v>5.0</v>
      </c>
      <c r="O220" s="159">
        <v>5.0</v>
      </c>
      <c r="P220" s="159">
        <v>5.0</v>
      </c>
      <c r="Q220" s="159">
        <v>5.0</v>
      </c>
      <c r="R220" s="159">
        <v>5.0</v>
      </c>
      <c r="S220" s="159">
        <v>5.0</v>
      </c>
      <c r="T220" s="159">
        <v>5.0</v>
      </c>
      <c r="U220" s="159">
        <v>5.0</v>
      </c>
      <c r="V220" s="159">
        <v>5.0</v>
      </c>
      <c r="W220" s="159">
        <v>5.0</v>
      </c>
      <c r="X220" s="161"/>
      <c r="Y220" s="161"/>
      <c r="Z220" s="161"/>
      <c r="AA220" s="161"/>
      <c r="AB220" s="161"/>
      <c r="AC220" s="159">
        <v>5.0</v>
      </c>
      <c r="AD220" s="159"/>
    </row>
    <row r="221">
      <c r="A221" s="162">
        <v>102452.0</v>
      </c>
      <c r="B221" s="163" t="s">
        <v>713</v>
      </c>
      <c r="C221" s="164" t="s">
        <v>714</v>
      </c>
      <c r="D221" s="165">
        <v>44718.0</v>
      </c>
      <c r="E221" s="164" t="s">
        <v>51</v>
      </c>
      <c r="F221" s="161"/>
      <c r="G221" s="161"/>
      <c r="H221" s="159">
        <v>5.0</v>
      </c>
      <c r="I221" s="159">
        <v>5.0</v>
      </c>
      <c r="J221" s="159">
        <v>5.0</v>
      </c>
      <c r="K221" s="159">
        <v>5.0</v>
      </c>
      <c r="L221" s="159">
        <v>5.0</v>
      </c>
      <c r="M221" s="159">
        <v>5.0</v>
      </c>
      <c r="N221" s="159">
        <v>5.0</v>
      </c>
      <c r="O221" s="159">
        <v>5.0</v>
      </c>
      <c r="P221" s="159">
        <v>5.0</v>
      </c>
      <c r="Q221" s="159">
        <v>5.0</v>
      </c>
      <c r="R221" s="159">
        <v>5.0</v>
      </c>
      <c r="S221" s="159">
        <v>5.0</v>
      </c>
      <c r="T221" s="159">
        <v>5.0</v>
      </c>
      <c r="U221" s="159">
        <v>5.0</v>
      </c>
      <c r="V221" s="159">
        <v>5.0</v>
      </c>
      <c r="W221" s="159">
        <v>5.0</v>
      </c>
      <c r="X221" s="161"/>
      <c r="Y221" s="161"/>
      <c r="Z221" s="161"/>
      <c r="AA221" s="161"/>
      <c r="AB221" s="161"/>
      <c r="AC221" s="159">
        <v>5.0</v>
      </c>
      <c r="AD221" s="159"/>
    </row>
    <row r="222">
      <c r="A222" s="162">
        <v>102404.0</v>
      </c>
      <c r="B222" s="163" t="s">
        <v>715</v>
      </c>
      <c r="C222" s="164" t="s">
        <v>716</v>
      </c>
      <c r="D222" s="165">
        <v>44720.0</v>
      </c>
      <c r="E222" s="164" t="s">
        <v>360</v>
      </c>
      <c r="F222" s="161"/>
      <c r="G222" s="161"/>
      <c r="H222" s="159">
        <v>5.0</v>
      </c>
      <c r="I222" s="159">
        <v>5.0</v>
      </c>
      <c r="J222" s="159">
        <v>5.0</v>
      </c>
      <c r="K222" s="159">
        <v>5.0</v>
      </c>
      <c r="L222" s="159">
        <v>5.0</v>
      </c>
      <c r="M222" s="159">
        <v>5.0</v>
      </c>
      <c r="N222" s="159">
        <v>5.0</v>
      </c>
      <c r="O222" s="159">
        <v>5.0</v>
      </c>
      <c r="P222" s="159">
        <v>5.0</v>
      </c>
      <c r="Q222" s="159">
        <v>5.0</v>
      </c>
      <c r="R222" s="159">
        <v>5.0</v>
      </c>
      <c r="S222" s="159">
        <v>5.0</v>
      </c>
      <c r="T222" s="159">
        <v>5.0</v>
      </c>
      <c r="U222" s="159">
        <v>5.0</v>
      </c>
      <c r="V222" s="159">
        <v>5.0</v>
      </c>
      <c r="W222" s="159">
        <v>5.0</v>
      </c>
      <c r="X222" s="161"/>
      <c r="Y222" s="161"/>
      <c r="Z222" s="161"/>
      <c r="AA222" s="161"/>
      <c r="AB222" s="161"/>
      <c r="AC222" s="159">
        <v>5.0</v>
      </c>
      <c r="AD222" s="159"/>
    </row>
    <row r="223">
      <c r="A223" s="162">
        <v>102426.0</v>
      </c>
      <c r="B223" s="163" t="s">
        <v>717</v>
      </c>
      <c r="C223" s="164" t="s">
        <v>718</v>
      </c>
      <c r="D223" s="165">
        <v>44720.0</v>
      </c>
      <c r="E223" s="164" t="s">
        <v>360</v>
      </c>
      <c r="F223" s="161"/>
      <c r="G223" s="161"/>
      <c r="H223" s="159">
        <v>5.0</v>
      </c>
      <c r="I223" s="159">
        <v>5.0</v>
      </c>
      <c r="J223" s="159">
        <v>5.0</v>
      </c>
      <c r="K223" s="159">
        <v>5.0</v>
      </c>
      <c r="L223" s="159">
        <v>5.0</v>
      </c>
      <c r="M223" s="159">
        <v>5.0</v>
      </c>
      <c r="N223" s="159">
        <v>5.0</v>
      </c>
      <c r="O223" s="159">
        <v>5.0</v>
      </c>
      <c r="P223" s="159">
        <v>5.0</v>
      </c>
      <c r="Q223" s="159">
        <v>5.0</v>
      </c>
      <c r="R223" s="159">
        <v>5.0</v>
      </c>
      <c r="S223" s="159">
        <v>5.0</v>
      </c>
      <c r="T223" s="159">
        <v>5.0</v>
      </c>
      <c r="U223" s="159">
        <v>5.0</v>
      </c>
      <c r="V223" s="159">
        <v>5.0</v>
      </c>
      <c r="W223" s="159">
        <v>5.0</v>
      </c>
      <c r="X223" s="161"/>
      <c r="Y223" s="161"/>
      <c r="Z223" s="161"/>
      <c r="AA223" s="161"/>
      <c r="AB223" s="161"/>
      <c r="AC223" s="159">
        <v>5.0</v>
      </c>
      <c r="AD223" s="159"/>
    </row>
    <row r="224">
      <c r="A224" s="162">
        <v>102437.0</v>
      </c>
      <c r="B224" s="163" t="s">
        <v>719</v>
      </c>
      <c r="C224" s="164" t="s">
        <v>720</v>
      </c>
      <c r="D224" s="138">
        <v>44720.0</v>
      </c>
      <c r="E224" s="164" t="s">
        <v>254</v>
      </c>
      <c r="F224" s="161"/>
      <c r="G224" s="161"/>
      <c r="H224" s="159">
        <v>5.0</v>
      </c>
      <c r="I224" s="159">
        <v>5.0</v>
      </c>
      <c r="J224" s="159">
        <v>5.0</v>
      </c>
      <c r="K224" s="159">
        <v>5.0</v>
      </c>
      <c r="L224" s="159">
        <v>5.0</v>
      </c>
      <c r="M224" s="159">
        <v>5.0</v>
      </c>
      <c r="N224" s="159">
        <v>5.0</v>
      </c>
      <c r="O224" s="159">
        <v>5.0</v>
      </c>
      <c r="P224" s="159">
        <v>5.0</v>
      </c>
      <c r="Q224" s="159">
        <v>5.0</v>
      </c>
      <c r="R224" s="159">
        <v>5.0</v>
      </c>
      <c r="S224" s="159">
        <v>5.0</v>
      </c>
      <c r="T224" s="159">
        <v>5.0</v>
      </c>
      <c r="U224" s="159">
        <v>5.0</v>
      </c>
      <c r="V224" s="159">
        <v>5.0</v>
      </c>
      <c r="W224" s="159">
        <v>5.0</v>
      </c>
      <c r="X224" s="161"/>
      <c r="Y224" s="161"/>
      <c r="Z224" s="161"/>
      <c r="AA224" s="161"/>
      <c r="AB224" s="161"/>
      <c r="AC224" s="159">
        <v>5.0</v>
      </c>
      <c r="AD224" s="159"/>
    </row>
    <row r="225">
      <c r="A225" s="162">
        <v>102444.0</v>
      </c>
      <c r="B225" s="163" t="s">
        <v>721</v>
      </c>
      <c r="C225" s="164" t="s">
        <v>722</v>
      </c>
      <c r="D225" s="165">
        <v>44721.0</v>
      </c>
      <c r="E225" s="164" t="s">
        <v>625</v>
      </c>
      <c r="F225" s="161"/>
      <c r="G225" s="161"/>
      <c r="H225" s="159">
        <v>5.0</v>
      </c>
      <c r="I225" s="159">
        <v>5.0</v>
      </c>
      <c r="J225" s="159">
        <v>5.0</v>
      </c>
      <c r="K225" s="159">
        <v>5.0</v>
      </c>
      <c r="L225" s="159">
        <v>5.0</v>
      </c>
      <c r="M225" s="159">
        <v>5.0</v>
      </c>
      <c r="N225" s="159">
        <v>5.0</v>
      </c>
      <c r="O225" s="159">
        <v>5.0</v>
      </c>
      <c r="P225" s="159">
        <v>5.0</v>
      </c>
      <c r="Q225" s="159">
        <v>5.0</v>
      </c>
      <c r="R225" s="159">
        <v>5.0</v>
      </c>
      <c r="S225" s="159">
        <v>5.0</v>
      </c>
      <c r="T225" s="159">
        <v>5.0</v>
      </c>
      <c r="U225" s="159">
        <v>5.0</v>
      </c>
      <c r="V225" s="171"/>
      <c r="W225" s="159">
        <v>5.0</v>
      </c>
      <c r="X225" s="161"/>
      <c r="Y225" s="161"/>
      <c r="Z225" s="161"/>
      <c r="AA225" s="161"/>
      <c r="AB225" s="161"/>
      <c r="AC225" s="159">
        <v>5.0</v>
      </c>
      <c r="AD225" s="159"/>
    </row>
    <row r="226">
      <c r="A226" s="162">
        <v>102448.0</v>
      </c>
      <c r="B226" s="163" t="s">
        <v>723</v>
      </c>
      <c r="C226" s="164" t="s">
        <v>724</v>
      </c>
      <c r="D226" s="165">
        <v>44721.0</v>
      </c>
      <c r="E226" s="164" t="s">
        <v>87</v>
      </c>
      <c r="F226" s="161"/>
      <c r="G226" s="161"/>
      <c r="H226" s="159">
        <v>5.0</v>
      </c>
      <c r="I226" s="159">
        <v>5.0</v>
      </c>
      <c r="J226" s="159">
        <v>5.0</v>
      </c>
      <c r="K226" s="159">
        <v>5.0</v>
      </c>
      <c r="L226" s="159">
        <v>5.0</v>
      </c>
      <c r="M226" s="159">
        <v>5.0</v>
      </c>
      <c r="N226" s="159">
        <v>5.0</v>
      </c>
      <c r="O226" s="159">
        <v>5.0</v>
      </c>
      <c r="P226" s="159">
        <v>5.0</v>
      </c>
      <c r="Q226" s="159">
        <v>5.0</v>
      </c>
      <c r="R226" s="159">
        <v>5.0</v>
      </c>
      <c r="S226" s="159">
        <v>5.0</v>
      </c>
      <c r="T226" s="159">
        <v>5.0</v>
      </c>
      <c r="U226" s="159">
        <v>5.0</v>
      </c>
      <c r="V226" s="159">
        <v>5.0</v>
      </c>
      <c r="W226" s="159">
        <v>5.0</v>
      </c>
      <c r="X226" s="161"/>
      <c r="Y226" s="161"/>
      <c r="Z226" s="161"/>
      <c r="AA226" s="161"/>
      <c r="AB226" s="161"/>
      <c r="AC226" s="159">
        <v>5.0</v>
      </c>
      <c r="AD226" s="159"/>
    </row>
    <row r="227">
      <c r="A227" s="162">
        <v>102378.0</v>
      </c>
      <c r="B227" s="163" t="s">
        <v>725</v>
      </c>
      <c r="C227" s="164" t="s">
        <v>726</v>
      </c>
      <c r="D227" s="165">
        <v>44723.0</v>
      </c>
      <c r="E227" s="164" t="s">
        <v>193</v>
      </c>
      <c r="F227" s="161"/>
      <c r="G227" s="161"/>
      <c r="H227" s="159">
        <v>4.5</v>
      </c>
      <c r="I227" s="159">
        <v>4.5</v>
      </c>
      <c r="J227" s="159">
        <v>4.0</v>
      </c>
      <c r="K227" s="159">
        <v>4.5</v>
      </c>
      <c r="L227" s="159">
        <v>5.0</v>
      </c>
      <c r="M227" s="159">
        <v>4.5</v>
      </c>
      <c r="N227" s="159">
        <v>5.0</v>
      </c>
      <c r="O227" s="159">
        <v>5.0</v>
      </c>
      <c r="P227" s="159">
        <v>5.0</v>
      </c>
      <c r="Q227" s="159">
        <v>5.0</v>
      </c>
      <c r="R227" s="159">
        <v>5.0</v>
      </c>
      <c r="S227" s="159">
        <v>5.0</v>
      </c>
      <c r="T227" s="159">
        <v>5.0</v>
      </c>
      <c r="U227" s="159">
        <v>5.0</v>
      </c>
      <c r="V227" s="159">
        <v>5.0</v>
      </c>
      <c r="W227" s="159">
        <v>5.0</v>
      </c>
      <c r="X227" s="161"/>
      <c r="Y227" s="161"/>
      <c r="Z227" s="161"/>
      <c r="AA227" s="161"/>
      <c r="AB227" s="161"/>
      <c r="AC227" s="159">
        <v>4.833333333333333</v>
      </c>
      <c r="AD227" s="159"/>
    </row>
    <row r="228">
      <c r="A228" s="162">
        <v>102328.0</v>
      </c>
      <c r="B228" s="163" t="s">
        <v>727</v>
      </c>
      <c r="C228" s="164" t="s">
        <v>728</v>
      </c>
      <c r="D228" s="165">
        <v>44727.0</v>
      </c>
      <c r="E228" s="164" t="s">
        <v>360</v>
      </c>
      <c r="F228" s="161"/>
      <c r="G228" s="161"/>
      <c r="H228" s="159">
        <v>5.0</v>
      </c>
      <c r="I228" s="159">
        <v>5.0</v>
      </c>
      <c r="J228" s="159">
        <v>5.0</v>
      </c>
      <c r="K228" s="159">
        <v>5.0</v>
      </c>
      <c r="L228" s="159">
        <v>5.0</v>
      </c>
      <c r="M228" s="159">
        <v>5.0</v>
      </c>
      <c r="N228" s="159">
        <v>5.0</v>
      </c>
      <c r="O228" s="159">
        <v>5.0</v>
      </c>
      <c r="P228" s="159">
        <v>5.0</v>
      </c>
      <c r="Q228" s="159">
        <v>5.0</v>
      </c>
      <c r="R228" s="159">
        <v>5.0</v>
      </c>
      <c r="S228" s="159">
        <v>5.0</v>
      </c>
      <c r="T228" s="159">
        <v>5.0</v>
      </c>
      <c r="U228" s="159">
        <v>5.0</v>
      </c>
      <c r="V228" s="159">
        <v>5.0</v>
      </c>
      <c r="W228" s="159">
        <v>5.0</v>
      </c>
      <c r="X228" s="161"/>
      <c r="Y228" s="161"/>
      <c r="Z228" s="161"/>
      <c r="AA228" s="161"/>
      <c r="AB228" s="161"/>
      <c r="AC228" s="159">
        <v>5.0</v>
      </c>
      <c r="AD228" s="159"/>
    </row>
    <row r="229">
      <c r="A229" s="162">
        <v>102432.0</v>
      </c>
      <c r="B229" s="163" t="s">
        <v>729</v>
      </c>
      <c r="C229" s="164" t="s">
        <v>730</v>
      </c>
      <c r="D229" s="165">
        <v>44727.0</v>
      </c>
      <c r="E229" s="164" t="s">
        <v>295</v>
      </c>
      <c r="F229" s="161"/>
      <c r="G229" s="161"/>
      <c r="H229" s="159">
        <v>5.0</v>
      </c>
      <c r="I229" s="159">
        <v>5.0</v>
      </c>
      <c r="J229" s="159">
        <v>5.0</v>
      </c>
      <c r="K229" s="159">
        <v>5.0</v>
      </c>
      <c r="L229" s="159">
        <v>5.0</v>
      </c>
      <c r="M229" s="159">
        <v>5.0</v>
      </c>
      <c r="N229" s="159">
        <v>5.0</v>
      </c>
      <c r="O229" s="159">
        <v>5.0</v>
      </c>
      <c r="P229" s="159">
        <v>5.0</v>
      </c>
      <c r="Q229" s="159">
        <v>5.0</v>
      </c>
      <c r="R229" s="159">
        <v>5.0</v>
      </c>
      <c r="S229" s="159">
        <v>5.0</v>
      </c>
      <c r="T229" s="159">
        <v>5.0</v>
      </c>
      <c r="U229" s="159">
        <v>5.0</v>
      </c>
      <c r="V229" s="159">
        <v>5.0</v>
      </c>
      <c r="W229" s="159">
        <v>5.0</v>
      </c>
      <c r="X229" s="161"/>
      <c r="Y229" s="161"/>
      <c r="Z229" s="161"/>
      <c r="AA229" s="161"/>
      <c r="AB229" s="161"/>
      <c r="AC229" s="159">
        <v>5.0</v>
      </c>
      <c r="AD229" s="159"/>
    </row>
    <row r="230">
      <c r="A230" s="162">
        <v>102328.0</v>
      </c>
      <c r="B230" s="163" t="s">
        <v>731</v>
      </c>
      <c r="C230" s="164" t="s">
        <v>728</v>
      </c>
      <c r="D230" s="165">
        <v>44727.0</v>
      </c>
      <c r="E230" s="164" t="s">
        <v>295</v>
      </c>
      <c r="F230" s="161"/>
      <c r="G230" s="161"/>
      <c r="H230" s="159">
        <v>5.0</v>
      </c>
      <c r="I230" s="159">
        <v>5.0</v>
      </c>
      <c r="J230" s="159">
        <v>5.0</v>
      </c>
      <c r="K230" s="159">
        <v>5.0</v>
      </c>
      <c r="L230" s="159">
        <v>5.0</v>
      </c>
      <c r="M230" s="159">
        <v>5.0</v>
      </c>
      <c r="N230" s="159">
        <v>5.0</v>
      </c>
      <c r="O230" s="159">
        <v>5.0</v>
      </c>
      <c r="P230" s="159">
        <v>5.0</v>
      </c>
      <c r="Q230" s="159">
        <v>5.0</v>
      </c>
      <c r="R230" s="159">
        <v>5.0</v>
      </c>
      <c r="S230" s="159">
        <v>5.0</v>
      </c>
      <c r="T230" s="159">
        <v>5.0</v>
      </c>
      <c r="U230" s="159">
        <v>5.0</v>
      </c>
      <c r="V230" s="159">
        <v>5.0</v>
      </c>
      <c r="W230" s="159">
        <v>5.0</v>
      </c>
      <c r="X230" s="161"/>
      <c r="Y230" s="161"/>
      <c r="Z230" s="161"/>
      <c r="AA230" s="161"/>
      <c r="AB230" s="161"/>
      <c r="AC230" s="159">
        <v>5.0</v>
      </c>
      <c r="AD230" s="159"/>
    </row>
    <row r="231">
      <c r="A231" s="162">
        <v>102432.0</v>
      </c>
      <c r="B231" s="163" t="s">
        <v>732</v>
      </c>
      <c r="C231" s="164" t="s">
        <v>730</v>
      </c>
      <c r="D231" s="165">
        <v>44727.0</v>
      </c>
      <c r="E231" s="164" t="s">
        <v>295</v>
      </c>
      <c r="F231" s="161"/>
      <c r="G231" s="161"/>
      <c r="H231" s="159">
        <v>5.0</v>
      </c>
      <c r="I231" s="159">
        <v>5.0</v>
      </c>
      <c r="J231" s="159">
        <v>5.0</v>
      </c>
      <c r="K231" s="159">
        <v>5.0</v>
      </c>
      <c r="L231" s="159">
        <v>5.0</v>
      </c>
      <c r="M231" s="159">
        <v>5.0</v>
      </c>
      <c r="N231" s="159">
        <v>5.0</v>
      </c>
      <c r="O231" s="159">
        <v>5.0</v>
      </c>
      <c r="P231" s="159">
        <v>5.0</v>
      </c>
      <c r="Q231" s="159">
        <v>5.0</v>
      </c>
      <c r="R231" s="159">
        <v>5.0</v>
      </c>
      <c r="S231" s="159">
        <v>5.0</v>
      </c>
      <c r="T231" s="159">
        <v>5.0</v>
      </c>
      <c r="U231" s="159">
        <v>5.0</v>
      </c>
      <c r="V231" s="159">
        <v>5.0</v>
      </c>
      <c r="W231" s="159">
        <v>5.0</v>
      </c>
      <c r="X231" s="161"/>
      <c r="Y231" s="161"/>
      <c r="Z231" s="161"/>
      <c r="AA231" s="161"/>
      <c r="AB231" s="161"/>
      <c r="AC231" s="159">
        <v>5.0</v>
      </c>
      <c r="AD231" s="159"/>
    </row>
    <row r="232">
      <c r="A232" s="162">
        <v>102465.0</v>
      </c>
      <c r="B232" s="163" t="s">
        <v>733</v>
      </c>
      <c r="C232" s="164" t="s">
        <v>734</v>
      </c>
      <c r="D232" s="165">
        <v>44728.0</v>
      </c>
      <c r="E232" s="164" t="s">
        <v>209</v>
      </c>
      <c r="F232" s="161"/>
      <c r="G232" s="161"/>
      <c r="H232" s="159">
        <v>5.0</v>
      </c>
      <c r="I232" s="159">
        <v>5.0</v>
      </c>
      <c r="J232" s="159">
        <v>5.0</v>
      </c>
      <c r="K232" s="159">
        <v>5.0</v>
      </c>
      <c r="L232" s="159">
        <v>5.0</v>
      </c>
      <c r="M232" s="159">
        <v>5.0</v>
      </c>
      <c r="N232" s="159">
        <v>5.0</v>
      </c>
      <c r="O232" s="159">
        <v>5.0</v>
      </c>
      <c r="P232" s="159">
        <v>5.0</v>
      </c>
      <c r="Q232" s="159">
        <v>5.0</v>
      </c>
      <c r="R232" s="159">
        <v>5.0</v>
      </c>
      <c r="S232" s="159">
        <v>5.0</v>
      </c>
      <c r="T232" s="159">
        <v>5.0</v>
      </c>
      <c r="U232" s="159">
        <v>5.0</v>
      </c>
      <c r="V232" s="159">
        <v>5.0</v>
      </c>
      <c r="W232" s="159">
        <v>5.0</v>
      </c>
      <c r="X232" s="161"/>
      <c r="Y232" s="161"/>
      <c r="Z232" s="161"/>
      <c r="AA232" s="161"/>
      <c r="AB232" s="161"/>
      <c r="AC232" s="159">
        <v>5.0</v>
      </c>
      <c r="AD232" s="159"/>
    </row>
    <row r="233">
      <c r="A233" s="162">
        <v>102453.0</v>
      </c>
      <c r="B233" s="163" t="s">
        <v>735</v>
      </c>
      <c r="C233" s="164" t="s">
        <v>736</v>
      </c>
      <c r="D233" s="165">
        <v>44729.0</v>
      </c>
      <c r="E233" s="164" t="s">
        <v>214</v>
      </c>
      <c r="F233" s="161"/>
      <c r="G233" s="161"/>
      <c r="H233" s="159">
        <v>5.0</v>
      </c>
      <c r="I233" s="159">
        <v>5.0</v>
      </c>
      <c r="J233" s="159">
        <v>5.0</v>
      </c>
      <c r="K233" s="159">
        <v>5.0</v>
      </c>
      <c r="L233" s="159">
        <v>5.0</v>
      </c>
      <c r="M233" s="159">
        <v>5.0</v>
      </c>
      <c r="N233" s="159">
        <v>5.0</v>
      </c>
      <c r="O233" s="159">
        <v>5.0</v>
      </c>
      <c r="P233" s="159">
        <v>5.0</v>
      </c>
      <c r="Q233" s="159">
        <v>5.0</v>
      </c>
      <c r="R233" s="159">
        <v>5.0</v>
      </c>
      <c r="S233" s="159">
        <v>5.0</v>
      </c>
      <c r="T233" s="159">
        <v>5.0</v>
      </c>
      <c r="U233" s="159">
        <v>5.0</v>
      </c>
      <c r="V233" s="159">
        <v>5.0</v>
      </c>
      <c r="W233" s="159">
        <v>5.0</v>
      </c>
      <c r="X233" s="161"/>
      <c r="Y233" s="161"/>
      <c r="Z233" s="161"/>
      <c r="AA233" s="161"/>
      <c r="AB233" s="161"/>
      <c r="AC233" s="159">
        <v>5.0</v>
      </c>
      <c r="AD233" s="159"/>
    </row>
    <row r="234">
      <c r="A234" s="162">
        <v>102345.0</v>
      </c>
      <c r="B234" s="163" t="s">
        <v>737</v>
      </c>
      <c r="C234" s="164" t="s">
        <v>738</v>
      </c>
      <c r="D234" s="165">
        <v>44730.0</v>
      </c>
      <c r="E234" s="164" t="s">
        <v>495</v>
      </c>
      <c r="F234" s="161"/>
      <c r="G234" s="161"/>
      <c r="H234" s="159">
        <v>5.0</v>
      </c>
      <c r="I234" s="159">
        <v>5.0</v>
      </c>
      <c r="J234" s="159">
        <v>5.0</v>
      </c>
      <c r="K234" s="159">
        <v>5.0</v>
      </c>
      <c r="L234" s="159">
        <v>5.0</v>
      </c>
      <c r="M234" s="159">
        <v>5.0</v>
      </c>
      <c r="N234" s="159">
        <v>5.0</v>
      </c>
      <c r="O234" s="159">
        <v>5.0</v>
      </c>
      <c r="P234" s="159">
        <v>5.0</v>
      </c>
      <c r="Q234" s="159">
        <v>5.0</v>
      </c>
      <c r="R234" s="159">
        <v>5.0</v>
      </c>
      <c r="S234" s="159">
        <v>5.0</v>
      </c>
      <c r="T234" s="159">
        <v>5.0</v>
      </c>
      <c r="U234" s="159">
        <v>5.0</v>
      </c>
      <c r="V234" s="159">
        <v>5.0</v>
      </c>
      <c r="W234" s="159">
        <v>5.0</v>
      </c>
      <c r="X234" s="161"/>
      <c r="Y234" s="161"/>
      <c r="Z234" s="161"/>
      <c r="AA234" s="161"/>
      <c r="AB234" s="161"/>
      <c r="AC234" s="159">
        <v>5.0</v>
      </c>
      <c r="AD234" s="159"/>
    </row>
    <row r="235">
      <c r="A235" s="162">
        <v>102507.0</v>
      </c>
      <c r="B235" s="163" t="s">
        <v>739</v>
      </c>
      <c r="C235" s="164" t="s">
        <v>740</v>
      </c>
      <c r="D235" s="165">
        <v>44732.0</v>
      </c>
      <c r="E235" s="164" t="s">
        <v>95</v>
      </c>
      <c r="F235" s="161"/>
      <c r="G235" s="161"/>
      <c r="H235" s="159">
        <v>4.0</v>
      </c>
      <c r="I235" s="159">
        <v>4.0</v>
      </c>
      <c r="J235" s="159">
        <v>4.0</v>
      </c>
      <c r="K235" s="159">
        <v>4.0</v>
      </c>
      <c r="L235" s="159">
        <v>4.0</v>
      </c>
      <c r="M235" s="159">
        <v>4.0</v>
      </c>
      <c r="N235" s="159">
        <v>4.0</v>
      </c>
      <c r="O235" s="159">
        <v>4.0</v>
      </c>
      <c r="P235" s="159">
        <v>4.0</v>
      </c>
      <c r="Q235" s="159">
        <v>4.0</v>
      </c>
      <c r="R235" s="159">
        <v>4.0</v>
      </c>
      <c r="S235" s="159">
        <v>4.0</v>
      </c>
      <c r="T235" s="159">
        <v>4.0</v>
      </c>
      <c r="U235" s="159">
        <v>4.0</v>
      </c>
      <c r="V235" s="159">
        <v>4.0</v>
      </c>
      <c r="W235" s="159">
        <v>4.0</v>
      </c>
      <c r="X235" s="161"/>
      <c r="Y235" s="161"/>
      <c r="Z235" s="161"/>
      <c r="AA235" s="161"/>
      <c r="AB235" s="161"/>
      <c r="AC235" s="159">
        <v>4.0</v>
      </c>
      <c r="AD235" s="159"/>
    </row>
    <row r="236">
      <c r="A236" s="162">
        <v>102512.0</v>
      </c>
      <c r="B236" s="163" t="s">
        <v>741</v>
      </c>
      <c r="C236" s="164" t="s">
        <v>549</v>
      </c>
      <c r="D236" s="165">
        <v>44736.0</v>
      </c>
      <c r="E236" s="164" t="s">
        <v>522</v>
      </c>
      <c r="F236" s="161"/>
      <c r="G236" s="161"/>
      <c r="H236" s="159">
        <v>5.0</v>
      </c>
      <c r="I236" s="159">
        <v>4.0</v>
      </c>
      <c r="J236" s="159">
        <v>4.0</v>
      </c>
      <c r="K236" s="159">
        <v>4.0</v>
      </c>
      <c r="L236" s="159">
        <v>4.0</v>
      </c>
      <c r="M236" s="159">
        <v>4.2</v>
      </c>
      <c r="N236" s="159">
        <v>5.0</v>
      </c>
      <c r="O236" s="159">
        <v>4.0</v>
      </c>
      <c r="P236" s="159">
        <v>4.0</v>
      </c>
      <c r="Q236" s="159">
        <v>4.0</v>
      </c>
      <c r="R236" s="159">
        <v>4.25</v>
      </c>
      <c r="S236" s="159">
        <v>5.0</v>
      </c>
      <c r="T236" s="159">
        <v>4.0</v>
      </c>
      <c r="U236" s="159">
        <v>4.0</v>
      </c>
      <c r="V236" s="159">
        <v>4.0</v>
      </c>
      <c r="W236" s="159">
        <v>4.25</v>
      </c>
      <c r="X236" s="161"/>
      <c r="Y236" s="161"/>
      <c r="Z236" s="161"/>
      <c r="AA236" s="161"/>
      <c r="AB236" s="161"/>
      <c r="AC236" s="159">
        <v>4.233333333333333</v>
      </c>
      <c r="AD236" s="159"/>
    </row>
    <row r="237">
      <c r="A237" s="162">
        <v>102427.0</v>
      </c>
      <c r="B237" s="163" t="s">
        <v>742</v>
      </c>
      <c r="C237" s="164" t="s">
        <v>743</v>
      </c>
      <c r="D237" s="165">
        <v>44736.0</v>
      </c>
      <c r="E237" s="164" t="s">
        <v>233</v>
      </c>
      <c r="F237" s="161"/>
      <c r="G237" s="161"/>
      <c r="H237" s="159">
        <v>5.0</v>
      </c>
      <c r="I237" s="159">
        <v>5.0</v>
      </c>
      <c r="J237" s="159">
        <v>5.0</v>
      </c>
      <c r="K237" s="159">
        <v>5.0</v>
      </c>
      <c r="L237" s="159">
        <v>5.0</v>
      </c>
      <c r="M237" s="159">
        <v>5.0</v>
      </c>
      <c r="N237" s="159">
        <v>5.0</v>
      </c>
      <c r="O237" s="159">
        <v>5.0</v>
      </c>
      <c r="P237" s="159">
        <v>5.0</v>
      </c>
      <c r="Q237" s="159">
        <v>5.0</v>
      </c>
      <c r="R237" s="159">
        <v>5.0</v>
      </c>
      <c r="S237" s="159">
        <v>5.0</v>
      </c>
      <c r="T237" s="159">
        <v>5.0</v>
      </c>
      <c r="U237" s="159">
        <v>5.0</v>
      </c>
      <c r="V237" s="159">
        <v>5.0</v>
      </c>
      <c r="W237" s="159">
        <v>5.0</v>
      </c>
      <c r="X237" s="161"/>
      <c r="Y237" s="161"/>
      <c r="Z237" s="161"/>
      <c r="AA237" s="161"/>
      <c r="AB237" s="161"/>
      <c r="AC237" s="159">
        <v>5.0</v>
      </c>
      <c r="AD237" s="159"/>
    </row>
    <row r="238">
      <c r="A238" s="162">
        <v>102366.0</v>
      </c>
      <c r="B238" s="163" t="s">
        <v>744</v>
      </c>
      <c r="C238" s="164" t="s">
        <v>745</v>
      </c>
      <c r="D238" s="165">
        <v>44736.0</v>
      </c>
      <c r="E238" s="164" t="s">
        <v>87</v>
      </c>
      <c r="F238" s="161"/>
      <c r="G238" s="161"/>
      <c r="H238" s="159">
        <v>4.0</v>
      </c>
      <c r="I238" s="159">
        <v>5.0</v>
      </c>
      <c r="J238" s="159">
        <v>5.0</v>
      </c>
      <c r="K238" s="159">
        <v>5.0</v>
      </c>
      <c r="L238" s="159">
        <v>5.0</v>
      </c>
      <c r="M238" s="159">
        <v>4.8</v>
      </c>
      <c r="N238" s="159">
        <v>4.0</v>
      </c>
      <c r="O238" s="159">
        <v>5.0</v>
      </c>
      <c r="P238" s="159">
        <v>5.0</v>
      </c>
      <c r="Q238" s="159">
        <v>5.0</v>
      </c>
      <c r="R238" s="159">
        <v>4.75</v>
      </c>
      <c r="S238" s="159">
        <v>4.0</v>
      </c>
      <c r="T238" s="159">
        <v>5.0</v>
      </c>
      <c r="U238" s="159">
        <v>5.0</v>
      </c>
      <c r="V238" s="159">
        <v>5.0</v>
      </c>
      <c r="W238" s="159">
        <v>4.75</v>
      </c>
      <c r="X238" s="161"/>
      <c r="Y238" s="161"/>
      <c r="Z238" s="161"/>
      <c r="AA238" s="161"/>
      <c r="AB238" s="161"/>
      <c r="AC238" s="159">
        <v>4.766666666666667</v>
      </c>
      <c r="AD238" s="159"/>
    </row>
    <row r="239">
      <c r="A239" s="162">
        <v>102524.0</v>
      </c>
      <c r="B239" s="163" t="s">
        <v>746</v>
      </c>
      <c r="C239" s="164" t="s">
        <v>747</v>
      </c>
      <c r="D239" s="165">
        <v>44746.0</v>
      </c>
      <c r="E239" s="164" t="s">
        <v>209</v>
      </c>
      <c r="F239" s="161"/>
      <c r="G239" s="161"/>
      <c r="H239" s="159">
        <v>4.0</v>
      </c>
      <c r="I239" s="159">
        <v>4.0</v>
      </c>
      <c r="J239" s="159">
        <v>4.0</v>
      </c>
      <c r="K239" s="159">
        <v>4.0</v>
      </c>
      <c r="L239" s="159">
        <v>4.0</v>
      </c>
      <c r="M239" s="159">
        <v>4.0</v>
      </c>
      <c r="N239" s="159">
        <v>4.0</v>
      </c>
      <c r="O239" s="159">
        <v>4.0</v>
      </c>
      <c r="P239" s="159">
        <v>4.0</v>
      </c>
      <c r="Q239" s="159">
        <v>4.0</v>
      </c>
      <c r="R239" s="159">
        <v>4.0</v>
      </c>
      <c r="S239" s="159">
        <v>4.0</v>
      </c>
      <c r="T239" s="159">
        <v>4.0</v>
      </c>
      <c r="U239" s="159">
        <v>4.0</v>
      </c>
      <c r="V239" s="159">
        <v>4.0</v>
      </c>
      <c r="W239" s="159">
        <v>4.0</v>
      </c>
      <c r="X239" s="161"/>
      <c r="Y239" s="161"/>
      <c r="Z239" s="161"/>
      <c r="AA239" s="161"/>
      <c r="AB239" s="161"/>
      <c r="AC239" s="159">
        <v>4.0</v>
      </c>
      <c r="AD239" s="159"/>
    </row>
    <row r="240">
      <c r="A240" s="162">
        <v>102434.0</v>
      </c>
      <c r="B240" s="163" t="s">
        <v>748</v>
      </c>
      <c r="C240" s="164" t="s">
        <v>749</v>
      </c>
      <c r="D240" s="165">
        <v>44750.0</v>
      </c>
      <c r="E240" s="164" t="s">
        <v>602</v>
      </c>
      <c r="F240" s="161"/>
      <c r="G240" s="161"/>
      <c r="H240" s="159">
        <v>5.0</v>
      </c>
      <c r="I240" s="159">
        <v>5.0</v>
      </c>
      <c r="J240" s="159">
        <v>5.0</v>
      </c>
      <c r="K240" s="159">
        <v>5.0</v>
      </c>
      <c r="L240" s="159">
        <v>5.0</v>
      </c>
      <c r="M240" s="159">
        <v>5.0</v>
      </c>
      <c r="N240" s="159">
        <v>5.0</v>
      </c>
      <c r="O240" s="159">
        <v>5.0</v>
      </c>
      <c r="P240" s="159">
        <v>5.0</v>
      </c>
      <c r="Q240" s="159">
        <v>5.0</v>
      </c>
      <c r="R240" s="159">
        <v>5.0</v>
      </c>
      <c r="S240" s="159">
        <v>5.0</v>
      </c>
      <c r="T240" s="159">
        <v>5.0</v>
      </c>
      <c r="U240" s="159">
        <v>5.0</v>
      </c>
      <c r="V240" s="159">
        <v>5.0</v>
      </c>
      <c r="W240" s="159">
        <v>5.0</v>
      </c>
      <c r="X240" s="161"/>
      <c r="Y240" s="161"/>
      <c r="Z240" s="161"/>
      <c r="AA240" s="161"/>
      <c r="AB240" s="161"/>
      <c r="AC240" s="159">
        <v>5.0</v>
      </c>
      <c r="AD240" s="159"/>
    </row>
    <row r="241">
      <c r="A241" s="162">
        <v>102496.0</v>
      </c>
      <c r="B241" s="163" t="s">
        <v>750</v>
      </c>
      <c r="C241" s="164" t="s">
        <v>751</v>
      </c>
      <c r="D241" s="165">
        <v>44750.0</v>
      </c>
      <c r="E241" s="164" t="s">
        <v>602</v>
      </c>
      <c r="F241" s="161"/>
      <c r="G241" s="161"/>
      <c r="H241" s="159">
        <v>4.0</v>
      </c>
      <c r="I241" s="159">
        <v>4.0</v>
      </c>
      <c r="J241" s="159">
        <v>4.0</v>
      </c>
      <c r="K241" s="159">
        <v>4.0</v>
      </c>
      <c r="L241" s="159">
        <v>5.0</v>
      </c>
      <c r="M241" s="159">
        <v>4.2</v>
      </c>
      <c r="N241" s="159">
        <v>4.0</v>
      </c>
      <c r="O241" s="159">
        <v>4.0</v>
      </c>
      <c r="P241" s="159">
        <v>4.0</v>
      </c>
      <c r="Q241" s="159">
        <v>4.0</v>
      </c>
      <c r="R241" s="159">
        <v>4.0</v>
      </c>
      <c r="S241" s="159">
        <v>4.0</v>
      </c>
      <c r="T241" s="159">
        <v>4.0</v>
      </c>
      <c r="U241" s="159">
        <v>4.0</v>
      </c>
      <c r="V241" s="159">
        <v>4.0</v>
      </c>
      <c r="W241" s="159">
        <v>4.0</v>
      </c>
      <c r="X241" s="161"/>
      <c r="Y241" s="161"/>
      <c r="Z241" s="161"/>
      <c r="AA241" s="161"/>
      <c r="AB241" s="161"/>
      <c r="AC241" s="159">
        <v>4.066666666666666</v>
      </c>
      <c r="AD241" s="159"/>
    </row>
    <row r="242">
      <c r="A242" s="162">
        <v>102146.0</v>
      </c>
      <c r="B242" s="163" t="s">
        <v>752</v>
      </c>
      <c r="C242" s="164" t="s">
        <v>753</v>
      </c>
      <c r="D242" s="165">
        <v>44756.0</v>
      </c>
      <c r="E242" s="164" t="s">
        <v>754</v>
      </c>
      <c r="F242" s="161"/>
      <c r="G242" s="161"/>
      <c r="H242" s="159">
        <v>5.0</v>
      </c>
      <c r="I242" s="159">
        <v>5.0</v>
      </c>
      <c r="J242" s="159">
        <v>5.0</v>
      </c>
      <c r="K242" s="159">
        <v>5.0</v>
      </c>
      <c r="L242" s="159">
        <v>5.0</v>
      </c>
      <c r="M242" s="159">
        <v>5.0</v>
      </c>
      <c r="N242" s="159">
        <v>5.0</v>
      </c>
      <c r="O242" s="159">
        <v>5.0</v>
      </c>
      <c r="P242" s="159">
        <v>5.0</v>
      </c>
      <c r="Q242" s="159">
        <v>5.0</v>
      </c>
      <c r="R242" s="159">
        <v>5.0</v>
      </c>
      <c r="S242" s="159">
        <v>5.0</v>
      </c>
      <c r="T242" s="159">
        <v>5.0</v>
      </c>
      <c r="U242" s="159">
        <v>5.0</v>
      </c>
      <c r="V242" s="159">
        <v>5.0</v>
      </c>
      <c r="W242" s="159">
        <v>5.0</v>
      </c>
      <c r="X242" s="161"/>
      <c r="Y242" s="161"/>
      <c r="Z242" s="161"/>
      <c r="AA242" s="161"/>
      <c r="AB242" s="161"/>
      <c r="AC242" s="159">
        <v>5.0</v>
      </c>
      <c r="AD242" s="159"/>
    </row>
    <row r="243">
      <c r="A243" s="162">
        <v>102557.0</v>
      </c>
      <c r="B243" s="163" t="s">
        <v>755</v>
      </c>
      <c r="C243" s="164" t="s">
        <v>756</v>
      </c>
      <c r="D243" s="165">
        <v>44757.0</v>
      </c>
      <c r="E243" s="164" t="s">
        <v>154</v>
      </c>
      <c r="F243" s="161"/>
      <c r="G243" s="161"/>
      <c r="H243" s="159">
        <v>3.0</v>
      </c>
      <c r="I243" s="159">
        <v>5.0</v>
      </c>
      <c r="J243" s="159">
        <v>5.0</v>
      </c>
      <c r="K243" s="159">
        <v>5.0</v>
      </c>
      <c r="L243" s="159">
        <v>5.0</v>
      </c>
      <c r="M243" s="159">
        <v>4.6</v>
      </c>
      <c r="N243" s="159">
        <v>3.0</v>
      </c>
      <c r="O243" s="159">
        <v>5.0</v>
      </c>
      <c r="P243" s="159">
        <v>5.0</v>
      </c>
      <c r="Q243" s="159">
        <v>5.0</v>
      </c>
      <c r="R243" s="159">
        <v>4.5</v>
      </c>
      <c r="S243" s="159">
        <v>3.0</v>
      </c>
      <c r="T243" s="159">
        <v>5.0</v>
      </c>
      <c r="U243" s="159">
        <v>5.0</v>
      </c>
      <c r="V243" s="159">
        <v>5.0</v>
      </c>
      <c r="W243" s="159">
        <v>4.5</v>
      </c>
      <c r="X243" s="161"/>
      <c r="Y243" s="161"/>
      <c r="Z243" s="161"/>
      <c r="AA243" s="161"/>
      <c r="AB243" s="161"/>
      <c r="AC243" s="159">
        <v>4.533333333333333</v>
      </c>
      <c r="AD243" s="159"/>
    </row>
    <row r="244">
      <c r="A244" s="162">
        <v>102497.0</v>
      </c>
      <c r="B244" s="163" t="s">
        <v>757</v>
      </c>
      <c r="C244" s="164" t="s">
        <v>758</v>
      </c>
      <c r="D244" s="165">
        <v>44757.0</v>
      </c>
      <c r="E244" s="164" t="s">
        <v>233</v>
      </c>
      <c r="F244" s="161"/>
      <c r="G244" s="161"/>
      <c r="H244" s="159">
        <v>5.0</v>
      </c>
      <c r="I244" s="159">
        <v>5.0</v>
      </c>
      <c r="J244" s="159">
        <v>5.0</v>
      </c>
      <c r="K244" s="159">
        <v>5.0</v>
      </c>
      <c r="L244" s="159">
        <v>5.0</v>
      </c>
      <c r="M244" s="159">
        <v>5.0</v>
      </c>
      <c r="N244" s="159">
        <v>5.0</v>
      </c>
      <c r="O244" s="159">
        <v>5.0</v>
      </c>
      <c r="P244" s="159">
        <v>5.0</v>
      </c>
      <c r="Q244" s="159">
        <v>5.0</v>
      </c>
      <c r="R244" s="159">
        <v>5.0</v>
      </c>
      <c r="S244" s="159">
        <v>5.0</v>
      </c>
      <c r="T244" s="159">
        <v>5.0</v>
      </c>
      <c r="U244" s="159">
        <v>5.0</v>
      </c>
      <c r="V244" s="159">
        <v>5.0</v>
      </c>
      <c r="W244" s="159">
        <v>5.0</v>
      </c>
      <c r="X244" s="161"/>
      <c r="Y244" s="161"/>
      <c r="Z244" s="161"/>
      <c r="AA244" s="161"/>
      <c r="AB244" s="161"/>
      <c r="AC244" s="159">
        <v>5.0</v>
      </c>
      <c r="AD244" s="159"/>
    </row>
    <row r="245">
      <c r="A245" s="162">
        <v>102405.0</v>
      </c>
      <c r="B245" s="163" t="s">
        <v>759</v>
      </c>
      <c r="C245" s="164" t="s">
        <v>760</v>
      </c>
      <c r="D245" s="165">
        <v>44762.0</v>
      </c>
      <c r="E245" s="164" t="s">
        <v>18</v>
      </c>
      <c r="F245" s="161"/>
      <c r="G245" s="161"/>
      <c r="H245" s="159">
        <v>5.0</v>
      </c>
      <c r="I245" s="159">
        <v>3.9</v>
      </c>
      <c r="J245" s="159">
        <v>4.5</v>
      </c>
      <c r="K245" s="159">
        <v>3.9</v>
      </c>
      <c r="L245" s="159">
        <v>4.5</v>
      </c>
      <c r="M245" s="159">
        <v>4.36</v>
      </c>
      <c r="N245" s="159">
        <v>5.0</v>
      </c>
      <c r="O245" s="159">
        <v>3.9</v>
      </c>
      <c r="P245" s="159">
        <v>4.5</v>
      </c>
      <c r="Q245" s="159">
        <v>3.9</v>
      </c>
      <c r="R245" s="159">
        <v>4.325</v>
      </c>
      <c r="S245" s="159">
        <v>5.0</v>
      </c>
      <c r="T245" s="159">
        <v>4.0</v>
      </c>
      <c r="U245" s="159">
        <v>4.0</v>
      </c>
      <c r="V245" s="159">
        <v>4.0</v>
      </c>
      <c r="W245" s="159">
        <v>4.25</v>
      </c>
      <c r="X245" s="161"/>
      <c r="Y245" s="161"/>
      <c r="Z245" s="161"/>
      <c r="AA245" s="161"/>
      <c r="AB245" s="161"/>
      <c r="AC245" s="159">
        <v>4.3116666666666665</v>
      </c>
      <c r="AD245" s="159"/>
    </row>
    <row r="246">
      <c r="A246" s="162">
        <v>102566.0</v>
      </c>
      <c r="B246" s="163" t="s">
        <v>761</v>
      </c>
      <c r="C246" s="164" t="s">
        <v>762</v>
      </c>
      <c r="D246" s="165">
        <v>44763.0</v>
      </c>
      <c r="E246" s="164" t="s">
        <v>295</v>
      </c>
      <c r="F246" s="161"/>
      <c r="G246" s="161"/>
      <c r="H246" s="159">
        <v>4.0</v>
      </c>
      <c r="I246" s="159">
        <v>4.0</v>
      </c>
      <c r="J246" s="159">
        <v>4.0</v>
      </c>
      <c r="K246" s="159">
        <v>4.0</v>
      </c>
      <c r="L246" s="159">
        <v>4.0</v>
      </c>
      <c r="M246" s="159">
        <v>4.0</v>
      </c>
      <c r="N246" s="159">
        <v>4.0</v>
      </c>
      <c r="O246" s="159">
        <v>4.0</v>
      </c>
      <c r="P246" s="159">
        <v>3.0</v>
      </c>
      <c r="Q246" s="159">
        <v>4.0</v>
      </c>
      <c r="R246" s="159">
        <v>3.75</v>
      </c>
      <c r="S246" s="159">
        <v>4.0</v>
      </c>
      <c r="T246" s="159">
        <v>4.0</v>
      </c>
      <c r="U246" s="159">
        <v>4.0</v>
      </c>
      <c r="V246" s="159">
        <v>4.0</v>
      </c>
      <c r="W246" s="159">
        <v>4.0</v>
      </c>
      <c r="X246" s="161"/>
      <c r="Y246" s="161"/>
      <c r="Z246" s="161"/>
      <c r="AA246" s="161"/>
      <c r="AB246" s="161"/>
      <c r="AC246" s="159">
        <v>3.9166666666666665</v>
      </c>
      <c r="AD246" s="159"/>
    </row>
    <row r="247">
      <c r="A247" s="162">
        <v>102567.0</v>
      </c>
      <c r="B247" s="163" t="s">
        <v>763</v>
      </c>
      <c r="C247" s="164" t="s">
        <v>764</v>
      </c>
      <c r="D247" s="165">
        <v>44763.0</v>
      </c>
      <c r="E247" s="164" t="s">
        <v>87</v>
      </c>
      <c r="F247" s="161"/>
      <c r="G247" s="161"/>
      <c r="H247" s="159">
        <v>5.0</v>
      </c>
      <c r="I247" s="159">
        <v>5.0</v>
      </c>
      <c r="J247" s="159">
        <v>5.0</v>
      </c>
      <c r="K247" s="159">
        <v>5.0</v>
      </c>
      <c r="L247" s="159">
        <v>5.0</v>
      </c>
      <c r="M247" s="159">
        <v>5.0</v>
      </c>
      <c r="N247" s="159">
        <v>5.0</v>
      </c>
      <c r="O247" s="159">
        <v>5.0</v>
      </c>
      <c r="P247" s="159">
        <v>5.0</v>
      </c>
      <c r="Q247" s="159">
        <v>5.0</v>
      </c>
      <c r="R247" s="159">
        <v>5.0</v>
      </c>
      <c r="S247" s="159">
        <v>4.5</v>
      </c>
      <c r="T247" s="159">
        <v>4.5</v>
      </c>
      <c r="U247" s="159">
        <v>4.5</v>
      </c>
      <c r="V247" s="159">
        <v>4.5</v>
      </c>
      <c r="W247" s="159">
        <v>4.5</v>
      </c>
      <c r="X247" s="161"/>
      <c r="Y247" s="161"/>
      <c r="Z247" s="161"/>
      <c r="AA247" s="161"/>
      <c r="AB247" s="161"/>
      <c r="AC247" s="159">
        <v>4.833333333333333</v>
      </c>
      <c r="AD247" s="159"/>
    </row>
    <row r="248">
      <c r="A248" s="162">
        <v>102542.0</v>
      </c>
      <c r="B248" s="163" t="s">
        <v>765</v>
      </c>
      <c r="C248" s="164" t="s">
        <v>766</v>
      </c>
      <c r="D248" s="165">
        <v>44764.0</v>
      </c>
      <c r="E248" s="164" t="s">
        <v>767</v>
      </c>
      <c r="F248" s="161"/>
      <c r="G248" s="161"/>
      <c r="H248" s="159">
        <v>5.0</v>
      </c>
      <c r="I248" s="159">
        <v>5.0</v>
      </c>
      <c r="J248" s="159">
        <v>5.0</v>
      </c>
      <c r="K248" s="159">
        <v>5.0</v>
      </c>
      <c r="L248" s="159">
        <v>5.0</v>
      </c>
      <c r="M248" s="159">
        <v>5.0</v>
      </c>
      <c r="N248" s="159">
        <v>5.0</v>
      </c>
      <c r="O248" s="159">
        <v>5.0</v>
      </c>
      <c r="P248" s="159">
        <v>5.0</v>
      </c>
      <c r="Q248" s="159">
        <v>5.0</v>
      </c>
      <c r="R248" s="159">
        <v>5.0</v>
      </c>
      <c r="S248" s="159">
        <v>5.0</v>
      </c>
      <c r="T248" s="159">
        <v>5.0</v>
      </c>
      <c r="U248" s="159">
        <v>5.0</v>
      </c>
      <c r="V248" s="159">
        <v>5.0</v>
      </c>
      <c r="W248" s="159">
        <v>5.0</v>
      </c>
      <c r="X248" s="161"/>
      <c r="Y248" s="161"/>
      <c r="Z248" s="161"/>
      <c r="AA248" s="161"/>
      <c r="AB248" s="161"/>
      <c r="AC248" s="159">
        <v>5.0</v>
      </c>
      <c r="AD248" s="159"/>
    </row>
    <row r="249">
      <c r="A249" s="162">
        <v>102543.0</v>
      </c>
      <c r="B249" s="163" t="s">
        <v>768</v>
      </c>
      <c r="C249" s="164" t="s">
        <v>769</v>
      </c>
      <c r="D249" s="165">
        <v>44764.0</v>
      </c>
      <c r="E249" s="164" t="s">
        <v>767</v>
      </c>
      <c r="F249" s="161"/>
      <c r="G249" s="161"/>
      <c r="H249" s="159">
        <v>5.0</v>
      </c>
      <c r="I249" s="159">
        <v>5.0</v>
      </c>
      <c r="J249" s="159">
        <v>5.0</v>
      </c>
      <c r="K249" s="159">
        <v>5.0</v>
      </c>
      <c r="L249" s="159">
        <v>5.0</v>
      </c>
      <c r="M249" s="159">
        <v>5.0</v>
      </c>
      <c r="N249" s="159">
        <v>5.0</v>
      </c>
      <c r="O249" s="159">
        <v>5.0</v>
      </c>
      <c r="P249" s="159">
        <v>5.0</v>
      </c>
      <c r="Q249" s="159">
        <v>5.0</v>
      </c>
      <c r="R249" s="159">
        <v>5.0</v>
      </c>
      <c r="S249" s="159">
        <v>5.0</v>
      </c>
      <c r="T249" s="159">
        <v>5.0</v>
      </c>
      <c r="U249" s="159">
        <v>5.0</v>
      </c>
      <c r="V249" s="159">
        <v>5.0</v>
      </c>
      <c r="W249" s="159">
        <v>5.0</v>
      </c>
      <c r="X249" s="161"/>
      <c r="Y249" s="161"/>
      <c r="Z249" s="161"/>
      <c r="AA249" s="161"/>
      <c r="AB249" s="161"/>
      <c r="AC249" s="159">
        <v>5.0</v>
      </c>
      <c r="AD249" s="159"/>
    </row>
    <row r="250">
      <c r="A250" s="162">
        <v>102552.0</v>
      </c>
      <c r="B250" s="163" t="s">
        <v>770</v>
      </c>
      <c r="C250" s="164" t="s">
        <v>771</v>
      </c>
      <c r="D250" s="165">
        <v>44767.0</v>
      </c>
      <c r="E250" s="164" t="s">
        <v>219</v>
      </c>
      <c r="F250" s="161"/>
      <c r="G250" s="161"/>
      <c r="H250" s="159">
        <v>4.0</v>
      </c>
      <c r="I250" s="159">
        <v>4.0</v>
      </c>
      <c r="J250" s="159">
        <v>4.0</v>
      </c>
      <c r="K250" s="159">
        <v>4.0</v>
      </c>
      <c r="L250" s="159">
        <v>4.0</v>
      </c>
      <c r="M250" s="159">
        <v>4.0</v>
      </c>
      <c r="N250" s="159">
        <v>4.5</v>
      </c>
      <c r="O250" s="159">
        <v>4.5</v>
      </c>
      <c r="P250" s="159">
        <v>4.5</v>
      </c>
      <c r="Q250" s="159">
        <v>4.5</v>
      </c>
      <c r="R250" s="159">
        <v>4.5</v>
      </c>
      <c r="S250" s="159">
        <v>4.5</v>
      </c>
      <c r="T250" s="159">
        <v>4.5</v>
      </c>
      <c r="U250" s="159">
        <v>4.5</v>
      </c>
      <c r="V250" s="159">
        <v>4.5</v>
      </c>
      <c r="W250" s="159">
        <v>4.5</v>
      </c>
      <c r="X250" s="161"/>
      <c r="Y250" s="161"/>
      <c r="Z250" s="161"/>
      <c r="AA250" s="161"/>
      <c r="AB250" s="161"/>
      <c r="AC250" s="159">
        <v>4.333333333333333</v>
      </c>
      <c r="AD250" s="159"/>
    </row>
    <row r="251">
      <c r="A251" s="162">
        <v>102577.0</v>
      </c>
      <c r="B251" s="163" t="s">
        <v>772</v>
      </c>
      <c r="C251" s="164" t="s">
        <v>743</v>
      </c>
      <c r="D251" s="165">
        <v>44767.0</v>
      </c>
      <c r="E251" s="164" t="s">
        <v>295</v>
      </c>
      <c r="F251" s="161"/>
      <c r="G251" s="161"/>
      <c r="H251" s="159">
        <v>3.0</v>
      </c>
      <c r="I251" s="159">
        <v>5.0</v>
      </c>
      <c r="J251" s="159">
        <v>2.0</v>
      </c>
      <c r="K251" s="159">
        <v>4.0</v>
      </c>
      <c r="L251" s="159">
        <v>5.0</v>
      </c>
      <c r="M251" s="159">
        <v>3.8</v>
      </c>
      <c r="N251" s="159">
        <v>3.0</v>
      </c>
      <c r="O251" s="159">
        <v>5.0</v>
      </c>
      <c r="P251" s="159">
        <v>2.0</v>
      </c>
      <c r="Q251" s="159">
        <v>4.0</v>
      </c>
      <c r="R251" s="159">
        <v>3.5</v>
      </c>
      <c r="S251" s="159">
        <v>3.0</v>
      </c>
      <c r="T251" s="159">
        <v>5.0</v>
      </c>
      <c r="U251" s="159">
        <v>2.0</v>
      </c>
      <c r="V251" s="159">
        <v>4.0</v>
      </c>
      <c r="W251" s="159">
        <v>3.5</v>
      </c>
      <c r="X251" s="161"/>
      <c r="Y251" s="161"/>
      <c r="Z251" s="161"/>
      <c r="AA251" s="161"/>
      <c r="AB251" s="161"/>
      <c r="AC251" s="159">
        <v>3.6</v>
      </c>
      <c r="AD251" s="159"/>
    </row>
    <row r="252">
      <c r="A252" s="162">
        <v>102569.0</v>
      </c>
      <c r="B252" s="163" t="s">
        <v>773</v>
      </c>
      <c r="C252" s="164" t="s">
        <v>774</v>
      </c>
      <c r="D252" s="165">
        <v>44774.0</v>
      </c>
      <c r="E252" s="164" t="s">
        <v>309</v>
      </c>
      <c r="F252" s="161"/>
      <c r="G252" s="161"/>
      <c r="H252" s="159">
        <v>2.0</v>
      </c>
      <c r="I252" s="159">
        <v>3.0</v>
      </c>
      <c r="J252" s="159">
        <v>2.0</v>
      </c>
      <c r="K252" s="159">
        <v>1.0</v>
      </c>
      <c r="L252" s="159">
        <v>2.0</v>
      </c>
      <c r="M252" s="159">
        <v>2.0</v>
      </c>
      <c r="N252" s="159">
        <v>2.0</v>
      </c>
      <c r="O252" s="159">
        <v>3.0</v>
      </c>
      <c r="P252" s="159">
        <v>2.0</v>
      </c>
      <c r="Q252" s="159">
        <v>1.0</v>
      </c>
      <c r="R252" s="159">
        <v>2.0</v>
      </c>
      <c r="S252" s="159">
        <v>2.0</v>
      </c>
      <c r="T252" s="159">
        <v>3.0</v>
      </c>
      <c r="U252" s="159">
        <v>2.0</v>
      </c>
      <c r="V252" s="159">
        <v>1.0</v>
      </c>
      <c r="W252" s="159">
        <v>2.0</v>
      </c>
      <c r="X252" s="161"/>
      <c r="Y252" s="161"/>
      <c r="Z252" s="161"/>
      <c r="AA252" s="161"/>
      <c r="AB252" s="161"/>
      <c r="AC252" s="159">
        <v>2.0</v>
      </c>
      <c r="AD252" s="159"/>
    </row>
    <row r="253">
      <c r="A253" s="162">
        <v>102570.0</v>
      </c>
      <c r="B253" s="163" t="s">
        <v>775</v>
      </c>
      <c r="C253" s="164" t="s">
        <v>776</v>
      </c>
      <c r="D253" s="165">
        <v>44774.0</v>
      </c>
      <c r="E253" s="164" t="s">
        <v>309</v>
      </c>
      <c r="F253" s="161"/>
      <c r="G253" s="161"/>
      <c r="H253" s="159">
        <v>2.0</v>
      </c>
      <c r="I253" s="159">
        <v>3.0</v>
      </c>
      <c r="J253" s="159">
        <v>2.0</v>
      </c>
      <c r="K253" s="159">
        <v>1.0</v>
      </c>
      <c r="L253" s="159">
        <v>3.0</v>
      </c>
      <c r="M253" s="159">
        <v>2.2</v>
      </c>
      <c r="N253" s="159">
        <v>2.0</v>
      </c>
      <c r="O253" s="159">
        <v>3.0</v>
      </c>
      <c r="P253" s="159">
        <v>2.0</v>
      </c>
      <c r="Q253" s="159">
        <v>1.0</v>
      </c>
      <c r="R253" s="159">
        <v>2.0</v>
      </c>
      <c r="S253" s="159">
        <v>2.0</v>
      </c>
      <c r="T253" s="159">
        <v>3.0</v>
      </c>
      <c r="U253" s="159">
        <v>2.0</v>
      </c>
      <c r="V253" s="159">
        <v>1.0</v>
      </c>
      <c r="W253" s="159">
        <v>2.0</v>
      </c>
      <c r="X253" s="164" t="s">
        <v>777</v>
      </c>
      <c r="Y253" s="164" t="s">
        <v>778</v>
      </c>
      <c r="Z253" s="164" t="s">
        <v>779</v>
      </c>
      <c r="AA253" s="164" t="s">
        <v>780</v>
      </c>
      <c r="AB253" s="161"/>
      <c r="AC253" s="159">
        <v>2.066666666666667</v>
      </c>
      <c r="AD253" s="159"/>
    </row>
    <row r="254">
      <c r="A254" s="162">
        <v>102585.0</v>
      </c>
      <c r="B254" s="163" t="s">
        <v>781</v>
      </c>
      <c r="C254" s="164" t="s">
        <v>782</v>
      </c>
      <c r="D254" s="165">
        <v>44778.0</v>
      </c>
      <c r="E254" s="164" t="s">
        <v>198</v>
      </c>
      <c r="F254" s="161"/>
      <c r="G254" s="161"/>
      <c r="H254" s="159">
        <v>4.9</v>
      </c>
      <c r="I254" s="159">
        <v>4.9</v>
      </c>
      <c r="J254" s="159">
        <v>4.9</v>
      </c>
      <c r="K254" s="159">
        <v>4.9</v>
      </c>
      <c r="L254" s="159">
        <v>4.9</v>
      </c>
      <c r="M254" s="159">
        <v>4.9</v>
      </c>
      <c r="N254" s="159">
        <v>4.9</v>
      </c>
      <c r="O254" s="159">
        <v>4.9</v>
      </c>
      <c r="P254" s="159">
        <v>4.9</v>
      </c>
      <c r="Q254" s="159">
        <v>4.9</v>
      </c>
      <c r="R254" s="159">
        <v>4.9</v>
      </c>
      <c r="S254" s="159">
        <v>4.2</v>
      </c>
      <c r="T254" s="159">
        <v>4.2</v>
      </c>
      <c r="U254" s="159">
        <v>4.2</v>
      </c>
      <c r="V254" s="159">
        <v>4.2</v>
      </c>
      <c r="W254" s="159">
        <v>4.2</v>
      </c>
      <c r="X254" s="161"/>
      <c r="Y254" s="161"/>
      <c r="Z254" s="161"/>
      <c r="AA254" s="161"/>
      <c r="AB254" s="161"/>
      <c r="AC254" s="159">
        <v>4.666666666666667</v>
      </c>
      <c r="AD254" s="159"/>
    </row>
    <row r="255">
      <c r="A255" s="162">
        <v>102584.0</v>
      </c>
      <c r="B255" s="163" t="s">
        <v>783</v>
      </c>
      <c r="C255" s="164" t="s">
        <v>784</v>
      </c>
      <c r="D255" s="165">
        <v>44778.0</v>
      </c>
      <c r="E255" s="164" t="s">
        <v>309</v>
      </c>
      <c r="F255" s="161"/>
      <c r="G255" s="161"/>
      <c r="H255" s="159">
        <v>4.8</v>
      </c>
      <c r="I255" s="159">
        <v>4.8</v>
      </c>
      <c r="J255" s="159">
        <v>4.8</v>
      </c>
      <c r="K255" s="159">
        <v>4.8</v>
      </c>
      <c r="L255" s="159">
        <v>4.8</v>
      </c>
      <c r="M255" s="159">
        <v>4.8</v>
      </c>
      <c r="N255" s="159">
        <v>4.8</v>
      </c>
      <c r="O255" s="159">
        <v>4.8</v>
      </c>
      <c r="P255" s="159">
        <v>4.8</v>
      </c>
      <c r="Q255" s="159">
        <v>4.8</v>
      </c>
      <c r="R255" s="159">
        <v>4.8</v>
      </c>
      <c r="S255" s="159">
        <v>4.54</v>
      </c>
      <c r="T255" s="159">
        <v>4.54</v>
      </c>
      <c r="U255" s="159">
        <v>4.54</v>
      </c>
      <c r="V255" s="159">
        <v>4.54</v>
      </c>
      <c r="W255" s="159">
        <v>4.54</v>
      </c>
      <c r="X255" s="161"/>
      <c r="Y255" s="161"/>
      <c r="Z255" s="161"/>
      <c r="AA255" s="161"/>
      <c r="AB255" s="161"/>
      <c r="AC255" s="159">
        <v>4.713333333333334</v>
      </c>
      <c r="AD255" s="159"/>
    </row>
    <row r="256">
      <c r="A256" s="162">
        <v>102594.0</v>
      </c>
      <c r="B256" s="163" t="s">
        <v>785</v>
      </c>
      <c r="C256" s="164" t="s">
        <v>786</v>
      </c>
      <c r="D256" s="165">
        <v>44789.0</v>
      </c>
      <c r="E256" s="164" t="s">
        <v>265</v>
      </c>
      <c r="F256" s="161"/>
      <c r="G256" s="161"/>
      <c r="H256" s="159">
        <v>5.0</v>
      </c>
      <c r="I256" s="159">
        <v>5.0</v>
      </c>
      <c r="J256" s="159">
        <v>5.0</v>
      </c>
      <c r="K256" s="159">
        <v>5.0</v>
      </c>
      <c r="L256" s="159">
        <v>5.0</v>
      </c>
      <c r="M256" s="159">
        <v>5.0</v>
      </c>
      <c r="N256" s="159">
        <v>4.9</v>
      </c>
      <c r="O256" s="159">
        <v>4.9</v>
      </c>
      <c r="P256" s="159">
        <v>4.9</v>
      </c>
      <c r="Q256" s="159">
        <v>4.9</v>
      </c>
      <c r="R256" s="159">
        <v>4.9</v>
      </c>
      <c r="S256" s="159">
        <v>4.5</v>
      </c>
      <c r="T256" s="159">
        <v>4.5</v>
      </c>
      <c r="U256" s="159">
        <v>4.5</v>
      </c>
      <c r="V256" s="159">
        <v>4.5</v>
      </c>
      <c r="W256" s="159">
        <v>4.5</v>
      </c>
      <c r="X256" s="161"/>
      <c r="Y256" s="161"/>
      <c r="Z256" s="161"/>
      <c r="AA256" s="161"/>
      <c r="AB256" s="161"/>
      <c r="AC256" s="159">
        <v>4.8</v>
      </c>
      <c r="AD256" s="159"/>
    </row>
    <row r="257">
      <c r="A257" s="162">
        <v>102642.0</v>
      </c>
      <c r="B257" s="163" t="s">
        <v>787</v>
      </c>
      <c r="C257" s="164" t="s">
        <v>788</v>
      </c>
      <c r="D257" s="165">
        <v>44791.0</v>
      </c>
      <c r="E257" s="164" t="s">
        <v>295</v>
      </c>
      <c r="F257" s="161"/>
      <c r="G257" s="161"/>
      <c r="H257" s="159">
        <v>4.0</v>
      </c>
      <c r="I257" s="159">
        <v>4.0</v>
      </c>
      <c r="J257" s="159">
        <v>4.0</v>
      </c>
      <c r="K257" s="159">
        <v>4.0</v>
      </c>
      <c r="L257" s="159">
        <v>4.0</v>
      </c>
      <c r="M257" s="159">
        <v>4.0</v>
      </c>
      <c r="N257" s="159">
        <v>4.0</v>
      </c>
      <c r="O257" s="159">
        <v>4.0</v>
      </c>
      <c r="P257" s="159">
        <v>4.0</v>
      </c>
      <c r="Q257" s="159">
        <v>4.0</v>
      </c>
      <c r="R257" s="159">
        <v>4.0</v>
      </c>
      <c r="S257" s="159">
        <v>4.0</v>
      </c>
      <c r="T257" s="159">
        <v>4.0</v>
      </c>
      <c r="U257" s="159">
        <v>4.0</v>
      </c>
      <c r="V257" s="159">
        <v>4.0</v>
      </c>
      <c r="W257" s="159">
        <v>4.0</v>
      </c>
      <c r="X257" s="161"/>
      <c r="Y257" s="161"/>
      <c r="Z257" s="161"/>
      <c r="AA257" s="161"/>
      <c r="AB257" s="161"/>
      <c r="AC257" s="159">
        <v>4.0</v>
      </c>
      <c r="AD257" s="159"/>
    </row>
    <row r="258">
      <c r="A258" s="162">
        <v>102405.0</v>
      </c>
      <c r="B258" s="163" t="s">
        <v>789</v>
      </c>
      <c r="C258" s="164" t="s">
        <v>760</v>
      </c>
      <c r="D258" s="165">
        <v>44793.0</v>
      </c>
      <c r="E258" s="164" t="s">
        <v>18</v>
      </c>
      <c r="F258" s="161"/>
      <c r="G258" s="161"/>
      <c r="H258" s="159">
        <v>5.0</v>
      </c>
      <c r="I258" s="159">
        <v>3.9</v>
      </c>
      <c r="J258" s="159">
        <v>4.5</v>
      </c>
      <c r="K258" s="159">
        <v>3.9</v>
      </c>
      <c r="L258" s="159">
        <v>4.5</v>
      </c>
      <c r="M258" s="159">
        <v>4.36</v>
      </c>
      <c r="N258" s="159">
        <v>5.0</v>
      </c>
      <c r="O258" s="159">
        <v>3.9</v>
      </c>
      <c r="P258" s="159">
        <v>4.5</v>
      </c>
      <c r="Q258" s="159">
        <v>3.9</v>
      </c>
      <c r="R258" s="159">
        <v>4.325</v>
      </c>
      <c r="S258" s="159">
        <v>4.0</v>
      </c>
      <c r="T258" s="159">
        <v>4.0</v>
      </c>
      <c r="U258" s="159">
        <v>4.0</v>
      </c>
      <c r="V258" s="159">
        <v>4.0</v>
      </c>
      <c r="W258" s="159">
        <v>4.0</v>
      </c>
      <c r="X258" s="161"/>
      <c r="Y258" s="161"/>
      <c r="Z258" s="161"/>
      <c r="AA258" s="161"/>
      <c r="AB258" s="161"/>
      <c r="AC258" s="159">
        <v>4.2283333333333335</v>
      </c>
      <c r="AD258" s="159"/>
    </row>
    <row r="259">
      <c r="A259" s="162">
        <v>102646.0</v>
      </c>
      <c r="B259" s="163" t="s">
        <v>790</v>
      </c>
      <c r="C259" s="164" t="s">
        <v>791</v>
      </c>
      <c r="D259" s="165">
        <v>44798.0</v>
      </c>
      <c r="E259" s="164" t="s">
        <v>87</v>
      </c>
      <c r="F259" s="161"/>
      <c r="G259" s="161"/>
      <c r="H259" s="159">
        <v>5.0</v>
      </c>
      <c r="I259" s="159">
        <v>4.0</v>
      </c>
      <c r="J259" s="159">
        <v>5.0</v>
      </c>
      <c r="K259" s="159">
        <v>5.0</v>
      </c>
      <c r="L259" s="159">
        <v>5.0</v>
      </c>
      <c r="M259" s="159">
        <v>4.8</v>
      </c>
      <c r="N259" s="159">
        <v>5.0</v>
      </c>
      <c r="O259" s="159">
        <v>4.0</v>
      </c>
      <c r="P259" s="159">
        <v>5.0</v>
      </c>
      <c r="Q259" s="159">
        <v>5.0</v>
      </c>
      <c r="R259" s="159">
        <v>4.75</v>
      </c>
      <c r="S259" s="159">
        <v>5.0</v>
      </c>
      <c r="T259" s="159">
        <v>4.0</v>
      </c>
      <c r="U259" s="159">
        <v>5.0</v>
      </c>
      <c r="V259" s="159">
        <v>5.0</v>
      </c>
      <c r="W259" s="159">
        <v>4.75</v>
      </c>
      <c r="X259" s="161"/>
      <c r="Y259" s="161"/>
      <c r="Z259" s="161"/>
      <c r="AA259" s="161"/>
      <c r="AB259" s="161"/>
      <c r="AC259" s="159">
        <v>4.766666666666667</v>
      </c>
      <c r="AD259" s="159"/>
    </row>
    <row r="260">
      <c r="A260" s="162">
        <v>102595.0</v>
      </c>
      <c r="B260" s="163" t="s">
        <v>792</v>
      </c>
      <c r="C260" s="164" t="s">
        <v>793</v>
      </c>
      <c r="D260" s="165">
        <v>44799.0</v>
      </c>
      <c r="E260" s="164" t="s">
        <v>295</v>
      </c>
      <c r="F260" s="161"/>
      <c r="G260" s="161"/>
      <c r="H260" s="159">
        <v>4.0</v>
      </c>
      <c r="I260" s="159">
        <v>5.0</v>
      </c>
      <c r="J260" s="159">
        <v>4.0</v>
      </c>
      <c r="K260" s="159">
        <v>4.0</v>
      </c>
      <c r="L260" s="159">
        <v>4.0</v>
      </c>
      <c r="M260" s="159">
        <v>4.2</v>
      </c>
      <c r="N260" s="159">
        <v>4.0</v>
      </c>
      <c r="O260" s="159">
        <v>5.0</v>
      </c>
      <c r="P260" s="159">
        <v>0.0</v>
      </c>
      <c r="Q260" s="159">
        <v>4.0</v>
      </c>
      <c r="R260" s="159">
        <v>3.25</v>
      </c>
      <c r="S260" s="159">
        <v>4.0</v>
      </c>
      <c r="T260" s="159">
        <v>4.0</v>
      </c>
      <c r="U260" s="159">
        <v>4.0</v>
      </c>
      <c r="V260" s="159">
        <v>4.0</v>
      </c>
      <c r="W260" s="159">
        <v>4.0</v>
      </c>
      <c r="X260" s="161"/>
      <c r="Y260" s="161"/>
      <c r="Z260" s="161"/>
      <c r="AA260" s="161"/>
      <c r="AB260" s="161"/>
      <c r="AC260" s="159">
        <v>3.8166666666666664</v>
      </c>
      <c r="AD260" s="159"/>
    </row>
    <row r="261">
      <c r="A261" s="162">
        <v>102614.0</v>
      </c>
      <c r="B261" s="163" t="s">
        <v>794</v>
      </c>
      <c r="C261" s="164" t="s">
        <v>795</v>
      </c>
      <c r="D261" s="165">
        <v>44800.0</v>
      </c>
      <c r="E261" s="164" t="s">
        <v>602</v>
      </c>
      <c r="F261" s="161"/>
      <c r="G261" s="161"/>
      <c r="H261" s="159">
        <v>5.0</v>
      </c>
      <c r="I261" s="159">
        <v>5.0</v>
      </c>
      <c r="J261" s="159">
        <v>5.0</v>
      </c>
      <c r="K261" s="159">
        <v>5.0</v>
      </c>
      <c r="L261" s="159">
        <v>5.0</v>
      </c>
      <c r="M261" s="159">
        <v>5.0</v>
      </c>
      <c r="N261" s="159">
        <v>5.0</v>
      </c>
      <c r="O261" s="159">
        <v>5.0</v>
      </c>
      <c r="P261" s="159">
        <v>5.0</v>
      </c>
      <c r="Q261" s="159">
        <v>5.0</v>
      </c>
      <c r="R261" s="159">
        <v>5.0</v>
      </c>
      <c r="S261" s="159">
        <v>5.0</v>
      </c>
      <c r="T261" s="159">
        <v>5.0</v>
      </c>
      <c r="U261" s="159">
        <v>5.0</v>
      </c>
      <c r="V261" s="159">
        <v>5.0</v>
      </c>
      <c r="W261" s="159">
        <v>5.0</v>
      </c>
      <c r="X261" s="161"/>
      <c r="Y261" s="161"/>
      <c r="Z261" s="161"/>
      <c r="AA261" s="161"/>
      <c r="AB261" s="161"/>
      <c r="AC261" s="159">
        <v>5.0</v>
      </c>
      <c r="AD261" s="159"/>
    </row>
    <row r="262">
      <c r="A262" s="162">
        <v>102678.0</v>
      </c>
      <c r="B262" s="163" t="s">
        <v>796</v>
      </c>
      <c r="C262" s="164" t="s">
        <v>797</v>
      </c>
      <c r="D262" s="165">
        <v>44803.0</v>
      </c>
      <c r="E262" s="164" t="s">
        <v>265</v>
      </c>
      <c r="F262" s="161"/>
      <c r="G262" s="161"/>
      <c r="H262" s="159">
        <v>5.0</v>
      </c>
      <c r="I262" s="159">
        <v>5.0</v>
      </c>
      <c r="J262" s="159">
        <v>5.0</v>
      </c>
      <c r="K262" s="159">
        <v>5.0</v>
      </c>
      <c r="L262" s="159">
        <v>5.0</v>
      </c>
      <c r="M262" s="159">
        <v>5.0</v>
      </c>
      <c r="N262" s="159">
        <v>5.0</v>
      </c>
      <c r="O262" s="159">
        <v>5.0</v>
      </c>
      <c r="P262" s="159">
        <v>5.0</v>
      </c>
      <c r="Q262" s="159">
        <v>5.0</v>
      </c>
      <c r="R262" s="159">
        <v>5.0</v>
      </c>
      <c r="S262" s="159">
        <v>4.5</v>
      </c>
      <c r="T262" s="159">
        <v>4.5</v>
      </c>
      <c r="U262" s="159">
        <v>4.5</v>
      </c>
      <c r="V262" s="159">
        <v>4.5</v>
      </c>
      <c r="W262" s="159">
        <v>4.5</v>
      </c>
      <c r="X262" s="161"/>
      <c r="Y262" s="161"/>
      <c r="Z262" s="161"/>
      <c r="AA262" s="161"/>
      <c r="AB262" s="161"/>
      <c r="AC262" s="159">
        <v>4.833333333333333</v>
      </c>
      <c r="AD262" s="159"/>
    </row>
    <row r="263">
      <c r="A263" s="162">
        <v>102666.0</v>
      </c>
      <c r="B263" s="163" t="s">
        <v>798</v>
      </c>
      <c r="C263" s="164" t="s">
        <v>799</v>
      </c>
      <c r="D263" s="165">
        <v>44805.0</v>
      </c>
      <c r="E263" s="164" t="s">
        <v>254</v>
      </c>
      <c r="F263" s="161"/>
      <c r="G263" s="161"/>
      <c r="H263" s="159">
        <v>5.0</v>
      </c>
      <c r="I263" s="159">
        <v>5.0</v>
      </c>
      <c r="J263" s="159">
        <v>5.0</v>
      </c>
      <c r="K263" s="159">
        <v>5.0</v>
      </c>
      <c r="L263" s="159">
        <v>5.0</v>
      </c>
      <c r="M263" s="159">
        <v>5.0</v>
      </c>
      <c r="N263" s="159">
        <v>5.0</v>
      </c>
      <c r="O263" s="159">
        <v>5.0</v>
      </c>
      <c r="P263" s="159">
        <v>5.0</v>
      </c>
      <c r="Q263" s="159">
        <v>5.0</v>
      </c>
      <c r="R263" s="159">
        <v>5.0</v>
      </c>
      <c r="S263" s="159">
        <v>5.0</v>
      </c>
      <c r="T263" s="159">
        <v>5.0</v>
      </c>
      <c r="U263" s="159">
        <v>5.0</v>
      </c>
      <c r="V263" s="159">
        <v>5.0</v>
      </c>
      <c r="W263" s="159">
        <v>5.0</v>
      </c>
      <c r="X263" s="161"/>
      <c r="Y263" s="161"/>
      <c r="Z263" s="161"/>
      <c r="AA263" s="161"/>
      <c r="AB263" s="161"/>
      <c r="AC263" s="159">
        <v>5.0</v>
      </c>
      <c r="AD263" s="159"/>
    </row>
    <row r="264">
      <c r="A264" s="162">
        <v>102652.0</v>
      </c>
      <c r="B264" s="163" t="s">
        <v>800</v>
      </c>
      <c r="C264" s="164" t="s">
        <v>801</v>
      </c>
      <c r="D264" s="165">
        <v>44810.0</v>
      </c>
      <c r="E264" s="164" t="s">
        <v>18</v>
      </c>
      <c r="F264" s="161"/>
      <c r="G264" s="161"/>
      <c r="H264" s="159">
        <v>5.0</v>
      </c>
      <c r="I264" s="159">
        <v>5.0</v>
      </c>
      <c r="J264" s="159">
        <v>5.0</v>
      </c>
      <c r="K264" s="159">
        <v>5.0</v>
      </c>
      <c r="L264" s="159">
        <v>5.0</v>
      </c>
      <c r="M264" s="159">
        <v>5.0</v>
      </c>
      <c r="N264" s="159">
        <v>5.0</v>
      </c>
      <c r="O264" s="159">
        <v>5.0</v>
      </c>
      <c r="P264" s="159">
        <v>5.0</v>
      </c>
      <c r="Q264" s="159">
        <v>5.0</v>
      </c>
      <c r="R264" s="159">
        <v>5.0</v>
      </c>
      <c r="S264" s="159">
        <v>5.0</v>
      </c>
      <c r="T264" s="159">
        <v>5.0</v>
      </c>
      <c r="U264" s="159">
        <v>5.0</v>
      </c>
      <c r="V264" s="159">
        <v>5.0</v>
      </c>
      <c r="W264" s="159">
        <v>5.0</v>
      </c>
      <c r="X264" s="161"/>
      <c r="Y264" s="161"/>
      <c r="Z264" s="161"/>
      <c r="AA264" s="161"/>
      <c r="AB264" s="161"/>
      <c r="AC264" s="159">
        <v>5.0</v>
      </c>
      <c r="AD264" s="159"/>
    </row>
    <row r="265">
      <c r="A265" s="162">
        <v>102539.0</v>
      </c>
      <c r="B265" s="163" t="s">
        <v>802</v>
      </c>
      <c r="C265" s="164" t="s">
        <v>803</v>
      </c>
      <c r="D265" s="165">
        <v>44810.0</v>
      </c>
      <c r="E265" s="164" t="s">
        <v>689</v>
      </c>
      <c r="F265" s="161"/>
      <c r="G265" s="161"/>
      <c r="H265" s="159">
        <v>4.0</v>
      </c>
      <c r="I265" s="159">
        <v>4.0</v>
      </c>
      <c r="J265" s="159">
        <v>4.0</v>
      </c>
      <c r="K265" s="159">
        <v>4.0</v>
      </c>
      <c r="L265" s="159">
        <v>4.0</v>
      </c>
      <c r="M265" s="159">
        <v>4.0</v>
      </c>
      <c r="N265" s="159">
        <v>4.0</v>
      </c>
      <c r="O265" s="159">
        <v>4.0</v>
      </c>
      <c r="P265" s="159">
        <v>3.0</v>
      </c>
      <c r="Q265" s="159">
        <v>4.0</v>
      </c>
      <c r="R265" s="159">
        <v>3.75</v>
      </c>
      <c r="S265" s="159">
        <v>4.0</v>
      </c>
      <c r="T265" s="159">
        <v>4.0</v>
      </c>
      <c r="U265" s="159">
        <v>4.0</v>
      </c>
      <c r="V265" s="159">
        <v>4.0</v>
      </c>
      <c r="W265" s="159">
        <v>4.0</v>
      </c>
      <c r="X265" s="161"/>
      <c r="Y265" s="161"/>
      <c r="Z265" s="161"/>
      <c r="AA265" s="161"/>
      <c r="AB265" s="161"/>
      <c r="AC265" s="159">
        <v>3.9166666666666665</v>
      </c>
      <c r="AD265" s="159"/>
    </row>
    <row r="266">
      <c r="A266" s="162">
        <v>102560.0</v>
      </c>
      <c r="B266" s="163" t="s">
        <v>804</v>
      </c>
      <c r="C266" s="164" t="s">
        <v>805</v>
      </c>
      <c r="D266" s="165">
        <v>44812.0</v>
      </c>
      <c r="E266" s="164" t="s">
        <v>806</v>
      </c>
      <c r="F266" s="161"/>
      <c r="G266" s="161"/>
      <c r="H266" s="159">
        <v>5.0</v>
      </c>
      <c r="I266" s="159">
        <v>5.0</v>
      </c>
      <c r="J266" s="159">
        <v>5.0</v>
      </c>
      <c r="K266" s="159">
        <v>5.0</v>
      </c>
      <c r="L266" s="159">
        <v>5.0</v>
      </c>
      <c r="M266" s="159">
        <v>5.0</v>
      </c>
      <c r="N266" s="159">
        <v>5.0</v>
      </c>
      <c r="O266" s="159">
        <v>5.0</v>
      </c>
      <c r="P266" s="159">
        <v>5.0</v>
      </c>
      <c r="Q266" s="159">
        <v>5.0</v>
      </c>
      <c r="R266" s="159">
        <v>5.0</v>
      </c>
      <c r="S266" s="159">
        <v>4.5</v>
      </c>
      <c r="T266" s="159">
        <v>4.5</v>
      </c>
      <c r="U266" s="159">
        <v>4.5</v>
      </c>
      <c r="V266" s="159">
        <v>4.5</v>
      </c>
      <c r="W266" s="159">
        <v>4.5</v>
      </c>
      <c r="X266" s="161"/>
      <c r="Y266" s="161"/>
      <c r="Z266" s="161"/>
      <c r="AA266" s="161"/>
      <c r="AB266" s="161"/>
      <c r="AC266" s="159">
        <v>4.833333333333333</v>
      </c>
      <c r="AD266" s="159"/>
    </row>
    <row r="267">
      <c r="A267" s="162">
        <v>102602.0</v>
      </c>
      <c r="B267" s="163" t="s">
        <v>807</v>
      </c>
      <c r="C267" s="164" t="s">
        <v>808</v>
      </c>
      <c r="D267" s="165">
        <v>44813.0</v>
      </c>
      <c r="E267" s="164" t="s">
        <v>295</v>
      </c>
      <c r="F267" s="161"/>
      <c r="G267" s="161"/>
      <c r="H267" s="159">
        <v>5.0</v>
      </c>
      <c r="I267" s="159">
        <v>5.0</v>
      </c>
      <c r="J267" s="159">
        <v>5.0</v>
      </c>
      <c r="K267" s="159">
        <v>5.0</v>
      </c>
      <c r="L267" s="159">
        <v>5.0</v>
      </c>
      <c r="M267" s="159">
        <v>5.0</v>
      </c>
      <c r="N267" s="159">
        <v>5.0</v>
      </c>
      <c r="O267" s="159">
        <v>5.0</v>
      </c>
      <c r="P267" s="159">
        <v>5.0</v>
      </c>
      <c r="Q267" s="159">
        <v>5.0</v>
      </c>
      <c r="R267" s="159">
        <v>5.0</v>
      </c>
      <c r="S267" s="159">
        <v>4.5</v>
      </c>
      <c r="T267" s="159">
        <v>4.5</v>
      </c>
      <c r="U267" s="159">
        <v>4.5</v>
      </c>
      <c r="V267" s="159">
        <v>4.5</v>
      </c>
      <c r="W267" s="159">
        <v>4.5</v>
      </c>
      <c r="X267" s="161"/>
      <c r="Y267" s="161"/>
      <c r="Z267" s="161"/>
      <c r="AA267" s="161"/>
      <c r="AB267" s="161"/>
      <c r="AC267" s="159">
        <v>4.833333333333333</v>
      </c>
      <c r="AD267" s="159"/>
    </row>
    <row r="268">
      <c r="A268" s="162">
        <v>102770.0</v>
      </c>
      <c r="B268" s="163" t="s">
        <v>809</v>
      </c>
      <c r="C268" s="164" t="s">
        <v>810</v>
      </c>
      <c r="D268" s="165">
        <v>44816.0</v>
      </c>
      <c r="E268" s="164" t="s">
        <v>295</v>
      </c>
      <c r="F268" s="161"/>
      <c r="G268" s="161"/>
      <c r="H268" s="159">
        <v>4.0</v>
      </c>
      <c r="I268" s="159">
        <v>5.0</v>
      </c>
      <c r="J268" s="159">
        <v>4.0</v>
      </c>
      <c r="K268" s="159">
        <v>5.0</v>
      </c>
      <c r="L268" s="159">
        <v>5.0</v>
      </c>
      <c r="M268" s="159">
        <v>4.6</v>
      </c>
      <c r="N268" s="159">
        <v>4.0</v>
      </c>
      <c r="O268" s="159">
        <v>5.0</v>
      </c>
      <c r="P268" s="159">
        <v>4.0</v>
      </c>
      <c r="Q268" s="159">
        <v>5.0</v>
      </c>
      <c r="R268" s="159">
        <v>4.5</v>
      </c>
      <c r="S268" s="159">
        <v>4.5</v>
      </c>
      <c r="T268" s="159">
        <v>4.5</v>
      </c>
      <c r="U268" s="159">
        <v>4.5</v>
      </c>
      <c r="V268" s="159">
        <v>4.5</v>
      </c>
      <c r="W268" s="159">
        <v>4.5</v>
      </c>
      <c r="X268" s="161"/>
      <c r="Y268" s="161"/>
      <c r="Z268" s="161"/>
      <c r="AA268" s="161"/>
      <c r="AB268" s="161"/>
      <c r="AC268" s="159">
        <v>4.533333333333333</v>
      </c>
      <c r="AD268" s="159"/>
    </row>
    <row r="269">
      <c r="A269" s="162">
        <v>102779.0</v>
      </c>
      <c r="B269" s="163" t="s">
        <v>811</v>
      </c>
      <c r="C269" s="164" t="s">
        <v>812</v>
      </c>
      <c r="D269" s="165">
        <v>44816.0</v>
      </c>
      <c r="E269" s="164" t="s">
        <v>295</v>
      </c>
      <c r="F269" s="161"/>
      <c r="G269" s="161"/>
      <c r="H269" s="159">
        <v>5.0</v>
      </c>
      <c r="I269" s="159">
        <v>5.0</v>
      </c>
      <c r="J269" s="159">
        <v>5.0</v>
      </c>
      <c r="K269" s="159">
        <v>5.0</v>
      </c>
      <c r="L269" s="159">
        <v>4.0</v>
      </c>
      <c r="M269" s="159">
        <v>4.8</v>
      </c>
      <c r="N269" s="159">
        <v>5.0</v>
      </c>
      <c r="O269" s="159">
        <v>4.9</v>
      </c>
      <c r="P269" s="159">
        <v>4.5</v>
      </c>
      <c r="Q269" s="159">
        <v>4.5</v>
      </c>
      <c r="R269" s="159">
        <v>4.725</v>
      </c>
      <c r="S269" s="159">
        <v>4.5</v>
      </c>
      <c r="T269" s="159">
        <v>4.5</v>
      </c>
      <c r="U269" s="159">
        <v>4.5</v>
      </c>
      <c r="V269" s="159">
        <v>4.5</v>
      </c>
      <c r="W269" s="159">
        <v>4.5</v>
      </c>
      <c r="X269" s="161"/>
      <c r="Y269" s="161"/>
      <c r="Z269" s="161"/>
      <c r="AA269" s="161"/>
      <c r="AB269" s="161"/>
      <c r="AC269" s="159">
        <v>4.675</v>
      </c>
      <c r="AD269" s="159"/>
    </row>
    <row r="270">
      <c r="A270" s="162">
        <v>102674.0</v>
      </c>
      <c r="B270" s="163" t="s">
        <v>813</v>
      </c>
      <c r="C270" s="164" t="s">
        <v>814</v>
      </c>
      <c r="D270" s="165">
        <v>44817.0</v>
      </c>
      <c r="E270" s="164" t="s">
        <v>522</v>
      </c>
      <c r="F270" s="161"/>
      <c r="G270" s="161"/>
      <c r="H270" s="159">
        <v>5.0</v>
      </c>
      <c r="I270" s="159">
        <v>5.0</v>
      </c>
      <c r="J270" s="159">
        <v>4.0</v>
      </c>
      <c r="K270" s="159">
        <v>5.0</v>
      </c>
      <c r="L270" s="159">
        <v>5.0</v>
      </c>
      <c r="M270" s="159">
        <v>4.8</v>
      </c>
      <c r="N270" s="159">
        <v>5.0</v>
      </c>
      <c r="O270" s="159">
        <v>5.0</v>
      </c>
      <c r="P270" s="159">
        <v>4.0</v>
      </c>
      <c r="Q270" s="159">
        <v>5.0</v>
      </c>
      <c r="R270" s="159">
        <v>4.75</v>
      </c>
      <c r="S270" s="159">
        <v>4.5</v>
      </c>
      <c r="T270" s="159">
        <v>4.5</v>
      </c>
      <c r="U270" s="159">
        <v>4.5</v>
      </c>
      <c r="V270" s="159">
        <v>4.5</v>
      </c>
      <c r="W270" s="159">
        <v>4.5</v>
      </c>
      <c r="X270" s="161"/>
      <c r="Y270" s="161"/>
      <c r="Z270" s="161"/>
      <c r="AA270" s="161"/>
      <c r="AB270" s="161"/>
      <c r="AC270" s="159">
        <v>4.683333333333334</v>
      </c>
      <c r="AD270" s="159"/>
    </row>
    <row r="271">
      <c r="A271" s="162">
        <v>102656.0</v>
      </c>
      <c r="B271" s="163" t="s">
        <v>815</v>
      </c>
      <c r="C271" s="164" t="s">
        <v>816</v>
      </c>
      <c r="D271" s="165">
        <v>44817.0</v>
      </c>
      <c r="E271" s="164" t="s">
        <v>487</v>
      </c>
      <c r="F271" s="161"/>
      <c r="G271" s="161"/>
      <c r="H271" s="159">
        <v>4.0</v>
      </c>
      <c r="I271" s="159">
        <v>4.0</v>
      </c>
      <c r="J271" s="159">
        <v>4.0</v>
      </c>
      <c r="K271" s="159">
        <v>4.0</v>
      </c>
      <c r="L271" s="159">
        <v>4.0</v>
      </c>
      <c r="M271" s="159">
        <v>4.0</v>
      </c>
      <c r="N271" s="159">
        <v>4.0</v>
      </c>
      <c r="O271" s="159">
        <v>4.0</v>
      </c>
      <c r="P271" s="159">
        <v>4.0</v>
      </c>
      <c r="Q271" s="159">
        <v>4.0</v>
      </c>
      <c r="R271" s="159">
        <v>4.0</v>
      </c>
      <c r="S271" s="159">
        <v>4.0</v>
      </c>
      <c r="T271" s="159">
        <v>4.0</v>
      </c>
      <c r="U271" s="159">
        <v>4.0</v>
      </c>
      <c r="V271" s="159">
        <v>4.0</v>
      </c>
      <c r="W271" s="159">
        <v>4.0</v>
      </c>
      <c r="X271" s="161"/>
      <c r="Y271" s="161"/>
      <c r="Z271" s="161"/>
      <c r="AA271" s="161"/>
      <c r="AB271" s="161"/>
      <c r="AC271" s="159">
        <v>4.0</v>
      </c>
      <c r="AD271" s="159"/>
    </row>
    <row r="272">
      <c r="A272" s="162">
        <v>102810.0</v>
      </c>
      <c r="B272" s="163" t="s">
        <v>817</v>
      </c>
      <c r="C272" s="164" t="s">
        <v>818</v>
      </c>
      <c r="D272" s="165">
        <v>44825.0</v>
      </c>
      <c r="E272" s="164" t="s">
        <v>154</v>
      </c>
      <c r="F272" s="161"/>
      <c r="G272" s="161"/>
      <c r="H272" s="159">
        <v>5.0</v>
      </c>
      <c r="I272" s="159">
        <v>5.0</v>
      </c>
      <c r="J272" s="159">
        <v>5.0</v>
      </c>
      <c r="K272" s="159">
        <v>5.0</v>
      </c>
      <c r="L272" s="159">
        <v>5.0</v>
      </c>
      <c r="M272" s="159">
        <v>5.0</v>
      </c>
      <c r="N272" s="159">
        <v>5.0</v>
      </c>
      <c r="O272" s="159">
        <v>5.0</v>
      </c>
      <c r="P272" s="159">
        <v>5.0</v>
      </c>
      <c r="Q272" s="159">
        <v>5.0</v>
      </c>
      <c r="R272" s="159">
        <v>5.0</v>
      </c>
      <c r="S272" s="159">
        <v>4.5</v>
      </c>
      <c r="T272" s="159">
        <v>4.5</v>
      </c>
      <c r="U272" s="159">
        <v>4.5</v>
      </c>
      <c r="V272" s="159">
        <v>4.5</v>
      </c>
      <c r="W272" s="159">
        <v>4.5</v>
      </c>
      <c r="X272" s="161"/>
      <c r="Y272" s="161"/>
      <c r="Z272" s="161"/>
      <c r="AA272" s="161"/>
      <c r="AB272" s="161"/>
      <c r="AC272" s="159">
        <v>4.833333333333333</v>
      </c>
      <c r="AD272" s="159"/>
    </row>
    <row r="273">
      <c r="A273" s="162">
        <v>102809.0</v>
      </c>
      <c r="B273" s="163" t="s">
        <v>819</v>
      </c>
      <c r="C273" s="164" t="s">
        <v>820</v>
      </c>
      <c r="D273" s="165">
        <v>44827.0</v>
      </c>
      <c r="E273" s="164" t="s">
        <v>295</v>
      </c>
      <c r="F273" s="161"/>
      <c r="G273" s="161"/>
      <c r="H273" s="159">
        <v>4.0</v>
      </c>
      <c r="I273" s="159">
        <v>4.0</v>
      </c>
      <c r="J273" s="159">
        <v>4.0</v>
      </c>
      <c r="K273" s="159">
        <v>4.0</v>
      </c>
      <c r="L273" s="159">
        <v>4.0</v>
      </c>
      <c r="M273" s="159">
        <v>4.0</v>
      </c>
      <c r="N273" s="159">
        <v>3.99</v>
      </c>
      <c r="O273" s="159">
        <v>3.99</v>
      </c>
      <c r="P273" s="159">
        <v>3.0</v>
      </c>
      <c r="Q273" s="159">
        <v>3.5</v>
      </c>
      <c r="R273" s="159">
        <v>3.62</v>
      </c>
      <c r="S273" s="159">
        <v>4.0</v>
      </c>
      <c r="T273" s="159">
        <v>4.0</v>
      </c>
      <c r="U273" s="159">
        <v>4.0</v>
      </c>
      <c r="V273" s="159">
        <v>4.0</v>
      </c>
      <c r="W273" s="159">
        <v>4.0</v>
      </c>
      <c r="X273" s="161"/>
      <c r="Y273" s="161"/>
      <c r="Z273" s="161"/>
      <c r="AA273" s="161"/>
      <c r="AB273" s="161"/>
      <c r="AC273" s="159">
        <v>3.8733333333333335</v>
      </c>
      <c r="AD273" s="159"/>
    </row>
    <row r="274">
      <c r="A274" s="162">
        <v>102709.0</v>
      </c>
      <c r="B274" s="163" t="s">
        <v>821</v>
      </c>
      <c r="C274" s="164" t="s">
        <v>822</v>
      </c>
      <c r="D274" s="165">
        <v>44827.0</v>
      </c>
      <c r="E274" s="164" t="s">
        <v>625</v>
      </c>
      <c r="F274" s="161"/>
      <c r="G274" s="161"/>
      <c r="H274" s="159">
        <v>5.0</v>
      </c>
      <c r="I274" s="159">
        <v>5.0</v>
      </c>
      <c r="J274" s="159">
        <v>5.0</v>
      </c>
      <c r="K274" s="159">
        <v>5.0</v>
      </c>
      <c r="L274" s="159">
        <v>5.0</v>
      </c>
      <c r="M274" s="159">
        <v>5.0</v>
      </c>
      <c r="N274" s="159">
        <v>5.0</v>
      </c>
      <c r="O274" s="159">
        <v>5.0</v>
      </c>
      <c r="P274" s="159">
        <v>5.0</v>
      </c>
      <c r="Q274" s="159">
        <v>5.0</v>
      </c>
      <c r="R274" s="159">
        <v>5.0</v>
      </c>
      <c r="S274" s="159">
        <v>5.0</v>
      </c>
      <c r="T274" s="159">
        <v>5.0</v>
      </c>
      <c r="U274" s="159">
        <v>5.0</v>
      </c>
      <c r="V274" s="159">
        <v>5.0</v>
      </c>
      <c r="W274" s="159">
        <v>5.0</v>
      </c>
      <c r="X274" s="161"/>
      <c r="Y274" s="161"/>
      <c r="Z274" s="161"/>
      <c r="AA274" s="161"/>
      <c r="AB274" s="161"/>
      <c r="AC274" s="159">
        <v>5.0</v>
      </c>
      <c r="AD274" s="159"/>
    </row>
    <row r="275">
      <c r="A275" s="162">
        <v>102802.0</v>
      </c>
      <c r="B275" s="163" t="s">
        <v>823</v>
      </c>
      <c r="C275" s="164" t="s">
        <v>824</v>
      </c>
      <c r="D275" s="165">
        <v>44830.0</v>
      </c>
      <c r="E275" s="164" t="s">
        <v>233</v>
      </c>
      <c r="F275" s="161"/>
      <c r="G275" s="161"/>
      <c r="H275" s="159">
        <v>5.0</v>
      </c>
      <c r="I275" s="159">
        <v>5.0</v>
      </c>
      <c r="J275" s="159">
        <v>5.0</v>
      </c>
      <c r="K275" s="159">
        <v>5.0</v>
      </c>
      <c r="L275" s="159">
        <v>5.0</v>
      </c>
      <c r="M275" s="159">
        <v>5.0</v>
      </c>
      <c r="N275" s="159">
        <v>5.0</v>
      </c>
      <c r="O275" s="159">
        <v>5.0</v>
      </c>
      <c r="P275" s="159">
        <v>5.0</v>
      </c>
      <c r="Q275" s="159">
        <v>5.0</v>
      </c>
      <c r="R275" s="159">
        <v>5.0</v>
      </c>
      <c r="S275" s="159">
        <v>5.0</v>
      </c>
      <c r="T275" s="159">
        <v>5.0</v>
      </c>
      <c r="U275" s="159">
        <v>5.0</v>
      </c>
      <c r="V275" s="159">
        <v>5.0</v>
      </c>
      <c r="W275" s="159">
        <v>5.0</v>
      </c>
      <c r="X275" s="161"/>
      <c r="Y275" s="161"/>
      <c r="Z275" s="161"/>
      <c r="AA275" s="161"/>
      <c r="AB275" s="161"/>
      <c r="AC275" s="159">
        <v>5.0</v>
      </c>
      <c r="AD275" s="159"/>
    </row>
    <row r="276">
      <c r="A276" s="162">
        <v>102831.0</v>
      </c>
      <c r="B276" s="163" t="s">
        <v>825</v>
      </c>
      <c r="C276" s="164" t="s">
        <v>826</v>
      </c>
      <c r="D276" s="165">
        <v>44832.0</v>
      </c>
      <c r="E276" s="164" t="s">
        <v>625</v>
      </c>
      <c r="F276" s="161"/>
      <c r="G276" s="161"/>
      <c r="H276" s="159">
        <v>5.0</v>
      </c>
      <c r="I276" s="159">
        <v>5.0</v>
      </c>
      <c r="J276" s="159">
        <v>4.5</v>
      </c>
      <c r="K276" s="159">
        <v>5.0</v>
      </c>
      <c r="L276" s="159">
        <v>5.0</v>
      </c>
      <c r="M276" s="159">
        <v>4.9</v>
      </c>
      <c r="N276" s="159">
        <v>5.0</v>
      </c>
      <c r="O276" s="159">
        <v>5.0</v>
      </c>
      <c r="P276" s="159">
        <v>4.5</v>
      </c>
      <c r="Q276" s="159">
        <v>5.0</v>
      </c>
      <c r="R276" s="159">
        <v>4.875</v>
      </c>
      <c r="S276" s="159">
        <v>4.5</v>
      </c>
      <c r="T276" s="159">
        <v>4.5</v>
      </c>
      <c r="U276" s="159">
        <v>4.5</v>
      </c>
      <c r="V276" s="159">
        <v>4.5</v>
      </c>
      <c r="W276" s="159">
        <v>4.5</v>
      </c>
      <c r="X276" s="161"/>
      <c r="Y276" s="161"/>
      <c r="Z276" s="161"/>
      <c r="AA276" s="161"/>
      <c r="AB276" s="161"/>
      <c r="AC276" s="159">
        <v>4.758333333333334</v>
      </c>
      <c r="AD276" s="159"/>
    </row>
    <row r="277">
      <c r="A277" s="162">
        <v>102802.0</v>
      </c>
      <c r="B277" s="169"/>
      <c r="C277" s="164" t="s">
        <v>824</v>
      </c>
      <c r="D277" s="165">
        <v>44834.0</v>
      </c>
      <c r="E277" s="164" t="s">
        <v>225</v>
      </c>
      <c r="F277" s="161"/>
      <c r="G277" s="161"/>
      <c r="H277" s="159">
        <v>5.0</v>
      </c>
      <c r="I277" s="159">
        <v>5.0</v>
      </c>
      <c r="J277" s="159">
        <v>4.5</v>
      </c>
      <c r="K277" s="159">
        <v>5.0</v>
      </c>
      <c r="L277" s="159">
        <v>5.0</v>
      </c>
      <c r="M277" s="159">
        <v>4.9</v>
      </c>
      <c r="N277" s="159">
        <v>5.0</v>
      </c>
      <c r="O277" s="159">
        <v>4.9</v>
      </c>
      <c r="P277" s="159">
        <v>4.5</v>
      </c>
      <c r="Q277" s="159">
        <v>5.0</v>
      </c>
      <c r="R277" s="159">
        <v>4.85</v>
      </c>
      <c r="S277" s="159">
        <v>4.5</v>
      </c>
      <c r="T277" s="159">
        <v>4.5</v>
      </c>
      <c r="U277" s="159">
        <v>4.5</v>
      </c>
      <c r="V277" s="159">
        <v>4.5</v>
      </c>
      <c r="W277" s="159">
        <v>4.5</v>
      </c>
      <c r="X277" s="161"/>
      <c r="Y277" s="161"/>
      <c r="Z277" s="161"/>
      <c r="AA277" s="161"/>
      <c r="AB277" s="161"/>
      <c r="AC277" s="159">
        <v>4.75</v>
      </c>
      <c r="AD277" s="159"/>
    </row>
    <row r="278">
      <c r="A278" s="162">
        <v>102833.0</v>
      </c>
      <c r="B278" s="163" t="s">
        <v>827</v>
      </c>
      <c r="C278" s="164" t="s">
        <v>828</v>
      </c>
      <c r="D278" s="165">
        <v>44837.0</v>
      </c>
      <c r="E278" s="164" t="s">
        <v>51</v>
      </c>
      <c r="F278" s="161"/>
      <c r="G278" s="161"/>
      <c r="H278" s="159">
        <v>5.0</v>
      </c>
      <c r="I278" s="159">
        <v>5.0</v>
      </c>
      <c r="J278" s="159">
        <v>5.0</v>
      </c>
      <c r="K278" s="159">
        <v>5.0</v>
      </c>
      <c r="L278" s="159">
        <v>5.0</v>
      </c>
      <c r="M278" s="159">
        <v>5.0</v>
      </c>
      <c r="N278" s="159">
        <v>5.0</v>
      </c>
      <c r="O278" s="159">
        <v>5.0</v>
      </c>
      <c r="P278" s="159">
        <v>4.8</v>
      </c>
      <c r="Q278" s="159">
        <v>5.0</v>
      </c>
      <c r="R278" s="159">
        <v>4.95</v>
      </c>
      <c r="S278" s="159">
        <v>4.5</v>
      </c>
      <c r="T278" s="159">
        <v>4.5</v>
      </c>
      <c r="U278" s="159">
        <v>4.5</v>
      </c>
      <c r="V278" s="159">
        <v>4.5</v>
      </c>
      <c r="W278" s="159">
        <v>4.5</v>
      </c>
      <c r="X278" s="161"/>
      <c r="Y278" s="161"/>
      <c r="Z278" s="161"/>
      <c r="AA278" s="161"/>
      <c r="AB278" s="161"/>
      <c r="AC278" s="159">
        <v>4.816666666666666</v>
      </c>
      <c r="AD278" s="159"/>
    </row>
    <row r="279">
      <c r="A279" s="162">
        <v>102698.0</v>
      </c>
      <c r="B279" s="163" t="s">
        <v>829</v>
      </c>
      <c r="C279" s="164" t="s">
        <v>830</v>
      </c>
      <c r="D279" s="165">
        <v>44839.0</v>
      </c>
      <c r="E279" s="164" t="s">
        <v>625</v>
      </c>
      <c r="F279" s="161"/>
      <c r="G279" s="161"/>
      <c r="H279" s="159">
        <v>5.0</v>
      </c>
      <c r="I279" s="159">
        <v>5.0</v>
      </c>
      <c r="J279" s="159">
        <v>5.0</v>
      </c>
      <c r="K279" s="159">
        <v>5.0</v>
      </c>
      <c r="L279" s="159">
        <v>5.0</v>
      </c>
      <c r="M279" s="159">
        <v>5.0</v>
      </c>
      <c r="N279" s="159">
        <v>5.0</v>
      </c>
      <c r="O279" s="159">
        <v>5.0</v>
      </c>
      <c r="P279" s="159">
        <v>5.0</v>
      </c>
      <c r="Q279" s="159">
        <v>5.0</v>
      </c>
      <c r="R279" s="159">
        <v>5.0</v>
      </c>
      <c r="S279" s="159">
        <v>4.5</v>
      </c>
      <c r="T279" s="159">
        <v>4.5</v>
      </c>
      <c r="U279" s="159">
        <v>4.5</v>
      </c>
      <c r="V279" s="159">
        <v>4.5</v>
      </c>
      <c r="W279" s="159">
        <v>4.5</v>
      </c>
      <c r="X279" s="161"/>
      <c r="Y279" s="161"/>
      <c r="Z279" s="161"/>
      <c r="AA279" s="161"/>
      <c r="AB279" s="161"/>
      <c r="AC279" s="159">
        <v>4.833333333333333</v>
      </c>
      <c r="AD279" s="159"/>
    </row>
    <row r="280">
      <c r="A280" s="162">
        <v>102798.0</v>
      </c>
      <c r="B280" s="163" t="s">
        <v>831</v>
      </c>
      <c r="C280" s="164" t="s">
        <v>832</v>
      </c>
      <c r="D280" s="165">
        <v>44846.0</v>
      </c>
      <c r="E280" s="164" t="s">
        <v>295</v>
      </c>
      <c r="F280" s="161"/>
      <c r="G280" s="161"/>
      <c r="H280" s="159">
        <v>4.0</v>
      </c>
      <c r="I280" s="159">
        <v>4.0</v>
      </c>
      <c r="J280" s="159">
        <v>4.0</v>
      </c>
      <c r="K280" s="159">
        <v>4.0</v>
      </c>
      <c r="L280" s="159">
        <v>4.0</v>
      </c>
      <c r="M280" s="159">
        <v>4.0</v>
      </c>
      <c r="N280" s="159">
        <v>4.0</v>
      </c>
      <c r="O280" s="159">
        <v>4.5</v>
      </c>
      <c r="P280" s="159">
        <v>4.0</v>
      </c>
      <c r="Q280" s="159">
        <v>3.0</v>
      </c>
      <c r="R280" s="159">
        <v>3.875</v>
      </c>
      <c r="S280" s="159">
        <v>4.0</v>
      </c>
      <c r="T280" s="159">
        <v>4.5</v>
      </c>
      <c r="U280" s="159">
        <v>4.0</v>
      </c>
      <c r="V280" s="159">
        <v>3.0</v>
      </c>
      <c r="W280" s="159">
        <v>3.875</v>
      </c>
      <c r="X280" s="161"/>
      <c r="Y280" s="161"/>
      <c r="Z280" s="161"/>
      <c r="AA280" s="161"/>
      <c r="AB280" s="161"/>
      <c r="AC280" s="159">
        <v>3.9166666666666665</v>
      </c>
      <c r="AD280" s="159"/>
    </row>
    <row r="281">
      <c r="A281" s="162">
        <v>102828.0</v>
      </c>
      <c r="B281" s="163" t="s">
        <v>833</v>
      </c>
      <c r="C281" s="164" t="s">
        <v>834</v>
      </c>
      <c r="D281" s="165">
        <v>44849.0</v>
      </c>
      <c r="E281" s="164" t="s">
        <v>87</v>
      </c>
      <c r="F281" s="161"/>
      <c r="G281" s="161"/>
      <c r="H281" s="159">
        <v>5.0</v>
      </c>
      <c r="I281" s="159">
        <v>5.0</v>
      </c>
      <c r="J281" s="159">
        <v>4.5</v>
      </c>
      <c r="K281" s="159">
        <v>5.0</v>
      </c>
      <c r="L281" s="159">
        <v>5.0</v>
      </c>
      <c r="M281" s="159">
        <v>4.9</v>
      </c>
      <c r="N281" s="159">
        <v>5.0</v>
      </c>
      <c r="O281" s="159">
        <v>5.0</v>
      </c>
      <c r="P281" s="159">
        <v>4.5</v>
      </c>
      <c r="Q281" s="159">
        <v>5.0</v>
      </c>
      <c r="R281" s="159">
        <v>4.875</v>
      </c>
      <c r="S281" s="159">
        <v>4.5</v>
      </c>
      <c r="T281" s="159">
        <v>4.5</v>
      </c>
      <c r="U281" s="159">
        <v>4.5</v>
      </c>
      <c r="V281" s="159">
        <v>4.5</v>
      </c>
      <c r="W281" s="159">
        <v>4.5</v>
      </c>
      <c r="X281" s="161"/>
      <c r="Y281" s="161"/>
      <c r="Z281" s="161"/>
      <c r="AA281" s="161"/>
      <c r="AB281" s="161"/>
      <c r="AC281" s="159">
        <v>4.758333333333334</v>
      </c>
      <c r="AD281" s="159"/>
    </row>
    <row r="282">
      <c r="A282" s="162">
        <v>102885.0</v>
      </c>
      <c r="B282" s="163" t="s">
        <v>835</v>
      </c>
      <c r="C282" s="164" t="s">
        <v>836</v>
      </c>
      <c r="D282" s="165">
        <v>44853.0</v>
      </c>
      <c r="E282" s="164" t="s">
        <v>625</v>
      </c>
      <c r="F282" s="161"/>
      <c r="G282" s="161"/>
      <c r="H282" s="159">
        <v>3.0</v>
      </c>
      <c r="I282" s="159">
        <v>5.0</v>
      </c>
      <c r="J282" s="159">
        <v>5.0</v>
      </c>
      <c r="K282" s="159">
        <v>5.0</v>
      </c>
      <c r="L282" s="159">
        <v>5.0</v>
      </c>
      <c r="M282" s="159">
        <v>4.6</v>
      </c>
      <c r="N282" s="159">
        <v>3.0</v>
      </c>
      <c r="O282" s="159">
        <v>5.0</v>
      </c>
      <c r="P282" s="159">
        <v>5.0</v>
      </c>
      <c r="Q282" s="159">
        <v>5.0</v>
      </c>
      <c r="R282" s="159">
        <v>4.5</v>
      </c>
      <c r="S282" s="159">
        <v>3.0</v>
      </c>
      <c r="T282" s="159">
        <v>4.0</v>
      </c>
      <c r="U282" s="159">
        <v>5.0</v>
      </c>
      <c r="V282" s="159">
        <v>5.0</v>
      </c>
      <c r="W282" s="159">
        <v>4.25</v>
      </c>
      <c r="X282" s="161"/>
      <c r="Y282" s="161"/>
      <c r="Z282" s="161"/>
      <c r="AA282" s="161"/>
      <c r="AB282" s="161"/>
      <c r="AC282" s="159">
        <v>4.45</v>
      </c>
      <c r="AD282" s="159"/>
    </row>
    <row r="283">
      <c r="A283" s="162">
        <v>102890.0</v>
      </c>
      <c r="B283" s="163" t="s">
        <v>837</v>
      </c>
      <c r="C283" s="164" t="s">
        <v>838</v>
      </c>
      <c r="D283" s="165">
        <v>44859.0</v>
      </c>
      <c r="E283" s="164" t="s">
        <v>125</v>
      </c>
      <c r="F283" s="161"/>
      <c r="G283" s="161"/>
      <c r="H283" s="159">
        <v>5.0</v>
      </c>
      <c r="I283" s="159">
        <v>5.0</v>
      </c>
      <c r="J283" s="159">
        <v>5.0</v>
      </c>
      <c r="K283" s="159">
        <v>5.0</v>
      </c>
      <c r="L283" s="159">
        <v>5.0</v>
      </c>
      <c r="M283" s="159">
        <v>5.0</v>
      </c>
      <c r="N283" s="159">
        <v>5.0</v>
      </c>
      <c r="O283" s="159">
        <v>5.0</v>
      </c>
      <c r="P283" s="159">
        <v>5.0</v>
      </c>
      <c r="Q283" s="159">
        <v>5.0</v>
      </c>
      <c r="R283" s="159">
        <v>5.0</v>
      </c>
      <c r="S283" s="159">
        <v>5.0</v>
      </c>
      <c r="T283" s="159">
        <v>5.0</v>
      </c>
      <c r="U283" s="159">
        <v>5.0</v>
      </c>
      <c r="V283" s="159">
        <v>5.0</v>
      </c>
      <c r="W283" s="159">
        <v>5.0</v>
      </c>
      <c r="X283" s="161"/>
      <c r="Y283" s="161"/>
      <c r="Z283" s="161"/>
      <c r="AA283" s="161"/>
      <c r="AB283" s="161"/>
      <c r="AC283" s="159">
        <v>5.0</v>
      </c>
      <c r="AD283" s="159"/>
    </row>
    <row r="284">
      <c r="A284" s="162">
        <v>102822.0</v>
      </c>
      <c r="B284" s="163" t="s">
        <v>839</v>
      </c>
      <c r="C284" s="164" t="s">
        <v>840</v>
      </c>
      <c r="D284" s="165">
        <v>44860.0</v>
      </c>
      <c r="E284" s="164" t="s">
        <v>295</v>
      </c>
      <c r="F284" s="161"/>
      <c r="G284" s="161"/>
      <c r="H284" s="159">
        <v>4.0</v>
      </c>
      <c r="I284" s="159">
        <v>4.0</v>
      </c>
      <c r="J284" s="159">
        <v>4.0</v>
      </c>
      <c r="K284" s="159">
        <v>4.0</v>
      </c>
      <c r="L284" s="159">
        <v>4.0</v>
      </c>
      <c r="M284" s="159">
        <v>4.0</v>
      </c>
      <c r="N284" s="159">
        <v>4.0</v>
      </c>
      <c r="O284" s="159">
        <v>4.0</v>
      </c>
      <c r="P284" s="159">
        <v>3.0</v>
      </c>
      <c r="Q284" s="159">
        <v>4.0</v>
      </c>
      <c r="R284" s="159">
        <v>3.75</v>
      </c>
      <c r="S284" s="159">
        <v>4.0</v>
      </c>
      <c r="T284" s="159">
        <v>4.0</v>
      </c>
      <c r="U284" s="159">
        <v>4.0</v>
      </c>
      <c r="V284" s="159">
        <v>4.0</v>
      </c>
      <c r="W284" s="159">
        <v>4.0</v>
      </c>
      <c r="X284" s="161"/>
      <c r="Y284" s="161"/>
      <c r="Z284" s="161"/>
      <c r="AA284" s="161"/>
      <c r="AB284" s="161"/>
      <c r="AC284" s="159">
        <v>3.9166666666666665</v>
      </c>
      <c r="AD284" s="159"/>
    </row>
    <row r="285">
      <c r="A285" s="162">
        <v>102884.0</v>
      </c>
      <c r="B285" s="163" t="s">
        <v>841</v>
      </c>
      <c r="C285" s="164" t="s">
        <v>842</v>
      </c>
      <c r="D285" s="165">
        <v>44862.0</v>
      </c>
      <c r="E285" s="164" t="s">
        <v>254</v>
      </c>
      <c r="F285" s="161"/>
      <c r="G285" s="161"/>
      <c r="H285" s="159">
        <v>4.0</v>
      </c>
      <c r="I285" s="159">
        <v>5.0</v>
      </c>
      <c r="J285" s="159">
        <v>5.0</v>
      </c>
      <c r="K285" s="159">
        <v>5.0</v>
      </c>
      <c r="L285" s="159">
        <v>5.0</v>
      </c>
      <c r="M285" s="159">
        <v>4.8</v>
      </c>
      <c r="N285" s="159">
        <v>4.0</v>
      </c>
      <c r="O285" s="159">
        <v>5.0</v>
      </c>
      <c r="P285" s="159">
        <v>5.0</v>
      </c>
      <c r="Q285" s="159">
        <v>5.0</v>
      </c>
      <c r="R285" s="159">
        <v>4.75</v>
      </c>
      <c r="S285" s="159">
        <v>4.0</v>
      </c>
      <c r="T285" s="159">
        <v>5.0</v>
      </c>
      <c r="U285" s="159">
        <v>5.0</v>
      </c>
      <c r="V285" s="159">
        <v>5.0</v>
      </c>
      <c r="W285" s="159">
        <v>4.75</v>
      </c>
      <c r="X285" s="164" t="s">
        <v>843</v>
      </c>
      <c r="Y285" s="164" t="s">
        <v>844</v>
      </c>
      <c r="Z285" s="161"/>
      <c r="AA285" s="161"/>
      <c r="AB285" s="161"/>
      <c r="AC285" s="159">
        <v>4.766666666666667</v>
      </c>
      <c r="AD285" s="159"/>
    </row>
    <row r="286">
      <c r="A286" s="162">
        <v>102881.0</v>
      </c>
      <c r="B286" s="163" t="s">
        <v>845</v>
      </c>
      <c r="C286" s="164" t="s">
        <v>846</v>
      </c>
      <c r="D286" s="165">
        <v>44862.0</v>
      </c>
      <c r="E286" s="164" t="s">
        <v>254</v>
      </c>
      <c r="F286" s="161"/>
      <c r="G286" s="161"/>
      <c r="H286" s="159">
        <v>5.0</v>
      </c>
      <c r="I286" s="159">
        <v>5.0</v>
      </c>
      <c r="J286" s="159">
        <v>5.0</v>
      </c>
      <c r="K286" s="159">
        <v>5.0</v>
      </c>
      <c r="L286" s="159">
        <v>5.0</v>
      </c>
      <c r="M286" s="159">
        <v>5.0</v>
      </c>
      <c r="N286" s="159">
        <v>5.0</v>
      </c>
      <c r="O286" s="159">
        <v>5.0</v>
      </c>
      <c r="P286" s="159">
        <v>5.0</v>
      </c>
      <c r="Q286" s="159">
        <v>5.0</v>
      </c>
      <c r="R286" s="159">
        <v>5.0</v>
      </c>
      <c r="S286" s="159">
        <v>5.0</v>
      </c>
      <c r="T286" s="159">
        <v>5.0</v>
      </c>
      <c r="U286" s="159">
        <v>5.0</v>
      </c>
      <c r="V286" s="159">
        <v>5.0</v>
      </c>
      <c r="W286" s="159">
        <v>5.0</v>
      </c>
      <c r="X286" s="161"/>
      <c r="Y286" s="161"/>
      <c r="Z286" s="161"/>
      <c r="AA286" s="161"/>
      <c r="AB286" s="161"/>
      <c r="AC286" s="159">
        <v>5.0</v>
      </c>
      <c r="AD286" s="159"/>
    </row>
    <row r="287">
      <c r="A287" s="162">
        <v>102878.0</v>
      </c>
      <c r="B287" s="163" t="s">
        <v>847</v>
      </c>
      <c r="C287" s="164" t="s">
        <v>848</v>
      </c>
      <c r="D287" s="165">
        <v>44867.0</v>
      </c>
      <c r="E287" s="164" t="s">
        <v>18</v>
      </c>
      <c r="F287" s="161"/>
      <c r="G287" s="161"/>
      <c r="H287" s="159">
        <v>5.0</v>
      </c>
      <c r="I287" s="159">
        <v>5.0</v>
      </c>
      <c r="J287" s="159">
        <v>5.0</v>
      </c>
      <c r="K287" s="159">
        <v>5.0</v>
      </c>
      <c r="L287" s="159">
        <v>5.0</v>
      </c>
      <c r="M287" s="159">
        <v>5.0</v>
      </c>
      <c r="N287" s="159">
        <v>5.0</v>
      </c>
      <c r="O287" s="159">
        <v>5.0</v>
      </c>
      <c r="P287" s="159">
        <v>5.0</v>
      </c>
      <c r="Q287" s="159">
        <v>5.0</v>
      </c>
      <c r="R287" s="159">
        <v>5.0</v>
      </c>
      <c r="S287" s="159">
        <v>5.0</v>
      </c>
      <c r="T287" s="159">
        <v>5.0</v>
      </c>
      <c r="U287" s="159">
        <v>5.0</v>
      </c>
      <c r="V287" s="159">
        <v>5.0</v>
      </c>
      <c r="W287" s="159">
        <v>5.0</v>
      </c>
      <c r="X287" s="161"/>
      <c r="Y287" s="161"/>
      <c r="Z287" s="161"/>
      <c r="AA287" s="161"/>
      <c r="AB287" s="161"/>
      <c r="AC287" s="159">
        <v>5.0</v>
      </c>
      <c r="AD287" s="159"/>
    </row>
    <row r="288">
      <c r="A288" s="162">
        <v>102879.0</v>
      </c>
      <c r="B288" s="163" t="s">
        <v>849</v>
      </c>
      <c r="C288" s="164" t="s">
        <v>850</v>
      </c>
      <c r="D288" s="165">
        <v>44867.0</v>
      </c>
      <c r="E288" s="164" t="s">
        <v>18</v>
      </c>
      <c r="F288" s="161"/>
      <c r="G288" s="161"/>
      <c r="H288" s="159">
        <v>5.0</v>
      </c>
      <c r="I288" s="159">
        <v>5.0</v>
      </c>
      <c r="J288" s="159">
        <v>5.0</v>
      </c>
      <c r="K288" s="159">
        <v>5.0</v>
      </c>
      <c r="L288" s="159">
        <v>5.0</v>
      </c>
      <c r="M288" s="159">
        <v>5.0</v>
      </c>
      <c r="N288" s="159">
        <v>5.0</v>
      </c>
      <c r="O288" s="159">
        <v>5.0</v>
      </c>
      <c r="P288" s="159">
        <v>5.0</v>
      </c>
      <c r="Q288" s="159">
        <v>5.0</v>
      </c>
      <c r="R288" s="159">
        <v>5.0</v>
      </c>
      <c r="S288" s="159">
        <v>5.0</v>
      </c>
      <c r="T288" s="159">
        <v>5.0</v>
      </c>
      <c r="U288" s="159">
        <v>5.0</v>
      </c>
      <c r="V288" s="159">
        <v>5.0</v>
      </c>
      <c r="W288" s="159">
        <v>5.0</v>
      </c>
      <c r="X288" s="161"/>
      <c r="Y288" s="161"/>
      <c r="Z288" s="161"/>
      <c r="AA288" s="161"/>
      <c r="AB288" s="161"/>
      <c r="AC288" s="159">
        <v>5.0</v>
      </c>
      <c r="AD288" s="159"/>
    </row>
    <row r="289">
      <c r="A289" s="162">
        <v>102889.0</v>
      </c>
      <c r="B289" s="163" t="s">
        <v>851</v>
      </c>
      <c r="C289" s="164" t="s">
        <v>852</v>
      </c>
      <c r="D289" s="165">
        <v>44868.0</v>
      </c>
      <c r="E289" s="164" t="s">
        <v>853</v>
      </c>
      <c r="F289" s="161"/>
      <c r="G289" s="161"/>
      <c r="H289" s="159">
        <v>5.0</v>
      </c>
      <c r="I289" s="159">
        <v>5.0</v>
      </c>
      <c r="J289" s="159">
        <v>5.0</v>
      </c>
      <c r="K289" s="159">
        <v>5.0</v>
      </c>
      <c r="L289" s="159">
        <v>5.0</v>
      </c>
      <c r="M289" s="159">
        <v>5.0</v>
      </c>
      <c r="N289" s="159">
        <v>5.0</v>
      </c>
      <c r="O289" s="159">
        <v>5.0</v>
      </c>
      <c r="P289" s="159">
        <v>5.0</v>
      </c>
      <c r="Q289" s="159">
        <v>5.0</v>
      </c>
      <c r="R289" s="159">
        <v>5.0</v>
      </c>
      <c r="S289" s="171"/>
      <c r="T289" s="171"/>
      <c r="U289" s="171"/>
      <c r="V289" s="171"/>
      <c r="W289" s="171"/>
      <c r="X289" s="161"/>
      <c r="Y289" s="161"/>
      <c r="Z289" s="161"/>
      <c r="AA289" s="161"/>
      <c r="AB289" s="161"/>
      <c r="AC289" s="159">
        <v>5.0</v>
      </c>
      <c r="AD289" s="159"/>
    </row>
    <row r="290">
      <c r="A290" s="162">
        <v>102905.0</v>
      </c>
      <c r="B290" s="163" t="s">
        <v>854</v>
      </c>
      <c r="C290" s="164" t="s">
        <v>855</v>
      </c>
      <c r="D290" s="165">
        <v>44868.0</v>
      </c>
      <c r="E290" s="164" t="s">
        <v>87</v>
      </c>
      <c r="F290" s="161"/>
      <c r="G290" s="161"/>
      <c r="H290" s="159">
        <v>5.0</v>
      </c>
      <c r="I290" s="159">
        <v>4.0</v>
      </c>
      <c r="J290" s="159">
        <v>5.0</v>
      </c>
      <c r="K290" s="159">
        <v>5.0</v>
      </c>
      <c r="L290" s="159">
        <v>5.0</v>
      </c>
      <c r="M290" s="159">
        <v>4.8</v>
      </c>
      <c r="N290" s="159">
        <v>5.0</v>
      </c>
      <c r="O290" s="159">
        <v>4.0</v>
      </c>
      <c r="P290" s="159">
        <v>5.0</v>
      </c>
      <c r="Q290" s="159">
        <v>5.0</v>
      </c>
      <c r="R290" s="159">
        <v>4.75</v>
      </c>
      <c r="S290" s="159">
        <v>5.0</v>
      </c>
      <c r="T290" s="159">
        <v>3.0</v>
      </c>
      <c r="U290" s="159">
        <v>3.0</v>
      </c>
      <c r="V290" s="159">
        <v>5.0</v>
      </c>
      <c r="W290" s="159">
        <v>4.0</v>
      </c>
      <c r="X290" s="161"/>
      <c r="Y290" s="161"/>
      <c r="Z290" s="161"/>
      <c r="AA290" s="161"/>
      <c r="AB290" s="161"/>
      <c r="AC290" s="159">
        <v>4.516666666666667</v>
      </c>
      <c r="AD290" s="159"/>
    </row>
    <row r="291">
      <c r="A291" s="162">
        <v>102904.0</v>
      </c>
      <c r="B291" s="163" t="s">
        <v>856</v>
      </c>
      <c r="C291" s="164" t="s">
        <v>857</v>
      </c>
      <c r="D291" s="165">
        <v>44868.0</v>
      </c>
      <c r="E291" s="164" t="s">
        <v>87</v>
      </c>
      <c r="F291" s="161"/>
      <c r="G291" s="161"/>
      <c r="H291" s="159">
        <v>5.0</v>
      </c>
      <c r="I291" s="159">
        <v>4.0</v>
      </c>
      <c r="J291" s="159">
        <v>5.0</v>
      </c>
      <c r="K291" s="159">
        <v>5.0</v>
      </c>
      <c r="L291" s="159">
        <v>5.0</v>
      </c>
      <c r="M291" s="159">
        <v>4.8</v>
      </c>
      <c r="N291" s="159">
        <v>5.0</v>
      </c>
      <c r="O291" s="159">
        <v>4.0</v>
      </c>
      <c r="P291" s="159">
        <v>5.0</v>
      </c>
      <c r="Q291" s="159">
        <v>5.0</v>
      </c>
      <c r="R291" s="159">
        <v>4.75</v>
      </c>
      <c r="S291" s="159">
        <v>5.0</v>
      </c>
      <c r="T291" s="159">
        <v>4.0</v>
      </c>
      <c r="U291" s="159">
        <v>5.0</v>
      </c>
      <c r="V291" s="159">
        <v>5.0</v>
      </c>
      <c r="W291" s="159">
        <v>4.75</v>
      </c>
      <c r="X291" s="161"/>
      <c r="Y291" s="161"/>
      <c r="Z291" s="161"/>
      <c r="AA291" s="161"/>
      <c r="AB291" s="161"/>
      <c r="AC291" s="159">
        <v>4.766666666666667</v>
      </c>
      <c r="AD291" s="159"/>
    </row>
    <row r="292">
      <c r="A292" s="162">
        <v>102881.0</v>
      </c>
      <c r="B292" s="163" t="s">
        <v>858</v>
      </c>
      <c r="C292" s="164" t="s">
        <v>859</v>
      </c>
      <c r="D292" s="165">
        <v>44869.0</v>
      </c>
      <c r="E292" s="164" t="s">
        <v>125</v>
      </c>
      <c r="F292" s="161"/>
      <c r="G292" s="161"/>
      <c r="H292" s="159">
        <v>5.0</v>
      </c>
      <c r="I292" s="159">
        <v>5.0</v>
      </c>
      <c r="J292" s="159">
        <v>5.0</v>
      </c>
      <c r="K292" s="159">
        <v>5.0</v>
      </c>
      <c r="L292" s="159">
        <v>5.0</v>
      </c>
      <c r="M292" s="159">
        <v>5.0</v>
      </c>
      <c r="N292" s="159">
        <v>5.0</v>
      </c>
      <c r="O292" s="159">
        <v>5.0</v>
      </c>
      <c r="P292" s="159">
        <v>5.0</v>
      </c>
      <c r="Q292" s="159">
        <v>5.0</v>
      </c>
      <c r="R292" s="159">
        <v>5.0</v>
      </c>
      <c r="S292" s="159">
        <v>4.5</v>
      </c>
      <c r="T292" s="159">
        <v>4.5</v>
      </c>
      <c r="U292" s="159">
        <v>4.5</v>
      </c>
      <c r="V292" s="159">
        <v>4.5</v>
      </c>
      <c r="W292" s="159">
        <v>4.5</v>
      </c>
      <c r="X292" s="161"/>
      <c r="Y292" s="161"/>
      <c r="Z292" s="161"/>
      <c r="AA292" s="161"/>
      <c r="AB292" s="161"/>
      <c r="AC292" s="159">
        <v>4.833333333333333</v>
      </c>
      <c r="AD292" s="159"/>
    </row>
    <row r="293">
      <c r="A293" s="162">
        <v>102891.0</v>
      </c>
      <c r="B293" s="163" t="s">
        <v>860</v>
      </c>
      <c r="C293" s="164" t="s">
        <v>861</v>
      </c>
      <c r="D293" s="165">
        <v>44874.0</v>
      </c>
      <c r="E293" s="164" t="s">
        <v>806</v>
      </c>
      <c r="F293" s="161"/>
      <c r="G293" s="161"/>
      <c r="H293" s="159">
        <v>5.0</v>
      </c>
      <c r="I293" s="159">
        <v>5.0</v>
      </c>
      <c r="J293" s="159">
        <v>5.0</v>
      </c>
      <c r="K293" s="159">
        <v>5.0</v>
      </c>
      <c r="L293" s="159">
        <v>5.0</v>
      </c>
      <c r="M293" s="159">
        <v>5.0</v>
      </c>
      <c r="N293" s="159">
        <v>5.0</v>
      </c>
      <c r="O293" s="159">
        <v>5.0</v>
      </c>
      <c r="P293" s="159">
        <v>5.0</v>
      </c>
      <c r="Q293" s="159">
        <v>5.0</v>
      </c>
      <c r="R293" s="159">
        <v>5.0</v>
      </c>
      <c r="S293" s="159">
        <v>5.0</v>
      </c>
      <c r="T293" s="159">
        <v>5.0</v>
      </c>
      <c r="U293" s="159">
        <v>5.0</v>
      </c>
      <c r="V293" s="159">
        <v>5.0</v>
      </c>
      <c r="W293" s="159">
        <v>5.0</v>
      </c>
      <c r="X293" s="161"/>
      <c r="Y293" s="161"/>
      <c r="Z293" s="161"/>
      <c r="AA293" s="161"/>
      <c r="AB293" s="161"/>
      <c r="AC293" s="159">
        <v>5.0</v>
      </c>
      <c r="AD293" s="159"/>
    </row>
    <row r="294">
      <c r="A294" s="162">
        <v>102748.0</v>
      </c>
      <c r="B294" s="163" t="s">
        <v>862</v>
      </c>
      <c r="C294" s="164" t="s">
        <v>863</v>
      </c>
      <c r="D294" s="165">
        <v>44879.0</v>
      </c>
      <c r="E294" s="164" t="s">
        <v>864</v>
      </c>
      <c r="F294" s="161"/>
      <c r="G294" s="161"/>
      <c r="H294" s="159">
        <v>4.0</v>
      </c>
      <c r="I294" s="159">
        <v>4.0</v>
      </c>
      <c r="J294" s="159">
        <v>4.0</v>
      </c>
      <c r="K294" s="159">
        <v>4.0</v>
      </c>
      <c r="L294" s="159">
        <v>4.0</v>
      </c>
      <c r="M294" s="159">
        <v>4.0</v>
      </c>
      <c r="N294" s="159">
        <v>4.0</v>
      </c>
      <c r="O294" s="159">
        <v>4.0</v>
      </c>
      <c r="P294" s="159">
        <v>4.0</v>
      </c>
      <c r="Q294" s="159">
        <v>4.0</v>
      </c>
      <c r="R294" s="159">
        <v>4.0</v>
      </c>
      <c r="S294" s="159">
        <v>4.0</v>
      </c>
      <c r="T294" s="159">
        <v>4.0</v>
      </c>
      <c r="U294" s="159">
        <v>4.0</v>
      </c>
      <c r="V294" s="159">
        <v>4.0</v>
      </c>
      <c r="W294" s="159">
        <v>4.0</v>
      </c>
      <c r="X294" s="161"/>
      <c r="Y294" s="161"/>
      <c r="Z294" s="161"/>
      <c r="AA294" s="161"/>
      <c r="AB294" s="161"/>
      <c r="AC294" s="159">
        <v>4.0</v>
      </c>
      <c r="AD294" s="159"/>
    </row>
    <row r="295">
      <c r="A295" s="162">
        <v>102940.0</v>
      </c>
      <c r="B295" s="163" t="s">
        <v>865</v>
      </c>
      <c r="C295" s="164" t="s">
        <v>866</v>
      </c>
      <c r="D295" s="165">
        <v>44879.0</v>
      </c>
      <c r="E295" s="164" t="s">
        <v>51</v>
      </c>
      <c r="F295" s="161"/>
      <c r="G295" s="161"/>
      <c r="H295" s="159">
        <v>5.0</v>
      </c>
      <c r="I295" s="159">
        <v>5.0</v>
      </c>
      <c r="J295" s="159">
        <v>5.0</v>
      </c>
      <c r="K295" s="159">
        <v>5.0</v>
      </c>
      <c r="L295" s="159">
        <v>5.0</v>
      </c>
      <c r="M295" s="159">
        <v>5.0</v>
      </c>
      <c r="N295" s="159">
        <v>5.0</v>
      </c>
      <c r="O295" s="159">
        <v>5.0</v>
      </c>
      <c r="P295" s="159">
        <v>4.6</v>
      </c>
      <c r="Q295" s="159">
        <v>5.0</v>
      </c>
      <c r="R295" s="159">
        <v>4.9</v>
      </c>
      <c r="S295" s="159">
        <v>4.5</v>
      </c>
      <c r="T295" s="159">
        <v>4.5</v>
      </c>
      <c r="U295" s="159">
        <v>4.5</v>
      </c>
      <c r="V295" s="159">
        <v>4.5</v>
      </c>
      <c r="W295" s="159">
        <v>4.5</v>
      </c>
      <c r="X295" s="161"/>
      <c r="Y295" s="161"/>
      <c r="Z295" s="161"/>
      <c r="AA295" s="161"/>
      <c r="AB295" s="161"/>
      <c r="AC295" s="159">
        <v>4.8</v>
      </c>
      <c r="AD295" s="159"/>
    </row>
    <row r="296">
      <c r="A296" s="162">
        <v>102974.0</v>
      </c>
      <c r="B296" s="163" t="s">
        <v>867</v>
      </c>
      <c r="C296" s="164" t="s">
        <v>868</v>
      </c>
      <c r="D296" s="165">
        <v>44881.0</v>
      </c>
      <c r="E296" s="164" t="s">
        <v>51</v>
      </c>
      <c r="F296" s="161"/>
      <c r="G296" s="161"/>
      <c r="H296" s="159">
        <v>5.0</v>
      </c>
      <c r="I296" s="159">
        <v>5.0</v>
      </c>
      <c r="J296" s="159">
        <v>5.0</v>
      </c>
      <c r="K296" s="159">
        <v>5.0</v>
      </c>
      <c r="L296" s="159">
        <v>5.0</v>
      </c>
      <c r="M296" s="159">
        <v>5.0</v>
      </c>
      <c r="N296" s="159">
        <v>5.0</v>
      </c>
      <c r="O296" s="159">
        <v>5.0</v>
      </c>
      <c r="P296" s="159">
        <v>5.0</v>
      </c>
      <c r="Q296" s="159">
        <v>5.0</v>
      </c>
      <c r="R296" s="159">
        <v>5.0</v>
      </c>
      <c r="S296" s="159">
        <v>4.5</v>
      </c>
      <c r="T296" s="159">
        <v>4.5</v>
      </c>
      <c r="U296" s="159">
        <v>4.5</v>
      </c>
      <c r="V296" s="159">
        <v>4.5</v>
      </c>
      <c r="W296" s="159">
        <v>4.5</v>
      </c>
      <c r="X296" s="161"/>
      <c r="Y296" s="161"/>
      <c r="Z296" s="161"/>
      <c r="AA296" s="161"/>
      <c r="AB296" s="161"/>
      <c r="AC296" s="159">
        <v>4.833333333333333</v>
      </c>
      <c r="AD296" s="159"/>
    </row>
    <row r="297">
      <c r="A297" s="162">
        <v>102966.0</v>
      </c>
      <c r="B297" s="163" t="s">
        <v>869</v>
      </c>
      <c r="C297" s="164" t="s">
        <v>870</v>
      </c>
      <c r="D297" s="165">
        <v>44882.0</v>
      </c>
      <c r="E297" s="164" t="s">
        <v>871</v>
      </c>
      <c r="F297" s="161"/>
      <c r="G297" s="161"/>
      <c r="H297" s="159" t="s">
        <v>872</v>
      </c>
      <c r="I297" s="159">
        <v>3.5</v>
      </c>
      <c r="J297" s="159">
        <v>4.5</v>
      </c>
      <c r="K297" s="159">
        <v>4.5</v>
      </c>
      <c r="L297" s="159">
        <v>4.5</v>
      </c>
      <c r="M297" s="159">
        <v>4.25</v>
      </c>
      <c r="N297" s="159">
        <v>5.0</v>
      </c>
      <c r="O297" s="159">
        <v>3.5</v>
      </c>
      <c r="P297" s="159">
        <v>4.5</v>
      </c>
      <c r="Q297" s="159">
        <v>4.5</v>
      </c>
      <c r="R297" s="159">
        <v>4.375</v>
      </c>
      <c r="S297" s="159">
        <v>4.5</v>
      </c>
      <c r="T297" s="159">
        <v>3.0</v>
      </c>
      <c r="U297" s="159">
        <v>4.2</v>
      </c>
      <c r="V297" s="159">
        <v>4.2</v>
      </c>
      <c r="W297" s="159">
        <v>3.9749999999999996</v>
      </c>
      <c r="X297" s="161"/>
      <c r="Y297" s="161"/>
      <c r="Z297" s="161"/>
      <c r="AA297" s="161"/>
      <c r="AB297" s="161"/>
      <c r="AC297" s="159">
        <v>4.2</v>
      </c>
      <c r="AD297" s="159"/>
    </row>
    <row r="298">
      <c r="A298" s="162">
        <v>102840.0</v>
      </c>
      <c r="B298" s="163" t="s">
        <v>839</v>
      </c>
      <c r="C298" s="164" t="s">
        <v>873</v>
      </c>
      <c r="D298" s="165">
        <v>44882.0</v>
      </c>
      <c r="E298" s="164" t="s">
        <v>141</v>
      </c>
      <c r="F298" s="161"/>
      <c r="G298" s="161"/>
      <c r="H298" s="159">
        <v>4.0</v>
      </c>
      <c r="I298" s="159">
        <v>4.0</v>
      </c>
      <c r="J298" s="159">
        <v>4.0</v>
      </c>
      <c r="K298" s="159">
        <v>4.0</v>
      </c>
      <c r="L298" s="159">
        <v>4.0</v>
      </c>
      <c r="M298" s="159">
        <v>4.0</v>
      </c>
      <c r="N298" s="159">
        <v>3.0</v>
      </c>
      <c r="O298" s="159">
        <v>4.0</v>
      </c>
      <c r="P298" s="159">
        <v>2.0</v>
      </c>
      <c r="Q298" s="159">
        <v>3.0</v>
      </c>
      <c r="R298" s="159">
        <v>3.0</v>
      </c>
      <c r="S298" s="159">
        <v>3.0</v>
      </c>
      <c r="T298" s="159">
        <v>4.0</v>
      </c>
      <c r="U298" s="159">
        <v>2.0</v>
      </c>
      <c r="V298" s="159">
        <v>3.0</v>
      </c>
      <c r="W298" s="159">
        <v>3.0</v>
      </c>
      <c r="X298" s="161"/>
      <c r="Y298" s="161"/>
      <c r="Z298" s="164" t="s">
        <v>874</v>
      </c>
      <c r="AA298" s="161"/>
      <c r="AB298" s="161"/>
      <c r="AC298" s="159">
        <v>3.3333333333333335</v>
      </c>
      <c r="AD298" s="159"/>
    </row>
    <row r="299">
      <c r="A299" s="162">
        <v>102883.0</v>
      </c>
      <c r="B299" s="163" t="s">
        <v>875</v>
      </c>
      <c r="C299" s="164" t="s">
        <v>876</v>
      </c>
      <c r="D299" s="165">
        <v>44883.0</v>
      </c>
      <c r="E299" s="164" t="s">
        <v>125</v>
      </c>
      <c r="F299" s="161"/>
      <c r="G299" s="161"/>
      <c r="H299" s="159">
        <v>5.0</v>
      </c>
      <c r="I299" s="159">
        <v>5.0</v>
      </c>
      <c r="J299" s="159">
        <v>5.0</v>
      </c>
      <c r="K299" s="159">
        <v>5.0</v>
      </c>
      <c r="L299" s="159">
        <v>5.0</v>
      </c>
      <c r="M299" s="159">
        <v>5.0</v>
      </c>
      <c r="N299" s="159">
        <v>5.0</v>
      </c>
      <c r="O299" s="159">
        <v>5.0</v>
      </c>
      <c r="P299" s="159">
        <v>5.0</v>
      </c>
      <c r="Q299" s="159">
        <v>5.0</v>
      </c>
      <c r="R299" s="159">
        <v>5.0</v>
      </c>
      <c r="S299" s="159">
        <v>5.0</v>
      </c>
      <c r="T299" s="159">
        <v>5.0</v>
      </c>
      <c r="U299" s="159">
        <v>5.0</v>
      </c>
      <c r="V299" s="159">
        <v>5.0</v>
      </c>
      <c r="W299" s="159">
        <v>5.0</v>
      </c>
      <c r="X299" s="161"/>
      <c r="Y299" s="161"/>
      <c r="Z299" s="161"/>
      <c r="AA299" s="161"/>
      <c r="AB299" s="161"/>
      <c r="AC299" s="159">
        <v>5.0</v>
      </c>
      <c r="AD299" s="159"/>
    </row>
    <row r="300">
      <c r="A300" s="162">
        <v>102883.0</v>
      </c>
      <c r="B300" s="163" t="s">
        <v>877</v>
      </c>
      <c r="C300" s="164" t="s">
        <v>876</v>
      </c>
      <c r="D300" s="165">
        <v>44883.0</v>
      </c>
      <c r="E300" s="164" t="s">
        <v>254</v>
      </c>
      <c r="F300" s="161"/>
      <c r="G300" s="161"/>
      <c r="H300" s="159">
        <v>5.0</v>
      </c>
      <c r="I300" s="159">
        <v>5.0</v>
      </c>
      <c r="J300" s="159">
        <v>5.0</v>
      </c>
      <c r="K300" s="159">
        <v>5.0</v>
      </c>
      <c r="L300" s="159">
        <v>5.0</v>
      </c>
      <c r="M300" s="159">
        <v>5.0</v>
      </c>
      <c r="N300" s="159">
        <v>5.0</v>
      </c>
      <c r="O300" s="159">
        <v>5.0</v>
      </c>
      <c r="P300" s="159">
        <v>5.0</v>
      </c>
      <c r="Q300" s="159">
        <v>5.0</v>
      </c>
      <c r="R300" s="159">
        <v>5.0</v>
      </c>
      <c r="S300" s="159">
        <v>5.0</v>
      </c>
      <c r="T300" s="159">
        <v>5.0</v>
      </c>
      <c r="U300" s="159">
        <v>5.0</v>
      </c>
      <c r="V300" s="159">
        <v>5.0</v>
      </c>
      <c r="W300" s="159">
        <v>5.0</v>
      </c>
      <c r="X300" s="161"/>
      <c r="Y300" s="161"/>
      <c r="Z300" s="161"/>
      <c r="AA300" s="161"/>
      <c r="AB300" s="161"/>
      <c r="AC300" s="159">
        <v>5.0</v>
      </c>
      <c r="AD300" s="159"/>
    </row>
    <row r="301">
      <c r="A301" s="162">
        <v>102906.0</v>
      </c>
      <c r="B301" s="163" t="s">
        <v>878</v>
      </c>
      <c r="C301" s="164" t="s">
        <v>879</v>
      </c>
      <c r="D301" s="165">
        <v>44888.0</v>
      </c>
      <c r="E301" s="164" t="s">
        <v>427</v>
      </c>
      <c r="F301" s="161"/>
      <c r="G301" s="161"/>
      <c r="H301" s="159">
        <v>4.0</v>
      </c>
      <c r="I301" s="159">
        <v>4.0</v>
      </c>
      <c r="J301" s="159">
        <v>5.0</v>
      </c>
      <c r="K301" s="159">
        <v>5.0</v>
      </c>
      <c r="L301" s="159">
        <v>5.0</v>
      </c>
      <c r="M301" s="159">
        <v>4.6</v>
      </c>
      <c r="N301" s="159">
        <v>4.0</v>
      </c>
      <c r="O301" s="159">
        <v>4.0</v>
      </c>
      <c r="P301" s="159">
        <v>5.0</v>
      </c>
      <c r="Q301" s="159">
        <v>5.0</v>
      </c>
      <c r="R301" s="159">
        <v>4.5</v>
      </c>
      <c r="S301" s="159">
        <v>4.0</v>
      </c>
      <c r="T301" s="159">
        <v>4.0</v>
      </c>
      <c r="U301" s="159">
        <v>5.0</v>
      </c>
      <c r="V301" s="159">
        <v>5.0</v>
      </c>
      <c r="W301" s="159">
        <v>4.5</v>
      </c>
      <c r="X301" s="161"/>
      <c r="Y301" s="161"/>
      <c r="Z301" s="161"/>
      <c r="AA301" s="161"/>
      <c r="AB301" s="161"/>
      <c r="AC301" s="159">
        <v>4.533333333333333</v>
      </c>
      <c r="AD301" s="159"/>
    </row>
    <row r="302">
      <c r="A302" s="162">
        <v>102903.0</v>
      </c>
      <c r="B302" s="163" t="s">
        <v>880</v>
      </c>
      <c r="C302" s="164" t="s">
        <v>881</v>
      </c>
      <c r="D302" s="165">
        <v>44895.0</v>
      </c>
      <c r="E302" s="164" t="s">
        <v>312</v>
      </c>
      <c r="F302" s="161"/>
      <c r="G302" s="161"/>
      <c r="H302" s="159">
        <v>5.0</v>
      </c>
      <c r="I302" s="159">
        <v>5.0</v>
      </c>
      <c r="J302" s="159">
        <v>5.0</v>
      </c>
      <c r="K302" s="159">
        <v>5.0</v>
      </c>
      <c r="L302" s="159">
        <v>5.0</v>
      </c>
      <c r="M302" s="159">
        <v>5.0</v>
      </c>
      <c r="N302" s="159">
        <v>5.0</v>
      </c>
      <c r="O302" s="159">
        <v>5.0</v>
      </c>
      <c r="P302" s="159">
        <v>5.0</v>
      </c>
      <c r="Q302" s="159">
        <v>5.0</v>
      </c>
      <c r="R302" s="159">
        <v>5.0</v>
      </c>
      <c r="S302" s="159">
        <v>5.0</v>
      </c>
      <c r="T302" s="159">
        <v>5.0</v>
      </c>
      <c r="U302" s="159">
        <v>5.0</v>
      </c>
      <c r="V302" s="159">
        <v>5.0</v>
      </c>
      <c r="W302" s="159">
        <v>5.0</v>
      </c>
      <c r="X302" s="161"/>
      <c r="Y302" s="161"/>
      <c r="Z302" s="161"/>
      <c r="AA302" s="161"/>
      <c r="AB302" s="161"/>
      <c r="AC302" s="159">
        <v>5.0</v>
      </c>
      <c r="AD302" s="159"/>
    </row>
    <row r="303">
      <c r="A303" s="162">
        <v>102886.0</v>
      </c>
      <c r="B303" s="163" t="s">
        <v>636</v>
      </c>
      <c r="C303" s="164" t="s">
        <v>882</v>
      </c>
      <c r="D303" s="191">
        <v>44896.0</v>
      </c>
      <c r="E303" s="164" t="s">
        <v>398</v>
      </c>
      <c r="F303" s="161"/>
      <c r="G303" s="164"/>
      <c r="H303" s="159">
        <v>5.0</v>
      </c>
      <c r="I303" s="159">
        <v>5.0</v>
      </c>
      <c r="J303" s="159">
        <v>4.5</v>
      </c>
      <c r="K303" s="159">
        <v>5.0</v>
      </c>
      <c r="L303" s="159">
        <v>5.0</v>
      </c>
      <c r="M303" s="159">
        <v>4.9</v>
      </c>
      <c r="N303" s="159">
        <v>5.0</v>
      </c>
      <c r="O303" s="159">
        <v>5.0</v>
      </c>
      <c r="P303" s="159">
        <v>5.0</v>
      </c>
      <c r="Q303" s="159">
        <v>5.0</v>
      </c>
      <c r="R303" s="159">
        <v>5.0</v>
      </c>
      <c r="S303" s="159">
        <v>5.0</v>
      </c>
      <c r="T303" s="159">
        <v>5.0</v>
      </c>
      <c r="U303" s="159">
        <v>5.0</v>
      </c>
      <c r="V303" s="159">
        <v>5.0</v>
      </c>
      <c r="W303" s="159">
        <v>5.0</v>
      </c>
      <c r="X303" s="161"/>
      <c r="Y303" s="161"/>
      <c r="Z303" s="161"/>
      <c r="AA303" s="161"/>
      <c r="AB303" s="161"/>
      <c r="AC303" s="159">
        <v>4.966666666666667</v>
      </c>
      <c r="AD303" s="159"/>
    </row>
    <row r="304">
      <c r="A304" s="162">
        <v>102540.0</v>
      </c>
      <c r="B304" s="163" t="s">
        <v>883</v>
      </c>
      <c r="C304" s="164" t="s">
        <v>884</v>
      </c>
      <c r="D304" s="165">
        <v>44909.0</v>
      </c>
      <c r="E304" s="164" t="s">
        <v>885</v>
      </c>
      <c r="F304" s="161"/>
      <c r="G304" s="161"/>
      <c r="H304" s="159">
        <v>4.0</v>
      </c>
      <c r="I304" s="159">
        <v>4.0</v>
      </c>
      <c r="J304" s="159">
        <v>4.0</v>
      </c>
      <c r="K304" s="159">
        <v>4.0</v>
      </c>
      <c r="L304" s="159">
        <v>4.0</v>
      </c>
      <c r="M304" s="159">
        <v>4.0</v>
      </c>
      <c r="N304" s="159">
        <v>3.0</v>
      </c>
      <c r="O304" s="159">
        <v>4.0</v>
      </c>
      <c r="P304" s="159">
        <v>3.0</v>
      </c>
      <c r="Q304" s="159">
        <v>4.0</v>
      </c>
      <c r="R304" s="159">
        <v>3.5</v>
      </c>
      <c r="S304" s="159">
        <v>4.0</v>
      </c>
      <c r="T304" s="159">
        <v>4.0</v>
      </c>
      <c r="U304" s="159">
        <v>4.0</v>
      </c>
      <c r="V304" s="159">
        <v>4.0</v>
      </c>
      <c r="W304" s="159">
        <v>4.0</v>
      </c>
      <c r="X304" s="161"/>
      <c r="Y304" s="161"/>
      <c r="Z304" s="161"/>
      <c r="AA304" s="161"/>
      <c r="AB304" s="161"/>
      <c r="AC304" s="159">
        <v>3.8333333333333335</v>
      </c>
      <c r="AD304" s="159"/>
    </row>
    <row r="305">
      <c r="A305" s="162">
        <v>102267.0</v>
      </c>
      <c r="B305" s="163" t="s">
        <v>886</v>
      </c>
      <c r="C305" s="164" t="s">
        <v>887</v>
      </c>
      <c r="D305" s="165">
        <v>44915.0</v>
      </c>
      <c r="E305" s="164" t="s">
        <v>193</v>
      </c>
      <c r="F305" s="161"/>
      <c r="G305" s="161"/>
      <c r="H305" s="159">
        <v>5.0</v>
      </c>
      <c r="I305" s="159">
        <v>5.0</v>
      </c>
      <c r="J305" s="159">
        <v>5.0</v>
      </c>
      <c r="K305" s="159">
        <v>5.0</v>
      </c>
      <c r="L305" s="159">
        <v>5.0</v>
      </c>
      <c r="M305" s="159">
        <v>5.0</v>
      </c>
      <c r="N305" s="159">
        <v>5.0</v>
      </c>
      <c r="O305" s="159">
        <v>5.0</v>
      </c>
      <c r="P305" s="159">
        <v>5.0</v>
      </c>
      <c r="Q305" s="159">
        <v>5.0</v>
      </c>
      <c r="R305" s="159">
        <v>5.0</v>
      </c>
      <c r="S305" s="159">
        <v>5.0</v>
      </c>
      <c r="T305" s="159">
        <v>5.0</v>
      </c>
      <c r="U305" s="159">
        <v>5.0</v>
      </c>
      <c r="V305" s="159">
        <v>5.0</v>
      </c>
      <c r="W305" s="159">
        <v>5.0</v>
      </c>
      <c r="X305" s="161"/>
      <c r="Y305" s="161"/>
      <c r="Z305" s="161"/>
      <c r="AA305" s="161"/>
      <c r="AB305" s="161"/>
      <c r="AC305" s="159">
        <v>5.0</v>
      </c>
      <c r="AD305" s="159"/>
    </row>
    <row r="306">
      <c r="A306" s="162">
        <v>102352.0</v>
      </c>
      <c r="B306" s="163" t="s">
        <v>888</v>
      </c>
      <c r="C306" s="164" t="s">
        <v>889</v>
      </c>
      <c r="D306" s="165">
        <v>44915.0</v>
      </c>
      <c r="E306" s="164" t="s">
        <v>704</v>
      </c>
      <c r="F306" s="161"/>
      <c r="G306" s="161"/>
      <c r="H306" s="159">
        <v>5.0</v>
      </c>
      <c r="I306" s="159">
        <v>5.0</v>
      </c>
      <c r="J306" s="159">
        <v>5.0</v>
      </c>
      <c r="K306" s="159">
        <v>5.0</v>
      </c>
      <c r="L306" s="159">
        <v>5.0</v>
      </c>
      <c r="M306" s="159">
        <v>5.0</v>
      </c>
      <c r="N306" s="159">
        <v>5.0</v>
      </c>
      <c r="O306" s="159">
        <v>5.0</v>
      </c>
      <c r="P306" s="159">
        <v>5.0</v>
      </c>
      <c r="Q306" s="159">
        <v>5.0</v>
      </c>
      <c r="R306" s="159">
        <v>5.0</v>
      </c>
      <c r="S306" s="159">
        <v>5.0</v>
      </c>
      <c r="T306" s="159">
        <v>5.0</v>
      </c>
      <c r="U306" s="159">
        <v>5.0</v>
      </c>
      <c r="V306" s="159">
        <v>5.0</v>
      </c>
      <c r="W306" s="159">
        <v>5.0</v>
      </c>
      <c r="X306" s="161"/>
      <c r="Y306" s="161"/>
      <c r="Z306" s="161"/>
      <c r="AA306" s="161"/>
      <c r="AB306" s="161"/>
      <c r="AC306" s="159">
        <v>5.0</v>
      </c>
      <c r="AD306" s="159"/>
    </row>
    <row r="307">
      <c r="A307" s="162">
        <v>102326.0</v>
      </c>
      <c r="B307" s="163" t="s">
        <v>890</v>
      </c>
      <c r="C307" s="164" t="s">
        <v>891</v>
      </c>
      <c r="D307" s="165">
        <v>44915.0</v>
      </c>
      <c r="E307" s="164" t="s">
        <v>295</v>
      </c>
      <c r="F307" s="161"/>
      <c r="G307" s="161"/>
      <c r="H307" s="159">
        <v>4.25</v>
      </c>
      <c r="I307" s="159">
        <v>5.0</v>
      </c>
      <c r="J307" s="159">
        <v>5.0</v>
      </c>
      <c r="K307" s="159">
        <v>5.0</v>
      </c>
      <c r="L307" s="159">
        <v>5.0</v>
      </c>
      <c r="M307" s="159">
        <v>4.85</v>
      </c>
      <c r="N307" s="159">
        <v>5.0</v>
      </c>
      <c r="O307" s="159">
        <v>5.0</v>
      </c>
      <c r="P307" s="159">
        <v>5.0</v>
      </c>
      <c r="Q307" s="159">
        <v>5.0</v>
      </c>
      <c r="R307" s="159">
        <v>5.0</v>
      </c>
      <c r="S307" s="159">
        <v>5.0</v>
      </c>
      <c r="T307" s="159">
        <v>5.0</v>
      </c>
      <c r="U307" s="159">
        <v>5.0</v>
      </c>
      <c r="V307" s="159">
        <v>5.0</v>
      </c>
      <c r="W307" s="159">
        <v>5.0</v>
      </c>
      <c r="X307" s="161"/>
      <c r="Y307" s="161"/>
      <c r="Z307" s="161"/>
      <c r="AA307" s="161"/>
      <c r="AB307" s="161"/>
      <c r="AC307" s="159">
        <v>4.95</v>
      </c>
      <c r="AD307" s="159"/>
    </row>
    <row r="308">
      <c r="A308" s="162">
        <v>102334.0</v>
      </c>
      <c r="B308" s="163" t="s">
        <v>892</v>
      </c>
      <c r="C308" s="164"/>
      <c r="D308" s="165">
        <v>44915.0</v>
      </c>
      <c r="E308" s="164" t="s">
        <v>295</v>
      </c>
      <c r="F308" s="161"/>
      <c r="G308" s="161"/>
      <c r="H308" s="159">
        <v>5.0</v>
      </c>
      <c r="I308" s="159">
        <v>5.0</v>
      </c>
      <c r="J308" s="159">
        <v>5.0</v>
      </c>
      <c r="K308" s="159">
        <v>5.0</v>
      </c>
      <c r="L308" s="159">
        <v>5.0</v>
      </c>
      <c r="M308" s="159">
        <v>5.0</v>
      </c>
      <c r="N308" s="159">
        <v>5.0</v>
      </c>
      <c r="O308" s="159">
        <v>5.0</v>
      </c>
      <c r="P308" s="159">
        <v>5.0</v>
      </c>
      <c r="Q308" s="159">
        <v>5.0</v>
      </c>
      <c r="R308" s="159">
        <v>5.0</v>
      </c>
      <c r="S308" s="159">
        <v>5.0</v>
      </c>
      <c r="T308" s="159">
        <v>5.0</v>
      </c>
      <c r="U308" s="159">
        <v>5.0</v>
      </c>
      <c r="V308" s="159">
        <v>5.0</v>
      </c>
      <c r="W308" s="159">
        <v>5.0</v>
      </c>
      <c r="X308" s="161"/>
      <c r="Y308" s="161"/>
      <c r="Z308" s="161"/>
      <c r="AA308" s="161"/>
      <c r="AB308" s="161"/>
      <c r="AC308" s="159">
        <v>5.0</v>
      </c>
      <c r="AD308" s="159"/>
    </row>
    <row r="309">
      <c r="A309" s="162">
        <v>102407.0</v>
      </c>
      <c r="B309" s="163" t="s">
        <v>893</v>
      </c>
      <c r="C309" s="164" t="s">
        <v>894</v>
      </c>
      <c r="D309" s="165">
        <v>44915.0</v>
      </c>
      <c r="E309" s="164" t="s">
        <v>295</v>
      </c>
      <c r="F309" s="161"/>
      <c r="G309" s="161"/>
      <c r="H309" s="159">
        <v>5.0</v>
      </c>
      <c r="I309" s="159">
        <v>5.0</v>
      </c>
      <c r="J309" s="159">
        <v>4.5</v>
      </c>
      <c r="K309" s="159">
        <v>5.0</v>
      </c>
      <c r="L309" s="159">
        <v>5.0</v>
      </c>
      <c r="M309" s="159">
        <v>4.9</v>
      </c>
      <c r="N309" s="159">
        <v>5.0</v>
      </c>
      <c r="O309" s="159">
        <v>5.0</v>
      </c>
      <c r="P309" s="159">
        <v>5.0</v>
      </c>
      <c r="Q309" s="159">
        <v>5.0</v>
      </c>
      <c r="R309" s="159">
        <v>5.0</v>
      </c>
      <c r="S309" s="159">
        <v>5.0</v>
      </c>
      <c r="T309" s="159">
        <v>5.0</v>
      </c>
      <c r="U309" s="159">
        <v>5.0</v>
      </c>
      <c r="V309" s="159">
        <v>5.0</v>
      </c>
      <c r="W309" s="159">
        <v>5.0</v>
      </c>
      <c r="X309" s="161"/>
      <c r="Y309" s="161"/>
      <c r="Z309" s="161"/>
      <c r="AA309" s="161"/>
      <c r="AB309" s="161"/>
      <c r="AC309" s="159">
        <v>4.966666666666667</v>
      </c>
      <c r="AD309" s="159"/>
    </row>
    <row r="310">
      <c r="A310" s="162">
        <v>102409.0</v>
      </c>
      <c r="B310" s="163" t="s">
        <v>895</v>
      </c>
      <c r="C310" s="164" t="s">
        <v>896</v>
      </c>
      <c r="D310" s="165">
        <v>44915.0</v>
      </c>
      <c r="E310" s="164" t="s">
        <v>295</v>
      </c>
      <c r="F310" s="161"/>
      <c r="G310" s="161"/>
      <c r="H310" s="159">
        <v>5.0</v>
      </c>
      <c r="I310" s="159">
        <v>5.0</v>
      </c>
      <c r="J310" s="159">
        <v>5.0</v>
      </c>
      <c r="K310" s="159">
        <v>4.5</v>
      </c>
      <c r="L310" s="159">
        <v>5.0</v>
      </c>
      <c r="M310" s="159">
        <v>4.9</v>
      </c>
      <c r="N310" s="159">
        <v>5.0</v>
      </c>
      <c r="O310" s="159">
        <v>5.0</v>
      </c>
      <c r="P310" s="159">
        <v>5.0</v>
      </c>
      <c r="Q310" s="159">
        <v>5.0</v>
      </c>
      <c r="R310" s="159">
        <v>5.0</v>
      </c>
      <c r="S310" s="159">
        <v>4.0</v>
      </c>
      <c r="T310" s="159">
        <v>5.0</v>
      </c>
      <c r="U310" s="159">
        <v>5.0</v>
      </c>
      <c r="V310" s="159">
        <v>5.0</v>
      </c>
      <c r="W310" s="159">
        <v>4.75</v>
      </c>
      <c r="X310" s="161"/>
      <c r="Y310" s="161"/>
      <c r="Z310" s="161"/>
      <c r="AA310" s="161"/>
      <c r="AB310" s="161"/>
      <c r="AC310" s="159">
        <v>4.883333333333334</v>
      </c>
      <c r="AD310" s="159"/>
    </row>
    <row r="311">
      <c r="A311" s="162">
        <v>102354.0</v>
      </c>
      <c r="B311" s="163" t="s">
        <v>897</v>
      </c>
      <c r="C311" s="164" t="s">
        <v>898</v>
      </c>
      <c r="D311" s="165">
        <v>44915.0</v>
      </c>
      <c r="E311" s="164" t="s">
        <v>51</v>
      </c>
      <c r="F311" s="161"/>
      <c r="G311" s="161"/>
      <c r="H311" s="159">
        <v>5.0</v>
      </c>
      <c r="I311" s="159">
        <v>5.0</v>
      </c>
      <c r="J311" s="159">
        <v>5.0</v>
      </c>
      <c r="K311" s="159">
        <v>5.0</v>
      </c>
      <c r="L311" s="159">
        <v>5.0</v>
      </c>
      <c r="M311" s="159">
        <v>5.0</v>
      </c>
      <c r="N311" s="159">
        <v>5.0</v>
      </c>
      <c r="O311" s="159">
        <v>5.0</v>
      </c>
      <c r="P311" s="159">
        <v>5.0</v>
      </c>
      <c r="Q311" s="159">
        <v>5.0</v>
      </c>
      <c r="R311" s="159">
        <v>5.0</v>
      </c>
      <c r="S311" s="159">
        <v>5.0</v>
      </c>
      <c r="T311" s="159">
        <v>5.0</v>
      </c>
      <c r="U311" s="159">
        <v>5.0</v>
      </c>
      <c r="V311" s="159">
        <v>5.0</v>
      </c>
      <c r="W311" s="159">
        <v>5.0</v>
      </c>
      <c r="X311" s="161"/>
      <c r="Y311" s="161"/>
      <c r="Z311" s="161"/>
      <c r="AA311" s="161"/>
      <c r="AB311" s="161"/>
      <c r="AC311" s="159">
        <v>5.0</v>
      </c>
      <c r="AD311" s="159"/>
    </row>
    <row r="312">
      <c r="A312" s="162">
        <v>102467.0</v>
      </c>
      <c r="B312" s="163" t="s">
        <v>899</v>
      </c>
      <c r="C312" s="164"/>
      <c r="D312" s="165">
        <v>44915.0</v>
      </c>
      <c r="E312" s="164" t="s">
        <v>51</v>
      </c>
      <c r="F312" s="161"/>
      <c r="G312" s="161"/>
      <c r="H312" s="159">
        <v>5.0</v>
      </c>
      <c r="I312" s="159">
        <v>5.0</v>
      </c>
      <c r="J312" s="159">
        <v>5.0</v>
      </c>
      <c r="K312" s="159">
        <v>5.0</v>
      </c>
      <c r="L312" s="159">
        <v>5.0</v>
      </c>
      <c r="M312" s="159">
        <v>5.0</v>
      </c>
      <c r="N312" s="159">
        <v>5.0</v>
      </c>
      <c r="O312" s="159">
        <v>5.0</v>
      </c>
      <c r="P312" s="159">
        <v>5.0</v>
      </c>
      <c r="Q312" s="159">
        <v>5.0</v>
      </c>
      <c r="R312" s="159">
        <v>5.0</v>
      </c>
      <c r="S312" s="159">
        <v>5.0</v>
      </c>
      <c r="T312" s="159">
        <v>5.0</v>
      </c>
      <c r="U312" s="159">
        <v>5.0</v>
      </c>
      <c r="V312" s="159">
        <v>5.0</v>
      </c>
      <c r="W312" s="159">
        <v>5.0</v>
      </c>
      <c r="X312" s="161"/>
      <c r="Y312" s="161"/>
      <c r="Z312" s="161"/>
      <c r="AA312" s="161"/>
      <c r="AB312" s="161"/>
      <c r="AC312" s="159">
        <v>5.0</v>
      </c>
      <c r="AD312" s="159"/>
    </row>
    <row r="313">
      <c r="A313" s="162">
        <v>102466.0</v>
      </c>
      <c r="B313" s="163" t="s">
        <v>900</v>
      </c>
      <c r="C313" s="164" t="s">
        <v>901</v>
      </c>
      <c r="D313" s="165">
        <v>44915.0</v>
      </c>
      <c r="E313" s="164" t="s">
        <v>209</v>
      </c>
      <c r="F313" s="161"/>
      <c r="G313" s="161"/>
      <c r="H313" s="159">
        <v>5.0</v>
      </c>
      <c r="I313" s="159">
        <v>5.0</v>
      </c>
      <c r="J313" s="159">
        <v>5.0</v>
      </c>
      <c r="K313" s="159">
        <v>5.0</v>
      </c>
      <c r="L313" s="159">
        <v>5.0</v>
      </c>
      <c r="M313" s="159">
        <v>5.0</v>
      </c>
      <c r="N313" s="159">
        <v>5.0</v>
      </c>
      <c r="O313" s="159">
        <v>5.0</v>
      </c>
      <c r="P313" s="159">
        <v>5.0</v>
      </c>
      <c r="Q313" s="159">
        <v>5.0</v>
      </c>
      <c r="R313" s="159">
        <v>5.0</v>
      </c>
      <c r="S313" s="159">
        <v>5.0</v>
      </c>
      <c r="T313" s="159">
        <v>5.0</v>
      </c>
      <c r="U313" s="159">
        <v>5.0</v>
      </c>
      <c r="V313" s="159">
        <v>5.0</v>
      </c>
      <c r="W313" s="159">
        <v>5.0</v>
      </c>
      <c r="X313" s="161"/>
      <c r="Y313" s="161"/>
      <c r="Z313" s="161"/>
      <c r="AA313" s="161"/>
      <c r="AB313" s="161"/>
      <c r="AC313" s="159">
        <v>5.0</v>
      </c>
      <c r="AD313" s="159"/>
    </row>
    <row r="314">
      <c r="A314" s="162">
        <v>102341.0</v>
      </c>
      <c r="B314" s="163" t="s">
        <v>902</v>
      </c>
      <c r="C314" s="164" t="s">
        <v>903</v>
      </c>
      <c r="D314" s="165">
        <v>44915.0</v>
      </c>
      <c r="E314" s="164" t="s">
        <v>522</v>
      </c>
      <c r="F314" s="161"/>
      <c r="G314" s="161"/>
      <c r="H314" s="159">
        <v>5.0</v>
      </c>
      <c r="I314" s="159">
        <v>5.0</v>
      </c>
      <c r="J314" s="159">
        <v>5.0</v>
      </c>
      <c r="K314" s="159">
        <v>5.0</v>
      </c>
      <c r="L314" s="159">
        <v>5.0</v>
      </c>
      <c r="M314" s="159">
        <v>5.0</v>
      </c>
      <c r="N314" s="159">
        <v>5.0</v>
      </c>
      <c r="O314" s="159">
        <v>5.0</v>
      </c>
      <c r="P314" s="159">
        <v>5.0</v>
      </c>
      <c r="Q314" s="159">
        <v>5.0</v>
      </c>
      <c r="R314" s="159">
        <v>5.0</v>
      </c>
      <c r="S314" s="159">
        <v>5.0</v>
      </c>
      <c r="T314" s="159">
        <v>5.0</v>
      </c>
      <c r="U314" s="159">
        <v>5.0</v>
      </c>
      <c r="V314" s="159">
        <v>5.0</v>
      </c>
      <c r="W314" s="159">
        <v>5.0</v>
      </c>
      <c r="X314" s="161"/>
      <c r="Y314" s="161"/>
      <c r="Z314" s="161"/>
      <c r="AA314" s="161"/>
      <c r="AB314" s="161"/>
      <c r="AC314" s="159">
        <v>5.0</v>
      </c>
      <c r="AD314" s="159"/>
    </row>
    <row r="315">
      <c r="A315" s="162">
        <v>102420.0</v>
      </c>
      <c r="B315" s="163" t="s">
        <v>904</v>
      </c>
      <c r="C315" s="164" t="s">
        <v>905</v>
      </c>
      <c r="D315" s="165">
        <v>44915.0</v>
      </c>
      <c r="E315" s="164" t="s">
        <v>522</v>
      </c>
      <c r="F315" s="161"/>
      <c r="G315" s="161"/>
      <c r="H315" s="159">
        <v>5.0</v>
      </c>
      <c r="I315" s="159">
        <v>5.0</v>
      </c>
      <c r="J315" s="159">
        <v>5.0</v>
      </c>
      <c r="K315" s="159">
        <v>5.0</v>
      </c>
      <c r="L315" s="159">
        <v>5.0</v>
      </c>
      <c r="M315" s="159">
        <v>5.0</v>
      </c>
      <c r="N315" s="171"/>
      <c r="O315" s="171"/>
      <c r="P315" s="171"/>
      <c r="Q315" s="171"/>
      <c r="R315" s="171"/>
      <c r="S315" s="159">
        <v>5.0</v>
      </c>
      <c r="T315" s="159">
        <v>5.0</v>
      </c>
      <c r="U315" s="159">
        <v>5.0</v>
      </c>
      <c r="V315" s="159">
        <v>5.0</v>
      </c>
      <c r="W315" s="159">
        <v>5.0</v>
      </c>
      <c r="X315" s="161"/>
      <c r="Y315" s="161"/>
      <c r="Z315" s="161"/>
      <c r="AA315" s="161"/>
      <c r="AB315" s="161"/>
      <c r="AC315" s="159">
        <v>5.0</v>
      </c>
      <c r="AD315" s="159"/>
    </row>
    <row r="316">
      <c r="A316" s="162">
        <v>103022.0</v>
      </c>
      <c r="B316" s="163" t="s">
        <v>906</v>
      </c>
      <c r="C316" s="164" t="s">
        <v>907</v>
      </c>
      <c r="D316" s="165">
        <v>44915.0</v>
      </c>
      <c r="E316" s="164" t="s">
        <v>522</v>
      </c>
      <c r="F316" s="161"/>
      <c r="G316" s="161"/>
      <c r="H316" s="159">
        <v>5.0</v>
      </c>
      <c r="I316" s="159">
        <v>5.0</v>
      </c>
      <c r="J316" s="159">
        <v>5.0</v>
      </c>
      <c r="K316" s="159">
        <v>5.0</v>
      </c>
      <c r="L316" s="159">
        <v>5.0</v>
      </c>
      <c r="M316" s="159">
        <v>5.0</v>
      </c>
      <c r="N316" s="159">
        <v>5.0</v>
      </c>
      <c r="O316" s="159">
        <v>5.0</v>
      </c>
      <c r="P316" s="159">
        <v>5.0</v>
      </c>
      <c r="Q316" s="159">
        <v>5.0</v>
      </c>
      <c r="R316" s="159">
        <v>5.0</v>
      </c>
      <c r="S316" s="159">
        <v>4.5</v>
      </c>
      <c r="T316" s="159">
        <v>4.5</v>
      </c>
      <c r="U316" s="159">
        <v>4.5</v>
      </c>
      <c r="V316" s="159">
        <v>4.5</v>
      </c>
      <c r="W316" s="159">
        <v>4.5</v>
      </c>
      <c r="X316" s="161"/>
      <c r="Y316" s="161"/>
      <c r="Z316" s="161"/>
      <c r="AA316" s="161"/>
      <c r="AB316" s="161"/>
      <c r="AC316" s="159">
        <v>4.833333333333333</v>
      </c>
      <c r="AD316" s="159"/>
    </row>
    <row r="317">
      <c r="A317" s="162">
        <v>102384.0</v>
      </c>
      <c r="B317" s="163" t="s">
        <v>908</v>
      </c>
      <c r="C317" s="164" t="s">
        <v>909</v>
      </c>
      <c r="D317" s="165">
        <v>44915.0</v>
      </c>
      <c r="E317" s="164" t="s">
        <v>254</v>
      </c>
      <c r="F317" s="161"/>
      <c r="G317" s="161"/>
      <c r="H317" s="159">
        <v>5.0</v>
      </c>
      <c r="I317" s="159">
        <v>5.0</v>
      </c>
      <c r="J317" s="159">
        <v>5.0</v>
      </c>
      <c r="K317" s="159">
        <v>5.0</v>
      </c>
      <c r="L317" s="159">
        <v>5.0</v>
      </c>
      <c r="M317" s="159">
        <v>5.0</v>
      </c>
      <c r="N317" s="159">
        <v>5.0</v>
      </c>
      <c r="O317" s="159">
        <v>5.0</v>
      </c>
      <c r="P317" s="159">
        <v>5.0</v>
      </c>
      <c r="Q317" s="159">
        <v>5.0</v>
      </c>
      <c r="R317" s="159">
        <v>5.0</v>
      </c>
      <c r="S317" s="159">
        <v>5.0</v>
      </c>
      <c r="T317" s="159">
        <v>5.0</v>
      </c>
      <c r="U317" s="159">
        <v>5.0</v>
      </c>
      <c r="V317" s="159">
        <v>5.0</v>
      </c>
      <c r="W317" s="159">
        <v>5.0</v>
      </c>
      <c r="X317" s="161"/>
      <c r="Y317" s="161"/>
      <c r="Z317" s="161"/>
      <c r="AA317" s="161"/>
      <c r="AB317" s="161"/>
      <c r="AC317" s="159">
        <v>5.0</v>
      </c>
      <c r="AD317" s="159"/>
    </row>
    <row r="318">
      <c r="A318" s="162">
        <v>102327.0</v>
      </c>
      <c r="B318" s="163" t="s">
        <v>910</v>
      </c>
      <c r="C318" s="164" t="s">
        <v>911</v>
      </c>
      <c r="D318" s="165">
        <v>44915.0</v>
      </c>
      <c r="E318" s="164" t="s">
        <v>101</v>
      </c>
      <c r="F318" s="161"/>
      <c r="G318" s="161"/>
      <c r="H318" s="159">
        <v>5.0</v>
      </c>
      <c r="I318" s="159">
        <v>5.0</v>
      </c>
      <c r="J318" s="159">
        <v>5.0</v>
      </c>
      <c r="K318" s="159">
        <v>5.0</v>
      </c>
      <c r="L318" s="159">
        <v>5.0</v>
      </c>
      <c r="M318" s="159">
        <v>5.0</v>
      </c>
      <c r="N318" s="159">
        <v>5.0</v>
      </c>
      <c r="O318" s="159">
        <v>5.0</v>
      </c>
      <c r="P318" s="159">
        <v>5.0</v>
      </c>
      <c r="Q318" s="159">
        <v>5.0</v>
      </c>
      <c r="R318" s="159">
        <v>5.0</v>
      </c>
      <c r="S318" s="159">
        <v>5.0</v>
      </c>
      <c r="T318" s="159">
        <v>5.0</v>
      </c>
      <c r="U318" s="159">
        <v>5.0</v>
      </c>
      <c r="V318" s="159">
        <v>5.0</v>
      </c>
      <c r="W318" s="159">
        <v>5.0</v>
      </c>
      <c r="X318" s="161"/>
      <c r="Y318" s="161"/>
      <c r="Z318" s="161"/>
      <c r="AA318" s="161"/>
      <c r="AB318" s="161"/>
      <c r="AC318" s="159">
        <v>5.0</v>
      </c>
      <c r="AD318" s="159"/>
    </row>
    <row r="319">
      <c r="A319" s="162">
        <v>102406.0</v>
      </c>
      <c r="B319" s="163" t="s">
        <v>912</v>
      </c>
      <c r="C319" s="164" t="s">
        <v>913</v>
      </c>
      <c r="D319" s="165">
        <v>44915.0</v>
      </c>
      <c r="E319" s="164" t="s">
        <v>215</v>
      </c>
      <c r="F319" s="161"/>
      <c r="G319" s="161"/>
      <c r="H319" s="159">
        <v>5.0</v>
      </c>
      <c r="I319" s="159">
        <v>5.0</v>
      </c>
      <c r="J319" s="159">
        <v>5.0</v>
      </c>
      <c r="K319" s="159">
        <v>5.0</v>
      </c>
      <c r="L319" s="159">
        <v>5.0</v>
      </c>
      <c r="M319" s="159">
        <v>5.0</v>
      </c>
      <c r="N319" s="159">
        <v>5.0</v>
      </c>
      <c r="O319" s="159">
        <v>5.0</v>
      </c>
      <c r="P319" s="159">
        <v>5.0</v>
      </c>
      <c r="Q319" s="159">
        <v>5.0</v>
      </c>
      <c r="R319" s="159">
        <v>5.0</v>
      </c>
      <c r="S319" s="159">
        <v>4.9</v>
      </c>
      <c r="T319" s="159">
        <v>5.0</v>
      </c>
      <c r="U319" s="159">
        <v>5.0</v>
      </c>
      <c r="V319" s="159">
        <v>5.0</v>
      </c>
      <c r="W319" s="159">
        <v>4.975</v>
      </c>
      <c r="X319" s="161"/>
      <c r="Y319" s="161"/>
      <c r="Z319" s="161"/>
      <c r="AA319" s="161"/>
      <c r="AB319" s="161"/>
      <c r="AC319" s="159">
        <v>4.991666666666666</v>
      </c>
      <c r="AD319" s="159"/>
    </row>
    <row r="320">
      <c r="A320" s="162">
        <v>102357.0</v>
      </c>
      <c r="B320" s="163" t="s">
        <v>914</v>
      </c>
      <c r="C320" s="164" t="s">
        <v>915</v>
      </c>
      <c r="D320" s="165">
        <v>44915.0</v>
      </c>
      <c r="E320" s="164" t="s">
        <v>487</v>
      </c>
      <c r="F320" s="161"/>
      <c r="G320" s="161"/>
      <c r="H320" s="159">
        <v>5.0</v>
      </c>
      <c r="I320" s="159">
        <v>5.0</v>
      </c>
      <c r="J320" s="159">
        <v>5.0</v>
      </c>
      <c r="K320" s="159">
        <v>5.0</v>
      </c>
      <c r="L320" s="159">
        <v>5.0</v>
      </c>
      <c r="M320" s="159">
        <v>5.0</v>
      </c>
      <c r="N320" s="159">
        <v>5.0</v>
      </c>
      <c r="O320" s="159">
        <v>5.0</v>
      </c>
      <c r="P320" s="159">
        <v>5.0</v>
      </c>
      <c r="Q320" s="159">
        <v>5.0</v>
      </c>
      <c r="R320" s="159">
        <v>5.0</v>
      </c>
      <c r="S320" s="159">
        <v>5.0</v>
      </c>
      <c r="T320" s="159">
        <v>5.0</v>
      </c>
      <c r="U320" s="159">
        <v>5.0</v>
      </c>
      <c r="V320" s="159">
        <v>5.0</v>
      </c>
      <c r="W320" s="159">
        <v>5.0</v>
      </c>
      <c r="X320" s="161"/>
      <c r="Y320" s="161"/>
      <c r="Z320" s="161"/>
      <c r="AA320" s="161"/>
      <c r="AB320" s="161"/>
      <c r="AC320" s="159">
        <v>5.0</v>
      </c>
      <c r="AD320" s="159"/>
    </row>
    <row r="321">
      <c r="A321" s="162">
        <v>102423.0</v>
      </c>
      <c r="B321" s="163" t="s">
        <v>916</v>
      </c>
      <c r="C321" s="164" t="s">
        <v>917</v>
      </c>
      <c r="D321" s="165">
        <v>44915.0</v>
      </c>
      <c r="E321" s="164" t="s">
        <v>87</v>
      </c>
      <c r="F321" s="161"/>
      <c r="G321" s="161"/>
      <c r="H321" s="159">
        <v>5.0</v>
      </c>
      <c r="I321" s="159">
        <v>5.0</v>
      </c>
      <c r="J321" s="159">
        <v>5.0</v>
      </c>
      <c r="K321" s="159">
        <v>5.0</v>
      </c>
      <c r="L321" s="159">
        <v>5.0</v>
      </c>
      <c r="M321" s="159">
        <v>5.0</v>
      </c>
      <c r="N321" s="159">
        <v>5.0</v>
      </c>
      <c r="O321" s="159">
        <v>5.0</v>
      </c>
      <c r="P321" s="159">
        <v>5.0</v>
      </c>
      <c r="Q321" s="159">
        <v>5.0</v>
      </c>
      <c r="R321" s="159">
        <v>5.0</v>
      </c>
      <c r="S321" s="159">
        <v>5.0</v>
      </c>
      <c r="T321" s="159">
        <v>5.0</v>
      </c>
      <c r="U321" s="159">
        <v>5.0</v>
      </c>
      <c r="V321" s="159">
        <v>4.0</v>
      </c>
      <c r="W321" s="159">
        <f>AVERAGE(S321:V321)</f>
        <v>4.75</v>
      </c>
      <c r="X321" s="161"/>
      <c r="Y321" s="161"/>
      <c r="Z321" s="161"/>
      <c r="AA321" s="161"/>
      <c r="AB321" s="161"/>
      <c r="AC321" s="159">
        <v>5.0</v>
      </c>
      <c r="AD321" s="159"/>
    </row>
    <row r="322">
      <c r="A322" s="162">
        <v>102391.0</v>
      </c>
      <c r="B322" s="163" t="s">
        <v>918</v>
      </c>
      <c r="C322" s="164" t="s">
        <v>919</v>
      </c>
      <c r="D322" s="165">
        <v>44915.0</v>
      </c>
      <c r="E322" s="164" t="s">
        <v>134</v>
      </c>
      <c r="F322" s="161"/>
      <c r="G322" s="161"/>
      <c r="H322" s="159">
        <v>5.0</v>
      </c>
      <c r="I322" s="159">
        <v>5.0</v>
      </c>
      <c r="J322" s="159">
        <v>5.0</v>
      </c>
      <c r="K322" s="159">
        <v>5.0</v>
      </c>
      <c r="L322" s="159">
        <v>5.0</v>
      </c>
      <c r="M322" s="159">
        <v>5.0</v>
      </c>
      <c r="N322" s="159">
        <v>5.0</v>
      </c>
      <c r="O322" s="159">
        <v>5.0</v>
      </c>
      <c r="P322" s="159">
        <v>5.0</v>
      </c>
      <c r="Q322" s="159">
        <v>5.0</v>
      </c>
      <c r="R322" s="159">
        <v>5.0</v>
      </c>
      <c r="S322" s="159">
        <v>5.0</v>
      </c>
      <c r="T322" s="159">
        <v>5.0</v>
      </c>
      <c r="U322" s="159">
        <v>5.0</v>
      </c>
      <c r="V322" s="159">
        <v>5.0</v>
      </c>
      <c r="W322" s="159">
        <v>5.0</v>
      </c>
      <c r="X322" s="161"/>
      <c r="Y322" s="161"/>
      <c r="Z322" s="161"/>
      <c r="AA322" s="161"/>
      <c r="AB322" s="161"/>
      <c r="AC322" s="159">
        <v>5.0</v>
      </c>
      <c r="AD322" s="159"/>
    </row>
    <row r="323">
      <c r="A323" s="162">
        <v>102286.0</v>
      </c>
      <c r="B323" s="163" t="s">
        <v>920</v>
      </c>
      <c r="C323" s="164" t="s">
        <v>921</v>
      </c>
      <c r="D323" s="165">
        <v>44915.0</v>
      </c>
      <c r="E323" s="164" t="s">
        <v>312</v>
      </c>
      <c r="F323" s="161"/>
      <c r="G323" s="161"/>
      <c r="H323" s="159">
        <v>5.0</v>
      </c>
      <c r="I323" s="159">
        <v>5.0</v>
      </c>
      <c r="J323" s="159">
        <v>5.0</v>
      </c>
      <c r="K323" s="159">
        <v>5.0</v>
      </c>
      <c r="L323" s="159">
        <v>5.0</v>
      </c>
      <c r="M323" s="159">
        <v>5.0</v>
      </c>
      <c r="N323" s="159">
        <v>5.0</v>
      </c>
      <c r="O323" s="159">
        <v>5.0</v>
      </c>
      <c r="P323" s="159">
        <v>5.0</v>
      </c>
      <c r="Q323" s="159">
        <v>5.0</v>
      </c>
      <c r="R323" s="159">
        <v>5.0</v>
      </c>
      <c r="S323" s="159">
        <v>5.0</v>
      </c>
      <c r="T323" s="159">
        <v>5.0</v>
      </c>
      <c r="U323" s="159">
        <v>5.0</v>
      </c>
      <c r="V323" s="159">
        <v>5.0</v>
      </c>
      <c r="W323" s="159">
        <v>5.0</v>
      </c>
      <c r="X323" s="161"/>
      <c r="Y323" s="161"/>
      <c r="Z323" s="161"/>
      <c r="AA323" s="161"/>
      <c r="AB323" s="161"/>
      <c r="AC323" s="159">
        <v>5.0</v>
      </c>
      <c r="AD323" s="159"/>
    </row>
    <row r="324">
      <c r="A324" s="162">
        <v>102469.0</v>
      </c>
      <c r="B324" s="163" t="s">
        <v>922</v>
      </c>
      <c r="C324" s="164" t="s">
        <v>923</v>
      </c>
      <c r="D324" s="165">
        <v>44915.0</v>
      </c>
      <c r="E324" s="164" t="s">
        <v>312</v>
      </c>
      <c r="F324" s="161"/>
      <c r="G324" s="161"/>
      <c r="H324" s="159">
        <v>5.0</v>
      </c>
      <c r="I324" s="159">
        <v>5.0</v>
      </c>
      <c r="J324" s="159">
        <v>5.0</v>
      </c>
      <c r="K324" s="159">
        <v>5.0</v>
      </c>
      <c r="L324" s="159">
        <v>5.0</v>
      </c>
      <c r="M324" s="159">
        <v>5.0</v>
      </c>
      <c r="N324" s="159">
        <v>5.0</v>
      </c>
      <c r="O324" s="159">
        <v>5.0</v>
      </c>
      <c r="P324" s="159">
        <v>5.0</v>
      </c>
      <c r="Q324" s="159">
        <v>5.0</v>
      </c>
      <c r="R324" s="159">
        <v>5.0</v>
      </c>
      <c r="S324" s="159">
        <v>5.0</v>
      </c>
      <c r="T324" s="159">
        <v>5.0</v>
      </c>
      <c r="U324" s="159">
        <v>5.0</v>
      </c>
      <c r="V324" s="159">
        <v>5.0</v>
      </c>
      <c r="W324" s="159">
        <v>5.0</v>
      </c>
      <c r="X324" s="161"/>
      <c r="Y324" s="161"/>
      <c r="Z324" s="161"/>
      <c r="AA324" s="161"/>
      <c r="AB324" s="161"/>
      <c r="AC324" s="159">
        <v>5.0</v>
      </c>
      <c r="AD324" s="159"/>
    </row>
    <row r="325">
      <c r="A325" s="162">
        <v>102907.0</v>
      </c>
      <c r="B325" s="163" t="s">
        <v>924</v>
      </c>
      <c r="C325" s="164" t="s">
        <v>925</v>
      </c>
      <c r="D325" s="165">
        <v>44922.0</v>
      </c>
      <c r="E325" s="164" t="s">
        <v>156</v>
      </c>
      <c r="F325" s="161"/>
      <c r="G325" s="161"/>
      <c r="H325" s="159">
        <v>5.0</v>
      </c>
      <c r="I325" s="159">
        <v>5.0</v>
      </c>
      <c r="J325" s="159">
        <v>5.0</v>
      </c>
      <c r="K325" s="159">
        <v>5.0</v>
      </c>
      <c r="L325" s="159">
        <v>5.0</v>
      </c>
      <c r="M325" s="159">
        <v>5.0</v>
      </c>
      <c r="N325" s="159">
        <v>5.0</v>
      </c>
      <c r="O325" s="159">
        <v>5.0</v>
      </c>
      <c r="P325" s="159">
        <v>5.0</v>
      </c>
      <c r="Q325" s="159">
        <v>5.0</v>
      </c>
      <c r="R325" s="159">
        <v>5.0</v>
      </c>
      <c r="S325" s="159">
        <v>5.0</v>
      </c>
      <c r="T325" s="159">
        <v>5.0</v>
      </c>
      <c r="U325" s="159">
        <v>5.0</v>
      </c>
      <c r="V325" s="159">
        <v>5.0</v>
      </c>
      <c r="W325" s="159">
        <v>5.0</v>
      </c>
      <c r="X325" s="161"/>
      <c r="Y325" s="161"/>
      <c r="Z325" s="161"/>
      <c r="AA325" s="161"/>
      <c r="AB325" s="161"/>
      <c r="AC325" s="159">
        <v>5.0</v>
      </c>
      <c r="AD325" s="159"/>
    </row>
    <row r="326">
      <c r="A326" s="162">
        <v>102909.0</v>
      </c>
      <c r="B326" s="163" t="s">
        <v>926</v>
      </c>
      <c r="C326" s="164" t="s">
        <v>927</v>
      </c>
      <c r="D326" s="165">
        <v>44949.0</v>
      </c>
      <c r="E326" s="164" t="s">
        <v>51</v>
      </c>
      <c r="F326" s="161"/>
      <c r="G326" s="161"/>
      <c r="H326" s="159">
        <v>5.0</v>
      </c>
      <c r="I326" s="159">
        <v>5.0</v>
      </c>
      <c r="J326" s="159">
        <v>5.0</v>
      </c>
      <c r="K326" s="159">
        <v>5.0</v>
      </c>
      <c r="L326" s="159">
        <v>5.0</v>
      </c>
      <c r="M326" s="159">
        <v>5.0</v>
      </c>
      <c r="N326" s="159">
        <v>5.0</v>
      </c>
      <c r="O326" s="159">
        <v>5.0</v>
      </c>
      <c r="P326" s="159">
        <v>5.0</v>
      </c>
      <c r="Q326" s="159">
        <v>5.0</v>
      </c>
      <c r="R326" s="159">
        <v>5.0</v>
      </c>
      <c r="S326" s="159">
        <v>5.0</v>
      </c>
      <c r="T326" s="159">
        <v>5.0</v>
      </c>
      <c r="U326" s="159">
        <v>5.0</v>
      </c>
      <c r="V326" s="159">
        <v>5.0</v>
      </c>
      <c r="W326" s="159">
        <v>5.0</v>
      </c>
      <c r="X326" s="161"/>
      <c r="Y326" s="161"/>
      <c r="Z326" s="161"/>
      <c r="AA326" s="161"/>
      <c r="AB326" s="161"/>
      <c r="AC326" s="159">
        <v>5.0</v>
      </c>
      <c r="AD326" s="159"/>
    </row>
    <row r="327">
      <c r="A327" s="162">
        <v>103046.0</v>
      </c>
      <c r="B327" s="163" t="s">
        <v>928</v>
      </c>
      <c r="C327" s="164" t="s">
        <v>929</v>
      </c>
      <c r="D327" s="165">
        <v>44950.0</v>
      </c>
      <c r="E327" s="164" t="s">
        <v>113</v>
      </c>
      <c r="F327" s="161"/>
      <c r="G327" s="161"/>
      <c r="H327" s="159">
        <v>5.0</v>
      </c>
      <c r="I327" s="159">
        <v>5.0</v>
      </c>
      <c r="J327" s="159">
        <v>5.0</v>
      </c>
      <c r="K327" s="159">
        <v>5.0</v>
      </c>
      <c r="L327" s="159">
        <v>5.0</v>
      </c>
      <c r="M327" s="159">
        <v>5.0</v>
      </c>
      <c r="N327" s="159">
        <v>5.0</v>
      </c>
      <c r="O327" s="159">
        <v>5.0</v>
      </c>
      <c r="P327" s="159">
        <v>5.0</v>
      </c>
      <c r="Q327" s="159">
        <v>5.0</v>
      </c>
      <c r="R327" s="159">
        <v>5.0</v>
      </c>
      <c r="S327" s="159">
        <v>5.0</v>
      </c>
      <c r="T327" s="159">
        <v>5.0</v>
      </c>
      <c r="U327" s="159">
        <v>5.0</v>
      </c>
      <c r="V327" s="159">
        <v>5.0</v>
      </c>
      <c r="W327" s="159">
        <v>5.0</v>
      </c>
      <c r="X327" s="161"/>
      <c r="Y327" s="161"/>
      <c r="Z327" s="161"/>
      <c r="AA327" s="161"/>
      <c r="AB327" s="161"/>
      <c r="AC327" s="159">
        <v>5.0</v>
      </c>
      <c r="AD327" s="159"/>
    </row>
    <row r="328">
      <c r="A328" s="162">
        <v>102363.0</v>
      </c>
      <c r="B328" s="163" t="s">
        <v>930</v>
      </c>
      <c r="C328" s="164" t="s">
        <v>931</v>
      </c>
      <c r="D328" s="165">
        <v>44950.0</v>
      </c>
      <c r="E328" s="164" t="s">
        <v>125</v>
      </c>
      <c r="F328" s="161"/>
      <c r="G328" s="161"/>
      <c r="H328" s="159">
        <v>5.0</v>
      </c>
      <c r="I328" s="159">
        <v>5.0</v>
      </c>
      <c r="J328" s="159">
        <v>5.0</v>
      </c>
      <c r="K328" s="159">
        <v>5.0</v>
      </c>
      <c r="L328" s="159">
        <v>5.0</v>
      </c>
      <c r="M328" s="159">
        <v>5.0</v>
      </c>
      <c r="N328" s="159">
        <v>5.0</v>
      </c>
      <c r="O328" s="159">
        <v>5.0</v>
      </c>
      <c r="P328" s="159">
        <v>5.0</v>
      </c>
      <c r="Q328" s="159">
        <v>5.0</v>
      </c>
      <c r="R328" s="159">
        <v>5.0</v>
      </c>
      <c r="S328" s="159">
        <v>5.0</v>
      </c>
      <c r="T328" s="159">
        <v>5.0</v>
      </c>
      <c r="U328" s="159">
        <v>5.0</v>
      </c>
      <c r="V328" s="159">
        <v>5.0</v>
      </c>
      <c r="W328" s="159">
        <v>5.0</v>
      </c>
      <c r="X328" s="161"/>
      <c r="Y328" s="161"/>
      <c r="Z328" s="161"/>
      <c r="AA328" s="161"/>
      <c r="AB328" s="161"/>
      <c r="AC328" s="159">
        <v>5.0</v>
      </c>
      <c r="AD328" s="159"/>
    </row>
    <row r="329">
      <c r="A329" s="162">
        <v>102413.0</v>
      </c>
      <c r="B329" s="163" t="s">
        <v>932</v>
      </c>
      <c r="C329" s="164" t="s">
        <v>933</v>
      </c>
      <c r="D329" s="165">
        <v>44950.0</v>
      </c>
      <c r="E329" s="164" t="s">
        <v>51</v>
      </c>
      <c r="F329" s="161"/>
      <c r="G329" s="161"/>
      <c r="H329" s="159">
        <v>5.0</v>
      </c>
      <c r="I329" s="159">
        <v>5.0</v>
      </c>
      <c r="J329" s="159">
        <v>5.0</v>
      </c>
      <c r="K329" s="159">
        <v>5.0</v>
      </c>
      <c r="L329" s="159">
        <v>5.0</v>
      </c>
      <c r="M329" s="159">
        <v>5.0</v>
      </c>
      <c r="N329" s="159">
        <v>4.0</v>
      </c>
      <c r="O329" s="159">
        <v>4.0</v>
      </c>
      <c r="P329" s="159">
        <v>3.5</v>
      </c>
      <c r="Q329" s="159">
        <v>4.0</v>
      </c>
      <c r="R329" s="159">
        <v>3.875</v>
      </c>
      <c r="S329" s="159">
        <v>5.0</v>
      </c>
      <c r="T329" s="159">
        <v>5.0</v>
      </c>
      <c r="U329" s="159">
        <v>5.0</v>
      </c>
      <c r="V329" s="159">
        <v>5.0</v>
      </c>
      <c r="W329" s="159">
        <v>5.0</v>
      </c>
      <c r="X329" s="161"/>
      <c r="Y329" s="161"/>
      <c r="Z329" s="161"/>
      <c r="AA329" s="161"/>
      <c r="AB329" s="161"/>
      <c r="AC329" s="159">
        <v>4.625</v>
      </c>
      <c r="AD329" s="159"/>
    </row>
    <row r="330">
      <c r="A330" s="162">
        <v>102419.0</v>
      </c>
      <c r="B330" s="163" t="s">
        <v>934</v>
      </c>
      <c r="C330" s="164" t="s">
        <v>935</v>
      </c>
      <c r="D330" s="165">
        <v>44950.0</v>
      </c>
      <c r="E330" s="164" t="s">
        <v>51</v>
      </c>
      <c r="F330" s="161"/>
      <c r="G330" s="161"/>
      <c r="H330" s="159">
        <v>5.0</v>
      </c>
      <c r="I330" s="159">
        <v>5.0</v>
      </c>
      <c r="J330" s="159">
        <v>5.0</v>
      </c>
      <c r="K330" s="159">
        <v>5.0</v>
      </c>
      <c r="L330" s="159">
        <v>5.0</v>
      </c>
      <c r="M330" s="159">
        <v>5.0</v>
      </c>
      <c r="N330" s="159">
        <v>4.0</v>
      </c>
      <c r="O330" s="159">
        <v>4.0</v>
      </c>
      <c r="P330" s="159">
        <v>3.5</v>
      </c>
      <c r="Q330" s="159">
        <v>4.0</v>
      </c>
      <c r="R330" s="159">
        <v>3.875</v>
      </c>
      <c r="S330" s="159">
        <v>5.0</v>
      </c>
      <c r="T330" s="159">
        <v>5.0</v>
      </c>
      <c r="U330" s="159">
        <v>5.0</v>
      </c>
      <c r="V330" s="159">
        <v>5.0</v>
      </c>
      <c r="W330" s="159">
        <v>5.0</v>
      </c>
      <c r="X330" s="161"/>
      <c r="Y330" s="161"/>
      <c r="Z330" s="161"/>
      <c r="AA330" s="161"/>
      <c r="AB330" s="161"/>
      <c r="AC330" s="159">
        <v>4.625</v>
      </c>
      <c r="AD330" s="159"/>
    </row>
    <row r="331">
      <c r="A331" s="162">
        <v>102398.0</v>
      </c>
      <c r="B331" s="163" t="s">
        <v>936</v>
      </c>
      <c r="C331" s="164" t="s">
        <v>937</v>
      </c>
      <c r="D331" s="165">
        <v>44950.0</v>
      </c>
      <c r="E331" s="164" t="s">
        <v>51</v>
      </c>
      <c r="F331" s="161"/>
      <c r="G331" s="161"/>
      <c r="H331" s="159">
        <v>5.0</v>
      </c>
      <c r="I331" s="159">
        <v>5.0</v>
      </c>
      <c r="J331" s="159">
        <v>5.0</v>
      </c>
      <c r="K331" s="159">
        <v>5.0</v>
      </c>
      <c r="L331" s="159">
        <v>5.0</v>
      </c>
      <c r="M331" s="159">
        <v>5.0</v>
      </c>
      <c r="N331" s="159">
        <v>4.0</v>
      </c>
      <c r="O331" s="159">
        <v>4.0</v>
      </c>
      <c r="P331" s="159">
        <v>3.5</v>
      </c>
      <c r="Q331" s="159">
        <v>4.0</v>
      </c>
      <c r="R331" s="159">
        <v>3.875</v>
      </c>
      <c r="S331" s="159">
        <v>5.0</v>
      </c>
      <c r="T331" s="159">
        <v>5.0</v>
      </c>
      <c r="U331" s="159">
        <v>5.0</v>
      </c>
      <c r="V331" s="159">
        <v>5.0</v>
      </c>
      <c r="W331" s="159">
        <v>5.0</v>
      </c>
      <c r="X331" s="161"/>
      <c r="Y331" s="161"/>
      <c r="Z331" s="161"/>
      <c r="AA331" s="161"/>
      <c r="AB331" s="161"/>
      <c r="AC331" s="159">
        <v>4.625</v>
      </c>
      <c r="AD331" s="159"/>
    </row>
    <row r="332">
      <c r="A332" s="162">
        <v>102438.0</v>
      </c>
      <c r="B332" s="163" t="s">
        <v>938</v>
      </c>
      <c r="C332" s="164" t="s">
        <v>939</v>
      </c>
      <c r="D332" s="165">
        <v>44950.0</v>
      </c>
      <c r="E332" s="164" t="s">
        <v>51</v>
      </c>
      <c r="F332" s="161"/>
      <c r="G332" s="161"/>
      <c r="H332" s="159">
        <v>5.0</v>
      </c>
      <c r="I332" s="159">
        <v>5.0</v>
      </c>
      <c r="J332" s="159">
        <v>5.0</v>
      </c>
      <c r="K332" s="159">
        <v>5.0</v>
      </c>
      <c r="L332" s="159">
        <v>5.0</v>
      </c>
      <c r="M332" s="159">
        <v>5.0</v>
      </c>
      <c r="N332" s="159">
        <v>4.0</v>
      </c>
      <c r="O332" s="159">
        <v>4.0</v>
      </c>
      <c r="P332" s="159">
        <v>3.5</v>
      </c>
      <c r="Q332" s="159">
        <v>4.0</v>
      </c>
      <c r="R332" s="159">
        <v>3.875</v>
      </c>
      <c r="S332" s="159">
        <v>5.0</v>
      </c>
      <c r="T332" s="159">
        <v>5.0</v>
      </c>
      <c r="U332" s="159">
        <v>5.0</v>
      </c>
      <c r="V332" s="159">
        <v>5.0</v>
      </c>
      <c r="W332" s="159">
        <v>5.0</v>
      </c>
      <c r="X332" s="161"/>
      <c r="Y332" s="161"/>
      <c r="Z332" s="161"/>
      <c r="AA332" s="161"/>
      <c r="AB332" s="161"/>
      <c r="AC332" s="159">
        <v>4.625</v>
      </c>
      <c r="AD332" s="159"/>
    </row>
    <row r="333">
      <c r="A333" s="162">
        <v>102433.0</v>
      </c>
      <c r="B333" s="163" t="s">
        <v>940</v>
      </c>
      <c r="C333" s="164" t="s">
        <v>941</v>
      </c>
      <c r="D333" s="165">
        <v>44950.0</v>
      </c>
      <c r="E333" s="164" t="s">
        <v>51</v>
      </c>
      <c r="F333" s="161"/>
      <c r="G333" s="161"/>
      <c r="H333" s="159">
        <v>5.0</v>
      </c>
      <c r="I333" s="159">
        <v>5.0</v>
      </c>
      <c r="J333" s="159">
        <v>5.0</v>
      </c>
      <c r="K333" s="159">
        <v>5.0</v>
      </c>
      <c r="L333" s="159">
        <v>5.0</v>
      </c>
      <c r="M333" s="159">
        <v>5.0</v>
      </c>
      <c r="N333" s="159">
        <v>4.0</v>
      </c>
      <c r="O333" s="159">
        <v>4.0</v>
      </c>
      <c r="P333" s="159">
        <v>3.5</v>
      </c>
      <c r="Q333" s="159">
        <v>4.0</v>
      </c>
      <c r="R333" s="159">
        <v>3.875</v>
      </c>
      <c r="S333" s="159">
        <v>5.0</v>
      </c>
      <c r="T333" s="159">
        <v>5.0</v>
      </c>
      <c r="U333" s="159">
        <v>5.0</v>
      </c>
      <c r="V333" s="159">
        <v>5.0</v>
      </c>
      <c r="W333" s="159">
        <v>5.0</v>
      </c>
      <c r="X333" s="161"/>
      <c r="Y333" s="161"/>
      <c r="Z333" s="161"/>
      <c r="AA333" s="161"/>
      <c r="AB333" s="161"/>
      <c r="AC333" s="159">
        <v>4.625</v>
      </c>
      <c r="AD333" s="159"/>
    </row>
    <row r="334">
      <c r="A334" s="162">
        <v>102486.0</v>
      </c>
      <c r="B334" s="163" t="s">
        <v>942</v>
      </c>
      <c r="C334" s="164" t="s">
        <v>943</v>
      </c>
      <c r="D334" s="165">
        <v>44950.0</v>
      </c>
      <c r="E334" s="164" t="s">
        <v>51</v>
      </c>
      <c r="F334" s="161"/>
      <c r="G334" s="161"/>
      <c r="H334" s="159">
        <v>5.0</v>
      </c>
      <c r="I334" s="159">
        <v>5.0</v>
      </c>
      <c r="J334" s="159">
        <v>5.0</v>
      </c>
      <c r="K334" s="159">
        <v>5.0</v>
      </c>
      <c r="L334" s="159">
        <v>5.0</v>
      </c>
      <c r="M334" s="159">
        <v>5.0</v>
      </c>
      <c r="N334" s="159">
        <v>4.0</v>
      </c>
      <c r="O334" s="159">
        <v>4.0</v>
      </c>
      <c r="P334" s="159">
        <v>3.5</v>
      </c>
      <c r="Q334" s="159">
        <v>4.0</v>
      </c>
      <c r="R334" s="159">
        <v>3.875</v>
      </c>
      <c r="S334" s="159">
        <v>5.0</v>
      </c>
      <c r="T334" s="159">
        <v>5.0</v>
      </c>
      <c r="U334" s="159">
        <v>5.0</v>
      </c>
      <c r="V334" s="159">
        <v>5.0</v>
      </c>
      <c r="W334" s="159">
        <v>5.0</v>
      </c>
      <c r="X334" s="161"/>
      <c r="Y334" s="161"/>
      <c r="Z334" s="161"/>
      <c r="AA334" s="161"/>
      <c r="AB334" s="161"/>
      <c r="AC334" s="159">
        <v>4.625</v>
      </c>
      <c r="AD334" s="159"/>
    </row>
    <row r="335">
      <c r="A335" s="162">
        <v>102349.0</v>
      </c>
      <c r="B335" s="163" t="s">
        <v>944</v>
      </c>
      <c r="C335" s="164" t="s">
        <v>945</v>
      </c>
      <c r="D335" s="165">
        <v>44950.0</v>
      </c>
      <c r="E335" s="164" t="s">
        <v>522</v>
      </c>
      <c r="F335" s="161"/>
      <c r="G335" s="161"/>
      <c r="H335" s="159">
        <v>5.0</v>
      </c>
      <c r="I335" s="159">
        <v>5.0</v>
      </c>
      <c r="J335" s="159">
        <v>5.0</v>
      </c>
      <c r="K335" s="159">
        <v>5.0</v>
      </c>
      <c r="L335" s="159">
        <v>5.0</v>
      </c>
      <c r="M335" s="159">
        <v>5.0</v>
      </c>
      <c r="N335" s="159">
        <v>5.0</v>
      </c>
      <c r="O335" s="159">
        <v>5.0</v>
      </c>
      <c r="P335" s="159" t="s">
        <v>946</v>
      </c>
      <c r="Q335" s="159">
        <v>5.0</v>
      </c>
      <c r="R335" s="159">
        <v>5.0</v>
      </c>
      <c r="S335" s="159">
        <v>5.0</v>
      </c>
      <c r="T335" s="159">
        <v>5.0</v>
      </c>
      <c r="U335" s="159">
        <v>5.0</v>
      </c>
      <c r="V335" s="159">
        <v>5.0</v>
      </c>
      <c r="W335" s="159">
        <v>5.0</v>
      </c>
      <c r="X335" s="161"/>
      <c r="Y335" s="161"/>
      <c r="Z335" s="161"/>
      <c r="AA335" s="161"/>
      <c r="AB335" s="161"/>
      <c r="AC335" s="159">
        <v>5.0</v>
      </c>
      <c r="AD335" s="159"/>
    </row>
    <row r="336">
      <c r="A336" s="162">
        <v>102477.0</v>
      </c>
      <c r="B336" s="163" t="s">
        <v>947</v>
      </c>
      <c r="C336" s="164" t="s">
        <v>948</v>
      </c>
      <c r="D336" s="165">
        <v>44950.0</v>
      </c>
      <c r="E336" s="164" t="s">
        <v>522</v>
      </c>
      <c r="F336" s="161"/>
      <c r="G336" s="161"/>
      <c r="H336" s="159">
        <v>5.0</v>
      </c>
      <c r="I336" s="159">
        <v>5.0</v>
      </c>
      <c r="J336" s="159">
        <v>5.0</v>
      </c>
      <c r="K336" s="159">
        <v>5.0</v>
      </c>
      <c r="L336" s="159">
        <v>5.0</v>
      </c>
      <c r="M336" s="159">
        <v>5.0</v>
      </c>
      <c r="N336" s="159">
        <v>4.0</v>
      </c>
      <c r="O336" s="159">
        <v>4.0</v>
      </c>
      <c r="P336" s="159">
        <v>3.5</v>
      </c>
      <c r="Q336" s="159">
        <v>4.0</v>
      </c>
      <c r="R336" s="159">
        <v>3.875</v>
      </c>
      <c r="S336" s="159">
        <v>5.0</v>
      </c>
      <c r="T336" s="159">
        <v>5.0</v>
      </c>
      <c r="U336" s="159">
        <v>5.0</v>
      </c>
      <c r="V336" s="159">
        <v>5.0</v>
      </c>
      <c r="W336" s="159">
        <v>5.0</v>
      </c>
      <c r="X336" s="161"/>
      <c r="Y336" s="161"/>
      <c r="Z336" s="161"/>
      <c r="AA336" s="161"/>
      <c r="AB336" s="161"/>
      <c r="AC336" s="159">
        <v>4.625</v>
      </c>
      <c r="AD336" s="159"/>
    </row>
    <row r="337">
      <c r="A337" s="162">
        <v>102300.0</v>
      </c>
      <c r="B337" s="163" t="s">
        <v>949</v>
      </c>
      <c r="C337" s="164" t="s">
        <v>950</v>
      </c>
      <c r="D337" s="165">
        <v>44950.0</v>
      </c>
      <c r="E337" s="164" t="s">
        <v>254</v>
      </c>
      <c r="F337" s="161"/>
      <c r="G337" s="161"/>
      <c r="H337" s="159">
        <v>5.0</v>
      </c>
      <c r="I337" s="159">
        <v>5.0</v>
      </c>
      <c r="J337" s="159">
        <v>5.0</v>
      </c>
      <c r="K337" s="159">
        <v>5.0</v>
      </c>
      <c r="L337" s="159">
        <v>5.0</v>
      </c>
      <c r="M337" s="159">
        <v>5.0</v>
      </c>
      <c r="N337" s="159">
        <v>5.0</v>
      </c>
      <c r="O337" s="159">
        <v>5.0</v>
      </c>
      <c r="P337" s="159">
        <v>5.0</v>
      </c>
      <c r="Q337" s="159">
        <v>5.0</v>
      </c>
      <c r="R337" s="159">
        <v>5.0</v>
      </c>
      <c r="S337" s="159">
        <v>5.0</v>
      </c>
      <c r="T337" s="159">
        <v>5.0</v>
      </c>
      <c r="U337" s="159">
        <v>5.0</v>
      </c>
      <c r="V337" s="159">
        <v>5.0</v>
      </c>
      <c r="W337" s="159">
        <v>5.0</v>
      </c>
      <c r="X337" s="161"/>
      <c r="Y337" s="161"/>
      <c r="Z337" s="161"/>
      <c r="AA337" s="161"/>
      <c r="AB337" s="161"/>
      <c r="AC337" s="159">
        <v>5.0</v>
      </c>
      <c r="AD337" s="159"/>
    </row>
    <row r="338">
      <c r="A338" s="162">
        <v>102384.0</v>
      </c>
      <c r="B338" s="163" t="s">
        <v>951</v>
      </c>
      <c r="C338" s="164" t="s">
        <v>909</v>
      </c>
      <c r="D338" s="165">
        <v>44950.0</v>
      </c>
      <c r="E338" s="164" t="s">
        <v>254</v>
      </c>
      <c r="F338" s="161"/>
      <c r="G338" s="161"/>
      <c r="H338" s="159">
        <v>5.0</v>
      </c>
      <c r="I338" s="159">
        <v>5.0</v>
      </c>
      <c r="J338" s="159">
        <v>5.0</v>
      </c>
      <c r="K338" s="159">
        <v>5.0</v>
      </c>
      <c r="L338" s="159">
        <v>5.0</v>
      </c>
      <c r="M338" s="159">
        <v>5.0</v>
      </c>
      <c r="N338" s="159">
        <v>5.0</v>
      </c>
      <c r="O338" s="159">
        <v>5.0</v>
      </c>
      <c r="P338" s="159">
        <v>5.0</v>
      </c>
      <c r="Q338" s="159">
        <v>5.0</v>
      </c>
      <c r="R338" s="159">
        <v>5.0</v>
      </c>
      <c r="S338" s="159">
        <v>5.0</v>
      </c>
      <c r="T338" s="159">
        <v>5.0</v>
      </c>
      <c r="U338" s="159">
        <v>5.0</v>
      </c>
      <c r="V338" s="159">
        <v>5.0</v>
      </c>
      <c r="W338" s="159">
        <v>5.0</v>
      </c>
      <c r="X338" s="161"/>
      <c r="Y338" s="161"/>
      <c r="Z338" s="161"/>
      <c r="AA338" s="161"/>
      <c r="AB338" s="161"/>
      <c r="AC338" s="159">
        <v>5.0</v>
      </c>
      <c r="AD338" s="159"/>
    </row>
    <row r="339">
      <c r="A339" s="162">
        <v>103066.0</v>
      </c>
      <c r="B339" s="163" t="s">
        <v>952</v>
      </c>
      <c r="C339" s="164" t="s">
        <v>953</v>
      </c>
      <c r="D339" s="165">
        <v>44951.0</v>
      </c>
      <c r="E339" s="164" t="s">
        <v>602</v>
      </c>
      <c r="F339" s="161"/>
      <c r="G339" s="161"/>
      <c r="H339" s="159">
        <v>5.0</v>
      </c>
      <c r="I339" s="159">
        <v>5.0</v>
      </c>
      <c r="J339" s="159">
        <v>5.0</v>
      </c>
      <c r="K339" s="159">
        <v>5.0</v>
      </c>
      <c r="L339" s="159">
        <v>5.0</v>
      </c>
      <c r="M339" s="159">
        <v>5.0</v>
      </c>
      <c r="N339" s="159">
        <v>5.0</v>
      </c>
      <c r="O339" s="159">
        <v>5.0</v>
      </c>
      <c r="P339" s="159">
        <v>5.0</v>
      </c>
      <c r="Q339" s="159">
        <v>5.0</v>
      </c>
      <c r="R339" s="159">
        <v>5.0</v>
      </c>
      <c r="S339" s="159">
        <v>5.0</v>
      </c>
      <c r="T339" s="159">
        <v>5.0</v>
      </c>
      <c r="U339" s="159">
        <v>5.0</v>
      </c>
      <c r="V339" s="159">
        <v>5.0</v>
      </c>
      <c r="W339" s="159">
        <v>5.0</v>
      </c>
      <c r="X339" s="161"/>
      <c r="Y339" s="161"/>
      <c r="Z339" s="161"/>
      <c r="AA339" s="161"/>
      <c r="AB339" s="161"/>
      <c r="AC339" s="159">
        <v>5.0</v>
      </c>
      <c r="AD339" s="159"/>
    </row>
    <row r="340">
      <c r="A340" s="162">
        <v>102882.0</v>
      </c>
      <c r="B340" s="163" t="s">
        <v>954</v>
      </c>
      <c r="C340" s="164" t="s">
        <v>955</v>
      </c>
      <c r="D340" s="165">
        <v>44954.0</v>
      </c>
      <c r="E340" s="164" t="s">
        <v>113</v>
      </c>
      <c r="F340" s="161"/>
      <c r="G340" s="161"/>
      <c r="H340" s="159">
        <v>5.0</v>
      </c>
      <c r="I340" s="159">
        <v>5.0</v>
      </c>
      <c r="J340" s="159">
        <v>5.0</v>
      </c>
      <c r="K340" s="159">
        <v>5.0</v>
      </c>
      <c r="L340" s="159">
        <v>5.0</v>
      </c>
      <c r="M340" s="159">
        <v>5.0</v>
      </c>
      <c r="N340" s="159">
        <v>5.0</v>
      </c>
      <c r="O340" s="159">
        <v>5.0</v>
      </c>
      <c r="P340" s="159">
        <v>5.0</v>
      </c>
      <c r="Q340" s="159">
        <v>5.0</v>
      </c>
      <c r="R340" s="159">
        <v>5.0</v>
      </c>
      <c r="S340" s="159">
        <v>5.0</v>
      </c>
      <c r="T340" s="159">
        <v>5.0</v>
      </c>
      <c r="U340" s="159">
        <v>5.0</v>
      </c>
      <c r="V340" s="159">
        <v>5.0</v>
      </c>
      <c r="W340" s="159">
        <v>5.0</v>
      </c>
      <c r="X340" s="161"/>
      <c r="Y340" s="161"/>
      <c r="Z340" s="161"/>
      <c r="AA340" s="161"/>
      <c r="AB340" s="161"/>
      <c r="AC340" s="159">
        <v>5.0</v>
      </c>
      <c r="AD340" s="159"/>
    </row>
    <row r="341">
      <c r="A341" s="162">
        <v>102841.0</v>
      </c>
      <c r="B341" s="163" t="s">
        <v>956</v>
      </c>
      <c r="C341" s="164" t="s">
        <v>957</v>
      </c>
      <c r="D341" s="165">
        <v>44971.0</v>
      </c>
      <c r="E341" s="164" t="s">
        <v>295</v>
      </c>
      <c r="F341" s="161"/>
      <c r="G341" s="161"/>
      <c r="H341" s="159">
        <v>4.0</v>
      </c>
      <c r="I341" s="159">
        <v>4.0</v>
      </c>
      <c r="J341" s="159">
        <v>4.0</v>
      </c>
      <c r="K341" s="159">
        <v>4.0</v>
      </c>
      <c r="L341" s="159">
        <v>4.0</v>
      </c>
      <c r="M341" s="159">
        <v>4.0</v>
      </c>
      <c r="N341" s="159">
        <v>4.0</v>
      </c>
      <c r="O341" s="159">
        <v>4.0</v>
      </c>
      <c r="P341" s="159">
        <v>4.0</v>
      </c>
      <c r="Q341" s="159">
        <v>4.0</v>
      </c>
      <c r="R341" s="159">
        <v>4.0</v>
      </c>
      <c r="S341" s="159">
        <v>4.0</v>
      </c>
      <c r="T341" s="159">
        <v>4.0</v>
      </c>
      <c r="U341" s="159">
        <v>4.0</v>
      </c>
      <c r="V341" s="159">
        <v>4.0</v>
      </c>
      <c r="W341" s="159">
        <v>4.0</v>
      </c>
      <c r="X341" s="161"/>
      <c r="Y341" s="161"/>
      <c r="Z341" s="161"/>
      <c r="AA341" s="161"/>
      <c r="AB341" s="161"/>
      <c r="AC341" s="159">
        <v>4.0</v>
      </c>
      <c r="AD341" s="159"/>
    </row>
    <row r="342">
      <c r="A342" s="162">
        <v>103194.0</v>
      </c>
      <c r="B342" s="163" t="s">
        <v>958</v>
      </c>
      <c r="C342" s="164" t="s">
        <v>959</v>
      </c>
      <c r="D342" s="165">
        <v>44988.0</v>
      </c>
      <c r="E342" s="164" t="s">
        <v>522</v>
      </c>
      <c r="F342" s="161"/>
      <c r="G342" s="161"/>
      <c r="H342" s="159">
        <v>4.5</v>
      </c>
      <c r="I342" s="159">
        <v>4.5</v>
      </c>
      <c r="J342" s="159">
        <v>4.5</v>
      </c>
      <c r="K342" s="159">
        <v>4.5</v>
      </c>
      <c r="L342" s="159">
        <v>4.5</v>
      </c>
      <c r="M342" s="159">
        <v>4.5</v>
      </c>
      <c r="N342" s="159">
        <v>4.5</v>
      </c>
      <c r="O342" s="159">
        <v>4.5</v>
      </c>
      <c r="P342" s="159">
        <v>4.0</v>
      </c>
      <c r="Q342" s="159">
        <v>4.5</v>
      </c>
      <c r="R342" s="159">
        <v>4.375</v>
      </c>
      <c r="S342" s="159">
        <v>4.2</v>
      </c>
      <c r="T342" s="159">
        <v>4.2</v>
      </c>
      <c r="U342" s="159">
        <v>4.2</v>
      </c>
      <c r="V342" s="159">
        <v>4.2</v>
      </c>
      <c r="W342" s="159">
        <v>4.2</v>
      </c>
      <c r="X342" s="161"/>
      <c r="Y342" s="161"/>
      <c r="Z342" s="161"/>
      <c r="AA342" s="161"/>
      <c r="AB342" s="161"/>
      <c r="AC342" s="159">
        <v>4.358333333333333</v>
      </c>
      <c r="AD342" s="159"/>
    </row>
    <row r="343">
      <c r="A343" s="162">
        <v>103196.0</v>
      </c>
      <c r="B343" s="163" t="s">
        <v>960</v>
      </c>
      <c r="C343" s="164" t="s">
        <v>961</v>
      </c>
      <c r="D343" s="165">
        <v>44989.0</v>
      </c>
      <c r="E343" s="164" t="s">
        <v>51</v>
      </c>
      <c r="F343" s="161"/>
      <c r="G343" s="161"/>
      <c r="H343" s="159">
        <v>4.8</v>
      </c>
      <c r="I343" s="159">
        <v>4.9</v>
      </c>
      <c r="J343" s="159">
        <v>4.9</v>
      </c>
      <c r="K343" s="159">
        <v>4.9</v>
      </c>
      <c r="L343" s="159">
        <v>4.9</v>
      </c>
      <c r="M343" s="159">
        <v>4.88</v>
      </c>
      <c r="N343" s="159">
        <v>4.8</v>
      </c>
      <c r="O343" s="159">
        <v>4.9</v>
      </c>
      <c r="P343" s="159">
        <v>4.9</v>
      </c>
      <c r="Q343" s="159">
        <v>4.9</v>
      </c>
      <c r="R343" s="159">
        <v>4.875</v>
      </c>
      <c r="S343" s="171"/>
      <c r="T343" s="171"/>
      <c r="U343" s="171"/>
      <c r="V343" s="171"/>
      <c r="W343" s="171"/>
      <c r="X343" s="161"/>
      <c r="Y343" s="161"/>
      <c r="Z343" s="161"/>
      <c r="AA343" s="161"/>
      <c r="AB343" s="161"/>
      <c r="AC343" s="159">
        <v>4.8774999999999995</v>
      </c>
      <c r="AD343" s="159"/>
    </row>
    <row r="344">
      <c r="A344" s="162">
        <v>103184.0</v>
      </c>
      <c r="B344" s="163" t="s">
        <v>962</v>
      </c>
      <c r="C344" s="164" t="s">
        <v>963</v>
      </c>
      <c r="D344" s="165">
        <v>44993.0</v>
      </c>
      <c r="E344" s="164" t="s">
        <v>427</v>
      </c>
      <c r="F344" s="161"/>
      <c r="G344" s="161"/>
      <c r="H344" s="159">
        <v>3.0</v>
      </c>
      <c r="I344" s="159">
        <v>3.0</v>
      </c>
      <c r="J344" s="159">
        <v>4.0</v>
      </c>
      <c r="K344" s="159">
        <v>4.0</v>
      </c>
      <c r="L344" s="159">
        <v>5.0</v>
      </c>
      <c r="M344" s="159">
        <v>3.8</v>
      </c>
      <c r="N344" s="159">
        <v>3.0</v>
      </c>
      <c r="O344" s="159">
        <v>3.0</v>
      </c>
      <c r="P344" s="159">
        <v>4.0</v>
      </c>
      <c r="Q344" s="159">
        <v>4.0</v>
      </c>
      <c r="R344" s="159">
        <v>3.5</v>
      </c>
      <c r="S344" s="159">
        <v>3.0</v>
      </c>
      <c r="T344" s="159">
        <v>3.0</v>
      </c>
      <c r="U344" s="159">
        <v>4.0</v>
      </c>
      <c r="V344" s="159">
        <v>4.0</v>
      </c>
      <c r="W344" s="159">
        <v>3.5</v>
      </c>
      <c r="X344" s="164" t="s">
        <v>964</v>
      </c>
      <c r="Y344" s="164" t="s">
        <v>965</v>
      </c>
      <c r="Z344" s="161"/>
      <c r="AA344" s="161"/>
      <c r="AB344" s="161"/>
      <c r="AC344" s="159">
        <v>3.6</v>
      </c>
      <c r="AD344" s="159"/>
    </row>
    <row r="345">
      <c r="A345" s="162">
        <v>103148.0</v>
      </c>
      <c r="B345" s="163" t="s">
        <v>966</v>
      </c>
      <c r="C345" s="164" t="s">
        <v>967</v>
      </c>
      <c r="D345" s="165">
        <v>44995.0</v>
      </c>
      <c r="E345" s="164" t="s">
        <v>87</v>
      </c>
      <c r="F345" s="161"/>
      <c r="G345" s="161"/>
      <c r="H345" s="159">
        <v>5.0</v>
      </c>
      <c r="I345" s="159">
        <v>4.0</v>
      </c>
      <c r="J345" s="159">
        <v>4.0</v>
      </c>
      <c r="K345" s="159">
        <v>5.0</v>
      </c>
      <c r="L345" s="159">
        <v>5.0</v>
      </c>
      <c r="M345" s="159">
        <v>4.6</v>
      </c>
      <c r="N345" s="159">
        <v>5.0</v>
      </c>
      <c r="O345" s="159">
        <v>4.0</v>
      </c>
      <c r="P345" s="159">
        <v>4.0</v>
      </c>
      <c r="Q345" s="159">
        <v>5.0</v>
      </c>
      <c r="R345" s="159">
        <v>4.5</v>
      </c>
      <c r="S345" s="159">
        <v>5.0</v>
      </c>
      <c r="T345" s="159">
        <v>3.0</v>
      </c>
      <c r="U345" s="159">
        <v>3.0</v>
      </c>
      <c r="V345" s="159">
        <v>5.0</v>
      </c>
      <c r="W345" s="159">
        <v>4.0</v>
      </c>
      <c r="X345" s="161"/>
      <c r="Y345" s="161"/>
      <c r="Z345" s="161"/>
      <c r="AA345" s="161"/>
      <c r="AB345" s="161"/>
      <c r="AC345" s="159">
        <v>4.366666666666666</v>
      </c>
      <c r="AD345" s="159"/>
    </row>
    <row r="346">
      <c r="A346" s="162">
        <v>102990.0</v>
      </c>
      <c r="B346" s="163" t="s">
        <v>968</v>
      </c>
      <c r="C346" s="164" t="s">
        <v>969</v>
      </c>
      <c r="D346" s="165">
        <v>45000.0</v>
      </c>
      <c r="E346" s="164" t="s">
        <v>254</v>
      </c>
      <c r="F346" s="161"/>
      <c r="G346" s="161"/>
      <c r="H346" s="159">
        <v>5.0</v>
      </c>
      <c r="I346" s="159">
        <v>5.0</v>
      </c>
      <c r="J346" s="159">
        <v>4.0</v>
      </c>
      <c r="K346" s="159">
        <v>5.0</v>
      </c>
      <c r="L346" s="159">
        <v>5.0</v>
      </c>
      <c r="M346" s="159">
        <v>4.8</v>
      </c>
      <c r="N346" s="159">
        <v>5.0</v>
      </c>
      <c r="O346" s="159">
        <v>5.0</v>
      </c>
      <c r="P346" s="159">
        <v>4.0</v>
      </c>
      <c r="Q346" s="159">
        <v>5.0</v>
      </c>
      <c r="R346" s="159">
        <v>4.75</v>
      </c>
      <c r="S346" s="159">
        <v>5.0</v>
      </c>
      <c r="T346" s="159">
        <v>5.0</v>
      </c>
      <c r="U346" s="159">
        <v>4.0</v>
      </c>
      <c r="V346" s="159">
        <v>5.0</v>
      </c>
      <c r="W346" s="159">
        <v>4.75</v>
      </c>
      <c r="X346" s="161"/>
      <c r="Y346" s="161"/>
      <c r="Z346" s="161"/>
      <c r="AA346" s="161"/>
      <c r="AB346" s="161"/>
      <c r="AC346" s="159">
        <v>4.766666666666667</v>
      </c>
      <c r="AD346" s="159"/>
    </row>
    <row r="347">
      <c r="A347" s="162">
        <v>103157.0</v>
      </c>
      <c r="B347" s="163" t="s">
        <v>970</v>
      </c>
      <c r="C347" s="164" t="s">
        <v>971</v>
      </c>
      <c r="D347" s="165">
        <v>45001.0</v>
      </c>
      <c r="E347" s="164" t="s">
        <v>312</v>
      </c>
      <c r="F347" s="161"/>
      <c r="G347" s="161"/>
      <c r="H347" s="159">
        <v>4.0</v>
      </c>
      <c r="I347" s="159">
        <v>4.0</v>
      </c>
      <c r="J347" s="159">
        <v>4.0</v>
      </c>
      <c r="K347" s="159">
        <v>4.0</v>
      </c>
      <c r="L347" s="159">
        <v>5.0</v>
      </c>
      <c r="M347" s="159">
        <v>4.2</v>
      </c>
      <c r="N347" s="159">
        <v>4.0</v>
      </c>
      <c r="O347" s="159">
        <v>4.0</v>
      </c>
      <c r="P347" s="159">
        <v>4.0</v>
      </c>
      <c r="Q347" s="159">
        <v>4.0</v>
      </c>
      <c r="R347" s="159">
        <v>4.0</v>
      </c>
      <c r="S347" s="159">
        <v>4.0</v>
      </c>
      <c r="T347" s="159">
        <v>4.0</v>
      </c>
      <c r="U347" s="159">
        <v>4.0</v>
      </c>
      <c r="V347" s="159">
        <v>4.8</v>
      </c>
      <c r="W347" s="159">
        <v>4.2</v>
      </c>
      <c r="X347" s="161"/>
      <c r="Y347" s="161"/>
      <c r="Z347" s="161"/>
      <c r="AA347" s="161"/>
      <c r="AB347" s="161"/>
      <c r="AC347" s="159">
        <v>4.133333333333333</v>
      </c>
      <c r="AD347" s="185">
        <f>AVERAGE(AC343:AC347)</f>
        <v>4.348833333</v>
      </c>
    </row>
    <row r="348">
      <c r="A348" s="162">
        <v>103091.0</v>
      </c>
      <c r="B348" s="163" t="s">
        <v>972</v>
      </c>
      <c r="C348" s="164" t="s">
        <v>973</v>
      </c>
      <c r="D348" s="165">
        <v>45007.0</v>
      </c>
      <c r="E348" s="164" t="s">
        <v>287</v>
      </c>
      <c r="F348" s="161"/>
      <c r="G348" s="161"/>
      <c r="H348" s="159">
        <v>5.0</v>
      </c>
      <c r="I348" s="159">
        <v>5.0</v>
      </c>
      <c r="J348" s="159">
        <v>4.0</v>
      </c>
      <c r="K348" s="159">
        <v>5.0</v>
      </c>
      <c r="L348" s="159">
        <v>5.0</v>
      </c>
      <c r="M348" s="159">
        <v>4.8</v>
      </c>
      <c r="N348" s="159">
        <v>5.0</v>
      </c>
      <c r="O348" s="159">
        <v>5.0</v>
      </c>
      <c r="P348" s="159">
        <v>4.0</v>
      </c>
      <c r="Q348" s="159">
        <v>5.0</v>
      </c>
      <c r="R348" s="159">
        <v>4.75</v>
      </c>
      <c r="S348" s="159">
        <v>5.0</v>
      </c>
      <c r="T348" s="159">
        <v>5.0</v>
      </c>
      <c r="U348" s="159">
        <v>4.0</v>
      </c>
      <c r="V348" s="159">
        <v>5.0</v>
      </c>
      <c r="W348" s="159">
        <v>4.75</v>
      </c>
      <c r="X348" s="161"/>
      <c r="Y348" s="161"/>
      <c r="Z348" s="161"/>
      <c r="AA348" s="161"/>
      <c r="AB348" s="161"/>
      <c r="AC348" s="159">
        <v>4.766666666666667</v>
      </c>
      <c r="AD348" s="159"/>
    </row>
    <row r="349">
      <c r="A349" s="162">
        <v>103044.0</v>
      </c>
      <c r="B349" s="163" t="s">
        <v>974</v>
      </c>
      <c r="C349" s="164" t="s">
        <v>975</v>
      </c>
      <c r="D349" s="165">
        <v>45033.0</v>
      </c>
      <c r="E349" s="164" t="s">
        <v>976</v>
      </c>
      <c r="F349" s="161"/>
      <c r="G349" s="161"/>
      <c r="H349" s="159">
        <v>5.0</v>
      </c>
      <c r="I349" s="159">
        <v>3.0</v>
      </c>
      <c r="J349" s="159">
        <v>3.0</v>
      </c>
      <c r="K349" s="159">
        <v>3.0</v>
      </c>
      <c r="L349" s="159">
        <v>3.0</v>
      </c>
      <c r="M349" s="159">
        <v>3.4</v>
      </c>
      <c r="N349" s="159">
        <v>5.0</v>
      </c>
      <c r="O349" s="159">
        <v>3.0</v>
      </c>
      <c r="P349" s="159">
        <v>3.0</v>
      </c>
      <c r="Q349" s="159">
        <v>3.0</v>
      </c>
      <c r="R349" s="159">
        <v>3.5</v>
      </c>
      <c r="S349" s="159">
        <v>5.0</v>
      </c>
      <c r="T349" s="159">
        <v>3.0</v>
      </c>
      <c r="U349" s="159">
        <v>3.0</v>
      </c>
      <c r="V349" s="159">
        <v>3.0</v>
      </c>
      <c r="W349" s="159">
        <v>3.5</v>
      </c>
      <c r="X349" s="161"/>
      <c r="Y349" s="161"/>
      <c r="Z349" s="161"/>
      <c r="AA349" s="161"/>
      <c r="AB349" s="161"/>
      <c r="AC349" s="159">
        <v>3.466666666666667</v>
      </c>
      <c r="AD349" s="159"/>
    </row>
    <row r="350">
      <c r="A350" s="162">
        <v>103351.0</v>
      </c>
      <c r="B350" s="163" t="s">
        <v>977</v>
      </c>
      <c r="C350" s="164" t="s">
        <v>978</v>
      </c>
      <c r="D350" s="165">
        <v>45106.0</v>
      </c>
      <c r="E350" s="164" t="s">
        <v>979</v>
      </c>
      <c r="F350" s="161"/>
      <c r="G350" s="161"/>
      <c r="H350" s="159">
        <v>5.0</v>
      </c>
      <c r="I350" s="159">
        <v>5.0</v>
      </c>
      <c r="J350" s="159">
        <v>5.0</v>
      </c>
      <c r="K350" s="159">
        <v>5.0</v>
      </c>
      <c r="L350" s="159">
        <v>5.0</v>
      </c>
      <c r="M350" s="159">
        <v>5.0</v>
      </c>
      <c r="N350" s="159">
        <v>5.0</v>
      </c>
      <c r="O350" s="159">
        <v>5.0</v>
      </c>
      <c r="P350" s="159">
        <v>5.0</v>
      </c>
      <c r="Q350" s="159">
        <v>5.0</v>
      </c>
      <c r="R350" s="159">
        <v>5.0</v>
      </c>
      <c r="S350" s="159">
        <v>5.0</v>
      </c>
      <c r="T350" s="159">
        <v>5.0</v>
      </c>
      <c r="U350" s="159">
        <v>5.0</v>
      </c>
      <c r="V350" s="159">
        <v>5.0</v>
      </c>
      <c r="W350" s="159">
        <v>5.0</v>
      </c>
      <c r="X350" s="161"/>
      <c r="Y350" s="161"/>
      <c r="Z350" s="161"/>
      <c r="AA350" s="161"/>
      <c r="AB350" s="161"/>
      <c r="AC350" s="159">
        <v>5.0</v>
      </c>
      <c r="AD350" s="159"/>
    </row>
    <row r="351">
      <c r="A351" s="162">
        <v>103502.0</v>
      </c>
      <c r="B351" s="163" t="s">
        <v>980</v>
      </c>
      <c r="C351" s="164" t="s">
        <v>981</v>
      </c>
      <c r="D351" s="165">
        <v>45110.0</v>
      </c>
      <c r="E351" s="164" t="s">
        <v>265</v>
      </c>
      <c r="F351" s="161"/>
      <c r="G351" s="161"/>
      <c r="H351" s="159">
        <v>5.0</v>
      </c>
      <c r="I351" s="159">
        <v>5.0</v>
      </c>
      <c r="J351" s="159">
        <v>5.0</v>
      </c>
      <c r="K351" s="159">
        <v>5.0</v>
      </c>
      <c r="L351" s="159">
        <v>5.0</v>
      </c>
      <c r="M351" s="159">
        <v>5.0</v>
      </c>
      <c r="N351" s="159">
        <v>5.0</v>
      </c>
      <c r="O351" s="159">
        <v>5.0</v>
      </c>
      <c r="P351" s="159">
        <v>5.0</v>
      </c>
      <c r="Q351" s="159">
        <v>5.0</v>
      </c>
      <c r="R351" s="159">
        <v>5.0</v>
      </c>
      <c r="S351" s="159">
        <v>4.5</v>
      </c>
      <c r="T351" s="159">
        <v>4.5</v>
      </c>
      <c r="U351" s="159">
        <v>4.5</v>
      </c>
      <c r="V351" s="159">
        <v>4.5</v>
      </c>
      <c r="W351" s="159">
        <v>4.5</v>
      </c>
      <c r="X351" s="161"/>
      <c r="Y351" s="161"/>
      <c r="Z351" s="161"/>
      <c r="AA351" s="161"/>
      <c r="AB351" s="161"/>
      <c r="AC351" s="159">
        <v>4.833333333333333</v>
      </c>
      <c r="AD351" s="171"/>
    </row>
    <row r="352">
      <c r="A352" s="162">
        <v>103502.0</v>
      </c>
      <c r="B352" s="163" t="s">
        <v>980</v>
      </c>
      <c r="C352" s="164" t="s">
        <v>981</v>
      </c>
      <c r="D352" s="165">
        <v>45110.0</v>
      </c>
      <c r="E352" s="164" t="s">
        <v>265</v>
      </c>
      <c r="F352" s="161"/>
      <c r="G352" s="161"/>
      <c r="H352" s="159">
        <v>5.0</v>
      </c>
      <c r="I352" s="159">
        <v>5.0</v>
      </c>
      <c r="J352" s="159">
        <v>5.0</v>
      </c>
      <c r="K352" s="159">
        <v>5.0</v>
      </c>
      <c r="L352" s="159">
        <v>5.0</v>
      </c>
      <c r="M352" s="159">
        <v>5.0</v>
      </c>
      <c r="N352" s="159">
        <v>5.0</v>
      </c>
      <c r="O352" s="159">
        <v>5.0</v>
      </c>
      <c r="P352" s="159">
        <v>5.0</v>
      </c>
      <c r="Q352" s="159">
        <v>5.0</v>
      </c>
      <c r="R352" s="159">
        <v>5.0</v>
      </c>
      <c r="S352" s="159">
        <v>4.5</v>
      </c>
      <c r="T352" s="159">
        <v>4.5</v>
      </c>
      <c r="U352" s="159">
        <v>4.5</v>
      </c>
      <c r="V352" s="159">
        <v>4.5</v>
      </c>
      <c r="W352" s="159">
        <v>4.5</v>
      </c>
      <c r="X352" s="161"/>
      <c r="Y352" s="161"/>
      <c r="Z352" s="161"/>
      <c r="AA352" s="161"/>
      <c r="AB352" s="161"/>
      <c r="AC352" s="159">
        <v>4.833333333333333</v>
      </c>
      <c r="AD352" s="171"/>
    </row>
    <row r="353">
      <c r="A353" s="162">
        <v>103363.0</v>
      </c>
      <c r="B353" s="163" t="s">
        <v>982</v>
      </c>
      <c r="C353" s="164" t="s">
        <v>983</v>
      </c>
      <c r="D353" s="165">
        <v>45127.0</v>
      </c>
      <c r="E353" s="164" t="s">
        <v>625</v>
      </c>
      <c r="F353" s="161"/>
      <c r="G353" s="161"/>
      <c r="H353" s="159">
        <v>5.0</v>
      </c>
      <c r="I353" s="159">
        <v>5.0</v>
      </c>
      <c r="J353" s="159">
        <v>5.0</v>
      </c>
      <c r="K353" s="159">
        <v>5.0</v>
      </c>
      <c r="L353" s="159">
        <v>5.0</v>
      </c>
      <c r="M353" s="159">
        <v>5.0</v>
      </c>
      <c r="N353" s="159">
        <v>5.0</v>
      </c>
      <c r="O353" s="159">
        <v>5.0</v>
      </c>
      <c r="P353" s="159">
        <v>5.0</v>
      </c>
      <c r="Q353" s="159">
        <v>5.0</v>
      </c>
      <c r="R353" s="159">
        <v>5.0</v>
      </c>
      <c r="S353" s="159">
        <v>4.2</v>
      </c>
      <c r="T353" s="159">
        <v>4.2</v>
      </c>
      <c r="U353" s="159">
        <v>4.2</v>
      </c>
      <c r="V353" s="159">
        <v>4.2</v>
      </c>
      <c r="W353" s="159">
        <v>4.2</v>
      </c>
      <c r="X353" s="161"/>
      <c r="Y353" s="161"/>
      <c r="Z353" s="161"/>
      <c r="AA353" s="161"/>
      <c r="AB353" s="161"/>
      <c r="AC353" s="159">
        <v>4.733333333333333</v>
      </c>
      <c r="AD353" s="159"/>
    </row>
    <row r="354">
      <c r="A354" s="162">
        <v>103368.0</v>
      </c>
      <c r="B354" s="163" t="s">
        <v>984</v>
      </c>
      <c r="C354" s="164" t="s">
        <v>985</v>
      </c>
      <c r="D354" s="165">
        <v>45128.0</v>
      </c>
      <c r="E354" s="164" t="s">
        <v>107</v>
      </c>
      <c r="F354" s="161"/>
      <c r="G354" s="161"/>
      <c r="H354" s="159">
        <v>5.0</v>
      </c>
      <c r="I354" s="159">
        <v>5.0</v>
      </c>
      <c r="J354" s="159">
        <v>5.0</v>
      </c>
      <c r="K354" s="159">
        <v>5.0</v>
      </c>
      <c r="L354" s="159">
        <v>5.0</v>
      </c>
      <c r="M354" s="159">
        <v>5.0</v>
      </c>
      <c r="N354" s="159">
        <v>5.0</v>
      </c>
      <c r="O354" s="159">
        <v>5.0</v>
      </c>
      <c r="P354" s="159">
        <v>5.0</v>
      </c>
      <c r="Q354" s="159">
        <v>5.0</v>
      </c>
      <c r="R354" s="159">
        <v>5.0</v>
      </c>
      <c r="S354" s="159">
        <v>4.2</v>
      </c>
      <c r="T354" s="159">
        <v>4.2</v>
      </c>
      <c r="U354" s="159">
        <v>4.2</v>
      </c>
      <c r="V354" s="159">
        <v>4.2</v>
      </c>
      <c r="W354" s="159">
        <v>4.2</v>
      </c>
      <c r="X354" s="161"/>
      <c r="Y354" s="161"/>
      <c r="Z354" s="161"/>
      <c r="AA354" s="161"/>
      <c r="AB354" s="161"/>
      <c r="AC354" s="159">
        <v>4.733333333333333</v>
      </c>
      <c r="AD354" s="159"/>
    </row>
    <row r="355">
      <c r="A355" s="162">
        <v>103510.0</v>
      </c>
      <c r="B355" s="163" t="s">
        <v>986</v>
      </c>
      <c r="C355" s="164" t="s">
        <v>987</v>
      </c>
      <c r="D355" s="165">
        <v>45131.0</v>
      </c>
      <c r="E355" s="164" t="s">
        <v>295</v>
      </c>
      <c r="F355" s="161"/>
      <c r="G355" s="161"/>
      <c r="H355" s="159">
        <v>5.0</v>
      </c>
      <c r="I355" s="159">
        <v>4.0</v>
      </c>
      <c r="J355" s="159">
        <v>5.0</v>
      </c>
      <c r="K355" s="159">
        <v>5.0</v>
      </c>
      <c r="L355" s="159">
        <v>5.0</v>
      </c>
      <c r="M355" s="159">
        <v>4.8</v>
      </c>
      <c r="N355" s="159">
        <v>5.0</v>
      </c>
      <c r="O355" s="159">
        <v>4.0</v>
      </c>
      <c r="P355" s="159">
        <v>5.0</v>
      </c>
      <c r="Q355" s="159">
        <v>5.0</v>
      </c>
      <c r="R355" s="159">
        <v>4.75</v>
      </c>
      <c r="S355" s="159">
        <v>4.49</v>
      </c>
      <c r="T355" s="159">
        <v>4.49</v>
      </c>
      <c r="U355" s="159">
        <v>4.49</v>
      </c>
      <c r="V355" s="159">
        <v>4.49</v>
      </c>
      <c r="W355" s="159">
        <v>4.49</v>
      </c>
      <c r="X355" s="161"/>
      <c r="Y355" s="161"/>
      <c r="Z355" s="161"/>
      <c r="AA355" s="161"/>
      <c r="AB355" s="161"/>
      <c r="AC355" s="159">
        <v>4.680000000000001</v>
      </c>
      <c r="AD355" s="159"/>
    </row>
    <row r="356">
      <c r="A356" s="162">
        <v>103518.0</v>
      </c>
      <c r="B356" s="163" t="s">
        <v>988</v>
      </c>
      <c r="C356" s="164" t="s">
        <v>989</v>
      </c>
      <c r="D356" s="165">
        <v>45134.0</v>
      </c>
      <c r="E356" s="164" t="s">
        <v>113</v>
      </c>
      <c r="F356" s="161"/>
      <c r="G356" s="161"/>
      <c r="H356" s="159">
        <v>5.0</v>
      </c>
      <c r="I356" s="159">
        <v>5.0</v>
      </c>
      <c r="J356" s="159">
        <v>5.0</v>
      </c>
      <c r="K356" s="159">
        <v>5.0</v>
      </c>
      <c r="L356" s="159">
        <v>5.0</v>
      </c>
      <c r="M356" s="159">
        <v>5.0</v>
      </c>
      <c r="N356" s="159">
        <v>5.0</v>
      </c>
      <c r="O356" s="159">
        <v>5.0</v>
      </c>
      <c r="P356" s="159">
        <v>5.0</v>
      </c>
      <c r="Q356" s="159">
        <v>5.0</v>
      </c>
      <c r="R356" s="159">
        <v>5.0</v>
      </c>
      <c r="S356" s="159">
        <v>5.0</v>
      </c>
      <c r="T356" s="159">
        <v>5.0</v>
      </c>
      <c r="U356" s="159">
        <v>5.0</v>
      </c>
      <c r="V356" s="159">
        <v>5.0</v>
      </c>
      <c r="W356" s="159">
        <v>5.0</v>
      </c>
      <c r="X356" s="161"/>
      <c r="Y356" s="161"/>
      <c r="Z356" s="161"/>
      <c r="AA356" s="161"/>
      <c r="AB356" s="161"/>
      <c r="AC356" s="159">
        <v>5.0</v>
      </c>
      <c r="AD356" s="159"/>
    </row>
    <row r="357">
      <c r="A357" s="162">
        <v>103466.0</v>
      </c>
      <c r="B357" s="163" t="s">
        <v>990</v>
      </c>
      <c r="C357" s="164" t="s">
        <v>991</v>
      </c>
      <c r="D357" s="165">
        <v>45140.0</v>
      </c>
      <c r="E357" s="164" t="s">
        <v>312</v>
      </c>
      <c r="F357" s="161"/>
      <c r="G357" s="161"/>
      <c r="H357" s="159">
        <v>4.5</v>
      </c>
      <c r="I357" s="159">
        <v>4.5</v>
      </c>
      <c r="J357" s="159">
        <v>4.5</v>
      </c>
      <c r="K357" s="159">
        <v>4.5</v>
      </c>
      <c r="L357" s="159">
        <v>4.5</v>
      </c>
      <c r="M357" s="159">
        <v>4.5</v>
      </c>
      <c r="N357" s="159">
        <v>4.5</v>
      </c>
      <c r="O357" s="159">
        <v>4.5</v>
      </c>
      <c r="P357" s="159">
        <v>4.5</v>
      </c>
      <c r="Q357" s="159">
        <v>5.0</v>
      </c>
      <c r="R357" s="159">
        <v>4.625</v>
      </c>
      <c r="S357" s="159">
        <v>4.7</v>
      </c>
      <c r="T357" s="159">
        <v>4.7</v>
      </c>
      <c r="U357" s="159">
        <v>4.7</v>
      </c>
      <c r="V357" s="159">
        <v>4.7</v>
      </c>
      <c r="W357" s="159">
        <v>4.7</v>
      </c>
      <c r="X357" s="161"/>
      <c r="Y357" s="161"/>
      <c r="Z357" s="161"/>
      <c r="AA357" s="161"/>
      <c r="AB357" s="161"/>
      <c r="AC357" s="159">
        <v>4.608333333333333</v>
      </c>
      <c r="AD357" s="185">
        <f>AVERAGE(AC357)</f>
        <v>4.608333333</v>
      </c>
    </row>
    <row r="358">
      <c r="A358" s="162">
        <v>103522.0</v>
      </c>
      <c r="B358" s="163" t="s">
        <v>992</v>
      </c>
      <c r="C358" s="164" t="s">
        <v>993</v>
      </c>
      <c r="D358" s="165">
        <v>45141.0</v>
      </c>
      <c r="E358" s="164" t="s">
        <v>198</v>
      </c>
      <c r="F358" s="161"/>
      <c r="G358" s="161"/>
      <c r="H358" s="159">
        <v>5.0</v>
      </c>
      <c r="I358" s="159">
        <v>5.0</v>
      </c>
      <c r="J358" s="159">
        <v>5.0</v>
      </c>
      <c r="K358" s="159">
        <v>5.0</v>
      </c>
      <c r="L358" s="159">
        <v>5.0</v>
      </c>
      <c r="M358" s="159">
        <v>5.0</v>
      </c>
      <c r="N358" s="159">
        <v>4.5</v>
      </c>
      <c r="O358" s="159">
        <v>4.5</v>
      </c>
      <c r="P358" s="159">
        <v>4.5</v>
      </c>
      <c r="Q358" s="159">
        <v>4.5</v>
      </c>
      <c r="R358" s="159">
        <v>4.5</v>
      </c>
      <c r="S358" s="159">
        <v>4.2</v>
      </c>
      <c r="T358" s="159">
        <v>4.2</v>
      </c>
      <c r="U358" s="159">
        <v>4.2</v>
      </c>
      <c r="V358" s="159">
        <v>4.2</v>
      </c>
      <c r="W358" s="159">
        <v>4.2</v>
      </c>
      <c r="X358" s="161"/>
      <c r="Y358" s="161"/>
      <c r="Z358" s="161"/>
      <c r="AA358" s="161"/>
      <c r="AB358" s="161"/>
      <c r="AC358" s="159">
        <v>4.566666666666666</v>
      </c>
      <c r="AD358" s="159"/>
    </row>
    <row r="359">
      <c r="A359" s="162">
        <v>103563.0</v>
      </c>
      <c r="B359" s="163" t="s">
        <v>994</v>
      </c>
      <c r="C359" s="164" t="s">
        <v>995</v>
      </c>
      <c r="D359" s="165">
        <v>45142.0</v>
      </c>
      <c r="E359" s="164" t="s">
        <v>295</v>
      </c>
      <c r="F359" s="161"/>
      <c r="G359" s="161"/>
      <c r="H359" s="159">
        <v>5.0</v>
      </c>
      <c r="I359" s="159">
        <v>5.0</v>
      </c>
      <c r="J359" s="159">
        <v>5.0</v>
      </c>
      <c r="K359" s="159">
        <v>5.0</v>
      </c>
      <c r="L359" s="159">
        <v>5.0</v>
      </c>
      <c r="M359" s="159">
        <v>5.0</v>
      </c>
      <c r="N359" s="159">
        <v>4.5</v>
      </c>
      <c r="O359" s="159">
        <v>4.5</v>
      </c>
      <c r="P359" s="159">
        <v>4.5</v>
      </c>
      <c r="Q359" s="159">
        <v>4.5</v>
      </c>
      <c r="R359" s="159">
        <v>4.5</v>
      </c>
      <c r="S359" s="159">
        <v>4.2</v>
      </c>
      <c r="T359" s="159">
        <v>4.2</v>
      </c>
      <c r="U359" s="159">
        <v>4.2</v>
      </c>
      <c r="V359" s="159">
        <v>4.2</v>
      </c>
      <c r="W359" s="159">
        <v>4.2</v>
      </c>
      <c r="X359" s="161"/>
      <c r="Y359" s="161"/>
      <c r="Z359" s="161"/>
      <c r="AA359" s="161"/>
      <c r="AB359" s="161"/>
      <c r="AC359" s="159">
        <v>4.566666666666666</v>
      </c>
      <c r="AD359" s="171"/>
    </row>
    <row r="360">
      <c r="A360" s="162">
        <v>103540.0</v>
      </c>
      <c r="B360" s="163" t="s">
        <v>996</v>
      </c>
      <c r="C360" s="164" t="s">
        <v>997</v>
      </c>
      <c r="D360" s="165">
        <v>45142.0</v>
      </c>
      <c r="E360" s="164" t="s">
        <v>979</v>
      </c>
      <c r="F360" s="161"/>
      <c r="G360" s="161"/>
      <c r="H360" s="171"/>
      <c r="I360" s="171"/>
      <c r="J360" s="171"/>
      <c r="K360" s="171"/>
      <c r="L360" s="171"/>
      <c r="M360" s="171"/>
      <c r="N360" s="159">
        <v>4.0</v>
      </c>
      <c r="O360" s="159">
        <v>4.0</v>
      </c>
      <c r="P360" s="159">
        <v>4.0</v>
      </c>
      <c r="Q360" s="159">
        <v>4.0</v>
      </c>
      <c r="R360" s="159">
        <v>4.0</v>
      </c>
      <c r="S360" s="171"/>
      <c r="T360" s="171"/>
      <c r="U360" s="171"/>
      <c r="V360" s="171"/>
      <c r="W360" s="171"/>
      <c r="X360" s="161"/>
      <c r="Y360" s="161"/>
      <c r="Z360" s="161"/>
      <c r="AA360" s="161"/>
      <c r="AB360" s="161"/>
      <c r="AC360" s="159">
        <v>4.0</v>
      </c>
      <c r="AD360" s="171"/>
    </row>
    <row r="361">
      <c r="A361" s="162">
        <v>103554.0</v>
      </c>
      <c r="B361" s="163" t="s">
        <v>998</v>
      </c>
      <c r="C361" s="164" t="s">
        <v>999</v>
      </c>
      <c r="D361" s="165">
        <v>45145.0</v>
      </c>
      <c r="E361" s="164" t="s">
        <v>87</v>
      </c>
      <c r="F361" s="161"/>
      <c r="G361" s="161"/>
      <c r="H361" s="159">
        <v>5.0</v>
      </c>
      <c r="I361" s="159">
        <v>5.0</v>
      </c>
      <c r="J361" s="159">
        <v>5.0</v>
      </c>
      <c r="K361" s="159">
        <v>5.0</v>
      </c>
      <c r="L361" s="159">
        <v>5.0</v>
      </c>
      <c r="M361" s="159">
        <v>5.0</v>
      </c>
      <c r="N361" s="171"/>
      <c r="O361" s="171"/>
      <c r="P361" s="171"/>
      <c r="Q361" s="171"/>
      <c r="R361" s="171"/>
      <c r="S361" s="159" t="s">
        <v>1000</v>
      </c>
      <c r="T361" s="159">
        <v>4.2</v>
      </c>
      <c r="U361" s="159">
        <v>4.2</v>
      </c>
      <c r="V361" s="159">
        <v>4.2</v>
      </c>
      <c r="W361" s="159">
        <v>4.2</v>
      </c>
      <c r="X361" s="161"/>
      <c r="Y361" s="161"/>
      <c r="Z361" s="161"/>
      <c r="AA361" s="161"/>
      <c r="AB361" s="161"/>
      <c r="AC361" s="159">
        <v>4.6</v>
      </c>
      <c r="AD361" s="171"/>
    </row>
    <row r="362">
      <c r="A362" s="162">
        <v>103583.0</v>
      </c>
      <c r="B362" s="163" t="s">
        <v>1001</v>
      </c>
      <c r="C362" s="164" t="s">
        <v>1002</v>
      </c>
      <c r="D362" s="165">
        <v>45146.0</v>
      </c>
      <c r="E362" s="164" t="s">
        <v>87</v>
      </c>
      <c r="F362" s="161"/>
      <c r="G362" s="161"/>
      <c r="H362" s="159">
        <v>5.0</v>
      </c>
      <c r="I362" s="159">
        <v>5.0</v>
      </c>
      <c r="J362" s="159">
        <v>5.0</v>
      </c>
      <c r="K362" s="159">
        <v>5.0</v>
      </c>
      <c r="L362" s="159">
        <v>5.0</v>
      </c>
      <c r="M362" s="159">
        <v>5.0</v>
      </c>
      <c r="N362" s="171"/>
      <c r="O362" s="171"/>
      <c r="P362" s="171"/>
      <c r="Q362" s="171"/>
      <c r="R362" s="171"/>
      <c r="S362" s="159">
        <v>4.2</v>
      </c>
      <c r="T362" s="159">
        <v>4.2</v>
      </c>
      <c r="U362" s="159">
        <v>4.2</v>
      </c>
      <c r="V362" s="159">
        <v>4.2</v>
      </c>
      <c r="W362" s="159">
        <v>4.2</v>
      </c>
      <c r="X362" s="161"/>
      <c r="Y362" s="161"/>
      <c r="Z362" s="161"/>
      <c r="AA362" s="161"/>
      <c r="AB362" s="161"/>
      <c r="AC362" s="159">
        <v>4.6</v>
      </c>
      <c r="AD362" s="171"/>
    </row>
    <row r="363">
      <c r="A363" s="162">
        <v>103562.0</v>
      </c>
      <c r="B363" s="163" t="s">
        <v>1003</v>
      </c>
      <c r="C363" s="164" t="s">
        <v>1004</v>
      </c>
      <c r="D363" s="165">
        <v>45149.0</v>
      </c>
      <c r="E363" s="164" t="s">
        <v>979</v>
      </c>
      <c r="F363" s="161"/>
      <c r="G363" s="161"/>
      <c r="H363" s="159">
        <v>5.0</v>
      </c>
      <c r="I363" s="159">
        <v>5.0</v>
      </c>
      <c r="J363" s="159">
        <v>5.0</v>
      </c>
      <c r="K363" s="159">
        <v>5.0</v>
      </c>
      <c r="L363" s="159">
        <v>5.0</v>
      </c>
      <c r="M363" s="159">
        <v>5.0</v>
      </c>
      <c r="N363" s="159">
        <v>5.0</v>
      </c>
      <c r="O363" s="159">
        <v>5.0</v>
      </c>
      <c r="P363" s="159">
        <v>5.0</v>
      </c>
      <c r="Q363" s="159">
        <v>5.0</v>
      </c>
      <c r="R363" s="159">
        <v>5.0</v>
      </c>
      <c r="S363" s="159">
        <v>5.0</v>
      </c>
      <c r="T363" s="159">
        <v>5.0</v>
      </c>
      <c r="U363" s="159">
        <v>5.0</v>
      </c>
      <c r="V363" s="159">
        <v>5.0</v>
      </c>
      <c r="W363" s="159">
        <v>5.0</v>
      </c>
      <c r="X363" s="161"/>
      <c r="Y363" s="161"/>
      <c r="Z363" s="161"/>
      <c r="AA363" s="161"/>
      <c r="AB363" s="161"/>
      <c r="AC363" s="159">
        <v>5.0</v>
      </c>
      <c r="AD363" s="159"/>
    </row>
    <row r="364">
      <c r="A364" s="162">
        <v>103592.0</v>
      </c>
      <c r="B364" s="163" t="s">
        <v>1005</v>
      </c>
      <c r="C364" s="164" t="s">
        <v>1006</v>
      </c>
      <c r="D364" s="165">
        <v>45149.0</v>
      </c>
      <c r="E364" s="164" t="s">
        <v>979</v>
      </c>
      <c r="F364" s="161"/>
      <c r="G364" s="161"/>
      <c r="H364" s="159">
        <v>4.0</v>
      </c>
      <c r="I364" s="159">
        <v>4.0</v>
      </c>
      <c r="J364" s="159">
        <v>4.0</v>
      </c>
      <c r="K364" s="159">
        <v>4.0</v>
      </c>
      <c r="L364" s="159">
        <v>4.0</v>
      </c>
      <c r="M364" s="159">
        <v>4.0</v>
      </c>
      <c r="N364" s="159">
        <v>4.0</v>
      </c>
      <c r="O364" s="159">
        <v>4.0</v>
      </c>
      <c r="P364" s="159">
        <v>4.0</v>
      </c>
      <c r="Q364" s="159">
        <v>4.0</v>
      </c>
      <c r="R364" s="159">
        <v>4.0</v>
      </c>
      <c r="S364" s="159">
        <v>4.0</v>
      </c>
      <c r="T364" s="159">
        <v>4.0</v>
      </c>
      <c r="U364" s="159">
        <v>4.0</v>
      </c>
      <c r="V364" s="159">
        <v>4.0</v>
      </c>
      <c r="W364" s="159">
        <v>4.0</v>
      </c>
      <c r="X364" s="161"/>
      <c r="Y364" s="161"/>
      <c r="Z364" s="161"/>
      <c r="AA364" s="161"/>
      <c r="AB364" s="161"/>
      <c r="AC364" s="159">
        <v>4.0</v>
      </c>
      <c r="AD364" s="159"/>
    </row>
    <row r="365">
      <c r="A365" s="162">
        <v>103594.0</v>
      </c>
      <c r="B365" s="163" t="s">
        <v>1007</v>
      </c>
      <c r="C365" s="164" t="s">
        <v>1008</v>
      </c>
      <c r="D365" s="165">
        <v>45149.0</v>
      </c>
      <c r="E365" s="164" t="s">
        <v>979</v>
      </c>
      <c r="F365" s="161"/>
      <c r="G365" s="161"/>
      <c r="H365" s="159">
        <v>4.0</v>
      </c>
      <c r="I365" s="159">
        <v>4.0</v>
      </c>
      <c r="J365" s="159">
        <v>4.0</v>
      </c>
      <c r="K365" s="159">
        <v>4.0</v>
      </c>
      <c r="L365" s="159">
        <v>4.0</v>
      </c>
      <c r="M365" s="159">
        <v>4.0</v>
      </c>
      <c r="N365" s="159">
        <v>4.0</v>
      </c>
      <c r="O365" s="159">
        <v>4.0</v>
      </c>
      <c r="P365" s="159">
        <v>4.0</v>
      </c>
      <c r="Q365" s="159">
        <v>4.0</v>
      </c>
      <c r="R365" s="159">
        <v>4.0</v>
      </c>
      <c r="S365" s="159">
        <v>4.0</v>
      </c>
      <c r="T365" s="159">
        <v>4.0</v>
      </c>
      <c r="U365" s="159">
        <v>4.0</v>
      </c>
      <c r="V365" s="159">
        <v>4.0</v>
      </c>
      <c r="W365" s="159">
        <v>4.0</v>
      </c>
      <c r="X365" s="161"/>
      <c r="Y365" s="161"/>
      <c r="Z365" s="161"/>
      <c r="AA365" s="161"/>
      <c r="AB365" s="161"/>
      <c r="AC365" s="159">
        <v>4.0</v>
      </c>
      <c r="AD365" s="159"/>
    </row>
    <row r="366">
      <c r="A366" s="162">
        <v>103596.0</v>
      </c>
      <c r="B366" s="163" t="s">
        <v>1009</v>
      </c>
      <c r="C366" s="164" t="s">
        <v>1010</v>
      </c>
      <c r="D366" s="165">
        <v>45149.0</v>
      </c>
      <c r="E366" s="164" t="s">
        <v>979</v>
      </c>
      <c r="F366" s="161"/>
      <c r="G366" s="161"/>
      <c r="H366" s="159">
        <v>4.0</v>
      </c>
      <c r="I366" s="159">
        <v>4.0</v>
      </c>
      <c r="J366" s="159">
        <v>4.0</v>
      </c>
      <c r="K366" s="159">
        <v>4.0</v>
      </c>
      <c r="L366" s="159">
        <v>4.0</v>
      </c>
      <c r="M366" s="159">
        <v>4.0</v>
      </c>
      <c r="N366" s="159">
        <v>4.0</v>
      </c>
      <c r="O366" s="159">
        <v>4.0</v>
      </c>
      <c r="P366" s="159">
        <v>4.0</v>
      </c>
      <c r="Q366" s="159">
        <v>4.0</v>
      </c>
      <c r="R366" s="159">
        <v>4.0</v>
      </c>
      <c r="S366" s="159">
        <v>4.0</v>
      </c>
      <c r="T366" s="159">
        <v>4.0</v>
      </c>
      <c r="U366" s="159">
        <v>4.0</v>
      </c>
      <c r="V366" s="159">
        <v>4.0</v>
      </c>
      <c r="W366" s="159">
        <v>4.0</v>
      </c>
      <c r="X366" s="161"/>
      <c r="Y366" s="161"/>
      <c r="Z366" s="161"/>
      <c r="AA366" s="161"/>
      <c r="AB366" s="161"/>
      <c r="AC366" s="159">
        <v>4.0</v>
      </c>
      <c r="AD366" s="159"/>
    </row>
    <row r="367">
      <c r="A367" s="162">
        <v>103595.0</v>
      </c>
      <c r="B367" s="163" t="s">
        <v>1011</v>
      </c>
      <c r="C367" s="164" t="s">
        <v>1012</v>
      </c>
      <c r="D367" s="165">
        <v>45149.0</v>
      </c>
      <c r="E367" s="164" t="s">
        <v>979</v>
      </c>
      <c r="F367" s="161"/>
      <c r="G367" s="161"/>
      <c r="H367" s="159">
        <v>4.0</v>
      </c>
      <c r="I367" s="159">
        <v>4.0</v>
      </c>
      <c r="J367" s="159">
        <v>4.0</v>
      </c>
      <c r="K367" s="159">
        <v>4.0</v>
      </c>
      <c r="L367" s="159">
        <v>4.0</v>
      </c>
      <c r="M367" s="159">
        <v>4.0</v>
      </c>
      <c r="N367" s="159">
        <v>4.0</v>
      </c>
      <c r="O367" s="159">
        <v>4.0</v>
      </c>
      <c r="P367" s="159">
        <v>4.0</v>
      </c>
      <c r="Q367" s="159">
        <v>4.0</v>
      </c>
      <c r="R367" s="159">
        <v>4.0</v>
      </c>
      <c r="S367" s="159">
        <v>4.0</v>
      </c>
      <c r="T367" s="159">
        <v>4.0</v>
      </c>
      <c r="U367" s="159">
        <v>4.0</v>
      </c>
      <c r="V367" s="159">
        <v>4.0</v>
      </c>
      <c r="W367" s="159">
        <v>4.0</v>
      </c>
      <c r="X367" s="161"/>
      <c r="Y367" s="161"/>
      <c r="Z367" s="161"/>
      <c r="AA367" s="161"/>
      <c r="AB367" s="161"/>
      <c r="AC367" s="159">
        <v>4.0</v>
      </c>
      <c r="AD367" s="159"/>
    </row>
    <row r="368">
      <c r="A368" s="162">
        <v>103544.0</v>
      </c>
      <c r="B368" s="163" t="s">
        <v>1013</v>
      </c>
      <c r="C368" s="164" t="s">
        <v>1014</v>
      </c>
      <c r="D368" s="165">
        <v>45152.0</v>
      </c>
      <c r="E368" s="164" t="s">
        <v>295</v>
      </c>
      <c r="F368" s="161"/>
      <c r="G368" s="161"/>
      <c r="H368" s="159">
        <v>5.0</v>
      </c>
      <c r="I368" s="159">
        <v>5.0</v>
      </c>
      <c r="J368" s="159">
        <v>5.0</v>
      </c>
      <c r="K368" s="159">
        <v>5.0</v>
      </c>
      <c r="L368" s="159">
        <v>5.0</v>
      </c>
      <c r="M368" s="159">
        <v>5.0</v>
      </c>
      <c r="N368" s="159">
        <v>4.49</v>
      </c>
      <c r="O368" s="159">
        <v>5.0</v>
      </c>
      <c r="P368" s="159">
        <v>5.0</v>
      </c>
      <c r="Q368" s="159">
        <v>5.0</v>
      </c>
      <c r="R368" s="159">
        <v>4.8725000000000005</v>
      </c>
      <c r="S368" s="159">
        <v>4.2</v>
      </c>
      <c r="T368" s="159">
        <v>4.2</v>
      </c>
      <c r="U368" s="159">
        <v>4.2</v>
      </c>
      <c r="V368" s="159">
        <v>4.2</v>
      </c>
      <c r="W368" s="159">
        <v>4.2</v>
      </c>
      <c r="X368" s="161"/>
      <c r="Y368" s="161"/>
      <c r="Z368" s="161"/>
      <c r="AA368" s="161"/>
      <c r="AB368" s="161"/>
      <c r="AC368" s="159">
        <v>4.690833333333334</v>
      </c>
      <c r="AD368" s="159"/>
    </row>
    <row r="369">
      <c r="A369" s="162">
        <v>103582.0</v>
      </c>
      <c r="B369" s="163" t="s">
        <v>1015</v>
      </c>
      <c r="C369" s="164" t="s">
        <v>1016</v>
      </c>
      <c r="D369" s="165">
        <v>45152.0</v>
      </c>
      <c r="E369" s="164" t="s">
        <v>487</v>
      </c>
      <c r="F369" s="161"/>
      <c r="G369" s="161"/>
      <c r="H369" s="171"/>
      <c r="I369" s="171"/>
      <c r="J369" s="171"/>
      <c r="K369" s="171"/>
      <c r="L369" s="171"/>
      <c r="M369" s="171"/>
      <c r="N369" s="159">
        <v>4.0</v>
      </c>
      <c r="O369" s="159">
        <v>4.0</v>
      </c>
      <c r="P369" s="159">
        <v>4.0</v>
      </c>
      <c r="Q369" s="159">
        <v>4.0</v>
      </c>
      <c r="R369" s="159">
        <v>4.0</v>
      </c>
      <c r="S369" s="171"/>
      <c r="T369" s="171"/>
      <c r="U369" s="171"/>
      <c r="V369" s="171"/>
      <c r="W369" s="171"/>
      <c r="X369" s="161"/>
      <c r="Y369" s="161"/>
      <c r="Z369" s="161"/>
      <c r="AA369" s="161"/>
      <c r="AB369" s="161"/>
      <c r="AC369" s="159">
        <v>4.0</v>
      </c>
      <c r="AD369" s="171"/>
    </row>
    <row r="370">
      <c r="A370" s="162">
        <v>103587.0</v>
      </c>
      <c r="B370" s="163" t="s">
        <v>1017</v>
      </c>
      <c r="C370" s="164" t="s">
        <v>1018</v>
      </c>
      <c r="D370" s="165">
        <v>45153.0</v>
      </c>
      <c r="E370" s="164" t="s">
        <v>360</v>
      </c>
      <c r="F370" s="161"/>
      <c r="G370" s="161"/>
      <c r="H370" s="159">
        <v>5.0</v>
      </c>
      <c r="I370" s="159">
        <v>5.0</v>
      </c>
      <c r="J370" s="159">
        <v>5.0</v>
      </c>
      <c r="K370" s="159">
        <v>5.0</v>
      </c>
      <c r="L370" s="159">
        <v>5.0</v>
      </c>
      <c r="M370" s="159">
        <v>5.0</v>
      </c>
      <c r="N370" s="159">
        <v>5.0</v>
      </c>
      <c r="O370" s="159">
        <v>4.0</v>
      </c>
      <c r="P370" s="159">
        <v>5.0</v>
      </c>
      <c r="Q370" s="159">
        <v>4.0</v>
      </c>
      <c r="R370" s="159">
        <v>4.5</v>
      </c>
      <c r="S370" s="159">
        <v>4.5</v>
      </c>
      <c r="T370" s="159">
        <v>4.5</v>
      </c>
      <c r="U370" s="159">
        <v>4.5</v>
      </c>
      <c r="V370" s="159">
        <v>4.5</v>
      </c>
      <c r="W370" s="159">
        <v>4.5</v>
      </c>
      <c r="X370" s="161"/>
      <c r="Y370" s="161"/>
      <c r="Z370" s="161"/>
      <c r="AA370" s="161"/>
      <c r="AB370" s="161"/>
      <c r="AC370" s="159">
        <v>4.666666666666667</v>
      </c>
      <c r="AD370" s="159"/>
    </row>
    <row r="371">
      <c r="A371" s="162">
        <v>103620.0</v>
      </c>
      <c r="B371" s="163" t="s">
        <v>1019</v>
      </c>
      <c r="C371" s="164" t="s">
        <v>1020</v>
      </c>
      <c r="D371" s="165">
        <v>45157.0</v>
      </c>
      <c r="E371" s="164" t="s">
        <v>625</v>
      </c>
      <c r="F371" s="161"/>
      <c r="G371" s="161"/>
      <c r="H371" s="159">
        <v>5.0</v>
      </c>
      <c r="I371" s="159">
        <v>5.0</v>
      </c>
      <c r="J371" s="159">
        <v>5.0</v>
      </c>
      <c r="K371" s="159">
        <v>5.0</v>
      </c>
      <c r="L371" s="159">
        <v>5.0</v>
      </c>
      <c r="M371" s="159">
        <v>5.0</v>
      </c>
      <c r="N371" s="171"/>
      <c r="O371" s="171"/>
      <c r="P371" s="171"/>
      <c r="Q371" s="171"/>
      <c r="R371" s="171"/>
      <c r="S371" s="159">
        <v>4.75</v>
      </c>
      <c r="T371" s="159">
        <v>4.75</v>
      </c>
      <c r="U371" s="159">
        <v>4.75</v>
      </c>
      <c r="V371" s="159">
        <v>4.75</v>
      </c>
      <c r="W371" s="159">
        <v>4.75</v>
      </c>
      <c r="X371" s="161"/>
      <c r="Y371" s="161"/>
      <c r="Z371" s="161"/>
      <c r="AA371" s="161"/>
      <c r="AB371" s="161"/>
      <c r="AC371" s="159">
        <v>4.875</v>
      </c>
      <c r="AD371" s="159"/>
    </row>
    <row r="372">
      <c r="A372" s="162">
        <v>103626.0</v>
      </c>
      <c r="B372" s="163" t="s">
        <v>1021</v>
      </c>
      <c r="C372" s="164" t="s">
        <v>1022</v>
      </c>
      <c r="D372" s="165">
        <v>45163.0</v>
      </c>
      <c r="E372" s="164" t="s">
        <v>254</v>
      </c>
      <c r="F372" s="161"/>
      <c r="G372" s="161"/>
      <c r="H372" s="159">
        <v>5.0</v>
      </c>
      <c r="I372" s="159">
        <v>5.0</v>
      </c>
      <c r="J372" s="159">
        <v>5.0</v>
      </c>
      <c r="K372" s="159">
        <v>5.0</v>
      </c>
      <c r="L372" s="159">
        <v>5.0</v>
      </c>
      <c r="M372" s="159">
        <v>5.0</v>
      </c>
      <c r="N372" s="159">
        <v>5.0</v>
      </c>
      <c r="O372" s="159">
        <v>5.0</v>
      </c>
      <c r="P372" s="159">
        <v>5.0</v>
      </c>
      <c r="Q372" s="159">
        <v>5.0</v>
      </c>
      <c r="R372" s="159">
        <v>5.0</v>
      </c>
      <c r="S372" s="159">
        <v>4.5</v>
      </c>
      <c r="T372" s="159">
        <v>4.5</v>
      </c>
      <c r="U372" s="159">
        <v>4.5</v>
      </c>
      <c r="V372" s="159">
        <v>4.5</v>
      </c>
      <c r="W372" s="159">
        <v>4.5</v>
      </c>
      <c r="X372" s="161"/>
      <c r="Y372" s="161"/>
      <c r="Z372" s="161"/>
      <c r="AA372" s="161"/>
      <c r="AB372" s="161"/>
      <c r="AC372" s="159">
        <v>4.833333333333333</v>
      </c>
      <c r="AD372" s="159"/>
    </row>
    <row r="373">
      <c r="A373" s="162">
        <v>102615.0</v>
      </c>
      <c r="B373" s="163" t="s">
        <v>1023</v>
      </c>
      <c r="C373" s="164" t="s">
        <v>1024</v>
      </c>
      <c r="D373" s="165">
        <v>45165.0</v>
      </c>
      <c r="E373" s="164" t="s">
        <v>602</v>
      </c>
      <c r="F373" s="161"/>
      <c r="G373" s="161"/>
      <c r="H373" s="159">
        <v>4.0</v>
      </c>
      <c r="I373" s="159">
        <v>4.0</v>
      </c>
      <c r="J373" s="159">
        <v>4.0</v>
      </c>
      <c r="K373" s="159">
        <v>4.0</v>
      </c>
      <c r="L373" s="159">
        <v>4.0</v>
      </c>
      <c r="M373" s="159">
        <v>4.0</v>
      </c>
      <c r="N373" s="159">
        <v>4.0</v>
      </c>
      <c r="O373" s="159">
        <v>4.0</v>
      </c>
      <c r="P373" s="159">
        <v>4.0</v>
      </c>
      <c r="Q373" s="159">
        <v>4.0</v>
      </c>
      <c r="R373" s="159">
        <v>4.0</v>
      </c>
      <c r="S373" s="171"/>
      <c r="T373" s="171"/>
      <c r="U373" s="171"/>
      <c r="V373" s="171"/>
      <c r="W373" s="171"/>
      <c r="X373" s="161"/>
      <c r="Y373" s="161"/>
      <c r="Z373" s="161"/>
      <c r="AA373" s="161"/>
      <c r="AB373" s="161"/>
      <c r="AC373" s="159">
        <v>4.0</v>
      </c>
      <c r="AD373" s="159"/>
    </row>
    <row r="374">
      <c r="A374" s="162">
        <v>103555.0</v>
      </c>
      <c r="B374" s="163" t="s">
        <v>1025</v>
      </c>
      <c r="C374" s="164" t="s">
        <v>1026</v>
      </c>
      <c r="D374" s="165">
        <v>45166.0</v>
      </c>
      <c r="E374" s="164" t="s">
        <v>254</v>
      </c>
      <c r="F374" s="161"/>
      <c r="G374" s="161"/>
      <c r="H374" s="159">
        <v>5.0</v>
      </c>
      <c r="I374" s="159">
        <v>5.0</v>
      </c>
      <c r="J374" s="159">
        <v>5.0</v>
      </c>
      <c r="K374" s="159">
        <v>5.0</v>
      </c>
      <c r="L374" s="159">
        <v>5.0</v>
      </c>
      <c r="M374" s="159">
        <v>5.0</v>
      </c>
      <c r="N374" s="159">
        <v>5.0</v>
      </c>
      <c r="O374" s="159">
        <v>5.0</v>
      </c>
      <c r="P374" s="159">
        <v>5.0</v>
      </c>
      <c r="Q374" s="159">
        <v>5.0</v>
      </c>
      <c r="R374" s="159">
        <v>5.0</v>
      </c>
      <c r="S374" s="159">
        <v>5.0</v>
      </c>
      <c r="T374" s="159">
        <v>5.0</v>
      </c>
      <c r="U374" s="159">
        <v>5.0</v>
      </c>
      <c r="V374" s="159">
        <v>5.0</v>
      </c>
      <c r="W374" s="159">
        <v>5.0</v>
      </c>
      <c r="X374" s="161"/>
      <c r="Y374" s="161"/>
      <c r="Z374" s="161"/>
      <c r="AA374" s="161"/>
      <c r="AB374" s="161"/>
      <c r="AC374" s="159">
        <v>5.0</v>
      </c>
      <c r="AD374" s="159"/>
    </row>
    <row r="375">
      <c r="A375" s="162">
        <v>103682.0</v>
      </c>
      <c r="B375" s="163" t="s">
        <v>1027</v>
      </c>
      <c r="C375" s="164" t="s">
        <v>1028</v>
      </c>
      <c r="D375" s="165">
        <v>45181.0</v>
      </c>
      <c r="E375" s="164" t="s">
        <v>625</v>
      </c>
      <c r="F375" s="161"/>
      <c r="G375" s="161"/>
      <c r="H375" s="159">
        <v>5.0</v>
      </c>
      <c r="I375" s="159">
        <v>5.0</v>
      </c>
      <c r="J375" s="159">
        <v>5.0</v>
      </c>
      <c r="K375" s="159">
        <v>5.0</v>
      </c>
      <c r="L375" s="159">
        <v>5.0</v>
      </c>
      <c r="M375" s="159">
        <v>5.0</v>
      </c>
      <c r="N375" s="159">
        <v>5.0</v>
      </c>
      <c r="O375" s="159">
        <v>5.0</v>
      </c>
      <c r="P375" s="159">
        <v>5.0</v>
      </c>
      <c r="Q375" s="159">
        <v>5.0</v>
      </c>
      <c r="R375" s="159">
        <v>5.0</v>
      </c>
      <c r="S375" s="159">
        <v>5.0</v>
      </c>
      <c r="T375" s="159">
        <v>5.0</v>
      </c>
      <c r="U375" s="159">
        <v>5.0</v>
      </c>
      <c r="V375" s="159">
        <v>5.0</v>
      </c>
      <c r="W375" s="159">
        <v>5.0</v>
      </c>
      <c r="X375" s="161"/>
      <c r="Y375" s="161"/>
      <c r="Z375" s="161"/>
      <c r="AA375" s="161"/>
      <c r="AB375" s="161"/>
      <c r="AC375" s="159">
        <v>5.0</v>
      </c>
      <c r="AD375" s="159"/>
    </row>
    <row r="376">
      <c r="A376" s="162">
        <v>103672.0</v>
      </c>
      <c r="B376" s="163" t="s">
        <v>1029</v>
      </c>
      <c r="C376" s="164" t="s">
        <v>1030</v>
      </c>
      <c r="D376" s="165">
        <v>45181.0</v>
      </c>
      <c r="E376" s="164" t="s">
        <v>625</v>
      </c>
      <c r="F376" s="161"/>
      <c r="G376" s="161"/>
      <c r="H376" s="159">
        <v>5.0</v>
      </c>
      <c r="I376" s="159">
        <v>5.0</v>
      </c>
      <c r="J376" s="159">
        <v>5.0</v>
      </c>
      <c r="K376" s="159">
        <v>5.0</v>
      </c>
      <c r="L376" s="159">
        <v>5.0</v>
      </c>
      <c r="M376" s="159">
        <v>5.0</v>
      </c>
      <c r="N376" s="171"/>
      <c r="O376" s="171"/>
      <c r="P376" s="171"/>
      <c r="Q376" s="171"/>
      <c r="R376" s="171"/>
      <c r="S376" s="159">
        <v>4.75</v>
      </c>
      <c r="T376" s="159">
        <v>4.75</v>
      </c>
      <c r="U376" s="159">
        <v>4.75</v>
      </c>
      <c r="V376" s="159">
        <v>4.75</v>
      </c>
      <c r="W376" s="159">
        <v>4.75</v>
      </c>
      <c r="X376" s="161"/>
      <c r="Y376" s="161"/>
      <c r="Z376" s="161"/>
      <c r="AA376" s="161"/>
      <c r="AB376" s="161"/>
      <c r="AC376" s="159">
        <v>4.875</v>
      </c>
      <c r="AD376" s="159"/>
    </row>
    <row r="377">
      <c r="A377" s="162">
        <v>103718.0</v>
      </c>
      <c r="B377" s="163" t="s">
        <v>1031</v>
      </c>
      <c r="C377" s="164" t="s">
        <v>1032</v>
      </c>
      <c r="D377" s="165">
        <v>45181.0</v>
      </c>
      <c r="E377" s="164" t="s">
        <v>360</v>
      </c>
      <c r="F377" s="161"/>
      <c r="G377" s="161"/>
      <c r="H377" s="159">
        <v>5.0</v>
      </c>
      <c r="I377" s="159">
        <v>5.0</v>
      </c>
      <c r="J377" s="159">
        <v>5.0</v>
      </c>
      <c r="K377" s="159">
        <v>5.0</v>
      </c>
      <c r="L377" s="159">
        <v>5.0</v>
      </c>
      <c r="M377" s="159">
        <v>5.0</v>
      </c>
      <c r="N377" s="159">
        <v>5.0</v>
      </c>
      <c r="O377" s="159">
        <v>5.0</v>
      </c>
      <c r="P377" s="159">
        <v>5.0</v>
      </c>
      <c r="Q377" s="159">
        <v>5.0</v>
      </c>
      <c r="R377" s="159">
        <v>5.0</v>
      </c>
      <c r="S377" s="159">
        <v>4.5</v>
      </c>
      <c r="T377" s="159">
        <v>4.5</v>
      </c>
      <c r="U377" s="159">
        <v>4.5</v>
      </c>
      <c r="V377" s="159">
        <v>4.5</v>
      </c>
      <c r="W377" s="159">
        <v>4.5</v>
      </c>
      <c r="X377" s="161"/>
      <c r="Y377" s="161"/>
      <c r="Z377" s="161"/>
      <c r="AA377" s="161"/>
      <c r="AB377" s="161"/>
      <c r="AC377" s="159">
        <v>4.833333333333333</v>
      </c>
      <c r="AD377" s="171"/>
    </row>
    <row r="378">
      <c r="A378" s="162">
        <v>103717.0</v>
      </c>
      <c r="B378" s="163" t="s">
        <v>1033</v>
      </c>
      <c r="C378" s="164" t="s">
        <v>1034</v>
      </c>
      <c r="D378" s="165">
        <v>45182.0</v>
      </c>
      <c r="E378" s="164" t="s">
        <v>427</v>
      </c>
      <c r="F378" s="161"/>
      <c r="G378" s="161"/>
      <c r="H378" s="159">
        <v>5.0</v>
      </c>
      <c r="I378" s="159">
        <v>5.0</v>
      </c>
      <c r="J378" s="159">
        <v>5.0</v>
      </c>
      <c r="K378" s="159">
        <v>5.0</v>
      </c>
      <c r="L378" s="159">
        <v>5.0</v>
      </c>
      <c r="M378" s="159">
        <v>5.0</v>
      </c>
      <c r="N378" s="171"/>
      <c r="O378" s="171"/>
      <c r="P378" s="171"/>
      <c r="Q378" s="171"/>
      <c r="R378" s="171"/>
      <c r="S378" s="159">
        <v>5.0</v>
      </c>
      <c r="T378" s="159">
        <v>5.0</v>
      </c>
      <c r="U378" s="159">
        <v>5.0</v>
      </c>
      <c r="V378" s="159">
        <v>5.0</v>
      </c>
      <c r="W378" s="159">
        <v>5.0</v>
      </c>
      <c r="X378" s="161"/>
      <c r="Y378" s="161"/>
      <c r="Z378" s="161"/>
      <c r="AA378" s="161"/>
      <c r="AB378" s="161"/>
      <c r="AC378" s="159">
        <v>5.0</v>
      </c>
      <c r="AD378" s="159"/>
    </row>
    <row r="379">
      <c r="A379" s="162">
        <v>103716.0</v>
      </c>
      <c r="B379" s="163" t="s">
        <v>1035</v>
      </c>
      <c r="C379" s="164" t="s">
        <v>1036</v>
      </c>
      <c r="D379" s="165">
        <v>45184.0</v>
      </c>
      <c r="E379" s="164" t="s">
        <v>427</v>
      </c>
      <c r="F379" s="161"/>
      <c r="G379" s="161"/>
      <c r="H379" s="159">
        <v>5.0</v>
      </c>
      <c r="I379" s="159">
        <v>5.0</v>
      </c>
      <c r="J379" s="159">
        <v>5.0</v>
      </c>
      <c r="K379" s="159">
        <v>5.0</v>
      </c>
      <c r="L379" s="159">
        <v>5.0</v>
      </c>
      <c r="M379" s="159">
        <v>5.0</v>
      </c>
      <c r="N379" s="159">
        <v>5.0</v>
      </c>
      <c r="O379" s="159">
        <v>5.0</v>
      </c>
      <c r="P379" s="159">
        <v>5.0</v>
      </c>
      <c r="Q379" s="159">
        <v>5.0</v>
      </c>
      <c r="R379" s="159">
        <v>5.0</v>
      </c>
      <c r="S379" s="159">
        <v>5.0</v>
      </c>
      <c r="T379" s="159">
        <v>5.0</v>
      </c>
      <c r="U379" s="159">
        <v>5.0</v>
      </c>
      <c r="V379" s="159">
        <v>5.0</v>
      </c>
      <c r="W379" s="159">
        <v>5.0</v>
      </c>
      <c r="X379" s="161"/>
      <c r="Y379" s="161"/>
      <c r="Z379" s="161"/>
      <c r="AA379" s="161"/>
      <c r="AB379" s="161"/>
      <c r="AC379" s="159">
        <v>5.0</v>
      </c>
      <c r="AD379" s="171"/>
    </row>
    <row r="380">
      <c r="A380" s="162">
        <v>103716.0</v>
      </c>
      <c r="B380" s="163" t="s">
        <v>1037</v>
      </c>
      <c r="C380" s="164" t="s">
        <v>1036</v>
      </c>
      <c r="D380" s="165">
        <v>45185.0</v>
      </c>
      <c r="E380" s="164" t="s">
        <v>87</v>
      </c>
      <c r="F380" s="161"/>
      <c r="G380" s="161"/>
      <c r="H380" s="159">
        <v>2.0</v>
      </c>
      <c r="I380" s="159">
        <v>2.0</v>
      </c>
      <c r="J380" s="159">
        <v>3.0</v>
      </c>
      <c r="K380" s="159">
        <v>3.0</v>
      </c>
      <c r="L380" s="159">
        <v>3.0</v>
      </c>
      <c r="M380" s="159">
        <v>2.6</v>
      </c>
      <c r="N380" s="159">
        <v>2.0</v>
      </c>
      <c r="O380" s="159">
        <v>2.0</v>
      </c>
      <c r="P380" s="159">
        <v>3.0</v>
      </c>
      <c r="Q380" s="159">
        <v>3.0</v>
      </c>
      <c r="R380" s="159">
        <v>2.5</v>
      </c>
      <c r="S380" s="159">
        <v>3.5</v>
      </c>
      <c r="T380" s="159">
        <v>3.0</v>
      </c>
      <c r="U380" s="159">
        <v>3.0</v>
      </c>
      <c r="V380" s="159">
        <v>3.0</v>
      </c>
      <c r="W380" s="159">
        <v>3.125</v>
      </c>
      <c r="X380" s="161"/>
      <c r="Y380" s="161"/>
      <c r="Z380" s="161"/>
      <c r="AA380" s="161"/>
      <c r="AB380" s="161"/>
      <c r="AC380" s="159">
        <v>2.7416666666666667</v>
      </c>
      <c r="AD380" s="159"/>
    </row>
    <row r="381">
      <c r="A381" s="162">
        <v>103717.0</v>
      </c>
      <c r="B381" s="163" t="s">
        <v>1038</v>
      </c>
      <c r="C381" s="164" t="s">
        <v>1034</v>
      </c>
      <c r="D381" s="165">
        <v>45185.0</v>
      </c>
      <c r="E381" s="164" t="s">
        <v>87</v>
      </c>
      <c r="F381" s="161"/>
      <c r="G381" s="161"/>
      <c r="H381" s="159">
        <v>2.0</v>
      </c>
      <c r="I381" s="159">
        <v>3.0</v>
      </c>
      <c r="J381" s="159">
        <v>3.0</v>
      </c>
      <c r="K381" s="159">
        <v>3.0</v>
      </c>
      <c r="L381" s="159">
        <v>3.0</v>
      </c>
      <c r="M381" s="159">
        <v>2.8</v>
      </c>
      <c r="N381" s="159">
        <v>2.0</v>
      </c>
      <c r="O381" s="159">
        <v>3.0</v>
      </c>
      <c r="P381" s="159">
        <v>3.0</v>
      </c>
      <c r="Q381" s="159">
        <v>3.0</v>
      </c>
      <c r="R381" s="159">
        <v>2.75</v>
      </c>
      <c r="S381" s="159">
        <v>3.5</v>
      </c>
      <c r="T381" s="159">
        <v>3.0</v>
      </c>
      <c r="U381" s="159">
        <v>3.0</v>
      </c>
      <c r="V381" s="159">
        <v>3.0</v>
      </c>
      <c r="W381" s="159">
        <v>3.125</v>
      </c>
      <c r="X381" s="161"/>
      <c r="Y381" s="161"/>
      <c r="Z381" s="161"/>
      <c r="AA381" s="161"/>
      <c r="AB381" s="161"/>
      <c r="AC381" s="159">
        <v>2.891666666666667</v>
      </c>
      <c r="AD381" s="159"/>
    </row>
    <row r="382">
      <c r="A382" s="162">
        <v>103719.0</v>
      </c>
      <c r="B382" s="163" t="s">
        <v>1039</v>
      </c>
      <c r="C382" s="164" t="s">
        <v>1040</v>
      </c>
      <c r="D382" s="165">
        <v>45189.0</v>
      </c>
      <c r="E382" s="164" t="s">
        <v>295</v>
      </c>
      <c r="F382" s="161"/>
      <c r="G382" s="161"/>
      <c r="H382" s="159">
        <v>5.0</v>
      </c>
      <c r="I382" s="159">
        <v>5.0</v>
      </c>
      <c r="J382" s="159">
        <v>5.0</v>
      </c>
      <c r="K382" s="159">
        <v>5.0</v>
      </c>
      <c r="L382" s="159">
        <v>5.0</v>
      </c>
      <c r="M382" s="159">
        <v>5.0</v>
      </c>
      <c r="N382" s="159">
        <v>4.5</v>
      </c>
      <c r="O382" s="159">
        <v>4.5</v>
      </c>
      <c r="P382" s="159">
        <v>4.5</v>
      </c>
      <c r="Q382" s="159">
        <v>4.5</v>
      </c>
      <c r="R382" s="159">
        <v>4.5</v>
      </c>
      <c r="S382" s="159">
        <v>4.2</v>
      </c>
      <c r="T382" s="159">
        <v>4.2</v>
      </c>
      <c r="U382" s="159">
        <v>4.2</v>
      </c>
      <c r="V382" s="159">
        <v>4.2</v>
      </c>
      <c r="W382" s="159">
        <v>4.2</v>
      </c>
      <c r="X382" s="161"/>
      <c r="Y382" s="161"/>
      <c r="Z382" s="161"/>
      <c r="AA382" s="161"/>
      <c r="AB382" s="161"/>
      <c r="AC382" s="159">
        <v>4.566666666666666</v>
      </c>
      <c r="AD382" s="171"/>
    </row>
    <row r="383">
      <c r="A383" s="162">
        <v>103708.0</v>
      </c>
      <c r="B383" s="163" t="s">
        <v>1041</v>
      </c>
      <c r="C383" s="164" t="s">
        <v>1042</v>
      </c>
      <c r="D383" s="165">
        <v>45191.0</v>
      </c>
      <c r="E383" s="164" t="s">
        <v>1043</v>
      </c>
      <c r="F383" s="161"/>
      <c r="G383" s="161"/>
      <c r="H383" s="159">
        <v>5.0</v>
      </c>
      <c r="I383" s="159">
        <v>5.0</v>
      </c>
      <c r="J383" s="159">
        <v>5.0</v>
      </c>
      <c r="K383" s="159">
        <v>5.0</v>
      </c>
      <c r="L383" s="159">
        <v>5.0</v>
      </c>
      <c r="M383" s="159">
        <v>5.0</v>
      </c>
      <c r="N383" s="171"/>
      <c r="O383" s="171"/>
      <c r="P383" s="171"/>
      <c r="Q383" s="171"/>
      <c r="R383" s="171"/>
      <c r="S383" s="159">
        <v>5.0</v>
      </c>
      <c r="T383" s="159">
        <v>5.0</v>
      </c>
      <c r="U383" s="159">
        <v>5.0</v>
      </c>
      <c r="V383" s="159">
        <v>5.0</v>
      </c>
      <c r="W383" s="159">
        <v>5.0</v>
      </c>
      <c r="X383" s="161"/>
      <c r="Y383" s="161"/>
      <c r="Z383" s="161"/>
      <c r="AA383" s="161"/>
      <c r="AB383" s="161"/>
      <c r="AC383" s="159">
        <v>5.0</v>
      </c>
      <c r="AD383" s="159"/>
    </row>
    <row r="384">
      <c r="A384" s="162">
        <v>104340.0</v>
      </c>
      <c r="B384" s="163" t="s">
        <v>1044</v>
      </c>
      <c r="C384" s="164" t="s">
        <v>1045</v>
      </c>
      <c r="D384" s="165">
        <v>45195.0</v>
      </c>
      <c r="E384" s="164" t="s">
        <v>254</v>
      </c>
      <c r="F384" s="161"/>
      <c r="G384" s="161"/>
      <c r="H384" s="159">
        <v>5.0</v>
      </c>
      <c r="I384" s="159">
        <v>5.0</v>
      </c>
      <c r="J384" s="159">
        <v>5.0</v>
      </c>
      <c r="K384" s="159">
        <v>5.0</v>
      </c>
      <c r="L384" s="159">
        <v>5.0</v>
      </c>
      <c r="M384" s="159">
        <v>5.0</v>
      </c>
      <c r="N384" s="159">
        <v>4.0</v>
      </c>
      <c r="O384" s="159">
        <v>4.0</v>
      </c>
      <c r="P384" s="159">
        <v>5.0</v>
      </c>
      <c r="Q384" s="159">
        <v>5.0</v>
      </c>
      <c r="R384" s="159">
        <v>4.5</v>
      </c>
      <c r="S384" s="159">
        <v>4.5</v>
      </c>
      <c r="T384" s="159">
        <v>4.5</v>
      </c>
      <c r="U384" s="159">
        <v>4.5</v>
      </c>
      <c r="V384" s="159">
        <v>4.5</v>
      </c>
      <c r="W384" s="159">
        <v>4.5</v>
      </c>
      <c r="X384" s="161"/>
      <c r="Y384" s="161"/>
      <c r="Z384" s="161"/>
      <c r="AA384" s="161"/>
      <c r="AB384" s="161"/>
      <c r="AC384" s="159">
        <v>4.666666666666667</v>
      </c>
      <c r="AD384" s="159"/>
    </row>
    <row r="385">
      <c r="A385" s="162">
        <v>103780.0</v>
      </c>
      <c r="B385" s="163" t="s">
        <v>1046</v>
      </c>
      <c r="C385" s="164" t="s">
        <v>1047</v>
      </c>
      <c r="D385" s="165">
        <v>45196.0</v>
      </c>
      <c r="E385" s="164" t="s">
        <v>51</v>
      </c>
      <c r="F385" s="161"/>
      <c r="G385" s="161"/>
      <c r="H385" s="159">
        <v>5.0</v>
      </c>
      <c r="I385" s="159">
        <v>5.0</v>
      </c>
      <c r="J385" s="159">
        <v>5.0</v>
      </c>
      <c r="K385" s="159">
        <v>5.0</v>
      </c>
      <c r="L385" s="159">
        <v>5.0</v>
      </c>
      <c r="M385" s="159">
        <v>5.0</v>
      </c>
      <c r="N385" s="159">
        <v>5.0</v>
      </c>
      <c r="O385" s="159">
        <v>5.0</v>
      </c>
      <c r="P385" s="159">
        <v>5.0</v>
      </c>
      <c r="Q385" s="159">
        <v>5.0</v>
      </c>
      <c r="R385" s="159">
        <v>5.0</v>
      </c>
      <c r="S385" s="159">
        <v>5.0</v>
      </c>
      <c r="T385" s="159">
        <v>5.0</v>
      </c>
      <c r="U385" s="159">
        <v>5.0</v>
      </c>
      <c r="V385" s="159">
        <v>5.0</v>
      </c>
      <c r="W385" s="159">
        <v>5.0</v>
      </c>
      <c r="X385" s="161"/>
      <c r="Y385" s="161"/>
      <c r="Z385" s="161"/>
      <c r="AA385" s="161"/>
      <c r="AB385" s="161"/>
      <c r="AC385" s="159">
        <v>5.0</v>
      </c>
      <c r="AD385" s="159"/>
    </row>
    <row r="386">
      <c r="A386" s="162">
        <v>103776.0</v>
      </c>
      <c r="B386" s="163" t="s">
        <v>1048</v>
      </c>
      <c r="C386" s="164" t="s">
        <v>1049</v>
      </c>
      <c r="D386" s="165">
        <v>45196.0</v>
      </c>
      <c r="E386" s="164" t="s">
        <v>51</v>
      </c>
      <c r="F386" s="161"/>
      <c r="G386" s="161"/>
      <c r="H386" s="159">
        <v>5.0</v>
      </c>
      <c r="I386" s="159">
        <v>5.0</v>
      </c>
      <c r="J386" s="159">
        <v>5.0</v>
      </c>
      <c r="K386" s="159">
        <v>5.0</v>
      </c>
      <c r="L386" s="159">
        <v>5.0</v>
      </c>
      <c r="M386" s="159">
        <v>5.0</v>
      </c>
      <c r="N386" s="159">
        <v>5.0</v>
      </c>
      <c r="O386" s="159">
        <v>5.0</v>
      </c>
      <c r="P386" s="159">
        <v>5.0</v>
      </c>
      <c r="Q386" s="159">
        <v>5.0</v>
      </c>
      <c r="R386" s="159">
        <v>5.0</v>
      </c>
      <c r="S386" s="159">
        <v>5.0</v>
      </c>
      <c r="T386" s="159">
        <v>5.0</v>
      </c>
      <c r="U386" s="159">
        <v>5.0</v>
      </c>
      <c r="V386" s="159">
        <v>5.0</v>
      </c>
      <c r="W386" s="159">
        <v>5.0</v>
      </c>
      <c r="X386" s="161"/>
      <c r="Y386" s="161"/>
      <c r="Z386" s="161"/>
      <c r="AA386" s="161"/>
      <c r="AB386" s="161"/>
      <c r="AC386" s="159">
        <v>5.0</v>
      </c>
      <c r="AD386" s="159"/>
    </row>
    <row r="387">
      <c r="A387" s="162">
        <v>103774.0</v>
      </c>
      <c r="B387" s="163" t="s">
        <v>1050</v>
      </c>
      <c r="C387" s="164" t="s">
        <v>1051</v>
      </c>
      <c r="D387" s="165">
        <v>45199.0</v>
      </c>
      <c r="E387" s="164" t="s">
        <v>295</v>
      </c>
      <c r="F387" s="161"/>
      <c r="G387" s="161"/>
      <c r="H387" s="159">
        <v>5.0</v>
      </c>
      <c r="I387" s="159">
        <v>5.0</v>
      </c>
      <c r="J387" s="159">
        <v>5.0</v>
      </c>
      <c r="K387" s="159">
        <v>5.0</v>
      </c>
      <c r="L387" s="159">
        <v>5.0</v>
      </c>
      <c r="M387" s="159">
        <v>5.0</v>
      </c>
      <c r="N387" s="159">
        <v>5.0</v>
      </c>
      <c r="O387" s="159">
        <v>5.0</v>
      </c>
      <c r="P387" s="159">
        <v>5.0</v>
      </c>
      <c r="Q387" s="159">
        <v>5.0</v>
      </c>
      <c r="R387" s="159">
        <v>5.0</v>
      </c>
      <c r="S387" s="159">
        <v>4.49</v>
      </c>
      <c r="T387" s="159">
        <v>4.49</v>
      </c>
      <c r="U387" s="159">
        <v>4.49</v>
      </c>
      <c r="V387" s="159">
        <v>4.49</v>
      </c>
      <c r="W387" s="159">
        <v>4.49</v>
      </c>
      <c r="X387" s="161"/>
      <c r="Y387" s="161"/>
      <c r="Z387" s="161"/>
      <c r="AA387" s="161"/>
      <c r="AB387" s="161"/>
      <c r="AC387" s="159">
        <v>4.83</v>
      </c>
      <c r="AD387" s="159"/>
    </row>
    <row r="388">
      <c r="A388" s="162">
        <v>103694.0</v>
      </c>
      <c r="B388" s="163" t="s">
        <v>1052</v>
      </c>
      <c r="C388" s="164" t="s">
        <v>1053</v>
      </c>
      <c r="D388" s="165">
        <v>45199.0</v>
      </c>
      <c r="E388" s="164" t="s">
        <v>1054</v>
      </c>
      <c r="F388" s="161"/>
      <c r="G388" s="161"/>
      <c r="H388" s="159">
        <v>5.0</v>
      </c>
      <c r="I388" s="159">
        <v>5.0</v>
      </c>
      <c r="J388" s="159">
        <v>5.0</v>
      </c>
      <c r="K388" s="159">
        <v>5.0</v>
      </c>
      <c r="L388" s="159">
        <v>5.0</v>
      </c>
      <c r="M388" s="159">
        <v>5.0</v>
      </c>
      <c r="N388" s="159">
        <v>5.0</v>
      </c>
      <c r="O388" s="159">
        <v>5.0</v>
      </c>
      <c r="P388" s="159">
        <v>5.0</v>
      </c>
      <c r="Q388" s="159">
        <v>5.0</v>
      </c>
      <c r="R388" s="159">
        <v>5.0</v>
      </c>
      <c r="S388" s="159">
        <v>4.2</v>
      </c>
      <c r="T388" s="159">
        <v>4.2</v>
      </c>
      <c r="U388" s="159">
        <v>4.2</v>
      </c>
      <c r="V388" s="159">
        <v>4.2</v>
      </c>
      <c r="W388" s="159">
        <v>4.2</v>
      </c>
      <c r="X388" s="161"/>
      <c r="Y388" s="161"/>
      <c r="Z388" s="161"/>
      <c r="AA388" s="161"/>
      <c r="AB388" s="161"/>
      <c r="AC388" s="159">
        <v>4.733333333333333</v>
      </c>
      <c r="AD388" s="159"/>
    </row>
    <row r="389">
      <c r="A389" s="162">
        <v>103707.0</v>
      </c>
      <c r="B389" s="163" t="s">
        <v>1055</v>
      </c>
      <c r="C389" s="164" t="s">
        <v>1056</v>
      </c>
      <c r="D389" s="165">
        <v>45199.0</v>
      </c>
      <c r="E389" s="164" t="s">
        <v>1054</v>
      </c>
      <c r="F389" s="161"/>
      <c r="G389" s="161"/>
      <c r="H389" s="159">
        <v>5.0</v>
      </c>
      <c r="I389" s="159">
        <v>5.0</v>
      </c>
      <c r="J389" s="159">
        <v>5.0</v>
      </c>
      <c r="K389" s="159">
        <v>5.0</v>
      </c>
      <c r="L389" s="159">
        <v>5.0</v>
      </c>
      <c r="M389" s="159">
        <v>5.0</v>
      </c>
      <c r="N389" s="159">
        <v>5.0</v>
      </c>
      <c r="O389" s="159">
        <v>5.0</v>
      </c>
      <c r="P389" s="159">
        <v>5.0</v>
      </c>
      <c r="Q389" s="159">
        <v>5.0</v>
      </c>
      <c r="R389" s="159">
        <v>5.0</v>
      </c>
      <c r="S389" s="159">
        <v>4.5</v>
      </c>
      <c r="T389" s="159">
        <v>4.5</v>
      </c>
      <c r="U389" s="159">
        <v>4.5</v>
      </c>
      <c r="V389" s="159">
        <v>4.5</v>
      </c>
      <c r="W389" s="159">
        <v>4.5</v>
      </c>
      <c r="X389" s="161"/>
      <c r="Y389" s="161"/>
      <c r="Z389" s="161"/>
      <c r="AA389" s="161"/>
      <c r="AB389" s="161"/>
      <c r="AC389" s="159">
        <v>4.833333333333333</v>
      </c>
      <c r="AD389" s="159"/>
    </row>
    <row r="390">
      <c r="A390" s="162">
        <v>103693.0</v>
      </c>
      <c r="B390" s="163" t="s">
        <v>1057</v>
      </c>
      <c r="C390" s="164" t="s">
        <v>1058</v>
      </c>
      <c r="D390" s="165">
        <v>45199.0</v>
      </c>
      <c r="E390" s="164" t="s">
        <v>1054</v>
      </c>
      <c r="F390" s="161"/>
      <c r="G390" s="161"/>
      <c r="H390" s="159">
        <v>5.0</v>
      </c>
      <c r="I390" s="159">
        <v>5.0</v>
      </c>
      <c r="J390" s="159">
        <v>5.0</v>
      </c>
      <c r="K390" s="159">
        <v>5.0</v>
      </c>
      <c r="L390" s="159">
        <v>5.0</v>
      </c>
      <c r="M390" s="159">
        <v>5.0</v>
      </c>
      <c r="N390" s="159">
        <v>5.0</v>
      </c>
      <c r="O390" s="159">
        <v>5.0</v>
      </c>
      <c r="P390" s="159">
        <v>5.0</v>
      </c>
      <c r="Q390" s="159">
        <v>5.0</v>
      </c>
      <c r="R390" s="159">
        <v>5.0</v>
      </c>
      <c r="S390" s="159">
        <v>4.5</v>
      </c>
      <c r="T390" s="159">
        <v>4.5</v>
      </c>
      <c r="U390" s="159">
        <v>4.5</v>
      </c>
      <c r="V390" s="159">
        <v>4.5</v>
      </c>
      <c r="W390" s="159">
        <v>4.5</v>
      </c>
      <c r="X390" s="161"/>
      <c r="Y390" s="161"/>
      <c r="Z390" s="161"/>
      <c r="AA390" s="161"/>
      <c r="AB390" s="161"/>
      <c r="AC390" s="159">
        <v>4.833333333333333</v>
      </c>
      <c r="AD390" s="159"/>
    </row>
    <row r="391">
      <c r="A391" s="162">
        <v>103789.0</v>
      </c>
      <c r="B391" s="169"/>
      <c r="C391" s="164" t="s">
        <v>1059</v>
      </c>
      <c r="D391" s="165">
        <v>45201.0</v>
      </c>
      <c r="E391" s="164" t="s">
        <v>427</v>
      </c>
      <c r="F391" s="161"/>
      <c r="G391" s="161"/>
      <c r="H391" s="159">
        <v>4.5</v>
      </c>
      <c r="I391" s="159">
        <v>4.0</v>
      </c>
      <c r="J391" s="159">
        <v>5.0</v>
      </c>
      <c r="K391" s="159">
        <v>4.0</v>
      </c>
      <c r="L391" s="159">
        <v>4.0</v>
      </c>
      <c r="M391" s="159">
        <v>4.3</v>
      </c>
      <c r="N391" s="159">
        <v>4.5</v>
      </c>
      <c r="O391" s="159">
        <v>4.0</v>
      </c>
      <c r="P391" s="159">
        <v>5.0</v>
      </c>
      <c r="Q391" s="159">
        <v>4.0</v>
      </c>
      <c r="R391" s="159">
        <v>4.375</v>
      </c>
      <c r="S391" s="159">
        <v>5.0</v>
      </c>
      <c r="T391" s="159">
        <v>5.0</v>
      </c>
      <c r="U391" s="159">
        <v>5.0</v>
      </c>
      <c r="V391" s="159">
        <v>5.0</v>
      </c>
      <c r="W391" s="159">
        <v>5.0</v>
      </c>
      <c r="X391" s="161"/>
      <c r="Y391" s="161"/>
      <c r="Z391" s="161"/>
      <c r="AA391" s="161"/>
      <c r="AB391" s="161"/>
      <c r="AC391" s="159">
        <v>4.558333333333334</v>
      </c>
      <c r="AD391" s="159"/>
    </row>
    <row r="392">
      <c r="A392" s="162">
        <v>103789.0</v>
      </c>
      <c r="B392" s="163" t="s">
        <v>1060</v>
      </c>
      <c r="C392" s="164" t="s">
        <v>1059</v>
      </c>
      <c r="D392" s="165">
        <v>45201.0</v>
      </c>
      <c r="E392" s="164" t="s">
        <v>427</v>
      </c>
      <c r="F392" s="161"/>
      <c r="G392" s="161"/>
      <c r="H392" s="159">
        <v>4.5</v>
      </c>
      <c r="I392" s="159">
        <v>4.0</v>
      </c>
      <c r="J392" s="159">
        <v>5.0</v>
      </c>
      <c r="K392" s="159">
        <v>4.0</v>
      </c>
      <c r="L392" s="159">
        <v>4.0</v>
      </c>
      <c r="M392" s="159">
        <v>4.3</v>
      </c>
      <c r="N392" s="159">
        <v>4.5</v>
      </c>
      <c r="O392" s="159">
        <v>4.0</v>
      </c>
      <c r="P392" s="159">
        <v>5.0</v>
      </c>
      <c r="Q392" s="159">
        <v>4.0</v>
      </c>
      <c r="R392" s="159">
        <v>4.375</v>
      </c>
      <c r="S392" s="159">
        <v>5.0</v>
      </c>
      <c r="T392" s="159">
        <v>5.0</v>
      </c>
      <c r="U392" s="159">
        <v>5.0</v>
      </c>
      <c r="V392" s="159">
        <v>5.0</v>
      </c>
      <c r="W392" s="159">
        <v>5.0</v>
      </c>
      <c r="X392" s="161"/>
      <c r="Y392" s="161"/>
      <c r="Z392" s="161"/>
      <c r="AA392" s="161"/>
      <c r="AB392" s="161"/>
      <c r="AC392" s="159">
        <v>4.558333333333334</v>
      </c>
      <c r="AD392" s="159"/>
    </row>
    <row r="393">
      <c r="A393" s="162">
        <v>103799.0</v>
      </c>
      <c r="B393" s="163" t="s">
        <v>1061</v>
      </c>
      <c r="C393" s="164" t="s">
        <v>1062</v>
      </c>
      <c r="D393" s="138">
        <v>45201.0</v>
      </c>
      <c r="E393" s="164" t="s">
        <v>51</v>
      </c>
      <c r="F393" s="161"/>
      <c r="G393" s="161"/>
      <c r="H393" s="159">
        <v>5.0</v>
      </c>
      <c r="I393" s="159">
        <v>5.0</v>
      </c>
      <c r="J393" s="159">
        <v>5.0</v>
      </c>
      <c r="K393" s="159">
        <v>5.0</v>
      </c>
      <c r="L393" s="159">
        <v>5.0</v>
      </c>
      <c r="M393" s="159">
        <v>5.0</v>
      </c>
      <c r="N393" s="159">
        <v>5.0</v>
      </c>
      <c r="O393" s="159">
        <v>5.0</v>
      </c>
      <c r="P393" s="159">
        <v>5.0</v>
      </c>
      <c r="Q393" s="159">
        <v>5.0</v>
      </c>
      <c r="R393" s="159">
        <v>5.0</v>
      </c>
      <c r="S393" s="159">
        <v>5.0</v>
      </c>
      <c r="T393" s="159">
        <v>5.0</v>
      </c>
      <c r="U393" s="159">
        <v>5.0</v>
      </c>
      <c r="V393" s="159">
        <v>5.0</v>
      </c>
      <c r="W393" s="159">
        <v>5.0</v>
      </c>
      <c r="X393" s="161"/>
      <c r="Y393" s="161"/>
      <c r="Z393" s="161"/>
      <c r="AA393" s="161"/>
      <c r="AB393" s="161"/>
      <c r="AC393" s="159">
        <v>5.0</v>
      </c>
      <c r="AD393" s="159"/>
    </row>
    <row r="394">
      <c r="A394" s="162">
        <v>103731.0</v>
      </c>
      <c r="B394" s="163" t="s">
        <v>1063</v>
      </c>
      <c r="C394" s="164" t="s">
        <v>1064</v>
      </c>
      <c r="D394" s="165">
        <v>45201.0</v>
      </c>
      <c r="E394" s="164" t="s">
        <v>51</v>
      </c>
      <c r="F394" s="161"/>
      <c r="G394" s="161"/>
      <c r="H394" s="159">
        <v>5.0</v>
      </c>
      <c r="I394" s="159">
        <v>5.0</v>
      </c>
      <c r="J394" s="159">
        <v>5.0</v>
      </c>
      <c r="K394" s="159">
        <v>5.0</v>
      </c>
      <c r="L394" s="159">
        <v>5.0</v>
      </c>
      <c r="M394" s="159">
        <v>5.0</v>
      </c>
      <c r="N394" s="159">
        <v>5.0</v>
      </c>
      <c r="O394" s="159">
        <v>5.0</v>
      </c>
      <c r="P394" s="159">
        <v>5.0</v>
      </c>
      <c r="Q394" s="159">
        <v>5.0</v>
      </c>
      <c r="R394" s="159">
        <v>5.0</v>
      </c>
      <c r="S394" s="159">
        <v>4.2</v>
      </c>
      <c r="T394" s="159">
        <v>4.2</v>
      </c>
      <c r="U394" s="159">
        <v>4.2</v>
      </c>
      <c r="V394" s="159">
        <v>4.2</v>
      </c>
      <c r="W394" s="159">
        <v>4.2</v>
      </c>
      <c r="X394" s="161"/>
      <c r="Y394" s="161"/>
      <c r="Z394" s="161"/>
      <c r="AA394" s="161"/>
      <c r="AB394" s="161"/>
      <c r="AC394" s="159">
        <v>4.733333333333333</v>
      </c>
      <c r="AD394" s="159"/>
    </row>
    <row r="395">
      <c r="A395" s="162">
        <v>103745.0</v>
      </c>
      <c r="B395" s="163" t="s">
        <v>1065</v>
      </c>
      <c r="C395" s="164" t="s">
        <v>1066</v>
      </c>
      <c r="D395" s="165">
        <v>45201.0</v>
      </c>
      <c r="E395" s="164" t="s">
        <v>87</v>
      </c>
      <c r="F395" s="161"/>
      <c r="G395" s="161"/>
      <c r="H395" s="159">
        <v>5.0</v>
      </c>
      <c r="I395" s="159">
        <v>5.0</v>
      </c>
      <c r="J395" s="159">
        <v>5.0</v>
      </c>
      <c r="K395" s="159">
        <v>5.0</v>
      </c>
      <c r="L395" s="159">
        <v>5.0</v>
      </c>
      <c r="M395" s="159">
        <v>5.0</v>
      </c>
      <c r="N395" s="171"/>
      <c r="O395" s="171"/>
      <c r="P395" s="171"/>
      <c r="Q395" s="171"/>
      <c r="R395" s="171"/>
      <c r="S395" s="159">
        <v>4.2</v>
      </c>
      <c r="T395" s="159">
        <v>4.2</v>
      </c>
      <c r="U395" s="159">
        <v>4.2</v>
      </c>
      <c r="V395" s="159">
        <v>4.2</v>
      </c>
      <c r="W395" s="159">
        <v>4.2</v>
      </c>
      <c r="X395" s="161"/>
      <c r="Y395" s="161"/>
      <c r="Z395" s="161"/>
      <c r="AA395" s="161"/>
      <c r="AB395" s="161"/>
      <c r="AC395" s="159">
        <v>4.6</v>
      </c>
      <c r="AD395" s="171"/>
    </row>
    <row r="396">
      <c r="A396" s="162">
        <v>103791.0</v>
      </c>
      <c r="B396" s="163" t="s">
        <v>1067</v>
      </c>
      <c r="C396" s="164" t="s">
        <v>1068</v>
      </c>
      <c r="D396" s="165">
        <v>45203.0</v>
      </c>
      <c r="E396" s="164" t="s">
        <v>156</v>
      </c>
      <c r="F396" s="161"/>
      <c r="G396" s="161"/>
      <c r="H396" s="159">
        <v>5.0</v>
      </c>
      <c r="I396" s="159">
        <v>5.0</v>
      </c>
      <c r="J396" s="159">
        <v>5.0</v>
      </c>
      <c r="K396" s="159">
        <v>5.0</v>
      </c>
      <c r="L396" s="159">
        <v>5.0</v>
      </c>
      <c r="M396" s="159">
        <v>5.0</v>
      </c>
      <c r="N396" s="171"/>
      <c r="O396" s="171"/>
      <c r="P396" s="171"/>
      <c r="Q396" s="171"/>
      <c r="R396" s="171"/>
      <c r="S396" s="159">
        <v>4.5</v>
      </c>
      <c r="T396" s="159">
        <v>4.5</v>
      </c>
      <c r="U396" s="159">
        <v>4.5</v>
      </c>
      <c r="V396" s="159">
        <v>4.5</v>
      </c>
      <c r="W396" s="159">
        <v>4.5</v>
      </c>
      <c r="X396" s="161"/>
      <c r="Y396" s="161"/>
      <c r="Z396" s="161"/>
      <c r="AA396" s="161"/>
      <c r="AB396" s="161"/>
      <c r="AC396" s="159">
        <v>4.75</v>
      </c>
      <c r="AD396" s="171"/>
    </row>
    <row r="397">
      <c r="A397" s="162">
        <v>103795.0</v>
      </c>
      <c r="B397" s="163" t="s">
        <v>1069</v>
      </c>
      <c r="C397" s="164" t="s">
        <v>1070</v>
      </c>
      <c r="D397" s="165">
        <v>45205.0</v>
      </c>
      <c r="E397" s="164" t="s">
        <v>295</v>
      </c>
      <c r="F397" s="161"/>
      <c r="G397" s="161"/>
      <c r="H397" s="159">
        <v>5.0</v>
      </c>
      <c r="I397" s="159">
        <v>5.0</v>
      </c>
      <c r="J397" s="159">
        <v>5.0</v>
      </c>
      <c r="K397" s="159">
        <v>5.0</v>
      </c>
      <c r="L397" s="159">
        <v>5.0</v>
      </c>
      <c r="M397" s="159">
        <v>5.0</v>
      </c>
      <c r="N397" s="159">
        <v>5.0</v>
      </c>
      <c r="O397" s="159">
        <v>5.0</v>
      </c>
      <c r="P397" s="159">
        <v>5.0</v>
      </c>
      <c r="Q397" s="159">
        <v>5.0</v>
      </c>
      <c r="R397" s="159">
        <v>5.0</v>
      </c>
      <c r="S397" s="159">
        <v>4.49</v>
      </c>
      <c r="T397" s="159">
        <v>4.49</v>
      </c>
      <c r="U397" s="159">
        <v>4.49</v>
      </c>
      <c r="V397" s="159">
        <v>4.49</v>
      </c>
      <c r="W397" s="159">
        <v>4.49</v>
      </c>
      <c r="X397" s="161"/>
      <c r="Y397" s="161"/>
      <c r="Z397" s="161"/>
      <c r="AA397" s="161"/>
      <c r="AB397" s="161"/>
      <c r="AC397" s="159">
        <v>4.83</v>
      </c>
      <c r="AD397" s="159"/>
    </row>
    <row r="398">
      <c r="A398" s="162">
        <v>103729.0</v>
      </c>
      <c r="B398" s="163" t="s">
        <v>1071</v>
      </c>
      <c r="C398" s="164" t="s">
        <v>1072</v>
      </c>
      <c r="D398" s="165">
        <v>45205.0</v>
      </c>
      <c r="E398" s="164" t="s">
        <v>295</v>
      </c>
      <c r="F398" s="161"/>
      <c r="G398" s="161"/>
      <c r="H398" s="159">
        <v>5.0</v>
      </c>
      <c r="I398" s="159">
        <v>5.0</v>
      </c>
      <c r="J398" s="159">
        <v>5.0</v>
      </c>
      <c r="K398" s="159">
        <v>5.0</v>
      </c>
      <c r="L398" s="159">
        <v>5.0</v>
      </c>
      <c r="M398" s="159">
        <v>5.0</v>
      </c>
      <c r="N398" s="159">
        <v>5.0</v>
      </c>
      <c r="O398" s="159">
        <v>5.0</v>
      </c>
      <c r="P398" s="159">
        <v>5.0</v>
      </c>
      <c r="Q398" s="159">
        <v>5.0</v>
      </c>
      <c r="R398" s="159">
        <v>5.0</v>
      </c>
      <c r="S398" s="159">
        <v>4.49</v>
      </c>
      <c r="T398" s="159">
        <v>4.49</v>
      </c>
      <c r="U398" s="159">
        <v>4.49</v>
      </c>
      <c r="V398" s="159">
        <v>4.49</v>
      </c>
      <c r="W398" s="159">
        <v>4.49</v>
      </c>
      <c r="X398" s="161"/>
      <c r="Y398" s="161"/>
      <c r="Z398" s="161"/>
      <c r="AA398" s="161"/>
      <c r="AB398" s="161"/>
      <c r="AC398" s="159">
        <v>4.83</v>
      </c>
      <c r="AD398" s="159"/>
    </row>
    <row r="399">
      <c r="A399" s="162">
        <v>103696.0</v>
      </c>
      <c r="B399" s="163" t="s">
        <v>1073</v>
      </c>
      <c r="C399" s="164" t="s">
        <v>1074</v>
      </c>
      <c r="D399" s="165">
        <v>45205.0</v>
      </c>
      <c r="E399" s="164" t="s">
        <v>1054</v>
      </c>
      <c r="F399" s="161"/>
      <c r="G399" s="161"/>
      <c r="H399" s="159">
        <v>5.0</v>
      </c>
      <c r="I399" s="159">
        <v>5.0</v>
      </c>
      <c r="J399" s="159">
        <v>5.0</v>
      </c>
      <c r="K399" s="159">
        <v>5.0</v>
      </c>
      <c r="L399" s="159">
        <v>5.0</v>
      </c>
      <c r="M399" s="159">
        <v>5.0</v>
      </c>
      <c r="N399" s="159">
        <v>5.0</v>
      </c>
      <c r="O399" s="159">
        <v>5.0</v>
      </c>
      <c r="P399" s="159">
        <v>5.0</v>
      </c>
      <c r="Q399" s="159">
        <v>5.0</v>
      </c>
      <c r="R399" s="159">
        <v>5.0</v>
      </c>
      <c r="S399" s="159">
        <v>4.5</v>
      </c>
      <c r="T399" s="159">
        <v>4.5</v>
      </c>
      <c r="U399" s="159">
        <v>4.5</v>
      </c>
      <c r="V399" s="159">
        <v>4.5</v>
      </c>
      <c r="W399" s="159">
        <v>4.5</v>
      </c>
      <c r="X399" s="161"/>
      <c r="Y399" s="161"/>
      <c r="Z399" s="161"/>
      <c r="AA399" s="161"/>
      <c r="AB399" s="161"/>
      <c r="AC399" s="159">
        <v>4.833333333333333</v>
      </c>
      <c r="AD399" s="159"/>
    </row>
    <row r="400">
      <c r="A400" s="162">
        <v>103800.0</v>
      </c>
      <c r="B400" s="163" t="s">
        <v>1075</v>
      </c>
      <c r="C400" s="164" t="s">
        <v>1076</v>
      </c>
      <c r="D400" s="165">
        <v>45205.0</v>
      </c>
      <c r="E400" s="164" t="s">
        <v>87</v>
      </c>
      <c r="F400" s="161"/>
      <c r="G400" s="161"/>
      <c r="H400" s="159">
        <v>4.0</v>
      </c>
      <c r="I400" s="159">
        <v>3.0</v>
      </c>
      <c r="J400" s="159">
        <v>4.0</v>
      </c>
      <c r="K400" s="159">
        <v>4.0</v>
      </c>
      <c r="L400" s="159">
        <v>4.0</v>
      </c>
      <c r="M400" s="159">
        <v>3.8</v>
      </c>
      <c r="N400" s="159">
        <v>4.0</v>
      </c>
      <c r="O400" s="159">
        <v>3.0</v>
      </c>
      <c r="P400" s="159">
        <v>4.0</v>
      </c>
      <c r="Q400" s="159">
        <v>4.0</v>
      </c>
      <c r="R400" s="159">
        <v>3.75</v>
      </c>
      <c r="S400" s="159">
        <v>5.0</v>
      </c>
      <c r="T400" s="159">
        <v>5.0</v>
      </c>
      <c r="U400" s="159">
        <v>5.0</v>
      </c>
      <c r="V400" s="159">
        <v>5.0</v>
      </c>
      <c r="W400" s="159">
        <v>5.0</v>
      </c>
      <c r="X400" s="161"/>
      <c r="Y400" s="161"/>
      <c r="Z400" s="161"/>
      <c r="AA400" s="161"/>
      <c r="AB400" s="161"/>
      <c r="AC400" s="159">
        <v>4.183333333333334</v>
      </c>
      <c r="AD400" s="159"/>
    </row>
    <row r="401">
      <c r="A401" s="162">
        <v>103790.0</v>
      </c>
      <c r="B401" s="163" t="s">
        <v>1077</v>
      </c>
      <c r="C401" s="164" t="s">
        <v>1078</v>
      </c>
      <c r="D401" s="165">
        <v>45205.0</v>
      </c>
      <c r="E401" s="164" t="s">
        <v>1079</v>
      </c>
      <c r="F401" s="161"/>
      <c r="G401" s="161"/>
      <c r="H401" s="159">
        <v>5.0</v>
      </c>
      <c r="I401" s="159">
        <v>5.0</v>
      </c>
      <c r="J401" s="159">
        <v>5.0</v>
      </c>
      <c r="K401" s="159">
        <v>5.0</v>
      </c>
      <c r="L401" s="159">
        <v>5.0</v>
      </c>
      <c r="M401" s="159">
        <v>5.0</v>
      </c>
      <c r="N401" s="171"/>
      <c r="O401" s="171"/>
      <c r="P401" s="171"/>
      <c r="Q401" s="171"/>
      <c r="R401" s="171"/>
      <c r="S401" s="159">
        <v>4.2</v>
      </c>
      <c r="T401" s="159">
        <v>4.2</v>
      </c>
      <c r="U401" s="159">
        <v>4.2</v>
      </c>
      <c r="V401" s="159">
        <v>4.2</v>
      </c>
      <c r="W401" s="159">
        <v>4.2</v>
      </c>
      <c r="X401" s="161"/>
      <c r="Y401" s="161"/>
      <c r="Z401" s="161"/>
      <c r="AA401" s="161"/>
      <c r="AB401" s="161"/>
      <c r="AC401" s="159">
        <v>4.6</v>
      </c>
      <c r="AD401" s="171"/>
    </row>
    <row r="402">
      <c r="A402" s="162">
        <v>103792.0</v>
      </c>
      <c r="B402" s="163" t="s">
        <v>1080</v>
      </c>
      <c r="C402" s="164" t="s">
        <v>1081</v>
      </c>
      <c r="D402" s="165">
        <v>45205.0</v>
      </c>
      <c r="E402" s="164" t="s">
        <v>483</v>
      </c>
      <c r="F402" s="161"/>
      <c r="G402" s="161"/>
      <c r="H402" s="159">
        <v>5.0</v>
      </c>
      <c r="I402" s="159">
        <v>5.0</v>
      </c>
      <c r="J402" s="159">
        <v>5.0</v>
      </c>
      <c r="K402" s="159">
        <v>5.0</v>
      </c>
      <c r="L402" s="159">
        <v>5.0</v>
      </c>
      <c r="M402" s="159">
        <v>5.0</v>
      </c>
      <c r="N402" s="171"/>
      <c r="O402" s="171"/>
      <c r="P402" s="171"/>
      <c r="Q402" s="171"/>
      <c r="R402" s="171"/>
      <c r="S402" s="159">
        <v>4.2</v>
      </c>
      <c r="T402" s="159">
        <v>4.2</v>
      </c>
      <c r="U402" s="159">
        <v>4.2</v>
      </c>
      <c r="V402" s="159">
        <v>4.2</v>
      </c>
      <c r="W402" s="159">
        <v>4.2</v>
      </c>
      <c r="X402" s="161"/>
      <c r="Y402" s="161"/>
      <c r="Z402" s="161"/>
      <c r="AA402" s="161"/>
      <c r="AB402" s="161"/>
      <c r="AC402" s="159">
        <v>4.6</v>
      </c>
      <c r="AD402" s="171"/>
    </row>
    <row r="403">
      <c r="A403" s="162">
        <v>103831.0</v>
      </c>
      <c r="B403" s="163" t="s">
        <v>1082</v>
      </c>
      <c r="C403" s="164" t="s">
        <v>1083</v>
      </c>
      <c r="D403" s="165">
        <v>45212.0</v>
      </c>
      <c r="E403" s="164" t="s">
        <v>295</v>
      </c>
      <c r="F403" s="161"/>
      <c r="G403" s="161"/>
      <c r="H403" s="159">
        <v>5.0</v>
      </c>
      <c r="I403" s="159">
        <v>5.0</v>
      </c>
      <c r="J403" s="159">
        <v>5.0</v>
      </c>
      <c r="K403" s="159">
        <v>5.0</v>
      </c>
      <c r="L403" s="159">
        <v>5.0</v>
      </c>
      <c r="M403" s="159">
        <v>5.0</v>
      </c>
      <c r="N403" s="159">
        <v>5.0</v>
      </c>
      <c r="O403" s="159">
        <v>5.0</v>
      </c>
      <c r="P403" s="159">
        <v>5.0</v>
      </c>
      <c r="Q403" s="159">
        <v>5.0</v>
      </c>
      <c r="R403" s="159">
        <v>5.0</v>
      </c>
      <c r="S403" s="159">
        <v>4.49</v>
      </c>
      <c r="T403" s="159">
        <v>4.49</v>
      </c>
      <c r="U403" s="159">
        <v>4.49</v>
      </c>
      <c r="V403" s="159">
        <v>4.49</v>
      </c>
      <c r="W403" s="159">
        <v>4.49</v>
      </c>
      <c r="X403" s="161"/>
      <c r="Y403" s="161"/>
      <c r="Z403" s="161"/>
      <c r="AA403" s="161"/>
      <c r="AB403" s="161"/>
      <c r="AC403" s="159">
        <v>4.83</v>
      </c>
      <c r="AD403" s="159"/>
    </row>
    <row r="404">
      <c r="A404" s="162">
        <v>103828.0</v>
      </c>
      <c r="B404" s="163" t="s">
        <v>1084</v>
      </c>
      <c r="C404" s="164" t="s">
        <v>1085</v>
      </c>
      <c r="D404" s="165">
        <v>45212.0</v>
      </c>
      <c r="E404" s="164" t="s">
        <v>51</v>
      </c>
      <c r="F404" s="161"/>
      <c r="G404" s="161"/>
      <c r="H404" s="159">
        <v>5.0</v>
      </c>
      <c r="I404" s="159">
        <v>5.0</v>
      </c>
      <c r="J404" s="159">
        <v>5.0</v>
      </c>
      <c r="K404" s="159">
        <v>5.0</v>
      </c>
      <c r="L404" s="159">
        <v>5.0</v>
      </c>
      <c r="M404" s="159">
        <v>5.0</v>
      </c>
      <c r="N404" s="159">
        <v>5.0</v>
      </c>
      <c r="O404" s="159">
        <v>5.0</v>
      </c>
      <c r="P404" s="159">
        <v>5.0</v>
      </c>
      <c r="Q404" s="159">
        <v>5.0</v>
      </c>
      <c r="R404" s="159">
        <v>5.0</v>
      </c>
      <c r="S404" s="159">
        <v>4.5</v>
      </c>
      <c r="T404" s="159">
        <v>4.5</v>
      </c>
      <c r="U404" s="159">
        <v>4.5</v>
      </c>
      <c r="V404" s="159">
        <v>4.5</v>
      </c>
      <c r="W404" s="159">
        <v>4.5</v>
      </c>
      <c r="X404" s="161"/>
      <c r="Y404" s="161"/>
      <c r="Z404" s="161"/>
      <c r="AA404" s="161"/>
      <c r="AB404" s="161"/>
      <c r="AC404" s="159">
        <v>4.833333333333333</v>
      </c>
      <c r="AD404" s="159"/>
    </row>
    <row r="405">
      <c r="A405" s="162">
        <v>103827.0</v>
      </c>
      <c r="B405" s="163" t="s">
        <v>1086</v>
      </c>
      <c r="C405" s="164" t="s">
        <v>1087</v>
      </c>
      <c r="D405" s="165">
        <v>45212.0</v>
      </c>
      <c r="E405" s="164" t="s">
        <v>87</v>
      </c>
      <c r="F405" s="161"/>
      <c r="G405" s="161"/>
      <c r="H405" s="159">
        <v>5.0</v>
      </c>
      <c r="I405" s="159">
        <v>5.0</v>
      </c>
      <c r="J405" s="159">
        <v>5.0</v>
      </c>
      <c r="K405" s="159">
        <v>5.0</v>
      </c>
      <c r="L405" s="159">
        <v>5.0</v>
      </c>
      <c r="M405" s="159">
        <v>5.0</v>
      </c>
      <c r="N405" s="159">
        <v>5.0</v>
      </c>
      <c r="O405" s="159">
        <v>5.0</v>
      </c>
      <c r="P405" s="159">
        <v>5.0</v>
      </c>
      <c r="Q405" s="159">
        <v>5.0</v>
      </c>
      <c r="R405" s="159">
        <v>5.0</v>
      </c>
      <c r="S405" s="159">
        <v>5.0</v>
      </c>
      <c r="T405" s="159">
        <v>5.0</v>
      </c>
      <c r="U405" s="159">
        <v>5.0</v>
      </c>
      <c r="V405" s="159">
        <v>5.0</v>
      </c>
      <c r="W405" s="159">
        <v>5.0</v>
      </c>
      <c r="X405" s="161"/>
      <c r="Y405" s="161"/>
      <c r="Z405" s="161"/>
      <c r="AA405" s="161"/>
      <c r="AB405" s="161"/>
      <c r="AC405" s="159">
        <v>5.0</v>
      </c>
      <c r="AD405" s="159"/>
    </row>
    <row r="406">
      <c r="A406" s="162">
        <v>103728.0</v>
      </c>
      <c r="B406" s="163" t="s">
        <v>1088</v>
      </c>
      <c r="C406" s="164" t="s">
        <v>1089</v>
      </c>
      <c r="D406" s="165">
        <v>45213.0</v>
      </c>
      <c r="E406" s="164" t="s">
        <v>87</v>
      </c>
      <c r="F406" s="161"/>
      <c r="G406" s="161"/>
      <c r="H406" s="159">
        <v>4.0</v>
      </c>
      <c r="I406" s="159">
        <v>3.5</v>
      </c>
      <c r="J406" s="159">
        <v>4.0</v>
      </c>
      <c r="K406" s="159">
        <v>4.0</v>
      </c>
      <c r="L406" s="159">
        <v>4.0</v>
      </c>
      <c r="M406" s="159">
        <v>3.9</v>
      </c>
      <c r="N406" s="159">
        <v>4.0</v>
      </c>
      <c r="O406" s="159">
        <v>3.5</v>
      </c>
      <c r="P406" s="159">
        <v>4.0</v>
      </c>
      <c r="Q406" s="159">
        <v>4.0</v>
      </c>
      <c r="R406" s="159">
        <v>3.875</v>
      </c>
      <c r="S406" s="159">
        <v>5.0</v>
      </c>
      <c r="T406" s="159">
        <v>5.0</v>
      </c>
      <c r="U406" s="159">
        <v>5.0</v>
      </c>
      <c r="V406" s="159">
        <v>5.0</v>
      </c>
      <c r="W406" s="159">
        <v>5.0</v>
      </c>
      <c r="X406" s="161"/>
      <c r="Y406" s="161"/>
      <c r="Z406" s="161"/>
      <c r="AA406" s="161"/>
      <c r="AB406" s="161"/>
      <c r="AC406" s="159">
        <v>4.258333333333334</v>
      </c>
      <c r="AD406" s="159"/>
    </row>
    <row r="407">
      <c r="A407" s="162">
        <v>103793.0</v>
      </c>
      <c r="B407" s="163" t="s">
        <v>1090</v>
      </c>
      <c r="C407" s="164" t="s">
        <v>1091</v>
      </c>
      <c r="D407" s="165">
        <v>45213.0</v>
      </c>
      <c r="E407" s="164" t="s">
        <v>87</v>
      </c>
      <c r="F407" s="161"/>
      <c r="G407" s="161"/>
      <c r="H407" s="159">
        <v>4.0</v>
      </c>
      <c r="I407" s="159">
        <v>4.0</v>
      </c>
      <c r="J407" s="159">
        <v>4.0</v>
      </c>
      <c r="K407" s="159">
        <v>4.0</v>
      </c>
      <c r="L407" s="159">
        <v>4.0</v>
      </c>
      <c r="M407" s="159">
        <v>4.0</v>
      </c>
      <c r="N407" s="159">
        <v>4.0</v>
      </c>
      <c r="O407" s="159">
        <v>4.0</v>
      </c>
      <c r="P407" s="159">
        <v>4.0</v>
      </c>
      <c r="Q407" s="159">
        <v>4.0</v>
      </c>
      <c r="R407" s="159">
        <v>4.0</v>
      </c>
      <c r="S407" s="159">
        <v>5.0</v>
      </c>
      <c r="T407" s="159">
        <v>5.0</v>
      </c>
      <c r="U407" s="159">
        <v>5.0</v>
      </c>
      <c r="V407" s="159">
        <v>5.0</v>
      </c>
      <c r="W407" s="159">
        <v>5.0</v>
      </c>
      <c r="X407" s="161"/>
      <c r="Y407" s="161"/>
      <c r="Z407" s="161"/>
      <c r="AA407" s="161"/>
      <c r="AB407" s="161"/>
      <c r="AC407" s="159">
        <v>4.333333333333333</v>
      </c>
      <c r="AD407" s="159"/>
    </row>
    <row r="408">
      <c r="A408" s="162">
        <v>103815.0</v>
      </c>
      <c r="B408" s="163" t="s">
        <v>1092</v>
      </c>
      <c r="C408" s="164" t="s">
        <v>1093</v>
      </c>
      <c r="D408" s="165">
        <v>45213.0</v>
      </c>
      <c r="E408" s="164" t="s">
        <v>87</v>
      </c>
      <c r="F408" s="161"/>
      <c r="G408" s="161"/>
      <c r="H408" s="159">
        <v>5.0</v>
      </c>
      <c r="I408" s="159">
        <v>5.0</v>
      </c>
      <c r="J408" s="159">
        <v>5.0</v>
      </c>
      <c r="K408" s="159">
        <v>5.0</v>
      </c>
      <c r="L408" s="159">
        <v>5.0</v>
      </c>
      <c r="M408" s="159">
        <v>5.0</v>
      </c>
      <c r="N408" s="159">
        <v>5.0</v>
      </c>
      <c r="O408" s="159">
        <v>5.0</v>
      </c>
      <c r="P408" s="159">
        <v>5.0</v>
      </c>
      <c r="Q408" s="159">
        <v>5.0</v>
      </c>
      <c r="R408" s="159">
        <v>5.0</v>
      </c>
      <c r="S408" s="159">
        <v>5.0</v>
      </c>
      <c r="T408" s="159">
        <v>5.0</v>
      </c>
      <c r="U408" s="159">
        <v>5.0</v>
      </c>
      <c r="V408" s="159">
        <v>5.0</v>
      </c>
      <c r="W408" s="159">
        <v>5.0</v>
      </c>
      <c r="X408" s="161"/>
      <c r="Y408" s="161"/>
      <c r="Z408" s="161"/>
      <c r="AA408" s="161"/>
      <c r="AB408" s="161"/>
      <c r="AC408" s="159">
        <v>5.0</v>
      </c>
      <c r="AD408" s="159"/>
    </row>
    <row r="409">
      <c r="A409" s="162">
        <v>103798.0</v>
      </c>
      <c r="B409" s="163" t="s">
        <v>1094</v>
      </c>
      <c r="C409" s="164" t="s">
        <v>1095</v>
      </c>
      <c r="D409" s="165">
        <v>45215.0</v>
      </c>
      <c r="E409" s="164" t="s">
        <v>557</v>
      </c>
      <c r="F409" s="161"/>
      <c r="G409" s="161"/>
      <c r="H409" s="159">
        <v>5.0</v>
      </c>
      <c r="I409" s="159">
        <v>5.0</v>
      </c>
      <c r="J409" s="159">
        <v>5.0</v>
      </c>
      <c r="K409" s="159">
        <v>5.0</v>
      </c>
      <c r="L409" s="159">
        <v>5.0</v>
      </c>
      <c r="M409" s="159">
        <v>5.0</v>
      </c>
      <c r="N409" s="159">
        <v>5.0</v>
      </c>
      <c r="O409" s="159">
        <v>5.0</v>
      </c>
      <c r="P409" s="159">
        <v>5.0</v>
      </c>
      <c r="Q409" s="159">
        <v>5.0</v>
      </c>
      <c r="R409" s="159">
        <v>5.0</v>
      </c>
      <c r="S409" s="159">
        <v>5.0</v>
      </c>
      <c r="T409" s="159">
        <v>5.0</v>
      </c>
      <c r="U409" s="159">
        <v>5.0</v>
      </c>
      <c r="V409" s="159">
        <v>5.0</v>
      </c>
      <c r="W409" s="159">
        <v>5.0</v>
      </c>
      <c r="X409" s="161"/>
      <c r="Y409" s="161"/>
      <c r="Z409" s="161"/>
      <c r="AA409" s="161"/>
      <c r="AB409" s="161"/>
      <c r="AC409" s="159">
        <v>5.0</v>
      </c>
      <c r="AD409" s="159"/>
    </row>
    <row r="410">
      <c r="A410" s="162">
        <v>103825.0</v>
      </c>
      <c r="B410" s="163" t="s">
        <v>1096</v>
      </c>
      <c r="C410" s="164" t="s">
        <v>1097</v>
      </c>
      <c r="D410" s="165">
        <v>45216.0</v>
      </c>
      <c r="E410" s="164" t="s">
        <v>1098</v>
      </c>
      <c r="F410" s="161"/>
      <c r="G410" s="161"/>
      <c r="H410" s="159">
        <v>4.0</v>
      </c>
      <c r="I410" s="159">
        <v>4.0</v>
      </c>
      <c r="J410" s="159">
        <v>4.0</v>
      </c>
      <c r="K410" s="159">
        <v>4.0</v>
      </c>
      <c r="L410" s="159">
        <v>4.0</v>
      </c>
      <c r="M410" s="159">
        <v>4.0</v>
      </c>
      <c r="N410" s="159">
        <v>4.0</v>
      </c>
      <c r="O410" s="159">
        <v>4.0</v>
      </c>
      <c r="P410" s="159">
        <v>4.0</v>
      </c>
      <c r="Q410" s="159">
        <v>4.0</v>
      </c>
      <c r="R410" s="159">
        <v>4.0</v>
      </c>
      <c r="S410" s="159">
        <v>4.0</v>
      </c>
      <c r="T410" s="159">
        <v>4.0</v>
      </c>
      <c r="U410" s="159">
        <v>4.0</v>
      </c>
      <c r="V410" s="159">
        <v>4.0</v>
      </c>
      <c r="W410" s="159">
        <v>4.0</v>
      </c>
      <c r="X410" s="161"/>
      <c r="Y410" s="161"/>
      <c r="Z410" s="161"/>
      <c r="AA410" s="161"/>
      <c r="AB410" s="161"/>
      <c r="AC410" s="159">
        <v>4.0</v>
      </c>
      <c r="AD410" s="159"/>
    </row>
    <row r="411">
      <c r="A411" s="162">
        <v>103827.0</v>
      </c>
      <c r="B411" s="163" t="s">
        <v>1099</v>
      </c>
      <c r="C411" s="164" t="s">
        <v>1087</v>
      </c>
      <c r="D411" s="165">
        <v>45217.0</v>
      </c>
      <c r="E411" s="164" t="s">
        <v>380</v>
      </c>
      <c r="F411" s="161"/>
      <c r="G411" s="161"/>
      <c r="H411" s="159">
        <v>5.0</v>
      </c>
      <c r="I411" s="159">
        <v>5.0</v>
      </c>
      <c r="J411" s="159">
        <v>5.0</v>
      </c>
      <c r="K411" s="159">
        <v>5.0</v>
      </c>
      <c r="L411" s="159">
        <v>5.0</v>
      </c>
      <c r="M411" s="159">
        <v>5.0</v>
      </c>
      <c r="N411" s="159">
        <v>5.0</v>
      </c>
      <c r="O411" s="159">
        <v>5.0</v>
      </c>
      <c r="P411" s="159">
        <v>5.0</v>
      </c>
      <c r="Q411" s="159">
        <v>5.0</v>
      </c>
      <c r="R411" s="159">
        <v>5.0</v>
      </c>
      <c r="S411" s="159">
        <v>5.0</v>
      </c>
      <c r="T411" s="159">
        <v>5.0</v>
      </c>
      <c r="U411" s="159">
        <v>5.0</v>
      </c>
      <c r="V411" s="159">
        <v>5.0</v>
      </c>
      <c r="W411" s="159">
        <v>5.0</v>
      </c>
      <c r="X411" s="161"/>
      <c r="Y411" s="161"/>
      <c r="Z411" s="161"/>
      <c r="AA411" s="161"/>
      <c r="AB411" s="161"/>
      <c r="AC411" s="159">
        <v>5.0</v>
      </c>
      <c r="AD411" s="159"/>
    </row>
    <row r="412">
      <c r="A412" s="162">
        <v>103850.0</v>
      </c>
      <c r="B412" s="163" t="s">
        <v>1100</v>
      </c>
      <c r="C412" s="164" t="s">
        <v>1101</v>
      </c>
      <c r="D412" s="165">
        <v>45217.0</v>
      </c>
      <c r="E412" s="164" t="s">
        <v>225</v>
      </c>
      <c r="F412" s="161"/>
      <c r="G412" s="161"/>
      <c r="H412" s="159">
        <v>5.0</v>
      </c>
      <c r="I412" s="159">
        <v>5.0</v>
      </c>
      <c r="J412" s="159">
        <v>5.0</v>
      </c>
      <c r="K412" s="159">
        <v>5.0</v>
      </c>
      <c r="L412" s="159">
        <v>5.0</v>
      </c>
      <c r="M412" s="159">
        <v>5.0</v>
      </c>
      <c r="N412" s="159">
        <v>5.0</v>
      </c>
      <c r="O412" s="159">
        <v>5.0</v>
      </c>
      <c r="P412" s="159">
        <v>5.0</v>
      </c>
      <c r="Q412" s="159">
        <v>5.0</v>
      </c>
      <c r="R412" s="159">
        <v>5.0</v>
      </c>
      <c r="S412" s="159">
        <v>5.0</v>
      </c>
      <c r="T412" s="159">
        <v>5.0</v>
      </c>
      <c r="U412" s="159">
        <v>5.0</v>
      </c>
      <c r="V412" s="159">
        <v>5.0</v>
      </c>
      <c r="W412" s="159">
        <v>5.0</v>
      </c>
      <c r="X412" s="161"/>
      <c r="Y412" s="161"/>
      <c r="Z412" s="161"/>
      <c r="AA412" s="161"/>
      <c r="AB412" s="161"/>
      <c r="AC412" s="159">
        <v>5.0</v>
      </c>
      <c r="AD412" s="159"/>
    </row>
    <row r="413">
      <c r="A413" s="162">
        <v>103836.0</v>
      </c>
      <c r="B413" s="163" t="s">
        <v>1102</v>
      </c>
      <c r="C413" s="164" t="s">
        <v>1103</v>
      </c>
      <c r="D413" s="165">
        <v>45218.0</v>
      </c>
      <c r="E413" s="164" t="s">
        <v>380</v>
      </c>
      <c r="F413" s="161"/>
      <c r="G413" s="161"/>
      <c r="H413" s="159">
        <v>5.0</v>
      </c>
      <c r="I413" s="159">
        <v>5.0</v>
      </c>
      <c r="J413" s="159">
        <v>5.0</v>
      </c>
      <c r="K413" s="159">
        <v>5.0</v>
      </c>
      <c r="L413" s="159">
        <v>5.0</v>
      </c>
      <c r="M413" s="159">
        <v>5.0</v>
      </c>
      <c r="N413" s="159">
        <v>5.0</v>
      </c>
      <c r="O413" s="159">
        <v>5.0</v>
      </c>
      <c r="P413" s="159">
        <v>5.0</v>
      </c>
      <c r="Q413" s="159">
        <v>5.0</v>
      </c>
      <c r="R413" s="159">
        <v>5.0</v>
      </c>
      <c r="S413" s="159">
        <v>5.0</v>
      </c>
      <c r="T413" s="159">
        <v>5.0</v>
      </c>
      <c r="U413" s="159">
        <v>5.0</v>
      </c>
      <c r="V413" s="159">
        <v>5.0</v>
      </c>
      <c r="W413" s="159">
        <v>5.0</v>
      </c>
      <c r="X413" s="161"/>
      <c r="Y413" s="161"/>
      <c r="Z413" s="161"/>
      <c r="AA413" s="161"/>
      <c r="AB413" s="161"/>
      <c r="AC413" s="159">
        <v>5.0</v>
      </c>
      <c r="AD413" s="159"/>
    </row>
    <row r="414">
      <c r="A414" s="162">
        <v>103835.0</v>
      </c>
      <c r="B414" s="163" t="s">
        <v>1104</v>
      </c>
      <c r="C414" s="164" t="s">
        <v>1105</v>
      </c>
      <c r="D414" s="165">
        <v>45225.0</v>
      </c>
      <c r="E414" s="164" t="s">
        <v>360</v>
      </c>
      <c r="F414" s="161"/>
      <c r="G414" s="161"/>
      <c r="H414" s="159">
        <v>5.0</v>
      </c>
      <c r="I414" s="159">
        <v>5.0</v>
      </c>
      <c r="J414" s="159">
        <v>5.0</v>
      </c>
      <c r="K414" s="159">
        <v>5.0</v>
      </c>
      <c r="L414" s="159">
        <v>5.0</v>
      </c>
      <c r="M414" s="159">
        <v>5.0</v>
      </c>
      <c r="N414" s="159">
        <v>5.0</v>
      </c>
      <c r="O414" s="159">
        <v>5.0</v>
      </c>
      <c r="P414" s="159">
        <v>5.0</v>
      </c>
      <c r="Q414" s="159">
        <v>5.0</v>
      </c>
      <c r="R414" s="159">
        <v>5.0</v>
      </c>
      <c r="S414" s="159">
        <v>5.0</v>
      </c>
      <c r="T414" s="159">
        <v>5.0</v>
      </c>
      <c r="U414" s="159">
        <v>5.0</v>
      </c>
      <c r="V414" s="159">
        <v>5.0</v>
      </c>
      <c r="W414" s="159">
        <v>5.0</v>
      </c>
      <c r="X414" s="161"/>
      <c r="Y414" s="161"/>
      <c r="Z414" s="161"/>
      <c r="AA414" s="161"/>
      <c r="AB414" s="161"/>
      <c r="AC414" s="159">
        <v>5.0</v>
      </c>
      <c r="AD414" s="159"/>
    </row>
    <row r="415">
      <c r="A415" s="162">
        <v>103869.0</v>
      </c>
      <c r="B415" s="169"/>
      <c r="C415" s="164" t="s">
        <v>1106</v>
      </c>
      <c r="D415" s="165">
        <v>45225.0</v>
      </c>
      <c r="E415" s="164" t="s">
        <v>360</v>
      </c>
      <c r="F415" s="161"/>
      <c r="G415" s="161"/>
      <c r="H415" s="159">
        <v>5.0</v>
      </c>
      <c r="I415" s="159">
        <v>5.0</v>
      </c>
      <c r="J415" s="159">
        <v>5.0</v>
      </c>
      <c r="K415" s="159">
        <v>5.0</v>
      </c>
      <c r="L415" s="159">
        <v>5.0</v>
      </c>
      <c r="M415" s="159">
        <v>5.0</v>
      </c>
      <c r="N415" s="159">
        <v>5.0</v>
      </c>
      <c r="O415" s="159">
        <v>5.0</v>
      </c>
      <c r="P415" s="159">
        <v>5.0</v>
      </c>
      <c r="Q415" s="159">
        <v>5.0</v>
      </c>
      <c r="R415" s="159">
        <v>5.0</v>
      </c>
      <c r="S415" s="159">
        <v>5.0</v>
      </c>
      <c r="T415" s="159">
        <v>5.0</v>
      </c>
      <c r="U415" s="159">
        <v>5.0</v>
      </c>
      <c r="V415" s="159">
        <v>5.0</v>
      </c>
      <c r="W415" s="159">
        <v>5.0</v>
      </c>
      <c r="X415" s="161"/>
      <c r="Y415" s="161"/>
      <c r="Z415" s="161"/>
      <c r="AA415" s="161"/>
      <c r="AB415" s="161"/>
      <c r="AC415" s="159">
        <v>5.0</v>
      </c>
      <c r="AD415" s="159"/>
    </row>
    <row r="416">
      <c r="A416" s="162">
        <v>103898.0</v>
      </c>
      <c r="B416" s="163" t="s">
        <v>1107</v>
      </c>
      <c r="C416" s="164" t="s">
        <v>1108</v>
      </c>
      <c r="D416" s="165">
        <v>45226.0</v>
      </c>
      <c r="E416" s="164" t="s">
        <v>295</v>
      </c>
      <c r="F416" s="161"/>
      <c r="G416" s="161"/>
      <c r="H416" s="159">
        <v>5.0</v>
      </c>
      <c r="I416" s="159">
        <v>5.0</v>
      </c>
      <c r="J416" s="159">
        <v>5.0</v>
      </c>
      <c r="K416" s="159">
        <v>5.0</v>
      </c>
      <c r="L416" s="159">
        <v>5.0</v>
      </c>
      <c r="M416" s="159">
        <v>5.0</v>
      </c>
      <c r="N416" s="159">
        <v>5.0</v>
      </c>
      <c r="O416" s="159">
        <v>5.0</v>
      </c>
      <c r="P416" s="159">
        <v>5.0</v>
      </c>
      <c r="Q416" s="159">
        <v>5.0</v>
      </c>
      <c r="R416" s="159">
        <v>5.0</v>
      </c>
      <c r="S416" s="159">
        <v>4.49</v>
      </c>
      <c r="T416" s="159">
        <v>4.49</v>
      </c>
      <c r="U416" s="159">
        <v>4.49</v>
      </c>
      <c r="V416" s="159">
        <v>4.49</v>
      </c>
      <c r="W416" s="159">
        <v>4.49</v>
      </c>
      <c r="X416" s="161"/>
      <c r="Y416" s="161"/>
      <c r="Z416" s="161"/>
      <c r="AA416" s="161"/>
      <c r="AB416" s="161"/>
      <c r="AC416" s="159">
        <v>4.83</v>
      </c>
      <c r="AD416" s="159"/>
    </row>
    <row r="417">
      <c r="A417" s="162">
        <v>103915.0</v>
      </c>
      <c r="B417" s="163" t="s">
        <v>1109</v>
      </c>
      <c r="C417" s="164" t="s">
        <v>1110</v>
      </c>
      <c r="D417" s="165">
        <v>45226.0</v>
      </c>
      <c r="E417" s="164" t="s">
        <v>51</v>
      </c>
      <c r="F417" s="161"/>
      <c r="G417" s="161"/>
      <c r="H417" s="159">
        <v>4.0</v>
      </c>
      <c r="I417" s="159">
        <v>4.0</v>
      </c>
      <c r="J417" s="159">
        <v>4.0</v>
      </c>
      <c r="K417" s="159">
        <v>4.0</v>
      </c>
      <c r="L417" s="159">
        <v>4.0</v>
      </c>
      <c r="M417" s="159">
        <v>4.0</v>
      </c>
      <c r="N417" s="159">
        <v>4.0</v>
      </c>
      <c r="O417" s="159">
        <v>4.0</v>
      </c>
      <c r="P417" s="159">
        <v>4.0</v>
      </c>
      <c r="Q417" s="159">
        <v>4.0</v>
      </c>
      <c r="R417" s="159">
        <v>4.0</v>
      </c>
      <c r="S417" s="159">
        <v>4.0</v>
      </c>
      <c r="T417" s="159">
        <v>4.0</v>
      </c>
      <c r="U417" s="159">
        <v>4.0</v>
      </c>
      <c r="V417" s="159">
        <v>4.0</v>
      </c>
      <c r="W417" s="159">
        <v>4.0</v>
      </c>
      <c r="X417" s="161"/>
      <c r="Y417" s="161"/>
      <c r="Z417" s="161"/>
      <c r="AA417" s="161"/>
      <c r="AB417" s="161"/>
      <c r="AC417" s="159">
        <v>4.0</v>
      </c>
      <c r="AD417" s="159"/>
    </row>
    <row r="418">
      <c r="A418" s="162">
        <v>103817.0</v>
      </c>
      <c r="B418" s="163" t="s">
        <v>1111</v>
      </c>
      <c r="C418" s="164" t="s">
        <v>1112</v>
      </c>
      <c r="D418" s="165">
        <v>45227.0</v>
      </c>
      <c r="E418" s="164" t="s">
        <v>94</v>
      </c>
      <c r="F418" s="161"/>
      <c r="G418" s="161"/>
      <c r="H418" s="159">
        <v>5.0</v>
      </c>
      <c r="I418" s="159">
        <v>5.0</v>
      </c>
      <c r="J418" s="159">
        <v>5.0</v>
      </c>
      <c r="K418" s="159">
        <v>5.0</v>
      </c>
      <c r="L418" s="159">
        <v>5.0</v>
      </c>
      <c r="M418" s="159">
        <v>5.0</v>
      </c>
      <c r="N418" s="159">
        <v>5.0</v>
      </c>
      <c r="O418" s="159">
        <v>5.0</v>
      </c>
      <c r="P418" s="159">
        <v>5.0</v>
      </c>
      <c r="Q418" s="159">
        <v>5.0</v>
      </c>
      <c r="R418" s="159">
        <v>5.0</v>
      </c>
      <c r="S418" s="159">
        <v>5.0</v>
      </c>
      <c r="T418" s="159">
        <v>5.0</v>
      </c>
      <c r="U418" s="159">
        <v>5.0</v>
      </c>
      <c r="V418" s="159">
        <v>5.0</v>
      </c>
      <c r="W418" s="159">
        <v>5.0</v>
      </c>
      <c r="X418" s="161"/>
      <c r="Y418" s="161"/>
      <c r="Z418" s="161"/>
      <c r="AA418" s="161"/>
      <c r="AB418" s="161"/>
      <c r="AC418" s="159">
        <v>5.0</v>
      </c>
      <c r="AD418" s="159"/>
    </row>
    <row r="419">
      <c r="A419" s="162">
        <v>103870.0</v>
      </c>
      <c r="B419" s="163" t="s">
        <v>1113</v>
      </c>
      <c r="C419" s="164" t="s">
        <v>1114</v>
      </c>
      <c r="D419" s="165">
        <v>45230.0</v>
      </c>
      <c r="E419" s="164" t="s">
        <v>295</v>
      </c>
      <c r="F419" s="161"/>
      <c r="G419" s="161"/>
      <c r="H419" s="159">
        <v>5.0</v>
      </c>
      <c r="I419" s="159">
        <v>5.0</v>
      </c>
      <c r="J419" s="159">
        <v>5.0</v>
      </c>
      <c r="K419" s="159">
        <v>5.0</v>
      </c>
      <c r="L419" s="159">
        <v>5.0</v>
      </c>
      <c r="M419" s="159">
        <v>5.0</v>
      </c>
      <c r="N419" s="159">
        <v>5.0</v>
      </c>
      <c r="O419" s="159">
        <v>5.0</v>
      </c>
      <c r="P419" s="159">
        <v>5.0</v>
      </c>
      <c r="Q419" s="159">
        <v>5.0</v>
      </c>
      <c r="R419" s="159">
        <v>5.0</v>
      </c>
      <c r="S419" s="159">
        <v>4.49</v>
      </c>
      <c r="T419" s="159">
        <v>4.49</v>
      </c>
      <c r="U419" s="159">
        <v>4.49</v>
      </c>
      <c r="V419" s="159">
        <v>4.49</v>
      </c>
      <c r="W419" s="159">
        <v>4.49</v>
      </c>
      <c r="X419" s="161"/>
      <c r="Y419" s="161"/>
      <c r="Z419" s="161"/>
      <c r="AA419" s="161"/>
      <c r="AB419" s="161"/>
      <c r="AC419" s="159">
        <v>4.83</v>
      </c>
      <c r="AD419" s="159"/>
    </row>
    <row r="420">
      <c r="A420" s="162">
        <v>103869.0</v>
      </c>
      <c r="B420" s="163" t="s">
        <v>1115</v>
      </c>
      <c r="C420" s="164" t="s">
        <v>1106</v>
      </c>
      <c r="D420" s="165">
        <v>45230.0</v>
      </c>
      <c r="E420" s="164" t="s">
        <v>295</v>
      </c>
      <c r="F420" s="161"/>
      <c r="G420" s="161"/>
      <c r="H420" s="159">
        <v>5.0</v>
      </c>
      <c r="I420" s="159">
        <v>5.0</v>
      </c>
      <c r="J420" s="159">
        <v>5.0</v>
      </c>
      <c r="K420" s="159">
        <v>5.0</v>
      </c>
      <c r="L420" s="159">
        <v>5.0</v>
      </c>
      <c r="M420" s="159">
        <v>5.0</v>
      </c>
      <c r="N420" s="159">
        <v>5.0</v>
      </c>
      <c r="O420" s="159">
        <v>5.0</v>
      </c>
      <c r="P420" s="159">
        <v>5.0</v>
      </c>
      <c r="Q420" s="159">
        <v>5.0</v>
      </c>
      <c r="R420" s="159">
        <v>5.0</v>
      </c>
      <c r="S420" s="159">
        <v>4.49</v>
      </c>
      <c r="T420" s="159">
        <v>4.49</v>
      </c>
      <c r="U420" s="159">
        <v>4.49</v>
      </c>
      <c r="V420" s="159">
        <v>4.49</v>
      </c>
      <c r="W420" s="159">
        <v>4.49</v>
      </c>
      <c r="X420" s="161"/>
      <c r="Y420" s="161"/>
      <c r="Z420" s="161"/>
      <c r="AA420" s="161"/>
      <c r="AB420" s="161"/>
      <c r="AC420" s="159">
        <v>4.83</v>
      </c>
      <c r="AD420" s="159"/>
    </row>
    <row r="421">
      <c r="A421" s="162">
        <v>103887.0</v>
      </c>
      <c r="B421" s="163" t="s">
        <v>1116</v>
      </c>
      <c r="C421" s="164" t="s">
        <v>1117</v>
      </c>
      <c r="D421" s="165">
        <v>45230.0</v>
      </c>
      <c r="E421" s="164" t="s">
        <v>265</v>
      </c>
      <c r="F421" s="161"/>
      <c r="G421" s="161"/>
      <c r="H421" s="159">
        <v>5.0</v>
      </c>
      <c r="I421" s="159">
        <v>5.0</v>
      </c>
      <c r="J421" s="159">
        <v>5.0</v>
      </c>
      <c r="K421" s="159">
        <v>5.0</v>
      </c>
      <c r="L421" s="159">
        <v>5.0</v>
      </c>
      <c r="M421" s="159">
        <v>5.0</v>
      </c>
      <c r="N421" s="159">
        <v>5.0</v>
      </c>
      <c r="O421" s="159">
        <v>5.0</v>
      </c>
      <c r="P421" s="159">
        <v>4.0</v>
      </c>
      <c r="Q421" s="159">
        <v>5.0</v>
      </c>
      <c r="R421" s="159">
        <v>4.75</v>
      </c>
      <c r="S421" s="159">
        <v>5.0</v>
      </c>
      <c r="T421" s="159">
        <v>5.0</v>
      </c>
      <c r="U421" s="159">
        <v>5.0</v>
      </c>
      <c r="V421" s="159">
        <v>5.0</v>
      </c>
      <c r="W421" s="159">
        <v>5.0</v>
      </c>
      <c r="X421" s="161"/>
      <c r="Y421" s="161"/>
      <c r="Z421" s="161"/>
      <c r="AA421" s="161"/>
      <c r="AB421" s="161"/>
      <c r="AC421" s="159">
        <v>4.916666666666667</v>
      </c>
      <c r="AD421" s="159"/>
    </row>
    <row r="422">
      <c r="A422" s="162">
        <v>103882.0</v>
      </c>
      <c r="B422" s="163" t="s">
        <v>1118</v>
      </c>
      <c r="C422" s="164" t="s">
        <v>1119</v>
      </c>
      <c r="D422" s="165">
        <v>45230.0</v>
      </c>
      <c r="E422" s="164" t="s">
        <v>87</v>
      </c>
      <c r="F422" s="161"/>
      <c r="G422" s="161"/>
      <c r="H422" s="159">
        <v>4.0</v>
      </c>
      <c r="I422" s="159">
        <v>4.0</v>
      </c>
      <c r="J422" s="159">
        <v>4.0</v>
      </c>
      <c r="K422" s="159">
        <v>4.0</v>
      </c>
      <c r="L422" s="159">
        <v>4.0</v>
      </c>
      <c r="M422" s="159">
        <v>4.0</v>
      </c>
      <c r="N422" s="159">
        <v>4.0</v>
      </c>
      <c r="O422" s="159">
        <v>4.0</v>
      </c>
      <c r="P422" s="159">
        <v>4.0</v>
      </c>
      <c r="Q422" s="159">
        <v>4.0</v>
      </c>
      <c r="R422" s="159">
        <v>4.0</v>
      </c>
      <c r="S422" s="159">
        <v>5.0</v>
      </c>
      <c r="T422" s="159">
        <v>5.0</v>
      </c>
      <c r="U422" s="159">
        <v>5.0</v>
      </c>
      <c r="V422" s="159">
        <v>5.0</v>
      </c>
      <c r="W422" s="159">
        <v>5.0</v>
      </c>
      <c r="X422" s="161"/>
      <c r="Y422" s="161"/>
      <c r="Z422" s="161"/>
      <c r="AA422" s="161"/>
      <c r="AB422" s="161"/>
      <c r="AC422" s="159">
        <v>4.333333333333333</v>
      </c>
      <c r="AD422" s="159"/>
    </row>
    <row r="423">
      <c r="A423" s="162">
        <v>103916.0</v>
      </c>
      <c r="B423" s="163" t="s">
        <v>1120</v>
      </c>
      <c r="C423" s="164" t="s">
        <v>1121</v>
      </c>
      <c r="D423" s="165">
        <v>45233.0</v>
      </c>
      <c r="E423" s="164" t="s">
        <v>156</v>
      </c>
      <c r="F423" s="161"/>
      <c r="G423" s="161"/>
      <c r="H423" s="159">
        <v>4.0</v>
      </c>
      <c r="I423" s="159">
        <v>4.0</v>
      </c>
      <c r="J423" s="159">
        <v>4.0</v>
      </c>
      <c r="K423" s="159">
        <v>4.0</v>
      </c>
      <c r="L423" s="159">
        <v>4.0</v>
      </c>
      <c r="M423" s="159">
        <v>4.0</v>
      </c>
      <c r="N423" s="159">
        <v>4.0</v>
      </c>
      <c r="O423" s="159">
        <v>4.0</v>
      </c>
      <c r="P423" s="159">
        <v>4.0</v>
      </c>
      <c r="Q423" s="159">
        <v>4.0</v>
      </c>
      <c r="R423" s="159">
        <v>4.0</v>
      </c>
      <c r="S423" s="159">
        <v>5.0</v>
      </c>
      <c r="T423" s="159">
        <v>5.0</v>
      </c>
      <c r="U423" s="159">
        <v>5.0</v>
      </c>
      <c r="V423" s="159">
        <v>5.0</v>
      </c>
      <c r="W423" s="159">
        <v>5.0</v>
      </c>
      <c r="X423" s="161"/>
      <c r="Y423" s="161"/>
      <c r="Z423" s="161"/>
      <c r="AA423" s="161"/>
      <c r="AB423" s="161"/>
      <c r="AC423" s="159">
        <v>4.333333333333333</v>
      </c>
      <c r="AD423" s="159"/>
    </row>
    <row r="424">
      <c r="A424" s="162">
        <v>103881.0</v>
      </c>
      <c r="B424" s="163" t="s">
        <v>1122</v>
      </c>
      <c r="C424" s="164" t="s">
        <v>1123</v>
      </c>
      <c r="D424" s="138">
        <v>45233.0</v>
      </c>
      <c r="E424" s="164" t="s">
        <v>87</v>
      </c>
      <c r="F424" s="161"/>
      <c r="G424" s="161"/>
      <c r="H424" s="159">
        <v>4.0</v>
      </c>
      <c r="I424" s="159">
        <v>3.5</v>
      </c>
      <c r="J424" s="159">
        <v>4.0</v>
      </c>
      <c r="K424" s="159">
        <v>4.0</v>
      </c>
      <c r="L424" s="159">
        <v>4.0</v>
      </c>
      <c r="M424" s="159">
        <v>3.9</v>
      </c>
      <c r="N424" s="159">
        <v>4.0</v>
      </c>
      <c r="O424" s="159">
        <v>3.5</v>
      </c>
      <c r="P424" s="159">
        <v>4.0</v>
      </c>
      <c r="Q424" s="159">
        <v>4.0</v>
      </c>
      <c r="R424" s="159">
        <v>3.875</v>
      </c>
      <c r="S424" s="159">
        <v>5.0</v>
      </c>
      <c r="T424" s="159">
        <v>5.0</v>
      </c>
      <c r="U424" s="159">
        <v>5.0</v>
      </c>
      <c r="V424" s="159">
        <v>5.0</v>
      </c>
      <c r="W424" s="159">
        <v>5.0</v>
      </c>
      <c r="X424" s="161"/>
      <c r="Y424" s="161"/>
      <c r="Z424" s="161"/>
      <c r="AA424" s="161"/>
      <c r="AB424" s="161"/>
      <c r="AC424" s="159">
        <v>4.258333333333334</v>
      </c>
      <c r="AD424" s="159"/>
    </row>
    <row r="425">
      <c r="A425" s="162">
        <v>103883.0</v>
      </c>
      <c r="B425" s="163" t="s">
        <v>1124</v>
      </c>
      <c r="C425" s="164" t="s">
        <v>1125</v>
      </c>
      <c r="D425" s="165">
        <v>45233.0</v>
      </c>
      <c r="E425" s="164" t="s">
        <v>87</v>
      </c>
      <c r="F425" s="161"/>
      <c r="G425" s="161"/>
      <c r="H425" s="159">
        <v>4.0</v>
      </c>
      <c r="I425" s="159">
        <v>3.5</v>
      </c>
      <c r="J425" s="159">
        <v>4.0</v>
      </c>
      <c r="K425" s="159">
        <v>4.0</v>
      </c>
      <c r="L425" s="159">
        <v>4.0</v>
      </c>
      <c r="M425" s="159">
        <v>3.9</v>
      </c>
      <c r="N425" s="159">
        <v>4.0</v>
      </c>
      <c r="O425" s="159">
        <v>3.5</v>
      </c>
      <c r="P425" s="159">
        <v>4.0</v>
      </c>
      <c r="Q425" s="159">
        <v>4.0</v>
      </c>
      <c r="R425" s="159">
        <v>3.875</v>
      </c>
      <c r="S425" s="159">
        <v>5.0</v>
      </c>
      <c r="T425" s="159">
        <v>5.0</v>
      </c>
      <c r="U425" s="159">
        <v>5.0</v>
      </c>
      <c r="V425" s="159">
        <v>5.0</v>
      </c>
      <c r="W425" s="159">
        <v>5.0</v>
      </c>
      <c r="X425" s="161"/>
      <c r="Y425" s="161"/>
      <c r="Z425" s="161"/>
      <c r="AA425" s="161"/>
      <c r="AB425" s="161"/>
      <c r="AC425" s="159">
        <v>4.258333333333334</v>
      </c>
      <c r="AD425" s="159"/>
    </row>
    <row r="426">
      <c r="A426" s="162">
        <v>103880.0</v>
      </c>
      <c r="B426" s="163" t="s">
        <v>1126</v>
      </c>
      <c r="C426" s="164" t="s">
        <v>1127</v>
      </c>
      <c r="D426" s="165">
        <v>45233.0</v>
      </c>
      <c r="E426" s="164" t="s">
        <v>87</v>
      </c>
      <c r="F426" s="161"/>
      <c r="G426" s="161"/>
      <c r="H426" s="159">
        <v>4.0</v>
      </c>
      <c r="I426" s="159">
        <v>4.0</v>
      </c>
      <c r="J426" s="159">
        <v>4.0</v>
      </c>
      <c r="K426" s="159">
        <v>4.0</v>
      </c>
      <c r="L426" s="159">
        <v>4.0</v>
      </c>
      <c r="M426" s="159">
        <v>4.0</v>
      </c>
      <c r="N426" s="159">
        <v>4.0</v>
      </c>
      <c r="O426" s="159">
        <v>4.0</v>
      </c>
      <c r="P426" s="159">
        <v>4.0</v>
      </c>
      <c r="Q426" s="159">
        <v>4.0</v>
      </c>
      <c r="R426" s="159">
        <v>4.0</v>
      </c>
      <c r="S426" s="159">
        <v>5.0</v>
      </c>
      <c r="T426" s="159">
        <v>5.0</v>
      </c>
      <c r="U426" s="159">
        <v>5.0</v>
      </c>
      <c r="V426" s="159">
        <v>5.0</v>
      </c>
      <c r="W426" s="159">
        <v>5.0</v>
      </c>
      <c r="X426" s="161"/>
      <c r="Y426" s="161"/>
      <c r="Z426" s="161"/>
      <c r="AA426" s="161"/>
      <c r="AB426" s="161"/>
      <c r="AC426" s="159">
        <v>4.333333333333333</v>
      </c>
      <c r="AD426" s="159"/>
    </row>
    <row r="427">
      <c r="A427" s="162">
        <v>103817.0</v>
      </c>
      <c r="B427" s="163" t="s">
        <v>1128</v>
      </c>
      <c r="C427" s="164" t="s">
        <v>1112</v>
      </c>
      <c r="D427" s="165">
        <v>45233.0</v>
      </c>
      <c r="E427" s="164" t="s">
        <v>1129</v>
      </c>
      <c r="F427" s="161"/>
      <c r="G427" s="161"/>
      <c r="H427" s="159">
        <v>5.0</v>
      </c>
      <c r="I427" s="159">
        <v>5.0</v>
      </c>
      <c r="J427" s="159">
        <v>5.0</v>
      </c>
      <c r="K427" s="159">
        <v>5.0</v>
      </c>
      <c r="L427" s="159">
        <v>5.0</v>
      </c>
      <c r="M427" s="159">
        <v>5.0</v>
      </c>
      <c r="N427" s="159">
        <v>5.0</v>
      </c>
      <c r="O427" s="159">
        <v>5.0</v>
      </c>
      <c r="P427" s="159">
        <v>5.0</v>
      </c>
      <c r="Q427" s="159">
        <v>5.0</v>
      </c>
      <c r="R427" s="159">
        <v>5.0</v>
      </c>
      <c r="S427" s="159">
        <v>4.5</v>
      </c>
      <c r="T427" s="159">
        <v>4.5</v>
      </c>
      <c r="U427" s="159">
        <v>4.5</v>
      </c>
      <c r="V427" s="159">
        <v>4.5</v>
      </c>
      <c r="W427" s="159">
        <v>4.5</v>
      </c>
      <c r="X427" s="161"/>
      <c r="Y427" s="161"/>
      <c r="Z427" s="161"/>
      <c r="AA427" s="161"/>
      <c r="AB427" s="161"/>
      <c r="AC427" s="159">
        <v>4.833333333333333</v>
      </c>
      <c r="AD427" s="171"/>
    </row>
    <row r="428">
      <c r="A428" s="162">
        <v>103714.0</v>
      </c>
      <c r="B428" s="163" t="s">
        <v>1130</v>
      </c>
      <c r="C428" s="164" t="s">
        <v>1131</v>
      </c>
      <c r="D428" s="165">
        <v>45237.0</v>
      </c>
      <c r="E428" s="164" t="s">
        <v>125</v>
      </c>
      <c r="F428" s="161"/>
      <c r="G428" s="161"/>
      <c r="H428" s="159">
        <v>4.0</v>
      </c>
      <c r="I428" s="159">
        <v>4.0</v>
      </c>
      <c r="J428" s="159">
        <v>4.0</v>
      </c>
      <c r="K428" s="159">
        <v>4.0</v>
      </c>
      <c r="L428" s="159">
        <v>4.0</v>
      </c>
      <c r="M428" s="159">
        <v>4.0</v>
      </c>
      <c r="N428" s="159">
        <v>4.0</v>
      </c>
      <c r="O428" s="159">
        <v>4.0</v>
      </c>
      <c r="P428" s="159">
        <v>4.0</v>
      </c>
      <c r="Q428" s="159">
        <v>4.0</v>
      </c>
      <c r="R428" s="159">
        <v>4.0</v>
      </c>
      <c r="S428" s="159">
        <v>4.0</v>
      </c>
      <c r="T428" s="159">
        <v>4.0</v>
      </c>
      <c r="U428" s="159">
        <v>4.0</v>
      </c>
      <c r="V428" s="159">
        <v>4.0</v>
      </c>
      <c r="W428" s="159">
        <v>4.0</v>
      </c>
      <c r="X428" s="161"/>
      <c r="Y428" s="161"/>
      <c r="Z428" s="161"/>
      <c r="AA428" s="161"/>
      <c r="AB428" s="161"/>
      <c r="AC428" s="159">
        <v>4.0</v>
      </c>
      <c r="AD428" s="159"/>
    </row>
    <row r="429">
      <c r="A429" s="162">
        <v>103918.0</v>
      </c>
      <c r="B429" s="163" t="s">
        <v>1132</v>
      </c>
      <c r="C429" s="164" t="s">
        <v>1133</v>
      </c>
      <c r="D429" s="138">
        <v>45242.0</v>
      </c>
      <c r="E429" s="164" t="s">
        <v>487</v>
      </c>
      <c r="F429" s="161"/>
      <c r="G429" s="161"/>
      <c r="H429" s="159">
        <v>5.0</v>
      </c>
      <c r="I429" s="159">
        <v>5.0</v>
      </c>
      <c r="J429" s="159">
        <v>5.0</v>
      </c>
      <c r="K429" s="159">
        <v>5.0</v>
      </c>
      <c r="L429" s="159">
        <v>5.0</v>
      </c>
      <c r="M429" s="159">
        <v>5.0</v>
      </c>
      <c r="N429" s="159">
        <v>5.0</v>
      </c>
      <c r="O429" s="159">
        <v>5.0</v>
      </c>
      <c r="P429" s="159">
        <v>5.0</v>
      </c>
      <c r="Q429" s="159">
        <v>5.0</v>
      </c>
      <c r="R429" s="159">
        <v>5.0</v>
      </c>
      <c r="S429" s="159">
        <v>5.0</v>
      </c>
      <c r="T429" s="159">
        <v>5.0</v>
      </c>
      <c r="U429" s="159">
        <v>5.0</v>
      </c>
      <c r="V429" s="159">
        <v>5.0</v>
      </c>
      <c r="W429" s="159">
        <v>5.0</v>
      </c>
      <c r="X429" s="161"/>
      <c r="Y429" s="161"/>
      <c r="Z429" s="161"/>
      <c r="AA429" s="161"/>
      <c r="AB429" s="161"/>
      <c r="AC429" s="159">
        <v>5.0</v>
      </c>
      <c r="AD429" s="159"/>
    </row>
    <row r="430">
      <c r="A430" s="162">
        <v>103891.0</v>
      </c>
      <c r="B430" s="163" t="s">
        <v>1134</v>
      </c>
      <c r="C430" s="164" t="s">
        <v>1135</v>
      </c>
      <c r="D430" s="165">
        <v>45247.0</v>
      </c>
      <c r="E430" s="164" t="s">
        <v>360</v>
      </c>
      <c r="F430" s="161"/>
      <c r="G430" s="161"/>
      <c r="H430" s="159">
        <v>5.0</v>
      </c>
      <c r="I430" s="159">
        <v>5.0</v>
      </c>
      <c r="J430" s="159">
        <v>5.0</v>
      </c>
      <c r="K430" s="159">
        <v>5.0</v>
      </c>
      <c r="L430" s="159">
        <v>5.0</v>
      </c>
      <c r="M430" s="159">
        <v>5.0</v>
      </c>
      <c r="N430" s="159">
        <v>5.0</v>
      </c>
      <c r="O430" s="159">
        <v>5.0</v>
      </c>
      <c r="P430" s="159">
        <v>5.0</v>
      </c>
      <c r="Q430" s="159">
        <v>5.0</v>
      </c>
      <c r="R430" s="159">
        <v>5.0</v>
      </c>
      <c r="S430" s="159">
        <v>5.0</v>
      </c>
      <c r="T430" s="159">
        <v>5.0</v>
      </c>
      <c r="U430" s="159">
        <v>5.0</v>
      </c>
      <c r="V430" s="159">
        <v>5.0</v>
      </c>
      <c r="W430" s="159">
        <v>5.0</v>
      </c>
      <c r="X430" s="161"/>
      <c r="Y430" s="161"/>
      <c r="Z430" s="161"/>
      <c r="AA430" s="161"/>
      <c r="AB430" s="161"/>
      <c r="AC430" s="159">
        <v>5.0</v>
      </c>
      <c r="AD430" s="159"/>
    </row>
    <row r="431">
      <c r="A431" s="162">
        <v>103753.0</v>
      </c>
      <c r="B431" s="163" t="s">
        <v>1136</v>
      </c>
      <c r="C431" s="164" t="s">
        <v>1137</v>
      </c>
      <c r="D431" s="165">
        <v>45248.0</v>
      </c>
      <c r="E431" s="164" t="s">
        <v>51</v>
      </c>
      <c r="F431" s="161"/>
      <c r="G431" s="161"/>
      <c r="H431" s="159">
        <v>4.0</v>
      </c>
      <c r="I431" s="159">
        <v>4.0</v>
      </c>
      <c r="J431" s="159">
        <v>4.0</v>
      </c>
      <c r="K431" s="159">
        <v>4.0</v>
      </c>
      <c r="L431" s="159">
        <v>4.0</v>
      </c>
      <c r="M431" s="159">
        <v>4.0</v>
      </c>
      <c r="N431" s="159">
        <v>4.0</v>
      </c>
      <c r="O431" s="159">
        <v>4.0</v>
      </c>
      <c r="P431" s="159">
        <v>4.0</v>
      </c>
      <c r="Q431" s="159">
        <v>4.0</v>
      </c>
      <c r="R431" s="159">
        <v>4.0</v>
      </c>
      <c r="S431" s="159">
        <v>4.0</v>
      </c>
      <c r="T431" s="159">
        <v>4.0</v>
      </c>
      <c r="U431" s="159">
        <v>4.0</v>
      </c>
      <c r="V431" s="159">
        <v>4.0</v>
      </c>
      <c r="W431" s="159">
        <v>4.0</v>
      </c>
      <c r="X431" s="161"/>
      <c r="Y431" s="161"/>
      <c r="Z431" s="161"/>
      <c r="AA431" s="161"/>
      <c r="AB431" s="161"/>
      <c r="AC431" s="159">
        <v>4.0</v>
      </c>
      <c r="AD431" s="159"/>
    </row>
    <row r="432">
      <c r="A432" s="162">
        <v>103945.0</v>
      </c>
      <c r="B432" s="163" t="s">
        <v>1138</v>
      </c>
      <c r="C432" s="192" t="s">
        <v>1139</v>
      </c>
      <c r="D432" s="165">
        <v>45248.0</v>
      </c>
      <c r="E432" s="164" t="s">
        <v>1140</v>
      </c>
      <c r="F432" s="161"/>
      <c r="G432" s="161"/>
      <c r="H432" s="159">
        <v>5.0</v>
      </c>
      <c r="I432" s="159">
        <v>5.0</v>
      </c>
      <c r="J432" s="159">
        <v>4.5</v>
      </c>
      <c r="K432" s="159">
        <v>5.0</v>
      </c>
      <c r="L432" s="159">
        <v>5.0</v>
      </c>
      <c r="M432" s="159">
        <v>5.0</v>
      </c>
      <c r="N432" s="159">
        <v>5.0</v>
      </c>
      <c r="O432" s="159">
        <v>5.0</v>
      </c>
      <c r="P432" s="159">
        <v>4.5</v>
      </c>
      <c r="Q432" s="159">
        <v>5.0</v>
      </c>
      <c r="R432" s="159">
        <v>4.88</v>
      </c>
      <c r="S432" s="159">
        <v>5.0</v>
      </c>
      <c r="T432" s="159">
        <v>5.0</v>
      </c>
      <c r="U432" s="159">
        <v>5.0</v>
      </c>
      <c r="V432" s="159">
        <v>5.0</v>
      </c>
      <c r="W432" s="159">
        <v>5.0</v>
      </c>
      <c r="X432" s="161"/>
      <c r="Y432" s="161"/>
      <c r="Z432" s="161"/>
      <c r="AA432" s="161"/>
      <c r="AB432" s="161"/>
      <c r="AC432" s="159">
        <v>4.93</v>
      </c>
      <c r="AD432" s="159"/>
    </row>
    <row r="433">
      <c r="A433" s="162">
        <v>103914.0</v>
      </c>
      <c r="B433" s="163" t="s">
        <v>1141</v>
      </c>
      <c r="C433" s="164" t="s">
        <v>1142</v>
      </c>
      <c r="D433" s="165">
        <v>45252.0</v>
      </c>
      <c r="E433" s="164" t="s">
        <v>87</v>
      </c>
      <c r="F433" s="161"/>
      <c r="G433" s="161"/>
      <c r="H433" s="159">
        <v>4.0</v>
      </c>
      <c r="I433" s="159">
        <v>4.0</v>
      </c>
      <c r="J433" s="159">
        <v>4.0</v>
      </c>
      <c r="K433" s="159">
        <v>4.0</v>
      </c>
      <c r="L433" s="159">
        <v>4.0</v>
      </c>
      <c r="M433" s="159">
        <v>4.0</v>
      </c>
      <c r="N433" s="159">
        <v>4.0</v>
      </c>
      <c r="O433" s="159">
        <v>4.0</v>
      </c>
      <c r="P433" s="159">
        <v>4.0</v>
      </c>
      <c r="Q433" s="159">
        <v>4.0</v>
      </c>
      <c r="R433" s="159">
        <v>4.0</v>
      </c>
      <c r="S433" s="159">
        <v>5.0</v>
      </c>
      <c r="T433" s="159">
        <v>5.0</v>
      </c>
      <c r="U433" s="159">
        <v>5.0</v>
      </c>
      <c r="V433" s="159">
        <v>5.0</v>
      </c>
      <c r="W433" s="159">
        <v>5.0</v>
      </c>
      <c r="X433" s="161"/>
      <c r="Y433" s="161"/>
      <c r="Z433" s="161"/>
      <c r="AA433" s="161"/>
      <c r="AB433" s="161"/>
      <c r="AC433" s="159">
        <v>4.333333333333333</v>
      </c>
      <c r="AD433" s="159"/>
    </row>
    <row r="434">
      <c r="A434" s="162">
        <v>103886.0</v>
      </c>
      <c r="B434" s="163" t="s">
        <v>1143</v>
      </c>
      <c r="C434" s="164" t="s">
        <v>1144</v>
      </c>
      <c r="D434" s="165">
        <v>45254.0</v>
      </c>
      <c r="E434" s="164" t="s">
        <v>398</v>
      </c>
      <c r="F434" s="161"/>
      <c r="G434" s="161"/>
      <c r="H434" s="159">
        <v>4.0</v>
      </c>
      <c r="I434" s="159">
        <v>4.0</v>
      </c>
      <c r="J434" s="159">
        <v>4.0</v>
      </c>
      <c r="K434" s="159">
        <v>4.0</v>
      </c>
      <c r="L434" s="159">
        <v>4.0</v>
      </c>
      <c r="M434" s="159">
        <v>4.0</v>
      </c>
      <c r="N434" s="159">
        <v>4.0</v>
      </c>
      <c r="O434" s="159">
        <v>4.0</v>
      </c>
      <c r="P434" s="159">
        <v>4.0</v>
      </c>
      <c r="Q434" s="159">
        <v>4.0</v>
      </c>
      <c r="R434" s="159">
        <v>4.0</v>
      </c>
      <c r="S434" s="159">
        <v>4.0</v>
      </c>
      <c r="T434" s="159">
        <v>4.0</v>
      </c>
      <c r="U434" s="159">
        <v>4.0</v>
      </c>
      <c r="V434" s="159">
        <v>4.0</v>
      </c>
      <c r="W434" s="159">
        <v>4.0</v>
      </c>
      <c r="X434" s="161"/>
      <c r="Y434" s="161"/>
      <c r="Z434" s="161"/>
      <c r="AA434" s="161"/>
      <c r="AB434" s="161"/>
      <c r="AC434" s="159">
        <v>4.0</v>
      </c>
      <c r="AD434" s="159"/>
    </row>
    <row r="435">
      <c r="A435" s="162">
        <v>103937.0</v>
      </c>
      <c r="B435" s="163" t="s">
        <v>1145</v>
      </c>
      <c r="C435" s="164" t="s">
        <v>1146</v>
      </c>
      <c r="D435" s="165">
        <v>45255.0</v>
      </c>
      <c r="E435" s="164" t="s">
        <v>295</v>
      </c>
      <c r="F435" s="161"/>
      <c r="G435" s="161"/>
      <c r="H435" s="159">
        <v>5.0</v>
      </c>
      <c r="I435" s="159">
        <v>5.0</v>
      </c>
      <c r="J435" s="159">
        <v>5.0</v>
      </c>
      <c r="K435" s="159">
        <v>5.0</v>
      </c>
      <c r="L435" s="159">
        <v>5.0</v>
      </c>
      <c r="M435" s="159">
        <v>5.0</v>
      </c>
      <c r="N435" s="159">
        <v>5.0</v>
      </c>
      <c r="O435" s="159">
        <v>5.0</v>
      </c>
      <c r="P435" s="159">
        <v>5.0</v>
      </c>
      <c r="Q435" s="159">
        <v>5.0</v>
      </c>
      <c r="R435" s="159">
        <v>5.0</v>
      </c>
      <c r="S435" s="159">
        <v>4.49</v>
      </c>
      <c r="T435" s="159">
        <v>4.49</v>
      </c>
      <c r="U435" s="159">
        <v>4.49</v>
      </c>
      <c r="V435" s="159">
        <v>4.49</v>
      </c>
      <c r="W435" s="159">
        <v>4.49</v>
      </c>
      <c r="X435" s="161"/>
      <c r="Y435" s="161"/>
      <c r="Z435" s="161"/>
      <c r="AA435" s="161"/>
      <c r="AB435" s="161"/>
      <c r="AC435" s="159">
        <v>4.83</v>
      </c>
      <c r="AD435" s="159"/>
    </row>
    <row r="436">
      <c r="A436" s="162">
        <v>103970.0</v>
      </c>
      <c r="B436" s="169"/>
      <c r="C436" s="164" t="s">
        <v>1147</v>
      </c>
      <c r="D436" s="165">
        <v>45255.0</v>
      </c>
      <c r="E436" s="164" t="s">
        <v>295</v>
      </c>
      <c r="F436" s="161"/>
      <c r="G436" s="161"/>
      <c r="H436" s="159">
        <v>5.0</v>
      </c>
      <c r="I436" s="159">
        <v>5.0</v>
      </c>
      <c r="J436" s="159">
        <v>5.0</v>
      </c>
      <c r="K436" s="159">
        <v>5.0</v>
      </c>
      <c r="L436" s="159">
        <v>5.0</v>
      </c>
      <c r="M436" s="159">
        <v>5.0</v>
      </c>
      <c r="N436" s="159">
        <v>5.0</v>
      </c>
      <c r="O436" s="159">
        <v>5.0</v>
      </c>
      <c r="P436" s="159">
        <v>5.0</v>
      </c>
      <c r="Q436" s="159">
        <v>5.0</v>
      </c>
      <c r="R436" s="159">
        <v>5.0</v>
      </c>
      <c r="S436" s="159">
        <v>4.49</v>
      </c>
      <c r="T436" s="159">
        <v>4.49</v>
      </c>
      <c r="U436" s="159">
        <v>4.49</v>
      </c>
      <c r="V436" s="159">
        <v>4.49</v>
      </c>
      <c r="W436" s="159">
        <v>4.49</v>
      </c>
      <c r="X436" s="161"/>
      <c r="Y436" s="161"/>
      <c r="Z436" s="161"/>
      <c r="AA436" s="161"/>
      <c r="AB436" s="161"/>
      <c r="AC436" s="159">
        <v>4.83</v>
      </c>
      <c r="AD436" s="159"/>
    </row>
    <row r="437">
      <c r="A437" s="162">
        <v>103940.0</v>
      </c>
      <c r="B437" s="163" t="s">
        <v>1148</v>
      </c>
      <c r="C437" s="164" t="s">
        <v>1149</v>
      </c>
      <c r="D437" s="165">
        <v>45255.0</v>
      </c>
      <c r="E437" s="164" t="s">
        <v>295</v>
      </c>
      <c r="F437" s="161"/>
      <c r="G437" s="161"/>
      <c r="H437" s="159">
        <v>5.0</v>
      </c>
      <c r="I437" s="159">
        <v>5.0</v>
      </c>
      <c r="J437" s="159">
        <v>5.0</v>
      </c>
      <c r="K437" s="159">
        <v>5.0</v>
      </c>
      <c r="L437" s="159">
        <v>5.0</v>
      </c>
      <c r="M437" s="159">
        <v>5.0</v>
      </c>
      <c r="N437" s="159">
        <v>5.0</v>
      </c>
      <c r="O437" s="159">
        <v>5.0</v>
      </c>
      <c r="P437" s="159">
        <v>5.0</v>
      </c>
      <c r="Q437" s="159">
        <v>5.0</v>
      </c>
      <c r="R437" s="159">
        <v>5.0</v>
      </c>
      <c r="S437" s="159">
        <v>4.49</v>
      </c>
      <c r="T437" s="159">
        <v>4.49</v>
      </c>
      <c r="U437" s="159">
        <v>4.49</v>
      </c>
      <c r="V437" s="159">
        <v>4.49</v>
      </c>
      <c r="W437" s="159">
        <v>4.49</v>
      </c>
      <c r="X437" s="161"/>
      <c r="Y437" s="161"/>
      <c r="Z437" s="161"/>
      <c r="AA437" s="161"/>
      <c r="AB437" s="161"/>
      <c r="AC437" s="159">
        <v>4.83</v>
      </c>
      <c r="AD437" s="159"/>
    </row>
    <row r="438">
      <c r="A438" s="162">
        <v>103702.0</v>
      </c>
      <c r="B438" s="163" t="s">
        <v>1150</v>
      </c>
      <c r="C438" s="164" t="s">
        <v>1151</v>
      </c>
      <c r="D438" s="165">
        <v>45257.0</v>
      </c>
      <c r="E438" s="164" t="s">
        <v>487</v>
      </c>
      <c r="F438" s="161"/>
      <c r="G438" s="161"/>
      <c r="H438" s="159">
        <v>5.0</v>
      </c>
      <c r="I438" s="159">
        <v>5.0</v>
      </c>
      <c r="J438" s="159">
        <v>5.0</v>
      </c>
      <c r="K438" s="159">
        <v>5.0</v>
      </c>
      <c r="L438" s="159">
        <v>5.0</v>
      </c>
      <c r="M438" s="159">
        <v>5.0</v>
      </c>
      <c r="N438" s="159">
        <v>5.0</v>
      </c>
      <c r="O438" s="159">
        <v>5.0</v>
      </c>
      <c r="P438" s="159">
        <v>5.0</v>
      </c>
      <c r="Q438" s="159">
        <v>5.0</v>
      </c>
      <c r="R438" s="159">
        <v>5.0</v>
      </c>
      <c r="S438" s="159">
        <v>5.0</v>
      </c>
      <c r="T438" s="159">
        <v>5.0</v>
      </c>
      <c r="U438" s="159">
        <v>5.0</v>
      </c>
      <c r="V438" s="159">
        <v>5.0</v>
      </c>
      <c r="W438" s="159">
        <v>5.0</v>
      </c>
      <c r="X438" s="161"/>
      <c r="Y438" s="161"/>
      <c r="Z438" s="161"/>
      <c r="AA438" s="161"/>
      <c r="AB438" s="161"/>
      <c r="AC438" s="159">
        <v>5.0</v>
      </c>
      <c r="AD438" s="159"/>
    </row>
    <row r="439">
      <c r="A439" s="162">
        <v>103974.0</v>
      </c>
      <c r="B439" s="163" t="s">
        <v>1152</v>
      </c>
      <c r="C439" s="164" t="s">
        <v>1153</v>
      </c>
      <c r="D439" s="165">
        <v>45258.0</v>
      </c>
      <c r="E439" s="164" t="s">
        <v>1154</v>
      </c>
      <c r="F439" s="161"/>
      <c r="G439" s="161"/>
      <c r="H439" s="159">
        <v>4.0</v>
      </c>
      <c r="I439" s="159">
        <v>4.0</v>
      </c>
      <c r="J439" s="159">
        <v>4.0</v>
      </c>
      <c r="K439" s="159">
        <v>4.0</v>
      </c>
      <c r="L439" s="159">
        <v>4.0</v>
      </c>
      <c r="M439" s="159">
        <v>4.0</v>
      </c>
      <c r="N439" s="159">
        <v>4.0</v>
      </c>
      <c r="O439" s="159">
        <v>4.0</v>
      </c>
      <c r="P439" s="159">
        <v>4.0</v>
      </c>
      <c r="Q439" s="159">
        <v>4.0</v>
      </c>
      <c r="R439" s="159">
        <v>4.0</v>
      </c>
      <c r="S439" s="159">
        <v>5.0</v>
      </c>
      <c r="T439" s="159">
        <v>5.0</v>
      </c>
      <c r="U439" s="159">
        <v>5.0</v>
      </c>
      <c r="V439" s="159">
        <v>5.0</v>
      </c>
      <c r="W439" s="159">
        <v>5.0</v>
      </c>
      <c r="X439" s="161"/>
      <c r="Y439" s="161"/>
      <c r="Z439" s="161"/>
      <c r="AA439" s="161"/>
      <c r="AB439" s="161"/>
      <c r="AC439" s="159">
        <v>4.333333333333333</v>
      </c>
      <c r="AD439" s="159"/>
    </row>
    <row r="440">
      <c r="A440" s="162">
        <v>104004.0</v>
      </c>
      <c r="B440" s="163" t="s">
        <v>1155</v>
      </c>
      <c r="C440" s="164" t="s">
        <v>1156</v>
      </c>
      <c r="D440" s="165">
        <v>45259.0</v>
      </c>
      <c r="E440" s="164" t="s">
        <v>360</v>
      </c>
      <c r="F440" s="161"/>
      <c r="G440" s="161"/>
      <c r="H440" s="159">
        <v>5.0</v>
      </c>
      <c r="I440" s="159">
        <v>5.0</v>
      </c>
      <c r="J440" s="159">
        <v>5.0</v>
      </c>
      <c r="K440" s="159">
        <v>5.0</v>
      </c>
      <c r="L440" s="159">
        <v>5.0</v>
      </c>
      <c r="M440" s="159">
        <v>5.0</v>
      </c>
      <c r="N440" s="159">
        <v>5.0</v>
      </c>
      <c r="O440" s="159">
        <v>5.0</v>
      </c>
      <c r="P440" s="159">
        <v>5.0</v>
      </c>
      <c r="Q440" s="159">
        <v>5.0</v>
      </c>
      <c r="R440" s="159">
        <v>5.0</v>
      </c>
      <c r="S440" s="159">
        <v>5.0</v>
      </c>
      <c r="T440" s="159">
        <v>5.0</v>
      </c>
      <c r="U440" s="159">
        <v>5.0</v>
      </c>
      <c r="V440" s="159">
        <v>5.0</v>
      </c>
      <c r="W440" s="159">
        <v>5.0</v>
      </c>
      <c r="X440" s="161"/>
      <c r="Y440" s="161"/>
      <c r="Z440" s="161"/>
      <c r="AA440" s="161"/>
      <c r="AB440" s="161"/>
      <c r="AC440" s="159">
        <v>5.0</v>
      </c>
      <c r="AD440" s="159"/>
    </row>
    <row r="441">
      <c r="A441" s="162">
        <v>103981.0</v>
      </c>
      <c r="B441" s="163" t="s">
        <v>1157</v>
      </c>
      <c r="C441" s="164" t="s">
        <v>1158</v>
      </c>
      <c r="D441" s="165">
        <v>45259.0</v>
      </c>
      <c r="E441" s="164" t="s">
        <v>1159</v>
      </c>
      <c r="F441" s="161"/>
      <c r="G441" s="161"/>
      <c r="H441" s="159">
        <v>5.0</v>
      </c>
      <c r="I441" s="159">
        <v>5.0</v>
      </c>
      <c r="J441" s="159">
        <v>5.0</v>
      </c>
      <c r="K441" s="159">
        <v>5.0</v>
      </c>
      <c r="L441" s="159">
        <v>5.0</v>
      </c>
      <c r="M441" s="159">
        <v>5.0</v>
      </c>
      <c r="N441" s="159">
        <v>5.0</v>
      </c>
      <c r="O441" s="159">
        <v>5.0</v>
      </c>
      <c r="P441" s="159">
        <v>5.0</v>
      </c>
      <c r="Q441" s="159">
        <v>5.0</v>
      </c>
      <c r="R441" s="159">
        <v>5.0</v>
      </c>
      <c r="S441" s="159">
        <v>5.0</v>
      </c>
      <c r="T441" s="159">
        <v>5.0</v>
      </c>
      <c r="U441" s="159">
        <v>5.0</v>
      </c>
      <c r="V441" s="159">
        <v>5.0</v>
      </c>
      <c r="W441" s="159">
        <v>5.0</v>
      </c>
      <c r="X441" s="161"/>
      <c r="Y441" s="161"/>
      <c r="Z441" s="161"/>
      <c r="AA441" s="161"/>
      <c r="AB441" s="161"/>
      <c r="AC441" s="159">
        <v>5.0</v>
      </c>
      <c r="AD441" s="159"/>
    </row>
    <row r="442">
      <c r="A442" s="162">
        <v>103969.0</v>
      </c>
      <c r="B442" s="163" t="s">
        <v>1160</v>
      </c>
      <c r="C442" s="164" t="s">
        <v>1161</v>
      </c>
      <c r="D442" s="165">
        <v>45259.0</v>
      </c>
      <c r="E442" s="164" t="s">
        <v>1140</v>
      </c>
      <c r="F442" s="161"/>
      <c r="G442" s="161"/>
      <c r="H442" s="159">
        <v>5.0</v>
      </c>
      <c r="I442" s="159">
        <v>5.0</v>
      </c>
      <c r="J442" s="159">
        <v>5.0</v>
      </c>
      <c r="K442" s="159">
        <v>5.0</v>
      </c>
      <c r="L442" s="159">
        <v>5.0</v>
      </c>
      <c r="M442" s="159">
        <v>5.0</v>
      </c>
      <c r="N442" s="159">
        <v>5.0</v>
      </c>
      <c r="O442" s="159">
        <v>5.0</v>
      </c>
      <c r="P442" s="159">
        <v>4.0</v>
      </c>
      <c r="Q442" s="159">
        <v>5.0</v>
      </c>
      <c r="R442" s="159">
        <v>4.75</v>
      </c>
      <c r="S442" s="159">
        <v>4.49</v>
      </c>
      <c r="T442" s="159">
        <v>4.49</v>
      </c>
      <c r="U442" s="159">
        <v>4.49</v>
      </c>
      <c r="V442" s="159">
        <v>4.49</v>
      </c>
      <c r="W442" s="159">
        <v>4.49</v>
      </c>
      <c r="X442" s="161"/>
      <c r="Y442" s="161"/>
      <c r="Z442" s="161"/>
      <c r="AA442" s="161"/>
      <c r="AB442" s="161"/>
      <c r="AC442" s="159">
        <v>4.746666666666667</v>
      </c>
      <c r="AD442" s="159"/>
    </row>
    <row r="443">
      <c r="A443" s="162">
        <v>103990.0</v>
      </c>
      <c r="B443" s="163" t="s">
        <v>1162</v>
      </c>
      <c r="C443" s="164" t="s">
        <v>1163</v>
      </c>
      <c r="D443" s="165">
        <v>45260.0</v>
      </c>
      <c r="E443" s="164" t="s">
        <v>427</v>
      </c>
      <c r="F443" s="161"/>
      <c r="G443" s="161"/>
      <c r="H443" s="159">
        <v>4.5</v>
      </c>
      <c r="I443" s="159">
        <v>4.0</v>
      </c>
      <c r="J443" s="159">
        <v>4.5</v>
      </c>
      <c r="K443" s="159">
        <v>4.0</v>
      </c>
      <c r="L443" s="159">
        <v>4.5</v>
      </c>
      <c r="M443" s="159">
        <v>4.3</v>
      </c>
      <c r="N443" s="159">
        <v>4.5</v>
      </c>
      <c r="O443" s="159">
        <v>4.0</v>
      </c>
      <c r="P443" s="159">
        <v>4.5</v>
      </c>
      <c r="Q443" s="159">
        <v>4.0</v>
      </c>
      <c r="R443" s="159">
        <v>4.25</v>
      </c>
      <c r="S443" s="159">
        <v>5.0</v>
      </c>
      <c r="T443" s="159">
        <v>5.0</v>
      </c>
      <c r="U443" s="159">
        <v>5.0</v>
      </c>
      <c r="V443" s="159">
        <v>5.0</v>
      </c>
      <c r="W443" s="159">
        <v>5.0</v>
      </c>
      <c r="X443" s="161"/>
      <c r="Y443" s="161"/>
      <c r="Z443" s="161"/>
      <c r="AA443" s="161"/>
      <c r="AB443" s="161"/>
      <c r="AC443" s="159">
        <v>4.516666666666667</v>
      </c>
      <c r="AD443" s="159"/>
    </row>
    <row r="444">
      <c r="A444" s="162">
        <v>103978.0</v>
      </c>
      <c r="B444" s="163" t="s">
        <v>1164</v>
      </c>
      <c r="C444" s="164" t="s">
        <v>1165</v>
      </c>
      <c r="D444" s="165">
        <v>45260.0</v>
      </c>
      <c r="E444" s="164" t="s">
        <v>87</v>
      </c>
      <c r="F444" s="161"/>
      <c r="G444" s="161"/>
      <c r="H444" s="159">
        <v>4.0</v>
      </c>
      <c r="I444" s="159">
        <v>4.0</v>
      </c>
      <c r="J444" s="159">
        <v>4.0</v>
      </c>
      <c r="K444" s="159">
        <v>4.0</v>
      </c>
      <c r="L444" s="159">
        <v>4.0</v>
      </c>
      <c r="M444" s="159">
        <v>4.0</v>
      </c>
      <c r="N444" s="159">
        <v>4.0</v>
      </c>
      <c r="O444" s="159">
        <v>4.0</v>
      </c>
      <c r="P444" s="159">
        <v>4.0</v>
      </c>
      <c r="Q444" s="171"/>
      <c r="R444" s="159">
        <v>4.0</v>
      </c>
      <c r="S444" s="159">
        <v>5.0</v>
      </c>
      <c r="T444" s="159">
        <v>5.0</v>
      </c>
      <c r="U444" s="159">
        <v>5.0</v>
      </c>
      <c r="V444" s="159">
        <v>5.0</v>
      </c>
      <c r="W444" s="159">
        <v>5.0</v>
      </c>
      <c r="X444" s="161"/>
      <c r="Y444" s="161"/>
      <c r="Z444" s="161"/>
      <c r="AA444" s="161"/>
      <c r="AB444" s="161"/>
      <c r="AC444" s="159">
        <v>4.333333333333333</v>
      </c>
      <c r="AD444" s="159"/>
    </row>
    <row r="445">
      <c r="A445" s="162">
        <v>103980.0</v>
      </c>
      <c r="B445" s="163" t="s">
        <v>1166</v>
      </c>
      <c r="C445" s="164" t="s">
        <v>1167</v>
      </c>
      <c r="D445" s="165">
        <v>45260.0</v>
      </c>
      <c r="E445" s="164" t="s">
        <v>87</v>
      </c>
      <c r="F445" s="161"/>
      <c r="G445" s="161"/>
      <c r="H445" s="159">
        <v>5.0</v>
      </c>
      <c r="I445" s="159">
        <v>5.0</v>
      </c>
      <c r="J445" s="159">
        <v>5.0</v>
      </c>
      <c r="K445" s="159">
        <v>5.0</v>
      </c>
      <c r="L445" s="159">
        <v>5.0</v>
      </c>
      <c r="M445" s="159">
        <v>5.0</v>
      </c>
      <c r="N445" s="159">
        <v>5.0</v>
      </c>
      <c r="O445" s="159">
        <v>5.0</v>
      </c>
      <c r="P445" s="159">
        <v>5.0</v>
      </c>
      <c r="Q445" s="159">
        <v>5.0</v>
      </c>
      <c r="R445" s="159">
        <v>5.0</v>
      </c>
      <c r="S445" s="159">
        <v>5.0</v>
      </c>
      <c r="T445" s="159">
        <v>5.0</v>
      </c>
      <c r="U445" s="159">
        <v>5.0</v>
      </c>
      <c r="V445" s="159">
        <v>5.0</v>
      </c>
      <c r="W445" s="159">
        <v>5.0</v>
      </c>
      <c r="X445" s="161"/>
      <c r="Y445" s="161"/>
      <c r="Z445" s="161"/>
      <c r="AA445" s="161"/>
      <c r="AB445" s="161"/>
      <c r="AC445" s="159">
        <v>5.0</v>
      </c>
      <c r="AD445" s="159"/>
    </row>
    <row r="446">
      <c r="A446" s="162">
        <v>103775.0</v>
      </c>
      <c r="B446" s="163" t="s">
        <v>1168</v>
      </c>
      <c r="C446" s="164" t="s">
        <v>1169</v>
      </c>
      <c r="D446" s="165">
        <v>45260.0</v>
      </c>
      <c r="E446" s="164" t="s">
        <v>98</v>
      </c>
      <c r="F446" s="161"/>
      <c r="G446" s="161"/>
      <c r="H446" s="159">
        <v>5.0</v>
      </c>
      <c r="I446" s="159">
        <v>5.0</v>
      </c>
      <c r="J446" s="159">
        <v>5.0</v>
      </c>
      <c r="K446" s="159">
        <v>5.0</v>
      </c>
      <c r="L446" s="159">
        <v>5.0</v>
      </c>
      <c r="M446" s="159">
        <v>5.0</v>
      </c>
      <c r="N446" s="159">
        <v>5.0</v>
      </c>
      <c r="O446" s="159">
        <v>5.0</v>
      </c>
      <c r="P446" s="159">
        <v>5.0</v>
      </c>
      <c r="Q446" s="159">
        <v>5.0</v>
      </c>
      <c r="R446" s="159">
        <v>5.0</v>
      </c>
      <c r="S446" s="159">
        <v>5.0</v>
      </c>
      <c r="T446" s="159">
        <v>5.0</v>
      </c>
      <c r="U446" s="159">
        <v>5.0</v>
      </c>
      <c r="V446" s="159">
        <v>5.0</v>
      </c>
      <c r="W446" s="159">
        <v>5.0</v>
      </c>
      <c r="X446" s="161"/>
      <c r="Y446" s="161"/>
      <c r="Z446" s="161"/>
      <c r="AA446" s="161"/>
      <c r="AB446" s="161"/>
      <c r="AC446" s="159">
        <v>5.0</v>
      </c>
      <c r="AD446" s="171"/>
    </row>
    <row r="447">
      <c r="A447" s="162">
        <v>104002.0</v>
      </c>
      <c r="B447" s="163" t="s">
        <v>1170</v>
      </c>
      <c r="C447" s="164" t="s">
        <v>1171</v>
      </c>
      <c r="D447" s="165">
        <v>45266.0</v>
      </c>
      <c r="E447" s="164" t="s">
        <v>398</v>
      </c>
      <c r="F447" s="161"/>
      <c r="G447" s="161"/>
      <c r="H447" s="159">
        <v>5.0</v>
      </c>
      <c r="I447" s="159">
        <v>5.0</v>
      </c>
      <c r="J447" s="159">
        <v>5.0</v>
      </c>
      <c r="K447" s="159">
        <v>5.0</v>
      </c>
      <c r="L447" s="159">
        <v>5.0</v>
      </c>
      <c r="M447" s="159">
        <v>5.0</v>
      </c>
      <c r="N447" s="159">
        <v>5.0</v>
      </c>
      <c r="O447" s="159">
        <v>5.0</v>
      </c>
      <c r="P447" s="159">
        <v>5.0</v>
      </c>
      <c r="Q447" s="159">
        <v>5.0</v>
      </c>
      <c r="R447" s="159">
        <v>5.0</v>
      </c>
      <c r="S447" s="159">
        <v>5.0</v>
      </c>
      <c r="T447" s="159">
        <v>5.0</v>
      </c>
      <c r="U447" s="159">
        <v>5.0</v>
      </c>
      <c r="V447" s="159">
        <v>5.0</v>
      </c>
      <c r="W447" s="159">
        <v>5.0</v>
      </c>
      <c r="X447" s="161"/>
      <c r="Y447" s="161"/>
      <c r="Z447" s="161"/>
      <c r="AA447" s="161"/>
      <c r="AB447" s="161"/>
      <c r="AC447" s="159">
        <v>5.0</v>
      </c>
      <c r="AD447" s="159"/>
    </row>
    <row r="448">
      <c r="A448" s="162">
        <v>103926.0</v>
      </c>
      <c r="B448" s="163" t="s">
        <v>1172</v>
      </c>
      <c r="C448" s="164" t="s">
        <v>1173</v>
      </c>
      <c r="D448" s="165">
        <v>45267.0</v>
      </c>
      <c r="E448" s="164" t="s">
        <v>1174</v>
      </c>
      <c r="F448" s="161"/>
      <c r="G448" s="161"/>
      <c r="H448" s="159">
        <v>5.0</v>
      </c>
      <c r="I448" s="159">
        <v>5.0</v>
      </c>
      <c r="J448" s="159">
        <v>5.0</v>
      </c>
      <c r="K448" s="159">
        <v>5.0</v>
      </c>
      <c r="L448" s="159">
        <v>5.0</v>
      </c>
      <c r="M448" s="159">
        <v>5.0</v>
      </c>
      <c r="N448" s="159">
        <v>5.0</v>
      </c>
      <c r="O448" s="159">
        <v>5.0</v>
      </c>
      <c r="P448" s="159">
        <v>5.0</v>
      </c>
      <c r="Q448" s="159">
        <v>5.0</v>
      </c>
      <c r="R448" s="159">
        <v>5.0</v>
      </c>
      <c r="S448" s="159">
        <v>4.2</v>
      </c>
      <c r="T448" s="159">
        <v>4.2</v>
      </c>
      <c r="U448" s="159">
        <v>4.2</v>
      </c>
      <c r="V448" s="159">
        <v>4.2</v>
      </c>
      <c r="W448" s="159">
        <v>4.2</v>
      </c>
      <c r="X448" s="161"/>
      <c r="Y448" s="161"/>
      <c r="Z448" s="161"/>
      <c r="AA448" s="161"/>
      <c r="AB448" s="161"/>
      <c r="AC448" s="159">
        <v>4.733333333333333</v>
      </c>
      <c r="AD448" s="159"/>
    </row>
    <row r="449">
      <c r="A449" s="162">
        <v>103849.0</v>
      </c>
      <c r="B449" s="163"/>
      <c r="C449" s="164" t="s">
        <v>1175</v>
      </c>
      <c r="D449" s="165">
        <v>45268.0</v>
      </c>
      <c r="E449" s="164" t="s">
        <v>113</v>
      </c>
      <c r="F449" s="161"/>
      <c r="G449" s="161"/>
      <c r="H449" s="159">
        <v>5.0</v>
      </c>
      <c r="I449" s="159">
        <v>5.0</v>
      </c>
      <c r="J449" s="159">
        <v>5.0</v>
      </c>
      <c r="K449" s="159">
        <v>5.0</v>
      </c>
      <c r="L449" s="159">
        <v>5.0</v>
      </c>
      <c r="M449" s="159">
        <v>5.0</v>
      </c>
      <c r="N449" s="159">
        <v>5.0</v>
      </c>
      <c r="O449" s="159">
        <v>5.0</v>
      </c>
      <c r="P449" s="159">
        <v>5.0</v>
      </c>
      <c r="Q449" s="159">
        <v>5.0</v>
      </c>
      <c r="R449" s="159">
        <v>5.0</v>
      </c>
      <c r="S449" s="159">
        <v>5.0</v>
      </c>
      <c r="T449" s="159">
        <v>5.0</v>
      </c>
      <c r="U449" s="159">
        <v>5.0</v>
      </c>
      <c r="V449" s="159">
        <v>5.0</v>
      </c>
      <c r="W449" s="159">
        <v>5.0</v>
      </c>
      <c r="X449" s="161"/>
      <c r="Y449" s="161"/>
      <c r="Z449" s="161"/>
      <c r="AA449" s="161"/>
      <c r="AB449" s="161"/>
      <c r="AC449" s="159">
        <v>5.0</v>
      </c>
      <c r="AD449" s="171"/>
    </row>
    <row r="450">
      <c r="A450" s="162">
        <v>104021.0</v>
      </c>
      <c r="B450" s="163" t="s">
        <v>1176</v>
      </c>
      <c r="C450" s="164" t="s">
        <v>1177</v>
      </c>
      <c r="D450" s="165">
        <v>45272.0</v>
      </c>
      <c r="E450" s="164" t="s">
        <v>1140</v>
      </c>
      <c r="F450" s="161"/>
      <c r="G450" s="161"/>
      <c r="H450" s="159">
        <v>4.0</v>
      </c>
      <c r="I450" s="159">
        <v>4.0</v>
      </c>
      <c r="J450" s="159">
        <v>4.0</v>
      </c>
      <c r="K450" s="159">
        <v>4.0</v>
      </c>
      <c r="L450" s="159">
        <v>4.0</v>
      </c>
      <c r="M450" s="159">
        <v>4.0</v>
      </c>
      <c r="N450" s="159">
        <v>4.0</v>
      </c>
      <c r="O450" s="159">
        <v>4.0</v>
      </c>
      <c r="P450" s="159">
        <v>4.0</v>
      </c>
      <c r="Q450" s="159">
        <v>4.0</v>
      </c>
      <c r="R450" s="159">
        <v>4.0</v>
      </c>
      <c r="S450" s="159">
        <v>4.0</v>
      </c>
      <c r="T450" s="159">
        <v>4.0</v>
      </c>
      <c r="U450" s="159">
        <v>4.0</v>
      </c>
      <c r="V450" s="159">
        <v>4.0</v>
      </c>
      <c r="W450" s="159">
        <v>4.0</v>
      </c>
      <c r="X450" s="161"/>
      <c r="Y450" s="161"/>
      <c r="Z450" s="161"/>
      <c r="AA450" s="161"/>
      <c r="AB450" s="161"/>
      <c r="AC450" s="159">
        <v>4.0</v>
      </c>
      <c r="AD450" s="159"/>
    </row>
    <row r="451">
      <c r="A451" s="162">
        <v>103600.0</v>
      </c>
      <c r="B451" s="163" t="s">
        <v>1178</v>
      </c>
      <c r="C451" s="164" t="s">
        <v>1179</v>
      </c>
      <c r="D451" s="165">
        <v>45278.0</v>
      </c>
      <c r="E451" s="164" t="s">
        <v>295</v>
      </c>
      <c r="F451" s="161"/>
      <c r="G451" s="161"/>
      <c r="H451" s="159">
        <v>5.0</v>
      </c>
      <c r="I451" s="159">
        <v>5.0</v>
      </c>
      <c r="J451" s="159">
        <v>5.0</v>
      </c>
      <c r="K451" s="159">
        <v>5.0</v>
      </c>
      <c r="L451" s="159">
        <v>5.0</v>
      </c>
      <c r="M451" s="159">
        <v>5.0</v>
      </c>
      <c r="N451" s="159">
        <v>5.0</v>
      </c>
      <c r="O451" s="159">
        <v>5.0</v>
      </c>
      <c r="P451" s="159">
        <v>5.0</v>
      </c>
      <c r="Q451" s="159">
        <v>5.0</v>
      </c>
      <c r="R451" s="159">
        <v>5.0</v>
      </c>
      <c r="S451" s="159">
        <v>5.0</v>
      </c>
      <c r="T451" s="159">
        <v>5.0</v>
      </c>
      <c r="U451" s="159">
        <v>5.0</v>
      </c>
      <c r="V451" s="159">
        <v>5.0</v>
      </c>
      <c r="W451" s="159">
        <v>5.0</v>
      </c>
      <c r="X451" s="161"/>
      <c r="Y451" s="161"/>
      <c r="Z451" s="161"/>
      <c r="AA451" s="161"/>
      <c r="AB451" s="161"/>
      <c r="AC451" s="159">
        <v>5.0</v>
      </c>
      <c r="AD451" s="159"/>
    </row>
    <row r="452">
      <c r="A452" s="162">
        <v>103418.0</v>
      </c>
      <c r="B452" s="163" t="s">
        <v>1180</v>
      </c>
      <c r="C452" s="164" t="s">
        <v>1181</v>
      </c>
      <c r="D452" s="165">
        <v>45294.0</v>
      </c>
      <c r="E452" s="164" t="s">
        <v>1140</v>
      </c>
      <c r="F452" s="161"/>
      <c r="G452" s="161"/>
      <c r="H452" s="159">
        <v>5.0</v>
      </c>
      <c r="I452" s="159">
        <v>5.0</v>
      </c>
      <c r="J452" s="159">
        <v>5.0</v>
      </c>
      <c r="K452" s="159">
        <v>5.0</v>
      </c>
      <c r="L452" s="159">
        <v>5.0</v>
      </c>
      <c r="M452" s="159">
        <v>5.0</v>
      </c>
      <c r="N452" s="159">
        <v>5.0</v>
      </c>
      <c r="O452" s="159">
        <v>5.0</v>
      </c>
      <c r="P452" s="159">
        <v>5.0</v>
      </c>
      <c r="Q452" s="159">
        <v>5.0</v>
      </c>
      <c r="R452" s="159">
        <v>5.0</v>
      </c>
      <c r="S452" s="159">
        <v>4.5</v>
      </c>
      <c r="T452" s="159">
        <v>4.5</v>
      </c>
      <c r="U452" s="159">
        <v>4.5</v>
      </c>
      <c r="V452" s="159">
        <v>4.5</v>
      </c>
      <c r="W452" s="159">
        <v>4.5</v>
      </c>
      <c r="X452" s="161"/>
      <c r="Y452" s="161"/>
      <c r="Z452" s="161"/>
      <c r="AA452" s="161"/>
      <c r="AB452" s="161"/>
      <c r="AC452" s="159">
        <v>4.833333333333333</v>
      </c>
      <c r="AD452" s="185">
        <f> AVERAGE(AC449:AC452)</f>
        <v>4.708333333</v>
      </c>
    </row>
    <row r="453">
      <c r="A453" s="162">
        <v>104060.0</v>
      </c>
      <c r="B453" s="163" t="s">
        <v>1182</v>
      </c>
      <c r="C453" s="164" t="s">
        <v>1183</v>
      </c>
      <c r="D453" s="165">
        <v>45301.0</v>
      </c>
      <c r="E453" s="164" t="s">
        <v>1184</v>
      </c>
      <c r="F453" s="161"/>
      <c r="G453" s="161"/>
      <c r="H453" s="159">
        <v>4.5</v>
      </c>
      <c r="I453" s="159">
        <v>5.0</v>
      </c>
      <c r="J453" s="159">
        <v>4.5</v>
      </c>
      <c r="K453" s="159">
        <v>5.0</v>
      </c>
      <c r="L453" s="159">
        <v>5.0</v>
      </c>
      <c r="M453" s="159">
        <v>4.8</v>
      </c>
      <c r="N453" s="159">
        <v>4.5</v>
      </c>
      <c r="O453" s="159">
        <v>5.0</v>
      </c>
      <c r="P453" s="159">
        <v>4.5</v>
      </c>
      <c r="Q453" s="159">
        <v>5.0</v>
      </c>
      <c r="R453" s="159">
        <v>4.75</v>
      </c>
      <c r="S453" s="159">
        <v>4.2</v>
      </c>
      <c r="T453" s="159">
        <v>4.0</v>
      </c>
      <c r="U453" s="159">
        <v>4.5</v>
      </c>
      <c r="V453" s="159">
        <v>4.5</v>
      </c>
      <c r="W453" s="159">
        <v>4.3</v>
      </c>
      <c r="X453" s="161"/>
      <c r="Y453" s="161"/>
      <c r="Z453" s="161"/>
      <c r="AA453" s="161"/>
      <c r="AB453" s="161"/>
      <c r="AC453" s="159">
        <v>4.616666666666667</v>
      </c>
      <c r="AD453" s="159"/>
    </row>
    <row r="454">
      <c r="A454" s="162">
        <v>104058.0</v>
      </c>
      <c r="B454" s="163" t="s">
        <v>1185</v>
      </c>
      <c r="C454" s="164" t="s">
        <v>1186</v>
      </c>
      <c r="D454" s="165">
        <v>45301.0</v>
      </c>
      <c r="E454" s="164" t="s">
        <v>51</v>
      </c>
      <c r="F454" s="161"/>
      <c r="G454" s="161"/>
      <c r="H454" s="159">
        <v>5.0</v>
      </c>
      <c r="I454" s="159">
        <v>5.0</v>
      </c>
      <c r="J454" s="159">
        <v>5.0</v>
      </c>
      <c r="K454" s="159">
        <v>5.0</v>
      </c>
      <c r="L454" s="159">
        <v>5.0</v>
      </c>
      <c r="M454" s="159">
        <v>5.0</v>
      </c>
      <c r="N454" s="159">
        <v>5.0</v>
      </c>
      <c r="O454" s="159">
        <v>5.0</v>
      </c>
      <c r="P454" s="159">
        <v>5.0</v>
      </c>
      <c r="Q454" s="159">
        <v>5.0</v>
      </c>
      <c r="R454" s="159">
        <v>5.0</v>
      </c>
      <c r="S454" s="159">
        <v>5.0</v>
      </c>
      <c r="T454" s="159">
        <v>5.0</v>
      </c>
      <c r="U454" s="159">
        <v>5.0</v>
      </c>
      <c r="V454" s="159">
        <v>5.0</v>
      </c>
      <c r="W454" s="159">
        <v>5.0</v>
      </c>
      <c r="X454" s="161"/>
      <c r="Y454" s="161"/>
      <c r="Z454" s="161"/>
      <c r="AA454" s="161"/>
      <c r="AB454" s="161"/>
      <c r="AC454" s="159">
        <v>5.0</v>
      </c>
      <c r="AD454" s="159"/>
    </row>
    <row r="455">
      <c r="A455" s="162">
        <v>104043.0</v>
      </c>
      <c r="B455" s="163" t="s">
        <v>1187</v>
      </c>
      <c r="C455" s="164" t="s">
        <v>1188</v>
      </c>
      <c r="D455" s="165">
        <v>45301.0</v>
      </c>
      <c r="E455" s="164" t="s">
        <v>51</v>
      </c>
      <c r="F455" s="161"/>
      <c r="G455" s="161"/>
      <c r="H455" s="159">
        <v>4.5</v>
      </c>
      <c r="I455" s="159">
        <v>4.5</v>
      </c>
      <c r="J455" s="159">
        <v>4.5</v>
      </c>
      <c r="K455" s="159">
        <v>4.5</v>
      </c>
      <c r="L455" s="159">
        <v>4.5</v>
      </c>
      <c r="M455" s="159">
        <v>4.5</v>
      </c>
      <c r="N455" s="159">
        <v>4.5</v>
      </c>
      <c r="O455" s="159">
        <v>4.5</v>
      </c>
      <c r="P455" s="159">
        <v>4.5</v>
      </c>
      <c r="Q455" s="159">
        <v>4.5</v>
      </c>
      <c r="R455" s="159">
        <v>4.5</v>
      </c>
      <c r="S455" s="159">
        <v>4.5</v>
      </c>
      <c r="T455" s="159">
        <v>4.5</v>
      </c>
      <c r="U455" s="159">
        <v>4.5</v>
      </c>
      <c r="V455" s="159">
        <v>4.5</v>
      </c>
      <c r="W455" s="159">
        <v>4.5</v>
      </c>
      <c r="X455" s="161"/>
      <c r="Y455" s="161"/>
      <c r="Z455" s="161"/>
      <c r="AA455" s="161"/>
      <c r="AB455" s="161"/>
      <c r="AC455" s="159">
        <v>4.5</v>
      </c>
      <c r="AD455" s="159"/>
    </row>
    <row r="456">
      <c r="A456" s="162">
        <v>104066.0</v>
      </c>
      <c r="B456" s="163" t="s">
        <v>1189</v>
      </c>
      <c r="C456" s="164" t="s">
        <v>1190</v>
      </c>
      <c r="D456" s="165">
        <v>45308.0</v>
      </c>
      <c r="E456" s="164" t="s">
        <v>483</v>
      </c>
      <c r="F456" s="161"/>
      <c r="G456" s="161"/>
      <c r="H456" s="159">
        <v>4.0</v>
      </c>
      <c r="I456" s="159">
        <v>4.0</v>
      </c>
      <c r="J456" s="159">
        <v>4.0</v>
      </c>
      <c r="K456" s="159">
        <v>3.5</v>
      </c>
      <c r="L456" s="159">
        <v>4.0</v>
      </c>
      <c r="M456" s="159">
        <v>3.9</v>
      </c>
      <c r="N456" s="159">
        <v>4.0</v>
      </c>
      <c r="O456" s="159">
        <v>4.0</v>
      </c>
      <c r="P456" s="159">
        <v>4.0</v>
      </c>
      <c r="Q456" s="159">
        <v>3.5</v>
      </c>
      <c r="R456" s="159">
        <v>3.875</v>
      </c>
      <c r="S456" s="159">
        <v>5.0</v>
      </c>
      <c r="T456" s="159">
        <v>5.0</v>
      </c>
      <c r="U456" s="159">
        <v>5.0</v>
      </c>
      <c r="V456" s="159">
        <v>5.0</v>
      </c>
      <c r="W456" s="159">
        <v>5.0</v>
      </c>
      <c r="X456" s="161"/>
      <c r="Y456" s="161"/>
      <c r="Z456" s="161"/>
      <c r="AA456" s="161"/>
      <c r="AB456" s="161"/>
      <c r="AC456" s="159">
        <v>4.258333333333334</v>
      </c>
      <c r="AD456" s="159"/>
    </row>
    <row r="457">
      <c r="A457" s="162">
        <v>103976.0</v>
      </c>
      <c r="B457" s="163" t="s">
        <v>1191</v>
      </c>
      <c r="C457" s="164" t="s">
        <v>1192</v>
      </c>
      <c r="D457" s="165">
        <v>45310.0</v>
      </c>
      <c r="E457" s="164" t="s">
        <v>87</v>
      </c>
      <c r="F457" s="161"/>
      <c r="G457" s="161"/>
      <c r="H457" s="159">
        <v>4.0</v>
      </c>
      <c r="I457" s="159">
        <v>3.5</v>
      </c>
      <c r="J457" s="159">
        <v>4.0</v>
      </c>
      <c r="K457" s="159">
        <v>4.0</v>
      </c>
      <c r="L457" s="159">
        <v>4.0</v>
      </c>
      <c r="M457" s="159">
        <v>3.9</v>
      </c>
      <c r="N457" s="159">
        <v>4.0</v>
      </c>
      <c r="O457" s="159">
        <v>3.5</v>
      </c>
      <c r="P457" s="159">
        <v>4.0</v>
      </c>
      <c r="Q457" s="159">
        <v>4.0</v>
      </c>
      <c r="R457" s="159">
        <v>3.875</v>
      </c>
      <c r="S457" s="159">
        <v>5.0</v>
      </c>
      <c r="T457" s="159">
        <v>5.0</v>
      </c>
      <c r="U457" s="159">
        <v>5.0</v>
      </c>
      <c r="V457" s="159">
        <v>5.0</v>
      </c>
      <c r="W457" s="159">
        <v>5.0</v>
      </c>
      <c r="X457" s="161"/>
      <c r="Y457" s="161"/>
      <c r="Z457" s="161"/>
      <c r="AA457" s="161"/>
      <c r="AB457" s="161"/>
      <c r="AC457" s="159">
        <v>4.258333333333334</v>
      </c>
      <c r="AD457" s="159"/>
    </row>
    <row r="458">
      <c r="A458" s="162">
        <v>104063.0</v>
      </c>
      <c r="B458" s="163" t="s">
        <v>1193</v>
      </c>
      <c r="C458" s="164" t="s">
        <v>1194</v>
      </c>
      <c r="D458" s="165">
        <v>45313.0</v>
      </c>
      <c r="E458" s="164" t="s">
        <v>522</v>
      </c>
      <c r="F458" s="161"/>
      <c r="G458" s="161"/>
      <c r="H458" s="159">
        <v>5.0</v>
      </c>
      <c r="I458" s="159">
        <v>5.0</v>
      </c>
      <c r="J458" s="159">
        <v>5.0</v>
      </c>
      <c r="K458" s="159">
        <v>5.0</v>
      </c>
      <c r="L458" s="159">
        <v>5.0</v>
      </c>
      <c r="M458" s="159">
        <v>5.0</v>
      </c>
      <c r="N458" s="159">
        <v>5.0</v>
      </c>
      <c r="O458" s="171"/>
      <c r="P458" s="159">
        <v>5.0</v>
      </c>
      <c r="Q458" s="159">
        <v>5.0</v>
      </c>
      <c r="R458" s="159">
        <v>5.0</v>
      </c>
      <c r="S458" s="159">
        <v>4.5</v>
      </c>
      <c r="T458" s="159">
        <v>4.5</v>
      </c>
      <c r="U458" s="159">
        <v>4.5</v>
      </c>
      <c r="V458" s="159">
        <v>4.5</v>
      </c>
      <c r="W458" s="159">
        <v>4.5</v>
      </c>
      <c r="X458" s="161"/>
      <c r="Y458" s="161"/>
      <c r="Z458" s="161"/>
      <c r="AA458" s="161"/>
      <c r="AB458" s="161"/>
      <c r="AC458" s="159">
        <v>4.833333333333333</v>
      </c>
      <c r="AD458" s="159"/>
    </row>
    <row r="459">
      <c r="A459" s="162">
        <v>104083.0</v>
      </c>
      <c r="B459" s="163" t="s">
        <v>1195</v>
      </c>
      <c r="C459" s="164" t="s">
        <v>1196</v>
      </c>
      <c r="D459" s="165">
        <v>45314.0</v>
      </c>
      <c r="E459" s="164" t="s">
        <v>87</v>
      </c>
      <c r="F459" s="161"/>
      <c r="G459" s="161"/>
      <c r="H459" s="159">
        <v>5.0</v>
      </c>
      <c r="I459" s="159">
        <v>5.0</v>
      </c>
      <c r="J459" s="159">
        <v>5.0</v>
      </c>
      <c r="K459" s="159">
        <v>5.0</v>
      </c>
      <c r="L459" s="159">
        <v>5.0</v>
      </c>
      <c r="M459" s="159">
        <v>5.0</v>
      </c>
      <c r="N459" s="171"/>
      <c r="O459" s="171"/>
      <c r="P459" s="171"/>
      <c r="Q459" s="171"/>
      <c r="R459" s="171"/>
      <c r="S459" s="159">
        <v>4.5</v>
      </c>
      <c r="T459" s="159">
        <v>4.5</v>
      </c>
      <c r="U459" s="159">
        <v>4.5</v>
      </c>
      <c r="V459" s="159">
        <v>4.5</v>
      </c>
      <c r="W459" s="159">
        <v>4.5</v>
      </c>
      <c r="X459" s="161"/>
      <c r="Y459" s="161"/>
      <c r="Z459" s="161"/>
      <c r="AA459" s="161"/>
      <c r="AB459" s="161"/>
      <c r="AC459" s="159">
        <v>4.75</v>
      </c>
      <c r="AD459" s="185">
        <f>AVERAGE(AC429:AC459)</f>
        <v>4.692473118</v>
      </c>
    </row>
    <row r="460">
      <c r="A460" s="162">
        <v>104060.0</v>
      </c>
      <c r="B460" s="163" t="s">
        <v>1197</v>
      </c>
      <c r="C460" s="164" t="s">
        <v>1183</v>
      </c>
      <c r="D460" s="165">
        <v>45315.0</v>
      </c>
      <c r="E460" s="164" t="s">
        <v>1184</v>
      </c>
      <c r="F460" s="161"/>
      <c r="G460" s="161"/>
      <c r="H460" s="159">
        <v>5.0</v>
      </c>
      <c r="I460" s="159">
        <v>5.0</v>
      </c>
      <c r="J460" s="159">
        <v>4.0</v>
      </c>
      <c r="K460" s="159">
        <v>4.5</v>
      </c>
      <c r="L460" s="159">
        <v>5.0</v>
      </c>
      <c r="M460" s="159">
        <v>4.7</v>
      </c>
      <c r="N460" s="159">
        <v>5.0</v>
      </c>
      <c r="O460" s="159">
        <v>5.0</v>
      </c>
      <c r="P460" s="159">
        <v>4.0</v>
      </c>
      <c r="Q460" s="159">
        <v>4.5</v>
      </c>
      <c r="R460" s="159">
        <v>4.625</v>
      </c>
      <c r="S460" s="159">
        <v>4.2</v>
      </c>
      <c r="T460" s="159">
        <v>4.0</v>
      </c>
      <c r="U460" s="159">
        <v>4.5</v>
      </c>
      <c r="V460" s="159">
        <v>4.5</v>
      </c>
      <c r="W460" s="159">
        <v>4.3</v>
      </c>
      <c r="X460" s="161"/>
      <c r="Y460" s="161"/>
      <c r="Z460" s="161"/>
      <c r="AA460" s="161"/>
      <c r="AB460" s="161"/>
      <c r="AC460" s="159">
        <v>4.541666666666667</v>
      </c>
      <c r="AD460" s="159"/>
    </row>
    <row r="461">
      <c r="A461" s="162">
        <v>104111.0</v>
      </c>
      <c r="B461" s="163" t="s">
        <v>1198</v>
      </c>
      <c r="C461" s="164" t="s">
        <v>1199</v>
      </c>
      <c r="D461" s="165">
        <v>45315.0</v>
      </c>
      <c r="E461" s="164" t="s">
        <v>1140</v>
      </c>
      <c r="F461" s="161"/>
      <c r="G461" s="161"/>
      <c r="H461" s="159">
        <v>5.0</v>
      </c>
      <c r="I461" s="159">
        <v>5.0</v>
      </c>
      <c r="J461" s="159">
        <v>5.0</v>
      </c>
      <c r="K461" s="159">
        <v>5.0</v>
      </c>
      <c r="L461" s="159">
        <v>5.0</v>
      </c>
      <c r="M461" s="159">
        <v>5.0</v>
      </c>
      <c r="N461" s="159">
        <v>5.0</v>
      </c>
      <c r="O461" s="159">
        <v>5.0</v>
      </c>
      <c r="P461" s="159">
        <v>5.0</v>
      </c>
      <c r="Q461" s="159">
        <v>5.0</v>
      </c>
      <c r="R461" s="159">
        <v>5.0</v>
      </c>
      <c r="S461" s="159">
        <v>4.5</v>
      </c>
      <c r="T461" s="159">
        <v>4.5</v>
      </c>
      <c r="U461" s="159">
        <v>4.5</v>
      </c>
      <c r="V461" s="159">
        <v>4.5</v>
      </c>
      <c r="W461" s="159">
        <v>4.5</v>
      </c>
      <c r="X461" s="161"/>
      <c r="Y461" s="161"/>
      <c r="Z461" s="161"/>
      <c r="AA461" s="161"/>
      <c r="AB461" s="161"/>
      <c r="AC461" s="159">
        <v>4.833333333333333</v>
      </c>
      <c r="AD461" s="159"/>
    </row>
    <row r="462">
      <c r="A462" s="162">
        <v>104112.0</v>
      </c>
      <c r="B462" s="163" t="s">
        <v>1200</v>
      </c>
      <c r="C462" s="164" t="s">
        <v>1201</v>
      </c>
      <c r="D462" s="165">
        <v>45315.0</v>
      </c>
      <c r="E462" s="164" t="s">
        <v>1140</v>
      </c>
      <c r="F462" s="161"/>
      <c r="G462" s="161"/>
      <c r="H462" s="159">
        <v>5.0</v>
      </c>
      <c r="I462" s="159">
        <v>5.0</v>
      </c>
      <c r="J462" s="159">
        <v>5.0</v>
      </c>
      <c r="K462" s="159">
        <v>5.0</v>
      </c>
      <c r="L462" s="159">
        <v>5.0</v>
      </c>
      <c r="M462" s="159">
        <v>5.0</v>
      </c>
      <c r="N462" s="159">
        <v>5.0</v>
      </c>
      <c r="O462" s="159">
        <v>5.0</v>
      </c>
      <c r="P462" s="159">
        <v>5.0</v>
      </c>
      <c r="Q462" s="159">
        <v>5.0</v>
      </c>
      <c r="R462" s="159">
        <v>5.0</v>
      </c>
      <c r="S462" s="159">
        <v>4.5</v>
      </c>
      <c r="T462" s="159">
        <v>4.5</v>
      </c>
      <c r="U462" s="159">
        <v>4.5</v>
      </c>
      <c r="V462" s="159">
        <v>4.5</v>
      </c>
      <c r="W462" s="159">
        <v>4.5</v>
      </c>
      <c r="X462" s="161"/>
      <c r="Y462" s="161"/>
      <c r="Z462" s="161"/>
      <c r="AA462" s="161"/>
      <c r="AB462" s="161"/>
      <c r="AC462" s="159">
        <v>4.833333333333333</v>
      </c>
      <c r="AD462" s="159"/>
    </row>
    <row r="463">
      <c r="A463" s="162">
        <v>104075.0</v>
      </c>
      <c r="B463" s="163" t="s">
        <v>1202</v>
      </c>
      <c r="C463" s="164" t="s">
        <v>1203</v>
      </c>
      <c r="D463" s="165">
        <v>45315.0</v>
      </c>
      <c r="E463" s="164" t="s">
        <v>94</v>
      </c>
      <c r="F463" s="161"/>
      <c r="G463" s="161"/>
      <c r="H463" s="159">
        <v>4.0</v>
      </c>
      <c r="I463" s="159">
        <v>4.0</v>
      </c>
      <c r="J463" s="159">
        <v>4.0</v>
      </c>
      <c r="K463" s="159">
        <v>4.0</v>
      </c>
      <c r="L463" s="159">
        <v>4.0</v>
      </c>
      <c r="M463" s="159">
        <v>4.0</v>
      </c>
      <c r="N463" s="159">
        <v>3.99</v>
      </c>
      <c r="O463" s="159">
        <v>3.99</v>
      </c>
      <c r="P463" s="159">
        <v>3.99</v>
      </c>
      <c r="Q463" s="159">
        <v>3.99</v>
      </c>
      <c r="R463" s="159">
        <v>3.99</v>
      </c>
      <c r="S463" s="159">
        <v>4.0</v>
      </c>
      <c r="T463" s="159">
        <v>4.0</v>
      </c>
      <c r="U463" s="159">
        <v>4.0</v>
      </c>
      <c r="V463" s="159">
        <v>4.0</v>
      </c>
      <c r="W463" s="159">
        <v>4.0</v>
      </c>
      <c r="X463" s="161"/>
      <c r="Y463" s="161"/>
      <c r="Z463" s="161"/>
      <c r="AA463" s="161"/>
      <c r="AB463" s="161"/>
      <c r="AC463" s="159">
        <v>3.9966666666666666</v>
      </c>
      <c r="AD463" s="159"/>
    </row>
    <row r="464">
      <c r="A464" s="162">
        <v>104080.0</v>
      </c>
      <c r="B464" s="163" t="s">
        <v>1204</v>
      </c>
      <c r="C464" s="164" t="s">
        <v>1205</v>
      </c>
      <c r="D464" s="165">
        <v>45315.0</v>
      </c>
      <c r="E464" s="164" t="s">
        <v>87</v>
      </c>
      <c r="F464" s="161"/>
      <c r="G464" s="161"/>
      <c r="H464" s="159">
        <v>5.0</v>
      </c>
      <c r="I464" s="159">
        <v>5.0</v>
      </c>
      <c r="J464" s="159">
        <v>5.0</v>
      </c>
      <c r="K464" s="159">
        <v>5.0</v>
      </c>
      <c r="L464" s="159">
        <v>5.0</v>
      </c>
      <c r="M464" s="159">
        <v>5.0</v>
      </c>
      <c r="N464" s="171"/>
      <c r="O464" s="171"/>
      <c r="P464" s="171"/>
      <c r="Q464" s="171"/>
      <c r="R464" s="171"/>
      <c r="S464" s="159">
        <v>4.5</v>
      </c>
      <c r="T464" s="159">
        <v>4.5</v>
      </c>
      <c r="U464" s="159">
        <v>4.5</v>
      </c>
      <c r="V464" s="159">
        <v>4.5</v>
      </c>
      <c r="W464" s="159">
        <v>4.5</v>
      </c>
      <c r="X464" s="161"/>
      <c r="Y464" s="161"/>
      <c r="Z464" s="161"/>
      <c r="AA464" s="161"/>
      <c r="AB464" s="161"/>
      <c r="AC464" s="159">
        <v>4.75</v>
      </c>
      <c r="AD464" s="171"/>
    </row>
    <row r="465">
      <c r="A465" s="162">
        <v>104105.0</v>
      </c>
      <c r="B465" s="163" t="s">
        <v>1206</v>
      </c>
      <c r="C465" s="164" t="s">
        <v>1207</v>
      </c>
      <c r="D465" s="165">
        <v>45316.0</v>
      </c>
      <c r="E465" s="164" t="s">
        <v>1208</v>
      </c>
      <c r="F465" s="161"/>
      <c r="G465" s="161"/>
      <c r="H465" s="159">
        <v>5.0</v>
      </c>
      <c r="I465" s="159">
        <v>5.0</v>
      </c>
      <c r="J465" s="159">
        <v>5.0</v>
      </c>
      <c r="K465" s="159">
        <v>5.0</v>
      </c>
      <c r="L465" s="159">
        <v>5.0</v>
      </c>
      <c r="M465" s="159">
        <v>5.0</v>
      </c>
      <c r="N465" s="159">
        <v>5.0</v>
      </c>
      <c r="O465" s="159">
        <v>4.4</v>
      </c>
      <c r="P465" s="159">
        <v>5.0</v>
      </c>
      <c r="Q465" s="159">
        <v>5.0</v>
      </c>
      <c r="R465" s="159">
        <v>4.85</v>
      </c>
      <c r="S465" s="159">
        <v>5.0</v>
      </c>
      <c r="T465" s="159">
        <v>4.5</v>
      </c>
      <c r="U465" s="159">
        <v>5.0</v>
      </c>
      <c r="V465" s="159">
        <v>5.0</v>
      </c>
      <c r="W465" s="159">
        <v>4.875</v>
      </c>
      <c r="X465" s="161"/>
      <c r="Y465" s="161"/>
      <c r="Z465" s="161"/>
      <c r="AA465" s="161"/>
      <c r="AB465" s="161"/>
      <c r="AC465" s="159">
        <v>4.908333333333333</v>
      </c>
      <c r="AD465" s="159"/>
    </row>
    <row r="466">
      <c r="A466" s="162">
        <v>104084.0</v>
      </c>
      <c r="B466" s="163" t="s">
        <v>1209</v>
      </c>
      <c r="C466" s="164" t="s">
        <v>1210</v>
      </c>
      <c r="D466" s="165">
        <v>45316.0</v>
      </c>
      <c r="E466" s="164" t="s">
        <v>483</v>
      </c>
      <c r="F466" s="161"/>
      <c r="G466" s="161"/>
      <c r="H466" s="159">
        <v>5.0</v>
      </c>
      <c r="I466" s="159">
        <v>5.0</v>
      </c>
      <c r="J466" s="159">
        <v>5.0</v>
      </c>
      <c r="K466" s="159">
        <v>5.0</v>
      </c>
      <c r="L466" s="159">
        <v>5.0</v>
      </c>
      <c r="M466" s="159">
        <v>5.0</v>
      </c>
      <c r="N466" s="171"/>
      <c r="O466" s="171"/>
      <c r="P466" s="171"/>
      <c r="Q466" s="171"/>
      <c r="R466" s="171"/>
      <c r="S466" s="159">
        <v>4.5</v>
      </c>
      <c r="T466" s="159">
        <v>4.5</v>
      </c>
      <c r="U466" s="159">
        <v>4.5</v>
      </c>
      <c r="V466" s="159">
        <v>4.5</v>
      </c>
      <c r="W466" s="159">
        <v>4.5</v>
      </c>
      <c r="X466" s="161"/>
      <c r="Y466" s="161"/>
      <c r="Z466" s="161"/>
      <c r="AA466" s="161"/>
      <c r="AB466" s="161"/>
      <c r="AC466" s="159">
        <v>4.75</v>
      </c>
      <c r="AD466" s="171"/>
    </row>
    <row r="467">
      <c r="A467" s="162">
        <v>103976.0</v>
      </c>
      <c r="B467" s="163" t="s">
        <v>1211</v>
      </c>
      <c r="C467" s="164" t="s">
        <v>1192</v>
      </c>
      <c r="D467" s="165">
        <v>45317.0</v>
      </c>
      <c r="E467" s="164" t="s">
        <v>1212</v>
      </c>
      <c r="F467" s="161"/>
      <c r="G467" s="161"/>
      <c r="H467" s="159">
        <v>4.5</v>
      </c>
      <c r="I467" s="159">
        <v>4.0</v>
      </c>
      <c r="J467" s="159">
        <v>4.0</v>
      </c>
      <c r="K467" s="159">
        <v>4.0</v>
      </c>
      <c r="L467" s="159">
        <v>4.5</v>
      </c>
      <c r="M467" s="159">
        <v>4.2</v>
      </c>
      <c r="N467" s="159">
        <v>4.5</v>
      </c>
      <c r="O467" s="159">
        <v>4.0</v>
      </c>
      <c r="P467" s="159">
        <v>4.0</v>
      </c>
      <c r="Q467" s="159">
        <v>4.0</v>
      </c>
      <c r="R467" s="159">
        <v>4.125</v>
      </c>
      <c r="S467" s="159">
        <v>5.0</v>
      </c>
      <c r="T467" s="159">
        <v>5.0</v>
      </c>
      <c r="U467" s="159">
        <v>5.0</v>
      </c>
      <c r="V467" s="159">
        <v>5.0</v>
      </c>
      <c r="W467" s="159">
        <v>5.0</v>
      </c>
      <c r="X467" s="161"/>
      <c r="Y467" s="161"/>
      <c r="Z467" s="161"/>
      <c r="AA467" s="161"/>
      <c r="AB467" s="161"/>
      <c r="AC467" s="159">
        <v>4.441666666666666</v>
      </c>
      <c r="AD467" s="159"/>
    </row>
    <row r="468">
      <c r="A468" s="162">
        <v>104093.0</v>
      </c>
      <c r="B468" s="163" t="s">
        <v>1213</v>
      </c>
      <c r="C468" s="164" t="s">
        <v>1214</v>
      </c>
      <c r="D468" s="165">
        <v>45317.0</v>
      </c>
      <c r="E468" s="164" t="s">
        <v>87</v>
      </c>
      <c r="F468" s="161"/>
      <c r="G468" s="161"/>
      <c r="H468" s="171"/>
      <c r="I468" s="171"/>
      <c r="J468" s="171"/>
      <c r="K468" s="171"/>
      <c r="L468" s="171"/>
      <c r="M468" s="171"/>
      <c r="N468" s="159">
        <v>5.0</v>
      </c>
      <c r="O468" s="159">
        <v>5.0</v>
      </c>
      <c r="P468" s="159">
        <v>5.0</v>
      </c>
      <c r="Q468" s="159">
        <v>5.0</v>
      </c>
      <c r="R468" s="159">
        <v>5.0</v>
      </c>
      <c r="S468" s="171"/>
      <c r="T468" s="171"/>
      <c r="U468" s="171"/>
      <c r="V468" s="171"/>
      <c r="W468" s="171"/>
      <c r="X468" s="161"/>
      <c r="Y468" s="161"/>
      <c r="Z468" s="161"/>
      <c r="AA468" s="161"/>
      <c r="AB468" s="161"/>
      <c r="AC468" s="159">
        <v>5.0</v>
      </c>
      <c r="AD468" s="171"/>
    </row>
    <row r="469">
      <c r="A469" s="162">
        <v>104063.0</v>
      </c>
      <c r="B469" s="163" t="s">
        <v>1215</v>
      </c>
      <c r="C469" s="164" t="s">
        <v>1194</v>
      </c>
      <c r="D469" s="165">
        <v>45320.0</v>
      </c>
      <c r="E469" s="164" t="s">
        <v>265</v>
      </c>
      <c r="F469" s="161"/>
      <c r="G469" s="161"/>
      <c r="H469" s="159">
        <v>5.0</v>
      </c>
      <c r="I469" s="159">
        <v>5.0</v>
      </c>
      <c r="J469" s="159">
        <v>5.0</v>
      </c>
      <c r="K469" s="159">
        <v>5.0</v>
      </c>
      <c r="L469" s="159">
        <v>5.0</v>
      </c>
      <c r="M469" s="159">
        <v>5.0</v>
      </c>
      <c r="N469" s="159">
        <v>5.0</v>
      </c>
      <c r="O469" s="171"/>
      <c r="P469" s="159">
        <v>5.0</v>
      </c>
      <c r="Q469" s="159">
        <v>5.0</v>
      </c>
      <c r="R469" s="159">
        <v>5.0</v>
      </c>
      <c r="S469" s="159">
        <v>4.5</v>
      </c>
      <c r="T469" s="159">
        <v>4.5</v>
      </c>
      <c r="U469" s="159">
        <v>4.5</v>
      </c>
      <c r="V469" s="159">
        <v>4.5</v>
      </c>
      <c r="W469" s="159">
        <v>4.5</v>
      </c>
      <c r="X469" s="161"/>
      <c r="Y469" s="161"/>
      <c r="Z469" s="161"/>
      <c r="AA469" s="161"/>
      <c r="AB469" s="161"/>
      <c r="AC469" s="159">
        <v>4.833333333333333</v>
      </c>
      <c r="AD469" s="159"/>
    </row>
    <row r="470">
      <c r="A470" s="162">
        <v>104113.0</v>
      </c>
      <c r="B470" s="169"/>
      <c r="C470" s="164" t="s">
        <v>1216</v>
      </c>
      <c r="D470" s="165">
        <v>45320.0</v>
      </c>
      <c r="E470" s="164" t="s">
        <v>1140</v>
      </c>
      <c r="F470" s="161"/>
      <c r="G470" s="161"/>
      <c r="H470" s="159">
        <v>5.0</v>
      </c>
      <c r="I470" s="159">
        <v>5.0</v>
      </c>
      <c r="J470" s="159">
        <v>5.0</v>
      </c>
      <c r="K470" s="159">
        <v>5.0</v>
      </c>
      <c r="L470" s="159">
        <v>5.0</v>
      </c>
      <c r="M470" s="159">
        <v>5.0</v>
      </c>
      <c r="N470" s="159">
        <v>5.0</v>
      </c>
      <c r="O470" s="159">
        <v>5.0</v>
      </c>
      <c r="P470" s="159">
        <v>5.0</v>
      </c>
      <c r="Q470" s="159">
        <v>5.0</v>
      </c>
      <c r="R470" s="159">
        <v>5.0</v>
      </c>
      <c r="S470" s="159">
        <v>4.5</v>
      </c>
      <c r="T470" s="159">
        <v>4.5</v>
      </c>
      <c r="U470" s="159">
        <v>4.5</v>
      </c>
      <c r="V470" s="159">
        <v>4.5</v>
      </c>
      <c r="W470" s="159">
        <v>4.5</v>
      </c>
      <c r="X470" s="161"/>
      <c r="Y470" s="161"/>
      <c r="Z470" s="161"/>
      <c r="AA470" s="161"/>
      <c r="AB470" s="161"/>
      <c r="AC470" s="159">
        <v>4.833333333333333</v>
      </c>
      <c r="AD470" s="159"/>
    </row>
    <row r="471">
      <c r="A471" s="162">
        <v>103067.0</v>
      </c>
      <c r="B471" s="163" t="s">
        <v>1217</v>
      </c>
      <c r="C471" s="164" t="s">
        <v>1218</v>
      </c>
      <c r="D471" s="165">
        <v>45322.0</v>
      </c>
      <c r="E471" s="164" t="s">
        <v>295</v>
      </c>
      <c r="F471" s="161"/>
      <c r="G471" s="161"/>
      <c r="H471" s="159">
        <v>4.0</v>
      </c>
      <c r="I471" s="159">
        <v>4.0</v>
      </c>
      <c r="J471" s="159">
        <v>4.0</v>
      </c>
      <c r="K471" s="159">
        <v>4.0</v>
      </c>
      <c r="L471" s="159">
        <v>4.0</v>
      </c>
      <c r="M471" s="159">
        <v>4.0</v>
      </c>
      <c r="N471" s="159">
        <v>4.0</v>
      </c>
      <c r="O471" s="159">
        <v>4.0</v>
      </c>
      <c r="P471" s="159">
        <v>4.0</v>
      </c>
      <c r="Q471" s="159">
        <v>4.0</v>
      </c>
      <c r="R471" s="159">
        <v>4.0</v>
      </c>
      <c r="S471" s="159">
        <v>4.0</v>
      </c>
      <c r="T471" s="159">
        <v>4.0</v>
      </c>
      <c r="U471" s="159">
        <v>4.0</v>
      </c>
      <c r="V471" s="159">
        <v>4.0</v>
      </c>
      <c r="W471" s="159">
        <v>4.0</v>
      </c>
      <c r="X471" s="161"/>
      <c r="Y471" s="161"/>
      <c r="Z471" s="161"/>
      <c r="AA471" s="161"/>
      <c r="AB471" s="161"/>
      <c r="AC471" s="159">
        <v>4.0</v>
      </c>
      <c r="AD471" s="159"/>
    </row>
    <row r="472">
      <c r="A472" s="162">
        <v>103139.0</v>
      </c>
      <c r="B472" s="163" t="s">
        <v>1219</v>
      </c>
      <c r="C472" s="164" t="s">
        <v>1220</v>
      </c>
      <c r="D472" s="165">
        <v>45322.0</v>
      </c>
      <c r="E472" s="164" t="s">
        <v>295</v>
      </c>
      <c r="F472" s="161"/>
      <c r="G472" s="161"/>
      <c r="H472" s="159">
        <v>4.0</v>
      </c>
      <c r="I472" s="159">
        <v>4.0</v>
      </c>
      <c r="J472" s="159">
        <v>4.0</v>
      </c>
      <c r="K472" s="159">
        <v>4.0</v>
      </c>
      <c r="L472" s="159">
        <v>4.0</v>
      </c>
      <c r="M472" s="159">
        <v>4.0</v>
      </c>
      <c r="N472" s="159">
        <v>4.0</v>
      </c>
      <c r="O472" s="159">
        <v>4.0</v>
      </c>
      <c r="P472" s="159">
        <v>4.0</v>
      </c>
      <c r="Q472" s="159">
        <v>4.0</v>
      </c>
      <c r="R472" s="159">
        <v>4.0</v>
      </c>
      <c r="S472" s="159">
        <v>4.0</v>
      </c>
      <c r="T472" s="159">
        <v>4.0</v>
      </c>
      <c r="U472" s="159">
        <v>4.0</v>
      </c>
      <c r="V472" s="159">
        <v>4.0</v>
      </c>
      <c r="W472" s="159">
        <v>4.0</v>
      </c>
      <c r="X472" s="161"/>
      <c r="Y472" s="161"/>
      <c r="Z472" s="161"/>
      <c r="AA472" s="161"/>
      <c r="AB472" s="161"/>
      <c r="AC472" s="159">
        <v>4.0</v>
      </c>
      <c r="AD472" s="159"/>
    </row>
    <row r="473">
      <c r="A473" s="162">
        <v>103146.0</v>
      </c>
      <c r="B473" s="163" t="s">
        <v>1221</v>
      </c>
      <c r="C473" s="164" t="s">
        <v>1222</v>
      </c>
      <c r="D473" s="165">
        <v>45322.0</v>
      </c>
      <c r="E473" s="164" t="s">
        <v>398</v>
      </c>
      <c r="F473" s="161"/>
      <c r="G473" s="161"/>
      <c r="H473" s="159">
        <v>4.0</v>
      </c>
      <c r="I473" s="159">
        <v>4.0</v>
      </c>
      <c r="J473" s="159">
        <v>4.0</v>
      </c>
      <c r="K473" s="159">
        <v>4.0</v>
      </c>
      <c r="L473" s="159">
        <v>4.0</v>
      </c>
      <c r="M473" s="159">
        <v>4.0</v>
      </c>
      <c r="N473" s="159">
        <v>4.0</v>
      </c>
      <c r="O473" s="159">
        <v>4.0</v>
      </c>
      <c r="P473" s="159">
        <v>4.0</v>
      </c>
      <c r="Q473" s="159">
        <v>4.0</v>
      </c>
      <c r="R473" s="159">
        <v>4.0</v>
      </c>
      <c r="S473" s="159">
        <v>4.0</v>
      </c>
      <c r="T473" s="159">
        <v>4.0</v>
      </c>
      <c r="U473" s="159">
        <v>4.0</v>
      </c>
      <c r="V473" s="159">
        <v>4.0</v>
      </c>
      <c r="W473" s="159">
        <v>4.0</v>
      </c>
      <c r="X473" s="161"/>
      <c r="Y473" s="161"/>
      <c r="Z473" s="161"/>
      <c r="AA473" s="161"/>
      <c r="AB473" s="161"/>
      <c r="AC473" s="159">
        <v>4.0</v>
      </c>
      <c r="AD473" s="159"/>
    </row>
    <row r="474">
      <c r="A474" s="162">
        <v>103077.0</v>
      </c>
      <c r="B474" s="163" t="s">
        <v>1223</v>
      </c>
      <c r="C474" s="164" t="s">
        <v>1224</v>
      </c>
      <c r="D474" s="165">
        <v>45322.0</v>
      </c>
      <c r="E474" s="164" t="s">
        <v>625</v>
      </c>
      <c r="F474" s="161"/>
      <c r="G474" s="161"/>
      <c r="H474" s="159">
        <v>4.0</v>
      </c>
      <c r="I474" s="159">
        <v>4.0</v>
      </c>
      <c r="J474" s="159">
        <v>4.0</v>
      </c>
      <c r="K474" s="159">
        <v>4.0</v>
      </c>
      <c r="L474" s="159">
        <v>4.0</v>
      </c>
      <c r="M474" s="159">
        <v>4.0</v>
      </c>
      <c r="N474" s="159">
        <v>4.0</v>
      </c>
      <c r="O474" s="159">
        <v>4.0</v>
      </c>
      <c r="P474" s="159">
        <v>4.0</v>
      </c>
      <c r="Q474" s="159">
        <v>4.0</v>
      </c>
      <c r="R474" s="159">
        <v>4.0</v>
      </c>
      <c r="S474" s="159">
        <v>4.0</v>
      </c>
      <c r="T474" s="159">
        <v>4.0</v>
      </c>
      <c r="U474" s="159">
        <v>4.0</v>
      </c>
      <c r="V474" s="159">
        <v>4.0</v>
      </c>
      <c r="W474" s="159">
        <v>4.0</v>
      </c>
      <c r="X474" s="161"/>
      <c r="Y474" s="161"/>
      <c r="Z474" s="161"/>
      <c r="AA474" s="161"/>
      <c r="AB474" s="161"/>
      <c r="AC474" s="159">
        <v>4.0</v>
      </c>
      <c r="AD474" s="159"/>
    </row>
    <row r="475">
      <c r="A475" s="162">
        <v>104123.0</v>
      </c>
      <c r="B475" s="163" t="s">
        <v>1225</v>
      </c>
      <c r="C475" s="164" t="s">
        <v>1226</v>
      </c>
      <c r="D475" s="165">
        <v>45324.0</v>
      </c>
      <c r="E475" s="164" t="s">
        <v>806</v>
      </c>
      <c r="F475" s="161"/>
      <c r="G475" s="161"/>
      <c r="H475" s="159">
        <v>5.0</v>
      </c>
      <c r="I475" s="159">
        <v>5.0</v>
      </c>
      <c r="J475" s="159">
        <v>4.0</v>
      </c>
      <c r="K475" s="159">
        <v>4.0</v>
      </c>
      <c r="L475" s="159">
        <v>5.0</v>
      </c>
      <c r="M475" s="159">
        <v>4.6</v>
      </c>
      <c r="N475" s="159">
        <v>5.0</v>
      </c>
      <c r="O475" s="159">
        <v>5.0</v>
      </c>
      <c r="P475" s="159">
        <v>4.0</v>
      </c>
      <c r="Q475" s="159">
        <v>4.0</v>
      </c>
      <c r="R475" s="159">
        <v>4.5</v>
      </c>
      <c r="S475" s="159">
        <v>5.0</v>
      </c>
      <c r="T475" s="159">
        <v>5.0</v>
      </c>
      <c r="U475" s="159">
        <v>4.0</v>
      </c>
      <c r="V475" s="159">
        <v>4.0</v>
      </c>
      <c r="W475" s="159">
        <v>4.5</v>
      </c>
      <c r="X475" s="161"/>
      <c r="Y475" s="161"/>
      <c r="Z475" s="161"/>
      <c r="AA475" s="161"/>
      <c r="AB475" s="161"/>
      <c r="AC475" s="159">
        <v>4.533333333333333</v>
      </c>
      <c r="AD475" s="159"/>
    </row>
    <row r="476">
      <c r="A476" s="162">
        <v>104135.0</v>
      </c>
      <c r="B476" s="163" t="s">
        <v>1227</v>
      </c>
      <c r="C476" s="164" t="s">
        <v>1228</v>
      </c>
      <c r="D476" s="165">
        <v>45327.0</v>
      </c>
      <c r="E476" s="164" t="s">
        <v>767</v>
      </c>
      <c r="F476" s="161"/>
      <c r="G476" s="161"/>
      <c r="H476" s="159">
        <v>5.0</v>
      </c>
      <c r="I476" s="159">
        <v>5.0</v>
      </c>
      <c r="J476" s="159">
        <v>5.0</v>
      </c>
      <c r="K476" s="159">
        <v>5.0</v>
      </c>
      <c r="L476" s="159">
        <v>5.0</v>
      </c>
      <c r="M476" s="159">
        <v>5.0</v>
      </c>
      <c r="N476" s="159">
        <v>5.0</v>
      </c>
      <c r="O476" s="159">
        <v>5.0</v>
      </c>
      <c r="P476" s="159">
        <v>5.0</v>
      </c>
      <c r="Q476" s="159">
        <v>5.0</v>
      </c>
      <c r="R476" s="159">
        <v>5.0</v>
      </c>
      <c r="S476" s="159">
        <v>4.2</v>
      </c>
      <c r="T476" s="159">
        <v>4.2</v>
      </c>
      <c r="U476" s="159">
        <v>4.2</v>
      </c>
      <c r="V476" s="159">
        <v>4.2</v>
      </c>
      <c r="W476" s="159">
        <v>4.2</v>
      </c>
      <c r="X476" s="161"/>
      <c r="Y476" s="161"/>
      <c r="Z476" s="161"/>
      <c r="AA476" s="161"/>
      <c r="AB476" s="161"/>
      <c r="AC476" s="159">
        <v>4.733333333333333</v>
      </c>
      <c r="AD476" s="159"/>
    </row>
    <row r="477">
      <c r="A477" s="162">
        <v>104110.0</v>
      </c>
      <c r="B477" s="163" t="s">
        <v>1229</v>
      </c>
      <c r="C477" s="164" t="s">
        <v>1230</v>
      </c>
      <c r="D477" s="165">
        <v>45327.0</v>
      </c>
      <c r="E477" s="164" t="s">
        <v>94</v>
      </c>
      <c r="F477" s="161"/>
      <c r="G477" s="161"/>
      <c r="H477" s="171"/>
      <c r="I477" s="171"/>
      <c r="J477" s="171"/>
      <c r="K477" s="171"/>
      <c r="L477" s="171"/>
      <c r="M477" s="171"/>
      <c r="N477" s="159">
        <v>5.0</v>
      </c>
      <c r="O477" s="159">
        <v>5.0</v>
      </c>
      <c r="P477" s="159">
        <v>5.0</v>
      </c>
      <c r="Q477" s="159">
        <v>5.0</v>
      </c>
      <c r="R477" s="159">
        <v>5.0</v>
      </c>
      <c r="S477" s="171"/>
      <c r="T477" s="171"/>
      <c r="U477" s="171"/>
      <c r="V477" s="171"/>
      <c r="W477" s="171"/>
      <c r="X477" s="161"/>
      <c r="Y477" s="161"/>
      <c r="Z477" s="161"/>
      <c r="AA477" s="161"/>
      <c r="AB477" s="161"/>
      <c r="AC477" s="159">
        <v>5.0</v>
      </c>
      <c r="AD477" s="171"/>
    </row>
    <row r="478">
      <c r="A478" s="162">
        <v>104130.0</v>
      </c>
      <c r="B478" s="163" t="s">
        <v>1231</v>
      </c>
      <c r="C478" s="164" t="s">
        <v>1232</v>
      </c>
      <c r="D478" s="165">
        <v>45329.0</v>
      </c>
      <c r="E478" s="164" t="s">
        <v>295</v>
      </c>
      <c r="F478" s="161"/>
      <c r="G478" s="161"/>
      <c r="H478" s="171"/>
      <c r="I478" s="171"/>
      <c r="J478" s="171"/>
      <c r="K478" s="171"/>
      <c r="L478" s="171"/>
      <c r="M478" s="171"/>
      <c r="N478" s="159">
        <v>4.0</v>
      </c>
      <c r="O478" s="159">
        <v>4.0</v>
      </c>
      <c r="P478" s="159">
        <v>4.0</v>
      </c>
      <c r="Q478" s="159">
        <v>4.0</v>
      </c>
      <c r="R478" s="159">
        <v>4.0</v>
      </c>
      <c r="S478" s="171"/>
      <c r="T478" s="171"/>
      <c r="U478" s="171"/>
      <c r="V478" s="171"/>
      <c r="W478" s="171"/>
      <c r="X478" s="161"/>
      <c r="Y478" s="161"/>
      <c r="Z478" s="161"/>
      <c r="AA478" s="161"/>
      <c r="AB478" s="161"/>
      <c r="AC478" s="159">
        <v>4.0</v>
      </c>
      <c r="AD478" s="171"/>
    </row>
    <row r="479">
      <c r="A479" s="162">
        <v>104131.0</v>
      </c>
      <c r="B479" s="163" t="s">
        <v>1233</v>
      </c>
      <c r="C479" s="164" t="s">
        <v>1234</v>
      </c>
      <c r="D479" s="165">
        <v>45331.0</v>
      </c>
      <c r="E479" s="164" t="s">
        <v>295</v>
      </c>
      <c r="F479" s="161"/>
      <c r="G479" s="161"/>
      <c r="H479" s="171"/>
      <c r="I479" s="171"/>
      <c r="J479" s="171"/>
      <c r="K479" s="171"/>
      <c r="L479" s="171"/>
      <c r="M479" s="171"/>
      <c r="N479" s="159">
        <v>4.5</v>
      </c>
      <c r="O479" s="159">
        <v>4.5</v>
      </c>
      <c r="P479" s="159">
        <v>4.5</v>
      </c>
      <c r="Q479" s="159">
        <v>4.5</v>
      </c>
      <c r="R479" s="159">
        <v>4.5</v>
      </c>
      <c r="S479" s="171"/>
      <c r="T479" s="171"/>
      <c r="U479" s="171"/>
      <c r="V479" s="171"/>
      <c r="W479" s="171"/>
      <c r="X479" s="161"/>
      <c r="Y479" s="161"/>
      <c r="Z479" s="161"/>
      <c r="AA479" s="161"/>
      <c r="AB479" s="161"/>
      <c r="AC479" s="159">
        <v>4.5</v>
      </c>
      <c r="AD479" s="171"/>
    </row>
    <row r="480">
      <c r="A480" s="162">
        <v>104137.0</v>
      </c>
      <c r="B480" s="163" t="s">
        <v>1235</v>
      </c>
      <c r="C480" s="164" t="s">
        <v>1236</v>
      </c>
      <c r="D480" s="165">
        <v>45335.0</v>
      </c>
      <c r="E480" s="164" t="s">
        <v>767</v>
      </c>
      <c r="F480" s="161"/>
      <c r="G480" s="161"/>
      <c r="H480" s="159">
        <v>5.0</v>
      </c>
      <c r="I480" s="159">
        <v>5.0</v>
      </c>
      <c r="J480" s="159">
        <v>5.0</v>
      </c>
      <c r="K480" s="159">
        <v>5.0</v>
      </c>
      <c r="L480" s="159">
        <v>5.0</v>
      </c>
      <c r="M480" s="159">
        <v>5.0</v>
      </c>
      <c r="N480" s="159">
        <v>5.0</v>
      </c>
      <c r="O480" s="159">
        <v>5.0</v>
      </c>
      <c r="P480" s="159">
        <v>5.0</v>
      </c>
      <c r="Q480" s="159">
        <v>5.0</v>
      </c>
      <c r="R480" s="159">
        <v>5.0</v>
      </c>
      <c r="S480" s="159">
        <v>4.2</v>
      </c>
      <c r="T480" s="159">
        <v>4.2</v>
      </c>
      <c r="U480" s="159">
        <v>4.2</v>
      </c>
      <c r="V480" s="159">
        <v>4.2</v>
      </c>
      <c r="W480" s="159">
        <v>4.2</v>
      </c>
      <c r="X480" s="161"/>
      <c r="Y480" s="161"/>
      <c r="Z480" s="161"/>
      <c r="AA480" s="161"/>
      <c r="AB480" s="161"/>
      <c r="AC480" s="159">
        <v>4.733333333333333</v>
      </c>
      <c r="AD480" s="159"/>
    </row>
    <row r="481">
      <c r="A481" s="162">
        <v>104139.0</v>
      </c>
      <c r="B481" s="163" t="s">
        <v>1237</v>
      </c>
      <c r="C481" s="164" t="s">
        <v>1238</v>
      </c>
      <c r="D481" s="165">
        <v>45336.0</v>
      </c>
      <c r="E481" s="164" t="s">
        <v>247</v>
      </c>
      <c r="F481" s="161"/>
      <c r="G481" s="161"/>
      <c r="H481" s="159">
        <v>5.0</v>
      </c>
      <c r="I481" s="159">
        <v>5.0</v>
      </c>
      <c r="J481" s="159">
        <v>5.0</v>
      </c>
      <c r="K481" s="159">
        <v>5.0</v>
      </c>
      <c r="L481" s="159">
        <v>5.0</v>
      </c>
      <c r="M481" s="159">
        <v>5.0</v>
      </c>
      <c r="N481" s="159">
        <v>5.0</v>
      </c>
      <c r="O481" s="159">
        <v>5.0</v>
      </c>
      <c r="P481" s="159">
        <v>5.0</v>
      </c>
      <c r="Q481" s="159">
        <v>5.0</v>
      </c>
      <c r="R481" s="159">
        <v>5.0</v>
      </c>
      <c r="S481" s="159">
        <v>4.5</v>
      </c>
      <c r="T481" s="159">
        <v>4.5</v>
      </c>
      <c r="U481" s="159">
        <v>4.5</v>
      </c>
      <c r="V481" s="159">
        <v>4.5</v>
      </c>
      <c r="W481" s="159">
        <v>4.5</v>
      </c>
      <c r="X481" s="161"/>
      <c r="Y481" s="161"/>
      <c r="Z481" s="161"/>
      <c r="AA481" s="161"/>
      <c r="AB481" s="161"/>
      <c r="AC481" s="159">
        <v>4.833333333333333</v>
      </c>
      <c r="AD481" s="185">
        <f>AVERAGE(AC462:AC481)</f>
        <v>4.534</v>
      </c>
    </row>
    <row r="482">
      <c r="A482" s="162">
        <v>104140.0</v>
      </c>
      <c r="B482" s="163" t="s">
        <v>1239</v>
      </c>
      <c r="C482" s="164" t="s">
        <v>1240</v>
      </c>
      <c r="D482" s="165">
        <v>45336.0</v>
      </c>
      <c r="E482" s="164" t="s">
        <v>247</v>
      </c>
      <c r="F482" s="161"/>
      <c r="G482" s="161"/>
      <c r="H482" s="159">
        <v>5.0</v>
      </c>
      <c r="I482" s="159">
        <v>5.0</v>
      </c>
      <c r="J482" s="159">
        <v>5.0</v>
      </c>
      <c r="K482" s="159">
        <v>5.0</v>
      </c>
      <c r="L482" s="159">
        <v>5.0</v>
      </c>
      <c r="M482" s="159">
        <v>5.0</v>
      </c>
      <c r="N482" s="159">
        <v>5.0</v>
      </c>
      <c r="O482" s="159">
        <v>5.0</v>
      </c>
      <c r="P482" s="159">
        <v>5.0</v>
      </c>
      <c r="Q482" s="159">
        <v>5.0</v>
      </c>
      <c r="R482" s="159">
        <v>5.0</v>
      </c>
      <c r="S482" s="159">
        <v>4.5</v>
      </c>
      <c r="T482" s="159">
        <v>4.5</v>
      </c>
      <c r="U482" s="159">
        <v>4.5</v>
      </c>
      <c r="V482" s="159">
        <v>4.5</v>
      </c>
      <c r="W482" s="159">
        <v>4.5</v>
      </c>
      <c r="X482" s="161"/>
      <c r="Y482" s="161"/>
      <c r="Z482" s="161"/>
      <c r="AA482" s="161"/>
      <c r="AB482" s="161"/>
      <c r="AC482" s="159">
        <v>4.833333333333333</v>
      </c>
      <c r="AD482" s="159"/>
    </row>
    <row r="483">
      <c r="A483" s="162">
        <v>104129.0</v>
      </c>
      <c r="B483" s="163" t="s">
        <v>1241</v>
      </c>
      <c r="C483" s="164" t="s">
        <v>1242</v>
      </c>
      <c r="D483" s="165">
        <v>45337.0</v>
      </c>
      <c r="E483" s="164" t="s">
        <v>87</v>
      </c>
      <c r="F483" s="161"/>
      <c r="G483" s="161"/>
      <c r="H483" s="159">
        <v>5.0</v>
      </c>
      <c r="I483" s="159">
        <v>5.0</v>
      </c>
      <c r="J483" s="159">
        <v>5.0</v>
      </c>
      <c r="K483" s="159">
        <v>5.0</v>
      </c>
      <c r="L483" s="159">
        <v>5.0</v>
      </c>
      <c r="M483" s="159">
        <v>5.0</v>
      </c>
      <c r="N483" s="171"/>
      <c r="O483" s="171"/>
      <c r="P483" s="171"/>
      <c r="Q483" s="171"/>
      <c r="R483" s="171"/>
      <c r="S483" s="159">
        <v>4.5</v>
      </c>
      <c r="T483" s="159">
        <v>4.5</v>
      </c>
      <c r="U483" s="159">
        <v>4.5</v>
      </c>
      <c r="V483" s="159">
        <v>4.5</v>
      </c>
      <c r="W483" s="159">
        <v>4.5</v>
      </c>
      <c r="X483" s="161"/>
      <c r="Y483" s="161"/>
      <c r="Z483" s="161"/>
      <c r="AA483" s="161"/>
      <c r="AB483" s="161"/>
      <c r="AC483" s="159">
        <v>4.75</v>
      </c>
      <c r="AD483" s="171"/>
    </row>
    <row r="484">
      <c r="A484" s="162">
        <v>104138.0</v>
      </c>
      <c r="B484" s="163" t="s">
        <v>1243</v>
      </c>
      <c r="C484" s="164" t="s">
        <v>1236</v>
      </c>
      <c r="D484" s="165">
        <v>45338.0</v>
      </c>
      <c r="E484" s="164" t="s">
        <v>767</v>
      </c>
      <c r="F484" s="161"/>
      <c r="G484" s="161"/>
      <c r="H484" s="159">
        <v>5.0</v>
      </c>
      <c r="I484" s="159">
        <v>5.0</v>
      </c>
      <c r="J484" s="159">
        <v>5.0</v>
      </c>
      <c r="K484" s="159">
        <v>5.0</v>
      </c>
      <c r="L484" s="159">
        <v>5.0</v>
      </c>
      <c r="M484" s="159">
        <v>5.0</v>
      </c>
      <c r="N484" s="159">
        <v>5.0</v>
      </c>
      <c r="O484" s="159">
        <v>5.0</v>
      </c>
      <c r="P484" s="159">
        <v>5.0</v>
      </c>
      <c r="Q484" s="159">
        <v>5.0</v>
      </c>
      <c r="R484" s="159">
        <v>5.0</v>
      </c>
      <c r="S484" s="159">
        <v>4.2</v>
      </c>
      <c r="T484" s="159">
        <v>4.2</v>
      </c>
      <c r="U484" s="159">
        <v>4.2</v>
      </c>
      <c r="V484" s="159">
        <v>4.2</v>
      </c>
      <c r="W484" s="159">
        <v>4.2</v>
      </c>
      <c r="X484" s="161"/>
      <c r="Y484" s="161"/>
      <c r="Z484" s="161"/>
      <c r="AA484" s="161"/>
      <c r="AB484" s="161"/>
      <c r="AC484" s="159">
        <v>4.733333333333333</v>
      </c>
      <c r="AD484" s="159"/>
    </row>
    <row r="485">
      <c r="A485" s="162">
        <v>104136.0</v>
      </c>
      <c r="B485" s="163" t="s">
        <v>1244</v>
      </c>
      <c r="C485" s="164" t="s">
        <v>1245</v>
      </c>
      <c r="D485" s="165">
        <v>45338.0</v>
      </c>
      <c r="E485" s="164" t="s">
        <v>767</v>
      </c>
      <c r="F485" s="161"/>
      <c r="G485" s="161"/>
      <c r="H485" s="159">
        <v>5.0</v>
      </c>
      <c r="I485" s="159">
        <v>5.0</v>
      </c>
      <c r="J485" s="159">
        <v>5.0</v>
      </c>
      <c r="K485" s="159">
        <v>5.0</v>
      </c>
      <c r="L485" s="159">
        <v>5.0</v>
      </c>
      <c r="M485" s="159">
        <v>5.0</v>
      </c>
      <c r="N485" s="159">
        <v>5.0</v>
      </c>
      <c r="O485" s="159">
        <v>5.0</v>
      </c>
      <c r="P485" s="159">
        <v>5.0</v>
      </c>
      <c r="Q485" s="159">
        <v>5.0</v>
      </c>
      <c r="R485" s="159">
        <v>5.0</v>
      </c>
      <c r="S485" s="159">
        <v>4.5</v>
      </c>
      <c r="T485" s="159">
        <v>4.5</v>
      </c>
      <c r="U485" s="159">
        <v>4.5</v>
      </c>
      <c r="V485" s="159">
        <v>4.5</v>
      </c>
      <c r="W485" s="159">
        <v>4.5</v>
      </c>
      <c r="X485" s="161"/>
      <c r="Y485" s="161"/>
      <c r="Z485" s="161"/>
      <c r="AA485" s="161"/>
      <c r="AB485" s="161"/>
      <c r="AC485" s="159">
        <v>4.833333333333333</v>
      </c>
      <c r="AD485" s="159"/>
    </row>
    <row r="486">
      <c r="A486" s="162">
        <v>104184.0</v>
      </c>
      <c r="B486" s="163" t="s">
        <v>1246</v>
      </c>
      <c r="C486" s="164" t="s">
        <v>1247</v>
      </c>
      <c r="D486" s="165">
        <v>45342.0</v>
      </c>
      <c r="E486" s="164" t="s">
        <v>1248</v>
      </c>
      <c r="F486" s="161"/>
      <c r="G486" s="161"/>
      <c r="H486" s="159">
        <v>5.0</v>
      </c>
      <c r="I486" s="159">
        <v>5.0</v>
      </c>
      <c r="J486" s="159">
        <v>5.0</v>
      </c>
      <c r="K486" s="159">
        <v>5.0</v>
      </c>
      <c r="L486" s="159">
        <v>5.0</v>
      </c>
      <c r="M486" s="159">
        <v>5.0</v>
      </c>
      <c r="N486" s="159">
        <v>5.0</v>
      </c>
      <c r="O486" s="159">
        <v>5.0</v>
      </c>
      <c r="P486" s="159">
        <v>5.0</v>
      </c>
      <c r="Q486" s="159">
        <v>5.0</v>
      </c>
      <c r="R486" s="159">
        <v>5.0</v>
      </c>
      <c r="S486" s="159">
        <v>5.0</v>
      </c>
      <c r="T486" s="159">
        <v>5.0</v>
      </c>
      <c r="U486" s="159">
        <v>5.0</v>
      </c>
      <c r="V486" s="159">
        <v>5.0</v>
      </c>
      <c r="W486" s="159">
        <v>5.0</v>
      </c>
      <c r="X486" s="161"/>
      <c r="Y486" s="161"/>
      <c r="Z486" s="161"/>
      <c r="AA486" s="161"/>
      <c r="AB486" s="161"/>
      <c r="AC486" s="159">
        <v>5.0</v>
      </c>
      <c r="AD486" s="159"/>
    </row>
    <row r="487">
      <c r="A487" s="162">
        <v>104197.0</v>
      </c>
      <c r="B487" s="163" t="s">
        <v>1249</v>
      </c>
      <c r="C487" s="164" t="s">
        <v>1250</v>
      </c>
      <c r="D487" s="165">
        <v>45348.0</v>
      </c>
      <c r="E487" s="164" t="s">
        <v>51</v>
      </c>
      <c r="F487" s="161"/>
      <c r="G487" s="161"/>
      <c r="H487" s="159">
        <v>5.0</v>
      </c>
      <c r="I487" s="159">
        <v>4.0</v>
      </c>
      <c r="J487" s="159">
        <v>5.0</v>
      </c>
      <c r="K487" s="159">
        <v>4.0</v>
      </c>
      <c r="L487" s="159">
        <v>5.0</v>
      </c>
      <c r="M487" s="159">
        <v>4.6</v>
      </c>
      <c r="N487" s="159">
        <v>5.0</v>
      </c>
      <c r="O487" s="159">
        <v>4.0</v>
      </c>
      <c r="P487" s="159">
        <v>5.0</v>
      </c>
      <c r="Q487" s="171"/>
      <c r="R487" s="159">
        <v>4.666666666666667</v>
      </c>
      <c r="S487" s="159">
        <v>4.5</v>
      </c>
      <c r="T487" s="159">
        <v>4.5</v>
      </c>
      <c r="U487" s="159">
        <v>4.5</v>
      </c>
      <c r="V487" s="159">
        <v>4.5</v>
      </c>
      <c r="W487" s="159">
        <v>4.5</v>
      </c>
      <c r="X487" s="161"/>
      <c r="Y487" s="161"/>
      <c r="Z487" s="161"/>
      <c r="AA487" s="161"/>
      <c r="AB487" s="161"/>
      <c r="AC487" s="159">
        <v>4.588888888888889</v>
      </c>
      <c r="AD487" s="159"/>
    </row>
    <row r="488">
      <c r="A488" s="162">
        <v>104206.0</v>
      </c>
      <c r="B488" s="163" t="s">
        <v>1251</v>
      </c>
      <c r="C488" s="164" t="s">
        <v>1252</v>
      </c>
      <c r="D488" s="165">
        <v>45348.0</v>
      </c>
      <c r="E488" s="164" t="s">
        <v>51</v>
      </c>
      <c r="F488" s="161"/>
      <c r="G488" s="161"/>
      <c r="H488" s="159">
        <v>5.0</v>
      </c>
      <c r="I488" s="159">
        <v>4.0</v>
      </c>
      <c r="J488" s="159">
        <v>5.0</v>
      </c>
      <c r="K488" s="159">
        <v>4.0</v>
      </c>
      <c r="L488" s="159">
        <v>5.0</v>
      </c>
      <c r="M488" s="159">
        <v>4.6</v>
      </c>
      <c r="N488" s="159">
        <v>5.0</v>
      </c>
      <c r="O488" s="159">
        <v>4.0</v>
      </c>
      <c r="P488" s="159">
        <v>5.0</v>
      </c>
      <c r="Q488" s="159">
        <v>4.0</v>
      </c>
      <c r="R488" s="159">
        <v>4.5</v>
      </c>
      <c r="S488" s="159">
        <v>4.5</v>
      </c>
      <c r="T488" s="159">
        <v>4.5</v>
      </c>
      <c r="U488" s="159">
        <v>4.5</v>
      </c>
      <c r="V488" s="159">
        <v>4.5</v>
      </c>
      <c r="W488" s="159">
        <v>4.5</v>
      </c>
      <c r="X488" s="161"/>
      <c r="Y488" s="161"/>
      <c r="Z488" s="161"/>
      <c r="AA488" s="161"/>
      <c r="AB488" s="161"/>
      <c r="AC488" s="159">
        <v>4.533333333333333</v>
      </c>
      <c r="AD488" s="159"/>
    </row>
    <row r="489">
      <c r="A489" s="162">
        <v>104185.0</v>
      </c>
      <c r="B489" s="163" t="s">
        <v>1253</v>
      </c>
      <c r="C489" s="164" t="s">
        <v>1254</v>
      </c>
      <c r="D489" s="165">
        <v>45348.0</v>
      </c>
      <c r="E489" s="164" t="s">
        <v>51</v>
      </c>
      <c r="F489" s="161"/>
      <c r="G489" s="161"/>
      <c r="H489" s="159">
        <v>4.0</v>
      </c>
      <c r="I489" s="159">
        <v>4.0</v>
      </c>
      <c r="J489" s="159">
        <v>4.0</v>
      </c>
      <c r="K489" s="159">
        <v>4.0</v>
      </c>
      <c r="L489" s="159">
        <v>4.0</v>
      </c>
      <c r="M489" s="159">
        <v>4.0</v>
      </c>
      <c r="N489" s="159">
        <v>4.0</v>
      </c>
      <c r="O489" s="159">
        <v>4.0</v>
      </c>
      <c r="P489" s="159">
        <v>4.0</v>
      </c>
      <c r="Q489" s="159">
        <v>4.0</v>
      </c>
      <c r="R489" s="159">
        <v>4.0</v>
      </c>
      <c r="S489" s="159">
        <v>4.0</v>
      </c>
      <c r="T489" s="159">
        <v>4.0</v>
      </c>
      <c r="U489" s="159">
        <v>4.0</v>
      </c>
      <c r="V489" s="159">
        <v>4.0</v>
      </c>
      <c r="W489" s="159">
        <v>4.0</v>
      </c>
      <c r="X489" s="161"/>
      <c r="Y489" s="161"/>
      <c r="Z489" s="161"/>
      <c r="AA489" s="161"/>
      <c r="AB489" s="161"/>
      <c r="AC489" s="159">
        <v>4.0</v>
      </c>
      <c r="AD489" s="159"/>
    </row>
    <row r="490">
      <c r="A490" s="162">
        <v>104152.0</v>
      </c>
      <c r="B490" s="163" t="s">
        <v>1255</v>
      </c>
      <c r="C490" s="164" t="s">
        <v>1256</v>
      </c>
      <c r="D490" s="165">
        <v>45348.0</v>
      </c>
      <c r="E490" s="164" t="s">
        <v>1257</v>
      </c>
      <c r="F490" s="161"/>
      <c r="G490" s="161"/>
      <c r="H490" s="159">
        <v>5.0</v>
      </c>
      <c r="I490" s="159">
        <v>5.0</v>
      </c>
      <c r="J490" s="159">
        <v>5.0</v>
      </c>
      <c r="K490" s="159">
        <v>5.0</v>
      </c>
      <c r="L490" s="159">
        <v>5.0</v>
      </c>
      <c r="M490" s="159">
        <v>5.0</v>
      </c>
      <c r="N490" s="171"/>
      <c r="O490" s="171"/>
      <c r="P490" s="171"/>
      <c r="Q490" s="171"/>
      <c r="R490" s="171"/>
      <c r="S490" s="159">
        <v>4.5</v>
      </c>
      <c r="T490" s="159">
        <v>4.5</v>
      </c>
      <c r="U490" s="159">
        <v>4.5</v>
      </c>
      <c r="V490" s="159">
        <v>4.5</v>
      </c>
      <c r="W490" s="159">
        <v>4.5</v>
      </c>
      <c r="X490" s="161"/>
      <c r="Y490" s="161"/>
      <c r="Z490" s="161"/>
      <c r="AA490" s="161"/>
      <c r="AB490" s="161"/>
      <c r="AC490" s="159">
        <v>4.75</v>
      </c>
      <c r="AD490" s="171"/>
    </row>
    <row r="491">
      <c r="A491" s="162">
        <v>104180.0</v>
      </c>
      <c r="B491" s="163" t="s">
        <v>1258</v>
      </c>
      <c r="C491" s="164" t="s">
        <v>1259</v>
      </c>
      <c r="D491" s="165">
        <v>45348.0</v>
      </c>
      <c r="E491" s="164" t="s">
        <v>380</v>
      </c>
      <c r="F491" s="161"/>
      <c r="G491" s="161"/>
      <c r="H491" s="171"/>
      <c r="I491" s="171"/>
      <c r="J491" s="171"/>
      <c r="K491" s="171"/>
      <c r="L491" s="171"/>
      <c r="M491" s="171"/>
      <c r="N491" s="159">
        <v>5.0</v>
      </c>
      <c r="O491" s="159">
        <v>5.0</v>
      </c>
      <c r="P491" s="159">
        <v>5.0</v>
      </c>
      <c r="Q491" s="159">
        <v>5.0</v>
      </c>
      <c r="R491" s="159">
        <v>5.0</v>
      </c>
      <c r="S491" s="171"/>
      <c r="T491" s="171"/>
      <c r="U491" s="171"/>
      <c r="V491" s="171"/>
      <c r="W491" s="171"/>
      <c r="X491" s="161"/>
      <c r="Y491" s="161"/>
      <c r="Z491" s="161"/>
      <c r="AA491" s="161"/>
      <c r="AB491" s="161"/>
      <c r="AC491" s="159">
        <v>5.0</v>
      </c>
      <c r="AD491" s="171"/>
    </row>
    <row r="492">
      <c r="A492" s="162">
        <v>104183.0</v>
      </c>
      <c r="B492" s="163" t="s">
        <v>1260</v>
      </c>
      <c r="C492" s="164" t="s">
        <v>1261</v>
      </c>
      <c r="D492" s="165">
        <v>45348.0</v>
      </c>
      <c r="E492" s="164" t="s">
        <v>295</v>
      </c>
      <c r="F492" s="161"/>
      <c r="G492" s="161"/>
      <c r="H492" s="171"/>
      <c r="I492" s="171"/>
      <c r="J492" s="171"/>
      <c r="K492" s="171"/>
      <c r="L492" s="171"/>
      <c r="M492" s="171"/>
      <c r="N492" s="159">
        <v>4.5</v>
      </c>
      <c r="O492" s="159">
        <v>4.5</v>
      </c>
      <c r="P492" s="159">
        <v>4.5</v>
      </c>
      <c r="Q492" s="159">
        <v>4.5</v>
      </c>
      <c r="R492" s="159">
        <v>4.5</v>
      </c>
      <c r="S492" s="171"/>
      <c r="T492" s="171"/>
      <c r="U492" s="171"/>
      <c r="V492" s="171"/>
      <c r="W492" s="171"/>
      <c r="X492" s="161"/>
      <c r="Y492" s="161"/>
      <c r="Z492" s="161"/>
      <c r="AA492" s="161"/>
      <c r="AB492" s="161"/>
      <c r="AC492" s="159">
        <v>4.5</v>
      </c>
      <c r="AD492" s="171"/>
    </row>
    <row r="493">
      <c r="A493" s="162">
        <v>104211.0</v>
      </c>
      <c r="B493" s="163" t="s">
        <v>1262</v>
      </c>
      <c r="C493" s="164" t="s">
        <v>1263</v>
      </c>
      <c r="D493" s="165">
        <v>45348.0</v>
      </c>
      <c r="E493" s="164" t="s">
        <v>360</v>
      </c>
      <c r="F493" s="161"/>
      <c r="G493" s="161"/>
      <c r="H493" s="171"/>
      <c r="I493" s="171"/>
      <c r="J493" s="171"/>
      <c r="K493" s="171"/>
      <c r="L493" s="171"/>
      <c r="M493" s="171"/>
      <c r="N493" s="159">
        <v>5.0</v>
      </c>
      <c r="O493" s="159">
        <v>5.0</v>
      </c>
      <c r="P493" s="159">
        <v>5.0</v>
      </c>
      <c r="Q493" s="159">
        <v>5.0</v>
      </c>
      <c r="R493" s="159">
        <v>5.0</v>
      </c>
      <c r="S493" s="171"/>
      <c r="T493" s="171"/>
      <c r="U493" s="171"/>
      <c r="V493" s="171"/>
      <c r="W493" s="171"/>
      <c r="X493" s="161"/>
      <c r="Y493" s="161"/>
      <c r="Z493" s="161"/>
      <c r="AA493" s="161"/>
      <c r="AB493" s="161"/>
      <c r="AC493" s="159">
        <v>5.0</v>
      </c>
      <c r="AD493" s="171"/>
    </row>
    <row r="494">
      <c r="A494" s="162">
        <v>104212.0</v>
      </c>
      <c r="B494" s="163" t="s">
        <v>1264</v>
      </c>
      <c r="C494" s="164" t="s">
        <v>1265</v>
      </c>
      <c r="D494" s="165">
        <v>45348.0</v>
      </c>
      <c r="E494" s="164" t="s">
        <v>295</v>
      </c>
      <c r="F494" s="161"/>
      <c r="G494" s="161"/>
      <c r="H494" s="171"/>
      <c r="I494" s="171"/>
      <c r="J494" s="171"/>
      <c r="K494" s="171"/>
      <c r="L494" s="171"/>
      <c r="M494" s="171"/>
      <c r="N494" s="159">
        <v>4.5</v>
      </c>
      <c r="O494" s="159">
        <v>4.5</v>
      </c>
      <c r="P494" s="159">
        <v>4.5</v>
      </c>
      <c r="Q494" s="159">
        <v>4.5</v>
      </c>
      <c r="R494" s="159">
        <v>4.5</v>
      </c>
      <c r="S494" s="171"/>
      <c r="T494" s="171"/>
      <c r="U494" s="171"/>
      <c r="V494" s="171"/>
      <c r="W494" s="171"/>
      <c r="X494" s="161"/>
      <c r="Y494" s="161"/>
      <c r="Z494" s="161"/>
      <c r="AA494" s="161"/>
      <c r="AB494" s="161"/>
      <c r="AC494" s="159">
        <v>4.5</v>
      </c>
      <c r="AD494" s="171"/>
    </row>
    <row r="495">
      <c r="A495" s="162">
        <v>104229.0</v>
      </c>
      <c r="B495" s="163" t="s">
        <v>1266</v>
      </c>
      <c r="C495" s="164" t="s">
        <v>1267</v>
      </c>
      <c r="D495" s="165">
        <v>45349.0</v>
      </c>
      <c r="E495" s="164" t="s">
        <v>427</v>
      </c>
      <c r="F495" s="161"/>
      <c r="G495" s="161"/>
      <c r="H495" s="159">
        <v>5.0</v>
      </c>
      <c r="I495" s="159">
        <v>4.0</v>
      </c>
      <c r="J495" s="159">
        <v>5.0</v>
      </c>
      <c r="K495" s="159">
        <v>5.0</v>
      </c>
      <c r="L495" s="159">
        <v>5.0</v>
      </c>
      <c r="M495" s="159">
        <v>4.8</v>
      </c>
      <c r="N495" s="159">
        <v>5.0</v>
      </c>
      <c r="O495" s="159">
        <v>4.0</v>
      </c>
      <c r="P495" s="159">
        <v>5.0</v>
      </c>
      <c r="Q495" s="159">
        <v>5.0</v>
      </c>
      <c r="R495" s="159">
        <v>4.75</v>
      </c>
      <c r="S495" s="159">
        <v>5.0</v>
      </c>
      <c r="T495" s="159">
        <v>4.0</v>
      </c>
      <c r="U495" s="159">
        <v>5.0</v>
      </c>
      <c r="V495" s="159">
        <v>5.0</v>
      </c>
      <c r="W495" s="159">
        <v>4.75</v>
      </c>
      <c r="X495" s="161"/>
      <c r="Y495" s="161"/>
      <c r="Z495" s="161"/>
      <c r="AA495" s="161"/>
      <c r="AB495" s="161"/>
      <c r="AC495" s="159">
        <v>4.766666666666667</v>
      </c>
      <c r="AD495" s="159"/>
    </row>
    <row r="496">
      <c r="A496" s="162">
        <v>104207.0</v>
      </c>
      <c r="B496" s="163" t="s">
        <v>1268</v>
      </c>
      <c r="C496" s="164" t="s">
        <v>1269</v>
      </c>
      <c r="D496" s="165">
        <v>45349.0</v>
      </c>
      <c r="E496" s="164" t="s">
        <v>295</v>
      </c>
      <c r="F496" s="161"/>
      <c r="G496" s="161"/>
      <c r="H496" s="159">
        <v>5.0</v>
      </c>
      <c r="I496" s="159">
        <v>5.0</v>
      </c>
      <c r="J496" s="159">
        <v>5.0</v>
      </c>
      <c r="K496" s="159">
        <v>5.0</v>
      </c>
      <c r="L496" s="159">
        <v>5.0</v>
      </c>
      <c r="M496" s="159">
        <v>5.0</v>
      </c>
      <c r="N496" s="159">
        <v>5.0</v>
      </c>
      <c r="O496" s="159">
        <v>5.0</v>
      </c>
      <c r="P496" s="159">
        <v>5.0</v>
      </c>
      <c r="Q496" s="159">
        <v>5.0</v>
      </c>
      <c r="R496" s="159">
        <v>5.0</v>
      </c>
      <c r="S496" s="159">
        <v>5.0</v>
      </c>
      <c r="T496" s="159">
        <v>5.0</v>
      </c>
      <c r="U496" s="159">
        <v>5.0</v>
      </c>
      <c r="V496" s="159">
        <v>5.0</v>
      </c>
      <c r="W496" s="159">
        <v>5.0</v>
      </c>
      <c r="X496" s="161"/>
      <c r="Y496" s="161"/>
      <c r="Z496" s="161"/>
      <c r="AA496" s="161"/>
      <c r="AB496" s="161"/>
      <c r="AC496" s="159">
        <v>5.0</v>
      </c>
      <c r="AD496" s="159"/>
    </row>
    <row r="497">
      <c r="A497" s="162">
        <v>104079.0</v>
      </c>
      <c r="B497" s="163" t="s">
        <v>1270</v>
      </c>
      <c r="C497" s="164" t="s">
        <v>1271</v>
      </c>
      <c r="D497" s="165">
        <v>45350.0</v>
      </c>
      <c r="E497" s="164" t="s">
        <v>522</v>
      </c>
      <c r="F497" s="161"/>
      <c r="G497" s="161"/>
      <c r="H497" s="159">
        <v>5.0</v>
      </c>
      <c r="I497" s="159">
        <v>5.0</v>
      </c>
      <c r="J497" s="159">
        <v>5.0</v>
      </c>
      <c r="K497" s="159">
        <v>5.0</v>
      </c>
      <c r="L497" s="159">
        <v>5.0</v>
      </c>
      <c r="M497" s="159">
        <v>5.0</v>
      </c>
      <c r="N497" s="159">
        <v>5.0</v>
      </c>
      <c r="O497" s="171"/>
      <c r="P497" s="159">
        <v>5.0</v>
      </c>
      <c r="Q497" s="159">
        <v>5.0</v>
      </c>
      <c r="R497" s="159">
        <v>5.0</v>
      </c>
      <c r="S497" s="159">
        <v>4.5</v>
      </c>
      <c r="T497" s="159">
        <v>4.5</v>
      </c>
      <c r="U497" s="159">
        <v>4.5</v>
      </c>
      <c r="V497" s="159">
        <v>4.5</v>
      </c>
      <c r="W497" s="159">
        <v>4.5</v>
      </c>
      <c r="X497" s="161"/>
      <c r="Y497" s="161"/>
      <c r="Z497" s="161"/>
      <c r="AA497" s="161"/>
      <c r="AB497" s="161"/>
      <c r="AC497" s="159">
        <v>4.833333333333333</v>
      </c>
      <c r="AD497" s="159"/>
    </row>
    <row r="498">
      <c r="A498" s="162">
        <v>104092.0</v>
      </c>
      <c r="B498" s="163" t="s">
        <v>1272</v>
      </c>
      <c r="C498" s="164" t="s">
        <v>1273</v>
      </c>
      <c r="D498" s="165">
        <v>45350.0</v>
      </c>
      <c r="E498" s="164" t="s">
        <v>522</v>
      </c>
      <c r="F498" s="161"/>
      <c r="G498" s="161"/>
      <c r="H498" s="171"/>
      <c r="I498" s="171"/>
      <c r="J498" s="171"/>
      <c r="K498" s="171"/>
      <c r="L498" s="171"/>
      <c r="M498" s="171"/>
      <c r="N498" s="159">
        <v>5.0</v>
      </c>
      <c r="O498" s="159">
        <v>5.0</v>
      </c>
      <c r="P498" s="159">
        <v>5.0</v>
      </c>
      <c r="Q498" s="159">
        <v>5.0</v>
      </c>
      <c r="R498" s="159">
        <v>5.0</v>
      </c>
      <c r="S498" s="171"/>
      <c r="T498" s="171"/>
      <c r="U498" s="171"/>
      <c r="V498" s="171"/>
      <c r="W498" s="171"/>
      <c r="X498" s="161"/>
      <c r="Y498" s="161"/>
      <c r="Z498" s="161"/>
      <c r="AA498" s="161"/>
      <c r="AB498" s="161"/>
      <c r="AC498" s="159">
        <v>5.0</v>
      </c>
      <c r="AD498" s="171"/>
    </row>
    <row r="499">
      <c r="A499" s="162">
        <v>104212.0</v>
      </c>
      <c r="B499" s="163" t="s">
        <v>1274</v>
      </c>
      <c r="C499" s="164" t="s">
        <v>1265</v>
      </c>
      <c r="D499" s="165">
        <v>45351.0</v>
      </c>
      <c r="E499" s="164" t="s">
        <v>295</v>
      </c>
      <c r="F499" s="161"/>
      <c r="G499" s="161"/>
      <c r="H499" s="171"/>
      <c r="I499" s="171"/>
      <c r="J499" s="171"/>
      <c r="K499" s="171"/>
      <c r="L499" s="171"/>
      <c r="M499" s="171"/>
      <c r="N499" s="159">
        <v>4.5</v>
      </c>
      <c r="O499" s="159">
        <v>4.5</v>
      </c>
      <c r="P499" s="159">
        <v>4.5</v>
      </c>
      <c r="Q499" s="159">
        <v>4.5</v>
      </c>
      <c r="R499" s="159">
        <v>4.5</v>
      </c>
      <c r="S499" s="171"/>
      <c r="T499" s="171"/>
      <c r="U499" s="171"/>
      <c r="V499" s="171"/>
      <c r="W499" s="171"/>
      <c r="X499" s="161"/>
      <c r="Y499" s="161"/>
      <c r="Z499" s="161"/>
      <c r="AA499" s="161"/>
      <c r="AB499" s="161"/>
      <c r="AC499" s="159">
        <v>4.5</v>
      </c>
      <c r="AD499" s="171"/>
    </row>
    <row r="500">
      <c r="A500" s="162">
        <v>104210.0</v>
      </c>
      <c r="B500" s="163" t="s">
        <v>1275</v>
      </c>
      <c r="C500" s="164" t="s">
        <v>1276</v>
      </c>
      <c r="D500" s="165">
        <v>45351.0</v>
      </c>
      <c r="E500" s="164" t="s">
        <v>1159</v>
      </c>
      <c r="F500" s="161"/>
      <c r="G500" s="161"/>
      <c r="H500" s="171"/>
      <c r="I500" s="171"/>
      <c r="J500" s="171"/>
      <c r="K500" s="171"/>
      <c r="L500" s="171"/>
      <c r="M500" s="171"/>
      <c r="N500" s="159">
        <v>5.0</v>
      </c>
      <c r="O500" s="159">
        <v>5.0</v>
      </c>
      <c r="P500" s="159">
        <v>5.0</v>
      </c>
      <c r="Q500" s="159">
        <v>5.0</v>
      </c>
      <c r="R500" s="159">
        <v>5.0</v>
      </c>
      <c r="S500" s="171"/>
      <c r="T500" s="171"/>
      <c r="U500" s="171"/>
      <c r="V500" s="171"/>
      <c r="W500" s="171"/>
      <c r="X500" s="161"/>
      <c r="Y500" s="161"/>
      <c r="Z500" s="161"/>
      <c r="AA500" s="161"/>
      <c r="AB500" s="161"/>
      <c r="AC500" s="159">
        <v>5.0</v>
      </c>
      <c r="AD500" s="171"/>
    </row>
    <row r="501">
      <c r="A501" s="162">
        <v>104215.0</v>
      </c>
      <c r="B501" s="163" t="s">
        <v>1277</v>
      </c>
      <c r="C501" s="164" t="s">
        <v>1278</v>
      </c>
      <c r="D501" s="165">
        <v>45352.0</v>
      </c>
      <c r="E501" s="164" t="s">
        <v>265</v>
      </c>
      <c r="F501" s="161"/>
      <c r="G501" s="161"/>
      <c r="H501" s="171"/>
      <c r="I501" s="171"/>
      <c r="J501" s="171"/>
      <c r="K501" s="171"/>
      <c r="L501" s="171"/>
      <c r="M501" s="171"/>
      <c r="N501" s="159">
        <v>5.0</v>
      </c>
      <c r="O501" s="159">
        <v>5.0</v>
      </c>
      <c r="P501" s="159">
        <v>5.0</v>
      </c>
      <c r="Q501" s="159">
        <v>5.0</v>
      </c>
      <c r="R501" s="159">
        <v>5.0</v>
      </c>
      <c r="S501" s="171"/>
      <c r="T501" s="171"/>
      <c r="U501" s="171"/>
      <c r="V501" s="171"/>
      <c r="W501" s="171"/>
      <c r="X501" s="161"/>
      <c r="Y501" s="161"/>
      <c r="Z501" s="161"/>
      <c r="AA501" s="161"/>
      <c r="AB501" s="161"/>
      <c r="AC501" s="159">
        <v>5.0</v>
      </c>
      <c r="AD501" s="171"/>
    </row>
    <row r="502">
      <c r="A502" s="162">
        <v>104053.0</v>
      </c>
      <c r="B502" s="163" t="s">
        <v>1279</v>
      </c>
      <c r="C502" s="164" t="s">
        <v>1280</v>
      </c>
      <c r="D502" s="165">
        <v>45353.0</v>
      </c>
      <c r="E502" s="164" t="s">
        <v>806</v>
      </c>
      <c r="F502" s="161"/>
      <c r="G502" s="161"/>
      <c r="H502" s="159">
        <v>4.5</v>
      </c>
      <c r="I502" s="159">
        <v>5.0</v>
      </c>
      <c r="J502" s="159">
        <v>4.5</v>
      </c>
      <c r="K502" s="159">
        <v>4.5</v>
      </c>
      <c r="L502" s="159">
        <v>4.5</v>
      </c>
      <c r="M502" s="159">
        <v>4.6</v>
      </c>
      <c r="N502" s="159">
        <v>4.5</v>
      </c>
      <c r="O502" s="159">
        <v>5.0</v>
      </c>
      <c r="P502" s="159">
        <v>4.5</v>
      </c>
      <c r="Q502" s="159">
        <v>4.5</v>
      </c>
      <c r="R502" s="159">
        <v>4.625</v>
      </c>
      <c r="S502" s="159">
        <v>4.5</v>
      </c>
      <c r="T502" s="159">
        <v>4.5</v>
      </c>
      <c r="U502" s="159">
        <v>4.5</v>
      </c>
      <c r="V502" s="159">
        <v>4.5</v>
      </c>
      <c r="W502" s="159">
        <v>4.5</v>
      </c>
      <c r="X502" s="161"/>
      <c r="Y502" s="161"/>
      <c r="Z502" s="161"/>
      <c r="AA502" s="161"/>
      <c r="AB502" s="161"/>
      <c r="AC502" s="159">
        <v>4.575</v>
      </c>
      <c r="AD502" s="159"/>
    </row>
    <row r="503">
      <c r="A503" s="162">
        <v>104230.0</v>
      </c>
      <c r="B503" s="163" t="s">
        <v>1281</v>
      </c>
      <c r="C503" s="164" t="s">
        <v>1282</v>
      </c>
      <c r="D503" s="165">
        <v>45355.0</v>
      </c>
      <c r="E503" s="164" t="s">
        <v>87</v>
      </c>
      <c r="F503" s="161"/>
      <c r="G503" s="161"/>
      <c r="H503" s="159">
        <v>5.0</v>
      </c>
      <c r="I503" s="159">
        <v>5.0</v>
      </c>
      <c r="J503" s="159">
        <v>5.0</v>
      </c>
      <c r="K503" s="159">
        <v>5.0</v>
      </c>
      <c r="L503" s="159">
        <v>5.0</v>
      </c>
      <c r="M503" s="159">
        <v>5.0</v>
      </c>
      <c r="N503" s="171"/>
      <c r="O503" s="171"/>
      <c r="P503" s="171"/>
      <c r="Q503" s="171"/>
      <c r="R503" s="171"/>
      <c r="S503" s="159">
        <v>4.5</v>
      </c>
      <c r="T503" s="159">
        <v>4.5</v>
      </c>
      <c r="U503" s="159">
        <v>4.5</v>
      </c>
      <c r="V503" s="159">
        <v>4.5</v>
      </c>
      <c r="W503" s="159">
        <v>4.5</v>
      </c>
      <c r="X503" s="161"/>
      <c r="Y503" s="161"/>
      <c r="Z503" s="161"/>
      <c r="AA503" s="161"/>
      <c r="AB503" s="161"/>
      <c r="AC503" s="159">
        <v>4.75</v>
      </c>
      <c r="AD503" s="171"/>
    </row>
    <row r="504">
      <c r="A504" s="162">
        <v>104248.0</v>
      </c>
      <c r="B504" s="163" t="s">
        <v>1283</v>
      </c>
      <c r="C504" s="164" t="s">
        <v>1284</v>
      </c>
      <c r="D504" s="165">
        <v>45356.0</v>
      </c>
      <c r="E504" s="164" t="s">
        <v>360</v>
      </c>
      <c r="F504" s="161"/>
      <c r="G504" s="161"/>
      <c r="H504" s="159">
        <v>4.5</v>
      </c>
      <c r="I504" s="159">
        <v>4.5</v>
      </c>
      <c r="J504" s="159">
        <v>4.5</v>
      </c>
      <c r="K504" s="159">
        <v>4.5</v>
      </c>
      <c r="L504" s="159">
        <v>4.5</v>
      </c>
      <c r="M504" s="159">
        <v>4.5</v>
      </c>
      <c r="N504" s="159">
        <v>4.5</v>
      </c>
      <c r="O504" s="159">
        <v>4.5</v>
      </c>
      <c r="P504" s="159">
        <v>4.5</v>
      </c>
      <c r="Q504" s="159">
        <v>4.5</v>
      </c>
      <c r="R504" s="159">
        <v>4.5</v>
      </c>
      <c r="S504" s="159">
        <v>4.5</v>
      </c>
      <c r="T504" s="159">
        <v>4.5</v>
      </c>
      <c r="U504" s="159">
        <v>4.5</v>
      </c>
      <c r="V504" s="159">
        <v>4.5</v>
      </c>
      <c r="W504" s="159">
        <v>4.5</v>
      </c>
      <c r="X504" s="161"/>
      <c r="Y504" s="161"/>
      <c r="Z504" s="161"/>
      <c r="AA504" s="161"/>
      <c r="AB504" s="161"/>
      <c r="AC504" s="159">
        <v>4.5</v>
      </c>
      <c r="AD504" s="159"/>
    </row>
    <row r="505">
      <c r="A505" s="162">
        <v>104186.0</v>
      </c>
      <c r="B505" s="163" t="s">
        <v>1285</v>
      </c>
      <c r="C505" s="164" t="s">
        <v>1286</v>
      </c>
      <c r="D505" s="165">
        <v>45356.0</v>
      </c>
      <c r="E505" s="164" t="s">
        <v>557</v>
      </c>
      <c r="F505" s="161"/>
      <c r="G505" s="161"/>
      <c r="H505" s="159">
        <v>4.5</v>
      </c>
      <c r="I505" s="159">
        <v>4.5</v>
      </c>
      <c r="J505" s="159">
        <v>4.5</v>
      </c>
      <c r="K505" s="159">
        <v>4.5</v>
      </c>
      <c r="L505" s="159">
        <v>4.5</v>
      </c>
      <c r="M505" s="159">
        <v>4.5</v>
      </c>
      <c r="N505" s="159">
        <v>4.49</v>
      </c>
      <c r="O505" s="159">
        <v>4.49</v>
      </c>
      <c r="P505" s="159">
        <v>4.49</v>
      </c>
      <c r="Q505" s="159">
        <v>4.49</v>
      </c>
      <c r="R505" s="159">
        <v>4.49</v>
      </c>
      <c r="S505" s="159">
        <v>4.5</v>
      </c>
      <c r="T505" s="159">
        <v>4.5</v>
      </c>
      <c r="U505" s="159">
        <v>4.5</v>
      </c>
      <c r="V505" s="159">
        <v>4.5</v>
      </c>
      <c r="W505" s="159">
        <v>4.5</v>
      </c>
      <c r="X505" s="161"/>
      <c r="Y505" s="161"/>
      <c r="Z505" s="161"/>
      <c r="AA505" s="161"/>
      <c r="AB505" s="161"/>
      <c r="AC505" s="159">
        <v>4.496666666666667</v>
      </c>
      <c r="AD505" s="159"/>
    </row>
    <row r="506">
      <c r="A506" s="162">
        <v>104102.0</v>
      </c>
      <c r="B506" s="163" t="s">
        <v>1287</v>
      </c>
      <c r="C506" s="164" t="s">
        <v>1288</v>
      </c>
      <c r="D506" s="165">
        <v>45356.0</v>
      </c>
      <c r="E506" s="164" t="s">
        <v>885</v>
      </c>
      <c r="F506" s="161"/>
      <c r="G506" s="161"/>
      <c r="H506" s="159">
        <v>4.0</v>
      </c>
      <c r="I506" s="159">
        <v>4.0</v>
      </c>
      <c r="J506" s="159">
        <v>4.0</v>
      </c>
      <c r="K506" s="159">
        <v>4.0</v>
      </c>
      <c r="L506" s="159">
        <v>4.0</v>
      </c>
      <c r="M506" s="159">
        <v>4.0</v>
      </c>
      <c r="N506" s="159">
        <v>3.0</v>
      </c>
      <c r="O506" s="159">
        <v>3.0</v>
      </c>
      <c r="P506" s="159">
        <v>3.0</v>
      </c>
      <c r="Q506" s="159">
        <v>3.0</v>
      </c>
      <c r="R506" s="159">
        <v>3.0</v>
      </c>
      <c r="S506" s="159">
        <v>4.0</v>
      </c>
      <c r="T506" s="159">
        <v>4.0</v>
      </c>
      <c r="U506" s="159">
        <v>4.0</v>
      </c>
      <c r="V506" s="159">
        <v>4.0</v>
      </c>
      <c r="W506" s="159">
        <v>4.0</v>
      </c>
      <c r="X506" s="161"/>
      <c r="Y506" s="161"/>
      <c r="Z506" s="161"/>
      <c r="AA506" s="161"/>
      <c r="AB506" s="161"/>
      <c r="AC506" s="159">
        <v>3.6666666666666665</v>
      </c>
      <c r="AD506" s="159"/>
    </row>
    <row r="507">
      <c r="A507" s="162">
        <v>104102.0</v>
      </c>
      <c r="B507" s="163" t="s">
        <v>1289</v>
      </c>
      <c r="C507" s="164" t="s">
        <v>1288</v>
      </c>
      <c r="D507" s="165">
        <v>45356.0</v>
      </c>
      <c r="E507" s="164" t="s">
        <v>1290</v>
      </c>
      <c r="F507" s="161"/>
      <c r="G507" s="161"/>
      <c r="H507" s="159">
        <v>4.0</v>
      </c>
      <c r="I507" s="159">
        <v>4.0</v>
      </c>
      <c r="J507" s="159">
        <v>4.0</v>
      </c>
      <c r="K507" s="159">
        <v>4.0</v>
      </c>
      <c r="L507" s="159">
        <v>4.0</v>
      </c>
      <c r="M507" s="159">
        <v>4.0</v>
      </c>
      <c r="N507" s="159">
        <v>3.0</v>
      </c>
      <c r="O507" s="159">
        <v>3.0</v>
      </c>
      <c r="P507" s="159">
        <v>3.0</v>
      </c>
      <c r="Q507" s="159">
        <v>3.0</v>
      </c>
      <c r="R507" s="159">
        <v>3.0</v>
      </c>
      <c r="S507" s="159">
        <v>4.0</v>
      </c>
      <c r="T507" s="159">
        <v>4.0</v>
      </c>
      <c r="U507" s="159">
        <v>4.0</v>
      </c>
      <c r="V507" s="159">
        <v>4.0</v>
      </c>
      <c r="W507" s="159">
        <v>4.0</v>
      </c>
      <c r="X507" s="161"/>
      <c r="Y507" s="161"/>
      <c r="Z507" s="161"/>
      <c r="AA507" s="161"/>
      <c r="AB507" s="161"/>
      <c r="AC507" s="159">
        <v>3.6666666666666665</v>
      </c>
      <c r="AD507" s="159"/>
    </row>
    <row r="508">
      <c r="A508" s="162">
        <v>104179.0</v>
      </c>
      <c r="B508" s="163" t="s">
        <v>1291</v>
      </c>
      <c r="C508" s="164" t="s">
        <v>1292</v>
      </c>
      <c r="D508" s="165">
        <v>45357.0</v>
      </c>
      <c r="E508" s="164" t="s">
        <v>295</v>
      </c>
      <c r="F508" s="161"/>
      <c r="G508" s="161"/>
      <c r="H508" s="159">
        <v>4.5</v>
      </c>
      <c r="I508" s="159">
        <v>4.5</v>
      </c>
      <c r="J508" s="159">
        <v>4.5</v>
      </c>
      <c r="K508" s="159">
        <v>4.5</v>
      </c>
      <c r="L508" s="159">
        <v>4.5</v>
      </c>
      <c r="M508" s="159">
        <v>4.5</v>
      </c>
      <c r="N508" s="159">
        <v>4.49</v>
      </c>
      <c r="O508" s="159">
        <v>4.49</v>
      </c>
      <c r="P508" s="159">
        <v>4.49</v>
      </c>
      <c r="Q508" s="159">
        <v>4.49</v>
      </c>
      <c r="R508" s="159">
        <v>4.49</v>
      </c>
      <c r="S508" s="159">
        <v>4.5</v>
      </c>
      <c r="T508" s="159">
        <v>4.5</v>
      </c>
      <c r="U508" s="159">
        <v>4.5</v>
      </c>
      <c r="V508" s="159">
        <v>4.5</v>
      </c>
      <c r="W508" s="159">
        <v>4.5</v>
      </c>
      <c r="X508" s="161"/>
      <c r="Y508" s="161"/>
      <c r="Z508" s="161"/>
      <c r="AA508" s="161"/>
      <c r="AB508" s="161"/>
      <c r="AC508" s="159">
        <v>4.496666666666667</v>
      </c>
      <c r="AD508" s="159"/>
    </row>
    <row r="509">
      <c r="A509" s="162">
        <v>104208.0</v>
      </c>
      <c r="B509" s="163" t="s">
        <v>1293</v>
      </c>
      <c r="C509" s="164" t="s">
        <v>1294</v>
      </c>
      <c r="D509" s="165">
        <v>45357.0</v>
      </c>
      <c r="E509" s="164" t="s">
        <v>295</v>
      </c>
      <c r="F509" s="161"/>
      <c r="G509" s="161"/>
      <c r="H509" s="159">
        <v>4.5</v>
      </c>
      <c r="I509" s="159">
        <v>4.5</v>
      </c>
      <c r="J509" s="159">
        <v>4.5</v>
      </c>
      <c r="K509" s="159">
        <v>4.5</v>
      </c>
      <c r="L509" s="159">
        <v>4.5</v>
      </c>
      <c r="M509" s="159">
        <v>4.5</v>
      </c>
      <c r="N509" s="159">
        <v>4.5</v>
      </c>
      <c r="O509" s="159">
        <v>4.5</v>
      </c>
      <c r="P509" s="159">
        <v>4.5</v>
      </c>
      <c r="Q509" s="159">
        <v>4.5</v>
      </c>
      <c r="R509" s="159">
        <v>4.5</v>
      </c>
      <c r="S509" s="159">
        <v>4.5</v>
      </c>
      <c r="T509" s="159">
        <v>4.5</v>
      </c>
      <c r="U509" s="159">
        <v>4.5</v>
      </c>
      <c r="V509" s="159">
        <v>4.5</v>
      </c>
      <c r="W509" s="159">
        <v>4.5</v>
      </c>
      <c r="X509" s="161"/>
      <c r="Y509" s="161"/>
      <c r="Z509" s="161"/>
      <c r="AA509" s="161"/>
      <c r="AB509" s="161"/>
      <c r="AC509" s="159">
        <v>4.5</v>
      </c>
      <c r="AD509" s="159"/>
    </row>
    <row r="510">
      <c r="A510" s="162">
        <v>104176.0</v>
      </c>
      <c r="B510" s="163" t="s">
        <v>1295</v>
      </c>
      <c r="C510" s="164" t="s">
        <v>1296</v>
      </c>
      <c r="D510" s="165">
        <v>45358.0</v>
      </c>
      <c r="E510" s="164" t="s">
        <v>1159</v>
      </c>
      <c r="F510" s="161"/>
      <c r="G510" s="161"/>
      <c r="H510" s="171"/>
      <c r="I510" s="171"/>
      <c r="J510" s="171"/>
      <c r="K510" s="171"/>
      <c r="L510" s="171"/>
      <c r="M510" s="171"/>
      <c r="N510" s="159">
        <v>5.0</v>
      </c>
      <c r="O510" s="159">
        <v>5.0</v>
      </c>
      <c r="P510" s="159">
        <v>5.0</v>
      </c>
      <c r="Q510" s="159">
        <v>5.0</v>
      </c>
      <c r="R510" s="159">
        <v>5.0</v>
      </c>
      <c r="S510" s="171"/>
      <c r="T510" s="171"/>
      <c r="U510" s="171"/>
      <c r="V510" s="171"/>
      <c r="W510" s="171"/>
      <c r="X510" s="161"/>
      <c r="Y510" s="161"/>
      <c r="Z510" s="161"/>
      <c r="AA510" s="161"/>
      <c r="AB510" s="161"/>
      <c r="AC510" s="159">
        <v>5.0</v>
      </c>
      <c r="AD510" s="171"/>
    </row>
    <row r="511">
      <c r="A511" s="162">
        <v>104199.0</v>
      </c>
      <c r="B511" s="163" t="s">
        <v>1297</v>
      </c>
      <c r="C511" s="164" t="s">
        <v>1298</v>
      </c>
      <c r="D511" s="165">
        <v>45359.0</v>
      </c>
      <c r="E511" s="164" t="s">
        <v>360</v>
      </c>
      <c r="F511" s="161"/>
      <c r="G511" s="161"/>
      <c r="H511" s="159">
        <v>4.5</v>
      </c>
      <c r="I511" s="159">
        <v>4.5</v>
      </c>
      <c r="J511" s="159">
        <v>4.5</v>
      </c>
      <c r="K511" s="159">
        <v>4.5</v>
      </c>
      <c r="L511" s="159">
        <v>4.5</v>
      </c>
      <c r="M511" s="159">
        <v>4.5</v>
      </c>
      <c r="N511" s="159">
        <v>4.5</v>
      </c>
      <c r="O511" s="159">
        <v>4.5</v>
      </c>
      <c r="P511" s="159">
        <v>4.5</v>
      </c>
      <c r="Q511" s="159">
        <v>4.5</v>
      </c>
      <c r="R511" s="159">
        <v>4.5</v>
      </c>
      <c r="S511" s="159">
        <v>4.5</v>
      </c>
      <c r="T511" s="159">
        <v>4.5</v>
      </c>
      <c r="U511" s="159">
        <v>4.5</v>
      </c>
      <c r="V511" s="159">
        <v>4.5</v>
      </c>
      <c r="W511" s="159">
        <v>4.5</v>
      </c>
      <c r="X511" s="161"/>
      <c r="Y511" s="161"/>
      <c r="Z511" s="161"/>
      <c r="AA511" s="161"/>
      <c r="AB511" s="161"/>
      <c r="AC511" s="159">
        <v>4.5</v>
      </c>
      <c r="AD511" s="159"/>
    </row>
    <row r="512">
      <c r="A512" s="162">
        <v>104178.0</v>
      </c>
      <c r="B512" s="163" t="s">
        <v>1299</v>
      </c>
      <c r="C512" s="164" t="s">
        <v>1300</v>
      </c>
      <c r="D512" s="165">
        <v>45359.0</v>
      </c>
      <c r="E512" s="164" t="s">
        <v>360</v>
      </c>
      <c r="F512" s="161"/>
      <c r="G512" s="161"/>
      <c r="H512" s="159">
        <v>4.5</v>
      </c>
      <c r="I512" s="159">
        <v>4.5</v>
      </c>
      <c r="J512" s="159">
        <v>4.5</v>
      </c>
      <c r="K512" s="159">
        <v>4.5</v>
      </c>
      <c r="L512" s="159">
        <v>4.5</v>
      </c>
      <c r="M512" s="159">
        <v>4.5</v>
      </c>
      <c r="N512" s="159">
        <v>4.49</v>
      </c>
      <c r="O512" s="159">
        <v>4.49</v>
      </c>
      <c r="P512" s="159">
        <v>4.49</v>
      </c>
      <c r="Q512" s="159">
        <v>4.49</v>
      </c>
      <c r="R512" s="159">
        <v>4.49</v>
      </c>
      <c r="S512" s="159">
        <v>4.5</v>
      </c>
      <c r="T512" s="159">
        <v>4.5</v>
      </c>
      <c r="U512" s="159">
        <v>4.5</v>
      </c>
      <c r="V512" s="159">
        <v>4.5</v>
      </c>
      <c r="W512" s="159">
        <v>4.5</v>
      </c>
      <c r="X512" s="161"/>
      <c r="Y512" s="161"/>
      <c r="Z512" s="161"/>
      <c r="AA512" s="161"/>
      <c r="AB512" s="161"/>
      <c r="AC512" s="159">
        <v>4.496666666666667</v>
      </c>
      <c r="AD512" s="159"/>
    </row>
    <row r="513">
      <c r="A513" s="162">
        <v>104300.0</v>
      </c>
      <c r="B513" s="163" t="s">
        <v>1301</v>
      </c>
      <c r="C513" s="164" t="s">
        <v>1302</v>
      </c>
      <c r="D513" s="165">
        <v>45360.0</v>
      </c>
      <c r="E513" s="164" t="s">
        <v>51</v>
      </c>
      <c r="F513" s="161"/>
      <c r="G513" s="161"/>
      <c r="H513" s="159">
        <v>5.0</v>
      </c>
      <c r="I513" s="159">
        <v>5.0</v>
      </c>
      <c r="J513" s="159">
        <v>5.0</v>
      </c>
      <c r="K513" s="159">
        <v>5.0</v>
      </c>
      <c r="L513" s="159">
        <v>5.0</v>
      </c>
      <c r="M513" s="159">
        <v>5.0</v>
      </c>
      <c r="N513" s="159">
        <v>5.0</v>
      </c>
      <c r="O513" s="159">
        <v>5.0</v>
      </c>
      <c r="P513" s="159">
        <v>5.0</v>
      </c>
      <c r="Q513" s="159">
        <v>5.0</v>
      </c>
      <c r="R513" s="159">
        <v>5.0</v>
      </c>
      <c r="S513" s="159">
        <v>4.5</v>
      </c>
      <c r="T513" s="159">
        <v>4.5</v>
      </c>
      <c r="U513" s="159">
        <v>4.5</v>
      </c>
      <c r="V513" s="159">
        <v>4.5</v>
      </c>
      <c r="W513" s="159">
        <v>4.5</v>
      </c>
      <c r="X513" s="161"/>
      <c r="Y513" s="161"/>
      <c r="Z513" s="161"/>
      <c r="AA513" s="161"/>
      <c r="AB513" s="161"/>
      <c r="AC513" s="159">
        <v>4.833333333333333</v>
      </c>
      <c r="AD513" s="159"/>
    </row>
    <row r="514">
      <c r="A514" s="162">
        <v>104261.0</v>
      </c>
      <c r="B514" s="163" t="s">
        <v>1303</v>
      </c>
      <c r="C514" s="164" t="s">
        <v>1304</v>
      </c>
      <c r="D514" s="165">
        <v>45360.0</v>
      </c>
      <c r="E514" s="164" t="s">
        <v>51</v>
      </c>
      <c r="F514" s="161"/>
      <c r="G514" s="161"/>
      <c r="H514" s="159">
        <v>5.0</v>
      </c>
      <c r="I514" s="159">
        <v>5.0</v>
      </c>
      <c r="J514" s="159">
        <v>5.0</v>
      </c>
      <c r="K514" s="159">
        <v>5.0</v>
      </c>
      <c r="L514" s="159">
        <v>5.0</v>
      </c>
      <c r="M514" s="159">
        <v>5.0</v>
      </c>
      <c r="N514" s="159">
        <v>5.0</v>
      </c>
      <c r="O514" s="159">
        <v>5.0</v>
      </c>
      <c r="P514" s="159">
        <v>5.0</v>
      </c>
      <c r="Q514" s="159">
        <v>5.0</v>
      </c>
      <c r="R514" s="159">
        <v>5.0</v>
      </c>
      <c r="S514" s="159">
        <v>5.0</v>
      </c>
      <c r="T514" s="159">
        <v>5.0</v>
      </c>
      <c r="U514" s="159">
        <v>5.0</v>
      </c>
      <c r="V514" s="159">
        <v>5.0</v>
      </c>
      <c r="W514" s="159">
        <v>5.0</v>
      </c>
      <c r="X514" s="161"/>
      <c r="Y514" s="161"/>
      <c r="Z514" s="161"/>
      <c r="AA514" s="161"/>
      <c r="AB514" s="161"/>
      <c r="AC514" s="159">
        <v>5.0</v>
      </c>
      <c r="AD514" s="159"/>
    </row>
    <row r="515">
      <c r="A515" s="162">
        <v>104270.0</v>
      </c>
      <c r="B515" s="163" t="s">
        <v>1305</v>
      </c>
      <c r="C515" s="164" t="s">
        <v>1306</v>
      </c>
      <c r="D515" s="165">
        <v>45360.0</v>
      </c>
      <c r="E515" s="164" t="s">
        <v>87</v>
      </c>
      <c r="F515" s="161"/>
      <c r="G515" s="161"/>
      <c r="H515" s="159">
        <v>5.0</v>
      </c>
      <c r="I515" s="159">
        <v>5.0</v>
      </c>
      <c r="J515" s="159">
        <v>5.0</v>
      </c>
      <c r="K515" s="159">
        <v>5.0</v>
      </c>
      <c r="L515" s="159">
        <v>5.0</v>
      </c>
      <c r="M515" s="159">
        <v>5.0</v>
      </c>
      <c r="N515" s="171"/>
      <c r="O515" s="171"/>
      <c r="P515" s="171"/>
      <c r="Q515" s="171"/>
      <c r="R515" s="171"/>
      <c r="S515" s="159">
        <v>4.5</v>
      </c>
      <c r="T515" s="159">
        <v>4.5</v>
      </c>
      <c r="U515" s="159">
        <v>4.5</v>
      </c>
      <c r="V515" s="159">
        <v>4.5</v>
      </c>
      <c r="W515" s="159">
        <v>4.5</v>
      </c>
      <c r="X515" s="161"/>
      <c r="Y515" s="161"/>
      <c r="Z515" s="161"/>
      <c r="AA515" s="161"/>
      <c r="AB515" s="161"/>
      <c r="AC515" s="159">
        <v>4.75</v>
      </c>
      <c r="AD515" s="171"/>
    </row>
    <row r="516">
      <c r="A516" s="162">
        <v>104233.0</v>
      </c>
      <c r="B516" s="163" t="s">
        <v>1307</v>
      </c>
      <c r="C516" s="164" t="s">
        <v>1308</v>
      </c>
      <c r="D516" s="165">
        <v>45362.0</v>
      </c>
      <c r="E516" s="164" t="s">
        <v>87</v>
      </c>
      <c r="F516" s="161"/>
      <c r="G516" s="161"/>
      <c r="H516" s="159">
        <v>5.0</v>
      </c>
      <c r="I516" s="159">
        <v>5.0</v>
      </c>
      <c r="J516" s="159">
        <v>5.0</v>
      </c>
      <c r="K516" s="159">
        <v>5.0</v>
      </c>
      <c r="L516" s="159">
        <v>5.0</v>
      </c>
      <c r="M516" s="159">
        <v>5.0</v>
      </c>
      <c r="N516" s="171"/>
      <c r="O516" s="171"/>
      <c r="P516" s="171"/>
      <c r="Q516" s="171"/>
      <c r="R516" s="171"/>
      <c r="S516" s="159">
        <v>4.5</v>
      </c>
      <c r="T516" s="159">
        <v>4.5</v>
      </c>
      <c r="U516" s="159">
        <v>4.5</v>
      </c>
      <c r="V516" s="159">
        <v>4.5</v>
      </c>
      <c r="W516" s="159">
        <v>4.5</v>
      </c>
      <c r="X516" s="161"/>
      <c r="Y516" s="161"/>
      <c r="Z516" s="161"/>
      <c r="AA516" s="161"/>
      <c r="AB516" s="161"/>
      <c r="AC516" s="159">
        <v>4.75</v>
      </c>
      <c r="AD516" s="171"/>
    </row>
    <row r="517">
      <c r="A517" s="162">
        <v>104234.0</v>
      </c>
      <c r="B517" s="169"/>
      <c r="C517" s="164" t="s">
        <v>1309</v>
      </c>
      <c r="D517" s="165">
        <v>45362.0</v>
      </c>
      <c r="E517" s="164" t="s">
        <v>87</v>
      </c>
      <c r="F517" s="161"/>
      <c r="G517" s="161"/>
      <c r="H517" s="159">
        <v>5.0</v>
      </c>
      <c r="I517" s="159">
        <v>5.0</v>
      </c>
      <c r="J517" s="159">
        <v>5.0</v>
      </c>
      <c r="K517" s="159">
        <v>5.0</v>
      </c>
      <c r="L517" s="159">
        <v>5.0</v>
      </c>
      <c r="M517" s="159">
        <v>5.0</v>
      </c>
      <c r="N517" s="171"/>
      <c r="O517" s="171"/>
      <c r="P517" s="171"/>
      <c r="Q517" s="171"/>
      <c r="R517" s="171"/>
      <c r="S517" s="159">
        <v>4.5</v>
      </c>
      <c r="T517" s="159">
        <v>4.5</v>
      </c>
      <c r="U517" s="159">
        <v>4.5</v>
      </c>
      <c r="V517" s="159">
        <v>4.5</v>
      </c>
      <c r="W517" s="159">
        <v>4.5</v>
      </c>
      <c r="X517" s="161"/>
      <c r="Y517" s="161"/>
      <c r="Z517" s="161"/>
      <c r="AA517" s="161"/>
      <c r="AB517" s="161"/>
      <c r="AC517" s="159">
        <v>4.75</v>
      </c>
      <c r="AD517" s="171"/>
    </row>
    <row r="518">
      <c r="A518" s="162">
        <v>103963.0</v>
      </c>
      <c r="B518" s="163" t="s">
        <v>1310</v>
      </c>
      <c r="C518" s="164" t="s">
        <v>1311</v>
      </c>
      <c r="D518" s="165">
        <v>45363.0</v>
      </c>
      <c r="E518" s="164" t="s">
        <v>265</v>
      </c>
      <c r="F518" s="161"/>
      <c r="G518" s="161"/>
      <c r="H518" s="159">
        <v>4.5</v>
      </c>
      <c r="I518" s="159">
        <v>4.5</v>
      </c>
      <c r="J518" s="159">
        <v>4.5</v>
      </c>
      <c r="K518" s="159">
        <v>4.5</v>
      </c>
      <c r="L518" s="159">
        <v>4.5</v>
      </c>
      <c r="M518" s="159">
        <v>4.5</v>
      </c>
      <c r="N518" s="159">
        <v>5.0</v>
      </c>
      <c r="O518" s="159">
        <v>5.0</v>
      </c>
      <c r="P518" s="159">
        <v>5.0</v>
      </c>
      <c r="Q518" s="159">
        <v>5.0</v>
      </c>
      <c r="R518" s="159">
        <v>5.0</v>
      </c>
      <c r="S518" s="159">
        <v>4.5</v>
      </c>
      <c r="T518" s="159">
        <v>4.5</v>
      </c>
      <c r="U518" s="159">
        <v>4.5</v>
      </c>
      <c r="V518" s="159">
        <v>4.5</v>
      </c>
      <c r="W518" s="159">
        <v>4.5</v>
      </c>
      <c r="X518" s="161"/>
      <c r="Y518" s="161"/>
      <c r="Z518" s="161"/>
      <c r="AA518" s="161"/>
      <c r="AB518" s="161"/>
      <c r="AC518" s="159">
        <v>4.666666666666667</v>
      </c>
      <c r="AD518" s="159"/>
    </row>
    <row r="519">
      <c r="A519" s="162">
        <v>104061.0</v>
      </c>
      <c r="B519" s="163" t="s">
        <v>1312</v>
      </c>
      <c r="C519" s="164" t="s">
        <v>1313</v>
      </c>
      <c r="D519" s="165">
        <v>45365.0</v>
      </c>
      <c r="E519" s="164" t="s">
        <v>522</v>
      </c>
      <c r="F519" s="161"/>
      <c r="G519" s="161"/>
      <c r="H519" s="159">
        <v>5.0</v>
      </c>
      <c r="I519" s="159">
        <v>5.0</v>
      </c>
      <c r="J519" s="159">
        <v>5.0</v>
      </c>
      <c r="K519" s="159">
        <v>5.0</v>
      </c>
      <c r="L519" s="159">
        <v>5.0</v>
      </c>
      <c r="M519" s="159">
        <v>5.0</v>
      </c>
      <c r="N519" s="159">
        <v>5.0</v>
      </c>
      <c r="O519" s="171"/>
      <c r="P519" s="159">
        <v>5.0</v>
      </c>
      <c r="Q519" s="159">
        <v>5.0</v>
      </c>
      <c r="R519" s="159">
        <v>5.0</v>
      </c>
      <c r="S519" s="159">
        <v>4.5</v>
      </c>
      <c r="T519" s="159">
        <v>4.5</v>
      </c>
      <c r="U519" s="159">
        <v>4.5</v>
      </c>
      <c r="V519" s="159">
        <v>4.5</v>
      </c>
      <c r="W519" s="159">
        <v>4.5</v>
      </c>
      <c r="X519" s="161"/>
      <c r="Y519" s="161"/>
      <c r="Z519" s="161"/>
      <c r="AA519" s="161"/>
      <c r="AB519" s="161"/>
      <c r="AC519" s="159">
        <v>4.833333333333333</v>
      </c>
      <c r="AD519" s="159"/>
    </row>
    <row r="520">
      <c r="A520" s="162">
        <v>104269.0</v>
      </c>
      <c r="B520" s="163" t="s">
        <v>1314</v>
      </c>
      <c r="C520" s="164" t="s">
        <v>1315</v>
      </c>
      <c r="D520" s="165">
        <v>45365.0</v>
      </c>
      <c r="E520" s="164" t="s">
        <v>87</v>
      </c>
      <c r="F520" s="161"/>
      <c r="G520" s="161"/>
      <c r="H520" s="159">
        <v>5.0</v>
      </c>
      <c r="I520" s="159">
        <v>5.0</v>
      </c>
      <c r="J520" s="159">
        <v>5.0</v>
      </c>
      <c r="K520" s="159">
        <v>5.0</v>
      </c>
      <c r="L520" s="159">
        <v>5.0</v>
      </c>
      <c r="M520" s="159">
        <v>5.0</v>
      </c>
      <c r="N520" s="171"/>
      <c r="O520" s="171"/>
      <c r="P520" s="171"/>
      <c r="Q520" s="171"/>
      <c r="R520" s="171"/>
      <c r="S520" s="159">
        <v>4.5</v>
      </c>
      <c r="T520" s="159">
        <v>4.5</v>
      </c>
      <c r="U520" s="159">
        <v>4.5</v>
      </c>
      <c r="V520" s="159">
        <v>4.5</v>
      </c>
      <c r="W520" s="159">
        <v>4.5</v>
      </c>
      <c r="X520" s="161"/>
      <c r="Y520" s="161"/>
      <c r="Z520" s="161"/>
      <c r="AA520" s="161"/>
      <c r="AB520" s="161"/>
      <c r="AC520" s="159">
        <v>4.75</v>
      </c>
      <c r="AD520" s="171"/>
    </row>
    <row r="521">
      <c r="A521" s="162">
        <v>104346.0</v>
      </c>
      <c r="B521" s="163" t="s">
        <v>1316</v>
      </c>
      <c r="C521" s="164" t="s">
        <v>1317</v>
      </c>
      <c r="D521" s="165">
        <v>45366.0</v>
      </c>
      <c r="E521" s="164" t="s">
        <v>312</v>
      </c>
      <c r="F521" s="161"/>
      <c r="G521" s="161"/>
      <c r="H521" s="159">
        <v>5.0</v>
      </c>
      <c r="I521" s="159">
        <v>5.0</v>
      </c>
      <c r="J521" s="159">
        <v>5.0</v>
      </c>
      <c r="K521" s="159">
        <v>5.0</v>
      </c>
      <c r="L521" s="159">
        <v>5.0</v>
      </c>
      <c r="M521" s="159">
        <v>5.0</v>
      </c>
      <c r="N521" s="159">
        <v>5.0</v>
      </c>
      <c r="O521" s="159">
        <v>5.0</v>
      </c>
      <c r="P521" s="159">
        <v>5.0</v>
      </c>
      <c r="Q521" s="159">
        <v>5.0</v>
      </c>
      <c r="R521" s="159">
        <v>5.0</v>
      </c>
      <c r="S521" s="159">
        <v>5.0</v>
      </c>
      <c r="T521" s="159">
        <v>5.0</v>
      </c>
      <c r="U521" s="159">
        <v>5.0</v>
      </c>
      <c r="V521" s="159">
        <v>5.0</v>
      </c>
      <c r="W521" s="159">
        <v>5.0</v>
      </c>
      <c r="X521" s="161"/>
      <c r="Y521" s="161"/>
      <c r="Z521" s="161"/>
      <c r="AA521" s="161"/>
      <c r="AB521" s="161"/>
      <c r="AC521" s="159">
        <v>5.0</v>
      </c>
      <c r="AD521" s="159"/>
    </row>
    <row r="522">
      <c r="A522" s="162">
        <v>104271.0</v>
      </c>
      <c r="B522" s="163" t="s">
        <v>1318</v>
      </c>
      <c r="C522" s="164" t="s">
        <v>1319</v>
      </c>
      <c r="D522" s="165">
        <v>45366.0</v>
      </c>
      <c r="E522" s="164" t="s">
        <v>87</v>
      </c>
      <c r="F522" s="161"/>
      <c r="G522" s="161"/>
      <c r="H522" s="159">
        <v>5.0</v>
      </c>
      <c r="I522" s="159">
        <v>5.0</v>
      </c>
      <c r="J522" s="159">
        <v>5.0</v>
      </c>
      <c r="K522" s="159">
        <v>5.0</v>
      </c>
      <c r="L522" s="159">
        <v>5.0</v>
      </c>
      <c r="M522" s="159">
        <v>5.0</v>
      </c>
      <c r="N522" s="171"/>
      <c r="O522" s="171"/>
      <c r="P522" s="171"/>
      <c r="Q522" s="171"/>
      <c r="R522" s="171"/>
      <c r="S522" s="159">
        <v>4.5</v>
      </c>
      <c r="T522" s="159">
        <v>4.5</v>
      </c>
      <c r="U522" s="159">
        <v>4.5</v>
      </c>
      <c r="V522" s="159">
        <v>4.5</v>
      </c>
      <c r="W522" s="159">
        <v>4.5</v>
      </c>
      <c r="X522" s="161"/>
      <c r="Y522" s="161"/>
      <c r="Z522" s="161"/>
      <c r="AA522" s="161"/>
      <c r="AB522" s="161"/>
      <c r="AC522" s="159">
        <v>4.75</v>
      </c>
      <c r="AD522" s="171"/>
    </row>
    <row r="523">
      <c r="A523" s="162">
        <v>104272.0</v>
      </c>
      <c r="B523" s="163" t="s">
        <v>1320</v>
      </c>
      <c r="C523" s="164" t="s">
        <v>1309</v>
      </c>
      <c r="D523" s="165">
        <v>45366.0</v>
      </c>
      <c r="E523" s="164" t="s">
        <v>87</v>
      </c>
      <c r="F523" s="161"/>
      <c r="G523" s="161"/>
      <c r="H523" s="159">
        <v>5.0</v>
      </c>
      <c r="I523" s="159">
        <v>5.0</v>
      </c>
      <c r="J523" s="159">
        <v>5.0</v>
      </c>
      <c r="K523" s="159">
        <v>5.0</v>
      </c>
      <c r="L523" s="159">
        <v>5.0</v>
      </c>
      <c r="M523" s="159">
        <v>5.0</v>
      </c>
      <c r="N523" s="171"/>
      <c r="O523" s="171"/>
      <c r="P523" s="171"/>
      <c r="Q523" s="171"/>
      <c r="R523" s="171"/>
      <c r="S523" s="159">
        <v>4.5</v>
      </c>
      <c r="T523" s="159">
        <v>4.5</v>
      </c>
      <c r="U523" s="159">
        <v>4.5</v>
      </c>
      <c r="V523" s="159">
        <v>4.5</v>
      </c>
      <c r="W523" s="159">
        <v>4.5</v>
      </c>
      <c r="X523" s="161"/>
      <c r="Y523" s="161"/>
      <c r="Z523" s="161"/>
      <c r="AA523" s="161"/>
      <c r="AB523" s="161"/>
      <c r="AC523" s="159">
        <v>4.75</v>
      </c>
      <c r="AD523" s="171"/>
    </row>
    <row r="524">
      <c r="A524" s="162">
        <v>104283.0</v>
      </c>
      <c r="B524" s="163" t="s">
        <v>1321</v>
      </c>
      <c r="C524" s="164" t="s">
        <v>1322</v>
      </c>
      <c r="D524" s="165">
        <v>45367.0</v>
      </c>
      <c r="E524" s="164" t="s">
        <v>1323</v>
      </c>
      <c r="F524" s="161"/>
      <c r="G524" s="161"/>
      <c r="H524" s="159">
        <v>4.0</v>
      </c>
      <c r="I524" s="159">
        <v>4.0</v>
      </c>
      <c r="J524" s="159">
        <v>4.0</v>
      </c>
      <c r="K524" s="159">
        <v>4.0</v>
      </c>
      <c r="L524" s="159">
        <v>4.0</v>
      </c>
      <c r="M524" s="159">
        <v>4.0</v>
      </c>
      <c r="N524" s="159">
        <v>4.0</v>
      </c>
      <c r="O524" s="159">
        <v>4.0</v>
      </c>
      <c r="P524" s="159">
        <v>4.0</v>
      </c>
      <c r="Q524" s="159">
        <v>4.0</v>
      </c>
      <c r="R524" s="159">
        <v>4.0</v>
      </c>
      <c r="S524" s="159">
        <v>4.0</v>
      </c>
      <c r="T524" s="159">
        <v>4.0</v>
      </c>
      <c r="U524" s="159">
        <v>4.0</v>
      </c>
      <c r="V524" s="159">
        <v>4.0</v>
      </c>
      <c r="W524" s="159">
        <v>4.0</v>
      </c>
      <c r="X524" s="161"/>
      <c r="Y524" s="161"/>
      <c r="Z524" s="161"/>
      <c r="AA524" s="161"/>
      <c r="AB524" s="161"/>
      <c r="AC524" s="159">
        <v>4.0</v>
      </c>
      <c r="AD524" s="159"/>
    </row>
    <row r="525">
      <c r="A525" s="162">
        <v>104202.0</v>
      </c>
      <c r="B525" s="163" t="s">
        <v>1324</v>
      </c>
      <c r="C525" s="164" t="s">
        <v>1325</v>
      </c>
      <c r="D525" s="165">
        <v>45367.0</v>
      </c>
      <c r="E525" s="164" t="s">
        <v>625</v>
      </c>
      <c r="F525" s="161"/>
      <c r="G525" s="161"/>
      <c r="H525" s="159">
        <v>5.0</v>
      </c>
      <c r="I525" s="159">
        <v>5.0</v>
      </c>
      <c r="J525" s="159">
        <v>5.0</v>
      </c>
      <c r="K525" s="159">
        <v>5.0</v>
      </c>
      <c r="L525" s="159">
        <v>5.0</v>
      </c>
      <c r="M525" s="159">
        <v>5.0</v>
      </c>
      <c r="N525" s="159">
        <v>5.0</v>
      </c>
      <c r="O525" s="159">
        <v>5.0</v>
      </c>
      <c r="P525" s="159">
        <v>5.0</v>
      </c>
      <c r="Q525" s="159">
        <v>5.0</v>
      </c>
      <c r="R525" s="159">
        <v>5.0</v>
      </c>
      <c r="S525" s="159">
        <v>5.0</v>
      </c>
      <c r="T525" s="159">
        <v>5.0</v>
      </c>
      <c r="U525" s="159">
        <v>5.0</v>
      </c>
      <c r="V525" s="159">
        <v>5.0</v>
      </c>
      <c r="W525" s="159">
        <v>5.0</v>
      </c>
      <c r="X525" s="161"/>
      <c r="Y525" s="161"/>
      <c r="Z525" s="161"/>
      <c r="AA525" s="161"/>
      <c r="AB525" s="161"/>
      <c r="AC525" s="159">
        <v>5.0</v>
      </c>
      <c r="AD525" s="159"/>
    </row>
    <row r="526">
      <c r="A526" s="162">
        <v>104280.0</v>
      </c>
      <c r="B526" s="163" t="s">
        <v>1326</v>
      </c>
      <c r="C526" s="164" t="s">
        <v>1327</v>
      </c>
      <c r="D526" s="165">
        <v>45367.0</v>
      </c>
      <c r="E526" s="164" t="s">
        <v>1257</v>
      </c>
      <c r="F526" s="161"/>
      <c r="G526" s="161"/>
      <c r="H526" s="159">
        <v>5.0</v>
      </c>
      <c r="I526" s="159">
        <v>5.0</v>
      </c>
      <c r="J526" s="159">
        <v>5.0</v>
      </c>
      <c r="K526" s="159">
        <v>5.0</v>
      </c>
      <c r="L526" s="159">
        <v>5.0</v>
      </c>
      <c r="M526" s="159">
        <v>5.0</v>
      </c>
      <c r="N526" s="171"/>
      <c r="O526" s="171"/>
      <c r="P526" s="171"/>
      <c r="Q526" s="171"/>
      <c r="R526" s="171"/>
      <c r="S526" s="159">
        <v>4.5</v>
      </c>
      <c r="T526" s="159">
        <v>4.5</v>
      </c>
      <c r="U526" s="159">
        <v>4.5</v>
      </c>
      <c r="V526" s="159">
        <v>4.5</v>
      </c>
      <c r="W526" s="159">
        <v>4.5</v>
      </c>
      <c r="X526" s="161"/>
      <c r="Y526" s="161"/>
      <c r="Z526" s="161"/>
      <c r="AA526" s="161"/>
      <c r="AB526" s="161"/>
      <c r="AC526" s="159">
        <v>4.75</v>
      </c>
      <c r="AD526" s="171"/>
    </row>
    <row r="527">
      <c r="A527" s="162">
        <v>104320.0</v>
      </c>
      <c r="B527" s="163" t="s">
        <v>1328</v>
      </c>
      <c r="C527" s="164" t="s">
        <v>1329</v>
      </c>
      <c r="D527" s="165">
        <v>45370.0</v>
      </c>
      <c r="E527" s="164" t="s">
        <v>1184</v>
      </c>
      <c r="F527" s="161"/>
      <c r="G527" s="161"/>
      <c r="H527" s="159">
        <v>4.5</v>
      </c>
      <c r="I527" s="159">
        <v>4.5</v>
      </c>
      <c r="J527" s="159">
        <v>4.0</v>
      </c>
      <c r="K527" s="159">
        <v>5.0</v>
      </c>
      <c r="L527" s="159">
        <v>5.0</v>
      </c>
      <c r="M527" s="159">
        <v>4.6</v>
      </c>
      <c r="N527" s="159">
        <v>4.5</v>
      </c>
      <c r="O527" s="159">
        <v>4.5</v>
      </c>
      <c r="P527" s="159">
        <v>4.0</v>
      </c>
      <c r="Q527" s="159">
        <v>5.0</v>
      </c>
      <c r="R527" s="159">
        <v>4.5</v>
      </c>
      <c r="S527" s="159">
        <v>4.0</v>
      </c>
      <c r="T527" s="159">
        <v>4.0</v>
      </c>
      <c r="U527" s="159">
        <v>4.2</v>
      </c>
      <c r="V527" s="159">
        <v>4.2</v>
      </c>
      <c r="W527" s="159">
        <v>4.1</v>
      </c>
      <c r="X527" s="161"/>
      <c r="Y527" s="161"/>
      <c r="Z527" s="161"/>
      <c r="AA527" s="161"/>
      <c r="AB527" s="161"/>
      <c r="AC527" s="159">
        <v>4.3999999999999995</v>
      </c>
      <c r="AD527" s="159"/>
    </row>
    <row r="528">
      <c r="A528" s="162">
        <v>104299.0</v>
      </c>
      <c r="B528" s="163" t="s">
        <v>1330</v>
      </c>
      <c r="C528" s="164" t="s">
        <v>1331</v>
      </c>
      <c r="D528" s="165">
        <v>45370.0</v>
      </c>
      <c r="E528" s="164" t="s">
        <v>254</v>
      </c>
      <c r="F528" s="161"/>
      <c r="G528" s="161"/>
      <c r="H528" s="159">
        <v>5.0</v>
      </c>
      <c r="I528" s="159">
        <v>5.0</v>
      </c>
      <c r="J528" s="159">
        <v>5.0</v>
      </c>
      <c r="K528" s="159">
        <v>5.0</v>
      </c>
      <c r="L528" s="159">
        <v>5.0</v>
      </c>
      <c r="M528" s="159">
        <v>5.0</v>
      </c>
      <c r="N528" s="159">
        <v>5.0</v>
      </c>
      <c r="O528" s="159">
        <v>5.0</v>
      </c>
      <c r="P528" s="159">
        <v>5.0</v>
      </c>
      <c r="Q528" s="159">
        <v>5.0</v>
      </c>
      <c r="R528" s="159">
        <v>5.0</v>
      </c>
      <c r="S528" s="159">
        <v>4.5</v>
      </c>
      <c r="T528" s="159">
        <v>4.5</v>
      </c>
      <c r="U528" s="159">
        <v>4.5</v>
      </c>
      <c r="V528" s="159">
        <v>4.5</v>
      </c>
      <c r="W528" s="159">
        <v>4.5</v>
      </c>
      <c r="X528" s="161"/>
      <c r="Y528" s="161"/>
      <c r="Z528" s="161"/>
      <c r="AA528" s="161"/>
      <c r="AB528" s="161"/>
      <c r="AC528" s="159">
        <v>4.833333333333333</v>
      </c>
      <c r="AD528" s="159"/>
    </row>
    <row r="529">
      <c r="A529" s="162">
        <v>104263.0</v>
      </c>
      <c r="B529" s="163" t="s">
        <v>1332</v>
      </c>
      <c r="C529" s="164" t="s">
        <v>1333</v>
      </c>
      <c r="D529" s="165">
        <v>45370.0</v>
      </c>
      <c r="E529" s="164" t="s">
        <v>94</v>
      </c>
      <c r="F529" s="161"/>
      <c r="G529" s="161"/>
      <c r="H529" s="159">
        <v>4.5</v>
      </c>
      <c r="I529" s="159">
        <v>4.5</v>
      </c>
      <c r="J529" s="159">
        <v>4.5</v>
      </c>
      <c r="K529" s="159">
        <v>4.5</v>
      </c>
      <c r="L529" s="159">
        <v>4.5</v>
      </c>
      <c r="M529" s="159">
        <v>4.5</v>
      </c>
      <c r="N529" s="159">
        <v>4.4</v>
      </c>
      <c r="O529" s="159">
        <v>4.2</v>
      </c>
      <c r="P529" s="159">
        <v>4.2</v>
      </c>
      <c r="Q529" s="159">
        <v>4.3</v>
      </c>
      <c r="R529" s="159">
        <v>4.275</v>
      </c>
      <c r="S529" s="159">
        <v>4.2</v>
      </c>
      <c r="T529" s="159">
        <v>4.2</v>
      </c>
      <c r="U529" s="159">
        <v>4.2</v>
      </c>
      <c r="V529" s="159">
        <v>4.2</v>
      </c>
      <c r="W529" s="159">
        <v>4.2</v>
      </c>
      <c r="X529" s="161"/>
      <c r="Y529" s="161"/>
      <c r="Z529" s="161"/>
      <c r="AA529" s="161"/>
      <c r="AB529" s="161"/>
      <c r="AC529" s="159">
        <v>4.325</v>
      </c>
      <c r="AD529" s="159"/>
    </row>
    <row r="530">
      <c r="A530" s="162">
        <v>104335.0</v>
      </c>
      <c r="B530" s="163" t="s">
        <v>1334</v>
      </c>
      <c r="C530" s="164" t="s">
        <v>1335</v>
      </c>
      <c r="D530" s="165">
        <v>45370.0</v>
      </c>
      <c r="E530" s="164" t="s">
        <v>427</v>
      </c>
      <c r="F530" s="161"/>
      <c r="G530" s="161"/>
      <c r="H530" s="159">
        <v>5.0</v>
      </c>
      <c r="I530" s="159">
        <v>5.0</v>
      </c>
      <c r="J530" s="159">
        <v>5.0</v>
      </c>
      <c r="K530" s="159">
        <v>5.0</v>
      </c>
      <c r="L530" s="159">
        <v>5.0</v>
      </c>
      <c r="M530" s="159">
        <v>5.0</v>
      </c>
      <c r="N530" s="171"/>
      <c r="O530" s="171"/>
      <c r="P530" s="171"/>
      <c r="Q530" s="171"/>
      <c r="R530" s="171"/>
      <c r="S530" s="159">
        <v>4.5</v>
      </c>
      <c r="T530" s="159">
        <v>4.5</v>
      </c>
      <c r="U530" s="159">
        <v>4.5</v>
      </c>
      <c r="V530" s="159">
        <v>4.5</v>
      </c>
      <c r="W530" s="159">
        <v>4.5</v>
      </c>
      <c r="X530" s="161"/>
      <c r="Y530" s="161"/>
      <c r="Z530" s="161"/>
      <c r="AA530" s="161"/>
      <c r="AB530" s="161"/>
      <c r="AC530" s="159">
        <v>4.75</v>
      </c>
      <c r="AD530" s="171"/>
    </row>
    <row r="531">
      <c r="A531" s="162">
        <v>104274.0</v>
      </c>
      <c r="B531" s="163" t="s">
        <v>1336</v>
      </c>
      <c r="C531" s="164" t="s">
        <v>1337</v>
      </c>
      <c r="D531" s="165">
        <v>45373.0</v>
      </c>
      <c r="E531" s="164" t="s">
        <v>1338</v>
      </c>
      <c r="F531" s="161"/>
      <c r="G531" s="161"/>
      <c r="H531" s="159">
        <v>4.0</v>
      </c>
      <c r="I531" s="159">
        <v>4.0</v>
      </c>
      <c r="J531" s="159">
        <v>4.0</v>
      </c>
      <c r="K531" s="159">
        <v>4.0</v>
      </c>
      <c r="L531" s="159">
        <v>4.0</v>
      </c>
      <c r="M531" s="159">
        <v>4.0</v>
      </c>
      <c r="N531" s="159">
        <v>4.0</v>
      </c>
      <c r="O531" s="159">
        <v>4.0</v>
      </c>
      <c r="P531" s="159">
        <v>4.0</v>
      </c>
      <c r="Q531" s="159">
        <v>4.0</v>
      </c>
      <c r="R531" s="159">
        <v>4.0</v>
      </c>
      <c r="S531" s="159">
        <v>4.5</v>
      </c>
      <c r="T531" s="159">
        <v>4.5</v>
      </c>
      <c r="U531" s="159">
        <v>4.5</v>
      </c>
      <c r="V531" s="159">
        <v>4.5</v>
      </c>
      <c r="W531" s="159">
        <v>4.5</v>
      </c>
      <c r="X531" s="161"/>
      <c r="Y531" s="161"/>
      <c r="Z531" s="161"/>
      <c r="AA531" s="161"/>
      <c r="AB531" s="161"/>
      <c r="AC531" s="159">
        <v>4.166666666666667</v>
      </c>
      <c r="AD531" s="159"/>
    </row>
    <row r="532">
      <c r="A532" s="162">
        <v>104266.0</v>
      </c>
      <c r="B532" s="163" t="s">
        <v>1339</v>
      </c>
      <c r="C532" s="164" t="s">
        <v>1340</v>
      </c>
      <c r="D532" s="165">
        <v>45373.0</v>
      </c>
      <c r="E532" s="164" t="s">
        <v>1338</v>
      </c>
      <c r="F532" s="161"/>
      <c r="G532" s="161"/>
      <c r="H532" s="159">
        <v>4.0</v>
      </c>
      <c r="I532" s="159">
        <v>4.0</v>
      </c>
      <c r="J532" s="159">
        <v>4.0</v>
      </c>
      <c r="K532" s="159">
        <v>4.0</v>
      </c>
      <c r="L532" s="159">
        <v>4.0</v>
      </c>
      <c r="M532" s="159">
        <v>4.0</v>
      </c>
      <c r="N532" s="159">
        <v>4.0</v>
      </c>
      <c r="O532" s="159">
        <v>4.0</v>
      </c>
      <c r="P532" s="159">
        <v>4.0</v>
      </c>
      <c r="Q532" s="159">
        <v>4.0</v>
      </c>
      <c r="R532" s="159">
        <v>4.0</v>
      </c>
      <c r="S532" s="159">
        <v>4.0</v>
      </c>
      <c r="T532" s="159">
        <v>4.0</v>
      </c>
      <c r="U532" s="159">
        <v>4.0</v>
      </c>
      <c r="V532" s="159">
        <v>4.0</v>
      </c>
      <c r="W532" s="159">
        <v>4.0</v>
      </c>
      <c r="X532" s="161"/>
      <c r="Y532" s="161"/>
      <c r="Z532" s="161"/>
      <c r="AA532" s="161"/>
      <c r="AB532" s="161"/>
      <c r="AC532" s="159">
        <v>4.0</v>
      </c>
      <c r="AD532" s="159"/>
    </row>
    <row r="533">
      <c r="A533" s="162">
        <v>104293.0</v>
      </c>
      <c r="B533" s="163" t="s">
        <v>1341</v>
      </c>
      <c r="C533" s="164" t="s">
        <v>1342</v>
      </c>
      <c r="D533" s="165">
        <v>45373.0</v>
      </c>
      <c r="E533" s="164" t="s">
        <v>1343</v>
      </c>
      <c r="F533" s="161"/>
      <c r="G533" s="161"/>
      <c r="H533" s="159">
        <v>5.0</v>
      </c>
      <c r="I533" s="159">
        <v>5.0</v>
      </c>
      <c r="J533" s="159">
        <v>5.0</v>
      </c>
      <c r="K533" s="159">
        <v>5.0</v>
      </c>
      <c r="L533" s="159">
        <v>5.0</v>
      </c>
      <c r="M533" s="159">
        <v>5.0</v>
      </c>
      <c r="N533" s="159">
        <v>5.0</v>
      </c>
      <c r="O533" s="159">
        <v>5.0</v>
      </c>
      <c r="P533" s="159">
        <v>5.0</v>
      </c>
      <c r="Q533" s="159">
        <v>5.0</v>
      </c>
      <c r="R533" s="159">
        <v>5.0</v>
      </c>
      <c r="S533" s="159">
        <v>4.5</v>
      </c>
      <c r="T533" s="159">
        <v>4.5</v>
      </c>
      <c r="U533" s="159">
        <v>4.5</v>
      </c>
      <c r="V533" s="159">
        <v>4.5</v>
      </c>
      <c r="W533" s="159">
        <v>4.5</v>
      </c>
      <c r="X533" s="161"/>
      <c r="Y533" s="161"/>
      <c r="Z533" s="161"/>
      <c r="AA533" s="161"/>
      <c r="AB533" s="161"/>
      <c r="AC533" s="159">
        <v>4.833333333333333</v>
      </c>
      <c r="AD533" s="159"/>
    </row>
    <row r="534">
      <c r="A534" s="162">
        <v>104332.0</v>
      </c>
      <c r="B534" s="163" t="s">
        <v>1344</v>
      </c>
      <c r="C534" s="164" t="s">
        <v>1345</v>
      </c>
      <c r="D534" s="165">
        <v>45373.0</v>
      </c>
      <c r="E534" s="164" t="s">
        <v>87</v>
      </c>
      <c r="F534" s="161"/>
      <c r="G534" s="161"/>
      <c r="H534" s="159">
        <v>5.0</v>
      </c>
      <c r="I534" s="159">
        <v>5.0</v>
      </c>
      <c r="J534" s="159">
        <v>5.0</v>
      </c>
      <c r="K534" s="159">
        <v>5.0</v>
      </c>
      <c r="L534" s="159">
        <v>5.0</v>
      </c>
      <c r="M534" s="159">
        <v>5.0</v>
      </c>
      <c r="N534" s="171"/>
      <c r="O534" s="171"/>
      <c r="P534" s="171"/>
      <c r="Q534" s="171"/>
      <c r="R534" s="171"/>
      <c r="S534" s="159">
        <v>4.5</v>
      </c>
      <c r="T534" s="159">
        <v>4.5</v>
      </c>
      <c r="U534" s="159">
        <v>4.5</v>
      </c>
      <c r="V534" s="159">
        <v>4.5</v>
      </c>
      <c r="W534" s="159">
        <v>4.5</v>
      </c>
      <c r="X534" s="161"/>
      <c r="Y534" s="161"/>
      <c r="Z534" s="161"/>
      <c r="AA534" s="161"/>
      <c r="AB534" s="161"/>
      <c r="AC534" s="159">
        <v>4.75</v>
      </c>
      <c r="AD534" s="171"/>
    </row>
    <row r="535">
      <c r="A535" s="162">
        <v>104313.0</v>
      </c>
      <c r="B535" s="163" t="s">
        <v>1346</v>
      </c>
      <c r="C535" s="164" t="s">
        <v>1347</v>
      </c>
      <c r="D535" s="165">
        <v>45374.0</v>
      </c>
      <c r="E535" s="164" t="s">
        <v>295</v>
      </c>
      <c r="F535" s="161"/>
      <c r="G535" s="161"/>
      <c r="H535" s="159">
        <v>4.5</v>
      </c>
      <c r="I535" s="159">
        <v>4.5</v>
      </c>
      <c r="J535" s="159">
        <v>4.5</v>
      </c>
      <c r="K535" s="159">
        <v>4.5</v>
      </c>
      <c r="L535" s="159">
        <v>4.5</v>
      </c>
      <c r="M535" s="159">
        <v>4.5</v>
      </c>
      <c r="N535" s="159">
        <v>4.5</v>
      </c>
      <c r="O535" s="159">
        <v>4.5</v>
      </c>
      <c r="P535" s="159">
        <v>4.5</v>
      </c>
      <c r="Q535" s="159">
        <v>4.5</v>
      </c>
      <c r="R535" s="159">
        <v>4.5</v>
      </c>
      <c r="S535" s="159">
        <v>4.2</v>
      </c>
      <c r="T535" s="159">
        <v>4.2</v>
      </c>
      <c r="U535" s="159">
        <v>4.2</v>
      </c>
      <c r="V535" s="159">
        <v>4.2</v>
      </c>
      <c r="W535" s="159">
        <v>4.2</v>
      </c>
      <c r="X535" s="161"/>
      <c r="Y535" s="161"/>
      <c r="Z535" s="161"/>
      <c r="AA535" s="161"/>
      <c r="AB535" s="161"/>
      <c r="AC535" s="159">
        <v>4.3999999999999995</v>
      </c>
      <c r="AD535" s="159"/>
    </row>
    <row r="536">
      <c r="A536" s="162">
        <v>104308.0</v>
      </c>
      <c r="B536" s="163" t="s">
        <v>1348</v>
      </c>
      <c r="C536" s="164" t="s">
        <v>1349</v>
      </c>
      <c r="D536" s="165">
        <v>45374.0</v>
      </c>
      <c r="E536" s="164" t="s">
        <v>295</v>
      </c>
      <c r="F536" s="161"/>
      <c r="G536" s="161"/>
      <c r="H536" s="159">
        <v>4.5</v>
      </c>
      <c r="I536" s="159">
        <v>4.5</v>
      </c>
      <c r="J536" s="159">
        <v>4.5</v>
      </c>
      <c r="K536" s="159">
        <v>4.5</v>
      </c>
      <c r="L536" s="159">
        <v>4.5</v>
      </c>
      <c r="M536" s="159">
        <v>4.5</v>
      </c>
      <c r="N536" s="159">
        <v>4.5</v>
      </c>
      <c r="O536" s="159">
        <v>4.5</v>
      </c>
      <c r="P536" s="159">
        <v>4.5</v>
      </c>
      <c r="Q536" s="159">
        <v>4.5</v>
      </c>
      <c r="R536" s="159">
        <v>4.5</v>
      </c>
      <c r="S536" s="159">
        <v>4.5</v>
      </c>
      <c r="T536" s="159">
        <v>4.5</v>
      </c>
      <c r="U536" s="159">
        <v>4.5</v>
      </c>
      <c r="V536" s="159">
        <v>4.5</v>
      </c>
      <c r="W536" s="159">
        <v>4.5</v>
      </c>
      <c r="X536" s="161"/>
      <c r="Y536" s="161"/>
      <c r="Z536" s="161"/>
      <c r="AA536" s="161"/>
      <c r="AB536" s="161"/>
      <c r="AC536" s="159">
        <v>4.5</v>
      </c>
      <c r="AD536" s="159"/>
    </row>
    <row r="537">
      <c r="A537" s="162">
        <v>104308.0</v>
      </c>
      <c r="B537" s="163" t="s">
        <v>1350</v>
      </c>
      <c r="C537" s="164" t="s">
        <v>1349</v>
      </c>
      <c r="D537" s="165">
        <v>45376.0</v>
      </c>
      <c r="E537" s="164" t="s">
        <v>94</v>
      </c>
      <c r="F537" s="161"/>
      <c r="G537" s="161"/>
      <c r="H537" s="159">
        <v>5.0</v>
      </c>
      <c r="I537" s="159">
        <v>5.0</v>
      </c>
      <c r="J537" s="159">
        <v>5.0</v>
      </c>
      <c r="K537" s="159">
        <v>5.0</v>
      </c>
      <c r="L537" s="159">
        <v>5.0</v>
      </c>
      <c r="M537" s="159">
        <v>5.0</v>
      </c>
      <c r="N537" s="159">
        <v>5.0</v>
      </c>
      <c r="O537" s="159">
        <v>5.0</v>
      </c>
      <c r="P537" s="159">
        <v>5.0</v>
      </c>
      <c r="Q537" s="159">
        <v>5.0</v>
      </c>
      <c r="R537" s="159">
        <v>5.0</v>
      </c>
      <c r="S537" s="159">
        <v>4.5</v>
      </c>
      <c r="T537" s="159">
        <v>4.5</v>
      </c>
      <c r="U537" s="159">
        <v>4.5</v>
      </c>
      <c r="V537" s="159">
        <v>4.5</v>
      </c>
      <c r="W537" s="159">
        <v>4.5</v>
      </c>
      <c r="X537" s="161"/>
      <c r="Y537" s="161"/>
      <c r="Z537" s="161"/>
      <c r="AA537" s="161"/>
      <c r="AB537" s="161"/>
      <c r="AC537" s="159">
        <v>4.833333333333333</v>
      </c>
      <c r="AD537" s="159"/>
    </row>
    <row r="538">
      <c r="A538" s="162">
        <v>104357.0</v>
      </c>
      <c r="B538" s="163" t="s">
        <v>1351</v>
      </c>
      <c r="C538" s="164" t="s">
        <v>1352</v>
      </c>
      <c r="D538" s="165">
        <v>45377.0</v>
      </c>
      <c r="E538" s="164" t="s">
        <v>1353</v>
      </c>
      <c r="F538" s="161"/>
      <c r="G538" s="161"/>
      <c r="H538" s="159">
        <v>4.5</v>
      </c>
      <c r="I538" s="159">
        <v>4.5</v>
      </c>
      <c r="J538" s="159">
        <v>4.5</v>
      </c>
      <c r="K538" s="159">
        <v>5.0</v>
      </c>
      <c r="L538" s="159">
        <v>5.0</v>
      </c>
      <c r="M538" s="159">
        <v>4.7</v>
      </c>
      <c r="N538" s="159">
        <v>4.5</v>
      </c>
      <c r="O538" s="159">
        <v>4.5</v>
      </c>
      <c r="P538" s="159">
        <v>4.5</v>
      </c>
      <c r="Q538" s="159">
        <v>5.0</v>
      </c>
      <c r="R538" s="159">
        <v>4.625</v>
      </c>
      <c r="S538" s="159">
        <v>4.0</v>
      </c>
      <c r="T538" s="159">
        <v>4.0</v>
      </c>
      <c r="U538" s="159">
        <v>4.2</v>
      </c>
      <c r="V538" s="159">
        <v>4.2</v>
      </c>
      <c r="W538" s="159">
        <v>4.1</v>
      </c>
      <c r="X538" s="161"/>
      <c r="Y538" s="161"/>
      <c r="Z538" s="161"/>
      <c r="AA538" s="161"/>
      <c r="AB538" s="161"/>
      <c r="AC538" s="159">
        <v>4.475</v>
      </c>
      <c r="AD538" s="159"/>
    </row>
    <row r="539">
      <c r="A539" s="162">
        <v>104369.0</v>
      </c>
      <c r="B539" s="163" t="s">
        <v>1354</v>
      </c>
      <c r="C539" s="164" t="s">
        <v>1355</v>
      </c>
      <c r="D539" s="165">
        <v>45377.0</v>
      </c>
      <c r="E539" s="164" t="s">
        <v>1353</v>
      </c>
      <c r="F539" s="161"/>
      <c r="G539" s="161"/>
      <c r="H539" s="159">
        <v>5.0</v>
      </c>
      <c r="I539" s="159">
        <v>5.0</v>
      </c>
      <c r="J539" s="159">
        <v>5.0</v>
      </c>
      <c r="K539" s="159">
        <v>5.0</v>
      </c>
      <c r="L539" s="159">
        <v>5.0</v>
      </c>
      <c r="M539" s="159">
        <v>5.0</v>
      </c>
      <c r="N539" s="159">
        <v>5.0</v>
      </c>
      <c r="O539" s="159">
        <v>5.0</v>
      </c>
      <c r="P539" s="159">
        <v>5.0</v>
      </c>
      <c r="Q539" s="159">
        <v>5.0</v>
      </c>
      <c r="R539" s="159">
        <v>5.0</v>
      </c>
      <c r="S539" s="159">
        <v>4.5</v>
      </c>
      <c r="T539" s="159">
        <v>4.5</v>
      </c>
      <c r="U539" s="159">
        <v>4.5</v>
      </c>
      <c r="V539" s="159">
        <v>4.5</v>
      </c>
      <c r="W539" s="159">
        <v>4.5</v>
      </c>
      <c r="X539" s="161"/>
      <c r="Y539" s="161"/>
      <c r="Z539" s="161"/>
      <c r="AA539" s="161"/>
      <c r="AB539" s="161"/>
      <c r="AC539" s="159">
        <v>4.833333333333333</v>
      </c>
      <c r="AD539" s="159"/>
    </row>
    <row r="540">
      <c r="A540" s="162">
        <v>104331.0</v>
      </c>
      <c r="B540" s="163" t="s">
        <v>1356</v>
      </c>
      <c r="C540" s="164" t="s">
        <v>1357</v>
      </c>
      <c r="D540" s="165">
        <v>45377.0</v>
      </c>
      <c r="E540" s="164" t="s">
        <v>87</v>
      </c>
      <c r="F540" s="161"/>
      <c r="G540" s="161"/>
      <c r="H540" s="159">
        <v>5.0</v>
      </c>
      <c r="I540" s="159">
        <v>5.0</v>
      </c>
      <c r="J540" s="159">
        <v>5.0</v>
      </c>
      <c r="K540" s="159">
        <v>5.0</v>
      </c>
      <c r="L540" s="159">
        <v>5.0</v>
      </c>
      <c r="M540" s="159">
        <v>5.0</v>
      </c>
      <c r="N540" s="171"/>
      <c r="O540" s="171"/>
      <c r="P540" s="171"/>
      <c r="Q540" s="171"/>
      <c r="R540" s="171"/>
      <c r="S540" s="159">
        <v>4.5</v>
      </c>
      <c r="T540" s="159">
        <v>4.5</v>
      </c>
      <c r="U540" s="159">
        <v>4.5</v>
      </c>
      <c r="V540" s="159">
        <v>4.5</v>
      </c>
      <c r="W540" s="159">
        <v>4.5</v>
      </c>
      <c r="X540" s="161"/>
      <c r="Y540" s="161"/>
      <c r="Z540" s="161"/>
      <c r="AA540" s="161"/>
      <c r="AB540" s="161"/>
      <c r="AC540" s="159">
        <v>4.75</v>
      </c>
      <c r="AD540" s="171"/>
    </row>
    <row r="541">
      <c r="A541" s="162">
        <v>104373.0</v>
      </c>
      <c r="B541" s="163" t="s">
        <v>1358</v>
      </c>
      <c r="C541" s="164" t="s">
        <v>1359</v>
      </c>
      <c r="D541" s="165">
        <v>45377.0</v>
      </c>
      <c r="E541" s="164" t="s">
        <v>1353</v>
      </c>
      <c r="F541" s="161"/>
      <c r="G541" s="161"/>
      <c r="H541" s="159">
        <v>5.0</v>
      </c>
      <c r="I541" s="159">
        <v>5.0</v>
      </c>
      <c r="J541" s="159">
        <v>5.0</v>
      </c>
      <c r="K541" s="159">
        <v>5.0</v>
      </c>
      <c r="L541" s="159">
        <v>5.0</v>
      </c>
      <c r="M541" s="159">
        <v>5.0</v>
      </c>
      <c r="N541" s="159">
        <v>5.0</v>
      </c>
      <c r="O541" s="159">
        <v>5.0</v>
      </c>
      <c r="P541" s="159">
        <v>5.0</v>
      </c>
      <c r="Q541" s="159">
        <v>5.0</v>
      </c>
      <c r="R541" s="159">
        <v>5.0</v>
      </c>
      <c r="S541" s="159">
        <v>4.5</v>
      </c>
      <c r="T541" s="159">
        <v>4.5</v>
      </c>
      <c r="U541" s="159">
        <v>4.5</v>
      </c>
      <c r="V541" s="159">
        <v>4.5</v>
      </c>
      <c r="W541" s="159">
        <v>4.5</v>
      </c>
      <c r="X541" s="161"/>
      <c r="Y541" s="161"/>
      <c r="Z541" s="161"/>
      <c r="AA541" s="161"/>
      <c r="AB541" s="161"/>
      <c r="AC541" s="159">
        <v>4.833333333333333</v>
      </c>
      <c r="AD541" s="171"/>
    </row>
    <row r="542">
      <c r="A542" s="162">
        <v>104295.0</v>
      </c>
      <c r="B542" s="163" t="s">
        <v>1360</v>
      </c>
      <c r="C542" s="164" t="s">
        <v>1361</v>
      </c>
      <c r="D542" s="165">
        <v>45379.0</v>
      </c>
      <c r="E542" s="164" t="s">
        <v>522</v>
      </c>
      <c r="F542" s="161"/>
      <c r="G542" s="161"/>
      <c r="H542" s="159">
        <v>5.0</v>
      </c>
      <c r="I542" s="159">
        <v>5.0</v>
      </c>
      <c r="J542" s="159">
        <v>5.0</v>
      </c>
      <c r="K542" s="159">
        <v>5.0</v>
      </c>
      <c r="L542" s="159">
        <v>5.0</v>
      </c>
      <c r="M542" s="159">
        <v>5.0</v>
      </c>
      <c r="N542" s="159">
        <v>5.0</v>
      </c>
      <c r="O542" s="159">
        <v>5.0</v>
      </c>
      <c r="P542" s="159">
        <v>5.0</v>
      </c>
      <c r="Q542" s="159">
        <v>5.0</v>
      </c>
      <c r="R542" s="159">
        <v>5.0</v>
      </c>
      <c r="S542" s="159">
        <v>4.5</v>
      </c>
      <c r="T542" s="159">
        <v>4.5</v>
      </c>
      <c r="U542" s="159">
        <v>4.5</v>
      </c>
      <c r="V542" s="159">
        <v>4.5</v>
      </c>
      <c r="W542" s="159">
        <v>4.5</v>
      </c>
      <c r="X542" s="161"/>
      <c r="Y542" s="161"/>
      <c r="Z542" s="161"/>
      <c r="AA542" s="161"/>
      <c r="AB542" s="161"/>
      <c r="AC542" s="159">
        <v>4.833333333333333</v>
      </c>
      <c r="AD542" s="159"/>
    </row>
    <row r="543">
      <c r="A543" s="162">
        <v>104157.0</v>
      </c>
      <c r="B543" s="169"/>
      <c r="C543" s="164" t="s">
        <v>1362</v>
      </c>
      <c r="D543" s="165">
        <v>45380.0</v>
      </c>
      <c r="E543" s="164" t="s">
        <v>1363</v>
      </c>
      <c r="F543" s="161"/>
      <c r="G543" s="161"/>
      <c r="H543" s="159">
        <v>5.0</v>
      </c>
      <c r="I543" s="159">
        <v>5.0</v>
      </c>
      <c r="J543" s="159">
        <v>5.0</v>
      </c>
      <c r="K543" s="159">
        <v>5.0</v>
      </c>
      <c r="L543" s="159">
        <v>5.0</v>
      </c>
      <c r="M543" s="159">
        <v>5.0</v>
      </c>
      <c r="N543" s="159">
        <v>5.0</v>
      </c>
      <c r="O543" s="159">
        <v>5.0</v>
      </c>
      <c r="P543" s="159">
        <v>5.0</v>
      </c>
      <c r="Q543" s="159">
        <v>5.0</v>
      </c>
      <c r="R543" s="159">
        <v>5.0</v>
      </c>
      <c r="S543" s="159">
        <v>5.0</v>
      </c>
      <c r="T543" s="159">
        <v>5.0</v>
      </c>
      <c r="U543" s="159">
        <v>5.0</v>
      </c>
      <c r="V543" s="159">
        <v>5.0</v>
      </c>
      <c r="W543" s="159">
        <v>5.0</v>
      </c>
      <c r="X543" s="161"/>
      <c r="Y543" s="161"/>
      <c r="Z543" s="161"/>
      <c r="AA543" s="161"/>
      <c r="AB543" s="161"/>
      <c r="AC543" s="159">
        <v>5.0</v>
      </c>
      <c r="AD543" s="159"/>
    </row>
    <row r="544">
      <c r="A544" s="162">
        <v>104157.0</v>
      </c>
      <c r="B544" s="163" t="s">
        <v>1364</v>
      </c>
      <c r="C544" s="164" t="s">
        <v>1362</v>
      </c>
      <c r="D544" s="165">
        <v>45380.0</v>
      </c>
      <c r="E544" s="164" t="s">
        <v>1363</v>
      </c>
      <c r="F544" s="161"/>
      <c r="G544" s="161"/>
      <c r="H544" s="159">
        <v>5.0</v>
      </c>
      <c r="I544" s="159">
        <v>5.0</v>
      </c>
      <c r="J544" s="159">
        <v>5.0</v>
      </c>
      <c r="K544" s="159">
        <v>5.0</v>
      </c>
      <c r="L544" s="159">
        <v>5.0</v>
      </c>
      <c r="M544" s="159">
        <v>5.0</v>
      </c>
      <c r="N544" s="159">
        <v>5.0</v>
      </c>
      <c r="O544" s="159">
        <v>5.0</v>
      </c>
      <c r="P544" s="159">
        <v>5.0</v>
      </c>
      <c r="Q544" s="159">
        <v>5.0</v>
      </c>
      <c r="R544" s="159">
        <v>5.0</v>
      </c>
      <c r="S544" s="159">
        <v>5.0</v>
      </c>
      <c r="T544" s="159">
        <v>5.0</v>
      </c>
      <c r="U544" s="159">
        <v>5.0</v>
      </c>
      <c r="V544" s="159">
        <v>5.0</v>
      </c>
      <c r="W544" s="159">
        <v>5.0</v>
      </c>
      <c r="X544" s="161"/>
      <c r="Y544" s="161"/>
      <c r="Z544" s="161"/>
      <c r="AA544" s="161"/>
      <c r="AB544" s="161"/>
      <c r="AC544" s="159">
        <v>5.0</v>
      </c>
      <c r="AD544" s="159"/>
    </row>
    <row r="545">
      <c r="A545" s="162">
        <v>104301.0</v>
      </c>
      <c r="B545" s="163" t="s">
        <v>1365</v>
      </c>
      <c r="C545" s="164" t="s">
        <v>1366</v>
      </c>
      <c r="D545" s="165">
        <v>45383.0</v>
      </c>
      <c r="E545" s="164" t="s">
        <v>51</v>
      </c>
      <c r="F545" s="161"/>
      <c r="G545" s="161"/>
      <c r="H545" s="159">
        <v>5.0</v>
      </c>
      <c r="I545" s="159">
        <v>5.0</v>
      </c>
      <c r="J545" s="159">
        <v>5.0</v>
      </c>
      <c r="K545" s="159">
        <v>5.0</v>
      </c>
      <c r="L545" s="159">
        <v>5.0</v>
      </c>
      <c r="M545" s="159">
        <v>5.0</v>
      </c>
      <c r="N545" s="159">
        <v>5.0</v>
      </c>
      <c r="O545" s="159">
        <v>5.0</v>
      </c>
      <c r="P545" s="159">
        <v>5.0</v>
      </c>
      <c r="Q545" s="159">
        <v>5.0</v>
      </c>
      <c r="R545" s="159">
        <v>5.0</v>
      </c>
      <c r="S545" s="159">
        <v>4.5</v>
      </c>
      <c r="T545" s="159">
        <v>4.5</v>
      </c>
      <c r="U545" s="159">
        <v>4.5</v>
      </c>
      <c r="V545" s="159">
        <v>4.5</v>
      </c>
      <c r="W545" s="159">
        <v>4.5</v>
      </c>
      <c r="X545" s="161"/>
      <c r="Y545" s="161"/>
      <c r="Z545" s="161"/>
      <c r="AA545" s="161"/>
      <c r="AB545" s="161"/>
      <c r="AC545" s="159">
        <v>4.833333333333333</v>
      </c>
      <c r="AD545" s="159"/>
    </row>
    <row r="546">
      <c r="A546" s="162">
        <v>104324.0</v>
      </c>
      <c r="B546" s="163" t="s">
        <v>1367</v>
      </c>
      <c r="C546" s="164" t="s">
        <v>1368</v>
      </c>
      <c r="D546" s="165">
        <v>45383.0</v>
      </c>
      <c r="E546" s="164" t="s">
        <v>51</v>
      </c>
      <c r="F546" s="161"/>
      <c r="G546" s="161"/>
      <c r="H546" s="159">
        <v>5.0</v>
      </c>
      <c r="I546" s="159">
        <v>5.0</v>
      </c>
      <c r="J546" s="159">
        <v>5.0</v>
      </c>
      <c r="K546" s="159">
        <v>5.0</v>
      </c>
      <c r="L546" s="159">
        <v>5.0</v>
      </c>
      <c r="M546" s="159">
        <v>5.0</v>
      </c>
      <c r="N546" s="159">
        <v>5.0</v>
      </c>
      <c r="O546" s="159">
        <v>5.0</v>
      </c>
      <c r="P546" s="159">
        <v>5.0</v>
      </c>
      <c r="Q546" s="159">
        <v>5.0</v>
      </c>
      <c r="R546" s="159">
        <v>5.0</v>
      </c>
      <c r="S546" s="159">
        <v>4.5</v>
      </c>
      <c r="T546" s="159">
        <v>4.5</v>
      </c>
      <c r="U546" s="159">
        <v>4.5</v>
      </c>
      <c r="V546" s="159">
        <v>4.5</v>
      </c>
      <c r="W546" s="159">
        <v>4.5</v>
      </c>
      <c r="X546" s="161"/>
      <c r="Y546" s="161"/>
      <c r="Z546" s="161"/>
      <c r="AA546" s="161"/>
      <c r="AB546" s="161"/>
      <c r="AC546" s="159">
        <v>4.833333333333333</v>
      </c>
      <c r="AD546" s="159"/>
    </row>
    <row r="547">
      <c r="A547" s="162">
        <v>104376.0</v>
      </c>
      <c r="B547" s="163" t="s">
        <v>1369</v>
      </c>
      <c r="C547" s="164" t="s">
        <v>1370</v>
      </c>
      <c r="D547" s="165">
        <v>45383.0</v>
      </c>
      <c r="E547" s="164" t="s">
        <v>1140</v>
      </c>
      <c r="F547" s="161"/>
      <c r="G547" s="161"/>
      <c r="H547" s="159">
        <v>5.0</v>
      </c>
      <c r="I547" s="159">
        <v>5.0</v>
      </c>
      <c r="J547" s="159">
        <v>5.0</v>
      </c>
      <c r="K547" s="159">
        <v>5.0</v>
      </c>
      <c r="L547" s="159">
        <v>5.0</v>
      </c>
      <c r="M547" s="159">
        <v>5.0</v>
      </c>
      <c r="N547" s="159">
        <v>5.0</v>
      </c>
      <c r="O547" s="159">
        <v>5.0</v>
      </c>
      <c r="P547" s="159">
        <v>5.0</v>
      </c>
      <c r="Q547" s="159">
        <v>5.0</v>
      </c>
      <c r="R547" s="159">
        <v>5.0</v>
      </c>
      <c r="S547" s="159">
        <v>4.5</v>
      </c>
      <c r="T547" s="159">
        <v>4.5</v>
      </c>
      <c r="U547" s="159">
        <v>4.5</v>
      </c>
      <c r="V547" s="159">
        <v>4.5</v>
      </c>
      <c r="W547" s="159">
        <v>4.5</v>
      </c>
      <c r="X547" s="161"/>
      <c r="Y547" s="161"/>
      <c r="Z547" s="161"/>
      <c r="AA547" s="161"/>
      <c r="AB547" s="161"/>
      <c r="AC547" s="159">
        <v>4.833333333333333</v>
      </c>
      <c r="AD547" s="159"/>
    </row>
    <row r="548">
      <c r="A548" s="162">
        <v>104363.0</v>
      </c>
      <c r="B548" s="163" t="s">
        <v>1371</v>
      </c>
      <c r="C548" s="164" t="s">
        <v>1372</v>
      </c>
      <c r="D548" s="165">
        <v>45383.0</v>
      </c>
      <c r="E548" s="164" t="s">
        <v>1140</v>
      </c>
      <c r="F548" s="161"/>
      <c r="G548" s="161"/>
      <c r="H548" s="159">
        <v>5.0</v>
      </c>
      <c r="I548" s="159">
        <v>5.0</v>
      </c>
      <c r="J548" s="159">
        <v>5.0</v>
      </c>
      <c r="K548" s="159">
        <v>5.0</v>
      </c>
      <c r="L548" s="159">
        <v>5.0</v>
      </c>
      <c r="M548" s="159">
        <v>5.0</v>
      </c>
      <c r="N548" s="159">
        <v>5.0</v>
      </c>
      <c r="O548" s="159">
        <v>5.0</v>
      </c>
      <c r="P548" s="159">
        <v>5.0</v>
      </c>
      <c r="Q548" s="159">
        <v>5.0</v>
      </c>
      <c r="R548" s="159">
        <v>5.0</v>
      </c>
      <c r="S548" s="159">
        <v>4.5</v>
      </c>
      <c r="T548" s="159">
        <v>4.5</v>
      </c>
      <c r="U548" s="159">
        <v>4.5</v>
      </c>
      <c r="V548" s="159">
        <v>4.5</v>
      </c>
      <c r="W548" s="159">
        <v>4.5</v>
      </c>
      <c r="X548" s="161"/>
      <c r="Y548" s="161"/>
      <c r="Z548" s="161"/>
      <c r="AA548" s="161"/>
      <c r="AB548" s="161"/>
      <c r="AC548" s="159">
        <v>4.833333333333333</v>
      </c>
      <c r="AD548" s="159"/>
    </row>
    <row r="549">
      <c r="A549" s="162">
        <v>104311.0</v>
      </c>
      <c r="B549" s="163" t="s">
        <v>1373</v>
      </c>
      <c r="C549" s="164" t="s">
        <v>1374</v>
      </c>
      <c r="D549" s="165">
        <v>45383.0</v>
      </c>
      <c r="E549" s="164" t="s">
        <v>87</v>
      </c>
      <c r="F549" s="161"/>
      <c r="G549" s="161"/>
      <c r="H549" s="159">
        <v>5.0</v>
      </c>
      <c r="I549" s="159">
        <v>5.0</v>
      </c>
      <c r="J549" s="159">
        <v>5.0</v>
      </c>
      <c r="K549" s="159">
        <v>5.0</v>
      </c>
      <c r="L549" s="159">
        <v>5.0</v>
      </c>
      <c r="M549" s="159">
        <v>5.0</v>
      </c>
      <c r="N549" s="159">
        <v>5.0</v>
      </c>
      <c r="O549" s="159">
        <v>5.0</v>
      </c>
      <c r="P549" s="159">
        <v>5.0</v>
      </c>
      <c r="Q549" s="159">
        <v>5.0</v>
      </c>
      <c r="R549" s="159">
        <v>5.0</v>
      </c>
      <c r="S549" s="159">
        <v>5.0</v>
      </c>
      <c r="T549" s="159">
        <v>5.0</v>
      </c>
      <c r="U549" s="159">
        <v>5.0</v>
      </c>
      <c r="V549" s="159">
        <v>5.0</v>
      </c>
      <c r="W549" s="159">
        <v>5.0</v>
      </c>
      <c r="X549" s="161"/>
      <c r="Y549" s="161"/>
      <c r="Z549" s="161"/>
      <c r="AA549" s="161"/>
      <c r="AB549" s="161"/>
      <c r="AC549" s="159">
        <v>5.0</v>
      </c>
      <c r="AD549" s="159"/>
    </row>
    <row r="550">
      <c r="A550" s="162">
        <v>104348.0</v>
      </c>
      <c r="B550" s="163" t="s">
        <v>1375</v>
      </c>
      <c r="C550" s="164" t="s">
        <v>1376</v>
      </c>
      <c r="D550" s="165">
        <v>45383.0</v>
      </c>
      <c r="E550" s="164" t="s">
        <v>312</v>
      </c>
      <c r="F550" s="161"/>
      <c r="G550" s="161"/>
      <c r="H550" s="159">
        <v>5.0</v>
      </c>
      <c r="I550" s="159">
        <v>5.0</v>
      </c>
      <c r="J550" s="159">
        <v>5.0</v>
      </c>
      <c r="K550" s="159">
        <v>5.0</v>
      </c>
      <c r="L550" s="159">
        <v>5.0</v>
      </c>
      <c r="M550" s="159">
        <v>5.0</v>
      </c>
      <c r="N550" s="159">
        <v>5.0</v>
      </c>
      <c r="O550" s="159">
        <v>5.0</v>
      </c>
      <c r="P550" s="159">
        <v>5.0</v>
      </c>
      <c r="Q550" s="159">
        <v>5.0</v>
      </c>
      <c r="R550" s="159">
        <v>5.0</v>
      </c>
      <c r="S550" s="159">
        <v>5.0</v>
      </c>
      <c r="T550" s="159">
        <v>5.0</v>
      </c>
      <c r="U550" s="159">
        <v>5.0</v>
      </c>
      <c r="V550" s="159">
        <v>5.0</v>
      </c>
      <c r="W550" s="159">
        <v>5.0</v>
      </c>
      <c r="X550" s="161"/>
      <c r="Y550" s="161"/>
      <c r="Z550" s="161"/>
      <c r="AA550" s="161"/>
      <c r="AB550" s="161"/>
      <c r="AC550" s="159">
        <v>5.0</v>
      </c>
      <c r="AD550" s="159"/>
    </row>
    <row r="551">
      <c r="A551" s="162">
        <v>104314.0</v>
      </c>
      <c r="B551" s="163" t="s">
        <v>1377</v>
      </c>
      <c r="C551" s="164" t="s">
        <v>1378</v>
      </c>
      <c r="D551" s="165">
        <v>45387.0</v>
      </c>
      <c r="E551" s="164" t="s">
        <v>495</v>
      </c>
      <c r="F551" s="161"/>
      <c r="G551" s="161"/>
      <c r="H551" s="159">
        <v>5.0</v>
      </c>
      <c r="I551" s="159">
        <v>5.0</v>
      </c>
      <c r="J551" s="159">
        <v>5.0</v>
      </c>
      <c r="K551" s="159">
        <v>5.0</v>
      </c>
      <c r="L551" s="159">
        <v>5.0</v>
      </c>
      <c r="M551" s="159">
        <v>5.0</v>
      </c>
      <c r="N551" s="159">
        <v>5.0</v>
      </c>
      <c r="O551" s="159">
        <v>5.0</v>
      </c>
      <c r="P551" s="159">
        <v>5.0</v>
      </c>
      <c r="Q551" s="159">
        <v>5.0</v>
      </c>
      <c r="R551" s="159">
        <v>5.0</v>
      </c>
      <c r="S551" s="159">
        <v>4.2</v>
      </c>
      <c r="T551" s="159">
        <v>4.2</v>
      </c>
      <c r="U551" s="159">
        <v>4.2</v>
      </c>
      <c r="V551" s="159">
        <v>4.2</v>
      </c>
      <c r="W551" s="159">
        <v>4.2</v>
      </c>
      <c r="X551" s="161"/>
      <c r="Y551" s="161"/>
      <c r="Z551" s="161"/>
      <c r="AA551" s="161"/>
      <c r="AB551" s="161"/>
      <c r="AC551" s="159">
        <v>4.733333333333333</v>
      </c>
      <c r="AD551" s="171"/>
    </row>
    <row r="552">
      <c r="A552" s="162">
        <v>104327.0</v>
      </c>
      <c r="B552" s="163" t="s">
        <v>1379</v>
      </c>
      <c r="C552" s="164" t="s">
        <v>1380</v>
      </c>
      <c r="D552" s="165">
        <v>45390.0</v>
      </c>
      <c r="E552" s="164" t="s">
        <v>87</v>
      </c>
      <c r="F552" s="161"/>
      <c r="G552" s="161"/>
      <c r="H552" s="159">
        <v>4.5</v>
      </c>
      <c r="I552" s="159">
        <v>4.5</v>
      </c>
      <c r="J552" s="159">
        <v>4.5</v>
      </c>
      <c r="K552" s="159">
        <v>4.5</v>
      </c>
      <c r="L552" s="159">
        <v>4.5</v>
      </c>
      <c r="M552" s="159">
        <v>4.5</v>
      </c>
      <c r="N552" s="159">
        <v>4.49</v>
      </c>
      <c r="O552" s="159">
        <v>4.49</v>
      </c>
      <c r="P552" s="159">
        <v>4.49</v>
      </c>
      <c r="Q552" s="159">
        <v>4.49</v>
      </c>
      <c r="R552" s="159">
        <v>4.49</v>
      </c>
      <c r="S552" s="159">
        <v>4.5</v>
      </c>
      <c r="T552" s="159">
        <v>4.5</v>
      </c>
      <c r="U552" s="159">
        <v>4.5</v>
      </c>
      <c r="V552" s="159">
        <v>4.5</v>
      </c>
      <c r="W552" s="159">
        <v>4.5</v>
      </c>
      <c r="X552" s="161"/>
      <c r="Y552" s="161"/>
      <c r="Z552" s="161"/>
      <c r="AA552" s="161"/>
      <c r="AB552" s="161"/>
      <c r="AC552" s="159">
        <v>4.496666666666667</v>
      </c>
      <c r="AD552" s="159"/>
    </row>
    <row r="553">
      <c r="A553" s="162">
        <v>104386.0</v>
      </c>
      <c r="B553" s="163" t="s">
        <v>1381</v>
      </c>
      <c r="C553" s="164" t="s">
        <v>1382</v>
      </c>
      <c r="D553" s="165">
        <v>45390.0</v>
      </c>
      <c r="E553" s="164" t="s">
        <v>87</v>
      </c>
      <c r="F553" s="161"/>
      <c r="G553" s="161"/>
      <c r="H553" s="159">
        <v>5.0</v>
      </c>
      <c r="I553" s="159">
        <v>5.0</v>
      </c>
      <c r="J553" s="159">
        <v>5.0</v>
      </c>
      <c r="K553" s="159">
        <v>5.0</v>
      </c>
      <c r="L553" s="159">
        <v>5.0</v>
      </c>
      <c r="M553" s="159">
        <v>5.0</v>
      </c>
      <c r="N553" s="159">
        <v>5.0</v>
      </c>
      <c r="O553" s="159">
        <v>5.0</v>
      </c>
      <c r="P553" s="159">
        <v>5.0</v>
      </c>
      <c r="Q553" s="159">
        <v>5.0</v>
      </c>
      <c r="R553" s="159">
        <v>5.0</v>
      </c>
      <c r="S553" s="159">
        <v>5.0</v>
      </c>
      <c r="T553" s="159">
        <v>5.0</v>
      </c>
      <c r="U553" s="159">
        <v>5.0</v>
      </c>
      <c r="V553" s="159">
        <v>5.0</v>
      </c>
      <c r="W553" s="159">
        <v>5.0</v>
      </c>
      <c r="X553" s="161"/>
      <c r="Y553" s="161"/>
      <c r="Z553" s="161"/>
      <c r="AA553" s="161"/>
      <c r="AB553" s="161"/>
      <c r="AC553" s="159">
        <v>5.0</v>
      </c>
      <c r="AD553" s="159"/>
    </row>
    <row r="554">
      <c r="A554" s="162">
        <v>104356.0</v>
      </c>
      <c r="B554" s="163" t="s">
        <v>1383</v>
      </c>
      <c r="C554" s="164" t="s">
        <v>1384</v>
      </c>
      <c r="D554" s="165">
        <v>45390.0</v>
      </c>
      <c r="E554" s="164" t="s">
        <v>94</v>
      </c>
      <c r="F554" s="161"/>
      <c r="G554" s="161"/>
      <c r="H554" s="159">
        <v>4.5</v>
      </c>
      <c r="I554" s="159">
        <v>4.5</v>
      </c>
      <c r="J554" s="159">
        <v>4.5</v>
      </c>
      <c r="K554" s="159">
        <v>4.5</v>
      </c>
      <c r="L554" s="159">
        <v>4.5</v>
      </c>
      <c r="M554" s="159">
        <v>4.5</v>
      </c>
      <c r="N554" s="159">
        <v>5.0</v>
      </c>
      <c r="O554" s="159">
        <v>5.0</v>
      </c>
      <c r="P554" s="159">
        <v>5.0</v>
      </c>
      <c r="Q554" s="159">
        <v>5.0</v>
      </c>
      <c r="R554" s="159">
        <v>5.0</v>
      </c>
      <c r="S554" s="159">
        <v>4.5</v>
      </c>
      <c r="T554" s="159">
        <v>4.5</v>
      </c>
      <c r="U554" s="159">
        <v>4.5</v>
      </c>
      <c r="V554" s="159">
        <v>4.5</v>
      </c>
      <c r="W554" s="159">
        <v>4.5</v>
      </c>
      <c r="X554" s="161"/>
      <c r="Y554" s="161"/>
      <c r="Z554" s="161"/>
      <c r="AA554" s="161"/>
      <c r="AB554" s="161"/>
      <c r="AC554" s="159">
        <v>4.666666666666667</v>
      </c>
      <c r="AD554" s="185">
        <f>AVERAGE(AC532:AC554)</f>
        <v>4.750942029</v>
      </c>
    </row>
    <row r="555">
      <c r="A555" s="162">
        <v>104355.0</v>
      </c>
      <c r="B555" s="163" t="s">
        <v>1385</v>
      </c>
      <c r="C555" s="164" t="s">
        <v>1386</v>
      </c>
      <c r="D555" s="165">
        <v>45390.0</v>
      </c>
      <c r="E555" s="164" t="s">
        <v>94</v>
      </c>
      <c r="F555" s="161"/>
      <c r="G555" s="161"/>
      <c r="H555" s="159">
        <v>5.0</v>
      </c>
      <c r="I555" s="159">
        <v>5.0</v>
      </c>
      <c r="J555" s="159">
        <v>5.0</v>
      </c>
      <c r="K555" s="159">
        <v>5.0</v>
      </c>
      <c r="L555" s="159">
        <v>5.0</v>
      </c>
      <c r="M555" s="159">
        <v>5.0</v>
      </c>
      <c r="N555" s="159">
        <v>5.0</v>
      </c>
      <c r="O555" s="159">
        <v>5.0</v>
      </c>
      <c r="P555" s="159">
        <v>5.0</v>
      </c>
      <c r="Q555" s="159">
        <v>5.0</v>
      </c>
      <c r="R555" s="159">
        <v>5.0</v>
      </c>
      <c r="S555" s="159">
        <v>4.5</v>
      </c>
      <c r="T555" s="159">
        <v>4.5</v>
      </c>
      <c r="U555" s="159">
        <v>4.5</v>
      </c>
      <c r="V555" s="159">
        <v>4.5</v>
      </c>
      <c r="W555" s="159">
        <v>4.5</v>
      </c>
      <c r="X555" s="161"/>
      <c r="Y555" s="161"/>
      <c r="Z555" s="161"/>
      <c r="AA555" s="161"/>
      <c r="AB555" s="161"/>
      <c r="AC555" s="159">
        <v>4.833333333333333</v>
      </c>
      <c r="AD555" s="159"/>
    </row>
    <row r="556">
      <c r="A556" s="162">
        <v>104345.0</v>
      </c>
      <c r="B556" s="163" t="s">
        <v>1387</v>
      </c>
      <c r="C556" s="164" t="s">
        <v>1388</v>
      </c>
      <c r="D556" s="165">
        <v>45390.0</v>
      </c>
      <c r="E556" s="164" t="s">
        <v>94</v>
      </c>
      <c r="F556" s="161"/>
      <c r="G556" s="161"/>
      <c r="H556" s="159">
        <v>5.0</v>
      </c>
      <c r="I556" s="159">
        <v>5.0</v>
      </c>
      <c r="J556" s="159">
        <v>5.0</v>
      </c>
      <c r="K556" s="159">
        <v>5.0</v>
      </c>
      <c r="L556" s="159">
        <v>5.0</v>
      </c>
      <c r="M556" s="159">
        <v>5.0</v>
      </c>
      <c r="N556" s="159">
        <v>5.0</v>
      </c>
      <c r="O556" s="159">
        <v>5.0</v>
      </c>
      <c r="P556" s="159">
        <v>5.0</v>
      </c>
      <c r="Q556" s="159">
        <v>5.0</v>
      </c>
      <c r="R556" s="159">
        <v>5.0</v>
      </c>
      <c r="S556" s="159">
        <v>4.5</v>
      </c>
      <c r="T556" s="159">
        <v>4.5</v>
      </c>
      <c r="U556" s="159">
        <v>4.5</v>
      </c>
      <c r="V556" s="159">
        <v>4.5</v>
      </c>
      <c r="W556" s="159">
        <v>4.5</v>
      </c>
      <c r="X556" s="161"/>
      <c r="Y556" s="161"/>
      <c r="Z556" s="161"/>
      <c r="AA556" s="161"/>
      <c r="AB556" s="161"/>
      <c r="AC556" s="159">
        <v>4.833333333333333</v>
      </c>
      <c r="AD556" s="159"/>
    </row>
    <row r="557">
      <c r="A557" s="162">
        <v>104330.0</v>
      </c>
      <c r="B557" s="169"/>
      <c r="C557" s="164" t="s">
        <v>1389</v>
      </c>
      <c r="D557" s="165">
        <v>45394.0</v>
      </c>
      <c r="E557" s="164" t="s">
        <v>1154</v>
      </c>
      <c r="F557" s="161"/>
      <c r="G557" s="161"/>
      <c r="H557" s="159">
        <v>5.0</v>
      </c>
      <c r="I557" s="159">
        <v>5.0</v>
      </c>
      <c r="J557" s="159">
        <v>5.0</v>
      </c>
      <c r="K557" s="159">
        <v>5.0</v>
      </c>
      <c r="L557" s="159">
        <v>5.0</v>
      </c>
      <c r="M557" s="159">
        <v>5.0</v>
      </c>
      <c r="N557" s="171"/>
      <c r="O557" s="171"/>
      <c r="P557" s="171"/>
      <c r="Q557" s="171"/>
      <c r="R557" s="171"/>
      <c r="S557" s="159">
        <v>4.5</v>
      </c>
      <c r="T557" s="159">
        <v>4.5</v>
      </c>
      <c r="U557" s="159">
        <v>4.5</v>
      </c>
      <c r="V557" s="159">
        <v>4.5</v>
      </c>
      <c r="W557" s="159">
        <v>4.5</v>
      </c>
      <c r="X557" s="161"/>
      <c r="Y557" s="161"/>
      <c r="Z557" s="161"/>
      <c r="AA557" s="161"/>
      <c r="AB557" s="161"/>
      <c r="AC557" s="159">
        <v>4.75</v>
      </c>
      <c r="AD557" s="171"/>
    </row>
    <row r="558">
      <c r="A558" s="162">
        <v>103982.0</v>
      </c>
      <c r="B558" s="163" t="s">
        <v>1390</v>
      </c>
      <c r="C558" s="164" t="s">
        <v>1391</v>
      </c>
      <c r="D558" s="165">
        <v>45397.0</v>
      </c>
      <c r="E558" s="164" t="s">
        <v>1392</v>
      </c>
      <c r="F558" s="161"/>
      <c r="G558" s="161"/>
      <c r="H558" s="159">
        <v>5.0</v>
      </c>
      <c r="I558" s="159">
        <v>5.0</v>
      </c>
      <c r="J558" s="159">
        <v>5.0</v>
      </c>
      <c r="K558" s="159">
        <v>5.0</v>
      </c>
      <c r="L558" s="159">
        <v>5.0</v>
      </c>
      <c r="M558" s="159">
        <v>5.0</v>
      </c>
      <c r="N558" s="159">
        <v>5.0</v>
      </c>
      <c r="O558" s="159">
        <v>5.0</v>
      </c>
      <c r="P558" s="159">
        <v>4.5</v>
      </c>
      <c r="Q558" s="159">
        <v>5.0</v>
      </c>
      <c r="R558" s="159">
        <v>4.875</v>
      </c>
      <c r="S558" s="159">
        <v>4.5</v>
      </c>
      <c r="T558" s="159">
        <v>4.5</v>
      </c>
      <c r="U558" s="159">
        <v>4.5</v>
      </c>
      <c r="V558" s="159">
        <v>4.5</v>
      </c>
      <c r="W558" s="159">
        <v>4.5</v>
      </c>
      <c r="X558" s="161"/>
      <c r="Y558" s="161"/>
      <c r="Z558" s="161"/>
      <c r="AA558" s="161"/>
      <c r="AB558" s="161"/>
      <c r="AC558" s="159">
        <v>4.791666666666667</v>
      </c>
      <c r="AD558" s="159"/>
    </row>
    <row r="559">
      <c r="A559" s="162">
        <v>104383.0</v>
      </c>
      <c r="B559" s="163" t="s">
        <v>1393</v>
      </c>
      <c r="C559" s="164" t="s">
        <v>1394</v>
      </c>
      <c r="D559" s="165">
        <v>45398.0</v>
      </c>
      <c r="E559" s="164" t="s">
        <v>87</v>
      </c>
      <c r="F559" s="161"/>
      <c r="G559" s="161"/>
      <c r="H559" s="159">
        <v>5.0</v>
      </c>
      <c r="I559" s="159">
        <v>5.0</v>
      </c>
      <c r="J559" s="159">
        <v>5.0</v>
      </c>
      <c r="K559" s="159">
        <v>5.0</v>
      </c>
      <c r="L559" s="159">
        <v>5.0</v>
      </c>
      <c r="M559" s="159">
        <v>5.0</v>
      </c>
      <c r="N559" s="159">
        <v>5.0</v>
      </c>
      <c r="O559" s="159">
        <v>5.0</v>
      </c>
      <c r="P559" s="159">
        <v>5.0</v>
      </c>
      <c r="Q559" s="159">
        <v>5.0</v>
      </c>
      <c r="R559" s="159">
        <v>5.0</v>
      </c>
      <c r="S559" s="159">
        <v>5.0</v>
      </c>
      <c r="T559" s="159">
        <v>5.0</v>
      </c>
      <c r="U559" s="159">
        <v>5.0</v>
      </c>
      <c r="V559" s="159">
        <v>5.0</v>
      </c>
      <c r="W559" s="159">
        <v>5.0</v>
      </c>
      <c r="X559" s="161"/>
      <c r="Y559" s="161"/>
      <c r="Z559" s="161"/>
      <c r="AA559" s="161"/>
      <c r="AB559" s="161"/>
      <c r="AC559" s="159">
        <v>5.0</v>
      </c>
      <c r="AD559" s="159"/>
    </row>
    <row r="560">
      <c r="A560" s="162">
        <v>104312.0</v>
      </c>
      <c r="B560" s="163" t="s">
        <v>1395</v>
      </c>
      <c r="C560" s="164" t="s">
        <v>1396</v>
      </c>
      <c r="D560" s="165">
        <v>45400.0</v>
      </c>
      <c r="E560" s="164" t="s">
        <v>295</v>
      </c>
      <c r="F560" s="161"/>
      <c r="G560" s="161"/>
      <c r="H560" s="159">
        <v>4.5</v>
      </c>
      <c r="I560" s="159">
        <v>4.5</v>
      </c>
      <c r="J560" s="159">
        <v>4.5</v>
      </c>
      <c r="K560" s="159">
        <v>4.5</v>
      </c>
      <c r="L560" s="159">
        <v>4.5</v>
      </c>
      <c r="M560" s="159">
        <v>4.5</v>
      </c>
      <c r="N560" s="159">
        <v>4.5</v>
      </c>
      <c r="O560" s="159">
        <v>4.5</v>
      </c>
      <c r="P560" s="159">
        <v>4.5</v>
      </c>
      <c r="Q560" s="159">
        <v>4.5</v>
      </c>
      <c r="R560" s="159">
        <v>4.5</v>
      </c>
      <c r="S560" s="159">
        <v>4.5</v>
      </c>
      <c r="T560" s="159">
        <v>4.5</v>
      </c>
      <c r="U560" s="159">
        <v>4.5</v>
      </c>
      <c r="V560" s="159">
        <v>4.5</v>
      </c>
      <c r="W560" s="159">
        <v>4.5</v>
      </c>
      <c r="X560" s="161"/>
      <c r="Y560" s="161"/>
      <c r="Z560" s="161"/>
      <c r="AA560" s="161"/>
      <c r="AB560" s="161"/>
      <c r="AC560" s="159">
        <v>4.5</v>
      </c>
      <c r="AD560" s="159"/>
    </row>
    <row r="561">
      <c r="A561" s="162">
        <v>104402.0</v>
      </c>
      <c r="B561" s="163" t="s">
        <v>1397</v>
      </c>
      <c r="C561" s="164" t="s">
        <v>1398</v>
      </c>
      <c r="D561" s="165">
        <v>45401.0</v>
      </c>
      <c r="E561" s="164" t="s">
        <v>1140</v>
      </c>
      <c r="F561" s="161"/>
      <c r="G561" s="161"/>
      <c r="H561" s="159">
        <v>5.0</v>
      </c>
      <c r="I561" s="159">
        <v>5.0</v>
      </c>
      <c r="J561" s="159">
        <v>5.0</v>
      </c>
      <c r="K561" s="159">
        <v>5.0</v>
      </c>
      <c r="L561" s="159">
        <v>5.0</v>
      </c>
      <c r="M561" s="159">
        <v>5.0</v>
      </c>
      <c r="N561" s="159">
        <v>5.0</v>
      </c>
      <c r="O561" s="159">
        <v>5.0</v>
      </c>
      <c r="P561" s="159">
        <v>4.5</v>
      </c>
      <c r="Q561" s="159">
        <v>5.0</v>
      </c>
      <c r="R561" s="159">
        <v>4.875</v>
      </c>
      <c r="S561" s="159">
        <v>4.2</v>
      </c>
      <c r="T561" s="159">
        <v>4.2</v>
      </c>
      <c r="U561" s="159">
        <v>4.2</v>
      </c>
      <c r="V561" s="159">
        <v>4.2</v>
      </c>
      <c r="W561" s="159">
        <v>4.2</v>
      </c>
      <c r="X561" s="161"/>
      <c r="Y561" s="161"/>
      <c r="Z561" s="161"/>
      <c r="AA561" s="161"/>
      <c r="AB561" s="161"/>
      <c r="AC561" s="159">
        <v>4.691666666666666</v>
      </c>
      <c r="AD561" s="159"/>
    </row>
    <row r="562">
      <c r="A562" s="162">
        <v>104457.0</v>
      </c>
      <c r="B562" s="163" t="s">
        <v>1399</v>
      </c>
      <c r="C562" s="164" t="s">
        <v>1400</v>
      </c>
      <c r="D562" s="165">
        <v>45402.0</v>
      </c>
      <c r="E562" s="164" t="s">
        <v>646</v>
      </c>
      <c r="F562" s="161"/>
      <c r="G562" s="161"/>
      <c r="H562" s="159">
        <v>5.0</v>
      </c>
      <c r="I562" s="159">
        <v>5.0</v>
      </c>
      <c r="J562" s="159">
        <v>5.0</v>
      </c>
      <c r="K562" s="159">
        <v>5.0</v>
      </c>
      <c r="L562" s="159">
        <v>5.0</v>
      </c>
      <c r="M562" s="159">
        <v>5.0</v>
      </c>
      <c r="N562" s="159">
        <v>5.0</v>
      </c>
      <c r="O562" s="159">
        <v>5.0</v>
      </c>
      <c r="P562" s="159">
        <v>4.0</v>
      </c>
      <c r="Q562" s="159">
        <v>5.0</v>
      </c>
      <c r="R562" s="159">
        <v>4.75</v>
      </c>
      <c r="S562" s="159">
        <v>4.2</v>
      </c>
      <c r="T562" s="159">
        <v>4.2</v>
      </c>
      <c r="U562" s="159">
        <v>4.2</v>
      </c>
      <c r="V562" s="159">
        <v>4.2</v>
      </c>
      <c r="W562" s="159">
        <v>4.2</v>
      </c>
      <c r="X562" s="161"/>
      <c r="Y562" s="161"/>
      <c r="Z562" s="161"/>
      <c r="AA562" s="161"/>
      <c r="AB562" s="161"/>
      <c r="AC562" s="159">
        <v>4.6499999999999995</v>
      </c>
      <c r="AD562" s="159"/>
    </row>
    <row r="563">
      <c r="A563" s="162">
        <v>104473.0</v>
      </c>
      <c r="B563" s="163" t="s">
        <v>1401</v>
      </c>
      <c r="C563" s="164" t="s">
        <v>1402</v>
      </c>
      <c r="D563" s="165">
        <v>45406.0</v>
      </c>
      <c r="E563" s="164" t="s">
        <v>1140</v>
      </c>
      <c r="F563" s="161"/>
      <c r="G563" s="161"/>
      <c r="H563" s="159">
        <v>5.0</v>
      </c>
      <c r="I563" s="159">
        <v>5.0</v>
      </c>
      <c r="J563" s="159">
        <v>5.0</v>
      </c>
      <c r="K563" s="159">
        <v>5.0</v>
      </c>
      <c r="L563" s="159">
        <v>5.0</v>
      </c>
      <c r="M563" s="159">
        <v>5.0</v>
      </c>
      <c r="N563" s="159">
        <v>5.0</v>
      </c>
      <c r="O563" s="159">
        <v>5.0</v>
      </c>
      <c r="P563" s="159">
        <v>4.5</v>
      </c>
      <c r="Q563" s="159">
        <v>4.0</v>
      </c>
      <c r="R563" s="159">
        <v>4.625</v>
      </c>
      <c r="S563" s="159">
        <v>4.2</v>
      </c>
      <c r="T563" s="159">
        <v>4.2</v>
      </c>
      <c r="U563" s="159">
        <v>4.2</v>
      </c>
      <c r="V563" s="159">
        <v>4.2</v>
      </c>
      <c r="W563" s="159">
        <v>4.2</v>
      </c>
      <c r="X563" s="161"/>
      <c r="Y563" s="161"/>
      <c r="Z563" s="161"/>
      <c r="AA563" s="161"/>
      <c r="AB563" s="161"/>
      <c r="AC563" s="159">
        <v>4.608333333333333</v>
      </c>
      <c r="AD563" s="159"/>
    </row>
    <row r="564">
      <c r="A564" s="162">
        <v>104454.0</v>
      </c>
      <c r="B564" s="163" t="s">
        <v>1403</v>
      </c>
      <c r="C564" s="164" t="s">
        <v>1404</v>
      </c>
      <c r="D564" s="165">
        <v>45406.0</v>
      </c>
      <c r="E564" s="164" t="s">
        <v>87</v>
      </c>
      <c r="F564" s="161"/>
      <c r="G564" s="161"/>
      <c r="H564" s="159">
        <v>5.0</v>
      </c>
      <c r="I564" s="159">
        <v>5.0</v>
      </c>
      <c r="J564" s="159">
        <v>5.0</v>
      </c>
      <c r="K564" s="159">
        <v>5.0</v>
      </c>
      <c r="L564" s="159">
        <v>5.0</v>
      </c>
      <c r="M564" s="159">
        <v>5.0</v>
      </c>
      <c r="N564" s="159">
        <v>5.0</v>
      </c>
      <c r="O564" s="159">
        <v>5.0</v>
      </c>
      <c r="P564" s="159">
        <v>5.0</v>
      </c>
      <c r="Q564" s="159">
        <v>5.0</v>
      </c>
      <c r="R564" s="159">
        <v>5.0</v>
      </c>
      <c r="S564" s="159">
        <v>4.5</v>
      </c>
      <c r="T564" s="159">
        <v>4.5</v>
      </c>
      <c r="U564" s="159">
        <v>4.5</v>
      </c>
      <c r="V564" s="159">
        <v>4.5</v>
      </c>
      <c r="W564" s="159">
        <v>4.5</v>
      </c>
      <c r="X564" s="161"/>
      <c r="Y564" s="161"/>
      <c r="Z564" s="161"/>
      <c r="AA564" s="161"/>
      <c r="AB564" s="161"/>
      <c r="AC564" s="159">
        <v>4.833333333333333</v>
      </c>
      <c r="AD564" s="171"/>
    </row>
    <row r="565">
      <c r="A565" s="162">
        <v>104503.0</v>
      </c>
      <c r="B565" s="163" t="s">
        <v>1405</v>
      </c>
      <c r="C565" s="164" t="s">
        <v>1406</v>
      </c>
      <c r="D565" s="165">
        <v>45406.0</v>
      </c>
      <c r="E565" s="164" t="s">
        <v>380</v>
      </c>
      <c r="F565" s="161"/>
      <c r="G565" s="161"/>
      <c r="H565" s="171"/>
      <c r="I565" s="171"/>
      <c r="J565" s="171"/>
      <c r="K565" s="171"/>
      <c r="L565" s="171"/>
      <c r="M565" s="171"/>
      <c r="N565" s="159">
        <v>5.0</v>
      </c>
      <c r="O565" s="159">
        <v>5.0</v>
      </c>
      <c r="P565" s="159">
        <v>5.0</v>
      </c>
      <c r="Q565" s="159">
        <v>5.0</v>
      </c>
      <c r="R565" s="159">
        <v>5.0</v>
      </c>
      <c r="S565" s="171"/>
      <c r="T565" s="171"/>
      <c r="U565" s="171"/>
      <c r="V565" s="171"/>
      <c r="W565" s="171"/>
      <c r="X565" s="161"/>
      <c r="Y565" s="161"/>
      <c r="Z565" s="161"/>
      <c r="AA565" s="161"/>
      <c r="AB565" s="161"/>
      <c r="AC565" s="159">
        <v>5.0</v>
      </c>
      <c r="AD565" s="171"/>
    </row>
    <row r="566">
      <c r="A566" s="162">
        <v>104438.0</v>
      </c>
      <c r="B566" s="163" t="s">
        <v>1407</v>
      </c>
      <c r="C566" s="164" t="s">
        <v>1408</v>
      </c>
      <c r="D566" s="165">
        <v>45407.0</v>
      </c>
      <c r="E566" s="164" t="s">
        <v>806</v>
      </c>
      <c r="F566" s="161"/>
      <c r="G566" s="161"/>
      <c r="H566" s="159">
        <v>5.0</v>
      </c>
      <c r="I566" s="159">
        <v>5.0</v>
      </c>
      <c r="J566" s="159">
        <v>5.0</v>
      </c>
      <c r="K566" s="159">
        <v>5.0</v>
      </c>
      <c r="L566" s="159">
        <v>5.0</v>
      </c>
      <c r="M566" s="159">
        <v>5.0</v>
      </c>
      <c r="N566" s="159">
        <v>5.0</v>
      </c>
      <c r="O566" s="159">
        <v>5.0</v>
      </c>
      <c r="P566" s="159">
        <v>5.0</v>
      </c>
      <c r="Q566" s="159">
        <v>5.0</v>
      </c>
      <c r="R566" s="159">
        <v>5.0</v>
      </c>
      <c r="S566" s="159">
        <v>4.5</v>
      </c>
      <c r="T566" s="159">
        <v>4.5</v>
      </c>
      <c r="U566" s="159">
        <v>4.5</v>
      </c>
      <c r="V566" s="159">
        <v>4.5</v>
      </c>
      <c r="W566" s="159">
        <v>4.5</v>
      </c>
      <c r="X566" s="161"/>
      <c r="Y566" s="161"/>
      <c r="Z566" s="161"/>
      <c r="AA566" s="161"/>
      <c r="AB566" s="161"/>
      <c r="AC566" s="159">
        <v>4.833333333333333</v>
      </c>
      <c r="AD566" s="159"/>
    </row>
    <row r="567">
      <c r="A567" s="162">
        <v>104426.0</v>
      </c>
      <c r="B567" s="163" t="s">
        <v>1409</v>
      </c>
      <c r="C567" s="164" t="s">
        <v>1410</v>
      </c>
      <c r="D567" s="165">
        <v>45407.0</v>
      </c>
      <c r="E567" s="164" t="s">
        <v>806</v>
      </c>
      <c r="F567" s="161"/>
      <c r="G567" s="161"/>
      <c r="H567" s="159">
        <v>4.5</v>
      </c>
      <c r="I567" s="159">
        <v>4.5</v>
      </c>
      <c r="J567" s="159">
        <v>4.5</v>
      </c>
      <c r="K567" s="159">
        <v>4.5</v>
      </c>
      <c r="L567" s="159">
        <v>4.5</v>
      </c>
      <c r="M567" s="159">
        <v>4.5</v>
      </c>
      <c r="N567" s="159">
        <v>4.0</v>
      </c>
      <c r="O567" s="159">
        <v>4.0</v>
      </c>
      <c r="P567" s="159">
        <v>4.0</v>
      </c>
      <c r="Q567" s="159">
        <v>4.0</v>
      </c>
      <c r="R567" s="159">
        <v>4.0</v>
      </c>
      <c r="S567" s="159">
        <v>4.2</v>
      </c>
      <c r="T567" s="159">
        <v>4.2</v>
      </c>
      <c r="U567" s="159">
        <v>4.2</v>
      </c>
      <c r="V567" s="159">
        <v>4.2</v>
      </c>
      <c r="W567" s="159">
        <v>4.2</v>
      </c>
      <c r="X567" s="161"/>
      <c r="Y567" s="161"/>
      <c r="Z567" s="161"/>
      <c r="AA567" s="161"/>
      <c r="AB567" s="161"/>
      <c r="AC567" s="159">
        <v>4.233333333333333</v>
      </c>
      <c r="AD567" s="159"/>
    </row>
    <row r="568">
      <c r="A568" s="162">
        <v>104411.0</v>
      </c>
      <c r="B568" s="163" t="s">
        <v>1411</v>
      </c>
      <c r="C568" s="164" t="s">
        <v>1412</v>
      </c>
      <c r="D568" s="165">
        <v>45407.0</v>
      </c>
      <c r="E568" s="164" t="s">
        <v>806</v>
      </c>
      <c r="F568" s="161"/>
      <c r="G568" s="161"/>
      <c r="H568" s="171"/>
      <c r="I568" s="171"/>
      <c r="J568" s="171"/>
      <c r="K568" s="171"/>
      <c r="L568" s="171"/>
      <c r="M568" s="171"/>
      <c r="N568" s="159">
        <v>4.0</v>
      </c>
      <c r="O568" s="159">
        <v>4.0</v>
      </c>
      <c r="P568" s="159">
        <v>4.0</v>
      </c>
      <c r="Q568" s="159">
        <v>4.0</v>
      </c>
      <c r="R568" s="159">
        <v>4.0</v>
      </c>
      <c r="S568" s="171"/>
      <c r="T568" s="171"/>
      <c r="U568" s="171"/>
      <c r="V568" s="171"/>
      <c r="W568" s="171"/>
      <c r="X568" s="161"/>
      <c r="Y568" s="161"/>
      <c r="Z568" s="161"/>
      <c r="AA568" s="161"/>
      <c r="AB568" s="161"/>
      <c r="AC568" s="159">
        <v>4.0</v>
      </c>
      <c r="AD568" s="171"/>
    </row>
    <row r="569">
      <c r="A569" s="162">
        <v>104458.0</v>
      </c>
      <c r="B569" s="163" t="s">
        <v>1413</v>
      </c>
      <c r="C569" s="164" t="s">
        <v>1414</v>
      </c>
      <c r="D569" s="165">
        <v>45407.0</v>
      </c>
      <c r="E569" s="164" t="s">
        <v>312</v>
      </c>
      <c r="F569" s="161"/>
      <c r="G569" s="161"/>
      <c r="H569" s="159">
        <v>5.0</v>
      </c>
      <c r="I569" s="159">
        <v>5.0</v>
      </c>
      <c r="J569" s="159">
        <v>5.0</v>
      </c>
      <c r="K569" s="159">
        <v>5.0</v>
      </c>
      <c r="L569" s="159">
        <v>5.0</v>
      </c>
      <c r="M569" s="159">
        <v>5.0</v>
      </c>
      <c r="N569" s="159">
        <v>5.0</v>
      </c>
      <c r="O569" s="159">
        <v>4.0</v>
      </c>
      <c r="P569" s="159">
        <v>4.0</v>
      </c>
      <c r="Q569" s="159">
        <v>5.0</v>
      </c>
      <c r="R569" s="159">
        <v>4.5</v>
      </c>
      <c r="S569" s="159"/>
      <c r="T569" s="159"/>
      <c r="U569" s="159"/>
      <c r="V569" s="159"/>
      <c r="W569" s="159"/>
      <c r="X569" s="161"/>
      <c r="Y569" s="161"/>
      <c r="Z569" s="161"/>
      <c r="AA569" s="161"/>
      <c r="AB569" s="161"/>
      <c r="AC569" s="159">
        <v>4.75</v>
      </c>
      <c r="AD569" s="171"/>
    </row>
    <row r="570">
      <c r="A570" s="162">
        <v>104400.0</v>
      </c>
      <c r="B570" s="163" t="s">
        <v>1415</v>
      </c>
      <c r="C570" s="164" t="s">
        <v>1416</v>
      </c>
      <c r="D570" s="165">
        <v>45408.0</v>
      </c>
      <c r="E570" s="164" t="s">
        <v>1417</v>
      </c>
      <c r="F570" s="161"/>
      <c r="G570" s="161"/>
      <c r="H570" s="171"/>
      <c r="I570" s="171"/>
      <c r="J570" s="171"/>
      <c r="K570" s="171"/>
      <c r="L570" s="171"/>
      <c r="M570" s="171"/>
      <c r="N570" s="159">
        <v>4.5</v>
      </c>
      <c r="O570" s="159">
        <v>4.5</v>
      </c>
      <c r="P570" s="159">
        <v>4.5</v>
      </c>
      <c r="Q570" s="159">
        <v>4.5</v>
      </c>
      <c r="R570" s="159">
        <v>4.5</v>
      </c>
      <c r="S570" s="171"/>
      <c r="T570" s="171"/>
      <c r="U570" s="171"/>
      <c r="V570" s="171"/>
      <c r="W570" s="171"/>
      <c r="X570" s="161"/>
      <c r="Y570" s="161"/>
      <c r="Z570" s="161"/>
      <c r="AA570" s="161"/>
      <c r="AB570" s="161"/>
      <c r="AC570" s="159">
        <v>4.5</v>
      </c>
      <c r="AD570" s="171"/>
    </row>
    <row r="571">
      <c r="A571" s="162">
        <v>104309.0</v>
      </c>
      <c r="B571" s="163" t="s">
        <v>1418</v>
      </c>
      <c r="C571" s="164" t="s">
        <v>1419</v>
      </c>
      <c r="D571" s="165">
        <v>45411.0</v>
      </c>
      <c r="E571" s="164" t="s">
        <v>360</v>
      </c>
      <c r="F571" s="161"/>
      <c r="G571" s="161"/>
      <c r="H571" s="159">
        <v>5.0</v>
      </c>
      <c r="I571" s="159">
        <v>5.0</v>
      </c>
      <c r="J571" s="159">
        <v>5.0</v>
      </c>
      <c r="K571" s="159">
        <v>5.0</v>
      </c>
      <c r="L571" s="159">
        <v>5.0</v>
      </c>
      <c r="M571" s="159">
        <v>5.0</v>
      </c>
      <c r="N571" s="159">
        <v>5.0</v>
      </c>
      <c r="O571" s="159">
        <v>5.0</v>
      </c>
      <c r="P571" s="159">
        <v>5.0</v>
      </c>
      <c r="Q571" s="159">
        <v>5.0</v>
      </c>
      <c r="R571" s="159">
        <v>5.0</v>
      </c>
      <c r="S571" s="159">
        <v>5.0</v>
      </c>
      <c r="T571" s="159">
        <v>5.0</v>
      </c>
      <c r="U571" s="159">
        <v>5.0</v>
      </c>
      <c r="V571" s="159">
        <v>5.0</v>
      </c>
      <c r="W571" s="159">
        <v>5.0</v>
      </c>
      <c r="X571" s="161"/>
      <c r="Y571" s="161"/>
      <c r="Z571" s="161"/>
      <c r="AA571" s="161"/>
      <c r="AB571" s="161"/>
      <c r="AC571" s="159">
        <v>5.0</v>
      </c>
      <c r="AD571" s="159"/>
    </row>
    <row r="572">
      <c r="A572" s="162">
        <v>104425.0</v>
      </c>
      <c r="B572" s="163" t="s">
        <v>1420</v>
      </c>
      <c r="C572" s="164" t="s">
        <v>1421</v>
      </c>
      <c r="D572" s="165">
        <v>45411.0</v>
      </c>
      <c r="E572" s="164" t="s">
        <v>113</v>
      </c>
      <c r="F572" s="161"/>
      <c r="G572" s="161"/>
      <c r="H572" s="159">
        <v>5.0</v>
      </c>
      <c r="I572" s="159">
        <v>5.0</v>
      </c>
      <c r="J572" s="159">
        <v>5.0</v>
      </c>
      <c r="K572" s="159">
        <v>5.0</v>
      </c>
      <c r="L572" s="159">
        <v>5.0</v>
      </c>
      <c r="M572" s="159">
        <v>5.0</v>
      </c>
      <c r="N572" s="159">
        <v>5.0</v>
      </c>
      <c r="O572" s="159">
        <v>5.0</v>
      </c>
      <c r="P572" s="159">
        <v>5.0</v>
      </c>
      <c r="Q572" s="159">
        <v>5.0</v>
      </c>
      <c r="R572" s="159">
        <v>5.0</v>
      </c>
      <c r="S572" s="159">
        <v>5.0</v>
      </c>
      <c r="T572" s="159">
        <v>5.0</v>
      </c>
      <c r="U572" s="159">
        <v>5.0</v>
      </c>
      <c r="V572" s="159">
        <v>5.0</v>
      </c>
      <c r="W572" s="159">
        <v>5.0</v>
      </c>
      <c r="X572" s="161"/>
      <c r="Y572" s="161"/>
      <c r="Z572" s="161"/>
      <c r="AA572" s="161"/>
      <c r="AB572" s="161"/>
      <c r="AC572" s="159">
        <v>5.0</v>
      </c>
      <c r="AD572" s="159"/>
    </row>
    <row r="573">
      <c r="A573" s="162">
        <v>104484.0</v>
      </c>
      <c r="B573" s="163" t="s">
        <v>1422</v>
      </c>
      <c r="C573" s="164" t="s">
        <v>1423</v>
      </c>
      <c r="D573" s="165">
        <v>45411.0</v>
      </c>
      <c r="E573" s="164" t="s">
        <v>295</v>
      </c>
      <c r="F573" s="161"/>
      <c r="G573" s="161"/>
      <c r="H573" s="159">
        <v>4.5</v>
      </c>
      <c r="I573" s="159">
        <v>4.5</v>
      </c>
      <c r="J573" s="159">
        <v>4.5</v>
      </c>
      <c r="K573" s="159">
        <v>4.5</v>
      </c>
      <c r="L573" s="159">
        <v>4.5</v>
      </c>
      <c r="M573" s="159">
        <v>4.5</v>
      </c>
      <c r="N573" s="159">
        <v>4.5</v>
      </c>
      <c r="O573" s="159">
        <v>4.5</v>
      </c>
      <c r="P573" s="159">
        <v>4.5</v>
      </c>
      <c r="Q573" s="159">
        <v>4.5</v>
      </c>
      <c r="R573" s="159">
        <v>4.5</v>
      </c>
      <c r="S573" s="159">
        <v>4.5</v>
      </c>
      <c r="T573" s="159">
        <v>4.5</v>
      </c>
      <c r="U573" s="159">
        <v>4.5</v>
      </c>
      <c r="V573" s="159">
        <v>4.5</v>
      </c>
      <c r="W573" s="159">
        <v>4.5</v>
      </c>
      <c r="X573" s="161"/>
      <c r="Y573" s="161"/>
      <c r="Z573" s="161"/>
      <c r="AA573" s="161"/>
      <c r="AB573" s="161"/>
      <c r="AC573" s="159">
        <v>4.5</v>
      </c>
      <c r="AD573" s="159"/>
    </row>
    <row r="574">
      <c r="A574" s="162">
        <v>104488.0</v>
      </c>
      <c r="B574" s="163" t="s">
        <v>1424</v>
      </c>
      <c r="C574" s="164" t="s">
        <v>1425</v>
      </c>
      <c r="D574" s="165">
        <v>45411.0</v>
      </c>
      <c r="E574" s="164" t="s">
        <v>154</v>
      </c>
      <c r="F574" s="161"/>
      <c r="G574" s="161"/>
      <c r="H574" s="159">
        <v>5.0</v>
      </c>
      <c r="I574" s="159">
        <v>5.0</v>
      </c>
      <c r="J574" s="159">
        <v>5.0</v>
      </c>
      <c r="K574" s="159">
        <v>5.0</v>
      </c>
      <c r="L574" s="159">
        <v>5.0</v>
      </c>
      <c r="M574" s="159">
        <v>5.0</v>
      </c>
      <c r="N574" s="159">
        <v>5.0</v>
      </c>
      <c r="O574" s="159">
        <v>5.0</v>
      </c>
      <c r="P574" s="159">
        <v>5.0</v>
      </c>
      <c r="Q574" s="159">
        <v>5.0</v>
      </c>
      <c r="R574" s="159">
        <v>5.0</v>
      </c>
      <c r="S574" s="159">
        <v>4.5</v>
      </c>
      <c r="T574" s="159">
        <v>4.5</v>
      </c>
      <c r="U574" s="159">
        <v>4.5</v>
      </c>
      <c r="V574" s="159">
        <v>4.5</v>
      </c>
      <c r="W574" s="159">
        <v>4.5</v>
      </c>
      <c r="X574" s="161"/>
      <c r="Y574" s="161"/>
      <c r="Z574" s="161"/>
      <c r="AA574" s="161"/>
      <c r="AB574" s="161"/>
      <c r="AC574" s="159">
        <v>4.833333333333333</v>
      </c>
      <c r="AD574" s="159"/>
    </row>
    <row r="575">
      <c r="A575" s="162">
        <v>104309.0</v>
      </c>
      <c r="B575" s="163" t="s">
        <v>1426</v>
      </c>
      <c r="C575" s="164" t="s">
        <v>1427</v>
      </c>
      <c r="D575" s="165">
        <v>45411.0</v>
      </c>
      <c r="E575" s="164" t="s">
        <v>295</v>
      </c>
      <c r="F575" s="161"/>
      <c r="G575" s="161"/>
      <c r="H575" s="159">
        <v>5.0</v>
      </c>
      <c r="I575" s="159">
        <v>5.0</v>
      </c>
      <c r="J575" s="159">
        <v>5.0</v>
      </c>
      <c r="K575" s="159">
        <v>5.0</v>
      </c>
      <c r="L575" s="159">
        <v>5.0</v>
      </c>
      <c r="M575" s="159">
        <v>5.0</v>
      </c>
      <c r="N575" s="159">
        <v>4.5</v>
      </c>
      <c r="O575" s="159">
        <v>4.5</v>
      </c>
      <c r="P575" s="159">
        <v>4.5</v>
      </c>
      <c r="Q575" s="159">
        <v>4.5</v>
      </c>
      <c r="R575" s="159">
        <v>4.5</v>
      </c>
      <c r="S575" s="159">
        <v>4.2</v>
      </c>
      <c r="T575" s="159">
        <v>4.2</v>
      </c>
      <c r="U575" s="159">
        <v>4.2</v>
      </c>
      <c r="V575" s="159">
        <v>4.2</v>
      </c>
      <c r="W575" s="159">
        <v>4.2</v>
      </c>
      <c r="X575" s="161"/>
      <c r="Y575" s="161"/>
      <c r="Z575" s="161"/>
      <c r="AA575" s="161"/>
      <c r="AB575" s="161"/>
      <c r="AC575" s="159">
        <v>4.566666666666666</v>
      </c>
      <c r="AD575" s="171"/>
    </row>
    <row r="576">
      <c r="A576" s="162">
        <v>104343.0</v>
      </c>
      <c r="B576" s="163" t="s">
        <v>1428</v>
      </c>
      <c r="C576" s="164" t="s">
        <v>1429</v>
      </c>
      <c r="D576" s="165">
        <v>45411.0</v>
      </c>
      <c r="E576" s="164" t="s">
        <v>360</v>
      </c>
      <c r="F576" s="161"/>
      <c r="G576" s="161"/>
      <c r="H576" s="159">
        <v>5.0</v>
      </c>
      <c r="I576" s="159">
        <v>5.0</v>
      </c>
      <c r="J576" s="159">
        <v>5.0</v>
      </c>
      <c r="K576" s="159">
        <v>5.0</v>
      </c>
      <c r="L576" s="159">
        <v>5.0</v>
      </c>
      <c r="M576" s="159">
        <v>5.0</v>
      </c>
      <c r="N576" s="159">
        <v>5.0</v>
      </c>
      <c r="O576" s="159">
        <v>5.0</v>
      </c>
      <c r="P576" s="159">
        <v>5.0</v>
      </c>
      <c r="Q576" s="159">
        <v>5.0</v>
      </c>
      <c r="R576" s="159">
        <v>5.0</v>
      </c>
      <c r="S576" s="159">
        <v>5.0</v>
      </c>
      <c r="T576" s="159">
        <v>5.0</v>
      </c>
      <c r="U576" s="159">
        <v>5.0</v>
      </c>
      <c r="V576" s="159">
        <v>5.0</v>
      </c>
      <c r="W576" s="159">
        <v>5.0</v>
      </c>
      <c r="X576" s="161"/>
      <c r="Y576" s="161"/>
      <c r="Z576" s="161"/>
      <c r="AA576" s="161"/>
      <c r="AB576" s="161"/>
      <c r="AC576" s="159">
        <v>5.0</v>
      </c>
      <c r="AD576" s="171"/>
    </row>
    <row r="577">
      <c r="A577" s="162">
        <v>104466.0</v>
      </c>
      <c r="B577" s="163" t="s">
        <v>1430</v>
      </c>
      <c r="C577" s="164" t="s">
        <v>1431</v>
      </c>
      <c r="D577" s="165">
        <v>45412.0</v>
      </c>
      <c r="E577" s="164" t="s">
        <v>806</v>
      </c>
      <c r="F577" s="161"/>
      <c r="G577" s="161"/>
      <c r="H577" s="159">
        <v>5.0</v>
      </c>
      <c r="I577" s="159">
        <v>5.0</v>
      </c>
      <c r="J577" s="159">
        <v>5.0</v>
      </c>
      <c r="K577" s="159">
        <v>5.0</v>
      </c>
      <c r="L577" s="159">
        <v>5.0</v>
      </c>
      <c r="M577" s="159">
        <v>5.0</v>
      </c>
      <c r="N577" s="159">
        <v>5.0</v>
      </c>
      <c r="O577" s="159">
        <v>5.0</v>
      </c>
      <c r="P577" s="159">
        <v>5.0</v>
      </c>
      <c r="Q577" s="159">
        <v>5.0</v>
      </c>
      <c r="R577" s="159">
        <v>5.0</v>
      </c>
      <c r="S577" s="159">
        <v>4.2</v>
      </c>
      <c r="T577" s="159">
        <v>4.2</v>
      </c>
      <c r="U577" s="159">
        <v>4.2</v>
      </c>
      <c r="V577" s="159">
        <v>4.2</v>
      </c>
      <c r="W577" s="159">
        <v>4.2</v>
      </c>
      <c r="X577" s="161"/>
      <c r="Y577" s="161"/>
      <c r="Z577" s="161"/>
      <c r="AA577" s="161"/>
      <c r="AB577" s="161"/>
      <c r="AC577" s="159">
        <v>4.733333333333333</v>
      </c>
      <c r="AD577" s="159"/>
    </row>
    <row r="578">
      <c r="A578" s="162">
        <v>104466.0</v>
      </c>
      <c r="B578" s="163" t="s">
        <v>1430</v>
      </c>
      <c r="C578" s="164" t="s">
        <v>1431</v>
      </c>
      <c r="D578" s="165">
        <v>45412.0</v>
      </c>
      <c r="E578" s="164" t="s">
        <v>806</v>
      </c>
      <c r="F578" s="161"/>
      <c r="G578" s="161"/>
      <c r="H578" s="159">
        <v>5.0</v>
      </c>
      <c r="I578" s="159">
        <v>5.0</v>
      </c>
      <c r="J578" s="159">
        <v>5.0</v>
      </c>
      <c r="K578" s="159">
        <v>5.0</v>
      </c>
      <c r="L578" s="159">
        <v>5.0</v>
      </c>
      <c r="M578" s="159">
        <v>5.0</v>
      </c>
      <c r="N578" s="159">
        <v>5.0</v>
      </c>
      <c r="O578" s="159">
        <v>5.0</v>
      </c>
      <c r="P578" s="159">
        <v>5.0</v>
      </c>
      <c r="Q578" s="159">
        <v>5.0</v>
      </c>
      <c r="R578" s="159">
        <v>5.0</v>
      </c>
      <c r="S578" s="159">
        <v>4.2</v>
      </c>
      <c r="T578" s="159">
        <v>4.2</v>
      </c>
      <c r="U578" s="159">
        <v>4.2</v>
      </c>
      <c r="V578" s="159">
        <v>4.2</v>
      </c>
      <c r="W578" s="159">
        <v>4.2</v>
      </c>
      <c r="X578" s="161"/>
      <c r="Y578" s="161"/>
      <c r="Z578" s="161"/>
      <c r="AA578" s="161"/>
      <c r="AB578" s="161"/>
      <c r="AC578" s="159">
        <v>4.733333333333333</v>
      </c>
      <c r="AD578" s="171"/>
    </row>
    <row r="579">
      <c r="A579" s="162">
        <v>104439.0</v>
      </c>
      <c r="B579" s="163" t="s">
        <v>1432</v>
      </c>
      <c r="C579" s="164" t="s">
        <v>1433</v>
      </c>
      <c r="D579" s="165">
        <v>45412.0</v>
      </c>
      <c r="E579" s="164" t="s">
        <v>1434</v>
      </c>
      <c r="F579" s="161"/>
      <c r="G579" s="161"/>
      <c r="H579" s="171"/>
      <c r="I579" s="171"/>
      <c r="J579" s="171"/>
      <c r="K579" s="171"/>
      <c r="L579" s="171"/>
      <c r="M579" s="171"/>
      <c r="N579" s="159">
        <v>4.0</v>
      </c>
      <c r="O579" s="159">
        <v>4.0</v>
      </c>
      <c r="P579" s="159">
        <v>4.0</v>
      </c>
      <c r="Q579" s="159">
        <v>4.0</v>
      </c>
      <c r="R579" s="159">
        <v>4.0</v>
      </c>
      <c r="S579" s="171"/>
      <c r="T579" s="171"/>
      <c r="U579" s="171"/>
      <c r="V579" s="171"/>
      <c r="W579" s="171"/>
      <c r="X579" s="161"/>
      <c r="Y579" s="161"/>
      <c r="Z579" s="161"/>
      <c r="AA579" s="161"/>
      <c r="AB579" s="161"/>
      <c r="AC579" s="159">
        <v>4.0</v>
      </c>
      <c r="AD579" s="171"/>
    </row>
    <row r="580">
      <c r="A580" s="162">
        <v>104428.0</v>
      </c>
      <c r="B580" s="163" t="s">
        <v>1435</v>
      </c>
      <c r="C580" s="164" t="s">
        <v>1436</v>
      </c>
      <c r="D580" s="165">
        <v>45415.0</v>
      </c>
      <c r="E580" s="164" t="s">
        <v>646</v>
      </c>
      <c r="F580" s="161"/>
      <c r="G580" s="161"/>
      <c r="H580" s="159">
        <v>5.0</v>
      </c>
      <c r="I580" s="159">
        <v>5.0</v>
      </c>
      <c r="J580" s="159">
        <v>5.0</v>
      </c>
      <c r="K580" s="159">
        <v>5.0</v>
      </c>
      <c r="L580" s="159">
        <v>5.0</v>
      </c>
      <c r="M580" s="159">
        <v>5.0</v>
      </c>
      <c r="N580" s="159">
        <v>5.0</v>
      </c>
      <c r="O580" s="159">
        <v>4.0</v>
      </c>
      <c r="P580" s="159">
        <v>5.0</v>
      </c>
      <c r="Q580" s="159">
        <v>4.0</v>
      </c>
      <c r="R580" s="159">
        <v>4.5</v>
      </c>
      <c r="S580" s="159">
        <v>4.0</v>
      </c>
      <c r="T580" s="159">
        <v>4.0</v>
      </c>
      <c r="U580" s="159">
        <v>4.0</v>
      </c>
      <c r="V580" s="159">
        <v>4.0</v>
      </c>
      <c r="W580" s="159">
        <v>4.0</v>
      </c>
      <c r="X580" s="161"/>
      <c r="Y580" s="161"/>
      <c r="Z580" s="161"/>
      <c r="AA580" s="161"/>
      <c r="AB580" s="161"/>
      <c r="AC580" s="159">
        <v>4.5</v>
      </c>
      <c r="AD580" s="159"/>
    </row>
    <row r="581">
      <c r="A581" s="162">
        <v>104431.0</v>
      </c>
      <c r="B581" s="163" t="s">
        <v>1437</v>
      </c>
      <c r="C581" s="164" t="s">
        <v>1438</v>
      </c>
      <c r="D581" s="165">
        <v>45415.0</v>
      </c>
      <c r="E581" s="164" t="s">
        <v>646</v>
      </c>
      <c r="F581" s="161"/>
      <c r="G581" s="161"/>
      <c r="H581" s="159">
        <v>4.5</v>
      </c>
      <c r="I581" s="159">
        <v>4.5</v>
      </c>
      <c r="J581" s="159">
        <v>4.5</v>
      </c>
      <c r="K581" s="159">
        <v>4.5</v>
      </c>
      <c r="L581" s="159">
        <v>4.5</v>
      </c>
      <c r="M581" s="159">
        <v>4.5</v>
      </c>
      <c r="N581" s="159">
        <v>4.0</v>
      </c>
      <c r="O581" s="159">
        <v>4.0</v>
      </c>
      <c r="P581" s="159">
        <v>4.0</v>
      </c>
      <c r="Q581" s="159">
        <v>4.0</v>
      </c>
      <c r="R581" s="159">
        <v>4.0</v>
      </c>
      <c r="S581" s="159">
        <v>4.0</v>
      </c>
      <c r="T581" s="159">
        <v>4.0</v>
      </c>
      <c r="U581" s="159">
        <v>4.0</v>
      </c>
      <c r="V581" s="159">
        <v>4.0</v>
      </c>
      <c r="W581" s="159">
        <v>4.0</v>
      </c>
      <c r="X581" s="161"/>
      <c r="Y581" s="161"/>
      <c r="Z581" s="161"/>
      <c r="AA581" s="161"/>
      <c r="AB581" s="161"/>
      <c r="AC581" s="159">
        <v>4.166666666666667</v>
      </c>
      <c r="AD581" s="159"/>
    </row>
    <row r="582">
      <c r="A582" s="162">
        <v>104459.0</v>
      </c>
      <c r="B582" s="163" t="s">
        <v>1439</v>
      </c>
      <c r="C582" s="164" t="s">
        <v>1414</v>
      </c>
      <c r="D582" s="165">
        <v>45415.0</v>
      </c>
      <c r="E582" s="164" t="s">
        <v>312</v>
      </c>
      <c r="F582" s="161"/>
      <c r="G582" s="161"/>
      <c r="H582" s="159">
        <v>5.0</v>
      </c>
      <c r="I582" s="159">
        <v>5.0</v>
      </c>
      <c r="J582" s="159">
        <v>5.0</v>
      </c>
      <c r="K582" s="159">
        <v>5.0</v>
      </c>
      <c r="L582" s="159">
        <v>5.0</v>
      </c>
      <c r="M582" s="159">
        <v>5.0</v>
      </c>
      <c r="N582" s="159">
        <v>4.0</v>
      </c>
      <c r="O582" s="159">
        <v>4.0</v>
      </c>
      <c r="P582" s="159">
        <v>4.0</v>
      </c>
      <c r="Q582" s="159">
        <v>4.0</v>
      </c>
      <c r="R582" s="159">
        <v>4.0</v>
      </c>
      <c r="S582" s="159"/>
      <c r="T582" s="159"/>
      <c r="U582" s="159"/>
      <c r="V582" s="159"/>
      <c r="W582" s="159"/>
      <c r="X582" s="161"/>
      <c r="Y582" s="161"/>
      <c r="Z582" s="161"/>
      <c r="AA582" s="161"/>
      <c r="AB582" s="161"/>
      <c r="AC582" s="159">
        <v>4.5</v>
      </c>
      <c r="AD582" s="171"/>
    </row>
    <row r="583">
      <c r="A583" s="162">
        <v>104413.0</v>
      </c>
      <c r="B583" s="163" t="s">
        <v>1440</v>
      </c>
      <c r="C583" s="164" t="s">
        <v>1441</v>
      </c>
      <c r="D583" s="165">
        <v>45416.0</v>
      </c>
      <c r="E583" s="164" t="s">
        <v>51</v>
      </c>
      <c r="F583" s="161"/>
      <c r="G583" s="161"/>
      <c r="H583" s="159">
        <v>5.0</v>
      </c>
      <c r="I583" s="159">
        <v>5.0</v>
      </c>
      <c r="J583" s="159">
        <v>5.0</v>
      </c>
      <c r="K583" s="159">
        <v>5.0</v>
      </c>
      <c r="L583" s="159">
        <v>5.0</v>
      </c>
      <c r="M583" s="159">
        <v>5.0</v>
      </c>
      <c r="N583" s="159">
        <v>5.0</v>
      </c>
      <c r="O583" s="159">
        <v>4.0</v>
      </c>
      <c r="P583" s="159">
        <v>5.0</v>
      </c>
      <c r="Q583" s="159">
        <v>5.0</v>
      </c>
      <c r="R583" s="159">
        <v>4.75</v>
      </c>
      <c r="S583" s="159">
        <v>4.2</v>
      </c>
      <c r="T583" s="159">
        <v>4.2</v>
      </c>
      <c r="U583" s="159">
        <v>4.2</v>
      </c>
      <c r="V583" s="159">
        <v>4.2</v>
      </c>
      <c r="W583" s="159">
        <v>4.2</v>
      </c>
      <c r="X583" s="161"/>
      <c r="Y583" s="161"/>
      <c r="Z583" s="161"/>
      <c r="AA583" s="161"/>
      <c r="AB583" s="161"/>
      <c r="AC583" s="159">
        <v>4.6499999999999995</v>
      </c>
      <c r="AD583" s="159"/>
    </row>
    <row r="584">
      <c r="A584" s="162">
        <v>104494.0</v>
      </c>
      <c r="B584" s="163" t="s">
        <v>1442</v>
      </c>
      <c r="C584" s="164" t="s">
        <v>1443</v>
      </c>
      <c r="D584" s="165">
        <v>45418.0</v>
      </c>
      <c r="E584" s="164" t="s">
        <v>1434</v>
      </c>
      <c r="F584" s="161"/>
      <c r="G584" s="161"/>
      <c r="H584" s="171"/>
      <c r="I584" s="171"/>
      <c r="J584" s="171"/>
      <c r="K584" s="171"/>
      <c r="L584" s="171"/>
      <c r="M584" s="171"/>
      <c r="N584" s="159">
        <v>5.0</v>
      </c>
      <c r="O584" s="159">
        <v>5.0</v>
      </c>
      <c r="P584" s="159">
        <v>5.0</v>
      </c>
      <c r="Q584" s="159">
        <v>4.0</v>
      </c>
      <c r="R584" s="159">
        <v>4.75</v>
      </c>
      <c r="S584" s="171"/>
      <c r="T584" s="171"/>
      <c r="U584" s="171"/>
      <c r="V584" s="171"/>
      <c r="W584" s="171"/>
      <c r="X584" s="161"/>
      <c r="Y584" s="161"/>
      <c r="Z584" s="161"/>
      <c r="AA584" s="161"/>
      <c r="AB584" s="161"/>
      <c r="AC584" s="159">
        <v>4.75</v>
      </c>
      <c r="AD584" s="171"/>
    </row>
    <row r="585">
      <c r="A585" s="162">
        <v>104463.0</v>
      </c>
      <c r="B585" s="163" t="s">
        <v>1444</v>
      </c>
      <c r="C585" s="164" t="s">
        <v>1445</v>
      </c>
      <c r="D585" s="165">
        <v>45418.0</v>
      </c>
      <c r="E585" s="164" t="s">
        <v>646</v>
      </c>
      <c r="F585" s="161"/>
      <c r="G585" s="161"/>
      <c r="H585" s="171"/>
      <c r="I585" s="171"/>
      <c r="J585" s="171"/>
      <c r="K585" s="171"/>
      <c r="L585" s="171"/>
      <c r="M585" s="171"/>
      <c r="N585" s="159">
        <v>4.0</v>
      </c>
      <c r="O585" s="159">
        <v>4.0</v>
      </c>
      <c r="P585" s="159">
        <v>4.0</v>
      </c>
      <c r="Q585" s="159">
        <v>4.0</v>
      </c>
      <c r="R585" s="159">
        <v>4.0</v>
      </c>
      <c r="S585" s="171"/>
      <c r="T585" s="171"/>
      <c r="U585" s="171"/>
      <c r="V585" s="171"/>
      <c r="W585" s="171"/>
      <c r="X585" s="161"/>
      <c r="Y585" s="161"/>
      <c r="Z585" s="161"/>
      <c r="AA585" s="161"/>
      <c r="AB585" s="161"/>
      <c r="AC585" s="159">
        <v>4.0</v>
      </c>
      <c r="AD585" s="171"/>
    </row>
    <row r="586">
      <c r="A586" s="162">
        <v>104342.0</v>
      </c>
      <c r="B586" s="163" t="s">
        <v>1446</v>
      </c>
      <c r="C586" s="164" t="s">
        <v>1447</v>
      </c>
      <c r="D586" s="165">
        <v>45421.0</v>
      </c>
      <c r="E586" s="164" t="s">
        <v>360</v>
      </c>
      <c r="F586" s="161"/>
      <c r="G586" s="161"/>
      <c r="H586" s="159">
        <v>5.0</v>
      </c>
      <c r="I586" s="159">
        <v>5.0</v>
      </c>
      <c r="J586" s="159">
        <v>5.0</v>
      </c>
      <c r="K586" s="159">
        <v>5.0</v>
      </c>
      <c r="L586" s="159">
        <v>5.0</v>
      </c>
      <c r="M586" s="159">
        <v>5.0</v>
      </c>
      <c r="N586" s="159">
        <v>5.0</v>
      </c>
      <c r="O586" s="159">
        <v>5.0</v>
      </c>
      <c r="P586" s="159">
        <v>5.0</v>
      </c>
      <c r="Q586" s="159">
        <v>5.0</v>
      </c>
      <c r="R586" s="159">
        <v>5.0</v>
      </c>
      <c r="S586" s="159">
        <v>5.0</v>
      </c>
      <c r="T586" s="159">
        <v>5.0</v>
      </c>
      <c r="U586" s="159">
        <v>5.0</v>
      </c>
      <c r="V586" s="159">
        <v>5.0</v>
      </c>
      <c r="W586" s="159">
        <v>5.0</v>
      </c>
      <c r="X586" s="161"/>
      <c r="Y586" s="161"/>
      <c r="Z586" s="161"/>
      <c r="AA586" s="161"/>
      <c r="AB586" s="161"/>
      <c r="AC586" s="159">
        <v>5.0</v>
      </c>
      <c r="AD586" s="171"/>
    </row>
    <row r="587">
      <c r="A587" s="162">
        <v>104504.0</v>
      </c>
      <c r="B587" s="163" t="s">
        <v>1448</v>
      </c>
      <c r="C587" s="164" t="s">
        <v>1449</v>
      </c>
      <c r="D587" s="165">
        <v>45423.0</v>
      </c>
      <c r="E587" s="164" t="s">
        <v>51</v>
      </c>
      <c r="F587" s="161"/>
      <c r="G587" s="161"/>
      <c r="H587" s="171"/>
      <c r="I587" s="171"/>
      <c r="J587" s="171"/>
      <c r="K587" s="171"/>
      <c r="L587" s="171"/>
      <c r="M587" s="171"/>
      <c r="N587" s="159">
        <v>4.0</v>
      </c>
      <c r="O587" s="159">
        <v>4.0</v>
      </c>
      <c r="P587" s="159">
        <v>4.0</v>
      </c>
      <c r="Q587" s="159">
        <v>4.0</v>
      </c>
      <c r="R587" s="159">
        <v>4.0</v>
      </c>
      <c r="S587" s="171"/>
      <c r="T587" s="171"/>
      <c r="U587" s="171"/>
      <c r="V587" s="171"/>
      <c r="W587" s="171"/>
      <c r="X587" s="161"/>
      <c r="Y587" s="161"/>
      <c r="Z587" s="161"/>
      <c r="AA587" s="161"/>
      <c r="AB587" s="161"/>
      <c r="AC587" s="159">
        <v>4.0</v>
      </c>
      <c r="AD587" s="171"/>
    </row>
    <row r="588">
      <c r="A588" s="162">
        <v>104465.0</v>
      </c>
      <c r="B588" s="163" t="s">
        <v>1450</v>
      </c>
      <c r="C588" s="164" t="s">
        <v>1451</v>
      </c>
      <c r="D588" s="165">
        <v>45423.0</v>
      </c>
      <c r="E588" s="164" t="s">
        <v>1140</v>
      </c>
      <c r="F588" s="161"/>
      <c r="G588" s="161"/>
      <c r="H588" s="171"/>
      <c r="I588" s="171"/>
      <c r="J588" s="171"/>
      <c r="K588" s="171"/>
      <c r="L588" s="171"/>
      <c r="M588" s="171"/>
      <c r="N588" s="159">
        <v>5.0</v>
      </c>
      <c r="O588" s="159">
        <v>5.0</v>
      </c>
      <c r="P588" s="159">
        <v>5.0</v>
      </c>
      <c r="Q588" s="159">
        <v>5.0</v>
      </c>
      <c r="R588" s="159">
        <v>5.0</v>
      </c>
      <c r="S588" s="171"/>
      <c r="T588" s="171"/>
      <c r="U588" s="171"/>
      <c r="V588" s="171"/>
      <c r="W588" s="171"/>
      <c r="X588" s="161"/>
      <c r="Y588" s="161"/>
      <c r="Z588" s="161"/>
      <c r="AA588" s="161"/>
      <c r="AB588" s="161"/>
      <c r="AC588" s="159">
        <v>5.0</v>
      </c>
      <c r="AD588" s="171"/>
    </row>
    <row r="589">
      <c r="A589" s="162">
        <v>104460.0</v>
      </c>
      <c r="B589" s="163" t="s">
        <v>1452</v>
      </c>
      <c r="C589" s="164" t="s">
        <v>1453</v>
      </c>
      <c r="D589" s="165">
        <v>45425.0</v>
      </c>
      <c r="E589" s="164" t="s">
        <v>646</v>
      </c>
      <c r="F589" s="161"/>
      <c r="G589" s="161"/>
      <c r="H589" s="171"/>
      <c r="I589" s="171"/>
      <c r="J589" s="171"/>
      <c r="K589" s="171"/>
      <c r="L589" s="171"/>
      <c r="M589" s="171"/>
      <c r="N589" s="159">
        <v>4.5</v>
      </c>
      <c r="O589" s="159">
        <v>4.5</v>
      </c>
      <c r="P589" s="159">
        <v>4.5</v>
      </c>
      <c r="Q589" s="159">
        <v>5.0</v>
      </c>
      <c r="R589" s="159">
        <v>4.625</v>
      </c>
      <c r="S589" s="171"/>
      <c r="T589" s="171"/>
      <c r="U589" s="171"/>
      <c r="V589" s="171"/>
      <c r="W589" s="171"/>
      <c r="X589" s="161"/>
      <c r="Y589" s="161"/>
      <c r="Z589" s="161"/>
      <c r="AA589" s="161"/>
      <c r="AB589" s="161"/>
      <c r="AC589" s="159">
        <v>4.625</v>
      </c>
      <c r="AD589" s="171"/>
    </row>
    <row r="590">
      <c r="A590" s="162">
        <v>104487.0</v>
      </c>
      <c r="B590" s="163" t="s">
        <v>1454</v>
      </c>
      <c r="C590" s="164" t="s">
        <v>1455</v>
      </c>
      <c r="D590" s="165">
        <v>45426.0</v>
      </c>
      <c r="E590" s="164" t="s">
        <v>427</v>
      </c>
      <c r="F590" s="161"/>
      <c r="G590" s="161"/>
      <c r="H590" s="171"/>
      <c r="I590" s="171"/>
      <c r="J590" s="171"/>
      <c r="K590" s="171"/>
      <c r="L590" s="171"/>
      <c r="M590" s="171"/>
      <c r="N590" s="159">
        <v>5.0</v>
      </c>
      <c r="O590" s="159">
        <v>5.0</v>
      </c>
      <c r="P590" s="159">
        <v>5.0</v>
      </c>
      <c r="Q590" s="159">
        <v>5.0</v>
      </c>
      <c r="R590" s="159">
        <v>5.0</v>
      </c>
      <c r="S590" s="171"/>
      <c r="T590" s="171"/>
      <c r="U590" s="171"/>
      <c r="V590" s="171"/>
      <c r="W590" s="171"/>
      <c r="X590" s="161"/>
      <c r="Y590" s="161"/>
      <c r="Z590" s="161"/>
      <c r="AA590" s="161"/>
      <c r="AB590" s="161"/>
      <c r="AC590" s="159">
        <v>5.0</v>
      </c>
      <c r="AD590" s="171"/>
    </row>
    <row r="591">
      <c r="A591" s="162">
        <v>104342.0</v>
      </c>
      <c r="B591" s="169"/>
      <c r="C591" s="164" t="s">
        <v>1447</v>
      </c>
      <c r="D591" s="165">
        <v>45429.0</v>
      </c>
      <c r="E591" s="164" t="s">
        <v>219</v>
      </c>
      <c r="F591" s="161"/>
      <c r="G591" s="161"/>
      <c r="H591" s="159">
        <v>5.0</v>
      </c>
      <c r="I591" s="159">
        <v>5.0</v>
      </c>
      <c r="J591" s="159">
        <v>5.0</v>
      </c>
      <c r="K591" s="159">
        <v>5.0</v>
      </c>
      <c r="L591" s="159">
        <v>5.0</v>
      </c>
      <c r="M591" s="159">
        <v>5.0</v>
      </c>
      <c r="N591" s="159">
        <v>5.0</v>
      </c>
      <c r="O591" s="159">
        <v>5.0</v>
      </c>
      <c r="P591" s="159">
        <v>5.0</v>
      </c>
      <c r="Q591" s="159">
        <v>5.0</v>
      </c>
      <c r="R591" s="159">
        <v>5.0</v>
      </c>
      <c r="S591" s="159">
        <v>5.0</v>
      </c>
      <c r="T591" s="159">
        <v>5.0</v>
      </c>
      <c r="U591" s="159">
        <v>5.0</v>
      </c>
      <c r="V591" s="159">
        <v>5.0</v>
      </c>
      <c r="W591" s="159">
        <v>5.0</v>
      </c>
      <c r="X591" s="161"/>
      <c r="Y591" s="161"/>
      <c r="Z591" s="161"/>
      <c r="AA591" s="161"/>
      <c r="AB591" s="161"/>
      <c r="AC591" s="159">
        <v>5.0</v>
      </c>
      <c r="AD591" s="171"/>
    </row>
    <row r="592">
      <c r="A592" s="162">
        <v>104540.0</v>
      </c>
      <c r="B592" s="163" t="s">
        <v>1456</v>
      </c>
      <c r="C592" s="164" t="s">
        <v>1457</v>
      </c>
      <c r="D592" s="165">
        <v>45433.0</v>
      </c>
      <c r="E592" s="164" t="s">
        <v>1140</v>
      </c>
      <c r="F592" s="161"/>
      <c r="G592" s="161"/>
      <c r="H592" s="159">
        <v>4.5</v>
      </c>
      <c r="I592" s="159">
        <v>4.5</v>
      </c>
      <c r="J592" s="159">
        <v>4.5</v>
      </c>
      <c r="K592" s="159">
        <v>4.5</v>
      </c>
      <c r="L592" s="159">
        <v>4.5</v>
      </c>
      <c r="M592" s="159">
        <v>4.5</v>
      </c>
      <c r="N592" s="171"/>
      <c r="O592" s="171"/>
      <c r="P592" s="171"/>
      <c r="Q592" s="171"/>
      <c r="R592" s="171"/>
      <c r="S592" s="159">
        <v>4.75</v>
      </c>
      <c r="T592" s="159">
        <v>4.75</v>
      </c>
      <c r="U592" s="159">
        <v>4.75</v>
      </c>
      <c r="V592" s="159">
        <v>4.75</v>
      </c>
      <c r="W592" s="159">
        <v>4.75</v>
      </c>
      <c r="X592" s="161"/>
      <c r="Y592" s="161"/>
      <c r="Z592" s="161"/>
      <c r="AA592" s="161"/>
      <c r="AB592" s="161"/>
      <c r="AC592" s="159">
        <v>4.625</v>
      </c>
      <c r="AD592" s="159"/>
    </row>
    <row r="593">
      <c r="A593" s="162">
        <v>104554.0</v>
      </c>
      <c r="B593" s="163" t="s">
        <v>1458</v>
      </c>
      <c r="C593" s="164" t="s">
        <v>1459</v>
      </c>
      <c r="D593" s="165">
        <v>45434.0</v>
      </c>
      <c r="E593" s="164" t="s">
        <v>646</v>
      </c>
      <c r="F593" s="161"/>
      <c r="G593" s="161"/>
      <c r="H593" s="159">
        <v>5.0</v>
      </c>
      <c r="I593" s="159">
        <v>5.0</v>
      </c>
      <c r="J593" s="159">
        <v>5.0</v>
      </c>
      <c r="K593" s="159">
        <v>5.0</v>
      </c>
      <c r="L593" s="159">
        <v>5.0</v>
      </c>
      <c r="M593" s="159">
        <v>5.0</v>
      </c>
      <c r="N593" s="159">
        <v>5.0</v>
      </c>
      <c r="O593" s="159">
        <v>5.0</v>
      </c>
      <c r="P593" s="159">
        <v>5.0</v>
      </c>
      <c r="Q593" s="159">
        <v>5.0</v>
      </c>
      <c r="R593" s="159">
        <v>5.0</v>
      </c>
      <c r="S593" s="159">
        <v>4.2</v>
      </c>
      <c r="T593" s="159">
        <v>4.2</v>
      </c>
      <c r="U593" s="159">
        <v>4.2</v>
      </c>
      <c r="V593" s="159">
        <v>4.2</v>
      </c>
      <c r="W593" s="159">
        <v>4.2</v>
      </c>
      <c r="X593" s="161"/>
      <c r="Y593" s="161"/>
      <c r="Z593" s="161"/>
      <c r="AA593" s="161"/>
      <c r="AB593" s="161"/>
      <c r="AC593" s="159">
        <v>4.733333333333333</v>
      </c>
      <c r="AD593" s="159"/>
    </row>
    <row r="594">
      <c r="A594" s="162">
        <v>104553.0</v>
      </c>
      <c r="B594" s="163" t="s">
        <v>1460</v>
      </c>
      <c r="C594" s="164" t="s">
        <v>1461</v>
      </c>
      <c r="D594" s="165">
        <v>45435.0</v>
      </c>
      <c r="E594" s="164" t="s">
        <v>806</v>
      </c>
      <c r="F594" s="161"/>
      <c r="G594" s="161"/>
      <c r="H594" s="159">
        <v>5.0</v>
      </c>
      <c r="I594" s="159">
        <v>5.0</v>
      </c>
      <c r="J594" s="159">
        <v>5.0</v>
      </c>
      <c r="K594" s="159">
        <v>5.0</v>
      </c>
      <c r="L594" s="159">
        <v>5.0</v>
      </c>
      <c r="M594" s="159">
        <v>5.0</v>
      </c>
      <c r="N594" s="159">
        <v>5.0</v>
      </c>
      <c r="O594" s="159">
        <v>5.0</v>
      </c>
      <c r="P594" s="159">
        <v>5.0</v>
      </c>
      <c r="Q594" s="159">
        <v>5.0</v>
      </c>
      <c r="R594" s="159">
        <v>5.0</v>
      </c>
      <c r="S594" s="159">
        <v>5.0</v>
      </c>
      <c r="T594" s="159">
        <v>5.0</v>
      </c>
      <c r="U594" s="159">
        <v>5.0</v>
      </c>
      <c r="V594" s="159">
        <v>5.0</v>
      </c>
      <c r="W594" s="159">
        <v>5.0</v>
      </c>
      <c r="X594" s="161"/>
      <c r="Y594" s="161"/>
      <c r="Z594" s="161"/>
      <c r="AA594" s="161"/>
      <c r="AB594" s="161"/>
      <c r="AC594" s="159">
        <v>5.0</v>
      </c>
      <c r="AD594" s="159"/>
    </row>
    <row r="595">
      <c r="A595" s="162">
        <v>104486.0</v>
      </c>
      <c r="B595" s="163" t="s">
        <v>1462</v>
      </c>
      <c r="C595" s="164" t="s">
        <v>1463</v>
      </c>
      <c r="D595" s="165">
        <v>45436.0</v>
      </c>
      <c r="E595" s="164" t="s">
        <v>154</v>
      </c>
      <c r="F595" s="161"/>
      <c r="G595" s="161"/>
      <c r="H595" s="171"/>
      <c r="I595" s="171"/>
      <c r="J595" s="171"/>
      <c r="K595" s="171"/>
      <c r="L595" s="171"/>
      <c r="M595" s="171"/>
      <c r="N595" s="159">
        <v>4.0</v>
      </c>
      <c r="O595" s="159">
        <v>4.0</v>
      </c>
      <c r="P595" s="159">
        <v>4.0</v>
      </c>
      <c r="Q595" s="159">
        <v>4.0</v>
      </c>
      <c r="R595" s="159">
        <v>4.0</v>
      </c>
      <c r="S595" s="171"/>
      <c r="T595" s="171"/>
      <c r="U595" s="171"/>
      <c r="V595" s="171"/>
      <c r="W595" s="171"/>
      <c r="X595" s="161"/>
      <c r="Y595" s="161"/>
      <c r="Z595" s="161"/>
      <c r="AA595" s="161"/>
      <c r="AB595" s="161"/>
      <c r="AC595" s="159">
        <v>4.0</v>
      </c>
      <c r="AD595" s="171"/>
    </row>
    <row r="596">
      <c r="A596" s="162">
        <v>104544.0</v>
      </c>
      <c r="B596" s="163" t="s">
        <v>1464</v>
      </c>
      <c r="C596" s="164" t="s">
        <v>1465</v>
      </c>
      <c r="D596" s="165">
        <v>45439.0</v>
      </c>
      <c r="E596" s="164" t="s">
        <v>265</v>
      </c>
      <c r="F596" s="161"/>
      <c r="G596" s="161"/>
      <c r="H596" s="159">
        <v>5.0</v>
      </c>
      <c r="I596" s="159">
        <v>5.0</v>
      </c>
      <c r="J596" s="159">
        <v>5.0</v>
      </c>
      <c r="K596" s="159">
        <v>5.0</v>
      </c>
      <c r="L596" s="159">
        <v>5.0</v>
      </c>
      <c r="M596" s="159">
        <v>5.0</v>
      </c>
      <c r="N596" s="159">
        <v>5.0</v>
      </c>
      <c r="O596" s="159">
        <v>5.0</v>
      </c>
      <c r="P596" s="159">
        <v>5.0</v>
      </c>
      <c r="Q596" s="159">
        <v>5.0</v>
      </c>
      <c r="R596" s="159">
        <v>5.0</v>
      </c>
      <c r="S596" s="159">
        <v>4.5</v>
      </c>
      <c r="T596" s="159">
        <v>4.5</v>
      </c>
      <c r="U596" s="159">
        <v>4.5</v>
      </c>
      <c r="V596" s="159">
        <v>4.5</v>
      </c>
      <c r="W596" s="159">
        <v>4.5</v>
      </c>
      <c r="X596" s="161"/>
      <c r="Y596" s="161"/>
      <c r="Z596" s="161"/>
      <c r="AA596" s="161"/>
      <c r="AB596" s="161"/>
      <c r="AC596" s="159">
        <v>4.833333333333333</v>
      </c>
      <c r="AD596" s="159"/>
    </row>
    <row r="597">
      <c r="A597" s="162">
        <v>104475.0</v>
      </c>
      <c r="B597" s="163" t="s">
        <v>1466</v>
      </c>
      <c r="C597" s="164" t="s">
        <v>1467</v>
      </c>
      <c r="D597" s="165">
        <v>45443.0</v>
      </c>
      <c r="E597" s="164" t="s">
        <v>225</v>
      </c>
      <c r="F597" s="161"/>
      <c r="G597" s="161"/>
      <c r="H597" s="159">
        <v>5.0</v>
      </c>
      <c r="I597" s="159">
        <v>5.0</v>
      </c>
      <c r="J597" s="159">
        <v>5.0</v>
      </c>
      <c r="K597" s="159">
        <v>5.0</v>
      </c>
      <c r="L597" s="159">
        <v>5.0</v>
      </c>
      <c r="M597" s="159">
        <v>5.0</v>
      </c>
      <c r="N597" s="159">
        <v>5.0</v>
      </c>
      <c r="O597" s="159">
        <v>5.0</v>
      </c>
      <c r="P597" s="159">
        <v>5.0</v>
      </c>
      <c r="Q597" s="159">
        <v>5.0</v>
      </c>
      <c r="R597" s="159">
        <v>5.0</v>
      </c>
      <c r="S597" s="159">
        <v>4.5</v>
      </c>
      <c r="T597" s="159">
        <v>4.5</v>
      </c>
      <c r="U597" s="159">
        <v>4.5</v>
      </c>
      <c r="V597" s="159">
        <v>4.5</v>
      </c>
      <c r="W597" s="159">
        <v>4.5</v>
      </c>
      <c r="X597" s="161"/>
      <c r="Y597" s="161"/>
      <c r="Z597" s="161"/>
      <c r="AA597" s="161"/>
      <c r="AB597" s="161"/>
      <c r="AC597" s="159">
        <v>4.833333333333333</v>
      </c>
      <c r="AD597" s="159"/>
    </row>
    <row r="598">
      <c r="A598" s="162">
        <v>104477.0</v>
      </c>
      <c r="B598" s="163" t="s">
        <v>1468</v>
      </c>
      <c r="C598" s="164" t="s">
        <v>1469</v>
      </c>
      <c r="D598" s="165">
        <v>45443.0</v>
      </c>
      <c r="E598" s="164" t="s">
        <v>225</v>
      </c>
      <c r="F598" s="161"/>
      <c r="G598" s="161"/>
      <c r="H598" s="159">
        <v>5.0</v>
      </c>
      <c r="I598" s="159">
        <v>5.0</v>
      </c>
      <c r="J598" s="159">
        <v>5.0</v>
      </c>
      <c r="K598" s="159">
        <v>5.0</v>
      </c>
      <c r="L598" s="159">
        <v>5.0</v>
      </c>
      <c r="M598" s="159">
        <v>5.0</v>
      </c>
      <c r="N598" s="159">
        <v>5.0</v>
      </c>
      <c r="O598" s="159">
        <v>5.0</v>
      </c>
      <c r="P598" s="159">
        <v>5.0</v>
      </c>
      <c r="Q598" s="159">
        <v>5.0</v>
      </c>
      <c r="R598" s="159">
        <v>5.0</v>
      </c>
      <c r="S598" s="159">
        <v>4.5</v>
      </c>
      <c r="T598" s="159">
        <v>4.5</v>
      </c>
      <c r="U598" s="159">
        <v>4.5</v>
      </c>
      <c r="V598" s="159">
        <v>4.5</v>
      </c>
      <c r="W598" s="159">
        <v>4.5</v>
      </c>
      <c r="X598" s="161"/>
      <c r="Y598" s="161"/>
      <c r="Z598" s="161"/>
      <c r="AA598" s="161"/>
      <c r="AB598" s="161"/>
      <c r="AC598" s="159">
        <v>4.833333333333333</v>
      </c>
      <c r="AD598" s="159"/>
    </row>
    <row r="599">
      <c r="A599" s="162">
        <v>104474.0</v>
      </c>
      <c r="B599" s="163" t="s">
        <v>1470</v>
      </c>
      <c r="C599" s="164" t="s">
        <v>1471</v>
      </c>
      <c r="D599" s="165">
        <v>45443.0</v>
      </c>
      <c r="E599" s="164" t="s">
        <v>225</v>
      </c>
      <c r="F599" s="161"/>
      <c r="G599" s="161"/>
      <c r="H599" s="159">
        <v>5.0</v>
      </c>
      <c r="I599" s="159">
        <v>5.0</v>
      </c>
      <c r="J599" s="159">
        <v>5.0</v>
      </c>
      <c r="K599" s="159">
        <v>5.0</v>
      </c>
      <c r="L599" s="159">
        <v>5.0</v>
      </c>
      <c r="M599" s="159">
        <v>5.0</v>
      </c>
      <c r="N599" s="159">
        <v>5.0</v>
      </c>
      <c r="O599" s="159">
        <v>5.0</v>
      </c>
      <c r="P599" s="159">
        <v>5.0</v>
      </c>
      <c r="Q599" s="159">
        <v>5.0</v>
      </c>
      <c r="R599" s="159">
        <v>5.0</v>
      </c>
      <c r="S599" s="159">
        <v>4.5</v>
      </c>
      <c r="T599" s="159">
        <v>4.5</v>
      </c>
      <c r="U599" s="159">
        <v>4.5</v>
      </c>
      <c r="V599" s="159">
        <v>4.5</v>
      </c>
      <c r="W599" s="159">
        <v>4.5</v>
      </c>
      <c r="X599" s="161"/>
      <c r="Y599" s="161"/>
      <c r="Z599" s="161"/>
      <c r="AA599" s="161"/>
      <c r="AB599" s="161"/>
      <c r="AC599" s="159">
        <v>4.833333333333333</v>
      </c>
      <c r="AD599" s="159"/>
    </row>
    <row r="600">
      <c r="A600" s="162">
        <v>104476.0</v>
      </c>
      <c r="B600" s="163" t="s">
        <v>1472</v>
      </c>
      <c r="C600" s="164" t="s">
        <v>1473</v>
      </c>
      <c r="D600" s="165">
        <v>45443.0</v>
      </c>
      <c r="E600" s="164" t="s">
        <v>233</v>
      </c>
      <c r="F600" s="161"/>
      <c r="G600" s="161"/>
      <c r="H600" s="159">
        <v>4.5</v>
      </c>
      <c r="I600" s="159">
        <v>4.5</v>
      </c>
      <c r="J600" s="159">
        <v>4.5</v>
      </c>
      <c r="K600" s="159">
        <v>4.5</v>
      </c>
      <c r="L600" s="159">
        <v>4.5</v>
      </c>
      <c r="M600" s="159">
        <v>4.5</v>
      </c>
      <c r="N600" s="159">
        <v>4.0</v>
      </c>
      <c r="O600" s="159">
        <v>5.0</v>
      </c>
      <c r="P600" s="159">
        <v>5.0</v>
      </c>
      <c r="Q600" s="159">
        <v>5.0</v>
      </c>
      <c r="R600" s="159">
        <v>4.75</v>
      </c>
      <c r="S600" s="159">
        <v>4.75</v>
      </c>
      <c r="T600" s="159">
        <v>4.75</v>
      </c>
      <c r="U600" s="159">
        <v>4.75</v>
      </c>
      <c r="V600" s="159">
        <v>4.75</v>
      </c>
      <c r="W600" s="159">
        <v>4.75</v>
      </c>
      <c r="X600" s="161"/>
      <c r="Y600" s="161"/>
      <c r="Z600" s="161"/>
      <c r="AA600" s="161"/>
      <c r="AB600" s="161"/>
      <c r="AC600" s="159">
        <v>4.666666666666667</v>
      </c>
      <c r="AD600" s="159"/>
    </row>
    <row r="601">
      <c r="A601" s="162">
        <v>104642.0</v>
      </c>
      <c r="B601" s="163" t="s">
        <v>1474</v>
      </c>
      <c r="C601" s="164" t="s">
        <v>1475</v>
      </c>
      <c r="D601" s="165">
        <v>45449.0</v>
      </c>
      <c r="E601" s="164" t="s">
        <v>427</v>
      </c>
      <c r="F601" s="161"/>
      <c r="G601" s="161"/>
      <c r="H601" s="171"/>
      <c r="I601" s="171"/>
      <c r="J601" s="171"/>
      <c r="K601" s="171"/>
      <c r="L601" s="171"/>
      <c r="M601" s="171"/>
      <c r="N601" s="159">
        <v>5.0</v>
      </c>
      <c r="O601" s="159">
        <v>5.0</v>
      </c>
      <c r="P601" s="159">
        <v>5.0</v>
      </c>
      <c r="Q601" s="159">
        <v>5.0</v>
      </c>
      <c r="R601" s="159">
        <v>5.0</v>
      </c>
      <c r="S601" s="171"/>
      <c r="T601" s="171"/>
      <c r="U601" s="171"/>
      <c r="V601" s="171"/>
      <c r="W601" s="171"/>
      <c r="X601" s="161"/>
      <c r="Y601" s="161"/>
      <c r="Z601" s="161"/>
      <c r="AA601" s="161"/>
      <c r="AB601" s="161"/>
      <c r="AC601" s="159">
        <v>5.0</v>
      </c>
      <c r="AD601" s="171"/>
    </row>
    <row r="602">
      <c r="A602" s="162">
        <v>104599.0</v>
      </c>
      <c r="B602" s="163" t="s">
        <v>1476</v>
      </c>
      <c r="C602" s="164" t="s">
        <v>1477</v>
      </c>
      <c r="D602" s="165">
        <v>45453.0</v>
      </c>
      <c r="E602" s="164" t="s">
        <v>806</v>
      </c>
      <c r="F602" s="161"/>
      <c r="G602" s="161"/>
      <c r="H602" s="159">
        <v>5.0</v>
      </c>
      <c r="I602" s="159">
        <v>5.0</v>
      </c>
      <c r="J602" s="159">
        <v>5.0</v>
      </c>
      <c r="K602" s="159">
        <v>5.0</v>
      </c>
      <c r="L602" s="159">
        <v>5.0</v>
      </c>
      <c r="M602" s="159">
        <v>5.0</v>
      </c>
      <c r="N602" s="159">
        <v>5.0</v>
      </c>
      <c r="O602" s="159">
        <v>5.0</v>
      </c>
      <c r="P602" s="159">
        <v>5.0</v>
      </c>
      <c r="Q602" s="159">
        <v>5.0</v>
      </c>
      <c r="R602" s="159">
        <v>5.0</v>
      </c>
      <c r="S602" s="159">
        <v>4.5</v>
      </c>
      <c r="T602" s="159">
        <v>4.5</v>
      </c>
      <c r="U602" s="159">
        <v>4.5</v>
      </c>
      <c r="V602" s="159">
        <v>4.5</v>
      </c>
      <c r="W602" s="159">
        <v>4.5</v>
      </c>
      <c r="X602" s="161"/>
      <c r="Y602" s="161"/>
      <c r="Z602" s="161"/>
      <c r="AA602" s="161"/>
      <c r="AB602" s="161"/>
      <c r="AC602" s="159">
        <v>4.833333333333333</v>
      </c>
      <c r="AD602" s="159"/>
    </row>
    <row r="603">
      <c r="A603" s="162">
        <v>104613.0</v>
      </c>
      <c r="B603" s="163" t="s">
        <v>1478</v>
      </c>
      <c r="C603" s="164" t="s">
        <v>1479</v>
      </c>
      <c r="D603" s="165">
        <v>45458.0</v>
      </c>
      <c r="E603" s="164" t="s">
        <v>397</v>
      </c>
      <c r="F603" s="161"/>
      <c r="G603" s="161"/>
      <c r="H603" s="171"/>
      <c r="I603" s="171"/>
      <c r="J603" s="171"/>
      <c r="K603" s="171"/>
      <c r="L603" s="171"/>
      <c r="M603" s="171"/>
      <c r="N603" s="159">
        <v>4.0</v>
      </c>
      <c r="O603" s="159">
        <v>4.0</v>
      </c>
      <c r="P603" s="159">
        <v>4.0</v>
      </c>
      <c r="Q603" s="159">
        <v>4.0</v>
      </c>
      <c r="R603" s="159">
        <v>4.0</v>
      </c>
      <c r="S603" s="171"/>
      <c r="T603" s="171"/>
      <c r="U603" s="171"/>
      <c r="V603" s="171"/>
      <c r="W603" s="171"/>
      <c r="X603" s="161"/>
      <c r="Y603" s="161"/>
      <c r="Z603" s="161"/>
      <c r="AA603" s="161"/>
      <c r="AB603" s="161"/>
      <c r="AC603" s="159">
        <v>4.0</v>
      </c>
      <c r="AD603" s="171"/>
    </row>
    <row r="604">
      <c r="A604" s="162">
        <v>104281.0</v>
      </c>
      <c r="B604" s="163" t="s">
        <v>1480</v>
      </c>
      <c r="C604" s="164" t="s">
        <v>1481</v>
      </c>
      <c r="D604" s="165">
        <v>45458.0</v>
      </c>
      <c r="E604" s="164" t="s">
        <v>397</v>
      </c>
      <c r="F604" s="161"/>
      <c r="G604" s="161"/>
      <c r="H604" s="171"/>
      <c r="I604" s="171"/>
      <c r="J604" s="171"/>
      <c r="K604" s="171"/>
      <c r="L604" s="171"/>
      <c r="M604" s="171"/>
      <c r="N604" s="159">
        <v>5.0</v>
      </c>
      <c r="O604" s="159">
        <v>4.0</v>
      </c>
      <c r="P604" s="159">
        <v>5.0</v>
      </c>
      <c r="Q604" s="159">
        <v>5.0</v>
      </c>
      <c r="R604" s="159">
        <v>4.75</v>
      </c>
      <c r="S604" s="171"/>
      <c r="T604" s="171"/>
      <c r="U604" s="171"/>
      <c r="V604" s="171"/>
      <c r="W604" s="171"/>
      <c r="X604" s="161"/>
      <c r="Y604" s="161"/>
      <c r="Z604" s="161"/>
      <c r="AA604" s="161"/>
      <c r="AB604" s="161"/>
      <c r="AC604" s="159">
        <v>4.75</v>
      </c>
      <c r="AD604" s="171"/>
    </row>
    <row r="605">
      <c r="A605" s="162">
        <v>104616.0</v>
      </c>
      <c r="B605" s="163" t="s">
        <v>1482</v>
      </c>
      <c r="C605" s="164" t="s">
        <v>1483</v>
      </c>
      <c r="D605" s="165">
        <v>45463.0</v>
      </c>
      <c r="E605" s="164" t="s">
        <v>1140</v>
      </c>
      <c r="F605" s="161"/>
      <c r="G605" s="161"/>
      <c r="H605" s="159">
        <v>4.5</v>
      </c>
      <c r="I605" s="159">
        <v>4.5</v>
      </c>
      <c r="J605" s="159">
        <v>4.5</v>
      </c>
      <c r="K605" s="159">
        <v>4.5</v>
      </c>
      <c r="L605" s="159">
        <v>4.5</v>
      </c>
      <c r="M605" s="159">
        <v>4.5</v>
      </c>
      <c r="N605" s="171"/>
      <c r="O605" s="171"/>
      <c r="P605" s="171"/>
      <c r="Q605" s="171"/>
      <c r="R605" s="171"/>
      <c r="S605" s="159">
        <v>4.75</v>
      </c>
      <c r="T605" s="159">
        <v>4.75</v>
      </c>
      <c r="U605" s="159">
        <v>4.75</v>
      </c>
      <c r="V605" s="159">
        <v>4.75</v>
      </c>
      <c r="W605" s="159">
        <v>4.75</v>
      </c>
      <c r="X605" s="161"/>
      <c r="Y605" s="161"/>
      <c r="Z605" s="161"/>
      <c r="AA605" s="161"/>
      <c r="AB605" s="161"/>
      <c r="AC605" s="159">
        <v>4.625</v>
      </c>
      <c r="AD605" s="159"/>
    </row>
    <row r="606">
      <c r="A606" s="162">
        <v>104576.0</v>
      </c>
      <c r="B606" s="163" t="s">
        <v>1484</v>
      </c>
      <c r="C606" s="164" t="s">
        <v>1485</v>
      </c>
      <c r="D606" s="165">
        <v>45464.0</v>
      </c>
      <c r="E606" s="164" t="s">
        <v>185</v>
      </c>
      <c r="F606" s="161"/>
      <c r="G606" s="161"/>
      <c r="H606" s="171"/>
      <c r="I606" s="171"/>
      <c r="J606" s="171"/>
      <c r="K606" s="171"/>
      <c r="L606" s="171"/>
      <c r="M606" s="171"/>
      <c r="N606" s="159">
        <v>4.0</v>
      </c>
      <c r="O606" s="159">
        <v>4.0</v>
      </c>
      <c r="P606" s="159">
        <v>4.0</v>
      </c>
      <c r="Q606" s="159">
        <v>4.0</v>
      </c>
      <c r="R606" s="159">
        <v>4.0</v>
      </c>
      <c r="S606" s="171"/>
      <c r="T606" s="171"/>
      <c r="U606" s="171"/>
      <c r="V606" s="171"/>
      <c r="W606" s="171"/>
      <c r="X606" s="161"/>
      <c r="Y606" s="161"/>
      <c r="Z606" s="161"/>
      <c r="AA606" s="161"/>
      <c r="AB606" s="161"/>
      <c r="AC606" s="159">
        <v>4.0</v>
      </c>
      <c r="AD606" s="171"/>
    </row>
    <row r="607">
      <c r="A607" s="162">
        <v>104648.0</v>
      </c>
      <c r="B607" s="163" t="s">
        <v>1486</v>
      </c>
      <c r="C607" s="164" t="s">
        <v>1487</v>
      </c>
      <c r="D607" s="165">
        <v>45468.0</v>
      </c>
      <c r="E607" s="164" t="s">
        <v>1140</v>
      </c>
      <c r="F607" s="161"/>
      <c r="G607" s="161"/>
      <c r="H607" s="159">
        <v>5.0</v>
      </c>
      <c r="I607" s="159">
        <v>5.0</v>
      </c>
      <c r="J607" s="159">
        <v>5.0</v>
      </c>
      <c r="K607" s="159">
        <v>5.0</v>
      </c>
      <c r="L607" s="159">
        <v>5.0</v>
      </c>
      <c r="M607" s="159">
        <v>5.0</v>
      </c>
      <c r="N607" s="171"/>
      <c r="O607" s="171"/>
      <c r="P607" s="171"/>
      <c r="Q607" s="171"/>
      <c r="R607" s="171"/>
      <c r="S607" s="159">
        <v>4.5</v>
      </c>
      <c r="T607" s="159">
        <v>4.5</v>
      </c>
      <c r="U607" s="159">
        <v>4.5</v>
      </c>
      <c r="V607" s="159">
        <v>4.5</v>
      </c>
      <c r="W607" s="159">
        <v>4.5</v>
      </c>
      <c r="X607" s="161"/>
      <c r="Y607" s="161"/>
      <c r="Z607" s="161"/>
      <c r="AA607" s="161"/>
      <c r="AB607" s="161"/>
      <c r="AC607" s="159">
        <v>4.75</v>
      </c>
      <c r="AD607" s="159"/>
    </row>
    <row r="608">
      <c r="A608" s="162">
        <v>104667.0</v>
      </c>
      <c r="B608" s="163" t="s">
        <v>1488</v>
      </c>
      <c r="C608" s="164" t="s">
        <v>1489</v>
      </c>
      <c r="D608" s="165">
        <v>45468.0</v>
      </c>
      <c r="E608" s="164" t="s">
        <v>1140</v>
      </c>
      <c r="F608" s="161"/>
      <c r="G608" s="161"/>
      <c r="H608" s="159">
        <v>5.0</v>
      </c>
      <c r="I608" s="159">
        <v>5.0</v>
      </c>
      <c r="J608" s="159">
        <v>5.0</v>
      </c>
      <c r="K608" s="159">
        <v>5.0</v>
      </c>
      <c r="L608" s="159">
        <v>5.0</v>
      </c>
      <c r="M608" s="159">
        <v>5.0</v>
      </c>
      <c r="N608" s="171"/>
      <c r="O608" s="171"/>
      <c r="P608" s="171"/>
      <c r="Q608" s="171"/>
      <c r="R608" s="171"/>
      <c r="S608" s="159">
        <v>4.5</v>
      </c>
      <c r="T608" s="159">
        <v>4.5</v>
      </c>
      <c r="U608" s="159">
        <v>4.5</v>
      </c>
      <c r="V608" s="159">
        <v>4.5</v>
      </c>
      <c r="W608" s="159">
        <v>4.5</v>
      </c>
      <c r="X608" s="161"/>
      <c r="Y608" s="161"/>
      <c r="Z608" s="161"/>
      <c r="AA608" s="161"/>
      <c r="AB608" s="161"/>
      <c r="AC608" s="159">
        <v>4.75</v>
      </c>
      <c r="AD608" s="159"/>
    </row>
    <row r="609">
      <c r="A609" s="162">
        <v>104460.0</v>
      </c>
      <c r="B609" s="163" t="s">
        <v>1490</v>
      </c>
      <c r="C609" s="164" t="s">
        <v>1453</v>
      </c>
      <c r="D609" s="165">
        <v>45468.0</v>
      </c>
      <c r="E609" s="164" t="s">
        <v>646</v>
      </c>
      <c r="F609" s="161"/>
      <c r="G609" s="161"/>
      <c r="H609" s="171"/>
      <c r="I609" s="171"/>
      <c r="J609" s="171"/>
      <c r="K609" s="171"/>
      <c r="L609" s="171"/>
      <c r="M609" s="171"/>
      <c r="N609" s="159">
        <v>4.5</v>
      </c>
      <c r="O609" s="159">
        <v>4.5</v>
      </c>
      <c r="P609" s="159">
        <v>4.5</v>
      </c>
      <c r="Q609" s="159">
        <v>5.0</v>
      </c>
      <c r="R609" s="159">
        <v>4.625</v>
      </c>
      <c r="S609" s="171"/>
      <c r="T609" s="171"/>
      <c r="U609" s="171"/>
      <c r="V609" s="171"/>
      <c r="W609" s="171"/>
      <c r="X609" s="161"/>
      <c r="Y609" s="161"/>
      <c r="Z609" s="161"/>
      <c r="AA609" s="161"/>
      <c r="AB609" s="161"/>
      <c r="AC609" s="159">
        <v>4.625</v>
      </c>
      <c r="AD609" s="171"/>
    </row>
    <row r="610">
      <c r="A610" s="162">
        <v>104585.0</v>
      </c>
      <c r="B610" s="163" t="s">
        <v>1491</v>
      </c>
      <c r="C610" s="164" t="s">
        <v>1492</v>
      </c>
      <c r="D610" s="165">
        <v>45471.0</v>
      </c>
      <c r="E610" s="164" t="s">
        <v>254</v>
      </c>
      <c r="F610" s="161"/>
      <c r="G610" s="161"/>
      <c r="H610" s="159">
        <v>5.0</v>
      </c>
      <c r="I610" s="159">
        <v>5.0</v>
      </c>
      <c r="J610" s="159">
        <v>5.0</v>
      </c>
      <c r="K610" s="159">
        <v>5.0</v>
      </c>
      <c r="L610" s="159">
        <v>5.0</v>
      </c>
      <c r="M610" s="159">
        <v>5.0</v>
      </c>
      <c r="N610" s="171"/>
      <c r="O610" s="171"/>
      <c r="P610" s="171"/>
      <c r="Q610" s="171"/>
      <c r="R610" s="171"/>
      <c r="S610" s="159">
        <v>4.75</v>
      </c>
      <c r="T610" s="159">
        <v>4.75</v>
      </c>
      <c r="U610" s="159">
        <v>4.75</v>
      </c>
      <c r="V610" s="159">
        <v>4.75</v>
      </c>
      <c r="W610" s="159">
        <v>4.75</v>
      </c>
      <c r="X610" s="161"/>
      <c r="Y610" s="161"/>
      <c r="Z610" s="161"/>
      <c r="AA610" s="161"/>
      <c r="AB610" s="161"/>
      <c r="AC610" s="159">
        <v>4.875</v>
      </c>
      <c r="AD610" s="159"/>
    </row>
    <row r="611">
      <c r="A611" s="162">
        <v>104716.0</v>
      </c>
      <c r="B611" s="163" t="s">
        <v>1493</v>
      </c>
      <c r="C611" s="164" t="s">
        <v>1494</v>
      </c>
      <c r="D611" s="165">
        <v>45476.0</v>
      </c>
      <c r="E611" s="164" t="s">
        <v>51</v>
      </c>
      <c r="F611" s="161"/>
      <c r="G611" s="161"/>
      <c r="H611" s="159">
        <v>5.0</v>
      </c>
      <c r="I611" s="159">
        <v>5.0</v>
      </c>
      <c r="J611" s="159">
        <v>5.0</v>
      </c>
      <c r="K611" s="159">
        <v>5.0</v>
      </c>
      <c r="L611" s="159">
        <v>5.0</v>
      </c>
      <c r="M611" s="159">
        <v>5.0</v>
      </c>
      <c r="N611" s="159">
        <v>5.0</v>
      </c>
      <c r="O611" s="159">
        <v>5.0</v>
      </c>
      <c r="P611" s="159">
        <v>5.0</v>
      </c>
      <c r="Q611" s="159">
        <v>5.0</v>
      </c>
      <c r="R611" s="159">
        <v>5.0</v>
      </c>
      <c r="S611" s="159">
        <v>4.5</v>
      </c>
      <c r="T611" s="159">
        <v>4.5</v>
      </c>
      <c r="U611" s="159">
        <v>4.5</v>
      </c>
      <c r="V611" s="159">
        <v>4.5</v>
      </c>
      <c r="W611" s="159">
        <v>4.5</v>
      </c>
      <c r="X611" s="161"/>
      <c r="Y611" s="161"/>
      <c r="Z611" s="161"/>
      <c r="AA611" s="161"/>
      <c r="AB611" s="161"/>
      <c r="AC611" s="159">
        <v>4.833333333333333</v>
      </c>
      <c r="AD611" s="171"/>
    </row>
    <row r="612">
      <c r="A612" s="162">
        <v>104693.0</v>
      </c>
      <c r="B612" s="163" t="s">
        <v>1495</v>
      </c>
      <c r="C612" s="164" t="s">
        <v>1496</v>
      </c>
      <c r="D612" s="165">
        <v>45477.0</v>
      </c>
      <c r="E612" s="164" t="s">
        <v>646</v>
      </c>
      <c r="F612" s="161"/>
      <c r="G612" s="161"/>
      <c r="H612" s="171"/>
      <c r="I612" s="171"/>
      <c r="J612" s="171"/>
      <c r="K612" s="171"/>
      <c r="L612" s="171"/>
      <c r="M612" s="171"/>
      <c r="N612" s="159">
        <v>4.5</v>
      </c>
      <c r="O612" s="159">
        <v>4.5</v>
      </c>
      <c r="P612" s="159">
        <v>4.5</v>
      </c>
      <c r="Q612" s="159">
        <v>5.0</v>
      </c>
      <c r="R612" s="159">
        <v>4.625</v>
      </c>
      <c r="S612" s="171"/>
      <c r="T612" s="171"/>
      <c r="U612" s="171"/>
      <c r="V612" s="171"/>
      <c r="W612" s="171"/>
      <c r="X612" s="161"/>
      <c r="Y612" s="161"/>
      <c r="Z612" s="161"/>
      <c r="AA612" s="161"/>
      <c r="AB612" s="161"/>
      <c r="AC612" s="159">
        <v>4.625</v>
      </c>
      <c r="AD612" s="171"/>
    </row>
    <row r="613">
      <c r="A613" s="162">
        <v>104649.0</v>
      </c>
      <c r="B613" s="163" t="s">
        <v>1497</v>
      </c>
      <c r="C613" s="164" t="s">
        <v>1498</v>
      </c>
      <c r="D613" s="165">
        <v>45478.0</v>
      </c>
      <c r="E613" s="164" t="s">
        <v>209</v>
      </c>
      <c r="F613" s="161"/>
      <c r="G613" s="161"/>
      <c r="H613" s="159">
        <v>5.0</v>
      </c>
      <c r="I613" s="159">
        <v>5.0</v>
      </c>
      <c r="J613" s="159">
        <v>5.0</v>
      </c>
      <c r="K613" s="159">
        <v>5.0</v>
      </c>
      <c r="L613" s="159">
        <v>5.0</v>
      </c>
      <c r="M613" s="159">
        <v>5.0</v>
      </c>
      <c r="N613" s="171"/>
      <c r="O613" s="171"/>
      <c r="P613" s="171"/>
      <c r="Q613" s="171"/>
      <c r="R613" s="171"/>
      <c r="S613" s="159">
        <v>5.0</v>
      </c>
      <c r="T613" s="159">
        <v>5.0</v>
      </c>
      <c r="U613" s="159">
        <v>5.0</v>
      </c>
      <c r="V613" s="159">
        <v>5.0</v>
      </c>
      <c r="W613" s="159">
        <v>5.0</v>
      </c>
      <c r="X613" s="161"/>
      <c r="Y613" s="161"/>
      <c r="Z613" s="161"/>
      <c r="AA613" s="161"/>
      <c r="AB613" s="161"/>
      <c r="AC613" s="159">
        <v>5.0</v>
      </c>
      <c r="AD613" s="159"/>
    </row>
    <row r="614">
      <c r="A614" s="162">
        <v>104676.0</v>
      </c>
      <c r="B614" s="163" t="s">
        <v>1499</v>
      </c>
      <c r="C614" s="164" t="s">
        <v>1500</v>
      </c>
      <c r="D614" s="165">
        <v>45481.0</v>
      </c>
      <c r="E614" s="164" t="s">
        <v>646</v>
      </c>
      <c r="F614" s="161"/>
      <c r="G614" s="161"/>
      <c r="H614" s="171"/>
      <c r="I614" s="171"/>
      <c r="J614" s="171"/>
      <c r="K614" s="171"/>
      <c r="L614" s="171"/>
      <c r="M614" s="171"/>
      <c r="N614" s="159">
        <v>4.5</v>
      </c>
      <c r="O614" s="159">
        <v>4.5</v>
      </c>
      <c r="P614" s="159">
        <v>4.5</v>
      </c>
      <c r="Q614" s="159">
        <v>5.0</v>
      </c>
      <c r="R614" s="159">
        <v>4.625</v>
      </c>
      <c r="S614" s="171"/>
      <c r="T614" s="171"/>
      <c r="U614" s="171"/>
      <c r="V614" s="171"/>
      <c r="W614" s="171"/>
      <c r="X614" s="161"/>
      <c r="Y614" s="161"/>
      <c r="Z614" s="161"/>
      <c r="AA614" s="161"/>
      <c r="AB614" s="161"/>
      <c r="AC614" s="159">
        <v>4.625</v>
      </c>
      <c r="AD614" s="171"/>
    </row>
    <row r="615">
      <c r="A615" s="162">
        <v>104688.0</v>
      </c>
      <c r="B615" s="163" t="s">
        <v>1501</v>
      </c>
      <c r="C615" s="164" t="s">
        <v>1502</v>
      </c>
      <c r="D615" s="165">
        <v>45484.0</v>
      </c>
      <c r="E615" s="164" t="s">
        <v>1503</v>
      </c>
      <c r="F615" s="161"/>
      <c r="G615" s="161"/>
      <c r="H615" s="159">
        <v>5.0</v>
      </c>
      <c r="I615" s="159">
        <v>5.0</v>
      </c>
      <c r="J615" s="159">
        <v>5.0</v>
      </c>
      <c r="K615" s="159">
        <v>5.0</v>
      </c>
      <c r="L615" s="159">
        <v>5.0</v>
      </c>
      <c r="M615" s="159">
        <v>5.0</v>
      </c>
      <c r="N615" s="159">
        <v>5.0</v>
      </c>
      <c r="O615" s="159">
        <v>5.0</v>
      </c>
      <c r="P615" s="159">
        <v>5.0</v>
      </c>
      <c r="Q615" s="159">
        <v>5.0</v>
      </c>
      <c r="R615" s="159">
        <v>5.0</v>
      </c>
      <c r="S615" s="159">
        <v>4.5</v>
      </c>
      <c r="T615" s="159">
        <v>4.5</v>
      </c>
      <c r="U615" s="159">
        <v>4.5</v>
      </c>
      <c r="V615" s="159">
        <v>4.5</v>
      </c>
      <c r="W615" s="159">
        <v>4.5</v>
      </c>
      <c r="X615" s="161"/>
      <c r="Y615" s="161"/>
      <c r="Z615" s="161"/>
      <c r="AA615" s="161"/>
      <c r="AB615" s="161"/>
      <c r="AC615" s="159">
        <v>4.833333333333333</v>
      </c>
      <c r="AD615" s="171"/>
    </row>
    <row r="616">
      <c r="A616" s="162">
        <v>104718.0</v>
      </c>
      <c r="B616" s="163" t="s">
        <v>1504</v>
      </c>
      <c r="C616" s="164" t="s">
        <v>1505</v>
      </c>
      <c r="D616" s="165">
        <v>45492.0</v>
      </c>
      <c r="E616" s="164" t="s">
        <v>1159</v>
      </c>
      <c r="F616" s="161"/>
      <c r="G616" s="161"/>
      <c r="H616" s="159">
        <v>5.0</v>
      </c>
      <c r="I616" s="159">
        <v>5.0</v>
      </c>
      <c r="J616" s="159">
        <v>5.0</v>
      </c>
      <c r="K616" s="159">
        <v>5.0</v>
      </c>
      <c r="L616" s="159">
        <v>5.0</v>
      </c>
      <c r="M616" s="159">
        <v>5.0</v>
      </c>
      <c r="N616" s="159">
        <v>5.0</v>
      </c>
      <c r="O616" s="159">
        <v>5.0</v>
      </c>
      <c r="P616" s="159">
        <v>5.0</v>
      </c>
      <c r="Q616" s="159">
        <v>5.0</v>
      </c>
      <c r="R616" s="159">
        <v>5.0</v>
      </c>
      <c r="S616" s="159">
        <v>4.5</v>
      </c>
      <c r="T616" s="159">
        <v>4.5</v>
      </c>
      <c r="U616" s="159">
        <v>4.5</v>
      </c>
      <c r="V616" s="159">
        <v>4.5</v>
      </c>
      <c r="W616" s="159">
        <v>4.5</v>
      </c>
      <c r="X616" s="161"/>
      <c r="Y616" s="161"/>
      <c r="Z616" s="161"/>
      <c r="AA616" s="161"/>
      <c r="AB616" s="161"/>
      <c r="AC616" s="159">
        <v>4.833333333333333</v>
      </c>
      <c r="AD616" s="171"/>
    </row>
    <row r="617">
      <c r="A617" s="162">
        <v>104654.0</v>
      </c>
      <c r="B617" s="163" t="s">
        <v>1506</v>
      </c>
      <c r="C617" s="164" t="s">
        <v>1507</v>
      </c>
      <c r="D617" s="165">
        <v>45492.0</v>
      </c>
      <c r="E617" s="164" t="s">
        <v>61</v>
      </c>
      <c r="F617" s="161"/>
      <c r="G617" s="161"/>
      <c r="H617" s="159">
        <v>5.0</v>
      </c>
      <c r="I617" s="159">
        <v>5.0</v>
      </c>
      <c r="J617" s="159">
        <v>5.0</v>
      </c>
      <c r="K617" s="159">
        <v>5.0</v>
      </c>
      <c r="L617" s="159">
        <v>5.0</v>
      </c>
      <c r="M617" s="159">
        <v>5.0</v>
      </c>
      <c r="N617" s="159">
        <v>5.0</v>
      </c>
      <c r="O617" s="159">
        <v>5.0</v>
      </c>
      <c r="P617" s="159">
        <v>5.0</v>
      </c>
      <c r="Q617" s="159">
        <v>5.0</v>
      </c>
      <c r="R617" s="159">
        <v>5.0</v>
      </c>
      <c r="S617" s="159">
        <v>4.5</v>
      </c>
      <c r="T617" s="159">
        <v>4.5</v>
      </c>
      <c r="U617" s="159">
        <v>4.5</v>
      </c>
      <c r="V617" s="159">
        <v>4.5</v>
      </c>
      <c r="W617" s="159">
        <v>4.5</v>
      </c>
      <c r="X617" s="161"/>
      <c r="Y617" s="161"/>
      <c r="Z617" s="161"/>
      <c r="AA617" s="161"/>
      <c r="AB617" s="161"/>
      <c r="AC617" s="159">
        <v>4.833333333333333</v>
      </c>
      <c r="AD617" s="171"/>
    </row>
    <row r="618">
      <c r="A618" s="162">
        <v>104592.0</v>
      </c>
      <c r="B618" s="163" t="s">
        <v>1508</v>
      </c>
      <c r="C618" s="164" t="s">
        <v>1509</v>
      </c>
      <c r="D618" s="165">
        <v>45492.0</v>
      </c>
      <c r="E618" s="164" t="s">
        <v>767</v>
      </c>
      <c r="F618" s="161"/>
      <c r="G618" s="161"/>
      <c r="H618" s="159">
        <v>5.0</v>
      </c>
      <c r="I618" s="159">
        <v>5.0</v>
      </c>
      <c r="J618" s="159">
        <v>5.0</v>
      </c>
      <c r="K618" s="159">
        <v>5.0</v>
      </c>
      <c r="L618" s="159">
        <v>5.0</v>
      </c>
      <c r="M618" s="159">
        <v>5.0</v>
      </c>
      <c r="N618" s="159">
        <v>5.0</v>
      </c>
      <c r="O618" s="159">
        <v>5.0</v>
      </c>
      <c r="P618" s="159">
        <v>5.0</v>
      </c>
      <c r="Q618" s="159">
        <v>5.0</v>
      </c>
      <c r="R618" s="159">
        <v>5.0</v>
      </c>
      <c r="S618" s="159">
        <v>4.5</v>
      </c>
      <c r="T618" s="159">
        <v>4.5</v>
      </c>
      <c r="U618" s="159">
        <v>4.5</v>
      </c>
      <c r="V618" s="159">
        <v>4.5</v>
      </c>
      <c r="W618" s="159">
        <v>4.5</v>
      </c>
      <c r="X618" s="161"/>
      <c r="Y618" s="161"/>
      <c r="Z618" s="161"/>
      <c r="AA618" s="161"/>
      <c r="AB618" s="161"/>
      <c r="AC618" s="159">
        <v>4.833333333333333</v>
      </c>
      <c r="AD618" s="171"/>
    </row>
    <row r="619">
      <c r="A619" s="162">
        <v>104709.0</v>
      </c>
      <c r="B619" s="163" t="s">
        <v>1510</v>
      </c>
      <c r="C619" s="164" t="s">
        <v>1511</v>
      </c>
      <c r="D619" s="165">
        <v>45492.0</v>
      </c>
      <c r="E619" s="164" t="s">
        <v>767</v>
      </c>
      <c r="F619" s="161"/>
      <c r="G619" s="161"/>
      <c r="H619" s="159">
        <v>5.0</v>
      </c>
      <c r="I619" s="159">
        <v>5.0</v>
      </c>
      <c r="J619" s="159">
        <v>5.0</v>
      </c>
      <c r="K619" s="159">
        <v>5.0</v>
      </c>
      <c r="L619" s="159">
        <v>5.0</v>
      </c>
      <c r="M619" s="159">
        <v>5.0</v>
      </c>
      <c r="N619" s="159">
        <v>5.0</v>
      </c>
      <c r="O619" s="159">
        <v>5.0</v>
      </c>
      <c r="P619" s="159">
        <v>5.0</v>
      </c>
      <c r="Q619" s="159">
        <v>5.0</v>
      </c>
      <c r="R619" s="159">
        <v>5.0</v>
      </c>
      <c r="S619" s="159">
        <v>4.5</v>
      </c>
      <c r="T619" s="159">
        <v>4.5</v>
      </c>
      <c r="U619" s="159">
        <v>4.5</v>
      </c>
      <c r="V619" s="159">
        <v>4.5</v>
      </c>
      <c r="W619" s="159">
        <v>4.5</v>
      </c>
      <c r="X619" s="161"/>
      <c r="Y619" s="161"/>
      <c r="Z619" s="161"/>
      <c r="AA619" s="161"/>
      <c r="AB619" s="161"/>
      <c r="AC619" s="159">
        <v>4.833333333333333</v>
      </c>
      <c r="AD619" s="171"/>
    </row>
    <row r="620">
      <c r="A620" s="162">
        <v>104622.0</v>
      </c>
      <c r="B620" s="163" t="s">
        <v>1512</v>
      </c>
      <c r="C620" s="164" t="s">
        <v>1513</v>
      </c>
      <c r="D620" s="165">
        <v>45493.0</v>
      </c>
      <c r="E620" s="164" t="s">
        <v>295</v>
      </c>
      <c r="F620" s="161"/>
      <c r="G620" s="161"/>
      <c r="H620" s="159">
        <v>5.0</v>
      </c>
      <c r="I620" s="159">
        <v>5.0</v>
      </c>
      <c r="J620" s="159">
        <v>5.0</v>
      </c>
      <c r="K620" s="159">
        <v>5.0</v>
      </c>
      <c r="L620" s="159">
        <v>5.0</v>
      </c>
      <c r="M620" s="159">
        <v>5.0</v>
      </c>
      <c r="N620" s="159">
        <v>5.0</v>
      </c>
      <c r="O620" s="159">
        <v>5.0</v>
      </c>
      <c r="P620" s="159">
        <v>4.0</v>
      </c>
      <c r="Q620" s="159">
        <v>5.0</v>
      </c>
      <c r="R620" s="159">
        <v>4.75</v>
      </c>
      <c r="S620" s="159">
        <v>4.5</v>
      </c>
      <c r="T620" s="159">
        <v>4.5</v>
      </c>
      <c r="U620" s="159">
        <v>3.0</v>
      </c>
      <c r="V620" s="159">
        <v>4.0</v>
      </c>
      <c r="W620" s="159">
        <v>4.0</v>
      </c>
      <c r="X620" s="161"/>
      <c r="Y620" s="161"/>
      <c r="Z620" s="161"/>
      <c r="AA620" s="161"/>
      <c r="AB620" s="161"/>
      <c r="AC620" s="159">
        <v>4.583333333333333</v>
      </c>
      <c r="AD620" s="171"/>
    </row>
    <row r="621">
      <c r="A621" s="162">
        <v>104574.0</v>
      </c>
      <c r="B621" s="163" t="s">
        <v>1514</v>
      </c>
      <c r="C621" s="164" t="s">
        <v>1515</v>
      </c>
      <c r="D621" s="165">
        <v>45495.0</v>
      </c>
      <c r="E621" s="164" t="s">
        <v>1516</v>
      </c>
      <c r="F621" s="161"/>
      <c r="G621" s="161"/>
      <c r="H621" s="159">
        <v>4.0</v>
      </c>
      <c r="I621" s="159">
        <v>4.0</v>
      </c>
      <c r="J621" s="159">
        <v>4.0</v>
      </c>
      <c r="K621" s="159">
        <v>4.0</v>
      </c>
      <c r="L621" s="159">
        <v>4.0</v>
      </c>
      <c r="M621" s="159">
        <v>4.0</v>
      </c>
      <c r="N621" s="159">
        <v>3.5</v>
      </c>
      <c r="O621" s="159">
        <v>4.0</v>
      </c>
      <c r="P621" s="159">
        <v>3.5</v>
      </c>
      <c r="Q621" s="159">
        <v>4.0</v>
      </c>
      <c r="R621" s="159">
        <v>3.75</v>
      </c>
      <c r="S621" s="159">
        <v>4.0</v>
      </c>
      <c r="T621" s="159">
        <v>4.0</v>
      </c>
      <c r="U621" s="159">
        <v>4.0</v>
      </c>
      <c r="V621" s="159">
        <v>4.0</v>
      </c>
      <c r="W621" s="159">
        <v>4.0</v>
      </c>
      <c r="X621" s="161"/>
      <c r="Y621" s="161"/>
      <c r="Z621" s="161"/>
      <c r="AA621" s="161"/>
      <c r="AB621" s="161"/>
      <c r="AC621" s="159">
        <v>3.9166666666666665</v>
      </c>
      <c r="AD621" s="171"/>
    </row>
    <row r="622">
      <c r="A622" s="162">
        <v>104222.0</v>
      </c>
      <c r="B622" s="163" t="s">
        <v>1517</v>
      </c>
      <c r="C622" s="164" t="s">
        <v>1518</v>
      </c>
      <c r="D622" s="165">
        <v>45503.0</v>
      </c>
      <c r="E622" s="164" t="s">
        <v>1519</v>
      </c>
      <c r="F622" s="161"/>
      <c r="G622" s="161"/>
      <c r="H622" s="171"/>
      <c r="I622" s="171"/>
      <c r="J622" s="171"/>
      <c r="K622" s="171"/>
      <c r="L622" s="171"/>
      <c r="M622" s="171"/>
      <c r="N622" s="159">
        <v>4.0</v>
      </c>
      <c r="O622" s="159">
        <v>4.0</v>
      </c>
      <c r="P622" s="159">
        <v>4.0</v>
      </c>
      <c r="Q622" s="159">
        <v>4.0</v>
      </c>
      <c r="R622" s="159">
        <v>4.0</v>
      </c>
      <c r="S622" s="171"/>
      <c r="T622" s="171"/>
      <c r="U622" s="171"/>
      <c r="V622" s="171"/>
      <c r="W622" s="171"/>
      <c r="X622" s="161"/>
      <c r="Y622" s="161"/>
      <c r="Z622" s="161"/>
      <c r="AA622" s="161"/>
      <c r="AB622" s="161"/>
      <c r="AC622" s="159">
        <v>4.0</v>
      </c>
      <c r="AD622" s="171"/>
    </row>
    <row r="623">
      <c r="A623" s="162">
        <v>104822.0</v>
      </c>
      <c r="B623" s="163" t="s">
        <v>1520</v>
      </c>
      <c r="C623" s="164" t="s">
        <v>1521</v>
      </c>
      <c r="D623" s="165">
        <v>45505.0</v>
      </c>
      <c r="E623" s="164" t="s">
        <v>1140</v>
      </c>
      <c r="F623" s="161"/>
      <c r="G623" s="161"/>
      <c r="H623" s="159">
        <v>5.0</v>
      </c>
      <c r="I623" s="159">
        <v>5.0</v>
      </c>
      <c r="J623" s="159">
        <v>5.0</v>
      </c>
      <c r="K623" s="159">
        <v>5.0</v>
      </c>
      <c r="L623" s="159">
        <v>5.0</v>
      </c>
      <c r="M623" s="159">
        <v>5.0</v>
      </c>
      <c r="N623" s="159">
        <v>5.0</v>
      </c>
      <c r="O623" s="159">
        <v>5.0</v>
      </c>
      <c r="P623" s="159">
        <v>5.0</v>
      </c>
      <c r="Q623" s="159">
        <v>5.0</v>
      </c>
      <c r="R623" s="159">
        <v>5.0</v>
      </c>
      <c r="S623" s="159">
        <v>4.5</v>
      </c>
      <c r="T623" s="159">
        <v>4.5</v>
      </c>
      <c r="U623" s="159">
        <v>4.5</v>
      </c>
      <c r="V623" s="159">
        <v>4.5</v>
      </c>
      <c r="W623" s="159">
        <v>4.5</v>
      </c>
      <c r="X623" s="161"/>
      <c r="Y623" s="161"/>
      <c r="Z623" s="161"/>
      <c r="AA623" s="161"/>
      <c r="AB623" s="161"/>
      <c r="AC623" s="159">
        <v>4.833333333333333</v>
      </c>
      <c r="AD623" s="171"/>
    </row>
    <row r="624">
      <c r="A624" s="162">
        <v>104796.0</v>
      </c>
      <c r="B624" s="163" t="s">
        <v>1522</v>
      </c>
      <c r="C624" s="164" t="s">
        <v>1523</v>
      </c>
      <c r="D624" s="165">
        <v>45509.0</v>
      </c>
      <c r="E624" s="164" t="s">
        <v>1159</v>
      </c>
      <c r="F624" s="161"/>
      <c r="G624" s="161"/>
      <c r="H624" s="159">
        <v>5.0</v>
      </c>
      <c r="I624" s="159">
        <v>5.0</v>
      </c>
      <c r="J624" s="159">
        <v>5.0</v>
      </c>
      <c r="K624" s="159">
        <v>5.0</v>
      </c>
      <c r="L624" s="159">
        <v>5.0</v>
      </c>
      <c r="M624" s="159">
        <v>5.0</v>
      </c>
      <c r="N624" s="159">
        <v>5.0</v>
      </c>
      <c r="O624" s="159">
        <v>5.0</v>
      </c>
      <c r="P624" s="159">
        <v>4.0</v>
      </c>
      <c r="Q624" s="159">
        <v>5.0</v>
      </c>
      <c r="R624" s="159">
        <v>4.75</v>
      </c>
      <c r="S624" s="159">
        <v>4.5</v>
      </c>
      <c r="T624" s="159">
        <v>4.5</v>
      </c>
      <c r="U624" s="159">
        <v>4.5</v>
      </c>
      <c r="V624" s="159">
        <v>4.5</v>
      </c>
      <c r="W624" s="159">
        <v>4.5</v>
      </c>
      <c r="X624" s="161"/>
      <c r="Y624" s="161"/>
      <c r="Z624" s="161"/>
      <c r="AA624" s="161"/>
      <c r="AB624" s="161"/>
      <c r="AC624" s="159">
        <v>4.75</v>
      </c>
      <c r="AD624" s="171"/>
    </row>
    <row r="625">
      <c r="A625" s="162">
        <v>104621.0</v>
      </c>
      <c r="B625" s="163" t="s">
        <v>1524</v>
      </c>
      <c r="C625" s="164" t="s">
        <v>1525</v>
      </c>
      <c r="D625" s="165">
        <v>45510.0</v>
      </c>
      <c r="E625" s="164" t="s">
        <v>295</v>
      </c>
      <c r="F625" s="161"/>
      <c r="G625" s="161"/>
      <c r="H625" s="159">
        <v>5.0</v>
      </c>
      <c r="I625" s="159">
        <v>5.0</v>
      </c>
      <c r="J625" s="159">
        <v>5.0</v>
      </c>
      <c r="K625" s="159">
        <v>5.0</v>
      </c>
      <c r="L625" s="159">
        <v>5.0</v>
      </c>
      <c r="M625" s="159">
        <v>5.0</v>
      </c>
      <c r="N625" s="159">
        <v>5.0</v>
      </c>
      <c r="O625" s="159">
        <v>5.0</v>
      </c>
      <c r="P625" s="159">
        <v>5.0</v>
      </c>
      <c r="Q625" s="159">
        <v>5.0</v>
      </c>
      <c r="R625" s="159">
        <v>5.0</v>
      </c>
      <c r="S625" s="159">
        <v>4.5</v>
      </c>
      <c r="T625" s="159">
        <v>4.5</v>
      </c>
      <c r="U625" s="159">
        <v>4.5</v>
      </c>
      <c r="V625" s="159">
        <v>4.5</v>
      </c>
      <c r="W625" s="159">
        <v>4.5</v>
      </c>
      <c r="X625" s="161"/>
      <c r="Y625" s="161"/>
      <c r="Z625" s="161"/>
      <c r="AA625" s="161"/>
      <c r="AB625" s="161"/>
      <c r="AC625" s="159">
        <v>4.833333333333333</v>
      </c>
      <c r="AD625" s="171"/>
    </row>
    <row r="626">
      <c r="A626" s="162">
        <v>104711.0</v>
      </c>
      <c r="B626" s="163" t="s">
        <v>1526</v>
      </c>
      <c r="C626" s="164" t="s">
        <v>1527</v>
      </c>
      <c r="D626" s="165">
        <v>45510.0</v>
      </c>
      <c r="E626" s="164" t="s">
        <v>767</v>
      </c>
      <c r="F626" s="161"/>
      <c r="G626" s="161"/>
      <c r="H626" s="159">
        <v>5.0</v>
      </c>
      <c r="I626" s="159">
        <v>5.0</v>
      </c>
      <c r="J626" s="159">
        <v>5.0</v>
      </c>
      <c r="K626" s="159">
        <v>5.0</v>
      </c>
      <c r="L626" s="159">
        <v>5.0</v>
      </c>
      <c r="M626" s="159">
        <v>5.0</v>
      </c>
      <c r="N626" s="159">
        <v>5.0</v>
      </c>
      <c r="O626" s="159">
        <v>5.0</v>
      </c>
      <c r="P626" s="159">
        <v>5.0</v>
      </c>
      <c r="Q626" s="159">
        <v>5.0</v>
      </c>
      <c r="R626" s="159">
        <v>5.0</v>
      </c>
      <c r="S626" s="159">
        <v>4.5</v>
      </c>
      <c r="T626" s="159">
        <v>4.5</v>
      </c>
      <c r="U626" s="159">
        <v>4.5</v>
      </c>
      <c r="V626" s="159">
        <v>4.5</v>
      </c>
      <c r="W626" s="159">
        <v>4.5</v>
      </c>
      <c r="X626" s="161"/>
      <c r="Y626" s="161"/>
      <c r="Z626" s="161"/>
      <c r="AA626" s="161"/>
      <c r="AB626" s="161"/>
      <c r="AC626" s="159">
        <v>4.833333333333333</v>
      </c>
      <c r="AD626" s="171"/>
    </row>
    <row r="627">
      <c r="A627" s="162">
        <v>104785.0</v>
      </c>
      <c r="B627" s="163" t="s">
        <v>1528</v>
      </c>
      <c r="C627" s="164" t="s">
        <v>1529</v>
      </c>
      <c r="D627" s="165">
        <v>45512.0</v>
      </c>
      <c r="E627" s="164" t="s">
        <v>360</v>
      </c>
      <c r="F627" s="161"/>
      <c r="G627" s="161"/>
      <c r="H627" s="159">
        <v>5.0</v>
      </c>
      <c r="I627" s="159">
        <v>5.0</v>
      </c>
      <c r="J627" s="159">
        <v>5.0</v>
      </c>
      <c r="K627" s="159">
        <v>5.0</v>
      </c>
      <c r="L627" s="159">
        <v>5.0</v>
      </c>
      <c r="M627" s="159">
        <v>5.0</v>
      </c>
      <c r="N627" s="159">
        <v>5.0</v>
      </c>
      <c r="O627" s="159">
        <v>5.0</v>
      </c>
      <c r="P627" s="159">
        <v>4.0</v>
      </c>
      <c r="Q627" s="159">
        <v>5.0</v>
      </c>
      <c r="R627" s="159">
        <v>4.75</v>
      </c>
      <c r="S627" s="159">
        <v>4.5</v>
      </c>
      <c r="T627" s="159">
        <v>4.5</v>
      </c>
      <c r="U627" s="159">
        <v>4.5</v>
      </c>
      <c r="V627" s="159">
        <v>4.5</v>
      </c>
      <c r="W627" s="159">
        <v>4.5</v>
      </c>
      <c r="X627" s="161"/>
      <c r="Y627" s="161"/>
      <c r="Z627" s="161"/>
      <c r="AA627" s="161"/>
      <c r="AB627" s="161"/>
      <c r="AC627" s="159">
        <v>4.75</v>
      </c>
      <c r="AD627" s="171"/>
    </row>
    <row r="628">
      <c r="A628" s="162">
        <v>104797.0</v>
      </c>
      <c r="B628" s="163" t="s">
        <v>1530</v>
      </c>
      <c r="C628" s="164" t="s">
        <v>1531</v>
      </c>
      <c r="D628" s="165">
        <v>45513.0</v>
      </c>
      <c r="E628" s="164" t="s">
        <v>1159</v>
      </c>
      <c r="F628" s="161"/>
      <c r="G628" s="161"/>
      <c r="H628" s="159">
        <v>5.0</v>
      </c>
      <c r="I628" s="159">
        <v>5.0</v>
      </c>
      <c r="J628" s="159">
        <v>5.0</v>
      </c>
      <c r="K628" s="159">
        <v>5.0</v>
      </c>
      <c r="L628" s="159">
        <v>5.0</v>
      </c>
      <c r="M628" s="159">
        <v>5.0</v>
      </c>
      <c r="N628" s="159">
        <v>5.0</v>
      </c>
      <c r="O628" s="159">
        <v>5.0</v>
      </c>
      <c r="P628" s="159">
        <v>4.0</v>
      </c>
      <c r="Q628" s="159">
        <v>5.0</v>
      </c>
      <c r="R628" s="159">
        <v>4.75</v>
      </c>
      <c r="S628" s="159">
        <v>4.5</v>
      </c>
      <c r="T628" s="159">
        <v>4.5</v>
      </c>
      <c r="U628" s="159">
        <v>4.5</v>
      </c>
      <c r="V628" s="159">
        <v>4.5</v>
      </c>
      <c r="W628" s="159">
        <v>4.5</v>
      </c>
      <c r="X628" s="161"/>
      <c r="Y628" s="161"/>
      <c r="Z628" s="161"/>
      <c r="AA628" s="161"/>
      <c r="AB628" s="161"/>
      <c r="AC628" s="159">
        <v>4.75</v>
      </c>
      <c r="AD628" s="171"/>
    </row>
    <row r="629">
      <c r="A629" s="162">
        <v>104829.0</v>
      </c>
      <c r="B629" s="163" t="s">
        <v>1532</v>
      </c>
      <c r="C629" s="164" t="s">
        <v>1533</v>
      </c>
      <c r="D629" s="165">
        <v>45514.0</v>
      </c>
      <c r="E629" s="164" t="s">
        <v>340</v>
      </c>
      <c r="F629" s="161"/>
      <c r="G629" s="161"/>
      <c r="H629" s="159">
        <v>5.0</v>
      </c>
      <c r="I629" s="159">
        <v>5.0</v>
      </c>
      <c r="J629" s="159">
        <v>5.0</v>
      </c>
      <c r="K629" s="159">
        <v>5.0</v>
      </c>
      <c r="L629" s="159">
        <v>5.0</v>
      </c>
      <c r="M629" s="159">
        <v>5.0</v>
      </c>
      <c r="N629" s="159">
        <v>5.0</v>
      </c>
      <c r="O629" s="159">
        <v>5.0</v>
      </c>
      <c r="P629" s="159">
        <v>5.0</v>
      </c>
      <c r="Q629" s="159">
        <v>5.0</v>
      </c>
      <c r="R629" s="159">
        <v>5.0</v>
      </c>
      <c r="S629" s="159">
        <v>4.5</v>
      </c>
      <c r="T629" s="159">
        <v>4.5</v>
      </c>
      <c r="U629" s="159">
        <v>4.5</v>
      </c>
      <c r="V629" s="159">
        <v>4.5</v>
      </c>
      <c r="W629" s="159">
        <v>4.5</v>
      </c>
      <c r="X629" s="161"/>
      <c r="Y629" s="161"/>
      <c r="Z629" s="161"/>
      <c r="AA629" s="161"/>
      <c r="AB629" s="161"/>
      <c r="AC629" s="159">
        <v>4.833333333333333</v>
      </c>
      <c r="AD629" s="171"/>
    </row>
    <row r="630">
      <c r="A630" s="162">
        <v>104842.0</v>
      </c>
      <c r="B630" s="163" t="s">
        <v>1534</v>
      </c>
      <c r="C630" s="164" t="s">
        <v>1535</v>
      </c>
      <c r="D630" s="165">
        <v>45514.0</v>
      </c>
      <c r="E630" s="164" t="s">
        <v>380</v>
      </c>
      <c r="F630" s="161"/>
      <c r="G630" s="161"/>
      <c r="H630" s="159">
        <v>5.0</v>
      </c>
      <c r="I630" s="159">
        <v>5.0</v>
      </c>
      <c r="J630" s="159">
        <v>5.0</v>
      </c>
      <c r="K630" s="159">
        <v>5.0</v>
      </c>
      <c r="L630" s="159">
        <v>5.0</v>
      </c>
      <c r="M630" s="159">
        <v>5.0</v>
      </c>
      <c r="N630" s="159">
        <v>5.0</v>
      </c>
      <c r="O630" s="159">
        <v>5.0</v>
      </c>
      <c r="P630" s="159">
        <v>5.0</v>
      </c>
      <c r="Q630" s="159">
        <v>5.0</v>
      </c>
      <c r="R630" s="159">
        <v>5.0</v>
      </c>
      <c r="S630" s="159">
        <v>4.5</v>
      </c>
      <c r="T630" s="159">
        <v>4.5</v>
      </c>
      <c r="U630" s="159">
        <v>4.5</v>
      </c>
      <c r="V630" s="159">
        <v>4.5</v>
      </c>
      <c r="W630" s="159">
        <v>4.5</v>
      </c>
      <c r="X630" s="161"/>
      <c r="Y630" s="161"/>
      <c r="Z630" s="161"/>
      <c r="AA630" s="161"/>
      <c r="AB630" s="161"/>
      <c r="AC630" s="159">
        <v>4.833333333333333</v>
      </c>
      <c r="AD630" s="171"/>
    </row>
    <row r="631">
      <c r="A631" s="162">
        <v>104804.0</v>
      </c>
      <c r="B631" s="163" t="s">
        <v>1536</v>
      </c>
      <c r="C631" s="164" t="s">
        <v>1537</v>
      </c>
      <c r="D631" s="165">
        <v>45516.0</v>
      </c>
      <c r="E631" s="164" t="s">
        <v>1159</v>
      </c>
      <c r="F631" s="161"/>
      <c r="G631" s="161"/>
      <c r="H631" s="159">
        <v>5.0</v>
      </c>
      <c r="I631" s="159">
        <v>5.0</v>
      </c>
      <c r="J631" s="159">
        <v>5.0</v>
      </c>
      <c r="K631" s="159">
        <v>5.0</v>
      </c>
      <c r="L631" s="159">
        <v>5.0</v>
      </c>
      <c r="M631" s="159">
        <v>5.0</v>
      </c>
      <c r="N631" s="159">
        <v>5.0</v>
      </c>
      <c r="O631" s="159">
        <v>5.0</v>
      </c>
      <c r="P631" s="159">
        <v>4.0</v>
      </c>
      <c r="Q631" s="159">
        <v>5.0</v>
      </c>
      <c r="R631" s="159">
        <v>4.75</v>
      </c>
      <c r="S631" s="159">
        <v>4.5</v>
      </c>
      <c r="T631" s="159">
        <v>4.5</v>
      </c>
      <c r="U631" s="159">
        <v>4.5</v>
      </c>
      <c r="V631" s="159">
        <v>4.5</v>
      </c>
      <c r="W631" s="159">
        <v>4.5</v>
      </c>
      <c r="X631" s="161"/>
      <c r="Y631" s="161"/>
      <c r="Z631" s="161"/>
      <c r="AA631" s="161"/>
      <c r="AB631" s="161"/>
      <c r="AC631" s="159">
        <v>4.75</v>
      </c>
      <c r="AD631" s="171"/>
    </row>
    <row r="632">
      <c r="A632" s="162">
        <v>104804.0</v>
      </c>
      <c r="B632" s="163" t="s">
        <v>1538</v>
      </c>
      <c r="C632" s="164" t="s">
        <v>1537</v>
      </c>
      <c r="D632" s="165">
        <v>45516.0</v>
      </c>
      <c r="E632" s="164" t="s">
        <v>360</v>
      </c>
      <c r="F632" s="161"/>
      <c r="G632" s="161"/>
      <c r="H632" s="159">
        <v>5.0</v>
      </c>
      <c r="I632" s="159">
        <v>5.0</v>
      </c>
      <c r="J632" s="159">
        <v>5.0</v>
      </c>
      <c r="K632" s="159">
        <v>5.0</v>
      </c>
      <c r="L632" s="159">
        <v>5.0</v>
      </c>
      <c r="M632" s="159">
        <v>5.0</v>
      </c>
      <c r="N632" s="159">
        <v>5.0</v>
      </c>
      <c r="O632" s="159">
        <v>5.0</v>
      </c>
      <c r="P632" s="159">
        <v>4.0</v>
      </c>
      <c r="Q632" s="159">
        <v>5.0</v>
      </c>
      <c r="R632" s="159">
        <v>4.75</v>
      </c>
      <c r="S632" s="159">
        <v>4.5</v>
      </c>
      <c r="T632" s="159">
        <v>4.5</v>
      </c>
      <c r="U632" s="159">
        <v>4.5</v>
      </c>
      <c r="V632" s="159">
        <v>4.5</v>
      </c>
      <c r="W632" s="159">
        <v>4.5</v>
      </c>
      <c r="X632" s="161"/>
      <c r="Y632" s="161"/>
      <c r="Z632" s="161"/>
      <c r="AA632" s="161"/>
      <c r="AB632" s="161"/>
      <c r="AC632" s="159">
        <v>4.75</v>
      </c>
      <c r="AD632" s="171"/>
    </row>
    <row r="633">
      <c r="A633" s="162">
        <v>104799.0</v>
      </c>
      <c r="B633" s="163" t="s">
        <v>1539</v>
      </c>
      <c r="C633" s="164" t="s">
        <v>1540</v>
      </c>
      <c r="D633" s="165">
        <v>45516.0</v>
      </c>
      <c r="E633" s="164" t="s">
        <v>1159</v>
      </c>
      <c r="F633" s="161"/>
      <c r="G633" s="161"/>
      <c r="H633" s="159">
        <v>5.0</v>
      </c>
      <c r="I633" s="159">
        <v>5.0</v>
      </c>
      <c r="J633" s="159">
        <v>5.0</v>
      </c>
      <c r="K633" s="159">
        <v>5.0</v>
      </c>
      <c r="L633" s="159">
        <v>5.0</v>
      </c>
      <c r="M633" s="159">
        <v>5.0</v>
      </c>
      <c r="N633" s="159">
        <v>5.0</v>
      </c>
      <c r="O633" s="159">
        <v>5.0</v>
      </c>
      <c r="P633" s="159">
        <v>4.0</v>
      </c>
      <c r="Q633" s="159">
        <v>5.0</v>
      </c>
      <c r="R633" s="159">
        <v>4.75</v>
      </c>
      <c r="S633" s="159">
        <v>4.5</v>
      </c>
      <c r="T633" s="159">
        <v>4.5</v>
      </c>
      <c r="U633" s="159">
        <v>4.5</v>
      </c>
      <c r="V633" s="159">
        <v>4.5</v>
      </c>
      <c r="W633" s="159">
        <v>4.5</v>
      </c>
      <c r="X633" s="161"/>
      <c r="Y633" s="161"/>
      <c r="Z633" s="161"/>
      <c r="AA633" s="161"/>
      <c r="AB633" s="161"/>
      <c r="AC633" s="159">
        <v>4.75</v>
      </c>
      <c r="AD633" s="171"/>
    </row>
    <row r="634">
      <c r="A634" s="162">
        <v>104837.0</v>
      </c>
      <c r="B634" s="163" t="s">
        <v>1541</v>
      </c>
      <c r="C634" s="164" t="s">
        <v>1542</v>
      </c>
      <c r="D634" s="165">
        <v>45517.0</v>
      </c>
      <c r="E634" s="164" t="s">
        <v>209</v>
      </c>
      <c r="F634" s="161"/>
      <c r="G634" s="161"/>
      <c r="H634" s="159">
        <v>5.0</v>
      </c>
      <c r="I634" s="159">
        <v>5.0</v>
      </c>
      <c r="J634" s="159">
        <v>5.0</v>
      </c>
      <c r="K634" s="159">
        <v>5.0</v>
      </c>
      <c r="L634" s="159">
        <v>5.0</v>
      </c>
      <c r="M634" s="159">
        <v>5.0</v>
      </c>
      <c r="N634" s="159">
        <v>5.0</v>
      </c>
      <c r="O634" s="159">
        <v>5.0</v>
      </c>
      <c r="P634" s="159">
        <v>5.0</v>
      </c>
      <c r="Q634" s="159">
        <v>5.0</v>
      </c>
      <c r="R634" s="159">
        <v>5.0</v>
      </c>
      <c r="S634" s="159">
        <v>4.5</v>
      </c>
      <c r="T634" s="159">
        <v>4.5</v>
      </c>
      <c r="U634" s="159">
        <v>4.5</v>
      </c>
      <c r="V634" s="159">
        <v>4.5</v>
      </c>
      <c r="W634" s="159">
        <v>4.5</v>
      </c>
      <c r="X634" s="161"/>
      <c r="Y634" s="161"/>
      <c r="Z634" s="161"/>
      <c r="AA634" s="161"/>
      <c r="AB634" s="161"/>
      <c r="AC634" s="159">
        <v>4.833333333333333</v>
      </c>
      <c r="AD634" s="171"/>
    </row>
    <row r="635">
      <c r="A635" s="162">
        <v>104843.0</v>
      </c>
      <c r="B635" s="163" t="s">
        <v>1543</v>
      </c>
      <c r="C635" s="164" t="s">
        <v>1544</v>
      </c>
      <c r="D635" s="165">
        <v>45517.0</v>
      </c>
      <c r="E635" s="164" t="s">
        <v>557</v>
      </c>
      <c r="F635" s="161"/>
      <c r="G635" s="161"/>
      <c r="H635" s="159">
        <v>5.0</v>
      </c>
      <c r="I635" s="159">
        <v>5.0</v>
      </c>
      <c r="J635" s="159">
        <v>5.0</v>
      </c>
      <c r="K635" s="159">
        <v>5.0</v>
      </c>
      <c r="L635" s="159">
        <v>5.0</v>
      </c>
      <c r="M635" s="159">
        <v>5.0</v>
      </c>
      <c r="N635" s="159">
        <v>5.0</v>
      </c>
      <c r="O635" s="159">
        <v>4.5</v>
      </c>
      <c r="P635" s="159">
        <v>5.0</v>
      </c>
      <c r="Q635" s="159">
        <v>5.0</v>
      </c>
      <c r="R635" s="159">
        <v>4.875</v>
      </c>
      <c r="S635" s="159">
        <v>4.5</v>
      </c>
      <c r="T635" s="159">
        <v>4.5</v>
      </c>
      <c r="U635" s="159">
        <v>4.5</v>
      </c>
      <c r="V635" s="159">
        <v>4.5</v>
      </c>
      <c r="W635" s="159">
        <v>4.5</v>
      </c>
      <c r="X635" s="161"/>
      <c r="Y635" s="161"/>
      <c r="Z635" s="161"/>
      <c r="AA635" s="161"/>
      <c r="AB635" s="161"/>
      <c r="AC635" s="159">
        <v>4.791666666666667</v>
      </c>
      <c r="AD635" s="171"/>
    </row>
    <row r="636">
      <c r="A636" s="162">
        <v>104807.0</v>
      </c>
      <c r="B636" s="163" t="s">
        <v>1545</v>
      </c>
      <c r="C636" s="164" t="s">
        <v>1546</v>
      </c>
      <c r="D636" s="165">
        <v>45517.0</v>
      </c>
      <c r="E636" s="164" t="s">
        <v>1547</v>
      </c>
      <c r="F636" s="161"/>
      <c r="G636" s="161"/>
      <c r="H636" s="159">
        <v>5.0</v>
      </c>
      <c r="I636" s="159">
        <v>5.0</v>
      </c>
      <c r="J636" s="159">
        <v>5.0</v>
      </c>
      <c r="K636" s="159">
        <v>5.0</v>
      </c>
      <c r="L636" s="159">
        <v>5.0</v>
      </c>
      <c r="M636" s="159">
        <v>5.0</v>
      </c>
      <c r="N636" s="159">
        <v>5.0</v>
      </c>
      <c r="O636" s="159">
        <v>5.0</v>
      </c>
      <c r="P636" s="159">
        <v>5.0</v>
      </c>
      <c r="Q636" s="159">
        <v>5.0</v>
      </c>
      <c r="R636" s="159">
        <v>5.0</v>
      </c>
      <c r="S636" s="159">
        <v>4.5</v>
      </c>
      <c r="T636" s="159">
        <v>4.5</v>
      </c>
      <c r="U636" s="159">
        <v>4.5</v>
      </c>
      <c r="V636" s="159">
        <v>4.5</v>
      </c>
      <c r="W636" s="159">
        <v>4.5</v>
      </c>
      <c r="X636" s="161"/>
      <c r="Y636" s="161"/>
      <c r="Z636" s="161"/>
      <c r="AA636" s="161"/>
      <c r="AB636" s="161"/>
      <c r="AC636" s="159">
        <v>4.833333333333333</v>
      </c>
      <c r="AD636" s="171"/>
    </row>
    <row r="637">
      <c r="A637" s="162">
        <v>104830.0</v>
      </c>
      <c r="B637" s="163" t="s">
        <v>1548</v>
      </c>
      <c r="C637" s="164" t="s">
        <v>1549</v>
      </c>
      <c r="D637" s="165">
        <v>45521.0</v>
      </c>
      <c r="E637" s="164" t="s">
        <v>295</v>
      </c>
      <c r="F637" s="161"/>
      <c r="G637" s="161"/>
      <c r="H637" s="159">
        <v>5.0</v>
      </c>
      <c r="I637" s="159">
        <v>5.0</v>
      </c>
      <c r="J637" s="159">
        <v>5.0</v>
      </c>
      <c r="K637" s="159">
        <v>5.0</v>
      </c>
      <c r="L637" s="159">
        <v>5.0</v>
      </c>
      <c r="M637" s="159">
        <v>5.0</v>
      </c>
      <c r="N637" s="159">
        <v>4.0</v>
      </c>
      <c r="O637" s="159">
        <v>5.0</v>
      </c>
      <c r="P637" s="159">
        <v>4.0</v>
      </c>
      <c r="Q637" s="159">
        <v>5.0</v>
      </c>
      <c r="R637" s="159">
        <v>4.5</v>
      </c>
      <c r="S637" s="159">
        <v>4.5</v>
      </c>
      <c r="T637" s="159">
        <v>4.5</v>
      </c>
      <c r="U637" s="159">
        <v>4.5</v>
      </c>
      <c r="V637" s="159">
        <v>4.5</v>
      </c>
      <c r="W637" s="159">
        <v>4.5</v>
      </c>
      <c r="X637" s="161"/>
      <c r="Y637" s="161"/>
      <c r="Z637" s="161"/>
      <c r="AA637" s="161"/>
      <c r="AB637" s="161"/>
      <c r="AC637" s="159">
        <v>4.666666666666667</v>
      </c>
      <c r="AD637" s="171"/>
    </row>
    <row r="638">
      <c r="A638" s="162">
        <v>104895.0</v>
      </c>
      <c r="B638" s="163" t="s">
        <v>1550</v>
      </c>
      <c r="C638" s="164" t="s">
        <v>1551</v>
      </c>
      <c r="D638" s="165">
        <v>45523.0</v>
      </c>
      <c r="E638" s="164" t="s">
        <v>1140</v>
      </c>
      <c r="F638" s="161"/>
      <c r="G638" s="161"/>
      <c r="H638" s="159">
        <v>5.0</v>
      </c>
      <c r="I638" s="159">
        <v>5.0</v>
      </c>
      <c r="J638" s="159">
        <v>5.0</v>
      </c>
      <c r="K638" s="159">
        <v>5.0</v>
      </c>
      <c r="L638" s="159">
        <v>5.0</v>
      </c>
      <c r="M638" s="159">
        <v>5.0</v>
      </c>
      <c r="N638" s="159">
        <v>5.0</v>
      </c>
      <c r="O638" s="159">
        <v>5.0</v>
      </c>
      <c r="P638" s="159">
        <v>5.0</v>
      </c>
      <c r="Q638" s="159">
        <v>5.0</v>
      </c>
      <c r="R638" s="159">
        <v>5.0</v>
      </c>
      <c r="S638" s="159">
        <v>4.5</v>
      </c>
      <c r="T638" s="159">
        <v>4.5</v>
      </c>
      <c r="U638" s="159">
        <v>4.5</v>
      </c>
      <c r="V638" s="159">
        <v>4.5</v>
      </c>
      <c r="W638" s="159">
        <v>4.5</v>
      </c>
      <c r="X638" s="161"/>
      <c r="Y638" s="161"/>
      <c r="Z638" s="161"/>
      <c r="AA638" s="161"/>
      <c r="AB638" s="161"/>
      <c r="AC638" s="159">
        <v>4.833333333333333</v>
      </c>
      <c r="AD638" s="171"/>
    </row>
    <row r="639">
      <c r="A639" s="162">
        <v>104813.0</v>
      </c>
      <c r="B639" s="163" t="s">
        <v>1552</v>
      </c>
      <c r="C639" s="164" t="s">
        <v>1553</v>
      </c>
      <c r="D639" s="165">
        <v>45523.0</v>
      </c>
      <c r="E639" s="164" t="s">
        <v>265</v>
      </c>
      <c r="F639" s="161"/>
      <c r="G639" s="161"/>
      <c r="H639" s="159">
        <v>5.0</v>
      </c>
      <c r="I639" s="159">
        <v>5.0</v>
      </c>
      <c r="J639" s="159">
        <v>5.0</v>
      </c>
      <c r="K639" s="159">
        <v>5.0</v>
      </c>
      <c r="L639" s="159">
        <v>5.0</v>
      </c>
      <c r="M639" s="159">
        <v>5.0</v>
      </c>
      <c r="N639" s="159">
        <v>4.9</v>
      </c>
      <c r="O639" s="159">
        <v>4.8</v>
      </c>
      <c r="P639" s="159">
        <v>5.0</v>
      </c>
      <c r="Q639" s="159">
        <v>4.8</v>
      </c>
      <c r="R639" s="159">
        <v>4.875</v>
      </c>
      <c r="S639" s="159">
        <v>4.5</v>
      </c>
      <c r="T639" s="159">
        <v>4.5</v>
      </c>
      <c r="U639" s="159">
        <v>4.5</v>
      </c>
      <c r="V639" s="159">
        <v>4.5</v>
      </c>
      <c r="W639" s="159">
        <v>4.5</v>
      </c>
      <c r="X639" s="161"/>
      <c r="Y639" s="161"/>
      <c r="Z639" s="161"/>
      <c r="AA639" s="161"/>
      <c r="AB639" s="161"/>
      <c r="AC639" s="159">
        <v>4.791666666666667</v>
      </c>
      <c r="AD639" s="171"/>
    </row>
    <row r="640">
      <c r="A640" s="162">
        <v>104877.0</v>
      </c>
      <c r="B640" s="163" t="s">
        <v>1554</v>
      </c>
      <c r="C640" s="164" t="s">
        <v>1555</v>
      </c>
      <c r="D640" s="165">
        <v>45523.0</v>
      </c>
      <c r="E640" s="164" t="s">
        <v>1140</v>
      </c>
      <c r="F640" s="161"/>
      <c r="G640" s="161"/>
      <c r="H640" s="159">
        <v>5.0</v>
      </c>
      <c r="I640" s="159">
        <v>5.0</v>
      </c>
      <c r="J640" s="159">
        <v>5.0</v>
      </c>
      <c r="K640" s="159">
        <v>5.0</v>
      </c>
      <c r="L640" s="159">
        <v>5.0</v>
      </c>
      <c r="M640" s="159">
        <v>5.0</v>
      </c>
      <c r="N640" s="159">
        <v>5.0</v>
      </c>
      <c r="O640" s="159">
        <v>5.0</v>
      </c>
      <c r="P640" s="159">
        <v>4.8</v>
      </c>
      <c r="Q640" s="159">
        <v>5.0</v>
      </c>
      <c r="R640" s="159">
        <v>4.95</v>
      </c>
      <c r="S640" s="159">
        <v>4.5</v>
      </c>
      <c r="T640" s="159">
        <v>4.5</v>
      </c>
      <c r="U640" s="159">
        <v>4.5</v>
      </c>
      <c r="V640" s="159">
        <v>4.5</v>
      </c>
      <c r="W640" s="159">
        <v>4.5</v>
      </c>
      <c r="X640" s="161"/>
      <c r="Y640" s="161"/>
      <c r="Z640" s="161"/>
      <c r="AA640" s="161"/>
      <c r="AB640" s="161"/>
      <c r="AC640" s="159">
        <v>4.816666666666666</v>
      </c>
      <c r="AD640" s="171"/>
    </row>
    <row r="641">
      <c r="A641" s="162">
        <v>104806.0</v>
      </c>
      <c r="B641" s="163" t="s">
        <v>1556</v>
      </c>
      <c r="C641" s="164" t="s">
        <v>1557</v>
      </c>
      <c r="D641" s="165">
        <v>45524.0</v>
      </c>
      <c r="E641" s="164" t="s">
        <v>1503</v>
      </c>
      <c r="F641" s="161"/>
      <c r="G641" s="161"/>
      <c r="H641" s="159">
        <v>5.0</v>
      </c>
      <c r="I641" s="159">
        <v>5.0</v>
      </c>
      <c r="J641" s="159">
        <v>5.0</v>
      </c>
      <c r="K641" s="159">
        <v>5.0</v>
      </c>
      <c r="L641" s="159">
        <v>5.0</v>
      </c>
      <c r="M641" s="159">
        <v>5.0</v>
      </c>
      <c r="N641" s="159">
        <v>5.0</v>
      </c>
      <c r="O641" s="159">
        <v>5.0</v>
      </c>
      <c r="P641" s="159">
        <v>5.0</v>
      </c>
      <c r="Q641" s="159">
        <v>5.0</v>
      </c>
      <c r="R641" s="159">
        <v>5.0</v>
      </c>
      <c r="S641" s="159">
        <v>4.5</v>
      </c>
      <c r="T641" s="159">
        <v>4.5</v>
      </c>
      <c r="U641" s="159">
        <v>4.5</v>
      </c>
      <c r="V641" s="159">
        <v>4.5</v>
      </c>
      <c r="W641" s="159">
        <v>4.5</v>
      </c>
      <c r="X641" s="161"/>
      <c r="Y641" s="161"/>
      <c r="Z641" s="161"/>
      <c r="AA641" s="161"/>
      <c r="AB641" s="161"/>
      <c r="AC641" s="159">
        <v>4.833333333333333</v>
      </c>
      <c r="AD641" s="171"/>
    </row>
    <row r="642">
      <c r="A642" s="162">
        <v>104879.0</v>
      </c>
      <c r="B642" s="163" t="s">
        <v>1558</v>
      </c>
      <c r="C642" s="164" t="s">
        <v>1559</v>
      </c>
      <c r="D642" s="165">
        <v>45526.0</v>
      </c>
      <c r="E642" s="164" t="s">
        <v>1363</v>
      </c>
      <c r="F642" s="161"/>
      <c r="G642" s="161"/>
      <c r="H642" s="159">
        <v>5.0</v>
      </c>
      <c r="I642" s="159">
        <v>5.0</v>
      </c>
      <c r="J642" s="159">
        <v>5.0</v>
      </c>
      <c r="K642" s="159">
        <v>5.0</v>
      </c>
      <c r="L642" s="159">
        <v>5.0</v>
      </c>
      <c r="M642" s="159">
        <v>5.0</v>
      </c>
      <c r="N642" s="159">
        <v>5.0</v>
      </c>
      <c r="O642" s="159">
        <v>5.0</v>
      </c>
      <c r="P642" s="159">
        <v>5.0</v>
      </c>
      <c r="Q642" s="159">
        <v>5.0</v>
      </c>
      <c r="R642" s="159">
        <v>5.0</v>
      </c>
      <c r="S642" s="159">
        <v>4.5</v>
      </c>
      <c r="T642" s="159">
        <v>4.5</v>
      </c>
      <c r="U642" s="159">
        <v>4.5</v>
      </c>
      <c r="V642" s="159">
        <v>4.5</v>
      </c>
      <c r="W642" s="159">
        <v>4.5</v>
      </c>
      <c r="X642" s="161"/>
      <c r="Y642" s="161"/>
      <c r="Z642" s="161"/>
      <c r="AA642" s="161"/>
      <c r="AB642" s="161"/>
      <c r="AC642" s="159">
        <v>4.833333333333333</v>
      </c>
      <c r="AD642" s="171"/>
    </row>
    <row r="643">
      <c r="A643" s="162">
        <v>104890.0</v>
      </c>
      <c r="B643" s="163" t="s">
        <v>1560</v>
      </c>
      <c r="C643" s="164" t="s">
        <v>1561</v>
      </c>
      <c r="D643" s="165">
        <v>45526.0</v>
      </c>
      <c r="E643" s="164" t="s">
        <v>1140</v>
      </c>
      <c r="F643" s="161"/>
      <c r="G643" s="161"/>
      <c r="H643" s="159">
        <v>5.0</v>
      </c>
      <c r="I643" s="159">
        <v>5.0</v>
      </c>
      <c r="J643" s="159">
        <v>5.0</v>
      </c>
      <c r="K643" s="159">
        <v>5.0</v>
      </c>
      <c r="L643" s="159">
        <v>5.0</v>
      </c>
      <c r="M643" s="159">
        <v>5.0</v>
      </c>
      <c r="N643" s="159">
        <v>4.0</v>
      </c>
      <c r="O643" s="159">
        <v>4.0</v>
      </c>
      <c r="P643" s="159">
        <v>4.0</v>
      </c>
      <c r="Q643" s="159">
        <v>4.0</v>
      </c>
      <c r="R643" s="159">
        <v>4.0</v>
      </c>
      <c r="S643" s="159">
        <v>4.0</v>
      </c>
      <c r="T643" s="159">
        <v>4.0</v>
      </c>
      <c r="U643" s="159">
        <v>4.0</v>
      </c>
      <c r="V643" s="159">
        <v>4.0</v>
      </c>
      <c r="W643" s="159">
        <v>4.0</v>
      </c>
      <c r="X643" s="161"/>
      <c r="Y643" s="161"/>
      <c r="Z643" s="161"/>
      <c r="AA643" s="161"/>
      <c r="AB643" s="161"/>
      <c r="AC643" s="159">
        <v>4.333333333333333</v>
      </c>
      <c r="AD643" s="171"/>
    </row>
    <row r="644">
      <c r="A644" s="162">
        <v>104784.0</v>
      </c>
      <c r="B644" s="163" t="s">
        <v>1562</v>
      </c>
      <c r="C644" s="164" t="s">
        <v>1563</v>
      </c>
      <c r="D644" s="165">
        <v>45527.0</v>
      </c>
      <c r="E644" s="164" t="s">
        <v>557</v>
      </c>
      <c r="F644" s="161"/>
      <c r="G644" s="161"/>
      <c r="H644" s="159">
        <v>5.0</v>
      </c>
      <c r="I644" s="159">
        <v>5.0</v>
      </c>
      <c r="J644" s="159">
        <v>5.0</v>
      </c>
      <c r="K644" s="159">
        <v>5.0</v>
      </c>
      <c r="L644" s="159">
        <v>5.0</v>
      </c>
      <c r="M644" s="159">
        <v>5.0</v>
      </c>
      <c r="N644" s="159">
        <v>5.0</v>
      </c>
      <c r="O644" s="159">
        <v>5.0</v>
      </c>
      <c r="P644" s="159">
        <v>5.0</v>
      </c>
      <c r="Q644" s="159">
        <v>5.0</v>
      </c>
      <c r="R644" s="159">
        <v>5.0</v>
      </c>
      <c r="S644" s="159">
        <v>4.5</v>
      </c>
      <c r="T644" s="159">
        <v>4.5</v>
      </c>
      <c r="U644" s="159">
        <v>4.5</v>
      </c>
      <c r="V644" s="159">
        <v>4.5</v>
      </c>
      <c r="W644" s="159">
        <v>4.5</v>
      </c>
      <c r="X644" s="161"/>
      <c r="Y644" s="161"/>
      <c r="Z644" s="161"/>
      <c r="AA644" s="161"/>
      <c r="AB644" s="161"/>
      <c r="AC644" s="159">
        <v>4.833333333333333</v>
      </c>
      <c r="AD644" s="171"/>
    </row>
    <row r="645">
      <c r="A645" s="162">
        <v>104828.0</v>
      </c>
      <c r="B645" s="163" t="s">
        <v>1564</v>
      </c>
      <c r="C645" s="164" t="s">
        <v>1565</v>
      </c>
      <c r="D645" s="165">
        <v>45528.0</v>
      </c>
      <c r="E645" s="164" t="s">
        <v>295</v>
      </c>
      <c r="F645" s="161"/>
      <c r="G645" s="161"/>
      <c r="H645" s="159">
        <v>5.0</v>
      </c>
      <c r="I645" s="159">
        <v>5.0</v>
      </c>
      <c r="J645" s="159">
        <v>5.0</v>
      </c>
      <c r="K645" s="159">
        <v>5.0</v>
      </c>
      <c r="L645" s="159">
        <v>5.0</v>
      </c>
      <c r="M645" s="159">
        <v>5.0</v>
      </c>
      <c r="N645" s="159">
        <v>5.0</v>
      </c>
      <c r="O645" s="159">
        <v>5.0</v>
      </c>
      <c r="P645" s="159">
        <v>4.0</v>
      </c>
      <c r="Q645" s="159">
        <v>5.0</v>
      </c>
      <c r="R645" s="159">
        <v>4.75</v>
      </c>
      <c r="S645" s="159">
        <v>4.5</v>
      </c>
      <c r="T645" s="159">
        <v>4.5</v>
      </c>
      <c r="U645" s="159">
        <v>4.5</v>
      </c>
      <c r="V645" s="159">
        <v>4.5</v>
      </c>
      <c r="W645" s="159">
        <v>4.5</v>
      </c>
      <c r="X645" s="161"/>
      <c r="Y645" s="161"/>
      <c r="Z645" s="161"/>
      <c r="AA645" s="161"/>
      <c r="AB645" s="161"/>
      <c r="AC645" s="159">
        <v>4.75</v>
      </c>
      <c r="AD645" s="171"/>
    </row>
    <row r="646">
      <c r="A646" s="162">
        <v>104835.0</v>
      </c>
      <c r="B646" s="163" t="s">
        <v>1566</v>
      </c>
      <c r="C646" s="164" t="s">
        <v>1567</v>
      </c>
      <c r="D646" s="165">
        <v>45528.0</v>
      </c>
      <c r="E646" s="164" t="s">
        <v>295</v>
      </c>
      <c r="F646" s="161"/>
      <c r="G646" s="161"/>
      <c r="H646" s="159">
        <v>5.0</v>
      </c>
      <c r="I646" s="159">
        <v>5.0</v>
      </c>
      <c r="J646" s="159">
        <v>5.0</v>
      </c>
      <c r="K646" s="159">
        <v>5.0</v>
      </c>
      <c r="L646" s="159">
        <v>5.0</v>
      </c>
      <c r="M646" s="159">
        <v>5.0</v>
      </c>
      <c r="N646" s="159">
        <v>5.0</v>
      </c>
      <c r="O646" s="159">
        <v>5.0</v>
      </c>
      <c r="P646" s="159">
        <v>4.0</v>
      </c>
      <c r="Q646" s="159">
        <v>5.0</v>
      </c>
      <c r="R646" s="159">
        <v>4.75</v>
      </c>
      <c r="S646" s="159">
        <v>4.5</v>
      </c>
      <c r="T646" s="159">
        <v>4.5</v>
      </c>
      <c r="U646" s="159">
        <v>4.5</v>
      </c>
      <c r="V646" s="159">
        <v>4.5</v>
      </c>
      <c r="W646" s="159">
        <v>4.5</v>
      </c>
      <c r="X646" s="161"/>
      <c r="Y646" s="161"/>
      <c r="Z646" s="161"/>
      <c r="AA646" s="161"/>
      <c r="AB646" s="161"/>
      <c r="AC646" s="159">
        <v>4.75</v>
      </c>
      <c r="AD646" s="171"/>
    </row>
    <row r="647">
      <c r="A647" s="162">
        <v>104888.0</v>
      </c>
      <c r="B647" s="163" t="s">
        <v>1568</v>
      </c>
      <c r="C647" s="164" t="s">
        <v>1569</v>
      </c>
      <c r="D647" s="165">
        <v>45534.0</v>
      </c>
      <c r="E647" s="164" t="s">
        <v>522</v>
      </c>
      <c r="F647" s="161"/>
      <c r="G647" s="161"/>
      <c r="H647" s="159">
        <v>5.0</v>
      </c>
      <c r="I647" s="159">
        <v>5.0</v>
      </c>
      <c r="J647" s="159">
        <v>5.0</v>
      </c>
      <c r="K647" s="159">
        <v>5.0</v>
      </c>
      <c r="L647" s="159">
        <v>5.0</v>
      </c>
      <c r="M647" s="159">
        <v>5.0</v>
      </c>
      <c r="N647" s="159">
        <v>5.0</v>
      </c>
      <c r="O647" s="159">
        <v>5.0</v>
      </c>
      <c r="P647" s="159">
        <v>5.0</v>
      </c>
      <c r="Q647" s="159">
        <v>5.0</v>
      </c>
      <c r="R647" s="159">
        <v>5.0</v>
      </c>
      <c r="S647" s="159">
        <v>4.5</v>
      </c>
      <c r="T647" s="159">
        <v>4.5</v>
      </c>
      <c r="U647" s="159">
        <v>4.5</v>
      </c>
      <c r="V647" s="159">
        <v>4.5</v>
      </c>
      <c r="W647" s="159">
        <v>4.5</v>
      </c>
      <c r="X647" s="161"/>
      <c r="Y647" s="161"/>
      <c r="Z647" s="161"/>
      <c r="AA647" s="161"/>
      <c r="AB647" s="161"/>
      <c r="AC647" s="159">
        <v>4.833333333333333</v>
      </c>
      <c r="AD647" s="171"/>
    </row>
    <row r="648">
      <c r="A648" s="162">
        <v>104892.0</v>
      </c>
      <c r="B648" s="163" t="s">
        <v>1570</v>
      </c>
      <c r="C648" s="164" t="s">
        <v>1571</v>
      </c>
      <c r="D648" s="165">
        <v>45534.0</v>
      </c>
      <c r="E648" s="164" t="s">
        <v>1212</v>
      </c>
      <c r="F648" s="161"/>
      <c r="G648" s="161"/>
      <c r="H648" s="159">
        <v>5.0</v>
      </c>
      <c r="I648" s="159">
        <v>5.0</v>
      </c>
      <c r="J648" s="159">
        <v>5.0</v>
      </c>
      <c r="K648" s="159">
        <v>5.0</v>
      </c>
      <c r="L648" s="159">
        <v>5.0</v>
      </c>
      <c r="M648" s="159">
        <v>5.0</v>
      </c>
      <c r="N648" s="159">
        <v>4.5</v>
      </c>
      <c r="O648" s="159">
        <v>4.5</v>
      </c>
      <c r="P648" s="159">
        <v>4.5</v>
      </c>
      <c r="Q648" s="159">
        <v>4.5</v>
      </c>
      <c r="R648" s="159">
        <v>4.5</v>
      </c>
      <c r="S648" s="159">
        <v>4.5</v>
      </c>
      <c r="T648" s="159">
        <v>4.5</v>
      </c>
      <c r="U648" s="159">
        <v>4.5</v>
      </c>
      <c r="V648" s="159">
        <v>4.5</v>
      </c>
      <c r="W648" s="159">
        <v>4.5</v>
      </c>
      <c r="X648" s="161"/>
      <c r="Y648" s="161"/>
      <c r="Z648" s="161"/>
      <c r="AA648" s="161"/>
      <c r="AB648" s="161"/>
      <c r="AC648" s="159">
        <v>4.666666666666667</v>
      </c>
      <c r="AD648" s="171"/>
    </row>
    <row r="649">
      <c r="A649" s="162">
        <v>104963.0</v>
      </c>
      <c r="B649" s="163" t="s">
        <v>1572</v>
      </c>
      <c r="C649" s="164" t="s">
        <v>1573</v>
      </c>
      <c r="D649" s="165">
        <v>45537.0</v>
      </c>
      <c r="E649" s="164" t="s">
        <v>254</v>
      </c>
      <c r="F649" s="161"/>
      <c r="G649" s="161"/>
      <c r="H649" s="159">
        <v>5.0</v>
      </c>
      <c r="I649" s="159">
        <v>5.0</v>
      </c>
      <c r="J649" s="159">
        <v>5.0</v>
      </c>
      <c r="K649" s="159">
        <v>5.0</v>
      </c>
      <c r="L649" s="159">
        <v>5.0</v>
      </c>
      <c r="M649" s="159">
        <v>5.0</v>
      </c>
      <c r="N649" s="159">
        <v>5.0</v>
      </c>
      <c r="O649" s="159">
        <v>5.0</v>
      </c>
      <c r="P649" s="159">
        <v>5.0</v>
      </c>
      <c r="Q649" s="159">
        <v>5.0</v>
      </c>
      <c r="R649" s="159">
        <v>5.0</v>
      </c>
      <c r="S649" s="159">
        <v>4.5</v>
      </c>
      <c r="T649" s="159">
        <v>4.5</v>
      </c>
      <c r="U649" s="159">
        <v>4.5</v>
      </c>
      <c r="V649" s="159">
        <v>4.5</v>
      </c>
      <c r="W649" s="159">
        <v>4.5</v>
      </c>
      <c r="X649" s="161"/>
      <c r="Y649" s="161"/>
      <c r="Z649" s="161"/>
      <c r="AA649" s="161"/>
      <c r="AB649" s="161"/>
      <c r="AC649" s="159">
        <v>4.833333333333333</v>
      </c>
      <c r="AD649" s="171"/>
    </row>
    <row r="650">
      <c r="A650" s="162">
        <v>104896.0</v>
      </c>
      <c r="B650" s="163" t="s">
        <v>1574</v>
      </c>
      <c r="C650" s="164" t="s">
        <v>1575</v>
      </c>
      <c r="D650" s="165">
        <v>45538.0</v>
      </c>
      <c r="E650" s="164" t="s">
        <v>295</v>
      </c>
      <c r="F650" s="161"/>
      <c r="G650" s="161"/>
      <c r="H650" s="159">
        <v>5.0</v>
      </c>
      <c r="I650" s="159">
        <v>5.0</v>
      </c>
      <c r="J650" s="159">
        <v>5.0</v>
      </c>
      <c r="K650" s="159">
        <v>5.0</v>
      </c>
      <c r="L650" s="159">
        <v>5.0</v>
      </c>
      <c r="M650" s="159">
        <v>5.0</v>
      </c>
      <c r="N650" s="159">
        <v>5.0</v>
      </c>
      <c r="O650" s="159">
        <v>5.0</v>
      </c>
      <c r="P650" s="159">
        <v>5.0</v>
      </c>
      <c r="Q650" s="159">
        <v>5.0</v>
      </c>
      <c r="R650" s="159">
        <v>5.0</v>
      </c>
      <c r="S650" s="159">
        <v>4.5</v>
      </c>
      <c r="T650" s="159">
        <v>4.5</v>
      </c>
      <c r="U650" s="159">
        <v>4.5</v>
      </c>
      <c r="V650" s="159">
        <v>4.5</v>
      </c>
      <c r="W650" s="159">
        <v>4.5</v>
      </c>
      <c r="X650" s="161"/>
      <c r="Y650" s="161"/>
      <c r="Z650" s="161"/>
      <c r="AA650" s="161"/>
      <c r="AB650" s="161"/>
      <c r="AC650" s="159">
        <v>4.833333333333333</v>
      </c>
      <c r="AD650" s="171"/>
    </row>
    <row r="651">
      <c r="A651" s="162">
        <v>104851.0</v>
      </c>
      <c r="B651" s="163" t="s">
        <v>1576</v>
      </c>
      <c r="C651" s="164" t="s">
        <v>1577</v>
      </c>
      <c r="D651" s="165">
        <v>45539.0</v>
      </c>
      <c r="E651" s="164" t="s">
        <v>254</v>
      </c>
      <c r="F651" s="161"/>
      <c r="G651" s="161"/>
      <c r="H651" s="159">
        <v>5.0</v>
      </c>
      <c r="I651" s="159">
        <v>5.0</v>
      </c>
      <c r="J651" s="159">
        <v>5.0</v>
      </c>
      <c r="K651" s="159">
        <v>5.0</v>
      </c>
      <c r="L651" s="159">
        <v>5.0</v>
      </c>
      <c r="M651" s="159">
        <v>5.0</v>
      </c>
      <c r="N651" s="159">
        <v>5.0</v>
      </c>
      <c r="O651" s="159">
        <v>5.0</v>
      </c>
      <c r="P651" s="159">
        <v>5.0</v>
      </c>
      <c r="Q651" s="159">
        <v>5.0</v>
      </c>
      <c r="R651" s="159">
        <v>5.0</v>
      </c>
      <c r="S651" s="159">
        <v>4.5</v>
      </c>
      <c r="T651" s="159">
        <v>4.5</v>
      </c>
      <c r="U651" s="159">
        <v>4.5</v>
      </c>
      <c r="V651" s="159">
        <v>4.5</v>
      </c>
      <c r="W651" s="159">
        <v>4.5</v>
      </c>
      <c r="X651" s="161"/>
      <c r="Y651" s="161"/>
      <c r="Z651" s="161"/>
      <c r="AA651" s="161"/>
      <c r="AB651" s="161"/>
      <c r="AC651" s="159">
        <v>4.833333333333333</v>
      </c>
      <c r="AD651" s="171"/>
    </row>
    <row r="652">
      <c r="A652" s="162">
        <v>104849.0</v>
      </c>
      <c r="B652" s="163" t="s">
        <v>1578</v>
      </c>
      <c r="C652" s="164" t="s">
        <v>1579</v>
      </c>
      <c r="D652" s="165">
        <v>45539.0</v>
      </c>
      <c r="E652" s="164" t="s">
        <v>806</v>
      </c>
      <c r="F652" s="161"/>
      <c r="G652" s="161"/>
      <c r="H652" s="159">
        <v>5.0</v>
      </c>
      <c r="I652" s="159">
        <v>5.0</v>
      </c>
      <c r="J652" s="159">
        <v>5.0</v>
      </c>
      <c r="K652" s="159">
        <v>5.0</v>
      </c>
      <c r="L652" s="159">
        <v>5.0</v>
      </c>
      <c r="M652" s="159">
        <v>5.0</v>
      </c>
      <c r="N652" s="159">
        <v>5.0</v>
      </c>
      <c r="O652" s="159">
        <v>5.0</v>
      </c>
      <c r="P652" s="159">
        <v>5.0</v>
      </c>
      <c r="Q652" s="159">
        <v>5.0</v>
      </c>
      <c r="R652" s="159">
        <v>5.0</v>
      </c>
      <c r="S652" s="159">
        <v>4.5</v>
      </c>
      <c r="T652" s="159">
        <v>4.5</v>
      </c>
      <c r="U652" s="159">
        <v>4.5</v>
      </c>
      <c r="V652" s="159">
        <v>4.5</v>
      </c>
      <c r="W652" s="159">
        <v>4.5</v>
      </c>
      <c r="X652" s="161"/>
      <c r="Y652" s="161"/>
      <c r="Z652" s="161"/>
      <c r="AA652" s="161"/>
      <c r="AB652" s="161"/>
      <c r="AC652" s="159">
        <v>4.833333333333333</v>
      </c>
      <c r="AD652" s="171"/>
    </row>
    <row r="653">
      <c r="A653" s="162">
        <v>104851.0</v>
      </c>
      <c r="B653" s="163" t="s">
        <v>1580</v>
      </c>
      <c r="C653" s="164" t="s">
        <v>1577</v>
      </c>
      <c r="D653" s="165">
        <v>45539.0</v>
      </c>
      <c r="E653" s="164" t="s">
        <v>625</v>
      </c>
      <c r="F653" s="161"/>
      <c r="G653" s="161"/>
      <c r="H653" s="159">
        <v>5.0</v>
      </c>
      <c r="I653" s="159">
        <v>5.0</v>
      </c>
      <c r="J653" s="159">
        <v>5.0</v>
      </c>
      <c r="K653" s="159">
        <v>5.0</v>
      </c>
      <c r="L653" s="159">
        <v>5.0</v>
      </c>
      <c r="M653" s="159">
        <v>5.0</v>
      </c>
      <c r="N653" s="159">
        <v>5.0</v>
      </c>
      <c r="O653" s="159">
        <v>5.0</v>
      </c>
      <c r="P653" s="159">
        <v>5.0</v>
      </c>
      <c r="Q653" s="159">
        <v>5.0</v>
      </c>
      <c r="R653" s="159">
        <v>5.0</v>
      </c>
      <c r="S653" s="159">
        <v>4.5</v>
      </c>
      <c r="T653" s="159">
        <v>4.5</v>
      </c>
      <c r="U653" s="159">
        <v>4.5</v>
      </c>
      <c r="V653" s="159">
        <v>4.5</v>
      </c>
      <c r="W653" s="159">
        <v>4.5</v>
      </c>
      <c r="X653" s="161"/>
      <c r="Y653" s="161"/>
      <c r="Z653" s="161"/>
      <c r="AA653" s="161"/>
      <c r="AB653" s="161"/>
      <c r="AC653" s="159">
        <v>4.833333333333333</v>
      </c>
      <c r="AD653" s="171"/>
    </row>
    <row r="654">
      <c r="A654" s="162">
        <v>104905.0</v>
      </c>
      <c r="B654" s="163" t="s">
        <v>1581</v>
      </c>
      <c r="C654" s="164" t="s">
        <v>1582</v>
      </c>
      <c r="D654" s="165">
        <v>45540.0</v>
      </c>
      <c r="E654" s="164" t="s">
        <v>1140</v>
      </c>
      <c r="F654" s="161"/>
      <c r="G654" s="161"/>
      <c r="H654" s="159">
        <v>5.0</v>
      </c>
      <c r="I654" s="159">
        <v>5.0</v>
      </c>
      <c r="J654" s="159">
        <v>5.0</v>
      </c>
      <c r="K654" s="159">
        <v>5.0</v>
      </c>
      <c r="L654" s="159">
        <v>5.0</v>
      </c>
      <c r="M654" s="159">
        <v>5.0</v>
      </c>
      <c r="N654" s="159">
        <v>5.0</v>
      </c>
      <c r="O654" s="159">
        <v>5.0</v>
      </c>
      <c r="P654" s="159">
        <v>5.0</v>
      </c>
      <c r="Q654" s="159">
        <v>5.0</v>
      </c>
      <c r="R654" s="159">
        <v>5.0</v>
      </c>
      <c r="S654" s="159">
        <v>4.5</v>
      </c>
      <c r="T654" s="159">
        <v>4.5</v>
      </c>
      <c r="U654" s="159">
        <v>4.5</v>
      </c>
      <c r="V654" s="159">
        <v>4.5</v>
      </c>
      <c r="W654" s="159">
        <v>4.5</v>
      </c>
      <c r="X654" s="161"/>
      <c r="Y654" s="161"/>
      <c r="Z654" s="161"/>
      <c r="AA654" s="161"/>
      <c r="AB654" s="161"/>
      <c r="AC654" s="159">
        <v>4.833333333333333</v>
      </c>
      <c r="AD654" s="171"/>
    </row>
    <row r="655">
      <c r="A655" s="162">
        <v>104901.0</v>
      </c>
      <c r="B655" s="163" t="s">
        <v>1583</v>
      </c>
      <c r="C655" s="164" t="s">
        <v>1584</v>
      </c>
      <c r="D655" s="165">
        <v>45541.0</v>
      </c>
      <c r="E655" s="164" t="s">
        <v>254</v>
      </c>
      <c r="F655" s="161"/>
      <c r="G655" s="161"/>
      <c r="H655" s="159">
        <v>5.0</v>
      </c>
      <c r="I655" s="159">
        <v>5.0</v>
      </c>
      <c r="J655" s="159">
        <v>5.0</v>
      </c>
      <c r="K655" s="159">
        <v>5.0</v>
      </c>
      <c r="L655" s="159">
        <v>5.0</v>
      </c>
      <c r="M655" s="159">
        <v>5.0</v>
      </c>
      <c r="N655" s="159">
        <v>5.0</v>
      </c>
      <c r="O655" s="159">
        <v>4.8</v>
      </c>
      <c r="P655" s="159">
        <v>4.8</v>
      </c>
      <c r="Q655" s="159">
        <v>4.8</v>
      </c>
      <c r="R655" s="159">
        <v>4.8500000000000005</v>
      </c>
      <c r="S655" s="159">
        <v>4.5</v>
      </c>
      <c r="T655" s="159">
        <v>4.5</v>
      </c>
      <c r="U655" s="159">
        <v>4.5</v>
      </c>
      <c r="V655" s="159">
        <v>4.5</v>
      </c>
      <c r="W655" s="159">
        <v>4.5</v>
      </c>
      <c r="X655" s="161"/>
      <c r="Y655" s="161"/>
      <c r="Z655" s="161"/>
      <c r="AA655" s="161"/>
      <c r="AB655" s="161"/>
      <c r="AC655" s="159">
        <v>4.783333333333334</v>
      </c>
      <c r="AD655" s="171"/>
    </row>
    <row r="656">
      <c r="A656" s="162">
        <v>104867.0</v>
      </c>
      <c r="B656" s="163" t="s">
        <v>1585</v>
      </c>
      <c r="C656" s="164" t="s">
        <v>1586</v>
      </c>
      <c r="D656" s="165">
        <v>45541.0</v>
      </c>
      <c r="E656" s="164" t="s">
        <v>254</v>
      </c>
      <c r="F656" s="161"/>
      <c r="G656" s="161"/>
      <c r="H656" s="159">
        <v>5.0</v>
      </c>
      <c r="I656" s="159">
        <v>5.0</v>
      </c>
      <c r="J656" s="159">
        <v>5.0</v>
      </c>
      <c r="K656" s="159">
        <v>5.0</v>
      </c>
      <c r="L656" s="159">
        <v>5.0</v>
      </c>
      <c r="M656" s="159">
        <v>5.0</v>
      </c>
      <c r="N656" s="159">
        <v>5.0</v>
      </c>
      <c r="O656" s="159">
        <v>5.0</v>
      </c>
      <c r="P656" s="159">
        <v>5.0</v>
      </c>
      <c r="Q656" s="159">
        <v>4.5</v>
      </c>
      <c r="R656" s="159">
        <v>4.875</v>
      </c>
      <c r="S656" s="159">
        <v>4.5</v>
      </c>
      <c r="T656" s="159">
        <v>4.5</v>
      </c>
      <c r="U656" s="159">
        <v>4.5</v>
      </c>
      <c r="V656" s="159">
        <v>4.5</v>
      </c>
      <c r="W656" s="159">
        <v>4.5</v>
      </c>
      <c r="X656" s="161"/>
      <c r="Y656" s="161"/>
      <c r="Z656" s="161"/>
      <c r="AA656" s="161"/>
      <c r="AB656" s="161"/>
      <c r="AC656" s="159">
        <v>4.791666666666667</v>
      </c>
      <c r="AD656" s="171"/>
    </row>
    <row r="657">
      <c r="A657" s="162">
        <v>104875.0</v>
      </c>
      <c r="B657" s="163" t="s">
        <v>1587</v>
      </c>
      <c r="C657" s="164" t="s">
        <v>1588</v>
      </c>
      <c r="D657" s="165">
        <v>45541.0</v>
      </c>
      <c r="E657" s="164" t="s">
        <v>254</v>
      </c>
      <c r="F657" s="161"/>
      <c r="G657" s="161"/>
      <c r="H657" s="159">
        <v>5.0</v>
      </c>
      <c r="I657" s="159">
        <v>5.0</v>
      </c>
      <c r="J657" s="159">
        <v>5.0</v>
      </c>
      <c r="K657" s="159">
        <v>5.0</v>
      </c>
      <c r="L657" s="159">
        <v>5.0</v>
      </c>
      <c r="M657" s="159">
        <v>5.0</v>
      </c>
      <c r="N657" s="159">
        <v>5.0</v>
      </c>
      <c r="O657" s="159">
        <v>5.0</v>
      </c>
      <c r="P657" s="159">
        <v>5.0</v>
      </c>
      <c r="Q657" s="159">
        <v>5.0</v>
      </c>
      <c r="R657" s="159">
        <v>5.0</v>
      </c>
      <c r="S657" s="159">
        <v>4.75</v>
      </c>
      <c r="T657" s="159">
        <v>4.75</v>
      </c>
      <c r="U657" s="159">
        <v>4.75</v>
      </c>
      <c r="V657" s="159">
        <v>4.75</v>
      </c>
      <c r="W657" s="159">
        <v>4.75</v>
      </c>
      <c r="X657" s="161"/>
      <c r="Y657" s="161"/>
      <c r="Z657" s="161"/>
      <c r="AA657" s="161"/>
      <c r="AB657" s="161"/>
      <c r="AC657" s="159">
        <v>4.916666666666667</v>
      </c>
      <c r="AD657" s="171"/>
    </row>
    <row r="658">
      <c r="A658" s="162">
        <v>104962.0</v>
      </c>
      <c r="B658" s="163" t="s">
        <v>1589</v>
      </c>
      <c r="C658" s="164" t="s">
        <v>1590</v>
      </c>
      <c r="D658" s="165">
        <v>45544.0</v>
      </c>
      <c r="E658" s="164" t="s">
        <v>1140</v>
      </c>
      <c r="F658" s="161"/>
      <c r="G658" s="161"/>
      <c r="H658" s="159">
        <v>5.0</v>
      </c>
      <c r="I658" s="159">
        <v>5.0</v>
      </c>
      <c r="J658" s="159">
        <v>5.0</v>
      </c>
      <c r="K658" s="159">
        <v>5.0</v>
      </c>
      <c r="L658" s="159">
        <v>5.0</v>
      </c>
      <c r="M658" s="159">
        <v>5.0</v>
      </c>
      <c r="N658" s="159">
        <v>4.8</v>
      </c>
      <c r="O658" s="159">
        <v>4.5</v>
      </c>
      <c r="P658" s="159">
        <v>4.5</v>
      </c>
      <c r="Q658" s="159">
        <v>5.0</v>
      </c>
      <c r="R658" s="159">
        <v>4.7</v>
      </c>
      <c r="S658" s="159">
        <v>4.5</v>
      </c>
      <c r="T658" s="159">
        <v>4.5</v>
      </c>
      <c r="U658" s="159">
        <v>4.5</v>
      </c>
      <c r="V658" s="159">
        <v>4.5</v>
      </c>
      <c r="W658" s="159">
        <v>4.5</v>
      </c>
      <c r="X658" s="161"/>
      <c r="Y658" s="161"/>
      <c r="Z658" s="161"/>
      <c r="AA658" s="161"/>
      <c r="AB658" s="161"/>
      <c r="AC658" s="159">
        <v>4.733333333333333</v>
      </c>
      <c r="AD658" s="171"/>
    </row>
    <row r="659">
      <c r="A659" s="162">
        <v>104996.0</v>
      </c>
      <c r="B659" s="163" t="s">
        <v>1591</v>
      </c>
      <c r="C659" s="164" t="s">
        <v>1592</v>
      </c>
      <c r="D659" s="165">
        <v>45548.0</v>
      </c>
      <c r="E659" s="164" t="s">
        <v>1159</v>
      </c>
      <c r="F659" s="161"/>
      <c r="G659" s="161"/>
      <c r="H659" s="159">
        <v>5.0</v>
      </c>
      <c r="I659" s="159">
        <v>5.0</v>
      </c>
      <c r="J659" s="159">
        <v>5.0</v>
      </c>
      <c r="K659" s="159">
        <v>5.0</v>
      </c>
      <c r="L659" s="159">
        <v>5.0</v>
      </c>
      <c r="M659" s="159">
        <v>5.0</v>
      </c>
      <c r="N659" s="159">
        <v>5.0</v>
      </c>
      <c r="O659" s="159">
        <v>5.0</v>
      </c>
      <c r="P659" s="159">
        <v>5.0</v>
      </c>
      <c r="Q659" s="159">
        <v>5.0</v>
      </c>
      <c r="R659" s="159">
        <v>5.0</v>
      </c>
      <c r="S659" s="159">
        <v>4.5</v>
      </c>
      <c r="T659" s="159">
        <v>4.5</v>
      </c>
      <c r="U659" s="159">
        <v>4.5</v>
      </c>
      <c r="V659" s="159">
        <v>4.5</v>
      </c>
      <c r="W659" s="159">
        <v>4.5</v>
      </c>
      <c r="X659" s="161"/>
      <c r="Y659" s="161"/>
      <c r="Z659" s="161"/>
      <c r="AA659" s="161"/>
      <c r="AB659" s="161"/>
      <c r="AC659" s="159">
        <v>4.833333333333333</v>
      </c>
      <c r="AD659" s="171"/>
    </row>
    <row r="660">
      <c r="A660" s="162">
        <v>104972.0</v>
      </c>
      <c r="B660" s="163" t="s">
        <v>1593</v>
      </c>
      <c r="C660" s="164" t="s">
        <v>1594</v>
      </c>
      <c r="D660" s="165">
        <v>45551.0</v>
      </c>
      <c r="E660" s="164" t="s">
        <v>1140</v>
      </c>
      <c r="F660" s="161"/>
      <c r="G660" s="161"/>
      <c r="H660" s="159">
        <v>5.0</v>
      </c>
      <c r="I660" s="159">
        <v>5.0</v>
      </c>
      <c r="J660" s="159">
        <v>5.0</v>
      </c>
      <c r="K660" s="159">
        <v>5.0</v>
      </c>
      <c r="L660" s="159">
        <v>5.0</v>
      </c>
      <c r="M660" s="159">
        <v>5.0</v>
      </c>
      <c r="N660" s="159">
        <v>5.0</v>
      </c>
      <c r="O660" s="159">
        <v>5.0</v>
      </c>
      <c r="P660" s="159">
        <v>5.0</v>
      </c>
      <c r="Q660" s="159">
        <v>5.0</v>
      </c>
      <c r="R660" s="159">
        <v>5.0</v>
      </c>
      <c r="S660" s="159">
        <v>4.5</v>
      </c>
      <c r="T660" s="159">
        <v>4.5</v>
      </c>
      <c r="U660" s="159">
        <v>4.5</v>
      </c>
      <c r="V660" s="159">
        <v>4.5</v>
      </c>
      <c r="W660" s="159">
        <v>4.5</v>
      </c>
      <c r="X660" s="161"/>
      <c r="Y660" s="161"/>
      <c r="Z660" s="161"/>
      <c r="AA660" s="161"/>
      <c r="AB660" s="161"/>
      <c r="AC660" s="159">
        <v>4.833333333333333</v>
      </c>
      <c r="AD660" s="171"/>
    </row>
    <row r="661">
      <c r="A661" s="162">
        <v>104848.0</v>
      </c>
      <c r="B661" s="163" t="s">
        <v>1595</v>
      </c>
      <c r="C661" s="164" t="s">
        <v>1596</v>
      </c>
      <c r="D661" s="165">
        <v>45553.0</v>
      </c>
      <c r="E661" s="164" t="s">
        <v>625</v>
      </c>
      <c r="F661" s="161"/>
      <c r="G661" s="161"/>
      <c r="H661" s="159">
        <v>5.0</v>
      </c>
      <c r="I661" s="159">
        <v>5.0</v>
      </c>
      <c r="J661" s="159">
        <v>5.0</v>
      </c>
      <c r="K661" s="159">
        <v>5.0</v>
      </c>
      <c r="L661" s="159">
        <v>5.0</v>
      </c>
      <c r="M661" s="159">
        <v>5.0</v>
      </c>
      <c r="N661" s="159">
        <v>5.0</v>
      </c>
      <c r="O661" s="159">
        <v>5.0</v>
      </c>
      <c r="P661" s="159">
        <v>5.0</v>
      </c>
      <c r="Q661" s="159">
        <v>5.0</v>
      </c>
      <c r="R661" s="159">
        <v>5.0</v>
      </c>
      <c r="S661" s="159">
        <v>4.5</v>
      </c>
      <c r="T661" s="159">
        <v>4.5</v>
      </c>
      <c r="U661" s="159">
        <v>4.5</v>
      </c>
      <c r="V661" s="159">
        <v>4.5</v>
      </c>
      <c r="W661" s="159">
        <v>4.5</v>
      </c>
      <c r="X661" s="161"/>
      <c r="Y661" s="161"/>
      <c r="Z661" s="161"/>
      <c r="AA661" s="161"/>
      <c r="AB661" s="161"/>
      <c r="AC661" s="159">
        <v>4.833333333333333</v>
      </c>
      <c r="AD661" s="171"/>
    </row>
    <row r="662">
      <c r="A662" s="162">
        <v>104848.0</v>
      </c>
      <c r="B662" s="163" t="s">
        <v>1597</v>
      </c>
      <c r="C662" s="164" t="s">
        <v>1596</v>
      </c>
      <c r="D662" s="165">
        <v>45553.0</v>
      </c>
      <c r="E662" s="164" t="s">
        <v>806</v>
      </c>
      <c r="F662" s="161"/>
      <c r="G662" s="161"/>
      <c r="H662" s="159">
        <v>5.0</v>
      </c>
      <c r="I662" s="159">
        <v>5.0</v>
      </c>
      <c r="J662" s="159">
        <v>5.0</v>
      </c>
      <c r="K662" s="159">
        <v>5.0</v>
      </c>
      <c r="L662" s="159">
        <v>5.0</v>
      </c>
      <c r="M662" s="159">
        <v>5.0</v>
      </c>
      <c r="N662" s="159">
        <v>5.0</v>
      </c>
      <c r="O662" s="159">
        <v>5.0</v>
      </c>
      <c r="P662" s="159">
        <v>5.0</v>
      </c>
      <c r="Q662" s="159">
        <v>5.0</v>
      </c>
      <c r="R662" s="159">
        <v>5.0</v>
      </c>
      <c r="S662" s="159">
        <v>4.5</v>
      </c>
      <c r="T662" s="159">
        <v>4.5</v>
      </c>
      <c r="U662" s="159">
        <v>4.5</v>
      </c>
      <c r="V662" s="159">
        <v>4.5</v>
      </c>
      <c r="W662" s="159">
        <v>4.5</v>
      </c>
      <c r="X662" s="161"/>
      <c r="Y662" s="161"/>
      <c r="Z662" s="161"/>
      <c r="AA662" s="161"/>
      <c r="AB662" s="161"/>
      <c r="AC662" s="159">
        <v>4.833333333333333</v>
      </c>
      <c r="AD662" s="171"/>
    </row>
    <row r="663">
      <c r="A663" s="162">
        <v>104950.0</v>
      </c>
      <c r="B663" s="163" t="s">
        <v>1598</v>
      </c>
      <c r="C663" s="164" t="s">
        <v>1599</v>
      </c>
      <c r="D663" s="165">
        <v>45553.0</v>
      </c>
      <c r="E663" s="164" t="s">
        <v>427</v>
      </c>
      <c r="F663" s="161"/>
      <c r="G663" s="161"/>
      <c r="H663" s="159">
        <v>5.0</v>
      </c>
      <c r="I663" s="159">
        <v>5.0</v>
      </c>
      <c r="J663" s="159">
        <v>5.0</v>
      </c>
      <c r="K663" s="159">
        <v>5.0</v>
      </c>
      <c r="L663" s="159">
        <v>5.0</v>
      </c>
      <c r="M663" s="159">
        <v>5.0</v>
      </c>
      <c r="N663" s="159">
        <v>5.0</v>
      </c>
      <c r="O663" s="159">
        <v>4.5</v>
      </c>
      <c r="P663" s="159">
        <v>5.0</v>
      </c>
      <c r="Q663" s="159">
        <v>5.0</v>
      </c>
      <c r="R663" s="159">
        <v>4.875</v>
      </c>
      <c r="S663" s="159">
        <v>4.5</v>
      </c>
      <c r="T663" s="159">
        <v>4.5</v>
      </c>
      <c r="U663" s="159">
        <v>4.5</v>
      </c>
      <c r="V663" s="159">
        <v>4.5</v>
      </c>
      <c r="W663" s="159">
        <v>4.5</v>
      </c>
      <c r="X663" s="161"/>
      <c r="Y663" s="161"/>
      <c r="Z663" s="161"/>
      <c r="AA663" s="161"/>
      <c r="AB663" s="161"/>
      <c r="AC663" s="159">
        <v>4.791666666666667</v>
      </c>
      <c r="AD663" s="171"/>
    </row>
    <row r="664">
      <c r="A664" s="162">
        <v>104914.0</v>
      </c>
      <c r="B664" s="163" t="s">
        <v>1600</v>
      </c>
      <c r="C664" s="164" t="s">
        <v>1601</v>
      </c>
      <c r="D664" s="165">
        <v>45554.0</v>
      </c>
      <c r="E664" s="164" t="s">
        <v>265</v>
      </c>
      <c r="F664" s="161"/>
      <c r="G664" s="161"/>
      <c r="H664" s="159">
        <v>5.0</v>
      </c>
      <c r="I664" s="159">
        <v>5.0</v>
      </c>
      <c r="J664" s="159">
        <v>5.0</v>
      </c>
      <c r="K664" s="159">
        <v>5.0</v>
      </c>
      <c r="L664" s="159">
        <v>5.0</v>
      </c>
      <c r="M664" s="159">
        <v>5.0</v>
      </c>
      <c r="N664" s="159">
        <v>4.5</v>
      </c>
      <c r="O664" s="159">
        <v>4.5</v>
      </c>
      <c r="P664" s="159">
        <v>3.8</v>
      </c>
      <c r="Q664" s="159">
        <v>4.5</v>
      </c>
      <c r="R664" s="159">
        <v>4.325</v>
      </c>
      <c r="S664" s="159">
        <v>4.2</v>
      </c>
      <c r="T664" s="159">
        <v>4.2</v>
      </c>
      <c r="U664" s="159">
        <v>4.2</v>
      </c>
      <c r="V664" s="159">
        <v>4.2</v>
      </c>
      <c r="W664" s="159">
        <v>4.2</v>
      </c>
      <c r="X664" s="161"/>
      <c r="Y664" s="161"/>
      <c r="Z664" s="161"/>
      <c r="AA664" s="161"/>
      <c r="AB664" s="161"/>
      <c r="AC664" s="159">
        <v>4.508333333333333</v>
      </c>
      <c r="AD664" s="171"/>
    </row>
    <row r="665">
      <c r="A665" s="162">
        <v>104906.0</v>
      </c>
      <c r="B665" s="163" t="s">
        <v>1602</v>
      </c>
      <c r="C665" s="164" t="s">
        <v>1603</v>
      </c>
      <c r="D665" s="165">
        <v>45554.0</v>
      </c>
      <c r="E665" s="164" t="s">
        <v>265</v>
      </c>
      <c r="F665" s="161"/>
      <c r="G665" s="161"/>
      <c r="H665" s="159">
        <v>5.0</v>
      </c>
      <c r="I665" s="159">
        <v>5.0</v>
      </c>
      <c r="J665" s="159">
        <v>5.0</v>
      </c>
      <c r="K665" s="159">
        <v>5.0</v>
      </c>
      <c r="L665" s="159">
        <v>5.0</v>
      </c>
      <c r="M665" s="159">
        <v>5.0</v>
      </c>
      <c r="N665" s="159">
        <v>5.0</v>
      </c>
      <c r="O665" s="159">
        <v>5.0</v>
      </c>
      <c r="P665" s="159">
        <v>5.0</v>
      </c>
      <c r="Q665" s="159">
        <v>5.0</v>
      </c>
      <c r="R665" s="159">
        <v>5.0</v>
      </c>
      <c r="S665" s="159">
        <v>4.5</v>
      </c>
      <c r="T665" s="159">
        <v>4.5</v>
      </c>
      <c r="U665" s="159">
        <v>4.5</v>
      </c>
      <c r="V665" s="159">
        <v>4.5</v>
      </c>
      <c r="W665" s="159">
        <v>4.5</v>
      </c>
      <c r="X665" s="161"/>
      <c r="Y665" s="161"/>
      <c r="Z665" s="161"/>
      <c r="AA665" s="161"/>
      <c r="AB665" s="161"/>
      <c r="AC665" s="159">
        <v>4.833333333333333</v>
      </c>
      <c r="AD665" s="171"/>
    </row>
    <row r="666">
      <c r="A666" s="162">
        <v>104903.0</v>
      </c>
      <c r="B666" s="163" t="s">
        <v>1604</v>
      </c>
      <c r="C666" s="164" t="s">
        <v>1605</v>
      </c>
      <c r="D666" s="165">
        <v>45554.0</v>
      </c>
      <c r="E666" s="164" t="s">
        <v>265</v>
      </c>
      <c r="F666" s="161"/>
      <c r="G666" s="161"/>
      <c r="H666" s="159">
        <v>5.0</v>
      </c>
      <c r="I666" s="159">
        <v>5.0</v>
      </c>
      <c r="J666" s="159">
        <v>5.0</v>
      </c>
      <c r="K666" s="159">
        <v>5.0</v>
      </c>
      <c r="L666" s="159">
        <v>5.0</v>
      </c>
      <c r="M666" s="159">
        <v>5.0</v>
      </c>
      <c r="N666" s="159">
        <v>5.0</v>
      </c>
      <c r="O666" s="159">
        <v>5.0</v>
      </c>
      <c r="P666" s="159">
        <v>5.0</v>
      </c>
      <c r="Q666" s="159">
        <v>5.0</v>
      </c>
      <c r="R666" s="159">
        <v>5.0</v>
      </c>
      <c r="S666" s="159">
        <v>4.5</v>
      </c>
      <c r="T666" s="159">
        <v>4.5</v>
      </c>
      <c r="U666" s="159">
        <v>4.5</v>
      </c>
      <c r="V666" s="159">
        <v>4.5</v>
      </c>
      <c r="W666" s="159">
        <v>4.5</v>
      </c>
      <c r="X666" s="161"/>
      <c r="Y666" s="161"/>
      <c r="Z666" s="161"/>
      <c r="AA666" s="161"/>
      <c r="AB666" s="161"/>
      <c r="AC666" s="159">
        <v>4.833333333333333</v>
      </c>
      <c r="AD666" s="171"/>
    </row>
    <row r="667">
      <c r="A667" s="162">
        <v>105024.0</v>
      </c>
      <c r="B667" s="163" t="s">
        <v>1606</v>
      </c>
      <c r="C667" s="164" t="s">
        <v>1607</v>
      </c>
      <c r="D667" s="165">
        <v>45555.0</v>
      </c>
      <c r="E667" s="164" t="s">
        <v>1140</v>
      </c>
      <c r="F667" s="161"/>
      <c r="G667" s="161"/>
      <c r="H667" s="159">
        <v>5.0</v>
      </c>
      <c r="I667" s="159">
        <v>5.0</v>
      </c>
      <c r="J667" s="159">
        <v>5.0</v>
      </c>
      <c r="K667" s="159">
        <v>5.0</v>
      </c>
      <c r="L667" s="159">
        <v>5.0</v>
      </c>
      <c r="M667" s="159">
        <v>5.0</v>
      </c>
      <c r="N667" s="159">
        <v>5.0</v>
      </c>
      <c r="O667" s="159">
        <v>5.0</v>
      </c>
      <c r="P667" s="159">
        <v>4.9</v>
      </c>
      <c r="Q667" s="159">
        <v>5.0</v>
      </c>
      <c r="R667" s="159">
        <v>4.975</v>
      </c>
      <c r="S667" s="159">
        <v>4.5</v>
      </c>
      <c r="T667" s="159">
        <v>4.5</v>
      </c>
      <c r="U667" s="159">
        <v>4.5</v>
      </c>
      <c r="V667" s="159">
        <v>4.5</v>
      </c>
      <c r="W667" s="159">
        <v>4.5</v>
      </c>
      <c r="X667" s="161"/>
      <c r="Y667" s="161"/>
      <c r="Z667" s="161"/>
      <c r="AA667" s="161"/>
      <c r="AB667" s="161"/>
      <c r="AC667" s="159">
        <v>4.825</v>
      </c>
      <c r="AD667" s="171"/>
    </row>
    <row r="668">
      <c r="A668" s="162">
        <v>104937.0</v>
      </c>
      <c r="B668" s="163" t="s">
        <v>1608</v>
      </c>
      <c r="C668" s="164" t="s">
        <v>1609</v>
      </c>
      <c r="D668" s="165">
        <v>45555.0</v>
      </c>
      <c r="E668" s="164" t="s">
        <v>1159</v>
      </c>
      <c r="F668" s="161"/>
      <c r="G668" s="161"/>
      <c r="H668" s="159">
        <v>5.0</v>
      </c>
      <c r="I668" s="159">
        <v>5.0</v>
      </c>
      <c r="J668" s="159">
        <v>5.0</v>
      </c>
      <c r="K668" s="159">
        <v>5.0</v>
      </c>
      <c r="L668" s="159">
        <v>5.0</v>
      </c>
      <c r="M668" s="159">
        <v>5.0</v>
      </c>
      <c r="N668" s="159">
        <v>5.0</v>
      </c>
      <c r="O668" s="159">
        <v>5.0</v>
      </c>
      <c r="P668" s="159">
        <v>5.0</v>
      </c>
      <c r="Q668" s="159">
        <v>5.0</v>
      </c>
      <c r="R668" s="159">
        <v>5.0</v>
      </c>
      <c r="S668" s="159">
        <v>4.5</v>
      </c>
      <c r="T668" s="159">
        <v>4.5</v>
      </c>
      <c r="U668" s="159">
        <v>4.5</v>
      </c>
      <c r="V668" s="159">
        <v>4.5</v>
      </c>
      <c r="W668" s="159">
        <v>4.5</v>
      </c>
      <c r="X668" s="161"/>
      <c r="Y668" s="161"/>
      <c r="Z668" s="161"/>
      <c r="AA668" s="161"/>
      <c r="AB668" s="161"/>
      <c r="AC668" s="159">
        <v>4.833333333333333</v>
      </c>
      <c r="AD668" s="171"/>
    </row>
    <row r="669">
      <c r="A669" s="162">
        <v>105028.0</v>
      </c>
      <c r="B669" s="163" t="s">
        <v>1610</v>
      </c>
      <c r="C669" s="164" t="s">
        <v>1611</v>
      </c>
      <c r="D669" s="165">
        <v>45555.0</v>
      </c>
      <c r="E669" s="164" t="s">
        <v>1140</v>
      </c>
      <c r="F669" s="161"/>
      <c r="G669" s="161"/>
      <c r="H669" s="159">
        <v>5.0</v>
      </c>
      <c r="I669" s="159">
        <v>5.0</v>
      </c>
      <c r="J669" s="159">
        <v>5.0</v>
      </c>
      <c r="K669" s="159">
        <v>5.0</v>
      </c>
      <c r="L669" s="159">
        <v>5.0</v>
      </c>
      <c r="M669" s="159">
        <v>5.0</v>
      </c>
      <c r="N669" s="159">
        <v>5.0</v>
      </c>
      <c r="O669" s="159">
        <v>5.0</v>
      </c>
      <c r="P669" s="159">
        <v>5.0</v>
      </c>
      <c r="Q669" s="159">
        <v>5.0</v>
      </c>
      <c r="R669" s="159">
        <v>5.0</v>
      </c>
      <c r="S669" s="159">
        <v>4.5</v>
      </c>
      <c r="T669" s="159">
        <v>4.5</v>
      </c>
      <c r="U669" s="159">
        <v>4.5</v>
      </c>
      <c r="V669" s="159">
        <v>4.5</v>
      </c>
      <c r="W669" s="159">
        <v>4.5</v>
      </c>
      <c r="X669" s="161"/>
      <c r="Y669" s="161"/>
      <c r="Z669" s="161"/>
      <c r="AA669" s="161"/>
      <c r="AB669" s="161"/>
      <c r="AC669" s="159">
        <v>4.833333333333333</v>
      </c>
      <c r="AD669" s="171"/>
    </row>
    <row r="670">
      <c r="A670" s="162">
        <v>104894.0</v>
      </c>
      <c r="B670" s="163" t="s">
        <v>1612</v>
      </c>
      <c r="C670" s="164" t="s">
        <v>1613</v>
      </c>
      <c r="D670" s="165">
        <v>45558.0</v>
      </c>
      <c r="E670" s="164" t="s">
        <v>87</v>
      </c>
      <c r="F670" s="161"/>
      <c r="G670" s="161"/>
      <c r="H670" s="159">
        <v>4.5</v>
      </c>
      <c r="I670" s="159">
        <v>4.5</v>
      </c>
      <c r="J670" s="159">
        <v>4.5</v>
      </c>
      <c r="K670" s="159">
        <v>4.5</v>
      </c>
      <c r="L670" s="159">
        <v>4.5</v>
      </c>
      <c r="M670" s="159">
        <v>4.5</v>
      </c>
      <c r="N670" s="159">
        <v>5.0</v>
      </c>
      <c r="O670" s="159">
        <v>4.5</v>
      </c>
      <c r="P670" s="159">
        <v>5.0</v>
      </c>
      <c r="Q670" s="159">
        <v>5.0</v>
      </c>
      <c r="R670" s="159">
        <v>4.875</v>
      </c>
      <c r="S670" s="159">
        <v>4.5</v>
      </c>
      <c r="T670" s="159">
        <v>4.5</v>
      </c>
      <c r="U670" s="159">
        <v>4.5</v>
      </c>
      <c r="V670" s="159">
        <v>4.5</v>
      </c>
      <c r="W670" s="159">
        <v>4.5</v>
      </c>
      <c r="X670" s="161"/>
      <c r="Y670" s="161"/>
      <c r="Z670" s="161"/>
      <c r="AA670" s="161"/>
      <c r="AB670" s="161"/>
      <c r="AC670" s="159">
        <v>4.625</v>
      </c>
      <c r="AD670" s="171"/>
    </row>
    <row r="671">
      <c r="A671" s="162">
        <v>104985.0</v>
      </c>
      <c r="B671" s="163" t="s">
        <v>1614</v>
      </c>
      <c r="C671" s="164" t="s">
        <v>1615</v>
      </c>
      <c r="D671" s="165">
        <v>45558.0</v>
      </c>
      <c r="E671" s="164" t="s">
        <v>295</v>
      </c>
      <c r="F671" s="161"/>
      <c r="G671" s="161"/>
      <c r="H671" s="159">
        <v>5.0</v>
      </c>
      <c r="I671" s="159">
        <v>5.0</v>
      </c>
      <c r="J671" s="159">
        <v>5.0</v>
      </c>
      <c r="K671" s="159">
        <v>5.0</v>
      </c>
      <c r="L671" s="159">
        <v>5.0</v>
      </c>
      <c r="M671" s="159">
        <v>5.0</v>
      </c>
      <c r="N671" s="159">
        <v>5.0</v>
      </c>
      <c r="O671" s="159">
        <v>5.0</v>
      </c>
      <c r="P671" s="159">
        <v>5.0</v>
      </c>
      <c r="Q671" s="159">
        <v>5.0</v>
      </c>
      <c r="R671" s="159">
        <v>5.0</v>
      </c>
      <c r="S671" s="159">
        <v>4.5</v>
      </c>
      <c r="T671" s="159">
        <v>4.5</v>
      </c>
      <c r="U671" s="159">
        <v>4.5</v>
      </c>
      <c r="V671" s="159">
        <v>4.5</v>
      </c>
      <c r="W671" s="159">
        <v>4.5</v>
      </c>
      <c r="X671" s="161"/>
      <c r="Y671" s="161"/>
      <c r="Z671" s="161"/>
      <c r="AA671" s="161"/>
      <c r="AB671" s="161"/>
      <c r="AC671" s="159">
        <v>4.833333333333333</v>
      </c>
      <c r="AD671" s="171"/>
    </row>
    <row r="672">
      <c r="A672" s="162">
        <v>104988.0</v>
      </c>
      <c r="B672" s="163" t="s">
        <v>1616</v>
      </c>
      <c r="C672" s="164" t="s">
        <v>1617</v>
      </c>
      <c r="D672" s="165">
        <v>45558.0</v>
      </c>
      <c r="E672" s="164" t="s">
        <v>295</v>
      </c>
      <c r="F672" s="161"/>
      <c r="G672" s="161"/>
      <c r="H672" s="159">
        <v>5.0</v>
      </c>
      <c r="I672" s="159">
        <v>5.0</v>
      </c>
      <c r="J672" s="159">
        <v>5.0</v>
      </c>
      <c r="K672" s="159">
        <v>5.0</v>
      </c>
      <c r="L672" s="159">
        <v>5.0</v>
      </c>
      <c r="M672" s="159">
        <v>5.0</v>
      </c>
      <c r="N672" s="159">
        <v>5.0</v>
      </c>
      <c r="O672" s="159">
        <v>5.0</v>
      </c>
      <c r="P672" s="159">
        <v>5.0</v>
      </c>
      <c r="Q672" s="159">
        <v>5.0</v>
      </c>
      <c r="R672" s="159">
        <v>5.0</v>
      </c>
      <c r="S672" s="159">
        <v>4.5</v>
      </c>
      <c r="T672" s="159">
        <v>4.5</v>
      </c>
      <c r="U672" s="159">
        <v>4.5</v>
      </c>
      <c r="V672" s="159">
        <v>4.5</v>
      </c>
      <c r="W672" s="159">
        <v>4.5</v>
      </c>
      <c r="X672" s="161"/>
      <c r="Y672" s="161"/>
      <c r="Z672" s="161"/>
      <c r="AA672" s="161"/>
      <c r="AB672" s="161"/>
      <c r="AC672" s="159">
        <v>4.833333333333333</v>
      </c>
      <c r="AD672" s="171"/>
    </row>
    <row r="673">
      <c r="A673" s="162">
        <v>104976.0</v>
      </c>
      <c r="B673" s="163" t="s">
        <v>1618</v>
      </c>
      <c r="C673" s="164" t="s">
        <v>1619</v>
      </c>
      <c r="D673" s="165">
        <v>45558.0</v>
      </c>
      <c r="E673" s="164" t="s">
        <v>295</v>
      </c>
      <c r="F673" s="161"/>
      <c r="G673" s="161"/>
      <c r="H673" s="159">
        <v>5.0</v>
      </c>
      <c r="I673" s="159">
        <v>5.0</v>
      </c>
      <c r="J673" s="159">
        <v>5.0</v>
      </c>
      <c r="K673" s="159">
        <v>5.0</v>
      </c>
      <c r="L673" s="159">
        <v>5.0</v>
      </c>
      <c r="M673" s="159">
        <v>5.0</v>
      </c>
      <c r="N673" s="159">
        <v>5.0</v>
      </c>
      <c r="O673" s="159">
        <v>5.0</v>
      </c>
      <c r="P673" s="159">
        <v>5.0</v>
      </c>
      <c r="Q673" s="159">
        <v>5.0</v>
      </c>
      <c r="R673" s="159">
        <v>5.0</v>
      </c>
      <c r="S673" s="159">
        <v>4.5</v>
      </c>
      <c r="T673" s="159">
        <v>4.5</v>
      </c>
      <c r="U673" s="159">
        <v>4.5</v>
      </c>
      <c r="V673" s="159">
        <v>4.5</v>
      </c>
      <c r="W673" s="159">
        <v>4.5</v>
      </c>
      <c r="X673" s="161"/>
      <c r="Y673" s="161"/>
      <c r="Z673" s="161"/>
      <c r="AA673" s="161"/>
      <c r="AB673" s="161"/>
      <c r="AC673" s="159">
        <v>4.833333333333333</v>
      </c>
      <c r="AD673" s="171"/>
    </row>
    <row r="674">
      <c r="A674" s="162">
        <v>104989.0</v>
      </c>
      <c r="B674" s="163" t="s">
        <v>1620</v>
      </c>
      <c r="C674" s="164" t="s">
        <v>1621</v>
      </c>
      <c r="D674" s="165">
        <v>45558.0</v>
      </c>
      <c r="E674" s="164" t="s">
        <v>295</v>
      </c>
      <c r="F674" s="161"/>
      <c r="G674" s="161"/>
      <c r="H674" s="159">
        <v>5.0</v>
      </c>
      <c r="I674" s="159">
        <v>5.0</v>
      </c>
      <c r="J674" s="159">
        <v>5.0</v>
      </c>
      <c r="K674" s="159">
        <v>5.0</v>
      </c>
      <c r="L674" s="159">
        <v>5.0</v>
      </c>
      <c r="M674" s="159">
        <v>5.0</v>
      </c>
      <c r="N674" s="159">
        <v>5.0</v>
      </c>
      <c r="O674" s="159">
        <v>5.0</v>
      </c>
      <c r="P674" s="159">
        <v>5.0</v>
      </c>
      <c r="Q674" s="159">
        <v>5.0</v>
      </c>
      <c r="R674" s="159">
        <v>5.0</v>
      </c>
      <c r="S674" s="159">
        <v>4.5</v>
      </c>
      <c r="T674" s="159">
        <v>4.5</v>
      </c>
      <c r="U674" s="159">
        <v>4.5</v>
      </c>
      <c r="V674" s="159">
        <v>4.5</v>
      </c>
      <c r="W674" s="159">
        <v>4.5</v>
      </c>
      <c r="X674" s="161"/>
      <c r="Y674" s="161"/>
      <c r="Z674" s="161"/>
      <c r="AA674" s="161"/>
      <c r="AB674" s="161"/>
      <c r="AC674" s="159">
        <v>4.833333333333333</v>
      </c>
      <c r="AD674" s="171"/>
    </row>
    <row r="675">
      <c r="A675" s="162">
        <v>104995.0</v>
      </c>
      <c r="B675" s="163" t="s">
        <v>1622</v>
      </c>
      <c r="C675" s="164" t="s">
        <v>1623</v>
      </c>
      <c r="D675" s="165">
        <v>45558.0</v>
      </c>
      <c r="E675" s="164" t="s">
        <v>295</v>
      </c>
      <c r="F675" s="161"/>
      <c r="G675" s="161"/>
      <c r="H675" s="159">
        <v>5.0</v>
      </c>
      <c r="I675" s="159">
        <v>5.0</v>
      </c>
      <c r="J675" s="159">
        <v>5.0</v>
      </c>
      <c r="K675" s="159">
        <v>5.0</v>
      </c>
      <c r="L675" s="159">
        <v>5.0</v>
      </c>
      <c r="M675" s="159">
        <v>5.0</v>
      </c>
      <c r="N675" s="159">
        <v>5.0</v>
      </c>
      <c r="O675" s="159">
        <v>5.0</v>
      </c>
      <c r="P675" s="159">
        <v>5.0</v>
      </c>
      <c r="Q675" s="159">
        <v>5.0</v>
      </c>
      <c r="R675" s="159">
        <v>5.0</v>
      </c>
      <c r="S675" s="159">
        <v>4.5</v>
      </c>
      <c r="T675" s="159">
        <v>4.5</v>
      </c>
      <c r="U675" s="159">
        <v>4.5</v>
      </c>
      <c r="V675" s="159">
        <v>4.5</v>
      </c>
      <c r="W675" s="159">
        <v>4.5</v>
      </c>
      <c r="X675" s="161"/>
      <c r="Y675" s="161"/>
      <c r="Z675" s="161"/>
      <c r="AA675" s="161"/>
      <c r="AB675" s="161"/>
      <c r="AC675" s="159">
        <v>4.833333333333333</v>
      </c>
      <c r="AD675" s="171"/>
    </row>
    <row r="676">
      <c r="A676" s="162">
        <v>104977.0</v>
      </c>
      <c r="B676" s="163" t="s">
        <v>1624</v>
      </c>
      <c r="C676" s="164" t="s">
        <v>1625</v>
      </c>
      <c r="D676" s="165">
        <v>45558.0</v>
      </c>
      <c r="E676" s="164" t="s">
        <v>295</v>
      </c>
      <c r="F676" s="161"/>
      <c r="G676" s="161"/>
      <c r="H676" s="159">
        <v>5.0</v>
      </c>
      <c r="I676" s="159">
        <v>5.0</v>
      </c>
      <c r="J676" s="159">
        <v>5.0</v>
      </c>
      <c r="K676" s="159">
        <v>5.0</v>
      </c>
      <c r="L676" s="159">
        <v>5.0</v>
      </c>
      <c r="M676" s="159">
        <v>5.0</v>
      </c>
      <c r="N676" s="159">
        <v>5.0</v>
      </c>
      <c r="O676" s="159">
        <v>5.0</v>
      </c>
      <c r="P676" s="159">
        <v>4.0</v>
      </c>
      <c r="Q676" s="159">
        <v>5.0</v>
      </c>
      <c r="R676" s="159">
        <v>4.75</v>
      </c>
      <c r="S676" s="159">
        <v>4.5</v>
      </c>
      <c r="T676" s="159">
        <v>4.5</v>
      </c>
      <c r="U676" s="159">
        <v>4.5</v>
      </c>
      <c r="V676" s="159">
        <v>4.5</v>
      </c>
      <c r="W676" s="159">
        <v>4.5</v>
      </c>
      <c r="X676" s="161"/>
      <c r="Y676" s="161"/>
      <c r="Z676" s="161"/>
      <c r="AA676" s="161"/>
      <c r="AB676" s="161"/>
      <c r="AC676" s="159">
        <v>4.75</v>
      </c>
      <c r="AD676" s="171"/>
    </row>
    <row r="677">
      <c r="A677" s="162">
        <v>104994.0</v>
      </c>
      <c r="B677" s="163" t="s">
        <v>1626</v>
      </c>
      <c r="C677" s="164" t="s">
        <v>1627</v>
      </c>
      <c r="D677" s="165">
        <v>45558.0</v>
      </c>
      <c r="E677" s="164" t="s">
        <v>295</v>
      </c>
      <c r="F677" s="161"/>
      <c r="G677" s="161"/>
      <c r="H677" s="159">
        <v>4.75</v>
      </c>
      <c r="I677" s="159">
        <v>4.75</v>
      </c>
      <c r="J677" s="159">
        <v>4.75</v>
      </c>
      <c r="K677" s="159">
        <v>4.75</v>
      </c>
      <c r="L677" s="159">
        <v>4.75</v>
      </c>
      <c r="M677" s="159">
        <v>4.75</v>
      </c>
      <c r="N677" s="159">
        <v>5.0</v>
      </c>
      <c r="O677" s="159">
        <v>5.0</v>
      </c>
      <c r="P677" s="159">
        <v>4.0</v>
      </c>
      <c r="Q677" s="159">
        <v>5.0</v>
      </c>
      <c r="R677" s="159">
        <v>4.75</v>
      </c>
      <c r="S677" s="159">
        <v>4.5</v>
      </c>
      <c r="T677" s="159">
        <v>4.5</v>
      </c>
      <c r="U677" s="159">
        <v>4.5</v>
      </c>
      <c r="V677" s="159">
        <v>4.5</v>
      </c>
      <c r="W677" s="159">
        <v>4.5</v>
      </c>
      <c r="X677" s="161"/>
      <c r="Y677" s="161"/>
      <c r="Z677" s="161"/>
      <c r="AA677" s="161"/>
      <c r="AB677" s="161"/>
      <c r="AC677" s="159">
        <v>4.666666666666667</v>
      </c>
      <c r="AD677" s="171"/>
    </row>
    <row r="678">
      <c r="A678" s="162">
        <v>104981.0</v>
      </c>
      <c r="B678" s="163" t="s">
        <v>1628</v>
      </c>
      <c r="C678" s="164" t="s">
        <v>1629</v>
      </c>
      <c r="D678" s="165">
        <v>45558.0</v>
      </c>
      <c r="E678" s="164" t="s">
        <v>87</v>
      </c>
      <c r="F678" s="161"/>
      <c r="G678" s="161"/>
      <c r="H678" s="159">
        <v>5.0</v>
      </c>
      <c r="I678" s="159">
        <v>5.0</v>
      </c>
      <c r="J678" s="159">
        <v>5.0</v>
      </c>
      <c r="K678" s="159">
        <v>5.0</v>
      </c>
      <c r="L678" s="159">
        <v>5.0</v>
      </c>
      <c r="M678" s="159">
        <v>5.0</v>
      </c>
      <c r="N678" s="159">
        <v>5.0</v>
      </c>
      <c r="O678" s="159">
        <v>4.5</v>
      </c>
      <c r="P678" s="159">
        <v>5.0</v>
      </c>
      <c r="Q678" s="159">
        <v>5.0</v>
      </c>
      <c r="R678" s="159">
        <v>4.875</v>
      </c>
      <c r="S678" s="159">
        <v>4.5</v>
      </c>
      <c r="T678" s="159">
        <v>4.5</v>
      </c>
      <c r="U678" s="159">
        <v>4.5</v>
      </c>
      <c r="V678" s="159">
        <v>4.5</v>
      </c>
      <c r="W678" s="159">
        <v>4.5</v>
      </c>
      <c r="X678" s="161"/>
      <c r="Y678" s="161"/>
      <c r="Z678" s="161"/>
      <c r="AA678" s="161"/>
      <c r="AB678" s="161"/>
      <c r="AC678" s="159">
        <v>4.791666666666667</v>
      </c>
      <c r="AD678" s="171"/>
    </row>
    <row r="679">
      <c r="A679" s="162">
        <v>104908.0</v>
      </c>
      <c r="B679" s="163" t="s">
        <v>1630</v>
      </c>
      <c r="C679" s="164" t="s">
        <v>1631</v>
      </c>
      <c r="D679" s="165">
        <v>45558.0</v>
      </c>
      <c r="E679" s="164" t="s">
        <v>87</v>
      </c>
      <c r="F679" s="161"/>
      <c r="G679" s="161"/>
      <c r="H679" s="159">
        <v>5.0</v>
      </c>
      <c r="I679" s="159">
        <v>5.0</v>
      </c>
      <c r="J679" s="159">
        <v>5.0</v>
      </c>
      <c r="K679" s="159">
        <v>5.0</v>
      </c>
      <c r="L679" s="159">
        <v>5.0</v>
      </c>
      <c r="M679" s="159">
        <v>5.0</v>
      </c>
      <c r="N679" s="159">
        <v>5.0</v>
      </c>
      <c r="O679" s="159">
        <v>4.5</v>
      </c>
      <c r="P679" s="159">
        <v>5.0</v>
      </c>
      <c r="Q679" s="159">
        <v>5.0</v>
      </c>
      <c r="R679" s="159">
        <v>4.875</v>
      </c>
      <c r="S679" s="159">
        <v>4.5</v>
      </c>
      <c r="T679" s="159">
        <v>4.5</v>
      </c>
      <c r="U679" s="159">
        <v>4.5</v>
      </c>
      <c r="V679" s="159">
        <v>4.5</v>
      </c>
      <c r="W679" s="159">
        <v>4.5</v>
      </c>
      <c r="X679" s="161"/>
      <c r="Y679" s="161"/>
      <c r="Z679" s="161"/>
      <c r="AA679" s="161"/>
      <c r="AB679" s="161"/>
      <c r="AC679" s="159">
        <v>4.791666666666667</v>
      </c>
      <c r="AD679" s="171"/>
    </row>
    <row r="680">
      <c r="A680" s="162">
        <v>105021.0</v>
      </c>
      <c r="B680" s="163" t="s">
        <v>1632</v>
      </c>
      <c r="C680" s="164" t="s">
        <v>1633</v>
      </c>
      <c r="D680" s="165">
        <v>45558.0</v>
      </c>
      <c r="E680" s="164" t="s">
        <v>427</v>
      </c>
      <c r="F680" s="161"/>
      <c r="G680" s="161"/>
      <c r="H680" s="159">
        <v>5.0</v>
      </c>
      <c r="I680" s="159">
        <v>5.0</v>
      </c>
      <c r="J680" s="159">
        <v>5.0</v>
      </c>
      <c r="K680" s="159">
        <v>5.0</v>
      </c>
      <c r="L680" s="159">
        <v>5.0</v>
      </c>
      <c r="M680" s="159">
        <v>5.0</v>
      </c>
      <c r="N680" s="159">
        <v>5.0</v>
      </c>
      <c r="O680" s="159">
        <v>4.5</v>
      </c>
      <c r="P680" s="159">
        <v>5.0</v>
      </c>
      <c r="Q680" s="159">
        <v>5.0</v>
      </c>
      <c r="R680" s="159">
        <v>4.875</v>
      </c>
      <c r="S680" s="159">
        <v>4.5</v>
      </c>
      <c r="T680" s="159">
        <v>4.5</v>
      </c>
      <c r="U680" s="159">
        <v>4.5</v>
      </c>
      <c r="V680" s="159">
        <v>4.5</v>
      </c>
      <c r="W680" s="159">
        <v>4.5</v>
      </c>
      <c r="X680" s="161"/>
      <c r="Y680" s="161"/>
      <c r="Z680" s="161"/>
      <c r="AA680" s="161"/>
      <c r="AB680" s="161"/>
      <c r="AC680" s="159">
        <v>4.791666666666667</v>
      </c>
      <c r="AD680" s="171"/>
    </row>
    <row r="681">
      <c r="A681" s="162">
        <v>104984.0</v>
      </c>
      <c r="B681" s="163" t="s">
        <v>1634</v>
      </c>
      <c r="C681" s="164" t="s">
        <v>1635</v>
      </c>
      <c r="D681" s="165">
        <v>45558.0</v>
      </c>
      <c r="E681" s="164" t="s">
        <v>427</v>
      </c>
      <c r="F681" s="161"/>
      <c r="G681" s="161"/>
      <c r="H681" s="159">
        <v>5.0</v>
      </c>
      <c r="I681" s="159">
        <v>5.0</v>
      </c>
      <c r="J681" s="159">
        <v>5.0</v>
      </c>
      <c r="K681" s="159">
        <v>5.0</v>
      </c>
      <c r="L681" s="159">
        <v>5.0</v>
      </c>
      <c r="M681" s="159">
        <v>5.0</v>
      </c>
      <c r="N681" s="159">
        <v>5.0</v>
      </c>
      <c r="O681" s="159">
        <v>4.5</v>
      </c>
      <c r="P681" s="159">
        <v>5.0</v>
      </c>
      <c r="Q681" s="159">
        <v>5.0</v>
      </c>
      <c r="R681" s="159">
        <v>4.875</v>
      </c>
      <c r="S681" s="159">
        <v>4.5</v>
      </c>
      <c r="T681" s="159">
        <v>4.5</v>
      </c>
      <c r="U681" s="159">
        <v>4.5</v>
      </c>
      <c r="V681" s="159">
        <v>4.5</v>
      </c>
      <c r="W681" s="159">
        <v>4.5</v>
      </c>
      <c r="X681" s="161"/>
      <c r="Y681" s="161"/>
      <c r="Z681" s="161"/>
      <c r="AA681" s="161"/>
      <c r="AB681" s="161"/>
      <c r="AC681" s="159">
        <v>4.791666666666667</v>
      </c>
      <c r="AD681" s="171"/>
    </row>
    <row r="682">
      <c r="A682" s="162">
        <v>104999.0</v>
      </c>
      <c r="B682" s="163" t="s">
        <v>1636</v>
      </c>
      <c r="C682" s="164" t="s">
        <v>1637</v>
      </c>
      <c r="D682" s="165">
        <v>45559.0</v>
      </c>
      <c r="E682" s="164" t="s">
        <v>87</v>
      </c>
      <c r="F682" s="161"/>
      <c r="G682" s="161"/>
      <c r="H682" s="159">
        <v>5.0</v>
      </c>
      <c r="I682" s="159">
        <v>5.0</v>
      </c>
      <c r="J682" s="159">
        <v>5.0</v>
      </c>
      <c r="K682" s="159">
        <v>5.0</v>
      </c>
      <c r="L682" s="159">
        <v>5.0</v>
      </c>
      <c r="M682" s="159">
        <v>5.0</v>
      </c>
      <c r="N682" s="159">
        <v>5.0</v>
      </c>
      <c r="O682" s="159">
        <v>4.5</v>
      </c>
      <c r="P682" s="159">
        <v>5.0</v>
      </c>
      <c r="Q682" s="159">
        <v>5.0</v>
      </c>
      <c r="R682" s="159">
        <v>4.875</v>
      </c>
      <c r="S682" s="159">
        <v>4.5</v>
      </c>
      <c r="T682" s="159">
        <v>4.5</v>
      </c>
      <c r="U682" s="159">
        <v>4.5</v>
      </c>
      <c r="V682" s="159">
        <v>4.5</v>
      </c>
      <c r="W682" s="159">
        <v>4.5</v>
      </c>
      <c r="X682" s="161"/>
      <c r="Y682" s="161"/>
      <c r="Z682" s="161"/>
      <c r="AA682" s="161"/>
      <c r="AB682" s="161"/>
      <c r="AC682" s="159">
        <v>4.791666666666667</v>
      </c>
      <c r="AD682" s="171"/>
    </row>
    <row r="683">
      <c r="A683" s="162">
        <v>104987.0</v>
      </c>
      <c r="B683" s="163" t="s">
        <v>1638</v>
      </c>
      <c r="C683" s="164" t="s">
        <v>1639</v>
      </c>
      <c r="D683" s="165">
        <v>45559.0</v>
      </c>
      <c r="E683" s="164" t="s">
        <v>87</v>
      </c>
      <c r="F683" s="161"/>
      <c r="G683" s="161"/>
      <c r="H683" s="159">
        <v>5.0</v>
      </c>
      <c r="I683" s="159">
        <v>5.0</v>
      </c>
      <c r="J683" s="159">
        <v>5.0</v>
      </c>
      <c r="K683" s="159">
        <v>5.0</v>
      </c>
      <c r="L683" s="159">
        <v>5.0</v>
      </c>
      <c r="M683" s="159">
        <v>5.0</v>
      </c>
      <c r="N683" s="159">
        <v>5.0</v>
      </c>
      <c r="O683" s="159">
        <v>4.5</v>
      </c>
      <c r="P683" s="159">
        <v>5.0</v>
      </c>
      <c r="Q683" s="159">
        <v>5.0</v>
      </c>
      <c r="R683" s="159">
        <v>4.875</v>
      </c>
      <c r="S683" s="159">
        <v>4.5</v>
      </c>
      <c r="T683" s="159">
        <v>4.5</v>
      </c>
      <c r="U683" s="159">
        <v>4.5</v>
      </c>
      <c r="V683" s="159">
        <v>4.5</v>
      </c>
      <c r="W683" s="159">
        <v>4.5</v>
      </c>
      <c r="X683" s="161"/>
      <c r="Y683" s="161"/>
      <c r="Z683" s="161"/>
      <c r="AA683" s="161"/>
      <c r="AB683" s="161"/>
      <c r="AC683" s="159">
        <v>4.791666666666667</v>
      </c>
      <c r="AD683" s="171"/>
    </row>
    <row r="684">
      <c r="A684" s="162">
        <v>105003.0</v>
      </c>
      <c r="B684" s="163" t="s">
        <v>1640</v>
      </c>
      <c r="C684" s="164" t="s">
        <v>1641</v>
      </c>
      <c r="D684" s="165">
        <v>45559.0</v>
      </c>
      <c r="E684" s="164" t="s">
        <v>87</v>
      </c>
      <c r="F684" s="161"/>
      <c r="G684" s="161"/>
      <c r="H684" s="159">
        <v>5.0</v>
      </c>
      <c r="I684" s="159">
        <v>5.0</v>
      </c>
      <c r="J684" s="159">
        <v>5.0</v>
      </c>
      <c r="K684" s="159">
        <v>5.0</v>
      </c>
      <c r="L684" s="159">
        <v>5.0</v>
      </c>
      <c r="M684" s="159">
        <v>5.0</v>
      </c>
      <c r="N684" s="159">
        <v>5.0</v>
      </c>
      <c r="O684" s="159">
        <v>4.5</v>
      </c>
      <c r="P684" s="159">
        <v>5.0</v>
      </c>
      <c r="Q684" s="159">
        <v>5.0</v>
      </c>
      <c r="R684" s="159">
        <v>4.875</v>
      </c>
      <c r="S684" s="159">
        <v>4.5</v>
      </c>
      <c r="T684" s="159">
        <v>4.5</v>
      </c>
      <c r="U684" s="159">
        <v>4.5</v>
      </c>
      <c r="V684" s="159">
        <v>4.5</v>
      </c>
      <c r="W684" s="159">
        <v>4.5</v>
      </c>
      <c r="X684" s="161"/>
      <c r="Y684" s="161"/>
      <c r="Z684" s="161"/>
      <c r="AA684" s="161"/>
      <c r="AB684" s="161"/>
      <c r="AC684" s="159">
        <v>4.791666666666667</v>
      </c>
      <c r="AD684" s="171"/>
    </row>
    <row r="685">
      <c r="A685" s="162">
        <v>104980.0</v>
      </c>
      <c r="B685" s="163" t="s">
        <v>1642</v>
      </c>
      <c r="C685" s="164" t="s">
        <v>1643</v>
      </c>
      <c r="D685" s="165">
        <v>45559.0</v>
      </c>
      <c r="E685" s="164" t="s">
        <v>87</v>
      </c>
      <c r="F685" s="161"/>
      <c r="G685" s="161"/>
      <c r="H685" s="159">
        <v>5.0</v>
      </c>
      <c r="I685" s="159">
        <v>5.0</v>
      </c>
      <c r="J685" s="159">
        <v>5.0</v>
      </c>
      <c r="K685" s="159">
        <v>5.0</v>
      </c>
      <c r="L685" s="159">
        <v>5.0</v>
      </c>
      <c r="M685" s="159">
        <v>5.0</v>
      </c>
      <c r="N685" s="159">
        <v>5.0</v>
      </c>
      <c r="O685" s="159">
        <v>4.5</v>
      </c>
      <c r="P685" s="159">
        <v>5.0</v>
      </c>
      <c r="Q685" s="159">
        <v>5.0</v>
      </c>
      <c r="R685" s="159">
        <v>4.875</v>
      </c>
      <c r="S685" s="159">
        <v>4.5</v>
      </c>
      <c r="T685" s="159">
        <v>4.5</v>
      </c>
      <c r="U685" s="159">
        <v>4.5</v>
      </c>
      <c r="V685" s="159">
        <v>4.5</v>
      </c>
      <c r="W685" s="159">
        <v>4.5</v>
      </c>
      <c r="X685" s="161"/>
      <c r="Y685" s="161"/>
      <c r="Z685" s="161"/>
      <c r="AA685" s="161"/>
      <c r="AB685" s="161"/>
      <c r="AC685" s="159">
        <v>4.791666666666667</v>
      </c>
      <c r="AD685" s="171"/>
    </row>
    <row r="686">
      <c r="A686" s="162">
        <v>105001.0</v>
      </c>
      <c r="B686" s="163" t="s">
        <v>1644</v>
      </c>
      <c r="C686" s="164" t="s">
        <v>1645</v>
      </c>
      <c r="D686" s="165">
        <v>45559.0</v>
      </c>
      <c r="E686" s="164" t="s">
        <v>87</v>
      </c>
      <c r="F686" s="161"/>
      <c r="G686" s="161"/>
      <c r="H686" s="159">
        <v>5.0</v>
      </c>
      <c r="I686" s="159">
        <v>5.0</v>
      </c>
      <c r="J686" s="159">
        <v>5.0</v>
      </c>
      <c r="K686" s="159">
        <v>5.0</v>
      </c>
      <c r="L686" s="159">
        <v>5.0</v>
      </c>
      <c r="M686" s="159">
        <v>5.0</v>
      </c>
      <c r="N686" s="159">
        <v>5.0</v>
      </c>
      <c r="O686" s="159">
        <v>4.5</v>
      </c>
      <c r="P686" s="159">
        <v>5.0</v>
      </c>
      <c r="Q686" s="159">
        <v>5.0</v>
      </c>
      <c r="R686" s="159">
        <v>4.875</v>
      </c>
      <c r="S686" s="159">
        <v>4.5</v>
      </c>
      <c r="T686" s="159">
        <v>4.5</v>
      </c>
      <c r="U686" s="159">
        <v>4.5</v>
      </c>
      <c r="V686" s="159">
        <v>4.5</v>
      </c>
      <c r="W686" s="159">
        <v>4.5</v>
      </c>
      <c r="X686" s="161"/>
      <c r="Y686" s="161"/>
      <c r="Z686" s="161"/>
      <c r="AA686" s="161"/>
      <c r="AB686" s="161"/>
      <c r="AC686" s="159">
        <v>4.791666666666667</v>
      </c>
      <c r="AD686" s="171"/>
    </row>
    <row r="687">
      <c r="A687" s="162">
        <v>105005.0</v>
      </c>
      <c r="B687" s="163" t="s">
        <v>1646</v>
      </c>
      <c r="C687" s="164" t="s">
        <v>1647</v>
      </c>
      <c r="D687" s="165">
        <v>45559.0</v>
      </c>
      <c r="E687" s="164" t="s">
        <v>87</v>
      </c>
      <c r="F687" s="161"/>
      <c r="G687" s="161"/>
      <c r="H687" s="159">
        <v>5.0</v>
      </c>
      <c r="I687" s="159">
        <v>5.0</v>
      </c>
      <c r="J687" s="159">
        <v>5.0</v>
      </c>
      <c r="K687" s="159">
        <v>5.0</v>
      </c>
      <c r="L687" s="159">
        <v>5.0</v>
      </c>
      <c r="M687" s="159">
        <v>5.0</v>
      </c>
      <c r="N687" s="159">
        <v>5.0</v>
      </c>
      <c r="O687" s="159">
        <v>4.5</v>
      </c>
      <c r="P687" s="159">
        <v>5.0</v>
      </c>
      <c r="Q687" s="159">
        <v>5.0</v>
      </c>
      <c r="R687" s="159">
        <v>4.875</v>
      </c>
      <c r="S687" s="159">
        <v>4.5</v>
      </c>
      <c r="T687" s="159">
        <v>4.5</v>
      </c>
      <c r="U687" s="159">
        <v>4.5</v>
      </c>
      <c r="V687" s="159">
        <v>4.5</v>
      </c>
      <c r="W687" s="159">
        <v>4.5</v>
      </c>
      <c r="X687" s="161"/>
      <c r="Y687" s="161"/>
      <c r="Z687" s="161"/>
      <c r="AA687" s="161"/>
      <c r="AB687" s="161"/>
      <c r="AC687" s="159">
        <v>4.791666666666667</v>
      </c>
      <c r="AD687" s="171"/>
    </row>
    <row r="688">
      <c r="A688" s="162">
        <v>104955.0</v>
      </c>
      <c r="B688" s="163" t="s">
        <v>1648</v>
      </c>
      <c r="C688" s="164" t="s">
        <v>1649</v>
      </c>
      <c r="D688" s="165">
        <v>45561.0</v>
      </c>
      <c r="E688" s="164" t="s">
        <v>1140</v>
      </c>
      <c r="F688" s="161"/>
      <c r="G688" s="161"/>
      <c r="H688" s="159">
        <v>5.0</v>
      </c>
      <c r="I688" s="159">
        <v>5.0</v>
      </c>
      <c r="J688" s="159">
        <v>5.0</v>
      </c>
      <c r="K688" s="159">
        <v>5.0</v>
      </c>
      <c r="L688" s="159">
        <v>5.0</v>
      </c>
      <c r="M688" s="159">
        <v>5.0</v>
      </c>
      <c r="N688" s="159">
        <v>5.0</v>
      </c>
      <c r="O688" s="159">
        <v>5.0</v>
      </c>
      <c r="P688" s="159">
        <v>5.0</v>
      </c>
      <c r="Q688" s="159">
        <v>5.0</v>
      </c>
      <c r="R688" s="159">
        <v>5.0</v>
      </c>
      <c r="S688" s="159">
        <v>4.5</v>
      </c>
      <c r="T688" s="159">
        <v>4.5</v>
      </c>
      <c r="U688" s="159">
        <v>4.5</v>
      </c>
      <c r="V688" s="159">
        <v>4.5</v>
      </c>
      <c r="W688" s="159">
        <v>4.5</v>
      </c>
      <c r="X688" s="161"/>
      <c r="Y688" s="161"/>
      <c r="Z688" s="161"/>
      <c r="AA688" s="161"/>
      <c r="AB688" s="161"/>
      <c r="AC688" s="159">
        <v>4.833333333333333</v>
      </c>
      <c r="AD688" s="171"/>
    </row>
    <row r="689">
      <c r="A689" s="162">
        <v>104949.0</v>
      </c>
      <c r="B689" s="163" t="s">
        <v>1650</v>
      </c>
      <c r="C689" s="164" t="s">
        <v>1651</v>
      </c>
      <c r="D689" s="165">
        <v>45561.0</v>
      </c>
      <c r="E689" s="164" t="s">
        <v>295</v>
      </c>
      <c r="F689" s="161"/>
      <c r="G689" s="161"/>
      <c r="H689" s="159">
        <v>4.75</v>
      </c>
      <c r="I689" s="159">
        <v>4.75</v>
      </c>
      <c r="J689" s="159">
        <v>4.75</v>
      </c>
      <c r="K689" s="159">
        <v>4.75</v>
      </c>
      <c r="L689" s="159">
        <v>4.75</v>
      </c>
      <c r="M689" s="159">
        <v>4.75</v>
      </c>
      <c r="N689" s="159">
        <v>5.0</v>
      </c>
      <c r="O689" s="159">
        <v>5.0</v>
      </c>
      <c r="P689" s="159">
        <v>4.0</v>
      </c>
      <c r="Q689" s="159">
        <v>5.0</v>
      </c>
      <c r="R689" s="159">
        <v>4.75</v>
      </c>
      <c r="S689" s="159">
        <v>4.5</v>
      </c>
      <c r="T689" s="159">
        <v>4.5</v>
      </c>
      <c r="U689" s="159">
        <v>4.5</v>
      </c>
      <c r="V689" s="159">
        <v>4.5</v>
      </c>
      <c r="W689" s="159">
        <v>4.5</v>
      </c>
      <c r="X689" s="161"/>
      <c r="Y689" s="161"/>
      <c r="Z689" s="161"/>
      <c r="AA689" s="161"/>
      <c r="AB689" s="161"/>
      <c r="AC689" s="159">
        <v>4.666666666666667</v>
      </c>
      <c r="AD689" s="171"/>
    </row>
    <row r="690">
      <c r="A690" s="162">
        <v>105042.0</v>
      </c>
      <c r="B690" s="163" t="s">
        <v>1652</v>
      </c>
      <c r="C690" s="164" t="s">
        <v>1653</v>
      </c>
      <c r="D690" s="165">
        <v>45561.0</v>
      </c>
      <c r="E690" s="164" t="s">
        <v>1140</v>
      </c>
      <c r="F690" s="161"/>
      <c r="G690" s="161"/>
      <c r="H690" s="159">
        <v>5.0</v>
      </c>
      <c r="I690" s="159">
        <v>5.0</v>
      </c>
      <c r="J690" s="159">
        <v>5.0</v>
      </c>
      <c r="K690" s="159">
        <v>5.0</v>
      </c>
      <c r="L690" s="159">
        <v>5.0</v>
      </c>
      <c r="M690" s="159">
        <v>5.0</v>
      </c>
      <c r="N690" s="159">
        <v>5.0</v>
      </c>
      <c r="O690" s="159">
        <v>5.0</v>
      </c>
      <c r="P690" s="159">
        <v>5.0</v>
      </c>
      <c r="Q690" s="159">
        <v>5.0</v>
      </c>
      <c r="R690" s="159">
        <v>5.0</v>
      </c>
      <c r="S690" s="159">
        <v>4.5</v>
      </c>
      <c r="T690" s="159">
        <v>4.5</v>
      </c>
      <c r="U690" s="159">
        <v>4.5</v>
      </c>
      <c r="V690" s="159">
        <v>4.5</v>
      </c>
      <c r="W690" s="159">
        <v>4.5</v>
      </c>
      <c r="X690" s="161"/>
      <c r="Y690" s="161"/>
      <c r="Z690" s="161"/>
      <c r="AA690" s="161"/>
      <c r="AB690" s="161"/>
      <c r="AC690" s="159">
        <v>4.833333333333333</v>
      </c>
      <c r="AD690" s="171"/>
    </row>
    <row r="691">
      <c r="A691" s="162">
        <v>105029.0</v>
      </c>
      <c r="B691" s="163" t="s">
        <v>1654</v>
      </c>
      <c r="C691" s="164" t="s">
        <v>1655</v>
      </c>
      <c r="D691" s="165">
        <v>45562.0</v>
      </c>
      <c r="E691" s="164" t="s">
        <v>254</v>
      </c>
      <c r="F691" s="161"/>
      <c r="G691" s="161"/>
      <c r="H691" s="159">
        <v>5.0</v>
      </c>
      <c r="I691" s="159">
        <v>5.0</v>
      </c>
      <c r="J691" s="159">
        <v>5.0</v>
      </c>
      <c r="K691" s="159">
        <v>5.0</v>
      </c>
      <c r="L691" s="159">
        <v>5.0</v>
      </c>
      <c r="M691" s="159">
        <v>5.0</v>
      </c>
      <c r="N691" s="159">
        <v>5.0</v>
      </c>
      <c r="O691" s="159">
        <v>5.0</v>
      </c>
      <c r="P691" s="159">
        <v>5.0</v>
      </c>
      <c r="Q691" s="159">
        <v>5.0</v>
      </c>
      <c r="R691" s="159">
        <v>5.0</v>
      </c>
      <c r="S691" s="159">
        <v>4.5</v>
      </c>
      <c r="T691" s="159">
        <v>4.5</v>
      </c>
      <c r="U691" s="159">
        <v>4.5</v>
      </c>
      <c r="V691" s="159">
        <v>4.5</v>
      </c>
      <c r="W691" s="159">
        <v>4.5</v>
      </c>
      <c r="X691" s="161"/>
      <c r="Y691" s="161"/>
      <c r="Z691" s="161"/>
      <c r="AA691" s="161"/>
      <c r="AB691" s="161"/>
      <c r="AC691" s="159">
        <v>4.833333333333333</v>
      </c>
      <c r="AD691" s="171"/>
    </row>
    <row r="692">
      <c r="A692" s="162">
        <v>105023.0</v>
      </c>
      <c r="B692" s="163" t="s">
        <v>1656</v>
      </c>
      <c r="C692" s="164" t="s">
        <v>1657</v>
      </c>
      <c r="D692" s="165">
        <v>45562.0</v>
      </c>
      <c r="E692" s="164" t="s">
        <v>295</v>
      </c>
      <c r="F692" s="161"/>
      <c r="G692" s="161"/>
      <c r="H692" s="159">
        <v>5.0</v>
      </c>
      <c r="I692" s="159">
        <v>5.0</v>
      </c>
      <c r="J692" s="159">
        <v>5.0</v>
      </c>
      <c r="K692" s="159">
        <v>5.0</v>
      </c>
      <c r="L692" s="159">
        <v>5.0</v>
      </c>
      <c r="M692" s="159">
        <v>5.0</v>
      </c>
      <c r="N692" s="159">
        <v>5.0</v>
      </c>
      <c r="O692" s="159">
        <v>5.0</v>
      </c>
      <c r="P692" s="159">
        <v>5.0</v>
      </c>
      <c r="Q692" s="159">
        <v>5.0</v>
      </c>
      <c r="R692" s="159">
        <v>5.0</v>
      </c>
      <c r="S692" s="159">
        <v>4.5</v>
      </c>
      <c r="T692" s="159">
        <v>4.5</v>
      </c>
      <c r="U692" s="159">
        <v>4.5</v>
      </c>
      <c r="V692" s="159">
        <v>4.5</v>
      </c>
      <c r="W692" s="159">
        <v>4.5</v>
      </c>
      <c r="X692" s="161"/>
      <c r="Y692" s="161"/>
      <c r="Z692" s="161"/>
      <c r="AA692" s="161"/>
      <c r="AB692" s="161"/>
      <c r="AC692" s="159">
        <v>4.833333333333333</v>
      </c>
      <c r="AD692" s="171"/>
    </row>
    <row r="693">
      <c r="A693" s="162">
        <v>105044.0</v>
      </c>
      <c r="B693" s="163" t="s">
        <v>1658</v>
      </c>
      <c r="C693" s="164" t="s">
        <v>1659</v>
      </c>
      <c r="D693" s="165">
        <v>45565.0</v>
      </c>
      <c r="E693" s="164" t="s">
        <v>1660</v>
      </c>
      <c r="F693" s="161"/>
      <c r="G693" s="161"/>
      <c r="H693" s="159">
        <v>5.0</v>
      </c>
      <c r="I693" s="159">
        <v>5.0</v>
      </c>
      <c r="J693" s="159">
        <v>5.0</v>
      </c>
      <c r="K693" s="159">
        <v>5.0</v>
      </c>
      <c r="L693" s="159">
        <v>5.0</v>
      </c>
      <c r="M693" s="159">
        <v>5.0</v>
      </c>
      <c r="N693" s="159">
        <v>5.0</v>
      </c>
      <c r="O693" s="159">
        <v>5.0</v>
      </c>
      <c r="P693" s="159">
        <v>5.0</v>
      </c>
      <c r="Q693" s="159">
        <v>5.0</v>
      </c>
      <c r="R693" s="159">
        <v>5.0</v>
      </c>
      <c r="S693" s="159">
        <v>4.5</v>
      </c>
      <c r="T693" s="159">
        <v>4.5</v>
      </c>
      <c r="U693" s="159">
        <v>4.5</v>
      </c>
      <c r="V693" s="159">
        <v>4.5</v>
      </c>
      <c r="W693" s="159">
        <v>4.5</v>
      </c>
      <c r="X693" s="161"/>
      <c r="Y693" s="161"/>
      <c r="Z693" s="161"/>
      <c r="AA693" s="161"/>
      <c r="AB693" s="161"/>
      <c r="AC693" s="159">
        <v>4.833333333333333</v>
      </c>
      <c r="AD693" s="171"/>
    </row>
    <row r="694">
      <c r="A694" s="162">
        <v>104880.0</v>
      </c>
      <c r="B694" s="163" t="s">
        <v>1661</v>
      </c>
      <c r="C694" s="164" t="s">
        <v>1662</v>
      </c>
      <c r="D694" s="165">
        <v>45566.0</v>
      </c>
      <c r="E694" s="164" t="s">
        <v>1363</v>
      </c>
      <c r="F694" s="161"/>
      <c r="G694" s="161"/>
      <c r="H694" s="159">
        <v>5.0</v>
      </c>
      <c r="I694" s="159">
        <v>5.0</v>
      </c>
      <c r="J694" s="159">
        <v>5.0</v>
      </c>
      <c r="K694" s="159">
        <v>5.0</v>
      </c>
      <c r="L694" s="159">
        <v>5.0</v>
      </c>
      <c r="M694" s="159">
        <v>5.0</v>
      </c>
      <c r="N694" s="159">
        <v>5.0</v>
      </c>
      <c r="O694" s="159">
        <v>5.0</v>
      </c>
      <c r="P694" s="159">
        <v>5.0</v>
      </c>
      <c r="Q694" s="159">
        <v>5.0</v>
      </c>
      <c r="R694" s="159">
        <v>5.0</v>
      </c>
      <c r="S694" s="159">
        <v>4.5</v>
      </c>
      <c r="T694" s="159">
        <v>4.5</v>
      </c>
      <c r="U694" s="159">
        <v>4.5</v>
      </c>
      <c r="V694" s="159">
        <v>4.5</v>
      </c>
      <c r="W694" s="159">
        <v>4.5</v>
      </c>
      <c r="X694" s="161"/>
      <c r="Y694" s="161"/>
      <c r="Z694" s="161"/>
      <c r="AA694" s="161"/>
      <c r="AB694" s="161"/>
      <c r="AC694" s="159">
        <v>4.833333333333333</v>
      </c>
      <c r="AD694" s="171"/>
    </row>
    <row r="695">
      <c r="A695" s="162">
        <v>104983.0</v>
      </c>
      <c r="B695" s="163" t="s">
        <v>1663</v>
      </c>
      <c r="C695" s="164" t="s">
        <v>1664</v>
      </c>
      <c r="D695" s="165">
        <v>45566.0</v>
      </c>
      <c r="E695" s="164" t="s">
        <v>1257</v>
      </c>
      <c r="F695" s="161"/>
      <c r="G695" s="161"/>
      <c r="H695" s="159">
        <v>5.0</v>
      </c>
      <c r="I695" s="159">
        <v>5.0</v>
      </c>
      <c r="J695" s="159">
        <v>5.0</v>
      </c>
      <c r="K695" s="159">
        <v>5.0</v>
      </c>
      <c r="L695" s="159">
        <v>5.0</v>
      </c>
      <c r="M695" s="159">
        <v>5.0</v>
      </c>
      <c r="N695" s="159">
        <v>4.5</v>
      </c>
      <c r="O695" s="159">
        <v>4.5</v>
      </c>
      <c r="P695" s="159">
        <v>4.5</v>
      </c>
      <c r="Q695" s="159">
        <v>4.5</v>
      </c>
      <c r="R695" s="159">
        <v>4.5</v>
      </c>
      <c r="S695" s="159">
        <v>4.5</v>
      </c>
      <c r="T695" s="159">
        <v>4.5</v>
      </c>
      <c r="U695" s="159">
        <v>4.5</v>
      </c>
      <c r="V695" s="159">
        <v>4.5</v>
      </c>
      <c r="W695" s="159">
        <v>4.5</v>
      </c>
      <c r="X695" s="161"/>
      <c r="Y695" s="161"/>
      <c r="Z695" s="161"/>
      <c r="AA695" s="161"/>
      <c r="AB695" s="161"/>
      <c r="AC695" s="159">
        <v>4.666666666666667</v>
      </c>
      <c r="AD695" s="171"/>
    </row>
    <row r="696">
      <c r="A696" s="162">
        <v>105041.0</v>
      </c>
      <c r="B696" s="163" t="s">
        <v>1665</v>
      </c>
      <c r="C696" s="164" t="s">
        <v>1666</v>
      </c>
      <c r="D696" s="165">
        <v>45568.0</v>
      </c>
      <c r="E696" s="164" t="s">
        <v>265</v>
      </c>
      <c r="F696" s="161"/>
      <c r="G696" s="161"/>
      <c r="H696" s="159">
        <v>5.0</v>
      </c>
      <c r="I696" s="159">
        <v>5.0</v>
      </c>
      <c r="J696" s="159">
        <v>5.0</v>
      </c>
      <c r="K696" s="159">
        <v>5.0</v>
      </c>
      <c r="L696" s="159">
        <v>5.0</v>
      </c>
      <c r="M696" s="159">
        <v>5.0</v>
      </c>
      <c r="N696" s="159">
        <v>4.5</v>
      </c>
      <c r="O696" s="159">
        <v>4.5</v>
      </c>
      <c r="P696" s="159">
        <v>3.8</v>
      </c>
      <c r="Q696" s="159">
        <v>4.5</v>
      </c>
      <c r="R696" s="159">
        <v>4.325</v>
      </c>
      <c r="S696" s="159">
        <v>4.2</v>
      </c>
      <c r="T696" s="159">
        <v>4.2</v>
      </c>
      <c r="U696" s="159">
        <v>4.2</v>
      </c>
      <c r="V696" s="159">
        <v>4.2</v>
      </c>
      <c r="W696" s="159">
        <v>4.2</v>
      </c>
      <c r="X696" s="161"/>
      <c r="Y696" s="161"/>
      <c r="Z696" s="161"/>
      <c r="AA696" s="161"/>
      <c r="AB696" s="161"/>
      <c r="AC696" s="159">
        <v>4.508333333333333</v>
      </c>
      <c r="AD696" s="171"/>
    </row>
    <row r="697">
      <c r="A697" s="162">
        <v>105057.0</v>
      </c>
      <c r="B697" s="163" t="s">
        <v>1667</v>
      </c>
      <c r="C697" s="164" t="s">
        <v>1668</v>
      </c>
      <c r="D697" s="165">
        <v>45568.0</v>
      </c>
      <c r="E697" s="164" t="s">
        <v>295</v>
      </c>
      <c r="F697" s="161"/>
      <c r="G697" s="161"/>
      <c r="H697" s="159">
        <v>5.0</v>
      </c>
      <c r="I697" s="159">
        <v>5.0</v>
      </c>
      <c r="J697" s="159">
        <v>5.0</v>
      </c>
      <c r="K697" s="159">
        <v>5.0</v>
      </c>
      <c r="L697" s="159">
        <v>5.0</v>
      </c>
      <c r="M697" s="159">
        <v>5.0</v>
      </c>
      <c r="N697" s="159">
        <v>5.0</v>
      </c>
      <c r="O697" s="159">
        <v>5.0</v>
      </c>
      <c r="P697" s="159">
        <v>5.0</v>
      </c>
      <c r="Q697" s="159">
        <v>5.0</v>
      </c>
      <c r="R697" s="159">
        <v>5.0</v>
      </c>
      <c r="S697" s="159">
        <v>4.5</v>
      </c>
      <c r="T697" s="159">
        <v>4.5</v>
      </c>
      <c r="U697" s="159">
        <v>4.5</v>
      </c>
      <c r="V697" s="159">
        <v>4.5</v>
      </c>
      <c r="W697" s="159">
        <v>4.5</v>
      </c>
      <c r="X697" s="161"/>
      <c r="Y697" s="161"/>
      <c r="Z697" s="161"/>
      <c r="AA697" s="161"/>
      <c r="AB697" s="161"/>
      <c r="AC697" s="159">
        <v>4.833333333333333</v>
      </c>
      <c r="AD697" s="171"/>
    </row>
    <row r="698">
      <c r="A698" s="162">
        <v>105039.0</v>
      </c>
      <c r="B698" s="163" t="s">
        <v>1669</v>
      </c>
      <c r="C698" s="164" t="s">
        <v>1670</v>
      </c>
      <c r="D698" s="165">
        <v>45568.0</v>
      </c>
      <c r="E698" s="164" t="s">
        <v>87</v>
      </c>
      <c r="F698" s="161"/>
      <c r="G698" s="161"/>
      <c r="H698" s="159">
        <v>5.0</v>
      </c>
      <c r="I698" s="159">
        <v>5.0</v>
      </c>
      <c r="J698" s="159">
        <v>5.0</v>
      </c>
      <c r="K698" s="159">
        <v>5.0</v>
      </c>
      <c r="L698" s="159">
        <v>5.0</v>
      </c>
      <c r="M698" s="159">
        <v>5.0</v>
      </c>
      <c r="N698" s="159">
        <v>5.0</v>
      </c>
      <c r="O698" s="159">
        <v>4.5</v>
      </c>
      <c r="P698" s="159">
        <v>5.0</v>
      </c>
      <c r="Q698" s="159">
        <v>5.0</v>
      </c>
      <c r="R698" s="159">
        <v>4.875</v>
      </c>
      <c r="S698" s="159">
        <v>4.5</v>
      </c>
      <c r="T698" s="159">
        <v>4.5</v>
      </c>
      <c r="U698" s="159">
        <v>4.5</v>
      </c>
      <c r="V698" s="159">
        <v>4.5</v>
      </c>
      <c r="W698" s="159">
        <v>4.5</v>
      </c>
      <c r="X698" s="161"/>
      <c r="Y698" s="161"/>
      <c r="Z698" s="161"/>
      <c r="AA698" s="161"/>
      <c r="AB698" s="161"/>
      <c r="AC698" s="159">
        <v>4.791666666666667</v>
      </c>
      <c r="AD698" s="171"/>
    </row>
    <row r="699">
      <c r="A699" s="162">
        <v>104910.0</v>
      </c>
      <c r="B699" s="163" t="s">
        <v>1671</v>
      </c>
      <c r="C699" s="164" t="s">
        <v>1672</v>
      </c>
      <c r="D699" s="165">
        <v>45569.0</v>
      </c>
      <c r="E699" s="164" t="s">
        <v>1673</v>
      </c>
      <c r="F699" s="161"/>
      <c r="G699" s="161"/>
      <c r="H699" s="159">
        <v>5.0</v>
      </c>
      <c r="I699" s="159">
        <v>5.0</v>
      </c>
      <c r="J699" s="159">
        <v>5.0</v>
      </c>
      <c r="K699" s="159">
        <v>5.0</v>
      </c>
      <c r="L699" s="159">
        <v>5.0</v>
      </c>
      <c r="M699" s="159">
        <v>5.0</v>
      </c>
      <c r="N699" s="159">
        <v>4.5</v>
      </c>
      <c r="O699" s="159">
        <v>4.0</v>
      </c>
      <c r="P699" s="159">
        <v>4.0</v>
      </c>
      <c r="Q699" s="159">
        <v>4.0</v>
      </c>
      <c r="R699" s="159">
        <v>4.125</v>
      </c>
      <c r="S699" s="159">
        <v>4.0</v>
      </c>
      <c r="T699" s="159">
        <v>4.0</v>
      </c>
      <c r="U699" s="159">
        <v>4.0</v>
      </c>
      <c r="V699" s="159">
        <v>4.0</v>
      </c>
      <c r="W699" s="159">
        <v>4.0</v>
      </c>
      <c r="X699" s="161"/>
      <c r="Y699" s="161"/>
      <c r="Z699" s="161"/>
      <c r="AA699" s="161"/>
      <c r="AB699" s="161"/>
      <c r="AC699" s="159">
        <v>4.375</v>
      </c>
      <c r="AD699" s="171"/>
    </row>
    <row r="700">
      <c r="A700" s="162">
        <v>104927.0</v>
      </c>
      <c r="B700" s="163" t="s">
        <v>1674</v>
      </c>
      <c r="C700" s="164" t="s">
        <v>1675</v>
      </c>
      <c r="D700" s="165">
        <v>45570.0</v>
      </c>
      <c r="E700" s="164" t="s">
        <v>1676</v>
      </c>
      <c r="F700" s="161"/>
      <c r="G700" s="161"/>
      <c r="H700" s="159">
        <v>4.0</v>
      </c>
      <c r="I700" s="159">
        <v>4.0</v>
      </c>
      <c r="J700" s="159">
        <v>4.0</v>
      </c>
      <c r="K700" s="159">
        <v>4.0</v>
      </c>
      <c r="L700" s="159">
        <v>4.0</v>
      </c>
      <c r="M700" s="159">
        <v>4.0</v>
      </c>
      <c r="N700" s="159">
        <v>3.0</v>
      </c>
      <c r="O700" s="159">
        <v>5.0</v>
      </c>
      <c r="P700" s="159">
        <v>3.0</v>
      </c>
      <c r="Q700" s="159">
        <v>5.0</v>
      </c>
      <c r="R700" s="159">
        <v>4.0</v>
      </c>
      <c r="S700" s="159">
        <v>4.5</v>
      </c>
      <c r="T700" s="159">
        <v>4.5</v>
      </c>
      <c r="U700" s="159">
        <v>4.5</v>
      </c>
      <c r="V700" s="159">
        <v>4.5</v>
      </c>
      <c r="W700" s="159">
        <v>4.5</v>
      </c>
      <c r="X700" s="161"/>
      <c r="Y700" s="161"/>
      <c r="Z700" s="161"/>
      <c r="AA700" s="161"/>
      <c r="AB700" s="161"/>
      <c r="AC700" s="159">
        <v>4.166666666666667</v>
      </c>
      <c r="AD700" s="171"/>
    </row>
    <row r="701">
      <c r="A701" s="162">
        <v>105090.0</v>
      </c>
      <c r="B701" s="163" t="s">
        <v>1677</v>
      </c>
      <c r="C701" s="164" t="s">
        <v>1678</v>
      </c>
      <c r="D701" s="165">
        <v>45572.0</v>
      </c>
      <c r="E701" s="164" t="s">
        <v>1140</v>
      </c>
      <c r="F701" s="161"/>
      <c r="G701" s="161"/>
      <c r="H701" s="159">
        <v>5.0</v>
      </c>
      <c r="I701" s="159">
        <v>5.0</v>
      </c>
      <c r="J701" s="159">
        <v>5.0</v>
      </c>
      <c r="K701" s="159">
        <v>5.0</v>
      </c>
      <c r="L701" s="159">
        <v>5.0</v>
      </c>
      <c r="M701" s="159">
        <v>5.0</v>
      </c>
      <c r="N701" s="159">
        <v>5.0</v>
      </c>
      <c r="O701" s="159">
        <v>5.0</v>
      </c>
      <c r="P701" s="159">
        <v>5.0</v>
      </c>
      <c r="Q701" s="159">
        <v>5.0</v>
      </c>
      <c r="R701" s="159">
        <v>5.0</v>
      </c>
      <c r="S701" s="159">
        <v>4.5</v>
      </c>
      <c r="T701" s="159">
        <v>4.5</v>
      </c>
      <c r="U701" s="159">
        <v>4.5</v>
      </c>
      <c r="V701" s="159">
        <v>4.5</v>
      </c>
      <c r="W701" s="159">
        <v>4.5</v>
      </c>
      <c r="X701" s="161"/>
      <c r="Y701" s="161"/>
      <c r="Z701" s="161"/>
      <c r="AA701" s="161"/>
      <c r="AB701" s="161"/>
      <c r="AC701" s="159">
        <v>4.833333333333333</v>
      </c>
      <c r="AD701" s="171"/>
    </row>
    <row r="702">
      <c r="A702" s="162">
        <v>104990.0</v>
      </c>
      <c r="B702" s="163" t="s">
        <v>1679</v>
      </c>
      <c r="C702" s="164" t="s">
        <v>1680</v>
      </c>
      <c r="D702" s="165">
        <v>45572.0</v>
      </c>
      <c r="E702" s="164" t="s">
        <v>1140</v>
      </c>
      <c r="F702" s="161"/>
      <c r="G702" s="161"/>
      <c r="H702" s="159">
        <v>5.0</v>
      </c>
      <c r="I702" s="159">
        <v>5.0</v>
      </c>
      <c r="J702" s="159">
        <v>5.0</v>
      </c>
      <c r="K702" s="159">
        <v>5.0</v>
      </c>
      <c r="L702" s="159">
        <v>5.0</v>
      </c>
      <c r="M702" s="159">
        <v>5.0</v>
      </c>
      <c r="N702" s="159">
        <v>5.0</v>
      </c>
      <c r="O702" s="159">
        <v>4.0</v>
      </c>
      <c r="P702" s="159">
        <v>4.0</v>
      </c>
      <c r="Q702" s="159">
        <v>5.0</v>
      </c>
      <c r="R702" s="159">
        <v>4.5</v>
      </c>
      <c r="S702" s="159">
        <v>4.5</v>
      </c>
      <c r="T702" s="159">
        <v>4.5</v>
      </c>
      <c r="U702" s="159">
        <v>4.5</v>
      </c>
      <c r="V702" s="159">
        <v>4.5</v>
      </c>
      <c r="W702" s="159">
        <v>4.5</v>
      </c>
      <c r="X702" s="161"/>
      <c r="Y702" s="161"/>
      <c r="Z702" s="161"/>
      <c r="AA702" s="161"/>
      <c r="AB702" s="161"/>
      <c r="AC702" s="159">
        <v>4.666666666666667</v>
      </c>
      <c r="AD702" s="171"/>
    </row>
    <row r="703">
      <c r="A703" s="162">
        <v>105079.0</v>
      </c>
      <c r="B703" s="163" t="s">
        <v>1681</v>
      </c>
      <c r="C703" s="164" t="s">
        <v>1682</v>
      </c>
      <c r="D703" s="165">
        <v>45572.0</v>
      </c>
      <c r="E703" s="164" t="s">
        <v>1140</v>
      </c>
      <c r="F703" s="161"/>
      <c r="G703" s="161"/>
      <c r="H703" s="159">
        <v>5.0</v>
      </c>
      <c r="I703" s="159">
        <v>5.0</v>
      </c>
      <c r="J703" s="159">
        <v>5.0</v>
      </c>
      <c r="K703" s="159">
        <v>5.0</v>
      </c>
      <c r="L703" s="159">
        <v>5.0</v>
      </c>
      <c r="M703" s="159">
        <v>5.0</v>
      </c>
      <c r="N703" s="159">
        <v>5.0</v>
      </c>
      <c r="O703" s="159">
        <v>5.0</v>
      </c>
      <c r="P703" s="159">
        <v>4.9</v>
      </c>
      <c r="Q703" s="159">
        <v>5.0</v>
      </c>
      <c r="R703" s="159">
        <v>4.975</v>
      </c>
      <c r="S703" s="159">
        <v>4.5</v>
      </c>
      <c r="T703" s="159">
        <v>4.5</v>
      </c>
      <c r="U703" s="159">
        <v>4.5</v>
      </c>
      <c r="V703" s="159">
        <v>4.5</v>
      </c>
      <c r="W703" s="159">
        <v>4.5</v>
      </c>
      <c r="X703" s="161"/>
      <c r="Y703" s="161"/>
      <c r="Z703" s="161"/>
      <c r="AA703" s="161"/>
      <c r="AB703" s="161"/>
      <c r="AC703" s="159">
        <v>4.825</v>
      </c>
      <c r="AD703" s="171"/>
    </row>
    <row r="704">
      <c r="A704" s="162">
        <v>105061.0</v>
      </c>
      <c r="B704" s="163" t="s">
        <v>1683</v>
      </c>
      <c r="C704" s="164" t="s">
        <v>1684</v>
      </c>
      <c r="D704" s="165">
        <v>45573.0</v>
      </c>
      <c r="E704" s="164" t="s">
        <v>625</v>
      </c>
      <c r="F704" s="161"/>
      <c r="G704" s="161"/>
      <c r="H704" s="159">
        <v>5.0</v>
      </c>
      <c r="I704" s="159">
        <v>5.0</v>
      </c>
      <c r="J704" s="159">
        <v>5.0</v>
      </c>
      <c r="K704" s="159">
        <v>5.0</v>
      </c>
      <c r="L704" s="159">
        <v>5.0</v>
      </c>
      <c r="M704" s="159">
        <v>5.0</v>
      </c>
      <c r="N704" s="159">
        <v>5.0</v>
      </c>
      <c r="O704" s="159">
        <v>5.0</v>
      </c>
      <c r="P704" s="159">
        <v>5.0</v>
      </c>
      <c r="Q704" s="159">
        <v>5.0</v>
      </c>
      <c r="R704" s="159">
        <v>5.0</v>
      </c>
      <c r="S704" s="159">
        <v>4.5</v>
      </c>
      <c r="T704" s="159">
        <v>4.5</v>
      </c>
      <c r="U704" s="159">
        <v>4.5</v>
      </c>
      <c r="V704" s="159">
        <v>4.5</v>
      </c>
      <c r="W704" s="159">
        <v>4.5</v>
      </c>
      <c r="X704" s="161"/>
      <c r="Y704" s="161"/>
      <c r="Z704" s="161"/>
      <c r="AA704" s="161"/>
      <c r="AB704" s="161"/>
      <c r="AC704" s="159">
        <v>4.833333333333333</v>
      </c>
      <c r="AD704" s="171"/>
    </row>
    <row r="705">
      <c r="A705" s="162">
        <v>105036.0</v>
      </c>
      <c r="B705" s="163" t="s">
        <v>1685</v>
      </c>
      <c r="C705" s="164" t="s">
        <v>1686</v>
      </c>
      <c r="D705" s="165">
        <v>45575.0</v>
      </c>
      <c r="E705" s="164" t="s">
        <v>1516</v>
      </c>
      <c r="F705" s="161"/>
      <c r="G705" s="161"/>
      <c r="H705" s="159">
        <v>4.75</v>
      </c>
      <c r="I705" s="159">
        <v>4.75</v>
      </c>
      <c r="J705" s="159">
        <v>4.75</v>
      </c>
      <c r="K705" s="159">
        <v>4.75</v>
      </c>
      <c r="L705" s="159">
        <v>4.75</v>
      </c>
      <c r="M705" s="159">
        <v>4.75</v>
      </c>
      <c r="N705" s="159">
        <v>5.0</v>
      </c>
      <c r="O705" s="159">
        <v>5.0</v>
      </c>
      <c r="P705" s="159">
        <v>4.0</v>
      </c>
      <c r="Q705" s="159">
        <v>5.0</v>
      </c>
      <c r="R705" s="159">
        <v>4.75</v>
      </c>
      <c r="S705" s="159">
        <v>4.5</v>
      </c>
      <c r="T705" s="159">
        <v>4.5</v>
      </c>
      <c r="U705" s="159">
        <v>4.5</v>
      </c>
      <c r="V705" s="159">
        <v>4.5</v>
      </c>
      <c r="W705" s="159">
        <v>4.5</v>
      </c>
      <c r="X705" s="161"/>
      <c r="Y705" s="161"/>
      <c r="Z705" s="161"/>
      <c r="AA705" s="161"/>
      <c r="AB705" s="161"/>
      <c r="AC705" s="159">
        <v>4.666666666666667</v>
      </c>
      <c r="AD705" s="171"/>
    </row>
    <row r="706">
      <c r="A706" s="162">
        <v>104948.0</v>
      </c>
      <c r="B706" s="163" t="s">
        <v>1687</v>
      </c>
      <c r="C706" s="164" t="s">
        <v>1688</v>
      </c>
      <c r="D706" s="165">
        <v>45575.0</v>
      </c>
      <c r="E706" s="164" t="s">
        <v>360</v>
      </c>
      <c r="F706" s="161"/>
      <c r="G706" s="161"/>
      <c r="H706" s="159">
        <v>4.75</v>
      </c>
      <c r="I706" s="159">
        <v>4.75</v>
      </c>
      <c r="J706" s="159">
        <v>4.75</v>
      </c>
      <c r="K706" s="159">
        <v>4.75</v>
      </c>
      <c r="L706" s="159">
        <v>4.75</v>
      </c>
      <c r="M706" s="159">
        <v>4.75</v>
      </c>
      <c r="N706" s="159">
        <v>5.0</v>
      </c>
      <c r="O706" s="159">
        <v>5.0</v>
      </c>
      <c r="P706" s="159">
        <v>4.0</v>
      </c>
      <c r="Q706" s="159">
        <v>5.0</v>
      </c>
      <c r="R706" s="159">
        <v>4.75</v>
      </c>
      <c r="S706" s="159">
        <v>4.5</v>
      </c>
      <c r="T706" s="159">
        <v>4.5</v>
      </c>
      <c r="U706" s="159">
        <v>4.5</v>
      </c>
      <c r="V706" s="159">
        <v>4.5</v>
      </c>
      <c r="W706" s="159">
        <v>4.5</v>
      </c>
      <c r="X706" s="161"/>
      <c r="Y706" s="161"/>
      <c r="Z706" s="161"/>
      <c r="AA706" s="161"/>
      <c r="AB706" s="161"/>
      <c r="AC706" s="159">
        <v>4.666666666666667</v>
      </c>
      <c r="AD706" s="171"/>
    </row>
    <row r="707">
      <c r="A707" s="162">
        <v>105000.0</v>
      </c>
      <c r="B707" s="163" t="s">
        <v>1689</v>
      </c>
      <c r="C707" s="164" t="s">
        <v>1690</v>
      </c>
      <c r="D707" s="165">
        <v>45575.0</v>
      </c>
      <c r="E707" s="164" t="s">
        <v>156</v>
      </c>
      <c r="F707" s="161"/>
      <c r="G707" s="161"/>
      <c r="H707" s="159">
        <v>5.0</v>
      </c>
      <c r="I707" s="159">
        <v>5.0</v>
      </c>
      <c r="J707" s="159">
        <v>5.0</v>
      </c>
      <c r="K707" s="159">
        <v>5.0</v>
      </c>
      <c r="L707" s="159">
        <v>5.0</v>
      </c>
      <c r="M707" s="159">
        <v>5.0</v>
      </c>
      <c r="N707" s="159">
        <v>5.0</v>
      </c>
      <c r="O707" s="159">
        <v>4.5</v>
      </c>
      <c r="P707" s="159">
        <v>5.0</v>
      </c>
      <c r="Q707" s="159">
        <v>5.0</v>
      </c>
      <c r="R707" s="159">
        <v>4.875</v>
      </c>
      <c r="S707" s="159">
        <v>4.5</v>
      </c>
      <c r="T707" s="159">
        <v>4.5</v>
      </c>
      <c r="U707" s="159">
        <v>4.5</v>
      </c>
      <c r="V707" s="159">
        <v>4.5</v>
      </c>
      <c r="W707" s="159">
        <v>4.5</v>
      </c>
      <c r="X707" s="161"/>
      <c r="Y707" s="161"/>
      <c r="Z707" s="161"/>
      <c r="AA707" s="161"/>
      <c r="AB707" s="161"/>
      <c r="AC707" s="159">
        <v>4.791666666666667</v>
      </c>
      <c r="AD707" s="171"/>
    </row>
    <row r="708">
      <c r="A708" s="162">
        <v>105080.0</v>
      </c>
      <c r="B708" s="163" t="s">
        <v>1691</v>
      </c>
      <c r="C708" s="164" t="s">
        <v>1692</v>
      </c>
      <c r="D708" s="165">
        <v>45576.0</v>
      </c>
      <c r="E708" s="164" t="s">
        <v>113</v>
      </c>
      <c r="F708" s="161"/>
      <c r="G708" s="161"/>
      <c r="H708" s="159">
        <v>5.0</v>
      </c>
      <c r="I708" s="159">
        <v>5.0</v>
      </c>
      <c r="J708" s="159">
        <v>5.0</v>
      </c>
      <c r="K708" s="159">
        <v>5.0</v>
      </c>
      <c r="L708" s="159">
        <v>5.0</v>
      </c>
      <c r="M708" s="159">
        <v>5.0</v>
      </c>
      <c r="N708" s="159">
        <v>5.0</v>
      </c>
      <c r="O708" s="159">
        <v>5.0</v>
      </c>
      <c r="P708" s="159">
        <v>5.0</v>
      </c>
      <c r="Q708" s="159">
        <v>5.0</v>
      </c>
      <c r="R708" s="159">
        <v>5.0</v>
      </c>
      <c r="S708" s="159">
        <v>4.5</v>
      </c>
      <c r="T708" s="159">
        <v>4.5</v>
      </c>
      <c r="U708" s="159">
        <v>4.5</v>
      </c>
      <c r="V708" s="159">
        <v>4.5</v>
      </c>
      <c r="W708" s="159">
        <v>4.5</v>
      </c>
      <c r="X708" s="161"/>
      <c r="Y708" s="161"/>
      <c r="Z708" s="161"/>
      <c r="AA708" s="161"/>
      <c r="AB708" s="161"/>
      <c r="AC708" s="159">
        <v>4.833333333333333</v>
      </c>
      <c r="AD708" s="171"/>
    </row>
    <row r="709">
      <c r="A709" s="162">
        <v>105095.0</v>
      </c>
      <c r="B709" s="163" t="s">
        <v>1693</v>
      </c>
      <c r="C709" s="164" t="s">
        <v>1694</v>
      </c>
      <c r="D709" s="165">
        <v>45576.0</v>
      </c>
      <c r="E709" s="164" t="s">
        <v>1695</v>
      </c>
      <c r="F709" s="161"/>
      <c r="G709" s="161"/>
      <c r="H709" s="159">
        <v>5.0</v>
      </c>
      <c r="I709" s="159">
        <v>5.0</v>
      </c>
      <c r="J709" s="159">
        <v>5.0</v>
      </c>
      <c r="K709" s="159">
        <v>5.0</v>
      </c>
      <c r="L709" s="159">
        <v>5.0</v>
      </c>
      <c r="M709" s="159">
        <v>5.0</v>
      </c>
      <c r="N709" s="159">
        <v>4.5</v>
      </c>
      <c r="O709" s="159">
        <v>4.8</v>
      </c>
      <c r="P709" s="159">
        <v>4.5</v>
      </c>
      <c r="Q709" s="159">
        <v>4.5</v>
      </c>
      <c r="R709" s="159">
        <v>4.575</v>
      </c>
      <c r="S709" s="159">
        <v>4.5</v>
      </c>
      <c r="T709" s="159">
        <v>4.5</v>
      </c>
      <c r="U709" s="159">
        <v>4.5</v>
      </c>
      <c r="V709" s="159">
        <v>4.5</v>
      </c>
      <c r="W709" s="159">
        <v>4.5</v>
      </c>
      <c r="X709" s="161"/>
      <c r="Y709" s="161"/>
      <c r="Z709" s="161"/>
      <c r="AA709" s="161"/>
      <c r="AB709" s="161"/>
      <c r="AC709" s="159">
        <v>4.691666666666666</v>
      </c>
      <c r="AD709" s="171"/>
    </row>
    <row r="710">
      <c r="A710" s="162">
        <v>105060.0</v>
      </c>
      <c r="B710" s="163" t="s">
        <v>1696</v>
      </c>
      <c r="C710" s="164" t="s">
        <v>1697</v>
      </c>
      <c r="D710" s="165">
        <v>45576.0</v>
      </c>
      <c r="E710" s="164" t="s">
        <v>113</v>
      </c>
      <c r="F710" s="161"/>
      <c r="G710" s="161"/>
      <c r="H710" s="159">
        <v>5.0</v>
      </c>
      <c r="I710" s="159">
        <v>5.0</v>
      </c>
      <c r="J710" s="159">
        <v>5.0</v>
      </c>
      <c r="K710" s="159">
        <v>5.0</v>
      </c>
      <c r="L710" s="159">
        <v>5.0</v>
      </c>
      <c r="M710" s="159">
        <v>5.0</v>
      </c>
      <c r="N710" s="159">
        <v>5.0</v>
      </c>
      <c r="O710" s="159">
        <v>5.0</v>
      </c>
      <c r="P710" s="159">
        <v>5.0</v>
      </c>
      <c r="Q710" s="159">
        <v>5.0</v>
      </c>
      <c r="R710" s="159">
        <v>5.0</v>
      </c>
      <c r="S710" s="159">
        <v>4.5</v>
      </c>
      <c r="T710" s="159">
        <v>4.5</v>
      </c>
      <c r="U710" s="159">
        <v>4.5</v>
      </c>
      <c r="V710" s="159">
        <v>4.5</v>
      </c>
      <c r="W710" s="159">
        <v>4.5</v>
      </c>
      <c r="X710" s="161"/>
      <c r="Y710" s="161"/>
      <c r="Z710" s="161"/>
      <c r="AA710" s="161"/>
      <c r="AB710" s="161"/>
      <c r="AC710" s="159">
        <v>4.833333333333333</v>
      </c>
      <c r="AD710" s="171"/>
    </row>
    <row r="711">
      <c r="A711" s="162">
        <v>105152.0</v>
      </c>
      <c r="B711" s="163" t="s">
        <v>1698</v>
      </c>
      <c r="C711" s="164" t="s">
        <v>1699</v>
      </c>
      <c r="D711" s="165">
        <v>45577.0</v>
      </c>
      <c r="E711" s="164" t="s">
        <v>295</v>
      </c>
      <c r="F711" s="161"/>
      <c r="G711" s="161"/>
      <c r="H711" s="159">
        <v>5.0</v>
      </c>
      <c r="I711" s="159">
        <v>5.0</v>
      </c>
      <c r="J711" s="159">
        <v>5.0</v>
      </c>
      <c r="K711" s="159">
        <v>5.0</v>
      </c>
      <c r="L711" s="159">
        <v>5.0</v>
      </c>
      <c r="M711" s="159">
        <v>5.0</v>
      </c>
      <c r="N711" s="159">
        <v>5.0</v>
      </c>
      <c r="O711" s="159">
        <v>5.0</v>
      </c>
      <c r="P711" s="159">
        <v>5.0</v>
      </c>
      <c r="Q711" s="159">
        <v>5.0</v>
      </c>
      <c r="R711" s="159">
        <v>5.0</v>
      </c>
      <c r="S711" s="159">
        <v>4.5</v>
      </c>
      <c r="T711" s="159">
        <v>4.5</v>
      </c>
      <c r="U711" s="159">
        <v>4.5</v>
      </c>
      <c r="V711" s="159">
        <v>4.5</v>
      </c>
      <c r="W711" s="159">
        <v>4.5</v>
      </c>
      <c r="X711" s="161"/>
      <c r="Y711" s="161"/>
      <c r="Z711" s="161"/>
      <c r="AA711" s="161"/>
      <c r="AB711" s="161"/>
      <c r="AC711" s="159">
        <v>4.833333333333333</v>
      </c>
      <c r="AD711" s="171"/>
    </row>
    <row r="712">
      <c r="A712" s="162">
        <v>105038.0</v>
      </c>
      <c r="B712" s="163" t="s">
        <v>1700</v>
      </c>
      <c r="C712" s="164" t="s">
        <v>1701</v>
      </c>
      <c r="D712" s="165">
        <v>45577.0</v>
      </c>
      <c r="E712" s="164" t="s">
        <v>87</v>
      </c>
      <c r="F712" s="161"/>
      <c r="G712" s="161"/>
      <c r="H712" s="159">
        <v>5.0</v>
      </c>
      <c r="I712" s="159">
        <v>5.0</v>
      </c>
      <c r="J712" s="159">
        <v>5.0</v>
      </c>
      <c r="K712" s="159">
        <v>5.0</v>
      </c>
      <c r="L712" s="159">
        <v>5.0</v>
      </c>
      <c r="M712" s="159">
        <v>5.0</v>
      </c>
      <c r="N712" s="159">
        <v>5.0</v>
      </c>
      <c r="O712" s="159">
        <v>4.5</v>
      </c>
      <c r="P712" s="159">
        <v>5.0</v>
      </c>
      <c r="Q712" s="159">
        <v>5.0</v>
      </c>
      <c r="R712" s="159">
        <v>4.875</v>
      </c>
      <c r="S712" s="159">
        <v>5.0</v>
      </c>
      <c r="T712" s="159">
        <v>4.5</v>
      </c>
      <c r="U712" s="159">
        <v>5.0</v>
      </c>
      <c r="V712" s="159">
        <v>5.0</v>
      </c>
      <c r="W712" s="159">
        <v>4.875</v>
      </c>
      <c r="X712" s="161"/>
      <c r="Y712" s="161"/>
      <c r="Z712" s="161"/>
      <c r="AA712" s="161"/>
      <c r="AB712" s="161"/>
      <c r="AC712" s="159">
        <v>4.916666666666667</v>
      </c>
      <c r="AD712" s="171"/>
    </row>
    <row r="713">
      <c r="A713" s="162">
        <v>105064.0</v>
      </c>
      <c r="B713" s="163" t="s">
        <v>1702</v>
      </c>
      <c r="C713" s="164" t="s">
        <v>1703</v>
      </c>
      <c r="D713" s="165">
        <v>45577.0</v>
      </c>
      <c r="E713" s="164" t="s">
        <v>87</v>
      </c>
      <c r="F713" s="161"/>
      <c r="G713" s="161"/>
      <c r="H713" s="159">
        <v>5.0</v>
      </c>
      <c r="I713" s="159">
        <v>5.0</v>
      </c>
      <c r="J713" s="159">
        <v>5.0</v>
      </c>
      <c r="K713" s="159">
        <v>5.0</v>
      </c>
      <c r="L713" s="159">
        <v>5.0</v>
      </c>
      <c r="M713" s="159">
        <v>5.0</v>
      </c>
      <c r="N713" s="159">
        <v>5.0</v>
      </c>
      <c r="O713" s="159">
        <v>4.5</v>
      </c>
      <c r="P713" s="159">
        <v>5.0</v>
      </c>
      <c r="Q713" s="159">
        <v>5.0</v>
      </c>
      <c r="R713" s="159">
        <v>4.875</v>
      </c>
      <c r="S713" s="159">
        <v>4.5</v>
      </c>
      <c r="T713" s="159">
        <v>4.5</v>
      </c>
      <c r="U713" s="159">
        <v>4.5</v>
      </c>
      <c r="V713" s="159">
        <v>4.5</v>
      </c>
      <c r="W713" s="159">
        <v>4.5</v>
      </c>
      <c r="X713" s="161"/>
      <c r="Y713" s="161"/>
      <c r="Z713" s="161"/>
      <c r="AA713" s="161"/>
      <c r="AB713" s="161"/>
      <c r="AC713" s="159">
        <v>4.791666666666667</v>
      </c>
      <c r="AD713" s="171"/>
    </row>
    <row r="714">
      <c r="A714" s="162">
        <v>105092.0</v>
      </c>
      <c r="B714" s="163" t="s">
        <v>1704</v>
      </c>
      <c r="C714" s="164" t="s">
        <v>1705</v>
      </c>
      <c r="D714" s="165">
        <v>45579.0</v>
      </c>
      <c r="E714" s="164" t="s">
        <v>806</v>
      </c>
      <c r="F714" s="161"/>
      <c r="G714" s="161"/>
      <c r="H714" s="159">
        <v>5.0</v>
      </c>
      <c r="I714" s="159">
        <v>5.0</v>
      </c>
      <c r="J714" s="159">
        <v>5.0</v>
      </c>
      <c r="K714" s="159">
        <v>5.0</v>
      </c>
      <c r="L714" s="159">
        <v>5.0</v>
      </c>
      <c r="M714" s="159">
        <v>5.0</v>
      </c>
      <c r="N714" s="159">
        <v>4.6</v>
      </c>
      <c r="O714" s="159">
        <v>4.6</v>
      </c>
      <c r="P714" s="159">
        <v>4.5</v>
      </c>
      <c r="Q714" s="159">
        <v>4.6</v>
      </c>
      <c r="R714" s="159">
        <v>4.574999999999999</v>
      </c>
      <c r="S714" s="159">
        <v>4.5</v>
      </c>
      <c r="T714" s="159">
        <v>4.5</v>
      </c>
      <c r="U714" s="159">
        <v>4.5</v>
      </c>
      <c r="V714" s="159">
        <v>4.5</v>
      </c>
      <c r="W714" s="159">
        <v>4.5</v>
      </c>
      <c r="X714" s="161"/>
      <c r="Y714" s="161"/>
      <c r="Z714" s="161"/>
      <c r="AA714" s="161"/>
      <c r="AB714" s="161"/>
      <c r="AC714" s="159">
        <v>4.691666666666666</v>
      </c>
      <c r="AD714" s="171"/>
    </row>
    <row r="715">
      <c r="A715" s="162">
        <v>104880.0</v>
      </c>
      <c r="B715" s="163" t="s">
        <v>1706</v>
      </c>
      <c r="C715" s="164" t="s">
        <v>1662</v>
      </c>
      <c r="D715" s="165">
        <v>45580.0</v>
      </c>
      <c r="E715" s="164" t="s">
        <v>454</v>
      </c>
      <c r="F715" s="161"/>
      <c r="G715" s="161"/>
      <c r="H715" s="159">
        <v>5.0</v>
      </c>
      <c r="I715" s="159">
        <v>5.0</v>
      </c>
      <c r="J715" s="159">
        <v>5.0</v>
      </c>
      <c r="K715" s="159">
        <v>5.0</v>
      </c>
      <c r="L715" s="159">
        <v>5.0</v>
      </c>
      <c r="M715" s="159">
        <v>5.0</v>
      </c>
      <c r="N715" s="159">
        <v>5.0</v>
      </c>
      <c r="O715" s="159">
        <v>5.0</v>
      </c>
      <c r="P715" s="159">
        <v>5.0</v>
      </c>
      <c r="Q715" s="159">
        <v>5.0</v>
      </c>
      <c r="R715" s="159">
        <v>5.0</v>
      </c>
      <c r="S715" s="159">
        <v>4.5</v>
      </c>
      <c r="T715" s="159">
        <v>4.5</v>
      </c>
      <c r="U715" s="159">
        <v>4.5</v>
      </c>
      <c r="V715" s="159">
        <v>4.5</v>
      </c>
      <c r="W715" s="159">
        <v>4.5</v>
      </c>
      <c r="X715" s="161"/>
      <c r="Y715" s="161"/>
      <c r="Z715" s="161"/>
      <c r="AA715" s="161"/>
      <c r="AB715" s="161"/>
      <c r="AC715" s="159">
        <v>4.833333333333333</v>
      </c>
      <c r="AD715" s="171"/>
    </row>
    <row r="716">
      <c r="A716" s="162">
        <v>105114.0</v>
      </c>
      <c r="B716" s="163" t="s">
        <v>1707</v>
      </c>
      <c r="C716" s="164" t="s">
        <v>1708</v>
      </c>
      <c r="D716" s="165">
        <v>45582.0</v>
      </c>
      <c r="E716" s="164" t="s">
        <v>625</v>
      </c>
      <c r="F716" s="161"/>
      <c r="G716" s="161"/>
      <c r="H716" s="159">
        <v>5.0</v>
      </c>
      <c r="I716" s="159">
        <v>5.0</v>
      </c>
      <c r="J716" s="159">
        <v>5.0</v>
      </c>
      <c r="K716" s="159">
        <v>5.0</v>
      </c>
      <c r="L716" s="159">
        <v>5.0</v>
      </c>
      <c r="M716" s="159">
        <v>5.0</v>
      </c>
      <c r="N716" s="159">
        <v>5.0</v>
      </c>
      <c r="O716" s="159">
        <v>5.0</v>
      </c>
      <c r="P716" s="159">
        <v>5.0</v>
      </c>
      <c r="Q716" s="159">
        <v>5.0</v>
      </c>
      <c r="R716" s="159">
        <v>5.0</v>
      </c>
      <c r="S716" s="159">
        <v>4.5</v>
      </c>
      <c r="T716" s="159">
        <v>4.5</v>
      </c>
      <c r="U716" s="159">
        <v>4.5</v>
      </c>
      <c r="V716" s="159">
        <v>4.5</v>
      </c>
      <c r="W716" s="159">
        <v>4.5</v>
      </c>
      <c r="X716" s="161"/>
      <c r="Y716" s="161"/>
      <c r="Z716" s="161"/>
      <c r="AA716" s="161"/>
      <c r="AB716" s="161"/>
      <c r="AC716" s="159">
        <v>4.833333333333333</v>
      </c>
      <c r="AD716" s="171"/>
    </row>
    <row r="717">
      <c r="A717" s="162">
        <v>105093.0</v>
      </c>
      <c r="B717" s="163" t="s">
        <v>1709</v>
      </c>
      <c r="C717" s="164" t="s">
        <v>1710</v>
      </c>
      <c r="D717" s="165">
        <v>45583.0</v>
      </c>
      <c r="E717" s="164" t="s">
        <v>295</v>
      </c>
      <c r="F717" s="161"/>
      <c r="G717" s="161"/>
      <c r="H717" s="159">
        <v>4.0</v>
      </c>
      <c r="I717" s="159">
        <v>4.0</v>
      </c>
      <c r="J717" s="159">
        <v>4.0</v>
      </c>
      <c r="K717" s="159">
        <v>4.0</v>
      </c>
      <c r="L717" s="159">
        <v>4.0</v>
      </c>
      <c r="M717" s="159">
        <v>4.0</v>
      </c>
      <c r="N717" s="159">
        <v>5.0</v>
      </c>
      <c r="O717" s="159">
        <v>5.0</v>
      </c>
      <c r="P717" s="159">
        <v>4.0</v>
      </c>
      <c r="Q717" s="159">
        <v>5.0</v>
      </c>
      <c r="R717" s="159">
        <v>4.75</v>
      </c>
      <c r="S717" s="159">
        <v>4.5</v>
      </c>
      <c r="T717" s="159">
        <v>4.5</v>
      </c>
      <c r="U717" s="159">
        <v>4.5</v>
      </c>
      <c r="V717" s="159">
        <v>4.5</v>
      </c>
      <c r="W717" s="159">
        <v>4.5</v>
      </c>
      <c r="X717" s="161"/>
      <c r="Y717" s="161"/>
      <c r="Z717" s="161"/>
      <c r="AA717" s="161"/>
      <c r="AB717" s="161"/>
      <c r="AC717" s="159">
        <v>4.416666666666667</v>
      </c>
      <c r="AD717" s="171"/>
    </row>
    <row r="718">
      <c r="A718" s="162">
        <v>104907.0</v>
      </c>
      <c r="B718" s="163" t="s">
        <v>1711</v>
      </c>
      <c r="C718" s="164" t="s">
        <v>1712</v>
      </c>
      <c r="D718" s="165">
        <v>45583.0</v>
      </c>
      <c r="E718" s="164" t="s">
        <v>87</v>
      </c>
      <c r="F718" s="161"/>
      <c r="G718" s="161"/>
      <c r="H718" s="159">
        <v>5.0</v>
      </c>
      <c r="I718" s="159">
        <v>5.0</v>
      </c>
      <c r="J718" s="159">
        <v>5.0</v>
      </c>
      <c r="K718" s="159">
        <v>5.0</v>
      </c>
      <c r="L718" s="159">
        <v>5.0</v>
      </c>
      <c r="M718" s="159">
        <v>5.0</v>
      </c>
      <c r="N718" s="159">
        <v>5.0</v>
      </c>
      <c r="O718" s="159">
        <v>4.5</v>
      </c>
      <c r="P718" s="159">
        <v>5.0</v>
      </c>
      <c r="Q718" s="159">
        <v>5.0</v>
      </c>
      <c r="R718" s="159">
        <v>4.875</v>
      </c>
      <c r="S718" s="159">
        <v>4.5</v>
      </c>
      <c r="T718" s="159">
        <v>4.5</v>
      </c>
      <c r="U718" s="159">
        <v>4.5</v>
      </c>
      <c r="V718" s="159">
        <v>4.5</v>
      </c>
      <c r="W718" s="159">
        <v>4.5</v>
      </c>
      <c r="X718" s="161"/>
      <c r="Y718" s="161"/>
      <c r="Z718" s="161"/>
      <c r="AA718" s="161"/>
      <c r="AB718" s="161"/>
      <c r="AC718" s="159">
        <v>4.791666666666667</v>
      </c>
      <c r="AD718" s="171"/>
    </row>
    <row r="719">
      <c r="A719" s="162">
        <v>105185.0</v>
      </c>
      <c r="B719" s="163" t="s">
        <v>1713</v>
      </c>
      <c r="C719" s="164" t="s">
        <v>1714</v>
      </c>
      <c r="D719" s="165">
        <v>45586.0</v>
      </c>
      <c r="E719" s="164" t="s">
        <v>265</v>
      </c>
      <c r="F719" s="161"/>
      <c r="G719" s="161"/>
      <c r="H719" s="159">
        <v>5.0</v>
      </c>
      <c r="I719" s="159">
        <v>5.0</v>
      </c>
      <c r="J719" s="159">
        <v>5.0</v>
      </c>
      <c r="K719" s="159">
        <v>5.0</v>
      </c>
      <c r="L719" s="159">
        <v>5.0</v>
      </c>
      <c r="M719" s="159">
        <v>5.0</v>
      </c>
      <c r="N719" s="159">
        <v>4.9</v>
      </c>
      <c r="O719" s="159">
        <v>4.8</v>
      </c>
      <c r="P719" s="159">
        <v>5.0</v>
      </c>
      <c r="Q719" s="159">
        <v>4.8</v>
      </c>
      <c r="R719" s="159">
        <v>4.875</v>
      </c>
      <c r="S719" s="159">
        <v>4.5</v>
      </c>
      <c r="T719" s="159">
        <v>4.5</v>
      </c>
      <c r="U719" s="159">
        <v>4.5</v>
      </c>
      <c r="V719" s="159">
        <v>4.5</v>
      </c>
      <c r="W719" s="159">
        <v>4.5</v>
      </c>
      <c r="X719" s="161"/>
      <c r="Y719" s="161"/>
      <c r="Z719" s="161"/>
      <c r="AA719" s="161"/>
      <c r="AB719" s="161"/>
      <c r="AC719" s="159">
        <v>4.791666666666667</v>
      </c>
      <c r="AD719" s="171"/>
    </row>
    <row r="720">
      <c r="A720" s="162">
        <v>104650.0</v>
      </c>
      <c r="B720" s="163" t="s">
        <v>1715</v>
      </c>
      <c r="C720" s="164" t="s">
        <v>1716</v>
      </c>
      <c r="D720" s="165">
        <v>45586.0</v>
      </c>
      <c r="E720" s="164" t="s">
        <v>522</v>
      </c>
      <c r="F720" s="161"/>
      <c r="G720" s="161"/>
      <c r="H720" s="159">
        <v>5.0</v>
      </c>
      <c r="I720" s="159">
        <v>5.0</v>
      </c>
      <c r="J720" s="159">
        <v>5.0</v>
      </c>
      <c r="K720" s="159">
        <v>5.0</v>
      </c>
      <c r="L720" s="159">
        <v>5.0</v>
      </c>
      <c r="M720" s="159">
        <v>5.0</v>
      </c>
      <c r="N720" s="159">
        <v>4.0</v>
      </c>
      <c r="O720" s="159">
        <v>4.0</v>
      </c>
      <c r="P720" s="159">
        <v>3.0</v>
      </c>
      <c r="Q720" s="159">
        <v>4.0</v>
      </c>
      <c r="R720" s="159">
        <v>3.75</v>
      </c>
      <c r="S720" s="159">
        <v>4.5</v>
      </c>
      <c r="T720" s="159">
        <v>4.5</v>
      </c>
      <c r="U720" s="159">
        <v>4.5</v>
      </c>
      <c r="V720" s="159">
        <v>4.5</v>
      </c>
      <c r="W720" s="159">
        <v>4.5</v>
      </c>
      <c r="X720" s="161"/>
      <c r="Y720" s="161"/>
      <c r="Z720" s="161"/>
      <c r="AA720" s="161"/>
      <c r="AB720" s="161"/>
      <c r="AC720" s="159">
        <v>4.416666666666667</v>
      </c>
      <c r="AD720" s="171"/>
    </row>
    <row r="721">
      <c r="A721" s="162">
        <v>105118.0</v>
      </c>
      <c r="B721" s="163" t="s">
        <v>1717</v>
      </c>
      <c r="C721" s="164" t="s">
        <v>1718</v>
      </c>
      <c r="D721" s="165">
        <v>45586.0</v>
      </c>
      <c r="E721" s="164" t="s">
        <v>295</v>
      </c>
      <c r="F721" s="161"/>
      <c r="G721" s="161"/>
      <c r="H721" s="159">
        <v>5.0</v>
      </c>
      <c r="I721" s="159">
        <v>5.0</v>
      </c>
      <c r="J721" s="159">
        <v>5.0</v>
      </c>
      <c r="K721" s="159">
        <v>5.0</v>
      </c>
      <c r="L721" s="159">
        <v>5.0</v>
      </c>
      <c r="M721" s="159">
        <v>5.0</v>
      </c>
      <c r="N721" s="159">
        <v>5.0</v>
      </c>
      <c r="O721" s="159">
        <v>5.0</v>
      </c>
      <c r="P721" s="159">
        <v>5.0</v>
      </c>
      <c r="Q721" s="159">
        <v>5.0</v>
      </c>
      <c r="R721" s="159">
        <v>5.0</v>
      </c>
      <c r="S721" s="159">
        <v>4.5</v>
      </c>
      <c r="T721" s="159">
        <v>4.5</v>
      </c>
      <c r="U721" s="159">
        <v>4.5</v>
      </c>
      <c r="V721" s="159">
        <v>4.5</v>
      </c>
      <c r="W721" s="159">
        <v>4.5</v>
      </c>
      <c r="X721" s="161"/>
      <c r="Y721" s="161"/>
      <c r="Z721" s="161"/>
      <c r="AA721" s="161"/>
      <c r="AB721" s="161"/>
      <c r="AC721" s="159">
        <v>4.833333333333333</v>
      </c>
      <c r="AD721" s="171"/>
    </row>
    <row r="722">
      <c r="A722" s="162">
        <v>105161.0</v>
      </c>
      <c r="B722" s="163" t="s">
        <v>1719</v>
      </c>
      <c r="C722" s="164" t="s">
        <v>1720</v>
      </c>
      <c r="D722" s="165">
        <v>45586.0</v>
      </c>
      <c r="E722" s="164" t="s">
        <v>1140</v>
      </c>
      <c r="F722" s="161"/>
      <c r="G722" s="161"/>
      <c r="H722" s="159">
        <v>5.0</v>
      </c>
      <c r="I722" s="159">
        <v>5.0</v>
      </c>
      <c r="J722" s="159">
        <v>5.0</v>
      </c>
      <c r="K722" s="159">
        <v>5.0</v>
      </c>
      <c r="L722" s="159">
        <v>5.0</v>
      </c>
      <c r="M722" s="159">
        <v>5.0</v>
      </c>
      <c r="N722" s="159">
        <v>5.0</v>
      </c>
      <c r="O722" s="159">
        <v>5.0</v>
      </c>
      <c r="P722" s="159">
        <v>5.0</v>
      </c>
      <c r="Q722" s="159">
        <v>5.0</v>
      </c>
      <c r="R722" s="159">
        <v>5.0</v>
      </c>
      <c r="S722" s="159">
        <v>4.5</v>
      </c>
      <c r="T722" s="159">
        <v>4.5</v>
      </c>
      <c r="U722" s="159">
        <v>4.5</v>
      </c>
      <c r="V722" s="159">
        <v>4.5</v>
      </c>
      <c r="W722" s="159">
        <v>4.5</v>
      </c>
      <c r="X722" s="161"/>
      <c r="Y722" s="161"/>
      <c r="Z722" s="161"/>
      <c r="AA722" s="161"/>
      <c r="AB722" s="161"/>
      <c r="AC722" s="159">
        <v>4.833333333333333</v>
      </c>
      <c r="AD722" s="171"/>
    </row>
    <row r="723">
      <c r="A723" s="162">
        <v>105065.0</v>
      </c>
      <c r="B723" s="163" t="s">
        <v>1721</v>
      </c>
      <c r="C723" s="164" t="s">
        <v>1722</v>
      </c>
      <c r="D723" s="165">
        <v>45591.0</v>
      </c>
      <c r="E723" s="164" t="s">
        <v>1723</v>
      </c>
      <c r="F723" s="161"/>
      <c r="G723" s="161"/>
      <c r="H723" s="159">
        <v>4.5</v>
      </c>
      <c r="I723" s="159">
        <v>4.5</v>
      </c>
      <c r="J723" s="159">
        <v>4.5</v>
      </c>
      <c r="K723" s="159">
        <v>4.5</v>
      </c>
      <c r="L723" s="159">
        <v>4.5</v>
      </c>
      <c r="M723" s="159">
        <v>4.5</v>
      </c>
      <c r="N723" s="159">
        <v>4.0</v>
      </c>
      <c r="O723" s="159">
        <v>4.0</v>
      </c>
      <c r="P723" s="159">
        <v>4.0</v>
      </c>
      <c r="Q723" s="159">
        <v>4.0</v>
      </c>
      <c r="R723" s="159">
        <v>4.0</v>
      </c>
      <c r="S723" s="159">
        <v>4.0</v>
      </c>
      <c r="T723" s="159">
        <v>4.0</v>
      </c>
      <c r="U723" s="159">
        <v>4.0</v>
      </c>
      <c r="V723" s="159">
        <v>4.0</v>
      </c>
      <c r="W723" s="159">
        <v>4.0</v>
      </c>
      <c r="X723" s="161"/>
      <c r="Y723" s="161"/>
      <c r="Z723" s="161"/>
      <c r="AA723" s="161"/>
      <c r="AB723" s="161"/>
      <c r="AC723" s="159">
        <v>4.166666666666667</v>
      </c>
      <c r="AD723" s="171"/>
    </row>
    <row r="724">
      <c r="A724" s="162">
        <v>105153.0</v>
      </c>
      <c r="B724" s="163" t="s">
        <v>1724</v>
      </c>
      <c r="C724" s="164" t="s">
        <v>1725</v>
      </c>
      <c r="D724" s="165">
        <v>45600.0</v>
      </c>
      <c r="E724" s="164" t="s">
        <v>1726</v>
      </c>
      <c r="F724" s="161"/>
      <c r="G724" s="161"/>
      <c r="H724" s="159">
        <v>5.0</v>
      </c>
      <c r="I724" s="159">
        <v>5.0</v>
      </c>
      <c r="J724" s="159">
        <v>5.0</v>
      </c>
      <c r="K724" s="159">
        <v>5.0</v>
      </c>
      <c r="L724" s="159">
        <v>5.0</v>
      </c>
      <c r="M724" s="159">
        <v>5.0</v>
      </c>
      <c r="N724" s="159">
        <v>5.0</v>
      </c>
      <c r="O724" s="159">
        <v>5.0</v>
      </c>
      <c r="P724" s="159">
        <v>5.0</v>
      </c>
      <c r="Q724" s="159">
        <v>5.0</v>
      </c>
      <c r="R724" s="159">
        <v>5.0</v>
      </c>
      <c r="S724" s="159">
        <v>5.0</v>
      </c>
      <c r="T724" s="159">
        <v>5.0</v>
      </c>
      <c r="U724" s="159">
        <v>5.0</v>
      </c>
      <c r="V724" s="159">
        <v>5.0</v>
      </c>
      <c r="W724" s="159">
        <v>5.0</v>
      </c>
      <c r="X724" s="161"/>
      <c r="Y724" s="161"/>
      <c r="Z724" s="161"/>
      <c r="AA724" s="161"/>
      <c r="AB724" s="161"/>
      <c r="AC724" s="159">
        <v>5.0</v>
      </c>
      <c r="AD724" s="171"/>
    </row>
    <row r="725">
      <c r="A725" s="162">
        <v>105205.0</v>
      </c>
      <c r="B725" s="163" t="s">
        <v>1727</v>
      </c>
      <c r="C725" s="164" t="s">
        <v>1728</v>
      </c>
      <c r="D725" s="165">
        <v>45601.0</v>
      </c>
      <c r="E725" s="164" t="s">
        <v>265</v>
      </c>
      <c r="F725" s="161"/>
      <c r="G725" s="161"/>
      <c r="H725" s="159">
        <v>4.5</v>
      </c>
      <c r="I725" s="159">
        <v>4.5</v>
      </c>
      <c r="J725" s="159">
        <v>4.5</v>
      </c>
      <c r="K725" s="159">
        <v>4.5</v>
      </c>
      <c r="L725" s="159">
        <v>4.5</v>
      </c>
      <c r="M725" s="159">
        <v>4.5</v>
      </c>
      <c r="N725" s="159">
        <v>5.0</v>
      </c>
      <c r="O725" s="159">
        <v>4.5</v>
      </c>
      <c r="P725" s="159">
        <v>4.8</v>
      </c>
      <c r="Q725" s="159">
        <v>4.8</v>
      </c>
      <c r="R725" s="159">
        <v>4.775</v>
      </c>
      <c r="S725" s="159">
        <v>4.5</v>
      </c>
      <c r="T725" s="159">
        <v>4.5</v>
      </c>
      <c r="U725" s="159">
        <v>4.5</v>
      </c>
      <c r="V725" s="159">
        <v>4.5</v>
      </c>
      <c r="W725" s="159">
        <v>4.5</v>
      </c>
      <c r="X725" s="161"/>
      <c r="Y725" s="161"/>
      <c r="Z725" s="161"/>
      <c r="AA725" s="161"/>
      <c r="AB725" s="161"/>
      <c r="AC725" s="159">
        <v>4.591666666666667</v>
      </c>
      <c r="AD725" s="171"/>
    </row>
    <row r="726">
      <c r="A726" s="162">
        <v>105258.0</v>
      </c>
      <c r="B726" s="163" t="s">
        <v>1729</v>
      </c>
      <c r="C726" s="164" t="s">
        <v>1730</v>
      </c>
      <c r="D726" s="165">
        <v>45604.0</v>
      </c>
      <c r="E726" s="164" t="s">
        <v>295</v>
      </c>
      <c r="F726" s="161"/>
      <c r="G726" s="161"/>
      <c r="H726" s="159">
        <v>5.0</v>
      </c>
      <c r="I726" s="159">
        <v>5.0</v>
      </c>
      <c r="J726" s="159">
        <v>5.0</v>
      </c>
      <c r="K726" s="159">
        <v>5.0</v>
      </c>
      <c r="L726" s="159">
        <v>5.0</v>
      </c>
      <c r="M726" s="159">
        <v>5.0</v>
      </c>
      <c r="N726" s="159">
        <v>5.0</v>
      </c>
      <c r="O726" s="159">
        <v>5.0</v>
      </c>
      <c r="P726" s="159">
        <v>4.0</v>
      </c>
      <c r="Q726" s="159">
        <v>5.0</v>
      </c>
      <c r="R726" s="159">
        <v>4.75</v>
      </c>
      <c r="S726" s="159">
        <v>4.5</v>
      </c>
      <c r="T726" s="159">
        <v>4.5</v>
      </c>
      <c r="U726" s="159">
        <v>4.5</v>
      </c>
      <c r="V726" s="159">
        <v>4.5</v>
      </c>
      <c r="W726" s="159">
        <v>4.5</v>
      </c>
      <c r="X726" s="161"/>
      <c r="Y726" s="161"/>
      <c r="Z726" s="161"/>
      <c r="AA726" s="161"/>
      <c r="AB726" s="161"/>
      <c r="AC726" s="159">
        <v>4.75</v>
      </c>
      <c r="AD726" s="171"/>
    </row>
    <row r="727">
      <c r="A727" s="162">
        <v>105234.0</v>
      </c>
      <c r="B727" s="163" t="s">
        <v>1731</v>
      </c>
      <c r="C727" s="164" t="s">
        <v>1732</v>
      </c>
      <c r="D727" s="165">
        <v>45604.0</v>
      </c>
      <c r="E727" s="164" t="s">
        <v>295</v>
      </c>
      <c r="F727" s="161"/>
      <c r="G727" s="161"/>
      <c r="H727" s="159">
        <v>5.0</v>
      </c>
      <c r="I727" s="159">
        <v>5.0</v>
      </c>
      <c r="J727" s="159">
        <v>5.0</v>
      </c>
      <c r="K727" s="159">
        <v>5.0</v>
      </c>
      <c r="L727" s="159">
        <v>5.0</v>
      </c>
      <c r="M727" s="159">
        <v>5.0</v>
      </c>
      <c r="N727" s="159">
        <v>5.0</v>
      </c>
      <c r="O727" s="159">
        <v>5.0</v>
      </c>
      <c r="P727" s="159">
        <v>4.0</v>
      </c>
      <c r="Q727" s="159">
        <v>5.0</v>
      </c>
      <c r="R727" s="159">
        <v>4.75</v>
      </c>
      <c r="S727" s="159">
        <v>4.5</v>
      </c>
      <c r="T727" s="159">
        <v>4.5</v>
      </c>
      <c r="U727" s="159">
        <v>4.5</v>
      </c>
      <c r="V727" s="159">
        <v>4.5</v>
      </c>
      <c r="W727" s="159">
        <v>4.5</v>
      </c>
      <c r="X727" s="161"/>
      <c r="Y727" s="161"/>
      <c r="Z727" s="161"/>
      <c r="AA727" s="161"/>
      <c r="AB727" s="161"/>
      <c r="AC727" s="159">
        <v>4.75</v>
      </c>
      <c r="AD727" s="171"/>
    </row>
    <row r="728">
      <c r="A728" s="162">
        <v>105232.0</v>
      </c>
      <c r="B728" s="163" t="s">
        <v>1733</v>
      </c>
      <c r="C728" s="164" t="s">
        <v>1734</v>
      </c>
      <c r="D728" s="165">
        <v>45604.0</v>
      </c>
      <c r="E728" s="164" t="s">
        <v>295</v>
      </c>
      <c r="F728" s="161"/>
      <c r="G728" s="161"/>
      <c r="H728" s="159">
        <v>5.0</v>
      </c>
      <c r="I728" s="159">
        <v>5.0</v>
      </c>
      <c r="J728" s="159">
        <v>5.0</v>
      </c>
      <c r="K728" s="159">
        <v>5.0</v>
      </c>
      <c r="L728" s="159">
        <v>5.0</v>
      </c>
      <c r="M728" s="159">
        <v>5.0</v>
      </c>
      <c r="N728" s="159">
        <v>5.0</v>
      </c>
      <c r="O728" s="159">
        <v>5.0</v>
      </c>
      <c r="P728" s="159">
        <v>4.0</v>
      </c>
      <c r="Q728" s="159">
        <v>5.0</v>
      </c>
      <c r="R728" s="159">
        <v>4.75</v>
      </c>
      <c r="S728" s="159">
        <v>4.5</v>
      </c>
      <c r="T728" s="159">
        <v>4.5</v>
      </c>
      <c r="U728" s="159">
        <v>4.5</v>
      </c>
      <c r="V728" s="159">
        <v>4.5</v>
      </c>
      <c r="W728" s="159">
        <v>4.5</v>
      </c>
      <c r="X728" s="161"/>
      <c r="Y728" s="161"/>
      <c r="Z728" s="161"/>
      <c r="AA728" s="161"/>
      <c r="AB728" s="161"/>
      <c r="AC728" s="159">
        <v>4.75</v>
      </c>
      <c r="AD728" s="171"/>
    </row>
    <row r="729">
      <c r="A729" s="162">
        <v>105235.0</v>
      </c>
      <c r="B729" s="163" t="s">
        <v>1735</v>
      </c>
      <c r="C729" s="164" t="s">
        <v>1736</v>
      </c>
      <c r="D729" s="165">
        <v>45604.0</v>
      </c>
      <c r="E729" s="164" t="s">
        <v>295</v>
      </c>
      <c r="F729" s="161"/>
      <c r="G729" s="161"/>
      <c r="H729" s="159">
        <v>5.0</v>
      </c>
      <c r="I729" s="159">
        <v>5.0</v>
      </c>
      <c r="J729" s="159">
        <v>5.0</v>
      </c>
      <c r="K729" s="159">
        <v>5.0</v>
      </c>
      <c r="L729" s="159">
        <v>5.0</v>
      </c>
      <c r="M729" s="159">
        <v>5.0</v>
      </c>
      <c r="N729" s="159">
        <v>5.0</v>
      </c>
      <c r="O729" s="159">
        <v>5.0</v>
      </c>
      <c r="P729" s="159">
        <v>4.0</v>
      </c>
      <c r="Q729" s="159">
        <v>5.0</v>
      </c>
      <c r="R729" s="159">
        <v>4.75</v>
      </c>
      <c r="S729" s="159">
        <v>4.5</v>
      </c>
      <c r="T729" s="159">
        <v>4.5</v>
      </c>
      <c r="U729" s="159">
        <v>4.5</v>
      </c>
      <c r="V729" s="159">
        <v>4.5</v>
      </c>
      <c r="W729" s="159">
        <v>4.5</v>
      </c>
      <c r="X729" s="161"/>
      <c r="Y729" s="161"/>
      <c r="Z729" s="161"/>
      <c r="AA729" s="161"/>
      <c r="AB729" s="161"/>
      <c r="AC729" s="159">
        <v>4.75</v>
      </c>
      <c r="AD729" s="171"/>
    </row>
    <row r="730">
      <c r="A730" s="162">
        <v>105217.0</v>
      </c>
      <c r="B730" s="163" t="s">
        <v>1737</v>
      </c>
      <c r="C730" s="164" t="s">
        <v>1738</v>
      </c>
      <c r="D730" s="165">
        <v>45604.0</v>
      </c>
      <c r="E730" s="164" t="s">
        <v>295</v>
      </c>
      <c r="F730" s="161"/>
      <c r="G730" s="161"/>
      <c r="H730" s="159">
        <v>5.0</v>
      </c>
      <c r="I730" s="159">
        <v>5.0</v>
      </c>
      <c r="J730" s="159">
        <v>5.0</v>
      </c>
      <c r="K730" s="159">
        <v>5.0</v>
      </c>
      <c r="L730" s="159">
        <v>5.0</v>
      </c>
      <c r="M730" s="159">
        <v>5.0</v>
      </c>
      <c r="N730" s="159">
        <v>5.0</v>
      </c>
      <c r="O730" s="159">
        <v>5.0</v>
      </c>
      <c r="P730" s="159">
        <v>4.0</v>
      </c>
      <c r="Q730" s="159">
        <v>5.0</v>
      </c>
      <c r="R730" s="159">
        <v>4.75</v>
      </c>
      <c r="S730" s="159">
        <v>4.5</v>
      </c>
      <c r="T730" s="159">
        <v>4.5</v>
      </c>
      <c r="U730" s="159">
        <v>4.5</v>
      </c>
      <c r="V730" s="159">
        <v>4.5</v>
      </c>
      <c r="W730" s="159">
        <v>4.5</v>
      </c>
      <c r="X730" s="161"/>
      <c r="Y730" s="161"/>
      <c r="Z730" s="161"/>
      <c r="AA730" s="161"/>
      <c r="AB730" s="161"/>
      <c r="AC730" s="159">
        <v>4.75</v>
      </c>
      <c r="AD730" s="171"/>
    </row>
    <row r="731">
      <c r="A731" s="162">
        <v>105175.0</v>
      </c>
      <c r="B731" s="163" t="s">
        <v>1739</v>
      </c>
      <c r="C731" s="164" t="s">
        <v>1740</v>
      </c>
      <c r="D731" s="165">
        <v>45608.0</v>
      </c>
      <c r="E731" s="164" t="s">
        <v>1723</v>
      </c>
      <c r="F731" s="161"/>
      <c r="G731" s="161"/>
      <c r="H731" s="159">
        <v>5.0</v>
      </c>
      <c r="I731" s="159">
        <v>5.0</v>
      </c>
      <c r="J731" s="159">
        <v>5.0</v>
      </c>
      <c r="K731" s="159">
        <v>5.0</v>
      </c>
      <c r="L731" s="159">
        <v>5.0</v>
      </c>
      <c r="M731" s="159">
        <v>5.0</v>
      </c>
      <c r="N731" s="159">
        <v>5.0</v>
      </c>
      <c r="O731" s="159">
        <v>5.0</v>
      </c>
      <c r="P731" s="159">
        <v>5.0</v>
      </c>
      <c r="Q731" s="159">
        <v>5.0</v>
      </c>
      <c r="R731" s="159">
        <v>5.0</v>
      </c>
      <c r="S731" s="159">
        <v>4.5</v>
      </c>
      <c r="T731" s="159">
        <v>4.5</v>
      </c>
      <c r="U731" s="159">
        <v>4.5</v>
      </c>
      <c r="V731" s="159">
        <v>4.5</v>
      </c>
      <c r="W731" s="159">
        <v>4.5</v>
      </c>
      <c r="X731" s="161"/>
      <c r="Y731" s="161"/>
      <c r="Z731" s="161"/>
      <c r="AA731" s="161"/>
      <c r="AB731" s="161"/>
      <c r="AC731" s="159">
        <v>4.833333333333333</v>
      </c>
      <c r="AD731" s="171"/>
    </row>
    <row r="732">
      <c r="A732" s="162">
        <v>105076.0</v>
      </c>
      <c r="B732" s="163" t="s">
        <v>1741</v>
      </c>
      <c r="C732" s="164" t="s">
        <v>1742</v>
      </c>
      <c r="D732" s="165">
        <v>45608.0</v>
      </c>
      <c r="E732" s="164" t="s">
        <v>1673</v>
      </c>
      <c r="F732" s="161"/>
      <c r="G732" s="161"/>
      <c r="H732" s="159">
        <v>5.0</v>
      </c>
      <c r="I732" s="159">
        <v>5.0</v>
      </c>
      <c r="J732" s="159">
        <v>5.0</v>
      </c>
      <c r="K732" s="159">
        <v>5.0</v>
      </c>
      <c r="L732" s="159">
        <v>5.0</v>
      </c>
      <c r="M732" s="159">
        <v>5.0</v>
      </c>
      <c r="N732" s="159">
        <v>4.0</v>
      </c>
      <c r="O732" s="159">
        <v>4.0</v>
      </c>
      <c r="P732" s="159">
        <v>3.0</v>
      </c>
      <c r="Q732" s="159">
        <v>4.0</v>
      </c>
      <c r="R732" s="159">
        <v>3.75</v>
      </c>
      <c r="S732" s="159">
        <v>4.0</v>
      </c>
      <c r="T732" s="159">
        <v>4.0</v>
      </c>
      <c r="U732" s="159">
        <v>4.0</v>
      </c>
      <c r="V732" s="159">
        <v>4.0</v>
      </c>
      <c r="W732" s="159">
        <v>4.0</v>
      </c>
      <c r="X732" s="161"/>
      <c r="Y732" s="161"/>
      <c r="Z732" s="161"/>
      <c r="AA732" s="161"/>
      <c r="AB732" s="161"/>
      <c r="AC732" s="159">
        <v>4.25</v>
      </c>
      <c r="AD732" s="171"/>
    </row>
    <row r="733">
      <c r="A733" s="162">
        <v>105192.0</v>
      </c>
      <c r="B733" s="163" t="s">
        <v>1743</v>
      </c>
      <c r="C733" s="164" t="s">
        <v>1744</v>
      </c>
      <c r="D733" s="165">
        <v>45611.0</v>
      </c>
      <c r="E733" s="164" t="s">
        <v>113</v>
      </c>
      <c r="F733" s="161"/>
      <c r="G733" s="161"/>
      <c r="H733" s="159">
        <v>5.0</v>
      </c>
      <c r="I733" s="159">
        <v>5.0</v>
      </c>
      <c r="J733" s="159">
        <v>5.0</v>
      </c>
      <c r="K733" s="159">
        <v>5.0</v>
      </c>
      <c r="L733" s="159">
        <v>5.0</v>
      </c>
      <c r="M733" s="159">
        <v>5.0</v>
      </c>
      <c r="N733" s="159">
        <v>5.0</v>
      </c>
      <c r="O733" s="159">
        <v>5.0</v>
      </c>
      <c r="P733" s="159">
        <v>5.0</v>
      </c>
      <c r="Q733" s="159">
        <v>5.0</v>
      </c>
      <c r="R733" s="159">
        <v>5.0</v>
      </c>
      <c r="S733" s="159">
        <v>5.0</v>
      </c>
      <c r="T733" s="159">
        <v>5.0</v>
      </c>
      <c r="U733" s="159">
        <v>5.0</v>
      </c>
      <c r="V733" s="159">
        <v>5.0</v>
      </c>
      <c r="W733" s="159">
        <v>5.0</v>
      </c>
      <c r="X733" s="161"/>
      <c r="Y733" s="161"/>
      <c r="Z733" s="161"/>
      <c r="AA733" s="161"/>
      <c r="AB733" s="161"/>
      <c r="AC733" s="159">
        <v>5.0</v>
      </c>
      <c r="AD733" s="171"/>
    </row>
    <row r="734">
      <c r="A734" s="193">
        <v>105194.0</v>
      </c>
      <c r="B734" s="194" t="s">
        <v>1745</v>
      </c>
      <c r="C734" s="192" t="s">
        <v>1746</v>
      </c>
      <c r="D734" s="195">
        <v>45611.0</v>
      </c>
      <c r="E734" s="192" t="s">
        <v>625</v>
      </c>
      <c r="F734" s="196"/>
      <c r="G734" s="196"/>
      <c r="H734" s="197">
        <v>5.0</v>
      </c>
      <c r="I734" s="197">
        <v>5.0</v>
      </c>
      <c r="J734" s="197">
        <v>5.0</v>
      </c>
      <c r="K734" s="197">
        <v>5.0</v>
      </c>
      <c r="L734" s="197">
        <v>5.0</v>
      </c>
      <c r="M734" s="197">
        <v>5.0</v>
      </c>
      <c r="N734" s="197">
        <v>5.0</v>
      </c>
      <c r="O734" s="197">
        <v>5.0</v>
      </c>
      <c r="P734" s="197">
        <v>5.0</v>
      </c>
      <c r="Q734" s="197">
        <v>5.0</v>
      </c>
      <c r="R734" s="197">
        <v>5.0</v>
      </c>
      <c r="S734" s="197">
        <v>4.5</v>
      </c>
      <c r="T734" s="197">
        <v>4.5</v>
      </c>
      <c r="U734" s="197">
        <v>4.5</v>
      </c>
      <c r="V734" s="197">
        <v>4.5</v>
      </c>
      <c r="W734" s="197">
        <v>4.5</v>
      </c>
      <c r="X734" s="196"/>
      <c r="Y734" s="196"/>
      <c r="Z734" s="196"/>
      <c r="AA734" s="196"/>
      <c r="AB734" s="196"/>
      <c r="AC734" s="197">
        <v>4.833333333333333</v>
      </c>
      <c r="AD734" s="198"/>
    </row>
    <row r="735">
      <c r="A735" s="193">
        <v>105196.0</v>
      </c>
      <c r="B735" s="194" t="s">
        <v>1747</v>
      </c>
      <c r="C735" s="192" t="s">
        <v>1748</v>
      </c>
      <c r="D735" s="195">
        <v>45611.0</v>
      </c>
      <c r="E735" s="192" t="s">
        <v>625</v>
      </c>
      <c r="F735" s="196"/>
      <c r="G735" s="196"/>
      <c r="H735" s="197">
        <v>5.0</v>
      </c>
      <c r="I735" s="197">
        <v>5.0</v>
      </c>
      <c r="J735" s="197">
        <v>5.0</v>
      </c>
      <c r="K735" s="197">
        <v>5.0</v>
      </c>
      <c r="L735" s="197">
        <v>5.0</v>
      </c>
      <c r="M735" s="197">
        <v>5.0</v>
      </c>
      <c r="N735" s="197">
        <v>5.0</v>
      </c>
      <c r="O735" s="197">
        <v>5.0</v>
      </c>
      <c r="P735" s="197">
        <v>5.0</v>
      </c>
      <c r="Q735" s="197">
        <v>5.0</v>
      </c>
      <c r="R735" s="197">
        <v>5.0</v>
      </c>
      <c r="S735" s="197">
        <v>4.5</v>
      </c>
      <c r="T735" s="197">
        <v>4.5</v>
      </c>
      <c r="U735" s="197">
        <v>4.5</v>
      </c>
      <c r="V735" s="197">
        <v>4.5</v>
      </c>
      <c r="W735" s="197">
        <v>4.5</v>
      </c>
      <c r="X735" s="196"/>
      <c r="Y735" s="196"/>
      <c r="Z735" s="196"/>
      <c r="AA735" s="196"/>
      <c r="AB735" s="196"/>
      <c r="AC735" s="197">
        <v>4.833333333333333</v>
      </c>
      <c r="AD735" s="198"/>
    </row>
    <row r="736">
      <c r="A736" s="193">
        <v>105181.0</v>
      </c>
      <c r="B736" s="194" t="s">
        <v>1749</v>
      </c>
      <c r="C736" s="192" t="s">
        <v>1750</v>
      </c>
      <c r="D736" s="195">
        <v>45611.0</v>
      </c>
      <c r="E736" s="192" t="s">
        <v>625</v>
      </c>
      <c r="F736" s="196"/>
      <c r="G736" s="196"/>
      <c r="H736" s="197">
        <v>5.0</v>
      </c>
      <c r="I736" s="197">
        <v>5.0</v>
      </c>
      <c r="J736" s="197">
        <v>5.0</v>
      </c>
      <c r="K736" s="197">
        <v>5.0</v>
      </c>
      <c r="L736" s="197">
        <v>5.0</v>
      </c>
      <c r="M736" s="197">
        <v>5.0</v>
      </c>
      <c r="N736" s="197">
        <v>5.0</v>
      </c>
      <c r="O736" s="197">
        <v>5.0</v>
      </c>
      <c r="P736" s="197">
        <v>5.0</v>
      </c>
      <c r="Q736" s="197">
        <v>5.0</v>
      </c>
      <c r="R736" s="197">
        <v>5.0</v>
      </c>
      <c r="S736" s="197">
        <v>4.5</v>
      </c>
      <c r="T736" s="197">
        <v>4.5</v>
      </c>
      <c r="U736" s="197">
        <v>4.5</v>
      </c>
      <c r="V736" s="197">
        <v>4.5</v>
      </c>
      <c r="W736" s="197">
        <v>4.5</v>
      </c>
      <c r="X736" s="196"/>
      <c r="Y736" s="196"/>
      <c r="Z736" s="196"/>
      <c r="AA736" s="196"/>
      <c r="AB736" s="196"/>
      <c r="AC736" s="197">
        <v>4.833333333333333</v>
      </c>
      <c r="AD736" s="198"/>
    </row>
    <row r="737">
      <c r="A737" s="193">
        <v>105168.0</v>
      </c>
      <c r="B737" s="194" t="s">
        <v>1751</v>
      </c>
      <c r="C737" s="192" t="s">
        <v>1752</v>
      </c>
      <c r="D737" s="195">
        <v>45611.0</v>
      </c>
      <c r="E737" s="192" t="s">
        <v>625</v>
      </c>
      <c r="F737" s="196"/>
      <c r="G737" s="196"/>
      <c r="H737" s="197">
        <v>5.0</v>
      </c>
      <c r="I737" s="197">
        <v>5.0</v>
      </c>
      <c r="J737" s="197">
        <v>5.0</v>
      </c>
      <c r="K737" s="197">
        <v>5.0</v>
      </c>
      <c r="L737" s="197">
        <v>5.0</v>
      </c>
      <c r="M737" s="197">
        <v>5.0</v>
      </c>
      <c r="N737" s="197">
        <v>5.0</v>
      </c>
      <c r="O737" s="197">
        <v>5.0</v>
      </c>
      <c r="P737" s="197">
        <v>5.0</v>
      </c>
      <c r="Q737" s="197">
        <v>5.0</v>
      </c>
      <c r="R737" s="197">
        <v>5.0</v>
      </c>
      <c r="S737" s="197">
        <v>4.5</v>
      </c>
      <c r="T737" s="197">
        <v>4.5</v>
      </c>
      <c r="U737" s="197">
        <v>4.5</v>
      </c>
      <c r="V737" s="197">
        <v>4.5</v>
      </c>
      <c r="W737" s="197">
        <v>4.5</v>
      </c>
      <c r="X737" s="196"/>
      <c r="Y737" s="196"/>
      <c r="Z737" s="196"/>
      <c r="AA737" s="196"/>
      <c r="AB737" s="196"/>
      <c r="AC737" s="197">
        <v>4.833333333333333</v>
      </c>
      <c r="AD737" s="198"/>
    </row>
    <row r="738">
      <c r="A738" s="193">
        <v>105180.0</v>
      </c>
      <c r="B738" s="194" t="s">
        <v>1753</v>
      </c>
      <c r="C738" s="192" t="s">
        <v>1754</v>
      </c>
      <c r="D738" s="195">
        <v>45611.0</v>
      </c>
      <c r="E738" s="192" t="s">
        <v>625</v>
      </c>
      <c r="F738" s="196"/>
      <c r="G738" s="196"/>
      <c r="H738" s="197">
        <v>5.0</v>
      </c>
      <c r="I738" s="197">
        <v>5.0</v>
      </c>
      <c r="J738" s="197">
        <v>5.0</v>
      </c>
      <c r="K738" s="197">
        <v>5.0</v>
      </c>
      <c r="L738" s="197">
        <v>5.0</v>
      </c>
      <c r="M738" s="197">
        <v>5.0</v>
      </c>
      <c r="N738" s="197">
        <v>5.0</v>
      </c>
      <c r="O738" s="197">
        <v>5.0</v>
      </c>
      <c r="P738" s="197">
        <v>4.5</v>
      </c>
      <c r="Q738" s="197">
        <v>5.0</v>
      </c>
      <c r="R738" s="197">
        <v>4.875</v>
      </c>
      <c r="S738" s="197">
        <v>4.5</v>
      </c>
      <c r="T738" s="197">
        <v>4.5</v>
      </c>
      <c r="U738" s="197">
        <v>4.5</v>
      </c>
      <c r="V738" s="197">
        <v>4.5</v>
      </c>
      <c r="W738" s="197">
        <v>4.5</v>
      </c>
      <c r="X738" s="196"/>
      <c r="Y738" s="196"/>
      <c r="Z738" s="196"/>
      <c r="AA738" s="196"/>
      <c r="AB738" s="196"/>
      <c r="AC738" s="197">
        <v>4.791666666666667</v>
      </c>
      <c r="AD738" s="198"/>
    </row>
    <row r="739">
      <c r="A739" s="193">
        <v>105233.0</v>
      </c>
      <c r="B739" s="194" t="s">
        <v>1755</v>
      </c>
      <c r="C739" s="192" t="s">
        <v>1756</v>
      </c>
      <c r="D739" s="195">
        <v>45616.0</v>
      </c>
      <c r="E739" s="192" t="s">
        <v>360</v>
      </c>
      <c r="F739" s="196"/>
      <c r="G739" s="196"/>
      <c r="H739" s="197">
        <v>5.0</v>
      </c>
      <c r="I739" s="197">
        <v>5.0</v>
      </c>
      <c r="J739" s="197">
        <v>5.0</v>
      </c>
      <c r="K739" s="197">
        <v>5.0</v>
      </c>
      <c r="L739" s="197">
        <v>5.0</v>
      </c>
      <c r="M739" s="197">
        <v>5.0</v>
      </c>
      <c r="N739" s="197">
        <v>5.0</v>
      </c>
      <c r="O739" s="197">
        <v>5.0</v>
      </c>
      <c r="P739" s="197">
        <v>5.0</v>
      </c>
      <c r="Q739" s="197">
        <v>3.0</v>
      </c>
      <c r="R739" s="197">
        <v>4.5</v>
      </c>
      <c r="S739" s="197">
        <v>4.5</v>
      </c>
      <c r="T739" s="197">
        <v>4.5</v>
      </c>
      <c r="U739" s="197">
        <v>4.5</v>
      </c>
      <c r="V739" s="197">
        <v>4.5</v>
      </c>
      <c r="W739" s="197">
        <v>4.5</v>
      </c>
      <c r="X739" s="196"/>
      <c r="Y739" s="196"/>
      <c r="Z739" s="196"/>
      <c r="AA739" s="196"/>
      <c r="AB739" s="196"/>
      <c r="AC739" s="197">
        <v>4.666666666666667</v>
      </c>
      <c r="AD739" s="198"/>
    </row>
    <row r="740">
      <c r="A740" s="193">
        <v>105112.0</v>
      </c>
      <c r="B740" s="194" t="s">
        <v>1757</v>
      </c>
      <c r="C740" s="192" t="s">
        <v>1758</v>
      </c>
      <c r="D740" s="195">
        <v>45618.0</v>
      </c>
      <c r="E740" s="192" t="s">
        <v>360</v>
      </c>
      <c r="F740" s="196"/>
      <c r="G740" s="196"/>
      <c r="H740" s="197">
        <v>5.0</v>
      </c>
      <c r="I740" s="197">
        <v>5.0</v>
      </c>
      <c r="J740" s="197">
        <v>5.0</v>
      </c>
      <c r="K740" s="197">
        <v>5.0</v>
      </c>
      <c r="L740" s="197">
        <v>5.0</v>
      </c>
      <c r="M740" s="197">
        <v>5.0</v>
      </c>
      <c r="N740" s="197">
        <v>5.0</v>
      </c>
      <c r="O740" s="197">
        <v>5.0</v>
      </c>
      <c r="P740" s="197">
        <v>4.0</v>
      </c>
      <c r="Q740" s="197">
        <v>5.0</v>
      </c>
      <c r="R740" s="197">
        <v>4.75</v>
      </c>
      <c r="S740" s="197">
        <v>4.5</v>
      </c>
      <c r="T740" s="197">
        <v>4.5</v>
      </c>
      <c r="U740" s="197">
        <v>4.5</v>
      </c>
      <c r="V740" s="197">
        <v>4.5</v>
      </c>
      <c r="W740" s="197">
        <v>4.5</v>
      </c>
      <c r="X740" s="196"/>
      <c r="Y740" s="196"/>
      <c r="Z740" s="196"/>
      <c r="AA740" s="196"/>
      <c r="AB740" s="196"/>
      <c r="AC740" s="197">
        <v>4.75</v>
      </c>
      <c r="AD740" s="198"/>
    </row>
    <row r="741">
      <c r="A741" s="193">
        <v>105237.0</v>
      </c>
      <c r="B741" s="194" t="s">
        <v>1759</v>
      </c>
      <c r="C741" s="192" t="s">
        <v>1760</v>
      </c>
      <c r="D741" s="195">
        <v>45618.0</v>
      </c>
      <c r="E741" s="192" t="s">
        <v>360</v>
      </c>
      <c r="F741" s="196"/>
      <c r="G741" s="196"/>
      <c r="H741" s="197">
        <v>5.0</v>
      </c>
      <c r="I741" s="197">
        <v>5.0</v>
      </c>
      <c r="J741" s="197">
        <v>5.0</v>
      </c>
      <c r="K741" s="197">
        <v>5.0</v>
      </c>
      <c r="L741" s="197">
        <v>5.0</v>
      </c>
      <c r="M741" s="197">
        <v>5.0</v>
      </c>
      <c r="N741" s="197">
        <v>5.0</v>
      </c>
      <c r="O741" s="197">
        <v>5.0</v>
      </c>
      <c r="P741" s="197">
        <v>4.0</v>
      </c>
      <c r="Q741" s="197">
        <v>5.0</v>
      </c>
      <c r="R741" s="197">
        <v>4.75</v>
      </c>
      <c r="S741" s="197">
        <v>4.5</v>
      </c>
      <c r="T741" s="197">
        <v>4.5</v>
      </c>
      <c r="U741" s="197">
        <v>4.5</v>
      </c>
      <c r="V741" s="197">
        <v>4.5</v>
      </c>
      <c r="W741" s="197">
        <v>4.5</v>
      </c>
      <c r="X741" s="196"/>
      <c r="Y741" s="196"/>
      <c r="Z741" s="196"/>
      <c r="AA741" s="196"/>
      <c r="AB741" s="196"/>
      <c r="AC741" s="197">
        <v>4.75</v>
      </c>
      <c r="AD741" s="198"/>
    </row>
    <row r="742">
      <c r="A742" s="193">
        <v>105236.0</v>
      </c>
      <c r="B742" s="194" t="s">
        <v>1761</v>
      </c>
      <c r="C742" s="192" t="s">
        <v>1762</v>
      </c>
      <c r="D742" s="195">
        <v>45619.0</v>
      </c>
      <c r="E742" s="192" t="s">
        <v>1159</v>
      </c>
      <c r="F742" s="196"/>
      <c r="G742" s="196"/>
      <c r="H742" s="197">
        <v>5.0</v>
      </c>
      <c r="I742" s="197">
        <v>5.0</v>
      </c>
      <c r="J742" s="197">
        <v>5.0</v>
      </c>
      <c r="K742" s="197">
        <v>5.0</v>
      </c>
      <c r="L742" s="197">
        <v>5.0</v>
      </c>
      <c r="M742" s="197">
        <v>5.0</v>
      </c>
      <c r="N742" s="197">
        <v>3.0</v>
      </c>
      <c r="O742" s="197">
        <v>5.0</v>
      </c>
      <c r="P742" s="197">
        <v>3.0</v>
      </c>
      <c r="Q742" s="197">
        <v>3.0</v>
      </c>
      <c r="R742" s="197">
        <v>3.5</v>
      </c>
      <c r="S742" s="197">
        <v>3.5</v>
      </c>
      <c r="T742" s="197">
        <v>3.5</v>
      </c>
      <c r="U742" s="197">
        <v>3.5</v>
      </c>
      <c r="V742" s="197">
        <v>3.5</v>
      </c>
      <c r="W742" s="197">
        <v>3.5</v>
      </c>
      <c r="X742" s="196"/>
      <c r="Y742" s="196"/>
      <c r="Z742" s="196"/>
      <c r="AA742" s="196"/>
      <c r="AB742" s="196"/>
      <c r="AC742" s="197">
        <v>4.0</v>
      </c>
      <c r="AD742" s="198"/>
    </row>
    <row r="743">
      <c r="A743" s="193">
        <v>105128.0</v>
      </c>
      <c r="B743" s="194" t="s">
        <v>1763</v>
      </c>
      <c r="C743" s="192" t="s">
        <v>1764</v>
      </c>
      <c r="D743" s="195">
        <v>45625.0</v>
      </c>
      <c r="E743" s="192" t="s">
        <v>1765</v>
      </c>
      <c r="F743" s="196"/>
      <c r="G743" s="196"/>
      <c r="H743" s="197">
        <v>5.0</v>
      </c>
      <c r="I743" s="197">
        <v>5.0</v>
      </c>
      <c r="J743" s="197">
        <v>5.0</v>
      </c>
      <c r="K743" s="197">
        <v>5.0</v>
      </c>
      <c r="L743" s="197">
        <v>5.0</v>
      </c>
      <c r="M743" s="197">
        <v>5.0</v>
      </c>
      <c r="N743" s="197">
        <v>5.0</v>
      </c>
      <c r="O743" s="197">
        <v>5.0</v>
      </c>
      <c r="P743" s="197">
        <v>5.0</v>
      </c>
      <c r="Q743" s="197">
        <v>5.0</v>
      </c>
      <c r="R743" s="197">
        <v>5.0</v>
      </c>
      <c r="S743" s="197">
        <v>4.5</v>
      </c>
      <c r="T743" s="197">
        <v>4.5</v>
      </c>
      <c r="U743" s="197">
        <v>4.5</v>
      </c>
      <c r="V743" s="197">
        <v>4.5</v>
      </c>
      <c r="W743" s="197">
        <v>4.5</v>
      </c>
      <c r="X743" s="196"/>
      <c r="Y743" s="196"/>
      <c r="Z743" s="196"/>
      <c r="AA743" s="196"/>
      <c r="AB743" s="196"/>
      <c r="AC743" s="197">
        <v>4.833333333333333</v>
      </c>
      <c r="AD743" s="198"/>
    </row>
    <row r="744">
      <c r="A744" s="193">
        <v>105273.0</v>
      </c>
      <c r="B744" s="194" t="s">
        <v>1766</v>
      </c>
      <c r="C744" s="192" t="s">
        <v>1767</v>
      </c>
      <c r="D744" s="195">
        <v>45628.0</v>
      </c>
      <c r="E744" s="192" t="s">
        <v>87</v>
      </c>
      <c r="F744" s="196"/>
      <c r="G744" s="196"/>
      <c r="H744" s="197">
        <v>4.5</v>
      </c>
      <c r="I744" s="197">
        <v>4.5</v>
      </c>
      <c r="J744" s="197">
        <v>4.5</v>
      </c>
      <c r="K744" s="197">
        <v>4.5</v>
      </c>
      <c r="L744" s="197">
        <v>4.5</v>
      </c>
      <c r="M744" s="197">
        <v>4.5</v>
      </c>
      <c r="N744" s="197">
        <v>5.0</v>
      </c>
      <c r="O744" s="197">
        <v>4.5</v>
      </c>
      <c r="P744" s="197">
        <v>5.0</v>
      </c>
      <c r="Q744" s="197">
        <v>5.0</v>
      </c>
      <c r="R744" s="197">
        <v>4.875</v>
      </c>
      <c r="S744" s="197">
        <v>4.5</v>
      </c>
      <c r="T744" s="197">
        <v>4.5</v>
      </c>
      <c r="U744" s="197">
        <v>4.5</v>
      </c>
      <c r="V744" s="197">
        <v>4.5</v>
      </c>
      <c r="W744" s="197">
        <v>4.5</v>
      </c>
      <c r="X744" s="196"/>
      <c r="Y744" s="196"/>
      <c r="Z744" s="196"/>
      <c r="AA744" s="196"/>
      <c r="AB744" s="196"/>
      <c r="AC744" s="197">
        <v>4.625</v>
      </c>
      <c r="AD744" s="198"/>
    </row>
    <row r="745">
      <c r="A745" s="193">
        <v>105335.0</v>
      </c>
      <c r="B745" s="194" t="s">
        <v>1768</v>
      </c>
      <c r="C745" s="192" t="s">
        <v>1769</v>
      </c>
      <c r="D745" s="195">
        <v>45630.0</v>
      </c>
      <c r="E745" s="192" t="s">
        <v>427</v>
      </c>
      <c r="F745" s="196"/>
      <c r="G745" s="196"/>
      <c r="H745" s="197">
        <v>4.5</v>
      </c>
      <c r="I745" s="197">
        <v>4.5</v>
      </c>
      <c r="J745" s="197">
        <v>4.5</v>
      </c>
      <c r="K745" s="197">
        <v>4.5</v>
      </c>
      <c r="L745" s="197">
        <v>4.5</v>
      </c>
      <c r="M745" s="197">
        <v>4.5</v>
      </c>
      <c r="N745" s="197">
        <v>5.0</v>
      </c>
      <c r="O745" s="197">
        <v>4.5</v>
      </c>
      <c r="P745" s="197">
        <v>5.0</v>
      </c>
      <c r="Q745" s="197">
        <v>5.0</v>
      </c>
      <c r="R745" s="197">
        <v>4.875</v>
      </c>
      <c r="S745" s="197">
        <v>4.5</v>
      </c>
      <c r="T745" s="197">
        <v>4.5</v>
      </c>
      <c r="U745" s="197">
        <v>4.5</v>
      </c>
      <c r="V745" s="197">
        <v>4.5</v>
      </c>
      <c r="W745" s="197">
        <v>4.5</v>
      </c>
      <c r="X745" s="196"/>
      <c r="Y745" s="196"/>
      <c r="Z745" s="196"/>
      <c r="AA745" s="196"/>
      <c r="AB745" s="196"/>
      <c r="AC745" s="197">
        <v>4.625</v>
      </c>
      <c r="AD745" s="198"/>
    </row>
    <row r="746">
      <c r="A746" s="193">
        <v>105314.0</v>
      </c>
      <c r="B746" s="194" t="s">
        <v>1770</v>
      </c>
      <c r="C746" s="192" t="s">
        <v>1771</v>
      </c>
      <c r="D746" s="195">
        <v>45630.0</v>
      </c>
      <c r="E746" s="192" t="s">
        <v>340</v>
      </c>
      <c r="F746" s="196"/>
      <c r="G746" s="196"/>
      <c r="H746" s="197">
        <v>5.0</v>
      </c>
      <c r="I746" s="197">
        <v>5.0</v>
      </c>
      <c r="J746" s="197">
        <v>5.0</v>
      </c>
      <c r="K746" s="197">
        <v>5.0</v>
      </c>
      <c r="L746" s="197">
        <v>5.0</v>
      </c>
      <c r="M746" s="197">
        <v>5.0</v>
      </c>
      <c r="N746" s="197">
        <v>5.0</v>
      </c>
      <c r="O746" s="197">
        <v>5.0</v>
      </c>
      <c r="P746" s="197">
        <v>4.0</v>
      </c>
      <c r="Q746" s="197">
        <v>5.0</v>
      </c>
      <c r="R746" s="197">
        <v>4.75</v>
      </c>
      <c r="S746" s="197">
        <v>4.5</v>
      </c>
      <c r="T746" s="197">
        <v>4.5</v>
      </c>
      <c r="U746" s="197">
        <v>4.5</v>
      </c>
      <c r="V746" s="197">
        <v>4.5</v>
      </c>
      <c r="W746" s="197">
        <v>4.5</v>
      </c>
      <c r="X746" s="196"/>
      <c r="Y746" s="196"/>
      <c r="Z746" s="196"/>
      <c r="AA746" s="196"/>
      <c r="AB746" s="196"/>
      <c r="AC746" s="197">
        <v>4.75</v>
      </c>
      <c r="AD746" s="198"/>
    </row>
    <row r="747">
      <c r="A747" s="193">
        <v>105291.0</v>
      </c>
      <c r="B747" s="194" t="s">
        <v>1772</v>
      </c>
      <c r="C747" s="192" t="s">
        <v>1773</v>
      </c>
      <c r="D747" s="195">
        <v>45632.0</v>
      </c>
      <c r="E747" s="192" t="s">
        <v>87</v>
      </c>
      <c r="F747" s="196"/>
      <c r="G747" s="196"/>
      <c r="H747" s="197">
        <v>4.5</v>
      </c>
      <c r="I747" s="197">
        <v>4.5</v>
      </c>
      <c r="J747" s="197">
        <v>4.5</v>
      </c>
      <c r="K747" s="197">
        <v>4.5</v>
      </c>
      <c r="L747" s="197">
        <v>4.5</v>
      </c>
      <c r="M747" s="197">
        <v>4.5</v>
      </c>
      <c r="N747" s="197">
        <v>5.0</v>
      </c>
      <c r="O747" s="197">
        <v>4.5</v>
      </c>
      <c r="P747" s="197">
        <v>5.0</v>
      </c>
      <c r="Q747" s="197">
        <v>5.0</v>
      </c>
      <c r="R747" s="197">
        <v>4.875</v>
      </c>
      <c r="S747" s="197">
        <v>4.5</v>
      </c>
      <c r="T747" s="197">
        <v>4.5</v>
      </c>
      <c r="U747" s="197">
        <v>4.5</v>
      </c>
      <c r="V747" s="197">
        <v>4.5</v>
      </c>
      <c r="W747" s="197">
        <v>4.5</v>
      </c>
      <c r="X747" s="196"/>
      <c r="Y747" s="196"/>
      <c r="Z747" s="196"/>
      <c r="AA747" s="196"/>
      <c r="AB747" s="196"/>
      <c r="AC747" s="197">
        <v>4.625</v>
      </c>
      <c r="AD747" s="198"/>
    </row>
    <row r="748">
      <c r="A748" s="193">
        <v>105286.0</v>
      </c>
      <c r="B748" s="194" t="s">
        <v>1774</v>
      </c>
      <c r="C748" s="192" t="s">
        <v>1775</v>
      </c>
      <c r="D748" s="195">
        <v>45632.0</v>
      </c>
      <c r="E748" s="192" t="s">
        <v>1140</v>
      </c>
      <c r="F748" s="196"/>
      <c r="G748" s="196"/>
      <c r="H748" s="197">
        <v>5.0</v>
      </c>
      <c r="I748" s="197">
        <v>5.0</v>
      </c>
      <c r="J748" s="197">
        <v>5.0</v>
      </c>
      <c r="K748" s="197">
        <v>5.0</v>
      </c>
      <c r="L748" s="197">
        <v>5.0</v>
      </c>
      <c r="M748" s="197">
        <v>5.0</v>
      </c>
      <c r="N748" s="197">
        <v>5.0</v>
      </c>
      <c r="O748" s="197">
        <v>5.0</v>
      </c>
      <c r="P748" s="197">
        <v>5.0</v>
      </c>
      <c r="Q748" s="197">
        <v>5.0</v>
      </c>
      <c r="R748" s="197">
        <v>5.0</v>
      </c>
      <c r="S748" s="197">
        <v>4.5</v>
      </c>
      <c r="T748" s="197">
        <v>4.5</v>
      </c>
      <c r="U748" s="197">
        <v>4.5</v>
      </c>
      <c r="V748" s="197">
        <v>4.5</v>
      </c>
      <c r="W748" s="197">
        <v>4.5</v>
      </c>
      <c r="X748" s="196"/>
      <c r="Y748" s="196"/>
      <c r="Z748" s="196"/>
      <c r="AA748" s="196"/>
      <c r="AB748" s="196"/>
      <c r="AC748" s="197">
        <v>4.833333333333333</v>
      </c>
      <c r="AD748" s="198"/>
    </row>
    <row r="749">
      <c r="A749" s="193">
        <v>105320.0</v>
      </c>
      <c r="B749" s="194" t="s">
        <v>1776</v>
      </c>
      <c r="C749" s="192" t="s">
        <v>1777</v>
      </c>
      <c r="D749" s="195">
        <v>45632.0</v>
      </c>
      <c r="E749" s="192" t="s">
        <v>1140</v>
      </c>
      <c r="F749" s="196"/>
      <c r="G749" s="196"/>
      <c r="H749" s="197">
        <v>5.0</v>
      </c>
      <c r="I749" s="197">
        <v>5.0</v>
      </c>
      <c r="J749" s="197">
        <v>5.0</v>
      </c>
      <c r="K749" s="197">
        <v>5.0</v>
      </c>
      <c r="L749" s="197">
        <v>5.0</v>
      </c>
      <c r="M749" s="197">
        <v>5.0</v>
      </c>
      <c r="N749" s="197">
        <v>5.0</v>
      </c>
      <c r="O749" s="197">
        <v>5.0</v>
      </c>
      <c r="P749" s="197">
        <v>5.0</v>
      </c>
      <c r="Q749" s="197">
        <v>5.0</v>
      </c>
      <c r="R749" s="197">
        <v>5.0</v>
      </c>
      <c r="S749" s="197">
        <v>4.5</v>
      </c>
      <c r="T749" s="197">
        <v>4.5</v>
      </c>
      <c r="U749" s="197">
        <v>4.5</v>
      </c>
      <c r="V749" s="197">
        <v>4.5</v>
      </c>
      <c r="W749" s="197">
        <v>4.5</v>
      </c>
      <c r="X749" s="196"/>
      <c r="Y749" s="196"/>
      <c r="Z749" s="196"/>
      <c r="AA749" s="196"/>
      <c r="AB749" s="196"/>
      <c r="AC749" s="197">
        <v>4.833333333333333</v>
      </c>
      <c r="AD749" s="198"/>
    </row>
    <row r="750">
      <c r="A750" s="193">
        <v>105307.0</v>
      </c>
      <c r="B750" s="194" t="s">
        <v>1778</v>
      </c>
      <c r="C750" s="192" t="s">
        <v>1779</v>
      </c>
      <c r="D750" s="195">
        <v>45632.0</v>
      </c>
      <c r="E750" s="192" t="s">
        <v>1140</v>
      </c>
      <c r="F750" s="196"/>
      <c r="G750" s="196"/>
      <c r="H750" s="197">
        <v>5.0</v>
      </c>
      <c r="I750" s="197">
        <v>5.0</v>
      </c>
      <c r="J750" s="197">
        <v>5.0</v>
      </c>
      <c r="K750" s="197">
        <v>5.0</v>
      </c>
      <c r="L750" s="197">
        <v>5.0</v>
      </c>
      <c r="M750" s="197">
        <v>5.0</v>
      </c>
      <c r="N750" s="197">
        <v>5.0</v>
      </c>
      <c r="O750" s="197">
        <v>5.0</v>
      </c>
      <c r="P750" s="197">
        <v>5.0</v>
      </c>
      <c r="Q750" s="197">
        <v>5.0</v>
      </c>
      <c r="R750" s="197">
        <v>5.0</v>
      </c>
      <c r="S750" s="197">
        <v>4.5</v>
      </c>
      <c r="T750" s="197">
        <v>4.5</v>
      </c>
      <c r="U750" s="197">
        <v>4.5</v>
      </c>
      <c r="V750" s="197">
        <v>4.5</v>
      </c>
      <c r="W750" s="197">
        <v>4.5</v>
      </c>
      <c r="X750" s="196"/>
      <c r="Y750" s="196"/>
      <c r="Z750" s="196"/>
      <c r="AA750" s="196"/>
      <c r="AB750" s="196"/>
      <c r="AC750" s="197">
        <v>4.833333333333333</v>
      </c>
      <c r="AD750" s="198"/>
    </row>
    <row r="751">
      <c r="A751" s="193">
        <v>105265.0</v>
      </c>
      <c r="B751" s="194" t="s">
        <v>1780</v>
      </c>
      <c r="C751" s="192" t="s">
        <v>1781</v>
      </c>
      <c r="D751" s="195">
        <v>45632.0</v>
      </c>
      <c r="E751" s="192" t="s">
        <v>254</v>
      </c>
      <c r="F751" s="196"/>
      <c r="G751" s="196"/>
      <c r="H751" s="197">
        <v>5.0</v>
      </c>
      <c r="I751" s="197">
        <v>5.0</v>
      </c>
      <c r="J751" s="197">
        <v>5.0</v>
      </c>
      <c r="K751" s="197">
        <v>5.0</v>
      </c>
      <c r="L751" s="197">
        <v>5.0</v>
      </c>
      <c r="M751" s="197">
        <v>5.0</v>
      </c>
      <c r="N751" s="197">
        <v>4.0</v>
      </c>
      <c r="O751" s="197">
        <v>4.0</v>
      </c>
      <c r="P751" s="197">
        <v>4.0</v>
      </c>
      <c r="Q751" s="197">
        <v>4.0</v>
      </c>
      <c r="R751" s="197">
        <v>4.0</v>
      </c>
      <c r="S751" s="197">
        <v>4.5</v>
      </c>
      <c r="T751" s="197">
        <v>4.5</v>
      </c>
      <c r="U751" s="197">
        <v>4.5</v>
      </c>
      <c r="V751" s="197">
        <v>4.5</v>
      </c>
      <c r="W751" s="197">
        <v>4.5</v>
      </c>
      <c r="X751" s="196"/>
      <c r="Y751" s="196"/>
      <c r="Z751" s="196"/>
      <c r="AA751" s="196"/>
      <c r="AB751" s="196"/>
      <c r="AC751" s="197">
        <v>4.5</v>
      </c>
      <c r="AD751" s="198"/>
    </row>
    <row r="752">
      <c r="A752" s="193">
        <v>105271.0</v>
      </c>
      <c r="B752" s="194" t="s">
        <v>1782</v>
      </c>
      <c r="C752" s="192" t="s">
        <v>1783</v>
      </c>
      <c r="D752" s="195">
        <v>45632.0</v>
      </c>
      <c r="E752" s="192" t="s">
        <v>806</v>
      </c>
      <c r="F752" s="196"/>
      <c r="G752" s="196"/>
      <c r="H752" s="197">
        <v>5.0</v>
      </c>
      <c r="I752" s="197">
        <v>5.0</v>
      </c>
      <c r="J752" s="197">
        <v>5.0</v>
      </c>
      <c r="K752" s="197">
        <v>5.0</v>
      </c>
      <c r="L752" s="197">
        <v>5.0</v>
      </c>
      <c r="M752" s="197">
        <v>5.0</v>
      </c>
      <c r="N752" s="197">
        <v>5.0</v>
      </c>
      <c r="O752" s="197">
        <v>5.0</v>
      </c>
      <c r="P752" s="197">
        <v>5.0</v>
      </c>
      <c r="Q752" s="197">
        <v>5.0</v>
      </c>
      <c r="R752" s="197">
        <v>5.0</v>
      </c>
      <c r="S752" s="197">
        <v>4.75</v>
      </c>
      <c r="T752" s="197">
        <v>4.75</v>
      </c>
      <c r="U752" s="197">
        <v>4.75</v>
      </c>
      <c r="V752" s="197">
        <v>4.75</v>
      </c>
      <c r="W752" s="197">
        <v>4.75</v>
      </c>
      <c r="X752" s="196"/>
      <c r="Y752" s="196"/>
      <c r="Z752" s="196"/>
      <c r="AA752" s="196"/>
      <c r="AB752" s="196"/>
      <c r="AC752" s="197">
        <v>4.916666666666667</v>
      </c>
      <c r="AD752" s="198"/>
    </row>
    <row r="753">
      <c r="A753" s="193">
        <v>105322.0</v>
      </c>
      <c r="B753" s="194" t="s">
        <v>1784</v>
      </c>
      <c r="C753" s="192" t="s">
        <v>1785</v>
      </c>
      <c r="D753" s="195">
        <v>45632.0</v>
      </c>
      <c r="E753" s="192" t="s">
        <v>295</v>
      </c>
      <c r="F753" s="196"/>
      <c r="G753" s="196"/>
      <c r="H753" s="197">
        <v>5.0</v>
      </c>
      <c r="I753" s="197">
        <v>5.0</v>
      </c>
      <c r="J753" s="197">
        <v>5.0</v>
      </c>
      <c r="K753" s="197">
        <v>5.0</v>
      </c>
      <c r="L753" s="197">
        <v>5.0</v>
      </c>
      <c r="M753" s="197">
        <v>5.0</v>
      </c>
      <c r="N753" s="197">
        <v>5.0</v>
      </c>
      <c r="O753" s="197">
        <v>5.0</v>
      </c>
      <c r="P753" s="197">
        <v>4.0</v>
      </c>
      <c r="Q753" s="197">
        <v>5.0</v>
      </c>
      <c r="R753" s="197">
        <v>4.75</v>
      </c>
      <c r="S753" s="197">
        <v>4.5</v>
      </c>
      <c r="T753" s="197">
        <v>4.5</v>
      </c>
      <c r="U753" s="197">
        <v>4.5</v>
      </c>
      <c r="V753" s="197">
        <v>4.5</v>
      </c>
      <c r="W753" s="197">
        <v>4.5</v>
      </c>
      <c r="X753" s="196"/>
      <c r="Y753" s="196"/>
      <c r="Z753" s="196"/>
      <c r="AA753" s="196"/>
      <c r="AB753" s="196"/>
      <c r="AC753" s="197">
        <v>4.75</v>
      </c>
      <c r="AD753" s="198"/>
    </row>
    <row r="754">
      <c r="A754" s="193">
        <v>105162.0</v>
      </c>
      <c r="B754" s="194" t="s">
        <v>1786</v>
      </c>
      <c r="C754" s="192" t="s">
        <v>1787</v>
      </c>
      <c r="D754" s="195">
        <v>45632.0</v>
      </c>
      <c r="E754" s="192" t="s">
        <v>295</v>
      </c>
      <c r="F754" s="196"/>
      <c r="G754" s="196"/>
      <c r="H754" s="197">
        <v>5.0</v>
      </c>
      <c r="I754" s="197">
        <v>5.0</v>
      </c>
      <c r="J754" s="197">
        <v>5.0</v>
      </c>
      <c r="K754" s="197">
        <v>5.0</v>
      </c>
      <c r="L754" s="197">
        <v>5.0</v>
      </c>
      <c r="M754" s="197">
        <v>5.0</v>
      </c>
      <c r="N754" s="197">
        <v>5.0</v>
      </c>
      <c r="O754" s="197">
        <v>5.0</v>
      </c>
      <c r="P754" s="197">
        <v>4.0</v>
      </c>
      <c r="Q754" s="197">
        <v>5.0</v>
      </c>
      <c r="R754" s="197">
        <v>4.75</v>
      </c>
      <c r="S754" s="197">
        <v>4.5</v>
      </c>
      <c r="T754" s="197">
        <v>4.5</v>
      </c>
      <c r="U754" s="197">
        <v>4.5</v>
      </c>
      <c r="V754" s="197">
        <v>4.5</v>
      </c>
      <c r="W754" s="197">
        <v>4.5</v>
      </c>
      <c r="X754" s="196"/>
      <c r="Y754" s="196"/>
      <c r="Z754" s="196"/>
      <c r="AA754" s="196"/>
      <c r="AB754" s="196"/>
      <c r="AC754" s="197">
        <v>4.75</v>
      </c>
      <c r="AD754" s="198"/>
    </row>
    <row r="755">
      <c r="A755" s="193">
        <v>105315.0</v>
      </c>
      <c r="B755" s="194" t="s">
        <v>1788</v>
      </c>
      <c r="C755" s="192" t="s">
        <v>1789</v>
      </c>
      <c r="D755" s="195">
        <v>45635.0</v>
      </c>
      <c r="E755" s="192" t="s">
        <v>254</v>
      </c>
      <c r="F755" s="196"/>
      <c r="G755" s="196"/>
      <c r="H755" s="197">
        <v>5.0</v>
      </c>
      <c r="I755" s="197">
        <v>5.0</v>
      </c>
      <c r="J755" s="197">
        <v>5.0</v>
      </c>
      <c r="K755" s="197">
        <v>5.0</v>
      </c>
      <c r="L755" s="197">
        <v>5.0</v>
      </c>
      <c r="M755" s="197">
        <v>5.0</v>
      </c>
      <c r="N755" s="197">
        <v>5.0</v>
      </c>
      <c r="O755" s="197">
        <v>5.0</v>
      </c>
      <c r="P755" s="197">
        <v>5.0</v>
      </c>
      <c r="Q755" s="197">
        <v>5.0</v>
      </c>
      <c r="R755" s="197">
        <v>5.0</v>
      </c>
      <c r="S755" s="197">
        <v>5.0</v>
      </c>
      <c r="T755" s="197">
        <v>5.0</v>
      </c>
      <c r="U755" s="197">
        <v>5.0</v>
      </c>
      <c r="V755" s="197">
        <v>5.0</v>
      </c>
      <c r="W755" s="197">
        <v>5.0</v>
      </c>
      <c r="X755" s="196"/>
      <c r="Y755" s="196"/>
      <c r="Z755" s="196"/>
      <c r="AA755" s="196"/>
      <c r="AB755" s="196"/>
      <c r="AC755" s="197">
        <v>5.0</v>
      </c>
      <c r="AD755" s="198"/>
    </row>
    <row r="756">
      <c r="A756" s="193">
        <v>105310.0</v>
      </c>
      <c r="B756" s="194" t="s">
        <v>1790</v>
      </c>
      <c r="C756" s="192" t="s">
        <v>1791</v>
      </c>
      <c r="D756" s="195">
        <v>45635.0</v>
      </c>
      <c r="E756" s="192" t="s">
        <v>295</v>
      </c>
      <c r="F756" s="196"/>
      <c r="G756" s="196"/>
      <c r="H756" s="197">
        <v>5.0</v>
      </c>
      <c r="I756" s="197">
        <v>5.0</v>
      </c>
      <c r="J756" s="197">
        <v>5.0</v>
      </c>
      <c r="K756" s="197">
        <v>5.0</v>
      </c>
      <c r="L756" s="197">
        <v>5.0</v>
      </c>
      <c r="M756" s="197">
        <v>5.0</v>
      </c>
      <c r="N756" s="197">
        <v>5.0</v>
      </c>
      <c r="O756" s="197">
        <v>5.0</v>
      </c>
      <c r="P756" s="197">
        <v>4.0</v>
      </c>
      <c r="Q756" s="197">
        <v>5.0</v>
      </c>
      <c r="R756" s="197">
        <v>4.75</v>
      </c>
      <c r="S756" s="197">
        <v>4.5</v>
      </c>
      <c r="T756" s="197">
        <v>4.5</v>
      </c>
      <c r="U756" s="197">
        <v>4.5</v>
      </c>
      <c r="V756" s="197">
        <v>4.5</v>
      </c>
      <c r="W756" s="197">
        <v>4.5</v>
      </c>
      <c r="X756" s="196"/>
      <c r="Y756" s="196"/>
      <c r="Z756" s="196"/>
      <c r="AA756" s="196"/>
      <c r="AB756" s="196"/>
      <c r="AC756" s="197">
        <v>4.75</v>
      </c>
      <c r="AD756" s="198"/>
    </row>
    <row r="757">
      <c r="A757" s="193">
        <v>105321.0</v>
      </c>
      <c r="B757" s="194" t="s">
        <v>1792</v>
      </c>
      <c r="C757" s="192" t="s">
        <v>1793</v>
      </c>
      <c r="D757" s="195">
        <v>45635.0</v>
      </c>
      <c r="E757" s="192" t="s">
        <v>295</v>
      </c>
      <c r="F757" s="196"/>
      <c r="G757" s="196"/>
      <c r="H757" s="197">
        <v>5.0</v>
      </c>
      <c r="I757" s="197">
        <v>5.0</v>
      </c>
      <c r="J757" s="197">
        <v>5.0</v>
      </c>
      <c r="K757" s="197">
        <v>5.0</v>
      </c>
      <c r="L757" s="197">
        <v>5.0</v>
      </c>
      <c r="M757" s="197">
        <v>5.0</v>
      </c>
      <c r="N757" s="197">
        <v>5.0</v>
      </c>
      <c r="O757" s="197">
        <v>5.0</v>
      </c>
      <c r="P757" s="197">
        <v>4.0</v>
      </c>
      <c r="Q757" s="197">
        <v>5.0</v>
      </c>
      <c r="R757" s="197">
        <v>4.75</v>
      </c>
      <c r="S757" s="197">
        <v>4.5</v>
      </c>
      <c r="T757" s="197">
        <v>4.5</v>
      </c>
      <c r="U757" s="197">
        <v>4.5</v>
      </c>
      <c r="V757" s="197">
        <v>4.5</v>
      </c>
      <c r="W757" s="197">
        <v>4.5</v>
      </c>
      <c r="X757" s="196"/>
      <c r="Y757" s="196"/>
      <c r="Z757" s="196"/>
      <c r="AA757" s="196"/>
      <c r="AB757" s="196"/>
      <c r="AC757" s="197">
        <v>4.75</v>
      </c>
      <c r="AD757" s="198"/>
    </row>
    <row r="758">
      <c r="A758" s="193">
        <v>105311.0</v>
      </c>
      <c r="B758" s="194" t="s">
        <v>1794</v>
      </c>
      <c r="C758" s="192" t="s">
        <v>1795</v>
      </c>
      <c r="D758" s="195">
        <v>45635.0</v>
      </c>
      <c r="E758" s="192" t="s">
        <v>295</v>
      </c>
      <c r="F758" s="196"/>
      <c r="G758" s="196"/>
      <c r="H758" s="197">
        <v>5.0</v>
      </c>
      <c r="I758" s="197">
        <v>5.0</v>
      </c>
      <c r="J758" s="197">
        <v>5.0</v>
      </c>
      <c r="K758" s="197">
        <v>5.0</v>
      </c>
      <c r="L758" s="197">
        <v>5.0</v>
      </c>
      <c r="M758" s="197">
        <v>5.0</v>
      </c>
      <c r="N758" s="197">
        <v>5.0</v>
      </c>
      <c r="O758" s="197">
        <v>5.0</v>
      </c>
      <c r="P758" s="197">
        <v>4.0</v>
      </c>
      <c r="Q758" s="197">
        <v>5.0</v>
      </c>
      <c r="R758" s="197">
        <v>4.75</v>
      </c>
      <c r="S758" s="197">
        <v>4.5</v>
      </c>
      <c r="T758" s="197">
        <v>4.5</v>
      </c>
      <c r="U758" s="197">
        <v>4.5</v>
      </c>
      <c r="V758" s="197">
        <v>4.5</v>
      </c>
      <c r="W758" s="197">
        <v>4.5</v>
      </c>
      <c r="X758" s="196"/>
      <c r="Y758" s="196"/>
      <c r="Z758" s="196"/>
      <c r="AA758" s="196"/>
      <c r="AB758" s="196"/>
      <c r="AC758" s="197">
        <v>4.75</v>
      </c>
      <c r="AD758" s="198"/>
    </row>
    <row r="759">
      <c r="A759" s="193">
        <v>105303.0</v>
      </c>
      <c r="B759" s="194" t="s">
        <v>1796</v>
      </c>
      <c r="C759" s="192" t="s">
        <v>1797</v>
      </c>
      <c r="D759" s="195">
        <v>45635.0</v>
      </c>
      <c r="E759" s="192" t="s">
        <v>295</v>
      </c>
      <c r="F759" s="196"/>
      <c r="G759" s="196"/>
      <c r="H759" s="197">
        <v>5.0</v>
      </c>
      <c r="I759" s="197">
        <v>5.0</v>
      </c>
      <c r="J759" s="197">
        <v>5.0</v>
      </c>
      <c r="K759" s="197">
        <v>5.0</v>
      </c>
      <c r="L759" s="197">
        <v>5.0</v>
      </c>
      <c r="M759" s="197">
        <v>5.0</v>
      </c>
      <c r="N759" s="197">
        <v>5.0</v>
      </c>
      <c r="O759" s="197">
        <v>5.0</v>
      </c>
      <c r="P759" s="197">
        <v>4.0</v>
      </c>
      <c r="Q759" s="197">
        <v>5.0</v>
      </c>
      <c r="R759" s="197">
        <v>4.75</v>
      </c>
      <c r="S759" s="197">
        <v>4.5</v>
      </c>
      <c r="T759" s="197">
        <v>4.5</v>
      </c>
      <c r="U759" s="197">
        <v>4.5</v>
      </c>
      <c r="V759" s="197">
        <v>4.5</v>
      </c>
      <c r="W759" s="197">
        <v>4.5</v>
      </c>
      <c r="X759" s="196"/>
      <c r="Y759" s="196"/>
      <c r="Z759" s="196"/>
      <c r="AA759" s="196"/>
      <c r="AB759" s="196"/>
      <c r="AC759" s="197">
        <v>4.75</v>
      </c>
      <c r="AD759" s="198"/>
    </row>
    <row r="760">
      <c r="A760" s="193">
        <v>105195.0</v>
      </c>
      <c r="B760" s="194" t="s">
        <v>1798</v>
      </c>
      <c r="C760" s="192" t="s">
        <v>1799</v>
      </c>
      <c r="D760" s="195">
        <v>45635.0</v>
      </c>
      <c r="E760" s="192" t="s">
        <v>295</v>
      </c>
      <c r="F760" s="196"/>
      <c r="G760" s="196"/>
      <c r="H760" s="197">
        <v>5.0</v>
      </c>
      <c r="I760" s="197">
        <v>5.0</v>
      </c>
      <c r="J760" s="197">
        <v>5.0</v>
      </c>
      <c r="K760" s="197">
        <v>5.0</v>
      </c>
      <c r="L760" s="197">
        <v>5.0</v>
      </c>
      <c r="M760" s="197">
        <v>5.0</v>
      </c>
      <c r="N760" s="197">
        <v>3.0</v>
      </c>
      <c r="O760" s="197">
        <v>5.0</v>
      </c>
      <c r="P760" s="197">
        <v>3.0</v>
      </c>
      <c r="Q760" s="197">
        <v>3.0</v>
      </c>
      <c r="R760" s="197">
        <v>3.5</v>
      </c>
      <c r="S760" s="197">
        <v>3.5</v>
      </c>
      <c r="T760" s="197">
        <v>3.5</v>
      </c>
      <c r="U760" s="197">
        <v>3.5</v>
      </c>
      <c r="V760" s="197">
        <v>3.5</v>
      </c>
      <c r="W760" s="197">
        <v>3.5</v>
      </c>
      <c r="X760" s="196"/>
      <c r="Y760" s="196"/>
      <c r="Z760" s="196"/>
      <c r="AA760" s="196"/>
      <c r="AB760" s="196"/>
      <c r="AC760" s="197">
        <v>4.0</v>
      </c>
      <c r="AD760" s="198"/>
    </row>
    <row r="761">
      <c r="A761" s="193">
        <v>105305.0</v>
      </c>
      <c r="B761" s="194" t="s">
        <v>1800</v>
      </c>
      <c r="C761" s="192" t="s">
        <v>1801</v>
      </c>
      <c r="D761" s="195">
        <v>45635.0</v>
      </c>
      <c r="E761" s="192" t="s">
        <v>295</v>
      </c>
      <c r="F761" s="196"/>
      <c r="G761" s="196"/>
      <c r="H761" s="197">
        <v>5.0</v>
      </c>
      <c r="I761" s="197">
        <v>5.0</v>
      </c>
      <c r="J761" s="197">
        <v>5.0</v>
      </c>
      <c r="K761" s="197">
        <v>5.0</v>
      </c>
      <c r="L761" s="197">
        <v>5.0</v>
      </c>
      <c r="M761" s="197">
        <v>5.0</v>
      </c>
      <c r="N761" s="197">
        <v>3.0</v>
      </c>
      <c r="O761" s="197">
        <v>5.0</v>
      </c>
      <c r="P761" s="197">
        <v>3.0</v>
      </c>
      <c r="Q761" s="197">
        <v>3.0</v>
      </c>
      <c r="R761" s="197">
        <v>3.5</v>
      </c>
      <c r="S761" s="197">
        <v>3.0</v>
      </c>
      <c r="T761" s="197">
        <v>3.0</v>
      </c>
      <c r="U761" s="197">
        <v>3.0</v>
      </c>
      <c r="V761" s="197">
        <v>3.0</v>
      </c>
      <c r="W761" s="197">
        <v>3.0</v>
      </c>
      <c r="X761" s="196"/>
      <c r="Y761" s="196"/>
      <c r="Z761" s="196"/>
      <c r="AA761" s="196"/>
      <c r="AB761" s="196"/>
      <c r="AC761" s="197">
        <v>3.8333333333333335</v>
      </c>
      <c r="AD761" s="198"/>
    </row>
    <row r="762">
      <c r="A762" s="193">
        <v>105306.0</v>
      </c>
      <c r="B762" s="194" t="s">
        <v>1802</v>
      </c>
      <c r="C762" s="192" t="s">
        <v>1803</v>
      </c>
      <c r="D762" s="195">
        <v>45635.0</v>
      </c>
      <c r="E762" s="192" t="s">
        <v>295</v>
      </c>
      <c r="F762" s="196"/>
      <c r="G762" s="196"/>
      <c r="H762" s="197">
        <v>5.0</v>
      </c>
      <c r="I762" s="197">
        <v>5.0</v>
      </c>
      <c r="J762" s="197">
        <v>5.0</v>
      </c>
      <c r="K762" s="197">
        <v>5.0</v>
      </c>
      <c r="L762" s="197">
        <v>5.0</v>
      </c>
      <c r="M762" s="197">
        <v>5.0</v>
      </c>
      <c r="N762" s="197">
        <v>5.0</v>
      </c>
      <c r="O762" s="197">
        <v>5.0</v>
      </c>
      <c r="P762" s="197">
        <v>4.0</v>
      </c>
      <c r="Q762" s="197">
        <v>5.0</v>
      </c>
      <c r="R762" s="197">
        <v>4.75</v>
      </c>
      <c r="S762" s="197">
        <v>4.5</v>
      </c>
      <c r="T762" s="197">
        <v>4.5</v>
      </c>
      <c r="U762" s="197">
        <v>4.5</v>
      </c>
      <c r="V762" s="197">
        <v>4.5</v>
      </c>
      <c r="W762" s="197">
        <v>4.5</v>
      </c>
      <c r="X762" s="196"/>
      <c r="Y762" s="196"/>
      <c r="Z762" s="196"/>
      <c r="AA762" s="196"/>
      <c r="AB762" s="196"/>
      <c r="AC762" s="197">
        <v>4.75</v>
      </c>
      <c r="AD762" s="198"/>
    </row>
    <row r="763">
      <c r="A763" s="193">
        <v>105324.0</v>
      </c>
      <c r="B763" s="194" t="s">
        <v>1804</v>
      </c>
      <c r="C763" s="192" t="s">
        <v>1805</v>
      </c>
      <c r="D763" s="195">
        <v>45635.0</v>
      </c>
      <c r="E763" s="192" t="s">
        <v>295</v>
      </c>
      <c r="F763" s="196"/>
      <c r="G763" s="196"/>
      <c r="H763" s="197">
        <v>5.0</v>
      </c>
      <c r="I763" s="197">
        <v>5.0</v>
      </c>
      <c r="J763" s="197">
        <v>5.0</v>
      </c>
      <c r="K763" s="197">
        <v>5.0</v>
      </c>
      <c r="L763" s="197">
        <v>5.0</v>
      </c>
      <c r="M763" s="197">
        <v>5.0</v>
      </c>
      <c r="N763" s="197">
        <v>5.0</v>
      </c>
      <c r="O763" s="197">
        <v>5.0</v>
      </c>
      <c r="P763" s="197">
        <v>5.0</v>
      </c>
      <c r="Q763" s="197">
        <v>5.0</v>
      </c>
      <c r="R763" s="197">
        <v>5.0</v>
      </c>
      <c r="S763" s="197">
        <v>4.5</v>
      </c>
      <c r="T763" s="197">
        <v>4.5</v>
      </c>
      <c r="U763" s="197">
        <v>4.5</v>
      </c>
      <c r="V763" s="197">
        <v>4.5</v>
      </c>
      <c r="W763" s="197">
        <v>4.5</v>
      </c>
      <c r="X763" s="196"/>
      <c r="Y763" s="196"/>
      <c r="Z763" s="196"/>
      <c r="AA763" s="196"/>
      <c r="AB763" s="196"/>
      <c r="AC763" s="197">
        <v>4.833333333333333</v>
      </c>
      <c r="AD763" s="198"/>
    </row>
    <row r="764">
      <c r="A764" s="193">
        <v>105340.0</v>
      </c>
      <c r="B764" s="194" t="s">
        <v>1806</v>
      </c>
      <c r="C764" s="192" t="s">
        <v>1807</v>
      </c>
      <c r="D764" s="195">
        <v>45637.0</v>
      </c>
      <c r="E764" s="192" t="s">
        <v>87</v>
      </c>
      <c r="F764" s="196"/>
      <c r="G764" s="196"/>
      <c r="H764" s="197">
        <v>4.5</v>
      </c>
      <c r="I764" s="197">
        <v>4.5</v>
      </c>
      <c r="J764" s="197">
        <v>4.5</v>
      </c>
      <c r="K764" s="197">
        <v>4.5</v>
      </c>
      <c r="L764" s="197">
        <v>4.5</v>
      </c>
      <c r="M764" s="197">
        <v>4.5</v>
      </c>
      <c r="N764" s="197">
        <v>5.0</v>
      </c>
      <c r="O764" s="197">
        <v>4.5</v>
      </c>
      <c r="P764" s="197">
        <v>5.0</v>
      </c>
      <c r="Q764" s="197">
        <v>5.0</v>
      </c>
      <c r="R764" s="197">
        <v>4.875</v>
      </c>
      <c r="S764" s="197">
        <v>4.5</v>
      </c>
      <c r="T764" s="197">
        <v>4.5</v>
      </c>
      <c r="U764" s="197">
        <v>4.5</v>
      </c>
      <c r="V764" s="197">
        <v>4.5</v>
      </c>
      <c r="W764" s="197">
        <v>4.5</v>
      </c>
      <c r="X764" s="196"/>
      <c r="Y764" s="196"/>
      <c r="Z764" s="196"/>
      <c r="AA764" s="196"/>
      <c r="AB764" s="196"/>
      <c r="AC764" s="197">
        <v>4.625</v>
      </c>
      <c r="AD764" s="198"/>
    </row>
    <row r="765">
      <c r="A765" s="193">
        <v>105327.0</v>
      </c>
      <c r="B765" s="194" t="s">
        <v>1808</v>
      </c>
      <c r="C765" s="192" t="s">
        <v>1809</v>
      </c>
      <c r="D765" s="195">
        <v>45637.0</v>
      </c>
      <c r="E765" s="192" t="s">
        <v>87</v>
      </c>
      <c r="F765" s="196"/>
      <c r="G765" s="196"/>
      <c r="H765" s="197">
        <v>4.5</v>
      </c>
      <c r="I765" s="197">
        <v>4.5</v>
      </c>
      <c r="J765" s="197">
        <v>4.5</v>
      </c>
      <c r="K765" s="197">
        <v>4.5</v>
      </c>
      <c r="L765" s="197">
        <v>4.5</v>
      </c>
      <c r="M765" s="197">
        <v>4.5</v>
      </c>
      <c r="N765" s="197">
        <v>5.0</v>
      </c>
      <c r="O765" s="197">
        <v>4.5</v>
      </c>
      <c r="P765" s="197">
        <v>5.0</v>
      </c>
      <c r="Q765" s="197">
        <v>5.0</v>
      </c>
      <c r="R765" s="197">
        <v>4.875</v>
      </c>
      <c r="S765" s="197">
        <v>4.5</v>
      </c>
      <c r="T765" s="197">
        <v>4.5</v>
      </c>
      <c r="U765" s="197">
        <v>4.5</v>
      </c>
      <c r="V765" s="197">
        <v>4.5</v>
      </c>
      <c r="W765" s="197">
        <v>4.5</v>
      </c>
      <c r="X765" s="196"/>
      <c r="Y765" s="196"/>
      <c r="Z765" s="196"/>
      <c r="AA765" s="196"/>
      <c r="AB765" s="196"/>
      <c r="AC765" s="197">
        <v>4.625</v>
      </c>
      <c r="AD765" s="198"/>
    </row>
    <row r="766">
      <c r="A766" s="193">
        <v>105295.0</v>
      </c>
      <c r="B766" s="194" t="s">
        <v>1810</v>
      </c>
      <c r="C766" s="192" t="s">
        <v>1811</v>
      </c>
      <c r="D766" s="195">
        <v>45637.0</v>
      </c>
      <c r="E766" s="192" t="s">
        <v>87</v>
      </c>
      <c r="F766" s="196"/>
      <c r="G766" s="196"/>
      <c r="H766" s="197">
        <v>4.5</v>
      </c>
      <c r="I766" s="197">
        <v>4.5</v>
      </c>
      <c r="J766" s="197">
        <v>4.5</v>
      </c>
      <c r="K766" s="197">
        <v>4.5</v>
      </c>
      <c r="L766" s="197">
        <v>4.5</v>
      </c>
      <c r="M766" s="197">
        <v>4.5</v>
      </c>
      <c r="N766" s="197">
        <v>5.0</v>
      </c>
      <c r="O766" s="197">
        <v>4.5</v>
      </c>
      <c r="P766" s="197">
        <v>5.0</v>
      </c>
      <c r="Q766" s="197">
        <v>5.0</v>
      </c>
      <c r="R766" s="197">
        <v>4.875</v>
      </c>
      <c r="S766" s="197">
        <v>4.5</v>
      </c>
      <c r="T766" s="197">
        <v>4.5</v>
      </c>
      <c r="U766" s="197">
        <v>4.5</v>
      </c>
      <c r="V766" s="197">
        <v>4.5</v>
      </c>
      <c r="W766" s="197">
        <v>4.5</v>
      </c>
      <c r="X766" s="196"/>
      <c r="Y766" s="196"/>
      <c r="Z766" s="196"/>
      <c r="AA766" s="196"/>
      <c r="AB766" s="196"/>
      <c r="AC766" s="197">
        <v>4.625</v>
      </c>
      <c r="AD766" s="198"/>
    </row>
    <row r="767">
      <c r="A767" s="193">
        <v>105284.0</v>
      </c>
      <c r="B767" s="194" t="s">
        <v>1812</v>
      </c>
      <c r="C767" s="192" t="s">
        <v>1813</v>
      </c>
      <c r="D767" s="195">
        <v>45637.0</v>
      </c>
      <c r="E767" s="192" t="s">
        <v>1726</v>
      </c>
      <c r="F767" s="196"/>
      <c r="G767" s="196"/>
      <c r="H767" s="197">
        <v>4.0</v>
      </c>
      <c r="I767" s="197">
        <v>4.0</v>
      </c>
      <c r="J767" s="197">
        <v>4.0</v>
      </c>
      <c r="K767" s="197">
        <v>4.0</v>
      </c>
      <c r="L767" s="197">
        <v>4.0</v>
      </c>
      <c r="M767" s="197">
        <v>4.0</v>
      </c>
      <c r="N767" s="197">
        <v>4.0</v>
      </c>
      <c r="O767" s="197">
        <v>4.0</v>
      </c>
      <c r="P767" s="197">
        <v>4.0</v>
      </c>
      <c r="Q767" s="197">
        <v>4.0</v>
      </c>
      <c r="R767" s="197">
        <v>4.0</v>
      </c>
      <c r="S767" s="197">
        <v>4.0</v>
      </c>
      <c r="T767" s="197">
        <v>4.0</v>
      </c>
      <c r="U767" s="197">
        <v>4.0</v>
      </c>
      <c r="V767" s="197">
        <v>4.0</v>
      </c>
      <c r="W767" s="197">
        <v>4.0</v>
      </c>
      <c r="X767" s="196"/>
      <c r="Y767" s="196"/>
      <c r="Z767" s="196"/>
      <c r="AA767" s="196"/>
      <c r="AB767" s="196"/>
      <c r="AC767" s="197">
        <v>4.0</v>
      </c>
      <c r="AD767" s="198"/>
    </row>
    <row r="768">
      <c r="A768" s="193">
        <v>105323.0</v>
      </c>
      <c r="B768" s="194" t="s">
        <v>1814</v>
      </c>
      <c r="C768" s="192" t="s">
        <v>1815</v>
      </c>
      <c r="D768" s="195">
        <v>45637.0</v>
      </c>
      <c r="E768" s="192" t="s">
        <v>1159</v>
      </c>
      <c r="F768" s="196"/>
      <c r="G768" s="196"/>
      <c r="H768" s="197">
        <v>5.0</v>
      </c>
      <c r="I768" s="197">
        <v>5.0</v>
      </c>
      <c r="J768" s="197">
        <v>5.0</v>
      </c>
      <c r="K768" s="197">
        <v>5.0</v>
      </c>
      <c r="L768" s="197">
        <v>5.0</v>
      </c>
      <c r="M768" s="197">
        <v>5.0</v>
      </c>
      <c r="N768" s="197">
        <v>5.0</v>
      </c>
      <c r="O768" s="197">
        <v>5.0</v>
      </c>
      <c r="P768" s="197">
        <v>5.0</v>
      </c>
      <c r="Q768" s="197">
        <v>5.0</v>
      </c>
      <c r="R768" s="197">
        <v>5.0</v>
      </c>
      <c r="S768" s="197">
        <v>4.5</v>
      </c>
      <c r="T768" s="197">
        <v>4.5</v>
      </c>
      <c r="U768" s="197">
        <v>4.5</v>
      </c>
      <c r="V768" s="197">
        <v>4.5</v>
      </c>
      <c r="W768" s="197">
        <v>4.5</v>
      </c>
      <c r="X768" s="196"/>
      <c r="Y768" s="196"/>
      <c r="Z768" s="196"/>
      <c r="AA768" s="196"/>
      <c r="AB768" s="196"/>
      <c r="AC768" s="197">
        <v>4.833333333333333</v>
      </c>
      <c r="AD768" s="198"/>
    </row>
    <row r="769">
      <c r="A769" s="193">
        <v>105195.0</v>
      </c>
      <c r="B769" s="194" t="s">
        <v>1816</v>
      </c>
      <c r="C769" s="192" t="s">
        <v>1799</v>
      </c>
      <c r="D769" s="195">
        <v>45639.0</v>
      </c>
      <c r="E769" s="192" t="s">
        <v>94</v>
      </c>
      <c r="F769" s="196"/>
      <c r="G769" s="196"/>
      <c r="H769" s="197">
        <v>5.0</v>
      </c>
      <c r="I769" s="197">
        <v>5.0</v>
      </c>
      <c r="J769" s="197">
        <v>5.0</v>
      </c>
      <c r="K769" s="197">
        <v>5.0</v>
      </c>
      <c r="L769" s="197">
        <v>5.0</v>
      </c>
      <c r="M769" s="197">
        <v>5.0</v>
      </c>
      <c r="N769" s="197">
        <v>5.0</v>
      </c>
      <c r="O769" s="197">
        <v>5.0</v>
      </c>
      <c r="P769" s="197">
        <v>5.0</v>
      </c>
      <c r="Q769" s="197">
        <v>5.0</v>
      </c>
      <c r="R769" s="197">
        <v>5.0</v>
      </c>
      <c r="S769" s="197">
        <v>4.5</v>
      </c>
      <c r="T769" s="197">
        <v>4.5</v>
      </c>
      <c r="U769" s="197">
        <v>4.5</v>
      </c>
      <c r="V769" s="197">
        <v>4.5</v>
      </c>
      <c r="W769" s="197">
        <v>4.5</v>
      </c>
      <c r="X769" s="196"/>
      <c r="Y769" s="196"/>
      <c r="Z769" s="196"/>
      <c r="AA769" s="196"/>
      <c r="AB769" s="196"/>
      <c r="AC769" s="197">
        <v>4.833333333333333</v>
      </c>
      <c r="AD769" s="198"/>
    </row>
    <row r="770">
      <c r="A770" s="193">
        <v>105336.0</v>
      </c>
      <c r="B770" s="194" t="s">
        <v>1817</v>
      </c>
      <c r="C770" s="192" t="s">
        <v>1818</v>
      </c>
      <c r="D770" s="195">
        <v>45642.0</v>
      </c>
      <c r="E770" s="192" t="s">
        <v>87</v>
      </c>
      <c r="F770" s="196"/>
      <c r="G770" s="196"/>
      <c r="H770" s="197">
        <v>4.5</v>
      </c>
      <c r="I770" s="197">
        <v>4.5</v>
      </c>
      <c r="J770" s="197">
        <v>4.5</v>
      </c>
      <c r="K770" s="197">
        <v>4.5</v>
      </c>
      <c r="L770" s="197">
        <v>4.5</v>
      </c>
      <c r="M770" s="197">
        <v>4.5</v>
      </c>
      <c r="N770" s="197">
        <v>5.0</v>
      </c>
      <c r="O770" s="197">
        <v>4.5</v>
      </c>
      <c r="P770" s="197">
        <v>5.0</v>
      </c>
      <c r="Q770" s="197">
        <v>5.0</v>
      </c>
      <c r="R770" s="197">
        <v>4.875</v>
      </c>
      <c r="S770" s="197">
        <v>4.5</v>
      </c>
      <c r="T770" s="197">
        <v>4.5</v>
      </c>
      <c r="U770" s="197">
        <v>4.5</v>
      </c>
      <c r="V770" s="197">
        <v>4.5</v>
      </c>
      <c r="W770" s="197">
        <v>4.5</v>
      </c>
      <c r="X770" s="196"/>
      <c r="Y770" s="196"/>
      <c r="Z770" s="196"/>
      <c r="AA770" s="196"/>
      <c r="AB770" s="196"/>
      <c r="AC770" s="197">
        <v>4.625</v>
      </c>
      <c r="AD770" s="198"/>
    </row>
    <row r="771">
      <c r="A771" s="193">
        <v>105336.0</v>
      </c>
      <c r="B771" s="194" t="s">
        <v>1819</v>
      </c>
      <c r="C771" s="192" t="s">
        <v>1818</v>
      </c>
      <c r="D771" s="195">
        <v>45645.0</v>
      </c>
      <c r="E771" s="192" t="s">
        <v>1212</v>
      </c>
      <c r="F771" s="196"/>
      <c r="G771" s="196"/>
      <c r="H771" s="197">
        <v>4.5</v>
      </c>
      <c r="I771" s="197">
        <v>4.5</v>
      </c>
      <c r="J771" s="197">
        <v>4.5</v>
      </c>
      <c r="K771" s="197">
        <v>4.5</v>
      </c>
      <c r="L771" s="197">
        <v>4.5</v>
      </c>
      <c r="M771" s="197">
        <v>4.5</v>
      </c>
      <c r="N771" s="197">
        <v>5.0</v>
      </c>
      <c r="O771" s="197">
        <v>4.5</v>
      </c>
      <c r="P771" s="197">
        <v>5.0</v>
      </c>
      <c r="Q771" s="197">
        <v>5.0</v>
      </c>
      <c r="R771" s="197">
        <v>4.875</v>
      </c>
      <c r="S771" s="197">
        <v>4.5</v>
      </c>
      <c r="T771" s="197">
        <v>4.5</v>
      </c>
      <c r="U771" s="197">
        <v>4.5</v>
      </c>
      <c r="V771" s="197">
        <v>4.5</v>
      </c>
      <c r="W771" s="197">
        <v>4.5</v>
      </c>
      <c r="X771" s="196"/>
      <c r="Y771" s="196"/>
      <c r="Z771" s="196"/>
      <c r="AA771" s="196"/>
      <c r="AB771" s="196"/>
      <c r="AC771" s="197">
        <v>4.625</v>
      </c>
      <c r="AD771" s="198"/>
    </row>
    <row r="772">
      <c r="A772" s="193">
        <v>105325.0</v>
      </c>
      <c r="B772" s="194" t="s">
        <v>1820</v>
      </c>
      <c r="C772" s="192" t="s">
        <v>1821</v>
      </c>
      <c r="D772" s="195">
        <v>45645.0</v>
      </c>
      <c r="E772" s="192" t="s">
        <v>87</v>
      </c>
      <c r="F772" s="196"/>
      <c r="G772" s="196"/>
      <c r="H772" s="197">
        <v>4.5</v>
      </c>
      <c r="I772" s="197">
        <v>4.5</v>
      </c>
      <c r="J772" s="197">
        <v>4.5</v>
      </c>
      <c r="K772" s="197">
        <v>4.5</v>
      </c>
      <c r="L772" s="197">
        <v>4.5</v>
      </c>
      <c r="M772" s="197">
        <v>4.5</v>
      </c>
      <c r="N772" s="197">
        <v>5.0</v>
      </c>
      <c r="O772" s="197">
        <v>4.5</v>
      </c>
      <c r="P772" s="197">
        <v>5.0</v>
      </c>
      <c r="Q772" s="197">
        <v>5.0</v>
      </c>
      <c r="R772" s="197">
        <v>4.875</v>
      </c>
      <c r="S772" s="197">
        <v>4.5</v>
      </c>
      <c r="T772" s="197">
        <v>4.5</v>
      </c>
      <c r="U772" s="197">
        <v>4.5</v>
      </c>
      <c r="V772" s="197">
        <v>4.5</v>
      </c>
      <c r="W772" s="197">
        <v>4.5</v>
      </c>
      <c r="X772" s="196"/>
      <c r="Y772" s="196"/>
      <c r="Z772" s="196"/>
      <c r="AA772" s="196"/>
      <c r="AB772" s="196"/>
      <c r="AC772" s="197">
        <v>4.625</v>
      </c>
      <c r="AD772" s="198"/>
    </row>
    <row r="773">
      <c r="A773" s="193">
        <v>105328.0</v>
      </c>
      <c r="B773" s="194" t="s">
        <v>1822</v>
      </c>
      <c r="C773" s="192" t="s">
        <v>1823</v>
      </c>
      <c r="D773" s="195">
        <v>45645.0</v>
      </c>
      <c r="E773" s="192" t="s">
        <v>254</v>
      </c>
      <c r="F773" s="196"/>
      <c r="G773" s="196"/>
      <c r="H773" s="197">
        <v>5.0</v>
      </c>
      <c r="I773" s="197">
        <v>5.0</v>
      </c>
      <c r="J773" s="197">
        <v>5.0</v>
      </c>
      <c r="K773" s="197">
        <v>5.0</v>
      </c>
      <c r="L773" s="197">
        <v>5.0</v>
      </c>
      <c r="M773" s="197">
        <v>5.0</v>
      </c>
      <c r="N773" s="197">
        <v>5.0</v>
      </c>
      <c r="O773" s="197">
        <v>5.0</v>
      </c>
      <c r="P773" s="197">
        <v>5.0</v>
      </c>
      <c r="Q773" s="197">
        <v>5.0</v>
      </c>
      <c r="R773" s="197">
        <v>5.0</v>
      </c>
      <c r="S773" s="197">
        <v>5.0</v>
      </c>
      <c r="T773" s="197">
        <v>5.0</v>
      </c>
      <c r="U773" s="197">
        <v>5.0</v>
      </c>
      <c r="V773" s="197">
        <v>5.0</v>
      </c>
      <c r="W773" s="197">
        <v>5.0</v>
      </c>
      <c r="X773" s="196"/>
      <c r="Y773" s="196"/>
      <c r="Z773" s="196"/>
      <c r="AA773" s="196"/>
      <c r="AB773" s="196"/>
      <c r="AC773" s="197">
        <v>5.0</v>
      </c>
      <c r="AD773" s="198"/>
    </row>
    <row r="774">
      <c r="A774" s="193">
        <v>105269.0</v>
      </c>
      <c r="B774" s="194" t="s">
        <v>1824</v>
      </c>
      <c r="C774" s="192" t="s">
        <v>1825</v>
      </c>
      <c r="D774" s="195">
        <v>45645.0</v>
      </c>
      <c r="E774" s="192" t="s">
        <v>646</v>
      </c>
      <c r="F774" s="196"/>
      <c r="G774" s="196"/>
      <c r="H774" s="197">
        <v>4.0</v>
      </c>
      <c r="I774" s="197">
        <v>4.0</v>
      </c>
      <c r="J774" s="197">
        <v>4.0</v>
      </c>
      <c r="K774" s="197">
        <v>4.0</v>
      </c>
      <c r="L774" s="197">
        <v>4.0</v>
      </c>
      <c r="M774" s="197">
        <v>4.0</v>
      </c>
      <c r="N774" s="197">
        <v>4.0</v>
      </c>
      <c r="O774" s="197">
        <v>4.0</v>
      </c>
      <c r="P774" s="197">
        <v>4.0</v>
      </c>
      <c r="Q774" s="197">
        <v>4.0</v>
      </c>
      <c r="R774" s="197">
        <v>4.0</v>
      </c>
      <c r="S774" s="197">
        <v>4.0</v>
      </c>
      <c r="T774" s="197">
        <v>4.0</v>
      </c>
      <c r="U774" s="197">
        <v>4.0</v>
      </c>
      <c r="V774" s="197">
        <v>4.0</v>
      </c>
      <c r="W774" s="197">
        <v>4.0</v>
      </c>
      <c r="X774" s="196"/>
      <c r="Y774" s="196"/>
      <c r="Z774" s="196"/>
      <c r="AA774" s="196"/>
      <c r="AB774" s="196"/>
      <c r="AC774" s="197">
        <v>4.0</v>
      </c>
      <c r="AD774" s="198"/>
    </row>
    <row r="775">
      <c r="A775" s="193">
        <v>105313.0</v>
      </c>
      <c r="B775" s="194" t="s">
        <v>1827</v>
      </c>
      <c r="C775" s="192" t="s">
        <v>1828</v>
      </c>
      <c r="D775" s="195">
        <v>45645.0</v>
      </c>
      <c r="E775" s="192" t="s">
        <v>522</v>
      </c>
      <c r="F775" s="196"/>
      <c r="G775" s="196"/>
      <c r="H775" s="197">
        <v>5.0</v>
      </c>
      <c r="I775" s="197">
        <v>5.0</v>
      </c>
      <c r="J775" s="197">
        <v>5.0</v>
      </c>
      <c r="K775" s="197">
        <v>5.0</v>
      </c>
      <c r="L775" s="197">
        <v>5.0</v>
      </c>
      <c r="M775" s="197">
        <v>5.0</v>
      </c>
      <c r="N775" s="197">
        <v>5.0</v>
      </c>
      <c r="O775" s="197">
        <v>5.0</v>
      </c>
      <c r="P775" s="197">
        <v>4.0</v>
      </c>
      <c r="Q775" s="197">
        <v>5.0</v>
      </c>
      <c r="R775" s="197">
        <v>4.75</v>
      </c>
      <c r="S775" s="197">
        <v>4.5</v>
      </c>
      <c r="T775" s="197">
        <v>4.5</v>
      </c>
      <c r="U775" s="197">
        <v>4.5</v>
      </c>
      <c r="V775" s="197">
        <v>4.5</v>
      </c>
      <c r="W775" s="197">
        <v>4.5</v>
      </c>
      <c r="X775" s="196"/>
      <c r="Y775" s="196"/>
      <c r="Z775" s="196"/>
      <c r="AA775" s="196"/>
      <c r="AB775" s="196"/>
      <c r="AC775" s="197">
        <v>4.75</v>
      </c>
      <c r="AD775" s="198"/>
    </row>
    <row r="776">
      <c r="A776" s="193">
        <v>105203.0</v>
      </c>
      <c r="B776" s="194" t="s">
        <v>1829</v>
      </c>
      <c r="C776" s="192" t="s">
        <v>1830</v>
      </c>
      <c r="D776" s="195">
        <v>45645.0</v>
      </c>
      <c r="E776" s="192" t="s">
        <v>522</v>
      </c>
      <c r="F776" s="196"/>
      <c r="G776" s="196"/>
      <c r="H776" s="197">
        <v>5.0</v>
      </c>
      <c r="I776" s="197">
        <v>5.0</v>
      </c>
      <c r="J776" s="197">
        <v>5.0</v>
      </c>
      <c r="K776" s="197">
        <v>5.0</v>
      </c>
      <c r="L776" s="197">
        <v>5.0</v>
      </c>
      <c r="M776" s="197">
        <v>5.0</v>
      </c>
      <c r="N776" s="197">
        <v>4.0</v>
      </c>
      <c r="O776" s="197">
        <v>4.0</v>
      </c>
      <c r="P776" s="197">
        <v>4.0</v>
      </c>
      <c r="Q776" s="197">
        <v>4.0</v>
      </c>
      <c r="R776" s="197">
        <v>4.0</v>
      </c>
      <c r="S776" s="197">
        <v>4.0</v>
      </c>
      <c r="T776" s="197">
        <v>4.0</v>
      </c>
      <c r="U776" s="197">
        <v>4.0</v>
      </c>
      <c r="V776" s="197">
        <v>4.0</v>
      </c>
      <c r="W776" s="197">
        <v>4.0</v>
      </c>
      <c r="X776" s="196"/>
      <c r="Y776" s="196"/>
      <c r="Z776" s="196"/>
      <c r="AA776" s="196"/>
      <c r="AB776" s="196"/>
      <c r="AC776" s="197">
        <v>4.333333333333333</v>
      </c>
      <c r="AD776" s="198"/>
    </row>
    <row r="777">
      <c r="A777" s="193">
        <v>105356.0</v>
      </c>
      <c r="B777" s="194" t="s">
        <v>1831</v>
      </c>
      <c r="C777" s="192" t="s">
        <v>1832</v>
      </c>
      <c r="D777" s="195">
        <v>45660.0</v>
      </c>
      <c r="E777" s="192" t="s">
        <v>254</v>
      </c>
      <c r="F777" s="196"/>
      <c r="G777" s="196"/>
      <c r="H777" s="197">
        <v>5.0</v>
      </c>
      <c r="I777" s="197">
        <v>5.0</v>
      </c>
      <c r="J777" s="197">
        <v>5.0</v>
      </c>
      <c r="K777" s="197">
        <v>5.0</v>
      </c>
      <c r="L777" s="197">
        <v>5.0</v>
      </c>
      <c r="M777" s="197">
        <v>5.0</v>
      </c>
      <c r="N777" s="197">
        <v>5.0</v>
      </c>
      <c r="O777" s="197">
        <v>5.0</v>
      </c>
      <c r="P777" s="197">
        <v>5.0</v>
      </c>
      <c r="Q777" s="197">
        <v>5.0</v>
      </c>
      <c r="R777" s="197">
        <v>5.0</v>
      </c>
      <c r="S777" s="197">
        <v>4.5</v>
      </c>
      <c r="T777" s="197">
        <v>4.5</v>
      </c>
      <c r="U777" s="197">
        <v>4.5</v>
      </c>
      <c r="V777" s="197">
        <v>4.5</v>
      </c>
      <c r="W777" s="197">
        <v>4.5</v>
      </c>
      <c r="X777" s="196"/>
      <c r="Y777" s="196"/>
      <c r="Z777" s="196"/>
      <c r="AA777" s="196"/>
      <c r="AB777" s="196"/>
      <c r="AC777" s="197">
        <v>4.833333333333333</v>
      </c>
      <c r="AD777" s="198"/>
    </row>
    <row r="778">
      <c r="A778" s="193">
        <v>105332.0</v>
      </c>
      <c r="B778" s="194" t="s">
        <v>1833</v>
      </c>
      <c r="C778" s="192" t="s">
        <v>1834</v>
      </c>
      <c r="D778" s="195">
        <v>45667.0</v>
      </c>
      <c r="E778" s="192" t="s">
        <v>254</v>
      </c>
      <c r="F778" s="196"/>
      <c r="G778" s="196"/>
      <c r="H778" s="197">
        <v>5.0</v>
      </c>
      <c r="I778" s="197">
        <v>5.0</v>
      </c>
      <c r="J778" s="197">
        <v>5.0</v>
      </c>
      <c r="K778" s="197">
        <v>5.0</v>
      </c>
      <c r="L778" s="197">
        <v>5.0</v>
      </c>
      <c r="M778" s="197">
        <v>5.0</v>
      </c>
      <c r="N778" s="197">
        <v>5.0</v>
      </c>
      <c r="O778" s="197">
        <v>4.5</v>
      </c>
      <c r="P778" s="197">
        <v>5.0</v>
      </c>
      <c r="Q778" s="197">
        <v>4.5</v>
      </c>
      <c r="R778" s="197">
        <v>4.75</v>
      </c>
      <c r="S778" s="197">
        <v>5.0</v>
      </c>
      <c r="T778" s="197">
        <v>4.5</v>
      </c>
      <c r="U778" s="197">
        <v>5.0</v>
      </c>
      <c r="V778" s="197">
        <v>4.5</v>
      </c>
      <c r="W778" s="197">
        <v>4.75</v>
      </c>
      <c r="X778" s="196"/>
      <c r="Y778" s="196"/>
      <c r="Z778" s="196"/>
      <c r="AA778" s="196"/>
      <c r="AB778" s="196"/>
      <c r="AC778" s="197">
        <v>4.833333333333333</v>
      </c>
      <c r="AD778" s="198"/>
    </row>
    <row r="779">
      <c r="A779" s="193">
        <v>105409.0</v>
      </c>
      <c r="B779" s="194" t="s">
        <v>1836</v>
      </c>
      <c r="C779" s="192" t="s">
        <v>1837</v>
      </c>
      <c r="D779" s="195">
        <v>45672.0</v>
      </c>
      <c r="E779" s="192" t="s">
        <v>1140</v>
      </c>
      <c r="F779" s="196"/>
      <c r="G779" s="196"/>
      <c r="H779" s="197">
        <v>5.0</v>
      </c>
      <c r="I779" s="197">
        <v>5.0</v>
      </c>
      <c r="J779" s="197">
        <v>5.0</v>
      </c>
      <c r="K779" s="197">
        <v>5.0</v>
      </c>
      <c r="L779" s="197">
        <v>5.0</v>
      </c>
      <c r="M779" s="197">
        <v>5.0</v>
      </c>
      <c r="N779" s="197">
        <v>5.0</v>
      </c>
      <c r="O779" s="197">
        <v>5.0</v>
      </c>
      <c r="P779" s="197">
        <v>5.0</v>
      </c>
      <c r="Q779" s="197">
        <v>5.0</v>
      </c>
      <c r="R779" s="197">
        <v>5.0</v>
      </c>
      <c r="S779" s="197">
        <v>4.5</v>
      </c>
      <c r="T779" s="197">
        <v>4.5</v>
      </c>
      <c r="U779" s="197">
        <v>4.5</v>
      </c>
      <c r="V779" s="197">
        <v>4.5</v>
      </c>
      <c r="W779" s="197">
        <v>4.5</v>
      </c>
      <c r="X779" s="196"/>
      <c r="Y779" s="196"/>
      <c r="Z779" s="196"/>
      <c r="AA779" s="196"/>
      <c r="AB779" s="196"/>
      <c r="AC779" s="197">
        <v>4.833333333333333</v>
      </c>
      <c r="AD779" s="198"/>
    </row>
    <row r="780">
      <c r="A780" s="193">
        <v>105172.0</v>
      </c>
      <c r="B780" s="194" t="s">
        <v>1838</v>
      </c>
      <c r="C780" s="192" t="s">
        <v>1839</v>
      </c>
      <c r="D780" s="195">
        <v>45675.0</v>
      </c>
      <c r="E780" s="192" t="s">
        <v>233</v>
      </c>
      <c r="F780" s="196"/>
      <c r="G780" s="196"/>
      <c r="H780" s="197">
        <v>5.0</v>
      </c>
      <c r="I780" s="197">
        <v>5.0</v>
      </c>
      <c r="J780" s="197">
        <v>5.0</v>
      </c>
      <c r="K780" s="197">
        <v>5.0</v>
      </c>
      <c r="L780" s="197">
        <v>5.0</v>
      </c>
      <c r="M780" s="197">
        <v>5.0</v>
      </c>
      <c r="N780" s="197">
        <v>5.0</v>
      </c>
      <c r="O780" s="197">
        <v>5.0</v>
      </c>
      <c r="P780" s="197">
        <v>5.0</v>
      </c>
      <c r="Q780" s="197">
        <v>5.0</v>
      </c>
      <c r="R780" s="197">
        <v>5.0</v>
      </c>
      <c r="S780" s="197">
        <v>5.0</v>
      </c>
      <c r="T780" s="197">
        <v>5.0</v>
      </c>
      <c r="U780" s="197">
        <v>5.0</v>
      </c>
      <c r="V780" s="197">
        <v>5.0</v>
      </c>
      <c r="W780" s="197">
        <v>5.0</v>
      </c>
      <c r="X780" s="196"/>
      <c r="Y780" s="196"/>
      <c r="Z780" s="196"/>
      <c r="AA780" s="196"/>
      <c r="AB780" s="196"/>
      <c r="AC780" s="197">
        <v>5.0</v>
      </c>
      <c r="AD780" s="198"/>
    </row>
    <row r="781">
      <c r="A781" s="193">
        <v>105425.0</v>
      </c>
      <c r="B781" s="194" t="s">
        <v>1840</v>
      </c>
      <c r="C781" s="192" t="s">
        <v>1841</v>
      </c>
      <c r="D781" s="195">
        <v>45677.0</v>
      </c>
      <c r="E781" s="192" t="s">
        <v>1140</v>
      </c>
      <c r="F781" s="196"/>
      <c r="G781" s="196"/>
      <c r="H781" s="197">
        <v>5.0</v>
      </c>
      <c r="I781" s="197">
        <v>5.0</v>
      </c>
      <c r="J781" s="197">
        <v>5.0</v>
      </c>
      <c r="K781" s="197">
        <v>5.0</v>
      </c>
      <c r="L781" s="197">
        <v>5.0</v>
      </c>
      <c r="M781" s="197">
        <v>5.0</v>
      </c>
      <c r="N781" s="197">
        <v>5.0</v>
      </c>
      <c r="O781" s="197">
        <v>5.0</v>
      </c>
      <c r="P781" s="197">
        <v>5.0</v>
      </c>
      <c r="Q781" s="197">
        <v>5.0</v>
      </c>
      <c r="R781" s="197">
        <v>5.0</v>
      </c>
      <c r="S781" s="197">
        <v>4.5</v>
      </c>
      <c r="T781" s="197">
        <v>4.5</v>
      </c>
      <c r="U781" s="197">
        <v>4.5</v>
      </c>
      <c r="V781" s="197">
        <v>4.5</v>
      </c>
      <c r="W781" s="197">
        <v>4.5</v>
      </c>
      <c r="X781" s="196"/>
      <c r="Y781" s="196"/>
      <c r="Z781" s="196"/>
      <c r="AA781" s="196"/>
      <c r="AB781" s="196"/>
      <c r="AC781" s="197">
        <v>4.833333333333333</v>
      </c>
      <c r="AD781" s="198"/>
    </row>
    <row r="782">
      <c r="A782" s="193">
        <v>105427.0</v>
      </c>
      <c r="B782" s="194" t="s">
        <v>1842</v>
      </c>
      <c r="C782" s="192" t="s">
        <v>1843</v>
      </c>
      <c r="D782" s="195">
        <v>45677.0</v>
      </c>
      <c r="E782" s="192" t="s">
        <v>1140</v>
      </c>
      <c r="F782" s="196"/>
      <c r="G782" s="196"/>
      <c r="H782" s="197">
        <v>5.0</v>
      </c>
      <c r="I782" s="197">
        <v>5.0</v>
      </c>
      <c r="J782" s="197">
        <v>5.0</v>
      </c>
      <c r="K782" s="197">
        <v>5.0</v>
      </c>
      <c r="L782" s="197">
        <v>5.0</v>
      </c>
      <c r="M782" s="197">
        <v>5.0</v>
      </c>
      <c r="N782" s="197">
        <v>5.0</v>
      </c>
      <c r="O782" s="197">
        <v>5.0</v>
      </c>
      <c r="P782" s="197">
        <v>5.0</v>
      </c>
      <c r="Q782" s="197">
        <v>5.0</v>
      </c>
      <c r="R782" s="197">
        <v>5.0</v>
      </c>
      <c r="S782" s="197">
        <v>4.5</v>
      </c>
      <c r="T782" s="197">
        <v>4.5</v>
      </c>
      <c r="U782" s="197">
        <v>4.5</v>
      </c>
      <c r="V782" s="197">
        <v>4.5</v>
      </c>
      <c r="W782" s="197">
        <v>4.5</v>
      </c>
      <c r="X782" s="196"/>
      <c r="Y782" s="196"/>
      <c r="Z782" s="196"/>
      <c r="AA782" s="196"/>
      <c r="AB782" s="196"/>
      <c r="AC782" s="197">
        <v>4.833333333333333</v>
      </c>
      <c r="AD782" s="198"/>
    </row>
    <row r="783">
      <c r="A783" s="193">
        <v>105416.0</v>
      </c>
      <c r="B783" s="194" t="s">
        <v>1844</v>
      </c>
      <c r="C783" s="192" t="s">
        <v>1845</v>
      </c>
      <c r="D783" s="195">
        <v>45677.0</v>
      </c>
      <c r="E783" s="192" t="s">
        <v>1140</v>
      </c>
      <c r="F783" s="196"/>
      <c r="G783" s="196"/>
      <c r="H783" s="197">
        <v>5.0</v>
      </c>
      <c r="I783" s="197">
        <v>5.0</v>
      </c>
      <c r="J783" s="197">
        <v>5.0</v>
      </c>
      <c r="K783" s="197">
        <v>5.0</v>
      </c>
      <c r="L783" s="197">
        <v>5.0</v>
      </c>
      <c r="M783" s="197">
        <v>5.0</v>
      </c>
      <c r="N783" s="197">
        <v>5.0</v>
      </c>
      <c r="O783" s="197">
        <v>5.0</v>
      </c>
      <c r="P783" s="197">
        <v>5.0</v>
      </c>
      <c r="Q783" s="197">
        <v>5.0</v>
      </c>
      <c r="R783" s="197">
        <v>5.0</v>
      </c>
      <c r="S783" s="197">
        <v>4.5</v>
      </c>
      <c r="T783" s="197">
        <v>4.5</v>
      </c>
      <c r="U783" s="197">
        <v>4.5</v>
      </c>
      <c r="V783" s="197">
        <v>4.5</v>
      </c>
      <c r="W783" s="197">
        <v>4.5</v>
      </c>
      <c r="X783" s="196"/>
      <c r="Y783" s="196"/>
      <c r="Z783" s="196"/>
      <c r="AA783" s="196"/>
      <c r="AB783" s="196"/>
      <c r="AC783" s="197">
        <v>4.833333333333333</v>
      </c>
      <c r="AD783" s="198"/>
    </row>
    <row r="784">
      <c r="A784" s="193">
        <v>105426.0</v>
      </c>
      <c r="B784" s="194" t="s">
        <v>1846</v>
      </c>
      <c r="C784" s="192" t="s">
        <v>1847</v>
      </c>
      <c r="D784" s="195">
        <v>45677.0</v>
      </c>
      <c r="E784" s="192" t="s">
        <v>1140</v>
      </c>
      <c r="F784" s="196"/>
      <c r="G784" s="196"/>
      <c r="H784" s="197">
        <v>5.0</v>
      </c>
      <c r="I784" s="197">
        <v>5.0</v>
      </c>
      <c r="J784" s="197">
        <v>5.0</v>
      </c>
      <c r="K784" s="197">
        <v>5.0</v>
      </c>
      <c r="L784" s="197">
        <v>5.0</v>
      </c>
      <c r="M784" s="197">
        <v>5.0</v>
      </c>
      <c r="N784" s="197">
        <v>5.0</v>
      </c>
      <c r="O784" s="197">
        <v>5.0</v>
      </c>
      <c r="P784" s="197">
        <v>5.0</v>
      </c>
      <c r="Q784" s="197">
        <v>5.0</v>
      </c>
      <c r="R784" s="197">
        <v>5.0</v>
      </c>
      <c r="S784" s="197">
        <v>4.5</v>
      </c>
      <c r="T784" s="197">
        <v>4.5</v>
      </c>
      <c r="U784" s="197">
        <v>4.5</v>
      </c>
      <c r="V784" s="197">
        <v>4.5</v>
      </c>
      <c r="W784" s="197">
        <v>4.5</v>
      </c>
      <c r="X784" s="196"/>
      <c r="Y784" s="196"/>
      <c r="Z784" s="196"/>
      <c r="AA784" s="196"/>
      <c r="AB784" s="196"/>
      <c r="AC784" s="197">
        <v>4.833333333333333</v>
      </c>
      <c r="AD784" s="198"/>
    </row>
    <row r="785">
      <c r="A785" s="193">
        <v>105417.0</v>
      </c>
      <c r="B785" s="194" t="s">
        <v>1848</v>
      </c>
      <c r="C785" s="192" t="s">
        <v>1849</v>
      </c>
      <c r="D785" s="195">
        <v>45677.0</v>
      </c>
      <c r="E785" s="192" t="s">
        <v>1140</v>
      </c>
      <c r="F785" s="196"/>
      <c r="G785" s="196"/>
      <c r="H785" s="197">
        <v>5.0</v>
      </c>
      <c r="I785" s="197">
        <v>5.0</v>
      </c>
      <c r="J785" s="197">
        <v>5.0</v>
      </c>
      <c r="K785" s="197">
        <v>5.0</v>
      </c>
      <c r="L785" s="197">
        <v>5.0</v>
      </c>
      <c r="M785" s="197">
        <v>5.0</v>
      </c>
      <c r="N785" s="197">
        <v>5.0</v>
      </c>
      <c r="O785" s="197">
        <v>5.0</v>
      </c>
      <c r="P785" s="197">
        <v>5.0</v>
      </c>
      <c r="Q785" s="197">
        <v>5.0</v>
      </c>
      <c r="R785" s="197">
        <v>5.0</v>
      </c>
      <c r="S785" s="197">
        <v>4.5</v>
      </c>
      <c r="T785" s="197">
        <v>4.5</v>
      </c>
      <c r="U785" s="197">
        <v>4.5</v>
      </c>
      <c r="V785" s="197">
        <v>4.5</v>
      </c>
      <c r="W785" s="197">
        <v>4.5</v>
      </c>
      <c r="X785" s="196"/>
      <c r="Y785" s="196"/>
      <c r="Z785" s="196"/>
      <c r="AA785" s="196"/>
      <c r="AB785" s="196"/>
      <c r="AC785" s="197">
        <v>4.833333333333333</v>
      </c>
      <c r="AD785" s="198"/>
    </row>
    <row r="786">
      <c r="A786" s="193">
        <v>105435.0</v>
      </c>
      <c r="B786" s="194" t="s">
        <v>1850</v>
      </c>
      <c r="C786" s="192" t="s">
        <v>1851</v>
      </c>
      <c r="D786" s="195">
        <v>45680.0</v>
      </c>
      <c r="E786" s="192" t="s">
        <v>1140</v>
      </c>
      <c r="F786" s="196"/>
      <c r="G786" s="196"/>
      <c r="H786" s="197">
        <v>5.0</v>
      </c>
      <c r="I786" s="197">
        <v>5.0</v>
      </c>
      <c r="J786" s="197">
        <v>5.0</v>
      </c>
      <c r="K786" s="197">
        <v>5.0</v>
      </c>
      <c r="L786" s="197">
        <v>5.0</v>
      </c>
      <c r="M786" s="197">
        <v>5.0</v>
      </c>
      <c r="N786" s="197">
        <v>5.0</v>
      </c>
      <c r="O786" s="197">
        <v>5.0</v>
      </c>
      <c r="P786" s="197">
        <v>5.0</v>
      </c>
      <c r="Q786" s="197">
        <v>5.0</v>
      </c>
      <c r="R786" s="197">
        <v>5.0</v>
      </c>
      <c r="S786" s="197">
        <v>4.5</v>
      </c>
      <c r="T786" s="197">
        <v>4.5</v>
      </c>
      <c r="U786" s="197">
        <v>4.5</v>
      </c>
      <c r="V786" s="197">
        <v>4.5</v>
      </c>
      <c r="W786" s="197">
        <v>4.5</v>
      </c>
      <c r="X786" s="196"/>
      <c r="Y786" s="196"/>
      <c r="Z786" s="196"/>
      <c r="AA786" s="196"/>
      <c r="AB786" s="196"/>
      <c r="AC786" s="197">
        <v>4.833333333333333</v>
      </c>
      <c r="AD786" s="198"/>
    </row>
    <row r="787">
      <c r="A787" s="193">
        <v>105029.0</v>
      </c>
      <c r="B787" s="194" t="s">
        <v>1852</v>
      </c>
      <c r="C787" s="192" t="s">
        <v>1655</v>
      </c>
      <c r="D787" s="195">
        <v>45681.0</v>
      </c>
      <c r="E787" s="192" t="s">
        <v>254</v>
      </c>
      <c r="F787" s="196"/>
      <c r="G787" s="196"/>
      <c r="H787" s="197">
        <v>5.0</v>
      </c>
      <c r="I787" s="197">
        <v>5.0</v>
      </c>
      <c r="J787" s="197">
        <v>5.0</v>
      </c>
      <c r="K787" s="197">
        <v>5.0</v>
      </c>
      <c r="L787" s="197">
        <v>5.0</v>
      </c>
      <c r="M787" s="197">
        <v>5.0</v>
      </c>
      <c r="N787" s="197">
        <v>5.0</v>
      </c>
      <c r="O787" s="197">
        <v>5.0</v>
      </c>
      <c r="P787" s="197">
        <v>5.0</v>
      </c>
      <c r="Q787" s="197">
        <v>5.0</v>
      </c>
      <c r="R787" s="197">
        <v>5.0</v>
      </c>
      <c r="S787" s="197">
        <v>4.5</v>
      </c>
      <c r="T787" s="197">
        <v>4.5</v>
      </c>
      <c r="U787" s="197">
        <v>4.5</v>
      </c>
      <c r="V787" s="197">
        <v>4.5</v>
      </c>
      <c r="W787" s="197">
        <v>4.5</v>
      </c>
      <c r="X787" s="196"/>
      <c r="Y787" s="196"/>
      <c r="Z787" s="196"/>
      <c r="AA787" s="196"/>
      <c r="AB787" s="196"/>
      <c r="AC787" s="197">
        <v>4.833333333333333</v>
      </c>
      <c r="AD787" s="198"/>
    </row>
    <row r="788">
      <c r="A788" s="193">
        <v>105405.0</v>
      </c>
      <c r="B788" s="194" t="s">
        <v>1853</v>
      </c>
      <c r="C788" s="192" t="s">
        <v>1854</v>
      </c>
      <c r="D788" s="195">
        <v>45685.0</v>
      </c>
      <c r="E788" s="192" t="s">
        <v>806</v>
      </c>
      <c r="F788" s="196"/>
      <c r="G788" s="196"/>
      <c r="H788" s="197">
        <v>5.0</v>
      </c>
      <c r="I788" s="197">
        <v>5.0</v>
      </c>
      <c r="J788" s="197">
        <v>5.0</v>
      </c>
      <c r="K788" s="197">
        <v>5.0</v>
      </c>
      <c r="L788" s="197">
        <v>5.0</v>
      </c>
      <c r="M788" s="197">
        <v>5.0</v>
      </c>
      <c r="N788" s="197">
        <v>5.0</v>
      </c>
      <c r="O788" s="197">
        <v>5.0</v>
      </c>
      <c r="P788" s="197">
        <v>5.0</v>
      </c>
      <c r="Q788" s="197">
        <v>5.0</v>
      </c>
      <c r="R788" s="197">
        <v>5.0</v>
      </c>
      <c r="S788" s="197">
        <v>5.0</v>
      </c>
      <c r="T788" s="197">
        <v>5.0</v>
      </c>
      <c r="U788" s="197">
        <v>5.0</v>
      </c>
      <c r="V788" s="197">
        <v>5.0</v>
      </c>
      <c r="W788" s="197">
        <v>5.0</v>
      </c>
      <c r="X788" s="196"/>
      <c r="Y788" s="196"/>
      <c r="Z788" s="196"/>
      <c r="AA788" s="196"/>
      <c r="AB788" s="196"/>
      <c r="AC788" s="197">
        <v>5.0</v>
      </c>
      <c r="AD788" s="198"/>
    </row>
    <row r="789">
      <c r="A789" s="193">
        <v>105453.0</v>
      </c>
      <c r="B789" s="194" t="s">
        <v>1855</v>
      </c>
      <c r="C789" s="192" t="s">
        <v>1856</v>
      </c>
      <c r="D789" s="195">
        <v>45687.0</v>
      </c>
      <c r="E789" s="192" t="s">
        <v>1140</v>
      </c>
      <c r="F789" s="196"/>
      <c r="G789" s="196"/>
      <c r="H789" s="197">
        <v>5.0</v>
      </c>
      <c r="I789" s="197">
        <v>5.0</v>
      </c>
      <c r="J789" s="197">
        <v>5.0</v>
      </c>
      <c r="K789" s="197">
        <v>5.0</v>
      </c>
      <c r="L789" s="197">
        <v>5.0</v>
      </c>
      <c r="M789" s="197">
        <v>5.0</v>
      </c>
      <c r="N789" s="197">
        <v>5.0</v>
      </c>
      <c r="O789" s="197">
        <v>5.0</v>
      </c>
      <c r="P789" s="197">
        <v>5.0</v>
      </c>
      <c r="Q789" s="197">
        <v>5.0</v>
      </c>
      <c r="R789" s="197">
        <v>5.0</v>
      </c>
      <c r="S789" s="197">
        <v>4.5</v>
      </c>
      <c r="T789" s="197">
        <v>4.5</v>
      </c>
      <c r="U789" s="197">
        <v>4.5</v>
      </c>
      <c r="V789" s="197">
        <v>4.5</v>
      </c>
      <c r="W789" s="197">
        <v>4.5</v>
      </c>
      <c r="X789" s="196"/>
      <c r="Y789" s="196"/>
      <c r="Z789" s="196"/>
      <c r="AA789" s="196"/>
      <c r="AB789" s="196"/>
      <c r="AC789" s="197">
        <v>4.833333333333333</v>
      </c>
      <c r="AD789" s="198"/>
    </row>
    <row r="790">
      <c r="A790" s="193">
        <v>105429.0</v>
      </c>
      <c r="B790" s="194" t="s">
        <v>1857</v>
      </c>
      <c r="C790" s="192" t="s">
        <v>1858</v>
      </c>
      <c r="D790" s="195">
        <v>45688.0</v>
      </c>
      <c r="E790" s="192" t="s">
        <v>87</v>
      </c>
      <c r="F790" s="196"/>
      <c r="G790" s="196"/>
      <c r="H790" s="197">
        <v>5.0</v>
      </c>
      <c r="I790" s="197">
        <v>5.0</v>
      </c>
      <c r="J790" s="197">
        <v>5.0</v>
      </c>
      <c r="K790" s="197">
        <v>5.0</v>
      </c>
      <c r="L790" s="197">
        <v>5.0</v>
      </c>
      <c r="M790" s="197">
        <v>5.0</v>
      </c>
      <c r="N790" s="197">
        <v>5.0</v>
      </c>
      <c r="O790" s="197">
        <v>4.5</v>
      </c>
      <c r="P790" s="197">
        <v>5.0</v>
      </c>
      <c r="Q790" s="197">
        <v>5.0</v>
      </c>
      <c r="R790" s="197">
        <v>4.875</v>
      </c>
      <c r="S790" s="197">
        <v>4.5</v>
      </c>
      <c r="T790" s="197">
        <v>4.5</v>
      </c>
      <c r="U790" s="197">
        <v>4.5</v>
      </c>
      <c r="V790" s="197">
        <v>4.5</v>
      </c>
      <c r="W790" s="197">
        <v>4.5</v>
      </c>
      <c r="X790" s="196"/>
      <c r="Y790" s="196"/>
      <c r="Z790" s="196"/>
      <c r="AA790" s="196"/>
      <c r="AB790" s="196"/>
      <c r="AC790" s="197">
        <v>4.791666666666667</v>
      </c>
      <c r="AD790" s="198"/>
    </row>
    <row r="791">
      <c r="A791" s="193">
        <v>105382.0</v>
      </c>
      <c r="B791" s="194" t="s">
        <v>1859</v>
      </c>
      <c r="C791" s="192" t="s">
        <v>1860</v>
      </c>
      <c r="D791" s="195">
        <v>45688.0</v>
      </c>
      <c r="E791" s="192" t="s">
        <v>398</v>
      </c>
      <c r="F791" s="196"/>
      <c r="G791" s="196"/>
      <c r="H791" s="197">
        <v>5.0</v>
      </c>
      <c r="I791" s="197">
        <v>5.0</v>
      </c>
      <c r="J791" s="197">
        <v>5.0</v>
      </c>
      <c r="K791" s="197">
        <v>5.0</v>
      </c>
      <c r="L791" s="197">
        <v>5.0</v>
      </c>
      <c r="M791" s="197">
        <v>5.0</v>
      </c>
      <c r="N791" s="197">
        <v>5.0</v>
      </c>
      <c r="O791" s="197">
        <v>5.0</v>
      </c>
      <c r="P791" s="197">
        <v>5.0</v>
      </c>
      <c r="Q791" s="197">
        <v>5.0</v>
      </c>
      <c r="R791" s="197">
        <v>5.0</v>
      </c>
      <c r="S791" s="197">
        <v>4.75</v>
      </c>
      <c r="T791" s="197">
        <v>4.75</v>
      </c>
      <c r="U791" s="197">
        <v>4.75</v>
      </c>
      <c r="V791" s="197">
        <v>4.75</v>
      </c>
      <c r="W791" s="197">
        <v>4.75</v>
      </c>
      <c r="X791" s="196"/>
      <c r="Y791" s="196"/>
      <c r="Z791" s="196"/>
      <c r="AA791" s="196"/>
      <c r="AB791" s="196"/>
      <c r="AC791" s="197">
        <v>4.916666666666667</v>
      </c>
      <c r="AD791" s="198"/>
    </row>
    <row r="792">
      <c r="A792" s="193">
        <v>105455.0</v>
      </c>
      <c r="B792" s="194" t="s">
        <v>1861</v>
      </c>
      <c r="C792" s="192" t="s">
        <v>1862</v>
      </c>
      <c r="D792" s="195">
        <v>45692.0</v>
      </c>
      <c r="E792" s="192" t="s">
        <v>427</v>
      </c>
      <c r="F792" s="196"/>
      <c r="G792" s="196"/>
      <c r="H792" s="197">
        <v>4.5</v>
      </c>
      <c r="I792" s="197">
        <v>4.5</v>
      </c>
      <c r="J792" s="197">
        <v>4.5</v>
      </c>
      <c r="K792" s="197">
        <v>4.5</v>
      </c>
      <c r="L792" s="197">
        <v>4.5</v>
      </c>
      <c r="M792" s="197">
        <v>4.5</v>
      </c>
      <c r="N792" s="197">
        <v>5.0</v>
      </c>
      <c r="O792" s="197">
        <v>5.0</v>
      </c>
      <c r="P792" s="197">
        <v>5.0</v>
      </c>
      <c r="Q792" s="197">
        <v>5.0</v>
      </c>
      <c r="R792" s="197">
        <v>5.0</v>
      </c>
      <c r="S792" s="197">
        <v>4.5</v>
      </c>
      <c r="T792" s="197">
        <v>4.5</v>
      </c>
      <c r="U792" s="197">
        <v>4.5</v>
      </c>
      <c r="V792" s="197">
        <v>4.5</v>
      </c>
      <c r="W792" s="197">
        <v>4.5</v>
      </c>
      <c r="X792" s="196"/>
      <c r="Y792" s="196"/>
      <c r="Z792" s="196"/>
      <c r="AA792" s="196"/>
      <c r="AB792" s="196"/>
      <c r="AC792" s="197">
        <v>4.666666666666667</v>
      </c>
      <c r="AD792" s="198"/>
    </row>
    <row r="793">
      <c r="A793" s="193">
        <v>105485.0</v>
      </c>
      <c r="B793" s="194" t="s">
        <v>1863</v>
      </c>
      <c r="C793" s="192" t="s">
        <v>1864</v>
      </c>
      <c r="D793" s="195">
        <v>45692.0</v>
      </c>
      <c r="E793" s="192" t="s">
        <v>1140</v>
      </c>
      <c r="F793" s="196"/>
      <c r="G793" s="196"/>
      <c r="H793" s="197">
        <v>5.0</v>
      </c>
      <c r="I793" s="197">
        <v>5.0</v>
      </c>
      <c r="J793" s="197">
        <v>5.0</v>
      </c>
      <c r="K793" s="197">
        <v>5.0</v>
      </c>
      <c r="L793" s="197">
        <v>5.0</v>
      </c>
      <c r="M793" s="197">
        <v>5.0</v>
      </c>
      <c r="N793" s="197">
        <v>5.0</v>
      </c>
      <c r="O793" s="197">
        <v>5.0</v>
      </c>
      <c r="P793" s="197">
        <v>5.0</v>
      </c>
      <c r="Q793" s="197">
        <v>5.0</v>
      </c>
      <c r="R793" s="197">
        <v>5.0</v>
      </c>
      <c r="S793" s="197">
        <v>4.5</v>
      </c>
      <c r="T793" s="197">
        <v>4.5</v>
      </c>
      <c r="U793" s="197">
        <v>4.5</v>
      </c>
      <c r="V793" s="197">
        <v>4.5</v>
      </c>
      <c r="W793" s="197">
        <v>4.5</v>
      </c>
      <c r="X793" s="196"/>
      <c r="Y793" s="196"/>
      <c r="Z793" s="196"/>
      <c r="AA793" s="196"/>
      <c r="AB793" s="196"/>
      <c r="AC793" s="197">
        <v>4.833333333333333</v>
      </c>
      <c r="AD793" s="198"/>
    </row>
    <row r="794">
      <c r="A794" s="193">
        <v>105486.0</v>
      </c>
      <c r="B794" s="194" t="s">
        <v>1865</v>
      </c>
      <c r="C794" s="192" t="s">
        <v>1866</v>
      </c>
      <c r="D794" s="195">
        <v>45692.0</v>
      </c>
      <c r="E794" s="192" t="s">
        <v>1140</v>
      </c>
      <c r="F794" s="196"/>
      <c r="G794" s="196"/>
      <c r="H794" s="197">
        <v>5.0</v>
      </c>
      <c r="I794" s="197">
        <v>5.0</v>
      </c>
      <c r="J794" s="197">
        <v>5.0</v>
      </c>
      <c r="K794" s="197">
        <v>5.0</v>
      </c>
      <c r="L794" s="197">
        <v>5.0</v>
      </c>
      <c r="M794" s="197">
        <v>5.0</v>
      </c>
      <c r="N794" s="197">
        <v>5.0</v>
      </c>
      <c r="O794" s="197">
        <v>5.0</v>
      </c>
      <c r="P794" s="197">
        <v>5.0</v>
      </c>
      <c r="Q794" s="197">
        <v>5.0</v>
      </c>
      <c r="R794" s="197">
        <v>5.0</v>
      </c>
      <c r="S794" s="197">
        <v>4.5</v>
      </c>
      <c r="T794" s="197">
        <v>4.5</v>
      </c>
      <c r="U794" s="197">
        <v>4.5</v>
      </c>
      <c r="V794" s="197">
        <v>4.5</v>
      </c>
      <c r="W794" s="197">
        <v>4.5</v>
      </c>
      <c r="X794" s="196"/>
      <c r="Y794" s="196"/>
      <c r="Z794" s="196"/>
      <c r="AA794" s="196"/>
      <c r="AB794" s="196"/>
      <c r="AC794" s="197">
        <v>4.833333333333333</v>
      </c>
      <c r="AD794" s="198"/>
    </row>
    <row r="795">
      <c r="A795" s="193">
        <v>105421.0</v>
      </c>
      <c r="B795" s="194" t="s">
        <v>1867</v>
      </c>
      <c r="C795" s="192" t="s">
        <v>1868</v>
      </c>
      <c r="D795" s="195">
        <v>45695.0</v>
      </c>
      <c r="E795" s="192" t="s">
        <v>154</v>
      </c>
      <c r="F795" s="196"/>
      <c r="G795" s="196"/>
      <c r="H795" s="197">
        <v>5.0</v>
      </c>
      <c r="I795" s="197">
        <v>5.0</v>
      </c>
      <c r="J795" s="197">
        <v>5.0</v>
      </c>
      <c r="K795" s="197">
        <v>5.0</v>
      </c>
      <c r="L795" s="197">
        <v>5.0</v>
      </c>
      <c r="M795" s="197">
        <v>5.0</v>
      </c>
      <c r="N795" s="197">
        <v>5.0</v>
      </c>
      <c r="O795" s="197">
        <v>4.5</v>
      </c>
      <c r="P795" s="197">
        <v>5.0</v>
      </c>
      <c r="Q795" s="197">
        <v>5.0</v>
      </c>
      <c r="R795" s="197">
        <v>4.875</v>
      </c>
      <c r="S795" s="197">
        <v>4.5</v>
      </c>
      <c r="T795" s="197">
        <v>4.5</v>
      </c>
      <c r="U795" s="197">
        <v>4.5</v>
      </c>
      <c r="V795" s="197">
        <v>4.5</v>
      </c>
      <c r="W795" s="197">
        <v>4.5</v>
      </c>
      <c r="X795" s="196"/>
      <c r="Y795" s="196"/>
      <c r="Z795" s="196"/>
      <c r="AA795" s="196"/>
      <c r="AB795" s="196"/>
      <c r="AC795" s="197">
        <v>4.791666666666667</v>
      </c>
      <c r="AD795" s="198"/>
    </row>
    <row r="796">
      <c r="A796" s="193">
        <v>105451.0</v>
      </c>
      <c r="B796" s="194" t="s">
        <v>1869</v>
      </c>
      <c r="C796" s="192" t="s">
        <v>1870</v>
      </c>
      <c r="D796" s="195">
        <v>45695.0</v>
      </c>
      <c r="E796" s="192" t="s">
        <v>1871</v>
      </c>
      <c r="F796" s="196"/>
      <c r="G796" s="196"/>
      <c r="H796" s="197">
        <v>5.0</v>
      </c>
      <c r="I796" s="197">
        <v>5.0</v>
      </c>
      <c r="J796" s="197">
        <v>5.0</v>
      </c>
      <c r="K796" s="197">
        <v>5.0</v>
      </c>
      <c r="L796" s="197">
        <v>5.0</v>
      </c>
      <c r="M796" s="197">
        <v>5.0</v>
      </c>
      <c r="N796" s="197">
        <v>5.0</v>
      </c>
      <c r="O796" s="197">
        <v>4.5</v>
      </c>
      <c r="P796" s="197">
        <v>5.0</v>
      </c>
      <c r="Q796" s="197">
        <v>5.0</v>
      </c>
      <c r="R796" s="197">
        <v>4.875</v>
      </c>
      <c r="S796" s="197">
        <v>4.5</v>
      </c>
      <c r="T796" s="197">
        <v>4.5</v>
      </c>
      <c r="U796" s="197">
        <v>4.5</v>
      </c>
      <c r="V796" s="197">
        <v>4.5</v>
      </c>
      <c r="W796" s="197">
        <v>4.5</v>
      </c>
      <c r="X796" s="196"/>
      <c r="Y796" s="196"/>
      <c r="Z796" s="196"/>
      <c r="AA796" s="196"/>
      <c r="AB796" s="196"/>
      <c r="AC796" s="197">
        <v>4.791666666666667</v>
      </c>
      <c r="AD796" s="198"/>
    </row>
    <row r="797">
      <c r="A797" s="193">
        <v>105488.0</v>
      </c>
      <c r="B797" s="194" t="s">
        <v>1872</v>
      </c>
      <c r="C797" s="192" t="s">
        <v>1873</v>
      </c>
      <c r="D797" s="195">
        <v>45699.0</v>
      </c>
      <c r="E797" s="192" t="s">
        <v>1140</v>
      </c>
      <c r="F797" s="196"/>
      <c r="G797" s="196"/>
      <c r="H797" s="197">
        <v>5.0</v>
      </c>
      <c r="I797" s="197">
        <v>5.0</v>
      </c>
      <c r="J797" s="197">
        <v>5.0</v>
      </c>
      <c r="K797" s="197">
        <v>5.0</v>
      </c>
      <c r="L797" s="197">
        <v>5.0</v>
      </c>
      <c r="M797" s="197">
        <v>5.0</v>
      </c>
      <c r="N797" s="197">
        <v>5.0</v>
      </c>
      <c r="O797" s="197">
        <v>5.0</v>
      </c>
      <c r="P797" s="197">
        <v>5.0</v>
      </c>
      <c r="Q797" s="197">
        <v>5.0</v>
      </c>
      <c r="R797" s="197">
        <v>5.0</v>
      </c>
      <c r="S797" s="197">
        <v>4.5</v>
      </c>
      <c r="T797" s="197">
        <v>4.5</v>
      </c>
      <c r="U797" s="197">
        <v>4.5</v>
      </c>
      <c r="V797" s="197">
        <v>4.5</v>
      </c>
      <c r="W797" s="197">
        <v>4.5</v>
      </c>
      <c r="X797" s="196"/>
      <c r="Y797" s="196"/>
      <c r="Z797" s="196"/>
      <c r="AA797" s="196"/>
      <c r="AB797" s="196"/>
      <c r="AC797" s="197">
        <v>4.833333333333333</v>
      </c>
      <c r="AD797" s="198"/>
    </row>
    <row r="798">
      <c r="A798" s="194">
        <v>105490.0</v>
      </c>
      <c r="B798" s="194" t="s">
        <v>1874</v>
      </c>
      <c r="C798" s="192" t="s">
        <v>1875</v>
      </c>
      <c r="D798" s="195">
        <v>45699.0</v>
      </c>
      <c r="E798" s="192" t="s">
        <v>1140</v>
      </c>
      <c r="F798" s="196"/>
      <c r="G798" s="196"/>
      <c r="H798" s="197">
        <v>5.0</v>
      </c>
      <c r="I798" s="197">
        <v>5.0</v>
      </c>
      <c r="J798" s="197">
        <v>5.0</v>
      </c>
      <c r="K798" s="197">
        <v>5.0</v>
      </c>
      <c r="L798" s="197">
        <v>5.0</v>
      </c>
      <c r="M798" s="197">
        <v>5.0</v>
      </c>
      <c r="N798" s="197">
        <v>5.0</v>
      </c>
      <c r="O798" s="197">
        <v>5.0</v>
      </c>
      <c r="P798" s="197">
        <v>5.0</v>
      </c>
      <c r="Q798" s="197">
        <v>5.0</v>
      </c>
      <c r="R798" s="197">
        <v>5.0</v>
      </c>
      <c r="S798" s="197">
        <v>4.5</v>
      </c>
      <c r="T798" s="197">
        <v>4.5</v>
      </c>
      <c r="U798" s="197">
        <v>4.5</v>
      </c>
      <c r="V798" s="197">
        <v>4.5</v>
      </c>
      <c r="W798" s="197">
        <v>4.5</v>
      </c>
      <c r="X798" s="196"/>
      <c r="Y798" s="196"/>
      <c r="Z798" s="196"/>
      <c r="AA798" s="196"/>
      <c r="AB798" s="196"/>
      <c r="AC798" s="197">
        <v>4.833333333333333</v>
      </c>
      <c r="AD798" s="198"/>
    </row>
    <row r="799">
      <c r="A799" s="193">
        <v>105191.0</v>
      </c>
      <c r="B799" s="194" t="s">
        <v>1876</v>
      </c>
      <c r="C799" s="192" t="s">
        <v>1877</v>
      </c>
      <c r="D799" s="195">
        <v>45699.0</v>
      </c>
      <c r="E799" s="192" t="s">
        <v>483</v>
      </c>
      <c r="F799" s="196"/>
      <c r="G799" s="196"/>
      <c r="H799" s="197">
        <v>5.0</v>
      </c>
      <c r="I799" s="197">
        <v>5.0</v>
      </c>
      <c r="J799" s="197">
        <v>5.0</v>
      </c>
      <c r="K799" s="197">
        <v>5.0</v>
      </c>
      <c r="L799" s="197">
        <v>5.0</v>
      </c>
      <c r="M799" s="197">
        <v>5.0</v>
      </c>
      <c r="N799" s="197">
        <v>5.0</v>
      </c>
      <c r="O799" s="197">
        <v>4.5</v>
      </c>
      <c r="P799" s="197">
        <v>4.0</v>
      </c>
      <c r="Q799" s="197">
        <v>5.0</v>
      </c>
      <c r="R799" s="197">
        <v>4.625</v>
      </c>
      <c r="S799" s="197">
        <v>4.5</v>
      </c>
      <c r="T799" s="197">
        <v>4.5</v>
      </c>
      <c r="U799" s="197">
        <v>4.5</v>
      </c>
      <c r="V799" s="197">
        <v>4.5</v>
      </c>
      <c r="W799" s="197">
        <v>4.5</v>
      </c>
      <c r="X799" s="196"/>
      <c r="Y799" s="196"/>
      <c r="Z799" s="196"/>
      <c r="AA799" s="196"/>
      <c r="AB799" s="196"/>
      <c r="AC799" s="197">
        <v>4.708333333333333</v>
      </c>
      <c r="AD799" s="198"/>
    </row>
    <row r="800">
      <c r="A800" s="193">
        <v>105468.0</v>
      </c>
      <c r="B800" s="194" t="s">
        <v>1878</v>
      </c>
      <c r="C800" s="192" t="s">
        <v>1879</v>
      </c>
      <c r="D800" s="195">
        <v>45701.0</v>
      </c>
      <c r="E800" s="192" t="s">
        <v>1140</v>
      </c>
      <c r="F800" s="196"/>
      <c r="G800" s="196"/>
      <c r="H800" s="197">
        <v>5.0</v>
      </c>
      <c r="I800" s="197">
        <v>5.0</v>
      </c>
      <c r="J800" s="197">
        <v>5.0</v>
      </c>
      <c r="K800" s="197">
        <v>5.0</v>
      </c>
      <c r="L800" s="197">
        <v>5.0</v>
      </c>
      <c r="M800" s="197">
        <v>5.0</v>
      </c>
      <c r="N800" s="197">
        <v>5.0</v>
      </c>
      <c r="O800" s="197">
        <v>5.0</v>
      </c>
      <c r="P800" s="197">
        <v>5.0</v>
      </c>
      <c r="Q800" s="197">
        <v>5.0</v>
      </c>
      <c r="R800" s="197">
        <v>5.0</v>
      </c>
      <c r="S800" s="197">
        <v>4.5</v>
      </c>
      <c r="T800" s="197">
        <v>4.5</v>
      </c>
      <c r="U800" s="197">
        <v>4.5</v>
      </c>
      <c r="V800" s="197">
        <v>4.5</v>
      </c>
      <c r="W800" s="197">
        <v>4.5</v>
      </c>
      <c r="X800" s="196"/>
      <c r="Y800" s="196"/>
      <c r="Z800" s="196"/>
      <c r="AA800" s="196"/>
      <c r="AB800" s="196"/>
      <c r="AC800" s="197">
        <v>4.833333333333333</v>
      </c>
      <c r="AD800" s="198"/>
    </row>
    <row r="801">
      <c r="A801" s="193">
        <v>105439.0</v>
      </c>
      <c r="B801" s="194" t="s">
        <v>1880</v>
      </c>
      <c r="C801" s="192" t="s">
        <v>1881</v>
      </c>
      <c r="D801" s="195">
        <v>45701.0</v>
      </c>
      <c r="E801" s="192" t="s">
        <v>87</v>
      </c>
      <c r="F801" s="196"/>
      <c r="G801" s="196"/>
      <c r="H801" s="197">
        <v>5.0</v>
      </c>
      <c r="I801" s="197">
        <v>5.0</v>
      </c>
      <c r="J801" s="197">
        <v>5.0</v>
      </c>
      <c r="K801" s="197">
        <v>5.0</v>
      </c>
      <c r="L801" s="197">
        <v>5.0</v>
      </c>
      <c r="M801" s="197">
        <v>5.0</v>
      </c>
      <c r="N801" s="197">
        <v>5.0</v>
      </c>
      <c r="O801" s="197">
        <v>4.5</v>
      </c>
      <c r="P801" s="197">
        <v>5.0</v>
      </c>
      <c r="Q801" s="197">
        <v>5.0</v>
      </c>
      <c r="R801" s="197">
        <v>4.875</v>
      </c>
      <c r="S801" s="197">
        <v>4.5</v>
      </c>
      <c r="T801" s="197">
        <v>4.5</v>
      </c>
      <c r="U801" s="197">
        <v>4.5</v>
      </c>
      <c r="V801" s="197">
        <v>4.5</v>
      </c>
      <c r="W801" s="197">
        <v>4.5</v>
      </c>
      <c r="X801" s="196"/>
      <c r="Y801" s="196"/>
      <c r="Z801" s="196"/>
      <c r="AA801" s="196"/>
      <c r="AB801" s="196"/>
      <c r="AC801" s="197">
        <v>4.791666666666667</v>
      </c>
      <c r="AD801" s="198"/>
    </row>
    <row r="802">
      <c r="A802" s="193">
        <v>105474.0</v>
      </c>
      <c r="B802" s="194" t="s">
        <v>1882</v>
      </c>
      <c r="C802" s="192" t="s">
        <v>1883</v>
      </c>
      <c r="D802" s="195">
        <v>45702.0</v>
      </c>
      <c r="E802" s="192" t="s">
        <v>806</v>
      </c>
      <c r="F802" s="196"/>
      <c r="G802" s="196"/>
      <c r="H802" s="197">
        <v>4.5</v>
      </c>
      <c r="I802" s="197">
        <v>4.5</v>
      </c>
      <c r="J802" s="197">
        <v>4.5</v>
      </c>
      <c r="K802" s="197">
        <v>4.5</v>
      </c>
      <c r="L802" s="197">
        <v>4.5</v>
      </c>
      <c r="M802" s="197">
        <v>4.5</v>
      </c>
      <c r="N802" s="197">
        <v>4.5</v>
      </c>
      <c r="O802" s="197">
        <v>4.5</v>
      </c>
      <c r="P802" s="197">
        <v>4.5</v>
      </c>
      <c r="Q802" s="197">
        <v>4.5</v>
      </c>
      <c r="R802" s="197">
        <v>4.5</v>
      </c>
      <c r="S802" s="197">
        <v>4.5</v>
      </c>
      <c r="T802" s="197">
        <v>4.5</v>
      </c>
      <c r="U802" s="197">
        <v>4.5</v>
      </c>
      <c r="V802" s="197">
        <v>4.5</v>
      </c>
      <c r="W802" s="197">
        <v>4.5</v>
      </c>
      <c r="X802" s="196"/>
      <c r="Y802" s="196"/>
      <c r="Z802" s="196"/>
      <c r="AA802" s="196"/>
      <c r="AB802" s="196"/>
      <c r="AC802" s="197">
        <v>4.5</v>
      </c>
      <c r="AD802" s="198"/>
    </row>
    <row r="803">
      <c r="A803" s="193">
        <v>105473.0</v>
      </c>
      <c r="B803" s="194" t="s">
        <v>1884</v>
      </c>
      <c r="C803" s="192" t="s">
        <v>1885</v>
      </c>
      <c r="D803" s="195">
        <v>45702.0</v>
      </c>
      <c r="E803" s="192" t="s">
        <v>806</v>
      </c>
      <c r="F803" s="196"/>
      <c r="G803" s="196"/>
      <c r="H803" s="197">
        <v>5.0</v>
      </c>
      <c r="I803" s="197">
        <v>5.0</v>
      </c>
      <c r="J803" s="197">
        <v>5.0</v>
      </c>
      <c r="K803" s="197">
        <v>5.0</v>
      </c>
      <c r="L803" s="197">
        <v>5.0</v>
      </c>
      <c r="M803" s="197">
        <v>5.0</v>
      </c>
      <c r="N803" s="197">
        <v>5.0</v>
      </c>
      <c r="O803" s="197">
        <v>5.0</v>
      </c>
      <c r="P803" s="197">
        <v>5.0</v>
      </c>
      <c r="Q803" s="197">
        <v>5.0</v>
      </c>
      <c r="R803" s="197">
        <v>5.0</v>
      </c>
      <c r="S803" s="197">
        <v>4.75</v>
      </c>
      <c r="T803" s="197">
        <v>4.75</v>
      </c>
      <c r="U803" s="197">
        <v>4.75</v>
      </c>
      <c r="V803" s="197">
        <v>4.75</v>
      </c>
      <c r="W803" s="197">
        <v>4.75</v>
      </c>
      <c r="X803" s="196"/>
      <c r="Y803" s="196"/>
      <c r="Z803" s="196"/>
      <c r="AA803" s="196"/>
      <c r="AB803" s="196"/>
      <c r="AC803" s="197">
        <v>4.916666666666667</v>
      </c>
      <c r="AD803" s="198"/>
    </row>
    <row r="804">
      <c r="A804" s="193">
        <v>105503.0</v>
      </c>
      <c r="B804" s="194" t="s">
        <v>1886</v>
      </c>
      <c r="C804" s="192" t="s">
        <v>1887</v>
      </c>
      <c r="D804" s="195">
        <v>45703.0</v>
      </c>
      <c r="E804" s="192" t="s">
        <v>1140</v>
      </c>
      <c r="F804" s="196"/>
      <c r="G804" s="196"/>
      <c r="H804" s="197">
        <v>5.0</v>
      </c>
      <c r="I804" s="197">
        <v>5.0</v>
      </c>
      <c r="J804" s="197">
        <v>5.0</v>
      </c>
      <c r="K804" s="197">
        <v>5.0</v>
      </c>
      <c r="L804" s="197">
        <v>5.0</v>
      </c>
      <c r="M804" s="197">
        <v>5.0</v>
      </c>
      <c r="N804" s="197">
        <v>5.0</v>
      </c>
      <c r="O804" s="197">
        <v>5.0</v>
      </c>
      <c r="P804" s="197">
        <v>5.0</v>
      </c>
      <c r="Q804" s="197">
        <v>5.0</v>
      </c>
      <c r="R804" s="197">
        <v>5.0</v>
      </c>
      <c r="S804" s="197">
        <v>4.5</v>
      </c>
      <c r="T804" s="197">
        <v>4.5</v>
      </c>
      <c r="U804" s="197">
        <v>4.5</v>
      </c>
      <c r="V804" s="197">
        <v>4.5</v>
      </c>
      <c r="W804" s="197">
        <v>4.5</v>
      </c>
      <c r="X804" s="196"/>
      <c r="Y804" s="196"/>
      <c r="Z804" s="196"/>
      <c r="AA804" s="196"/>
      <c r="AB804" s="196"/>
      <c r="AC804" s="197">
        <v>4.833333333333333</v>
      </c>
      <c r="AD804" s="198"/>
    </row>
    <row r="805">
      <c r="A805" s="193">
        <v>105469.0</v>
      </c>
      <c r="B805" s="194" t="s">
        <v>1888</v>
      </c>
      <c r="C805" s="192" t="s">
        <v>1889</v>
      </c>
      <c r="D805" s="195">
        <v>45707.0</v>
      </c>
      <c r="E805" s="192" t="s">
        <v>95</v>
      </c>
      <c r="F805" s="196"/>
      <c r="G805" s="196"/>
      <c r="H805" s="197">
        <v>5.0</v>
      </c>
      <c r="I805" s="197">
        <v>5.0</v>
      </c>
      <c r="J805" s="197">
        <v>5.0</v>
      </c>
      <c r="K805" s="197">
        <v>5.0</v>
      </c>
      <c r="L805" s="197">
        <v>5.0</v>
      </c>
      <c r="M805" s="197">
        <v>5.0</v>
      </c>
      <c r="N805" s="197">
        <v>5.0</v>
      </c>
      <c r="O805" s="197">
        <v>5.0</v>
      </c>
      <c r="P805" s="197">
        <v>5.0</v>
      </c>
      <c r="Q805" s="197">
        <v>5.0</v>
      </c>
      <c r="R805" s="197">
        <v>5.0</v>
      </c>
      <c r="S805" s="197">
        <v>4.75</v>
      </c>
      <c r="T805" s="197">
        <v>4.75</v>
      </c>
      <c r="U805" s="197">
        <v>4.75</v>
      </c>
      <c r="V805" s="197">
        <v>4.75</v>
      </c>
      <c r="W805" s="197">
        <v>4.75</v>
      </c>
      <c r="X805" s="196"/>
      <c r="Y805" s="196"/>
      <c r="Z805" s="196"/>
      <c r="AA805" s="196"/>
      <c r="AB805" s="196"/>
      <c r="AC805" s="197">
        <v>4.916666666666667</v>
      </c>
      <c r="AD805" s="198"/>
    </row>
    <row r="806">
      <c r="A806" s="193">
        <v>105510.0</v>
      </c>
      <c r="B806" s="194" t="s">
        <v>1890</v>
      </c>
      <c r="C806" s="192" t="s">
        <v>1891</v>
      </c>
      <c r="D806" s="195">
        <v>45709.0</v>
      </c>
      <c r="E806" s="192" t="s">
        <v>1140</v>
      </c>
      <c r="F806" s="196"/>
      <c r="G806" s="196"/>
      <c r="H806" s="197">
        <v>5.0</v>
      </c>
      <c r="I806" s="197">
        <v>5.0</v>
      </c>
      <c r="J806" s="197">
        <v>5.0</v>
      </c>
      <c r="K806" s="197">
        <v>5.0</v>
      </c>
      <c r="L806" s="197">
        <v>5.0</v>
      </c>
      <c r="M806" s="197">
        <v>5.0</v>
      </c>
      <c r="N806" s="197">
        <v>5.0</v>
      </c>
      <c r="O806" s="197">
        <v>5.0</v>
      </c>
      <c r="P806" s="197">
        <v>5.0</v>
      </c>
      <c r="Q806" s="197">
        <v>5.0</v>
      </c>
      <c r="R806" s="197">
        <v>5.0</v>
      </c>
      <c r="S806" s="197">
        <v>4.5</v>
      </c>
      <c r="T806" s="197">
        <v>4.5</v>
      </c>
      <c r="U806" s="197">
        <v>4.5</v>
      </c>
      <c r="V806" s="197">
        <v>4.5</v>
      </c>
      <c r="W806" s="197">
        <v>4.5</v>
      </c>
      <c r="X806" s="196"/>
      <c r="Y806" s="196"/>
      <c r="Z806" s="196"/>
      <c r="AA806" s="196"/>
      <c r="AB806" s="196"/>
      <c r="AC806" s="197">
        <v>4.833333333333333</v>
      </c>
      <c r="AD806" s="198"/>
    </row>
    <row r="807">
      <c r="A807" s="193">
        <v>105436.0</v>
      </c>
      <c r="B807" s="194" t="s">
        <v>1892</v>
      </c>
      <c r="C807" s="192" t="s">
        <v>1893</v>
      </c>
      <c r="D807" s="195">
        <v>45709.0</v>
      </c>
      <c r="E807" s="192" t="s">
        <v>265</v>
      </c>
      <c r="F807" s="196"/>
      <c r="G807" s="196"/>
      <c r="H807" s="197">
        <v>4.5</v>
      </c>
      <c r="I807" s="197">
        <v>4.5</v>
      </c>
      <c r="J807" s="197">
        <v>4.5</v>
      </c>
      <c r="K807" s="197">
        <v>4.5</v>
      </c>
      <c r="L807" s="197">
        <v>4.5</v>
      </c>
      <c r="M807" s="197">
        <v>4.5</v>
      </c>
      <c r="N807" s="197">
        <v>4.5</v>
      </c>
      <c r="O807" s="197">
        <v>4.0</v>
      </c>
      <c r="P807" s="197">
        <v>4.0</v>
      </c>
      <c r="Q807" s="197">
        <v>4.0</v>
      </c>
      <c r="R807" s="197">
        <v>4.125</v>
      </c>
      <c r="S807" s="197">
        <v>4.3</v>
      </c>
      <c r="T807" s="197">
        <v>4.3</v>
      </c>
      <c r="U807" s="197">
        <v>4.3</v>
      </c>
      <c r="V807" s="197">
        <v>4.3</v>
      </c>
      <c r="W807" s="197">
        <v>4.3</v>
      </c>
      <c r="X807" s="196"/>
      <c r="Y807" s="196"/>
      <c r="Z807" s="196"/>
      <c r="AA807" s="196"/>
      <c r="AB807" s="196"/>
      <c r="AC807" s="197">
        <v>4.308333333333334</v>
      </c>
      <c r="AD807" s="198"/>
    </row>
    <row r="808">
      <c r="A808" s="193">
        <v>105450.0</v>
      </c>
      <c r="B808" s="194" t="s">
        <v>1894</v>
      </c>
      <c r="C808" s="192" t="s">
        <v>1895</v>
      </c>
      <c r="D808" s="195">
        <v>45710.0</v>
      </c>
      <c r="E808" s="192" t="s">
        <v>806</v>
      </c>
      <c r="F808" s="196"/>
      <c r="G808" s="196"/>
      <c r="H808" s="197">
        <v>5.0</v>
      </c>
      <c r="I808" s="197">
        <v>5.0</v>
      </c>
      <c r="J808" s="197">
        <v>5.0</v>
      </c>
      <c r="K808" s="197">
        <v>5.0</v>
      </c>
      <c r="L808" s="197">
        <v>5.0</v>
      </c>
      <c r="M808" s="197">
        <v>5.0</v>
      </c>
      <c r="N808" s="197">
        <v>5.0</v>
      </c>
      <c r="O808" s="197">
        <v>5.0</v>
      </c>
      <c r="P808" s="197">
        <v>5.0</v>
      </c>
      <c r="Q808" s="197">
        <v>5.0</v>
      </c>
      <c r="R808" s="197">
        <v>5.0</v>
      </c>
      <c r="S808" s="197">
        <v>4.75</v>
      </c>
      <c r="T808" s="197">
        <v>4.75</v>
      </c>
      <c r="U808" s="197">
        <v>4.75</v>
      </c>
      <c r="V808" s="197">
        <v>4.75</v>
      </c>
      <c r="W808" s="197">
        <v>4.75</v>
      </c>
      <c r="X808" s="196"/>
      <c r="Y808" s="196"/>
      <c r="Z808" s="196"/>
      <c r="AA808" s="196"/>
      <c r="AB808" s="196"/>
      <c r="AC808" s="197">
        <v>4.916666666666667</v>
      </c>
      <c r="AD808" s="198"/>
    </row>
    <row r="809">
      <c r="A809" s="193">
        <v>105542.0</v>
      </c>
      <c r="B809" s="194" t="s">
        <v>1896</v>
      </c>
      <c r="C809" s="192" t="s">
        <v>1897</v>
      </c>
      <c r="D809" s="195">
        <v>45712.0</v>
      </c>
      <c r="E809" s="192" t="s">
        <v>265</v>
      </c>
      <c r="F809" s="196"/>
      <c r="G809" s="196"/>
      <c r="H809" s="197">
        <v>4.5</v>
      </c>
      <c r="I809" s="197">
        <v>4.5</v>
      </c>
      <c r="J809" s="197">
        <v>4.5</v>
      </c>
      <c r="K809" s="197">
        <v>4.5</v>
      </c>
      <c r="L809" s="197">
        <v>4.5</v>
      </c>
      <c r="M809" s="197">
        <v>4.5</v>
      </c>
      <c r="N809" s="197">
        <v>4.5</v>
      </c>
      <c r="O809" s="197">
        <v>4.0</v>
      </c>
      <c r="P809" s="197">
        <v>4.0</v>
      </c>
      <c r="Q809" s="197">
        <v>4.0</v>
      </c>
      <c r="R809" s="197">
        <v>4.125</v>
      </c>
      <c r="S809" s="197">
        <v>4.2</v>
      </c>
      <c r="T809" s="197">
        <v>4.2</v>
      </c>
      <c r="U809" s="197">
        <v>4.2</v>
      </c>
      <c r="V809" s="197">
        <v>4.2</v>
      </c>
      <c r="W809" s="197">
        <v>4.2</v>
      </c>
      <c r="X809" s="196"/>
      <c r="Y809" s="196"/>
      <c r="Z809" s="196"/>
      <c r="AA809" s="196"/>
      <c r="AB809" s="196"/>
      <c r="AC809" s="197">
        <v>4.2749999999999995</v>
      </c>
      <c r="AD809" s="198"/>
    </row>
    <row r="810">
      <c r="A810" s="193">
        <v>105506.0</v>
      </c>
      <c r="B810" s="194" t="s">
        <v>1898</v>
      </c>
      <c r="C810" s="192" t="s">
        <v>1899</v>
      </c>
      <c r="D810" s="195">
        <v>45716.0</v>
      </c>
      <c r="E810" s="192" t="s">
        <v>87</v>
      </c>
      <c r="F810" s="196"/>
      <c r="G810" s="196"/>
      <c r="H810" s="197">
        <v>5.0</v>
      </c>
      <c r="I810" s="197">
        <v>5.0</v>
      </c>
      <c r="J810" s="197">
        <v>5.0</v>
      </c>
      <c r="K810" s="197">
        <v>5.0</v>
      </c>
      <c r="L810" s="197">
        <v>5.0</v>
      </c>
      <c r="M810" s="197">
        <v>5.0</v>
      </c>
      <c r="N810" s="197">
        <v>5.0</v>
      </c>
      <c r="O810" s="197">
        <v>4.5</v>
      </c>
      <c r="P810" s="197">
        <v>5.0</v>
      </c>
      <c r="Q810" s="197">
        <v>5.0</v>
      </c>
      <c r="R810" s="197">
        <v>4.875</v>
      </c>
      <c r="S810" s="197">
        <v>4.5</v>
      </c>
      <c r="T810" s="197">
        <v>4.5</v>
      </c>
      <c r="U810" s="197">
        <v>4.5</v>
      </c>
      <c r="V810" s="197">
        <v>4.5</v>
      </c>
      <c r="W810" s="197">
        <v>4.5</v>
      </c>
      <c r="X810" s="196"/>
      <c r="Y810" s="196"/>
      <c r="Z810" s="196"/>
      <c r="AA810" s="196"/>
      <c r="AB810" s="196"/>
      <c r="AC810" s="197">
        <v>4.791666666666667</v>
      </c>
      <c r="AD810" s="198"/>
    </row>
    <row r="811">
      <c r="A811" s="193">
        <v>105481.0</v>
      </c>
      <c r="B811" s="194">
        <v>32096.0</v>
      </c>
      <c r="C811" s="192" t="s">
        <v>1900</v>
      </c>
      <c r="D811" s="195">
        <v>45716.0</v>
      </c>
      <c r="E811" s="192" t="s">
        <v>87</v>
      </c>
      <c r="F811" s="196"/>
      <c r="G811" s="196"/>
      <c r="H811" s="197">
        <v>5.0</v>
      </c>
      <c r="I811" s="197">
        <v>5.0</v>
      </c>
      <c r="J811" s="197">
        <v>5.0</v>
      </c>
      <c r="K811" s="197">
        <v>5.0</v>
      </c>
      <c r="L811" s="197">
        <v>5.0</v>
      </c>
      <c r="M811" s="197">
        <v>5.0</v>
      </c>
      <c r="N811" s="197">
        <v>5.0</v>
      </c>
      <c r="O811" s="197">
        <v>4.5</v>
      </c>
      <c r="P811" s="197">
        <v>5.0</v>
      </c>
      <c r="Q811" s="197">
        <v>5.0</v>
      </c>
      <c r="R811" s="197">
        <v>4.875</v>
      </c>
      <c r="S811" s="197">
        <v>4.5</v>
      </c>
      <c r="T811" s="197">
        <v>4.5</v>
      </c>
      <c r="U811" s="197">
        <v>4.5</v>
      </c>
      <c r="V811" s="197">
        <v>4.5</v>
      </c>
      <c r="W811" s="197">
        <v>4.5</v>
      </c>
      <c r="X811" s="196"/>
      <c r="Y811" s="196"/>
      <c r="Z811" s="196"/>
      <c r="AA811" s="196"/>
      <c r="AB811" s="196"/>
      <c r="AC811" s="197">
        <v>4.791666666666667</v>
      </c>
      <c r="AD811" s="198"/>
    </row>
    <row r="812">
      <c r="A812" s="193">
        <v>103886.0</v>
      </c>
      <c r="B812" s="194" t="s">
        <v>1143</v>
      </c>
      <c r="C812" s="192" t="s">
        <v>1144</v>
      </c>
      <c r="D812" s="238">
        <v>45254.0</v>
      </c>
      <c r="E812" s="192" t="s">
        <v>398</v>
      </c>
      <c r="F812" s="196"/>
      <c r="G812" s="196"/>
      <c r="H812" s="197">
        <v>4.0</v>
      </c>
      <c r="I812" s="197">
        <v>4.0</v>
      </c>
      <c r="J812" s="197">
        <v>4.0</v>
      </c>
      <c r="K812" s="197">
        <v>4.0</v>
      </c>
      <c r="L812" s="197">
        <v>4.0</v>
      </c>
      <c r="M812" s="197">
        <v>4.0</v>
      </c>
      <c r="N812" s="197">
        <v>4.0</v>
      </c>
      <c r="O812" s="197">
        <v>4.0</v>
      </c>
      <c r="P812" s="197">
        <v>4.0</v>
      </c>
      <c r="Q812" s="197">
        <v>4.0</v>
      </c>
      <c r="R812" s="197">
        <v>4.0</v>
      </c>
      <c r="S812" s="197">
        <v>4.0</v>
      </c>
      <c r="T812" s="197">
        <v>4.0</v>
      </c>
      <c r="U812" s="197">
        <v>4.0</v>
      </c>
      <c r="V812" s="197">
        <v>4.0</v>
      </c>
      <c r="W812" s="197">
        <v>4.0</v>
      </c>
      <c r="X812" s="196"/>
      <c r="Y812" s="196"/>
      <c r="Z812" s="196"/>
      <c r="AA812" s="196"/>
      <c r="AB812" s="196"/>
      <c r="AC812" s="197">
        <v>4.0</v>
      </c>
      <c r="AD812" s="198"/>
    </row>
    <row r="813">
      <c r="A813" s="193">
        <v>101990.0</v>
      </c>
      <c r="B813" s="194" t="s">
        <v>1901</v>
      </c>
      <c r="C813" s="192" t="s">
        <v>479</v>
      </c>
      <c r="D813" s="195">
        <v>45666.0</v>
      </c>
      <c r="E813" s="192" t="s">
        <v>51</v>
      </c>
      <c r="F813" s="196"/>
      <c r="G813" s="196"/>
      <c r="H813" s="197">
        <v>5.0</v>
      </c>
      <c r="I813" s="197">
        <v>5.0</v>
      </c>
      <c r="J813" s="197">
        <v>5.0</v>
      </c>
      <c r="K813" s="197">
        <v>5.0</v>
      </c>
      <c r="L813" s="197">
        <v>5.0</v>
      </c>
      <c r="M813" s="197">
        <v>5.0</v>
      </c>
      <c r="N813" s="197">
        <v>5.0</v>
      </c>
      <c r="O813" s="197">
        <v>5.0</v>
      </c>
      <c r="P813" s="197">
        <v>5.0</v>
      </c>
      <c r="Q813" s="197">
        <v>5.0</v>
      </c>
      <c r="R813" s="197">
        <v>5.0</v>
      </c>
      <c r="S813" s="197">
        <v>5.0</v>
      </c>
      <c r="T813" s="197">
        <v>5.0</v>
      </c>
      <c r="U813" s="197">
        <v>5.0</v>
      </c>
      <c r="V813" s="197">
        <v>5.0</v>
      </c>
      <c r="W813" s="197">
        <v>5.0</v>
      </c>
      <c r="X813" s="196"/>
      <c r="Y813" s="196"/>
      <c r="Z813" s="196"/>
      <c r="AA813" s="196"/>
      <c r="AB813" s="196"/>
      <c r="AC813" s="197">
        <v>5.0</v>
      </c>
      <c r="AD813" s="197"/>
    </row>
    <row r="814">
      <c r="A814" s="193">
        <v>100296.0</v>
      </c>
      <c r="B814" s="194" t="s">
        <v>1902</v>
      </c>
      <c r="C814" s="192" t="s">
        <v>1903</v>
      </c>
      <c r="D814" s="195">
        <v>45666.0</v>
      </c>
      <c r="E814" s="192" t="s">
        <v>398</v>
      </c>
      <c r="F814" s="196"/>
      <c r="G814" s="196"/>
      <c r="H814" s="197">
        <v>5.0</v>
      </c>
      <c r="I814" s="197">
        <v>5.0</v>
      </c>
      <c r="J814" s="197">
        <v>5.0</v>
      </c>
      <c r="K814" s="197">
        <v>5.0</v>
      </c>
      <c r="L814" s="197">
        <v>5.0</v>
      </c>
      <c r="M814" s="197">
        <v>5.0</v>
      </c>
      <c r="N814" s="197">
        <v>5.0</v>
      </c>
      <c r="O814" s="197">
        <v>5.0</v>
      </c>
      <c r="P814" s="197">
        <v>5.0</v>
      </c>
      <c r="Q814" s="197">
        <v>5.0</v>
      </c>
      <c r="R814" s="197">
        <v>5.0</v>
      </c>
      <c r="S814" s="197">
        <v>5.0</v>
      </c>
      <c r="T814" s="197">
        <v>5.0</v>
      </c>
      <c r="U814" s="197">
        <v>5.0</v>
      </c>
      <c r="V814" s="197">
        <v>5.0</v>
      </c>
      <c r="W814" s="197">
        <v>5.0</v>
      </c>
      <c r="X814" s="196"/>
      <c r="Y814" s="196"/>
      <c r="Z814" s="196"/>
      <c r="AA814" s="196"/>
      <c r="AB814" s="196"/>
      <c r="AC814" s="197">
        <v>5.0</v>
      </c>
      <c r="AD814" s="197"/>
    </row>
    <row r="815">
      <c r="A815" s="193">
        <v>105354.0</v>
      </c>
      <c r="B815" s="194" t="s">
        <v>1904</v>
      </c>
      <c r="C815" s="192" t="s">
        <v>1905</v>
      </c>
      <c r="D815" s="195">
        <v>45666.0</v>
      </c>
      <c r="E815" s="192" t="s">
        <v>1906</v>
      </c>
      <c r="F815" s="196"/>
      <c r="G815" s="196"/>
      <c r="H815" s="197">
        <v>4.0</v>
      </c>
      <c r="I815" s="197">
        <v>4.0</v>
      </c>
      <c r="J815" s="197">
        <v>4.0</v>
      </c>
      <c r="K815" s="197">
        <v>4.0</v>
      </c>
      <c r="L815" s="197">
        <v>4.0</v>
      </c>
      <c r="M815" s="197">
        <v>4.0</v>
      </c>
      <c r="N815" s="197"/>
      <c r="O815" s="197"/>
      <c r="P815" s="197"/>
      <c r="Q815" s="197"/>
      <c r="R815" s="197"/>
      <c r="S815" s="197">
        <v>4.0</v>
      </c>
      <c r="T815" s="197">
        <v>4.0</v>
      </c>
      <c r="U815" s="197">
        <v>4.0</v>
      </c>
      <c r="V815" s="197">
        <v>4.0</v>
      </c>
      <c r="W815" s="197">
        <v>4.0</v>
      </c>
      <c r="X815" s="196"/>
      <c r="Y815" s="196"/>
      <c r="Z815" s="196"/>
      <c r="AA815" s="196"/>
      <c r="AB815" s="196"/>
      <c r="AC815" s="197">
        <v>4.0</v>
      </c>
      <c r="AD815" s="198"/>
    </row>
    <row r="816">
      <c r="A816" s="193">
        <v>105354.0</v>
      </c>
      <c r="B816" s="194" t="s">
        <v>1907</v>
      </c>
      <c r="C816" s="192" t="s">
        <v>1905</v>
      </c>
      <c r="D816" s="195">
        <v>45666.0</v>
      </c>
      <c r="E816" s="192" t="s">
        <v>1290</v>
      </c>
      <c r="F816" s="196"/>
      <c r="G816" s="196"/>
      <c r="H816" s="197">
        <v>4.0</v>
      </c>
      <c r="I816" s="197">
        <v>4.0</v>
      </c>
      <c r="J816" s="197">
        <v>4.0</v>
      </c>
      <c r="K816" s="197">
        <v>4.0</v>
      </c>
      <c r="L816" s="197">
        <v>4.0</v>
      </c>
      <c r="M816" s="197">
        <v>4.0</v>
      </c>
      <c r="N816" s="197"/>
      <c r="O816" s="197"/>
      <c r="P816" s="197"/>
      <c r="Q816" s="197"/>
      <c r="R816" s="197"/>
      <c r="S816" s="197">
        <v>4.0</v>
      </c>
      <c r="T816" s="197">
        <v>4.0</v>
      </c>
      <c r="U816" s="197">
        <v>4.0</v>
      </c>
      <c r="V816" s="197">
        <v>4.0</v>
      </c>
      <c r="W816" s="197">
        <v>4.0</v>
      </c>
      <c r="X816" s="196"/>
      <c r="Y816" s="196"/>
      <c r="Z816" s="196"/>
      <c r="AA816" s="196"/>
      <c r="AB816" s="196"/>
      <c r="AC816" s="197">
        <v>4.0</v>
      </c>
      <c r="AD816" s="198"/>
    </row>
    <row r="817">
      <c r="A817" s="193">
        <v>105519.0</v>
      </c>
      <c r="B817" s="194" t="s">
        <v>1908</v>
      </c>
      <c r="C817" s="192" t="s">
        <v>1909</v>
      </c>
      <c r="D817" s="195">
        <v>45719.0</v>
      </c>
      <c r="E817" s="192" t="s">
        <v>295</v>
      </c>
      <c r="F817" s="196"/>
      <c r="G817" s="196"/>
      <c r="H817" s="197">
        <v>5.0</v>
      </c>
      <c r="I817" s="197">
        <v>5.0</v>
      </c>
      <c r="J817" s="197">
        <v>5.0</v>
      </c>
      <c r="K817" s="197">
        <v>5.0</v>
      </c>
      <c r="L817" s="197">
        <v>5.0</v>
      </c>
      <c r="M817" s="197">
        <v>5.0</v>
      </c>
      <c r="N817" s="197">
        <v>5.0</v>
      </c>
      <c r="O817" s="197">
        <v>5.0</v>
      </c>
      <c r="P817" s="197">
        <v>4.0</v>
      </c>
      <c r="Q817" s="197">
        <v>5.0</v>
      </c>
      <c r="R817" s="197">
        <v>4.75</v>
      </c>
      <c r="S817" s="197">
        <v>4.5</v>
      </c>
      <c r="T817" s="197">
        <v>4.5</v>
      </c>
      <c r="U817" s="197">
        <v>4.5</v>
      </c>
      <c r="V817" s="197">
        <v>4.5</v>
      </c>
      <c r="W817" s="197">
        <v>4.5</v>
      </c>
      <c r="X817" s="196"/>
      <c r="Y817" s="196"/>
      <c r="Z817" s="196"/>
      <c r="AA817" s="196"/>
      <c r="AB817" s="196"/>
      <c r="AC817" s="197">
        <v>4.75</v>
      </c>
      <c r="AD817" s="198"/>
    </row>
    <row r="818">
      <c r="A818" s="193">
        <v>105187.0</v>
      </c>
      <c r="B818" s="194" t="s">
        <v>1910</v>
      </c>
      <c r="C818" s="192" t="s">
        <v>1911</v>
      </c>
      <c r="D818" s="195">
        <v>45688.0</v>
      </c>
      <c r="E818" s="192" t="s">
        <v>1912</v>
      </c>
      <c r="F818" s="196"/>
      <c r="G818" s="196"/>
      <c r="H818" s="197">
        <v>4.0</v>
      </c>
      <c r="I818" s="197">
        <v>4.0</v>
      </c>
      <c r="J818" s="197">
        <v>4.0</v>
      </c>
      <c r="K818" s="197">
        <v>4.0</v>
      </c>
      <c r="L818" s="197">
        <v>4.0</v>
      </c>
      <c r="M818" s="197">
        <v>4.0</v>
      </c>
      <c r="N818" s="197"/>
      <c r="O818" s="197"/>
      <c r="P818" s="197"/>
      <c r="Q818" s="197"/>
      <c r="R818" s="197"/>
      <c r="S818" s="197">
        <v>4.0</v>
      </c>
      <c r="T818" s="197">
        <v>4.0</v>
      </c>
      <c r="U818" s="197">
        <v>4.0</v>
      </c>
      <c r="V818" s="197">
        <v>4.0</v>
      </c>
      <c r="W818" s="197">
        <v>4.0</v>
      </c>
      <c r="X818" s="196"/>
      <c r="Y818" s="196"/>
      <c r="Z818" s="196"/>
      <c r="AA818" s="196"/>
      <c r="AB818" s="196"/>
      <c r="AC818" s="197">
        <v>4.0</v>
      </c>
      <c r="AD818" s="198"/>
    </row>
    <row r="819">
      <c r="A819" s="193">
        <v>105539.0</v>
      </c>
      <c r="B819" s="194" t="s">
        <v>1913</v>
      </c>
      <c r="C819" s="192" t="s">
        <v>1914</v>
      </c>
      <c r="D819" s="195">
        <v>45722.0</v>
      </c>
      <c r="E819" s="192" t="s">
        <v>427</v>
      </c>
      <c r="F819" s="196"/>
      <c r="G819" s="196"/>
      <c r="H819" s="197">
        <v>5.0</v>
      </c>
      <c r="I819" s="197">
        <v>5.0</v>
      </c>
      <c r="J819" s="197">
        <v>5.0</v>
      </c>
      <c r="K819" s="197">
        <v>5.0</v>
      </c>
      <c r="L819" s="197">
        <v>5.0</v>
      </c>
      <c r="M819" s="197">
        <v>5.0</v>
      </c>
      <c r="N819" s="197">
        <v>5.0</v>
      </c>
      <c r="O819" s="197">
        <v>4.5</v>
      </c>
      <c r="P819" s="197">
        <v>5.0</v>
      </c>
      <c r="Q819" s="197">
        <v>5.0</v>
      </c>
      <c r="R819" s="197">
        <v>4.875</v>
      </c>
      <c r="S819" s="197">
        <v>4.5</v>
      </c>
      <c r="T819" s="197">
        <v>4.5</v>
      </c>
      <c r="U819" s="197">
        <v>4.5</v>
      </c>
      <c r="V819" s="197">
        <v>4.5</v>
      </c>
      <c r="W819" s="197">
        <v>4.5</v>
      </c>
      <c r="X819" s="196"/>
      <c r="Y819" s="196"/>
      <c r="Z819" s="196"/>
      <c r="AA819" s="196"/>
      <c r="AB819" s="196"/>
      <c r="AC819" s="197">
        <v>4.791666666666667</v>
      </c>
      <c r="AD819" s="198"/>
    </row>
    <row r="820">
      <c r="A820" s="193">
        <v>105535.0</v>
      </c>
      <c r="B820" s="194">
        <v>32257.0</v>
      </c>
      <c r="C820" s="192" t="s">
        <v>1915</v>
      </c>
      <c r="D820" s="195">
        <v>45724.0</v>
      </c>
      <c r="E820" s="192" t="s">
        <v>87</v>
      </c>
      <c r="F820" s="196"/>
      <c r="G820" s="196"/>
      <c r="H820" s="197">
        <v>5.0</v>
      </c>
      <c r="I820" s="197">
        <v>5.0</v>
      </c>
      <c r="J820" s="197">
        <v>5.0</v>
      </c>
      <c r="K820" s="197">
        <v>5.0</v>
      </c>
      <c r="L820" s="197">
        <v>5.0</v>
      </c>
      <c r="M820" s="197">
        <v>5.0</v>
      </c>
      <c r="N820" s="197">
        <v>5.0</v>
      </c>
      <c r="O820" s="197">
        <v>4.5</v>
      </c>
      <c r="P820" s="197">
        <v>5.0</v>
      </c>
      <c r="Q820" s="197">
        <v>5.0</v>
      </c>
      <c r="R820" s="197">
        <v>4.875</v>
      </c>
      <c r="S820" s="197">
        <v>4.5</v>
      </c>
      <c r="T820" s="197">
        <v>4.5</v>
      </c>
      <c r="U820" s="197">
        <v>4.5</v>
      </c>
      <c r="V820" s="197">
        <v>4.5</v>
      </c>
      <c r="W820" s="197">
        <v>4.5</v>
      </c>
      <c r="X820" s="196"/>
      <c r="Y820" s="196"/>
      <c r="Z820" s="196"/>
      <c r="AA820" s="196"/>
      <c r="AB820" s="196"/>
      <c r="AC820" s="197">
        <v>4.791666666666667</v>
      </c>
      <c r="AD820" s="198"/>
    </row>
    <row r="821">
      <c r="A821" s="193">
        <v>105572.0</v>
      </c>
      <c r="B821" s="194" t="s">
        <v>1916</v>
      </c>
      <c r="C821" s="192" t="s">
        <v>1917</v>
      </c>
      <c r="D821" s="195">
        <v>45737.0</v>
      </c>
      <c r="E821" s="192" t="s">
        <v>87</v>
      </c>
      <c r="F821" s="196"/>
      <c r="G821" s="196"/>
      <c r="H821" s="197">
        <v>5.0</v>
      </c>
      <c r="I821" s="197">
        <v>5.0</v>
      </c>
      <c r="J821" s="197">
        <v>5.0</v>
      </c>
      <c r="K821" s="197">
        <v>5.0</v>
      </c>
      <c r="L821" s="197">
        <v>5.0</v>
      </c>
      <c r="M821" s="197">
        <v>5.0</v>
      </c>
      <c r="N821" s="197">
        <v>5.0</v>
      </c>
      <c r="O821" s="197">
        <v>4.5</v>
      </c>
      <c r="P821" s="197">
        <v>5.0</v>
      </c>
      <c r="Q821" s="197">
        <v>5.0</v>
      </c>
      <c r="R821" s="197">
        <v>4.875</v>
      </c>
      <c r="S821" s="197">
        <v>4.5</v>
      </c>
      <c r="T821" s="197">
        <v>4.5</v>
      </c>
      <c r="U821" s="197">
        <v>4.5</v>
      </c>
      <c r="V821" s="197">
        <v>4.5</v>
      </c>
      <c r="W821" s="197">
        <v>4.5</v>
      </c>
      <c r="X821" s="196"/>
      <c r="Y821" s="196"/>
      <c r="Z821" s="196"/>
      <c r="AA821" s="196"/>
      <c r="AB821" s="196"/>
      <c r="AC821" s="197">
        <v>4.791666666666667</v>
      </c>
      <c r="AD821" s="198"/>
    </row>
    <row r="822">
      <c r="A822" s="193">
        <v>105378.0</v>
      </c>
      <c r="B822" s="194">
        <v>32209.0</v>
      </c>
      <c r="C822" s="192" t="s">
        <v>1918</v>
      </c>
      <c r="D822" s="195">
        <v>45702.0</v>
      </c>
      <c r="E822" s="192" t="s">
        <v>646</v>
      </c>
      <c r="F822" s="196"/>
      <c r="G822" s="196"/>
      <c r="H822" s="197">
        <v>5.0</v>
      </c>
      <c r="I822" s="197">
        <v>5.0</v>
      </c>
      <c r="J822" s="197">
        <v>5.0</v>
      </c>
      <c r="K822" s="197">
        <v>5.0</v>
      </c>
      <c r="L822" s="197">
        <v>5.0</v>
      </c>
      <c r="M822" s="197">
        <v>5.0</v>
      </c>
      <c r="N822" s="197">
        <v>5.0</v>
      </c>
      <c r="O822" s="197">
        <v>5.0</v>
      </c>
      <c r="P822" s="197">
        <v>5.0</v>
      </c>
      <c r="Q822" s="197">
        <v>5.0</v>
      </c>
      <c r="R822" s="197">
        <v>5.0</v>
      </c>
      <c r="S822" s="197">
        <v>5.0</v>
      </c>
      <c r="T822" s="197">
        <v>5.0</v>
      </c>
      <c r="U822" s="197">
        <v>5.0</v>
      </c>
      <c r="V822" s="197">
        <v>5.0</v>
      </c>
      <c r="W822" s="197">
        <v>5.0</v>
      </c>
      <c r="X822" s="196"/>
      <c r="Y822" s="196"/>
      <c r="Z822" s="196"/>
      <c r="AA822" s="196"/>
      <c r="AB822" s="196"/>
      <c r="AC822" s="197">
        <v>5.0</v>
      </c>
      <c r="AD822" s="198"/>
    </row>
    <row r="823">
      <c r="A823" s="193">
        <v>105266.0</v>
      </c>
      <c r="B823" s="194" t="s">
        <v>1919</v>
      </c>
      <c r="C823" s="192" t="s">
        <v>1920</v>
      </c>
      <c r="D823" s="195">
        <v>45625.0</v>
      </c>
      <c r="E823" s="192" t="s">
        <v>602</v>
      </c>
      <c r="F823" s="196"/>
      <c r="G823" s="196"/>
      <c r="H823" s="197">
        <v>5.0</v>
      </c>
      <c r="I823" s="197">
        <v>5.0</v>
      </c>
      <c r="J823" s="197">
        <v>5.0</v>
      </c>
      <c r="K823" s="197">
        <v>5.0</v>
      </c>
      <c r="L823" s="197">
        <v>5.0</v>
      </c>
      <c r="M823" s="197">
        <v>5.0</v>
      </c>
      <c r="N823" s="197">
        <v>5.0</v>
      </c>
      <c r="O823" s="197">
        <v>5.0</v>
      </c>
      <c r="P823" s="197">
        <v>5.0</v>
      </c>
      <c r="Q823" s="197">
        <v>5.0</v>
      </c>
      <c r="R823" s="197">
        <v>5.0</v>
      </c>
      <c r="S823" s="197">
        <v>5.0</v>
      </c>
      <c r="T823" s="197">
        <v>5.0</v>
      </c>
      <c r="U823" s="197">
        <v>5.0</v>
      </c>
      <c r="V823" s="197"/>
      <c r="W823" s="197">
        <v>5.0</v>
      </c>
      <c r="X823" s="196"/>
      <c r="Y823" s="196"/>
      <c r="Z823" s="196"/>
      <c r="AA823" s="196"/>
      <c r="AB823" s="196"/>
      <c r="AC823" s="197">
        <v>5.0</v>
      </c>
      <c r="AD823" s="198"/>
    </row>
    <row r="824">
      <c r="A824" s="193">
        <v>105150.0</v>
      </c>
      <c r="B824" s="194" t="s">
        <v>1921</v>
      </c>
      <c r="C824" s="192" t="s">
        <v>1922</v>
      </c>
      <c r="D824" s="195">
        <v>45602.0</v>
      </c>
      <c r="E824" s="192" t="s">
        <v>94</v>
      </c>
      <c r="F824" s="196"/>
      <c r="G824" s="196"/>
      <c r="H824" s="197">
        <v>5.0</v>
      </c>
      <c r="I824" s="197">
        <v>5.0</v>
      </c>
      <c r="J824" s="197">
        <v>5.0</v>
      </c>
      <c r="K824" s="197">
        <v>5.0</v>
      </c>
      <c r="L824" s="197">
        <v>5.0</v>
      </c>
      <c r="M824" s="197">
        <v>5.0</v>
      </c>
      <c r="N824" s="197">
        <v>5.0</v>
      </c>
      <c r="O824" s="197">
        <v>5.0</v>
      </c>
      <c r="P824" s="197">
        <v>5.0</v>
      </c>
      <c r="Q824" s="197">
        <v>5.0</v>
      </c>
      <c r="R824" s="197">
        <v>5.0</v>
      </c>
      <c r="S824" s="197">
        <v>5.0</v>
      </c>
      <c r="T824" s="197">
        <v>5.0</v>
      </c>
      <c r="U824" s="197">
        <v>5.0</v>
      </c>
      <c r="V824" s="197">
        <v>5.0</v>
      </c>
      <c r="W824" s="197">
        <v>5.0</v>
      </c>
      <c r="X824" s="196"/>
      <c r="Y824" s="196"/>
      <c r="Z824" s="196"/>
      <c r="AA824" s="196"/>
      <c r="AB824" s="196"/>
      <c r="AC824" s="197">
        <v>5.0</v>
      </c>
      <c r="AD824" s="198"/>
    </row>
    <row r="825">
      <c r="A825" s="193">
        <v>105509.0</v>
      </c>
      <c r="B825" s="194" t="s">
        <v>1923</v>
      </c>
      <c r="C825" s="192" t="s">
        <v>1924</v>
      </c>
      <c r="D825" s="195">
        <v>45712.0</v>
      </c>
      <c r="E825" s="192" t="s">
        <v>646</v>
      </c>
      <c r="F825" s="196"/>
      <c r="G825" s="196"/>
      <c r="H825" s="197">
        <v>5.0</v>
      </c>
      <c r="I825" s="197">
        <v>5.0</v>
      </c>
      <c r="J825" s="197">
        <v>5.0</v>
      </c>
      <c r="K825" s="197">
        <v>5.0</v>
      </c>
      <c r="L825" s="197">
        <v>5.0</v>
      </c>
      <c r="M825" s="197">
        <v>5.0</v>
      </c>
      <c r="N825" s="197">
        <v>5.0</v>
      </c>
      <c r="O825" s="197">
        <v>5.0</v>
      </c>
      <c r="P825" s="197">
        <v>5.0</v>
      </c>
      <c r="Q825" s="197">
        <v>5.0</v>
      </c>
      <c r="R825" s="197">
        <v>5.0</v>
      </c>
      <c r="S825" s="197">
        <v>5.0</v>
      </c>
      <c r="T825" s="197">
        <v>5.0</v>
      </c>
      <c r="U825" s="197">
        <v>5.0</v>
      </c>
      <c r="V825" s="197">
        <v>5.0</v>
      </c>
      <c r="W825" s="197">
        <v>5.0</v>
      </c>
      <c r="X825" s="196"/>
      <c r="Y825" s="196"/>
      <c r="Z825" s="196"/>
      <c r="AA825" s="196"/>
      <c r="AB825" s="196"/>
      <c r="AC825" s="197">
        <v>5.0</v>
      </c>
      <c r="AD825" s="198"/>
    </row>
    <row r="826">
      <c r="A826" s="193">
        <v>105375.0</v>
      </c>
      <c r="B826" s="194">
        <v>32187.0</v>
      </c>
      <c r="C826" s="192" t="s">
        <v>1925</v>
      </c>
      <c r="D826" s="195">
        <v>45689.0</v>
      </c>
      <c r="E826" s="192" t="s">
        <v>646</v>
      </c>
      <c r="F826" s="196"/>
      <c r="G826" s="196"/>
      <c r="H826" s="197">
        <v>5.0</v>
      </c>
      <c r="I826" s="197">
        <v>5.0</v>
      </c>
      <c r="J826" s="197">
        <v>5.0</v>
      </c>
      <c r="K826" s="197">
        <v>5.0</v>
      </c>
      <c r="L826" s="197">
        <v>5.0</v>
      </c>
      <c r="M826" s="197">
        <v>5.0</v>
      </c>
      <c r="N826" s="197">
        <v>5.0</v>
      </c>
      <c r="O826" s="197">
        <v>5.0</v>
      </c>
      <c r="P826" s="197">
        <v>5.0</v>
      </c>
      <c r="Q826" s="197">
        <v>5.0</v>
      </c>
      <c r="R826" s="197">
        <v>5.0</v>
      </c>
      <c r="S826" s="197">
        <v>5.0</v>
      </c>
      <c r="T826" s="197">
        <v>5.0</v>
      </c>
      <c r="U826" s="197">
        <v>5.0</v>
      </c>
      <c r="V826" s="197">
        <v>5.0</v>
      </c>
      <c r="W826" s="197">
        <v>5.0</v>
      </c>
      <c r="X826" s="196"/>
      <c r="Y826" s="196"/>
      <c r="Z826" s="196"/>
      <c r="AA826" s="196"/>
      <c r="AB826" s="196"/>
      <c r="AC826" s="197">
        <v>5.0</v>
      </c>
      <c r="AD826" s="198"/>
    </row>
    <row r="827">
      <c r="A827" s="194" t="s">
        <v>1926</v>
      </c>
      <c r="B827" s="194" t="s">
        <v>1927</v>
      </c>
      <c r="C827" s="192" t="e">
        <v>#N/A</v>
      </c>
      <c r="D827" s="195">
        <v>45803.0</v>
      </c>
      <c r="E827" s="192" t="s">
        <v>94</v>
      </c>
      <c r="F827" s="196"/>
      <c r="G827" s="196"/>
      <c r="H827" s="197">
        <v>5.0</v>
      </c>
      <c r="I827" s="197">
        <v>5.0</v>
      </c>
      <c r="J827" s="197">
        <v>5.0</v>
      </c>
      <c r="K827" s="197">
        <v>5.0</v>
      </c>
      <c r="L827" s="197">
        <v>5.0</v>
      </c>
      <c r="M827" s="197">
        <v>5.0</v>
      </c>
      <c r="N827" s="197">
        <v>5.0</v>
      </c>
      <c r="O827" s="197">
        <v>5.0</v>
      </c>
      <c r="P827" s="197">
        <v>4.5</v>
      </c>
      <c r="Q827" s="197">
        <v>5.0</v>
      </c>
      <c r="R827" s="197">
        <v>4.875</v>
      </c>
      <c r="S827" s="197">
        <v>5.0</v>
      </c>
      <c r="T827" s="197">
        <v>5.0</v>
      </c>
      <c r="U827" s="197">
        <v>4.5</v>
      </c>
      <c r="V827" s="197">
        <v>5.0</v>
      </c>
      <c r="W827" s="197">
        <v>4.875</v>
      </c>
      <c r="X827" s="196"/>
      <c r="Y827" s="196"/>
      <c r="Z827" s="196"/>
      <c r="AA827" s="196"/>
      <c r="AB827" s="196"/>
      <c r="AC827" s="197">
        <v>4.916666666666667</v>
      </c>
      <c r="AD827" s="198"/>
    </row>
    <row r="828">
      <c r="A828" s="193">
        <v>105659.0</v>
      </c>
      <c r="B828" s="194" t="s">
        <v>1928</v>
      </c>
      <c r="C828" s="192" t="s">
        <v>1929</v>
      </c>
      <c r="D828" s="195">
        <v>45803.0</v>
      </c>
      <c r="E828" s="192" t="s">
        <v>380</v>
      </c>
      <c r="F828" s="196"/>
      <c r="G828" s="196"/>
      <c r="H828" s="197"/>
      <c r="I828" s="197"/>
      <c r="J828" s="197"/>
      <c r="K828" s="197"/>
      <c r="L828" s="197"/>
      <c r="M828" s="197"/>
      <c r="N828" s="197">
        <v>5.0</v>
      </c>
      <c r="O828" s="197">
        <v>5.0</v>
      </c>
      <c r="P828" s="197">
        <v>5.0</v>
      </c>
      <c r="Q828" s="197">
        <v>5.0</v>
      </c>
      <c r="R828" s="197">
        <v>5.0</v>
      </c>
      <c r="S828" s="197">
        <v>5.0</v>
      </c>
      <c r="T828" s="197">
        <v>5.0</v>
      </c>
      <c r="U828" s="197">
        <v>5.0</v>
      </c>
      <c r="V828" s="197">
        <v>5.0</v>
      </c>
      <c r="W828" s="197">
        <v>5.0</v>
      </c>
      <c r="X828" s="196"/>
      <c r="Y828" s="196"/>
      <c r="Z828" s="196"/>
      <c r="AA828" s="196"/>
      <c r="AB828" s="196"/>
      <c r="AC828" s="197">
        <v>5.0</v>
      </c>
      <c r="AD828" s="198"/>
    </row>
    <row r="829">
      <c r="A829" s="193">
        <v>105669.0</v>
      </c>
      <c r="B829" s="194" t="s">
        <v>1930</v>
      </c>
      <c r="C829" s="192" t="s">
        <v>1931</v>
      </c>
      <c r="D829" s="195">
        <v>45803.0</v>
      </c>
      <c r="E829" s="192" t="s">
        <v>443</v>
      </c>
      <c r="F829" s="196"/>
      <c r="G829" s="196"/>
      <c r="H829" s="197">
        <v>5.0</v>
      </c>
      <c r="I829" s="197">
        <v>5.0</v>
      </c>
      <c r="J829" s="197">
        <v>5.0</v>
      </c>
      <c r="K829" s="197">
        <v>5.0</v>
      </c>
      <c r="L829" s="197">
        <v>5.0</v>
      </c>
      <c r="M829" s="197">
        <v>5.0</v>
      </c>
      <c r="N829" s="197">
        <v>5.0</v>
      </c>
      <c r="O829" s="197">
        <v>5.0</v>
      </c>
      <c r="P829" s="197">
        <v>5.0</v>
      </c>
      <c r="Q829" s="197">
        <v>5.0</v>
      </c>
      <c r="R829" s="197">
        <v>5.0</v>
      </c>
      <c r="S829" s="197">
        <v>5.0</v>
      </c>
      <c r="T829" s="197">
        <v>5.0</v>
      </c>
      <c r="U829" s="197">
        <v>5.0</v>
      </c>
      <c r="V829" s="197">
        <v>5.0</v>
      </c>
      <c r="W829" s="197">
        <v>5.0</v>
      </c>
      <c r="X829" s="196"/>
      <c r="Y829" s="196"/>
      <c r="Z829" s="196"/>
      <c r="AA829" s="196"/>
      <c r="AB829" s="196"/>
      <c r="AC829" s="197">
        <v>5.0</v>
      </c>
      <c r="AD829" s="198"/>
    </row>
    <row r="830">
      <c r="A830" s="194" t="s">
        <v>1932</v>
      </c>
      <c r="B830" s="194" t="s">
        <v>1933</v>
      </c>
      <c r="C830" s="192" t="e">
        <v>#N/A</v>
      </c>
      <c r="D830" s="195">
        <v>45803.0</v>
      </c>
      <c r="E830" s="192" t="s">
        <v>295</v>
      </c>
      <c r="F830" s="196"/>
      <c r="G830" s="196"/>
      <c r="H830" s="197">
        <v>5.0</v>
      </c>
      <c r="I830" s="197">
        <v>5.0</v>
      </c>
      <c r="J830" s="197">
        <v>5.0</v>
      </c>
      <c r="K830" s="197">
        <v>5.0</v>
      </c>
      <c r="L830" s="197">
        <v>5.0</v>
      </c>
      <c r="M830" s="197">
        <v>5.0</v>
      </c>
      <c r="N830" s="197">
        <v>4.5</v>
      </c>
      <c r="O830" s="197">
        <v>4.9</v>
      </c>
      <c r="P830" s="197">
        <v>4.5</v>
      </c>
      <c r="Q830" s="197">
        <v>4.9</v>
      </c>
      <c r="R830" s="197">
        <v>4.7</v>
      </c>
      <c r="S830" s="197">
        <v>4.5</v>
      </c>
      <c r="T830" s="197">
        <v>4.9</v>
      </c>
      <c r="U830" s="197">
        <v>4.5</v>
      </c>
      <c r="V830" s="197">
        <v>4.9</v>
      </c>
      <c r="W830" s="197">
        <v>4.7</v>
      </c>
      <c r="X830" s="196"/>
      <c r="Y830" s="196"/>
      <c r="Z830" s="196"/>
      <c r="AA830" s="196"/>
      <c r="AB830" s="196"/>
      <c r="AC830" s="197">
        <v>4.8</v>
      </c>
      <c r="AD830" s="198"/>
    </row>
    <row r="831">
      <c r="A831" s="193">
        <v>105594.0</v>
      </c>
      <c r="B831" s="194" t="s">
        <v>1934</v>
      </c>
      <c r="C831" s="192" t="s">
        <v>1935</v>
      </c>
      <c r="D831" s="195">
        <v>45803.0</v>
      </c>
      <c r="E831" s="192" t="s">
        <v>94</v>
      </c>
      <c r="F831" s="196"/>
      <c r="G831" s="196"/>
      <c r="H831" s="197">
        <v>5.0</v>
      </c>
      <c r="I831" s="197">
        <v>5.0</v>
      </c>
      <c r="J831" s="197">
        <v>5.0</v>
      </c>
      <c r="K831" s="197">
        <v>5.0</v>
      </c>
      <c r="L831" s="197">
        <v>5.0</v>
      </c>
      <c r="M831" s="197">
        <v>5.0</v>
      </c>
      <c r="N831" s="197">
        <v>4.9</v>
      </c>
      <c r="O831" s="197">
        <v>5.0</v>
      </c>
      <c r="P831" s="197">
        <v>4.9</v>
      </c>
      <c r="Q831" s="197">
        <v>5.0</v>
      </c>
      <c r="R831" s="197">
        <v>4.95</v>
      </c>
      <c r="S831" s="197">
        <v>4.9</v>
      </c>
      <c r="T831" s="197">
        <v>5.0</v>
      </c>
      <c r="U831" s="197">
        <v>4.9</v>
      </c>
      <c r="V831" s="197">
        <v>5.0</v>
      </c>
      <c r="W831" s="197">
        <v>4.95</v>
      </c>
      <c r="X831" s="196"/>
      <c r="Y831" s="196"/>
      <c r="Z831" s="196"/>
      <c r="AA831" s="196"/>
      <c r="AB831" s="196"/>
      <c r="AC831" s="197">
        <v>4.966666666666666</v>
      </c>
      <c r="AD831" s="198"/>
    </row>
    <row r="832">
      <c r="A832" s="194" t="s">
        <v>1936</v>
      </c>
      <c r="B832" s="194" t="s">
        <v>1937</v>
      </c>
      <c r="C832" s="192" t="e">
        <v>#N/A</v>
      </c>
      <c r="D832" s="195">
        <v>45803.0</v>
      </c>
      <c r="E832" s="192" t="s">
        <v>1159</v>
      </c>
      <c r="F832" s="196"/>
      <c r="G832" s="196"/>
      <c r="H832" s="197">
        <v>5.0</v>
      </c>
      <c r="I832" s="197">
        <v>5.0</v>
      </c>
      <c r="J832" s="197">
        <v>5.0</v>
      </c>
      <c r="K832" s="197">
        <v>5.0</v>
      </c>
      <c r="L832" s="197">
        <v>5.0</v>
      </c>
      <c r="M832" s="197">
        <v>5.0</v>
      </c>
      <c r="N832" s="197">
        <v>5.0</v>
      </c>
      <c r="O832" s="197">
        <v>5.0</v>
      </c>
      <c r="P832" s="197">
        <v>5.0</v>
      </c>
      <c r="Q832" s="197">
        <v>5.0</v>
      </c>
      <c r="R832" s="197">
        <v>5.0</v>
      </c>
      <c r="S832" s="197">
        <v>5.0</v>
      </c>
      <c r="T832" s="197">
        <v>5.0</v>
      </c>
      <c r="U832" s="197">
        <v>5.0</v>
      </c>
      <c r="V832" s="197">
        <v>5.0</v>
      </c>
      <c r="W832" s="197">
        <v>5.0</v>
      </c>
      <c r="X832" s="196"/>
      <c r="Y832" s="196"/>
      <c r="Z832" s="196"/>
      <c r="AA832" s="196"/>
      <c r="AB832" s="196"/>
      <c r="AC832" s="197">
        <v>5.0</v>
      </c>
      <c r="AD832" s="198"/>
    </row>
    <row r="833">
      <c r="A833" s="193">
        <v>105058.0</v>
      </c>
      <c r="B833" s="194" t="s">
        <v>1938</v>
      </c>
      <c r="C833" s="192" t="s">
        <v>1939</v>
      </c>
      <c r="D833" s="195">
        <v>45849.0</v>
      </c>
      <c r="E833" s="192" t="s">
        <v>625</v>
      </c>
      <c r="F833" s="196"/>
      <c r="G833" s="196"/>
      <c r="H833" s="197">
        <v>5.0</v>
      </c>
      <c r="I833" s="197">
        <v>5.0</v>
      </c>
      <c r="J833" s="197">
        <v>5.0</v>
      </c>
      <c r="K833" s="197">
        <v>5.0</v>
      </c>
      <c r="L833" s="197">
        <v>5.0</v>
      </c>
      <c r="M833" s="197">
        <v>5.0</v>
      </c>
      <c r="N833" s="197">
        <v>5.0</v>
      </c>
      <c r="O833" s="197">
        <v>4.5</v>
      </c>
      <c r="P833" s="197">
        <v>4.0</v>
      </c>
      <c r="Q833" s="197">
        <v>3.5</v>
      </c>
      <c r="R833" s="197">
        <v>4.25</v>
      </c>
      <c r="S833" s="197">
        <v>4.0</v>
      </c>
      <c r="T833" s="197">
        <v>4.0</v>
      </c>
      <c r="U833" s="197">
        <v>4.0</v>
      </c>
      <c r="V833" s="197">
        <v>4.0</v>
      </c>
      <c r="W833" s="197">
        <v>4.0</v>
      </c>
      <c r="X833" s="196"/>
      <c r="Y833" s="196"/>
      <c r="Z833" s="196"/>
      <c r="AA833" s="192" t="s">
        <v>1940</v>
      </c>
      <c r="AB833" s="196"/>
      <c r="AC833" s="197">
        <v>4.416666666666667</v>
      </c>
      <c r="AD833" s="198"/>
    </row>
    <row r="834">
      <c r="A834" s="193">
        <v>105498.0</v>
      </c>
      <c r="B834" s="194" t="s">
        <v>1941</v>
      </c>
      <c r="C834" s="192" t="s">
        <v>1942</v>
      </c>
      <c r="D834" s="195">
        <v>45849.0</v>
      </c>
      <c r="E834" s="192" t="s">
        <v>1140</v>
      </c>
      <c r="F834" s="196"/>
      <c r="G834" s="196"/>
      <c r="H834" s="197">
        <v>5.0</v>
      </c>
      <c r="I834" s="197">
        <v>5.0</v>
      </c>
      <c r="J834" s="197">
        <v>5.0</v>
      </c>
      <c r="K834" s="197">
        <v>5.0</v>
      </c>
      <c r="L834" s="197">
        <v>5.0</v>
      </c>
      <c r="M834" s="197">
        <v>5.0</v>
      </c>
      <c r="N834" s="197">
        <v>5.0</v>
      </c>
      <c r="O834" s="197">
        <v>5.0</v>
      </c>
      <c r="P834" s="197">
        <v>5.0</v>
      </c>
      <c r="Q834" s="197">
        <v>5.0</v>
      </c>
      <c r="R834" s="197">
        <v>5.0</v>
      </c>
      <c r="S834" s="197">
        <v>4.5</v>
      </c>
      <c r="T834" s="197">
        <v>5.0</v>
      </c>
      <c r="U834" s="197">
        <v>4.5</v>
      </c>
      <c r="V834" s="197">
        <v>5.0</v>
      </c>
      <c r="W834" s="197">
        <v>4.75</v>
      </c>
      <c r="X834" s="196"/>
      <c r="Y834" s="196"/>
      <c r="Z834" s="196"/>
      <c r="AA834" s="196"/>
      <c r="AB834" s="196"/>
      <c r="AC834" s="197">
        <v>4.916666666666667</v>
      </c>
      <c r="AD834" s="198"/>
    </row>
    <row r="835">
      <c r="A835" s="194" t="s">
        <v>1943</v>
      </c>
      <c r="B835" s="194" t="s">
        <v>1944</v>
      </c>
      <c r="C835" s="192" t="e">
        <v>#N/A</v>
      </c>
      <c r="D835" s="195">
        <v>45849.0</v>
      </c>
      <c r="E835" s="192" t="s">
        <v>254</v>
      </c>
      <c r="F835" s="196"/>
      <c r="G835" s="196"/>
      <c r="H835" s="197">
        <v>5.0</v>
      </c>
      <c r="I835" s="197">
        <v>5.0</v>
      </c>
      <c r="J835" s="197">
        <v>5.0</v>
      </c>
      <c r="K835" s="197">
        <v>5.0</v>
      </c>
      <c r="L835" s="197">
        <v>5.0</v>
      </c>
      <c r="M835" s="197">
        <v>5.0</v>
      </c>
      <c r="N835" s="197">
        <v>5.0</v>
      </c>
      <c r="O835" s="197">
        <v>4.5</v>
      </c>
      <c r="P835" s="197">
        <v>5.0</v>
      </c>
      <c r="Q835" s="197">
        <v>4.8</v>
      </c>
      <c r="R835" s="197">
        <v>4.825</v>
      </c>
      <c r="S835" s="197">
        <v>4.5</v>
      </c>
      <c r="T835" s="197">
        <v>5.0</v>
      </c>
      <c r="U835" s="197">
        <v>4.5</v>
      </c>
      <c r="V835" s="197">
        <v>5.0</v>
      </c>
      <c r="W835" s="197">
        <v>4.75</v>
      </c>
      <c r="X835" s="196"/>
      <c r="Y835" s="196"/>
      <c r="Z835" s="196"/>
      <c r="AA835" s="196"/>
      <c r="AB835" s="196"/>
      <c r="AC835" s="197">
        <v>4.858333333333333</v>
      </c>
      <c r="AD835" s="198"/>
    </row>
    <row r="836">
      <c r="A836" s="193">
        <v>104849.0</v>
      </c>
      <c r="B836" s="194" t="s">
        <v>1945</v>
      </c>
      <c r="C836" s="192" t="s">
        <v>1579</v>
      </c>
      <c r="D836" s="195">
        <v>45849.0</v>
      </c>
      <c r="E836" s="192" t="s">
        <v>254</v>
      </c>
      <c r="F836" s="196"/>
      <c r="G836" s="196"/>
      <c r="H836" s="197">
        <v>5.0</v>
      </c>
      <c r="I836" s="197">
        <v>5.0</v>
      </c>
      <c r="J836" s="197">
        <v>5.0</v>
      </c>
      <c r="K836" s="197">
        <v>5.0</v>
      </c>
      <c r="L836" s="197">
        <v>5.0</v>
      </c>
      <c r="M836" s="197">
        <v>5.0</v>
      </c>
      <c r="N836" s="197">
        <v>5.0</v>
      </c>
      <c r="O836" s="197">
        <v>5.0</v>
      </c>
      <c r="P836" s="197">
        <v>5.0</v>
      </c>
      <c r="Q836" s="197">
        <v>5.0</v>
      </c>
      <c r="R836" s="197">
        <v>5.0</v>
      </c>
      <c r="S836" s="197">
        <v>4.5</v>
      </c>
      <c r="T836" s="197">
        <v>4.5</v>
      </c>
      <c r="U836" s="197">
        <v>4.5</v>
      </c>
      <c r="V836" s="197">
        <v>4.5</v>
      </c>
      <c r="W836" s="197">
        <v>4.5</v>
      </c>
      <c r="X836" s="196"/>
      <c r="Y836" s="196"/>
      <c r="Z836" s="196"/>
      <c r="AA836" s="196"/>
      <c r="AB836" s="196"/>
      <c r="AC836" s="197">
        <v>4.833333333333333</v>
      </c>
      <c r="AD836" s="198"/>
    </row>
    <row r="837">
      <c r="A837" s="193">
        <v>105049.0</v>
      </c>
      <c r="B837" s="194" t="s">
        <v>1946</v>
      </c>
      <c r="C837" s="192" t="s">
        <v>1947</v>
      </c>
      <c r="D837" s="195">
        <v>45849.0</v>
      </c>
      <c r="E837" s="192" t="s">
        <v>1140</v>
      </c>
      <c r="F837" s="196"/>
      <c r="G837" s="196"/>
      <c r="H837" s="197">
        <v>5.0</v>
      </c>
      <c r="I837" s="197">
        <v>5.0</v>
      </c>
      <c r="J837" s="197">
        <v>5.0</v>
      </c>
      <c r="K837" s="197">
        <v>5.0</v>
      </c>
      <c r="L837" s="197">
        <v>5.0</v>
      </c>
      <c r="M837" s="197">
        <v>5.0</v>
      </c>
      <c r="N837" s="197">
        <v>5.0</v>
      </c>
      <c r="O837" s="197">
        <v>5.0</v>
      </c>
      <c r="P837" s="197">
        <v>5.0</v>
      </c>
      <c r="Q837" s="197">
        <v>5.0</v>
      </c>
      <c r="R837" s="197">
        <v>5.0</v>
      </c>
      <c r="S837" s="197">
        <v>4.5</v>
      </c>
      <c r="T837" s="197">
        <v>4.5</v>
      </c>
      <c r="U837" s="197">
        <v>4.5</v>
      </c>
      <c r="V837" s="197">
        <v>4.5</v>
      </c>
      <c r="W837" s="197">
        <v>4.5</v>
      </c>
      <c r="X837" s="196"/>
      <c r="Y837" s="196"/>
      <c r="Z837" s="196"/>
      <c r="AA837" s="196"/>
      <c r="AB837" s="196"/>
      <c r="AC837" s="197">
        <v>4.833333333333333</v>
      </c>
      <c r="AD837" s="198"/>
    </row>
    <row r="838">
      <c r="A838" s="193">
        <v>103582.0</v>
      </c>
      <c r="B838" s="194" t="s">
        <v>1015</v>
      </c>
      <c r="C838" s="192" t="s">
        <v>1016</v>
      </c>
      <c r="D838" s="195">
        <v>45849.0</v>
      </c>
      <c r="E838" s="192" t="s">
        <v>487</v>
      </c>
      <c r="F838" s="196"/>
      <c r="G838" s="196"/>
      <c r="H838" s="197">
        <v>5.0</v>
      </c>
      <c r="I838" s="197">
        <v>5.0</v>
      </c>
      <c r="J838" s="197">
        <v>5.0</v>
      </c>
      <c r="K838" s="197">
        <v>5.0</v>
      </c>
      <c r="L838" s="197">
        <v>5.0</v>
      </c>
      <c r="M838" s="197">
        <v>5.0</v>
      </c>
      <c r="N838" s="197">
        <v>5.0</v>
      </c>
      <c r="O838" s="197">
        <v>4.0</v>
      </c>
      <c r="P838" s="197">
        <v>4.0</v>
      </c>
      <c r="Q838" s="197">
        <v>4.0</v>
      </c>
      <c r="R838" s="197">
        <v>4.25</v>
      </c>
      <c r="S838" s="197">
        <v>4.0</v>
      </c>
      <c r="T838" s="197">
        <v>4.0</v>
      </c>
      <c r="U838" s="197">
        <v>4.0</v>
      </c>
      <c r="V838" s="197">
        <v>4.0</v>
      </c>
      <c r="W838" s="197">
        <v>4.0</v>
      </c>
      <c r="X838" s="196"/>
      <c r="Y838" s="196"/>
      <c r="Z838" s="196"/>
      <c r="AA838" s="196"/>
      <c r="AB838" s="196"/>
      <c r="AC838" s="197">
        <v>4.416666666666667</v>
      </c>
      <c r="AD838" s="198"/>
    </row>
    <row r="839">
      <c r="A839" s="193">
        <v>103540.0</v>
      </c>
      <c r="B839" s="194" t="s">
        <v>996</v>
      </c>
      <c r="C839" s="192" t="s">
        <v>997</v>
      </c>
      <c r="D839" s="195">
        <v>45849.0</v>
      </c>
      <c r="E839" s="192" t="s">
        <v>979</v>
      </c>
      <c r="F839" s="196"/>
      <c r="G839" s="196"/>
      <c r="H839" s="197">
        <v>5.0</v>
      </c>
      <c r="I839" s="197">
        <v>5.0</v>
      </c>
      <c r="J839" s="197">
        <v>5.0</v>
      </c>
      <c r="K839" s="197">
        <v>5.0</v>
      </c>
      <c r="L839" s="197">
        <v>5.0</v>
      </c>
      <c r="M839" s="197">
        <v>5.0</v>
      </c>
      <c r="N839" s="197">
        <v>5.0</v>
      </c>
      <c r="O839" s="197">
        <v>4.0</v>
      </c>
      <c r="P839" s="197">
        <v>4.0</v>
      </c>
      <c r="Q839" s="197">
        <v>4.0</v>
      </c>
      <c r="R839" s="197">
        <v>4.25</v>
      </c>
      <c r="S839" s="197">
        <v>4.0</v>
      </c>
      <c r="T839" s="197">
        <v>4.0</v>
      </c>
      <c r="U839" s="197">
        <v>4.0</v>
      </c>
      <c r="V839" s="197">
        <v>4.0</v>
      </c>
      <c r="W839" s="197">
        <v>4.0</v>
      </c>
      <c r="X839" s="196"/>
      <c r="Y839" s="196"/>
      <c r="Z839" s="196"/>
      <c r="AA839" s="196"/>
      <c r="AB839" s="196"/>
      <c r="AC839" s="197">
        <v>4.416666666666667</v>
      </c>
      <c r="AD839" s="198"/>
    </row>
    <row r="840">
      <c r="A840" s="193">
        <v>104439.0</v>
      </c>
      <c r="B840" s="194" t="s">
        <v>1432</v>
      </c>
      <c r="C840" s="192" t="s">
        <v>1433</v>
      </c>
      <c r="D840" s="195">
        <v>45849.0</v>
      </c>
      <c r="E840" s="192" t="s">
        <v>1434</v>
      </c>
      <c r="F840" s="196"/>
      <c r="G840" s="196"/>
      <c r="H840" s="197">
        <v>5.0</v>
      </c>
      <c r="I840" s="197">
        <v>5.0</v>
      </c>
      <c r="J840" s="197">
        <v>5.0</v>
      </c>
      <c r="K840" s="197">
        <v>5.0</v>
      </c>
      <c r="L840" s="197">
        <v>5.0</v>
      </c>
      <c r="M840" s="197">
        <v>5.0</v>
      </c>
      <c r="N840" s="197">
        <v>5.0</v>
      </c>
      <c r="O840" s="197">
        <v>4.0</v>
      </c>
      <c r="P840" s="197">
        <v>4.0</v>
      </c>
      <c r="Q840" s="197">
        <v>4.0</v>
      </c>
      <c r="R840" s="197">
        <v>4.25</v>
      </c>
      <c r="S840" s="197">
        <v>4.5</v>
      </c>
      <c r="T840" s="197">
        <v>4.5</v>
      </c>
      <c r="U840" s="197">
        <v>4.5</v>
      </c>
      <c r="V840" s="197">
        <v>4.5</v>
      </c>
      <c r="W840" s="197">
        <v>4.5</v>
      </c>
      <c r="X840" s="196"/>
      <c r="Y840" s="196"/>
      <c r="Z840" s="196"/>
      <c r="AA840" s="196"/>
      <c r="AB840" s="196"/>
      <c r="AC840" s="197">
        <v>4.583333333333333</v>
      </c>
      <c r="AD840" s="198"/>
    </row>
    <row r="841">
      <c r="A841" s="193">
        <v>104411.0</v>
      </c>
      <c r="B841" s="194" t="s">
        <v>1411</v>
      </c>
      <c r="C841" s="192" t="s">
        <v>1412</v>
      </c>
      <c r="D841" s="195">
        <v>45849.0</v>
      </c>
      <c r="E841" s="192" t="s">
        <v>806</v>
      </c>
      <c r="F841" s="196"/>
      <c r="G841" s="196"/>
      <c r="H841" s="197">
        <v>5.0</v>
      </c>
      <c r="I841" s="197">
        <v>5.0</v>
      </c>
      <c r="J841" s="197">
        <v>5.0</v>
      </c>
      <c r="K841" s="197">
        <v>5.0</v>
      </c>
      <c r="L841" s="197">
        <v>5.0</v>
      </c>
      <c r="M841" s="197">
        <v>5.0</v>
      </c>
      <c r="N841" s="197">
        <v>5.0</v>
      </c>
      <c r="O841" s="197">
        <v>4.0</v>
      </c>
      <c r="P841" s="197">
        <v>4.0</v>
      </c>
      <c r="Q841" s="197">
        <v>4.0</v>
      </c>
      <c r="R841" s="197">
        <v>4.25</v>
      </c>
      <c r="S841" s="197">
        <v>4.5</v>
      </c>
      <c r="T841" s="197">
        <v>4.5</v>
      </c>
      <c r="U841" s="197">
        <v>4.5</v>
      </c>
      <c r="V841" s="197">
        <v>4.5</v>
      </c>
      <c r="W841" s="197">
        <v>4.5</v>
      </c>
      <c r="X841" s="196"/>
      <c r="Y841" s="196"/>
      <c r="Z841" s="196"/>
      <c r="AA841" s="196"/>
      <c r="AB841" s="196"/>
      <c r="AC841" s="197">
        <v>4.583333333333333</v>
      </c>
      <c r="AD841" s="198"/>
    </row>
    <row r="842">
      <c r="A842" s="193">
        <v>104504.0</v>
      </c>
      <c r="B842" s="194" t="s">
        <v>1448</v>
      </c>
      <c r="C842" s="192" t="s">
        <v>1449</v>
      </c>
      <c r="D842" s="195">
        <v>45849.0</v>
      </c>
      <c r="E842" s="192" t="s">
        <v>51</v>
      </c>
      <c r="F842" s="196"/>
      <c r="G842" s="196"/>
      <c r="H842" s="197">
        <v>5.0</v>
      </c>
      <c r="I842" s="197">
        <v>5.0</v>
      </c>
      <c r="J842" s="197">
        <v>5.0</v>
      </c>
      <c r="K842" s="197">
        <v>5.0</v>
      </c>
      <c r="L842" s="197">
        <v>5.0</v>
      </c>
      <c r="M842" s="197">
        <v>5.0</v>
      </c>
      <c r="N842" s="197">
        <v>5.0</v>
      </c>
      <c r="O842" s="197">
        <v>4.0</v>
      </c>
      <c r="P842" s="197">
        <v>4.0</v>
      </c>
      <c r="Q842" s="197">
        <v>4.0</v>
      </c>
      <c r="R842" s="197">
        <v>4.25</v>
      </c>
      <c r="S842" s="197">
        <v>4.5</v>
      </c>
      <c r="T842" s="197">
        <v>4.5</v>
      </c>
      <c r="U842" s="197">
        <v>4.5</v>
      </c>
      <c r="V842" s="197">
        <v>4.5</v>
      </c>
      <c r="W842" s="197">
        <v>4.5</v>
      </c>
      <c r="X842" s="196"/>
      <c r="Y842" s="196"/>
      <c r="Z842" s="196"/>
      <c r="AA842" s="196"/>
      <c r="AB842" s="196"/>
      <c r="AC842" s="197">
        <v>4.583333333333333</v>
      </c>
      <c r="AD842" s="198"/>
    </row>
    <row r="843">
      <c r="A843" s="193">
        <v>104613.0</v>
      </c>
      <c r="B843" s="194" t="s">
        <v>1478</v>
      </c>
      <c r="C843" s="192" t="s">
        <v>1479</v>
      </c>
      <c r="D843" s="195">
        <v>45849.0</v>
      </c>
      <c r="E843" s="192" t="s">
        <v>397</v>
      </c>
      <c r="F843" s="196"/>
      <c r="G843" s="196"/>
      <c r="H843" s="197">
        <v>5.0</v>
      </c>
      <c r="I843" s="197">
        <v>5.0</v>
      </c>
      <c r="J843" s="197">
        <v>5.0</v>
      </c>
      <c r="K843" s="197">
        <v>5.0</v>
      </c>
      <c r="L843" s="197">
        <v>5.0</v>
      </c>
      <c r="M843" s="197">
        <v>5.0</v>
      </c>
      <c r="N843" s="197">
        <v>5.0</v>
      </c>
      <c r="O843" s="197">
        <v>4.0</v>
      </c>
      <c r="P843" s="197">
        <v>4.0</v>
      </c>
      <c r="Q843" s="197">
        <v>4.0</v>
      </c>
      <c r="R843" s="197">
        <v>4.25</v>
      </c>
      <c r="S843" s="197">
        <v>4.0</v>
      </c>
      <c r="T843" s="197">
        <v>4.0</v>
      </c>
      <c r="U843" s="197">
        <v>4.0</v>
      </c>
      <c r="V843" s="197">
        <v>4.0</v>
      </c>
      <c r="W843" s="197">
        <v>4.0</v>
      </c>
      <c r="X843" s="196"/>
      <c r="Y843" s="196"/>
      <c r="Z843" s="196"/>
      <c r="AA843" s="196"/>
      <c r="AB843" s="196"/>
      <c r="AC843" s="197">
        <v>4.416666666666667</v>
      </c>
      <c r="AD843" s="198"/>
    </row>
    <row r="844">
      <c r="A844" s="193">
        <v>104576.0</v>
      </c>
      <c r="B844" s="194" t="s">
        <v>1484</v>
      </c>
      <c r="C844" s="192" t="s">
        <v>1485</v>
      </c>
      <c r="D844" s="195">
        <v>45849.0</v>
      </c>
      <c r="E844" s="192" t="s">
        <v>185</v>
      </c>
      <c r="F844" s="196"/>
      <c r="G844" s="196"/>
      <c r="H844" s="197">
        <v>5.0</v>
      </c>
      <c r="I844" s="197">
        <v>5.0</v>
      </c>
      <c r="J844" s="197">
        <v>5.0</v>
      </c>
      <c r="K844" s="197">
        <v>5.0</v>
      </c>
      <c r="L844" s="197">
        <v>5.0</v>
      </c>
      <c r="M844" s="197">
        <v>5.0</v>
      </c>
      <c r="N844" s="197">
        <v>5.0</v>
      </c>
      <c r="O844" s="197">
        <v>4.0</v>
      </c>
      <c r="P844" s="197">
        <v>4.0</v>
      </c>
      <c r="Q844" s="197">
        <v>4.0</v>
      </c>
      <c r="R844" s="197">
        <v>4.25</v>
      </c>
      <c r="S844" s="197">
        <v>4.0</v>
      </c>
      <c r="T844" s="197">
        <v>4.0</v>
      </c>
      <c r="U844" s="197">
        <v>4.0</v>
      </c>
      <c r="V844" s="197">
        <v>4.0</v>
      </c>
      <c r="W844" s="197">
        <v>4.0</v>
      </c>
      <c r="X844" s="196"/>
      <c r="Y844" s="196"/>
      <c r="Z844" s="196"/>
      <c r="AA844" s="196"/>
      <c r="AB844" s="196"/>
      <c r="AC844" s="197">
        <v>4.416666666666667</v>
      </c>
      <c r="AD844" s="198"/>
    </row>
    <row r="845">
      <c r="A845" s="193">
        <v>104222.0</v>
      </c>
      <c r="B845" s="194" t="s">
        <v>1517</v>
      </c>
      <c r="C845" s="192" t="s">
        <v>1518</v>
      </c>
      <c r="D845" s="195">
        <v>45849.0</v>
      </c>
      <c r="E845" s="192" t="s">
        <v>1519</v>
      </c>
      <c r="F845" s="196"/>
      <c r="G845" s="196"/>
      <c r="H845" s="197">
        <v>5.0</v>
      </c>
      <c r="I845" s="197">
        <v>5.0</v>
      </c>
      <c r="J845" s="197">
        <v>5.0</v>
      </c>
      <c r="K845" s="197">
        <v>5.0</v>
      </c>
      <c r="L845" s="197">
        <v>5.0</v>
      </c>
      <c r="M845" s="197">
        <v>5.0</v>
      </c>
      <c r="N845" s="197">
        <v>5.0</v>
      </c>
      <c r="O845" s="197">
        <v>4.0</v>
      </c>
      <c r="P845" s="197">
        <v>4.0</v>
      </c>
      <c r="Q845" s="197">
        <v>4.0</v>
      </c>
      <c r="R845" s="197">
        <v>4.25</v>
      </c>
      <c r="S845" s="197">
        <v>4.5</v>
      </c>
      <c r="T845" s="197">
        <v>4.5</v>
      </c>
      <c r="U845" s="197">
        <v>4.5</v>
      </c>
      <c r="V845" s="197">
        <v>4.5</v>
      </c>
      <c r="W845" s="197">
        <v>4.5</v>
      </c>
      <c r="X845" s="196"/>
      <c r="Y845" s="196"/>
      <c r="Z845" s="196"/>
      <c r="AA845" s="196"/>
      <c r="AB845" s="196"/>
      <c r="AC845" s="197">
        <v>4.583333333333333</v>
      </c>
      <c r="AD845" s="198"/>
    </row>
    <row r="846">
      <c r="A846" s="193">
        <v>105151.0</v>
      </c>
      <c r="B846" s="194" t="s">
        <v>1948</v>
      </c>
      <c r="C846" s="192" t="s">
        <v>1949</v>
      </c>
      <c r="D846" s="195">
        <v>45849.0</v>
      </c>
      <c r="E846" s="192" t="s">
        <v>225</v>
      </c>
      <c r="F846" s="196"/>
      <c r="G846" s="196"/>
      <c r="H846" s="197">
        <v>5.0</v>
      </c>
      <c r="I846" s="197">
        <v>5.0</v>
      </c>
      <c r="J846" s="197">
        <v>5.0</v>
      </c>
      <c r="K846" s="197">
        <v>5.0</v>
      </c>
      <c r="L846" s="197">
        <v>5.0</v>
      </c>
      <c r="M846" s="197">
        <v>5.0</v>
      </c>
      <c r="N846" s="197">
        <v>5.0</v>
      </c>
      <c r="O846" s="197">
        <v>5.0</v>
      </c>
      <c r="P846" s="197">
        <v>5.0</v>
      </c>
      <c r="Q846" s="197">
        <v>5.0</v>
      </c>
      <c r="R846" s="197">
        <v>5.0</v>
      </c>
      <c r="S846" s="197">
        <v>5.0</v>
      </c>
      <c r="T846" s="197">
        <v>5.0</v>
      </c>
      <c r="U846" s="197">
        <v>5.0</v>
      </c>
      <c r="V846" s="197">
        <v>5.0</v>
      </c>
      <c r="W846" s="197">
        <v>5.0</v>
      </c>
      <c r="X846" s="196"/>
      <c r="Y846" s="196"/>
      <c r="Z846" s="196"/>
      <c r="AA846" s="196"/>
      <c r="AB846" s="196"/>
      <c r="AC846" s="197">
        <v>5.0</v>
      </c>
      <c r="AD846" s="198"/>
    </row>
    <row r="847">
      <c r="A847" s="193">
        <v>104695.0</v>
      </c>
      <c r="B847" s="194" t="s">
        <v>1950</v>
      </c>
      <c r="C847" s="192" t="s">
        <v>1951</v>
      </c>
      <c r="D847" s="195">
        <v>45849.0</v>
      </c>
      <c r="E847" s="192" t="s">
        <v>408</v>
      </c>
      <c r="F847" s="196"/>
      <c r="G847" s="196"/>
      <c r="H847" s="197">
        <v>3.0</v>
      </c>
      <c r="I847" s="197">
        <v>4.0</v>
      </c>
      <c r="J847" s="197">
        <v>4.0</v>
      </c>
      <c r="K847" s="197">
        <v>3.0</v>
      </c>
      <c r="L847" s="197">
        <v>4.0</v>
      </c>
      <c r="M847" s="197">
        <v>3.6</v>
      </c>
      <c r="N847" s="197">
        <v>4.0</v>
      </c>
      <c r="O847" s="197">
        <v>3.49</v>
      </c>
      <c r="P847" s="197">
        <v>3.0</v>
      </c>
      <c r="Q847" s="197">
        <v>3.0</v>
      </c>
      <c r="R847" s="197">
        <v>3.3725</v>
      </c>
      <c r="S847" s="197">
        <v>4.0</v>
      </c>
      <c r="T847" s="197">
        <v>3.4</v>
      </c>
      <c r="U847" s="197">
        <v>3.0</v>
      </c>
      <c r="V847" s="197">
        <v>3.0</v>
      </c>
      <c r="W847" s="197">
        <v>3.35</v>
      </c>
      <c r="X847" s="192" t="s">
        <v>1952</v>
      </c>
      <c r="Y847" s="196"/>
      <c r="Z847" s="196"/>
      <c r="AA847" s="196"/>
      <c r="AB847" s="196"/>
      <c r="AC847" s="197">
        <v>3.4408333333333334</v>
      </c>
      <c r="AD847" s="198"/>
    </row>
    <row r="848">
      <c r="A848" s="193">
        <v>104712.0</v>
      </c>
      <c r="B848" s="194" t="s">
        <v>1953</v>
      </c>
      <c r="C848" s="192" t="s">
        <v>1954</v>
      </c>
      <c r="D848" s="195">
        <v>45849.0</v>
      </c>
      <c r="E848" s="192" t="s">
        <v>1955</v>
      </c>
      <c r="F848" s="196"/>
      <c r="G848" s="196"/>
      <c r="H848" s="197">
        <v>4.2</v>
      </c>
      <c r="I848" s="197">
        <v>4.0</v>
      </c>
      <c r="J848" s="197">
        <v>4.2</v>
      </c>
      <c r="K848" s="197">
        <v>4.2</v>
      </c>
      <c r="L848" s="197">
        <v>4.2</v>
      </c>
      <c r="M848" s="197">
        <v>4.159999999999999</v>
      </c>
      <c r="N848" s="197">
        <v>4.2</v>
      </c>
      <c r="O848" s="197">
        <v>4.0</v>
      </c>
      <c r="P848" s="197">
        <v>4.2</v>
      </c>
      <c r="Q848" s="197">
        <v>4.2</v>
      </c>
      <c r="R848" s="197">
        <v>4.1499999999999995</v>
      </c>
      <c r="S848" s="197">
        <v>4.2</v>
      </c>
      <c r="T848" s="197">
        <v>4.0</v>
      </c>
      <c r="U848" s="197">
        <v>4.2</v>
      </c>
      <c r="V848" s="197">
        <v>4.2</v>
      </c>
      <c r="W848" s="197">
        <v>4.1499999999999995</v>
      </c>
      <c r="X848" s="196"/>
      <c r="Y848" s="196"/>
      <c r="Z848" s="196"/>
      <c r="AA848" s="196"/>
      <c r="AB848" s="196"/>
      <c r="AC848" s="197">
        <v>4.153333333333332</v>
      </c>
      <c r="AD848" s="198"/>
    </row>
    <row r="849">
      <c r="A849" s="193">
        <v>105032.0</v>
      </c>
      <c r="B849" s="194" t="s">
        <v>1956</v>
      </c>
      <c r="C849" s="192" t="s">
        <v>1957</v>
      </c>
      <c r="D849" s="195">
        <v>45849.0</v>
      </c>
      <c r="E849" s="192" t="s">
        <v>625</v>
      </c>
      <c r="F849" s="196"/>
      <c r="G849" s="196"/>
      <c r="H849" s="197">
        <v>5.0</v>
      </c>
      <c r="I849" s="197">
        <v>5.0</v>
      </c>
      <c r="J849" s="197">
        <v>5.0</v>
      </c>
      <c r="K849" s="197">
        <v>5.0</v>
      </c>
      <c r="L849" s="197">
        <v>5.0</v>
      </c>
      <c r="M849" s="197">
        <v>5.0</v>
      </c>
      <c r="N849" s="197">
        <v>5.0</v>
      </c>
      <c r="O849" s="197">
        <v>5.0</v>
      </c>
      <c r="P849" s="197">
        <v>5.0</v>
      </c>
      <c r="Q849" s="197">
        <v>5.0</v>
      </c>
      <c r="R849" s="197">
        <v>5.0</v>
      </c>
      <c r="S849" s="197">
        <v>5.0</v>
      </c>
      <c r="T849" s="197">
        <v>5.0</v>
      </c>
      <c r="U849" s="197">
        <v>5.0</v>
      </c>
      <c r="V849" s="197">
        <v>5.0</v>
      </c>
      <c r="W849" s="197">
        <v>5.0</v>
      </c>
      <c r="X849" s="196"/>
      <c r="Y849" s="196"/>
      <c r="Z849" s="196"/>
      <c r="AA849" s="196"/>
      <c r="AB849" s="196"/>
      <c r="AC849" s="197">
        <v>5.0</v>
      </c>
      <c r="AD849" s="198"/>
    </row>
    <row r="850">
      <c r="A850" s="193">
        <v>104578.0</v>
      </c>
      <c r="B850" s="194" t="s">
        <v>1958</v>
      </c>
      <c r="C850" s="192" t="s">
        <v>1959</v>
      </c>
      <c r="D850" s="195">
        <v>45849.0</v>
      </c>
      <c r="E850" s="192" t="s">
        <v>113</v>
      </c>
      <c r="F850" s="196"/>
      <c r="G850" s="196"/>
      <c r="H850" s="197">
        <v>4.5</v>
      </c>
      <c r="I850" s="197">
        <v>4.5</v>
      </c>
      <c r="J850" s="197">
        <v>4.5</v>
      </c>
      <c r="K850" s="197">
        <v>4.5</v>
      </c>
      <c r="L850" s="197">
        <v>4.5</v>
      </c>
      <c r="M850" s="197">
        <v>4.5</v>
      </c>
      <c r="N850" s="197">
        <v>3.0</v>
      </c>
      <c r="O850" s="197">
        <v>4.0</v>
      </c>
      <c r="P850" s="197">
        <v>3.0</v>
      </c>
      <c r="Q850" s="197">
        <v>4.0</v>
      </c>
      <c r="R850" s="197">
        <v>3.5</v>
      </c>
      <c r="S850" s="197">
        <v>5.0</v>
      </c>
      <c r="T850" s="197">
        <v>5.0</v>
      </c>
      <c r="U850" s="197">
        <v>5.0</v>
      </c>
      <c r="V850" s="197">
        <v>5.0</v>
      </c>
      <c r="W850" s="197">
        <v>5.0</v>
      </c>
      <c r="X850" s="196"/>
      <c r="Y850" s="196"/>
      <c r="Z850" s="196"/>
      <c r="AA850" s="196"/>
      <c r="AB850" s="196"/>
      <c r="AC850" s="197">
        <v>4.333333333333333</v>
      </c>
      <c r="AD850" s="198"/>
    </row>
    <row r="851">
      <c r="A851" s="193">
        <v>104614.0</v>
      </c>
      <c r="B851" s="194" t="s">
        <v>1960</v>
      </c>
      <c r="C851" s="192" t="s">
        <v>1961</v>
      </c>
      <c r="D851" s="195">
        <v>45849.0</v>
      </c>
      <c r="E851" s="192" t="s">
        <v>557</v>
      </c>
      <c r="F851" s="196"/>
      <c r="G851" s="196"/>
      <c r="H851" s="197">
        <v>5.0</v>
      </c>
      <c r="I851" s="197">
        <v>5.0</v>
      </c>
      <c r="J851" s="197">
        <v>5.0</v>
      </c>
      <c r="K851" s="197">
        <v>5.0</v>
      </c>
      <c r="L851" s="197">
        <v>5.0</v>
      </c>
      <c r="M851" s="197">
        <v>5.0</v>
      </c>
      <c r="N851" s="197">
        <v>5.0</v>
      </c>
      <c r="O851" s="197">
        <v>5.0</v>
      </c>
      <c r="P851" s="197">
        <v>5.0</v>
      </c>
      <c r="Q851" s="197">
        <v>5.0</v>
      </c>
      <c r="R851" s="197">
        <v>5.0</v>
      </c>
      <c r="S851" s="197">
        <v>5.0</v>
      </c>
      <c r="T851" s="197">
        <v>5.0</v>
      </c>
      <c r="U851" s="197">
        <v>5.0</v>
      </c>
      <c r="V851" s="197">
        <v>5.0</v>
      </c>
      <c r="W851" s="197">
        <v>5.0</v>
      </c>
      <c r="X851" s="196"/>
      <c r="Y851" s="196"/>
      <c r="Z851" s="196"/>
      <c r="AA851" s="196"/>
      <c r="AB851" s="196"/>
      <c r="AC851" s="197">
        <v>5.0</v>
      </c>
      <c r="AD851" s="198"/>
    </row>
    <row r="852">
      <c r="A852" s="193">
        <v>105032.0</v>
      </c>
      <c r="B852" s="194" t="s">
        <v>1962</v>
      </c>
      <c r="C852" s="192" t="s">
        <v>1957</v>
      </c>
      <c r="D852" s="195">
        <v>45849.0</v>
      </c>
      <c r="E852" s="192" t="s">
        <v>625</v>
      </c>
      <c r="F852" s="196"/>
      <c r="G852" s="196"/>
      <c r="H852" s="197">
        <v>5.0</v>
      </c>
      <c r="I852" s="197">
        <v>5.0</v>
      </c>
      <c r="J852" s="197">
        <v>5.0</v>
      </c>
      <c r="K852" s="197">
        <v>5.0</v>
      </c>
      <c r="L852" s="197">
        <v>5.0</v>
      </c>
      <c r="M852" s="197">
        <v>5.0</v>
      </c>
      <c r="N852" s="197">
        <v>5.0</v>
      </c>
      <c r="O852" s="197">
        <v>5.0</v>
      </c>
      <c r="P852" s="197">
        <v>5.0</v>
      </c>
      <c r="Q852" s="197">
        <v>5.0</v>
      </c>
      <c r="R852" s="197">
        <v>5.0</v>
      </c>
      <c r="S852" s="197">
        <v>5.0</v>
      </c>
      <c r="T852" s="197">
        <v>5.0</v>
      </c>
      <c r="U852" s="197">
        <v>5.0</v>
      </c>
      <c r="V852" s="197">
        <v>5.0</v>
      </c>
      <c r="W852" s="197">
        <v>5.0</v>
      </c>
      <c r="X852" s="196"/>
      <c r="Y852" s="196"/>
      <c r="Z852" s="196"/>
      <c r="AA852" s="196"/>
      <c r="AB852" s="196"/>
      <c r="AC852" s="197">
        <v>5.0</v>
      </c>
      <c r="AD852" s="198"/>
    </row>
    <row r="853">
      <c r="A853" s="193">
        <v>105033.0</v>
      </c>
      <c r="B853" s="194" t="s">
        <v>1963</v>
      </c>
      <c r="C853" s="192" t="s">
        <v>1964</v>
      </c>
      <c r="D853" s="195">
        <v>45849.0</v>
      </c>
      <c r="E853" s="192" t="s">
        <v>806</v>
      </c>
      <c r="F853" s="196"/>
      <c r="G853" s="196"/>
      <c r="H853" s="197">
        <v>5.0</v>
      </c>
      <c r="I853" s="197">
        <v>5.0</v>
      </c>
      <c r="J853" s="197">
        <v>5.0</v>
      </c>
      <c r="K853" s="197">
        <v>5.0</v>
      </c>
      <c r="L853" s="197">
        <v>5.0</v>
      </c>
      <c r="M853" s="197">
        <v>5.0</v>
      </c>
      <c r="N853" s="197">
        <v>5.0</v>
      </c>
      <c r="O853" s="197">
        <v>5.0</v>
      </c>
      <c r="P853" s="197">
        <v>5.0</v>
      </c>
      <c r="Q853" s="197">
        <v>5.0</v>
      </c>
      <c r="R853" s="197">
        <v>5.0</v>
      </c>
      <c r="S853" s="197">
        <v>5.0</v>
      </c>
      <c r="T853" s="197">
        <v>5.0</v>
      </c>
      <c r="U853" s="197">
        <v>5.0</v>
      </c>
      <c r="V853" s="197">
        <v>5.0</v>
      </c>
      <c r="W853" s="197">
        <v>5.0</v>
      </c>
      <c r="X853" s="196"/>
      <c r="Y853" s="196"/>
      <c r="Z853" s="196"/>
      <c r="AA853" s="196"/>
      <c r="AB853" s="196"/>
      <c r="AC853" s="197">
        <v>5.0</v>
      </c>
      <c r="AD853" s="198"/>
    </row>
    <row r="854">
      <c r="A854" s="193">
        <v>104947.0</v>
      </c>
      <c r="B854" s="194" t="s">
        <v>1965</v>
      </c>
      <c r="C854" s="192" t="s">
        <v>1966</v>
      </c>
      <c r="D854" s="195">
        <v>45849.0</v>
      </c>
      <c r="E854" s="192" t="s">
        <v>625</v>
      </c>
      <c r="F854" s="196"/>
      <c r="G854" s="196"/>
      <c r="H854" s="197">
        <v>5.0</v>
      </c>
      <c r="I854" s="197">
        <v>5.0</v>
      </c>
      <c r="J854" s="197">
        <v>5.0</v>
      </c>
      <c r="K854" s="197">
        <v>5.0</v>
      </c>
      <c r="L854" s="197">
        <v>5.0</v>
      </c>
      <c r="M854" s="197">
        <v>5.0</v>
      </c>
      <c r="N854" s="197">
        <v>5.0</v>
      </c>
      <c r="O854" s="197">
        <v>5.0</v>
      </c>
      <c r="P854" s="197">
        <v>5.0</v>
      </c>
      <c r="Q854" s="197">
        <v>5.0</v>
      </c>
      <c r="R854" s="197">
        <v>5.0</v>
      </c>
      <c r="S854" s="197">
        <v>5.0</v>
      </c>
      <c r="T854" s="197">
        <v>5.0</v>
      </c>
      <c r="U854" s="197">
        <v>5.0</v>
      </c>
      <c r="V854" s="197">
        <v>5.0</v>
      </c>
      <c r="W854" s="197">
        <v>5.0</v>
      </c>
      <c r="X854" s="196"/>
      <c r="Y854" s="196"/>
      <c r="Z854" s="196"/>
      <c r="AA854" s="196"/>
      <c r="AB854" s="196"/>
      <c r="AC854" s="197">
        <v>5.0</v>
      </c>
      <c r="AD854" s="198"/>
    </row>
    <row r="855">
      <c r="A855" s="193">
        <v>104891.0</v>
      </c>
      <c r="B855" s="194" t="s">
        <v>1967</v>
      </c>
      <c r="C855" s="192" t="s">
        <v>1968</v>
      </c>
      <c r="D855" s="195">
        <v>45849.0</v>
      </c>
      <c r="E855" s="192" t="s">
        <v>625</v>
      </c>
      <c r="F855" s="196"/>
      <c r="G855" s="196"/>
      <c r="H855" s="197">
        <v>5.0</v>
      </c>
      <c r="I855" s="197">
        <v>5.0</v>
      </c>
      <c r="J855" s="197">
        <v>5.0</v>
      </c>
      <c r="K855" s="197">
        <v>5.0</v>
      </c>
      <c r="L855" s="197">
        <v>5.0</v>
      </c>
      <c r="M855" s="197">
        <v>5.0</v>
      </c>
      <c r="N855" s="197">
        <v>5.0</v>
      </c>
      <c r="O855" s="197">
        <v>5.0</v>
      </c>
      <c r="P855" s="197">
        <v>5.0</v>
      </c>
      <c r="Q855" s="197">
        <v>5.0</v>
      </c>
      <c r="R855" s="197">
        <v>5.0</v>
      </c>
      <c r="S855" s="197">
        <v>5.0</v>
      </c>
      <c r="T855" s="197">
        <v>5.0</v>
      </c>
      <c r="U855" s="197">
        <v>5.0</v>
      </c>
      <c r="V855" s="197">
        <v>5.0</v>
      </c>
      <c r="W855" s="197">
        <v>5.0</v>
      </c>
      <c r="X855" s="196"/>
      <c r="Y855" s="196"/>
      <c r="Z855" s="196"/>
      <c r="AA855" s="196"/>
      <c r="AB855" s="196"/>
      <c r="AC855" s="197">
        <v>5.0</v>
      </c>
      <c r="AD855" s="198"/>
    </row>
    <row r="856">
      <c r="A856" s="193">
        <v>104873.0</v>
      </c>
      <c r="B856" s="194" t="s">
        <v>1969</v>
      </c>
      <c r="C856" s="192" t="s">
        <v>1970</v>
      </c>
      <c r="D856" s="195">
        <v>45849.0</v>
      </c>
      <c r="E856" s="192" t="s">
        <v>254</v>
      </c>
      <c r="F856" s="196"/>
      <c r="G856" s="196"/>
      <c r="H856" s="197">
        <v>5.0</v>
      </c>
      <c r="I856" s="197">
        <v>5.0</v>
      </c>
      <c r="J856" s="197">
        <v>5.0</v>
      </c>
      <c r="K856" s="197">
        <v>5.0</v>
      </c>
      <c r="L856" s="197">
        <v>5.0</v>
      </c>
      <c r="M856" s="197">
        <v>5.0</v>
      </c>
      <c r="N856" s="197">
        <v>5.0</v>
      </c>
      <c r="O856" s="197">
        <v>5.0</v>
      </c>
      <c r="P856" s="197">
        <v>5.0</v>
      </c>
      <c r="Q856" s="197">
        <v>5.0</v>
      </c>
      <c r="R856" s="197">
        <v>5.0</v>
      </c>
      <c r="S856" s="197">
        <v>4.5</v>
      </c>
      <c r="T856" s="197">
        <v>4.5</v>
      </c>
      <c r="U856" s="197">
        <v>4.5</v>
      </c>
      <c r="V856" s="197">
        <v>4.5</v>
      </c>
      <c r="W856" s="197">
        <v>4.5</v>
      </c>
      <c r="X856" s="196"/>
      <c r="Y856" s="196"/>
      <c r="Z856" s="196"/>
      <c r="AA856" s="196"/>
      <c r="AB856" s="196"/>
      <c r="AC856" s="197">
        <v>4.833333333333333</v>
      </c>
      <c r="AD856" s="198"/>
    </row>
    <row r="857">
      <c r="A857" s="193">
        <v>104676.0</v>
      </c>
      <c r="B857" s="194" t="s">
        <v>1499</v>
      </c>
      <c r="C857" s="192" t="s">
        <v>1500</v>
      </c>
      <c r="D857" s="195">
        <v>45849.0</v>
      </c>
      <c r="E857" s="192" t="s">
        <v>646</v>
      </c>
      <c r="F857" s="196"/>
      <c r="G857" s="196"/>
      <c r="H857" s="197">
        <v>5.0</v>
      </c>
      <c r="I857" s="197">
        <v>5.0</v>
      </c>
      <c r="J857" s="197">
        <v>5.0</v>
      </c>
      <c r="K857" s="197">
        <v>5.0</v>
      </c>
      <c r="L857" s="197">
        <v>5.0</v>
      </c>
      <c r="M857" s="197">
        <v>5.0</v>
      </c>
      <c r="N857" s="197">
        <v>4.0</v>
      </c>
      <c r="O857" s="197">
        <v>4.0</v>
      </c>
      <c r="P857" s="197">
        <v>4.0</v>
      </c>
      <c r="Q857" s="197">
        <v>4.0</v>
      </c>
      <c r="R857" s="197">
        <v>4.0</v>
      </c>
      <c r="S857" s="197">
        <v>4.0</v>
      </c>
      <c r="T857" s="197">
        <v>4.0</v>
      </c>
      <c r="U857" s="197">
        <v>4.0</v>
      </c>
      <c r="V857" s="197">
        <v>4.0</v>
      </c>
      <c r="W857" s="197">
        <v>4.0</v>
      </c>
      <c r="X857" s="196"/>
      <c r="Y857" s="196"/>
      <c r="Z857" s="196"/>
      <c r="AA857" s="196"/>
      <c r="AB857" s="196"/>
      <c r="AC857" s="197">
        <v>4.333333333333333</v>
      </c>
      <c r="AD857" s="198"/>
    </row>
    <row r="858">
      <c r="A858" s="193">
        <v>104693.0</v>
      </c>
      <c r="B858" s="194" t="s">
        <v>1495</v>
      </c>
      <c r="C858" s="192" t="s">
        <v>1496</v>
      </c>
      <c r="D858" s="195">
        <v>45849.0</v>
      </c>
      <c r="E858" s="192" t="s">
        <v>646</v>
      </c>
      <c r="F858" s="196"/>
      <c r="G858" s="196"/>
      <c r="H858" s="197">
        <v>5.0</v>
      </c>
      <c r="I858" s="197">
        <v>5.0</v>
      </c>
      <c r="J858" s="197">
        <v>5.0</v>
      </c>
      <c r="K858" s="197">
        <v>5.0</v>
      </c>
      <c r="L858" s="197">
        <v>5.0</v>
      </c>
      <c r="M858" s="197">
        <v>5.0</v>
      </c>
      <c r="N858" s="197">
        <v>4.0</v>
      </c>
      <c r="O858" s="197">
        <v>4.0</v>
      </c>
      <c r="P858" s="197">
        <v>4.0</v>
      </c>
      <c r="Q858" s="197">
        <v>4.0</v>
      </c>
      <c r="R858" s="197">
        <v>4.0</v>
      </c>
      <c r="S858" s="197">
        <v>4.0</v>
      </c>
      <c r="T858" s="197">
        <v>4.0</v>
      </c>
      <c r="U858" s="197">
        <v>4.0</v>
      </c>
      <c r="V858" s="197">
        <v>4.0</v>
      </c>
      <c r="W858" s="197">
        <v>4.0</v>
      </c>
      <c r="X858" s="196"/>
      <c r="Y858" s="196"/>
      <c r="Z858" s="196"/>
      <c r="AA858" s="196"/>
      <c r="AB858" s="196"/>
      <c r="AC858" s="197">
        <v>4.333333333333333</v>
      </c>
      <c r="AD858" s="198"/>
    </row>
    <row r="859">
      <c r="A859" s="193">
        <v>104723.0</v>
      </c>
      <c r="B859" s="194" t="s">
        <v>1971</v>
      </c>
      <c r="C859" s="192" t="s">
        <v>1972</v>
      </c>
      <c r="D859" s="195">
        <v>45849.0</v>
      </c>
      <c r="E859" s="192" t="s">
        <v>295</v>
      </c>
      <c r="F859" s="196"/>
      <c r="G859" s="196"/>
      <c r="H859" s="197">
        <v>5.0</v>
      </c>
      <c r="I859" s="197">
        <v>5.0</v>
      </c>
      <c r="J859" s="197">
        <v>5.0</v>
      </c>
      <c r="K859" s="197">
        <v>5.0</v>
      </c>
      <c r="L859" s="197">
        <v>5.0</v>
      </c>
      <c r="M859" s="197">
        <v>5.0</v>
      </c>
      <c r="N859" s="197">
        <v>5.0</v>
      </c>
      <c r="O859" s="197">
        <v>5.0</v>
      </c>
      <c r="P859" s="197">
        <v>5.0</v>
      </c>
      <c r="Q859" s="197">
        <v>5.0</v>
      </c>
      <c r="R859" s="197">
        <v>5.0</v>
      </c>
      <c r="S859" s="197">
        <v>4.5</v>
      </c>
      <c r="T859" s="197">
        <v>4.5</v>
      </c>
      <c r="U859" s="197">
        <v>4.5</v>
      </c>
      <c r="V859" s="197">
        <v>4.5</v>
      </c>
      <c r="W859" s="197">
        <v>4.5</v>
      </c>
      <c r="X859" s="196"/>
      <c r="Y859" s="196"/>
      <c r="Z859" s="196"/>
      <c r="AA859" s="196"/>
      <c r="AB859" s="196"/>
      <c r="AC859" s="197">
        <v>4.833333333333333</v>
      </c>
      <c r="AD859" s="198"/>
    </row>
    <row r="860">
      <c r="A860" s="193">
        <v>104717.0</v>
      </c>
      <c r="B860" s="194" t="s">
        <v>1973</v>
      </c>
      <c r="C860" s="192" t="s">
        <v>1974</v>
      </c>
      <c r="D860" s="195">
        <v>45849.0</v>
      </c>
      <c r="E860" s="192" t="s">
        <v>265</v>
      </c>
      <c r="F860" s="196"/>
      <c r="G860" s="196"/>
      <c r="H860" s="197">
        <v>5.0</v>
      </c>
      <c r="I860" s="197">
        <v>5.0</v>
      </c>
      <c r="J860" s="197">
        <v>5.0</v>
      </c>
      <c r="K860" s="197">
        <v>5.0</v>
      </c>
      <c r="L860" s="197">
        <v>5.0</v>
      </c>
      <c r="M860" s="197">
        <v>5.0</v>
      </c>
      <c r="N860" s="197">
        <v>5.0</v>
      </c>
      <c r="O860" s="197">
        <v>5.0</v>
      </c>
      <c r="P860" s="197">
        <v>4.0</v>
      </c>
      <c r="Q860" s="197">
        <v>5.0</v>
      </c>
      <c r="R860" s="197">
        <v>4.75</v>
      </c>
      <c r="S860" s="197">
        <v>4.5</v>
      </c>
      <c r="T860" s="197">
        <v>4.5</v>
      </c>
      <c r="U860" s="197">
        <v>4.5</v>
      </c>
      <c r="V860" s="197">
        <v>4.5</v>
      </c>
      <c r="W860" s="197">
        <v>4.5</v>
      </c>
      <c r="X860" s="196"/>
      <c r="Y860" s="196"/>
      <c r="Z860" s="196"/>
      <c r="AA860" s="196"/>
      <c r="AB860" s="196"/>
      <c r="AC860" s="197">
        <v>4.75</v>
      </c>
      <c r="AD860" s="198"/>
    </row>
    <row r="861">
      <c r="A861" s="193">
        <v>104569.0</v>
      </c>
      <c r="B861" s="194" t="s">
        <v>1975</v>
      </c>
      <c r="C861" s="192" t="s">
        <v>1976</v>
      </c>
      <c r="D861" s="195">
        <v>45849.0</v>
      </c>
      <c r="E861" s="192" t="s">
        <v>1977</v>
      </c>
      <c r="F861" s="196"/>
      <c r="G861" s="196"/>
      <c r="H861" s="197">
        <v>5.0</v>
      </c>
      <c r="I861" s="197">
        <v>5.0</v>
      </c>
      <c r="J861" s="197">
        <v>5.0</v>
      </c>
      <c r="K861" s="197">
        <v>5.0</v>
      </c>
      <c r="L861" s="197">
        <v>5.0</v>
      </c>
      <c r="M861" s="197">
        <v>5.0</v>
      </c>
      <c r="N861" s="197">
        <v>5.0</v>
      </c>
      <c r="O861" s="197">
        <v>5.0</v>
      </c>
      <c r="P861" s="197">
        <v>5.0</v>
      </c>
      <c r="Q861" s="197">
        <v>5.0</v>
      </c>
      <c r="R861" s="197">
        <v>5.0</v>
      </c>
      <c r="S861" s="197">
        <v>4.5</v>
      </c>
      <c r="T861" s="197">
        <v>4.5</v>
      </c>
      <c r="U861" s="197">
        <v>4.5</v>
      </c>
      <c r="V861" s="197">
        <v>4.5</v>
      </c>
      <c r="W861" s="197">
        <v>4.5</v>
      </c>
      <c r="X861" s="196"/>
      <c r="Y861" s="196"/>
      <c r="Z861" s="196"/>
      <c r="AA861" s="196"/>
      <c r="AB861" s="196"/>
      <c r="AC861" s="197">
        <v>4.833333333333333</v>
      </c>
      <c r="AD861" s="198"/>
    </row>
    <row r="862">
      <c r="A862" s="193">
        <v>104673.0</v>
      </c>
      <c r="B862" s="194" t="s">
        <v>1978</v>
      </c>
      <c r="C862" s="192" t="s">
        <v>1979</v>
      </c>
      <c r="D862" s="195">
        <v>45849.0</v>
      </c>
      <c r="E862" s="192" t="s">
        <v>295</v>
      </c>
      <c r="F862" s="196"/>
      <c r="G862" s="196"/>
      <c r="H862" s="197">
        <v>5.0</v>
      </c>
      <c r="I862" s="197">
        <v>5.0</v>
      </c>
      <c r="J862" s="197">
        <v>5.0</v>
      </c>
      <c r="K862" s="197">
        <v>5.0</v>
      </c>
      <c r="L862" s="197">
        <v>5.0</v>
      </c>
      <c r="M862" s="197">
        <v>5.0</v>
      </c>
      <c r="N862" s="197">
        <v>5.0</v>
      </c>
      <c r="O862" s="197">
        <v>5.0</v>
      </c>
      <c r="P862" s="197">
        <v>5.0</v>
      </c>
      <c r="Q862" s="197">
        <v>5.0</v>
      </c>
      <c r="R862" s="197">
        <v>5.0</v>
      </c>
      <c r="S862" s="197">
        <v>4.5</v>
      </c>
      <c r="T862" s="197">
        <v>4.5</v>
      </c>
      <c r="U862" s="197">
        <v>4.5</v>
      </c>
      <c r="V862" s="197">
        <v>4.5</v>
      </c>
      <c r="W862" s="197">
        <v>4.5</v>
      </c>
      <c r="X862" s="196"/>
      <c r="Y862" s="196"/>
      <c r="Z862" s="196"/>
      <c r="AA862" s="196"/>
      <c r="AB862" s="196"/>
      <c r="AC862" s="197">
        <v>4.833333333333333</v>
      </c>
      <c r="AD862" s="198"/>
    </row>
    <row r="863">
      <c r="A863" s="193">
        <v>104674.0</v>
      </c>
      <c r="B863" s="194" t="s">
        <v>1980</v>
      </c>
      <c r="C863" s="192" t="s">
        <v>1981</v>
      </c>
      <c r="D863" s="195">
        <v>45849.0</v>
      </c>
      <c r="E863" s="192" t="s">
        <v>360</v>
      </c>
      <c r="F863" s="196"/>
      <c r="G863" s="196"/>
      <c r="H863" s="197">
        <v>5.0</v>
      </c>
      <c r="I863" s="197">
        <v>5.0</v>
      </c>
      <c r="J863" s="197">
        <v>5.0</v>
      </c>
      <c r="K863" s="197">
        <v>5.0</v>
      </c>
      <c r="L863" s="197">
        <v>5.0</v>
      </c>
      <c r="M863" s="197">
        <v>5.0</v>
      </c>
      <c r="N863" s="197">
        <v>5.0</v>
      </c>
      <c r="O863" s="197">
        <v>5.0</v>
      </c>
      <c r="P863" s="197">
        <v>5.0</v>
      </c>
      <c r="Q863" s="197">
        <v>5.0</v>
      </c>
      <c r="R863" s="197">
        <v>5.0</v>
      </c>
      <c r="S863" s="197">
        <v>4.5</v>
      </c>
      <c r="T863" s="197">
        <v>4.5</v>
      </c>
      <c r="U863" s="197">
        <v>4.5</v>
      </c>
      <c r="V863" s="197">
        <v>4.5</v>
      </c>
      <c r="W863" s="197">
        <v>4.5</v>
      </c>
      <c r="X863" s="196"/>
      <c r="Y863" s="196"/>
      <c r="Z863" s="196"/>
      <c r="AA863" s="196"/>
      <c r="AB863" s="196"/>
      <c r="AC863" s="197">
        <v>4.833333333333333</v>
      </c>
      <c r="AD863" s="198"/>
    </row>
    <row r="864">
      <c r="A864" s="193">
        <v>104460.0</v>
      </c>
      <c r="B864" s="194" t="s">
        <v>1490</v>
      </c>
      <c r="C864" s="192" t="s">
        <v>1453</v>
      </c>
      <c r="D864" s="195">
        <v>45849.0</v>
      </c>
      <c r="E864" s="192" t="s">
        <v>646</v>
      </c>
      <c r="F864" s="196"/>
      <c r="G864" s="196"/>
      <c r="H864" s="197">
        <v>5.0</v>
      </c>
      <c r="I864" s="197">
        <v>5.0</v>
      </c>
      <c r="J864" s="197">
        <v>5.0</v>
      </c>
      <c r="K864" s="197">
        <v>5.0</v>
      </c>
      <c r="L864" s="197">
        <v>5.0</v>
      </c>
      <c r="M864" s="197">
        <v>5.0</v>
      </c>
      <c r="N864" s="197">
        <v>4.0</v>
      </c>
      <c r="O864" s="197">
        <v>4.0</v>
      </c>
      <c r="P864" s="197">
        <v>4.0</v>
      </c>
      <c r="Q864" s="197">
        <v>4.0</v>
      </c>
      <c r="R864" s="197">
        <v>4.0</v>
      </c>
      <c r="S864" s="197">
        <v>4.0</v>
      </c>
      <c r="T864" s="197">
        <v>4.0</v>
      </c>
      <c r="U864" s="197">
        <v>4.0</v>
      </c>
      <c r="V864" s="197">
        <v>4.0</v>
      </c>
      <c r="W864" s="197">
        <v>4.0</v>
      </c>
      <c r="X864" s="196"/>
      <c r="Y864" s="196"/>
      <c r="Z864" s="196"/>
      <c r="AA864" s="196"/>
      <c r="AB864" s="196"/>
      <c r="AC864" s="197">
        <v>4.333333333333333</v>
      </c>
      <c r="AD864" s="198"/>
    </row>
    <row r="865">
      <c r="A865" s="193">
        <v>104691.0</v>
      </c>
      <c r="B865" s="194" t="s">
        <v>1982</v>
      </c>
      <c r="C865" s="192" t="s">
        <v>1983</v>
      </c>
      <c r="D865" s="195">
        <v>45849.0</v>
      </c>
      <c r="E865" s="192" t="s">
        <v>87</v>
      </c>
      <c r="F865" s="196"/>
      <c r="G865" s="196"/>
      <c r="H865" s="197">
        <v>5.0</v>
      </c>
      <c r="I865" s="197">
        <v>5.0</v>
      </c>
      <c r="J865" s="197">
        <v>5.0</v>
      </c>
      <c r="K865" s="197">
        <v>5.0</v>
      </c>
      <c r="L865" s="197">
        <v>5.0</v>
      </c>
      <c r="M865" s="197">
        <v>5.0</v>
      </c>
      <c r="N865" s="197">
        <v>5.0</v>
      </c>
      <c r="O865" s="197">
        <v>5.0</v>
      </c>
      <c r="P865" s="197">
        <v>5.0</v>
      </c>
      <c r="Q865" s="197">
        <v>5.0</v>
      </c>
      <c r="R865" s="197">
        <v>5.0</v>
      </c>
      <c r="S865" s="197">
        <v>4.5</v>
      </c>
      <c r="T865" s="197">
        <v>4.0</v>
      </c>
      <c r="U865" s="197">
        <v>4.5</v>
      </c>
      <c r="V865" s="197">
        <v>4.5</v>
      </c>
      <c r="W865" s="197">
        <v>4.375</v>
      </c>
      <c r="X865" s="196"/>
      <c r="Y865" s="196"/>
      <c r="Z865" s="196"/>
      <c r="AA865" s="196"/>
      <c r="AB865" s="196"/>
      <c r="AC865" s="197">
        <v>4.791666666666667</v>
      </c>
      <c r="AD865" s="198"/>
    </row>
    <row r="866">
      <c r="A866" s="193">
        <v>104653.0</v>
      </c>
      <c r="B866" s="194" t="s">
        <v>1984</v>
      </c>
      <c r="C866" s="192" t="s">
        <v>1985</v>
      </c>
      <c r="D866" s="195">
        <v>45849.0</v>
      </c>
      <c r="E866" s="192" t="s">
        <v>1986</v>
      </c>
      <c r="F866" s="196"/>
      <c r="G866" s="196"/>
      <c r="H866" s="197">
        <v>5.0</v>
      </c>
      <c r="I866" s="197">
        <v>5.0</v>
      </c>
      <c r="J866" s="197">
        <v>5.0</v>
      </c>
      <c r="K866" s="197">
        <v>5.0</v>
      </c>
      <c r="L866" s="197">
        <v>5.0</v>
      </c>
      <c r="M866" s="197">
        <v>5.0</v>
      </c>
      <c r="N866" s="197">
        <v>5.0</v>
      </c>
      <c r="O866" s="197">
        <v>5.0</v>
      </c>
      <c r="P866" s="197">
        <v>5.0</v>
      </c>
      <c r="Q866" s="197">
        <v>5.0</v>
      </c>
      <c r="R866" s="197">
        <v>5.0</v>
      </c>
      <c r="S866" s="197">
        <v>4.5</v>
      </c>
      <c r="T866" s="197">
        <v>4.5</v>
      </c>
      <c r="U866" s="197">
        <v>4.5</v>
      </c>
      <c r="V866" s="197">
        <v>4.5</v>
      </c>
      <c r="W866" s="197">
        <v>4.5</v>
      </c>
      <c r="X866" s="196"/>
      <c r="Y866" s="196"/>
      <c r="Z866" s="196"/>
      <c r="AA866" s="196"/>
      <c r="AB866" s="196"/>
      <c r="AC866" s="197">
        <v>4.833333333333333</v>
      </c>
      <c r="AD866" s="198"/>
    </row>
    <row r="867">
      <c r="A867" s="193">
        <v>104630.0</v>
      </c>
      <c r="B867" s="194" t="s">
        <v>1987</v>
      </c>
      <c r="C867" s="192" t="s">
        <v>1988</v>
      </c>
      <c r="D867" s="195">
        <v>45849.0</v>
      </c>
      <c r="E867" s="192" t="s">
        <v>522</v>
      </c>
      <c r="F867" s="196"/>
      <c r="G867" s="196"/>
      <c r="H867" s="197">
        <v>5.0</v>
      </c>
      <c r="I867" s="197">
        <v>5.0</v>
      </c>
      <c r="J867" s="197">
        <v>5.0</v>
      </c>
      <c r="K867" s="197">
        <v>5.0</v>
      </c>
      <c r="L867" s="197">
        <v>5.0</v>
      </c>
      <c r="M867" s="197">
        <v>5.0</v>
      </c>
      <c r="N867" s="197">
        <v>5.0</v>
      </c>
      <c r="O867" s="197">
        <v>5.0</v>
      </c>
      <c r="P867" s="197">
        <v>4.0</v>
      </c>
      <c r="Q867" s="197">
        <v>5.0</v>
      </c>
      <c r="R867" s="197">
        <v>4.75</v>
      </c>
      <c r="S867" s="197">
        <v>4.5</v>
      </c>
      <c r="T867" s="197">
        <v>4.5</v>
      </c>
      <c r="U867" s="197">
        <v>4.5</v>
      </c>
      <c r="V867" s="197">
        <v>4.5</v>
      </c>
      <c r="W867" s="197">
        <v>4.5</v>
      </c>
      <c r="X867" s="196"/>
      <c r="Y867" s="196"/>
      <c r="Z867" s="196"/>
      <c r="AA867" s="196"/>
      <c r="AB867" s="196"/>
      <c r="AC867" s="197">
        <v>4.75</v>
      </c>
      <c r="AD867" s="198"/>
    </row>
    <row r="868">
      <c r="A868" s="193">
        <v>104624.0</v>
      </c>
      <c r="B868" s="194" t="s">
        <v>1989</v>
      </c>
      <c r="C868" s="192" t="s">
        <v>1990</v>
      </c>
      <c r="D868" s="195">
        <v>45849.0</v>
      </c>
      <c r="E868" s="192" t="s">
        <v>295</v>
      </c>
      <c r="F868" s="196"/>
      <c r="G868" s="196"/>
      <c r="H868" s="197">
        <v>5.0</v>
      </c>
      <c r="I868" s="197">
        <v>5.0</v>
      </c>
      <c r="J868" s="197">
        <v>5.0</v>
      </c>
      <c r="K868" s="197">
        <v>5.0</v>
      </c>
      <c r="L868" s="197">
        <v>5.0</v>
      </c>
      <c r="M868" s="197">
        <v>5.0</v>
      </c>
      <c r="N868" s="197">
        <v>5.0</v>
      </c>
      <c r="O868" s="197">
        <v>5.0</v>
      </c>
      <c r="P868" s="197">
        <v>5.0</v>
      </c>
      <c r="Q868" s="197">
        <v>5.0</v>
      </c>
      <c r="R868" s="197">
        <v>5.0</v>
      </c>
      <c r="S868" s="197">
        <v>4.5</v>
      </c>
      <c r="T868" s="197">
        <v>4.5</v>
      </c>
      <c r="U868" s="197">
        <v>4.5</v>
      </c>
      <c r="V868" s="197">
        <v>4.5</v>
      </c>
      <c r="W868" s="197">
        <v>4.5</v>
      </c>
      <c r="X868" s="196"/>
      <c r="Y868" s="196"/>
      <c r="Z868" s="196"/>
      <c r="AA868" s="196"/>
      <c r="AB868" s="196"/>
      <c r="AC868" s="197">
        <v>4.833333333333333</v>
      </c>
      <c r="AD868" s="198"/>
    </row>
    <row r="869">
      <c r="A869" s="193">
        <v>104620.0</v>
      </c>
      <c r="B869" s="194" t="s">
        <v>1991</v>
      </c>
      <c r="C869" s="192" t="s">
        <v>1992</v>
      </c>
      <c r="D869" s="195">
        <v>45854.0</v>
      </c>
      <c r="E869" s="192" t="s">
        <v>295</v>
      </c>
      <c r="F869" s="196"/>
      <c r="G869" s="196"/>
      <c r="H869" s="197">
        <v>5.0</v>
      </c>
      <c r="I869" s="197">
        <v>5.0</v>
      </c>
      <c r="J869" s="197">
        <v>5.0</v>
      </c>
      <c r="K869" s="197">
        <v>5.0</v>
      </c>
      <c r="L869" s="197">
        <v>5.0</v>
      </c>
      <c r="M869" s="197">
        <v>5.0</v>
      </c>
      <c r="N869" s="197">
        <v>5.0</v>
      </c>
      <c r="O869" s="197">
        <v>5.0</v>
      </c>
      <c r="P869" s="197">
        <v>5.0</v>
      </c>
      <c r="Q869" s="197">
        <v>5.0</v>
      </c>
      <c r="R869" s="197">
        <v>5.0</v>
      </c>
      <c r="S869" s="197">
        <v>4.5</v>
      </c>
      <c r="T869" s="197">
        <v>4.5</v>
      </c>
      <c r="U869" s="197">
        <v>4.5</v>
      </c>
      <c r="V869" s="197">
        <v>4.5</v>
      </c>
      <c r="W869" s="197">
        <v>4.5</v>
      </c>
      <c r="X869" s="196"/>
      <c r="Y869" s="196"/>
      <c r="Z869" s="196"/>
      <c r="AA869" s="196"/>
      <c r="AB869" s="196"/>
      <c r="AC869" s="197">
        <v>4.833333333333333</v>
      </c>
      <c r="AD869" s="198"/>
    </row>
    <row r="870">
      <c r="A870" s="193">
        <v>104613.0</v>
      </c>
      <c r="B870" s="194" t="s">
        <v>1480</v>
      </c>
      <c r="C870" s="192" t="s">
        <v>1479</v>
      </c>
      <c r="D870" s="195">
        <v>45854.0</v>
      </c>
      <c r="E870" s="192" t="s">
        <v>397</v>
      </c>
      <c r="F870" s="196"/>
      <c r="G870" s="196"/>
      <c r="H870" s="197">
        <v>5.0</v>
      </c>
      <c r="I870" s="197">
        <v>5.0</v>
      </c>
      <c r="J870" s="197">
        <v>5.0</v>
      </c>
      <c r="K870" s="197">
        <v>5.0</v>
      </c>
      <c r="L870" s="197">
        <v>5.0</v>
      </c>
      <c r="M870" s="197">
        <v>5.0</v>
      </c>
      <c r="N870" s="197">
        <v>4.5</v>
      </c>
      <c r="O870" s="197">
        <v>4.0</v>
      </c>
      <c r="P870" s="197">
        <v>4.5</v>
      </c>
      <c r="Q870" s="197">
        <v>5.0</v>
      </c>
      <c r="R870" s="197">
        <v>4.5</v>
      </c>
      <c r="S870" s="197">
        <v>4.5</v>
      </c>
      <c r="T870" s="197">
        <v>3.5</v>
      </c>
      <c r="U870" s="197">
        <v>4.5</v>
      </c>
      <c r="V870" s="197">
        <v>4.2</v>
      </c>
      <c r="W870" s="197">
        <v>4.175</v>
      </c>
      <c r="X870" s="196"/>
      <c r="Y870" s="196"/>
      <c r="Z870" s="196"/>
      <c r="AA870" s="196"/>
      <c r="AB870" s="196"/>
      <c r="AC870" s="197">
        <v>4.558333333333334</v>
      </c>
      <c r="AD870" s="198"/>
    </row>
    <row r="871">
      <c r="A871" s="193">
        <v>104695.0</v>
      </c>
      <c r="B871" s="194" t="s">
        <v>1950</v>
      </c>
      <c r="C871" s="192" t="s">
        <v>1951</v>
      </c>
      <c r="D871" s="195">
        <v>45485.0</v>
      </c>
      <c r="E871" s="192" t="s">
        <v>408</v>
      </c>
      <c r="F871" s="196"/>
      <c r="G871" s="196"/>
      <c r="H871" s="197">
        <v>5.0</v>
      </c>
      <c r="I871" s="197">
        <v>5.0</v>
      </c>
      <c r="J871" s="197">
        <v>5.0</v>
      </c>
      <c r="K871" s="197">
        <v>5.0</v>
      </c>
      <c r="L871" s="197">
        <v>5.0</v>
      </c>
      <c r="M871" s="197">
        <v>5.0</v>
      </c>
      <c r="N871" s="197">
        <v>5.0</v>
      </c>
      <c r="O871" s="197">
        <v>5.0</v>
      </c>
      <c r="P871" s="197">
        <v>5.0</v>
      </c>
      <c r="Q871" s="197">
        <v>5.0</v>
      </c>
      <c r="R871" s="197">
        <v>5.0</v>
      </c>
      <c r="S871" s="197">
        <v>5.0</v>
      </c>
      <c r="T871" s="197">
        <v>5.0</v>
      </c>
      <c r="U871" s="197">
        <v>5.0</v>
      </c>
      <c r="V871" s="197">
        <v>5.0</v>
      </c>
      <c r="W871" s="197">
        <v>5.0</v>
      </c>
      <c r="X871" s="196"/>
      <c r="Y871" s="196"/>
      <c r="Z871" s="196"/>
      <c r="AA871" s="196"/>
      <c r="AB871" s="196"/>
      <c r="AC871" s="197">
        <v>5.0</v>
      </c>
      <c r="AD871" s="198"/>
    </row>
    <row r="872">
      <c r="A872" s="193">
        <v>105448.0</v>
      </c>
      <c r="B872" s="194" t="s">
        <v>1944</v>
      </c>
      <c r="C872" s="192" t="s">
        <v>1993</v>
      </c>
      <c r="D872" s="195">
        <v>45702.0</v>
      </c>
      <c r="E872" s="192" t="s">
        <v>254</v>
      </c>
      <c r="F872" s="196"/>
      <c r="G872" s="196"/>
      <c r="H872" s="197">
        <v>5.0</v>
      </c>
      <c r="I872" s="197">
        <v>5.0</v>
      </c>
      <c r="J872" s="197">
        <v>5.0</v>
      </c>
      <c r="K872" s="197">
        <v>5.0</v>
      </c>
      <c r="L872" s="197">
        <v>5.0</v>
      </c>
      <c r="M872" s="197">
        <v>5.0</v>
      </c>
      <c r="N872" s="197">
        <v>5.0</v>
      </c>
      <c r="O872" s="197">
        <v>4.5</v>
      </c>
      <c r="P872" s="197">
        <v>5.0</v>
      </c>
      <c r="Q872" s="197">
        <v>4.8</v>
      </c>
      <c r="R872" s="197">
        <v>4.825</v>
      </c>
      <c r="S872" s="197">
        <v>4.5</v>
      </c>
      <c r="T872" s="197">
        <v>5.0</v>
      </c>
      <c r="U872" s="197">
        <v>4.0</v>
      </c>
      <c r="V872" s="197">
        <v>5.0</v>
      </c>
      <c r="W872" s="197">
        <v>4.625</v>
      </c>
      <c r="X872" s="196"/>
      <c r="Y872" s="196"/>
      <c r="Z872" s="196"/>
      <c r="AA872" s="196"/>
      <c r="AB872" s="196"/>
      <c r="AC872" s="197">
        <v>4.816666666666666</v>
      </c>
      <c r="AD872" s="198"/>
    </row>
    <row r="873">
      <c r="A873" s="193">
        <v>104642.0</v>
      </c>
      <c r="B873" s="194" t="s">
        <v>1474</v>
      </c>
      <c r="C873" s="192" t="s">
        <v>1475</v>
      </c>
      <c r="D873" s="195">
        <v>45854.0</v>
      </c>
      <c r="E873" s="192" t="s">
        <v>427</v>
      </c>
      <c r="F873" s="196"/>
      <c r="G873" s="196"/>
      <c r="H873" s="197">
        <v>5.0</v>
      </c>
      <c r="I873" s="197">
        <v>5.0</v>
      </c>
      <c r="J873" s="197">
        <v>5.0</v>
      </c>
      <c r="K873" s="197">
        <v>5.0</v>
      </c>
      <c r="L873" s="197">
        <v>5.0</v>
      </c>
      <c r="M873" s="197">
        <v>5.0</v>
      </c>
      <c r="N873" s="197">
        <v>5.0</v>
      </c>
      <c r="O873" s="197">
        <v>4.0</v>
      </c>
      <c r="P873" s="197">
        <v>4.5</v>
      </c>
      <c r="Q873" s="197">
        <v>5.0</v>
      </c>
      <c r="R873" s="197">
        <v>4.625</v>
      </c>
      <c r="S873" s="197">
        <v>4.5</v>
      </c>
      <c r="T873" s="197">
        <v>4.5</v>
      </c>
      <c r="U873" s="197">
        <v>4.5</v>
      </c>
      <c r="V873" s="197">
        <v>4.5</v>
      </c>
      <c r="W873" s="197">
        <v>4.5</v>
      </c>
      <c r="X873" s="196"/>
      <c r="Y873" s="196"/>
      <c r="Z873" s="196"/>
      <c r="AA873" s="196"/>
      <c r="AB873" s="196"/>
      <c r="AC873" s="197">
        <v>4.708333333333333</v>
      </c>
      <c r="AD873" s="198"/>
    </row>
    <row r="874">
      <c r="A874" s="193">
        <v>104568.0</v>
      </c>
      <c r="B874" s="194" t="s">
        <v>1994</v>
      </c>
      <c r="C874" s="192" t="s">
        <v>1995</v>
      </c>
      <c r="D874" s="195">
        <v>45854.0</v>
      </c>
      <c r="E874" s="192" t="s">
        <v>295</v>
      </c>
      <c r="F874" s="196"/>
      <c r="G874" s="196"/>
      <c r="H874" s="197">
        <v>5.0</v>
      </c>
      <c r="I874" s="197">
        <v>5.0</v>
      </c>
      <c r="J874" s="197">
        <v>5.0</v>
      </c>
      <c r="K874" s="197">
        <v>5.0</v>
      </c>
      <c r="L874" s="197">
        <v>5.0</v>
      </c>
      <c r="M874" s="197">
        <v>5.0</v>
      </c>
      <c r="N874" s="197">
        <v>5.0</v>
      </c>
      <c r="O874" s="197">
        <v>5.0</v>
      </c>
      <c r="P874" s="197">
        <v>3.0</v>
      </c>
      <c r="Q874" s="197">
        <v>5.0</v>
      </c>
      <c r="R874" s="197">
        <v>4.5</v>
      </c>
      <c r="S874" s="197">
        <v>4.5</v>
      </c>
      <c r="T874" s="197">
        <v>4.5</v>
      </c>
      <c r="U874" s="197">
        <v>4.5</v>
      </c>
      <c r="V874" s="197">
        <v>4.5</v>
      </c>
      <c r="W874" s="197">
        <v>4.5</v>
      </c>
      <c r="X874" s="196"/>
      <c r="Y874" s="196"/>
      <c r="Z874" s="196"/>
      <c r="AA874" s="196"/>
      <c r="AB874" s="196"/>
      <c r="AC874" s="197">
        <v>4.666666666666667</v>
      </c>
      <c r="AD874" s="198"/>
    </row>
    <row r="875">
      <c r="A875" s="193">
        <v>104175.0</v>
      </c>
      <c r="B875" s="194" t="s">
        <v>1996</v>
      </c>
      <c r="C875" s="192" t="s">
        <v>1997</v>
      </c>
      <c r="D875" s="195">
        <v>45351.0</v>
      </c>
      <c r="E875" s="192" t="s">
        <v>625</v>
      </c>
      <c r="F875" s="196"/>
      <c r="G875" s="196"/>
      <c r="H875" s="197">
        <v>5.0</v>
      </c>
      <c r="I875" s="197">
        <v>5.0</v>
      </c>
      <c r="J875" s="197">
        <v>5.0</v>
      </c>
      <c r="K875" s="197">
        <v>5.0</v>
      </c>
      <c r="L875" s="197">
        <v>5.0</v>
      </c>
      <c r="M875" s="197">
        <v>5.0</v>
      </c>
      <c r="N875" s="197">
        <v>5.0</v>
      </c>
      <c r="O875" s="197">
        <v>5.0</v>
      </c>
      <c r="P875" s="197">
        <v>5.0</v>
      </c>
      <c r="Q875" s="197">
        <v>5.0</v>
      </c>
      <c r="R875" s="197">
        <v>5.0</v>
      </c>
      <c r="S875" s="197">
        <v>5.0</v>
      </c>
      <c r="T875" s="197">
        <v>5.0</v>
      </c>
      <c r="U875" s="197">
        <v>5.0</v>
      </c>
      <c r="V875" s="197"/>
      <c r="W875" s="197">
        <v>5.0</v>
      </c>
      <c r="X875" s="196"/>
      <c r="Y875" s="196"/>
      <c r="Z875" s="196"/>
      <c r="AA875" s="196"/>
      <c r="AB875" s="196"/>
      <c r="AC875" s="197">
        <v>5.0</v>
      </c>
      <c r="AD875" s="198"/>
    </row>
    <row r="876">
      <c r="A876" s="193">
        <v>105414.0</v>
      </c>
      <c r="B876" s="194" t="s">
        <v>1998</v>
      </c>
      <c r="C876" s="192" t="s">
        <v>1999</v>
      </c>
      <c r="D876" s="195">
        <v>45692.0</v>
      </c>
      <c r="E876" s="192" t="s">
        <v>625</v>
      </c>
      <c r="F876" s="196"/>
      <c r="G876" s="196"/>
      <c r="H876" s="197">
        <v>5.0</v>
      </c>
      <c r="I876" s="197">
        <v>5.0</v>
      </c>
      <c r="J876" s="197">
        <v>5.0</v>
      </c>
      <c r="K876" s="197">
        <v>5.0</v>
      </c>
      <c r="L876" s="197">
        <v>5.0</v>
      </c>
      <c r="M876" s="197">
        <v>5.0</v>
      </c>
      <c r="N876" s="197">
        <v>5.0</v>
      </c>
      <c r="O876" s="197">
        <v>5.0</v>
      </c>
      <c r="P876" s="197">
        <v>5.0</v>
      </c>
      <c r="Q876" s="197">
        <v>5.0</v>
      </c>
      <c r="R876" s="197">
        <v>5.0</v>
      </c>
      <c r="S876" s="197">
        <v>5.0</v>
      </c>
      <c r="T876" s="197">
        <v>5.0</v>
      </c>
      <c r="U876" s="197">
        <v>5.0</v>
      </c>
      <c r="V876" s="197">
        <v>5.0</v>
      </c>
      <c r="W876" s="197">
        <v>5.0</v>
      </c>
      <c r="X876" s="196"/>
      <c r="Y876" s="196"/>
      <c r="Z876" s="196"/>
      <c r="AA876" s="196"/>
      <c r="AB876" s="196"/>
      <c r="AC876" s="197">
        <v>5.0</v>
      </c>
      <c r="AD876" s="198"/>
    </row>
    <row r="877">
      <c r="A877" s="193">
        <v>105567.0</v>
      </c>
      <c r="B877" s="194" t="s">
        <v>2000</v>
      </c>
      <c r="C877" s="192" t="s">
        <v>2001</v>
      </c>
      <c r="D877" s="195">
        <v>45728.0</v>
      </c>
      <c r="E877" s="192" t="s">
        <v>2002</v>
      </c>
      <c r="F877" s="196"/>
      <c r="G877" s="196"/>
      <c r="H877" s="197">
        <v>5.0</v>
      </c>
      <c r="I877" s="197">
        <v>5.0</v>
      </c>
      <c r="J877" s="197">
        <v>5.0</v>
      </c>
      <c r="K877" s="197">
        <v>5.0</v>
      </c>
      <c r="L877" s="197">
        <v>5.0</v>
      </c>
      <c r="M877" s="197">
        <v>5.0</v>
      </c>
      <c r="N877" s="197">
        <v>4.5</v>
      </c>
      <c r="O877" s="197">
        <v>4.8</v>
      </c>
      <c r="P877" s="197">
        <v>4.5</v>
      </c>
      <c r="Q877" s="197">
        <v>4.5</v>
      </c>
      <c r="R877" s="197">
        <v>4.575</v>
      </c>
      <c r="S877" s="197"/>
      <c r="T877" s="197">
        <v>5.0</v>
      </c>
      <c r="U877" s="197">
        <v>5.0</v>
      </c>
      <c r="V877" s="197">
        <v>5.0</v>
      </c>
      <c r="W877" s="197">
        <v>5.0</v>
      </c>
      <c r="X877" s="196"/>
      <c r="Y877" s="196"/>
      <c r="Z877" s="196"/>
      <c r="AA877" s="196"/>
      <c r="AB877" s="196"/>
      <c r="AC877" s="197">
        <v>4.858333333333333</v>
      </c>
      <c r="AD877" s="198"/>
    </row>
    <row r="878">
      <c r="A878" s="193">
        <v>104567.0</v>
      </c>
      <c r="B878" s="194" t="s">
        <v>2003</v>
      </c>
      <c r="C878" s="192" t="s">
        <v>2004</v>
      </c>
      <c r="D878" s="195">
        <v>45854.0</v>
      </c>
      <c r="E878" s="192" t="s">
        <v>295</v>
      </c>
      <c r="F878" s="196"/>
      <c r="G878" s="196"/>
      <c r="H878" s="197">
        <v>5.0</v>
      </c>
      <c r="I878" s="197">
        <v>5.0</v>
      </c>
      <c r="J878" s="197">
        <v>5.0</v>
      </c>
      <c r="K878" s="197">
        <v>5.0</v>
      </c>
      <c r="L878" s="197">
        <v>5.0</v>
      </c>
      <c r="M878" s="197">
        <v>5.0</v>
      </c>
      <c r="N878" s="197">
        <v>5.0</v>
      </c>
      <c r="O878" s="197">
        <v>5.0</v>
      </c>
      <c r="P878" s="197">
        <v>3.0</v>
      </c>
      <c r="Q878" s="197">
        <v>5.0</v>
      </c>
      <c r="R878" s="197">
        <v>4.5</v>
      </c>
      <c r="S878" s="197">
        <v>4.5</v>
      </c>
      <c r="T878" s="197">
        <v>4.5</v>
      </c>
      <c r="U878" s="197">
        <v>3.0</v>
      </c>
      <c r="V878" s="197">
        <v>4.5</v>
      </c>
      <c r="W878" s="197">
        <v>4.125</v>
      </c>
      <c r="X878" s="196"/>
      <c r="Y878" s="196"/>
      <c r="Z878" s="196"/>
      <c r="AA878" s="196"/>
      <c r="AB878" s="196"/>
      <c r="AC878" s="197">
        <v>4.541666666666667</v>
      </c>
      <c r="AD878" s="198"/>
    </row>
    <row r="879">
      <c r="A879" s="193">
        <v>104733.0</v>
      </c>
      <c r="B879" s="194" t="s">
        <v>2005</v>
      </c>
      <c r="C879" s="192" t="s">
        <v>2006</v>
      </c>
      <c r="D879" s="195">
        <v>45491.0</v>
      </c>
      <c r="E879" s="192" t="s">
        <v>125</v>
      </c>
      <c r="F879" s="196"/>
      <c r="G879" s="196"/>
      <c r="H879" s="197">
        <v>5.0</v>
      </c>
      <c r="I879" s="197">
        <v>5.0</v>
      </c>
      <c r="J879" s="197">
        <v>5.0</v>
      </c>
      <c r="K879" s="197">
        <v>5.0</v>
      </c>
      <c r="L879" s="197">
        <v>5.0</v>
      </c>
      <c r="M879" s="197">
        <v>5.0</v>
      </c>
      <c r="N879" s="197">
        <v>4.8</v>
      </c>
      <c r="O879" s="197">
        <v>4.8</v>
      </c>
      <c r="P879" s="197">
        <v>4.5</v>
      </c>
      <c r="Q879" s="197">
        <v>4.5</v>
      </c>
      <c r="R879" s="197">
        <v>4.65</v>
      </c>
      <c r="S879" s="197">
        <v>5.0</v>
      </c>
      <c r="T879" s="197">
        <v>5.0</v>
      </c>
      <c r="U879" s="197">
        <v>5.0</v>
      </c>
      <c r="V879" s="197"/>
      <c r="W879" s="197">
        <v>5.0</v>
      </c>
      <c r="X879" s="196"/>
      <c r="Y879" s="196"/>
      <c r="Z879" s="196"/>
      <c r="AA879" s="196"/>
      <c r="AB879" s="196"/>
      <c r="AC879" s="197">
        <v>4.883333333333334</v>
      </c>
      <c r="AD879" s="198"/>
    </row>
    <row r="880">
      <c r="A880" s="193">
        <v>104242.0</v>
      </c>
      <c r="B880" s="194" t="s">
        <v>2007</v>
      </c>
      <c r="C880" s="192" t="s">
        <v>2008</v>
      </c>
      <c r="D880" s="195">
        <v>45625.0</v>
      </c>
      <c r="E880" s="192" t="s">
        <v>646</v>
      </c>
      <c r="F880" s="196"/>
      <c r="G880" s="196"/>
      <c r="H880" s="197">
        <v>5.0</v>
      </c>
      <c r="I880" s="197">
        <v>5.0</v>
      </c>
      <c r="J880" s="197">
        <v>5.0</v>
      </c>
      <c r="K880" s="197">
        <v>5.0</v>
      </c>
      <c r="L880" s="197">
        <v>5.0</v>
      </c>
      <c r="M880" s="197">
        <v>5.0</v>
      </c>
      <c r="N880" s="197">
        <v>5.0</v>
      </c>
      <c r="O880" s="197">
        <v>4.8</v>
      </c>
      <c r="P880" s="197">
        <v>4.8</v>
      </c>
      <c r="Q880" s="197">
        <v>4.8</v>
      </c>
      <c r="R880" s="197">
        <v>4.8500000000000005</v>
      </c>
      <c r="S880" s="197">
        <v>5.0</v>
      </c>
      <c r="T880" s="197">
        <v>5.0</v>
      </c>
      <c r="U880" s="197"/>
      <c r="V880" s="197">
        <v>5.0</v>
      </c>
      <c r="W880" s="197">
        <v>5.0</v>
      </c>
      <c r="X880" s="196"/>
      <c r="Y880" s="196"/>
      <c r="Z880" s="196"/>
      <c r="AA880" s="196"/>
      <c r="AB880" s="196"/>
      <c r="AC880" s="197">
        <v>4.95</v>
      </c>
      <c r="AD880" s="198"/>
    </row>
    <row r="881">
      <c r="A881" s="193">
        <v>104671.0</v>
      </c>
      <c r="B881" s="194" t="s">
        <v>2009</v>
      </c>
      <c r="C881" s="192" t="s">
        <v>2010</v>
      </c>
      <c r="D881" s="195">
        <v>45482.0</v>
      </c>
      <c r="E881" s="192" t="s">
        <v>625</v>
      </c>
      <c r="F881" s="196"/>
      <c r="G881" s="196"/>
      <c r="H881" s="197">
        <v>5.0</v>
      </c>
      <c r="I881" s="197">
        <v>5.0</v>
      </c>
      <c r="J881" s="197">
        <v>5.0</v>
      </c>
      <c r="K881" s="197">
        <v>5.0</v>
      </c>
      <c r="L881" s="197">
        <v>5.0</v>
      </c>
      <c r="M881" s="197">
        <v>5.0</v>
      </c>
      <c r="N881" s="197">
        <v>5.0</v>
      </c>
      <c r="O881" s="197">
        <v>5.0</v>
      </c>
      <c r="P881" s="197">
        <v>5.0</v>
      </c>
      <c r="Q881" s="197">
        <v>5.0</v>
      </c>
      <c r="R881" s="197">
        <v>5.0</v>
      </c>
      <c r="S881" s="197">
        <v>5.0</v>
      </c>
      <c r="T881" s="197">
        <v>5.0</v>
      </c>
      <c r="U881" s="197">
        <v>5.0</v>
      </c>
      <c r="V881" s="197"/>
      <c r="W881" s="197">
        <v>5.0</v>
      </c>
      <c r="X881" s="196"/>
      <c r="Y881" s="196"/>
      <c r="Z881" s="196"/>
      <c r="AA881" s="196"/>
      <c r="AB881" s="196"/>
      <c r="AC881" s="197">
        <v>5.0</v>
      </c>
      <c r="AD881" s="198"/>
    </row>
    <row r="882">
      <c r="A882" s="193">
        <v>105569.0</v>
      </c>
      <c r="B882" s="194" t="s">
        <v>2011</v>
      </c>
      <c r="C882" s="192" t="s">
        <v>2012</v>
      </c>
      <c r="D882" s="244" t="s">
        <v>2013</v>
      </c>
      <c r="E882" s="192" t="s">
        <v>254</v>
      </c>
      <c r="F882" s="196"/>
      <c r="G882" s="196"/>
      <c r="H882" s="197">
        <v>5.0</v>
      </c>
      <c r="I882" s="197">
        <v>5.0</v>
      </c>
      <c r="J882" s="197">
        <v>5.0</v>
      </c>
      <c r="K882" s="197">
        <v>5.0</v>
      </c>
      <c r="L882" s="197">
        <v>5.0</v>
      </c>
      <c r="M882" s="197">
        <v>5.0</v>
      </c>
      <c r="N882" s="197">
        <v>5.0</v>
      </c>
      <c r="O882" s="197">
        <v>5.0</v>
      </c>
      <c r="P882" s="197">
        <v>5.0</v>
      </c>
      <c r="Q882" s="197">
        <v>5.0</v>
      </c>
      <c r="R882" s="197">
        <v>5.0</v>
      </c>
      <c r="S882" s="197">
        <v>5.0</v>
      </c>
      <c r="T882" s="197">
        <v>5.0</v>
      </c>
      <c r="U882" s="197">
        <v>5.0</v>
      </c>
      <c r="V882" s="197">
        <v>5.0</v>
      </c>
      <c r="W882" s="197">
        <v>5.0</v>
      </c>
      <c r="X882" s="196"/>
      <c r="Y882" s="196"/>
      <c r="Z882" s="196"/>
      <c r="AA882" s="196"/>
      <c r="AB882" s="196"/>
      <c r="AC882" s="197">
        <v>5.0</v>
      </c>
      <c r="AD882" s="198"/>
    </row>
    <row r="883">
      <c r="A883" s="193">
        <v>104902.0</v>
      </c>
      <c r="B883" s="194" t="s">
        <v>2014</v>
      </c>
      <c r="C883" s="192" t="s">
        <v>2015</v>
      </c>
      <c r="D883" s="195">
        <v>45531.0</v>
      </c>
      <c r="E883" s="192" t="s">
        <v>254</v>
      </c>
      <c r="F883" s="196"/>
      <c r="G883" s="196"/>
      <c r="H883" s="197">
        <v>5.0</v>
      </c>
      <c r="I883" s="197">
        <v>5.0</v>
      </c>
      <c r="J883" s="197">
        <v>5.0</v>
      </c>
      <c r="K883" s="197">
        <v>5.0</v>
      </c>
      <c r="L883" s="197">
        <v>5.0</v>
      </c>
      <c r="M883" s="197">
        <v>5.0</v>
      </c>
      <c r="N883" s="197">
        <v>5.0</v>
      </c>
      <c r="O883" s="197">
        <v>5.0</v>
      </c>
      <c r="P883" s="197">
        <v>5.0</v>
      </c>
      <c r="Q883" s="197">
        <v>5.0</v>
      </c>
      <c r="R883" s="197">
        <v>5.0</v>
      </c>
      <c r="S883" s="197">
        <v>5.0</v>
      </c>
      <c r="T883" s="197">
        <v>5.0</v>
      </c>
      <c r="U883" s="197">
        <v>5.0</v>
      </c>
      <c r="V883" s="197"/>
      <c r="W883" s="197">
        <v>5.0</v>
      </c>
      <c r="X883" s="196"/>
      <c r="Y883" s="196"/>
      <c r="Z883" s="196"/>
      <c r="AA883" s="196"/>
      <c r="AB883" s="196"/>
      <c r="AC883" s="197">
        <v>5.0</v>
      </c>
      <c r="AD883" s="198"/>
    </row>
    <row r="884">
      <c r="A884" s="193">
        <v>104727.0</v>
      </c>
      <c r="B884" s="194" t="s">
        <v>2016</v>
      </c>
      <c r="C884" s="192" t="s">
        <v>2017</v>
      </c>
      <c r="D884" s="195">
        <v>45595.0</v>
      </c>
      <c r="E884" s="192" t="s">
        <v>326</v>
      </c>
      <c r="F884" s="196"/>
      <c r="G884" s="196"/>
      <c r="H884" s="197">
        <v>5.0</v>
      </c>
      <c r="I884" s="197">
        <v>5.0</v>
      </c>
      <c r="J884" s="197">
        <v>5.0</v>
      </c>
      <c r="K884" s="197">
        <v>5.0</v>
      </c>
      <c r="L884" s="197">
        <v>5.0</v>
      </c>
      <c r="M884" s="197">
        <v>5.0</v>
      </c>
      <c r="N884" s="197">
        <v>5.0</v>
      </c>
      <c r="O884" s="197">
        <v>4.5</v>
      </c>
      <c r="P884" s="197">
        <v>5.0</v>
      </c>
      <c r="Q884" s="197">
        <v>4.5</v>
      </c>
      <c r="R884" s="197">
        <v>4.75</v>
      </c>
      <c r="S884" s="197">
        <v>5.0</v>
      </c>
      <c r="T884" s="197">
        <v>5.0</v>
      </c>
      <c r="U884" s="197">
        <v>5.0</v>
      </c>
      <c r="V884" s="197">
        <v>5.0</v>
      </c>
      <c r="W884" s="197">
        <v>5.0</v>
      </c>
      <c r="X884" s="196"/>
      <c r="Y884" s="196"/>
      <c r="Z884" s="196"/>
      <c r="AA884" s="196"/>
      <c r="AB884" s="196"/>
      <c r="AC884" s="197">
        <v>4.916666666666667</v>
      </c>
      <c r="AD884" s="198"/>
    </row>
    <row r="885">
      <c r="A885" s="193">
        <v>105616.0</v>
      </c>
      <c r="B885" s="194" t="s">
        <v>2018</v>
      </c>
      <c r="C885" s="192" t="s">
        <v>2019</v>
      </c>
      <c r="D885" s="195">
        <v>45741.0</v>
      </c>
      <c r="E885" s="192" t="s">
        <v>1140</v>
      </c>
      <c r="F885" s="196"/>
      <c r="G885" s="196"/>
      <c r="H885" s="197">
        <v>5.0</v>
      </c>
      <c r="I885" s="197">
        <v>5.0</v>
      </c>
      <c r="J885" s="197">
        <v>5.0</v>
      </c>
      <c r="K885" s="197">
        <v>5.0</v>
      </c>
      <c r="L885" s="197">
        <v>5.0</v>
      </c>
      <c r="M885" s="197">
        <v>5.0</v>
      </c>
      <c r="N885" s="197">
        <v>5.0</v>
      </c>
      <c r="O885" s="197">
        <v>5.0</v>
      </c>
      <c r="P885" s="197">
        <v>5.0</v>
      </c>
      <c r="Q885" s="197">
        <v>5.0</v>
      </c>
      <c r="R885" s="197">
        <v>5.0</v>
      </c>
      <c r="S885" s="197">
        <v>5.0</v>
      </c>
      <c r="T885" s="197">
        <v>5.0</v>
      </c>
      <c r="U885" s="197">
        <v>5.0</v>
      </c>
      <c r="V885" s="197"/>
      <c r="W885" s="197">
        <v>5.0</v>
      </c>
      <c r="X885" s="196"/>
      <c r="Y885" s="196"/>
      <c r="Z885" s="196"/>
      <c r="AA885" s="196"/>
      <c r="AB885" s="196"/>
      <c r="AC885" s="197">
        <v>5.0</v>
      </c>
      <c r="AD885" s="198"/>
    </row>
    <row r="886">
      <c r="A886" s="193">
        <v>105616.0</v>
      </c>
      <c r="B886" s="194" t="s">
        <v>2018</v>
      </c>
      <c r="C886" s="192" t="s">
        <v>2019</v>
      </c>
      <c r="D886" s="195">
        <v>45741.0</v>
      </c>
      <c r="E886" s="192" t="s">
        <v>1140</v>
      </c>
      <c r="F886" s="196"/>
      <c r="G886" s="196"/>
      <c r="H886" s="197">
        <v>5.0</v>
      </c>
      <c r="I886" s="197">
        <v>5.0</v>
      </c>
      <c r="J886" s="197">
        <v>5.0</v>
      </c>
      <c r="K886" s="197">
        <v>5.0</v>
      </c>
      <c r="L886" s="197">
        <v>5.0</v>
      </c>
      <c r="M886" s="197">
        <v>5.0</v>
      </c>
      <c r="N886" s="197">
        <v>5.0</v>
      </c>
      <c r="O886" s="197">
        <v>5.0</v>
      </c>
      <c r="P886" s="197">
        <v>5.0</v>
      </c>
      <c r="Q886" s="197">
        <v>5.0</v>
      </c>
      <c r="R886" s="197">
        <v>5.0</v>
      </c>
      <c r="S886" s="197">
        <v>5.0</v>
      </c>
      <c r="T886" s="197">
        <v>5.0</v>
      </c>
      <c r="U886" s="197">
        <v>5.0</v>
      </c>
      <c r="V886" s="197"/>
      <c r="W886" s="197">
        <v>5.0</v>
      </c>
      <c r="X886" s="196"/>
      <c r="Y886" s="196"/>
      <c r="Z886" s="196"/>
      <c r="AA886" s="196"/>
      <c r="AB886" s="196"/>
      <c r="AC886" s="197">
        <v>5.0</v>
      </c>
      <c r="AD886" s="198"/>
    </row>
    <row r="887">
      <c r="A887" s="193">
        <v>105622.0</v>
      </c>
      <c r="B887" s="194" t="s">
        <v>2020</v>
      </c>
      <c r="C887" s="192" t="s">
        <v>2021</v>
      </c>
      <c r="D887" s="195">
        <v>45755.0</v>
      </c>
      <c r="E887" s="192" t="s">
        <v>1140</v>
      </c>
      <c r="F887" s="196"/>
      <c r="G887" s="196"/>
      <c r="H887" s="197">
        <v>5.0</v>
      </c>
      <c r="I887" s="197">
        <v>5.0</v>
      </c>
      <c r="J887" s="197">
        <v>5.0</v>
      </c>
      <c r="K887" s="197">
        <v>5.0</v>
      </c>
      <c r="L887" s="197">
        <v>5.0</v>
      </c>
      <c r="M887" s="197">
        <v>5.0</v>
      </c>
      <c r="N887" s="197">
        <v>5.0</v>
      </c>
      <c r="O887" s="197">
        <v>5.0</v>
      </c>
      <c r="P887" s="197">
        <v>5.0</v>
      </c>
      <c r="Q887" s="197"/>
      <c r="R887" s="197">
        <v>5.0</v>
      </c>
      <c r="S887" s="197">
        <v>5.0</v>
      </c>
      <c r="T887" s="197">
        <v>5.0</v>
      </c>
      <c r="U887" s="197">
        <v>5.0</v>
      </c>
      <c r="V887" s="197">
        <v>5.0</v>
      </c>
      <c r="W887" s="197">
        <v>5.0</v>
      </c>
      <c r="X887" s="196"/>
      <c r="Y887" s="196"/>
      <c r="Z887" s="196"/>
      <c r="AA887" s="196"/>
      <c r="AB887" s="196"/>
      <c r="AC887" s="197">
        <v>5.0</v>
      </c>
      <c r="AD887" s="198"/>
    </row>
    <row r="888">
      <c r="A888" s="193">
        <v>104594.0</v>
      </c>
      <c r="B888" s="194" t="s">
        <v>2022</v>
      </c>
      <c r="C888" s="192" t="s">
        <v>2023</v>
      </c>
      <c r="D888" s="195">
        <v>45854.0</v>
      </c>
      <c r="E888" s="192" t="s">
        <v>295</v>
      </c>
      <c r="F888" s="196"/>
      <c r="G888" s="196"/>
      <c r="H888" s="197">
        <v>5.0</v>
      </c>
      <c r="I888" s="197">
        <v>5.0</v>
      </c>
      <c r="J888" s="197">
        <v>5.0</v>
      </c>
      <c r="K888" s="197">
        <v>5.0</v>
      </c>
      <c r="L888" s="197">
        <v>5.0</v>
      </c>
      <c r="M888" s="197">
        <v>5.0</v>
      </c>
      <c r="N888" s="197">
        <v>5.0</v>
      </c>
      <c r="O888" s="197">
        <v>5.0</v>
      </c>
      <c r="P888" s="197">
        <v>5.0</v>
      </c>
      <c r="Q888" s="197">
        <v>5.0</v>
      </c>
      <c r="R888" s="197">
        <v>5.0</v>
      </c>
      <c r="S888" s="197">
        <v>4.5</v>
      </c>
      <c r="T888" s="197">
        <v>4.5</v>
      </c>
      <c r="U888" s="197">
        <v>4.5</v>
      </c>
      <c r="V888" s="197">
        <v>4.5</v>
      </c>
      <c r="W888" s="197">
        <v>4.5</v>
      </c>
      <c r="X888" s="196"/>
      <c r="Y888" s="196"/>
      <c r="Z888" s="196"/>
      <c r="AA888" s="196"/>
      <c r="AB888" s="196"/>
      <c r="AC888" s="197">
        <v>4.833333333333333</v>
      </c>
      <c r="AD888" s="198"/>
    </row>
    <row r="889">
      <c r="A889" s="193">
        <v>104593.0</v>
      </c>
      <c r="B889" s="194" t="s">
        <v>2024</v>
      </c>
      <c r="C889" s="192" t="s">
        <v>2025</v>
      </c>
      <c r="D889" s="195">
        <v>45854.0</v>
      </c>
      <c r="E889" s="192" t="s">
        <v>295</v>
      </c>
      <c r="F889" s="196"/>
      <c r="G889" s="196"/>
      <c r="H889" s="197">
        <v>5.0</v>
      </c>
      <c r="I889" s="197">
        <v>5.0</v>
      </c>
      <c r="J889" s="197">
        <v>5.0</v>
      </c>
      <c r="K889" s="197">
        <v>5.0</v>
      </c>
      <c r="L889" s="197">
        <v>5.0</v>
      </c>
      <c r="M889" s="197">
        <v>5.0</v>
      </c>
      <c r="N889" s="197">
        <v>5.0</v>
      </c>
      <c r="O889" s="197">
        <v>5.0</v>
      </c>
      <c r="P889" s="197">
        <v>5.0</v>
      </c>
      <c r="Q889" s="197">
        <v>5.0</v>
      </c>
      <c r="R889" s="197">
        <v>5.0</v>
      </c>
      <c r="S889" s="197">
        <v>4.5</v>
      </c>
      <c r="T889" s="197">
        <v>4.5</v>
      </c>
      <c r="U889" s="197">
        <v>4.5</v>
      </c>
      <c r="V889" s="197">
        <v>4.5</v>
      </c>
      <c r="W889" s="197">
        <v>4.5</v>
      </c>
      <c r="X889" s="196"/>
      <c r="Y889" s="196"/>
      <c r="Z889" s="196"/>
      <c r="AA889" s="196"/>
      <c r="AB889" s="196"/>
      <c r="AC889" s="197">
        <v>4.833333333333333</v>
      </c>
      <c r="AD889" s="198"/>
    </row>
    <row r="890">
      <c r="A890" s="193">
        <v>105573.0</v>
      </c>
      <c r="B890" s="194" t="s">
        <v>2026</v>
      </c>
      <c r="C890" s="192" t="s">
        <v>2027</v>
      </c>
      <c r="D890" s="195">
        <v>45723.0</v>
      </c>
      <c r="E890" s="192" t="s">
        <v>1140</v>
      </c>
      <c r="F890" s="196"/>
      <c r="G890" s="196"/>
      <c r="H890" s="197">
        <v>5.0</v>
      </c>
      <c r="I890" s="197">
        <v>5.0</v>
      </c>
      <c r="J890" s="197">
        <v>5.0</v>
      </c>
      <c r="K890" s="197">
        <v>5.0</v>
      </c>
      <c r="L890" s="197">
        <v>5.0</v>
      </c>
      <c r="M890" s="197">
        <v>5.0</v>
      </c>
      <c r="N890" s="197">
        <v>5.0</v>
      </c>
      <c r="O890" s="197">
        <v>5.0</v>
      </c>
      <c r="P890" s="197">
        <v>5.0</v>
      </c>
      <c r="Q890" s="197">
        <v>5.0</v>
      </c>
      <c r="R890" s="197">
        <v>5.0</v>
      </c>
      <c r="S890" s="197">
        <v>5.0</v>
      </c>
      <c r="T890" s="197">
        <v>5.0</v>
      </c>
      <c r="U890" s="197"/>
      <c r="V890" s="197">
        <v>5.0</v>
      </c>
      <c r="W890" s="197">
        <v>5.0</v>
      </c>
      <c r="X890" s="196"/>
      <c r="Y890" s="196"/>
      <c r="Z890" s="196"/>
      <c r="AA890" s="196"/>
      <c r="AB890" s="196"/>
      <c r="AC890" s="197">
        <v>5.0</v>
      </c>
      <c r="AD890" s="198"/>
    </row>
    <row r="891">
      <c r="A891" s="193">
        <v>104607.0</v>
      </c>
      <c r="B891" s="194" t="s">
        <v>2028</v>
      </c>
      <c r="C891" s="192" t="s">
        <v>2029</v>
      </c>
      <c r="D891" s="195">
        <v>45854.0</v>
      </c>
      <c r="E891" s="192" t="s">
        <v>360</v>
      </c>
      <c r="F891" s="196"/>
      <c r="G891" s="196"/>
      <c r="H891" s="197">
        <v>5.0</v>
      </c>
      <c r="I891" s="197">
        <v>5.0</v>
      </c>
      <c r="J891" s="197">
        <v>5.0</v>
      </c>
      <c r="K891" s="197">
        <v>5.0</v>
      </c>
      <c r="L891" s="197">
        <v>5.0</v>
      </c>
      <c r="M891" s="197">
        <v>5.0</v>
      </c>
      <c r="N891" s="197">
        <v>5.0</v>
      </c>
      <c r="O891" s="197">
        <v>5.0</v>
      </c>
      <c r="P891" s="197">
        <v>4.0</v>
      </c>
      <c r="Q891" s="197">
        <v>5.0</v>
      </c>
      <c r="R891" s="197">
        <v>4.75</v>
      </c>
      <c r="S891" s="197">
        <v>4.5</v>
      </c>
      <c r="T891" s="197">
        <v>4.5</v>
      </c>
      <c r="U891" s="197">
        <v>4.5</v>
      </c>
      <c r="V891" s="197">
        <v>4.5</v>
      </c>
      <c r="W891" s="197">
        <v>4.5</v>
      </c>
      <c r="X891" s="196"/>
      <c r="Y891" s="196"/>
      <c r="Z891" s="196"/>
      <c r="AA891" s="196"/>
      <c r="AB891" s="196"/>
      <c r="AC891" s="197">
        <v>4.75</v>
      </c>
      <c r="AD891" s="198"/>
    </row>
    <row r="892">
      <c r="A892" s="193">
        <v>105615.0</v>
      </c>
      <c r="B892" s="194" t="s">
        <v>2030</v>
      </c>
      <c r="C892" s="192" t="s">
        <v>2031</v>
      </c>
      <c r="D892" s="195">
        <v>45741.0</v>
      </c>
      <c r="E892" s="192" t="s">
        <v>1140</v>
      </c>
      <c r="F892" s="196"/>
      <c r="G892" s="196"/>
      <c r="H892" s="197">
        <v>5.0</v>
      </c>
      <c r="I892" s="197">
        <v>5.0</v>
      </c>
      <c r="J892" s="197">
        <v>5.0</v>
      </c>
      <c r="K892" s="197">
        <v>5.0</v>
      </c>
      <c r="L892" s="197">
        <v>5.0</v>
      </c>
      <c r="M892" s="197">
        <v>5.0</v>
      </c>
      <c r="N892" s="197">
        <v>6.0</v>
      </c>
      <c r="O892" s="197">
        <v>5.0</v>
      </c>
      <c r="P892" s="197">
        <v>5.0</v>
      </c>
      <c r="Q892" s="197">
        <v>5.0</v>
      </c>
      <c r="R892" s="197">
        <v>5.25</v>
      </c>
      <c r="S892" s="197">
        <v>5.0</v>
      </c>
      <c r="T892" s="197">
        <v>5.0</v>
      </c>
      <c r="U892" s="197">
        <v>5.0</v>
      </c>
      <c r="V892" s="197"/>
      <c r="W892" s="197">
        <v>5.0</v>
      </c>
      <c r="X892" s="196"/>
      <c r="Y892" s="196"/>
      <c r="Z892" s="196"/>
      <c r="AA892" s="196"/>
      <c r="AB892" s="196"/>
      <c r="AC892" s="197">
        <v>5.083333333333333</v>
      </c>
      <c r="AD892" s="198"/>
    </row>
    <row r="893">
      <c r="A893" s="193">
        <v>105615.0</v>
      </c>
      <c r="B893" s="194" t="s">
        <v>2030</v>
      </c>
      <c r="C893" s="192" t="s">
        <v>2031</v>
      </c>
      <c r="D893" s="195">
        <v>45741.0</v>
      </c>
      <c r="E893" s="192" t="s">
        <v>1140</v>
      </c>
      <c r="F893" s="196"/>
      <c r="G893" s="196"/>
      <c r="H893" s="197">
        <v>5.0</v>
      </c>
      <c r="I893" s="197">
        <v>5.0</v>
      </c>
      <c r="J893" s="197">
        <v>5.0</v>
      </c>
      <c r="K893" s="197">
        <v>5.0</v>
      </c>
      <c r="L893" s="197">
        <v>5.0</v>
      </c>
      <c r="M893" s="197">
        <v>5.0</v>
      </c>
      <c r="N893" s="197">
        <v>6.0</v>
      </c>
      <c r="O893" s="197">
        <v>5.0</v>
      </c>
      <c r="P893" s="197">
        <v>5.0</v>
      </c>
      <c r="Q893" s="197">
        <v>5.0</v>
      </c>
      <c r="R893" s="197">
        <v>5.25</v>
      </c>
      <c r="S893" s="197">
        <v>5.0</v>
      </c>
      <c r="T893" s="197">
        <v>5.0</v>
      </c>
      <c r="U893" s="197">
        <v>5.0</v>
      </c>
      <c r="V893" s="197"/>
      <c r="W893" s="197">
        <v>5.0</v>
      </c>
      <c r="X893" s="196"/>
      <c r="Y893" s="196"/>
      <c r="Z893" s="196"/>
      <c r="AA893" s="196"/>
      <c r="AB893" s="196"/>
      <c r="AC893" s="197">
        <v>5.083333333333333</v>
      </c>
      <c r="AD893" s="198"/>
    </row>
    <row r="894">
      <c r="A894" s="193">
        <v>105640.0</v>
      </c>
      <c r="B894" s="194" t="s">
        <v>2032</v>
      </c>
      <c r="C894" s="192" t="s">
        <v>2033</v>
      </c>
      <c r="D894" s="195">
        <v>45755.0</v>
      </c>
      <c r="E894" s="192" t="s">
        <v>1140</v>
      </c>
      <c r="F894" s="196"/>
      <c r="G894" s="196"/>
      <c r="H894" s="197">
        <v>5.0</v>
      </c>
      <c r="I894" s="197">
        <v>5.0</v>
      </c>
      <c r="J894" s="197">
        <v>5.0</v>
      </c>
      <c r="K894" s="197">
        <v>5.0</v>
      </c>
      <c r="L894" s="197">
        <v>5.0</v>
      </c>
      <c r="M894" s="197">
        <v>5.0</v>
      </c>
      <c r="N894" s="197">
        <v>5.0</v>
      </c>
      <c r="O894" s="197">
        <v>5.0</v>
      </c>
      <c r="P894" s="197">
        <v>5.0</v>
      </c>
      <c r="Q894" s="197">
        <v>5.0</v>
      </c>
      <c r="R894" s="197">
        <v>5.0</v>
      </c>
      <c r="S894" s="197">
        <v>5.0</v>
      </c>
      <c r="T894" s="197">
        <v>5.0</v>
      </c>
      <c r="U894" s="197"/>
      <c r="V894" s="197">
        <v>5.0</v>
      </c>
      <c r="W894" s="197">
        <v>5.0</v>
      </c>
      <c r="X894" s="196"/>
      <c r="Y894" s="196"/>
      <c r="Z894" s="196"/>
      <c r="AA894" s="196"/>
      <c r="AB894" s="196"/>
      <c r="AC894" s="197">
        <v>5.0</v>
      </c>
      <c r="AD894" s="198"/>
    </row>
    <row r="895">
      <c r="A895" s="193">
        <v>105637.0</v>
      </c>
      <c r="B895" s="194" t="s">
        <v>2034</v>
      </c>
      <c r="C895" s="192" t="s">
        <v>2035</v>
      </c>
      <c r="D895" s="195">
        <v>45751.0</v>
      </c>
      <c r="E895" s="192" t="s">
        <v>1140</v>
      </c>
      <c r="F895" s="196"/>
      <c r="G895" s="196"/>
      <c r="H895" s="197">
        <v>5.0</v>
      </c>
      <c r="I895" s="197">
        <v>5.0</v>
      </c>
      <c r="J895" s="197">
        <v>5.0</v>
      </c>
      <c r="K895" s="197">
        <v>5.0</v>
      </c>
      <c r="L895" s="197">
        <v>5.0</v>
      </c>
      <c r="M895" s="197">
        <v>5.0</v>
      </c>
      <c r="N895" s="197">
        <v>5.0</v>
      </c>
      <c r="O895" s="197">
        <v>5.0</v>
      </c>
      <c r="P895" s="197">
        <v>5.0</v>
      </c>
      <c r="Q895" s="197">
        <v>5.0</v>
      </c>
      <c r="R895" s="197">
        <v>5.0</v>
      </c>
      <c r="S895" s="197">
        <v>5.0</v>
      </c>
      <c r="T895" s="197">
        <v>5.0</v>
      </c>
      <c r="U895" s="197">
        <v>5.0</v>
      </c>
      <c r="V895" s="197"/>
      <c r="W895" s="197">
        <v>5.0</v>
      </c>
      <c r="X895" s="196"/>
      <c r="Y895" s="196"/>
      <c r="Z895" s="196"/>
      <c r="AA895" s="196"/>
      <c r="AB895" s="196"/>
      <c r="AC895" s="197">
        <v>5.0</v>
      </c>
      <c r="AD895" s="198"/>
    </row>
    <row r="896">
      <c r="A896" s="193">
        <v>105637.0</v>
      </c>
      <c r="B896" s="194" t="s">
        <v>2034</v>
      </c>
      <c r="C896" s="192" t="s">
        <v>2035</v>
      </c>
      <c r="D896" s="195">
        <v>45751.0</v>
      </c>
      <c r="E896" s="192" t="s">
        <v>1140</v>
      </c>
      <c r="F896" s="196"/>
      <c r="G896" s="196"/>
      <c r="H896" s="197">
        <v>5.0</v>
      </c>
      <c r="I896" s="197">
        <v>5.0</v>
      </c>
      <c r="J896" s="197">
        <v>5.0</v>
      </c>
      <c r="K896" s="197">
        <v>5.0</v>
      </c>
      <c r="L896" s="197">
        <v>5.0</v>
      </c>
      <c r="M896" s="197">
        <v>5.0</v>
      </c>
      <c r="N896" s="197">
        <v>5.0</v>
      </c>
      <c r="O896" s="197">
        <v>5.0</v>
      </c>
      <c r="P896" s="197">
        <v>5.0</v>
      </c>
      <c r="Q896" s="197">
        <v>5.0</v>
      </c>
      <c r="R896" s="197">
        <v>5.0</v>
      </c>
      <c r="S896" s="197">
        <v>5.0</v>
      </c>
      <c r="T896" s="197">
        <v>5.0</v>
      </c>
      <c r="U896" s="197">
        <v>5.0</v>
      </c>
      <c r="V896" s="197"/>
      <c r="W896" s="197">
        <v>5.0</v>
      </c>
      <c r="X896" s="196"/>
      <c r="Y896" s="196"/>
      <c r="Z896" s="196"/>
      <c r="AA896" s="196"/>
      <c r="AB896" s="196"/>
      <c r="AC896" s="197">
        <v>5.0</v>
      </c>
      <c r="AD896" s="198"/>
    </row>
    <row r="897">
      <c r="A897" s="193">
        <v>105651.0</v>
      </c>
      <c r="B897" s="194" t="s">
        <v>2036</v>
      </c>
      <c r="C897" s="192" t="s">
        <v>2037</v>
      </c>
      <c r="D897" s="195">
        <v>6685863.0</v>
      </c>
      <c r="E897" s="192" t="s">
        <v>1140</v>
      </c>
      <c r="F897" s="196"/>
      <c r="G897" s="196"/>
      <c r="H897" s="197">
        <v>5.0</v>
      </c>
      <c r="I897" s="197">
        <v>5.0</v>
      </c>
      <c r="J897" s="197">
        <v>5.0</v>
      </c>
      <c r="K897" s="197">
        <v>5.0</v>
      </c>
      <c r="L897" s="197">
        <v>5.0</v>
      </c>
      <c r="M897" s="197">
        <v>5.0</v>
      </c>
      <c r="N897" s="197">
        <v>5.0</v>
      </c>
      <c r="O897" s="197">
        <v>5.0</v>
      </c>
      <c r="P897" s="197">
        <v>5.0</v>
      </c>
      <c r="Q897" s="197">
        <v>5.0</v>
      </c>
      <c r="R897" s="197">
        <v>5.0</v>
      </c>
      <c r="S897" s="197">
        <v>5.0</v>
      </c>
      <c r="T897" s="197">
        <v>5.0</v>
      </c>
      <c r="U897" s="197">
        <v>5.0</v>
      </c>
      <c r="V897" s="197"/>
      <c r="W897" s="197">
        <v>5.0</v>
      </c>
      <c r="X897" s="196"/>
      <c r="Y897" s="196"/>
      <c r="Z897" s="196"/>
      <c r="AA897" s="196"/>
      <c r="AB897" s="196"/>
      <c r="AC897" s="197">
        <v>5.0</v>
      </c>
      <c r="AD897" s="198"/>
    </row>
    <row r="898">
      <c r="A898" s="193">
        <v>105132.0</v>
      </c>
      <c r="B898" s="194" t="s">
        <v>2038</v>
      </c>
      <c r="C898" s="192" t="s">
        <v>2039</v>
      </c>
      <c r="D898" s="195">
        <v>45608.0</v>
      </c>
      <c r="E898" s="192" t="s">
        <v>185</v>
      </c>
      <c r="F898" s="196"/>
      <c r="G898" s="196"/>
      <c r="H898" s="197">
        <v>5.0</v>
      </c>
      <c r="I898" s="197">
        <v>5.0</v>
      </c>
      <c r="J898" s="197">
        <v>5.0</v>
      </c>
      <c r="K898" s="197">
        <v>5.0</v>
      </c>
      <c r="L898" s="197">
        <v>5.0</v>
      </c>
      <c r="M898" s="197">
        <v>5.0</v>
      </c>
      <c r="N898" s="197">
        <v>4.8</v>
      </c>
      <c r="O898" s="197">
        <v>4.8</v>
      </c>
      <c r="P898" s="197">
        <v>4.7</v>
      </c>
      <c r="Q898" s="197">
        <v>4.8</v>
      </c>
      <c r="R898" s="197">
        <v>4.775</v>
      </c>
      <c r="S898" s="197"/>
      <c r="T898" s="197">
        <v>4.5</v>
      </c>
      <c r="U898" s="197">
        <v>4.5</v>
      </c>
      <c r="V898" s="197">
        <v>4.5</v>
      </c>
      <c r="W898" s="197">
        <v>4.5</v>
      </c>
      <c r="X898" s="196"/>
      <c r="Y898" s="196"/>
      <c r="Z898" s="196"/>
      <c r="AA898" s="196"/>
      <c r="AB898" s="196"/>
      <c r="AC898" s="197">
        <v>4.758333333333334</v>
      </c>
      <c r="AD898" s="198"/>
    </row>
    <row r="899">
      <c r="A899" s="193">
        <v>105423.0</v>
      </c>
      <c r="B899" s="194" t="s">
        <v>2040</v>
      </c>
      <c r="C899" s="192" t="s">
        <v>2041</v>
      </c>
      <c r="D899" s="195">
        <v>45737.0</v>
      </c>
      <c r="E899" s="192" t="s">
        <v>454</v>
      </c>
      <c r="F899" s="196"/>
      <c r="G899" s="196"/>
      <c r="H899" s="197">
        <v>5.0</v>
      </c>
      <c r="I899" s="197">
        <v>5.0</v>
      </c>
      <c r="J899" s="197">
        <v>5.0</v>
      </c>
      <c r="K899" s="197">
        <v>5.0</v>
      </c>
      <c r="L899" s="197">
        <v>5.0</v>
      </c>
      <c r="M899" s="197">
        <v>5.0</v>
      </c>
      <c r="N899" s="197">
        <v>5.0</v>
      </c>
      <c r="O899" s="197">
        <v>4.9</v>
      </c>
      <c r="P899" s="197">
        <v>4.5</v>
      </c>
      <c r="Q899" s="197">
        <v>5.0</v>
      </c>
      <c r="R899" s="197">
        <v>4.85</v>
      </c>
      <c r="S899" s="197">
        <v>5.0</v>
      </c>
      <c r="T899" s="197">
        <v>4.5</v>
      </c>
      <c r="U899" s="197">
        <v>4.5</v>
      </c>
      <c r="V899" s="197"/>
      <c r="W899" s="197">
        <v>4.666666666666667</v>
      </c>
      <c r="X899" s="196"/>
      <c r="Y899" s="196"/>
      <c r="Z899" s="196"/>
      <c r="AA899" s="196"/>
      <c r="AB899" s="196"/>
      <c r="AC899" s="197">
        <v>4.838888888888889</v>
      </c>
      <c r="AD899" s="198"/>
    </row>
    <row r="900">
      <c r="A900" s="193">
        <v>104926.0</v>
      </c>
      <c r="B900" s="194" t="s">
        <v>2042</v>
      </c>
      <c r="C900" s="192" t="s">
        <v>2043</v>
      </c>
      <c r="D900" s="244" t="s">
        <v>2044</v>
      </c>
      <c r="E900" s="192" t="s">
        <v>87</v>
      </c>
      <c r="F900" s="196"/>
      <c r="G900" s="196"/>
      <c r="H900" s="197">
        <v>5.0</v>
      </c>
      <c r="I900" s="197">
        <v>5.0</v>
      </c>
      <c r="J900" s="197">
        <v>5.0</v>
      </c>
      <c r="K900" s="197">
        <v>5.0</v>
      </c>
      <c r="L900" s="197">
        <v>5.0</v>
      </c>
      <c r="M900" s="197">
        <v>5.0</v>
      </c>
      <c r="N900" s="197">
        <v>5.0</v>
      </c>
      <c r="O900" s="197">
        <v>5.0</v>
      </c>
      <c r="P900" s="197">
        <v>5.0</v>
      </c>
      <c r="Q900" s="197">
        <v>5.0</v>
      </c>
      <c r="R900" s="197">
        <v>5.0</v>
      </c>
      <c r="S900" s="197">
        <v>5.0</v>
      </c>
      <c r="T900" s="197">
        <v>5.0</v>
      </c>
      <c r="U900" s="197"/>
      <c r="V900" s="197">
        <v>5.0</v>
      </c>
      <c r="W900" s="197">
        <v>5.0</v>
      </c>
      <c r="X900" s="196"/>
      <c r="Y900" s="196"/>
      <c r="Z900" s="196"/>
      <c r="AA900" s="196"/>
      <c r="AB900" s="196"/>
      <c r="AC900" s="197">
        <v>5.0</v>
      </c>
      <c r="AD900" s="198"/>
    </row>
    <row r="901">
      <c r="A901" s="193">
        <v>105097.0</v>
      </c>
      <c r="B901" s="194" t="s">
        <v>2045</v>
      </c>
      <c r="C901" s="192" t="s">
        <v>2046</v>
      </c>
      <c r="D901" s="195">
        <v>45589.0</v>
      </c>
      <c r="E901" s="192" t="s">
        <v>806</v>
      </c>
      <c r="F901" s="196"/>
      <c r="G901" s="196"/>
      <c r="H901" s="197">
        <v>5.0</v>
      </c>
      <c r="I901" s="197">
        <v>5.0</v>
      </c>
      <c r="J901" s="197">
        <v>5.0</v>
      </c>
      <c r="K901" s="197">
        <v>5.0</v>
      </c>
      <c r="L901" s="197">
        <v>5.0</v>
      </c>
      <c r="M901" s="197">
        <v>5.0</v>
      </c>
      <c r="N901" s="197">
        <v>5.0</v>
      </c>
      <c r="O901" s="197">
        <v>5.0</v>
      </c>
      <c r="P901" s="197">
        <v>5.0</v>
      </c>
      <c r="Q901" s="197">
        <v>5.0</v>
      </c>
      <c r="R901" s="197">
        <v>5.0</v>
      </c>
      <c r="S901" s="197">
        <v>5.0</v>
      </c>
      <c r="T901" s="197">
        <v>5.0</v>
      </c>
      <c r="U901" s="197">
        <v>5.0</v>
      </c>
      <c r="V901" s="197"/>
      <c r="W901" s="197">
        <v>5.0</v>
      </c>
      <c r="X901" s="196"/>
      <c r="Y901" s="196"/>
      <c r="Z901" s="196"/>
      <c r="AA901" s="196"/>
      <c r="AB901" s="196"/>
      <c r="AC901" s="197">
        <v>5.0</v>
      </c>
      <c r="AD901" s="198"/>
    </row>
    <row r="902">
      <c r="A902" s="193">
        <v>104936.0</v>
      </c>
      <c r="B902" s="194" t="s">
        <v>2047</v>
      </c>
      <c r="C902" s="192" t="s">
        <v>2048</v>
      </c>
      <c r="D902" s="195">
        <v>45575.0</v>
      </c>
      <c r="E902" s="192" t="s">
        <v>2049</v>
      </c>
      <c r="F902" s="196"/>
      <c r="G902" s="196"/>
      <c r="H902" s="197">
        <v>5.0</v>
      </c>
      <c r="I902" s="197">
        <v>5.0</v>
      </c>
      <c r="J902" s="197">
        <v>5.0</v>
      </c>
      <c r="K902" s="197">
        <v>5.0</v>
      </c>
      <c r="L902" s="197">
        <v>5.0</v>
      </c>
      <c r="M902" s="197">
        <v>5.0</v>
      </c>
      <c r="N902" s="197">
        <v>5.0</v>
      </c>
      <c r="O902" s="197">
        <v>5.0</v>
      </c>
      <c r="P902" s="197">
        <v>5.0</v>
      </c>
      <c r="Q902" s="197">
        <v>5.0</v>
      </c>
      <c r="R902" s="197">
        <v>5.0</v>
      </c>
      <c r="S902" s="197">
        <v>5.0</v>
      </c>
      <c r="T902" s="197">
        <v>5.0</v>
      </c>
      <c r="U902" s="197"/>
      <c r="V902" s="197">
        <v>5.0</v>
      </c>
      <c r="W902" s="197">
        <v>5.0</v>
      </c>
      <c r="X902" s="196"/>
      <c r="Y902" s="196"/>
      <c r="Z902" s="196"/>
      <c r="AA902" s="196"/>
      <c r="AB902" s="196"/>
      <c r="AC902" s="197">
        <v>5.0</v>
      </c>
      <c r="AD902" s="198"/>
    </row>
    <row r="903">
      <c r="A903" s="193">
        <v>104736.0</v>
      </c>
      <c r="B903" s="194" t="s">
        <v>2050</v>
      </c>
      <c r="C903" s="192" t="s">
        <v>2051</v>
      </c>
      <c r="D903" s="195">
        <v>45486.0</v>
      </c>
      <c r="E903" s="192" t="s">
        <v>1726</v>
      </c>
      <c r="F903" s="196"/>
      <c r="G903" s="196"/>
      <c r="H903" s="197">
        <v>5.0</v>
      </c>
      <c r="I903" s="197">
        <v>5.0</v>
      </c>
      <c r="J903" s="197">
        <v>5.0</v>
      </c>
      <c r="K903" s="197">
        <v>5.0</v>
      </c>
      <c r="L903" s="197">
        <v>5.0</v>
      </c>
      <c r="M903" s="197">
        <v>5.0</v>
      </c>
      <c r="N903" s="197">
        <v>5.0</v>
      </c>
      <c r="O903" s="197">
        <v>5.0</v>
      </c>
      <c r="P903" s="197">
        <v>5.0</v>
      </c>
      <c r="Q903" s="197">
        <v>5.0</v>
      </c>
      <c r="R903" s="197">
        <v>5.0</v>
      </c>
      <c r="S903" s="197">
        <v>5.0</v>
      </c>
      <c r="T903" s="197">
        <v>5.0</v>
      </c>
      <c r="U903" s="197">
        <v>5.0</v>
      </c>
      <c r="V903" s="197"/>
      <c r="W903" s="197">
        <v>5.0</v>
      </c>
      <c r="X903" s="196"/>
      <c r="Y903" s="196"/>
      <c r="Z903" s="196"/>
      <c r="AA903" s="196"/>
      <c r="AB903" s="196"/>
      <c r="AC903" s="197">
        <v>5.0</v>
      </c>
      <c r="AD903" s="198"/>
    </row>
    <row r="904">
      <c r="A904" s="193">
        <v>105256.0</v>
      </c>
      <c r="B904" s="194" t="s">
        <v>2052</v>
      </c>
      <c r="C904" s="192" t="s">
        <v>2053</v>
      </c>
      <c r="D904" s="195">
        <v>45608.0</v>
      </c>
      <c r="E904" s="192" t="s">
        <v>646</v>
      </c>
      <c r="F904" s="196"/>
      <c r="G904" s="196"/>
      <c r="H904" s="197">
        <v>5.0</v>
      </c>
      <c r="I904" s="197">
        <v>5.0</v>
      </c>
      <c r="J904" s="197">
        <v>5.0</v>
      </c>
      <c r="K904" s="197">
        <v>5.0</v>
      </c>
      <c r="L904" s="197">
        <v>5.0</v>
      </c>
      <c r="M904" s="197">
        <v>5.0</v>
      </c>
      <c r="N904" s="197">
        <v>5.0</v>
      </c>
      <c r="O904" s="197">
        <v>5.0</v>
      </c>
      <c r="P904" s="197">
        <v>4.0</v>
      </c>
      <c r="Q904" s="197">
        <v>5.0</v>
      </c>
      <c r="R904" s="197">
        <v>4.75</v>
      </c>
      <c r="S904" s="197">
        <v>5.0</v>
      </c>
      <c r="T904" s="197">
        <v>5.0</v>
      </c>
      <c r="U904" s="197">
        <v>5.0</v>
      </c>
      <c r="V904" s="197">
        <v>5.0</v>
      </c>
      <c r="W904" s="197">
        <v>5.0</v>
      </c>
      <c r="X904" s="196"/>
      <c r="Y904" s="196"/>
      <c r="Z904" s="196"/>
      <c r="AA904" s="196"/>
      <c r="AB904" s="196"/>
      <c r="AC904" s="197">
        <v>4.916666666666667</v>
      </c>
      <c r="AD904" s="198"/>
    </row>
    <row r="905">
      <c r="A905" s="193">
        <v>104824.0</v>
      </c>
      <c r="B905" s="194" t="s">
        <v>2054</v>
      </c>
      <c r="C905" s="192" t="s">
        <v>2055</v>
      </c>
      <c r="D905" s="195">
        <v>45510.0</v>
      </c>
      <c r="E905" s="192" t="s">
        <v>1392</v>
      </c>
      <c r="F905" s="196"/>
      <c r="G905" s="196"/>
      <c r="H905" s="197">
        <v>5.0</v>
      </c>
      <c r="I905" s="197">
        <v>5.0</v>
      </c>
      <c r="J905" s="197">
        <v>5.0</v>
      </c>
      <c r="K905" s="197">
        <v>5.0</v>
      </c>
      <c r="L905" s="197">
        <v>5.0</v>
      </c>
      <c r="M905" s="197">
        <v>5.0</v>
      </c>
      <c r="N905" s="197">
        <v>5.0</v>
      </c>
      <c r="O905" s="197">
        <v>5.0</v>
      </c>
      <c r="P905" s="197">
        <v>5.0</v>
      </c>
      <c r="Q905" s="197">
        <v>5.0</v>
      </c>
      <c r="R905" s="197">
        <v>5.0</v>
      </c>
      <c r="S905" s="197">
        <v>5.0</v>
      </c>
      <c r="T905" s="197">
        <v>5.0</v>
      </c>
      <c r="U905" s="197">
        <v>5.0</v>
      </c>
      <c r="V905" s="197"/>
      <c r="W905" s="197">
        <v>5.0</v>
      </c>
      <c r="X905" s="196"/>
      <c r="Y905" s="196"/>
      <c r="Z905" s="196"/>
      <c r="AA905" s="196"/>
      <c r="AB905" s="196"/>
      <c r="AC905" s="197">
        <v>5.0</v>
      </c>
      <c r="AD905" s="198"/>
    </row>
    <row r="906">
      <c r="A906" s="193">
        <v>104825.0</v>
      </c>
      <c r="B906" s="194" t="s">
        <v>2056</v>
      </c>
      <c r="C906" s="192" t="s">
        <v>2057</v>
      </c>
      <c r="D906" s="195">
        <v>45505.0</v>
      </c>
      <c r="E906" s="192" t="s">
        <v>1140</v>
      </c>
      <c r="F906" s="196"/>
      <c r="G906" s="196"/>
      <c r="H906" s="197">
        <v>5.0</v>
      </c>
      <c r="I906" s="197">
        <v>5.0</v>
      </c>
      <c r="J906" s="197">
        <v>5.0</v>
      </c>
      <c r="K906" s="197">
        <v>5.0</v>
      </c>
      <c r="L906" s="197">
        <v>5.0</v>
      </c>
      <c r="M906" s="197">
        <v>5.0</v>
      </c>
      <c r="N906" s="197">
        <v>5.0</v>
      </c>
      <c r="O906" s="197">
        <v>5.0</v>
      </c>
      <c r="P906" s="197">
        <v>5.0</v>
      </c>
      <c r="Q906" s="197">
        <v>5.0</v>
      </c>
      <c r="R906" s="197">
        <v>5.0</v>
      </c>
      <c r="S906" s="197">
        <v>5.0</v>
      </c>
      <c r="T906" s="197">
        <v>5.0</v>
      </c>
      <c r="U906" s="197"/>
      <c r="V906" s="197">
        <v>5.0</v>
      </c>
      <c r="W906" s="197">
        <v>5.0</v>
      </c>
      <c r="X906" s="196"/>
      <c r="Y906" s="196"/>
      <c r="Z906" s="196"/>
      <c r="AA906" s="196"/>
      <c r="AB906" s="196"/>
      <c r="AC906" s="197">
        <v>5.0</v>
      </c>
      <c r="AD906" s="198"/>
    </row>
    <row r="907">
      <c r="A907" s="193">
        <v>104834.0</v>
      </c>
      <c r="B907" s="194" t="s">
        <v>2058</v>
      </c>
      <c r="C907" s="192" t="s">
        <v>2059</v>
      </c>
      <c r="D907" s="195">
        <v>45511.0</v>
      </c>
      <c r="E907" s="192" t="s">
        <v>1140</v>
      </c>
      <c r="F907" s="196"/>
      <c r="G907" s="196"/>
      <c r="H907" s="197">
        <v>5.0</v>
      </c>
      <c r="I907" s="197">
        <v>5.0</v>
      </c>
      <c r="J907" s="197">
        <v>5.0</v>
      </c>
      <c r="K907" s="197">
        <v>5.0</v>
      </c>
      <c r="L907" s="197">
        <v>5.0</v>
      </c>
      <c r="M907" s="197">
        <v>5.0</v>
      </c>
      <c r="N907" s="197">
        <v>5.0</v>
      </c>
      <c r="O907" s="197">
        <v>5.0</v>
      </c>
      <c r="P907" s="197">
        <v>5.0</v>
      </c>
      <c r="Q907" s="197">
        <v>5.0</v>
      </c>
      <c r="R907" s="197">
        <v>5.0</v>
      </c>
      <c r="S907" s="197">
        <v>5.0</v>
      </c>
      <c r="T907" s="197">
        <v>5.0</v>
      </c>
      <c r="U907" s="197">
        <v>5.0</v>
      </c>
      <c r="V907" s="197"/>
      <c r="W907" s="197">
        <v>5.0</v>
      </c>
      <c r="X907" s="196"/>
      <c r="Y907" s="196"/>
      <c r="Z907" s="196"/>
      <c r="AA907" s="196"/>
      <c r="AB907" s="196"/>
      <c r="AC907" s="197">
        <v>5.0</v>
      </c>
      <c r="AD907" s="198"/>
    </row>
    <row r="908">
      <c r="A908" s="193">
        <v>104511.0</v>
      </c>
      <c r="B908" s="194" t="s">
        <v>2060</v>
      </c>
      <c r="C908" s="192" t="s">
        <v>2061</v>
      </c>
      <c r="D908" s="195">
        <v>45453.0</v>
      </c>
      <c r="E908" s="192" t="s">
        <v>1723</v>
      </c>
      <c r="F908" s="196"/>
      <c r="G908" s="196"/>
      <c r="H908" s="197">
        <v>5.0</v>
      </c>
      <c r="I908" s="197">
        <v>5.0</v>
      </c>
      <c r="J908" s="197">
        <v>5.0</v>
      </c>
      <c r="K908" s="197">
        <v>5.0</v>
      </c>
      <c r="L908" s="197">
        <v>5.0</v>
      </c>
      <c r="M908" s="197">
        <v>5.0</v>
      </c>
      <c r="N908" s="197">
        <v>5.0</v>
      </c>
      <c r="O908" s="197">
        <v>5.0</v>
      </c>
      <c r="P908" s="197">
        <v>5.0</v>
      </c>
      <c r="Q908" s="197">
        <v>5.0</v>
      </c>
      <c r="R908" s="197">
        <v>5.0</v>
      </c>
      <c r="S908" s="197"/>
      <c r="T908" s="197">
        <v>5.0</v>
      </c>
      <c r="U908" s="197">
        <v>5.0</v>
      </c>
      <c r="V908" s="197">
        <v>5.0</v>
      </c>
      <c r="W908" s="197">
        <v>5.0</v>
      </c>
      <c r="X908" s="196"/>
      <c r="Y908" s="196"/>
      <c r="Z908" s="196"/>
      <c r="AA908" s="196"/>
      <c r="AB908" s="196"/>
      <c r="AC908" s="197">
        <v>5.0</v>
      </c>
      <c r="AD908" s="198"/>
    </row>
    <row r="909">
      <c r="A909" s="193">
        <v>104595.0</v>
      </c>
      <c r="B909" s="194" t="s">
        <v>2062</v>
      </c>
      <c r="C909" s="192" t="s">
        <v>2063</v>
      </c>
      <c r="D909" s="195">
        <v>45854.0</v>
      </c>
      <c r="E909" s="192" t="s">
        <v>380</v>
      </c>
      <c r="F909" s="196"/>
      <c r="G909" s="196"/>
      <c r="H909" s="197">
        <v>5.0</v>
      </c>
      <c r="I909" s="197">
        <v>5.0</v>
      </c>
      <c r="J909" s="197">
        <v>5.0</v>
      </c>
      <c r="K909" s="197">
        <v>5.0</v>
      </c>
      <c r="L909" s="197">
        <v>5.0</v>
      </c>
      <c r="M909" s="197">
        <v>5.0</v>
      </c>
      <c r="N909" s="197">
        <v>5.0</v>
      </c>
      <c r="O909" s="197">
        <v>5.0</v>
      </c>
      <c r="P909" s="197">
        <v>5.0</v>
      </c>
      <c r="Q909" s="197">
        <v>5.0</v>
      </c>
      <c r="R909" s="197">
        <v>5.0</v>
      </c>
      <c r="S909" s="197">
        <v>4.5</v>
      </c>
      <c r="T909" s="197">
        <v>4.5</v>
      </c>
      <c r="U909" s="197">
        <v>4.5</v>
      </c>
      <c r="V909" s="197">
        <v>4.5</v>
      </c>
      <c r="W909" s="197">
        <v>4.5</v>
      </c>
      <c r="X909" s="196"/>
      <c r="Y909" s="196"/>
      <c r="Z909" s="196"/>
      <c r="AA909" s="196"/>
      <c r="AB909" s="196"/>
      <c r="AC909" s="197">
        <v>4.833333333333333</v>
      </c>
      <c r="AD909" s="198"/>
    </row>
    <row r="910">
      <c r="A910" s="193">
        <v>105131.0</v>
      </c>
      <c r="B910" s="194" t="s">
        <v>2064</v>
      </c>
      <c r="C910" s="192" t="s">
        <v>2065</v>
      </c>
      <c r="D910" s="195">
        <v>45608.0</v>
      </c>
      <c r="E910" s="192" t="s">
        <v>51</v>
      </c>
      <c r="F910" s="196"/>
      <c r="G910" s="196"/>
      <c r="H910" s="197">
        <v>5.0</v>
      </c>
      <c r="I910" s="197">
        <v>5.0</v>
      </c>
      <c r="J910" s="197">
        <v>5.0</v>
      </c>
      <c r="K910" s="197">
        <v>5.0</v>
      </c>
      <c r="L910" s="197">
        <v>5.0</v>
      </c>
      <c r="M910" s="197">
        <v>5.0</v>
      </c>
      <c r="N910" s="197">
        <v>5.0</v>
      </c>
      <c r="O910" s="197">
        <v>5.0</v>
      </c>
      <c r="P910" s="197">
        <v>5.0</v>
      </c>
      <c r="Q910" s="197">
        <v>5.0</v>
      </c>
      <c r="R910" s="197">
        <v>5.0</v>
      </c>
      <c r="S910" s="197">
        <v>5.0</v>
      </c>
      <c r="T910" s="197">
        <v>5.0</v>
      </c>
      <c r="U910" s="197">
        <v>5.0</v>
      </c>
      <c r="V910" s="197"/>
      <c r="W910" s="197">
        <v>5.0</v>
      </c>
      <c r="X910" s="196"/>
      <c r="Y910" s="196"/>
      <c r="Z910" s="196"/>
      <c r="AA910" s="196"/>
      <c r="AB910" s="196"/>
      <c r="AC910" s="197">
        <v>5.0</v>
      </c>
      <c r="AD910" s="198"/>
    </row>
    <row r="911">
      <c r="A911" s="193">
        <v>104541.0</v>
      </c>
      <c r="B911" s="194" t="s">
        <v>2066</v>
      </c>
      <c r="C911" s="192" t="s">
        <v>2067</v>
      </c>
      <c r="D911" s="195">
        <v>45854.0</v>
      </c>
      <c r="E911" s="192" t="s">
        <v>360</v>
      </c>
      <c r="F911" s="196"/>
      <c r="G911" s="196"/>
      <c r="H911" s="197">
        <v>5.0</v>
      </c>
      <c r="I911" s="197">
        <v>5.0</v>
      </c>
      <c r="J911" s="197">
        <v>5.0</v>
      </c>
      <c r="K911" s="197">
        <v>5.0</v>
      </c>
      <c r="L911" s="197">
        <v>5.0</v>
      </c>
      <c r="M911" s="197">
        <v>5.0</v>
      </c>
      <c r="N911" s="197">
        <v>5.0</v>
      </c>
      <c r="O911" s="197">
        <v>5.0</v>
      </c>
      <c r="P911" s="197">
        <v>4.0</v>
      </c>
      <c r="Q911" s="197">
        <v>5.0</v>
      </c>
      <c r="R911" s="197">
        <v>4.75</v>
      </c>
      <c r="S911" s="197">
        <v>4.5</v>
      </c>
      <c r="T911" s="197">
        <v>4.5</v>
      </c>
      <c r="U911" s="197">
        <v>4.5</v>
      </c>
      <c r="V911" s="197">
        <v>4.5</v>
      </c>
      <c r="W911" s="197">
        <v>4.5</v>
      </c>
      <c r="X911" s="196"/>
      <c r="Y911" s="196"/>
      <c r="Z911" s="196"/>
      <c r="AA911" s="196"/>
      <c r="AB911" s="196"/>
      <c r="AC911" s="197">
        <v>4.75</v>
      </c>
      <c r="AD911" s="198"/>
    </row>
    <row r="912">
      <c r="A912" s="193">
        <v>104561.0</v>
      </c>
      <c r="B912" s="194" t="s">
        <v>2068</v>
      </c>
      <c r="C912" s="192" t="s">
        <v>2069</v>
      </c>
      <c r="D912" s="195">
        <v>45854.0</v>
      </c>
      <c r="E912" s="192" t="s">
        <v>125</v>
      </c>
      <c r="F912" s="196"/>
      <c r="G912" s="196"/>
      <c r="H912" s="197">
        <v>5.0</v>
      </c>
      <c r="I912" s="197">
        <v>5.0</v>
      </c>
      <c r="J912" s="197">
        <v>5.0</v>
      </c>
      <c r="K912" s="197">
        <v>5.0</v>
      </c>
      <c r="L912" s="197">
        <v>5.0</v>
      </c>
      <c r="M912" s="197">
        <v>5.0</v>
      </c>
      <c r="N912" s="197">
        <v>5.0</v>
      </c>
      <c r="O912" s="197">
        <v>5.0</v>
      </c>
      <c r="P912" s="197">
        <v>5.0</v>
      </c>
      <c r="Q912" s="197">
        <v>5.0</v>
      </c>
      <c r="R912" s="197">
        <v>5.0</v>
      </c>
      <c r="S912" s="197">
        <v>5.0</v>
      </c>
      <c r="T912" s="197">
        <v>5.0</v>
      </c>
      <c r="U912" s="197">
        <v>5.0</v>
      </c>
      <c r="V912" s="197">
        <v>5.0</v>
      </c>
      <c r="W912" s="197">
        <v>5.0</v>
      </c>
      <c r="X912" s="196"/>
      <c r="Y912" s="196"/>
      <c r="Z912" s="196"/>
      <c r="AA912" s="196"/>
      <c r="AB912" s="196"/>
      <c r="AC912" s="197">
        <v>5.0</v>
      </c>
      <c r="AD912" s="198"/>
    </row>
    <row r="913">
      <c r="A913" s="193">
        <v>104487.0</v>
      </c>
      <c r="B913" s="194" t="s">
        <v>1454</v>
      </c>
      <c r="C913" s="192" t="s">
        <v>1455</v>
      </c>
      <c r="D913" s="195">
        <v>45854.0</v>
      </c>
      <c r="E913" s="192" t="s">
        <v>427</v>
      </c>
      <c r="F913" s="196"/>
      <c r="G913" s="196"/>
      <c r="H913" s="197">
        <v>5.0</v>
      </c>
      <c r="I913" s="197">
        <v>5.0</v>
      </c>
      <c r="J913" s="197">
        <v>5.0</v>
      </c>
      <c r="K913" s="197">
        <v>5.0</v>
      </c>
      <c r="L913" s="197">
        <v>5.0</v>
      </c>
      <c r="M913" s="197">
        <v>5.0</v>
      </c>
      <c r="N913" s="197">
        <v>5.0</v>
      </c>
      <c r="O913" s="197">
        <v>4.0</v>
      </c>
      <c r="P913" s="197">
        <v>4.5</v>
      </c>
      <c r="Q913" s="197">
        <v>5.0</v>
      </c>
      <c r="R913" s="197">
        <v>4.625</v>
      </c>
      <c r="S913" s="197">
        <v>4.5</v>
      </c>
      <c r="T913" s="197">
        <v>4.2</v>
      </c>
      <c r="U913" s="197">
        <v>4.5</v>
      </c>
      <c r="V913" s="197">
        <v>4.5</v>
      </c>
      <c r="W913" s="197">
        <v>4.425</v>
      </c>
      <c r="X913" s="196"/>
      <c r="Y913" s="196"/>
      <c r="Z913" s="196"/>
      <c r="AA913" s="196"/>
      <c r="AB913" s="196"/>
      <c r="AC913" s="197">
        <v>4.683333333333334</v>
      </c>
      <c r="AD913" s="198"/>
    </row>
    <row r="914">
      <c r="A914" s="193">
        <v>104460.0</v>
      </c>
      <c r="B914" s="194" t="s">
        <v>1452</v>
      </c>
      <c r="C914" s="192" t="s">
        <v>1453</v>
      </c>
      <c r="D914" s="195">
        <v>45854.0</v>
      </c>
      <c r="E914" s="192" t="s">
        <v>646</v>
      </c>
      <c r="F914" s="196"/>
      <c r="G914" s="196"/>
      <c r="H914" s="197">
        <v>5.0</v>
      </c>
      <c r="I914" s="197">
        <v>5.0</v>
      </c>
      <c r="J914" s="197">
        <v>5.0</v>
      </c>
      <c r="K914" s="197">
        <v>5.0</v>
      </c>
      <c r="L914" s="197">
        <v>5.0</v>
      </c>
      <c r="M914" s="197">
        <v>5.0</v>
      </c>
      <c r="N914" s="197">
        <v>4.0</v>
      </c>
      <c r="O914" s="197">
        <v>4.0</v>
      </c>
      <c r="P914" s="197">
        <v>4.0</v>
      </c>
      <c r="Q914" s="197">
        <v>4.0</v>
      </c>
      <c r="R914" s="197">
        <v>4.0</v>
      </c>
      <c r="S914" s="197">
        <v>4.0</v>
      </c>
      <c r="T914" s="197">
        <v>4.0</v>
      </c>
      <c r="U914" s="197">
        <v>4.0</v>
      </c>
      <c r="V914" s="197">
        <v>4.0</v>
      </c>
      <c r="W914" s="197">
        <v>4.0</v>
      </c>
      <c r="X914" s="196"/>
      <c r="Y914" s="196"/>
      <c r="Z914" s="196"/>
      <c r="AA914" s="196"/>
      <c r="AB914" s="196"/>
      <c r="AC914" s="197">
        <v>4.333333333333333</v>
      </c>
      <c r="AD914" s="198"/>
    </row>
    <row r="915">
      <c r="A915" s="193">
        <v>104545.0</v>
      </c>
      <c r="B915" s="194" t="s">
        <v>2070</v>
      </c>
      <c r="C915" s="192" t="s">
        <v>2071</v>
      </c>
      <c r="D915" s="195">
        <v>45854.0</v>
      </c>
      <c r="E915" s="192" t="s">
        <v>326</v>
      </c>
      <c r="F915" s="196"/>
      <c r="G915" s="196"/>
      <c r="H915" s="197">
        <v>5.0</v>
      </c>
      <c r="I915" s="197">
        <v>5.0</v>
      </c>
      <c r="J915" s="197">
        <v>5.0</v>
      </c>
      <c r="K915" s="197">
        <v>5.0</v>
      </c>
      <c r="L915" s="197">
        <v>5.0</v>
      </c>
      <c r="M915" s="197">
        <v>5.0</v>
      </c>
      <c r="N915" s="197">
        <v>5.0</v>
      </c>
      <c r="O915" s="197">
        <v>5.0</v>
      </c>
      <c r="P915" s="197">
        <v>5.0</v>
      </c>
      <c r="Q915" s="197">
        <v>5.0</v>
      </c>
      <c r="R915" s="197">
        <v>5.0</v>
      </c>
      <c r="S915" s="197">
        <v>5.0</v>
      </c>
      <c r="T915" s="197">
        <v>5.0</v>
      </c>
      <c r="U915" s="197">
        <v>5.0</v>
      </c>
      <c r="V915" s="197">
        <v>5.0</v>
      </c>
      <c r="W915" s="197">
        <v>5.0</v>
      </c>
      <c r="X915" s="196"/>
      <c r="Y915" s="196"/>
      <c r="Z915" s="196"/>
      <c r="AA915" s="196"/>
      <c r="AB915" s="196"/>
      <c r="AC915" s="197">
        <v>5.0</v>
      </c>
      <c r="AD915" s="198"/>
    </row>
    <row r="916">
      <c r="A916" s="193">
        <v>104465.0</v>
      </c>
      <c r="B916" s="194" t="s">
        <v>1450</v>
      </c>
      <c r="C916" s="192" t="s">
        <v>1451</v>
      </c>
      <c r="D916" s="195">
        <v>45854.0</v>
      </c>
      <c r="E916" s="192" t="s">
        <v>1140</v>
      </c>
      <c r="F916" s="196"/>
      <c r="G916" s="196"/>
      <c r="H916" s="197">
        <v>5.0</v>
      </c>
      <c r="I916" s="197">
        <v>5.0</v>
      </c>
      <c r="J916" s="197">
        <v>5.0</v>
      </c>
      <c r="K916" s="197">
        <v>5.0</v>
      </c>
      <c r="L916" s="197">
        <v>5.0</v>
      </c>
      <c r="M916" s="197">
        <v>5.0</v>
      </c>
      <c r="N916" s="197">
        <v>4.5</v>
      </c>
      <c r="O916" s="197">
        <v>4.0</v>
      </c>
      <c r="P916" s="197">
        <v>4.5</v>
      </c>
      <c r="Q916" s="197">
        <v>4.0</v>
      </c>
      <c r="R916" s="197">
        <v>4.25</v>
      </c>
      <c r="S916" s="197">
        <v>4.5</v>
      </c>
      <c r="T916" s="197">
        <v>4.0</v>
      </c>
      <c r="U916" s="197">
        <v>4.5</v>
      </c>
      <c r="V916" s="197">
        <v>4.5</v>
      </c>
      <c r="W916" s="197">
        <v>4.375</v>
      </c>
      <c r="X916" s="196"/>
      <c r="Y916" s="196"/>
      <c r="Z916" s="196"/>
      <c r="AA916" s="196"/>
      <c r="AB916" s="196"/>
      <c r="AC916" s="197">
        <v>4.541666666666667</v>
      </c>
      <c r="AD916" s="198"/>
    </row>
    <row r="917">
      <c r="A917" s="193">
        <v>104495.0</v>
      </c>
      <c r="B917" s="194" t="s">
        <v>2072</v>
      </c>
      <c r="C917" s="192" t="s">
        <v>2073</v>
      </c>
      <c r="D917" s="195">
        <v>45854.0</v>
      </c>
      <c r="E917" s="192" t="s">
        <v>646</v>
      </c>
      <c r="F917" s="196"/>
      <c r="G917" s="196"/>
      <c r="H917" s="197">
        <v>5.0</v>
      </c>
      <c r="I917" s="197">
        <v>5.0</v>
      </c>
      <c r="J917" s="197">
        <v>5.0</v>
      </c>
      <c r="K917" s="197">
        <v>5.0</v>
      </c>
      <c r="L917" s="197">
        <v>5.0</v>
      </c>
      <c r="M917" s="197">
        <v>5.0</v>
      </c>
      <c r="N917" s="197">
        <v>5.0</v>
      </c>
      <c r="O917" s="197">
        <v>5.0</v>
      </c>
      <c r="P917" s="197">
        <v>5.0</v>
      </c>
      <c r="Q917" s="197">
        <v>5.0</v>
      </c>
      <c r="R917" s="197">
        <v>5.0</v>
      </c>
      <c r="S917" s="197">
        <v>5.0</v>
      </c>
      <c r="T917" s="197">
        <v>5.0</v>
      </c>
      <c r="U917" s="197">
        <v>5.0</v>
      </c>
      <c r="V917" s="197">
        <v>5.0</v>
      </c>
      <c r="W917" s="197">
        <v>5.0</v>
      </c>
      <c r="X917" s="196"/>
      <c r="Y917" s="196"/>
      <c r="Z917" s="196"/>
      <c r="AA917" s="196"/>
      <c r="AB917" s="196"/>
      <c r="AC917" s="197">
        <v>5.0</v>
      </c>
      <c r="AD917" s="198"/>
    </row>
    <row r="918">
      <c r="A918" s="193">
        <v>105134.0</v>
      </c>
      <c r="B918" s="194" t="s">
        <v>2074</v>
      </c>
      <c r="C918" s="192" t="s">
        <v>2075</v>
      </c>
      <c r="D918" s="244" t="s">
        <v>2076</v>
      </c>
      <c r="E918" s="192" t="s">
        <v>185</v>
      </c>
      <c r="F918" s="196"/>
      <c r="G918" s="196"/>
      <c r="H918" s="197">
        <v>5.0</v>
      </c>
      <c r="I918" s="197">
        <v>5.0</v>
      </c>
      <c r="J918" s="197">
        <v>5.0</v>
      </c>
      <c r="K918" s="197">
        <v>5.0</v>
      </c>
      <c r="L918" s="197">
        <v>5.0</v>
      </c>
      <c r="M918" s="197">
        <v>5.0</v>
      </c>
      <c r="N918" s="197">
        <v>5.0</v>
      </c>
      <c r="O918" s="197">
        <v>5.0</v>
      </c>
      <c r="P918" s="197">
        <v>5.0</v>
      </c>
      <c r="Q918" s="197">
        <v>5.0</v>
      </c>
      <c r="R918" s="197">
        <v>5.0</v>
      </c>
      <c r="S918" s="197">
        <v>5.0</v>
      </c>
      <c r="T918" s="197">
        <v>5.0</v>
      </c>
      <c r="U918" s="197">
        <v>5.0</v>
      </c>
      <c r="V918" s="197"/>
      <c r="W918" s="197">
        <v>5.0</v>
      </c>
      <c r="X918" s="196"/>
      <c r="Y918" s="196"/>
      <c r="Z918" s="196"/>
      <c r="AA918" s="196"/>
      <c r="AB918" s="196"/>
      <c r="AC918" s="197">
        <v>5.0</v>
      </c>
      <c r="AD918" s="198"/>
    </row>
    <row r="919">
      <c r="A919" s="193">
        <v>104400.0</v>
      </c>
      <c r="B919" s="194" t="s">
        <v>1415</v>
      </c>
      <c r="C919" s="192" t="s">
        <v>1416</v>
      </c>
      <c r="D919" s="195">
        <v>45854.0</v>
      </c>
      <c r="E919" s="192" t="s">
        <v>1417</v>
      </c>
      <c r="F919" s="196"/>
      <c r="G919" s="196"/>
      <c r="H919" s="197">
        <v>5.0</v>
      </c>
      <c r="I919" s="197">
        <v>5.0</v>
      </c>
      <c r="J919" s="197">
        <v>5.0</v>
      </c>
      <c r="K919" s="197">
        <v>5.0</v>
      </c>
      <c r="L919" s="197">
        <v>5.0</v>
      </c>
      <c r="M919" s="197">
        <v>5.0</v>
      </c>
      <c r="N919" s="197">
        <v>4.0</v>
      </c>
      <c r="O919" s="197">
        <v>4.0</v>
      </c>
      <c r="P919" s="197">
        <v>3.8</v>
      </c>
      <c r="Q919" s="197">
        <v>4.0</v>
      </c>
      <c r="R919" s="197">
        <v>3.95</v>
      </c>
      <c r="S919" s="197">
        <v>4.0</v>
      </c>
      <c r="T919" s="197">
        <v>4.0</v>
      </c>
      <c r="U919" s="197">
        <v>3.5</v>
      </c>
      <c r="V919" s="197">
        <v>4.0</v>
      </c>
      <c r="W919" s="197">
        <v>3.875</v>
      </c>
      <c r="X919" s="196"/>
      <c r="Y919" s="196"/>
      <c r="Z919" s="196"/>
      <c r="AA919" s="196"/>
      <c r="AB919" s="196"/>
      <c r="AC919" s="197">
        <v>4.2749999999999995</v>
      </c>
      <c r="AD919" s="198"/>
    </row>
    <row r="920">
      <c r="A920" s="193">
        <v>105515.0</v>
      </c>
      <c r="B920" s="194">
        <v>32331.0</v>
      </c>
      <c r="C920" s="192" t="s">
        <v>2077</v>
      </c>
      <c r="D920" s="195">
        <v>45741.0</v>
      </c>
      <c r="E920" s="192" t="s">
        <v>625</v>
      </c>
      <c r="F920" s="196"/>
      <c r="G920" s="196"/>
      <c r="H920" s="197">
        <v>5.0</v>
      </c>
      <c r="I920" s="197">
        <v>5.0</v>
      </c>
      <c r="J920" s="197">
        <v>5.0</v>
      </c>
      <c r="K920" s="197">
        <v>5.0</v>
      </c>
      <c r="L920" s="197">
        <v>5.0</v>
      </c>
      <c r="M920" s="197">
        <v>5.0</v>
      </c>
      <c r="N920" s="197">
        <v>5.0</v>
      </c>
      <c r="O920" s="197">
        <v>5.0</v>
      </c>
      <c r="P920" s="197">
        <v>5.0</v>
      </c>
      <c r="Q920" s="197">
        <v>5.0</v>
      </c>
      <c r="R920" s="197">
        <v>5.0</v>
      </c>
      <c r="S920" s="197">
        <v>5.0</v>
      </c>
      <c r="T920" s="197">
        <v>5.0</v>
      </c>
      <c r="U920" s="197">
        <v>5.0</v>
      </c>
      <c r="V920" s="197">
        <v>5.0</v>
      </c>
      <c r="W920" s="197">
        <v>5.0</v>
      </c>
      <c r="X920" s="196"/>
      <c r="Y920" s="196"/>
      <c r="Z920" s="196"/>
      <c r="AA920" s="196"/>
      <c r="AB920" s="196"/>
      <c r="AC920" s="197">
        <v>5.0</v>
      </c>
      <c r="AD920" s="198"/>
    </row>
    <row r="921">
      <c r="A921" s="193">
        <v>105515.0</v>
      </c>
      <c r="B921" s="194">
        <v>32331.0</v>
      </c>
      <c r="C921" s="192" t="s">
        <v>2077</v>
      </c>
      <c r="D921" s="195">
        <v>45741.0</v>
      </c>
      <c r="E921" s="192" t="s">
        <v>625</v>
      </c>
      <c r="F921" s="196"/>
      <c r="G921" s="196"/>
      <c r="H921" s="197">
        <v>5.0</v>
      </c>
      <c r="I921" s="197">
        <v>5.0</v>
      </c>
      <c r="J921" s="197">
        <v>5.0</v>
      </c>
      <c r="K921" s="197">
        <v>5.0</v>
      </c>
      <c r="L921" s="197">
        <v>5.0</v>
      </c>
      <c r="M921" s="197">
        <v>5.0</v>
      </c>
      <c r="N921" s="197">
        <v>5.0</v>
      </c>
      <c r="O921" s="197">
        <v>5.0</v>
      </c>
      <c r="P921" s="197">
        <v>5.0</v>
      </c>
      <c r="Q921" s="197">
        <v>5.0</v>
      </c>
      <c r="R921" s="197">
        <v>5.0</v>
      </c>
      <c r="S921" s="197">
        <v>5.0</v>
      </c>
      <c r="T921" s="197">
        <v>5.0</v>
      </c>
      <c r="U921" s="197">
        <v>5.0</v>
      </c>
      <c r="V921" s="197">
        <v>5.0</v>
      </c>
      <c r="W921" s="197">
        <v>5.0</v>
      </c>
      <c r="X921" s="196"/>
      <c r="Y921" s="196"/>
      <c r="Z921" s="196"/>
      <c r="AA921" s="196"/>
      <c r="AB921" s="196"/>
      <c r="AC921" s="197">
        <v>5.0</v>
      </c>
      <c r="AD921" s="198"/>
    </row>
    <row r="922">
      <c r="A922" s="194" t="s">
        <v>2078</v>
      </c>
      <c r="B922" s="194" t="s">
        <v>2079</v>
      </c>
      <c r="C922" s="192" t="e">
        <v>#N/A</v>
      </c>
      <c r="D922" s="195">
        <v>45807.0</v>
      </c>
      <c r="E922" s="192" t="s">
        <v>2080</v>
      </c>
      <c r="F922" s="196"/>
      <c r="G922" s="196"/>
      <c r="H922" s="197">
        <v>5.0</v>
      </c>
      <c r="I922" s="197">
        <v>5.0</v>
      </c>
      <c r="J922" s="197">
        <v>5.0</v>
      </c>
      <c r="K922" s="197">
        <v>5.0</v>
      </c>
      <c r="L922" s="197">
        <v>5.0</v>
      </c>
      <c r="M922" s="197">
        <v>5.0</v>
      </c>
      <c r="N922" s="197">
        <v>5.0</v>
      </c>
      <c r="O922" s="197">
        <v>5.0</v>
      </c>
      <c r="P922" s="197">
        <v>5.0</v>
      </c>
      <c r="Q922" s="197">
        <v>5.0</v>
      </c>
      <c r="R922" s="197">
        <v>5.0</v>
      </c>
      <c r="S922" s="197">
        <v>5.0</v>
      </c>
      <c r="T922" s="197">
        <v>5.0</v>
      </c>
      <c r="U922" s="197">
        <v>5.0</v>
      </c>
      <c r="V922" s="197"/>
      <c r="W922" s="197">
        <v>5.0</v>
      </c>
      <c r="X922" s="196"/>
      <c r="Y922" s="196"/>
      <c r="Z922" s="196"/>
      <c r="AA922" s="196"/>
      <c r="AB922" s="196"/>
      <c r="AC922" s="197">
        <v>5.0</v>
      </c>
      <c r="AD922" s="198"/>
    </row>
    <row r="923">
      <c r="A923" s="193">
        <v>105407.0</v>
      </c>
      <c r="B923" s="194" t="s">
        <v>2081</v>
      </c>
      <c r="C923" s="192" t="s">
        <v>2082</v>
      </c>
      <c r="D923" s="195">
        <v>45680.0</v>
      </c>
      <c r="E923" s="192" t="s">
        <v>360</v>
      </c>
      <c r="F923" s="196"/>
      <c r="G923" s="196"/>
      <c r="H923" s="197">
        <v>5.0</v>
      </c>
      <c r="I923" s="197">
        <v>5.0</v>
      </c>
      <c r="J923" s="197">
        <v>5.0</v>
      </c>
      <c r="K923" s="197">
        <v>5.0</v>
      </c>
      <c r="L923" s="197">
        <v>5.0</v>
      </c>
      <c r="M923" s="197">
        <v>5.0</v>
      </c>
      <c r="N923" s="197">
        <v>5.0</v>
      </c>
      <c r="O923" s="197">
        <v>5.0</v>
      </c>
      <c r="P923" s="197">
        <v>5.0</v>
      </c>
      <c r="Q923" s="197">
        <v>5.0</v>
      </c>
      <c r="R923" s="197">
        <v>5.0</v>
      </c>
      <c r="S923" s="197">
        <v>5.0</v>
      </c>
      <c r="T923" s="197">
        <v>5.0</v>
      </c>
      <c r="U923" s="197">
        <v>5.0</v>
      </c>
      <c r="V923" s="197"/>
      <c r="W923" s="197">
        <v>5.0</v>
      </c>
      <c r="X923" s="196"/>
      <c r="Y923" s="196"/>
      <c r="Z923" s="196"/>
      <c r="AA923" s="196"/>
      <c r="AB923" s="196"/>
      <c r="AC923" s="197">
        <v>5.0</v>
      </c>
      <c r="AD923" s="198"/>
    </row>
    <row r="924">
      <c r="A924" s="193">
        <v>105441.0</v>
      </c>
      <c r="B924" s="194" t="s">
        <v>2083</v>
      </c>
      <c r="C924" s="192" t="s">
        <v>2084</v>
      </c>
      <c r="D924" s="195">
        <v>45685.0</v>
      </c>
      <c r="E924" s="192" t="s">
        <v>312</v>
      </c>
      <c r="F924" s="196"/>
      <c r="G924" s="196"/>
      <c r="H924" s="197">
        <v>5.0</v>
      </c>
      <c r="I924" s="197">
        <v>5.0</v>
      </c>
      <c r="J924" s="197">
        <v>5.0</v>
      </c>
      <c r="K924" s="197">
        <v>5.0</v>
      </c>
      <c r="L924" s="197">
        <v>5.0</v>
      </c>
      <c r="M924" s="197">
        <v>5.0</v>
      </c>
      <c r="N924" s="197">
        <v>5.0</v>
      </c>
      <c r="O924" s="197">
        <v>5.0</v>
      </c>
      <c r="P924" s="197">
        <v>5.0</v>
      </c>
      <c r="Q924" s="197">
        <v>5.0</v>
      </c>
      <c r="R924" s="197">
        <v>5.0</v>
      </c>
      <c r="S924" s="197">
        <v>5.0</v>
      </c>
      <c r="T924" s="197">
        <v>5.0</v>
      </c>
      <c r="U924" s="197"/>
      <c r="V924" s="197">
        <v>5.0</v>
      </c>
      <c r="W924" s="197">
        <v>5.0</v>
      </c>
      <c r="X924" s="196"/>
      <c r="Y924" s="196"/>
      <c r="Z924" s="196"/>
      <c r="AA924" s="196"/>
      <c r="AB924" s="196"/>
      <c r="AC924" s="197">
        <v>5.0</v>
      </c>
      <c r="AD924" s="198"/>
    </row>
    <row r="925">
      <c r="A925" s="193">
        <v>105430.0</v>
      </c>
      <c r="B925" s="194" t="s">
        <v>2085</v>
      </c>
      <c r="C925" s="192" t="s">
        <v>2086</v>
      </c>
      <c r="D925" s="195">
        <v>45688.0</v>
      </c>
      <c r="E925" s="192" t="s">
        <v>1986</v>
      </c>
      <c r="F925" s="196"/>
      <c r="G925" s="196"/>
      <c r="H925" s="197">
        <v>5.0</v>
      </c>
      <c r="I925" s="197">
        <v>5.0</v>
      </c>
      <c r="J925" s="197">
        <v>5.0</v>
      </c>
      <c r="K925" s="197">
        <v>5.0</v>
      </c>
      <c r="L925" s="197">
        <v>5.0</v>
      </c>
      <c r="M925" s="197">
        <v>5.0</v>
      </c>
      <c r="N925" s="197">
        <v>5.0</v>
      </c>
      <c r="O925" s="197">
        <v>5.0</v>
      </c>
      <c r="P925" s="197">
        <v>5.0</v>
      </c>
      <c r="Q925" s="197">
        <v>5.0</v>
      </c>
      <c r="R925" s="197">
        <v>5.0</v>
      </c>
      <c r="S925" s="197">
        <v>5.0</v>
      </c>
      <c r="T925" s="197">
        <v>5.0</v>
      </c>
      <c r="U925" s="197">
        <v>5.0</v>
      </c>
      <c r="V925" s="197">
        <v>5.0</v>
      </c>
      <c r="W925" s="197">
        <v>5.0</v>
      </c>
      <c r="X925" s="196"/>
      <c r="Y925" s="196"/>
      <c r="Z925" s="196"/>
      <c r="AA925" s="196"/>
      <c r="AB925" s="196"/>
      <c r="AC925" s="197">
        <v>5.0</v>
      </c>
      <c r="AD925" s="198"/>
    </row>
    <row r="926">
      <c r="A926" s="193">
        <v>105408.0</v>
      </c>
      <c r="B926" s="194" t="s">
        <v>2087</v>
      </c>
      <c r="C926" s="192" t="s">
        <v>2088</v>
      </c>
      <c r="D926" s="195">
        <v>45681.0</v>
      </c>
      <c r="E926" s="192" t="s">
        <v>380</v>
      </c>
      <c r="F926" s="196"/>
      <c r="G926" s="196"/>
      <c r="H926" s="197">
        <v>5.0</v>
      </c>
      <c r="I926" s="197">
        <v>5.0</v>
      </c>
      <c r="J926" s="197">
        <v>5.0</v>
      </c>
      <c r="K926" s="197">
        <v>5.0</v>
      </c>
      <c r="L926" s="197">
        <v>5.0</v>
      </c>
      <c r="M926" s="197">
        <v>5.0</v>
      </c>
      <c r="N926" s="197">
        <v>5.0</v>
      </c>
      <c r="O926" s="197">
        <v>5.0</v>
      </c>
      <c r="P926" s="197">
        <v>5.0</v>
      </c>
      <c r="Q926" s="197">
        <v>5.0</v>
      </c>
      <c r="R926" s="197">
        <v>5.0</v>
      </c>
      <c r="S926" s="197">
        <v>5.0</v>
      </c>
      <c r="T926" s="197">
        <v>5.0</v>
      </c>
      <c r="U926" s="197">
        <v>5.0</v>
      </c>
      <c r="V926" s="197"/>
      <c r="W926" s="197">
        <v>5.0</v>
      </c>
      <c r="X926" s="196"/>
      <c r="Y926" s="196"/>
      <c r="Z926" s="196"/>
      <c r="AA926" s="196"/>
      <c r="AB926" s="196"/>
      <c r="AC926" s="197">
        <v>5.0</v>
      </c>
      <c r="AD926" s="198"/>
    </row>
    <row r="927">
      <c r="A927" s="193">
        <v>105470.0</v>
      </c>
      <c r="B927" s="194" t="s">
        <v>2089</v>
      </c>
      <c r="C927" s="192" t="s">
        <v>2090</v>
      </c>
      <c r="D927" s="195">
        <v>45709.0</v>
      </c>
      <c r="E927" s="192" t="s">
        <v>295</v>
      </c>
      <c r="F927" s="196"/>
      <c r="G927" s="196"/>
      <c r="H927" s="197">
        <v>5.0</v>
      </c>
      <c r="I927" s="197">
        <v>5.0</v>
      </c>
      <c r="J927" s="197">
        <v>5.0</v>
      </c>
      <c r="K927" s="197">
        <v>5.0</v>
      </c>
      <c r="L927" s="197">
        <v>5.0</v>
      </c>
      <c r="M927" s="197">
        <v>5.0</v>
      </c>
      <c r="N927" s="197">
        <v>5.0</v>
      </c>
      <c r="O927" s="197">
        <v>5.0</v>
      </c>
      <c r="P927" s="197">
        <v>5.0</v>
      </c>
      <c r="Q927" s="197">
        <v>5.0</v>
      </c>
      <c r="R927" s="197">
        <v>5.0</v>
      </c>
      <c r="S927" s="197">
        <v>5.0</v>
      </c>
      <c r="T927" s="197">
        <v>5.0</v>
      </c>
      <c r="U927" s="197">
        <v>5.0</v>
      </c>
      <c r="V927" s="197">
        <v>5.0</v>
      </c>
      <c r="W927" s="197">
        <v>5.0</v>
      </c>
      <c r="X927" s="196"/>
      <c r="Y927" s="196"/>
      <c r="Z927" s="196"/>
      <c r="AA927" s="196"/>
      <c r="AB927" s="196"/>
      <c r="AC927" s="197">
        <v>5.0</v>
      </c>
      <c r="AD927" s="198"/>
    </row>
    <row r="928">
      <c r="A928" s="193">
        <v>105461.0</v>
      </c>
      <c r="B928" s="194" t="s">
        <v>2091</v>
      </c>
      <c r="C928" s="192" t="s">
        <v>2092</v>
      </c>
      <c r="D928" s="195">
        <v>45706.0</v>
      </c>
      <c r="E928" s="192" t="s">
        <v>1986</v>
      </c>
      <c r="F928" s="196"/>
      <c r="G928" s="196"/>
      <c r="H928" s="197">
        <v>5.0</v>
      </c>
      <c r="I928" s="197">
        <v>5.0</v>
      </c>
      <c r="J928" s="197">
        <v>5.0</v>
      </c>
      <c r="K928" s="197">
        <v>5.0</v>
      </c>
      <c r="L928" s="197">
        <v>5.0</v>
      </c>
      <c r="M928" s="197">
        <v>5.0</v>
      </c>
      <c r="N928" s="197">
        <v>5.0</v>
      </c>
      <c r="O928" s="197">
        <v>5.0</v>
      </c>
      <c r="P928" s="197">
        <v>5.0</v>
      </c>
      <c r="Q928" s="197">
        <v>5.0</v>
      </c>
      <c r="R928" s="197">
        <v>5.0</v>
      </c>
      <c r="S928" s="197">
        <v>5.0</v>
      </c>
      <c r="T928" s="197">
        <v>5.0</v>
      </c>
      <c r="U928" s="197">
        <v>5.0</v>
      </c>
      <c r="V928" s="197"/>
      <c r="W928" s="197">
        <v>5.0</v>
      </c>
      <c r="X928" s="196"/>
      <c r="Y928" s="196"/>
      <c r="Z928" s="196"/>
      <c r="AA928" s="196"/>
      <c r="AB928" s="196"/>
      <c r="AC928" s="197">
        <v>5.0</v>
      </c>
      <c r="AD928" s="198"/>
    </row>
    <row r="929">
      <c r="A929" s="193">
        <v>104966.0</v>
      </c>
      <c r="B929" s="194" t="s">
        <v>2093</v>
      </c>
      <c r="C929" s="192" t="s">
        <v>2094</v>
      </c>
      <c r="D929" s="195">
        <v>45909.0</v>
      </c>
      <c r="E929" s="192" t="s">
        <v>1726</v>
      </c>
      <c r="F929" s="196"/>
      <c r="G929" s="196"/>
      <c r="H929" s="197">
        <v>5.0</v>
      </c>
      <c r="I929" s="197">
        <v>5.0</v>
      </c>
      <c r="J929" s="197">
        <v>5.0</v>
      </c>
      <c r="K929" s="197">
        <v>5.0</v>
      </c>
      <c r="L929" s="197">
        <v>5.0</v>
      </c>
      <c r="M929" s="197">
        <v>5.0</v>
      </c>
      <c r="N929" s="197">
        <v>4.7</v>
      </c>
      <c r="O929" s="197">
        <v>4.5</v>
      </c>
      <c r="P929" s="197">
        <v>4.7</v>
      </c>
      <c r="Q929" s="197">
        <v>4.8</v>
      </c>
      <c r="R929" s="197">
        <v>4.675</v>
      </c>
      <c r="S929" s="197">
        <v>4.7</v>
      </c>
      <c r="T929" s="197">
        <v>4.5</v>
      </c>
      <c r="U929" s="197">
        <v>4.5</v>
      </c>
      <c r="V929" s="197"/>
      <c r="W929" s="197">
        <v>4.566666666666666</v>
      </c>
      <c r="X929" s="196"/>
      <c r="Y929" s="196"/>
      <c r="Z929" s="196"/>
      <c r="AA929" s="196"/>
      <c r="AB929" s="196"/>
      <c r="AC929" s="197">
        <v>4.747222222222223</v>
      </c>
      <c r="AD929" s="198"/>
    </row>
    <row r="930">
      <c r="A930" s="193">
        <v>104844.0</v>
      </c>
      <c r="B930" s="194" t="s">
        <v>2095</v>
      </c>
      <c r="C930" s="192" t="s">
        <v>2096</v>
      </c>
      <c r="D930" s="195">
        <v>45897.0</v>
      </c>
      <c r="E930" s="192" t="s">
        <v>2097</v>
      </c>
      <c r="F930" s="196"/>
      <c r="G930" s="196"/>
      <c r="H930" s="197">
        <v>4.0</v>
      </c>
      <c r="I930" s="197">
        <v>4.0</v>
      </c>
      <c r="J930" s="197">
        <v>4.0</v>
      </c>
      <c r="K930" s="197">
        <v>4.0</v>
      </c>
      <c r="L930" s="197">
        <v>4.0</v>
      </c>
      <c r="M930" s="197">
        <v>4.0</v>
      </c>
      <c r="N930" s="197">
        <v>4.0</v>
      </c>
      <c r="O930" s="197">
        <v>4.0</v>
      </c>
      <c r="P930" s="197">
        <v>4.0</v>
      </c>
      <c r="Q930" s="197">
        <v>4.0</v>
      </c>
      <c r="R930" s="197">
        <v>4.0</v>
      </c>
      <c r="S930" s="197">
        <v>4.0</v>
      </c>
      <c r="T930" s="197">
        <v>4.0</v>
      </c>
      <c r="U930" s="197">
        <v>4.0</v>
      </c>
      <c r="V930" s="197">
        <v>4.8</v>
      </c>
      <c r="W930" s="197">
        <v>4.2</v>
      </c>
      <c r="X930" s="196"/>
      <c r="Y930" s="196"/>
      <c r="Z930" s="196"/>
      <c r="AA930" s="196"/>
      <c r="AB930" s="196"/>
      <c r="AC930" s="197">
        <v>4.066666666666666</v>
      </c>
      <c r="AD930" s="198"/>
    </row>
    <row r="931">
      <c r="A931" s="193">
        <v>104702.0</v>
      </c>
      <c r="B931" s="194" t="s">
        <v>2098</v>
      </c>
      <c r="C931" s="192" t="s">
        <v>2099</v>
      </c>
      <c r="D931" s="195">
        <v>104702.0</v>
      </c>
      <c r="E931" s="192" t="s">
        <v>1726</v>
      </c>
      <c r="F931" s="196"/>
      <c r="G931" s="196"/>
      <c r="H931" s="197">
        <v>5.0</v>
      </c>
      <c r="I931" s="197">
        <v>5.0</v>
      </c>
      <c r="J931" s="197">
        <v>5.0</v>
      </c>
      <c r="K931" s="197">
        <v>5.0</v>
      </c>
      <c r="L931" s="197">
        <v>5.0</v>
      </c>
      <c r="M931" s="197">
        <v>5.0</v>
      </c>
      <c r="N931" s="197" t="s">
        <v>2100</v>
      </c>
      <c r="O931" s="197">
        <v>4.7</v>
      </c>
      <c r="P931" s="197">
        <v>4.8</v>
      </c>
      <c r="Q931" s="197">
        <v>4.8</v>
      </c>
      <c r="R931" s="197">
        <v>4.766666666666667</v>
      </c>
      <c r="S931" s="197">
        <v>4.8</v>
      </c>
      <c r="T931" s="197">
        <v>4.7</v>
      </c>
      <c r="U931" s="197">
        <v>4.8</v>
      </c>
      <c r="V931" s="197"/>
      <c r="W931" s="197">
        <v>4.766666666666667</v>
      </c>
      <c r="X931" s="196"/>
      <c r="Y931" s="196"/>
      <c r="Z931" s="196"/>
      <c r="AA931" s="196"/>
      <c r="AB931" s="196"/>
      <c r="AC931" s="197">
        <v>4.844444444444444</v>
      </c>
      <c r="AD931" s="198"/>
    </row>
    <row r="932">
      <c r="A932" s="193">
        <v>105459.0</v>
      </c>
      <c r="B932" s="194" t="s">
        <v>2101</v>
      </c>
      <c r="C932" s="192" t="s">
        <v>2102</v>
      </c>
      <c r="D932" s="195">
        <v>45716.0</v>
      </c>
      <c r="E932" s="192" t="s">
        <v>209</v>
      </c>
      <c r="F932" s="196"/>
      <c r="G932" s="196"/>
      <c r="H932" s="197">
        <v>5.0</v>
      </c>
      <c r="I932" s="197">
        <v>5.0</v>
      </c>
      <c r="J932" s="197">
        <v>5.0</v>
      </c>
      <c r="K932" s="197">
        <v>5.0</v>
      </c>
      <c r="L932" s="197">
        <v>5.0</v>
      </c>
      <c r="M932" s="197">
        <v>5.0</v>
      </c>
      <c r="N932" s="197">
        <v>5.0</v>
      </c>
      <c r="O932" s="197">
        <v>5.0</v>
      </c>
      <c r="P932" s="197">
        <v>5.0</v>
      </c>
      <c r="Q932" s="197">
        <v>5.0</v>
      </c>
      <c r="R932" s="197">
        <v>5.0</v>
      </c>
      <c r="S932" s="197">
        <v>5.0</v>
      </c>
      <c r="T932" s="197"/>
      <c r="U932" s="197">
        <v>5.0</v>
      </c>
      <c r="V932" s="197">
        <v>5.0</v>
      </c>
      <c r="W932" s="197">
        <v>5.0</v>
      </c>
      <c r="X932" s="196"/>
      <c r="Y932" s="196"/>
      <c r="Z932" s="196"/>
      <c r="AA932" s="196"/>
      <c r="AB932" s="196"/>
      <c r="AC932" s="197">
        <v>5.0</v>
      </c>
      <c r="AD932" s="198"/>
    </row>
    <row r="933">
      <c r="A933" s="193">
        <v>105549.0</v>
      </c>
      <c r="B933" s="194" t="s">
        <v>2103</v>
      </c>
      <c r="C933" s="192" t="s">
        <v>2104</v>
      </c>
      <c r="D933" s="195">
        <v>45719.0</v>
      </c>
      <c r="E933" s="192" t="s">
        <v>360</v>
      </c>
      <c r="F933" s="196"/>
      <c r="G933" s="196"/>
      <c r="H933" s="197">
        <v>5.0</v>
      </c>
      <c r="I933" s="197">
        <v>5.0</v>
      </c>
      <c r="J933" s="197">
        <v>5.0</v>
      </c>
      <c r="K933" s="197">
        <v>5.0</v>
      </c>
      <c r="L933" s="197">
        <v>5.0</v>
      </c>
      <c r="M933" s="197">
        <v>5.0</v>
      </c>
      <c r="N933" s="197">
        <v>5.0</v>
      </c>
      <c r="O933" s="197">
        <v>5.0</v>
      </c>
      <c r="P933" s="197">
        <v>4.5</v>
      </c>
      <c r="Q933" s="197">
        <v>5.0</v>
      </c>
      <c r="R933" s="197">
        <v>4.875</v>
      </c>
      <c r="S933" s="197">
        <v>5.0</v>
      </c>
      <c r="T933" s="197">
        <v>5.0</v>
      </c>
      <c r="U933" s="197">
        <v>4.5</v>
      </c>
      <c r="V933" s="197">
        <v>5.0</v>
      </c>
      <c r="W933" s="197">
        <v>4.875</v>
      </c>
      <c r="X933" s="196"/>
      <c r="Y933" s="196"/>
      <c r="Z933" s="196"/>
      <c r="AA933" s="196"/>
      <c r="AB933" s="196"/>
      <c r="AC933" s="197">
        <v>4.916666666666667</v>
      </c>
      <c r="AD933" s="198"/>
    </row>
    <row r="934">
      <c r="A934" s="193">
        <v>105560.0</v>
      </c>
      <c r="B934" s="194" t="s">
        <v>2105</v>
      </c>
      <c r="C934" s="192" t="s">
        <v>2106</v>
      </c>
      <c r="D934" s="195">
        <v>45726.0</v>
      </c>
      <c r="E934" s="192" t="s">
        <v>357</v>
      </c>
      <c r="F934" s="196"/>
      <c r="G934" s="196"/>
      <c r="H934" s="197">
        <v>5.0</v>
      </c>
      <c r="I934" s="197">
        <v>5.0</v>
      </c>
      <c r="J934" s="197">
        <v>5.0</v>
      </c>
      <c r="K934" s="197">
        <v>5.0</v>
      </c>
      <c r="L934" s="197">
        <v>5.0</v>
      </c>
      <c r="M934" s="197">
        <v>5.0</v>
      </c>
      <c r="N934" s="197">
        <v>5.0</v>
      </c>
      <c r="O934" s="197">
        <v>5.0</v>
      </c>
      <c r="P934" s="197">
        <v>5.0</v>
      </c>
      <c r="Q934" s="197">
        <v>5.0</v>
      </c>
      <c r="R934" s="197">
        <v>5.0</v>
      </c>
      <c r="S934" s="197">
        <v>5.0</v>
      </c>
      <c r="T934" s="197">
        <v>5.0</v>
      </c>
      <c r="U934" s="197">
        <v>5.0</v>
      </c>
      <c r="V934" s="197"/>
      <c r="W934" s="197">
        <v>5.0</v>
      </c>
      <c r="X934" s="196"/>
      <c r="Y934" s="196"/>
      <c r="Z934" s="196"/>
      <c r="AA934" s="196"/>
      <c r="AB934" s="196"/>
      <c r="AC934" s="197">
        <v>5.0</v>
      </c>
      <c r="AD934" s="198"/>
    </row>
    <row r="935">
      <c r="A935" s="193">
        <v>105541.0</v>
      </c>
      <c r="B935" s="194" t="s">
        <v>2107</v>
      </c>
      <c r="C935" s="192" t="s">
        <v>2108</v>
      </c>
      <c r="D935" s="195">
        <v>45736.0</v>
      </c>
      <c r="E935" s="192" t="s">
        <v>1516</v>
      </c>
      <c r="F935" s="196"/>
      <c r="G935" s="196"/>
      <c r="H935" s="197">
        <v>5.0</v>
      </c>
      <c r="I935" s="197">
        <v>5.0</v>
      </c>
      <c r="J935" s="197">
        <v>5.0</v>
      </c>
      <c r="K935" s="197">
        <v>5.0</v>
      </c>
      <c r="L935" s="197">
        <v>5.0</v>
      </c>
      <c r="M935" s="197">
        <v>5.0</v>
      </c>
      <c r="N935" s="197">
        <v>5.0</v>
      </c>
      <c r="O935" s="197">
        <v>5.0</v>
      </c>
      <c r="P935" s="197">
        <v>5.0</v>
      </c>
      <c r="Q935" s="197">
        <v>5.0</v>
      </c>
      <c r="R935" s="197">
        <v>5.0</v>
      </c>
      <c r="S935" s="197">
        <v>5.0</v>
      </c>
      <c r="T935" s="197">
        <v>5.0</v>
      </c>
      <c r="U935" s="197">
        <v>5.0</v>
      </c>
      <c r="V935" s="197">
        <v>5.0</v>
      </c>
      <c r="W935" s="197">
        <v>5.0</v>
      </c>
      <c r="X935" s="196"/>
      <c r="Y935" s="196"/>
      <c r="Z935" s="196"/>
      <c r="AA935" s="196"/>
      <c r="AB935" s="196"/>
      <c r="AC935" s="197">
        <v>5.0</v>
      </c>
      <c r="AD935" s="198"/>
    </row>
    <row r="936">
      <c r="A936" s="193">
        <v>105511.0</v>
      </c>
      <c r="B936" s="194" t="s">
        <v>2109</v>
      </c>
      <c r="C936" s="192" t="s">
        <v>2110</v>
      </c>
      <c r="D936" s="195">
        <v>45724.0</v>
      </c>
      <c r="E936" s="192" t="s">
        <v>295</v>
      </c>
      <c r="F936" s="196"/>
      <c r="G936" s="196"/>
      <c r="H936" s="197">
        <v>5.0</v>
      </c>
      <c r="I936" s="197">
        <v>5.0</v>
      </c>
      <c r="J936" s="197">
        <v>5.0</v>
      </c>
      <c r="K936" s="197">
        <v>5.0</v>
      </c>
      <c r="L936" s="197">
        <v>5.0</v>
      </c>
      <c r="M936" s="197">
        <v>5.0</v>
      </c>
      <c r="N936" s="197">
        <v>5.0</v>
      </c>
      <c r="O936" s="197">
        <v>5.0</v>
      </c>
      <c r="P936" s="197">
        <v>1.5</v>
      </c>
      <c r="Q936" s="197">
        <v>5.0</v>
      </c>
      <c r="R936" s="197">
        <v>4.125</v>
      </c>
      <c r="S936" s="197">
        <v>5.0</v>
      </c>
      <c r="T936" s="197">
        <v>5.0</v>
      </c>
      <c r="U936" s="197">
        <v>4.5</v>
      </c>
      <c r="V936" s="197">
        <v>5.0</v>
      </c>
      <c r="W936" s="197">
        <v>4.875</v>
      </c>
      <c r="X936" s="196"/>
      <c r="Y936" s="196"/>
      <c r="Z936" s="196"/>
      <c r="AA936" s="196"/>
      <c r="AB936" s="196"/>
      <c r="AC936" s="197">
        <v>4.666666666666667</v>
      </c>
      <c r="AD936" s="198"/>
    </row>
    <row r="937">
      <c r="A937" s="193">
        <v>105548.0</v>
      </c>
      <c r="B937" s="194" t="s">
        <v>2111</v>
      </c>
      <c r="C937" s="192" t="s">
        <v>2112</v>
      </c>
      <c r="D937" s="195">
        <v>45724.0</v>
      </c>
      <c r="E937" s="192" t="s">
        <v>295</v>
      </c>
      <c r="F937" s="196"/>
      <c r="G937" s="196"/>
      <c r="H937" s="197">
        <v>5.0</v>
      </c>
      <c r="I937" s="197">
        <v>5.0</v>
      </c>
      <c r="J937" s="197">
        <v>5.0</v>
      </c>
      <c r="K937" s="197">
        <v>5.0</v>
      </c>
      <c r="L937" s="197">
        <v>5.0</v>
      </c>
      <c r="M937" s="197">
        <v>5.0</v>
      </c>
      <c r="N937" s="197">
        <v>5.0</v>
      </c>
      <c r="O937" s="197">
        <v>5.0</v>
      </c>
      <c r="P937" s="197">
        <v>4.5</v>
      </c>
      <c r="Q937" s="197">
        <v>5.0</v>
      </c>
      <c r="R937" s="197">
        <v>4.875</v>
      </c>
      <c r="S937" s="197">
        <v>5.0</v>
      </c>
      <c r="T937" s="197">
        <v>5.0</v>
      </c>
      <c r="U937" s="197">
        <v>4.5</v>
      </c>
      <c r="V937" s="197">
        <v>5.0</v>
      </c>
      <c r="W937" s="197">
        <v>4.875</v>
      </c>
      <c r="X937" s="196"/>
      <c r="Y937" s="196"/>
      <c r="Z937" s="196"/>
      <c r="AA937" s="196"/>
      <c r="AB937" s="196"/>
      <c r="AC937" s="197">
        <v>4.916666666666667</v>
      </c>
      <c r="AD937" s="198"/>
    </row>
    <row r="938">
      <c r="A938" s="193">
        <v>105170.0</v>
      </c>
      <c r="B938" s="194" t="s">
        <v>2113</v>
      </c>
      <c r="C938" s="192" t="s">
        <v>2114</v>
      </c>
      <c r="D938" s="195">
        <v>45610.0</v>
      </c>
      <c r="E938" s="192" t="s">
        <v>806</v>
      </c>
      <c r="F938" s="196"/>
      <c r="G938" s="196"/>
      <c r="H938" s="197">
        <v>5.0</v>
      </c>
      <c r="I938" s="197">
        <v>5.0</v>
      </c>
      <c r="J938" s="197">
        <v>5.0</v>
      </c>
      <c r="K938" s="197">
        <v>5.0</v>
      </c>
      <c r="L938" s="197">
        <v>5.0</v>
      </c>
      <c r="M938" s="197">
        <v>5.0</v>
      </c>
      <c r="N938" s="197">
        <v>5.0</v>
      </c>
      <c r="O938" s="197">
        <v>5.0</v>
      </c>
      <c r="P938" s="197">
        <v>5.0</v>
      </c>
      <c r="Q938" s="197">
        <v>5.0</v>
      </c>
      <c r="R938" s="197">
        <v>5.0</v>
      </c>
      <c r="S938" s="197">
        <v>4.0</v>
      </c>
      <c r="T938" s="197">
        <v>5.0</v>
      </c>
      <c r="U938" s="197">
        <v>4.0</v>
      </c>
      <c r="V938" s="197">
        <v>5.0</v>
      </c>
      <c r="W938" s="197">
        <v>4.5</v>
      </c>
      <c r="X938" s="196"/>
      <c r="Y938" s="196"/>
      <c r="Z938" s="196"/>
      <c r="AA938" s="196"/>
      <c r="AB938" s="196"/>
      <c r="AC938" s="197">
        <v>4.833333333333333</v>
      </c>
      <c r="AD938" s="198"/>
    </row>
    <row r="939">
      <c r="A939" s="193">
        <v>105031.0</v>
      </c>
      <c r="B939" s="194" t="s">
        <v>2115</v>
      </c>
      <c r="C939" s="192" t="s">
        <v>2116</v>
      </c>
      <c r="D939" s="195">
        <v>45579.0</v>
      </c>
      <c r="E939" s="192" t="s">
        <v>154</v>
      </c>
      <c r="F939" s="196"/>
      <c r="G939" s="196"/>
      <c r="H939" s="197">
        <v>5.0</v>
      </c>
      <c r="I939" s="197">
        <v>5.0</v>
      </c>
      <c r="J939" s="197">
        <v>5.0</v>
      </c>
      <c r="K939" s="197">
        <v>5.0</v>
      </c>
      <c r="L939" s="197">
        <v>5.0</v>
      </c>
      <c r="M939" s="197">
        <v>5.0</v>
      </c>
      <c r="N939" s="197">
        <v>4.0</v>
      </c>
      <c r="O939" s="197">
        <v>4.0</v>
      </c>
      <c r="P939" s="197">
        <v>4.0</v>
      </c>
      <c r="Q939" s="197">
        <v>4.0</v>
      </c>
      <c r="R939" s="197">
        <v>4.0</v>
      </c>
      <c r="S939" s="197">
        <v>5.0</v>
      </c>
      <c r="T939" s="197">
        <v>5.0</v>
      </c>
      <c r="U939" s="197">
        <v>5.0</v>
      </c>
      <c r="V939" s="197">
        <v>5.0</v>
      </c>
      <c r="W939" s="197">
        <v>5.0</v>
      </c>
      <c r="X939" s="196"/>
      <c r="Y939" s="196"/>
      <c r="Z939" s="196"/>
      <c r="AA939" s="196"/>
      <c r="AB939" s="196"/>
      <c r="AC939" s="197">
        <v>4.666666666666667</v>
      </c>
      <c r="AD939" s="198"/>
    </row>
    <row r="940">
      <c r="A940" s="193">
        <v>104852.0</v>
      </c>
      <c r="B940" s="194" t="s">
        <v>2117</v>
      </c>
      <c r="C940" s="192" t="s">
        <v>2118</v>
      </c>
      <c r="D940" s="195">
        <v>45582.0</v>
      </c>
      <c r="E940" s="192" t="s">
        <v>602</v>
      </c>
      <c r="F940" s="196"/>
      <c r="G940" s="196"/>
      <c r="H940" s="197">
        <v>4.5</v>
      </c>
      <c r="I940" s="197">
        <v>4.5</v>
      </c>
      <c r="J940" s="197">
        <v>4.5</v>
      </c>
      <c r="K940" s="197">
        <v>4.5</v>
      </c>
      <c r="L940" s="197">
        <v>4.5</v>
      </c>
      <c r="M940" s="197">
        <v>4.5</v>
      </c>
      <c r="N940" s="197">
        <v>5.0</v>
      </c>
      <c r="O940" s="197">
        <v>5.0</v>
      </c>
      <c r="P940" s="197">
        <v>4.0</v>
      </c>
      <c r="Q940" s="197">
        <v>5.0</v>
      </c>
      <c r="R940" s="197">
        <v>4.75</v>
      </c>
      <c r="S940" s="197">
        <v>5.0</v>
      </c>
      <c r="T940" s="197">
        <v>5.0</v>
      </c>
      <c r="U940" s="197">
        <v>5.0</v>
      </c>
      <c r="V940" s="197">
        <v>5.0</v>
      </c>
      <c r="W940" s="197">
        <v>5.0</v>
      </c>
      <c r="X940" s="196"/>
      <c r="Y940" s="196"/>
      <c r="Z940" s="196"/>
      <c r="AA940" s="196"/>
      <c r="AB940" s="196"/>
      <c r="AC940" s="197">
        <v>4.75</v>
      </c>
      <c r="AD940" s="198"/>
    </row>
    <row r="941">
      <c r="A941" s="193">
        <v>105363.0</v>
      </c>
      <c r="B941" s="194" t="s">
        <v>2119</v>
      </c>
      <c r="C941" s="192" t="s">
        <v>2120</v>
      </c>
      <c r="D941" s="195">
        <v>45660.0</v>
      </c>
      <c r="E941" s="192" t="s">
        <v>602</v>
      </c>
      <c r="F941" s="196"/>
      <c r="G941" s="196"/>
      <c r="H941" s="197">
        <v>5.0</v>
      </c>
      <c r="I941" s="197">
        <v>5.0</v>
      </c>
      <c r="J941" s="197">
        <v>5.0</v>
      </c>
      <c r="K941" s="197">
        <v>5.0</v>
      </c>
      <c r="L941" s="197">
        <v>5.0</v>
      </c>
      <c r="M941" s="197">
        <v>5.0</v>
      </c>
      <c r="N941" s="197">
        <v>5.0</v>
      </c>
      <c r="O941" s="197">
        <v>5.0</v>
      </c>
      <c r="P941" s="197">
        <v>4.0</v>
      </c>
      <c r="Q941" s="197">
        <v>4.0</v>
      </c>
      <c r="R941" s="197">
        <v>4.5</v>
      </c>
      <c r="S941" s="197">
        <v>4.0</v>
      </c>
      <c r="T941" s="197">
        <v>5.0</v>
      </c>
      <c r="U941" s="197">
        <v>4.0</v>
      </c>
      <c r="V941" s="197">
        <v>5.0</v>
      </c>
      <c r="W941" s="197">
        <v>4.5</v>
      </c>
      <c r="X941" s="196"/>
      <c r="Y941" s="196"/>
      <c r="Z941" s="196"/>
      <c r="AA941" s="196"/>
      <c r="AB941" s="196"/>
      <c r="AC941" s="197">
        <v>4.666666666666667</v>
      </c>
      <c r="AD941" s="198"/>
    </row>
    <row r="942">
      <c r="A942" s="193">
        <v>105363.0</v>
      </c>
      <c r="B942" s="194">
        <v>32112.0</v>
      </c>
      <c r="C942" s="192" t="s">
        <v>2120</v>
      </c>
      <c r="D942" s="195">
        <v>45660.0</v>
      </c>
      <c r="E942" s="192" t="s">
        <v>602</v>
      </c>
      <c r="F942" s="196"/>
      <c r="G942" s="196"/>
      <c r="H942" s="197">
        <v>5.0</v>
      </c>
      <c r="I942" s="197">
        <v>5.0</v>
      </c>
      <c r="J942" s="197">
        <v>5.0</v>
      </c>
      <c r="K942" s="197">
        <v>5.0</v>
      </c>
      <c r="L942" s="197">
        <v>5.0</v>
      </c>
      <c r="M942" s="197">
        <v>5.0</v>
      </c>
      <c r="N942" s="197">
        <v>4.0</v>
      </c>
      <c r="O942" s="197">
        <v>5.0</v>
      </c>
      <c r="P942" s="197">
        <v>4.0</v>
      </c>
      <c r="Q942" s="197">
        <v>4.0</v>
      </c>
      <c r="R942" s="197">
        <v>4.25</v>
      </c>
      <c r="S942" s="197">
        <v>4.0</v>
      </c>
      <c r="T942" s="197">
        <v>5.0</v>
      </c>
      <c r="U942" s="197">
        <v>4.0</v>
      </c>
      <c r="V942" s="197">
        <v>5.0</v>
      </c>
      <c r="W942" s="197">
        <v>4.5</v>
      </c>
      <c r="X942" s="196"/>
      <c r="Y942" s="196"/>
      <c r="Z942" s="196"/>
      <c r="AA942" s="196"/>
      <c r="AB942" s="196"/>
      <c r="AC942" s="197">
        <v>4.583333333333333</v>
      </c>
      <c r="AD942" s="198"/>
    </row>
    <row r="943">
      <c r="A943" s="193">
        <v>104852.0</v>
      </c>
      <c r="B943" s="194" t="s">
        <v>2117</v>
      </c>
      <c r="C943" s="192" t="s">
        <v>2118</v>
      </c>
      <c r="D943" s="195">
        <v>45947.0</v>
      </c>
      <c r="E943" s="192" t="s">
        <v>602</v>
      </c>
      <c r="F943" s="196"/>
      <c r="G943" s="196"/>
      <c r="H943" s="197">
        <v>4.5</v>
      </c>
      <c r="I943" s="197">
        <v>4.5</v>
      </c>
      <c r="J943" s="197">
        <v>4.5</v>
      </c>
      <c r="K943" s="197">
        <v>4.5</v>
      </c>
      <c r="L943" s="197">
        <v>4.5</v>
      </c>
      <c r="M943" s="197">
        <v>4.5</v>
      </c>
      <c r="N943" s="197">
        <v>5.0</v>
      </c>
      <c r="O943" s="197">
        <v>5.0</v>
      </c>
      <c r="P943" s="197">
        <v>4.0</v>
      </c>
      <c r="Q943" s="197">
        <v>4.0</v>
      </c>
      <c r="R943" s="197">
        <v>4.5</v>
      </c>
      <c r="S943" s="197">
        <v>5.0</v>
      </c>
      <c r="T943" s="197">
        <v>5.0</v>
      </c>
      <c r="U943" s="197">
        <v>5.0</v>
      </c>
      <c r="V943" s="197">
        <v>5.0</v>
      </c>
      <c r="W943" s="197">
        <v>5.0</v>
      </c>
      <c r="X943" s="196"/>
      <c r="Y943" s="196"/>
      <c r="Z943" s="196"/>
      <c r="AA943" s="196"/>
      <c r="AB943" s="196"/>
      <c r="AC943" s="197">
        <v>4.666666666666667</v>
      </c>
      <c r="AD943" s="198"/>
    </row>
    <row r="944">
      <c r="A944" s="193">
        <v>105177.0</v>
      </c>
      <c r="B944" s="194" t="s">
        <v>2121</v>
      </c>
      <c r="C944" s="192" t="s">
        <v>2122</v>
      </c>
      <c r="D944" s="195">
        <v>45947.0</v>
      </c>
      <c r="E944" s="192" t="s">
        <v>295</v>
      </c>
      <c r="F944" s="196"/>
      <c r="G944" s="196"/>
      <c r="H944" s="197">
        <v>5.0</v>
      </c>
      <c r="I944" s="197">
        <v>5.0</v>
      </c>
      <c r="J944" s="197">
        <v>5.0</v>
      </c>
      <c r="K944" s="197">
        <v>5.0</v>
      </c>
      <c r="L944" s="197">
        <v>5.0</v>
      </c>
      <c r="M944" s="197">
        <v>5.0</v>
      </c>
      <c r="N944" s="197">
        <v>4.5</v>
      </c>
      <c r="O944" s="197">
        <v>4.5</v>
      </c>
      <c r="P944" s="197">
        <v>4.5</v>
      </c>
      <c r="Q944" s="197">
        <v>4.5</v>
      </c>
      <c r="R944" s="197">
        <v>4.5</v>
      </c>
      <c r="S944" s="197">
        <v>4.5</v>
      </c>
      <c r="T944" s="197">
        <v>4.5</v>
      </c>
      <c r="U944" s="197">
        <v>4.5</v>
      </c>
      <c r="V944" s="197">
        <v>4.5</v>
      </c>
      <c r="W944" s="197">
        <v>4.5</v>
      </c>
      <c r="X944" s="196"/>
      <c r="Y944" s="196"/>
      <c r="Z944" s="196"/>
      <c r="AA944" s="196"/>
      <c r="AB944" s="196"/>
      <c r="AC944" s="197">
        <v>4.666666666666667</v>
      </c>
      <c r="AD944" s="198"/>
    </row>
    <row r="945">
      <c r="A945" s="193">
        <v>105163.0</v>
      </c>
      <c r="B945" s="194" t="s">
        <v>2123</v>
      </c>
      <c r="C945" s="192" t="s">
        <v>2124</v>
      </c>
      <c r="D945" s="195">
        <v>45593.0</v>
      </c>
      <c r="E945" s="192" t="s">
        <v>295</v>
      </c>
      <c r="F945" s="196"/>
      <c r="G945" s="196"/>
      <c r="H945" s="197">
        <v>5.0</v>
      </c>
      <c r="I945" s="197">
        <v>5.0</v>
      </c>
      <c r="J945" s="197">
        <v>5.0</v>
      </c>
      <c r="K945" s="197">
        <v>5.0</v>
      </c>
      <c r="L945" s="197">
        <v>5.0</v>
      </c>
      <c r="M945" s="197">
        <v>5.0</v>
      </c>
      <c r="N945" s="197">
        <v>5.0</v>
      </c>
      <c r="O945" s="197">
        <v>5.0</v>
      </c>
      <c r="P945" s="197">
        <v>5.0</v>
      </c>
      <c r="Q945" s="197">
        <v>5.0</v>
      </c>
      <c r="R945" s="197">
        <v>5.0</v>
      </c>
      <c r="S945" s="197">
        <v>5.0</v>
      </c>
      <c r="T945" s="197">
        <v>5.0</v>
      </c>
      <c r="U945" s="197">
        <v>5.0</v>
      </c>
      <c r="V945" s="197">
        <v>5.0</v>
      </c>
      <c r="W945" s="197">
        <v>5.0</v>
      </c>
      <c r="X945" s="196"/>
      <c r="Y945" s="196"/>
      <c r="Z945" s="196"/>
      <c r="AA945" s="196"/>
      <c r="AB945" s="196"/>
      <c r="AC945" s="197">
        <v>5.0</v>
      </c>
      <c r="AD945" s="198"/>
    </row>
    <row r="946">
      <c r="A946" s="193">
        <v>105115.0</v>
      </c>
      <c r="B946" s="194" t="s">
        <v>2125</v>
      </c>
      <c r="C946" s="192" t="s">
        <v>2126</v>
      </c>
      <c r="D946" s="195">
        <v>45593.0</v>
      </c>
      <c r="E946" s="192" t="s">
        <v>295</v>
      </c>
      <c r="F946" s="196"/>
      <c r="G946" s="196"/>
      <c r="H946" s="197">
        <v>5.0</v>
      </c>
      <c r="I946" s="197">
        <v>5.0</v>
      </c>
      <c r="J946" s="197">
        <v>5.0</v>
      </c>
      <c r="K946" s="197">
        <v>5.0</v>
      </c>
      <c r="L946" s="197">
        <v>5.0</v>
      </c>
      <c r="M946" s="197">
        <v>5.0</v>
      </c>
      <c r="N946" s="197">
        <v>5.0</v>
      </c>
      <c r="O946" s="197">
        <v>5.0</v>
      </c>
      <c r="P946" s="197">
        <v>5.0</v>
      </c>
      <c r="Q946" s="197">
        <v>5.0</v>
      </c>
      <c r="R946" s="197">
        <v>5.0</v>
      </c>
      <c r="S946" s="197">
        <v>5.0</v>
      </c>
      <c r="T946" s="197">
        <v>5.0</v>
      </c>
      <c r="U946" s="197">
        <v>5.0</v>
      </c>
      <c r="V946" s="197">
        <v>5.0</v>
      </c>
      <c r="W946" s="197">
        <v>5.0</v>
      </c>
      <c r="X946" s="196"/>
      <c r="Y946" s="196"/>
      <c r="Z946" s="196"/>
      <c r="AA946" s="196"/>
      <c r="AB946" s="196"/>
      <c r="AC946" s="197">
        <v>5.0</v>
      </c>
      <c r="AD946" s="198"/>
    </row>
    <row r="947">
      <c r="A947" s="193">
        <v>105116.0</v>
      </c>
      <c r="B947" s="194" t="s">
        <v>2127</v>
      </c>
      <c r="C947" s="192" t="s">
        <v>2128</v>
      </c>
      <c r="D947" s="195">
        <v>45593.0</v>
      </c>
      <c r="E947" s="192" t="s">
        <v>295</v>
      </c>
      <c r="F947" s="196"/>
      <c r="G947" s="196"/>
      <c r="H947" s="197">
        <v>5.0</v>
      </c>
      <c r="I947" s="197">
        <v>5.0</v>
      </c>
      <c r="J947" s="197">
        <v>5.0</v>
      </c>
      <c r="K947" s="197">
        <v>5.0</v>
      </c>
      <c r="L947" s="197">
        <v>5.0</v>
      </c>
      <c r="M947" s="197">
        <v>5.0</v>
      </c>
      <c r="N947" s="197">
        <v>5.0</v>
      </c>
      <c r="O947" s="197">
        <v>5.0</v>
      </c>
      <c r="P947" s="197">
        <v>5.0</v>
      </c>
      <c r="Q947" s="197">
        <v>5.0</v>
      </c>
      <c r="R947" s="197">
        <v>5.0</v>
      </c>
      <c r="S947" s="197">
        <v>5.0</v>
      </c>
      <c r="T947" s="197">
        <v>5.0</v>
      </c>
      <c r="U947" s="197">
        <v>5.0</v>
      </c>
      <c r="V947" s="197">
        <v>5.0</v>
      </c>
      <c r="W947" s="197">
        <v>5.0</v>
      </c>
      <c r="X947" s="196"/>
      <c r="Y947" s="196"/>
      <c r="Z947" s="196"/>
      <c r="AA947" s="196"/>
      <c r="AB947" s="196"/>
      <c r="AC947" s="197">
        <v>5.0</v>
      </c>
      <c r="AD947" s="198"/>
    </row>
    <row r="948">
      <c r="A948" s="193">
        <v>105120.0</v>
      </c>
      <c r="B948" s="194" t="s">
        <v>2129</v>
      </c>
      <c r="C948" s="192" t="s">
        <v>2130</v>
      </c>
      <c r="D948" s="195">
        <v>45593.0</v>
      </c>
      <c r="E948" s="192" t="s">
        <v>87</v>
      </c>
      <c r="F948" s="196"/>
      <c r="G948" s="196"/>
      <c r="H948" s="197">
        <v>5.0</v>
      </c>
      <c r="I948" s="197">
        <v>5.0</v>
      </c>
      <c r="J948" s="197">
        <v>5.0</v>
      </c>
      <c r="K948" s="197">
        <v>5.0</v>
      </c>
      <c r="L948" s="197">
        <v>5.0</v>
      </c>
      <c r="M948" s="197">
        <v>5.0</v>
      </c>
      <c r="N948" s="197">
        <v>5.0</v>
      </c>
      <c r="O948" s="197">
        <v>5.0</v>
      </c>
      <c r="P948" s="197">
        <v>5.0</v>
      </c>
      <c r="Q948" s="197">
        <v>5.0</v>
      </c>
      <c r="R948" s="197">
        <v>5.0</v>
      </c>
      <c r="S948" s="197">
        <v>5.0</v>
      </c>
      <c r="T948" s="197">
        <v>5.0</v>
      </c>
      <c r="U948" s="197">
        <v>5.0</v>
      </c>
      <c r="V948" s="197">
        <v>5.0</v>
      </c>
      <c r="W948" s="197">
        <v>5.0</v>
      </c>
      <c r="X948" s="196"/>
      <c r="Y948" s="196"/>
      <c r="Z948" s="196"/>
      <c r="AA948" s="196"/>
      <c r="AB948" s="196"/>
      <c r="AC948" s="197">
        <v>5.0</v>
      </c>
      <c r="AD948" s="198"/>
    </row>
    <row r="949">
      <c r="A949" s="193">
        <v>105121.0</v>
      </c>
      <c r="B949" s="194" t="s">
        <v>2131</v>
      </c>
      <c r="C949" s="192" t="s">
        <v>2132</v>
      </c>
      <c r="D949" s="195">
        <v>45595.0</v>
      </c>
      <c r="E949" s="192" t="s">
        <v>360</v>
      </c>
      <c r="F949" s="196"/>
      <c r="G949" s="196"/>
      <c r="H949" s="197">
        <v>5.0</v>
      </c>
      <c r="I949" s="197">
        <v>5.0</v>
      </c>
      <c r="J949" s="197">
        <v>5.0</v>
      </c>
      <c r="K949" s="197">
        <v>5.0</v>
      </c>
      <c r="L949" s="197">
        <v>5.0</v>
      </c>
      <c r="M949" s="197">
        <v>5.0</v>
      </c>
      <c r="N949" s="197">
        <v>5.0</v>
      </c>
      <c r="O949" s="197">
        <v>5.0</v>
      </c>
      <c r="P949" s="197">
        <v>4.5</v>
      </c>
      <c r="Q949" s="197">
        <v>5.0</v>
      </c>
      <c r="R949" s="197">
        <v>4.875</v>
      </c>
      <c r="S949" s="197">
        <v>5.0</v>
      </c>
      <c r="T949" s="197">
        <v>5.0</v>
      </c>
      <c r="U949" s="197">
        <v>4.5</v>
      </c>
      <c r="V949" s="197">
        <v>5.0</v>
      </c>
      <c r="W949" s="197">
        <v>4.875</v>
      </c>
      <c r="X949" s="196"/>
      <c r="Y949" s="196"/>
      <c r="Z949" s="196"/>
      <c r="AA949" s="196"/>
      <c r="AB949" s="196"/>
      <c r="AC949" s="197">
        <v>4.916666666666667</v>
      </c>
      <c r="AD949" s="198"/>
    </row>
    <row r="950">
      <c r="A950" s="193">
        <v>105176.0</v>
      </c>
      <c r="B950" s="194" t="s">
        <v>2133</v>
      </c>
      <c r="C950" s="192" t="s">
        <v>2134</v>
      </c>
      <c r="D950" s="195">
        <v>45596.0</v>
      </c>
      <c r="E950" s="192" t="s">
        <v>1159</v>
      </c>
      <c r="F950" s="196"/>
      <c r="G950" s="196"/>
      <c r="H950" s="197">
        <v>5.0</v>
      </c>
      <c r="I950" s="197">
        <v>5.0</v>
      </c>
      <c r="J950" s="197">
        <v>5.0</v>
      </c>
      <c r="K950" s="197">
        <v>5.0</v>
      </c>
      <c r="L950" s="197">
        <v>5.0</v>
      </c>
      <c r="M950" s="197">
        <v>5.0</v>
      </c>
      <c r="N950" s="197">
        <v>5.0</v>
      </c>
      <c r="O950" s="197">
        <v>5.0</v>
      </c>
      <c r="P950" s="197">
        <v>5.0</v>
      </c>
      <c r="Q950" s="197">
        <v>5.0</v>
      </c>
      <c r="R950" s="197">
        <v>5.0</v>
      </c>
      <c r="S950" s="197">
        <v>5.0</v>
      </c>
      <c r="T950" s="197">
        <v>5.0</v>
      </c>
      <c r="U950" s="197">
        <v>5.0</v>
      </c>
      <c r="V950" s="197">
        <v>5.0</v>
      </c>
      <c r="W950" s="197">
        <v>5.0</v>
      </c>
      <c r="X950" s="196"/>
      <c r="Y950" s="196"/>
      <c r="Z950" s="196"/>
      <c r="AA950" s="196"/>
      <c r="AB950" s="196"/>
      <c r="AC950" s="197">
        <v>5.0</v>
      </c>
      <c r="AD950" s="198"/>
    </row>
    <row r="951">
      <c r="A951" s="193">
        <v>104983.0</v>
      </c>
      <c r="B951" s="194" t="s">
        <v>1663</v>
      </c>
      <c r="C951" s="192" t="s">
        <v>1664</v>
      </c>
      <c r="D951" s="195">
        <v>45566.0</v>
      </c>
      <c r="E951" s="192" t="s">
        <v>1257</v>
      </c>
      <c r="F951" s="196"/>
      <c r="G951" s="196"/>
      <c r="H951" s="197">
        <v>5.0</v>
      </c>
      <c r="I951" s="197">
        <v>4.5</v>
      </c>
      <c r="J951" s="197">
        <v>4.0</v>
      </c>
      <c r="K951" s="197">
        <v>4.0</v>
      </c>
      <c r="L951" s="197">
        <v>4.0</v>
      </c>
      <c r="M951" s="197">
        <v>4.3</v>
      </c>
      <c r="N951" s="197">
        <v>5.0</v>
      </c>
      <c r="O951" s="197">
        <v>4.58</v>
      </c>
      <c r="P951" s="197">
        <v>4.0</v>
      </c>
      <c r="Q951" s="197">
        <v>5.0</v>
      </c>
      <c r="R951" s="197">
        <v>4.645</v>
      </c>
      <c r="S951" s="197">
        <v>4.0</v>
      </c>
      <c r="T951" s="197">
        <v>4.5</v>
      </c>
      <c r="U951" s="197">
        <v>4.0</v>
      </c>
      <c r="V951" s="197">
        <v>4.0</v>
      </c>
      <c r="W951" s="197">
        <v>4.125</v>
      </c>
      <c r="X951" s="196"/>
      <c r="Y951" s="196"/>
      <c r="Z951" s="196"/>
      <c r="AA951" s="196"/>
      <c r="AB951" s="196"/>
      <c r="AC951" s="197">
        <v>4.3566666666666665</v>
      </c>
      <c r="AD951" s="198"/>
    </row>
    <row r="952">
      <c r="A952" s="193">
        <v>105030.0</v>
      </c>
      <c r="B952" s="194" t="s">
        <v>2135</v>
      </c>
      <c r="C952" s="192" t="s">
        <v>2136</v>
      </c>
      <c r="D952" s="195">
        <v>45573.0</v>
      </c>
      <c r="E952" s="192" t="s">
        <v>154</v>
      </c>
      <c r="F952" s="196"/>
      <c r="G952" s="196"/>
      <c r="H952" s="197">
        <v>5.0</v>
      </c>
      <c r="I952" s="197">
        <v>5.0</v>
      </c>
      <c r="J952" s="197">
        <v>5.0</v>
      </c>
      <c r="K952" s="197">
        <v>5.0</v>
      </c>
      <c r="L952" s="197">
        <v>5.0</v>
      </c>
      <c r="M952" s="197">
        <v>5.0</v>
      </c>
      <c r="N952" s="197">
        <v>4.9</v>
      </c>
      <c r="O952" s="197">
        <v>5.0</v>
      </c>
      <c r="P952" s="197">
        <v>4.9</v>
      </c>
      <c r="Q952" s="197">
        <v>4.9</v>
      </c>
      <c r="R952" s="197">
        <v>4.925000000000001</v>
      </c>
      <c r="S952" s="197">
        <v>5.0</v>
      </c>
      <c r="T952" s="197">
        <v>5.0</v>
      </c>
      <c r="U952" s="197">
        <v>5.0</v>
      </c>
      <c r="V952" s="197">
        <v>5.0</v>
      </c>
      <c r="W952" s="197">
        <v>5.0</v>
      </c>
      <c r="X952" s="196"/>
      <c r="Y952" s="196"/>
      <c r="Z952" s="196"/>
      <c r="AA952" s="196"/>
      <c r="AB952" s="196"/>
      <c r="AC952" s="197">
        <v>4.9750000000000005</v>
      </c>
      <c r="AD952" s="198"/>
    </row>
    <row r="953">
      <c r="A953" s="193">
        <v>105140.0</v>
      </c>
      <c r="B953" s="194" t="s">
        <v>2137</v>
      </c>
      <c r="C953" s="192" t="s">
        <v>2138</v>
      </c>
      <c r="D953" s="195">
        <v>45614.0</v>
      </c>
      <c r="E953" s="192" t="s">
        <v>398</v>
      </c>
      <c r="F953" s="196"/>
      <c r="G953" s="196"/>
      <c r="H953" s="197">
        <v>5.0</v>
      </c>
      <c r="I953" s="197">
        <v>5.0</v>
      </c>
      <c r="J953" s="197">
        <v>5.0</v>
      </c>
      <c r="K953" s="197">
        <v>5.0</v>
      </c>
      <c r="L953" s="197">
        <v>5.0</v>
      </c>
      <c r="M953" s="197">
        <v>5.0</v>
      </c>
      <c r="N953" s="197">
        <v>5.0</v>
      </c>
      <c r="O953" s="197">
        <v>4.5</v>
      </c>
      <c r="P953" s="197">
        <v>5.0</v>
      </c>
      <c r="Q953" s="197">
        <v>5.0</v>
      </c>
      <c r="R953" s="197">
        <v>4.875</v>
      </c>
      <c r="S953" s="197">
        <v>5.0</v>
      </c>
      <c r="T953" s="197">
        <v>4.9</v>
      </c>
      <c r="U953" s="197">
        <v>4.9</v>
      </c>
      <c r="V953" s="197">
        <v>5.0</v>
      </c>
      <c r="W953" s="197">
        <v>4.95</v>
      </c>
      <c r="X953" s="196"/>
      <c r="Y953" s="196"/>
      <c r="Z953" s="196"/>
      <c r="AA953" s="196"/>
      <c r="AB953" s="196"/>
      <c r="AC953" s="197">
        <v>4.941666666666666</v>
      </c>
      <c r="AD953" s="198"/>
    </row>
    <row r="954">
      <c r="A954" s="193">
        <v>105137.0</v>
      </c>
      <c r="B954" s="194" t="s">
        <v>2139</v>
      </c>
      <c r="C954" s="192" t="s">
        <v>2140</v>
      </c>
      <c r="D954" s="195">
        <v>45604.0</v>
      </c>
      <c r="E954" s="192" t="s">
        <v>87</v>
      </c>
      <c r="F954" s="196"/>
      <c r="G954" s="196"/>
      <c r="H954" s="197">
        <v>5.0</v>
      </c>
      <c r="I954" s="197">
        <v>5.0</v>
      </c>
      <c r="J954" s="197">
        <v>5.0</v>
      </c>
      <c r="K954" s="197">
        <v>5.0</v>
      </c>
      <c r="L954" s="197">
        <v>5.0</v>
      </c>
      <c r="M954" s="197">
        <v>5.0</v>
      </c>
      <c r="N954" s="197">
        <v>5.0</v>
      </c>
      <c r="O954" s="197">
        <v>4.5</v>
      </c>
      <c r="P954" s="197">
        <v>5.0</v>
      </c>
      <c r="Q954" s="197">
        <v>5.0</v>
      </c>
      <c r="R954" s="197">
        <v>4.875</v>
      </c>
      <c r="S954" s="197">
        <v>5.0</v>
      </c>
      <c r="T954" s="197">
        <v>5.0</v>
      </c>
      <c r="U954" s="197">
        <v>5.0</v>
      </c>
      <c r="V954" s="197">
        <v>5.0</v>
      </c>
      <c r="W954" s="197">
        <v>5.0</v>
      </c>
      <c r="X954" s="196"/>
      <c r="Y954" s="196"/>
      <c r="Z954" s="196"/>
      <c r="AA954" s="196"/>
      <c r="AB954" s="196"/>
      <c r="AC954" s="197">
        <v>4.958333333333333</v>
      </c>
      <c r="AD954" s="198"/>
    </row>
    <row r="955">
      <c r="A955" s="193">
        <v>105206.0</v>
      </c>
      <c r="B955" s="194" t="s">
        <v>2142</v>
      </c>
      <c r="C955" s="192" t="s">
        <v>2143</v>
      </c>
      <c r="D955" s="195">
        <v>45604.0</v>
      </c>
      <c r="E955" s="192" t="s">
        <v>427</v>
      </c>
      <c r="F955" s="196"/>
      <c r="G955" s="196"/>
      <c r="H955" s="197">
        <v>5.0</v>
      </c>
      <c r="I955" s="197">
        <v>4.0</v>
      </c>
      <c r="J955" s="197">
        <v>5.0</v>
      </c>
      <c r="K955" s="197">
        <v>5.0</v>
      </c>
      <c r="L955" s="197">
        <v>5.0</v>
      </c>
      <c r="M955" s="197">
        <v>4.8</v>
      </c>
      <c r="N955" s="197">
        <v>5.0</v>
      </c>
      <c r="O955" s="197">
        <v>4.5</v>
      </c>
      <c r="P955" s="197">
        <v>5.0</v>
      </c>
      <c r="Q955" s="197">
        <v>5.0</v>
      </c>
      <c r="R955" s="197">
        <v>4.875</v>
      </c>
      <c r="S955" s="197">
        <v>5.0</v>
      </c>
      <c r="T955" s="197">
        <v>5.0</v>
      </c>
      <c r="U955" s="197">
        <v>5.0</v>
      </c>
      <c r="V955" s="197">
        <v>5.0</v>
      </c>
      <c r="W955" s="197">
        <v>5.0</v>
      </c>
      <c r="X955" s="196"/>
      <c r="Y955" s="196"/>
      <c r="Z955" s="196"/>
      <c r="AA955" s="196"/>
      <c r="AB955" s="196"/>
      <c r="AC955" s="197">
        <v>4.891666666666667</v>
      </c>
      <c r="AD955" s="198"/>
    </row>
    <row r="956">
      <c r="A956" s="193">
        <v>105190.0</v>
      </c>
      <c r="B956" s="194" t="s">
        <v>2144</v>
      </c>
      <c r="C956" s="192" t="s">
        <v>2145</v>
      </c>
      <c r="D956" s="195">
        <v>45604.0</v>
      </c>
      <c r="E956" s="192" t="s">
        <v>427</v>
      </c>
      <c r="F956" s="196"/>
      <c r="G956" s="196"/>
      <c r="H956" s="197">
        <v>5.0</v>
      </c>
      <c r="I956" s="197">
        <v>4.0</v>
      </c>
      <c r="J956" s="197">
        <v>5.0</v>
      </c>
      <c r="K956" s="197">
        <v>5.0</v>
      </c>
      <c r="L956" s="197">
        <v>5.0</v>
      </c>
      <c r="M956" s="197">
        <v>4.8</v>
      </c>
      <c r="N956" s="197">
        <v>5.0</v>
      </c>
      <c r="O956" s="197">
        <v>4.5</v>
      </c>
      <c r="P956" s="197">
        <v>5.0</v>
      </c>
      <c r="Q956" s="197">
        <v>5.0</v>
      </c>
      <c r="R956" s="197">
        <v>4.875</v>
      </c>
      <c r="S956" s="197">
        <v>5.0</v>
      </c>
      <c r="T956" s="197">
        <v>4.5</v>
      </c>
      <c r="U956" s="197">
        <v>4.5</v>
      </c>
      <c r="V956" s="197">
        <v>5.0</v>
      </c>
      <c r="W956" s="197">
        <v>4.75</v>
      </c>
      <c r="X956" s="196"/>
      <c r="Y956" s="196"/>
      <c r="Z956" s="196"/>
      <c r="AA956" s="196"/>
      <c r="AB956" s="196"/>
      <c r="AC956" s="197">
        <v>4.808333333333334</v>
      </c>
      <c r="AD956" s="198"/>
    </row>
    <row r="957">
      <c r="A957" s="193">
        <v>104735.0</v>
      </c>
      <c r="B957" s="194" t="s">
        <v>2147</v>
      </c>
      <c r="C957" s="192" t="s">
        <v>2149</v>
      </c>
      <c r="D957" s="195">
        <v>45691.0</v>
      </c>
      <c r="E957" s="192" t="s">
        <v>767</v>
      </c>
      <c r="F957" s="196"/>
      <c r="G957" s="196"/>
      <c r="H957" s="197">
        <v>5.0</v>
      </c>
      <c r="I957" s="197">
        <v>5.0</v>
      </c>
      <c r="J957" s="197">
        <v>5.0</v>
      </c>
      <c r="K957" s="197">
        <v>5.0</v>
      </c>
      <c r="L957" s="197">
        <v>5.0</v>
      </c>
      <c r="M957" s="197">
        <v>5.0</v>
      </c>
      <c r="N957" s="197">
        <v>5.0</v>
      </c>
      <c r="O957" s="197">
        <v>5.0</v>
      </c>
      <c r="P957" s="197">
        <v>5.0</v>
      </c>
      <c r="Q957" s="197">
        <v>5.0</v>
      </c>
      <c r="R957" s="197">
        <v>5.0</v>
      </c>
      <c r="S957" s="197">
        <v>4.5</v>
      </c>
      <c r="T957" s="197">
        <v>4.5</v>
      </c>
      <c r="U957" s="197">
        <v>4.5</v>
      </c>
      <c r="V957" s="197">
        <v>4.5</v>
      </c>
      <c r="W957" s="197">
        <v>4.5</v>
      </c>
      <c r="X957" s="196"/>
      <c r="Y957" s="196"/>
      <c r="Z957" s="196"/>
      <c r="AA957" s="196"/>
      <c r="AB957" s="196"/>
      <c r="AC957" s="197">
        <v>4.833333333333333</v>
      </c>
      <c r="AD957" s="198"/>
    </row>
    <row r="958">
      <c r="A958" s="194" t="s">
        <v>2150</v>
      </c>
      <c r="B958" s="194" t="s">
        <v>2151</v>
      </c>
      <c r="C958" s="192" t="e">
        <v>#N/A</v>
      </c>
      <c r="D958" s="195">
        <v>45644.0</v>
      </c>
      <c r="E958" s="192" t="s">
        <v>646</v>
      </c>
      <c r="F958" s="196"/>
      <c r="G958" s="196"/>
      <c r="H958" s="197">
        <v>5.0</v>
      </c>
      <c r="I958" s="197">
        <v>5.0</v>
      </c>
      <c r="J958" s="197">
        <v>5.0</v>
      </c>
      <c r="K958" s="197">
        <v>5.0</v>
      </c>
      <c r="L958" s="197">
        <v>5.0</v>
      </c>
      <c r="M958" s="197">
        <v>5.0</v>
      </c>
      <c r="N958" s="197">
        <v>5.0</v>
      </c>
      <c r="O958" s="197">
        <v>5.0</v>
      </c>
      <c r="P958" s="197">
        <v>5.0</v>
      </c>
      <c r="Q958" s="197">
        <v>5.0</v>
      </c>
      <c r="R958" s="197">
        <v>5.0</v>
      </c>
      <c r="S958" s="197">
        <v>5.0</v>
      </c>
      <c r="T958" s="197">
        <v>5.0</v>
      </c>
      <c r="U958" s="197">
        <v>5.0</v>
      </c>
      <c r="V958" s="197">
        <v>5.0</v>
      </c>
      <c r="W958" s="197">
        <v>5.0</v>
      </c>
      <c r="X958" s="196"/>
      <c r="Y958" s="196"/>
      <c r="Z958" s="196"/>
      <c r="AA958" s="196"/>
      <c r="AB958" s="196"/>
      <c r="AC958" s="197">
        <v>5.0</v>
      </c>
      <c r="AD958" s="198"/>
    </row>
    <row r="959">
      <c r="A959" s="193">
        <v>105249.0</v>
      </c>
      <c r="B959" s="194" t="s">
        <v>2152</v>
      </c>
      <c r="C959" s="192" t="s">
        <v>2153</v>
      </c>
      <c r="D959" s="195">
        <v>45615.0</v>
      </c>
      <c r="E959" s="192" t="s">
        <v>767</v>
      </c>
      <c r="F959" s="196"/>
      <c r="G959" s="196"/>
      <c r="H959" s="197">
        <v>5.0</v>
      </c>
      <c r="I959" s="197">
        <v>5.0</v>
      </c>
      <c r="J959" s="197">
        <v>5.0</v>
      </c>
      <c r="K959" s="197">
        <v>5.0</v>
      </c>
      <c r="L959" s="197">
        <v>5.0</v>
      </c>
      <c r="M959" s="197">
        <v>5.0</v>
      </c>
      <c r="N959" s="197">
        <v>5.0</v>
      </c>
      <c r="O959" s="197">
        <v>5.0</v>
      </c>
      <c r="P959" s="197">
        <v>5.0</v>
      </c>
      <c r="Q959" s="197">
        <v>5.0</v>
      </c>
      <c r="R959" s="197">
        <v>5.0</v>
      </c>
      <c r="S959" s="197">
        <v>4.2</v>
      </c>
      <c r="T959" s="197">
        <v>4.2</v>
      </c>
      <c r="U959" s="197">
        <v>4.2</v>
      </c>
      <c r="V959" s="197">
        <v>4.2</v>
      </c>
      <c r="W959" s="197">
        <v>4.2</v>
      </c>
      <c r="X959" s="196"/>
      <c r="Y959" s="196"/>
      <c r="Z959" s="196"/>
      <c r="AA959" s="196"/>
      <c r="AB959" s="196"/>
      <c r="AC959" s="197">
        <v>4.733333333333333</v>
      </c>
      <c r="AD959" s="198"/>
    </row>
    <row r="960">
      <c r="A960" s="193">
        <v>105236.0</v>
      </c>
      <c r="B960" s="194" t="s">
        <v>1761</v>
      </c>
      <c r="C960" s="192" t="s">
        <v>1762</v>
      </c>
      <c r="D960" s="195">
        <v>45619.0</v>
      </c>
      <c r="E960" s="192" t="s">
        <v>1159</v>
      </c>
      <c r="F960" s="196"/>
      <c r="G960" s="196"/>
      <c r="H960" s="197">
        <v>5.0</v>
      </c>
      <c r="I960" s="197">
        <v>5.0</v>
      </c>
      <c r="J960" s="197">
        <v>5.0</v>
      </c>
      <c r="K960" s="197">
        <v>5.0</v>
      </c>
      <c r="L960" s="197">
        <v>5.0</v>
      </c>
      <c r="M960" s="197">
        <v>5.0</v>
      </c>
      <c r="N960" s="197">
        <v>3.0</v>
      </c>
      <c r="O960" s="197">
        <v>5.0</v>
      </c>
      <c r="P960" s="197">
        <v>3.0</v>
      </c>
      <c r="Q960" s="197">
        <v>3.0</v>
      </c>
      <c r="R960" s="197">
        <v>3.5</v>
      </c>
      <c r="S960" s="197">
        <v>3.5</v>
      </c>
      <c r="T960" s="197">
        <v>3.5</v>
      </c>
      <c r="U960" s="197">
        <v>3.5</v>
      </c>
      <c r="V960" s="197">
        <v>3.5</v>
      </c>
      <c r="W960" s="197">
        <v>3.5</v>
      </c>
      <c r="X960" s="196"/>
      <c r="Y960" s="196"/>
      <c r="Z960" s="196"/>
      <c r="AA960" s="196"/>
      <c r="AB960" s="196"/>
      <c r="AC960" s="197">
        <v>4.0</v>
      </c>
      <c r="AD960" s="198"/>
    </row>
    <row r="961">
      <c r="A961" s="193">
        <v>104137.0</v>
      </c>
      <c r="B961" s="194" t="s">
        <v>1235</v>
      </c>
      <c r="C961" s="192" t="s">
        <v>1236</v>
      </c>
      <c r="D961" s="195">
        <v>45335.0</v>
      </c>
      <c r="E961" s="192" t="s">
        <v>767</v>
      </c>
      <c r="F961" s="196"/>
      <c r="G961" s="196"/>
      <c r="H961" s="197">
        <v>5.0</v>
      </c>
      <c r="I961" s="197">
        <v>5.0</v>
      </c>
      <c r="J961" s="197">
        <v>5.0</v>
      </c>
      <c r="K961" s="197">
        <v>5.0</v>
      </c>
      <c r="L961" s="197">
        <v>5.0</v>
      </c>
      <c r="M961" s="197">
        <v>5.0</v>
      </c>
      <c r="N961" s="197">
        <v>5.0</v>
      </c>
      <c r="O961" s="197">
        <v>5.0</v>
      </c>
      <c r="P961" s="197">
        <v>5.0</v>
      </c>
      <c r="Q961" s="197">
        <v>5.0</v>
      </c>
      <c r="R961" s="197">
        <v>5.0</v>
      </c>
      <c r="S961" s="197">
        <v>4.2</v>
      </c>
      <c r="T961" s="197">
        <v>4.2</v>
      </c>
      <c r="U961" s="197">
        <v>4.2</v>
      </c>
      <c r="V961" s="197">
        <v>4.2</v>
      </c>
      <c r="W961" s="197">
        <v>4.2</v>
      </c>
      <c r="X961" s="196"/>
      <c r="Y961" s="196"/>
      <c r="Z961" s="196"/>
      <c r="AA961" s="196"/>
      <c r="AB961" s="196"/>
      <c r="AC961" s="197">
        <v>4.733333333333333</v>
      </c>
      <c r="AD961" s="198"/>
    </row>
    <row r="962">
      <c r="A962" s="193">
        <v>105193.0</v>
      </c>
      <c r="B962" s="194" t="s">
        <v>2157</v>
      </c>
      <c r="C962" s="192" t="s">
        <v>2158</v>
      </c>
      <c r="D962" s="195">
        <v>45614.0</v>
      </c>
      <c r="E962" s="192" t="s">
        <v>254</v>
      </c>
      <c r="F962" s="196"/>
      <c r="G962" s="196"/>
      <c r="H962" s="197">
        <v>5.0</v>
      </c>
      <c r="I962" s="197">
        <v>5.0</v>
      </c>
      <c r="J962" s="197">
        <v>5.0</v>
      </c>
      <c r="K962" s="197">
        <v>5.0</v>
      </c>
      <c r="L962" s="197">
        <v>5.0</v>
      </c>
      <c r="M962" s="197">
        <v>5.0</v>
      </c>
      <c r="N962" s="197">
        <v>5.0</v>
      </c>
      <c r="O962" s="197">
        <v>5.0</v>
      </c>
      <c r="P962" s="197">
        <v>5.0</v>
      </c>
      <c r="Q962" s="197">
        <v>5.0</v>
      </c>
      <c r="R962" s="197">
        <v>5.0</v>
      </c>
      <c r="S962" s="197">
        <v>5.0</v>
      </c>
      <c r="T962" s="197">
        <v>5.0</v>
      </c>
      <c r="U962" s="197">
        <v>5.0</v>
      </c>
      <c r="V962" s="197">
        <v>5.0</v>
      </c>
      <c r="W962" s="197">
        <v>5.0</v>
      </c>
      <c r="X962" s="196"/>
      <c r="Y962" s="196"/>
      <c r="Z962" s="196"/>
      <c r="AA962" s="196"/>
      <c r="AB962" s="196"/>
      <c r="AC962" s="197">
        <v>5.0</v>
      </c>
      <c r="AD962" s="198"/>
    </row>
    <row r="963">
      <c r="A963" s="194" t="s">
        <v>2159</v>
      </c>
      <c r="B963" s="194" t="s">
        <v>2161</v>
      </c>
      <c r="C963" s="192" t="e">
        <v>#N/A</v>
      </c>
      <c r="D963" s="195">
        <v>45665.0</v>
      </c>
      <c r="E963" s="192" t="s">
        <v>646</v>
      </c>
      <c r="F963" s="196"/>
      <c r="G963" s="196"/>
      <c r="H963" s="197">
        <v>5.0</v>
      </c>
      <c r="I963" s="197">
        <v>5.0</v>
      </c>
      <c r="J963" s="197">
        <v>5.0</v>
      </c>
      <c r="K963" s="197">
        <v>5.0</v>
      </c>
      <c r="L963" s="197">
        <v>5.0</v>
      </c>
      <c r="M963" s="197">
        <v>5.0</v>
      </c>
      <c r="N963" s="197">
        <v>5.0</v>
      </c>
      <c r="O963" s="197">
        <v>5.0</v>
      </c>
      <c r="P963" s="197">
        <v>5.0</v>
      </c>
      <c r="Q963" s="197">
        <v>5.0</v>
      </c>
      <c r="R963" s="197">
        <v>5.0</v>
      </c>
      <c r="S963" s="197">
        <v>5.0</v>
      </c>
      <c r="T963" s="197">
        <v>5.0</v>
      </c>
      <c r="U963" s="197">
        <v>5.0</v>
      </c>
      <c r="V963" s="197">
        <v>5.0</v>
      </c>
      <c r="W963" s="197">
        <v>5.0</v>
      </c>
      <c r="X963" s="196"/>
      <c r="Y963" s="196"/>
      <c r="Z963" s="196"/>
      <c r="AA963" s="196"/>
      <c r="AB963" s="196"/>
      <c r="AC963" s="197">
        <v>5.0</v>
      </c>
      <c r="AD963" s="198"/>
    </row>
    <row r="964">
      <c r="A964" s="193">
        <v>104791.0</v>
      </c>
      <c r="B964" s="194" t="s">
        <v>2162</v>
      </c>
      <c r="C964" s="192" t="s">
        <v>2163</v>
      </c>
      <c r="D964" s="195">
        <v>45512.0</v>
      </c>
      <c r="E964" s="192" t="s">
        <v>125</v>
      </c>
      <c r="F964" s="196"/>
      <c r="G964" s="196"/>
      <c r="H964" s="197">
        <v>5.0</v>
      </c>
      <c r="I964" s="197">
        <v>5.0</v>
      </c>
      <c r="J964" s="197">
        <v>5.0</v>
      </c>
      <c r="K964" s="197">
        <v>5.0</v>
      </c>
      <c r="L964" s="197">
        <v>5.0</v>
      </c>
      <c r="M964" s="197">
        <v>5.0</v>
      </c>
      <c r="N964" s="197">
        <v>5.0</v>
      </c>
      <c r="O964" s="197">
        <v>5.0</v>
      </c>
      <c r="P964" s="197">
        <v>5.0</v>
      </c>
      <c r="Q964" s="197">
        <v>5.0</v>
      </c>
      <c r="R964" s="197">
        <v>5.0</v>
      </c>
      <c r="S964" s="197">
        <v>5.0</v>
      </c>
      <c r="T964" s="197">
        <v>5.0</v>
      </c>
      <c r="U964" s="197">
        <v>5.0</v>
      </c>
      <c r="V964" s="197">
        <v>5.0</v>
      </c>
      <c r="W964" s="197">
        <v>5.0</v>
      </c>
      <c r="X964" s="196"/>
      <c r="Y964" s="196"/>
      <c r="Z964" s="196"/>
      <c r="AA964" s="196"/>
      <c r="AB964" s="196"/>
      <c r="AC964" s="197">
        <v>5.0</v>
      </c>
      <c r="AD964" s="198"/>
    </row>
    <row r="965">
      <c r="A965" s="193">
        <v>105437.0</v>
      </c>
      <c r="B965" s="194" t="s">
        <v>2165</v>
      </c>
      <c r="C965" s="192" t="s">
        <v>2166</v>
      </c>
      <c r="D965" s="195">
        <v>45722.0</v>
      </c>
      <c r="E965" s="192" t="s">
        <v>625</v>
      </c>
      <c r="F965" s="196"/>
      <c r="G965" s="196"/>
      <c r="H965" s="197">
        <v>5.0</v>
      </c>
      <c r="I965" s="197">
        <v>5.0</v>
      </c>
      <c r="J965" s="197">
        <v>5.0</v>
      </c>
      <c r="K965" s="197">
        <v>5.0</v>
      </c>
      <c r="L965" s="197">
        <v>5.0</v>
      </c>
      <c r="M965" s="197">
        <v>5.0</v>
      </c>
      <c r="N965" s="197">
        <v>5.0</v>
      </c>
      <c r="O965" s="197">
        <v>5.0</v>
      </c>
      <c r="P965" s="197">
        <v>5.0</v>
      </c>
      <c r="Q965" s="197">
        <v>5.0</v>
      </c>
      <c r="R965" s="197">
        <v>5.0</v>
      </c>
      <c r="S965" s="197">
        <v>5.0</v>
      </c>
      <c r="T965" s="197">
        <v>5.0</v>
      </c>
      <c r="U965" s="197">
        <v>5.0</v>
      </c>
      <c r="V965" s="197">
        <v>5.0</v>
      </c>
      <c r="W965" s="197">
        <v>5.0</v>
      </c>
      <c r="X965" s="196"/>
      <c r="Y965" s="196"/>
      <c r="Z965" s="196"/>
      <c r="AA965" s="196"/>
      <c r="AB965" s="196"/>
      <c r="AC965" s="197">
        <v>5.0</v>
      </c>
      <c r="AD965" s="198"/>
    </row>
    <row r="966">
      <c r="A966" s="193">
        <v>105551.0</v>
      </c>
      <c r="B966" s="194" t="s">
        <v>2168</v>
      </c>
      <c r="C966" s="192" t="s">
        <v>2169</v>
      </c>
      <c r="D966" s="195">
        <v>45803.0</v>
      </c>
      <c r="E966" s="192" t="s">
        <v>625</v>
      </c>
      <c r="F966" s="196"/>
      <c r="G966" s="196"/>
      <c r="H966" s="197">
        <v>5.0</v>
      </c>
      <c r="I966" s="197">
        <v>5.0</v>
      </c>
      <c r="J966" s="197">
        <v>5.0</v>
      </c>
      <c r="K966" s="197">
        <v>5.0</v>
      </c>
      <c r="L966" s="197">
        <v>5.0</v>
      </c>
      <c r="M966" s="197">
        <v>5.0</v>
      </c>
      <c r="N966" s="197">
        <v>5.0</v>
      </c>
      <c r="O966" s="197">
        <v>5.0</v>
      </c>
      <c r="P966" s="197">
        <v>5.0</v>
      </c>
      <c r="Q966" s="197">
        <v>5.0</v>
      </c>
      <c r="R966" s="197">
        <v>5.0</v>
      </c>
      <c r="S966" s="197">
        <v>5.0</v>
      </c>
      <c r="T966" s="197">
        <v>5.0</v>
      </c>
      <c r="U966" s="197">
        <v>5.0</v>
      </c>
      <c r="V966" s="197"/>
      <c r="W966" s="197">
        <v>5.0</v>
      </c>
      <c r="X966" s="196"/>
      <c r="Y966" s="196"/>
      <c r="Z966" s="196"/>
      <c r="AA966" s="196"/>
      <c r="AB966" s="196"/>
      <c r="AC966" s="197">
        <v>5.0</v>
      </c>
      <c r="AD966" s="198"/>
    </row>
    <row r="967">
      <c r="A967" s="194" t="s">
        <v>2171</v>
      </c>
      <c r="B967" s="194" t="s">
        <v>2172</v>
      </c>
      <c r="C967" s="192" t="e">
        <v>#N/A</v>
      </c>
      <c r="D967" s="195">
        <v>45614.0</v>
      </c>
      <c r="E967" s="192" t="s">
        <v>326</v>
      </c>
      <c r="F967" s="196"/>
      <c r="G967" s="196"/>
      <c r="H967" s="197">
        <v>5.0</v>
      </c>
      <c r="I967" s="197">
        <v>5.0</v>
      </c>
      <c r="J967" s="197">
        <v>5.0</v>
      </c>
      <c r="K967" s="197">
        <v>5.0</v>
      </c>
      <c r="L967" s="197">
        <v>5.0</v>
      </c>
      <c r="M967" s="197">
        <v>5.0</v>
      </c>
      <c r="N967" s="197">
        <v>5.0</v>
      </c>
      <c r="O967" s="197">
        <v>5.0</v>
      </c>
      <c r="P967" s="197">
        <v>5.0</v>
      </c>
      <c r="Q967" s="197">
        <v>5.0</v>
      </c>
      <c r="R967" s="197">
        <v>5.0</v>
      </c>
      <c r="S967" s="197">
        <v>5.0</v>
      </c>
      <c r="T967" s="197">
        <v>5.0</v>
      </c>
      <c r="U967" s="197">
        <v>5.0</v>
      </c>
      <c r="V967" s="197">
        <v>5.0</v>
      </c>
      <c r="W967" s="197">
        <v>5.0</v>
      </c>
      <c r="X967" s="196"/>
      <c r="Y967" s="196"/>
      <c r="Z967" s="196"/>
      <c r="AA967" s="196"/>
      <c r="AB967" s="196"/>
      <c r="AC967" s="197">
        <v>5.0</v>
      </c>
      <c r="AD967" s="198"/>
    </row>
    <row r="968">
      <c r="A968" s="193">
        <v>105577.0</v>
      </c>
      <c r="B968" s="194" t="s">
        <v>2173</v>
      </c>
      <c r="C968" s="192" t="s">
        <v>2174</v>
      </c>
      <c r="D968" s="195">
        <v>45730.0</v>
      </c>
      <c r="E968" s="192" t="s">
        <v>1140</v>
      </c>
      <c r="F968" s="196"/>
      <c r="G968" s="196"/>
      <c r="H968" s="197">
        <v>5.0</v>
      </c>
      <c r="I968" s="197">
        <v>5.0</v>
      </c>
      <c r="J968" s="197">
        <v>5.0</v>
      </c>
      <c r="K968" s="197">
        <v>5.0</v>
      </c>
      <c r="L968" s="197">
        <v>5.0</v>
      </c>
      <c r="M968" s="197">
        <v>5.0</v>
      </c>
      <c r="N968" s="197">
        <v>5.0</v>
      </c>
      <c r="O968" s="197">
        <v>5.0</v>
      </c>
      <c r="P968" s="197">
        <v>5.0</v>
      </c>
      <c r="Q968" s="197">
        <v>5.0</v>
      </c>
      <c r="R968" s="197">
        <v>5.0</v>
      </c>
      <c r="S968" s="197"/>
      <c r="T968" s="197"/>
      <c r="U968" s="197"/>
      <c r="V968" s="197"/>
      <c r="W968" s="197"/>
      <c r="X968" s="196"/>
      <c r="Y968" s="196"/>
      <c r="Z968" s="196"/>
      <c r="AA968" s="196"/>
      <c r="AB968" s="196"/>
      <c r="AC968" s="197">
        <v>5.0</v>
      </c>
      <c r="AD968" s="198"/>
    </row>
    <row r="969">
      <c r="A969" s="245">
        <v>45534.0</v>
      </c>
      <c r="B969" s="194" t="s">
        <v>2014</v>
      </c>
      <c r="C969" s="192" t="e">
        <v>#N/A</v>
      </c>
      <c r="D969" s="195">
        <v>45534.0</v>
      </c>
      <c r="E969" s="192" t="s">
        <v>646</v>
      </c>
      <c r="F969" s="196"/>
      <c r="G969" s="196"/>
      <c r="H969" s="197">
        <v>5.0</v>
      </c>
      <c r="I969" s="197">
        <v>5.0</v>
      </c>
      <c r="J969" s="197">
        <v>5.0</v>
      </c>
      <c r="K969" s="197">
        <v>5.0</v>
      </c>
      <c r="L969" s="197">
        <v>5.0</v>
      </c>
      <c r="M969" s="197">
        <v>5.0</v>
      </c>
      <c r="N969" s="197">
        <v>5.0</v>
      </c>
      <c r="O969" s="197">
        <v>5.0</v>
      </c>
      <c r="P969" s="197">
        <v>5.0</v>
      </c>
      <c r="Q969" s="197">
        <v>5.0</v>
      </c>
      <c r="R969" s="197">
        <v>5.0</v>
      </c>
      <c r="S969" s="197">
        <v>5.0</v>
      </c>
      <c r="T969" s="197">
        <v>5.0</v>
      </c>
      <c r="U969" s="197">
        <v>5.0</v>
      </c>
      <c r="V969" s="197">
        <v>5.0</v>
      </c>
      <c r="W969" s="197">
        <v>5.0</v>
      </c>
      <c r="X969" s="196"/>
      <c r="Y969" s="196"/>
      <c r="Z969" s="196"/>
      <c r="AA969" s="196"/>
      <c r="AB969" s="196"/>
      <c r="AC969" s="197">
        <v>5.0</v>
      </c>
      <c r="AD969" s="198"/>
    </row>
    <row r="970">
      <c r="A970" s="193">
        <v>105588.0</v>
      </c>
      <c r="B970" s="194" t="s">
        <v>2177</v>
      </c>
      <c r="C970" s="192" t="s">
        <v>2178</v>
      </c>
      <c r="D970" s="195">
        <v>45730.0</v>
      </c>
      <c r="E970" s="192" t="s">
        <v>1257</v>
      </c>
      <c r="F970" s="196"/>
      <c r="G970" s="196"/>
      <c r="H970" s="197">
        <v>5.0</v>
      </c>
      <c r="I970" s="197">
        <v>5.0</v>
      </c>
      <c r="J970" s="197">
        <v>5.0</v>
      </c>
      <c r="K970" s="197">
        <v>5.0</v>
      </c>
      <c r="L970" s="197">
        <v>5.0</v>
      </c>
      <c r="M970" s="197">
        <v>5.0</v>
      </c>
      <c r="N970" s="197">
        <v>5.0</v>
      </c>
      <c r="O970" s="197">
        <v>5.0</v>
      </c>
      <c r="P970" s="197">
        <v>5.0</v>
      </c>
      <c r="Q970" s="197">
        <v>5.0</v>
      </c>
      <c r="R970" s="197">
        <v>5.0</v>
      </c>
      <c r="S970" s="197"/>
      <c r="T970" s="197"/>
      <c r="U970" s="197"/>
      <c r="V970" s="197"/>
      <c r="W970" s="197"/>
      <c r="X970" s="196"/>
      <c r="Y970" s="196"/>
      <c r="Z970" s="196"/>
      <c r="AA970" s="196"/>
      <c r="AB970" s="196"/>
      <c r="AC970" s="197">
        <v>5.0</v>
      </c>
      <c r="AD970" s="198"/>
    </row>
    <row r="971">
      <c r="A971" s="193">
        <v>104698.0</v>
      </c>
      <c r="B971" s="194" t="s">
        <v>2180</v>
      </c>
      <c r="C971" s="192" t="s">
        <v>2181</v>
      </c>
      <c r="D971" s="195">
        <v>45468.0</v>
      </c>
      <c r="E971" s="192" t="s">
        <v>625</v>
      </c>
      <c r="F971" s="196"/>
      <c r="G971" s="196"/>
      <c r="H971" s="197">
        <v>5.0</v>
      </c>
      <c r="I971" s="197">
        <v>5.0</v>
      </c>
      <c r="J971" s="197">
        <v>5.0</v>
      </c>
      <c r="K971" s="197">
        <v>5.0</v>
      </c>
      <c r="L971" s="197">
        <v>5.0</v>
      </c>
      <c r="M971" s="197">
        <v>5.0</v>
      </c>
      <c r="N971" s="197">
        <v>5.0</v>
      </c>
      <c r="O971" s="197">
        <v>5.0</v>
      </c>
      <c r="P971" s="197">
        <v>5.0</v>
      </c>
      <c r="Q971" s="197">
        <v>5.0</v>
      </c>
      <c r="R971" s="197">
        <v>5.0</v>
      </c>
      <c r="S971" s="197">
        <v>5.0</v>
      </c>
      <c r="T971" s="197">
        <v>5.0</v>
      </c>
      <c r="U971" s="197">
        <v>5.0</v>
      </c>
      <c r="V971" s="197">
        <v>5.0</v>
      </c>
      <c r="W971" s="197">
        <v>5.0</v>
      </c>
      <c r="X971" s="196"/>
      <c r="Y971" s="196"/>
      <c r="Z971" s="196"/>
      <c r="AA971" s="196"/>
      <c r="AB971" s="196"/>
      <c r="AC971" s="197">
        <v>5.0</v>
      </c>
      <c r="AD971" s="198"/>
    </row>
    <row r="972">
      <c r="A972" s="193">
        <v>104791.0</v>
      </c>
      <c r="B972" s="194" t="s">
        <v>2183</v>
      </c>
      <c r="C972" s="192" t="s">
        <v>2163</v>
      </c>
      <c r="D972" s="244" t="s">
        <v>2184</v>
      </c>
      <c r="E972" s="192" t="s">
        <v>625</v>
      </c>
      <c r="F972" s="196"/>
      <c r="G972" s="196"/>
      <c r="H972" s="197">
        <v>5.0</v>
      </c>
      <c r="I972" s="197">
        <v>5.0</v>
      </c>
      <c r="J972" s="197">
        <v>5.0</v>
      </c>
      <c r="K972" s="197">
        <v>5.0</v>
      </c>
      <c r="L972" s="197">
        <v>5.0</v>
      </c>
      <c r="M972" s="197">
        <v>5.0</v>
      </c>
      <c r="N972" s="197">
        <v>5.0</v>
      </c>
      <c r="O972" s="197">
        <v>5.0</v>
      </c>
      <c r="P972" s="197">
        <v>5.0</v>
      </c>
      <c r="Q972" s="197">
        <v>5.0</v>
      </c>
      <c r="R972" s="197">
        <v>5.0</v>
      </c>
      <c r="S972" s="197">
        <v>5.0</v>
      </c>
      <c r="T972" s="197">
        <v>5.0</v>
      </c>
      <c r="U972" s="197">
        <v>5.0</v>
      </c>
      <c r="V972" s="197">
        <v>5.0</v>
      </c>
      <c r="W972" s="197">
        <v>5.0</v>
      </c>
      <c r="X972" s="196"/>
      <c r="Y972" s="196"/>
      <c r="Z972" s="196"/>
      <c r="AA972" s="196"/>
      <c r="AB972" s="196"/>
      <c r="AC972" s="197">
        <v>5.0</v>
      </c>
      <c r="AD972" s="198"/>
    </row>
    <row r="973">
      <c r="A973" s="193">
        <v>105184.0</v>
      </c>
      <c r="B973" s="194" t="s">
        <v>2186</v>
      </c>
      <c r="C973" s="192" t="s">
        <v>2187</v>
      </c>
      <c r="D973" s="195">
        <v>45587.0</v>
      </c>
      <c r="E973" s="192" t="s">
        <v>646</v>
      </c>
      <c r="F973" s="196"/>
      <c r="G973" s="196"/>
      <c r="H973" s="197">
        <v>5.0</v>
      </c>
      <c r="I973" s="197">
        <v>5.0</v>
      </c>
      <c r="J973" s="197">
        <v>5.0</v>
      </c>
      <c r="K973" s="197">
        <v>5.0</v>
      </c>
      <c r="L973" s="197">
        <v>5.0</v>
      </c>
      <c r="M973" s="197">
        <v>5.0</v>
      </c>
      <c r="N973" s="197">
        <v>5.0</v>
      </c>
      <c r="O973" s="197">
        <v>5.0</v>
      </c>
      <c r="P973" s="197">
        <v>5.0</v>
      </c>
      <c r="Q973" s="197">
        <v>5.0</v>
      </c>
      <c r="R973" s="197">
        <v>5.0</v>
      </c>
      <c r="S973" s="197">
        <v>5.0</v>
      </c>
      <c r="T973" s="197">
        <v>5.0</v>
      </c>
      <c r="U973" s="197">
        <v>5.0</v>
      </c>
      <c r="V973" s="197">
        <v>5.0</v>
      </c>
      <c r="W973" s="197">
        <v>5.0</v>
      </c>
      <c r="X973" s="196"/>
      <c r="Y973" s="196"/>
      <c r="Z973" s="196"/>
      <c r="AA973" s="196"/>
      <c r="AB973" s="196"/>
      <c r="AC973" s="197">
        <v>5.0</v>
      </c>
      <c r="AD973" s="198"/>
    </row>
    <row r="974">
      <c r="A974" s="193">
        <v>104663.0</v>
      </c>
      <c r="B974" s="194" t="s">
        <v>2188</v>
      </c>
      <c r="C974" s="192" t="s">
        <v>2189</v>
      </c>
      <c r="D974" s="195">
        <v>45461.0</v>
      </c>
      <c r="E974" s="192" t="s">
        <v>625</v>
      </c>
      <c r="F974" s="196"/>
      <c r="G974" s="196"/>
      <c r="H974" s="197">
        <v>5.0</v>
      </c>
      <c r="I974" s="197">
        <v>5.0</v>
      </c>
      <c r="J974" s="197">
        <v>5.0</v>
      </c>
      <c r="K974" s="197">
        <v>5.0</v>
      </c>
      <c r="L974" s="197">
        <v>5.0</v>
      </c>
      <c r="M974" s="197">
        <v>5.0</v>
      </c>
      <c r="N974" s="197">
        <v>5.0</v>
      </c>
      <c r="O974" s="197">
        <v>5.0</v>
      </c>
      <c r="P974" s="197">
        <v>5.0</v>
      </c>
      <c r="Q974" s="197">
        <v>5.0</v>
      </c>
      <c r="R974" s="197">
        <v>5.0</v>
      </c>
      <c r="S974" s="197">
        <v>5.0</v>
      </c>
      <c r="T974" s="197">
        <v>5.0</v>
      </c>
      <c r="U974" s="197">
        <v>5.0</v>
      </c>
      <c r="V974" s="197">
        <v>5.0</v>
      </c>
      <c r="W974" s="197">
        <v>5.0</v>
      </c>
      <c r="X974" s="196"/>
      <c r="Y974" s="196"/>
      <c r="Z974" s="196"/>
      <c r="AA974" s="196"/>
      <c r="AB974" s="196"/>
      <c r="AC974" s="197">
        <v>5.0</v>
      </c>
      <c r="AD974" s="198"/>
    </row>
    <row r="975">
      <c r="A975" s="193">
        <v>104044.0</v>
      </c>
      <c r="B975" s="194" t="s">
        <v>2191</v>
      </c>
      <c r="C975" s="192" t="s">
        <v>2192</v>
      </c>
      <c r="D975" s="195">
        <v>45352.0</v>
      </c>
      <c r="E975" s="192" t="s">
        <v>254</v>
      </c>
      <c r="F975" s="196"/>
      <c r="G975" s="196"/>
      <c r="H975" s="197">
        <v>5.0</v>
      </c>
      <c r="I975" s="197">
        <v>5.0</v>
      </c>
      <c r="J975" s="197">
        <v>5.0</v>
      </c>
      <c r="K975" s="197">
        <v>5.0</v>
      </c>
      <c r="L975" s="197">
        <v>5.0</v>
      </c>
      <c r="M975" s="197">
        <v>5.0</v>
      </c>
      <c r="N975" s="197">
        <v>5.0</v>
      </c>
      <c r="O975" s="197">
        <v>5.0</v>
      </c>
      <c r="P975" s="197">
        <v>5.0</v>
      </c>
      <c r="Q975" s="197">
        <v>5.0</v>
      </c>
      <c r="R975" s="197">
        <v>5.0</v>
      </c>
      <c r="S975" s="197">
        <v>5.0</v>
      </c>
      <c r="T975" s="197">
        <v>5.0</v>
      </c>
      <c r="U975" s="197">
        <v>5.0</v>
      </c>
      <c r="V975" s="197">
        <v>5.0</v>
      </c>
      <c r="W975" s="197">
        <v>5.0</v>
      </c>
      <c r="X975" s="196"/>
      <c r="Y975" s="196"/>
      <c r="Z975" s="196"/>
      <c r="AA975" s="196"/>
      <c r="AB975" s="196"/>
      <c r="AC975" s="197">
        <v>5.0</v>
      </c>
      <c r="AD975" s="198"/>
    </row>
    <row r="976">
      <c r="A976" s="193">
        <v>104255.0</v>
      </c>
      <c r="B976" s="194" t="s">
        <v>2194</v>
      </c>
      <c r="C976" s="192" t="s">
        <v>2195</v>
      </c>
      <c r="D976" s="195">
        <v>45366.0</v>
      </c>
      <c r="E976" s="192" t="s">
        <v>113</v>
      </c>
      <c r="F976" s="196"/>
      <c r="G976" s="196"/>
      <c r="H976" s="197">
        <v>5.0</v>
      </c>
      <c r="I976" s="197">
        <v>5.0</v>
      </c>
      <c r="J976" s="197">
        <v>5.0</v>
      </c>
      <c r="K976" s="197">
        <v>5.0</v>
      </c>
      <c r="L976" s="197">
        <v>5.0</v>
      </c>
      <c r="M976" s="197">
        <v>5.0</v>
      </c>
      <c r="N976" s="197">
        <v>5.0</v>
      </c>
      <c r="O976" s="197">
        <v>5.0</v>
      </c>
      <c r="P976" s="197">
        <v>5.0</v>
      </c>
      <c r="Q976" s="197">
        <v>5.0</v>
      </c>
      <c r="R976" s="197">
        <v>5.0</v>
      </c>
      <c r="S976" s="197">
        <v>5.0</v>
      </c>
      <c r="T976" s="197">
        <v>5.0</v>
      </c>
      <c r="U976" s="197">
        <v>5.0</v>
      </c>
      <c r="V976" s="197">
        <v>5.0</v>
      </c>
      <c r="W976" s="197">
        <v>5.0</v>
      </c>
      <c r="X976" s="196"/>
      <c r="Y976" s="196"/>
      <c r="Z976" s="196"/>
      <c r="AA976" s="196"/>
      <c r="AB976" s="196"/>
      <c r="AC976" s="197">
        <v>5.0</v>
      </c>
      <c r="AD976" s="198"/>
    </row>
    <row r="977">
      <c r="A977" s="193">
        <v>104255.0</v>
      </c>
      <c r="B977" s="194" t="s">
        <v>2194</v>
      </c>
      <c r="C977" s="192" t="s">
        <v>2195</v>
      </c>
      <c r="D977" s="195">
        <v>45366.0</v>
      </c>
      <c r="E977" s="192" t="s">
        <v>113</v>
      </c>
      <c r="F977" s="196"/>
      <c r="G977" s="196"/>
      <c r="H977" s="197">
        <v>5.0</v>
      </c>
      <c r="I977" s="197">
        <v>5.0</v>
      </c>
      <c r="J977" s="197">
        <v>5.0</v>
      </c>
      <c r="K977" s="197">
        <v>5.0</v>
      </c>
      <c r="L977" s="197">
        <v>5.0</v>
      </c>
      <c r="M977" s="197">
        <v>5.0</v>
      </c>
      <c r="N977" s="197">
        <v>5.0</v>
      </c>
      <c r="O977" s="197">
        <v>5.0</v>
      </c>
      <c r="P977" s="197">
        <v>5.0</v>
      </c>
      <c r="Q977" s="197">
        <v>5.0</v>
      </c>
      <c r="R977" s="197">
        <v>5.0</v>
      </c>
      <c r="S977" s="197">
        <v>5.0</v>
      </c>
      <c r="T977" s="197">
        <v>5.0</v>
      </c>
      <c r="U977" s="197">
        <v>5.0</v>
      </c>
      <c r="V977" s="197">
        <v>5.0</v>
      </c>
      <c r="W977" s="197">
        <v>5.0</v>
      </c>
      <c r="X977" s="196"/>
      <c r="Y977" s="196"/>
      <c r="Z977" s="196"/>
      <c r="AA977" s="196"/>
      <c r="AB977" s="196"/>
      <c r="AC977" s="197">
        <v>5.0</v>
      </c>
      <c r="AD977" s="198"/>
    </row>
    <row r="978">
      <c r="A978" s="193">
        <v>105512.0</v>
      </c>
      <c r="B978" s="194" t="s">
        <v>2197</v>
      </c>
      <c r="C978" s="192" t="s">
        <v>2198</v>
      </c>
      <c r="D978" s="195">
        <v>45803.0</v>
      </c>
      <c r="E978" s="192" t="s">
        <v>265</v>
      </c>
      <c r="F978" s="196"/>
      <c r="G978" s="196"/>
      <c r="H978" s="197">
        <v>5.0</v>
      </c>
      <c r="I978" s="197">
        <v>5.0</v>
      </c>
      <c r="J978" s="197">
        <v>5.0</v>
      </c>
      <c r="K978" s="197">
        <v>5.0</v>
      </c>
      <c r="L978" s="197">
        <v>5.0</v>
      </c>
      <c r="M978" s="197">
        <v>5.0</v>
      </c>
      <c r="N978" s="197">
        <v>5.0</v>
      </c>
      <c r="O978" s="197">
        <v>5.0</v>
      </c>
      <c r="P978" s="197">
        <v>5.0</v>
      </c>
      <c r="Q978" s="197">
        <v>5.0</v>
      </c>
      <c r="R978" s="197">
        <v>5.0</v>
      </c>
      <c r="S978" s="197">
        <v>5.0</v>
      </c>
      <c r="T978" s="197">
        <v>5.0</v>
      </c>
      <c r="U978" s="197">
        <v>5.0</v>
      </c>
      <c r="V978" s="197">
        <v>5.0</v>
      </c>
      <c r="W978" s="197">
        <v>5.0</v>
      </c>
      <c r="X978" s="196"/>
      <c r="Y978" s="196"/>
      <c r="Z978" s="196"/>
      <c r="AA978" s="196"/>
      <c r="AB978" s="196"/>
      <c r="AC978" s="197">
        <v>5.0</v>
      </c>
      <c r="AD978" s="198"/>
    </row>
    <row r="979">
      <c r="A979" s="193">
        <v>105656.0</v>
      </c>
      <c r="B979" s="194" t="s">
        <v>2200</v>
      </c>
      <c r="C979" s="192" t="s">
        <v>2201</v>
      </c>
      <c r="D979" s="195">
        <v>45777.0</v>
      </c>
      <c r="E979" s="192" t="s">
        <v>87</v>
      </c>
      <c r="F979" s="196"/>
      <c r="G979" s="196"/>
      <c r="H979" s="197">
        <v>4.5</v>
      </c>
      <c r="I979" s="197">
        <v>4.5</v>
      </c>
      <c r="J979" s="197">
        <v>4.5</v>
      </c>
      <c r="K979" s="197">
        <v>4.5</v>
      </c>
      <c r="L979" s="197">
        <v>5.0</v>
      </c>
      <c r="M979" s="197">
        <v>4.6</v>
      </c>
      <c r="N979" s="197">
        <v>4.5</v>
      </c>
      <c r="O979" s="197">
        <v>4.5</v>
      </c>
      <c r="P979" s="197">
        <v>5.0</v>
      </c>
      <c r="Q979" s="197">
        <v>5.0</v>
      </c>
      <c r="R979" s="197">
        <v>4.75</v>
      </c>
      <c r="S979" s="197">
        <v>4.5</v>
      </c>
      <c r="T979" s="197">
        <v>4.5</v>
      </c>
      <c r="U979" s="197">
        <v>4.5</v>
      </c>
      <c r="V979" s="197">
        <v>4.5</v>
      </c>
      <c r="W979" s="197">
        <v>4.5</v>
      </c>
      <c r="X979" s="196"/>
      <c r="Y979" s="196"/>
      <c r="Z979" s="196"/>
      <c r="AA979" s="196"/>
      <c r="AB979" s="196"/>
      <c r="AC979" s="197">
        <v>4.616666666666666</v>
      </c>
      <c r="AD979" s="198"/>
    </row>
    <row r="980">
      <c r="A980" s="193">
        <v>105604.0</v>
      </c>
      <c r="B980" s="194" t="s">
        <v>2203</v>
      </c>
      <c r="C980" s="192" t="s">
        <v>2204</v>
      </c>
      <c r="D980" s="195">
        <v>45751.0</v>
      </c>
      <c r="E980" s="192" t="s">
        <v>87</v>
      </c>
      <c r="F980" s="196"/>
      <c r="G980" s="196"/>
      <c r="H980" s="197">
        <v>5.0</v>
      </c>
      <c r="I980" s="197">
        <v>5.0</v>
      </c>
      <c r="J980" s="197">
        <v>5.0</v>
      </c>
      <c r="K980" s="197">
        <v>5.0</v>
      </c>
      <c r="L980" s="197">
        <v>5.0</v>
      </c>
      <c r="M980" s="197">
        <v>5.0</v>
      </c>
      <c r="N980" s="197">
        <v>5.0</v>
      </c>
      <c r="O980" s="197">
        <v>4.8</v>
      </c>
      <c r="P980" s="197">
        <v>5.0</v>
      </c>
      <c r="Q980" s="197">
        <v>5.0</v>
      </c>
      <c r="R980" s="197">
        <v>4.95</v>
      </c>
      <c r="S980" s="197">
        <v>4.5</v>
      </c>
      <c r="T980" s="197">
        <v>4.5</v>
      </c>
      <c r="U980" s="197">
        <v>4.5</v>
      </c>
      <c r="V980" s="197">
        <v>4.5</v>
      </c>
      <c r="W980" s="197">
        <v>4.5</v>
      </c>
      <c r="X980" s="196"/>
      <c r="Y980" s="196"/>
      <c r="Z980" s="196"/>
      <c r="AA980" s="196"/>
      <c r="AB980" s="196"/>
      <c r="AC980" s="197">
        <v>4.816666666666666</v>
      </c>
      <c r="AD980" s="198"/>
    </row>
    <row r="981">
      <c r="A981" s="193">
        <v>105611.0</v>
      </c>
      <c r="B981" s="194" t="s">
        <v>2205</v>
      </c>
      <c r="C981" s="192" t="s">
        <v>1858</v>
      </c>
      <c r="D981" s="195">
        <v>45806.0</v>
      </c>
      <c r="E981" s="192" t="s">
        <v>87</v>
      </c>
      <c r="F981" s="196"/>
      <c r="G981" s="196"/>
      <c r="H981" s="197">
        <v>5.0</v>
      </c>
      <c r="I981" s="197">
        <v>5.0</v>
      </c>
      <c r="J981" s="197">
        <v>5.0</v>
      </c>
      <c r="K981" s="197">
        <v>5.0</v>
      </c>
      <c r="L981" s="197">
        <v>5.0</v>
      </c>
      <c r="M981" s="197">
        <v>5.0</v>
      </c>
      <c r="N981" s="197">
        <v>5.0</v>
      </c>
      <c r="O981" s="197">
        <v>4.5</v>
      </c>
      <c r="P981" s="197">
        <v>5.0</v>
      </c>
      <c r="Q981" s="197">
        <v>5.0</v>
      </c>
      <c r="R981" s="197">
        <v>4.875</v>
      </c>
      <c r="S981" s="197">
        <v>5.0</v>
      </c>
      <c r="T981" s="197">
        <v>4.5</v>
      </c>
      <c r="U981" s="197">
        <v>5.0</v>
      </c>
      <c r="V981" s="197">
        <v>5.0</v>
      </c>
      <c r="W981" s="197">
        <v>4.875</v>
      </c>
      <c r="X981" s="196"/>
      <c r="Y981" s="196"/>
      <c r="Z981" s="196"/>
      <c r="AA981" s="196"/>
      <c r="AB981" s="196"/>
      <c r="AC981" s="197">
        <v>4.916666666666667</v>
      </c>
      <c r="AD981" s="198"/>
    </row>
    <row r="982">
      <c r="A982" s="193">
        <v>105647.0</v>
      </c>
      <c r="B982" s="194" t="s">
        <v>2206</v>
      </c>
      <c r="C982" s="192" t="s">
        <v>2207</v>
      </c>
      <c r="D982" s="195">
        <v>45806.0</v>
      </c>
      <c r="E982" s="192" t="s">
        <v>427</v>
      </c>
      <c r="F982" s="196"/>
      <c r="G982" s="196"/>
      <c r="H982" s="197">
        <v>5.0</v>
      </c>
      <c r="I982" s="197">
        <v>5.0</v>
      </c>
      <c r="J982" s="197">
        <v>5.0</v>
      </c>
      <c r="K982" s="197">
        <v>5.0</v>
      </c>
      <c r="L982" s="197">
        <v>5.0</v>
      </c>
      <c r="M982" s="197">
        <v>5.0</v>
      </c>
      <c r="N982" s="197">
        <v>5.0</v>
      </c>
      <c r="O982" s="197">
        <v>4.5</v>
      </c>
      <c r="P982" s="197">
        <v>5.0</v>
      </c>
      <c r="Q982" s="197">
        <v>5.0</v>
      </c>
      <c r="R982" s="197">
        <v>4.875</v>
      </c>
      <c r="S982" s="197">
        <v>4.5</v>
      </c>
      <c r="T982" s="197">
        <v>4.5</v>
      </c>
      <c r="U982" s="197">
        <v>4.5</v>
      </c>
      <c r="V982" s="197">
        <v>4.5</v>
      </c>
      <c r="W982" s="197">
        <v>4.5</v>
      </c>
      <c r="X982" s="196"/>
      <c r="Y982" s="196"/>
      <c r="Z982" s="196"/>
      <c r="AA982" s="196"/>
      <c r="AB982" s="196"/>
      <c r="AC982" s="197">
        <v>4.791666666666667</v>
      </c>
      <c r="AD982" s="198"/>
    </row>
    <row r="983">
      <c r="A983" s="193">
        <v>104403.0</v>
      </c>
      <c r="B983" s="194" t="s">
        <v>2208</v>
      </c>
      <c r="C983" s="192" t="s">
        <v>2209</v>
      </c>
      <c r="D983" s="195">
        <v>45412.0</v>
      </c>
      <c r="E983" s="192" t="s">
        <v>209</v>
      </c>
      <c r="F983" s="196"/>
      <c r="G983" s="196"/>
      <c r="H983" s="197"/>
      <c r="I983" s="197"/>
      <c r="J983" s="197"/>
      <c r="K983" s="197"/>
      <c r="L983" s="197"/>
      <c r="M983" s="197"/>
      <c r="N983" s="197">
        <v>5.0</v>
      </c>
      <c r="O983" s="197">
        <v>4.0</v>
      </c>
      <c r="P983" s="197">
        <v>5.0</v>
      </c>
      <c r="Q983" s="197">
        <v>5.0</v>
      </c>
      <c r="R983" s="197">
        <v>4.75</v>
      </c>
      <c r="S983" s="197"/>
      <c r="T983" s="197"/>
      <c r="U983" s="197"/>
      <c r="V983" s="197"/>
      <c r="W983" s="197"/>
      <c r="X983" s="196"/>
      <c r="Y983" s="196"/>
      <c r="Z983" s="196"/>
      <c r="AA983" s="196"/>
      <c r="AB983" s="196"/>
      <c r="AC983" s="197">
        <v>4.75</v>
      </c>
      <c r="AD983" s="198"/>
    </row>
    <row r="984">
      <c r="A984" s="193">
        <v>103849.0</v>
      </c>
      <c r="B984" s="194" t="s">
        <v>2210</v>
      </c>
      <c r="C984" s="192" t="s">
        <v>1175</v>
      </c>
      <c r="D984" s="195">
        <v>45268.0</v>
      </c>
      <c r="E984" s="192" t="s">
        <v>113</v>
      </c>
      <c r="F984" s="196"/>
      <c r="G984" s="196"/>
      <c r="H984" s="197">
        <v>5.0</v>
      </c>
      <c r="I984" s="197">
        <v>5.0</v>
      </c>
      <c r="J984" s="197">
        <v>5.0</v>
      </c>
      <c r="K984" s="197">
        <v>5.0</v>
      </c>
      <c r="L984" s="197">
        <v>5.0</v>
      </c>
      <c r="M984" s="197">
        <v>5.0</v>
      </c>
      <c r="N984" s="197">
        <v>5.0</v>
      </c>
      <c r="O984" s="197">
        <v>5.0</v>
      </c>
      <c r="P984" s="197">
        <v>5.0</v>
      </c>
      <c r="Q984" s="197">
        <v>5.0</v>
      </c>
      <c r="R984" s="197">
        <v>5.0</v>
      </c>
      <c r="S984" s="197">
        <v>5.0</v>
      </c>
      <c r="T984" s="197">
        <v>5.0</v>
      </c>
      <c r="U984" s="197">
        <v>5.0</v>
      </c>
      <c r="V984" s="197">
        <v>5.0</v>
      </c>
      <c r="W984" s="197">
        <v>5.0</v>
      </c>
      <c r="X984" s="196"/>
      <c r="Y984" s="196"/>
      <c r="Z984" s="196"/>
      <c r="AA984" s="196"/>
      <c r="AB984" s="196"/>
      <c r="AC984" s="197">
        <v>5.0</v>
      </c>
      <c r="AD984" s="198"/>
    </row>
    <row r="985">
      <c r="A985" s="193">
        <v>104459.0</v>
      </c>
      <c r="B985" s="194" t="s">
        <v>1439</v>
      </c>
      <c r="C985" s="192" t="s">
        <v>1414</v>
      </c>
      <c r="D985" s="195">
        <v>45415.0</v>
      </c>
      <c r="E985" s="192" t="s">
        <v>312</v>
      </c>
      <c r="F985" s="196"/>
      <c r="G985" s="196"/>
      <c r="H985" s="197">
        <v>5.0</v>
      </c>
      <c r="I985" s="197">
        <v>5.0</v>
      </c>
      <c r="J985" s="197">
        <v>5.0</v>
      </c>
      <c r="K985" s="197">
        <v>5.0</v>
      </c>
      <c r="L985" s="197">
        <v>5.0</v>
      </c>
      <c r="M985" s="197">
        <v>5.0</v>
      </c>
      <c r="N985" s="197">
        <v>4.0</v>
      </c>
      <c r="O985" s="197">
        <v>4.0</v>
      </c>
      <c r="P985" s="197">
        <v>4.0</v>
      </c>
      <c r="Q985" s="197">
        <v>4.0</v>
      </c>
      <c r="R985" s="197">
        <v>4.0</v>
      </c>
      <c r="S985" s="197"/>
      <c r="T985" s="197"/>
      <c r="U985" s="197"/>
      <c r="V985" s="197"/>
      <c r="W985" s="197"/>
      <c r="X985" s="196"/>
      <c r="Y985" s="196"/>
      <c r="Z985" s="196"/>
      <c r="AA985" s="196"/>
      <c r="AB985" s="196"/>
      <c r="AC985" s="197">
        <v>4.5</v>
      </c>
      <c r="AD985" s="198"/>
    </row>
    <row r="986">
      <c r="A986" s="193">
        <v>104458.0</v>
      </c>
      <c r="B986" s="194" t="s">
        <v>1413</v>
      </c>
      <c r="C986" s="192" t="s">
        <v>1414</v>
      </c>
      <c r="D986" s="195">
        <v>45407.0</v>
      </c>
      <c r="E986" s="192" t="s">
        <v>312</v>
      </c>
      <c r="F986" s="196"/>
      <c r="G986" s="196"/>
      <c r="H986" s="197">
        <v>5.0</v>
      </c>
      <c r="I986" s="197">
        <v>5.0</v>
      </c>
      <c r="J986" s="197">
        <v>5.0</v>
      </c>
      <c r="K986" s="197">
        <v>5.0</v>
      </c>
      <c r="L986" s="197">
        <v>5.0</v>
      </c>
      <c r="M986" s="197">
        <v>5.0</v>
      </c>
      <c r="N986" s="197">
        <v>5.0</v>
      </c>
      <c r="O986" s="197">
        <v>4.0</v>
      </c>
      <c r="P986" s="197">
        <v>4.0</v>
      </c>
      <c r="Q986" s="197">
        <v>5.0</v>
      </c>
      <c r="R986" s="197">
        <v>4.5</v>
      </c>
      <c r="S986" s="197"/>
      <c r="T986" s="197"/>
      <c r="U986" s="197"/>
      <c r="V986" s="197"/>
      <c r="W986" s="197"/>
      <c r="X986" s="196"/>
      <c r="Y986" s="196"/>
      <c r="Z986" s="196"/>
      <c r="AA986" s="196"/>
      <c r="AB986" s="196"/>
      <c r="AC986" s="197">
        <v>4.75</v>
      </c>
      <c r="AD986" s="198"/>
    </row>
    <row r="987">
      <c r="A987" s="193">
        <v>104710.0</v>
      </c>
      <c r="B987" s="194" t="s">
        <v>2211</v>
      </c>
      <c r="C987" s="192" t="s">
        <v>2212</v>
      </c>
      <c r="D987" s="195">
        <v>45691.0</v>
      </c>
      <c r="E987" s="192" t="s">
        <v>767</v>
      </c>
      <c r="F987" s="196"/>
      <c r="G987" s="196"/>
      <c r="H987" s="197">
        <v>5.0</v>
      </c>
      <c r="I987" s="197">
        <v>5.0</v>
      </c>
      <c r="J987" s="197">
        <v>5.0</v>
      </c>
      <c r="K987" s="197">
        <v>5.0</v>
      </c>
      <c r="L987" s="197">
        <v>5.0</v>
      </c>
      <c r="M987" s="197">
        <v>5.0</v>
      </c>
      <c r="N987" s="197">
        <v>5.0</v>
      </c>
      <c r="O987" s="197">
        <v>5.0</v>
      </c>
      <c r="P987" s="197">
        <v>5.0</v>
      </c>
      <c r="Q987" s="197">
        <v>5.0</v>
      </c>
      <c r="R987" s="197">
        <v>5.0</v>
      </c>
      <c r="S987" s="197">
        <v>4.5</v>
      </c>
      <c r="T987" s="197">
        <v>4.5</v>
      </c>
      <c r="U987" s="197">
        <v>4.5</v>
      </c>
      <c r="V987" s="197">
        <v>4.5</v>
      </c>
      <c r="W987" s="197">
        <v>4.5</v>
      </c>
      <c r="X987" s="196"/>
      <c r="Y987" s="196"/>
      <c r="Z987" s="196"/>
      <c r="AA987" s="196"/>
      <c r="AB987" s="196"/>
      <c r="AC987" s="197">
        <v>4.833333333333333</v>
      </c>
      <c r="AD987" s="198"/>
    </row>
    <row r="988">
      <c r="A988" s="193">
        <v>104590.0</v>
      </c>
      <c r="B988" s="194" t="s">
        <v>2213</v>
      </c>
      <c r="C988" s="192" t="s">
        <v>2214</v>
      </c>
      <c r="D988" s="195">
        <v>45691.0</v>
      </c>
      <c r="E988" s="192" t="s">
        <v>767</v>
      </c>
      <c r="F988" s="196"/>
      <c r="G988" s="196"/>
      <c r="H988" s="197">
        <v>5.0</v>
      </c>
      <c r="I988" s="197">
        <v>5.0</v>
      </c>
      <c r="J988" s="197">
        <v>5.0</v>
      </c>
      <c r="K988" s="197">
        <v>5.0</v>
      </c>
      <c r="L988" s="197">
        <v>5.0</v>
      </c>
      <c r="M988" s="197">
        <v>5.0</v>
      </c>
      <c r="N988" s="197">
        <v>5.0</v>
      </c>
      <c r="O988" s="197">
        <v>5.0</v>
      </c>
      <c r="P988" s="197">
        <v>5.0</v>
      </c>
      <c r="Q988" s="197">
        <v>5.0</v>
      </c>
      <c r="R988" s="197">
        <v>5.0</v>
      </c>
      <c r="S988" s="197">
        <v>4.5</v>
      </c>
      <c r="T988" s="197">
        <v>4.5</v>
      </c>
      <c r="U988" s="197">
        <v>4.5</v>
      </c>
      <c r="V988" s="197">
        <v>4.5</v>
      </c>
      <c r="W988" s="197">
        <v>4.5</v>
      </c>
      <c r="X988" s="196"/>
      <c r="Y988" s="196"/>
      <c r="Z988" s="196"/>
      <c r="AA988" s="196"/>
      <c r="AB988" s="196"/>
      <c r="AC988" s="197">
        <v>4.833333333333333</v>
      </c>
      <c r="AD988" s="198"/>
    </row>
    <row r="989">
      <c r="A989" s="193">
        <v>104591.0</v>
      </c>
      <c r="B989" s="194" t="s">
        <v>2215</v>
      </c>
      <c r="C989" s="192" t="s">
        <v>2216</v>
      </c>
      <c r="D989" s="195">
        <v>45691.0</v>
      </c>
      <c r="E989" s="192" t="s">
        <v>767</v>
      </c>
      <c r="F989" s="196"/>
      <c r="G989" s="196"/>
      <c r="H989" s="197">
        <v>5.0</v>
      </c>
      <c r="I989" s="197">
        <v>5.0</v>
      </c>
      <c r="J989" s="197">
        <v>5.0</v>
      </c>
      <c r="K989" s="197">
        <v>5.0</v>
      </c>
      <c r="L989" s="197">
        <v>5.0</v>
      </c>
      <c r="M989" s="197">
        <v>5.0</v>
      </c>
      <c r="N989" s="197">
        <v>5.0</v>
      </c>
      <c r="O989" s="197">
        <v>5.0</v>
      </c>
      <c r="P989" s="197">
        <v>5.0</v>
      </c>
      <c r="Q989" s="197">
        <v>5.0</v>
      </c>
      <c r="R989" s="197">
        <v>5.0</v>
      </c>
      <c r="S989" s="197">
        <v>4.5</v>
      </c>
      <c r="T989" s="197">
        <v>4.5</v>
      </c>
      <c r="U989" s="197">
        <v>4.5</v>
      </c>
      <c r="V989" s="197">
        <v>4.5</v>
      </c>
      <c r="W989" s="197">
        <v>4.5</v>
      </c>
      <c r="X989" s="196"/>
      <c r="Y989" s="196"/>
      <c r="Z989" s="196"/>
      <c r="AA989" s="196"/>
      <c r="AB989" s="196"/>
      <c r="AC989" s="197">
        <v>4.833333333333333</v>
      </c>
      <c r="AD989" s="198"/>
    </row>
    <row r="990">
      <c r="A990" s="193">
        <v>104758.0</v>
      </c>
      <c r="B990" s="194" t="s">
        <v>2217</v>
      </c>
      <c r="C990" s="192" t="s">
        <v>2218</v>
      </c>
      <c r="D990" s="195">
        <v>45691.0</v>
      </c>
      <c r="E990" s="192" t="s">
        <v>51</v>
      </c>
      <c r="F990" s="196"/>
      <c r="G990" s="196"/>
      <c r="H990" s="197">
        <v>5.0</v>
      </c>
      <c r="I990" s="197">
        <v>5.0</v>
      </c>
      <c r="J990" s="197">
        <v>5.0</v>
      </c>
      <c r="K990" s="197">
        <v>5.0</v>
      </c>
      <c r="L990" s="197">
        <v>5.0</v>
      </c>
      <c r="M990" s="197">
        <v>5.0</v>
      </c>
      <c r="N990" s="197">
        <v>5.0</v>
      </c>
      <c r="O990" s="197">
        <v>5.0</v>
      </c>
      <c r="P990" s="197">
        <v>5.0</v>
      </c>
      <c r="Q990" s="197">
        <v>5.0</v>
      </c>
      <c r="R990" s="197">
        <v>5.0</v>
      </c>
      <c r="S990" s="197">
        <v>4.5</v>
      </c>
      <c r="T990" s="197">
        <v>4.5</v>
      </c>
      <c r="U990" s="197">
        <v>4.5</v>
      </c>
      <c r="V990" s="197">
        <v>4.5</v>
      </c>
      <c r="W990" s="197">
        <v>4.5</v>
      </c>
      <c r="X990" s="196"/>
      <c r="Y990" s="196"/>
      <c r="Z990" s="196"/>
      <c r="AA990" s="196"/>
      <c r="AB990" s="196"/>
      <c r="AC990" s="197">
        <v>4.833333333333333</v>
      </c>
      <c r="AD990" s="198"/>
    </row>
    <row r="991">
      <c r="A991" s="193">
        <v>104592.0</v>
      </c>
      <c r="B991" s="194" t="s">
        <v>1508</v>
      </c>
      <c r="C991" s="192" t="s">
        <v>1509</v>
      </c>
      <c r="D991" s="195">
        <v>45691.0</v>
      </c>
      <c r="E991" s="192" t="s">
        <v>767</v>
      </c>
      <c r="F991" s="196"/>
      <c r="G991" s="196"/>
      <c r="H991" s="197">
        <v>5.0</v>
      </c>
      <c r="I991" s="197">
        <v>5.0</v>
      </c>
      <c r="J991" s="197">
        <v>5.0</v>
      </c>
      <c r="K991" s="197">
        <v>5.0</v>
      </c>
      <c r="L991" s="197">
        <v>5.0</v>
      </c>
      <c r="M991" s="197">
        <v>5.0</v>
      </c>
      <c r="N991" s="197">
        <v>5.0</v>
      </c>
      <c r="O991" s="197">
        <v>5.0</v>
      </c>
      <c r="P991" s="197">
        <v>5.0</v>
      </c>
      <c r="Q991" s="197">
        <v>5.0</v>
      </c>
      <c r="R991" s="197">
        <v>5.0</v>
      </c>
      <c r="S991" s="197">
        <v>4.5</v>
      </c>
      <c r="T991" s="197">
        <v>4.5</v>
      </c>
      <c r="U991" s="197">
        <v>4.5</v>
      </c>
      <c r="V991" s="197">
        <v>4.5</v>
      </c>
      <c r="W991" s="197">
        <v>4.5</v>
      </c>
      <c r="X991" s="196"/>
      <c r="Y991" s="196"/>
      <c r="Z991" s="196"/>
      <c r="AA991" s="196"/>
      <c r="AB991" s="196"/>
      <c r="AC991" s="197">
        <v>4.833333333333333</v>
      </c>
      <c r="AD991" s="198"/>
    </row>
    <row r="992">
      <c r="A992" s="193">
        <v>104711.0</v>
      </c>
      <c r="B992" s="194" t="s">
        <v>1526</v>
      </c>
      <c r="C992" s="192" t="s">
        <v>1527</v>
      </c>
      <c r="D992" s="195">
        <v>45691.0</v>
      </c>
      <c r="E992" s="192" t="s">
        <v>767</v>
      </c>
      <c r="F992" s="196"/>
      <c r="G992" s="196"/>
      <c r="H992" s="197">
        <v>5.0</v>
      </c>
      <c r="I992" s="197">
        <v>5.0</v>
      </c>
      <c r="J992" s="197">
        <v>5.0</v>
      </c>
      <c r="K992" s="197">
        <v>5.0</v>
      </c>
      <c r="L992" s="197">
        <v>5.0</v>
      </c>
      <c r="M992" s="197">
        <v>5.0</v>
      </c>
      <c r="N992" s="197">
        <v>5.0</v>
      </c>
      <c r="O992" s="197">
        <v>5.0</v>
      </c>
      <c r="P992" s="197">
        <v>5.0</v>
      </c>
      <c r="Q992" s="197">
        <v>5.0</v>
      </c>
      <c r="R992" s="197">
        <v>5.0</v>
      </c>
      <c r="S992" s="197">
        <v>4.5</v>
      </c>
      <c r="T992" s="197">
        <v>4.5</v>
      </c>
      <c r="U992" s="197">
        <v>4.5</v>
      </c>
      <c r="V992" s="197">
        <v>4.5</v>
      </c>
      <c r="W992" s="197">
        <v>4.5</v>
      </c>
      <c r="X992" s="196"/>
      <c r="Y992" s="196"/>
      <c r="Z992" s="196"/>
      <c r="AA992" s="196"/>
      <c r="AB992" s="196"/>
      <c r="AC992" s="197">
        <v>4.833333333333333</v>
      </c>
      <c r="AD992" s="198"/>
    </row>
    <row r="993">
      <c r="A993" s="193">
        <v>104806.0</v>
      </c>
      <c r="B993" s="194" t="s">
        <v>1556</v>
      </c>
      <c r="C993" s="192" t="s">
        <v>1557</v>
      </c>
      <c r="D993" s="195">
        <v>45691.0</v>
      </c>
      <c r="E993" s="192" t="s">
        <v>1503</v>
      </c>
      <c r="F993" s="196"/>
      <c r="G993" s="196"/>
      <c r="H993" s="197">
        <v>5.0</v>
      </c>
      <c r="I993" s="197">
        <v>5.0</v>
      </c>
      <c r="J993" s="197">
        <v>5.0</v>
      </c>
      <c r="K993" s="197">
        <v>5.0</v>
      </c>
      <c r="L993" s="197">
        <v>5.0</v>
      </c>
      <c r="M993" s="197">
        <v>5.0</v>
      </c>
      <c r="N993" s="197">
        <v>5.0</v>
      </c>
      <c r="O993" s="197">
        <v>5.0</v>
      </c>
      <c r="P993" s="197">
        <v>5.0</v>
      </c>
      <c r="Q993" s="197">
        <v>5.0</v>
      </c>
      <c r="R993" s="197">
        <v>5.0</v>
      </c>
      <c r="S993" s="197">
        <v>4.5</v>
      </c>
      <c r="T993" s="197">
        <v>4.5</v>
      </c>
      <c r="U993" s="197">
        <v>4.5</v>
      </c>
      <c r="V993" s="197">
        <v>4.5</v>
      </c>
      <c r="W993" s="197">
        <v>4.5</v>
      </c>
      <c r="X993" s="196"/>
      <c r="Y993" s="196"/>
      <c r="Z993" s="196"/>
      <c r="AA993" s="196"/>
      <c r="AB993" s="196"/>
      <c r="AC993" s="197">
        <v>4.833333333333333</v>
      </c>
      <c r="AD993" s="198"/>
    </row>
    <row r="994">
      <c r="A994" s="193">
        <v>104807.0</v>
      </c>
      <c r="B994" s="194" t="s">
        <v>1545</v>
      </c>
      <c r="C994" s="192" t="s">
        <v>1546</v>
      </c>
      <c r="D994" s="195">
        <v>45691.0</v>
      </c>
      <c r="E994" s="192" t="s">
        <v>1547</v>
      </c>
      <c r="F994" s="196"/>
      <c r="G994" s="196"/>
      <c r="H994" s="197"/>
      <c r="I994" s="197"/>
      <c r="J994" s="197"/>
      <c r="K994" s="197"/>
      <c r="L994" s="197"/>
      <c r="M994" s="197"/>
      <c r="N994" s="197"/>
      <c r="O994" s="197"/>
      <c r="P994" s="197"/>
      <c r="Q994" s="197"/>
      <c r="R994" s="197"/>
      <c r="S994" s="197"/>
      <c r="T994" s="197"/>
      <c r="U994" s="197"/>
      <c r="V994" s="197"/>
      <c r="W994" s="197"/>
      <c r="X994" s="196"/>
      <c r="Y994" s="196"/>
      <c r="Z994" s="196"/>
      <c r="AA994" s="196"/>
      <c r="AB994" s="196"/>
      <c r="AC994" s="197"/>
      <c r="AD994" s="198"/>
    </row>
    <row r="995">
      <c r="A995" s="193">
        <v>104716.0</v>
      </c>
      <c r="B995" s="194" t="s">
        <v>1493</v>
      </c>
      <c r="C995" s="192" t="s">
        <v>1494</v>
      </c>
      <c r="D995" s="195">
        <v>45691.0</v>
      </c>
      <c r="E995" s="192" t="s">
        <v>51</v>
      </c>
      <c r="F995" s="196"/>
      <c r="G995" s="196"/>
      <c r="H995" s="197">
        <v>5.0</v>
      </c>
      <c r="I995" s="197">
        <v>5.0</v>
      </c>
      <c r="J995" s="197">
        <v>5.0</v>
      </c>
      <c r="K995" s="197">
        <v>5.0</v>
      </c>
      <c r="L995" s="197">
        <v>5.0</v>
      </c>
      <c r="M995" s="197">
        <v>5.0</v>
      </c>
      <c r="N995" s="197">
        <v>5.0</v>
      </c>
      <c r="O995" s="197">
        <v>5.0</v>
      </c>
      <c r="P995" s="197">
        <v>5.0</v>
      </c>
      <c r="Q995" s="197">
        <v>5.0</v>
      </c>
      <c r="R995" s="197">
        <v>5.0</v>
      </c>
      <c r="S995" s="197">
        <v>4.5</v>
      </c>
      <c r="T995" s="197">
        <v>4.5</v>
      </c>
      <c r="U995" s="197">
        <v>4.5</v>
      </c>
      <c r="V995" s="197">
        <v>4.5</v>
      </c>
      <c r="W995" s="197">
        <v>4.5</v>
      </c>
      <c r="X995" s="196"/>
      <c r="Y995" s="196"/>
      <c r="Z995" s="196"/>
      <c r="AA995" s="196"/>
      <c r="AB995" s="196"/>
      <c r="AC995" s="197">
        <v>4.833333333333333</v>
      </c>
      <c r="AD995" s="198"/>
    </row>
    <row r="996">
      <c r="A996" s="193">
        <v>104688.0</v>
      </c>
      <c r="B996" s="194" t="s">
        <v>1501</v>
      </c>
      <c r="C996" s="192" t="s">
        <v>1502</v>
      </c>
      <c r="D996" s="195">
        <v>45691.0</v>
      </c>
      <c r="E996" s="192" t="s">
        <v>1503</v>
      </c>
      <c r="F996" s="196"/>
      <c r="G996" s="196"/>
      <c r="H996" s="197">
        <v>5.0</v>
      </c>
      <c r="I996" s="197">
        <v>5.0</v>
      </c>
      <c r="J996" s="197">
        <v>5.0</v>
      </c>
      <c r="K996" s="197">
        <v>5.0</v>
      </c>
      <c r="L996" s="197">
        <v>5.0</v>
      </c>
      <c r="M996" s="197">
        <v>5.0</v>
      </c>
      <c r="N996" s="197">
        <v>5.0</v>
      </c>
      <c r="O996" s="197">
        <v>5.0</v>
      </c>
      <c r="P996" s="197">
        <v>5.0</v>
      </c>
      <c r="Q996" s="197">
        <v>5.0</v>
      </c>
      <c r="R996" s="197">
        <v>5.0</v>
      </c>
      <c r="S996" s="197">
        <v>4.5</v>
      </c>
      <c r="T996" s="197">
        <v>4.5</v>
      </c>
      <c r="U996" s="197">
        <v>4.5</v>
      </c>
      <c r="V996" s="197">
        <v>4.5</v>
      </c>
      <c r="W996" s="197">
        <v>4.5</v>
      </c>
      <c r="X996" s="196"/>
      <c r="Y996" s="196"/>
      <c r="Z996" s="196"/>
      <c r="AA996" s="196"/>
      <c r="AB996" s="196"/>
      <c r="AC996" s="197">
        <v>4.833333333333333</v>
      </c>
      <c r="AD996" s="198"/>
    </row>
    <row r="997">
      <c r="A997" s="193">
        <v>104709.0</v>
      </c>
      <c r="B997" s="194" t="s">
        <v>1510</v>
      </c>
      <c r="C997" s="192" t="s">
        <v>1511</v>
      </c>
      <c r="D997" s="195">
        <v>45691.0</v>
      </c>
      <c r="E997" s="192" t="s">
        <v>767</v>
      </c>
      <c r="F997" s="196"/>
      <c r="G997" s="196"/>
      <c r="H997" s="197">
        <v>5.0</v>
      </c>
      <c r="I997" s="197">
        <v>5.0</v>
      </c>
      <c r="J997" s="197">
        <v>5.0</v>
      </c>
      <c r="K997" s="197">
        <v>5.0</v>
      </c>
      <c r="L997" s="197">
        <v>5.0</v>
      </c>
      <c r="M997" s="197">
        <v>5.0</v>
      </c>
      <c r="N997" s="197">
        <v>5.0</v>
      </c>
      <c r="O997" s="197">
        <v>5.0</v>
      </c>
      <c r="P997" s="197">
        <v>5.0</v>
      </c>
      <c r="Q997" s="197">
        <v>5.0</v>
      </c>
      <c r="R997" s="197">
        <v>5.0</v>
      </c>
      <c r="S997" s="197">
        <v>4.5</v>
      </c>
      <c r="T997" s="197">
        <v>4.5</v>
      </c>
      <c r="U997" s="197">
        <v>4.5</v>
      </c>
      <c r="V997" s="197">
        <v>4.5</v>
      </c>
      <c r="W997" s="197">
        <v>4.5</v>
      </c>
      <c r="X997" s="196"/>
      <c r="Y997" s="196"/>
      <c r="Z997" s="196"/>
      <c r="AA997" s="196"/>
      <c r="AB997" s="196"/>
      <c r="AC997" s="197">
        <v>4.833333333333333</v>
      </c>
      <c r="AD997" s="198"/>
    </row>
    <row r="998">
      <c r="A998" s="193">
        <v>103502.0</v>
      </c>
      <c r="B998" s="194" t="s">
        <v>980</v>
      </c>
      <c r="C998" s="192" t="s">
        <v>981</v>
      </c>
      <c r="D998" s="195">
        <v>45110.0</v>
      </c>
      <c r="E998" s="192" t="s">
        <v>265</v>
      </c>
      <c r="F998" s="196"/>
      <c r="G998" s="196"/>
      <c r="H998" s="197">
        <v>5.0</v>
      </c>
      <c r="I998" s="197">
        <v>5.0</v>
      </c>
      <c r="J998" s="197">
        <v>5.0</v>
      </c>
      <c r="K998" s="197">
        <v>5.0</v>
      </c>
      <c r="L998" s="197">
        <v>5.0</v>
      </c>
      <c r="M998" s="197">
        <v>5.0</v>
      </c>
      <c r="N998" s="197">
        <v>5.0</v>
      </c>
      <c r="O998" s="197">
        <v>5.0</v>
      </c>
      <c r="P998" s="197">
        <v>5.0</v>
      </c>
      <c r="Q998" s="197">
        <v>5.0</v>
      </c>
      <c r="R998" s="197">
        <v>5.0</v>
      </c>
      <c r="S998" s="197">
        <v>4.5</v>
      </c>
      <c r="T998" s="197">
        <v>4.5</v>
      </c>
      <c r="U998" s="197">
        <v>4.5</v>
      </c>
      <c r="V998" s="197">
        <v>4.5</v>
      </c>
      <c r="W998" s="197">
        <v>4.5</v>
      </c>
      <c r="X998" s="196"/>
      <c r="Y998" s="196"/>
      <c r="Z998" s="196"/>
      <c r="AA998" s="196"/>
      <c r="AB998" s="196"/>
      <c r="AC998" s="197">
        <v>4.833333333333333</v>
      </c>
      <c r="AD998" s="198"/>
    </row>
    <row r="999">
      <c r="A999" s="193">
        <v>104707.0</v>
      </c>
      <c r="B999" s="194" t="s">
        <v>2219</v>
      </c>
      <c r="C999" s="192" t="s">
        <v>2220</v>
      </c>
      <c r="D999" s="195">
        <v>45691.0</v>
      </c>
      <c r="E999" s="192" t="s">
        <v>767</v>
      </c>
      <c r="F999" s="196"/>
      <c r="G999" s="196"/>
      <c r="H999" s="197">
        <v>5.0</v>
      </c>
      <c r="I999" s="197">
        <v>5.0</v>
      </c>
      <c r="J999" s="197">
        <v>5.0</v>
      </c>
      <c r="K999" s="197">
        <v>5.0</v>
      </c>
      <c r="L999" s="197">
        <v>5.0</v>
      </c>
      <c r="M999" s="197">
        <v>5.0</v>
      </c>
      <c r="N999" s="197">
        <v>5.0</v>
      </c>
      <c r="O999" s="197">
        <v>5.0</v>
      </c>
      <c r="P999" s="197">
        <v>5.0</v>
      </c>
      <c r="Q999" s="197">
        <v>5.0</v>
      </c>
      <c r="R999" s="197">
        <v>5.0</v>
      </c>
      <c r="S999" s="197">
        <v>4.5</v>
      </c>
      <c r="T999" s="197">
        <v>4.5</v>
      </c>
      <c r="U999" s="197">
        <v>4.5</v>
      </c>
      <c r="V999" s="197">
        <v>4.5</v>
      </c>
      <c r="W999" s="197">
        <v>4.5</v>
      </c>
      <c r="X999" s="196"/>
      <c r="Y999" s="196"/>
      <c r="Z999" s="196"/>
      <c r="AA999" s="196"/>
      <c r="AB999" s="196"/>
      <c r="AC999" s="197">
        <v>4.833333333333333</v>
      </c>
      <c r="AD999" s="198"/>
    </row>
    <row r="1000">
      <c r="A1000" s="193">
        <v>104660.0</v>
      </c>
      <c r="B1000" s="194" t="s">
        <v>2221</v>
      </c>
      <c r="C1000" s="192" t="s">
        <v>2222</v>
      </c>
      <c r="D1000" s="195">
        <v>45691.0</v>
      </c>
      <c r="E1000" s="192" t="s">
        <v>61</v>
      </c>
      <c r="F1000" s="196"/>
      <c r="G1000" s="196"/>
      <c r="H1000" s="197">
        <v>5.0</v>
      </c>
      <c r="I1000" s="197">
        <v>5.0</v>
      </c>
      <c r="J1000" s="197">
        <v>5.0</v>
      </c>
      <c r="K1000" s="197">
        <v>5.0</v>
      </c>
      <c r="L1000" s="197">
        <v>5.0</v>
      </c>
      <c r="M1000" s="197">
        <v>5.0</v>
      </c>
      <c r="N1000" s="197">
        <v>5.0</v>
      </c>
      <c r="O1000" s="197">
        <v>5.0</v>
      </c>
      <c r="P1000" s="197">
        <v>5.0</v>
      </c>
      <c r="Q1000" s="197">
        <v>5.0</v>
      </c>
      <c r="R1000" s="197">
        <v>5.0</v>
      </c>
      <c r="S1000" s="197">
        <v>4.5</v>
      </c>
      <c r="T1000" s="197">
        <v>4.5</v>
      </c>
      <c r="U1000" s="197">
        <v>4.5</v>
      </c>
      <c r="V1000" s="197">
        <v>4.5</v>
      </c>
      <c r="W1000" s="197">
        <v>4.5</v>
      </c>
      <c r="X1000" s="196"/>
      <c r="Y1000" s="196"/>
      <c r="Z1000" s="196"/>
      <c r="AA1000" s="196"/>
      <c r="AB1000" s="196"/>
      <c r="AC1000" s="197">
        <v>4.833333333333333</v>
      </c>
      <c r="AD1000" s="198"/>
    </row>
    <row r="1001">
      <c r="A1001" s="193">
        <v>104589.0</v>
      </c>
      <c r="B1001" s="194" t="s">
        <v>2223</v>
      </c>
      <c r="C1001" s="192" t="s">
        <v>2224</v>
      </c>
      <c r="D1001" s="195">
        <v>45691.0</v>
      </c>
      <c r="E1001" s="192" t="s">
        <v>2141</v>
      </c>
      <c r="F1001" s="196"/>
      <c r="G1001" s="196"/>
      <c r="H1001" s="197">
        <v>5.0</v>
      </c>
      <c r="I1001" s="197">
        <v>5.0</v>
      </c>
      <c r="J1001" s="197">
        <v>5.0</v>
      </c>
      <c r="K1001" s="197">
        <v>5.0</v>
      </c>
      <c r="L1001" s="197">
        <v>5.0</v>
      </c>
      <c r="M1001" s="197">
        <v>5.0</v>
      </c>
      <c r="N1001" s="197">
        <v>5.0</v>
      </c>
      <c r="O1001" s="197">
        <v>5.0</v>
      </c>
      <c r="P1001" s="197">
        <v>5.0</v>
      </c>
      <c r="Q1001" s="197">
        <v>5.0</v>
      </c>
      <c r="R1001" s="197">
        <v>5.0</v>
      </c>
      <c r="S1001" s="197">
        <v>4.5</v>
      </c>
      <c r="T1001" s="197">
        <v>4.5</v>
      </c>
      <c r="U1001" s="197">
        <v>4.5</v>
      </c>
      <c r="V1001" s="197">
        <v>4.5</v>
      </c>
      <c r="W1001" s="197">
        <v>4.5</v>
      </c>
      <c r="X1001" s="196"/>
      <c r="Y1001" s="196"/>
      <c r="Z1001" s="196"/>
      <c r="AA1001" s="196"/>
      <c r="AB1001" s="196"/>
      <c r="AC1001" s="197">
        <v>4.833333333333333</v>
      </c>
      <c r="AD1001" s="198"/>
    </row>
    <row r="1002">
      <c r="A1002" s="193">
        <v>104708.0</v>
      </c>
      <c r="B1002" s="194" t="s">
        <v>2225</v>
      </c>
      <c r="C1002" s="192" t="s">
        <v>2226</v>
      </c>
      <c r="D1002" s="195">
        <v>45691.0</v>
      </c>
      <c r="E1002" s="192" t="s">
        <v>767</v>
      </c>
      <c r="F1002" s="196"/>
      <c r="G1002" s="196"/>
      <c r="H1002" s="197">
        <v>5.0</v>
      </c>
      <c r="I1002" s="197">
        <v>5.0</v>
      </c>
      <c r="J1002" s="197">
        <v>5.0</v>
      </c>
      <c r="K1002" s="197">
        <v>5.0</v>
      </c>
      <c r="L1002" s="197">
        <v>5.0</v>
      </c>
      <c r="M1002" s="197">
        <v>5.0</v>
      </c>
      <c r="N1002" s="197">
        <v>5.0</v>
      </c>
      <c r="O1002" s="197">
        <v>5.0</v>
      </c>
      <c r="P1002" s="197">
        <v>5.0</v>
      </c>
      <c r="Q1002" s="197">
        <v>5.0</v>
      </c>
      <c r="R1002" s="197">
        <v>5.0</v>
      </c>
      <c r="S1002" s="197">
        <v>4.5</v>
      </c>
      <c r="T1002" s="197">
        <v>4.5</v>
      </c>
      <c r="U1002" s="197">
        <v>4.5</v>
      </c>
      <c r="V1002" s="197">
        <v>4.5</v>
      </c>
      <c r="W1002" s="197">
        <v>4.5</v>
      </c>
      <c r="X1002" s="196"/>
      <c r="Y1002" s="196"/>
      <c r="Z1002" s="196"/>
      <c r="AA1002" s="196"/>
      <c r="AB1002" s="196"/>
      <c r="AC1002" s="197">
        <v>4.833333333333333</v>
      </c>
      <c r="AD1002" s="198"/>
    </row>
    <row r="1003">
      <c r="A1003" s="193">
        <v>104656.0</v>
      </c>
      <c r="B1003" s="194" t="s">
        <v>2227</v>
      </c>
      <c r="C1003" s="192" t="s">
        <v>2228</v>
      </c>
      <c r="D1003" s="195">
        <v>45691.0</v>
      </c>
      <c r="E1003" s="192" t="s">
        <v>61</v>
      </c>
      <c r="F1003" s="196"/>
      <c r="G1003" s="196"/>
      <c r="H1003" s="197">
        <v>5.0</v>
      </c>
      <c r="I1003" s="197">
        <v>5.0</v>
      </c>
      <c r="J1003" s="197">
        <v>5.0</v>
      </c>
      <c r="K1003" s="197">
        <v>5.0</v>
      </c>
      <c r="L1003" s="197">
        <v>5.0</v>
      </c>
      <c r="M1003" s="197">
        <v>5.0</v>
      </c>
      <c r="N1003" s="197">
        <v>5.0</v>
      </c>
      <c r="O1003" s="197">
        <v>5.0</v>
      </c>
      <c r="P1003" s="197">
        <v>5.0</v>
      </c>
      <c r="Q1003" s="197">
        <v>5.0</v>
      </c>
      <c r="R1003" s="197">
        <v>5.0</v>
      </c>
      <c r="S1003" s="197">
        <v>4.5</v>
      </c>
      <c r="T1003" s="197">
        <v>4.5</v>
      </c>
      <c r="U1003" s="197">
        <v>4.5</v>
      </c>
      <c r="V1003" s="197">
        <v>4.5</v>
      </c>
      <c r="W1003" s="197">
        <v>4.5</v>
      </c>
      <c r="X1003" s="196"/>
      <c r="Y1003" s="196"/>
      <c r="Z1003" s="196"/>
      <c r="AA1003" s="196"/>
      <c r="AB1003" s="196"/>
      <c r="AC1003" s="197">
        <v>4.833333333333333</v>
      </c>
      <c r="AD1003" s="198"/>
    </row>
    <row r="1004">
      <c r="A1004" s="193">
        <v>104706.0</v>
      </c>
      <c r="B1004" s="194" t="s">
        <v>2229</v>
      </c>
      <c r="C1004" s="192" t="s">
        <v>2230</v>
      </c>
      <c r="D1004" s="195">
        <v>45691.0</v>
      </c>
      <c r="E1004" s="192" t="s">
        <v>767</v>
      </c>
      <c r="F1004" s="196"/>
      <c r="G1004" s="196"/>
      <c r="H1004" s="197">
        <v>5.0</v>
      </c>
      <c r="I1004" s="197">
        <v>5.0</v>
      </c>
      <c r="J1004" s="197">
        <v>5.0</v>
      </c>
      <c r="K1004" s="197">
        <v>5.0</v>
      </c>
      <c r="L1004" s="197">
        <v>5.0</v>
      </c>
      <c r="M1004" s="197">
        <v>5.0</v>
      </c>
      <c r="N1004" s="197">
        <v>5.0</v>
      </c>
      <c r="O1004" s="197">
        <v>5.0</v>
      </c>
      <c r="P1004" s="197">
        <v>5.0</v>
      </c>
      <c r="Q1004" s="197">
        <v>5.0</v>
      </c>
      <c r="R1004" s="197">
        <v>5.0</v>
      </c>
      <c r="S1004" s="197">
        <v>4.5</v>
      </c>
      <c r="T1004" s="197">
        <v>4.5</v>
      </c>
      <c r="U1004" s="197">
        <v>4.5</v>
      </c>
      <c r="V1004" s="197">
        <v>4.5</v>
      </c>
      <c r="W1004" s="197">
        <v>4.5</v>
      </c>
      <c r="X1004" s="196"/>
      <c r="Y1004" s="196"/>
      <c r="Z1004" s="196"/>
      <c r="AA1004" s="196"/>
      <c r="AB1004" s="196"/>
      <c r="AC1004" s="197">
        <v>4.833333333333333</v>
      </c>
      <c r="AD1004" s="198"/>
    </row>
    <row r="1005">
      <c r="A1005" s="193">
        <v>104654.0</v>
      </c>
      <c r="B1005" s="194" t="s">
        <v>1506</v>
      </c>
      <c r="C1005" s="192" t="s">
        <v>1507</v>
      </c>
      <c r="D1005" s="195">
        <v>45691.0</v>
      </c>
      <c r="E1005" s="192" t="s">
        <v>61</v>
      </c>
      <c r="F1005" s="196"/>
      <c r="G1005" s="196"/>
      <c r="H1005" s="197">
        <v>5.0</v>
      </c>
      <c r="I1005" s="197">
        <v>5.0</v>
      </c>
      <c r="J1005" s="197">
        <v>5.0</v>
      </c>
      <c r="K1005" s="197">
        <v>5.0</v>
      </c>
      <c r="L1005" s="197">
        <v>5.0</v>
      </c>
      <c r="M1005" s="197">
        <v>5.0</v>
      </c>
      <c r="N1005" s="197">
        <v>5.0</v>
      </c>
      <c r="O1005" s="197">
        <v>5.0</v>
      </c>
      <c r="P1005" s="197">
        <v>5.0</v>
      </c>
      <c r="Q1005" s="197">
        <v>5.0</v>
      </c>
      <c r="R1005" s="197">
        <v>5.0</v>
      </c>
      <c r="S1005" s="197">
        <v>4.5</v>
      </c>
      <c r="T1005" s="197">
        <v>4.5</v>
      </c>
      <c r="U1005" s="197">
        <v>4.5</v>
      </c>
      <c r="V1005" s="197">
        <v>4.5</v>
      </c>
      <c r="W1005" s="197">
        <v>4.5</v>
      </c>
      <c r="X1005" s="196"/>
      <c r="Y1005" s="196"/>
      <c r="Z1005" s="196"/>
      <c r="AA1005" s="196"/>
      <c r="AB1005" s="196"/>
      <c r="AC1005" s="197">
        <v>4.833333333333333</v>
      </c>
      <c r="AD1005" s="198"/>
    </row>
    <row r="1006">
      <c r="A1006" s="193">
        <v>105189.0</v>
      </c>
      <c r="B1006" s="194" t="s">
        <v>2231</v>
      </c>
      <c r="C1006" s="192" t="s">
        <v>2232</v>
      </c>
      <c r="D1006" s="195">
        <v>45867.0</v>
      </c>
      <c r="E1006" s="192" t="s">
        <v>646</v>
      </c>
      <c r="F1006" s="196"/>
      <c r="G1006" s="196"/>
      <c r="H1006" s="197">
        <v>5.0</v>
      </c>
      <c r="I1006" s="197">
        <v>5.0</v>
      </c>
      <c r="J1006" s="197">
        <v>5.0</v>
      </c>
      <c r="K1006" s="197">
        <v>5.0</v>
      </c>
      <c r="L1006" s="197">
        <v>5.0</v>
      </c>
      <c r="M1006" s="197">
        <v>5.0</v>
      </c>
      <c r="N1006" s="197">
        <v>5.0</v>
      </c>
      <c r="O1006" s="197">
        <v>5.0</v>
      </c>
      <c r="P1006" s="197">
        <v>5.0</v>
      </c>
      <c r="Q1006" s="197">
        <v>5.0</v>
      </c>
      <c r="R1006" s="197">
        <v>5.0</v>
      </c>
      <c r="S1006" s="197">
        <v>5.0</v>
      </c>
      <c r="T1006" s="197">
        <v>5.0</v>
      </c>
      <c r="U1006" s="197">
        <v>5.0</v>
      </c>
      <c r="V1006" s="197">
        <v>5.0</v>
      </c>
      <c r="W1006" s="197">
        <v>5.0</v>
      </c>
      <c r="X1006" s="196"/>
      <c r="Y1006" s="196"/>
      <c r="Z1006" s="196"/>
      <c r="AA1006" s="196"/>
      <c r="AB1006" s="196"/>
      <c r="AC1006" s="197">
        <v>5.0</v>
      </c>
      <c r="AD1006" s="198"/>
    </row>
    <row r="1007">
      <c r="A1007" s="193">
        <v>105136.0</v>
      </c>
      <c r="B1007" s="194" t="s">
        <v>2233</v>
      </c>
      <c r="C1007" s="192" t="s">
        <v>2234</v>
      </c>
      <c r="D1007" s="195">
        <v>45867.0</v>
      </c>
      <c r="E1007" s="192" t="s">
        <v>806</v>
      </c>
      <c r="F1007" s="196"/>
      <c r="G1007" s="196"/>
      <c r="H1007" s="197">
        <v>5.0</v>
      </c>
      <c r="I1007" s="197">
        <v>5.0</v>
      </c>
      <c r="J1007" s="197">
        <v>5.0</v>
      </c>
      <c r="K1007" s="197">
        <v>5.0</v>
      </c>
      <c r="L1007" s="197">
        <v>5.0</v>
      </c>
      <c r="M1007" s="197">
        <v>5.0</v>
      </c>
      <c r="N1007" s="197">
        <v>5.0</v>
      </c>
      <c r="O1007" s="197">
        <v>5.0</v>
      </c>
      <c r="P1007" s="197">
        <v>5.0</v>
      </c>
      <c r="Q1007" s="197">
        <v>5.0</v>
      </c>
      <c r="R1007" s="197">
        <v>5.0</v>
      </c>
      <c r="S1007" s="197">
        <v>5.0</v>
      </c>
      <c r="T1007" s="197">
        <v>5.0</v>
      </c>
      <c r="U1007" s="197">
        <v>5.0</v>
      </c>
      <c r="V1007" s="197">
        <v>5.0</v>
      </c>
      <c r="W1007" s="197">
        <v>5.0</v>
      </c>
      <c r="X1007" s="196"/>
      <c r="Y1007" s="196"/>
      <c r="Z1007" s="196"/>
      <c r="AA1007" s="196"/>
      <c r="AB1007" s="196"/>
      <c r="AC1007" s="197">
        <v>5.0</v>
      </c>
      <c r="AD1007" s="198"/>
    </row>
    <row r="1008">
      <c r="A1008" s="193">
        <v>105397.0</v>
      </c>
      <c r="B1008" s="194" t="s">
        <v>2235</v>
      </c>
      <c r="C1008" s="192" t="s">
        <v>2236</v>
      </c>
      <c r="D1008" s="195">
        <v>45867.0</v>
      </c>
      <c r="E1008" s="192" t="s">
        <v>2146</v>
      </c>
      <c r="F1008" s="196"/>
      <c r="G1008" s="196"/>
      <c r="H1008" s="197">
        <v>5.0</v>
      </c>
      <c r="I1008" s="197">
        <v>5.0</v>
      </c>
      <c r="J1008" s="197">
        <v>5.0</v>
      </c>
      <c r="K1008" s="197">
        <v>5.0</v>
      </c>
      <c r="L1008" s="197">
        <v>5.0</v>
      </c>
      <c r="M1008" s="197">
        <v>5.0</v>
      </c>
      <c r="N1008" s="197">
        <v>5.0</v>
      </c>
      <c r="O1008" s="197">
        <v>5.0</v>
      </c>
      <c r="P1008" s="197">
        <v>5.0</v>
      </c>
      <c r="Q1008" s="197">
        <v>5.0</v>
      </c>
      <c r="R1008" s="197">
        <v>5.0</v>
      </c>
      <c r="S1008" s="197">
        <v>5.0</v>
      </c>
      <c r="T1008" s="197">
        <v>5.0</v>
      </c>
      <c r="U1008" s="197">
        <v>5.0</v>
      </c>
      <c r="V1008" s="197">
        <v>5.0</v>
      </c>
      <c r="W1008" s="197">
        <v>5.0</v>
      </c>
      <c r="X1008" s="196"/>
      <c r="Y1008" s="196"/>
      <c r="Z1008" s="196"/>
      <c r="AA1008" s="196"/>
      <c r="AB1008" s="196"/>
      <c r="AC1008" s="197">
        <v>5.0</v>
      </c>
      <c r="AD1008" s="198"/>
    </row>
    <row r="1009">
      <c r="A1009" s="193">
        <v>104833.0</v>
      </c>
      <c r="B1009" s="194" t="s">
        <v>2237</v>
      </c>
      <c r="C1009" s="192" t="s">
        <v>2238</v>
      </c>
      <c r="D1009" s="195">
        <v>45867.0</v>
      </c>
      <c r="E1009" s="192" t="s">
        <v>646</v>
      </c>
      <c r="F1009" s="196"/>
      <c r="G1009" s="196"/>
      <c r="H1009" s="197">
        <v>5.0</v>
      </c>
      <c r="I1009" s="197">
        <v>5.0</v>
      </c>
      <c r="J1009" s="197">
        <v>5.0</v>
      </c>
      <c r="K1009" s="197">
        <v>5.0</v>
      </c>
      <c r="L1009" s="197">
        <v>5.0</v>
      </c>
      <c r="M1009" s="197">
        <v>5.0</v>
      </c>
      <c r="N1009" s="197">
        <v>4.8</v>
      </c>
      <c r="O1009" s="197">
        <v>4.8</v>
      </c>
      <c r="P1009" s="197">
        <v>4.8</v>
      </c>
      <c r="Q1009" s="197">
        <v>4.8</v>
      </c>
      <c r="R1009" s="197">
        <v>4.8</v>
      </c>
      <c r="S1009" s="197">
        <v>4.8</v>
      </c>
      <c r="T1009" s="197">
        <v>4.8</v>
      </c>
      <c r="U1009" s="197">
        <v>4.8</v>
      </c>
      <c r="V1009" s="197">
        <v>4.8</v>
      </c>
      <c r="W1009" s="197">
        <v>4.8</v>
      </c>
      <c r="X1009" s="196"/>
      <c r="Y1009" s="196"/>
      <c r="Z1009" s="196"/>
      <c r="AA1009" s="196"/>
      <c r="AB1009" s="196"/>
      <c r="AC1009" s="197">
        <v>4.866666666666667</v>
      </c>
      <c r="AD1009" s="198"/>
    </row>
    <row r="1010">
      <c r="A1010" s="193">
        <v>105267.0</v>
      </c>
      <c r="B1010" s="194" t="s">
        <v>2239</v>
      </c>
      <c r="C1010" s="192" t="s">
        <v>2240</v>
      </c>
      <c r="D1010" s="195">
        <v>45867.0</v>
      </c>
      <c r="E1010" s="192" t="s">
        <v>646</v>
      </c>
      <c r="F1010" s="196"/>
      <c r="G1010" s="196"/>
      <c r="H1010" s="197">
        <v>5.0</v>
      </c>
      <c r="I1010" s="197">
        <v>5.0</v>
      </c>
      <c r="J1010" s="197">
        <v>5.0</v>
      </c>
      <c r="K1010" s="197">
        <v>5.0</v>
      </c>
      <c r="L1010" s="197">
        <v>5.0</v>
      </c>
      <c r="M1010" s="197">
        <v>5.0</v>
      </c>
      <c r="N1010" s="197">
        <v>4.8</v>
      </c>
      <c r="O1010" s="197">
        <v>4.8</v>
      </c>
      <c r="P1010" s="197">
        <v>4.8</v>
      </c>
      <c r="Q1010" s="197">
        <v>4.8</v>
      </c>
      <c r="R1010" s="197">
        <v>4.8</v>
      </c>
      <c r="S1010" s="197">
        <v>4.8</v>
      </c>
      <c r="T1010" s="197">
        <v>4.8</v>
      </c>
      <c r="U1010" s="197">
        <v>4.8</v>
      </c>
      <c r="V1010" s="197">
        <v>4.8</v>
      </c>
      <c r="W1010" s="197">
        <v>4.8</v>
      </c>
      <c r="X1010" s="196"/>
      <c r="Y1010" s="196"/>
      <c r="Z1010" s="196"/>
      <c r="AA1010" s="196"/>
      <c r="AB1010" s="196"/>
      <c r="AC1010" s="197">
        <v>4.866666666666667</v>
      </c>
      <c r="AD1010" s="198"/>
    </row>
    <row r="1011">
      <c r="A1011" s="193">
        <v>105030.0</v>
      </c>
      <c r="B1011" s="194" t="s">
        <v>2135</v>
      </c>
      <c r="C1011" s="192" t="s">
        <v>2136</v>
      </c>
      <c r="D1011" s="195">
        <v>45938.0</v>
      </c>
      <c r="E1011" s="192" t="s">
        <v>154</v>
      </c>
      <c r="F1011" s="196"/>
      <c r="G1011" s="196"/>
      <c r="H1011" s="197">
        <v>5.0</v>
      </c>
      <c r="I1011" s="197">
        <v>5.0</v>
      </c>
      <c r="J1011" s="197">
        <v>5.0</v>
      </c>
      <c r="K1011" s="197">
        <v>5.0</v>
      </c>
      <c r="L1011" s="197">
        <v>5.0</v>
      </c>
      <c r="M1011" s="197">
        <v>5.0</v>
      </c>
      <c r="N1011" s="197">
        <v>4.9</v>
      </c>
      <c r="O1011" s="197">
        <v>5.0</v>
      </c>
      <c r="P1011" s="197">
        <v>4.9</v>
      </c>
      <c r="Q1011" s="197">
        <v>4.9</v>
      </c>
      <c r="R1011" s="197">
        <v>4.925000000000001</v>
      </c>
      <c r="S1011" s="197">
        <v>5.0</v>
      </c>
      <c r="T1011" s="197">
        <v>5.0</v>
      </c>
      <c r="U1011" s="197">
        <v>5.0</v>
      </c>
      <c r="V1011" s="197">
        <v>5.0</v>
      </c>
      <c r="W1011" s="197">
        <v>5.0</v>
      </c>
      <c r="X1011" s="196"/>
      <c r="Y1011" s="196"/>
      <c r="Z1011" s="196"/>
      <c r="AA1011" s="196"/>
      <c r="AB1011" s="196"/>
      <c r="AC1011" s="197">
        <v>4.9750000000000005</v>
      </c>
      <c r="AD1011" s="198"/>
    </row>
    <row r="1012">
      <c r="A1012" s="193">
        <v>105096.0</v>
      </c>
      <c r="B1012" s="194" t="s">
        <v>2241</v>
      </c>
      <c r="C1012" s="192" t="s">
        <v>2242</v>
      </c>
      <c r="D1012" s="195">
        <v>45867.0</v>
      </c>
      <c r="E1012" s="192" t="s">
        <v>1695</v>
      </c>
      <c r="F1012" s="196"/>
      <c r="G1012" s="196"/>
      <c r="H1012" s="197">
        <v>5.0</v>
      </c>
      <c r="I1012" s="197">
        <v>5.0</v>
      </c>
      <c r="J1012" s="197">
        <v>5.0</v>
      </c>
      <c r="K1012" s="197">
        <v>5.0</v>
      </c>
      <c r="L1012" s="197">
        <v>5.0</v>
      </c>
      <c r="M1012" s="197">
        <v>5.0</v>
      </c>
      <c r="N1012" s="197">
        <v>5.0</v>
      </c>
      <c r="O1012" s="197">
        <v>4.8</v>
      </c>
      <c r="P1012" s="197">
        <v>4.8</v>
      </c>
      <c r="Q1012" s="197">
        <v>4.8</v>
      </c>
      <c r="R1012" s="197">
        <v>4.8500000000000005</v>
      </c>
      <c r="S1012" s="197">
        <v>5.0</v>
      </c>
      <c r="T1012" s="197">
        <v>4.8</v>
      </c>
      <c r="U1012" s="197">
        <v>4.8</v>
      </c>
      <c r="V1012" s="197">
        <v>4.8</v>
      </c>
      <c r="W1012" s="197">
        <v>4.8500000000000005</v>
      </c>
      <c r="X1012" s="196"/>
      <c r="Y1012" s="196"/>
      <c r="Z1012" s="196"/>
      <c r="AA1012" s="196"/>
      <c r="AB1012" s="196"/>
      <c r="AC1012" s="197">
        <v>4.900000000000001</v>
      </c>
      <c r="AD1012" s="198"/>
    </row>
    <row r="1013">
      <c r="A1013" s="193">
        <v>105053.0</v>
      </c>
      <c r="B1013" s="194" t="s">
        <v>2243</v>
      </c>
      <c r="C1013" s="192" t="s">
        <v>2244</v>
      </c>
      <c r="D1013" s="195">
        <v>45625.0</v>
      </c>
      <c r="E1013" s="192" t="s">
        <v>806</v>
      </c>
      <c r="F1013" s="196"/>
      <c r="G1013" s="196"/>
      <c r="H1013" s="197">
        <v>5.0</v>
      </c>
      <c r="I1013" s="197">
        <v>5.0</v>
      </c>
      <c r="J1013" s="197">
        <v>5.0</v>
      </c>
      <c r="K1013" s="197">
        <v>5.0</v>
      </c>
      <c r="L1013" s="197">
        <v>5.0</v>
      </c>
      <c r="M1013" s="197">
        <v>5.0</v>
      </c>
      <c r="N1013" s="197">
        <v>5.0</v>
      </c>
      <c r="O1013" s="197">
        <v>5.0</v>
      </c>
      <c r="P1013" s="197">
        <v>5.0</v>
      </c>
      <c r="Q1013" s="197">
        <v>5.0</v>
      </c>
      <c r="R1013" s="197">
        <v>5.0</v>
      </c>
      <c r="S1013" s="197">
        <v>5.0</v>
      </c>
      <c r="T1013" s="197">
        <v>5.0</v>
      </c>
      <c r="U1013" s="197">
        <v>5.0</v>
      </c>
      <c r="V1013" s="197">
        <v>5.0</v>
      </c>
      <c r="W1013" s="197">
        <v>5.0</v>
      </c>
      <c r="X1013" s="196"/>
      <c r="Y1013" s="196"/>
      <c r="Z1013" s="196"/>
      <c r="AA1013" s="196"/>
      <c r="AB1013" s="196"/>
      <c r="AC1013" s="197">
        <v>5.0</v>
      </c>
      <c r="AD1013" s="198"/>
    </row>
    <row r="1014">
      <c r="A1014" s="193">
        <v>105094.0</v>
      </c>
      <c r="B1014" s="194" t="s">
        <v>2245</v>
      </c>
      <c r="C1014" s="192" t="s">
        <v>2246</v>
      </c>
      <c r="D1014" s="195">
        <v>45867.0</v>
      </c>
      <c r="E1014" s="192" t="s">
        <v>1726</v>
      </c>
      <c r="F1014" s="196"/>
      <c r="G1014" s="196"/>
      <c r="H1014" s="197">
        <v>5.0</v>
      </c>
      <c r="I1014" s="197">
        <v>5.0</v>
      </c>
      <c r="J1014" s="197">
        <v>5.0</v>
      </c>
      <c r="K1014" s="197">
        <v>5.0</v>
      </c>
      <c r="L1014" s="197">
        <v>5.0</v>
      </c>
      <c r="M1014" s="197">
        <v>5.0</v>
      </c>
      <c r="N1014" s="197">
        <v>5.0</v>
      </c>
      <c r="O1014" s="197">
        <v>4.8</v>
      </c>
      <c r="P1014" s="197">
        <v>4.5</v>
      </c>
      <c r="Q1014" s="197">
        <v>5.0</v>
      </c>
      <c r="R1014" s="197">
        <v>4.825</v>
      </c>
      <c r="S1014" s="197">
        <v>5.0</v>
      </c>
      <c r="T1014" s="197">
        <v>4.5</v>
      </c>
      <c r="U1014" s="197">
        <v>4.5</v>
      </c>
      <c r="V1014" s="197">
        <v>5.0</v>
      </c>
      <c r="W1014" s="197">
        <v>4.75</v>
      </c>
      <c r="X1014" s="196"/>
      <c r="Y1014" s="196"/>
      <c r="Z1014" s="196"/>
      <c r="AA1014" s="196"/>
      <c r="AB1014" s="196"/>
      <c r="AC1014" s="197">
        <v>4.858333333333333</v>
      </c>
      <c r="AD1014" s="198"/>
    </row>
    <row r="1015">
      <c r="A1015" s="193">
        <v>104865.0</v>
      </c>
      <c r="B1015" s="194" t="s">
        <v>2247</v>
      </c>
      <c r="C1015" s="192" t="s">
        <v>2248</v>
      </c>
      <c r="D1015" s="195">
        <v>45554.0</v>
      </c>
      <c r="E1015" s="192" t="s">
        <v>806</v>
      </c>
      <c r="F1015" s="196"/>
      <c r="G1015" s="196"/>
      <c r="H1015" s="197">
        <v>5.0</v>
      </c>
      <c r="I1015" s="197">
        <v>5.0</v>
      </c>
      <c r="J1015" s="197">
        <v>5.0</v>
      </c>
      <c r="K1015" s="197">
        <v>5.0</v>
      </c>
      <c r="L1015" s="197">
        <v>5.0</v>
      </c>
      <c r="M1015" s="197">
        <v>5.0</v>
      </c>
      <c r="N1015" s="197">
        <v>5.0</v>
      </c>
      <c r="O1015" s="197">
        <v>5.0</v>
      </c>
      <c r="P1015" s="197">
        <v>5.0</v>
      </c>
      <c r="Q1015" s="197">
        <v>5.0</v>
      </c>
      <c r="R1015" s="197">
        <v>5.0</v>
      </c>
      <c r="S1015" s="197">
        <v>5.0</v>
      </c>
      <c r="T1015" s="197">
        <v>5.0</v>
      </c>
      <c r="U1015" s="197">
        <v>5.0</v>
      </c>
      <c r="V1015" s="197">
        <v>5.0</v>
      </c>
      <c r="W1015" s="197">
        <v>5.0</v>
      </c>
      <c r="X1015" s="196"/>
      <c r="Y1015" s="196"/>
      <c r="Z1015" s="196"/>
      <c r="AA1015" s="196"/>
      <c r="AB1015" s="196"/>
      <c r="AC1015" s="197">
        <v>5.0</v>
      </c>
      <c r="AD1015" s="198"/>
    </row>
    <row r="1016">
      <c r="A1016" s="193">
        <v>105075.0</v>
      </c>
      <c r="B1016" s="194" t="s">
        <v>2249</v>
      </c>
      <c r="C1016" s="192" t="s">
        <v>2250</v>
      </c>
      <c r="D1016" s="195">
        <v>45566.0</v>
      </c>
      <c r="E1016" s="192" t="s">
        <v>51</v>
      </c>
      <c r="F1016" s="196"/>
      <c r="G1016" s="196"/>
      <c r="H1016" s="197">
        <v>5.0</v>
      </c>
      <c r="I1016" s="197">
        <v>5.0</v>
      </c>
      <c r="J1016" s="197">
        <v>5.0</v>
      </c>
      <c r="K1016" s="197">
        <v>5.0</v>
      </c>
      <c r="L1016" s="197">
        <v>5.0</v>
      </c>
      <c r="M1016" s="197">
        <v>5.0</v>
      </c>
      <c r="N1016" s="197">
        <v>4.8</v>
      </c>
      <c r="O1016" s="197">
        <v>4.8</v>
      </c>
      <c r="P1016" s="197">
        <v>4.8</v>
      </c>
      <c r="Q1016" s="197">
        <v>4.8</v>
      </c>
      <c r="R1016" s="197">
        <v>4.8</v>
      </c>
      <c r="S1016" s="197">
        <v>5.0</v>
      </c>
      <c r="T1016" s="197">
        <v>5.0</v>
      </c>
      <c r="U1016" s="197">
        <v>5.0</v>
      </c>
      <c r="V1016" s="197">
        <v>5.0</v>
      </c>
      <c r="W1016" s="197">
        <v>5.0</v>
      </c>
      <c r="X1016" s="196"/>
      <c r="Y1016" s="196"/>
      <c r="Z1016" s="196"/>
      <c r="AA1016" s="196"/>
      <c r="AB1016" s="196"/>
      <c r="AC1016" s="197">
        <v>4.933333333333334</v>
      </c>
      <c r="AD1016" s="198"/>
    </row>
    <row r="1017">
      <c r="A1017" s="193">
        <v>105231.0</v>
      </c>
      <c r="B1017" s="194" t="s">
        <v>2251</v>
      </c>
      <c r="C1017" s="192" t="s">
        <v>2252</v>
      </c>
      <c r="D1017" s="195">
        <v>45867.0</v>
      </c>
      <c r="E1017" s="192" t="s">
        <v>2148</v>
      </c>
      <c r="F1017" s="196"/>
      <c r="G1017" s="196"/>
      <c r="H1017" s="197">
        <v>5.0</v>
      </c>
      <c r="I1017" s="197">
        <v>5.0</v>
      </c>
      <c r="J1017" s="197">
        <v>5.0</v>
      </c>
      <c r="K1017" s="197">
        <v>5.0</v>
      </c>
      <c r="L1017" s="197">
        <v>5.0</v>
      </c>
      <c r="M1017" s="197">
        <v>5.0</v>
      </c>
      <c r="N1017" s="197">
        <v>5.0</v>
      </c>
      <c r="O1017" s="197">
        <v>4.8</v>
      </c>
      <c r="P1017" s="197">
        <v>5.0</v>
      </c>
      <c r="Q1017" s="197">
        <v>4.5</v>
      </c>
      <c r="R1017" s="197">
        <v>4.825</v>
      </c>
      <c r="S1017" s="197">
        <v>5.0</v>
      </c>
      <c r="T1017" s="197">
        <v>4.8</v>
      </c>
      <c r="U1017" s="197">
        <v>5.0</v>
      </c>
      <c r="V1017" s="197">
        <v>4.5</v>
      </c>
      <c r="W1017" s="197">
        <v>4.825</v>
      </c>
      <c r="X1017" s="196"/>
      <c r="Y1017" s="196"/>
      <c r="Z1017" s="196"/>
      <c r="AA1017" s="196"/>
      <c r="AB1017" s="196"/>
      <c r="AC1017" s="197">
        <v>4.883333333333333</v>
      </c>
      <c r="AD1017" s="198"/>
    </row>
    <row r="1018">
      <c r="A1018" s="193">
        <v>100295.0</v>
      </c>
      <c r="B1018" s="194" t="s">
        <v>2253</v>
      </c>
      <c r="C1018" s="192" t="s">
        <v>2254</v>
      </c>
      <c r="D1018" s="195">
        <v>45867.0</v>
      </c>
      <c r="E1018" s="192" t="s">
        <v>194</v>
      </c>
      <c r="F1018" s="196"/>
      <c r="G1018" s="196"/>
      <c r="H1018" s="197">
        <v>5.0</v>
      </c>
      <c r="I1018" s="197">
        <v>5.0</v>
      </c>
      <c r="J1018" s="197">
        <v>5.0</v>
      </c>
      <c r="K1018" s="197">
        <v>5.0</v>
      </c>
      <c r="L1018" s="197">
        <v>5.0</v>
      </c>
      <c r="M1018" s="197">
        <v>5.0</v>
      </c>
      <c r="N1018" s="197">
        <v>5.0</v>
      </c>
      <c r="O1018" s="197">
        <v>4.5</v>
      </c>
      <c r="P1018" s="197">
        <v>4.8</v>
      </c>
      <c r="Q1018" s="197">
        <v>5.0</v>
      </c>
      <c r="R1018" s="197">
        <v>4.825</v>
      </c>
      <c r="S1018" s="197">
        <v>5.0</v>
      </c>
      <c r="T1018" s="197">
        <v>4.5</v>
      </c>
      <c r="U1018" s="197">
        <v>4.8</v>
      </c>
      <c r="V1018" s="197">
        <v>5.0</v>
      </c>
      <c r="W1018" s="197">
        <v>4.825</v>
      </c>
      <c r="X1018" s="196"/>
      <c r="Y1018" s="196"/>
      <c r="Z1018" s="196"/>
      <c r="AA1018" s="196"/>
      <c r="AB1018" s="196"/>
      <c r="AC1018" s="197">
        <v>4.883333333333333</v>
      </c>
      <c r="AD1018" s="198"/>
    </row>
    <row r="1019">
      <c r="A1019" s="193">
        <v>104526.0</v>
      </c>
      <c r="B1019" s="194" t="s">
        <v>2255</v>
      </c>
      <c r="C1019" s="192" t="s">
        <v>2256</v>
      </c>
      <c r="D1019" s="195">
        <v>45867.0</v>
      </c>
      <c r="E1019" s="192" t="s">
        <v>194</v>
      </c>
      <c r="F1019" s="196"/>
      <c r="G1019" s="196"/>
      <c r="H1019" s="197">
        <v>5.0</v>
      </c>
      <c r="I1019" s="197">
        <v>5.0</v>
      </c>
      <c r="J1019" s="197">
        <v>5.0</v>
      </c>
      <c r="K1019" s="197">
        <v>5.0</v>
      </c>
      <c r="L1019" s="197">
        <v>5.0</v>
      </c>
      <c r="M1019" s="197">
        <v>5.0</v>
      </c>
      <c r="N1019" s="197">
        <v>5.0</v>
      </c>
      <c r="O1019" s="197">
        <v>4.5</v>
      </c>
      <c r="P1019" s="197">
        <v>4.5</v>
      </c>
      <c r="Q1019" s="197">
        <v>4.8</v>
      </c>
      <c r="R1019" s="197">
        <v>4.7</v>
      </c>
      <c r="S1019" s="197">
        <v>5.0</v>
      </c>
      <c r="T1019" s="197">
        <v>4.5</v>
      </c>
      <c r="U1019" s="197">
        <v>4.5</v>
      </c>
      <c r="V1019" s="197">
        <v>4.8</v>
      </c>
      <c r="W1019" s="197">
        <v>4.7</v>
      </c>
      <c r="X1019" s="196"/>
      <c r="Y1019" s="196"/>
      <c r="Z1019" s="196"/>
      <c r="AA1019" s="196"/>
      <c r="AB1019" s="196"/>
      <c r="AC1019" s="197">
        <v>4.8</v>
      </c>
      <c r="AD1019" s="198"/>
    </row>
    <row r="1020">
      <c r="A1020" s="193">
        <v>105138.0</v>
      </c>
      <c r="B1020" s="194" t="s">
        <v>2257</v>
      </c>
      <c r="C1020" s="192" t="s">
        <v>2258</v>
      </c>
      <c r="D1020" s="195">
        <v>45867.0</v>
      </c>
      <c r="E1020" s="192" t="s">
        <v>51</v>
      </c>
      <c r="F1020" s="196"/>
      <c r="G1020" s="196"/>
      <c r="H1020" s="197">
        <v>5.0</v>
      </c>
      <c r="I1020" s="197">
        <v>5.0</v>
      </c>
      <c r="J1020" s="197">
        <v>5.0</v>
      </c>
      <c r="K1020" s="197">
        <v>5.0</v>
      </c>
      <c r="L1020" s="197">
        <v>5.0</v>
      </c>
      <c r="M1020" s="197">
        <v>5.0</v>
      </c>
      <c r="N1020" s="197">
        <v>5.0</v>
      </c>
      <c r="O1020" s="197">
        <v>5.0</v>
      </c>
      <c r="P1020" s="197">
        <v>5.0</v>
      </c>
      <c r="Q1020" s="197">
        <v>5.0</v>
      </c>
      <c r="R1020" s="197">
        <v>5.0</v>
      </c>
      <c r="S1020" s="197">
        <v>4.8</v>
      </c>
      <c r="T1020" s="197">
        <v>5.0</v>
      </c>
      <c r="U1020" s="197">
        <v>4.8</v>
      </c>
      <c r="V1020" s="197">
        <v>5.0</v>
      </c>
      <c r="W1020" s="197">
        <v>4.9</v>
      </c>
      <c r="X1020" s="196"/>
      <c r="Y1020" s="196"/>
      <c r="Z1020" s="196"/>
      <c r="AA1020" s="196"/>
      <c r="AB1020" s="196"/>
      <c r="AC1020" s="197">
        <v>4.966666666666667</v>
      </c>
      <c r="AD1020" s="198"/>
    </row>
    <row r="1021">
      <c r="A1021" s="193">
        <v>105343.0</v>
      </c>
      <c r="B1021" s="194" t="s">
        <v>2259</v>
      </c>
      <c r="C1021" s="192" t="s">
        <v>2260</v>
      </c>
      <c r="D1021" s="195">
        <v>45867.0</v>
      </c>
      <c r="E1021" s="192" t="s">
        <v>646</v>
      </c>
      <c r="F1021" s="196"/>
      <c r="G1021" s="196"/>
      <c r="H1021" s="197">
        <v>5.0</v>
      </c>
      <c r="I1021" s="197">
        <v>5.0</v>
      </c>
      <c r="J1021" s="197">
        <v>5.0</v>
      </c>
      <c r="K1021" s="197">
        <v>5.0</v>
      </c>
      <c r="L1021" s="197">
        <v>5.0</v>
      </c>
      <c r="M1021" s="197">
        <v>5.0</v>
      </c>
      <c r="N1021" s="197">
        <v>5.0</v>
      </c>
      <c r="O1021" s="197">
        <v>5.0</v>
      </c>
      <c r="P1021" s="197">
        <v>5.0</v>
      </c>
      <c r="Q1021" s="197">
        <v>5.0</v>
      </c>
      <c r="R1021" s="197">
        <v>5.0</v>
      </c>
      <c r="S1021" s="197">
        <v>5.0</v>
      </c>
      <c r="T1021" s="197">
        <v>5.0</v>
      </c>
      <c r="U1021" s="197">
        <v>5.0</v>
      </c>
      <c r="V1021" s="197">
        <v>5.0</v>
      </c>
      <c r="W1021" s="197">
        <v>5.0</v>
      </c>
      <c r="X1021" s="196"/>
      <c r="Y1021" s="196"/>
      <c r="Z1021" s="196"/>
      <c r="AA1021" s="196"/>
      <c r="AB1021" s="196"/>
      <c r="AC1021" s="197">
        <v>5.0</v>
      </c>
      <c r="AD1021" s="198"/>
    </row>
    <row r="1022">
      <c r="A1022" s="193">
        <v>105657.0</v>
      </c>
      <c r="B1022" s="194" t="s">
        <v>2261</v>
      </c>
      <c r="C1022" s="192" t="s">
        <v>2262</v>
      </c>
      <c r="D1022" s="195">
        <v>45867.0</v>
      </c>
      <c r="E1022" s="192" t="s">
        <v>51</v>
      </c>
      <c r="F1022" s="196"/>
      <c r="G1022" s="196"/>
      <c r="H1022" s="197">
        <v>5.0</v>
      </c>
      <c r="I1022" s="197">
        <v>5.0</v>
      </c>
      <c r="J1022" s="197">
        <v>5.0</v>
      </c>
      <c r="K1022" s="197">
        <v>5.0</v>
      </c>
      <c r="L1022" s="197">
        <v>5.0</v>
      </c>
      <c r="M1022" s="197">
        <v>5.0</v>
      </c>
      <c r="N1022" s="197">
        <v>5.0</v>
      </c>
      <c r="O1022" s="197">
        <v>5.0</v>
      </c>
      <c r="P1022" s="197">
        <v>5.0</v>
      </c>
      <c r="Q1022" s="197">
        <v>5.0</v>
      </c>
      <c r="R1022" s="197">
        <v>5.0</v>
      </c>
      <c r="S1022" s="197">
        <v>5.0</v>
      </c>
      <c r="T1022" s="197">
        <v>5.0</v>
      </c>
      <c r="U1022" s="197">
        <v>4.8</v>
      </c>
      <c r="V1022" s="197">
        <v>5.0</v>
      </c>
      <c r="W1022" s="197">
        <v>4.95</v>
      </c>
      <c r="X1022" s="196"/>
      <c r="Y1022" s="196"/>
      <c r="Z1022" s="196"/>
      <c r="AA1022" s="196"/>
      <c r="AB1022" s="196"/>
      <c r="AC1022" s="197">
        <v>4.983333333333333</v>
      </c>
      <c r="AD1022" s="198"/>
    </row>
    <row r="1023">
      <c r="A1023" s="193">
        <v>105288.0</v>
      </c>
      <c r="B1023" s="194" t="s">
        <v>2263</v>
      </c>
      <c r="C1023" s="192" t="s">
        <v>2264</v>
      </c>
      <c r="D1023" s="195">
        <v>45867.0</v>
      </c>
      <c r="E1023" s="192" t="s">
        <v>646</v>
      </c>
      <c r="F1023" s="196"/>
      <c r="G1023" s="196"/>
      <c r="H1023" s="197">
        <v>5.0</v>
      </c>
      <c r="I1023" s="197">
        <v>5.0</v>
      </c>
      <c r="J1023" s="197">
        <v>5.0</v>
      </c>
      <c r="K1023" s="197">
        <v>5.0</v>
      </c>
      <c r="L1023" s="197">
        <v>5.0</v>
      </c>
      <c r="M1023" s="197">
        <v>5.0</v>
      </c>
      <c r="N1023" s="197">
        <v>5.0</v>
      </c>
      <c r="O1023" s="197">
        <v>5.0</v>
      </c>
      <c r="P1023" s="197">
        <v>5.0</v>
      </c>
      <c r="Q1023" s="197">
        <v>5.0</v>
      </c>
      <c r="R1023" s="197">
        <v>5.0</v>
      </c>
      <c r="S1023" s="197">
        <v>5.0</v>
      </c>
      <c r="T1023" s="197">
        <v>5.0</v>
      </c>
      <c r="U1023" s="197">
        <v>5.0</v>
      </c>
      <c r="V1023" s="197">
        <v>5.0</v>
      </c>
      <c r="W1023" s="197">
        <v>5.0</v>
      </c>
      <c r="X1023" s="196"/>
      <c r="Y1023" s="196"/>
      <c r="Z1023" s="196"/>
      <c r="AA1023" s="196"/>
      <c r="AB1023" s="196"/>
      <c r="AC1023" s="197">
        <v>5.0</v>
      </c>
      <c r="AD1023" s="198"/>
    </row>
    <row r="1024">
      <c r="A1024" s="193">
        <v>104951.0</v>
      </c>
      <c r="B1024" s="194" t="s">
        <v>2265</v>
      </c>
      <c r="C1024" s="192" t="s">
        <v>2266</v>
      </c>
      <c r="D1024" s="195">
        <v>45565.0</v>
      </c>
      <c r="E1024" s="192" t="s">
        <v>806</v>
      </c>
      <c r="F1024" s="196"/>
      <c r="G1024" s="196"/>
      <c r="H1024" s="197">
        <v>5.0</v>
      </c>
      <c r="I1024" s="197">
        <v>5.0</v>
      </c>
      <c r="J1024" s="197">
        <v>5.0</v>
      </c>
      <c r="K1024" s="197">
        <v>5.0</v>
      </c>
      <c r="L1024" s="197">
        <v>5.0</v>
      </c>
      <c r="M1024" s="197">
        <v>5.0</v>
      </c>
      <c r="N1024" s="197">
        <v>5.0</v>
      </c>
      <c r="O1024" s="197">
        <v>5.0</v>
      </c>
      <c r="P1024" s="197">
        <v>5.0</v>
      </c>
      <c r="Q1024" s="197">
        <v>5.0</v>
      </c>
      <c r="R1024" s="197">
        <v>5.0</v>
      </c>
      <c r="S1024" s="197">
        <v>5.0</v>
      </c>
      <c r="T1024" s="197">
        <v>5.0</v>
      </c>
      <c r="U1024" s="197">
        <v>4.0</v>
      </c>
      <c r="V1024" s="197">
        <v>5.0</v>
      </c>
      <c r="W1024" s="197">
        <v>4.75</v>
      </c>
      <c r="X1024" s="196"/>
      <c r="Y1024" s="196"/>
      <c r="Z1024" s="196"/>
      <c r="AA1024" s="196"/>
      <c r="AB1024" s="196"/>
      <c r="AC1024" s="197">
        <v>4.916666666666667</v>
      </c>
      <c r="AD1024" s="198"/>
    </row>
    <row r="1025">
      <c r="A1025" s="193">
        <v>105283.0</v>
      </c>
      <c r="B1025" s="194" t="s">
        <v>2267</v>
      </c>
      <c r="C1025" s="192" t="s">
        <v>2268</v>
      </c>
      <c r="D1025" s="195">
        <v>45867.0</v>
      </c>
      <c r="E1025" s="192" t="s">
        <v>806</v>
      </c>
      <c r="F1025" s="196"/>
      <c r="G1025" s="196"/>
      <c r="H1025" s="197">
        <v>5.0</v>
      </c>
      <c r="I1025" s="197">
        <v>5.0</v>
      </c>
      <c r="J1025" s="197">
        <v>5.0</v>
      </c>
      <c r="K1025" s="197">
        <v>5.0</v>
      </c>
      <c r="L1025" s="197">
        <v>5.0</v>
      </c>
      <c r="M1025" s="197">
        <v>5.0</v>
      </c>
      <c r="N1025" s="197">
        <v>5.0</v>
      </c>
      <c r="O1025" s="197">
        <v>5.0</v>
      </c>
      <c r="P1025" s="197">
        <v>5.0</v>
      </c>
      <c r="Q1025" s="197">
        <v>5.0</v>
      </c>
      <c r="R1025" s="197">
        <v>5.0</v>
      </c>
      <c r="S1025" s="197">
        <v>5.0</v>
      </c>
      <c r="T1025" s="197">
        <v>5.0</v>
      </c>
      <c r="U1025" s="197">
        <v>5.0</v>
      </c>
      <c r="V1025" s="197">
        <v>5.0</v>
      </c>
      <c r="W1025" s="197">
        <v>5.0</v>
      </c>
      <c r="X1025" s="196"/>
      <c r="Y1025" s="196"/>
      <c r="Z1025" s="196"/>
      <c r="AA1025" s="196"/>
      <c r="AB1025" s="196"/>
      <c r="AC1025" s="197">
        <v>5.0</v>
      </c>
      <c r="AD1025" s="198"/>
    </row>
    <row r="1026">
      <c r="A1026" s="193">
        <v>105299.0</v>
      </c>
      <c r="B1026" s="194" t="s">
        <v>2269</v>
      </c>
      <c r="C1026" s="192" t="s">
        <v>2270</v>
      </c>
      <c r="D1026" s="195">
        <v>45867.0</v>
      </c>
      <c r="E1026" s="192" t="s">
        <v>806</v>
      </c>
      <c r="F1026" s="196"/>
      <c r="G1026" s="196"/>
      <c r="H1026" s="197">
        <v>5.0</v>
      </c>
      <c r="I1026" s="197">
        <v>5.0</v>
      </c>
      <c r="J1026" s="197">
        <v>5.0</v>
      </c>
      <c r="K1026" s="197">
        <v>5.0</v>
      </c>
      <c r="L1026" s="197">
        <v>5.0</v>
      </c>
      <c r="M1026" s="197">
        <v>5.0</v>
      </c>
      <c r="N1026" s="197">
        <v>5.0</v>
      </c>
      <c r="O1026" s="197">
        <v>5.0</v>
      </c>
      <c r="P1026" s="197">
        <v>5.0</v>
      </c>
      <c r="Q1026" s="197">
        <v>5.0</v>
      </c>
      <c r="R1026" s="197">
        <v>5.0</v>
      </c>
      <c r="S1026" s="197">
        <v>5.0</v>
      </c>
      <c r="T1026" s="197">
        <v>5.0</v>
      </c>
      <c r="U1026" s="197">
        <v>4.5</v>
      </c>
      <c r="V1026" s="197">
        <v>5.0</v>
      </c>
      <c r="W1026" s="197">
        <v>4.875</v>
      </c>
      <c r="X1026" s="196"/>
      <c r="Y1026" s="196"/>
      <c r="Z1026" s="196"/>
      <c r="AA1026" s="196"/>
      <c r="AB1026" s="196"/>
      <c r="AC1026" s="197">
        <v>4.958333333333333</v>
      </c>
      <c r="AD1026" s="198"/>
    </row>
    <row r="1027">
      <c r="A1027" s="193">
        <v>104808.0</v>
      </c>
      <c r="B1027" s="194" t="s">
        <v>2271</v>
      </c>
      <c r="C1027" s="192" t="s">
        <v>2272</v>
      </c>
      <c r="D1027" s="195">
        <v>45867.0</v>
      </c>
      <c r="E1027" s="192" t="s">
        <v>1726</v>
      </c>
      <c r="F1027" s="196"/>
      <c r="G1027" s="196"/>
      <c r="H1027" s="197">
        <v>5.0</v>
      </c>
      <c r="I1027" s="197">
        <v>5.0</v>
      </c>
      <c r="J1027" s="197">
        <v>5.0</v>
      </c>
      <c r="K1027" s="197">
        <v>5.0</v>
      </c>
      <c r="L1027" s="197">
        <v>5.0</v>
      </c>
      <c r="M1027" s="197">
        <v>5.0</v>
      </c>
      <c r="N1027" s="197">
        <v>5.0</v>
      </c>
      <c r="O1027" s="197">
        <v>4.8</v>
      </c>
      <c r="P1027" s="197">
        <v>4.8</v>
      </c>
      <c r="Q1027" s="197">
        <v>4.8</v>
      </c>
      <c r="R1027" s="197">
        <v>4.8500000000000005</v>
      </c>
      <c r="S1027" s="197">
        <v>5.0</v>
      </c>
      <c r="T1027" s="197">
        <v>5.0</v>
      </c>
      <c r="U1027" s="197">
        <v>5.0</v>
      </c>
      <c r="V1027" s="197">
        <v>5.0</v>
      </c>
      <c r="W1027" s="197">
        <v>5.0</v>
      </c>
      <c r="X1027" s="196"/>
      <c r="Y1027" s="196"/>
      <c r="Z1027" s="196"/>
      <c r="AA1027" s="196"/>
      <c r="AB1027" s="196"/>
      <c r="AC1027" s="197">
        <v>4.95</v>
      </c>
      <c r="AD1027" s="198"/>
    </row>
    <row r="1028">
      <c r="A1028" s="193">
        <v>104845.0</v>
      </c>
      <c r="B1028" s="194" t="s">
        <v>2273</v>
      </c>
      <c r="C1028" s="192" t="s">
        <v>2274</v>
      </c>
      <c r="D1028" s="195">
        <v>45549.0</v>
      </c>
      <c r="E1028" s="192" t="s">
        <v>1726</v>
      </c>
      <c r="F1028" s="196"/>
      <c r="G1028" s="196"/>
      <c r="H1028" s="197">
        <v>5.0</v>
      </c>
      <c r="I1028" s="197">
        <v>5.0</v>
      </c>
      <c r="J1028" s="197">
        <v>5.0</v>
      </c>
      <c r="K1028" s="197">
        <v>5.0</v>
      </c>
      <c r="L1028" s="197">
        <v>5.0</v>
      </c>
      <c r="M1028" s="197">
        <v>5.0</v>
      </c>
      <c r="N1028" s="197">
        <v>4.9</v>
      </c>
      <c r="O1028" s="197">
        <v>4.9</v>
      </c>
      <c r="P1028" s="197">
        <v>4.9</v>
      </c>
      <c r="Q1028" s="197">
        <v>4.9</v>
      </c>
      <c r="R1028" s="197">
        <v>4.9</v>
      </c>
      <c r="S1028" s="197">
        <v>4.0</v>
      </c>
      <c r="T1028" s="197">
        <v>5.0</v>
      </c>
      <c r="U1028" s="197">
        <v>4.0</v>
      </c>
      <c r="V1028" s="197">
        <v>5.0</v>
      </c>
      <c r="W1028" s="197">
        <v>4.5</v>
      </c>
      <c r="X1028" s="196"/>
      <c r="Y1028" s="196"/>
      <c r="Z1028" s="196"/>
      <c r="AA1028" s="196"/>
      <c r="AB1028" s="196"/>
      <c r="AC1028" s="197">
        <v>4.8</v>
      </c>
      <c r="AD1028" s="198"/>
    </row>
    <row r="1029">
      <c r="A1029" s="193">
        <v>105559.0</v>
      </c>
      <c r="B1029" s="194" t="s">
        <v>2275</v>
      </c>
      <c r="C1029" s="192" t="s">
        <v>2276</v>
      </c>
      <c r="D1029" s="195">
        <v>45723.0</v>
      </c>
      <c r="E1029" s="192" t="s">
        <v>360</v>
      </c>
      <c r="F1029" s="196"/>
      <c r="G1029" s="196"/>
      <c r="H1029" s="197">
        <v>5.0</v>
      </c>
      <c r="I1029" s="197">
        <v>5.0</v>
      </c>
      <c r="J1029" s="197">
        <v>5.0</v>
      </c>
      <c r="K1029" s="197">
        <v>5.0</v>
      </c>
      <c r="L1029" s="197">
        <v>5.0</v>
      </c>
      <c r="M1029" s="197">
        <v>5.0</v>
      </c>
      <c r="N1029" s="197">
        <v>5.0</v>
      </c>
      <c r="O1029" s="197">
        <v>4.0</v>
      </c>
      <c r="P1029" s="197">
        <v>5.0</v>
      </c>
      <c r="Q1029" s="197">
        <v>5.0</v>
      </c>
      <c r="R1029" s="197">
        <v>4.666666666666667</v>
      </c>
      <c r="S1029" s="197">
        <v>5.0</v>
      </c>
      <c r="T1029" s="197">
        <v>5.0</v>
      </c>
      <c r="U1029" s="197">
        <v>5.0</v>
      </c>
      <c r="V1029" s="197">
        <v>5.0</v>
      </c>
      <c r="W1029" s="197">
        <v>5.0</v>
      </c>
      <c r="X1029" s="196"/>
      <c r="Y1029" s="196"/>
      <c r="Z1029" s="196"/>
      <c r="AA1029" s="196"/>
      <c r="AB1029" s="196"/>
      <c r="AC1029" s="197">
        <v>4.888888888888889</v>
      </c>
      <c r="AD1029" s="198"/>
    </row>
    <row r="1030">
      <c r="A1030" s="193">
        <v>105458.0</v>
      </c>
      <c r="B1030" s="194" t="s">
        <v>2277</v>
      </c>
      <c r="C1030" s="192" t="s">
        <v>2278</v>
      </c>
      <c r="D1030" s="195">
        <v>45737.0</v>
      </c>
      <c r="E1030" s="192" t="s">
        <v>625</v>
      </c>
      <c r="F1030" s="196"/>
      <c r="G1030" s="196"/>
      <c r="H1030" s="197">
        <v>5.0</v>
      </c>
      <c r="I1030" s="197">
        <v>5.0</v>
      </c>
      <c r="J1030" s="197">
        <v>5.0</v>
      </c>
      <c r="K1030" s="197">
        <v>5.0</v>
      </c>
      <c r="L1030" s="197">
        <v>5.0</v>
      </c>
      <c r="M1030" s="197">
        <v>5.0</v>
      </c>
      <c r="N1030" s="197">
        <v>5.0</v>
      </c>
      <c r="O1030" s="197">
        <v>3.0</v>
      </c>
      <c r="P1030" s="197">
        <v>5.0</v>
      </c>
      <c r="Q1030" s="197">
        <v>5.0</v>
      </c>
      <c r="R1030" s="197">
        <v>4.333333333333333</v>
      </c>
      <c r="S1030" s="197">
        <v>5.0</v>
      </c>
      <c r="T1030" s="197">
        <v>5.0</v>
      </c>
      <c r="U1030" s="197">
        <v>4.0</v>
      </c>
      <c r="V1030" s="197">
        <v>5.0</v>
      </c>
      <c r="W1030" s="197">
        <v>4.75</v>
      </c>
      <c r="X1030" s="196"/>
      <c r="Y1030" s="196"/>
      <c r="Z1030" s="196"/>
      <c r="AA1030" s="196"/>
      <c r="AB1030" s="196"/>
      <c r="AC1030" s="197">
        <v>4.694444444444444</v>
      </c>
      <c r="AD1030" s="198"/>
    </row>
    <row r="1031">
      <c r="A1031" s="193">
        <v>104968.0</v>
      </c>
      <c r="B1031" s="194" t="s">
        <v>2279</v>
      </c>
      <c r="C1031" s="192" t="s">
        <v>2280</v>
      </c>
      <c r="D1031" s="195">
        <v>45867.0</v>
      </c>
      <c r="E1031" s="192" t="s">
        <v>1695</v>
      </c>
      <c r="F1031" s="196"/>
      <c r="G1031" s="196"/>
      <c r="H1031" s="197">
        <v>5.0</v>
      </c>
      <c r="I1031" s="197">
        <v>5.0</v>
      </c>
      <c r="J1031" s="197">
        <v>5.0</v>
      </c>
      <c r="K1031" s="197">
        <v>5.0</v>
      </c>
      <c r="L1031" s="197">
        <v>5.0</v>
      </c>
      <c r="M1031" s="197">
        <v>5.0</v>
      </c>
      <c r="N1031" s="197">
        <v>4.8</v>
      </c>
      <c r="O1031" s="197">
        <v>4.8</v>
      </c>
      <c r="P1031" s="197">
        <v>4.8</v>
      </c>
      <c r="Q1031" s="197">
        <v>4.8</v>
      </c>
      <c r="R1031" s="197">
        <v>4.8</v>
      </c>
      <c r="S1031" s="197">
        <v>5.0</v>
      </c>
      <c r="T1031" s="197">
        <v>4.0</v>
      </c>
      <c r="U1031" s="197">
        <v>4.8</v>
      </c>
      <c r="V1031" s="197">
        <v>4.0</v>
      </c>
      <c r="W1031" s="197">
        <v>4.45</v>
      </c>
      <c r="X1031" s="196"/>
      <c r="Y1031" s="196"/>
      <c r="Z1031" s="196"/>
      <c r="AA1031" s="196"/>
      <c r="AB1031" s="196"/>
      <c r="AC1031" s="197">
        <v>4.75</v>
      </c>
      <c r="AD1031" s="198"/>
    </row>
    <row r="1032">
      <c r="A1032" s="193">
        <v>105358.0</v>
      </c>
      <c r="B1032" s="194" t="s">
        <v>2281</v>
      </c>
      <c r="C1032" s="192" t="s">
        <v>2282</v>
      </c>
      <c r="D1032" s="195">
        <v>45721.0</v>
      </c>
      <c r="E1032" s="192" t="s">
        <v>51</v>
      </c>
      <c r="F1032" s="196"/>
      <c r="G1032" s="196"/>
      <c r="H1032" s="197">
        <v>5.0</v>
      </c>
      <c r="I1032" s="197">
        <v>5.0</v>
      </c>
      <c r="J1032" s="197">
        <v>5.0</v>
      </c>
      <c r="K1032" s="197">
        <v>5.0</v>
      </c>
      <c r="L1032" s="197">
        <v>5.0</v>
      </c>
      <c r="M1032" s="197">
        <v>5.0</v>
      </c>
      <c r="N1032" s="197">
        <v>4.0</v>
      </c>
      <c r="O1032" s="197">
        <v>5.0</v>
      </c>
      <c r="P1032" s="197">
        <v>3.0</v>
      </c>
      <c r="Q1032" s="197">
        <v>4.0</v>
      </c>
      <c r="R1032" s="197">
        <v>4.0</v>
      </c>
      <c r="S1032" s="197">
        <v>4.0</v>
      </c>
      <c r="T1032" s="197">
        <v>5.0</v>
      </c>
      <c r="U1032" s="197">
        <v>4.0</v>
      </c>
      <c r="V1032" s="197">
        <v>4.0</v>
      </c>
      <c r="W1032" s="197">
        <v>4.25</v>
      </c>
      <c r="X1032" s="196"/>
      <c r="Y1032" s="196"/>
      <c r="Z1032" s="196"/>
      <c r="AA1032" s="196"/>
      <c r="AB1032" s="196"/>
      <c r="AC1032" s="197">
        <v>4.416666666666667</v>
      </c>
      <c r="AD1032" s="198"/>
    </row>
    <row r="1033">
      <c r="A1033" s="193">
        <v>105048.0</v>
      </c>
      <c r="B1033" s="194" t="s">
        <v>2283</v>
      </c>
      <c r="C1033" s="192" t="s">
        <v>2284</v>
      </c>
      <c r="D1033" s="195">
        <v>45867.0</v>
      </c>
      <c r="E1033" s="192" t="s">
        <v>646</v>
      </c>
      <c r="F1033" s="196"/>
      <c r="G1033" s="196"/>
      <c r="H1033" s="197">
        <v>5.0</v>
      </c>
      <c r="I1033" s="197">
        <v>5.0</v>
      </c>
      <c r="J1033" s="197">
        <v>5.0</v>
      </c>
      <c r="K1033" s="197">
        <v>5.0</v>
      </c>
      <c r="L1033" s="197">
        <v>5.0</v>
      </c>
      <c r="M1033" s="197">
        <v>5.0</v>
      </c>
      <c r="N1033" s="197">
        <v>5.0</v>
      </c>
      <c r="O1033" s="197">
        <v>5.0</v>
      </c>
      <c r="P1033" s="197">
        <v>5.0</v>
      </c>
      <c r="Q1033" s="197">
        <v>5.0</v>
      </c>
      <c r="R1033" s="197">
        <v>5.0</v>
      </c>
      <c r="S1033" s="197">
        <v>5.0</v>
      </c>
      <c r="T1033" s="197">
        <v>5.0</v>
      </c>
      <c r="U1033" s="197">
        <v>4.9</v>
      </c>
      <c r="V1033" s="197">
        <v>5.0</v>
      </c>
      <c r="W1033" s="197">
        <v>4.975</v>
      </c>
      <c r="X1033" s="196"/>
      <c r="Y1033" s="196"/>
      <c r="Z1033" s="196"/>
      <c r="AA1033" s="196"/>
      <c r="AB1033" s="196"/>
      <c r="AC1033" s="197">
        <v>4.991666666666666</v>
      </c>
      <c r="AD1033" s="198"/>
    </row>
    <row r="1034">
      <c r="A1034" s="193">
        <v>104954.0</v>
      </c>
      <c r="B1034" s="194" t="s">
        <v>2286</v>
      </c>
      <c r="C1034" s="192" t="s">
        <v>2287</v>
      </c>
      <c r="D1034" s="195">
        <v>45867.0</v>
      </c>
      <c r="E1034" s="192" t="s">
        <v>646</v>
      </c>
      <c r="F1034" s="196"/>
      <c r="G1034" s="196"/>
      <c r="H1034" s="197">
        <v>5.0</v>
      </c>
      <c r="I1034" s="197">
        <v>5.0</v>
      </c>
      <c r="J1034" s="197">
        <v>5.0</v>
      </c>
      <c r="K1034" s="197">
        <v>5.0</v>
      </c>
      <c r="L1034" s="197">
        <v>5.0</v>
      </c>
      <c r="M1034" s="197">
        <v>5.0</v>
      </c>
      <c r="N1034" s="197">
        <v>5.0</v>
      </c>
      <c r="O1034" s="197">
        <v>5.0</v>
      </c>
      <c r="P1034" s="197">
        <v>5.0</v>
      </c>
      <c r="Q1034" s="197">
        <v>5.0</v>
      </c>
      <c r="R1034" s="197">
        <v>5.0</v>
      </c>
      <c r="S1034" s="197">
        <v>5.0</v>
      </c>
      <c r="T1034" s="197">
        <v>5.0</v>
      </c>
      <c r="U1034" s="197">
        <v>5.0</v>
      </c>
      <c r="V1034" s="197">
        <v>5.0</v>
      </c>
      <c r="W1034" s="197">
        <v>5.0</v>
      </c>
      <c r="X1034" s="196"/>
      <c r="Y1034" s="196"/>
      <c r="Z1034" s="196"/>
      <c r="AA1034" s="196"/>
      <c r="AB1034" s="196"/>
      <c r="AC1034" s="197">
        <v>5.0</v>
      </c>
      <c r="AD1034" s="198"/>
    </row>
    <row r="1035">
      <c r="A1035" s="193">
        <v>104952.0</v>
      </c>
      <c r="B1035" s="194" t="s">
        <v>2288</v>
      </c>
      <c r="C1035" s="192" t="s">
        <v>2289</v>
      </c>
      <c r="D1035" s="195">
        <v>45867.0</v>
      </c>
      <c r="E1035" s="192" t="s">
        <v>646</v>
      </c>
      <c r="F1035" s="196"/>
      <c r="G1035" s="196"/>
      <c r="H1035" s="197">
        <v>5.0</v>
      </c>
      <c r="I1035" s="197">
        <v>5.0</v>
      </c>
      <c r="J1035" s="197">
        <v>5.0</v>
      </c>
      <c r="K1035" s="197">
        <v>5.0</v>
      </c>
      <c r="L1035" s="197">
        <v>5.0</v>
      </c>
      <c r="M1035" s="197">
        <v>5.0</v>
      </c>
      <c r="N1035" s="197">
        <v>4.4</v>
      </c>
      <c r="O1035" s="197">
        <v>4.4</v>
      </c>
      <c r="P1035" s="197">
        <v>4.4</v>
      </c>
      <c r="Q1035" s="197">
        <v>4.4</v>
      </c>
      <c r="R1035" s="197">
        <v>4.4</v>
      </c>
      <c r="S1035" s="197">
        <v>4.9</v>
      </c>
      <c r="T1035" s="197">
        <v>4.9</v>
      </c>
      <c r="U1035" s="197">
        <v>4.5</v>
      </c>
      <c r="V1035" s="197">
        <v>4.9</v>
      </c>
      <c r="W1035" s="197">
        <v>4.800000000000001</v>
      </c>
      <c r="X1035" s="196"/>
      <c r="Y1035" s="196"/>
      <c r="Z1035" s="196"/>
      <c r="AA1035" s="196"/>
      <c r="AB1035" s="196"/>
      <c r="AC1035" s="197">
        <v>4.733333333333333</v>
      </c>
      <c r="AD1035" s="198"/>
    </row>
    <row r="1036">
      <c r="A1036" s="193">
        <v>105603.0</v>
      </c>
      <c r="B1036" s="194" t="s">
        <v>2290</v>
      </c>
      <c r="C1036" s="192" t="s">
        <v>2291</v>
      </c>
      <c r="D1036" s="195">
        <v>45748.0</v>
      </c>
      <c r="E1036" s="192" t="s">
        <v>1343</v>
      </c>
      <c r="F1036" s="196"/>
      <c r="G1036" s="196"/>
      <c r="H1036" s="197">
        <v>5.0</v>
      </c>
      <c r="I1036" s="197">
        <v>5.0</v>
      </c>
      <c r="J1036" s="197">
        <v>5.0</v>
      </c>
      <c r="K1036" s="197">
        <v>5.0</v>
      </c>
      <c r="L1036" s="197">
        <v>5.0</v>
      </c>
      <c r="M1036" s="197">
        <v>5.0</v>
      </c>
      <c r="N1036" s="197">
        <v>5.0</v>
      </c>
      <c r="O1036" s="197">
        <v>5.0</v>
      </c>
      <c r="P1036" s="197">
        <v>5.0</v>
      </c>
      <c r="Q1036" s="197">
        <v>5.0</v>
      </c>
      <c r="R1036" s="197">
        <v>5.0</v>
      </c>
      <c r="S1036" s="197">
        <v>5.0</v>
      </c>
      <c r="T1036" s="197">
        <v>5.0</v>
      </c>
      <c r="U1036" s="197">
        <v>5.0</v>
      </c>
      <c r="V1036" s="197"/>
      <c r="W1036" s="197">
        <v>5.0</v>
      </c>
      <c r="X1036" s="196"/>
      <c r="Y1036" s="196"/>
      <c r="Z1036" s="196"/>
      <c r="AA1036" s="196"/>
      <c r="AB1036" s="196"/>
      <c r="AC1036" s="197">
        <v>5.0</v>
      </c>
      <c r="AD1036" s="198"/>
    </row>
    <row r="1037">
      <c r="A1037" s="193">
        <v>105433.0</v>
      </c>
      <c r="B1037" s="194" t="s">
        <v>2292</v>
      </c>
      <c r="C1037" s="192" t="s">
        <v>2293</v>
      </c>
      <c r="D1037" s="195">
        <v>45867.0</v>
      </c>
      <c r="E1037" s="192" t="s">
        <v>646</v>
      </c>
      <c r="F1037" s="196"/>
      <c r="G1037" s="196"/>
      <c r="H1037" s="197">
        <v>5.0</v>
      </c>
      <c r="I1037" s="197">
        <v>5.0</v>
      </c>
      <c r="J1037" s="197">
        <v>5.0</v>
      </c>
      <c r="K1037" s="197">
        <v>5.0</v>
      </c>
      <c r="L1037" s="197">
        <v>5.0</v>
      </c>
      <c r="M1037" s="197">
        <v>5.0</v>
      </c>
      <c r="N1037" s="197">
        <v>4.5</v>
      </c>
      <c r="O1037" s="197">
        <v>4.5</v>
      </c>
      <c r="P1037" s="197">
        <v>4.5</v>
      </c>
      <c r="Q1037" s="197">
        <v>4.5</v>
      </c>
      <c r="R1037" s="197">
        <v>4.5</v>
      </c>
      <c r="S1037" s="197">
        <v>4.5</v>
      </c>
      <c r="T1037" s="197">
        <v>4.5</v>
      </c>
      <c r="U1037" s="197">
        <v>4.5</v>
      </c>
      <c r="V1037" s="197">
        <v>4.5</v>
      </c>
      <c r="W1037" s="197">
        <v>4.5</v>
      </c>
      <c r="X1037" s="196"/>
      <c r="Y1037" s="196"/>
      <c r="Z1037" s="196"/>
      <c r="AA1037" s="196"/>
      <c r="AB1037" s="196"/>
      <c r="AC1037" s="197">
        <v>4.666666666666667</v>
      </c>
      <c r="AD1037" s="198"/>
    </row>
    <row r="1038">
      <c r="A1038" s="193">
        <v>104789.0</v>
      </c>
      <c r="B1038" s="194" t="s">
        <v>2294</v>
      </c>
      <c r="C1038" s="192" t="s">
        <v>2295</v>
      </c>
      <c r="D1038" s="195">
        <v>45867.0</v>
      </c>
      <c r="E1038" s="192" t="s">
        <v>625</v>
      </c>
      <c r="F1038" s="196"/>
      <c r="G1038" s="196"/>
      <c r="H1038" s="197">
        <v>5.0</v>
      </c>
      <c r="I1038" s="197">
        <v>5.0</v>
      </c>
      <c r="J1038" s="197">
        <v>5.0</v>
      </c>
      <c r="K1038" s="197">
        <v>5.0</v>
      </c>
      <c r="L1038" s="197">
        <v>5.0</v>
      </c>
      <c r="M1038" s="197">
        <v>5.0</v>
      </c>
      <c r="N1038" s="197">
        <v>5.0</v>
      </c>
      <c r="O1038" s="197">
        <v>5.0</v>
      </c>
      <c r="P1038" s="197">
        <v>5.0</v>
      </c>
      <c r="Q1038" s="197">
        <v>5.0</v>
      </c>
      <c r="R1038" s="197">
        <v>5.0</v>
      </c>
      <c r="S1038" s="197">
        <v>4.8</v>
      </c>
      <c r="T1038" s="197">
        <v>4.8</v>
      </c>
      <c r="U1038" s="197">
        <v>4.8</v>
      </c>
      <c r="V1038" s="197">
        <v>4.8</v>
      </c>
      <c r="W1038" s="197">
        <v>4.8</v>
      </c>
      <c r="X1038" s="196"/>
      <c r="Y1038" s="196"/>
      <c r="Z1038" s="196"/>
      <c r="AA1038" s="196"/>
      <c r="AB1038" s="196"/>
      <c r="AC1038" s="197">
        <v>4.933333333333334</v>
      </c>
      <c r="AD1038" s="198"/>
    </row>
    <row r="1039">
      <c r="A1039" s="193">
        <v>105046.0</v>
      </c>
      <c r="B1039" s="194" t="s">
        <v>2296</v>
      </c>
      <c r="C1039" s="192" t="s">
        <v>2297</v>
      </c>
      <c r="D1039" s="195">
        <v>45586.0</v>
      </c>
      <c r="E1039" s="192" t="s">
        <v>1140</v>
      </c>
      <c r="F1039" s="196"/>
      <c r="G1039" s="196"/>
      <c r="H1039" s="197">
        <v>5.0</v>
      </c>
      <c r="I1039" s="197">
        <v>5.0</v>
      </c>
      <c r="J1039" s="197">
        <v>5.0</v>
      </c>
      <c r="K1039" s="197">
        <v>5.0</v>
      </c>
      <c r="L1039" s="197">
        <v>5.0</v>
      </c>
      <c r="M1039" s="197">
        <v>5.0</v>
      </c>
      <c r="N1039" s="197">
        <v>4.9</v>
      </c>
      <c r="O1039" s="197">
        <v>4.9</v>
      </c>
      <c r="P1039" s="197">
        <v>4.9</v>
      </c>
      <c r="Q1039" s="197">
        <v>4.9</v>
      </c>
      <c r="R1039" s="197">
        <v>4.9</v>
      </c>
      <c r="S1039" s="197">
        <v>5.0</v>
      </c>
      <c r="T1039" s="197">
        <v>5.0</v>
      </c>
      <c r="U1039" s="197">
        <v>5.0</v>
      </c>
      <c r="V1039" s="197">
        <v>5.0</v>
      </c>
      <c r="W1039" s="197">
        <v>5.0</v>
      </c>
      <c r="X1039" s="196"/>
      <c r="Y1039" s="196"/>
      <c r="Z1039" s="196"/>
      <c r="AA1039" s="196"/>
      <c r="AB1039" s="196"/>
      <c r="AC1039" s="197">
        <v>4.966666666666667</v>
      </c>
      <c r="AD1039" s="198"/>
    </row>
    <row r="1040">
      <c r="A1040" s="193">
        <v>105719.0</v>
      </c>
      <c r="B1040" s="194" t="s">
        <v>2298</v>
      </c>
      <c r="C1040" s="192" t="s">
        <v>2299</v>
      </c>
      <c r="D1040" s="195">
        <v>45867.0</v>
      </c>
      <c r="E1040" s="192" t="s">
        <v>1140</v>
      </c>
      <c r="F1040" s="196"/>
      <c r="G1040" s="196"/>
      <c r="H1040" s="197">
        <v>5.0</v>
      </c>
      <c r="I1040" s="197">
        <v>5.0</v>
      </c>
      <c r="J1040" s="197">
        <v>5.0</v>
      </c>
      <c r="K1040" s="197">
        <v>5.0</v>
      </c>
      <c r="L1040" s="197">
        <v>5.0</v>
      </c>
      <c r="M1040" s="197">
        <v>5.0</v>
      </c>
      <c r="N1040" s="197">
        <v>4.7</v>
      </c>
      <c r="O1040" s="197">
        <v>4.7</v>
      </c>
      <c r="P1040" s="197">
        <v>4.7</v>
      </c>
      <c r="Q1040" s="197">
        <v>4.7</v>
      </c>
      <c r="R1040" s="197">
        <v>4.7</v>
      </c>
      <c r="S1040" s="197">
        <v>5.0</v>
      </c>
      <c r="T1040" s="197">
        <v>5.0</v>
      </c>
      <c r="U1040" s="197">
        <v>5.0</v>
      </c>
      <c r="V1040" s="197">
        <v>5.0</v>
      </c>
      <c r="W1040" s="197">
        <v>5.0</v>
      </c>
      <c r="X1040" s="196"/>
      <c r="Y1040" s="196"/>
      <c r="Z1040" s="196"/>
      <c r="AA1040" s="196"/>
      <c r="AB1040" s="196"/>
      <c r="AC1040" s="197">
        <v>4.8999999999999995</v>
      </c>
      <c r="AD1040" s="198"/>
    </row>
    <row r="1041">
      <c r="A1041" s="193">
        <v>105571.0</v>
      </c>
      <c r="B1041" s="194" t="s">
        <v>2300</v>
      </c>
      <c r="C1041" s="192" t="s">
        <v>2301</v>
      </c>
      <c r="D1041" s="195">
        <v>45720.0</v>
      </c>
      <c r="E1041" s="192" t="s">
        <v>2148</v>
      </c>
      <c r="F1041" s="196"/>
      <c r="G1041" s="196"/>
      <c r="H1041" s="197">
        <v>5.0</v>
      </c>
      <c r="I1041" s="197">
        <v>5.0</v>
      </c>
      <c r="J1041" s="197">
        <v>5.0</v>
      </c>
      <c r="K1041" s="197">
        <v>5.0</v>
      </c>
      <c r="L1041" s="197">
        <v>5.0</v>
      </c>
      <c r="M1041" s="197">
        <v>5.0</v>
      </c>
      <c r="N1041" s="197">
        <v>4.0</v>
      </c>
      <c r="O1041" s="197">
        <v>4.0</v>
      </c>
      <c r="P1041" s="197">
        <v>4.0</v>
      </c>
      <c r="Q1041" s="197">
        <v>4.0</v>
      </c>
      <c r="R1041" s="197">
        <v>4.0</v>
      </c>
      <c r="S1041" s="197">
        <v>4.0</v>
      </c>
      <c r="T1041" s="197">
        <v>5.0</v>
      </c>
      <c r="U1041" s="197">
        <v>4.0</v>
      </c>
      <c r="V1041" s="197">
        <v>4.0</v>
      </c>
      <c r="W1041" s="197">
        <v>4.25</v>
      </c>
      <c r="X1041" s="196"/>
      <c r="Y1041" s="196"/>
      <c r="Z1041" s="196"/>
      <c r="AA1041" s="196"/>
      <c r="AB1041" s="196"/>
      <c r="AC1041" s="197">
        <v>4.416666666666667</v>
      </c>
      <c r="AD1041" s="198"/>
    </row>
    <row r="1042">
      <c r="A1042" s="193">
        <v>105144.0</v>
      </c>
      <c r="B1042" s="194" t="s">
        <v>2303</v>
      </c>
      <c r="C1042" s="192" t="s">
        <v>2304</v>
      </c>
      <c r="D1042" s="195">
        <v>45867.0</v>
      </c>
      <c r="E1042" s="192" t="s">
        <v>1726</v>
      </c>
      <c r="F1042" s="196"/>
      <c r="G1042" s="196"/>
      <c r="H1042" s="197">
        <v>5.0</v>
      </c>
      <c r="I1042" s="197">
        <v>5.0</v>
      </c>
      <c r="J1042" s="197">
        <v>5.0</v>
      </c>
      <c r="K1042" s="197">
        <v>5.0</v>
      </c>
      <c r="L1042" s="197">
        <v>5.0</v>
      </c>
      <c r="M1042" s="197">
        <v>5.0</v>
      </c>
      <c r="N1042" s="197">
        <v>4.8</v>
      </c>
      <c r="O1042" s="197">
        <v>4.8</v>
      </c>
      <c r="P1042" s="197">
        <v>4.8</v>
      </c>
      <c r="Q1042" s="197">
        <v>4.8</v>
      </c>
      <c r="R1042" s="197">
        <v>4.8</v>
      </c>
      <c r="S1042" s="197">
        <v>4.5</v>
      </c>
      <c r="T1042" s="197">
        <v>4.5</v>
      </c>
      <c r="U1042" s="197">
        <v>4.5</v>
      </c>
      <c r="V1042" s="197">
        <v>4.5</v>
      </c>
      <c r="W1042" s="197">
        <v>4.5</v>
      </c>
      <c r="X1042" s="196"/>
      <c r="Y1042" s="196"/>
      <c r="Z1042" s="196"/>
      <c r="AA1042" s="196"/>
      <c r="AB1042" s="196"/>
      <c r="AC1042" s="197">
        <v>4.766666666666667</v>
      </c>
      <c r="AD1042" s="198"/>
    </row>
    <row r="1043">
      <c r="A1043" s="193">
        <v>105403.0</v>
      </c>
      <c r="B1043" s="194" t="s">
        <v>2306</v>
      </c>
      <c r="C1043" s="192" t="s">
        <v>2307</v>
      </c>
      <c r="D1043" s="195">
        <v>45867.0</v>
      </c>
      <c r="E1043" s="192" t="s">
        <v>2148</v>
      </c>
      <c r="F1043" s="196"/>
      <c r="G1043" s="196"/>
      <c r="H1043" s="197">
        <v>5.0</v>
      </c>
      <c r="I1043" s="197">
        <v>5.0</v>
      </c>
      <c r="J1043" s="197">
        <v>5.0</v>
      </c>
      <c r="K1043" s="197">
        <v>5.0</v>
      </c>
      <c r="L1043" s="197">
        <v>5.0</v>
      </c>
      <c r="M1043" s="197">
        <v>5.0</v>
      </c>
      <c r="N1043" s="197">
        <v>5.0</v>
      </c>
      <c r="O1043" s="197">
        <v>4.8</v>
      </c>
      <c r="P1043" s="197">
        <v>4.5</v>
      </c>
      <c r="Q1043" s="197">
        <v>4.8</v>
      </c>
      <c r="R1043" s="197">
        <v>4.775</v>
      </c>
      <c r="S1043" s="197">
        <v>5.0</v>
      </c>
      <c r="T1043" s="197">
        <v>4.9</v>
      </c>
      <c r="U1043" s="197">
        <v>4.5</v>
      </c>
      <c r="V1043" s="197">
        <v>4.9</v>
      </c>
      <c r="W1043" s="197">
        <v>4.825</v>
      </c>
      <c r="X1043" s="196"/>
      <c r="Y1043" s="196"/>
      <c r="Z1043" s="196"/>
      <c r="AA1043" s="196"/>
      <c r="AB1043" s="196"/>
      <c r="AC1043" s="197">
        <v>4.866666666666667</v>
      </c>
      <c r="AD1043" s="198"/>
    </row>
    <row r="1044">
      <c r="A1044" s="193">
        <v>105475.0</v>
      </c>
      <c r="B1044" s="194" t="s">
        <v>2308</v>
      </c>
      <c r="C1044" s="192" t="s">
        <v>2309</v>
      </c>
      <c r="D1044" s="195">
        <v>45713.0</v>
      </c>
      <c r="E1044" s="192" t="s">
        <v>2154</v>
      </c>
      <c r="F1044" s="196"/>
      <c r="G1044" s="196"/>
      <c r="H1044" s="197">
        <v>5.0</v>
      </c>
      <c r="I1044" s="197">
        <v>5.0</v>
      </c>
      <c r="J1044" s="197">
        <v>5.0</v>
      </c>
      <c r="K1044" s="197">
        <v>5.0</v>
      </c>
      <c r="L1044" s="197">
        <v>5.0</v>
      </c>
      <c r="M1044" s="197">
        <v>5.0</v>
      </c>
      <c r="N1044" s="197">
        <v>4.9</v>
      </c>
      <c r="O1044" s="197">
        <v>4.9</v>
      </c>
      <c r="P1044" s="197">
        <v>4.9</v>
      </c>
      <c r="Q1044" s="197">
        <v>4.5</v>
      </c>
      <c r="R1044" s="197">
        <v>4.9</v>
      </c>
      <c r="S1044" s="197">
        <v>5.0</v>
      </c>
      <c r="T1044" s="197">
        <v>5.0</v>
      </c>
      <c r="U1044" s="197">
        <v>5.0</v>
      </c>
      <c r="V1044" s="197">
        <v>5.0</v>
      </c>
      <c r="W1044" s="197">
        <v>5.0</v>
      </c>
      <c r="X1044" s="196"/>
      <c r="Y1044" s="196"/>
      <c r="Z1044" s="196"/>
      <c r="AA1044" s="196"/>
      <c r="AB1044" s="196"/>
      <c r="AC1044" s="197">
        <v>4.966666666666667</v>
      </c>
      <c r="AD1044" s="198"/>
    </row>
    <row r="1045">
      <c r="A1045" s="193">
        <v>105370.0</v>
      </c>
      <c r="B1045" s="194" t="s">
        <v>2312</v>
      </c>
      <c r="C1045" s="192" t="s">
        <v>2313</v>
      </c>
      <c r="D1045" s="195">
        <v>45867.0</v>
      </c>
      <c r="E1045" s="192" t="s">
        <v>2148</v>
      </c>
      <c r="F1045" s="196"/>
      <c r="G1045" s="196"/>
      <c r="H1045" s="197">
        <v>5.0</v>
      </c>
      <c r="I1045" s="197">
        <v>5.0</v>
      </c>
      <c r="J1045" s="197">
        <v>5.0</v>
      </c>
      <c r="K1045" s="197">
        <v>5.0</v>
      </c>
      <c r="L1045" s="197">
        <v>5.0</v>
      </c>
      <c r="M1045" s="197">
        <v>5.0</v>
      </c>
      <c r="N1045" s="197">
        <v>5.0</v>
      </c>
      <c r="O1045" s="197">
        <v>4.8</v>
      </c>
      <c r="P1045" s="197">
        <v>5.0</v>
      </c>
      <c r="Q1045" s="197">
        <v>4.8</v>
      </c>
      <c r="R1045" s="197">
        <v>4.9</v>
      </c>
      <c r="S1045" s="197">
        <v>5.0</v>
      </c>
      <c r="T1045" s="197">
        <v>5.0</v>
      </c>
      <c r="U1045" s="197">
        <v>5.0</v>
      </c>
      <c r="V1045" s="197">
        <v>5.0</v>
      </c>
      <c r="W1045" s="197">
        <v>5.0</v>
      </c>
      <c r="X1045" s="196"/>
      <c r="Y1045" s="196"/>
      <c r="Z1045" s="196"/>
      <c r="AA1045" s="196"/>
      <c r="AB1045" s="196"/>
      <c r="AC1045" s="197">
        <v>4.966666666666667</v>
      </c>
      <c r="AD1045" s="198"/>
    </row>
    <row r="1046">
      <c r="A1046" s="193">
        <v>105298.0</v>
      </c>
      <c r="B1046" s="194" t="s">
        <v>2317</v>
      </c>
      <c r="C1046" s="192" t="s">
        <v>2318</v>
      </c>
      <c r="D1046" s="195">
        <v>45867.0</v>
      </c>
      <c r="E1046" s="192" t="s">
        <v>1695</v>
      </c>
      <c r="F1046" s="196"/>
      <c r="G1046" s="196"/>
      <c r="H1046" s="197">
        <v>5.0</v>
      </c>
      <c r="I1046" s="197">
        <v>5.0</v>
      </c>
      <c r="J1046" s="197">
        <v>5.0</v>
      </c>
      <c r="K1046" s="197">
        <v>5.0</v>
      </c>
      <c r="L1046" s="197">
        <v>5.0</v>
      </c>
      <c r="M1046" s="197">
        <v>5.0</v>
      </c>
      <c r="N1046" s="197">
        <v>5.0</v>
      </c>
      <c r="O1046" s="197">
        <v>4.8</v>
      </c>
      <c r="P1046" s="197">
        <v>4.8</v>
      </c>
      <c r="Q1046" s="197">
        <v>5.0</v>
      </c>
      <c r="R1046" s="197">
        <v>4.9</v>
      </c>
      <c r="S1046" s="197">
        <v>5.0</v>
      </c>
      <c r="T1046" s="197">
        <v>4.8</v>
      </c>
      <c r="U1046" s="197">
        <v>4.8</v>
      </c>
      <c r="V1046" s="197">
        <v>5.0</v>
      </c>
      <c r="W1046" s="197">
        <v>4.9</v>
      </c>
      <c r="X1046" s="196"/>
      <c r="Y1046" s="196"/>
      <c r="Z1046" s="196"/>
      <c r="AA1046" s="196"/>
      <c r="AB1046" s="196"/>
      <c r="AC1046" s="197">
        <v>4.933333333333334</v>
      </c>
      <c r="AD1046" s="198"/>
    </row>
    <row r="1047">
      <c r="A1047" s="194" t="s">
        <v>2323</v>
      </c>
      <c r="B1047" s="194" t="s">
        <v>2324</v>
      </c>
      <c r="C1047" s="192" t="e">
        <v>#N/A</v>
      </c>
      <c r="D1047" s="195">
        <v>45702.0</v>
      </c>
      <c r="E1047" s="192" t="s">
        <v>1323</v>
      </c>
      <c r="F1047" s="196"/>
      <c r="G1047" s="196"/>
      <c r="H1047" s="197">
        <v>5.0</v>
      </c>
      <c r="I1047" s="197">
        <v>5.0</v>
      </c>
      <c r="J1047" s="197">
        <v>5.0</v>
      </c>
      <c r="K1047" s="197">
        <v>5.0</v>
      </c>
      <c r="L1047" s="197">
        <v>5.0</v>
      </c>
      <c r="M1047" s="197">
        <v>5.0</v>
      </c>
      <c r="N1047" s="197">
        <v>4.0</v>
      </c>
      <c r="O1047" s="197">
        <v>4.0</v>
      </c>
      <c r="P1047" s="197">
        <v>4.0</v>
      </c>
      <c r="Q1047" s="197">
        <v>4.0</v>
      </c>
      <c r="R1047" s="197">
        <v>4.0</v>
      </c>
      <c r="S1047" s="197">
        <v>4.0</v>
      </c>
      <c r="T1047" s="197">
        <v>4.0</v>
      </c>
      <c r="U1047" s="197">
        <v>4.0</v>
      </c>
      <c r="V1047" s="197">
        <v>4.0</v>
      </c>
      <c r="W1047" s="197">
        <v>4.0</v>
      </c>
      <c r="X1047" s="196"/>
      <c r="Y1047" s="196"/>
      <c r="Z1047" s="196"/>
      <c r="AA1047" s="196"/>
      <c r="AB1047" s="196"/>
      <c r="AC1047" s="197">
        <v>4.333333333333333</v>
      </c>
      <c r="AD1047" s="198"/>
    </row>
    <row r="1048">
      <c r="A1048" s="193">
        <v>104855.0</v>
      </c>
      <c r="B1048" s="194" t="s">
        <v>2325</v>
      </c>
      <c r="C1048" s="192" t="s">
        <v>2326</v>
      </c>
      <c r="D1048" s="195">
        <v>45601.0</v>
      </c>
      <c r="E1048" s="192" t="s">
        <v>2155</v>
      </c>
      <c r="F1048" s="196"/>
      <c r="G1048" s="196"/>
      <c r="H1048" s="197">
        <v>4.7</v>
      </c>
      <c r="I1048" s="197">
        <v>4.7</v>
      </c>
      <c r="J1048" s="197">
        <v>4.7</v>
      </c>
      <c r="K1048" s="197">
        <v>4.7</v>
      </c>
      <c r="L1048" s="197">
        <v>4.7</v>
      </c>
      <c r="M1048" s="197">
        <v>4.7</v>
      </c>
      <c r="N1048" s="197">
        <v>5.0</v>
      </c>
      <c r="O1048" s="197">
        <v>5.0</v>
      </c>
      <c r="P1048" s="197">
        <v>5.0</v>
      </c>
      <c r="Q1048" s="197">
        <v>4.5</v>
      </c>
      <c r="R1048" s="197">
        <v>5.0</v>
      </c>
      <c r="S1048" s="197">
        <v>5.0</v>
      </c>
      <c r="T1048" s="197">
        <v>5.0</v>
      </c>
      <c r="U1048" s="197">
        <v>5.0</v>
      </c>
      <c r="V1048" s="197">
        <v>4.5</v>
      </c>
      <c r="W1048" s="197">
        <v>4.875</v>
      </c>
      <c r="X1048" s="196"/>
      <c r="Y1048" s="196"/>
      <c r="Z1048" s="196"/>
      <c r="AA1048" s="196"/>
      <c r="AB1048" s="196"/>
      <c r="AC1048" s="197">
        <v>4.858333333333333</v>
      </c>
      <c r="AD1048" s="198"/>
    </row>
    <row r="1049">
      <c r="A1049" s="193">
        <v>105273.0</v>
      </c>
      <c r="B1049" s="194" t="s">
        <v>1766</v>
      </c>
      <c r="C1049" s="192" t="s">
        <v>1767</v>
      </c>
      <c r="D1049" s="195">
        <v>45628.0</v>
      </c>
      <c r="E1049" s="192" t="s">
        <v>87</v>
      </c>
      <c r="F1049" s="196"/>
      <c r="G1049" s="196"/>
      <c r="H1049" s="197">
        <v>4.5</v>
      </c>
      <c r="I1049" s="197">
        <v>4.5</v>
      </c>
      <c r="J1049" s="197">
        <v>4.5</v>
      </c>
      <c r="K1049" s="197">
        <v>4.5</v>
      </c>
      <c r="L1049" s="197">
        <v>4.5</v>
      </c>
      <c r="M1049" s="197">
        <v>4.5</v>
      </c>
      <c r="N1049" s="197">
        <v>5.0</v>
      </c>
      <c r="O1049" s="197">
        <v>4.5</v>
      </c>
      <c r="P1049" s="197">
        <v>5.0</v>
      </c>
      <c r="Q1049" s="197">
        <v>5.0</v>
      </c>
      <c r="R1049" s="197">
        <v>4.833333333333333</v>
      </c>
      <c r="S1049" s="197">
        <v>4.5</v>
      </c>
      <c r="T1049" s="197">
        <v>4.5</v>
      </c>
      <c r="U1049" s="197">
        <v>4.5</v>
      </c>
      <c r="V1049" s="197">
        <v>4.5</v>
      </c>
      <c r="W1049" s="197">
        <v>4.5</v>
      </c>
      <c r="X1049" s="196"/>
      <c r="Y1049" s="196"/>
      <c r="Z1049" s="196"/>
      <c r="AA1049" s="196"/>
      <c r="AB1049" s="196"/>
      <c r="AC1049" s="197">
        <v>4.611111111111111</v>
      </c>
      <c r="AD1049" s="198"/>
    </row>
    <row r="1050">
      <c r="A1050" s="193">
        <v>105225.0</v>
      </c>
      <c r="B1050" s="194" t="s">
        <v>2327</v>
      </c>
      <c r="C1050" s="192" t="s">
        <v>2328</v>
      </c>
      <c r="D1050" s="195">
        <v>45624.0</v>
      </c>
      <c r="E1050" s="192" t="s">
        <v>806</v>
      </c>
      <c r="F1050" s="196"/>
      <c r="G1050" s="196"/>
      <c r="H1050" s="197">
        <v>5.0</v>
      </c>
      <c r="I1050" s="197">
        <v>5.0</v>
      </c>
      <c r="J1050" s="197">
        <v>5.0</v>
      </c>
      <c r="K1050" s="197">
        <v>5.0</v>
      </c>
      <c r="L1050" s="197">
        <v>5.0</v>
      </c>
      <c r="M1050" s="197">
        <v>5.0</v>
      </c>
      <c r="N1050" s="197">
        <v>5.0</v>
      </c>
      <c r="O1050" s="197">
        <v>5.0</v>
      </c>
      <c r="P1050" s="197">
        <v>5.0</v>
      </c>
      <c r="Q1050" s="197">
        <v>5.0</v>
      </c>
      <c r="R1050" s="197">
        <v>5.0</v>
      </c>
      <c r="S1050" s="197">
        <v>5.0</v>
      </c>
      <c r="T1050" s="197">
        <v>5.0</v>
      </c>
      <c r="U1050" s="197">
        <v>5.0</v>
      </c>
      <c r="V1050" s="197">
        <v>5.0</v>
      </c>
      <c r="W1050" s="197">
        <v>5.0</v>
      </c>
      <c r="X1050" s="196"/>
      <c r="Y1050" s="196"/>
      <c r="Z1050" s="196"/>
      <c r="AA1050" s="196"/>
      <c r="AB1050" s="196"/>
      <c r="AC1050" s="197">
        <v>5.0</v>
      </c>
      <c r="AD1050" s="198"/>
    </row>
    <row r="1051">
      <c r="A1051" s="193">
        <v>105472.0</v>
      </c>
      <c r="B1051" s="194" t="s">
        <v>2329</v>
      </c>
      <c r="C1051" s="192" t="s">
        <v>2330</v>
      </c>
      <c r="D1051" s="195">
        <v>45762.0</v>
      </c>
      <c r="E1051" s="192" t="s">
        <v>602</v>
      </c>
      <c r="F1051" s="196"/>
      <c r="G1051" s="196"/>
      <c r="H1051" s="197">
        <v>5.0</v>
      </c>
      <c r="I1051" s="197">
        <v>5.0</v>
      </c>
      <c r="J1051" s="197">
        <v>5.0</v>
      </c>
      <c r="K1051" s="197">
        <v>5.0</v>
      </c>
      <c r="L1051" s="197">
        <v>5.0</v>
      </c>
      <c r="M1051" s="197">
        <v>5.0</v>
      </c>
      <c r="N1051" s="197">
        <v>5.0</v>
      </c>
      <c r="O1051" s="197">
        <v>5.0</v>
      </c>
      <c r="P1051" s="197">
        <v>4.0</v>
      </c>
      <c r="Q1051" s="197">
        <v>4.0</v>
      </c>
      <c r="R1051" s="197">
        <v>4.666666666666667</v>
      </c>
      <c r="S1051" s="197">
        <v>5.0</v>
      </c>
      <c r="T1051" s="197">
        <v>5.0</v>
      </c>
      <c r="U1051" s="197">
        <v>4.0</v>
      </c>
      <c r="V1051" s="197">
        <v>4.0</v>
      </c>
      <c r="W1051" s="197">
        <v>4.5</v>
      </c>
      <c r="X1051" s="196"/>
      <c r="Y1051" s="196"/>
      <c r="Z1051" s="196"/>
      <c r="AA1051" s="196"/>
      <c r="AB1051" s="196"/>
      <c r="AC1051" s="197">
        <v>4.722222222222222</v>
      </c>
      <c r="AD1051" s="198"/>
    </row>
    <row r="1052">
      <c r="A1052" s="193">
        <v>105499.0</v>
      </c>
      <c r="B1052" s="194" t="s">
        <v>2331</v>
      </c>
      <c r="C1052" s="192" t="s">
        <v>2332</v>
      </c>
      <c r="D1052" s="195">
        <v>45719.0</v>
      </c>
      <c r="E1052" s="192" t="s">
        <v>454</v>
      </c>
      <c r="F1052" s="196"/>
      <c r="G1052" s="196"/>
      <c r="H1052" s="197">
        <v>5.0</v>
      </c>
      <c r="I1052" s="197">
        <v>5.0</v>
      </c>
      <c r="J1052" s="197">
        <v>5.0</v>
      </c>
      <c r="K1052" s="197">
        <v>5.0</v>
      </c>
      <c r="L1052" s="197">
        <v>5.0</v>
      </c>
      <c r="M1052" s="197">
        <v>5.0</v>
      </c>
      <c r="N1052" s="197">
        <v>5.0</v>
      </c>
      <c r="O1052" s="197">
        <v>5.0</v>
      </c>
      <c r="P1052" s="197">
        <v>5.0</v>
      </c>
      <c r="Q1052" s="197">
        <v>5.0</v>
      </c>
      <c r="R1052" s="197">
        <v>5.0</v>
      </c>
      <c r="S1052" s="197">
        <v>5.0</v>
      </c>
      <c r="T1052" s="197">
        <v>5.0</v>
      </c>
      <c r="U1052" s="197">
        <v>5.0</v>
      </c>
      <c r="V1052" s="197">
        <v>5.0</v>
      </c>
      <c r="W1052" s="197">
        <v>5.0</v>
      </c>
      <c r="X1052" s="196"/>
      <c r="Y1052" s="196"/>
      <c r="Z1052" s="196"/>
      <c r="AA1052" s="196"/>
      <c r="AB1052" s="196"/>
      <c r="AC1052" s="197">
        <v>5.0</v>
      </c>
      <c r="AD1052" s="198"/>
    </row>
    <row r="1053">
      <c r="A1053" s="193">
        <v>102840.0</v>
      </c>
      <c r="B1053" s="194" t="s">
        <v>839</v>
      </c>
      <c r="C1053" s="192" t="s">
        <v>873</v>
      </c>
      <c r="D1053" s="195">
        <v>45613.0</v>
      </c>
      <c r="E1053" s="192" t="s">
        <v>141</v>
      </c>
      <c r="F1053" s="196"/>
      <c r="G1053" s="196"/>
      <c r="H1053" s="197">
        <v>4.0</v>
      </c>
      <c r="I1053" s="197">
        <v>4.0</v>
      </c>
      <c r="J1053" s="197">
        <v>4.0</v>
      </c>
      <c r="K1053" s="197">
        <v>4.0</v>
      </c>
      <c r="L1053" s="197">
        <v>4.0</v>
      </c>
      <c r="M1053" s="197">
        <v>4.0</v>
      </c>
      <c r="N1053" s="197">
        <v>3.0</v>
      </c>
      <c r="O1053" s="197">
        <v>4.0</v>
      </c>
      <c r="P1053" s="197">
        <v>2.0</v>
      </c>
      <c r="Q1053" s="197">
        <v>3.0</v>
      </c>
      <c r="R1053" s="197">
        <v>3.0</v>
      </c>
      <c r="S1053" s="197">
        <v>3.0</v>
      </c>
      <c r="T1053" s="197">
        <v>4.0</v>
      </c>
      <c r="U1053" s="197">
        <v>2.0</v>
      </c>
      <c r="V1053" s="197">
        <v>4.0</v>
      </c>
      <c r="W1053" s="197">
        <v>3.25</v>
      </c>
      <c r="X1053" s="196"/>
      <c r="Y1053" s="196"/>
      <c r="Z1053" s="196"/>
      <c r="AA1053" s="196"/>
      <c r="AB1053" s="196"/>
      <c r="AC1053" s="197">
        <v>3.4166666666666665</v>
      </c>
      <c r="AD1053" s="198"/>
    </row>
    <row r="1054">
      <c r="A1054" s="193">
        <v>105778.0</v>
      </c>
      <c r="B1054" s="194" t="s">
        <v>2333</v>
      </c>
      <c r="C1054" s="192" t="s">
        <v>2334</v>
      </c>
      <c r="D1054" s="195">
        <v>45806.0</v>
      </c>
      <c r="E1054" s="192" t="s">
        <v>2156</v>
      </c>
      <c r="F1054" s="196"/>
      <c r="G1054" s="196"/>
      <c r="H1054" s="197">
        <v>5.0</v>
      </c>
      <c r="I1054" s="197">
        <v>5.0</v>
      </c>
      <c r="J1054" s="197">
        <v>5.0</v>
      </c>
      <c r="K1054" s="197">
        <v>5.0</v>
      </c>
      <c r="L1054" s="197">
        <v>5.0</v>
      </c>
      <c r="M1054" s="197">
        <v>5.0</v>
      </c>
      <c r="N1054" s="197">
        <v>5.0</v>
      </c>
      <c r="O1054" s="197">
        <v>5.0</v>
      </c>
      <c r="P1054" s="197">
        <v>4.0</v>
      </c>
      <c r="Q1054" s="197">
        <v>5.0</v>
      </c>
      <c r="R1054" s="197">
        <v>4.666666666666667</v>
      </c>
      <c r="S1054" s="197">
        <v>5.0</v>
      </c>
      <c r="T1054" s="197">
        <v>4.5</v>
      </c>
      <c r="U1054" s="197">
        <v>4.0</v>
      </c>
      <c r="V1054" s="197">
        <v>5.0</v>
      </c>
      <c r="W1054" s="197">
        <v>4.625</v>
      </c>
      <c r="X1054" s="196"/>
      <c r="Y1054" s="196"/>
      <c r="Z1054" s="196"/>
      <c r="AA1054" s="196"/>
      <c r="AB1054" s="196"/>
      <c r="AC1054" s="197">
        <v>4.763888888888889</v>
      </c>
      <c r="AD1054" s="198"/>
    </row>
    <row r="1055">
      <c r="A1055" s="193">
        <v>105776.0</v>
      </c>
      <c r="B1055" s="194" t="s">
        <v>2335</v>
      </c>
      <c r="C1055" s="192" t="s">
        <v>2336</v>
      </c>
      <c r="D1055" s="195">
        <v>45810.0</v>
      </c>
      <c r="E1055" s="192" t="s">
        <v>2049</v>
      </c>
      <c r="F1055" s="196"/>
      <c r="G1055" s="196"/>
      <c r="H1055" s="197">
        <v>5.0</v>
      </c>
      <c r="I1055" s="197">
        <v>5.0</v>
      </c>
      <c r="J1055" s="197">
        <v>5.0</v>
      </c>
      <c r="K1055" s="197">
        <v>5.0</v>
      </c>
      <c r="L1055" s="197">
        <v>5.0</v>
      </c>
      <c r="M1055" s="197">
        <v>5.0</v>
      </c>
      <c r="N1055" s="197">
        <v>5.0</v>
      </c>
      <c r="O1055" s="197">
        <v>5.0</v>
      </c>
      <c r="P1055" s="197">
        <v>5.0</v>
      </c>
      <c r="Q1055" s="197">
        <v>5.0</v>
      </c>
      <c r="R1055" s="197">
        <v>5.0</v>
      </c>
      <c r="S1055" s="197">
        <v>5.0</v>
      </c>
      <c r="T1055" s="197">
        <v>4.5</v>
      </c>
      <c r="U1055" s="197">
        <v>5.0</v>
      </c>
      <c r="V1055" s="197">
        <v>5.0</v>
      </c>
      <c r="W1055" s="197">
        <v>4.875</v>
      </c>
      <c r="X1055" s="196"/>
      <c r="Y1055" s="196"/>
      <c r="Z1055" s="196"/>
      <c r="AA1055" s="196"/>
      <c r="AB1055" s="196"/>
      <c r="AC1055" s="197">
        <v>4.958333333333333</v>
      </c>
      <c r="AD1055" s="198"/>
    </row>
    <row r="1056">
      <c r="A1056" s="193">
        <v>105776.0</v>
      </c>
      <c r="B1056" s="194" t="s">
        <v>2335</v>
      </c>
      <c r="C1056" s="192" t="s">
        <v>2336</v>
      </c>
      <c r="D1056" s="195">
        <v>45810.0</v>
      </c>
      <c r="E1056" s="192" t="s">
        <v>2049</v>
      </c>
      <c r="F1056" s="196"/>
      <c r="G1056" s="196"/>
      <c r="H1056" s="197">
        <v>5.0</v>
      </c>
      <c r="I1056" s="197">
        <v>5.0</v>
      </c>
      <c r="J1056" s="197">
        <v>5.0</v>
      </c>
      <c r="K1056" s="197">
        <v>5.0</v>
      </c>
      <c r="L1056" s="197">
        <v>5.0</v>
      </c>
      <c r="M1056" s="197">
        <v>5.0</v>
      </c>
      <c r="N1056" s="197">
        <v>5.0</v>
      </c>
      <c r="O1056" s="197">
        <v>5.0</v>
      </c>
      <c r="P1056" s="197">
        <v>5.0</v>
      </c>
      <c r="Q1056" s="197">
        <v>5.0</v>
      </c>
      <c r="R1056" s="197">
        <v>5.0</v>
      </c>
      <c r="S1056" s="197">
        <v>5.0</v>
      </c>
      <c r="T1056" s="197">
        <v>4.5</v>
      </c>
      <c r="U1056" s="197">
        <v>5.0</v>
      </c>
      <c r="V1056" s="197">
        <v>5.0</v>
      </c>
      <c r="W1056" s="197">
        <v>4.875</v>
      </c>
      <c r="X1056" s="196"/>
      <c r="Y1056" s="196"/>
      <c r="Z1056" s="196"/>
      <c r="AA1056" s="196"/>
      <c r="AB1056" s="196"/>
      <c r="AC1056" s="197">
        <v>4.958333333333333</v>
      </c>
      <c r="AD1056" s="198"/>
    </row>
    <row r="1057">
      <c r="A1057" s="193">
        <v>105778.0</v>
      </c>
      <c r="B1057" s="194" t="s">
        <v>2337</v>
      </c>
      <c r="C1057" s="192" t="s">
        <v>2334</v>
      </c>
      <c r="D1057" s="195">
        <v>45807.0</v>
      </c>
      <c r="E1057" s="192" t="s">
        <v>87</v>
      </c>
      <c r="F1057" s="196"/>
      <c r="G1057" s="196"/>
      <c r="H1057" s="197">
        <v>5.0</v>
      </c>
      <c r="I1057" s="197">
        <v>5.0</v>
      </c>
      <c r="J1057" s="197">
        <v>4.0</v>
      </c>
      <c r="K1057" s="197">
        <v>5.0</v>
      </c>
      <c r="L1057" s="197">
        <v>5.0</v>
      </c>
      <c r="M1057" s="197">
        <v>4.8</v>
      </c>
      <c r="N1057" s="197">
        <v>5.0</v>
      </c>
      <c r="O1057" s="197">
        <v>5.0</v>
      </c>
      <c r="P1057" s="197">
        <v>4.0</v>
      </c>
      <c r="Q1057" s="197">
        <v>5.0</v>
      </c>
      <c r="R1057" s="197">
        <v>4.666666666666667</v>
      </c>
      <c r="S1057" s="197">
        <v>5.0</v>
      </c>
      <c r="T1057" s="197">
        <v>4.5</v>
      </c>
      <c r="U1057" s="197">
        <v>4.5</v>
      </c>
      <c r="V1057" s="197">
        <v>5.0</v>
      </c>
      <c r="W1057" s="197">
        <v>4.75</v>
      </c>
      <c r="X1057" s="196"/>
      <c r="Y1057" s="196"/>
      <c r="Z1057" s="196"/>
      <c r="AA1057" s="196"/>
      <c r="AB1057" s="196"/>
      <c r="AC1057" s="197">
        <v>4.738888888888889</v>
      </c>
      <c r="AD1057" s="198"/>
    </row>
    <row r="1058">
      <c r="A1058" s="193">
        <v>105778.0</v>
      </c>
      <c r="B1058" s="194" t="s">
        <v>2337</v>
      </c>
      <c r="C1058" s="192" t="s">
        <v>2334</v>
      </c>
      <c r="D1058" s="195">
        <v>45807.0</v>
      </c>
      <c r="E1058" s="192" t="s">
        <v>87</v>
      </c>
      <c r="F1058" s="196"/>
      <c r="G1058" s="196"/>
      <c r="H1058" s="197">
        <v>5.0</v>
      </c>
      <c r="I1058" s="197">
        <v>5.0</v>
      </c>
      <c r="J1058" s="197">
        <v>4.0</v>
      </c>
      <c r="K1058" s="197">
        <v>5.0</v>
      </c>
      <c r="L1058" s="197">
        <v>5.0</v>
      </c>
      <c r="M1058" s="197">
        <v>4.8</v>
      </c>
      <c r="N1058" s="197">
        <v>5.0</v>
      </c>
      <c r="O1058" s="197">
        <v>5.0</v>
      </c>
      <c r="P1058" s="197">
        <v>4.0</v>
      </c>
      <c r="Q1058" s="197">
        <v>5.0</v>
      </c>
      <c r="R1058" s="197">
        <v>4.666666666666667</v>
      </c>
      <c r="S1058" s="197">
        <v>5.0</v>
      </c>
      <c r="T1058" s="197">
        <v>4.5</v>
      </c>
      <c r="U1058" s="197">
        <v>4.5</v>
      </c>
      <c r="V1058" s="197">
        <v>5.0</v>
      </c>
      <c r="W1058" s="197">
        <v>4.75</v>
      </c>
      <c r="X1058" s="196"/>
      <c r="Y1058" s="196"/>
      <c r="Z1058" s="196"/>
      <c r="AA1058" s="196"/>
      <c r="AB1058" s="196"/>
      <c r="AC1058" s="197">
        <v>4.738888888888889</v>
      </c>
      <c r="AD1058" s="198"/>
    </row>
    <row r="1059">
      <c r="A1059" s="193">
        <v>104931.0</v>
      </c>
      <c r="B1059" s="194" t="s">
        <v>2338</v>
      </c>
      <c r="C1059" s="192" t="s">
        <v>2339</v>
      </c>
      <c r="D1059" s="195">
        <v>45593.0</v>
      </c>
      <c r="E1059" s="192" t="s">
        <v>976</v>
      </c>
      <c r="F1059" s="196"/>
      <c r="G1059" s="196"/>
      <c r="H1059" s="197">
        <v>4.0</v>
      </c>
      <c r="I1059" s="197">
        <v>4.0</v>
      </c>
      <c r="J1059" s="197">
        <v>4.0</v>
      </c>
      <c r="K1059" s="197">
        <v>4.0</v>
      </c>
      <c r="L1059" s="197">
        <v>4.0</v>
      </c>
      <c r="M1059" s="197">
        <v>4.0</v>
      </c>
      <c r="N1059" s="197">
        <v>4.5</v>
      </c>
      <c r="O1059" s="197">
        <v>3.0</v>
      </c>
      <c r="P1059" s="197">
        <v>3.0</v>
      </c>
      <c r="Q1059" s="197">
        <v>3.0</v>
      </c>
      <c r="R1059" s="197">
        <v>3.5</v>
      </c>
      <c r="S1059" s="197">
        <v>4.0</v>
      </c>
      <c r="T1059" s="197">
        <v>4.0</v>
      </c>
      <c r="U1059" s="197">
        <v>4.0</v>
      </c>
      <c r="V1059" s="197">
        <v>4.0</v>
      </c>
      <c r="W1059" s="197">
        <v>4.0</v>
      </c>
      <c r="X1059" s="196"/>
      <c r="Y1059" s="196"/>
      <c r="Z1059" s="196"/>
      <c r="AA1059" s="196"/>
      <c r="AB1059" s="196"/>
      <c r="AC1059" s="197">
        <v>3.8333333333333335</v>
      </c>
      <c r="AD1059" s="198"/>
    </row>
    <row r="1060">
      <c r="A1060" s="193">
        <v>105337.0</v>
      </c>
      <c r="B1060" s="194" t="s">
        <v>2340</v>
      </c>
      <c r="C1060" s="192" t="s">
        <v>2341</v>
      </c>
      <c r="D1060" s="195">
        <v>45664.0</v>
      </c>
      <c r="E1060" s="192" t="s">
        <v>2160</v>
      </c>
      <c r="F1060" s="196"/>
      <c r="G1060" s="196"/>
      <c r="H1060" s="197">
        <v>5.0</v>
      </c>
      <c r="I1060" s="197">
        <v>5.0</v>
      </c>
      <c r="J1060" s="197">
        <v>5.0</v>
      </c>
      <c r="K1060" s="197">
        <v>5.0</v>
      </c>
      <c r="L1060" s="197">
        <v>5.0</v>
      </c>
      <c r="M1060" s="197">
        <v>5.0</v>
      </c>
      <c r="N1060" s="197">
        <v>5.0</v>
      </c>
      <c r="O1060" s="197">
        <v>5.0</v>
      </c>
      <c r="P1060" s="197">
        <v>5.0</v>
      </c>
      <c r="Q1060" s="197">
        <v>5.0</v>
      </c>
      <c r="R1060" s="197">
        <v>5.0</v>
      </c>
      <c r="S1060" s="197">
        <v>5.0</v>
      </c>
      <c r="T1060" s="197">
        <v>5.0</v>
      </c>
      <c r="U1060" s="197">
        <v>5.0</v>
      </c>
      <c r="V1060" s="197">
        <v>5.0</v>
      </c>
      <c r="W1060" s="197">
        <v>5.0</v>
      </c>
      <c r="X1060" s="196"/>
      <c r="Y1060" s="196"/>
      <c r="Z1060" s="196"/>
      <c r="AA1060" s="196"/>
      <c r="AB1060" s="196"/>
      <c r="AC1060" s="197">
        <v>5.0</v>
      </c>
      <c r="AD1060" s="198"/>
    </row>
    <row r="1061">
      <c r="A1061" s="193">
        <v>104931.0</v>
      </c>
      <c r="B1061" s="194" t="s">
        <v>2342</v>
      </c>
      <c r="C1061" s="192" t="s">
        <v>2339</v>
      </c>
      <c r="D1061" s="195">
        <v>45581.0</v>
      </c>
      <c r="E1061" s="192" t="s">
        <v>2160</v>
      </c>
      <c r="F1061" s="196"/>
      <c r="G1061" s="196"/>
      <c r="H1061" s="197">
        <v>4.5</v>
      </c>
      <c r="I1061" s="197">
        <v>4.5</v>
      </c>
      <c r="J1061" s="197">
        <v>4.5</v>
      </c>
      <c r="K1061" s="197">
        <v>4.5</v>
      </c>
      <c r="L1061" s="197">
        <v>4.5</v>
      </c>
      <c r="M1061" s="197">
        <v>4.5</v>
      </c>
      <c r="N1061" s="197">
        <v>5.0</v>
      </c>
      <c r="O1061" s="197" t="s">
        <v>946</v>
      </c>
      <c r="P1061" s="197">
        <v>5.0</v>
      </c>
      <c r="Q1061" s="197">
        <v>4.5</v>
      </c>
      <c r="R1061" s="197">
        <v>5.0</v>
      </c>
      <c r="S1061" s="197">
        <v>4.5</v>
      </c>
      <c r="T1061" s="197">
        <v>4.5</v>
      </c>
      <c r="U1061" s="197">
        <v>4.5</v>
      </c>
      <c r="V1061" s="197">
        <v>4.5</v>
      </c>
      <c r="W1061" s="197">
        <v>4.5</v>
      </c>
      <c r="X1061" s="196"/>
      <c r="Y1061" s="196"/>
      <c r="Z1061" s="196"/>
      <c r="AA1061" s="196"/>
      <c r="AB1061" s="196"/>
      <c r="AC1061" s="197">
        <v>4.666666666666667</v>
      </c>
      <c r="AD1061" s="198"/>
    </row>
    <row r="1062">
      <c r="A1062" s="193">
        <v>104258.0</v>
      </c>
      <c r="B1062" s="194" t="s">
        <v>2343</v>
      </c>
      <c r="C1062" s="192" t="s">
        <v>2344</v>
      </c>
      <c r="D1062" s="195">
        <v>45366.0</v>
      </c>
      <c r="E1062" s="192" t="s">
        <v>113</v>
      </c>
      <c r="F1062" s="196"/>
      <c r="G1062" s="196"/>
      <c r="H1062" s="197">
        <v>5.0</v>
      </c>
      <c r="I1062" s="197">
        <v>5.0</v>
      </c>
      <c r="J1062" s="197">
        <v>5.0</v>
      </c>
      <c r="K1062" s="197">
        <v>5.0</v>
      </c>
      <c r="L1062" s="197">
        <v>5.0</v>
      </c>
      <c r="M1062" s="197">
        <v>5.0</v>
      </c>
      <c r="N1062" s="197">
        <v>5.0</v>
      </c>
      <c r="O1062" s="197">
        <v>5.0</v>
      </c>
      <c r="P1062" s="197">
        <v>5.0</v>
      </c>
      <c r="Q1062" s="197">
        <v>5.0</v>
      </c>
      <c r="R1062" s="197">
        <v>5.0</v>
      </c>
      <c r="S1062" s="197">
        <v>5.0</v>
      </c>
      <c r="T1062" s="197">
        <v>5.0</v>
      </c>
      <c r="U1062" s="197">
        <v>5.0</v>
      </c>
      <c r="V1062" s="197">
        <v>5.0</v>
      </c>
      <c r="W1062" s="197">
        <v>5.0</v>
      </c>
      <c r="X1062" s="196"/>
      <c r="Y1062" s="196"/>
      <c r="Z1062" s="196"/>
      <c r="AA1062" s="196"/>
      <c r="AB1062" s="196"/>
      <c r="AC1062" s="197">
        <v>5.0</v>
      </c>
      <c r="AD1062" s="198"/>
    </row>
    <row r="1063">
      <c r="A1063" s="193">
        <v>105613.0</v>
      </c>
      <c r="B1063" s="194" t="s">
        <v>2345</v>
      </c>
      <c r="C1063" s="192" t="s">
        <v>2346</v>
      </c>
      <c r="D1063" s="195">
        <v>45790.0</v>
      </c>
      <c r="E1063" s="192" t="s">
        <v>113</v>
      </c>
      <c r="F1063" s="196"/>
      <c r="G1063" s="196"/>
      <c r="H1063" s="197">
        <v>5.0</v>
      </c>
      <c r="I1063" s="197">
        <v>5.0</v>
      </c>
      <c r="J1063" s="197">
        <v>5.0</v>
      </c>
      <c r="K1063" s="197">
        <v>5.0</v>
      </c>
      <c r="L1063" s="197">
        <v>5.0</v>
      </c>
      <c r="M1063" s="197">
        <v>5.0</v>
      </c>
      <c r="N1063" s="197">
        <v>5.0</v>
      </c>
      <c r="O1063" s="197">
        <v>5.0</v>
      </c>
      <c r="P1063" s="197">
        <v>5.0</v>
      </c>
      <c r="Q1063" s="197">
        <v>5.0</v>
      </c>
      <c r="R1063" s="197">
        <v>5.0</v>
      </c>
      <c r="S1063" s="197">
        <v>5.0</v>
      </c>
      <c r="T1063" s="197">
        <v>5.0</v>
      </c>
      <c r="U1063" s="197">
        <v>5.0</v>
      </c>
      <c r="V1063" s="197">
        <v>5.0</v>
      </c>
      <c r="W1063" s="197">
        <v>5.0</v>
      </c>
      <c r="X1063" s="196"/>
      <c r="Y1063" s="196"/>
      <c r="Z1063" s="196"/>
      <c r="AA1063" s="196"/>
      <c r="AB1063" s="196"/>
      <c r="AC1063" s="197">
        <v>5.0</v>
      </c>
      <c r="AD1063" s="198"/>
    </row>
    <row r="1064">
      <c r="A1064" s="193">
        <v>105663.0</v>
      </c>
      <c r="B1064" s="194" t="s">
        <v>2347</v>
      </c>
      <c r="C1064" s="192" t="s">
        <v>2348</v>
      </c>
      <c r="D1064" s="195">
        <v>45790.0</v>
      </c>
      <c r="E1064" s="192" t="s">
        <v>254</v>
      </c>
      <c r="F1064" s="196"/>
      <c r="G1064" s="196"/>
      <c r="H1064" s="197">
        <v>5.0</v>
      </c>
      <c r="I1064" s="197">
        <v>5.0</v>
      </c>
      <c r="J1064" s="197">
        <v>5.0</v>
      </c>
      <c r="K1064" s="197">
        <v>5.0</v>
      </c>
      <c r="L1064" s="197">
        <v>5.0</v>
      </c>
      <c r="M1064" s="197">
        <v>5.0</v>
      </c>
      <c r="N1064" s="197">
        <v>5.0</v>
      </c>
      <c r="O1064" s="197">
        <v>5.0</v>
      </c>
      <c r="P1064" s="197">
        <v>5.0</v>
      </c>
      <c r="Q1064" s="197">
        <v>5.0</v>
      </c>
      <c r="R1064" s="197">
        <v>5.0</v>
      </c>
      <c r="S1064" s="197">
        <v>5.0</v>
      </c>
      <c r="T1064" s="197">
        <v>5.0</v>
      </c>
      <c r="U1064" s="197">
        <v>5.0</v>
      </c>
      <c r="V1064" s="197">
        <v>5.0</v>
      </c>
      <c r="W1064" s="197">
        <v>5.0</v>
      </c>
      <c r="X1064" s="196"/>
      <c r="Y1064" s="196"/>
      <c r="Z1064" s="196"/>
      <c r="AA1064" s="196"/>
      <c r="AB1064" s="196"/>
      <c r="AC1064" s="197">
        <v>5.0</v>
      </c>
      <c r="AD1064" s="198"/>
    </row>
    <row r="1065">
      <c r="A1065" s="193">
        <v>104944.0</v>
      </c>
      <c r="B1065" s="194" t="s">
        <v>2349</v>
      </c>
      <c r="C1065" s="192" t="s">
        <v>2350</v>
      </c>
      <c r="D1065" s="195">
        <v>45867.0</v>
      </c>
      <c r="E1065" s="192" t="s">
        <v>1695</v>
      </c>
      <c r="F1065" s="196"/>
      <c r="G1065" s="196"/>
      <c r="H1065" s="197">
        <v>5.0</v>
      </c>
      <c r="I1065" s="197">
        <v>5.0</v>
      </c>
      <c r="J1065" s="197">
        <v>5.0</v>
      </c>
      <c r="K1065" s="197">
        <v>5.0</v>
      </c>
      <c r="L1065" s="197">
        <v>5.0</v>
      </c>
      <c r="M1065" s="197">
        <v>5.0</v>
      </c>
      <c r="N1065" s="197">
        <v>5.0</v>
      </c>
      <c r="O1065" s="197">
        <v>4.8</v>
      </c>
      <c r="P1065" s="197">
        <v>4.8</v>
      </c>
      <c r="Q1065" s="197">
        <v>4.8</v>
      </c>
      <c r="R1065" s="197">
        <v>4.8500000000000005</v>
      </c>
      <c r="S1065" s="197">
        <v>5.0</v>
      </c>
      <c r="T1065" s="197">
        <v>4.8</v>
      </c>
      <c r="U1065" s="197">
        <v>4.8</v>
      </c>
      <c r="V1065" s="197">
        <v>4.8</v>
      </c>
      <c r="W1065" s="197">
        <v>4.8500000000000005</v>
      </c>
      <c r="X1065" s="196"/>
      <c r="Y1065" s="196"/>
      <c r="Z1065" s="196"/>
      <c r="AA1065" s="196"/>
      <c r="AB1065" s="196"/>
      <c r="AC1065" s="197">
        <v>4.900000000000001</v>
      </c>
      <c r="AD1065" s="198"/>
    </row>
    <row r="1066">
      <c r="A1066" s="193">
        <v>105520.0</v>
      </c>
      <c r="B1066" s="194" t="s">
        <v>2351</v>
      </c>
      <c r="C1066" s="192" t="s">
        <v>2352</v>
      </c>
      <c r="D1066" s="195">
        <v>45771.0</v>
      </c>
      <c r="E1066" s="192" t="s">
        <v>625</v>
      </c>
      <c r="F1066" s="196"/>
      <c r="G1066" s="196"/>
      <c r="H1066" s="197">
        <v>5.0</v>
      </c>
      <c r="I1066" s="197">
        <v>5.0</v>
      </c>
      <c r="J1066" s="197">
        <v>5.0</v>
      </c>
      <c r="K1066" s="197">
        <v>5.0</v>
      </c>
      <c r="L1066" s="197">
        <v>5.0</v>
      </c>
      <c r="M1066" s="197">
        <v>5.0</v>
      </c>
      <c r="N1066" s="197">
        <v>5.0</v>
      </c>
      <c r="O1066" s="197">
        <v>5.0</v>
      </c>
      <c r="P1066" s="197">
        <v>5.0</v>
      </c>
      <c r="Q1066" s="197">
        <v>5.0</v>
      </c>
      <c r="R1066" s="197">
        <v>5.0</v>
      </c>
      <c r="S1066" s="197">
        <v>5.0</v>
      </c>
      <c r="T1066" s="197">
        <v>5.0</v>
      </c>
      <c r="U1066" s="197">
        <v>5.0</v>
      </c>
      <c r="V1066" s="197">
        <v>5.0</v>
      </c>
      <c r="W1066" s="197">
        <v>5.0</v>
      </c>
      <c r="X1066" s="196"/>
      <c r="Y1066" s="196"/>
      <c r="Z1066" s="196"/>
      <c r="AA1066" s="196"/>
      <c r="AB1066" s="196"/>
      <c r="AC1066" s="197">
        <v>5.0</v>
      </c>
      <c r="AD1066" s="198"/>
    </row>
    <row r="1067">
      <c r="A1067" s="193">
        <v>105566.0</v>
      </c>
      <c r="B1067" s="194" t="s">
        <v>2354</v>
      </c>
      <c r="C1067" s="192" t="s">
        <v>2355</v>
      </c>
      <c r="D1067" s="195">
        <v>45771.0</v>
      </c>
      <c r="E1067" s="192" t="s">
        <v>113</v>
      </c>
      <c r="F1067" s="196"/>
      <c r="G1067" s="196"/>
      <c r="H1067" s="197">
        <v>5.0</v>
      </c>
      <c r="I1067" s="197">
        <v>5.0</v>
      </c>
      <c r="J1067" s="197">
        <v>5.0</v>
      </c>
      <c r="K1067" s="197">
        <v>5.0</v>
      </c>
      <c r="L1067" s="197">
        <v>5.0</v>
      </c>
      <c r="M1067" s="197">
        <v>5.0</v>
      </c>
      <c r="N1067" s="197">
        <v>4.5</v>
      </c>
      <c r="O1067" s="197">
        <v>5.0</v>
      </c>
      <c r="P1067" s="197">
        <v>4.5</v>
      </c>
      <c r="Q1067" s="197">
        <v>4.8</v>
      </c>
      <c r="R1067" s="197">
        <v>4.666666666666667</v>
      </c>
      <c r="S1067" s="197">
        <v>5.0</v>
      </c>
      <c r="T1067" s="197">
        <v>5.0</v>
      </c>
      <c r="U1067" s="197">
        <v>5.0</v>
      </c>
      <c r="V1067" s="197">
        <v>5.0</v>
      </c>
      <c r="W1067" s="197">
        <v>5.0</v>
      </c>
      <c r="X1067" s="196"/>
      <c r="Y1067" s="196"/>
      <c r="Z1067" s="196"/>
      <c r="AA1067" s="196"/>
      <c r="AB1067" s="196"/>
      <c r="AC1067" s="197">
        <v>4.888888888888889</v>
      </c>
      <c r="AD1067" s="198"/>
    </row>
    <row r="1068">
      <c r="A1068" s="193">
        <v>105357.0</v>
      </c>
      <c r="B1068" s="194" t="s">
        <v>2356</v>
      </c>
      <c r="C1068" s="192" t="s">
        <v>2357</v>
      </c>
      <c r="D1068" s="195">
        <v>45786.0</v>
      </c>
      <c r="E1068" s="192" t="s">
        <v>113</v>
      </c>
      <c r="F1068" s="196"/>
      <c r="G1068" s="196"/>
      <c r="H1068" s="197">
        <v>5.0</v>
      </c>
      <c r="I1068" s="197">
        <v>5.0</v>
      </c>
      <c r="J1068" s="197">
        <v>5.0</v>
      </c>
      <c r="K1068" s="197">
        <v>5.0</v>
      </c>
      <c r="L1068" s="197">
        <v>5.0</v>
      </c>
      <c r="M1068" s="197">
        <v>5.0</v>
      </c>
      <c r="N1068" s="197">
        <v>5.0</v>
      </c>
      <c r="O1068" s="197">
        <v>5.0</v>
      </c>
      <c r="P1068" s="197">
        <v>5.0</v>
      </c>
      <c r="Q1068" s="197">
        <v>5.0</v>
      </c>
      <c r="R1068" s="197">
        <v>5.0</v>
      </c>
      <c r="S1068" s="197">
        <v>5.0</v>
      </c>
      <c r="T1068" s="197">
        <v>5.0</v>
      </c>
      <c r="U1068" s="197">
        <v>5.0</v>
      </c>
      <c r="V1068" s="197">
        <v>5.0</v>
      </c>
      <c r="W1068" s="197">
        <v>5.0</v>
      </c>
      <c r="X1068" s="196"/>
      <c r="Y1068" s="196"/>
      <c r="Z1068" s="196"/>
      <c r="AA1068" s="196"/>
      <c r="AB1068" s="196"/>
      <c r="AC1068" s="197">
        <v>5.0</v>
      </c>
      <c r="AD1068" s="198"/>
    </row>
    <row r="1069">
      <c r="A1069" s="193">
        <v>105357.0</v>
      </c>
      <c r="B1069" s="194" t="s">
        <v>2360</v>
      </c>
      <c r="C1069" s="192" t="s">
        <v>2357</v>
      </c>
      <c r="D1069" s="195">
        <v>45769.0</v>
      </c>
      <c r="E1069" s="192" t="s">
        <v>806</v>
      </c>
      <c r="F1069" s="196"/>
      <c r="G1069" s="196"/>
      <c r="H1069" s="197">
        <v>5.0</v>
      </c>
      <c r="I1069" s="197">
        <v>5.0</v>
      </c>
      <c r="J1069" s="197">
        <v>5.0</v>
      </c>
      <c r="K1069" s="197">
        <v>5.0</v>
      </c>
      <c r="L1069" s="197">
        <v>5.0</v>
      </c>
      <c r="M1069" s="197">
        <v>5.0</v>
      </c>
      <c r="N1069" s="197">
        <v>5.0</v>
      </c>
      <c r="O1069" s="197">
        <v>5.0</v>
      </c>
      <c r="P1069" s="197">
        <v>5.0</v>
      </c>
      <c r="Q1069" s="197">
        <v>5.0</v>
      </c>
      <c r="R1069" s="197">
        <v>5.0</v>
      </c>
      <c r="S1069" s="197">
        <v>5.0</v>
      </c>
      <c r="T1069" s="197">
        <v>5.0</v>
      </c>
      <c r="U1069" s="197">
        <v>5.0</v>
      </c>
      <c r="V1069" s="197">
        <v>5.0</v>
      </c>
      <c r="W1069" s="197">
        <v>5.0</v>
      </c>
      <c r="X1069" s="196"/>
      <c r="Y1069" s="196"/>
      <c r="Z1069" s="196"/>
      <c r="AA1069" s="196"/>
      <c r="AB1069" s="196"/>
      <c r="AC1069" s="197">
        <v>5.0</v>
      </c>
      <c r="AD1069" s="198"/>
    </row>
    <row r="1070">
      <c r="A1070" s="193">
        <v>105357.0</v>
      </c>
      <c r="B1070" s="194" t="s">
        <v>2361</v>
      </c>
      <c r="C1070" s="192" t="s">
        <v>2357</v>
      </c>
      <c r="D1070" s="195">
        <v>45771.0</v>
      </c>
      <c r="E1070" s="192" t="s">
        <v>625</v>
      </c>
      <c r="F1070" s="196"/>
      <c r="G1070" s="196"/>
      <c r="H1070" s="197">
        <v>5.0</v>
      </c>
      <c r="I1070" s="197">
        <v>5.0</v>
      </c>
      <c r="J1070" s="197">
        <v>5.0</v>
      </c>
      <c r="K1070" s="197">
        <v>5.0</v>
      </c>
      <c r="L1070" s="197">
        <v>5.0</v>
      </c>
      <c r="M1070" s="197">
        <v>5.0</v>
      </c>
      <c r="N1070" s="197">
        <v>5.0</v>
      </c>
      <c r="O1070" s="197">
        <v>5.0</v>
      </c>
      <c r="P1070" s="197">
        <v>5.0</v>
      </c>
      <c r="Q1070" s="197">
        <v>5.0</v>
      </c>
      <c r="R1070" s="197">
        <v>5.0</v>
      </c>
      <c r="S1070" s="197">
        <v>5.0</v>
      </c>
      <c r="T1070" s="197">
        <v>5.0</v>
      </c>
      <c r="U1070" s="197">
        <v>5.0</v>
      </c>
      <c r="V1070" s="197">
        <v>5.0</v>
      </c>
      <c r="W1070" s="197">
        <v>5.0</v>
      </c>
      <c r="X1070" s="196"/>
      <c r="Y1070" s="196"/>
      <c r="Z1070" s="196"/>
      <c r="AA1070" s="196"/>
      <c r="AB1070" s="196"/>
      <c r="AC1070" s="197">
        <v>5.0</v>
      </c>
      <c r="AD1070" s="198"/>
    </row>
    <row r="1071">
      <c r="A1071" s="193">
        <v>105239.0</v>
      </c>
      <c r="B1071" s="194" t="s">
        <v>2362</v>
      </c>
      <c r="C1071" s="192" t="s">
        <v>2363</v>
      </c>
      <c r="D1071" s="195">
        <v>45867.0</v>
      </c>
      <c r="E1071" s="192" t="s">
        <v>646</v>
      </c>
      <c r="F1071" s="196"/>
      <c r="G1071" s="196"/>
      <c r="H1071" s="197">
        <v>5.0</v>
      </c>
      <c r="I1071" s="197">
        <v>5.0</v>
      </c>
      <c r="J1071" s="197">
        <v>5.0</v>
      </c>
      <c r="K1071" s="197">
        <v>5.0</v>
      </c>
      <c r="L1071" s="197">
        <v>5.0</v>
      </c>
      <c r="M1071" s="197">
        <v>5.0</v>
      </c>
      <c r="N1071" s="197">
        <v>5.0</v>
      </c>
      <c r="O1071" s="197">
        <v>4.8</v>
      </c>
      <c r="P1071" s="197">
        <v>4.8</v>
      </c>
      <c r="Q1071" s="197">
        <v>4.8</v>
      </c>
      <c r="R1071" s="197">
        <v>4.8500000000000005</v>
      </c>
      <c r="S1071" s="197">
        <v>5.0</v>
      </c>
      <c r="T1071" s="197">
        <v>5.0</v>
      </c>
      <c r="U1071" s="197">
        <v>4.9</v>
      </c>
      <c r="V1071" s="197">
        <v>5.0</v>
      </c>
      <c r="W1071" s="197">
        <v>4.975</v>
      </c>
      <c r="X1071" s="196"/>
      <c r="Y1071" s="196"/>
      <c r="Z1071" s="196"/>
      <c r="AA1071" s="196"/>
      <c r="AB1071" s="196"/>
      <c r="AC1071" s="197">
        <v>4.941666666666667</v>
      </c>
      <c r="AD1071" s="198"/>
    </row>
    <row r="1072">
      <c r="A1072" s="193">
        <v>105062.0</v>
      </c>
      <c r="B1072" s="194" t="s">
        <v>2364</v>
      </c>
      <c r="C1072" s="192" t="s">
        <v>2365</v>
      </c>
      <c r="D1072" s="195">
        <v>45867.0</v>
      </c>
      <c r="E1072" s="192" t="s">
        <v>646</v>
      </c>
      <c r="F1072" s="196"/>
      <c r="G1072" s="196"/>
      <c r="H1072" s="197">
        <v>5.0</v>
      </c>
      <c r="I1072" s="197">
        <v>5.0</v>
      </c>
      <c r="J1072" s="197">
        <v>5.0</v>
      </c>
      <c r="K1072" s="197">
        <v>5.0</v>
      </c>
      <c r="L1072" s="197">
        <v>5.0</v>
      </c>
      <c r="M1072" s="197">
        <v>5.0</v>
      </c>
      <c r="N1072" s="197">
        <v>5.0</v>
      </c>
      <c r="O1072" s="197">
        <v>4.5</v>
      </c>
      <c r="P1072" s="197">
        <v>4.5</v>
      </c>
      <c r="Q1072" s="197">
        <v>4.5</v>
      </c>
      <c r="R1072" s="197">
        <v>4.625</v>
      </c>
      <c r="S1072" s="197">
        <v>4.9</v>
      </c>
      <c r="T1072" s="197">
        <v>4.5</v>
      </c>
      <c r="U1072" s="197">
        <v>4.5</v>
      </c>
      <c r="V1072" s="197">
        <v>4.5</v>
      </c>
      <c r="W1072" s="197">
        <v>4.6</v>
      </c>
      <c r="X1072" s="196"/>
      <c r="Y1072" s="196"/>
      <c r="Z1072" s="196"/>
      <c r="AA1072" s="196"/>
      <c r="AB1072" s="196"/>
      <c r="AC1072" s="197">
        <v>4.741666666666666</v>
      </c>
      <c r="AD1072" s="198"/>
    </row>
    <row r="1073">
      <c r="A1073" s="193">
        <v>105357.0</v>
      </c>
      <c r="B1073" s="194" t="s">
        <v>2366</v>
      </c>
      <c r="C1073" s="192" t="s">
        <v>2357</v>
      </c>
      <c r="D1073" s="195">
        <v>45799.0</v>
      </c>
      <c r="E1073" s="192" t="s">
        <v>254</v>
      </c>
      <c r="F1073" s="196"/>
      <c r="G1073" s="196"/>
      <c r="H1073" s="197">
        <v>4.0</v>
      </c>
      <c r="I1073" s="197">
        <v>4.0</v>
      </c>
      <c r="J1073" s="197">
        <v>4.0</v>
      </c>
      <c r="K1073" s="197">
        <v>4.0</v>
      </c>
      <c r="L1073" s="197">
        <v>4.0</v>
      </c>
      <c r="M1073" s="197">
        <v>4.0</v>
      </c>
      <c r="N1073" s="197">
        <v>4.0</v>
      </c>
      <c r="O1073" s="197">
        <v>5.0</v>
      </c>
      <c r="P1073" s="197">
        <v>5.0</v>
      </c>
      <c r="Q1073" s="197">
        <v>5.0</v>
      </c>
      <c r="R1073" s="197">
        <v>4.666666666666667</v>
      </c>
      <c r="S1073" s="197">
        <v>5.0</v>
      </c>
      <c r="T1073" s="197">
        <v>5.0</v>
      </c>
      <c r="U1073" s="197">
        <v>5.0</v>
      </c>
      <c r="V1073" s="197">
        <v>5.0</v>
      </c>
      <c r="W1073" s="197">
        <v>5.0</v>
      </c>
      <c r="X1073" s="196"/>
      <c r="Y1073" s="196"/>
      <c r="Z1073" s="196"/>
      <c r="AA1073" s="196"/>
      <c r="AB1073" s="196"/>
      <c r="AC1073" s="197">
        <v>4.555555555555556</v>
      </c>
      <c r="AD1073" s="198"/>
    </row>
    <row r="1074">
      <c r="A1074" s="193">
        <v>105147.0</v>
      </c>
      <c r="B1074" s="194" t="s">
        <v>2367</v>
      </c>
      <c r="C1074" s="192" t="s">
        <v>2368</v>
      </c>
      <c r="D1074" s="195">
        <v>45867.0</v>
      </c>
      <c r="E1074" s="192" t="s">
        <v>646</v>
      </c>
      <c r="F1074" s="196"/>
      <c r="G1074" s="196"/>
      <c r="H1074" s="197">
        <v>5.0</v>
      </c>
      <c r="I1074" s="197">
        <v>5.0</v>
      </c>
      <c r="J1074" s="197">
        <v>5.0</v>
      </c>
      <c r="K1074" s="197">
        <v>5.0</v>
      </c>
      <c r="L1074" s="197">
        <v>5.0</v>
      </c>
      <c r="M1074" s="197">
        <v>5.0</v>
      </c>
      <c r="N1074" s="197">
        <v>4.8</v>
      </c>
      <c r="O1074" s="197">
        <v>4.8</v>
      </c>
      <c r="P1074" s="197">
        <v>4.8</v>
      </c>
      <c r="Q1074" s="197">
        <v>4.8</v>
      </c>
      <c r="R1074" s="197">
        <v>4.8</v>
      </c>
      <c r="S1074" s="197">
        <v>4.8</v>
      </c>
      <c r="T1074" s="197">
        <v>4.8</v>
      </c>
      <c r="U1074" s="197">
        <v>4.8</v>
      </c>
      <c r="V1074" s="197">
        <v>4.8</v>
      </c>
      <c r="W1074" s="197">
        <v>4.8</v>
      </c>
      <c r="X1074" s="196"/>
      <c r="Y1074" s="196"/>
      <c r="Z1074" s="196"/>
      <c r="AA1074" s="196"/>
      <c r="AB1074" s="196"/>
      <c r="AC1074" s="197">
        <v>4.866666666666667</v>
      </c>
      <c r="AD1074" s="198"/>
    </row>
    <row r="1075">
      <c r="A1075" s="193">
        <v>105034.0</v>
      </c>
      <c r="B1075" s="194" t="s">
        <v>2369</v>
      </c>
      <c r="C1075" s="192" t="s">
        <v>2370</v>
      </c>
      <c r="D1075" s="195">
        <v>45867.0</v>
      </c>
      <c r="E1075" s="192" t="s">
        <v>646</v>
      </c>
      <c r="F1075" s="196"/>
      <c r="G1075" s="196"/>
      <c r="H1075" s="197">
        <v>5.0</v>
      </c>
      <c r="I1075" s="197">
        <v>5.0</v>
      </c>
      <c r="J1075" s="197">
        <v>5.0</v>
      </c>
      <c r="K1075" s="197">
        <v>5.0</v>
      </c>
      <c r="L1075" s="197">
        <v>5.0</v>
      </c>
      <c r="M1075" s="197">
        <v>5.0</v>
      </c>
      <c r="N1075" s="197">
        <v>4.8</v>
      </c>
      <c r="O1075" s="197">
        <v>4.8</v>
      </c>
      <c r="P1075" s="197">
        <v>4.8</v>
      </c>
      <c r="Q1075" s="197">
        <v>4.8</v>
      </c>
      <c r="R1075" s="197">
        <v>4.8</v>
      </c>
      <c r="S1075" s="197">
        <v>4.8</v>
      </c>
      <c r="T1075" s="197">
        <v>4.8</v>
      </c>
      <c r="U1075" s="197">
        <v>4.8</v>
      </c>
      <c r="V1075" s="197">
        <v>4.8</v>
      </c>
      <c r="W1075" s="197">
        <v>4.8</v>
      </c>
      <c r="X1075" s="196"/>
      <c r="Y1075" s="196"/>
      <c r="Z1075" s="196"/>
      <c r="AA1075" s="196"/>
      <c r="AB1075" s="196"/>
      <c r="AC1075" s="197">
        <v>4.866666666666667</v>
      </c>
      <c r="AD1075" s="198"/>
    </row>
    <row r="1076">
      <c r="A1076" s="193">
        <v>104680.0</v>
      </c>
      <c r="B1076" s="194" t="s">
        <v>2371</v>
      </c>
      <c r="C1076" s="192" t="s">
        <v>2372</v>
      </c>
      <c r="D1076" s="195">
        <v>45482.0</v>
      </c>
      <c r="E1076" s="192" t="s">
        <v>625</v>
      </c>
      <c r="F1076" s="196"/>
      <c r="G1076" s="196"/>
      <c r="H1076" s="197">
        <v>5.0</v>
      </c>
      <c r="I1076" s="197">
        <v>5.0</v>
      </c>
      <c r="J1076" s="197">
        <v>5.0</v>
      </c>
      <c r="K1076" s="197">
        <v>5.0</v>
      </c>
      <c r="L1076" s="197">
        <v>5.0</v>
      </c>
      <c r="M1076" s="197">
        <v>5.0</v>
      </c>
      <c r="N1076" s="197">
        <v>5.0</v>
      </c>
      <c r="O1076" s="197">
        <v>5.0</v>
      </c>
      <c r="P1076" s="197">
        <v>5.0</v>
      </c>
      <c r="Q1076" s="197">
        <v>5.0</v>
      </c>
      <c r="R1076" s="197">
        <v>5.0</v>
      </c>
      <c r="S1076" s="197">
        <v>5.0</v>
      </c>
      <c r="T1076" s="197">
        <v>5.0</v>
      </c>
      <c r="U1076" s="197">
        <v>5.0</v>
      </c>
      <c r="V1076" s="197">
        <v>5.0</v>
      </c>
      <c r="W1076" s="197">
        <v>5.0</v>
      </c>
      <c r="X1076" s="196"/>
      <c r="Y1076" s="196"/>
      <c r="Z1076" s="196"/>
      <c r="AA1076" s="196"/>
      <c r="AB1076" s="196"/>
      <c r="AC1076" s="197">
        <v>5.0</v>
      </c>
      <c r="AD1076" s="198"/>
    </row>
    <row r="1077">
      <c r="A1077" s="193">
        <v>105230.0</v>
      </c>
      <c r="B1077" s="194" t="s">
        <v>2373</v>
      </c>
      <c r="C1077" s="192" t="s">
        <v>2374</v>
      </c>
      <c r="D1077" s="195">
        <v>45867.0</v>
      </c>
      <c r="E1077" s="192" t="s">
        <v>871</v>
      </c>
      <c r="F1077" s="196"/>
      <c r="G1077" s="196"/>
      <c r="H1077" s="197">
        <v>5.0</v>
      </c>
      <c r="I1077" s="197">
        <v>5.0</v>
      </c>
      <c r="J1077" s="197">
        <v>5.0</v>
      </c>
      <c r="K1077" s="197">
        <v>5.0</v>
      </c>
      <c r="L1077" s="197">
        <v>5.0</v>
      </c>
      <c r="M1077" s="197">
        <v>5.0</v>
      </c>
      <c r="N1077" s="197">
        <v>4.8</v>
      </c>
      <c r="O1077" s="197">
        <v>4.5</v>
      </c>
      <c r="P1077" s="197">
        <v>4.8</v>
      </c>
      <c r="Q1077" s="197">
        <v>4.8</v>
      </c>
      <c r="R1077" s="197">
        <v>4.7250000000000005</v>
      </c>
      <c r="S1077" s="197">
        <v>4.0</v>
      </c>
      <c r="T1077" s="197">
        <v>4.0</v>
      </c>
      <c r="U1077" s="197">
        <v>4.0</v>
      </c>
      <c r="V1077" s="197">
        <v>4.0</v>
      </c>
      <c r="W1077" s="197">
        <v>4.0</v>
      </c>
      <c r="X1077" s="196"/>
      <c r="Y1077" s="196"/>
      <c r="Z1077" s="196"/>
      <c r="AA1077" s="196"/>
      <c r="AB1077" s="196"/>
      <c r="AC1077" s="197">
        <v>4.575</v>
      </c>
      <c r="AD1077" s="198"/>
    </row>
    <row r="1078">
      <c r="A1078" s="193">
        <v>104786.0</v>
      </c>
      <c r="B1078" s="194" t="s">
        <v>2375</v>
      </c>
      <c r="C1078" s="192" t="s">
        <v>2376</v>
      </c>
      <c r="D1078" s="195">
        <v>45867.0</v>
      </c>
      <c r="E1078" s="192" t="s">
        <v>625</v>
      </c>
      <c r="F1078" s="196"/>
      <c r="G1078" s="196"/>
      <c r="H1078" s="197">
        <v>5.0</v>
      </c>
      <c r="I1078" s="197">
        <v>5.0</v>
      </c>
      <c r="J1078" s="197">
        <v>5.0</v>
      </c>
      <c r="K1078" s="197">
        <v>5.0</v>
      </c>
      <c r="L1078" s="197">
        <v>5.0</v>
      </c>
      <c r="M1078" s="197">
        <v>5.0</v>
      </c>
      <c r="N1078" s="197">
        <v>5.0</v>
      </c>
      <c r="O1078" s="197">
        <v>5.0</v>
      </c>
      <c r="P1078" s="197">
        <v>5.0</v>
      </c>
      <c r="Q1078" s="197">
        <v>5.0</v>
      </c>
      <c r="R1078" s="197">
        <v>5.0</v>
      </c>
      <c r="S1078" s="197">
        <v>5.0</v>
      </c>
      <c r="T1078" s="197">
        <v>5.0</v>
      </c>
      <c r="U1078" s="197">
        <v>5.0</v>
      </c>
      <c r="V1078" s="197">
        <v>5.0</v>
      </c>
      <c r="W1078" s="197">
        <v>5.0</v>
      </c>
      <c r="X1078" s="196"/>
      <c r="Y1078" s="196"/>
      <c r="Z1078" s="196"/>
      <c r="AA1078" s="196"/>
      <c r="AB1078" s="196"/>
      <c r="AC1078" s="197">
        <v>5.0</v>
      </c>
      <c r="AD1078" s="198"/>
    </row>
    <row r="1079">
      <c r="A1079" s="193">
        <v>104668.0</v>
      </c>
      <c r="B1079" s="194" t="s">
        <v>2377</v>
      </c>
      <c r="C1079" s="192" t="s">
        <v>2378</v>
      </c>
      <c r="D1079" s="195">
        <v>45867.0</v>
      </c>
      <c r="E1079" s="192" t="s">
        <v>806</v>
      </c>
      <c r="F1079" s="196"/>
      <c r="G1079" s="196"/>
      <c r="H1079" s="197">
        <v>5.0</v>
      </c>
      <c r="I1079" s="197">
        <v>5.0</v>
      </c>
      <c r="J1079" s="197">
        <v>5.0</v>
      </c>
      <c r="K1079" s="197">
        <v>5.0</v>
      </c>
      <c r="L1079" s="197">
        <v>5.0</v>
      </c>
      <c r="M1079" s="197">
        <v>5.0</v>
      </c>
      <c r="N1079" s="197">
        <v>5.0</v>
      </c>
      <c r="O1079" s="197">
        <v>5.0</v>
      </c>
      <c r="P1079" s="197">
        <v>5.0</v>
      </c>
      <c r="Q1079" s="197">
        <v>5.0</v>
      </c>
      <c r="R1079" s="197">
        <v>5.0</v>
      </c>
      <c r="S1079" s="197">
        <v>5.0</v>
      </c>
      <c r="T1079" s="197">
        <v>5.0</v>
      </c>
      <c r="U1079" s="197">
        <v>5.0</v>
      </c>
      <c r="V1079" s="197">
        <v>5.0</v>
      </c>
      <c r="W1079" s="197">
        <v>5.0</v>
      </c>
      <c r="X1079" s="196"/>
      <c r="Y1079" s="196"/>
      <c r="Z1079" s="196"/>
      <c r="AA1079" s="196"/>
      <c r="AB1079" s="196"/>
      <c r="AC1079" s="197">
        <v>5.0</v>
      </c>
      <c r="AD1079" s="198"/>
    </row>
    <row r="1080">
      <c r="A1080" s="193">
        <v>104726.0</v>
      </c>
      <c r="B1080" s="194" t="s">
        <v>2379</v>
      </c>
      <c r="C1080" s="192" t="s">
        <v>2380</v>
      </c>
      <c r="D1080" s="195">
        <v>45867.0</v>
      </c>
      <c r="E1080" s="192" t="s">
        <v>625</v>
      </c>
      <c r="F1080" s="196"/>
      <c r="G1080" s="196"/>
      <c r="H1080" s="197">
        <v>5.0</v>
      </c>
      <c r="I1080" s="197">
        <v>5.0</v>
      </c>
      <c r="J1080" s="197">
        <v>5.0</v>
      </c>
      <c r="K1080" s="197">
        <v>5.0</v>
      </c>
      <c r="L1080" s="197">
        <v>5.0</v>
      </c>
      <c r="M1080" s="197">
        <v>5.0</v>
      </c>
      <c r="N1080" s="197">
        <v>5.0</v>
      </c>
      <c r="O1080" s="197">
        <v>5.0</v>
      </c>
      <c r="P1080" s="197">
        <v>4.0</v>
      </c>
      <c r="Q1080" s="197">
        <v>2.5</v>
      </c>
      <c r="R1080" s="197">
        <v>4.125</v>
      </c>
      <c r="S1080" s="197">
        <v>4.9</v>
      </c>
      <c r="T1080" s="197">
        <v>4.9</v>
      </c>
      <c r="U1080" s="197">
        <v>4.5</v>
      </c>
      <c r="V1080" s="197">
        <v>4.9</v>
      </c>
      <c r="W1080" s="197">
        <v>4.800000000000001</v>
      </c>
      <c r="X1080" s="196"/>
      <c r="Y1080" s="196"/>
      <c r="Z1080" s="196"/>
      <c r="AA1080" s="196"/>
      <c r="AB1080" s="196"/>
      <c r="AC1080" s="197">
        <v>4.641666666666667</v>
      </c>
      <c r="AD1080" s="198"/>
    </row>
    <row r="1081">
      <c r="A1081" s="193">
        <v>104788.0</v>
      </c>
      <c r="B1081" s="194" t="s">
        <v>2381</v>
      </c>
      <c r="C1081" s="192" t="s">
        <v>2382</v>
      </c>
      <c r="D1081" s="195">
        <v>45497.0</v>
      </c>
      <c r="E1081" s="192" t="s">
        <v>806</v>
      </c>
      <c r="F1081" s="196"/>
      <c r="G1081" s="196"/>
      <c r="H1081" s="197">
        <v>5.0</v>
      </c>
      <c r="I1081" s="197">
        <v>5.0</v>
      </c>
      <c r="J1081" s="197">
        <v>5.0</v>
      </c>
      <c r="K1081" s="197">
        <v>5.0</v>
      </c>
      <c r="L1081" s="197">
        <v>5.0</v>
      </c>
      <c r="M1081" s="197">
        <v>5.0</v>
      </c>
      <c r="N1081" s="197">
        <v>5.0</v>
      </c>
      <c r="O1081" s="197">
        <v>5.0</v>
      </c>
      <c r="P1081" s="197">
        <v>5.0</v>
      </c>
      <c r="Q1081" s="197">
        <v>5.0</v>
      </c>
      <c r="R1081" s="197">
        <v>5.0</v>
      </c>
      <c r="S1081" s="197">
        <v>5.0</v>
      </c>
      <c r="T1081" s="197">
        <v>5.0</v>
      </c>
      <c r="U1081" s="197">
        <v>5.0</v>
      </c>
      <c r="V1081" s="197"/>
      <c r="W1081" s="197">
        <v>5.0</v>
      </c>
      <c r="X1081" s="196"/>
      <c r="Y1081" s="196"/>
      <c r="Z1081" s="196"/>
      <c r="AA1081" s="196"/>
      <c r="AB1081" s="196"/>
      <c r="AC1081" s="197">
        <v>5.0</v>
      </c>
      <c r="AD1081" s="198"/>
    </row>
    <row r="1082">
      <c r="A1082" s="193">
        <v>105188.0</v>
      </c>
      <c r="B1082" s="194" t="s">
        <v>2383</v>
      </c>
      <c r="C1082" s="192" t="s">
        <v>2384</v>
      </c>
      <c r="D1082" s="195">
        <v>45867.0</v>
      </c>
      <c r="E1082" s="192" t="s">
        <v>646</v>
      </c>
      <c r="F1082" s="196"/>
      <c r="G1082" s="196"/>
      <c r="H1082" s="197">
        <v>5.0</v>
      </c>
      <c r="I1082" s="197">
        <v>5.0</v>
      </c>
      <c r="J1082" s="197">
        <v>5.0</v>
      </c>
      <c r="K1082" s="197">
        <v>5.0</v>
      </c>
      <c r="L1082" s="197">
        <v>5.0</v>
      </c>
      <c r="M1082" s="197">
        <v>5.0</v>
      </c>
      <c r="N1082" s="197">
        <v>4.4</v>
      </c>
      <c r="O1082" s="197">
        <v>4.4</v>
      </c>
      <c r="P1082" s="197">
        <v>4.4</v>
      </c>
      <c r="Q1082" s="197">
        <v>4.4</v>
      </c>
      <c r="R1082" s="197">
        <v>4.4</v>
      </c>
      <c r="S1082" s="197">
        <v>4.5</v>
      </c>
      <c r="T1082" s="197">
        <v>4.5</v>
      </c>
      <c r="U1082" s="197">
        <v>4.5</v>
      </c>
      <c r="V1082" s="197">
        <v>5.0</v>
      </c>
      <c r="W1082" s="197">
        <v>4.625</v>
      </c>
      <c r="X1082" s="196"/>
      <c r="Y1082" s="196"/>
      <c r="Z1082" s="196"/>
      <c r="AA1082" s="196"/>
      <c r="AB1082" s="196"/>
      <c r="AC1082" s="197">
        <v>4.675</v>
      </c>
      <c r="AD1082" s="198"/>
    </row>
    <row r="1083">
      <c r="A1083" s="193">
        <v>105508.0</v>
      </c>
      <c r="B1083" s="194" t="s">
        <v>2385</v>
      </c>
      <c r="C1083" s="192" t="s">
        <v>2386</v>
      </c>
      <c r="D1083" s="195">
        <v>45867.0</v>
      </c>
      <c r="E1083" s="192" t="s">
        <v>646</v>
      </c>
      <c r="F1083" s="196"/>
      <c r="G1083" s="196"/>
      <c r="H1083" s="197">
        <v>5.0</v>
      </c>
      <c r="I1083" s="197">
        <v>5.0</v>
      </c>
      <c r="J1083" s="197">
        <v>5.0</v>
      </c>
      <c r="K1083" s="197">
        <v>5.0</v>
      </c>
      <c r="L1083" s="197">
        <v>5.0</v>
      </c>
      <c r="M1083" s="197">
        <v>5.0</v>
      </c>
      <c r="N1083" s="197">
        <v>4.5</v>
      </c>
      <c r="O1083" s="197">
        <v>4.5</v>
      </c>
      <c r="P1083" s="197">
        <v>4.5</v>
      </c>
      <c r="Q1083" s="197">
        <v>4.5</v>
      </c>
      <c r="R1083" s="197">
        <v>4.5</v>
      </c>
      <c r="S1083" s="197">
        <v>5.0</v>
      </c>
      <c r="T1083" s="197">
        <v>5.0</v>
      </c>
      <c r="U1083" s="197">
        <v>5.0</v>
      </c>
      <c r="V1083" s="197">
        <v>5.0</v>
      </c>
      <c r="W1083" s="197">
        <v>5.0</v>
      </c>
      <c r="X1083" s="196"/>
      <c r="Y1083" s="196"/>
      <c r="Z1083" s="196"/>
      <c r="AA1083" s="196"/>
      <c r="AB1083" s="196"/>
      <c r="AC1083" s="197">
        <v>4.833333333333333</v>
      </c>
      <c r="AD1083" s="198"/>
    </row>
    <row r="1084">
      <c r="A1084" s="193">
        <v>105106.0</v>
      </c>
      <c r="B1084" s="194" t="s">
        <v>2387</v>
      </c>
      <c r="C1084" s="192" t="s">
        <v>2388</v>
      </c>
      <c r="D1084" s="195">
        <v>45867.0</v>
      </c>
      <c r="E1084" s="192" t="s">
        <v>646</v>
      </c>
      <c r="F1084" s="196"/>
      <c r="G1084" s="196"/>
      <c r="H1084" s="197">
        <v>5.0</v>
      </c>
      <c r="I1084" s="197">
        <v>5.0</v>
      </c>
      <c r="J1084" s="197">
        <v>5.0</v>
      </c>
      <c r="K1084" s="197">
        <v>5.0</v>
      </c>
      <c r="L1084" s="197">
        <v>5.0</v>
      </c>
      <c r="M1084" s="197">
        <v>5.0</v>
      </c>
      <c r="N1084" s="197">
        <v>4.4</v>
      </c>
      <c r="O1084" s="197">
        <v>4.4</v>
      </c>
      <c r="P1084" s="197">
        <v>4.4</v>
      </c>
      <c r="Q1084" s="197">
        <v>4.4</v>
      </c>
      <c r="R1084" s="197">
        <v>4.4</v>
      </c>
      <c r="S1084" s="197">
        <v>4.0</v>
      </c>
      <c r="T1084" s="197">
        <v>4.5</v>
      </c>
      <c r="U1084" s="197">
        <v>4.0</v>
      </c>
      <c r="V1084" s="197">
        <v>5.0</v>
      </c>
      <c r="W1084" s="197">
        <v>4.375</v>
      </c>
      <c r="X1084" s="196"/>
      <c r="Y1084" s="196"/>
      <c r="Z1084" s="196"/>
      <c r="AA1084" s="196"/>
      <c r="AB1084" s="196"/>
      <c r="AC1084" s="197">
        <v>4.591666666666667</v>
      </c>
      <c r="AD1084" s="198"/>
    </row>
    <row r="1085">
      <c r="A1085" s="193">
        <v>105288.0</v>
      </c>
      <c r="B1085" s="194" t="s">
        <v>2263</v>
      </c>
      <c r="C1085" s="192" t="s">
        <v>2264</v>
      </c>
      <c r="D1085" s="195">
        <v>45867.0</v>
      </c>
      <c r="E1085" s="192" t="s">
        <v>646</v>
      </c>
      <c r="F1085" s="196"/>
      <c r="G1085" s="196"/>
      <c r="H1085" s="197">
        <v>5.0</v>
      </c>
      <c r="I1085" s="197">
        <v>5.0</v>
      </c>
      <c r="J1085" s="197">
        <v>5.0</v>
      </c>
      <c r="K1085" s="197">
        <v>5.0</v>
      </c>
      <c r="L1085" s="197">
        <v>5.0</v>
      </c>
      <c r="M1085" s="197">
        <v>5.0</v>
      </c>
      <c r="N1085" s="197">
        <v>5.0</v>
      </c>
      <c r="O1085" s="197">
        <v>5.0</v>
      </c>
      <c r="P1085" s="197">
        <v>5.0</v>
      </c>
      <c r="Q1085" s="197">
        <v>5.0</v>
      </c>
      <c r="R1085" s="197">
        <v>5.0</v>
      </c>
      <c r="S1085" s="197">
        <v>5.0</v>
      </c>
      <c r="T1085" s="197">
        <v>5.0</v>
      </c>
      <c r="U1085" s="197">
        <v>5.0</v>
      </c>
      <c r="V1085" s="197">
        <v>5.0</v>
      </c>
      <c r="W1085" s="197">
        <v>5.0</v>
      </c>
      <c r="X1085" s="196"/>
      <c r="Y1085" s="196"/>
      <c r="Z1085" s="196"/>
      <c r="AA1085" s="196"/>
      <c r="AB1085" s="196"/>
      <c r="AC1085" s="197">
        <v>5.0</v>
      </c>
      <c r="AD1085" s="198"/>
    </row>
    <row r="1086">
      <c r="A1086" s="193">
        <v>104793.0</v>
      </c>
      <c r="B1086" s="194" t="s">
        <v>2389</v>
      </c>
      <c r="C1086" s="192" t="s">
        <v>2390</v>
      </c>
      <c r="D1086" s="195">
        <v>45867.0</v>
      </c>
      <c r="E1086" s="192" t="s">
        <v>326</v>
      </c>
      <c r="F1086" s="196"/>
      <c r="G1086" s="196"/>
      <c r="H1086" s="197">
        <v>5.0</v>
      </c>
      <c r="I1086" s="197">
        <v>5.0</v>
      </c>
      <c r="J1086" s="197">
        <v>5.0</v>
      </c>
      <c r="K1086" s="197">
        <v>5.0</v>
      </c>
      <c r="L1086" s="197">
        <v>5.0</v>
      </c>
      <c r="M1086" s="197">
        <v>5.0</v>
      </c>
      <c r="N1086" s="197">
        <v>5.0</v>
      </c>
      <c r="O1086" s="197">
        <v>5.0</v>
      </c>
      <c r="P1086" s="197">
        <v>5.0</v>
      </c>
      <c r="Q1086" s="197">
        <v>4.5</v>
      </c>
      <c r="R1086" s="197">
        <v>4.875</v>
      </c>
      <c r="S1086" s="197">
        <v>5.0</v>
      </c>
      <c r="T1086" s="197">
        <v>5.0</v>
      </c>
      <c r="U1086" s="197">
        <v>5.0</v>
      </c>
      <c r="V1086" s="197">
        <v>5.0</v>
      </c>
      <c r="W1086" s="197">
        <v>5.0</v>
      </c>
      <c r="X1086" s="196"/>
      <c r="Y1086" s="196"/>
      <c r="Z1086" s="196"/>
      <c r="AA1086" s="196"/>
      <c r="AB1086" s="196"/>
      <c r="AC1086" s="197">
        <v>4.958333333333333</v>
      </c>
      <c r="AD1086" s="198"/>
    </row>
    <row r="1087">
      <c r="A1087" s="193">
        <v>104615.0</v>
      </c>
      <c r="B1087" s="194" t="s">
        <v>2391</v>
      </c>
      <c r="C1087" s="192" t="s">
        <v>2392</v>
      </c>
      <c r="D1087" s="195">
        <v>45867.0</v>
      </c>
      <c r="E1087" s="192" t="s">
        <v>625</v>
      </c>
      <c r="F1087" s="196"/>
      <c r="G1087" s="196"/>
      <c r="H1087" s="197">
        <v>5.0</v>
      </c>
      <c r="I1087" s="197">
        <v>5.0</v>
      </c>
      <c r="J1087" s="197">
        <v>5.0</v>
      </c>
      <c r="K1087" s="197">
        <v>5.0</v>
      </c>
      <c r="L1087" s="197">
        <v>5.0</v>
      </c>
      <c r="M1087" s="197">
        <v>5.0</v>
      </c>
      <c r="N1087" s="197">
        <v>5.0</v>
      </c>
      <c r="O1087" s="197">
        <v>5.0</v>
      </c>
      <c r="P1087" s="197">
        <v>5.0</v>
      </c>
      <c r="Q1087" s="197">
        <v>5.0</v>
      </c>
      <c r="R1087" s="197">
        <v>5.0</v>
      </c>
      <c r="S1087" s="197">
        <v>5.0</v>
      </c>
      <c r="T1087" s="197">
        <v>5.0</v>
      </c>
      <c r="U1087" s="197">
        <v>5.0</v>
      </c>
      <c r="V1087" s="197">
        <v>5.0</v>
      </c>
      <c r="W1087" s="197">
        <v>5.0</v>
      </c>
      <c r="X1087" s="196"/>
      <c r="Y1087" s="196"/>
      <c r="Z1087" s="196"/>
      <c r="AA1087" s="196"/>
      <c r="AB1087" s="196"/>
      <c r="AC1087" s="197">
        <v>5.0</v>
      </c>
      <c r="AD1087" s="198"/>
    </row>
    <row r="1088">
      <c r="A1088" s="193">
        <v>104652.0</v>
      </c>
      <c r="B1088" s="194" t="s">
        <v>2394</v>
      </c>
      <c r="C1088" s="192" t="s">
        <v>2395</v>
      </c>
      <c r="D1088" s="195">
        <v>45867.0</v>
      </c>
      <c r="E1088" s="192" t="s">
        <v>326</v>
      </c>
      <c r="F1088" s="196"/>
      <c r="G1088" s="196"/>
      <c r="H1088" s="197">
        <v>5.0</v>
      </c>
      <c r="I1088" s="197">
        <v>5.0</v>
      </c>
      <c r="J1088" s="197">
        <v>5.0</v>
      </c>
      <c r="K1088" s="197">
        <v>5.0</v>
      </c>
      <c r="L1088" s="197">
        <v>5.0</v>
      </c>
      <c r="M1088" s="197">
        <v>5.0</v>
      </c>
      <c r="N1088" s="197">
        <v>5.0</v>
      </c>
      <c r="O1088" s="197">
        <v>5.0</v>
      </c>
      <c r="P1088" s="197">
        <v>5.0</v>
      </c>
      <c r="Q1088" s="197">
        <v>5.0</v>
      </c>
      <c r="R1088" s="197">
        <v>5.0</v>
      </c>
      <c r="S1088" s="197">
        <v>5.0</v>
      </c>
      <c r="T1088" s="197">
        <v>5.0</v>
      </c>
      <c r="U1088" s="197">
        <v>5.0</v>
      </c>
      <c r="V1088" s="197">
        <v>5.0</v>
      </c>
      <c r="W1088" s="197">
        <v>5.0</v>
      </c>
      <c r="X1088" s="196"/>
      <c r="Y1088" s="196"/>
      <c r="Z1088" s="196"/>
      <c r="AA1088" s="196"/>
      <c r="AB1088" s="196"/>
      <c r="AC1088" s="197">
        <v>5.0</v>
      </c>
      <c r="AD1088" s="198"/>
    </row>
    <row r="1089">
      <c r="A1089" s="193">
        <v>104679.0</v>
      </c>
      <c r="B1089" s="194" t="s">
        <v>2396</v>
      </c>
      <c r="C1089" s="192" t="s">
        <v>2397</v>
      </c>
      <c r="D1089" s="195">
        <v>45867.0</v>
      </c>
      <c r="E1089" s="192" t="s">
        <v>625</v>
      </c>
      <c r="F1089" s="196"/>
      <c r="G1089" s="196"/>
      <c r="H1089" s="197">
        <v>5.0</v>
      </c>
      <c r="I1089" s="197">
        <v>5.0</v>
      </c>
      <c r="J1089" s="197">
        <v>5.0</v>
      </c>
      <c r="K1089" s="197">
        <v>5.0</v>
      </c>
      <c r="L1089" s="197">
        <v>5.0</v>
      </c>
      <c r="M1089" s="197">
        <v>5.0</v>
      </c>
      <c r="N1089" s="197">
        <v>5.0</v>
      </c>
      <c r="O1089" s="197">
        <v>5.0</v>
      </c>
      <c r="P1089" s="197">
        <v>5.0</v>
      </c>
      <c r="Q1089" s="197">
        <v>5.0</v>
      </c>
      <c r="R1089" s="197">
        <v>5.0</v>
      </c>
      <c r="S1089" s="197">
        <v>5.0</v>
      </c>
      <c r="T1089" s="197">
        <v>5.0</v>
      </c>
      <c r="U1089" s="197">
        <v>5.0</v>
      </c>
      <c r="V1089" s="197">
        <v>5.0</v>
      </c>
      <c r="W1089" s="197">
        <v>5.0</v>
      </c>
      <c r="X1089" s="196"/>
      <c r="Y1089" s="196"/>
      <c r="Z1089" s="196"/>
      <c r="AA1089" s="196"/>
      <c r="AB1089" s="196"/>
      <c r="AC1089" s="197">
        <v>5.0</v>
      </c>
      <c r="AD1089" s="198"/>
    </row>
    <row r="1090">
      <c r="A1090" s="193">
        <v>104790.0</v>
      </c>
      <c r="B1090" s="194" t="s">
        <v>2398</v>
      </c>
      <c r="C1090" s="192" t="s">
        <v>2399</v>
      </c>
      <c r="D1090" s="195">
        <v>45867.0</v>
      </c>
      <c r="E1090" s="192" t="s">
        <v>113</v>
      </c>
      <c r="F1090" s="196"/>
      <c r="G1090" s="196"/>
      <c r="H1090" s="197">
        <v>5.0</v>
      </c>
      <c r="I1090" s="197">
        <v>5.0</v>
      </c>
      <c r="J1090" s="197">
        <v>5.0</v>
      </c>
      <c r="K1090" s="197">
        <v>5.0</v>
      </c>
      <c r="L1090" s="197">
        <v>5.0</v>
      </c>
      <c r="M1090" s="197">
        <v>5.0</v>
      </c>
      <c r="N1090" s="197">
        <v>5.0</v>
      </c>
      <c r="O1090" s="197">
        <v>5.0</v>
      </c>
      <c r="P1090" s="197">
        <v>5.0</v>
      </c>
      <c r="Q1090" s="197">
        <v>5.0</v>
      </c>
      <c r="R1090" s="197">
        <v>5.0</v>
      </c>
      <c r="S1090" s="197">
        <v>5.0</v>
      </c>
      <c r="T1090" s="197">
        <v>5.0</v>
      </c>
      <c r="U1090" s="197">
        <v>5.0</v>
      </c>
      <c r="V1090" s="197">
        <v>5.0</v>
      </c>
      <c r="W1090" s="197">
        <v>5.0</v>
      </c>
      <c r="X1090" s="196"/>
      <c r="Y1090" s="196"/>
      <c r="Z1090" s="196"/>
      <c r="AA1090" s="196"/>
      <c r="AB1090" s="196"/>
      <c r="AC1090" s="197">
        <v>5.0</v>
      </c>
      <c r="AD1090" s="198"/>
    </row>
    <row r="1091">
      <c r="A1091" s="193">
        <v>105780.0</v>
      </c>
      <c r="B1091" s="194" t="s">
        <v>2400</v>
      </c>
      <c r="C1091" s="192" t="s">
        <v>2401</v>
      </c>
      <c r="D1091" s="195">
        <v>45867.0</v>
      </c>
      <c r="E1091" s="192" t="s">
        <v>254</v>
      </c>
      <c r="F1091" s="196"/>
      <c r="G1091" s="196"/>
      <c r="H1091" s="197">
        <v>4.5</v>
      </c>
      <c r="I1091" s="197">
        <v>4.5</v>
      </c>
      <c r="J1091" s="197">
        <v>4.5</v>
      </c>
      <c r="K1091" s="197">
        <v>4.5</v>
      </c>
      <c r="L1091" s="197">
        <v>4.5</v>
      </c>
      <c r="M1091" s="197">
        <v>4.5</v>
      </c>
      <c r="N1091" s="197">
        <v>4.5</v>
      </c>
      <c r="O1091" s="197">
        <v>4.5</v>
      </c>
      <c r="P1091" s="197">
        <v>4.5</v>
      </c>
      <c r="Q1091" s="197">
        <v>4.5</v>
      </c>
      <c r="R1091" s="197">
        <v>4.5</v>
      </c>
      <c r="S1091" s="197">
        <v>5.0</v>
      </c>
      <c r="T1091" s="197">
        <v>5.0</v>
      </c>
      <c r="U1091" s="197">
        <v>5.0</v>
      </c>
      <c r="V1091" s="197">
        <v>5.0</v>
      </c>
      <c r="W1091" s="197">
        <v>5.0</v>
      </c>
      <c r="X1091" s="196"/>
      <c r="Y1091" s="196"/>
      <c r="Z1091" s="196"/>
      <c r="AA1091" s="196"/>
      <c r="AB1091" s="196"/>
      <c r="AC1091" s="197">
        <v>4.666666666666667</v>
      </c>
      <c r="AD1091" s="198"/>
    </row>
    <row r="1092">
      <c r="A1092" s="193">
        <v>105693.0</v>
      </c>
      <c r="B1092" s="194" t="s">
        <v>2402</v>
      </c>
      <c r="C1092" s="192" t="s">
        <v>2403</v>
      </c>
      <c r="D1092" s="195">
        <v>46178.0</v>
      </c>
      <c r="E1092" s="192" t="s">
        <v>113</v>
      </c>
      <c r="F1092" s="196"/>
      <c r="G1092" s="196"/>
      <c r="H1092" s="197">
        <v>5.0</v>
      </c>
      <c r="I1092" s="197">
        <v>5.0</v>
      </c>
      <c r="J1092" s="197">
        <v>5.0</v>
      </c>
      <c r="K1092" s="197">
        <v>5.0</v>
      </c>
      <c r="L1092" s="197">
        <v>5.0</v>
      </c>
      <c r="M1092" s="197">
        <v>5.0</v>
      </c>
      <c r="N1092" s="197">
        <v>5.0</v>
      </c>
      <c r="O1092" s="197">
        <v>5.0</v>
      </c>
      <c r="P1092" s="197">
        <v>5.0</v>
      </c>
      <c r="Q1092" s="197">
        <v>5.0</v>
      </c>
      <c r="R1092" s="197">
        <v>5.0</v>
      </c>
      <c r="S1092" s="197">
        <v>5.0</v>
      </c>
      <c r="T1092" s="197">
        <v>5.0</v>
      </c>
      <c r="U1092" s="197">
        <v>5.0</v>
      </c>
      <c r="V1092" s="197">
        <v>5.0</v>
      </c>
      <c r="W1092" s="197">
        <v>5.0</v>
      </c>
      <c r="X1092" s="196"/>
      <c r="Y1092" s="196"/>
      <c r="Z1092" s="196"/>
      <c r="AA1092" s="196"/>
      <c r="AB1092" s="196"/>
      <c r="AC1092" s="197">
        <v>5.0</v>
      </c>
      <c r="AD1092" s="198"/>
    </row>
    <row r="1093">
      <c r="A1093" s="193">
        <v>106096.0</v>
      </c>
      <c r="B1093" s="194" t="s">
        <v>2404</v>
      </c>
      <c r="C1093" s="192" t="s">
        <v>2405</v>
      </c>
      <c r="D1093" s="195">
        <v>45889.0</v>
      </c>
      <c r="E1093" s="192" t="s">
        <v>254</v>
      </c>
      <c r="F1093" s="196"/>
      <c r="G1093" s="196"/>
      <c r="H1093" s="197">
        <v>5.0</v>
      </c>
      <c r="I1093" s="197">
        <v>5.0</v>
      </c>
      <c r="J1093" s="197">
        <v>5.0</v>
      </c>
      <c r="K1093" s="197">
        <v>5.0</v>
      </c>
      <c r="L1093" s="197">
        <v>5.0</v>
      </c>
      <c r="M1093" s="197">
        <v>5.0</v>
      </c>
      <c r="N1093" s="197">
        <v>5.0</v>
      </c>
      <c r="O1093" s="197">
        <v>5.0</v>
      </c>
      <c r="P1093" s="197">
        <v>5.0</v>
      </c>
      <c r="Q1093" s="197">
        <v>5.0</v>
      </c>
      <c r="R1093" s="197">
        <v>5.0</v>
      </c>
      <c r="S1093" s="197">
        <v>5.0</v>
      </c>
      <c r="T1093" s="197">
        <v>5.0</v>
      </c>
      <c r="U1093" s="197">
        <v>5.0</v>
      </c>
      <c r="V1093" s="197">
        <v>5.0</v>
      </c>
      <c r="W1093" s="197">
        <v>5.0</v>
      </c>
      <c r="X1093" s="196"/>
      <c r="Y1093" s="196"/>
      <c r="Z1093" s="196"/>
      <c r="AA1093" s="196"/>
      <c r="AB1093" s="196"/>
      <c r="AC1093" s="197">
        <v>5.0</v>
      </c>
      <c r="AD1093" s="198"/>
    </row>
    <row r="1094">
      <c r="A1094" s="193">
        <v>106103.0</v>
      </c>
      <c r="B1094" s="194" t="s">
        <v>2406</v>
      </c>
      <c r="C1094" s="192" t="s">
        <v>2407</v>
      </c>
      <c r="D1094" s="195">
        <v>45889.0</v>
      </c>
      <c r="E1094" s="192" t="s">
        <v>254</v>
      </c>
      <c r="F1094" s="196"/>
      <c r="G1094" s="196"/>
      <c r="H1094" s="197">
        <v>5.0</v>
      </c>
      <c r="I1094" s="197">
        <v>5.0</v>
      </c>
      <c r="J1094" s="197">
        <v>5.0</v>
      </c>
      <c r="K1094" s="197">
        <v>5.0</v>
      </c>
      <c r="L1094" s="197">
        <v>5.0</v>
      </c>
      <c r="M1094" s="197">
        <v>5.0</v>
      </c>
      <c r="N1094" s="197">
        <v>5.0</v>
      </c>
      <c r="O1094" s="197">
        <v>5.0</v>
      </c>
      <c r="P1094" s="197">
        <v>5.0</v>
      </c>
      <c r="Q1094" s="197">
        <v>5.0</v>
      </c>
      <c r="R1094" s="197">
        <v>5.0</v>
      </c>
      <c r="S1094" s="197">
        <v>5.0</v>
      </c>
      <c r="T1094" s="197">
        <v>5.0</v>
      </c>
      <c r="U1094" s="197">
        <v>5.0</v>
      </c>
      <c r="V1094" s="197">
        <v>5.0</v>
      </c>
      <c r="W1094" s="197">
        <v>5.0</v>
      </c>
      <c r="X1094" s="196"/>
      <c r="Y1094" s="196"/>
      <c r="Z1094" s="196"/>
      <c r="AA1094" s="196"/>
      <c r="AB1094" s="196"/>
      <c r="AC1094" s="197">
        <v>5.0</v>
      </c>
      <c r="AD1094" s="198"/>
    </row>
    <row r="1095">
      <c r="A1095" s="193">
        <v>106051.0</v>
      </c>
      <c r="B1095" s="194" t="s">
        <v>2400</v>
      </c>
      <c r="C1095" s="192" t="s">
        <v>2408</v>
      </c>
      <c r="D1095" s="195">
        <v>46228.0</v>
      </c>
      <c r="E1095" s="192" t="s">
        <v>360</v>
      </c>
      <c r="F1095" s="196"/>
      <c r="G1095" s="196"/>
      <c r="H1095" s="197">
        <v>5.0</v>
      </c>
      <c r="I1095" s="197">
        <v>5.0</v>
      </c>
      <c r="J1095" s="197">
        <v>5.0</v>
      </c>
      <c r="K1095" s="197">
        <v>5.0</v>
      </c>
      <c r="L1095" s="197">
        <v>4.5</v>
      </c>
      <c r="M1095" s="197">
        <v>4.9</v>
      </c>
      <c r="N1095" s="197">
        <v>5.0</v>
      </c>
      <c r="O1095" s="197">
        <v>5.0</v>
      </c>
      <c r="P1095" s="197">
        <v>5.0</v>
      </c>
      <c r="Q1095" s="197">
        <v>5.0</v>
      </c>
      <c r="R1095" s="197">
        <v>5.0</v>
      </c>
      <c r="S1095" s="197">
        <v>5.0</v>
      </c>
      <c r="T1095" s="197">
        <v>5.0</v>
      </c>
      <c r="U1095" s="197">
        <v>5.0</v>
      </c>
      <c r="V1095" s="197">
        <v>5.0</v>
      </c>
      <c r="W1095" s="197">
        <v>5.0</v>
      </c>
      <c r="X1095" s="196"/>
      <c r="Y1095" s="196"/>
      <c r="Z1095" s="196"/>
      <c r="AA1095" s="196"/>
      <c r="AB1095" s="196"/>
      <c r="AC1095" s="197">
        <v>4.966666666666667</v>
      </c>
      <c r="AD1095" s="198"/>
    </row>
    <row r="1096">
      <c r="A1096" s="193">
        <v>105961.0</v>
      </c>
      <c r="B1096" s="194" t="s">
        <v>2409</v>
      </c>
      <c r="C1096" s="192" t="s">
        <v>2410</v>
      </c>
      <c r="D1096" s="195">
        <v>46207.0</v>
      </c>
      <c r="E1096" s="192" t="s">
        <v>360</v>
      </c>
      <c r="F1096" s="196"/>
      <c r="G1096" s="196"/>
      <c r="H1096" s="197">
        <v>5.0</v>
      </c>
      <c r="I1096" s="197">
        <v>5.0</v>
      </c>
      <c r="J1096" s="197">
        <v>5.0</v>
      </c>
      <c r="K1096" s="197">
        <v>5.0</v>
      </c>
      <c r="L1096" s="197">
        <v>4.5</v>
      </c>
      <c r="M1096" s="197">
        <v>4.9</v>
      </c>
      <c r="N1096" s="197">
        <v>5.0</v>
      </c>
      <c r="O1096" s="197">
        <v>5.0</v>
      </c>
      <c r="P1096" s="197">
        <v>5.0</v>
      </c>
      <c r="Q1096" s="197">
        <v>5.0</v>
      </c>
      <c r="R1096" s="197">
        <v>5.0</v>
      </c>
      <c r="S1096" s="197">
        <v>5.0</v>
      </c>
      <c r="T1096" s="197">
        <v>5.0</v>
      </c>
      <c r="U1096" s="197">
        <v>5.0</v>
      </c>
      <c r="V1096" s="197">
        <v>5.0</v>
      </c>
      <c r="W1096" s="197">
        <v>5.0</v>
      </c>
      <c r="X1096" s="196"/>
      <c r="Y1096" s="196"/>
      <c r="Z1096" s="196"/>
      <c r="AA1096" s="196"/>
      <c r="AB1096" s="196"/>
      <c r="AC1096" s="197">
        <v>4.966666666666667</v>
      </c>
      <c r="AD1096" s="198"/>
    </row>
    <row r="1097">
      <c r="A1097" s="193">
        <v>105598.0</v>
      </c>
      <c r="B1097" s="194" t="s">
        <v>2411</v>
      </c>
      <c r="C1097" s="192" t="s">
        <v>2412</v>
      </c>
      <c r="D1097" s="195">
        <v>46144.0</v>
      </c>
      <c r="E1097" s="192" t="s">
        <v>2164</v>
      </c>
      <c r="F1097" s="196"/>
      <c r="G1097" s="196"/>
      <c r="H1097" s="197">
        <v>3.0</v>
      </c>
      <c r="I1097" s="197">
        <v>3.0</v>
      </c>
      <c r="J1097" s="197">
        <v>3.0</v>
      </c>
      <c r="K1097" s="197">
        <v>3.0</v>
      </c>
      <c r="L1097" s="197">
        <v>3.0</v>
      </c>
      <c r="M1097" s="197">
        <v>3.0</v>
      </c>
      <c r="N1097" s="197">
        <v>3.0</v>
      </c>
      <c r="O1097" s="197">
        <v>3.0</v>
      </c>
      <c r="P1097" s="197">
        <v>3.0</v>
      </c>
      <c r="Q1097" s="197">
        <v>3.0</v>
      </c>
      <c r="R1097" s="197">
        <v>3.0</v>
      </c>
      <c r="S1097" s="197">
        <v>3.0</v>
      </c>
      <c r="T1097" s="197">
        <v>3.0</v>
      </c>
      <c r="U1097" s="197">
        <v>3.0</v>
      </c>
      <c r="V1097" s="197">
        <v>3.0</v>
      </c>
      <c r="W1097" s="197">
        <v>3.0</v>
      </c>
      <c r="X1097" s="196"/>
      <c r="Y1097" s="196"/>
      <c r="Z1097" s="196"/>
      <c r="AA1097" s="196"/>
      <c r="AB1097" s="196"/>
      <c r="AC1097" s="197">
        <v>3.0</v>
      </c>
      <c r="AD1097" s="198"/>
    </row>
    <row r="1098">
      <c r="A1098" s="193">
        <v>106145.0</v>
      </c>
      <c r="B1098" s="194" t="s">
        <v>2413</v>
      </c>
      <c r="C1098" s="192" t="s">
        <v>2414</v>
      </c>
      <c r="D1098" s="195">
        <v>45905.0</v>
      </c>
      <c r="E1098" s="192" t="s">
        <v>2167</v>
      </c>
      <c r="F1098" s="196"/>
      <c r="G1098" s="196"/>
      <c r="H1098" s="197">
        <v>5.0</v>
      </c>
      <c r="I1098" s="197">
        <v>5.0</v>
      </c>
      <c r="J1098" s="197">
        <v>5.0</v>
      </c>
      <c r="K1098" s="197">
        <v>5.0</v>
      </c>
      <c r="L1098" s="197">
        <v>4.0</v>
      </c>
      <c r="M1098" s="197">
        <v>4.8</v>
      </c>
      <c r="N1098" s="197">
        <v>5.0</v>
      </c>
      <c r="O1098" s="197">
        <v>5.0</v>
      </c>
      <c r="P1098" s="197">
        <v>5.0</v>
      </c>
      <c r="Q1098" s="197">
        <v>5.0</v>
      </c>
      <c r="R1098" s="197">
        <v>5.0</v>
      </c>
      <c r="S1098" s="197">
        <v>5.0</v>
      </c>
      <c r="T1098" s="197">
        <v>5.0</v>
      </c>
      <c r="U1098" s="197">
        <v>5.0</v>
      </c>
      <c r="V1098" s="197">
        <v>5.0</v>
      </c>
      <c r="W1098" s="197">
        <v>5.0</v>
      </c>
      <c r="X1098" s="196"/>
      <c r="Y1098" s="196"/>
      <c r="Z1098" s="196"/>
      <c r="AA1098" s="196"/>
      <c r="AB1098" s="196"/>
      <c r="AC1098" s="197">
        <v>4.933333333333334</v>
      </c>
      <c r="AD1098" s="198"/>
    </row>
    <row r="1099">
      <c r="A1099" s="193">
        <v>105220.0</v>
      </c>
      <c r="B1099" s="194" t="s">
        <v>2415</v>
      </c>
      <c r="C1099" s="192" t="s">
        <v>2416</v>
      </c>
      <c r="D1099" s="195">
        <v>46342.0</v>
      </c>
      <c r="E1099" s="192" t="s">
        <v>254</v>
      </c>
      <c r="F1099" s="196"/>
      <c r="G1099" s="196"/>
      <c r="H1099" s="197">
        <v>5.0</v>
      </c>
      <c r="I1099" s="197">
        <v>5.0</v>
      </c>
      <c r="J1099" s="197">
        <v>5.0</v>
      </c>
      <c r="K1099" s="197">
        <v>5.0</v>
      </c>
      <c r="L1099" s="197">
        <v>5.0</v>
      </c>
      <c r="M1099" s="197">
        <v>5.0</v>
      </c>
      <c r="N1099" s="197">
        <v>5.0</v>
      </c>
      <c r="O1099" s="197">
        <v>5.0</v>
      </c>
      <c r="P1099" s="197">
        <v>5.0</v>
      </c>
      <c r="Q1099" s="197">
        <v>5.0</v>
      </c>
      <c r="R1099" s="197">
        <v>5.0</v>
      </c>
      <c r="S1099" s="197">
        <v>5.0</v>
      </c>
      <c r="T1099" s="197">
        <v>5.0</v>
      </c>
      <c r="U1099" s="197">
        <v>5.0</v>
      </c>
      <c r="V1099" s="197">
        <v>5.0</v>
      </c>
      <c r="W1099" s="197">
        <v>5.0</v>
      </c>
      <c r="X1099" s="196"/>
      <c r="Y1099" s="196"/>
      <c r="Z1099" s="196"/>
      <c r="AA1099" s="196"/>
      <c r="AB1099" s="196"/>
      <c r="AC1099" s="197">
        <v>5.0</v>
      </c>
      <c r="AD1099" s="198"/>
    </row>
    <row r="1100">
      <c r="A1100" s="193">
        <v>105366.0</v>
      </c>
      <c r="B1100" s="194" t="s">
        <v>2418</v>
      </c>
      <c r="C1100" s="192" t="s">
        <v>2419</v>
      </c>
      <c r="D1100" s="195">
        <v>45670.0</v>
      </c>
      <c r="E1100" s="192" t="s">
        <v>2170</v>
      </c>
      <c r="F1100" s="196"/>
      <c r="G1100" s="196"/>
      <c r="H1100" s="197">
        <v>5.0</v>
      </c>
      <c r="I1100" s="197">
        <v>5.0</v>
      </c>
      <c r="J1100" s="197">
        <v>5.0</v>
      </c>
      <c r="K1100" s="197">
        <v>5.0</v>
      </c>
      <c r="L1100" s="197">
        <v>4.0</v>
      </c>
      <c r="M1100" s="197">
        <v>4.8</v>
      </c>
      <c r="N1100" s="197">
        <v>5.0</v>
      </c>
      <c r="O1100" s="197">
        <v>5.0</v>
      </c>
      <c r="P1100" s="197">
        <v>5.0</v>
      </c>
      <c r="Q1100" s="197">
        <v>5.0</v>
      </c>
      <c r="R1100" s="197">
        <v>5.0</v>
      </c>
      <c r="S1100" s="197">
        <v>4.5</v>
      </c>
      <c r="T1100" s="197">
        <v>4.5</v>
      </c>
      <c r="U1100" s="197">
        <v>4.5</v>
      </c>
      <c r="V1100" s="197">
        <v>4.5</v>
      </c>
      <c r="W1100" s="197">
        <v>4.5</v>
      </c>
      <c r="X1100" s="196"/>
      <c r="Y1100" s="196"/>
      <c r="Z1100" s="196"/>
      <c r="AA1100" s="196"/>
      <c r="AB1100" s="196"/>
      <c r="AC1100" s="197">
        <v>4.766666666666667</v>
      </c>
      <c r="AD1100" s="198"/>
    </row>
    <row r="1101">
      <c r="A1101" s="193">
        <v>105900.0</v>
      </c>
      <c r="B1101" s="194" t="s">
        <v>2420</v>
      </c>
      <c r="C1101" s="192" t="s">
        <v>2421</v>
      </c>
      <c r="D1101" s="195">
        <v>45842.0</v>
      </c>
      <c r="E1101" s="192" t="s">
        <v>767</v>
      </c>
      <c r="F1101" s="196"/>
      <c r="G1101" s="196"/>
      <c r="H1101" s="197">
        <v>5.0</v>
      </c>
      <c r="I1101" s="197">
        <v>5.0</v>
      </c>
      <c r="J1101" s="197">
        <v>5.0</v>
      </c>
      <c r="K1101" s="197">
        <v>5.0</v>
      </c>
      <c r="L1101" s="197">
        <v>5.0</v>
      </c>
      <c r="M1101" s="197">
        <v>5.0</v>
      </c>
      <c r="N1101" s="197">
        <v>5.0</v>
      </c>
      <c r="O1101" s="197">
        <v>5.0</v>
      </c>
      <c r="P1101" s="197">
        <v>5.0</v>
      </c>
      <c r="Q1101" s="197">
        <v>5.0</v>
      </c>
      <c r="R1101" s="197">
        <v>5.0</v>
      </c>
      <c r="S1101" s="197">
        <v>5.0</v>
      </c>
      <c r="T1101" s="197">
        <v>5.0</v>
      </c>
      <c r="U1101" s="197">
        <v>5.0</v>
      </c>
      <c r="V1101" s="197">
        <v>5.0</v>
      </c>
      <c r="W1101" s="197">
        <v>5.0</v>
      </c>
      <c r="X1101" s="196"/>
      <c r="Y1101" s="196"/>
      <c r="Z1101" s="196"/>
      <c r="AA1101" s="196"/>
      <c r="AB1101" s="196"/>
      <c r="AC1101" s="197">
        <v>5.0</v>
      </c>
      <c r="AD1101" s="198"/>
    </row>
    <row r="1102">
      <c r="A1102" s="193">
        <v>105901.0</v>
      </c>
      <c r="B1102" s="194" t="s">
        <v>2422</v>
      </c>
      <c r="C1102" s="192" t="s">
        <v>2423</v>
      </c>
      <c r="D1102" s="195">
        <v>38537.0</v>
      </c>
      <c r="E1102" s="192" t="s">
        <v>767</v>
      </c>
      <c r="F1102" s="196"/>
      <c r="G1102" s="196"/>
      <c r="H1102" s="197">
        <v>5.0</v>
      </c>
      <c r="I1102" s="197">
        <v>5.0</v>
      </c>
      <c r="J1102" s="197">
        <v>5.0</v>
      </c>
      <c r="K1102" s="197">
        <v>5.0</v>
      </c>
      <c r="L1102" s="197">
        <v>5.0</v>
      </c>
      <c r="M1102" s="197">
        <v>5.0</v>
      </c>
      <c r="N1102" s="197">
        <v>5.0</v>
      </c>
      <c r="O1102" s="197">
        <v>5.0</v>
      </c>
      <c r="P1102" s="197">
        <v>5.0</v>
      </c>
      <c r="Q1102" s="197">
        <v>5.0</v>
      </c>
      <c r="R1102" s="197">
        <v>5.0</v>
      </c>
      <c r="S1102" s="197">
        <v>5.0</v>
      </c>
      <c r="T1102" s="197">
        <v>5.0</v>
      </c>
      <c r="U1102" s="197">
        <v>5.0</v>
      </c>
      <c r="V1102" s="197">
        <v>5.0</v>
      </c>
      <c r="W1102" s="197">
        <v>5.0</v>
      </c>
      <c r="X1102" s="196"/>
      <c r="Y1102" s="196"/>
      <c r="Z1102" s="196"/>
      <c r="AA1102" s="196"/>
      <c r="AB1102" s="196"/>
      <c r="AC1102" s="197">
        <v>5.0</v>
      </c>
      <c r="AD1102" s="198"/>
    </row>
    <row r="1103">
      <c r="A1103" s="193">
        <v>106041.0</v>
      </c>
      <c r="B1103" s="194" t="s">
        <v>2424</v>
      </c>
      <c r="C1103" s="192" t="s">
        <v>2425</v>
      </c>
      <c r="D1103" s="195">
        <v>45888.0</v>
      </c>
      <c r="E1103" s="192" t="s">
        <v>2175</v>
      </c>
      <c r="F1103" s="196"/>
      <c r="G1103" s="196"/>
      <c r="H1103" s="197">
        <v>5.0</v>
      </c>
      <c r="I1103" s="197">
        <v>5.0</v>
      </c>
      <c r="J1103" s="197">
        <v>5.0</v>
      </c>
      <c r="K1103" s="197">
        <v>5.0</v>
      </c>
      <c r="L1103" s="197">
        <v>5.0</v>
      </c>
      <c r="M1103" s="197">
        <v>5.0</v>
      </c>
      <c r="N1103" s="197">
        <v>5.0</v>
      </c>
      <c r="O1103" s="197">
        <v>5.0</v>
      </c>
      <c r="P1103" s="197">
        <v>5.0</v>
      </c>
      <c r="Q1103" s="197">
        <v>5.0</v>
      </c>
      <c r="R1103" s="197">
        <v>5.0</v>
      </c>
      <c r="S1103" s="197">
        <v>5.0</v>
      </c>
      <c r="T1103" s="197">
        <v>5.0</v>
      </c>
      <c r="U1103" s="197">
        <v>5.0</v>
      </c>
      <c r="V1103" s="197">
        <v>5.0</v>
      </c>
      <c r="W1103" s="197">
        <v>5.0</v>
      </c>
      <c r="X1103" s="196"/>
      <c r="Y1103" s="196"/>
      <c r="Z1103" s="196"/>
      <c r="AA1103" s="196"/>
      <c r="AB1103" s="196"/>
      <c r="AC1103" s="197">
        <v>5.0</v>
      </c>
      <c r="AD1103" s="198"/>
    </row>
    <row r="1104">
      <c r="A1104" s="193">
        <v>106057.0</v>
      </c>
      <c r="B1104" s="194" t="s">
        <v>2426</v>
      </c>
      <c r="C1104" s="192" t="s">
        <v>2427</v>
      </c>
      <c r="D1104" s="195">
        <v>45888.0</v>
      </c>
      <c r="E1104" s="192" t="s">
        <v>2175</v>
      </c>
      <c r="F1104" s="196"/>
      <c r="G1104" s="196"/>
      <c r="H1104" s="197">
        <v>5.0</v>
      </c>
      <c r="I1104" s="197">
        <v>5.0</v>
      </c>
      <c r="J1104" s="197">
        <v>5.0</v>
      </c>
      <c r="K1104" s="197">
        <v>5.0</v>
      </c>
      <c r="L1104" s="197">
        <v>5.0</v>
      </c>
      <c r="M1104" s="197">
        <v>5.0</v>
      </c>
      <c r="N1104" s="197">
        <v>5.0</v>
      </c>
      <c r="O1104" s="197">
        <v>5.0</v>
      </c>
      <c r="P1104" s="197">
        <v>5.0</v>
      </c>
      <c r="Q1104" s="197">
        <v>5.0</v>
      </c>
      <c r="R1104" s="197">
        <v>5.0</v>
      </c>
      <c r="S1104" s="197">
        <v>5.0</v>
      </c>
      <c r="T1104" s="197">
        <v>5.0</v>
      </c>
      <c r="U1104" s="197">
        <v>5.0</v>
      </c>
      <c r="V1104" s="197">
        <v>5.0</v>
      </c>
      <c r="W1104" s="197">
        <v>5.0</v>
      </c>
      <c r="X1104" s="196"/>
      <c r="Y1104" s="196"/>
      <c r="Z1104" s="196"/>
      <c r="AA1104" s="196"/>
      <c r="AB1104" s="196"/>
      <c r="AC1104" s="197">
        <v>5.0</v>
      </c>
      <c r="AD1104" s="198"/>
    </row>
    <row r="1105">
      <c r="A1105" s="193">
        <v>105921.0</v>
      </c>
      <c r="B1105" s="194" t="s">
        <v>2428</v>
      </c>
      <c r="C1105" s="192" t="s">
        <v>2429</v>
      </c>
      <c r="D1105" s="195">
        <v>45845.0</v>
      </c>
      <c r="E1105" s="192" t="s">
        <v>767</v>
      </c>
      <c r="F1105" s="196"/>
      <c r="G1105" s="196"/>
      <c r="H1105" s="197">
        <v>5.0</v>
      </c>
      <c r="I1105" s="197">
        <v>5.0</v>
      </c>
      <c r="J1105" s="197">
        <v>5.0</v>
      </c>
      <c r="K1105" s="197">
        <v>5.0</v>
      </c>
      <c r="L1105" s="197">
        <v>5.0</v>
      </c>
      <c r="M1105" s="197">
        <v>5.0</v>
      </c>
      <c r="N1105" s="197">
        <v>5.0</v>
      </c>
      <c r="O1105" s="197">
        <v>5.0</v>
      </c>
      <c r="P1105" s="197">
        <v>5.0</v>
      </c>
      <c r="Q1105" s="197">
        <v>5.0</v>
      </c>
      <c r="R1105" s="197">
        <v>5.0</v>
      </c>
      <c r="S1105" s="197">
        <v>5.0</v>
      </c>
      <c r="T1105" s="197">
        <v>5.0</v>
      </c>
      <c r="U1105" s="197">
        <v>5.0</v>
      </c>
      <c r="V1105" s="197">
        <v>5.0</v>
      </c>
      <c r="W1105" s="197">
        <v>5.0</v>
      </c>
      <c r="X1105" s="196"/>
      <c r="Y1105" s="196"/>
      <c r="Z1105" s="196"/>
      <c r="AA1105" s="196"/>
      <c r="AB1105" s="196"/>
      <c r="AC1105" s="197">
        <v>5.0</v>
      </c>
      <c r="AD1105" s="198"/>
    </row>
    <row r="1106">
      <c r="A1106" s="193">
        <v>106040.0</v>
      </c>
      <c r="B1106" s="194" t="s">
        <v>2431</v>
      </c>
      <c r="C1106" s="192" t="s">
        <v>2432</v>
      </c>
      <c r="D1106" s="195">
        <v>45888.0</v>
      </c>
      <c r="E1106" s="192" t="s">
        <v>2175</v>
      </c>
      <c r="F1106" s="196"/>
      <c r="G1106" s="196"/>
      <c r="H1106" s="197">
        <v>5.0</v>
      </c>
      <c r="I1106" s="197">
        <v>5.0</v>
      </c>
      <c r="J1106" s="197">
        <v>5.0</v>
      </c>
      <c r="K1106" s="197">
        <v>5.0</v>
      </c>
      <c r="L1106" s="197">
        <v>5.0</v>
      </c>
      <c r="M1106" s="197">
        <v>5.0</v>
      </c>
      <c r="N1106" s="197">
        <v>5.0</v>
      </c>
      <c r="O1106" s="197">
        <v>5.0</v>
      </c>
      <c r="P1106" s="197">
        <v>5.0</v>
      </c>
      <c r="Q1106" s="197">
        <v>5.0</v>
      </c>
      <c r="R1106" s="197">
        <v>5.0</v>
      </c>
      <c r="S1106" s="197">
        <v>5.0</v>
      </c>
      <c r="T1106" s="197">
        <v>5.0</v>
      </c>
      <c r="U1106" s="197">
        <v>5.0</v>
      </c>
      <c r="V1106" s="197">
        <v>5.0</v>
      </c>
      <c r="W1106" s="197">
        <v>5.0</v>
      </c>
      <c r="X1106" s="196"/>
      <c r="Y1106" s="196"/>
      <c r="Z1106" s="196"/>
      <c r="AA1106" s="196"/>
      <c r="AB1106" s="196"/>
      <c r="AC1106" s="197">
        <v>5.0</v>
      </c>
      <c r="AD1106" s="198"/>
    </row>
    <row r="1107">
      <c r="A1107" s="193">
        <v>105920.0</v>
      </c>
      <c r="B1107" s="194" t="s">
        <v>2433</v>
      </c>
      <c r="C1107" s="192" t="s">
        <v>2434</v>
      </c>
      <c r="D1107" s="195">
        <v>45845.0</v>
      </c>
      <c r="E1107" s="192" t="s">
        <v>767</v>
      </c>
      <c r="F1107" s="196"/>
      <c r="G1107" s="196"/>
      <c r="H1107" s="197">
        <v>5.0</v>
      </c>
      <c r="I1107" s="197">
        <v>5.0</v>
      </c>
      <c r="J1107" s="197">
        <v>5.0</v>
      </c>
      <c r="K1107" s="197">
        <v>5.0</v>
      </c>
      <c r="L1107" s="197">
        <v>5.0</v>
      </c>
      <c r="M1107" s="197">
        <v>5.0</v>
      </c>
      <c r="N1107" s="197">
        <v>5.0</v>
      </c>
      <c r="O1107" s="197">
        <v>5.0</v>
      </c>
      <c r="P1107" s="197">
        <v>5.0</v>
      </c>
      <c r="Q1107" s="197">
        <v>5.0</v>
      </c>
      <c r="R1107" s="197">
        <v>5.0</v>
      </c>
      <c r="S1107" s="197">
        <v>5.0</v>
      </c>
      <c r="T1107" s="197">
        <v>5.0</v>
      </c>
      <c r="U1107" s="197">
        <v>5.0</v>
      </c>
      <c r="V1107" s="197">
        <v>5.0</v>
      </c>
      <c r="W1107" s="197">
        <v>5.0</v>
      </c>
      <c r="X1107" s="196"/>
      <c r="Y1107" s="196"/>
      <c r="Z1107" s="196"/>
      <c r="AA1107" s="196"/>
      <c r="AB1107" s="196"/>
      <c r="AC1107" s="197">
        <v>5.0</v>
      </c>
      <c r="AD1107" s="198"/>
    </row>
    <row r="1108">
      <c r="A1108" s="193">
        <v>105924.0</v>
      </c>
      <c r="B1108" s="194" t="s">
        <v>2435</v>
      </c>
      <c r="C1108" s="192" t="s">
        <v>2436</v>
      </c>
      <c r="D1108" s="195">
        <v>45845.0</v>
      </c>
      <c r="E1108" s="192" t="s">
        <v>767</v>
      </c>
      <c r="F1108" s="196"/>
      <c r="G1108" s="196"/>
      <c r="H1108" s="197">
        <v>5.0</v>
      </c>
      <c r="I1108" s="197">
        <v>5.0</v>
      </c>
      <c r="J1108" s="197">
        <v>5.0</v>
      </c>
      <c r="K1108" s="197">
        <v>5.0</v>
      </c>
      <c r="L1108" s="197">
        <v>5.0</v>
      </c>
      <c r="M1108" s="197">
        <v>5.0</v>
      </c>
      <c r="N1108" s="197">
        <v>5.0</v>
      </c>
      <c r="O1108" s="197">
        <v>5.0</v>
      </c>
      <c r="P1108" s="197">
        <v>5.0</v>
      </c>
      <c r="Q1108" s="197">
        <v>5.0</v>
      </c>
      <c r="R1108" s="197">
        <v>5.0</v>
      </c>
      <c r="S1108" s="197">
        <v>5.0</v>
      </c>
      <c r="T1108" s="197">
        <v>5.0</v>
      </c>
      <c r="U1108" s="197">
        <v>5.0</v>
      </c>
      <c r="V1108" s="197">
        <v>5.0</v>
      </c>
      <c r="W1108" s="197">
        <v>5.0</v>
      </c>
      <c r="X1108" s="196"/>
      <c r="Y1108" s="196"/>
      <c r="Z1108" s="196"/>
      <c r="AA1108" s="196"/>
      <c r="AB1108" s="196"/>
      <c r="AC1108" s="197">
        <v>5.0</v>
      </c>
      <c r="AD1108" s="198"/>
    </row>
    <row r="1109">
      <c r="A1109" s="193">
        <v>106056.0</v>
      </c>
      <c r="B1109" s="194" t="s">
        <v>2437</v>
      </c>
      <c r="C1109" s="192" t="s">
        <v>2438</v>
      </c>
      <c r="D1109" s="195">
        <v>45888.0</v>
      </c>
      <c r="E1109" s="192" t="s">
        <v>2175</v>
      </c>
      <c r="F1109" s="196"/>
      <c r="G1109" s="196"/>
      <c r="H1109" s="197">
        <v>5.0</v>
      </c>
      <c r="I1109" s="197">
        <v>5.0</v>
      </c>
      <c r="J1109" s="197">
        <v>5.0</v>
      </c>
      <c r="K1109" s="197">
        <v>5.0</v>
      </c>
      <c r="L1109" s="197">
        <v>5.0</v>
      </c>
      <c r="M1109" s="197">
        <v>5.0</v>
      </c>
      <c r="N1109" s="197">
        <v>5.0</v>
      </c>
      <c r="O1109" s="197">
        <v>5.0</v>
      </c>
      <c r="P1109" s="197">
        <v>5.0</v>
      </c>
      <c r="Q1109" s="197">
        <v>5.0</v>
      </c>
      <c r="R1109" s="197">
        <v>5.0</v>
      </c>
      <c r="S1109" s="197">
        <v>5.0</v>
      </c>
      <c r="T1109" s="197">
        <v>5.0</v>
      </c>
      <c r="U1109" s="197">
        <v>5.0</v>
      </c>
      <c r="V1109" s="197"/>
      <c r="W1109" s="197">
        <v>5.0</v>
      </c>
      <c r="X1109" s="196"/>
      <c r="Y1109" s="196"/>
      <c r="Z1109" s="196"/>
      <c r="AA1109" s="196"/>
      <c r="AB1109" s="196"/>
      <c r="AC1109" s="197">
        <v>5.0</v>
      </c>
      <c r="AD1109" s="198"/>
    </row>
    <row r="1110">
      <c r="A1110" s="193">
        <v>105843.0</v>
      </c>
      <c r="B1110" s="194" t="s">
        <v>2439</v>
      </c>
      <c r="C1110" s="192" t="s">
        <v>2440</v>
      </c>
      <c r="D1110" s="195">
        <v>45909.0</v>
      </c>
      <c r="E1110" s="192" t="s">
        <v>61</v>
      </c>
      <c r="F1110" s="196"/>
      <c r="G1110" s="196"/>
      <c r="H1110" s="197">
        <v>5.0</v>
      </c>
      <c r="I1110" s="197">
        <v>5.0</v>
      </c>
      <c r="J1110" s="197">
        <v>5.0</v>
      </c>
      <c r="K1110" s="197">
        <v>5.0</v>
      </c>
      <c r="L1110" s="197">
        <v>5.0</v>
      </c>
      <c r="M1110" s="197">
        <v>5.0</v>
      </c>
      <c r="N1110" s="197">
        <v>5.0</v>
      </c>
      <c r="O1110" s="197">
        <v>5.0</v>
      </c>
      <c r="P1110" s="197">
        <v>5.0</v>
      </c>
      <c r="Q1110" s="197">
        <v>5.0</v>
      </c>
      <c r="R1110" s="197">
        <v>5.0</v>
      </c>
      <c r="S1110" s="197">
        <v>5.0</v>
      </c>
      <c r="T1110" s="197">
        <v>5.0</v>
      </c>
      <c r="U1110" s="197">
        <v>5.0</v>
      </c>
      <c r="V1110" s="197">
        <v>5.0</v>
      </c>
      <c r="W1110" s="197">
        <v>5.0</v>
      </c>
      <c r="X1110" s="196"/>
      <c r="Y1110" s="196"/>
      <c r="Z1110" s="196"/>
      <c r="AA1110" s="196"/>
      <c r="AB1110" s="196"/>
      <c r="AC1110" s="197">
        <v>5.0</v>
      </c>
      <c r="AD1110" s="198"/>
    </row>
    <row r="1111">
      <c r="A1111" s="193">
        <v>105842.0</v>
      </c>
      <c r="B1111" s="194" t="s">
        <v>2441</v>
      </c>
      <c r="C1111" s="192">
        <v>5.0</v>
      </c>
      <c r="D1111" s="195">
        <v>45909.0</v>
      </c>
      <c r="E1111" s="192" t="s">
        <v>61</v>
      </c>
      <c r="F1111" s="196"/>
      <c r="G1111" s="196"/>
      <c r="H1111" s="197">
        <v>5.0</v>
      </c>
      <c r="I1111" s="197">
        <v>5.0</v>
      </c>
      <c r="J1111" s="197">
        <v>5.0</v>
      </c>
      <c r="K1111" s="197">
        <v>5.0</v>
      </c>
      <c r="L1111" s="197">
        <v>5.0</v>
      </c>
      <c r="M1111" s="197">
        <v>5.0</v>
      </c>
      <c r="N1111" s="197">
        <v>5.0</v>
      </c>
      <c r="O1111" s="197">
        <v>5.0</v>
      </c>
      <c r="P1111" s="197">
        <v>5.0</v>
      </c>
      <c r="Q1111" s="197">
        <v>5.0</v>
      </c>
      <c r="R1111" s="197">
        <v>5.0</v>
      </c>
      <c r="S1111" s="197">
        <v>5.0</v>
      </c>
      <c r="T1111" s="197">
        <v>5.0</v>
      </c>
      <c r="U1111" s="197">
        <v>5.0</v>
      </c>
      <c r="V1111" s="197">
        <v>5.0</v>
      </c>
      <c r="W1111" s="197">
        <v>5.0</v>
      </c>
      <c r="X1111" s="196"/>
      <c r="Y1111" s="196"/>
      <c r="Z1111" s="196"/>
      <c r="AA1111" s="196"/>
      <c r="AB1111" s="196"/>
      <c r="AC1111" s="197">
        <v>5.0</v>
      </c>
      <c r="AD1111" s="198"/>
    </row>
    <row r="1112">
      <c r="A1112" s="193">
        <v>105844.0</v>
      </c>
      <c r="B1112" s="194" t="s">
        <v>2442</v>
      </c>
      <c r="C1112" s="192">
        <v>5.0</v>
      </c>
      <c r="D1112" s="195">
        <v>45909.0</v>
      </c>
      <c r="E1112" s="192" t="s">
        <v>61</v>
      </c>
      <c r="F1112" s="196"/>
      <c r="G1112" s="196"/>
      <c r="H1112" s="197">
        <v>5.0</v>
      </c>
      <c r="I1112" s="197">
        <v>5.0</v>
      </c>
      <c r="J1112" s="197">
        <v>5.0</v>
      </c>
      <c r="K1112" s="197">
        <v>5.0</v>
      </c>
      <c r="L1112" s="197">
        <v>5.0</v>
      </c>
      <c r="M1112" s="197">
        <v>5.0</v>
      </c>
      <c r="N1112" s="197">
        <v>5.0</v>
      </c>
      <c r="O1112" s="197">
        <v>5.0</v>
      </c>
      <c r="P1112" s="197">
        <v>5.0</v>
      </c>
      <c r="Q1112" s="197">
        <v>5.0</v>
      </c>
      <c r="R1112" s="197">
        <v>5.0</v>
      </c>
      <c r="S1112" s="197">
        <v>5.0</v>
      </c>
      <c r="T1112" s="197">
        <v>5.0</v>
      </c>
      <c r="U1112" s="197">
        <v>5.0</v>
      </c>
      <c r="V1112" s="197">
        <v>5.0</v>
      </c>
      <c r="W1112" s="197">
        <v>5.0</v>
      </c>
      <c r="X1112" s="196"/>
      <c r="Y1112" s="196"/>
      <c r="Z1112" s="196"/>
      <c r="AA1112" s="196"/>
      <c r="AB1112" s="196"/>
      <c r="AC1112" s="197">
        <v>5.0</v>
      </c>
      <c r="AD1112" s="198"/>
    </row>
    <row r="1113">
      <c r="A1113" s="193">
        <v>106032.0</v>
      </c>
      <c r="B1113" s="194" t="s">
        <v>2443</v>
      </c>
      <c r="C1113" s="192">
        <v>5.0</v>
      </c>
      <c r="D1113" s="195">
        <v>45880.0</v>
      </c>
      <c r="E1113" s="192" t="s">
        <v>767</v>
      </c>
      <c r="F1113" s="196"/>
      <c r="G1113" s="196"/>
      <c r="H1113" s="197">
        <v>5.0</v>
      </c>
      <c r="I1113" s="197">
        <v>5.0</v>
      </c>
      <c r="J1113" s="197">
        <v>5.0</v>
      </c>
      <c r="K1113" s="197">
        <v>5.0</v>
      </c>
      <c r="L1113" s="197">
        <v>5.0</v>
      </c>
      <c r="M1113" s="197">
        <v>5.0</v>
      </c>
      <c r="N1113" s="197">
        <v>5.0</v>
      </c>
      <c r="O1113" s="197">
        <v>5.0</v>
      </c>
      <c r="P1113" s="197">
        <v>5.0</v>
      </c>
      <c r="Q1113" s="197">
        <v>5.0</v>
      </c>
      <c r="R1113" s="197">
        <v>5.0</v>
      </c>
      <c r="S1113" s="197">
        <v>5.0</v>
      </c>
      <c r="T1113" s="197">
        <v>5.0</v>
      </c>
      <c r="U1113" s="197">
        <v>5.0</v>
      </c>
      <c r="V1113" s="197">
        <v>5.0</v>
      </c>
      <c r="W1113" s="197">
        <v>5.0</v>
      </c>
      <c r="X1113" s="196"/>
      <c r="Y1113" s="196"/>
      <c r="Z1113" s="196"/>
      <c r="AA1113" s="196"/>
      <c r="AB1113" s="196"/>
      <c r="AC1113" s="197">
        <v>5.0</v>
      </c>
      <c r="AD1113" s="198"/>
    </row>
    <row r="1114">
      <c r="A1114" s="193">
        <v>105929.0</v>
      </c>
      <c r="B1114" s="194" t="s">
        <v>2444</v>
      </c>
      <c r="C1114" s="192">
        <v>5.0</v>
      </c>
      <c r="D1114" s="195">
        <v>45838.0</v>
      </c>
      <c r="E1114" s="192" t="s">
        <v>767</v>
      </c>
      <c r="F1114" s="196"/>
      <c r="G1114" s="196"/>
      <c r="H1114" s="197">
        <v>5.0</v>
      </c>
      <c r="I1114" s="197">
        <v>5.0</v>
      </c>
      <c r="J1114" s="197">
        <v>5.0</v>
      </c>
      <c r="K1114" s="197">
        <v>5.0</v>
      </c>
      <c r="L1114" s="197">
        <v>5.0</v>
      </c>
      <c r="M1114" s="197">
        <v>5.0</v>
      </c>
      <c r="N1114" s="197">
        <v>5.0</v>
      </c>
      <c r="O1114" s="197">
        <v>5.0</v>
      </c>
      <c r="P1114" s="197">
        <v>5.0</v>
      </c>
      <c r="Q1114" s="197">
        <v>5.0</v>
      </c>
      <c r="R1114" s="197">
        <v>5.0</v>
      </c>
      <c r="S1114" s="197">
        <v>5.0</v>
      </c>
      <c r="T1114" s="197">
        <v>5.0</v>
      </c>
      <c r="U1114" s="197">
        <v>5.0</v>
      </c>
      <c r="V1114" s="197">
        <v>5.0</v>
      </c>
      <c r="W1114" s="197">
        <v>5.0</v>
      </c>
      <c r="X1114" s="196"/>
      <c r="Y1114" s="196"/>
      <c r="Z1114" s="196"/>
      <c r="AA1114" s="196"/>
      <c r="AB1114" s="196"/>
      <c r="AC1114" s="197">
        <v>5.0</v>
      </c>
      <c r="AD1114" s="198"/>
    </row>
    <row r="1115">
      <c r="A1115" s="193">
        <v>105933.0</v>
      </c>
      <c r="B1115" s="194" t="s">
        <v>2445</v>
      </c>
      <c r="C1115" s="192">
        <v>5.0</v>
      </c>
      <c r="D1115" s="195">
        <v>45834.0</v>
      </c>
      <c r="E1115" s="192" t="s">
        <v>767</v>
      </c>
      <c r="F1115" s="196"/>
      <c r="G1115" s="196"/>
      <c r="H1115" s="197">
        <v>5.0</v>
      </c>
      <c r="I1115" s="197">
        <v>5.0</v>
      </c>
      <c r="J1115" s="197">
        <v>5.0</v>
      </c>
      <c r="K1115" s="197">
        <v>5.0</v>
      </c>
      <c r="L1115" s="197">
        <v>5.0</v>
      </c>
      <c r="M1115" s="197">
        <v>5.0</v>
      </c>
      <c r="N1115" s="197">
        <v>5.0</v>
      </c>
      <c r="O1115" s="197">
        <v>5.0</v>
      </c>
      <c r="P1115" s="197">
        <v>5.0</v>
      </c>
      <c r="Q1115" s="197">
        <v>5.0</v>
      </c>
      <c r="R1115" s="197">
        <v>5.0</v>
      </c>
      <c r="S1115" s="197">
        <v>5.0</v>
      </c>
      <c r="T1115" s="197">
        <v>5.0</v>
      </c>
      <c r="U1115" s="197">
        <v>5.0</v>
      </c>
      <c r="V1115" s="197">
        <v>5.0</v>
      </c>
      <c r="W1115" s="197">
        <v>5.0</v>
      </c>
      <c r="X1115" s="196"/>
      <c r="Y1115" s="196"/>
      <c r="Z1115" s="196"/>
      <c r="AA1115" s="196"/>
      <c r="AB1115" s="196"/>
      <c r="AC1115" s="197">
        <v>5.0</v>
      </c>
      <c r="AD1115" s="198"/>
    </row>
    <row r="1116">
      <c r="A1116" s="193">
        <v>106234.0</v>
      </c>
      <c r="B1116" s="194" t="s">
        <v>2446</v>
      </c>
      <c r="C1116" s="192" t="s">
        <v>2447</v>
      </c>
      <c r="D1116" s="195">
        <v>45983.0</v>
      </c>
      <c r="E1116" s="192" t="s">
        <v>254</v>
      </c>
      <c r="F1116" s="196"/>
      <c r="G1116" s="196"/>
      <c r="H1116" s="197">
        <v>5.0</v>
      </c>
      <c r="I1116" s="197">
        <v>5.0</v>
      </c>
      <c r="J1116" s="197">
        <v>5.0</v>
      </c>
      <c r="K1116" s="197">
        <v>5.0</v>
      </c>
      <c r="L1116" s="197">
        <v>5.0</v>
      </c>
      <c r="M1116" s="197">
        <v>5.0</v>
      </c>
      <c r="N1116" s="197">
        <v>5.0</v>
      </c>
      <c r="O1116" s="197">
        <v>5.0</v>
      </c>
      <c r="P1116" s="197">
        <v>5.0</v>
      </c>
      <c r="Q1116" s="197">
        <v>5.0</v>
      </c>
      <c r="R1116" s="197">
        <v>5.0</v>
      </c>
      <c r="S1116" s="197">
        <v>5.0</v>
      </c>
      <c r="T1116" s="197">
        <v>5.0</v>
      </c>
      <c r="U1116" s="197">
        <v>5.0</v>
      </c>
      <c r="V1116" s="197">
        <v>5.0</v>
      </c>
      <c r="W1116" s="197">
        <v>5.0</v>
      </c>
      <c r="X1116" s="196"/>
      <c r="Y1116" s="196"/>
      <c r="Z1116" s="196"/>
      <c r="AA1116" s="196"/>
      <c r="AB1116" s="196"/>
      <c r="AC1116" s="197">
        <v>5.0</v>
      </c>
      <c r="AD1116" s="198"/>
    </row>
    <row r="1117">
      <c r="A1117" s="193">
        <v>105393.0</v>
      </c>
      <c r="B1117" s="194" t="s">
        <v>2448</v>
      </c>
      <c r="C1117" s="192" t="s">
        <v>2449</v>
      </c>
      <c r="D1117" s="195">
        <v>45670.0</v>
      </c>
      <c r="E1117" s="192" t="s">
        <v>1140</v>
      </c>
      <c r="F1117" s="196"/>
      <c r="G1117" s="196"/>
      <c r="H1117" s="197">
        <v>5.0</v>
      </c>
      <c r="I1117" s="197">
        <v>5.0</v>
      </c>
      <c r="J1117" s="197">
        <v>5.0</v>
      </c>
      <c r="K1117" s="197">
        <v>5.0</v>
      </c>
      <c r="L1117" s="197">
        <v>4.9</v>
      </c>
      <c r="M1117" s="197">
        <v>4.9799999999999995</v>
      </c>
      <c r="N1117" s="197">
        <v>5.0</v>
      </c>
      <c r="O1117" s="197">
        <v>5.0</v>
      </c>
      <c r="P1117" s="197">
        <v>5.0</v>
      </c>
      <c r="Q1117" s="197">
        <v>5.0</v>
      </c>
      <c r="R1117" s="197">
        <v>5.0</v>
      </c>
      <c r="S1117" s="197">
        <v>5.0</v>
      </c>
      <c r="T1117" s="197">
        <v>5.0</v>
      </c>
      <c r="U1117" s="197">
        <v>5.0</v>
      </c>
      <c r="V1117" s="197">
        <v>5.0</v>
      </c>
      <c r="W1117" s="197">
        <v>5.0</v>
      </c>
      <c r="X1117" s="196"/>
      <c r="Y1117" s="196"/>
      <c r="Z1117" s="196"/>
      <c r="AA1117" s="196"/>
      <c r="AB1117" s="196"/>
      <c r="AC1117" s="197">
        <v>4.993333333333333</v>
      </c>
      <c r="AD1117" s="198"/>
    </row>
    <row r="1118">
      <c r="A1118" s="193">
        <v>105393.0</v>
      </c>
      <c r="B1118" s="194" t="s">
        <v>2450</v>
      </c>
      <c r="C1118" s="192"/>
      <c r="D1118" s="195">
        <v>46345.0</v>
      </c>
      <c r="E1118" s="192" t="s">
        <v>1140</v>
      </c>
      <c r="F1118" s="196"/>
      <c r="G1118" s="196"/>
      <c r="H1118" s="197">
        <v>5.0</v>
      </c>
      <c r="I1118" s="197">
        <v>5.0</v>
      </c>
      <c r="J1118" s="197">
        <v>5.0</v>
      </c>
      <c r="K1118" s="197">
        <v>5.0</v>
      </c>
      <c r="L1118" s="197">
        <v>4.9</v>
      </c>
      <c r="M1118" s="197">
        <v>4.9799999999999995</v>
      </c>
      <c r="N1118" s="197">
        <v>5.0</v>
      </c>
      <c r="O1118" s="197">
        <v>5.0</v>
      </c>
      <c r="P1118" s="197">
        <v>5.0</v>
      </c>
      <c r="Q1118" s="197">
        <v>5.0</v>
      </c>
      <c r="R1118" s="197">
        <v>5.0</v>
      </c>
      <c r="S1118" s="197">
        <v>5.0</v>
      </c>
      <c r="T1118" s="197">
        <v>5.0</v>
      </c>
      <c r="U1118" s="197">
        <v>5.0</v>
      </c>
      <c r="V1118" s="197">
        <v>5.0</v>
      </c>
      <c r="W1118" s="197">
        <v>5.0</v>
      </c>
      <c r="X1118" s="196"/>
      <c r="Y1118" s="196"/>
      <c r="Z1118" s="196"/>
      <c r="AA1118" s="196"/>
      <c r="AB1118" s="196"/>
      <c r="AC1118" s="197">
        <v>4.993333333333333</v>
      </c>
      <c r="AD1118" s="198"/>
    </row>
    <row r="1119">
      <c r="A1119" s="193">
        <v>104789.0</v>
      </c>
      <c r="B1119" s="194" t="s">
        <v>2451</v>
      </c>
      <c r="C1119" s="192" t="s">
        <v>2295</v>
      </c>
      <c r="D1119" s="195">
        <v>45513.0</v>
      </c>
      <c r="E1119" s="192" t="s">
        <v>254</v>
      </c>
      <c r="F1119" s="196"/>
      <c r="G1119" s="196"/>
      <c r="H1119" s="197">
        <v>5.0</v>
      </c>
      <c r="I1119" s="197">
        <v>5.0</v>
      </c>
      <c r="J1119" s="197">
        <v>5.0</v>
      </c>
      <c r="K1119" s="197">
        <v>5.0</v>
      </c>
      <c r="L1119" s="197">
        <v>5.0</v>
      </c>
      <c r="M1119" s="197">
        <v>5.0</v>
      </c>
      <c r="N1119" s="197">
        <v>5.0</v>
      </c>
      <c r="O1119" s="197">
        <v>5.0</v>
      </c>
      <c r="P1119" s="197">
        <v>5.0</v>
      </c>
      <c r="Q1119" s="197">
        <v>5.0</v>
      </c>
      <c r="R1119" s="197">
        <v>5.0</v>
      </c>
      <c r="S1119" s="197">
        <v>5.0</v>
      </c>
      <c r="T1119" s="197">
        <v>5.0</v>
      </c>
      <c r="U1119" s="197">
        <v>5.0</v>
      </c>
      <c r="V1119" s="197">
        <v>5.0</v>
      </c>
      <c r="W1119" s="197">
        <v>5.0</v>
      </c>
      <c r="X1119" s="196"/>
      <c r="Y1119" s="196"/>
      <c r="Z1119" s="196"/>
      <c r="AA1119" s="196"/>
      <c r="AB1119" s="196"/>
      <c r="AC1119" s="197">
        <v>5.0</v>
      </c>
      <c r="AD1119" s="198"/>
    </row>
    <row r="1120">
      <c r="A1120" s="193">
        <v>105751.0</v>
      </c>
      <c r="B1120" s="194" t="s">
        <v>2452</v>
      </c>
      <c r="C1120" s="192" t="s">
        <v>2453</v>
      </c>
      <c r="D1120" s="195">
        <v>45849.0</v>
      </c>
      <c r="E1120" s="192" t="s">
        <v>254</v>
      </c>
      <c r="F1120" s="196"/>
      <c r="G1120" s="196"/>
      <c r="H1120" s="197">
        <v>5.0</v>
      </c>
      <c r="I1120" s="197">
        <v>5.0</v>
      </c>
      <c r="J1120" s="197">
        <v>5.0</v>
      </c>
      <c r="K1120" s="197">
        <v>5.0</v>
      </c>
      <c r="L1120" s="197">
        <v>5.0</v>
      </c>
      <c r="M1120" s="197">
        <v>5.0</v>
      </c>
      <c r="N1120" s="197">
        <v>5.0</v>
      </c>
      <c r="O1120" s="197">
        <v>5.0</v>
      </c>
      <c r="P1120" s="197">
        <v>5.0</v>
      </c>
      <c r="Q1120" s="197">
        <v>5.0</v>
      </c>
      <c r="R1120" s="197">
        <v>5.0</v>
      </c>
      <c r="S1120" s="197">
        <v>5.0</v>
      </c>
      <c r="T1120" s="197">
        <v>5.0</v>
      </c>
      <c r="U1120" s="197">
        <v>5.0</v>
      </c>
      <c r="V1120" s="197">
        <v>5.0</v>
      </c>
      <c r="W1120" s="197">
        <v>5.0</v>
      </c>
      <c r="X1120" s="196"/>
      <c r="Y1120" s="196"/>
      <c r="Z1120" s="196"/>
      <c r="AA1120" s="196"/>
      <c r="AB1120" s="196"/>
      <c r="AC1120" s="197">
        <v>5.0</v>
      </c>
      <c r="AD1120" s="198"/>
    </row>
    <row r="1121">
      <c r="A1121" s="193">
        <v>105967.0</v>
      </c>
      <c r="B1121" s="194" t="s">
        <v>2454</v>
      </c>
      <c r="C1121" s="192" t="s">
        <v>2455</v>
      </c>
      <c r="D1121" s="195">
        <v>45849.0</v>
      </c>
      <c r="E1121" s="192" t="s">
        <v>254</v>
      </c>
      <c r="F1121" s="196"/>
      <c r="G1121" s="196"/>
      <c r="H1121" s="197">
        <v>5.0</v>
      </c>
      <c r="I1121" s="197">
        <v>5.0</v>
      </c>
      <c r="J1121" s="197">
        <v>5.0</v>
      </c>
      <c r="K1121" s="197">
        <v>5.0</v>
      </c>
      <c r="L1121" s="197">
        <v>5.0</v>
      </c>
      <c r="M1121" s="197">
        <v>5.0</v>
      </c>
      <c r="N1121" s="197">
        <v>5.0</v>
      </c>
      <c r="O1121" s="197">
        <v>5.0</v>
      </c>
      <c r="P1121" s="197">
        <v>5.0</v>
      </c>
      <c r="Q1121" s="197">
        <v>5.0</v>
      </c>
      <c r="R1121" s="197">
        <v>5.0</v>
      </c>
      <c r="S1121" s="197">
        <v>5.0</v>
      </c>
      <c r="T1121" s="197">
        <v>5.0</v>
      </c>
      <c r="U1121" s="197">
        <v>5.0</v>
      </c>
      <c r="V1121" s="197">
        <v>5.0</v>
      </c>
      <c r="W1121" s="197">
        <v>5.0</v>
      </c>
      <c r="X1121" s="196"/>
      <c r="Y1121" s="196"/>
      <c r="Z1121" s="196"/>
      <c r="AA1121" s="196"/>
      <c r="AB1121" s="196"/>
      <c r="AC1121" s="197">
        <v>5.0</v>
      </c>
      <c r="AD1121" s="198"/>
    </row>
    <row r="1122">
      <c r="A1122" s="193">
        <v>105751.0</v>
      </c>
      <c r="B1122" s="194" t="s">
        <v>2456</v>
      </c>
      <c r="C1122" s="192" t="s">
        <v>2453</v>
      </c>
      <c r="D1122" s="195">
        <v>45847.0</v>
      </c>
      <c r="E1122" s="192" t="s">
        <v>113</v>
      </c>
      <c r="F1122" s="196"/>
      <c r="G1122" s="196"/>
      <c r="H1122" s="197">
        <v>5.0</v>
      </c>
      <c r="I1122" s="197">
        <v>5.0</v>
      </c>
      <c r="J1122" s="197">
        <v>5.0</v>
      </c>
      <c r="K1122" s="197">
        <v>5.0</v>
      </c>
      <c r="L1122" s="197">
        <v>5.0</v>
      </c>
      <c r="M1122" s="197">
        <v>5.0</v>
      </c>
      <c r="N1122" s="197">
        <v>5.0</v>
      </c>
      <c r="O1122" s="197">
        <v>5.0</v>
      </c>
      <c r="P1122" s="197">
        <v>5.0</v>
      </c>
      <c r="Q1122" s="197">
        <v>5.0</v>
      </c>
      <c r="R1122" s="197">
        <v>5.0</v>
      </c>
      <c r="S1122" s="197">
        <v>5.0</v>
      </c>
      <c r="T1122" s="197">
        <v>5.0</v>
      </c>
      <c r="U1122" s="197">
        <v>5.0</v>
      </c>
      <c r="V1122" s="197">
        <v>5.0</v>
      </c>
      <c r="W1122" s="197">
        <v>5.0</v>
      </c>
      <c r="X1122" s="196"/>
      <c r="Y1122" s="196"/>
      <c r="Z1122" s="196"/>
      <c r="AA1122" s="196"/>
      <c r="AB1122" s="196"/>
      <c r="AC1122" s="197">
        <v>5.0</v>
      </c>
      <c r="AD1122" s="198"/>
    </row>
    <row r="1123">
      <c r="A1123" s="193">
        <v>105859.0</v>
      </c>
      <c r="B1123" s="194" t="s">
        <v>2457</v>
      </c>
      <c r="C1123" s="192" t="s">
        <v>2458</v>
      </c>
      <c r="D1123" s="195">
        <v>45819.0</v>
      </c>
      <c r="E1123" s="192" t="s">
        <v>144</v>
      </c>
      <c r="F1123" s="196"/>
      <c r="G1123" s="196"/>
      <c r="H1123" s="197">
        <v>5.0</v>
      </c>
      <c r="I1123" s="197">
        <v>5.0</v>
      </c>
      <c r="J1123" s="197">
        <v>5.0</v>
      </c>
      <c r="K1123" s="197">
        <v>5.0</v>
      </c>
      <c r="L1123" s="197">
        <v>4.0</v>
      </c>
      <c r="M1123" s="197">
        <v>4.8</v>
      </c>
      <c r="N1123" s="197">
        <v>5.0</v>
      </c>
      <c r="O1123" s="197">
        <v>5.0</v>
      </c>
      <c r="P1123" s="197">
        <v>5.0</v>
      </c>
      <c r="Q1123" s="197">
        <v>5.0</v>
      </c>
      <c r="R1123" s="197">
        <v>5.0</v>
      </c>
      <c r="S1123" s="197">
        <v>5.0</v>
      </c>
      <c r="T1123" s="197">
        <v>5.0</v>
      </c>
      <c r="U1123" s="197">
        <v>5.0</v>
      </c>
      <c r="V1123" s="197">
        <v>5.0</v>
      </c>
      <c r="W1123" s="197">
        <v>5.0</v>
      </c>
      <c r="X1123" s="196"/>
      <c r="Y1123" s="196"/>
      <c r="Z1123" s="196"/>
      <c r="AA1123" s="196"/>
      <c r="AB1123" s="196"/>
      <c r="AC1123" s="197">
        <v>4.933333333333334</v>
      </c>
      <c r="AD1123" s="198"/>
    </row>
    <row r="1124">
      <c r="A1124" s="193">
        <v>105879.0</v>
      </c>
      <c r="B1124" s="194" t="s">
        <v>2459</v>
      </c>
      <c r="C1124" s="192" t="s">
        <v>2460</v>
      </c>
      <c r="D1124" s="195"/>
      <c r="E1124" s="192" t="s">
        <v>87</v>
      </c>
      <c r="F1124" s="196"/>
      <c r="G1124" s="196"/>
      <c r="H1124" s="197">
        <v>5.0</v>
      </c>
      <c r="I1124" s="197">
        <v>4.5</v>
      </c>
      <c r="J1124" s="197">
        <v>5.0</v>
      </c>
      <c r="K1124" s="197">
        <v>5.0</v>
      </c>
      <c r="L1124" s="197">
        <v>5.0</v>
      </c>
      <c r="M1124" s="197">
        <v>4.9</v>
      </c>
      <c r="N1124" s="197">
        <v>5.0</v>
      </c>
      <c r="O1124" s="197">
        <v>4.5</v>
      </c>
      <c r="P1124" s="197">
        <v>5.0</v>
      </c>
      <c r="Q1124" s="197">
        <v>5.0</v>
      </c>
      <c r="R1124" s="197">
        <v>4.833333333333333</v>
      </c>
      <c r="S1124" s="197">
        <v>5.0</v>
      </c>
      <c r="T1124" s="197">
        <v>4.5</v>
      </c>
      <c r="U1124" s="197">
        <v>5.0</v>
      </c>
      <c r="V1124" s="197">
        <v>5.0</v>
      </c>
      <c r="W1124" s="197">
        <v>4.875</v>
      </c>
      <c r="X1124" s="196"/>
      <c r="Y1124" s="196"/>
      <c r="Z1124" s="196"/>
      <c r="AA1124" s="196"/>
      <c r="AB1124" s="196"/>
      <c r="AC1124" s="197">
        <v>4.8694444444444445</v>
      </c>
      <c r="AD1124" s="198"/>
    </row>
    <row r="1125">
      <c r="A1125" s="193">
        <v>105590.0</v>
      </c>
      <c r="B1125" s="194" t="s">
        <v>2461</v>
      </c>
      <c r="C1125" s="192" t="s">
        <v>2462</v>
      </c>
      <c r="D1125" s="195">
        <v>45737.0</v>
      </c>
      <c r="E1125" s="192" t="s">
        <v>427</v>
      </c>
      <c r="F1125" s="196"/>
      <c r="G1125" s="196"/>
      <c r="H1125" s="197">
        <v>5.0</v>
      </c>
      <c r="I1125" s="197">
        <v>4.5</v>
      </c>
      <c r="J1125" s="197">
        <v>5.0</v>
      </c>
      <c r="K1125" s="197">
        <v>5.0</v>
      </c>
      <c r="L1125" s="197">
        <v>4.0</v>
      </c>
      <c r="M1125" s="197">
        <v>4.7</v>
      </c>
      <c r="N1125" s="197">
        <v>5.0</v>
      </c>
      <c r="O1125" s="197">
        <v>4.5</v>
      </c>
      <c r="P1125" s="197">
        <v>5.0</v>
      </c>
      <c r="Q1125" s="197">
        <v>5.0</v>
      </c>
      <c r="R1125" s="197">
        <v>4.833333333333333</v>
      </c>
      <c r="S1125" s="197">
        <v>5.0</v>
      </c>
      <c r="T1125" s="197">
        <v>4.5</v>
      </c>
      <c r="U1125" s="197">
        <v>5.0</v>
      </c>
      <c r="V1125" s="197">
        <v>5.0</v>
      </c>
      <c r="W1125" s="197">
        <v>4.875</v>
      </c>
      <c r="X1125" s="196"/>
      <c r="Y1125" s="196"/>
      <c r="Z1125" s="196"/>
      <c r="AA1125" s="196"/>
      <c r="AB1125" s="196"/>
      <c r="AC1125" s="197">
        <v>4.802777777777778</v>
      </c>
      <c r="AD1125" s="198"/>
    </row>
    <row r="1126">
      <c r="A1126" s="193">
        <v>106301.0</v>
      </c>
      <c r="B1126" s="194" t="s">
        <v>2463</v>
      </c>
      <c r="C1126" s="192" t="s">
        <v>2464</v>
      </c>
      <c r="D1126" s="195">
        <v>46055.0</v>
      </c>
      <c r="E1126" s="192" t="s">
        <v>2167</v>
      </c>
      <c r="F1126" s="196"/>
      <c r="G1126" s="196"/>
      <c r="H1126" s="197">
        <v>5.0</v>
      </c>
      <c r="I1126" s="197">
        <v>5.0</v>
      </c>
      <c r="J1126" s="197">
        <v>4.0</v>
      </c>
      <c r="K1126" s="197">
        <v>5.0</v>
      </c>
      <c r="L1126" s="197">
        <v>4.0</v>
      </c>
      <c r="M1126" s="197">
        <v>4.6</v>
      </c>
      <c r="N1126" s="197">
        <v>5.0</v>
      </c>
      <c r="O1126" s="197">
        <v>5.0</v>
      </c>
      <c r="P1126" s="197">
        <v>4.0</v>
      </c>
      <c r="Q1126" s="197">
        <v>5.0</v>
      </c>
      <c r="R1126" s="197">
        <v>4.666666666666667</v>
      </c>
      <c r="S1126" s="197">
        <v>4.0</v>
      </c>
      <c r="T1126" s="197">
        <v>4.0</v>
      </c>
      <c r="U1126" s="197">
        <v>4.0</v>
      </c>
      <c r="V1126" s="197">
        <v>4.0</v>
      </c>
      <c r="W1126" s="197">
        <v>4.0</v>
      </c>
      <c r="X1126" s="196"/>
      <c r="Y1126" s="196"/>
      <c r="Z1126" s="196"/>
      <c r="AA1126" s="196"/>
      <c r="AB1126" s="196"/>
      <c r="AC1126" s="197">
        <v>4.422222222222222</v>
      </c>
      <c r="AD1126" s="198"/>
    </row>
    <row r="1127">
      <c r="A1127" s="193">
        <v>105960.0</v>
      </c>
      <c r="B1127" s="194" t="s">
        <v>2465</v>
      </c>
      <c r="C1127" s="192" t="s">
        <v>2466</v>
      </c>
      <c r="D1127" s="195">
        <v>45842.0</v>
      </c>
      <c r="E1127" s="192" t="s">
        <v>360</v>
      </c>
      <c r="F1127" s="196"/>
      <c r="G1127" s="196"/>
      <c r="H1127" s="197">
        <v>5.0</v>
      </c>
      <c r="I1127" s="197">
        <v>5.0</v>
      </c>
      <c r="J1127" s="197">
        <v>5.0</v>
      </c>
      <c r="K1127" s="197">
        <v>5.0</v>
      </c>
      <c r="L1127" s="197">
        <v>4.5</v>
      </c>
      <c r="M1127" s="197">
        <v>4.9</v>
      </c>
      <c r="N1127" s="197">
        <v>5.0</v>
      </c>
      <c r="O1127" s="197">
        <v>5.0</v>
      </c>
      <c r="P1127" s="197">
        <v>5.0</v>
      </c>
      <c r="Q1127" s="197">
        <v>5.0</v>
      </c>
      <c r="R1127" s="197">
        <v>5.0</v>
      </c>
      <c r="S1127" s="197">
        <v>5.0</v>
      </c>
      <c r="T1127" s="197">
        <v>5.0</v>
      </c>
      <c r="U1127" s="197">
        <v>5.0</v>
      </c>
      <c r="V1127" s="197">
        <v>5.0</v>
      </c>
      <c r="W1127" s="197">
        <v>5.0</v>
      </c>
      <c r="X1127" s="196"/>
      <c r="Y1127" s="196"/>
      <c r="Z1127" s="196"/>
      <c r="AA1127" s="196"/>
      <c r="AB1127" s="196"/>
      <c r="AC1127" s="197">
        <v>4.966666666666667</v>
      </c>
      <c r="AD1127" s="198"/>
    </row>
    <row r="1128">
      <c r="A1128" s="193">
        <v>106021.0</v>
      </c>
      <c r="B1128" s="194" t="s">
        <v>2467</v>
      </c>
      <c r="C1128" s="192" t="s">
        <v>2468</v>
      </c>
      <c r="D1128" s="195">
        <v>45847.0</v>
      </c>
      <c r="E1128" s="192" t="s">
        <v>360</v>
      </c>
      <c r="F1128" s="196"/>
      <c r="G1128" s="196"/>
      <c r="H1128" s="197">
        <v>5.0</v>
      </c>
      <c r="I1128" s="197">
        <v>5.0</v>
      </c>
      <c r="J1128" s="197">
        <v>5.0</v>
      </c>
      <c r="K1128" s="197">
        <v>5.0</v>
      </c>
      <c r="L1128" s="197">
        <v>4.5</v>
      </c>
      <c r="M1128" s="197">
        <v>4.9</v>
      </c>
      <c r="N1128" s="197">
        <v>5.0</v>
      </c>
      <c r="O1128" s="197">
        <v>5.0</v>
      </c>
      <c r="P1128" s="197">
        <v>5.0</v>
      </c>
      <c r="Q1128" s="197">
        <v>5.0</v>
      </c>
      <c r="R1128" s="197">
        <v>5.0</v>
      </c>
      <c r="S1128" s="197">
        <v>5.0</v>
      </c>
      <c r="T1128" s="197">
        <v>5.0</v>
      </c>
      <c r="U1128" s="197">
        <v>5.0</v>
      </c>
      <c r="V1128" s="197">
        <v>5.0</v>
      </c>
      <c r="W1128" s="197">
        <v>5.0</v>
      </c>
      <c r="X1128" s="196"/>
      <c r="Y1128" s="196"/>
      <c r="Z1128" s="196"/>
      <c r="AA1128" s="196"/>
      <c r="AB1128" s="196"/>
      <c r="AC1128" s="197">
        <v>4.966666666666667</v>
      </c>
      <c r="AD1128" s="198"/>
    </row>
    <row r="1129">
      <c r="A1129" s="193">
        <v>106064.0</v>
      </c>
      <c r="B1129" s="194" t="s">
        <v>2469</v>
      </c>
      <c r="C1129" s="192" t="s">
        <v>2470</v>
      </c>
      <c r="D1129" s="195">
        <v>45870.0</v>
      </c>
      <c r="E1129" s="192" t="s">
        <v>340</v>
      </c>
      <c r="F1129" s="196"/>
      <c r="G1129" s="196"/>
      <c r="H1129" s="197">
        <v>5.0</v>
      </c>
      <c r="I1129" s="197">
        <v>5.0</v>
      </c>
      <c r="J1129" s="197">
        <v>5.0</v>
      </c>
      <c r="K1129" s="197">
        <v>5.0</v>
      </c>
      <c r="L1129" s="197">
        <v>4.5</v>
      </c>
      <c r="M1129" s="197">
        <v>4.9</v>
      </c>
      <c r="N1129" s="197">
        <v>5.0</v>
      </c>
      <c r="O1129" s="197">
        <v>5.0</v>
      </c>
      <c r="P1129" s="197">
        <v>5.0</v>
      </c>
      <c r="Q1129" s="197">
        <v>5.0</v>
      </c>
      <c r="R1129" s="197">
        <v>5.0</v>
      </c>
      <c r="S1129" s="197">
        <v>5.0</v>
      </c>
      <c r="T1129" s="197">
        <v>5.0</v>
      </c>
      <c r="U1129" s="197">
        <v>5.0</v>
      </c>
      <c r="V1129" s="197">
        <v>5.0</v>
      </c>
      <c r="W1129" s="197">
        <v>5.0</v>
      </c>
      <c r="X1129" s="196"/>
      <c r="Y1129" s="196"/>
      <c r="Z1129" s="196"/>
      <c r="AA1129" s="196"/>
      <c r="AB1129" s="196"/>
      <c r="AC1129" s="197">
        <v>4.966666666666667</v>
      </c>
      <c r="AD1129" s="198"/>
    </row>
    <row r="1130">
      <c r="A1130" s="193">
        <v>105997.0</v>
      </c>
      <c r="B1130" s="194" t="s">
        <v>2471</v>
      </c>
      <c r="C1130" s="192" t="s">
        <v>2472</v>
      </c>
      <c r="D1130" s="195">
        <v>46003.0</v>
      </c>
      <c r="E1130" s="192" t="s">
        <v>2176</v>
      </c>
      <c r="F1130" s="196"/>
      <c r="G1130" s="196"/>
      <c r="H1130" s="197">
        <v>5.0</v>
      </c>
      <c r="I1130" s="197">
        <v>5.0</v>
      </c>
      <c r="J1130" s="197">
        <v>5.0</v>
      </c>
      <c r="K1130" s="197">
        <v>5.0</v>
      </c>
      <c r="L1130" s="197">
        <v>4.5</v>
      </c>
      <c r="M1130" s="197">
        <v>4.9</v>
      </c>
      <c r="N1130" s="197">
        <v>5.0</v>
      </c>
      <c r="O1130" s="197">
        <v>5.0</v>
      </c>
      <c r="P1130" s="197">
        <v>5.0</v>
      </c>
      <c r="Q1130" s="197">
        <v>5.0</v>
      </c>
      <c r="R1130" s="197">
        <v>5.0</v>
      </c>
      <c r="S1130" s="197">
        <v>5.0</v>
      </c>
      <c r="T1130" s="197">
        <v>5.0</v>
      </c>
      <c r="U1130" s="197">
        <v>5.0</v>
      </c>
      <c r="V1130" s="197">
        <v>5.0</v>
      </c>
      <c r="W1130" s="197">
        <v>5.0</v>
      </c>
      <c r="X1130" s="196"/>
      <c r="Y1130" s="196"/>
      <c r="Z1130" s="196"/>
      <c r="AA1130" s="196"/>
      <c r="AB1130" s="196"/>
      <c r="AC1130" s="197">
        <v>4.966666666666667</v>
      </c>
      <c r="AD1130" s="198"/>
    </row>
    <row r="1131">
      <c r="A1131" s="193">
        <v>106310.0</v>
      </c>
      <c r="B1131" s="194" t="s">
        <v>2473</v>
      </c>
      <c r="C1131" s="192" t="s">
        <v>2474</v>
      </c>
      <c r="D1131" s="195">
        <v>45985.0</v>
      </c>
      <c r="E1131" s="192" t="s">
        <v>2176</v>
      </c>
      <c r="F1131" s="196"/>
      <c r="G1131" s="196"/>
      <c r="H1131" s="197">
        <v>5.0</v>
      </c>
      <c r="I1131" s="197">
        <v>5.0</v>
      </c>
      <c r="J1131" s="197">
        <v>5.0</v>
      </c>
      <c r="K1131" s="197">
        <v>5.0</v>
      </c>
      <c r="L1131" s="197">
        <v>4.5</v>
      </c>
      <c r="M1131" s="197">
        <v>4.9</v>
      </c>
      <c r="N1131" s="197">
        <v>5.0</v>
      </c>
      <c r="O1131" s="197">
        <v>5.0</v>
      </c>
      <c r="P1131" s="197">
        <v>5.0</v>
      </c>
      <c r="Q1131" s="197">
        <v>5.0</v>
      </c>
      <c r="R1131" s="197">
        <v>5.0</v>
      </c>
      <c r="S1131" s="197">
        <v>5.0</v>
      </c>
      <c r="T1131" s="197">
        <v>5.0</v>
      </c>
      <c r="U1131" s="197">
        <v>5.0</v>
      </c>
      <c r="V1131" s="197">
        <v>5.0</v>
      </c>
      <c r="W1131" s="197">
        <v>5.0</v>
      </c>
      <c r="X1131" s="196"/>
      <c r="Y1131" s="196"/>
      <c r="Z1131" s="196"/>
      <c r="AA1131" s="196"/>
      <c r="AB1131" s="196"/>
      <c r="AC1131" s="197">
        <v>4.966666666666667</v>
      </c>
      <c r="AD1131" s="198"/>
    </row>
    <row r="1132">
      <c r="A1132" s="193">
        <v>106311.0</v>
      </c>
      <c r="B1132" s="194" t="s">
        <v>2475</v>
      </c>
      <c r="C1132" s="192" t="s">
        <v>2476</v>
      </c>
      <c r="D1132" s="195">
        <v>45985.0</v>
      </c>
      <c r="E1132" s="192" t="s">
        <v>2176</v>
      </c>
      <c r="F1132" s="196"/>
      <c r="G1132" s="196"/>
      <c r="H1132" s="197">
        <v>5.0</v>
      </c>
      <c r="I1132" s="197">
        <v>5.0</v>
      </c>
      <c r="J1132" s="197">
        <v>5.0</v>
      </c>
      <c r="K1132" s="197">
        <v>5.0</v>
      </c>
      <c r="L1132" s="197">
        <v>4.5</v>
      </c>
      <c r="M1132" s="197">
        <v>4.9</v>
      </c>
      <c r="N1132" s="197">
        <v>5.0</v>
      </c>
      <c r="O1132" s="197">
        <v>5.0</v>
      </c>
      <c r="P1132" s="197">
        <v>5.0</v>
      </c>
      <c r="Q1132" s="197">
        <v>5.0</v>
      </c>
      <c r="R1132" s="197">
        <v>5.0</v>
      </c>
      <c r="S1132" s="197">
        <v>5.0</v>
      </c>
      <c r="T1132" s="197">
        <v>5.0</v>
      </c>
      <c r="U1132" s="197">
        <v>5.0</v>
      </c>
      <c r="V1132" s="197">
        <v>5.0</v>
      </c>
      <c r="W1132" s="197">
        <v>5.0</v>
      </c>
      <c r="X1132" s="196"/>
      <c r="Y1132" s="196"/>
      <c r="Z1132" s="196"/>
      <c r="AA1132" s="196"/>
      <c r="AB1132" s="196"/>
      <c r="AC1132" s="197">
        <v>4.966666666666667</v>
      </c>
      <c r="AD1132" s="198"/>
    </row>
    <row r="1133">
      <c r="A1133" s="193">
        <v>106238.0</v>
      </c>
      <c r="B1133" s="194" t="s">
        <v>2477</v>
      </c>
      <c r="C1133" s="192" t="s">
        <v>2478</v>
      </c>
      <c r="D1133" s="195">
        <v>45933.0</v>
      </c>
      <c r="E1133" s="192" t="s">
        <v>326</v>
      </c>
      <c r="F1133" s="196"/>
      <c r="G1133" s="196"/>
      <c r="H1133" s="197">
        <v>5.0</v>
      </c>
      <c r="I1133" s="197">
        <v>5.0</v>
      </c>
      <c r="J1133" s="197">
        <v>5.0</v>
      </c>
      <c r="K1133" s="197">
        <v>5.0</v>
      </c>
      <c r="L1133" s="197">
        <v>4.5</v>
      </c>
      <c r="M1133" s="197">
        <v>4.9</v>
      </c>
      <c r="N1133" s="197">
        <v>5.0</v>
      </c>
      <c r="O1133" s="197">
        <v>5.0</v>
      </c>
      <c r="P1133" s="197">
        <v>5.0</v>
      </c>
      <c r="Q1133" s="197">
        <v>5.0</v>
      </c>
      <c r="R1133" s="197">
        <v>5.0</v>
      </c>
      <c r="S1133" s="197">
        <v>5.0</v>
      </c>
      <c r="T1133" s="197">
        <v>5.0</v>
      </c>
      <c r="U1133" s="197">
        <v>5.0</v>
      </c>
      <c r="V1133" s="197">
        <v>5.0</v>
      </c>
      <c r="W1133" s="197">
        <v>5.0</v>
      </c>
      <c r="X1133" s="196"/>
      <c r="Y1133" s="196"/>
      <c r="Z1133" s="196"/>
      <c r="AA1133" s="196"/>
      <c r="AB1133" s="196"/>
      <c r="AC1133" s="197">
        <v>4.966666666666667</v>
      </c>
      <c r="AD1133" s="198"/>
    </row>
    <row r="1134">
      <c r="A1134" s="193">
        <v>106236.0</v>
      </c>
      <c r="B1134" s="194" t="s">
        <v>2479</v>
      </c>
      <c r="C1134" s="192" t="s">
        <v>2480</v>
      </c>
      <c r="D1134" s="195">
        <v>45959.0</v>
      </c>
      <c r="E1134" s="192" t="s">
        <v>2179</v>
      </c>
      <c r="F1134" s="196"/>
      <c r="G1134" s="196"/>
      <c r="H1134" s="197">
        <v>5.0</v>
      </c>
      <c r="I1134" s="197">
        <v>5.0</v>
      </c>
      <c r="J1134" s="197">
        <v>5.0</v>
      </c>
      <c r="K1134" s="197">
        <v>5.0</v>
      </c>
      <c r="L1134" s="197">
        <v>4.5</v>
      </c>
      <c r="M1134" s="197">
        <v>4.9</v>
      </c>
      <c r="N1134" s="197">
        <v>5.0</v>
      </c>
      <c r="O1134" s="197">
        <v>5.0</v>
      </c>
      <c r="P1134" s="197">
        <v>5.0</v>
      </c>
      <c r="Q1134" s="197">
        <v>5.0</v>
      </c>
      <c r="R1134" s="197">
        <v>5.0</v>
      </c>
      <c r="S1134" s="197">
        <v>5.0</v>
      </c>
      <c r="T1134" s="197">
        <v>5.0</v>
      </c>
      <c r="U1134" s="197">
        <v>5.0</v>
      </c>
      <c r="V1134" s="197">
        <v>5.0</v>
      </c>
      <c r="W1134" s="197">
        <v>5.0</v>
      </c>
      <c r="X1134" s="196"/>
      <c r="Y1134" s="196"/>
      <c r="Z1134" s="196"/>
      <c r="AA1134" s="196"/>
      <c r="AB1134" s="196"/>
      <c r="AC1134" s="197">
        <v>4.966666666666667</v>
      </c>
      <c r="AD1134" s="198"/>
    </row>
    <row r="1135">
      <c r="A1135" s="193">
        <v>106237.0</v>
      </c>
      <c r="B1135" s="194"/>
      <c r="C1135" s="192" t="s">
        <v>2481</v>
      </c>
      <c r="D1135" s="195">
        <v>45973.0</v>
      </c>
      <c r="E1135" s="192" t="s">
        <v>2179</v>
      </c>
      <c r="F1135" s="196"/>
      <c r="G1135" s="196"/>
      <c r="H1135" s="197">
        <v>5.0</v>
      </c>
      <c r="I1135" s="197">
        <v>5.0</v>
      </c>
      <c r="J1135" s="197">
        <v>5.0</v>
      </c>
      <c r="K1135" s="197">
        <v>5.0</v>
      </c>
      <c r="L1135" s="197">
        <v>4.5</v>
      </c>
      <c r="M1135" s="197">
        <v>4.9</v>
      </c>
      <c r="N1135" s="197">
        <v>5.0</v>
      </c>
      <c r="O1135" s="197">
        <v>5.0</v>
      </c>
      <c r="P1135" s="197">
        <v>5.0</v>
      </c>
      <c r="Q1135" s="197">
        <v>5.0</v>
      </c>
      <c r="R1135" s="197">
        <v>5.0</v>
      </c>
      <c r="S1135" s="197">
        <v>5.0</v>
      </c>
      <c r="T1135" s="197">
        <v>5.0</v>
      </c>
      <c r="U1135" s="197">
        <v>5.0</v>
      </c>
      <c r="V1135" s="197">
        <v>5.0</v>
      </c>
      <c r="W1135" s="197">
        <v>5.0</v>
      </c>
      <c r="X1135" s="196"/>
      <c r="Y1135" s="196"/>
      <c r="Z1135" s="196"/>
      <c r="AA1135" s="196"/>
      <c r="AB1135" s="196"/>
      <c r="AC1135" s="197">
        <v>4.966666666666667</v>
      </c>
      <c r="AD1135" s="198"/>
    </row>
    <row r="1136">
      <c r="A1136" s="193">
        <v>106363.0</v>
      </c>
      <c r="B1136" s="194" t="s">
        <v>2482</v>
      </c>
      <c r="C1136" s="192" t="s">
        <v>2483</v>
      </c>
      <c r="D1136" s="195">
        <v>45978.0</v>
      </c>
      <c r="E1136" s="192" t="s">
        <v>602</v>
      </c>
      <c r="F1136" s="196"/>
      <c r="G1136" s="196"/>
      <c r="H1136" s="197">
        <v>4.5</v>
      </c>
      <c r="I1136" s="197">
        <v>4.5</v>
      </c>
      <c r="J1136" s="197">
        <v>4.5</v>
      </c>
      <c r="K1136" s="197">
        <v>4.5</v>
      </c>
      <c r="L1136" s="197">
        <v>4.5</v>
      </c>
      <c r="M1136" s="197">
        <v>4.5</v>
      </c>
      <c r="N1136" s="197">
        <v>5.0</v>
      </c>
      <c r="O1136" s="197">
        <v>5.0</v>
      </c>
      <c r="P1136" s="197">
        <v>4.0</v>
      </c>
      <c r="Q1136" s="197">
        <v>5.0</v>
      </c>
      <c r="R1136" s="197">
        <v>4.666666666666667</v>
      </c>
      <c r="S1136" s="197">
        <v>5.0</v>
      </c>
      <c r="T1136" s="197">
        <v>5.0</v>
      </c>
      <c r="U1136" s="197">
        <v>4.0</v>
      </c>
      <c r="V1136" s="197">
        <v>5.0</v>
      </c>
      <c r="W1136" s="197">
        <v>4.75</v>
      </c>
      <c r="X1136" s="196"/>
      <c r="Y1136" s="196"/>
      <c r="Z1136" s="196"/>
      <c r="AA1136" s="196"/>
      <c r="AB1136" s="196"/>
      <c r="AC1136" s="197">
        <v>4.638888888888889</v>
      </c>
      <c r="AD1136" s="198"/>
    </row>
    <row r="1137">
      <c r="A1137" s="193">
        <v>105972.0</v>
      </c>
      <c r="B1137" s="194" t="s">
        <v>2484</v>
      </c>
      <c r="C1137" s="192" t="s">
        <v>2485</v>
      </c>
      <c r="D1137" s="195">
        <v>45842.0</v>
      </c>
      <c r="E1137" s="192" t="s">
        <v>2080</v>
      </c>
      <c r="F1137" s="196"/>
      <c r="G1137" s="196"/>
      <c r="H1137" s="197">
        <v>4.0</v>
      </c>
      <c r="I1137" s="197">
        <v>4.0</v>
      </c>
      <c r="J1137" s="197">
        <v>4.0</v>
      </c>
      <c r="K1137" s="197">
        <v>4.0</v>
      </c>
      <c r="L1137" s="197">
        <v>4.5</v>
      </c>
      <c r="M1137" s="197">
        <v>4.1</v>
      </c>
      <c r="N1137" s="197">
        <v>4.0</v>
      </c>
      <c r="O1137" s="197">
        <v>4.0</v>
      </c>
      <c r="P1137" s="197">
        <v>4.0</v>
      </c>
      <c r="Q1137" s="197">
        <v>4.0</v>
      </c>
      <c r="R1137" s="197">
        <v>4.0</v>
      </c>
      <c r="S1137" s="197">
        <v>5.0</v>
      </c>
      <c r="T1137" s="197">
        <v>5.0</v>
      </c>
      <c r="U1137" s="197">
        <v>5.0</v>
      </c>
      <c r="V1137" s="197">
        <v>5.0</v>
      </c>
      <c r="W1137" s="197">
        <v>5.0</v>
      </c>
      <c r="X1137" s="196"/>
      <c r="Y1137" s="196"/>
      <c r="Z1137" s="196"/>
      <c r="AA1137" s="196"/>
      <c r="AB1137" s="196"/>
      <c r="AC1137" s="197">
        <v>4.366666666666666</v>
      </c>
      <c r="AD1137" s="198"/>
    </row>
    <row r="1138">
      <c r="A1138" s="193">
        <v>105701.0</v>
      </c>
      <c r="B1138" s="194" t="s">
        <v>2486</v>
      </c>
      <c r="C1138" s="192" t="s">
        <v>2487</v>
      </c>
      <c r="D1138" s="195">
        <v>45778.0</v>
      </c>
      <c r="E1138" s="192" t="s">
        <v>2080</v>
      </c>
      <c r="F1138" s="196"/>
      <c r="G1138" s="196"/>
      <c r="H1138" s="197">
        <v>4.0</v>
      </c>
      <c r="I1138" s="197">
        <v>4.0</v>
      </c>
      <c r="J1138" s="197">
        <v>4.0</v>
      </c>
      <c r="K1138" s="197">
        <v>4.0</v>
      </c>
      <c r="L1138" s="197">
        <v>4.5</v>
      </c>
      <c r="M1138" s="197">
        <v>4.1</v>
      </c>
      <c r="N1138" s="197">
        <v>4.0</v>
      </c>
      <c r="O1138" s="197">
        <v>4.0</v>
      </c>
      <c r="P1138" s="197">
        <v>4.0</v>
      </c>
      <c r="Q1138" s="197">
        <v>4.0</v>
      </c>
      <c r="R1138" s="197">
        <v>4.0</v>
      </c>
      <c r="S1138" s="197">
        <v>5.0</v>
      </c>
      <c r="T1138" s="197">
        <v>5.0</v>
      </c>
      <c r="U1138" s="197">
        <v>5.0</v>
      </c>
      <c r="V1138" s="197">
        <v>5.0</v>
      </c>
      <c r="W1138" s="197">
        <v>5.0</v>
      </c>
      <c r="X1138" s="196"/>
      <c r="Y1138" s="196"/>
      <c r="Z1138" s="196"/>
      <c r="AA1138" s="196"/>
      <c r="AB1138" s="196"/>
      <c r="AC1138" s="197">
        <v>4.366666666666666</v>
      </c>
      <c r="AD1138" s="198"/>
    </row>
    <row r="1139">
      <c r="A1139" s="193">
        <v>105701.0</v>
      </c>
      <c r="B1139" s="194" t="s">
        <v>2488</v>
      </c>
      <c r="C1139" s="192" t="s">
        <v>2487</v>
      </c>
      <c r="D1139" s="195">
        <v>45778.0</v>
      </c>
      <c r="E1139" s="192" t="s">
        <v>646</v>
      </c>
      <c r="F1139" s="196"/>
      <c r="G1139" s="196"/>
      <c r="H1139" s="197">
        <v>5.0</v>
      </c>
      <c r="I1139" s="197">
        <v>5.0</v>
      </c>
      <c r="J1139" s="197">
        <v>5.0</v>
      </c>
      <c r="K1139" s="197">
        <v>5.0</v>
      </c>
      <c r="L1139" s="197">
        <v>4.5</v>
      </c>
      <c r="M1139" s="197">
        <v>4.9</v>
      </c>
      <c r="N1139" s="197">
        <v>5.0</v>
      </c>
      <c r="O1139" s="197">
        <v>5.0</v>
      </c>
      <c r="P1139" s="197">
        <v>5.0</v>
      </c>
      <c r="Q1139" s="197">
        <v>5.0</v>
      </c>
      <c r="R1139" s="197">
        <v>5.0</v>
      </c>
      <c r="S1139" s="197">
        <v>5.0</v>
      </c>
      <c r="T1139" s="197">
        <v>5.0</v>
      </c>
      <c r="U1139" s="197">
        <v>5.0</v>
      </c>
      <c r="V1139" s="197">
        <v>5.0</v>
      </c>
      <c r="W1139" s="197">
        <v>5.0</v>
      </c>
      <c r="X1139" s="196"/>
      <c r="Y1139" s="196"/>
      <c r="Z1139" s="196"/>
      <c r="AA1139" s="196"/>
      <c r="AB1139" s="196"/>
      <c r="AC1139" s="197">
        <v>4.966666666666667</v>
      </c>
      <c r="AD1139" s="198"/>
    </row>
    <row r="1140">
      <c r="A1140" s="193">
        <v>105793.0</v>
      </c>
      <c r="B1140" s="194" t="s">
        <v>2489</v>
      </c>
      <c r="C1140" s="192" t="s">
        <v>2490</v>
      </c>
      <c r="D1140" s="195">
        <v>45801.0</v>
      </c>
      <c r="E1140" s="192" t="s">
        <v>646</v>
      </c>
      <c r="F1140" s="196"/>
      <c r="G1140" s="196"/>
      <c r="H1140" s="197">
        <v>5.0</v>
      </c>
      <c r="I1140" s="197">
        <v>5.0</v>
      </c>
      <c r="J1140" s="197">
        <v>5.0</v>
      </c>
      <c r="K1140" s="197">
        <v>5.0</v>
      </c>
      <c r="L1140" s="197">
        <v>4.5</v>
      </c>
      <c r="M1140" s="197">
        <v>4.9</v>
      </c>
      <c r="N1140" s="197">
        <v>5.0</v>
      </c>
      <c r="O1140" s="197">
        <v>5.0</v>
      </c>
      <c r="P1140" s="197">
        <v>5.0</v>
      </c>
      <c r="Q1140" s="197">
        <v>5.0</v>
      </c>
      <c r="R1140" s="197">
        <v>5.0</v>
      </c>
      <c r="S1140" s="197">
        <v>5.0</v>
      </c>
      <c r="T1140" s="197">
        <v>5.0</v>
      </c>
      <c r="U1140" s="197">
        <v>4.9</v>
      </c>
      <c r="V1140" s="197">
        <v>5.0</v>
      </c>
      <c r="W1140" s="197">
        <v>4.975</v>
      </c>
      <c r="X1140" s="196"/>
      <c r="Y1140" s="196"/>
      <c r="Z1140" s="196"/>
      <c r="AA1140" s="196"/>
      <c r="AB1140" s="196"/>
      <c r="AC1140" s="197">
        <v>4.958333333333333</v>
      </c>
      <c r="AD1140" s="198"/>
    </row>
    <row r="1141">
      <c r="A1141" s="193">
        <v>105655.0</v>
      </c>
      <c r="B1141" s="194" t="s">
        <v>2491</v>
      </c>
      <c r="C1141" s="192" t="s">
        <v>2492</v>
      </c>
      <c r="D1141" s="195">
        <v>45826.0</v>
      </c>
      <c r="E1141" s="192" t="s">
        <v>2080</v>
      </c>
      <c r="F1141" s="196"/>
      <c r="G1141" s="196"/>
      <c r="H1141" s="197">
        <v>4.0</v>
      </c>
      <c r="I1141" s="197">
        <v>4.0</v>
      </c>
      <c r="J1141" s="197">
        <v>4.0</v>
      </c>
      <c r="K1141" s="197">
        <v>4.0</v>
      </c>
      <c r="L1141" s="197">
        <v>4.5</v>
      </c>
      <c r="M1141" s="197">
        <v>4.1</v>
      </c>
      <c r="N1141" s="197">
        <v>4.0</v>
      </c>
      <c r="O1141" s="197">
        <v>4.0</v>
      </c>
      <c r="P1141" s="197">
        <v>4.0</v>
      </c>
      <c r="Q1141" s="197">
        <v>4.0</v>
      </c>
      <c r="R1141" s="197">
        <v>4.0</v>
      </c>
      <c r="S1141" s="197">
        <v>4.5</v>
      </c>
      <c r="T1141" s="197">
        <v>4.5</v>
      </c>
      <c r="U1141" s="197">
        <v>4.5</v>
      </c>
      <c r="V1141" s="197">
        <v>4.5</v>
      </c>
      <c r="W1141" s="197">
        <v>4.5</v>
      </c>
      <c r="X1141" s="196"/>
      <c r="Y1141" s="196"/>
      <c r="Z1141" s="196"/>
      <c r="AA1141" s="196"/>
      <c r="AB1141" s="196"/>
      <c r="AC1141" s="197">
        <v>4.2</v>
      </c>
      <c r="AD1141" s="198"/>
    </row>
    <row r="1142">
      <c r="A1142" s="193">
        <v>105701.0</v>
      </c>
      <c r="B1142" s="194" t="s">
        <v>2488</v>
      </c>
      <c r="C1142" s="192" t="s">
        <v>2487</v>
      </c>
      <c r="D1142" s="195">
        <v>45778.0</v>
      </c>
      <c r="E1142" s="192" t="s">
        <v>646</v>
      </c>
      <c r="F1142" s="196"/>
      <c r="G1142" s="196"/>
      <c r="H1142" s="197">
        <v>5.0</v>
      </c>
      <c r="I1142" s="197">
        <v>5.0</v>
      </c>
      <c r="J1142" s="197">
        <v>5.0</v>
      </c>
      <c r="K1142" s="197">
        <v>5.0</v>
      </c>
      <c r="L1142" s="197">
        <v>4.5</v>
      </c>
      <c r="M1142" s="197">
        <v>4.9</v>
      </c>
      <c r="N1142" s="197">
        <v>5.0</v>
      </c>
      <c r="O1142" s="197">
        <v>5.0</v>
      </c>
      <c r="P1142" s="197">
        <v>5.0</v>
      </c>
      <c r="Q1142" s="197">
        <v>5.0</v>
      </c>
      <c r="R1142" s="197">
        <v>5.0</v>
      </c>
      <c r="S1142" s="197">
        <v>5.0</v>
      </c>
      <c r="T1142" s="197">
        <v>5.0</v>
      </c>
      <c r="U1142" s="197">
        <v>5.0</v>
      </c>
      <c r="V1142" s="197">
        <v>5.0</v>
      </c>
      <c r="W1142" s="197">
        <v>5.0</v>
      </c>
      <c r="X1142" s="196"/>
      <c r="Y1142" s="196"/>
      <c r="Z1142" s="196"/>
      <c r="AA1142" s="196"/>
      <c r="AB1142" s="196"/>
      <c r="AC1142" s="197">
        <v>4.966666666666667</v>
      </c>
      <c r="AD1142" s="198"/>
    </row>
    <row r="1143">
      <c r="A1143" s="193">
        <v>105654.0</v>
      </c>
      <c r="B1143" s="194" t="s">
        <v>2493</v>
      </c>
      <c r="C1143" s="192" t="s">
        <v>2494</v>
      </c>
      <c r="D1143" s="195">
        <v>45832.0</v>
      </c>
      <c r="E1143" s="192" t="s">
        <v>2080</v>
      </c>
      <c r="F1143" s="196"/>
      <c r="G1143" s="196"/>
      <c r="H1143" s="197">
        <v>4.5</v>
      </c>
      <c r="I1143" s="197">
        <v>4.0</v>
      </c>
      <c r="J1143" s="197">
        <v>4.5</v>
      </c>
      <c r="K1143" s="197">
        <v>4.0</v>
      </c>
      <c r="L1143" s="197">
        <v>4.5</v>
      </c>
      <c r="M1143" s="197">
        <v>4.3</v>
      </c>
      <c r="N1143" s="197">
        <v>4.5</v>
      </c>
      <c r="O1143" s="197">
        <v>4.0</v>
      </c>
      <c r="P1143" s="197">
        <v>4.5</v>
      </c>
      <c r="Q1143" s="197">
        <v>4.0</v>
      </c>
      <c r="R1143" s="197">
        <v>4.333333333333333</v>
      </c>
      <c r="S1143" s="197">
        <v>4.5</v>
      </c>
      <c r="T1143" s="197">
        <v>4.5</v>
      </c>
      <c r="U1143" s="197">
        <v>4.5</v>
      </c>
      <c r="V1143" s="197">
        <v>4.5</v>
      </c>
      <c r="W1143" s="197">
        <v>4.5</v>
      </c>
      <c r="X1143" s="196"/>
      <c r="Y1143" s="196"/>
      <c r="Z1143" s="196"/>
      <c r="AA1143" s="196"/>
      <c r="AB1143" s="196"/>
      <c r="AC1143" s="197">
        <v>4.377777777777777</v>
      </c>
      <c r="AD1143" s="198"/>
    </row>
    <row r="1144">
      <c r="A1144" s="193">
        <v>104632.0</v>
      </c>
      <c r="B1144" s="194" t="s">
        <v>2495</v>
      </c>
      <c r="C1144" s="192" t="s">
        <v>2496</v>
      </c>
      <c r="D1144" s="195">
        <v>45585.0</v>
      </c>
      <c r="E1144" s="192" t="s">
        <v>51</v>
      </c>
      <c r="F1144" s="196"/>
      <c r="G1144" s="196"/>
      <c r="H1144" s="197">
        <v>5.0</v>
      </c>
      <c r="I1144" s="197">
        <v>5.0</v>
      </c>
      <c r="J1144" s="197">
        <v>5.0</v>
      </c>
      <c r="K1144" s="197">
        <v>5.0</v>
      </c>
      <c r="L1144" s="197">
        <v>4.5</v>
      </c>
      <c r="M1144" s="197">
        <v>4.9</v>
      </c>
      <c r="N1144" s="197">
        <v>5.0</v>
      </c>
      <c r="O1144" s="197">
        <v>5.0</v>
      </c>
      <c r="P1144" s="197">
        <v>5.0</v>
      </c>
      <c r="Q1144" s="197">
        <v>5.0</v>
      </c>
      <c r="R1144" s="197">
        <v>5.0</v>
      </c>
      <c r="S1144" s="197">
        <v>4.5</v>
      </c>
      <c r="T1144" s="197">
        <v>4.5</v>
      </c>
      <c r="U1144" s="197">
        <v>4.5</v>
      </c>
      <c r="V1144" s="197">
        <v>4.5</v>
      </c>
      <c r="W1144" s="197">
        <v>4.5</v>
      </c>
      <c r="X1144" s="196"/>
      <c r="Y1144" s="196"/>
      <c r="Z1144" s="196"/>
      <c r="AA1144" s="196"/>
      <c r="AB1144" s="196"/>
      <c r="AC1144" s="197">
        <v>4.8</v>
      </c>
      <c r="AD1144" s="198"/>
    </row>
    <row r="1145">
      <c r="A1145" s="193">
        <v>106261.0</v>
      </c>
      <c r="B1145" s="194" t="s">
        <v>2497</v>
      </c>
      <c r="C1145" s="192" t="s">
        <v>2498</v>
      </c>
      <c r="D1145" s="195">
        <v>45933.0</v>
      </c>
      <c r="E1145" s="192" t="s">
        <v>87</v>
      </c>
      <c r="F1145" s="196"/>
      <c r="G1145" s="196"/>
      <c r="H1145" s="197">
        <v>5.0</v>
      </c>
      <c r="I1145" s="197">
        <v>5.0</v>
      </c>
      <c r="J1145" s="197">
        <v>5.0</v>
      </c>
      <c r="K1145" s="197">
        <v>5.0</v>
      </c>
      <c r="L1145" s="197">
        <v>5.0</v>
      </c>
      <c r="M1145" s="197">
        <v>5.0</v>
      </c>
      <c r="N1145" s="197">
        <v>5.0</v>
      </c>
      <c r="O1145" s="197">
        <v>5.0</v>
      </c>
      <c r="P1145" s="197">
        <v>5.0</v>
      </c>
      <c r="Q1145" s="197">
        <v>5.0</v>
      </c>
      <c r="R1145" s="197">
        <v>5.0</v>
      </c>
      <c r="S1145" s="197">
        <v>5.0</v>
      </c>
      <c r="T1145" s="197">
        <v>5.0</v>
      </c>
      <c r="U1145" s="197">
        <v>5.0</v>
      </c>
      <c r="V1145" s="197">
        <v>5.0</v>
      </c>
      <c r="W1145" s="197">
        <v>5.0</v>
      </c>
      <c r="X1145" s="196"/>
      <c r="Y1145" s="196"/>
      <c r="Z1145" s="196"/>
      <c r="AA1145" s="196"/>
      <c r="AB1145" s="196"/>
      <c r="AC1145" s="197">
        <v>5.0</v>
      </c>
      <c r="AD1145" s="198"/>
    </row>
    <row r="1146">
      <c r="A1146" s="193">
        <v>105952.0</v>
      </c>
      <c r="B1146" s="194" t="s">
        <v>2499</v>
      </c>
      <c r="C1146" s="192" t="s">
        <v>2500</v>
      </c>
      <c r="D1146" s="195">
        <v>45838.0</v>
      </c>
      <c r="E1146" s="192" t="s">
        <v>767</v>
      </c>
      <c r="F1146" s="196"/>
      <c r="G1146" s="196"/>
      <c r="H1146" s="197">
        <v>5.0</v>
      </c>
      <c r="I1146" s="197">
        <v>5.0</v>
      </c>
      <c r="J1146" s="197">
        <v>5.0</v>
      </c>
      <c r="K1146" s="197">
        <v>5.0</v>
      </c>
      <c r="L1146" s="197">
        <v>5.0</v>
      </c>
      <c r="M1146" s="197">
        <v>5.0</v>
      </c>
      <c r="N1146" s="197">
        <v>5.0</v>
      </c>
      <c r="O1146" s="197">
        <v>5.0</v>
      </c>
      <c r="P1146" s="197">
        <v>5.0</v>
      </c>
      <c r="Q1146" s="197">
        <v>5.0</v>
      </c>
      <c r="R1146" s="197">
        <v>5.0</v>
      </c>
      <c r="S1146" s="197">
        <v>4.5</v>
      </c>
      <c r="T1146" s="197">
        <v>4.5</v>
      </c>
      <c r="U1146" s="197">
        <v>4.5</v>
      </c>
      <c r="V1146" s="197">
        <v>4.5</v>
      </c>
      <c r="W1146" s="197">
        <v>4.5</v>
      </c>
      <c r="X1146" s="196"/>
      <c r="Y1146" s="196"/>
      <c r="Z1146" s="196"/>
      <c r="AA1146" s="196"/>
      <c r="AB1146" s="196"/>
      <c r="AC1146" s="197">
        <v>4.833333333333333</v>
      </c>
      <c r="AD1146" s="198"/>
    </row>
    <row r="1147">
      <c r="A1147" s="193">
        <v>106423.0</v>
      </c>
      <c r="B1147" s="194" t="s">
        <v>2501</v>
      </c>
      <c r="C1147" s="192" t="s">
        <v>2502</v>
      </c>
      <c r="D1147" s="244" t="s">
        <v>2503</v>
      </c>
      <c r="E1147" s="192" t="s">
        <v>295</v>
      </c>
      <c r="F1147" s="196"/>
      <c r="G1147" s="196"/>
      <c r="H1147" s="197">
        <v>5.0</v>
      </c>
      <c r="I1147" s="197">
        <v>5.0</v>
      </c>
      <c r="J1147" s="197">
        <v>5.0</v>
      </c>
      <c r="K1147" s="197">
        <v>5.0</v>
      </c>
      <c r="L1147" s="197">
        <v>4.9</v>
      </c>
      <c r="M1147" s="197">
        <v>4.9799999999999995</v>
      </c>
      <c r="N1147" s="197">
        <v>4.49</v>
      </c>
      <c r="O1147" s="197">
        <v>4.49</v>
      </c>
      <c r="P1147" s="197">
        <v>4.49</v>
      </c>
      <c r="Q1147" s="197">
        <v>4.49</v>
      </c>
      <c r="R1147" s="197">
        <v>4.49</v>
      </c>
      <c r="S1147" s="197">
        <v>4.49</v>
      </c>
      <c r="T1147" s="197">
        <v>4.49</v>
      </c>
      <c r="U1147" s="197">
        <v>4.49</v>
      </c>
      <c r="V1147" s="197">
        <v>4.49</v>
      </c>
      <c r="W1147" s="197">
        <v>4.49</v>
      </c>
      <c r="X1147" s="196"/>
      <c r="Y1147" s="196"/>
      <c r="Z1147" s="196"/>
      <c r="AA1147" s="196"/>
      <c r="AB1147" s="196"/>
      <c r="AC1147" s="197">
        <v>4.653333333333333</v>
      </c>
      <c r="AD1147" s="198"/>
    </row>
    <row r="1148">
      <c r="A1148" s="193">
        <v>106456.0</v>
      </c>
      <c r="B1148" s="194" t="s">
        <v>2505</v>
      </c>
      <c r="C1148" s="192" t="s">
        <v>2506</v>
      </c>
      <c r="D1148" s="195">
        <v>46013.0</v>
      </c>
      <c r="E1148" s="192" t="s">
        <v>360</v>
      </c>
      <c r="F1148" s="196"/>
      <c r="G1148" s="196"/>
      <c r="H1148" s="197">
        <v>5.0</v>
      </c>
      <c r="I1148" s="197">
        <v>5.0</v>
      </c>
      <c r="J1148" s="197">
        <v>5.0</v>
      </c>
      <c r="K1148" s="197">
        <v>5.0</v>
      </c>
      <c r="L1148" s="197">
        <v>5.0</v>
      </c>
      <c r="M1148" s="197">
        <v>5.0</v>
      </c>
      <c r="N1148" s="197">
        <v>4.49</v>
      </c>
      <c r="O1148" s="197">
        <v>4.49</v>
      </c>
      <c r="P1148" s="197">
        <v>4.49</v>
      </c>
      <c r="Q1148" s="197">
        <v>4.49</v>
      </c>
      <c r="R1148" s="197">
        <v>4.49</v>
      </c>
      <c r="S1148" s="197">
        <v>4.49</v>
      </c>
      <c r="T1148" s="197">
        <v>4.49</v>
      </c>
      <c r="U1148" s="197">
        <v>4.49</v>
      </c>
      <c r="V1148" s="197">
        <v>4.49</v>
      </c>
      <c r="W1148" s="197">
        <v>4.49</v>
      </c>
      <c r="X1148" s="196"/>
      <c r="Y1148" s="196"/>
      <c r="Z1148" s="196"/>
      <c r="AA1148" s="196"/>
      <c r="AB1148" s="196"/>
      <c r="AC1148" s="197">
        <v>4.66</v>
      </c>
      <c r="AD1148" s="198"/>
    </row>
    <row r="1149">
      <c r="A1149" s="193">
        <v>106445.0</v>
      </c>
      <c r="B1149" s="194" t="s">
        <v>2507</v>
      </c>
      <c r="C1149" s="192" t="s">
        <v>2508</v>
      </c>
      <c r="D1149" s="195">
        <v>46006.0</v>
      </c>
      <c r="E1149" s="192" t="s">
        <v>295</v>
      </c>
      <c r="F1149" s="196"/>
      <c r="G1149" s="196"/>
      <c r="H1149" s="197">
        <v>5.0</v>
      </c>
      <c r="I1149" s="197">
        <v>5.0</v>
      </c>
      <c r="J1149" s="197">
        <v>5.0</v>
      </c>
      <c r="K1149" s="197">
        <v>5.0</v>
      </c>
      <c r="L1149" s="197">
        <v>4.9</v>
      </c>
      <c r="M1149" s="197">
        <v>4.9799999999999995</v>
      </c>
      <c r="N1149" s="197">
        <v>4.49</v>
      </c>
      <c r="O1149" s="197">
        <v>4.49</v>
      </c>
      <c r="P1149" s="197">
        <v>4.49</v>
      </c>
      <c r="Q1149" s="197">
        <v>4.49</v>
      </c>
      <c r="R1149" s="197">
        <v>4.49</v>
      </c>
      <c r="S1149" s="197">
        <v>4.49</v>
      </c>
      <c r="T1149" s="197">
        <v>4.49</v>
      </c>
      <c r="U1149" s="197">
        <v>4.49</v>
      </c>
      <c r="V1149" s="197">
        <v>4.49</v>
      </c>
      <c r="W1149" s="197">
        <v>4.49</v>
      </c>
      <c r="X1149" s="196"/>
      <c r="Y1149" s="196"/>
      <c r="Z1149" s="196"/>
      <c r="AA1149" s="196"/>
      <c r="AB1149" s="196"/>
      <c r="AC1149" s="197">
        <v>4.653333333333333</v>
      </c>
      <c r="AD1149" s="198"/>
    </row>
    <row r="1150">
      <c r="A1150" s="193">
        <v>106457.0</v>
      </c>
      <c r="B1150" s="194" t="s">
        <v>2509</v>
      </c>
      <c r="C1150" s="192" t="s">
        <v>2510</v>
      </c>
      <c r="D1150" s="195">
        <v>45683.0</v>
      </c>
      <c r="E1150" s="192" t="s">
        <v>2167</v>
      </c>
      <c r="F1150" s="196"/>
      <c r="G1150" s="196"/>
      <c r="H1150" s="197">
        <v>5.0</v>
      </c>
      <c r="I1150" s="197">
        <v>5.0</v>
      </c>
      <c r="J1150" s="197">
        <v>5.0</v>
      </c>
      <c r="K1150" s="197">
        <v>5.0</v>
      </c>
      <c r="L1150" s="197">
        <v>4.0</v>
      </c>
      <c r="M1150" s="197">
        <v>4.8</v>
      </c>
      <c r="N1150" s="197">
        <v>5.0</v>
      </c>
      <c r="O1150" s="197">
        <v>5.0</v>
      </c>
      <c r="P1150" s="197">
        <v>5.0</v>
      </c>
      <c r="Q1150" s="197">
        <v>5.0</v>
      </c>
      <c r="R1150" s="197">
        <v>5.0</v>
      </c>
      <c r="S1150" s="197">
        <v>5.0</v>
      </c>
      <c r="T1150" s="197">
        <v>5.0</v>
      </c>
      <c r="U1150" s="197">
        <v>5.0</v>
      </c>
      <c r="V1150" s="197">
        <v>5.0</v>
      </c>
      <c r="W1150" s="197">
        <v>5.0</v>
      </c>
      <c r="X1150" s="196"/>
      <c r="Y1150" s="196"/>
      <c r="Z1150" s="196"/>
      <c r="AA1150" s="196"/>
      <c r="AB1150" s="196"/>
      <c r="AC1150" s="197">
        <v>4.933333333333334</v>
      </c>
      <c r="AD1150" s="198"/>
    </row>
    <row r="1151">
      <c r="A1151" s="193">
        <v>106350.0</v>
      </c>
      <c r="B1151" s="194" t="s">
        <v>2511</v>
      </c>
      <c r="C1151" s="192" t="s">
        <v>2512</v>
      </c>
      <c r="D1151" s="195">
        <v>45946.0</v>
      </c>
      <c r="E1151" s="192" t="s">
        <v>312</v>
      </c>
      <c r="F1151" s="196"/>
      <c r="G1151" s="196"/>
      <c r="H1151" s="197">
        <v>5.0</v>
      </c>
      <c r="I1151" s="197">
        <v>5.0</v>
      </c>
      <c r="J1151" s="197">
        <v>5.0</v>
      </c>
      <c r="K1151" s="197">
        <v>5.0</v>
      </c>
      <c r="L1151" s="197">
        <v>5.0</v>
      </c>
      <c r="M1151" s="197">
        <v>5.0</v>
      </c>
      <c r="N1151" s="197">
        <v>5.0</v>
      </c>
      <c r="O1151" s="197">
        <v>5.0</v>
      </c>
      <c r="P1151" s="197">
        <v>5.0</v>
      </c>
      <c r="Q1151" s="197">
        <v>5.0</v>
      </c>
      <c r="R1151" s="197">
        <v>5.0</v>
      </c>
      <c r="S1151" s="197">
        <v>5.0</v>
      </c>
      <c r="T1151" s="197">
        <v>5.0</v>
      </c>
      <c r="U1151" s="197">
        <v>5.0</v>
      </c>
      <c r="V1151" s="197">
        <v>5.0</v>
      </c>
      <c r="W1151" s="197">
        <v>5.0</v>
      </c>
      <c r="X1151" s="196"/>
      <c r="Y1151" s="196"/>
      <c r="Z1151" s="196"/>
      <c r="AA1151" s="196"/>
      <c r="AB1151" s="196"/>
      <c r="AC1151" s="197">
        <v>5.0</v>
      </c>
      <c r="AD1151" s="198"/>
    </row>
    <row r="1152">
      <c r="A1152" s="193">
        <v>106349.0</v>
      </c>
      <c r="B1152" s="194" t="s">
        <v>2514</v>
      </c>
      <c r="C1152" s="192" t="s">
        <v>2515</v>
      </c>
      <c r="D1152" s="195">
        <v>45946.0</v>
      </c>
      <c r="E1152" s="192" t="s">
        <v>312</v>
      </c>
      <c r="F1152" s="196"/>
      <c r="G1152" s="196"/>
      <c r="H1152" s="197">
        <v>5.0</v>
      </c>
      <c r="I1152" s="197">
        <v>5.0</v>
      </c>
      <c r="J1152" s="197">
        <v>5.0</v>
      </c>
      <c r="K1152" s="197">
        <v>5.0</v>
      </c>
      <c r="L1152" s="197">
        <v>5.0</v>
      </c>
      <c r="M1152" s="197">
        <v>5.0</v>
      </c>
      <c r="N1152" s="197">
        <v>5.0</v>
      </c>
      <c r="O1152" s="197">
        <v>5.0</v>
      </c>
      <c r="P1152" s="197">
        <v>5.0</v>
      </c>
      <c r="Q1152" s="197">
        <v>5.0</v>
      </c>
      <c r="R1152" s="197">
        <v>5.0</v>
      </c>
      <c r="S1152" s="197">
        <v>5.0</v>
      </c>
      <c r="T1152" s="197">
        <v>5.0</v>
      </c>
      <c r="U1152" s="197">
        <v>5.0</v>
      </c>
      <c r="V1152" s="197">
        <v>5.0</v>
      </c>
      <c r="W1152" s="197">
        <v>5.0</v>
      </c>
      <c r="X1152" s="196"/>
      <c r="Y1152" s="196"/>
      <c r="Z1152" s="196"/>
      <c r="AA1152" s="196"/>
      <c r="AB1152" s="196"/>
      <c r="AC1152" s="197">
        <v>5.0</v>
      </c>
      <c r="AD1152" s="198"/>
    </row>
    <row r="1153">
      <c r="A1153" s="193">
        <v>106475.0</v>
      </c>
      <c r="B1153" s="194" t="s">
        <v>2516</v>
      </c>
      <c r="C1153" s="192" t="s">
        <v>2517</v>
      </c>
      <c r="D1153" s="195">
        <v>46006.0</v>
      </c>
      <c r="E1153" s="192" t="s">
        <v>295</v>
      </c>
      <c r="F1153" s="196"/>
      <c r="G1153" s="196"/>
      <c r="H1153" s="197">
        <v>5.0</v>
      </c>
      <c r="I1153" s="197">
        <v>5.0</v>
      </c>
      <c r="J1153" s="197">
        <v>5.0</v>
      </c>
      <c r="K1153" s="197">
        <v>5.0</v>
      </c>
      <c r="L1153" s="197">
        <v>4.9</v>
      </c>
      <c r="M1153" s="197">
        <v>4.9799999999999995</v>
      </c>
      <c r="N1153" s="197">
        <v>4.49</v>
      </c>
      <c r="O1153" s="197">
        <v>4.49</v>
      </c>
      <c r="P1153" s="197">
        <v>4.49</v>
      </c>
      <c r="Q1153" s="197">
        <v>4.49</v>
      </c>
      <c r="R1153" s="197">
        <v>4.49</v>
      </c>
      <c r="S1153" s="197">
        <v>4.49</v>
      </c>
      <c r="T1153" s="197">
        <v>4.49</v>
      </c>
      <c r="U1153" s="197">
        <v>4.49</v>
      </c>
      <c r="V1153" s="197">
        <v>4.49</v>
      </c>
      <c r="W1153" s="197">
        <v>4.49</v>
      </c>
      <c r="X1153" s="196"/>
      <c r="Y1153" s="196"/>
      <c r="Z1153" s="196"/>
      <c r="AA1153" s="196"/>
      <c r="AB1153" s="196"/>
      <c r="AC1153" s="197">
        <v>4.653333333333333</v>
      </c>
      <c r="AD1153" s="198"/>
    </row>
    <row r="1154">
      <c r="A1154" s="193">
        <v>106460.0</v>
      </c>
      <c r="B1154" s="194" t="s">
        <v>2518</v>
      </c>
      <c r="C1154" s="192" t="s">
        <v>2519</v>
      </c>
      <c r="D1154" s="195">
        <v>46002.0</v>
      </c>
      <c r="E1154" s="192" t="s">
        <v>295</v>
      </c>
      <c r="F1154" s="196"/>
      <c r="G1154" s="196"/>
      <c r="H1154" s="197">
        <v>5.0</v>
      </c>
      <c r="I1154" s="197">
        <v>5.0</v>
      </c>
      <c r="J1154" s="197">
        <v>5.0</v>
      </c>
      <c r="K1154" s="197">
        <v>5.0</v>
      </c>
      <c r="L1154" s="197">
        <v>4.9</v>
      </c>
      <c r="M1154" s="197">
        <v>4.9799999999999995</v>
      </c>
      <c r="N1154" s="197">
        <v>4.49</v>
      </c>
      <c r="O1154" s="197">
        <v>4.49</v>
      </c>
      <c r="P1154" s="197">
        <v>4.49</v>
      </c>
      <c r="Q1154" s="197">
        <v>4.49</v>
      </c>
      <c r="R1154" s="197">
        <v>4.49</v>
      </c>
      <c r="S1154" s="197">
        <v>4.49</v>
      </c>
      <c r="T1154" s="197">
        <v>4.49</v>
      </c>
      <c r="U1154" s="197">
        <v>4.49</v>
      </c>
      <c r="V1154" s="197">
        <v>4.49</v>
      </c>
      <c r="W1154" s="197">
        <v>4.49</v>
      </c>
      <c r="X1154" s="196"/>
      <c r="Y1154" s="196"/>
      <c r="Z1154" s="196"/>
      <c r="AA1154" s="196"/>
      <c r="AB1154" s="196"/>
      <c r="AC1154" s="197">
        <v>4.653333333333333</v>
      </c>
      <c r="AD1154" s="198"/>
    </row>
    <row r="1155">
      <c r="A1155" s="193">
        <v>106458.0</v>
      </c>
      <c r="B1155" s="194" t="s">
        <v>2520</v>
      </c>
      <c r="C1155" s="192" t="s">
        <v>2521</v>
      </c>
      <c r="D1155" s="195">
        <v>46006.0</v>
      </c>
      <c r="E1155" s="192" t="s">
        <v>295</v>
      </c>
      <c r="F1155" s="196"/>
      <c r="G1155" s="196"/>
      <c r="H1155" s="197">
        <v>5.0</v>
      </c>
      <c r="I1155" s="197">
        <v>5.0</v>
      </c>
      <c r="J1155" s="197">
        <v>5.0</v>
      </c>
      <c r="K1155" s="197">
        <v>5.0</v>
      </c>
      <c r="L1155" s="197">
        <v>4.9</v>
      </c>
      <c r="M1155" s="197">
        <v>4.9799999999999995</v>
      </c>
      <c r="N1155" s="197">
        <v>4.49</v>
      </c>
      <c r="O1155" s="197">
        <v>4.49</v>
      </c>
      <c r="P1155" s="197">
        <v>4.49</v>
      </c>
      <c r="Q1155" s="197">
        <v>4.49</v>
      </c>
      <c r="R1155" s="197">
        <v>4.49</v>
      </c>
      <c r="S1155" s="197">
        <v>4.49</v>
      </c>
      <c r="T1155" s="197">
        <v>4.49</v>
      </c>
      <c r="U1155" s="197">
        <v>4.49</v>
      </c>
      <c r="V1155" s="197">
        <v>4.49</v>
      </c>
      <c r="W1155" s="197">
        <v>4.49</v>
      </c>
      <c r="X1155" s="196"/>
      <c r="Y1155" s="196"/>
      <c r="Z1155" s="196"/>
      <c r="AA1155" s="196"/>
      <c r="AB1155" s="196"/>
      <c r="AC1155" s="197">
        <v>4.653333333333333</v>
      </c>
      <c r="AD1155" s="198"/>
    </row>
    <row r="1156">
      <c r="A1156" s="193">
        <v>106476.0</v>
      </c>
      <c r="B1156" s="194" t="s">
        <v>2522</v>
      </c>
      <c r="C1156" s="192" t="s">
        <v>2524</v>
      </c>
      <c r="D1156" s="195">
        <v>46006.0</v>
      </c>
      <c r="E1156" s="192" t="s">
        <v>360</v>
      </c>
      <c r="F1156" s="196"/>
      <c r="G1156" s="196"/>
      <c r="H1156" s="197">
        <v>5.0</v>
      </c>
      <c r="I1156" s="197">
        <v>5.0</v>
      </c>
      <c r="J1156" s="197">
        <v>5.0</v>
      </c>
      <c r="K1156" s="197">
        <v>5.0</v>
      </c>
      <c r="L1156" s="197">
        <v>5.0</v>
      </c>
      <c r="M1156" s="197">
        <v>5.0</v>
      </c>
      <c r="N1156" s="197">
        <v>4.49</v>
      </c>
      <c r="O1156" s="197">
        <v>4.49</v>
      </c>
      <c r="P1156" s="197">
        <v>4.49</v>
      </c>
      <c r="Q1156" s="197">
        <v>4.49</v>
      </c>
      <c r="R1156" s="197">
        <v>4.49</v>
      </c>
      <c r="S1156" s="197">
        <v>4.49</v>
      </c>
      <c r="T1156" s="197">
        <v>4.49</v>
      </c>
      <c r="U1156" s="197">
        <v>4.49</v>
      </c>
      <c r="V1156" s="197">
        <v>4.49</v>
      </c>
      <c r="W1156" s="197">
        <v>4.49</v>
      </c>
      <c r="X1156" s="196"/>
      <c r="Y1156" s="196"/>
      <c r="Z1156" s="196"/>
      <c r="AA1156" s="196"/>
      <c r="AB1156" s="196"/>
      <c r="AC1156" s="197">
        <v>4.66</v>
      </c>
      <c r="AD1156" s="198"/>
    </row>
    <row r="1157">
      <c r="A1157" s="193">
        <v>106481.0</v>
      </c>
      <c r="B1157" s="194" t="s">
        <v>2525</v>
      </c>
      <c r="C1157" s="192" t="s">
        <v>2526</v>
      </c>
      <c r="D1157" s="195">
        <v>46030.0</v>
      </c>
      <c r="E1157" s="192" t="s">
        <v>522</v>
      </c>
      <c r="F1157" s="196"/>
      <c r="G1157" s="196"/>
      <c r="H1157" s="197">
        <v>5.0</v>
      </c>
      <c r="I1157" s="197">
        <v>5.0</v>
      </c>
      <c r="J1157" s="197">
        <v>5.0</v>
      </c>
      <c r="K1157" s="197">
        <v>5.0</v>
      </c>
      <c r="L1157" s="197">
        <v>5.0</v>
      </c>
      <c r="M1157" s="197">
        <v>5.0</v>
      </c>
      <c r="N1157" s="197">
        <v>4.49</v>
      </c>
      <c r="O1157" s="197">
        <v>4.49</v>
      </c>
      <c r="P1157" s="197">
        <v>4.49</v>
      </c>
      <c r="Q1157" s="197">
        <v>4.49</v>
      </c>
      <c r="R1157" s="197">
        <v>4.49</v>
      </c>
      <c r="S1157" s="197">
        <v>4.49</v>
      </c>
      <c r="T1157" s="197">
        <v>4.49</v>
      </c>
      <c r="U1157" s="197">
        <v>4.49</v>
      </c>
      <c r="V1157" s="197">
        <v>4.49</v>
      </c>
      <c r="W1157" s="197">
        <v>4.49</v>
      </c>
      <c r="X1157" s="196"/>
      <c r="Y1157" s="196"/>
      <c r="Z1157" s="196"/>
      <c r="AA1157" s="196"/>
      <c r="AB1157" s="196"/>
      <c r="AC1157" s="197">
        <v>4.66</v>
      </c>
      <c r="AD1157" s="198"/>
    </row>
    <row r="1158">
      <c r="A1158" s="193">
        <v>106422.0</v>
      </c>
      <c r="B1158" s="194" t="s">
        <v>2527</v>
      </c>
      <c r="C1158" s="192" t="s">
        <v>2528</v>
      </c>
      <c r="D1158" s="195">
        <v>45959.0</v>
      </c>
      <c r="E1158" s="192" t="s">
        <v>806</v>
      </c>
      <c r="F1158" s="196"/>
      <c r="G1158" s="196"/>
      <c r="H1158" s="197">
        <v>5.0</v>
      </c>
      <c r="I1158" s="197">
        <v>5.0</v>
      </c>
      <c r="J1158" s="197">
        <v>5.0</v>
      </c>
      <c r="K1158" s="197">
        <v>5.0</v>
      </c>
      <c r="L1158" s="197">
        <v>5.0</v>
      </c>
      <c r="M1158" s="197">
        <v>5.0</v>
      </c>
      <c r="N1158" s="197">
        <v>5.0</v>
      </c>
      <c r="O1158" s="197">
        <v>5.0</v>
      </c>
      <c r="P1158" s="197">
        <v>5.0</v>
      </c>
      <c r="Q1158" s="197">
        <v>5.0</v>
      </c>
      <c r="R1158" s="197">
        <v>5.0</v>
      </c>
      <c r="S1158" s="197">
        <v>5.0</v>
      </c>
      <c r="T1158" s="197">
        <v>5.0</v>
      </c>
      <c r="U1158" s="197">
        <v>5.0</v>
      </c>
      <c r="V1158" s="197">
        <v>5.0</v>
      </c>
      <c r="W1158" s="197">
        <v>5.0</v>
      </c>
      <c r="X1158" s="196"/>
      <c r="Y1158" s="196"/>
      <c r="Z1158" s="196"/>
      <c r="AA1158" s="196"/>
      <c r="AB1158" s="196"/>
      <c r="AC1158" s="197">
        <v>5.0</v>
      </c>
      <c r="AD1158" s="198"/>
    </row>
    <row r="1159">
      <c r="A1159" s="193">
        <v>106422.0</v>
      </c>
      <c r="B1159" s="194" t="s">
        <v>2529</v>
      </c>
      <c r="C1159" s="192" t="s">
        <v>2528</v>
      </c>
      <c r="D1159" s="195">
        <v>46006.0</v>
      </c>
      <c r="E1159" s="192" t="s">
        <v>360</v>
      </c>
      <c r="F1159" s="196"/>
      <c r="G1159" s="196"/>
      <c r="H1159" s="197">
        <v>5.0</v>
      </c>
      <c r="I1159" s="197">
        <v>5.0</v>
      </c>
      <c r="J1159" s="197">
        <v>5.0</v>
      </c>
      <c r="K1159" s="197">
        <v>5.0</v>
      </c>
      <c r="L1159" s="197">
        <v>5.0</v>
      </c>
      <c r="M1159" s="197">
        <v>5.0</v>
      </c>
      <c r="N1159" s="197">
        <v>5.0</v>
      </c>
      <c r="O1159" s="197">
        <v>5.0</v>
      </c>
      <c r="P1159" s="197">
        <v>5.0</v>
      </c>
      <c r="Q1159" s="197">
        <v>5.0</v>
      </c>
      <c r="R1159" s="197">
        <v>5.0</v>
      </c>
      <c r="S1159" s="197">
        <v>5.0</v>
      </c>
      <c r="T1159" s="197">
        <v>5.0</v>
      </c>
      <c r="U1159" s="197">
        <v>5.0</v>
      </c>
      <c r="V1159" s="197">
        <v>5.0</v>
      </c>
      <c r="W1159" s="197">
        <v>5.0</v>
      </c>
      <c r="X1159" s="196"/>
      <c r="Y1159" s="196"/>
      <c r="Z1159" s="196"/>
      <c r="AA1159" s="196"/>
      <c r="AB1159" s="196"/>
      <c r="AC1159" s="197">
        <v>5.0</v>
      </c>
      <c r="AD1159" s="198"/>
    </row>
    <row r="1160">
      <c r="A1160" s="193">
        <v>106459.0</v>
      </c>
      <c r="B1160" s="194" t="s">
        <v>2530</v>
      </c>
      <c r="C1160" s="192" t="s">
        <v>2531</v>
      </c>
      <c r="D1160" s="195">
        <v>46006.0</v>
      </c>
      <c r="E1160" s="192" t="s">
        <v>295</v>
      </c>
      <c r="F1160" s="196"/>
      <c r="G1160" s="196"/>
      <c r="H1160" s="197">
        <v>5.0</v>
      </c>
      <c r="I1160" s="197">
        <v>5.0</v>
      </c>
      <c r="J1160" s="197">
        <v>5.0</v>
      </c>
      <c r="K1160" s="197">
        <v>5.0</v>
      </c>
      <c r="L1160" s="197">
        <v>4.9</v>
      </c>
      <c r="M1160" s="197">
        <v>4.9799999999999995</v>
      </c>
      <c r="N1160" s="197">
        <v>4.49</v>
      </c>
      <c r="O1160" s="197">
        <v>4.49</v>
      </c>
      <c r="P1160" s="197">
        <v>4.49</v>
      </c>
      <c r="Q1160" s="197">
        <v>4.49</v>
      </c>
      <c r="R1160" s="197">
        <v>4.49</v>
      </c>
      <c r="S1160" s="197">
        <v>4.49</v>
      </c>
      <c r="T1160" s="197">
        <v>4.49</v>
      </c>
      <c r="U1160" s="197">
        <v>4.49</v>
      </c>
      <c r="V1160" s="197">
        <v>4.49</v>
      </c>
      <c r="W1160" s="197">
        <v>4.49</v>
      </c>
      <c r="X1160" s="196"/>
      <c r="Y1160" s="196"/>
      <c r="Z1160" s="196"/>
      <c r="AA1160" s="196"/>
      <c r="AB1160" s="196"/>
      <c r="AC1160" s="197">
        <v>4.653333333333333</v>
      </c>
      <c r="AD1160" s="198"/>
    </row>
    <row r="1161">
      <c r="A1161" s="193">
        <v>106764.0</v>
      </c>
      <c r="B1161" s="194" t="s">
        <v>2532</v>
      </c>
      <c r="C1161" s="192" t="s">
        <v>2533</v>
      </c>
      <c r="D1161" s="195">
        <v>46146.0</v>
      </c>
      <c r="E1161" s="192" t="s">
        <v>2182</v>
      </c>
      <c r="F1161" s="196"/>
      <c r="G1161" s="196"/>
      <c r="H1161" s="197">
        <v>4.5</v>
      </c>
      <c r="I1161" s="197">
        <v>4.5</v>
      </c>
      <c r="J1161" s="197">
        <v>4.5</v>
      </c>
      <c r="K1161" s="197">
        <v>4.5</v>
      </c>
      <c r="L1161" s="197">
        <v>4.5</v>
      </c>
      <c r="M1161" s="197">
        <v>4.5</v>
      </c>
      <c r="N1161" s="197">
        <v>4.49</v>
      </c>
      <c r="O1161" s="197">
        <v>4.49</v>
      </c>
      <c r="P1161" s="197">
        <v>4.49</v>
      </c>
      <c r="Q1161" s="197">
        <v>4.49</v>
      </c>
      <c r="R1161" s="197">
        <v>4.49</v>
      </c>
      <c r="S1161" s="197">
        <v>4.49</v>
      </c>
      <c r="T1161" s="197">
        <v>4.49</v>
      </c>
      <c r="U1161" s="197">
        <v>4.49</v>
      </c>
      <c r="V1161" s="197">
        <v>4.49</v>
      </c>
      <c r="W1161" s="197">
        <v>4.49</v>
      </c>
      <c r="X1161" s="196"/>
      <c r="Y1161" s="196"/>
      <c r="Z1161" s="196"/>
      <c r="AA1161" s="196"/>
      <c r="AB1161" s="196"/>
      <c r="AC1161" s="197">
        <v>4.493333333333333</v>
      </c>
      <c r="AD1161" s="198"/>
    </row>
    <row r="1162">
      <c r="A1162" s="193">
        <v>106609.0</v>
      </c>
      <c r="B1162" s="194" t="s">
        <v>2534</v>
      </c>
      <c r="C1162" s="192" t="s">
        <v>2535</v>
      </c>
      <c r="D1162" s="195">
        <v>46087.0</v>
      </c>
      <c r="E1162" s="192" t="s">
        <v>295</v>
      </c>
      <c r="F1162" s="196"/>
      <c r="G1162" s="196"/>
      <c r="H1162" s="197">
        <v>4.5</v>
      </c>
      <c r="I1162" s="197">
        <v>4.5</v>
      </c>
      <c r="J1162" s="197">
        <v>4.5</v>
      </c>
      <c r="K1162" s="197">
        <v>4.5</v>
      </c>
      <c r="L1162" s="197">
        <v>4.5</v>
      </c>
      <c r="M1162" s="197">
        <v>4.5</v>
      </c>
      <c r="N1162" s="197">
        <v>4.49</v>
      </c>
      <c r="O1162" s="197">
        <v>4.49</v>
      </c>
      <c r="P1162" s="197">
        <v>4.49</v>
      </c>
      <c r="Q1162" s="197">
        <v>4.49</v>
      </c>
      <c r="R1162" s="197">
        <v>4.49</v>
      </c>
      <c r="S1162" s="197">
        <v>4.49</v>
      </c>
      <c r="T1162" s="197">
        <v>4.49</v>
      </c>
      <c r="U1162" s="197">
        <v>4.49</v>
      </c>
      <c r="V1162" s="197">
        <v>4.49</v>
      </c>
      <c r="W1162" s="197">
        <v>4.49</v>
      </c>
      <c r="X1162" s="196"/>
      <c r="Y1162" s="196"/>
      <c r="Z1162" s="196"/>
      <c r="AA1162" s="196"/>
      <c r="AB1162" s="196"/>
      <c r="AC1162" s="197">
        <v>4.493333333333333</v>
      </c>
      <c r="AD1162" s="198"/>
    </row>
    <row r="1163">
      <c r="A1163" s="193">
        <v>106763.0</v>
      </c>
      <c r="B1163" s="194" t="s">
        <v>2536</v>
      </c>
      <c r="C1163" s="192" t="s">
        <v>2537</v>
      </c>
      <c r="D1163" s="195">
        <v>46136.0</v>
      </c>
      <c r="E1163" s="192" t="s">
        <v>265</v>
      </c>
      <c r="F1163" s="196"/>
      <c r="G1163" s="196"/>
      <c r="H1163" s="197">
        <v>4.5</v>
      </c>
      <c r="I1163" s="197">
        <v>4.5</v>
      </c>
      <c r="J1163" s="197">
        <v>4.5</v>
      </c>
      <c r="K1163" s="197">
        <v>4.5</v>
      </c>
      <c r="L1163" s="197">
        <v>4.5</v>
      </c>
      <c r="M1163" s="197">
        <v>4.5</v>
      </c>
      <c r="N1163" s="197">
        <v>4.6</v>
      </c>
      <c r="O1163" s="197">
        <v>4.6</v>
      </c>
      <c r="P1163" s="197">
        <v>4.6</v>
      </c>
      <c r="Q1163" s="197">
        <v>4.6</v>
      </c>
      <c r="R1163" s="197">
        <v>4.6</v>
      </c>
      <c r="S1163" s="197">
        <v>4.6</v>
      </c>
      <c r="T1163" s="197">
        <v>4.6</v>
      </c>
      <c r="U1163" s="197">
        <v>4.6</v>
      </c>
      <c r="V1163" s="197">
        <v>4.6</v>
      </c>
      <c r="W1163" s="197">
        <v>4.6</v>
      </c>
      <c r="X1163" s="196"/>
      <c r="Y1163" s="196"/>
      <c r="Z1163" s="196"/>
      <c r="AA1163" s="196"/>
      <c r="AB1163" s="196"/>
      <c r="AC1163" s="197">
        <v>4.566666666666666</v>
      </c>
      <c r="AD1163" s="198"/>
    </row>
    <row r="1164">
      <c r="A1164" s="193">
        <v>106591.0</v>
      </c>
      <c r="B1164" s="194" t="s">
        <v>2538</v>
      </c>
      <c r="C1164" s="192" t="s">
        <v>2539</v>
      </c>
      <c r="D1164" s="195">
        <v>46108.0</v>
      </c>
      <c r="E1164" s="192" t="s">
        <v>94</v>
      </c>
      <c r="F1164" s="196"/>
      <c r="G1164" s="196"/>
      <c r="H1164" s="197">
        <v>5.0</v>
      </c>
      <c r="I1164" s="197">
        <v>5.0</v>
      </c>
      <c r="J1164" s="197">
        <v>5.0</v>
      </c>
      <c r="K1164" s="197">
        <v>5.0</v>
      </c>
      <c r="L1164" s="197">
        <v>5.0</v>
      </c>
      <c r="M1164" s="197">
        <v>5.0</v>
      </c>
      <c r="N1164" s="197">
        <v>5.0</v>
      </c>
      <c r="O1164" s="197">
        <v>5.0</v>
      </c>
      <c r="P1164" s="197">
        <v>5.0</v>
      </c>
      <c r="Q1164" s="197">
        <v>5.0</v>
      </c>
      <c r="R1164" s="197">
        <v>5.0</v>
      </c>
      <c r="S1164" s="197">
        <v>5.0</v>
      </c>
      <c r="T1164" s="197">
        <v>5.0</v>
      </c>
      <c r="U1164" s="197">
        <v>5.0</v>
      </c>
      <c r="V1164" s="197">
        <v>5.0</v>
      </c>
      <c r="W1164" s="197">
        <v>5.0</v>
      </c>
      <c r="X1164" s="196"/>
      <c r="Y1164" s="196"/>
      <c r="Z1164" s="196"/>
      <c r="AA1164" s="196"/>
      <c r="AB1164" s="196"/>
      <c r="AC1164" s="197">
        <v>5.0</v>
      </c>
      <c r="AD1164" s="198"/>
    </row>
    <row r="1165">
      <c r="A1165" s="193">
        <v>106591.0</v>
      </c>
      <c r="B1165" s="194" t="s">
        <v>2540</v>
      </c>
      <c r="C1165" s="192" t="s">
        <v>2539</v>
      </c>
      <c r="D1165" s="195">
        <v>46108.0</v>
      </c>
      <c r="E1165" s="192" t="s">
        <v>295</v>
      </c>
      <c r="F1165" s="196"/>
      <c r="G1165" s="196"/>
      <c r="H1165" s="197">
        <v>4.5</v>
      </c>
      <c r="I1165" s="197">
        <v>4.5</v>
      </c>
      <c r="J1165" s="197">
        <v>4.5</v>
      </c>
      <c r="K1165" s="197">
        <v>4.5</v>
      </c>
      <c r="L1165" s="197">
        <v>4.5</v>
      </c>
      <c r="M1165" s="197">
        <v>4.5</v>
      </c>
      <c r="N1165" s="197">
        <v>4.49</v>
      </c>
      <c r="O1165" s="197">
        <v>4.49</v>
      </c>
      <c r="P1165" s="197">
        <v>4.49</v>
      </c>
      <c r="Q1165" s="197">
        <v>4.49</v>
      </c>
      <c r="R1165" s="197">
        <v>4.49</v>
      </c>
      <c r="S1165" s="197">
        <v>4.49</v>
      </c>
      <c r="T1165" s="197">
        <v>4.49</v>
      </c>
      <c r="U1165" s="197">
        <v>4.49</v>
      </c>
      <c r="V1165" s="197">
        <v>4.49</v>
      </c>
      <c r="W1165" s="197">
        <v>4.49</v>
      </c>
      <c r="X1165" s="196"/>
      <c r="Y1165" s="196"/>
      <c r="Z1165" s="196"/>
      <c r="AA1165" s="196"/>
      <c r="AB1165" s="196"/>
      <c r="AC1165" s="197">
        <v>4.493333333333333</v>
      </c>
      <c r="AD1165" s="198"/>
    </row>
    <row r="1166">
      <c r="A1166" s="193">
        <v>106607.0</v>
      </c>
      <c r="B1166" s="194"/>
      <c r="C1166" s="192" t="s">
        <v>2541</v>
      </c>
      <c r="D1166" s="195">
        <v>46109.0</v>
      </c>
      <c r="E1166" s="192" t="s">
        <v>295</v>
      </c>
      <c r="F1166" s="196"/>
      <c r="G1166" s="196"/>
      <c r="H1166" s="197"/>
      <c r="I1166" s="197"/>
      <c r="J1166" s="197"/>
      <c r="K1166" s="197"/>
      <c r="L1166" s="197"/>
      <c r="M1166" s="197"/>
      <c r="N1166" s="197"/>
      <c r="O1166" s="197"/>
      <c r="P1166" s="197"/>
      <c r="Q1166" s="197"/>
      <c r="R1166" s="197"/>
      <c r="S1166" s="197"/>
      <c r="T1166" s="197"/>
      <c r="U1166" s="197"/>
      <c r="V1166" s="197"/>
      <c r="W1166" s="197"/>
      <c r="X1166" s="196"/>
      <c r="Y1166" s="196"/>
      <c r="Z1166" s="196"/>
      <c r="AA1166" s="196"/>
      <c r="AB1166" s="196"/>
      <c r="AC1166" s="197"/>
      <c r="AD1166" s="198"/>
    </row>
    <row r="1167">
      <c r="A1167" s="193">
        <v>106603.0</v>
      </c>
      <c r="B1167" s="194" t="s">
        <v>2542</v>
      </c>
      <c r="C1167" s="192" t="s">
        <v>2543</v>
      </c>
      <c r="D1167" s="195">
        <v>46066.0</v>
      </c>
      <c r="E1167" s="192" t="s">
        <v>2185</v>
      </c>
      <c r="F1167" s="196"/>
      <c r="G1167" s="196"/>
      <c r="H1167" s="197">
        <v>5.0</v>
      </c>
      <c r="I1167" s="197">
        <v>5.0</v>
      </c>
      <c r="J1167" s="197">
        <v>5.0</v>
      </c>
      <c r="K1167" s="197">
        <v>5.0</v>
      </c>
      <c r="L1167" s="197">
        <v>4.0</v>
      </c>
      <c r="M1167" s="197">
        <v>4.8</v>
      </c>
      <c r="N1167" s="197">
        <v>5.0</v>
      </c>
      <c r="O1167" s="197">
        <v>5.0</v>
      </c>
      <c r="P1167" s="197">
        <v>5.0</v>
      </c>
      <c r="Q1167" s="197">
        <v>5.0</v>
      </c>
      <c r="R1167" s="197">
        <v>5.0</v>
      </c>
      <c r="S1167" s="197">
        <v>5.0</v>
      </c>
      <c r="T1167" s="197">
        <v>5.0</v>
      </c>
      <c r="U1167" s="197">
        <v>5.0</v>
      </c>
      <c r="V1167" s="197">
        <v>5.0</v>
      </c>
      <c r="W1167" s="197">
        <v>5.0</v>
      </c>
      <c r="X1167" s="196"/>
      <c r="Y1167" s="196"/>
      <c r="Z1167" s="196"/>
      <c r="AA1167" s="196"/>
      <c r="AB1167" s="196"/>
      <c r="AC1167" s="197">
        <v>4.933333333333334</v>
      </c>
      <c r="AD1167" s="198"/>
    </row>
    <row r="1168">
      <c r="A1168" s="193">
        <v>106602.0</v>
      </c>
      <c r="B1168" s="194" t="s">
        <v>2545</v>
      </c>
      <c r="C1168" s="192" t="s">
        <v>2546</v>
      </c>
      <c r="D1168" s="195">
        <v>46066.0</v>
      </c>
      <c r="E1168" s="192" t="s">
        <v>1977</v>
      </c>
      <c r="F1168" s="196"/>
      <c r="G1168" s="196"/>
      <c r="H1168" s="197">
        <v>5.0</v>
      </c>
      <c r="I1168" s="197">
        <v>5.0</v>
      </c>
      <c r="J1168" s="197">
        <v>5.0</v>
      </c>
      <c r="K1168" s="197">
        <v>5.0</v>
      </c>
      <c r="L1168" s="197">
        <v>4.0</v>
      </c>
      <c r="M1168" s="197">
        <v>4.8</v>
      </c>
      <c r="N1168" s="197">
        <v>5.0</v>
      </c>
      <c r="O1168" s="197">
        <v>5.0</v>
      </c>
      <c r="P1168" s="197">
        <v>5.0</v>
      </c>
      <c r="Q1168" s="197">
        <v>5.0</v>
      </c>
      <c r="R1168" s="197">
        <v>5.0</v>
      </c>
      <c r="S1168" s="197">
        <v>5.0</v>
      </c>
      <c r="T1168" s="197">
        <v>5.0</v>
      </c>
      <c r="U1168" s="197">
        <v>5.0</v>
      </c>
      <c r="V1168" s="197">
        <v>5.0</v>
      </c>
      <c r="W1168" s="197">
        <v>5.0</v>
      </c>
      <c r="X1168" s="196"/>
      <c r="Y1168" s="196"/>
      <c r="Z1168" s="196"/>
      <c r="AA1168" s="196"/>
      <c r="AB1168" s="196"/>
      <c r="AC1168" s="197">
        <v>4.933333333333334</v>
      </c>
      <c r="AD1168" s="198"/>
    </row>
    <row r="1169">
      <c r="A1169" s="193">
        <v>106613.0</v>
      </c>
      <c r="B1169" s="194" t="s">
        <v>2547</v>
      </c>
      <c r="C1169" s="192" t="s">
        <v>2548</v>
      </c>
      <c r="D1169" s="195">
        <v>46066.0</v>
      </c>
      <c r="E1169" s="192" t="s">
        <v>94</v>
      </c>
      <c r="F1169" s="196"/>
      <c r="G1169" s="196"/>
      <c r="H1169" s="197">
        <v>5.0</v>
      </c>
      <c r="I1169" s="197">
        <v>5.0</v>
      </c>
      <c r="J1169" s="197">
        <v>5.0</v>
      </c>
      <c r="K1169" s="197">
        <v>5.0</v>
      </c>
      <c r="L1169" s="197">
        <v>4.0</v>
      </c>
      <c r="M1169" s="197">
        <v>4.8</v>
      </c>
      <c r="N1169" s="197">
        <v>5.0</v>
      </c>
      <c r="O1169" s="197">
        <v>5.0</v>
      </c>
      <c r="P1169" s="197">
        <v>5.0</v>
      </c>
      <c r="Q1169" s="197">
        <v>5.0</v>
      </c>
      <c r="R1169" s="197">
        <v>5.0</v>
      </c>
      <c r="S1169" s="197">
        <v>5.0</v>
      </c>
      <c r="T1169" s="197">
        <v>5.0</v>
      </c>
      <c r="U1169" s="197">
        <v>5.0</v>
      </c>
      <c r="V1169" s="197">
        <v>5.0</v>
      </c>
      <c r="W1169" s="197">
        <v>5.0</v>
      </c>
      <c r="X1169" s="196"/>
      <c r="Y1169" s="196"/>
      <c r="Z1169" s="196"/>
      <c r="AA1169" s="196"/>
      <c r="AB1169" s="196"/>
      <c r="AC1169" s="197">
        <v>4.933333333333334</v>
      </c>
      <c r="AD1169" s="198"/>
    </row>
    <row r="1170">
      <c r="A1170" s="193">
        <v>106827.0</v>
      </c>
      <c r="B1170" s="194" t="s">
        <v>2549</v>
      </c>
      <c r="C1170" s="192" t="s">
        <v>2550</v>
      </c>
      <c r="D1170" s="195">
        <v>46149.0</v>
      </c>
      <c r="E1170" s="192" t="s">
        <v>295</v>
      </c>
      <c r="F1170" s="196"/>
      <c r="G1170" s="196"/>
      <c r="H1170" s="197">
        <v>4.5</v>
      </c>
      <c r="I1170" s="197">
        <v>4.5</v>
      </c>
      <c r="J1170" s="197">
        <v>4.5</v>
      </c>
      <c r="K1170" s="197">
        <v>4.5</v>
      </c>
      <c r="L1170" s="197">
        <v>4.5</v>
      </c>
      <c r="M1170" s="197">
        <v>4.5</v>
      </c>
      <c r="N1170" s="197">
        <v>4.49</v>
      </c>
      <c r="O1170" s="197">
        <v>4.49</v>
      </c>
      <c r="P1170" s="197">
        <v>4.49</v>
      </c>
      <c r="Q1170" s="197">
        <v>4.49</v>
      </c>
      <c r="R1170" s="197">
        <v>4.49</v>
      </c>
      <c r="S1170" s="197">
        <v>4.49</v>
      </c>
      <c r="T1170" s="197">
        <v>4.49</v>
      </c>
      <c r="U1170" s="197">
        <v>4.49</v>
      </c>
      <c r="V1170" s="197">
        <v>4.49</v>
      </c>
      <c r="W1170" s="197">
        <v>4.49</v>
      </c>
      <c r="X1170" s="196"/>
      <c r="Y1170" s="196"/>
      <c r="Z1170" s="196"/>
      <c r="AA1170" s="196"/>
      <c r="AB1170" s="196"/>
      <c r="AC1170" s="197">
        <v>4.493333333333333</v>
      </c>
      <c r="AD1170" s="198"/>
    </row>
    <row r="1171">
      <c r="A1171" s="193">
        <v>106232.0</v>
      </c>
      <c r="B1171" s="194" t="s">
        <v>2551</v>
      </c>
      <c r="C1171" s="192" t="s">
        <v>2552</v>
      </c>
      <c r="D1171" s="195">
        <v>45957.0</v>
      </c>
      <c r="E1171" s="192" t="s">
        <v>254</v>
      </c>
      <c r="F1171" s="196"/>
      <c r="G1171" s="196"/>
      <c r="H1171" s="197">
        <v>5.0</v>
      </c>
      <c r="I1171" s="197">
        <v>5.0</v>
      </c>
      <c r="J1171" s="197">
        <v>5.0</v>
      </c>
      <c r="K1171" s="197">
        <v>5.0</v>
      </c>
      <c r="L1171" s="197">
        <v>5.0</v>
      </c>
      <c r="M1171" s="197">
        <v>5.0</v>
      </c>
      <c r="N1171" s="197">
        <v>5.0</v>
      </c>
      <c r="O1171" s="197">
        <v>5.0</v>
      </c>
      <c r="P1171" s="197">
        <v>5.0</v>
      </c>
      <c r="Q1171" s="197">
        <v>5.0</v>
      </c>
      <c r="R1171" s="197">
        <v>5.0</v>
      </c>
      <c r="S1171" s="197">
        <v>5.0</v>
      </c>
      <c r="T1171" s="197">
        <v>5.0</v>
      </c>
      <c r="U1171" s="197">
        <v>5.0</v>
      </c>
      <c r="V1171" s="197">
        <v>5.0</v>
      </c>
      <c r="W1171" s="197">
        <v>5.0</v>
      </c>
      <c r="X1171" s="196"/>
      <c r="Y1171" s="196"/>
      <c r="Z1171" s="196"/>
      <c r="AA1171" s="196"/>
      <c r="AB1171" s="196"/>
      <c r="AC1171" s="197">
        <v>5.0</v>
      </c>
      <c r="AD1171" s="198"/>
    </row>
    <row r="1172">
      <c r="A1172" s="193">
        <v>106232.0</v>
      </c>
      <c r="B1172" s="194" t="s">
        <v>2553</v>
      </c>
      <c r="C1172" s="192" t="s">
        <v>2552</v>
      </c>
      <c r="D1172" s="195">
        <v>45957.0</v>
      </c>
      <c r="E1172" s="192" t="s">
        <v>113</v>
      </c>
      <c r="F1172" s="196"/>
      <c r="G1172" s="196"/>
      <c r="H1172" s="197">
        <v>5.0</v>
      </c>
      <c r="I1172" s="197">
        <v>5.0</v>
      </c>
      <c r="J1172" s="197">
        <v>5.0</v>
      </c>
      <c r="K1172" s="197">
        <v>5.0</v>
      </c>
      <c r="L1172" s="197">
        <v>5.0</v>
      </c>
      <c r="M1172" s="197">
        <v>5.0</v>
      </c>
      <c r="N1172" s="197">
        <v>5.0</v>
      </c>
      <c r="O1172" s="197">
        <v>5.0</v>
      </c>
      <c r="P1172" s="197">
        <v>5.0</v>
      </c>
      <c r="Q1172" s="197">
        <v>5.0</v>
      </c>
      <c r="R1172" s="197">
        <v>5.0</v>
      </c>
      <c r="S1172" s="197">
        <v>5.0</v>
      </c>
      <c r="T1172" s="197">
        <v>5.0</v>
      </c>
      <c r="U1172" s="197">
        <v>5.0</v>
      </c>
      <c r="V1172" s="197">
        <v>5.0</v>
      </c>
      <c r="W1172" s="197">
        <v>5.0</v>
      </c>
      <c r="X1172" s="196"/>
      <c r="Y1172" s="196"/>
      <c r="Z1172" s="196"/>
      <c r="AA1172" s="196"/>
      <c r="AB1172" s="196"/>
      <c r="AC1172" s="197">
        <v>5.0</v>
      </c>
      <c r="AD1172" s="198"/>
    </row>
    <row r="1173">
      <c r="A1173" s="193">
        <v>106623.0</v>
      </c>
      <c r="B1173" s="194" t="s">
        <v>2554</v>
      </c>
      <c r="C1173" s="192" t="s">
        <v>2555</v>
      </c>
      <c r="D1173" s="195">
        <v>46066.0</v>
      </c>
      <c r="E1173" s="192" t="s">
        <v>625</v>
      </c>
      <c r="F1173" s="196"/>
      <c r="G1173" s="196"/>
      <c r="H1173" s="197">
        <v>5.0</v>
      </c>
      <c r="I1173" s="197">
        <v>5.0</v>
      </c>
      <c r="J1173" s="197">
        <v>5.0</v>
      </c>
      <c r="K1173" s="197">
        <v>5.0</v>
      </c>
      <c r="L1173" s="197">
        <v>5.0</v>
      </c>
      <c r="M1173" s="197">
        <v>5.0</v>
      </c>
      <c r="N1173" s="197">
        <v>5.0</v>
      </c>
      <c r="O1173" s="197">
        <v>5.0</v>
      </c>
      <c r="P1173" s="197">
        <v>5.0</v>
      </c>
      <c r="Q1173" s="197">
        <v>5.0</v>
      </c>
      <c r="R1173" s="197">
        <v>5.0</v>
      </c>
      <c r="S1173" s="197">
        <v>5.0</v>
      </c>
      <c r="T1173" s="197">
        <v>5.0</v>
      </c>
      <c r="U1173" s="197">
        <v>5.0</v>
      </c>
      <c r="V1173" s="197">
        <v>5.0</v>
      </c>
      <c r="W1173" s="197">
        <v>5.0</v>
      </c>
      <c r="X1173" s="196"/>
      <c r="Y1173" s="196"/>
      <c r="Z1173" s="196"/>
      <c r="AA1173" s="196"/>
      <c r="AB1173" s="196"/>
      <c r="AC1173" s="197">
        <v>5.0</v>
      </c>
      <c r="AD1173" s="198"/>
    </row>
    <row r="1174">
      <c r="A1174" s="193">
        <v>106908.0</v>
      </c>
      <c r="B1174" s="194" t="s">
        <v>2556</v>
      </c>
      <c r="C1174" s="192" t="s">
        <v>2557</v>
      </c>
      <c r="D1174" s="195">
        <v>46148.0</v>
      </c>
      <c r="E1174" s="192" t="s">
        <v>113</v>
      </c>
      <c r="F1174" s="196"/>
      <c r="G1174" s="196"/>
      <c r="H1174" s="197">
        <v>5.0</v>
      </c>
      <c r="I1174" s="197">
        <v>5.0</v>
      </c>
      <c r="J1174" s="197">
        <v>5.0</v>
      </c>
      <c r="K1174" s="197">
        <v>5.0</v>
      </c>
      <c r="L1174" s="197">
        <v>5.0</v>
      </c>
      <c r="M1174" s="197">
        <v>5.0</v>
      </c>
      <c r="N1174" s="197">
        <v>5.0</v>
      </c>
      <c r="O1174" s="197">
        <v>5.0</v>
      </c>
      <c r="P1174" s="197">
        <v>5.0</v>
      </c>
      <c r="Q1174" s="197">
        <v>5.0</v>
      </c>
      <c r="R1174" s="197">
        <v>5.0</v>
      </c>
      <c r="S1174" s="197">
        <v>5.0</v>
      </c>
      <c r="T1174" s="197">
        <v>5.0</v>
      </c>
      <c r="U1174" s="197">
        <v>5.0</v>
      </c>
      <c r="V1174" s="197">
        <v>5.0</v>
      </c>
      <c r="W1174" s="197">
        <v>5.0</v>
      </c>
      <c r="X1174" s="196"/>
      <c r="Y1174" s="196"/>
      <c r="Z1174" s="196"/>
      <c r="AA1174" s="196"/>
      <c r="AB1174" s="196"/>
      <c r="AC1174" s="197">
        <v>5.0</v>
      </c>
      <c r="AD1174" s="198"/>
    </row>
    <row r="1175">
      <c r="A1175" s="193">
        <v>106155.0</v>
      </c>
      <c r="B1175" s="194" t="s">
        <v>2558</v>
      </c>
      <c r="C1175" s="192" t="s">
        <v>2559</v>
      </c>
      <c r="D1175" s="195">
        <v>45952.0</v>
      </c>
      <c r="E1175" s="192" t="s">
        <v>2002</v>
      </c>
      <c r="F1175" s="196"/>
      <c r="G1175" s="196"/>
      <c r="H1175" s="197">
        <v>5.0</v>
      </c>
      <c r="I1175" s="197">
        <v>5.0</v>
      </c>
      <c r="J1175" s="197">
        <v>5.0</v>
      </c>
      <c r="K1175" s="197">
        <v>5.0</v>
      </c>
      <c r="L1175" s="197">
        <v>5.0</v>
      </c>
      <c r="M1175" s="197">
        <v>5.0</v>
      </c>
      <c r="N1175" s="197">
        <v>5.0</v>
      </c>
      <c r="O1175" s="197">
        <v>5.0</v>
      </c>
      <c r="P1175" s="197">
        <v>5.0</v>
      </c>
      <c r="Q1175" s="197">
        <v>5.0</v>
      </c>
      <c r="R1175" s="197">
        <v>5.0</v>
      </c>
      <c r="S1175" s="197">
        <v>5.0</v>
      </c>
      <c r="T1175" s="197">
        <v>5.0</v>
      </c>
      <c r="U1175" s="197">
        <v>5.0</v>
      </c>
      <c r="V1175" s="197">
        <v>5.0</v>
      </c>
      <c r="W1175" s="197">
        <v>5.0</v>
      </c>
      <c r="X1175" s="196"/>
      <c r="Y1175" s="196"/>
      <c r="Z1175" s="196"/>
      <c r="AA1175" s="196"/>
      <c r="AB1175" s="196"/>
      <c r="AC1175" s="197">
        <v>5.0</v>
      </c>
      <c r="AD1175" s="198"/>
    </row>
    <row r="1176">
      <c r="A1176" s="193">
        <v>106509.0</v>
      </c>
      <c r="B1176" s="194" t="s">
        <v>2560</v>
      </c>
      <c r="C1176" s="192" t="s">
        <v>2561</v>
      </c>
      <c r="D1176" s="195">
        <v>46013.0</v>
      </c>
      <c r="E1176" s="192" t="s">
        <v>806</v>
      </c>
      <c r="F1176" s="196"/>
      <c r="G1176" s="196"/>
      <c r="H1176" s="197">
        <v>5.0</v>
      </c>
      <c r="I1176" s="197">
        <v>5.0</v>
      </c>
      <c r="J1176" s="197">
        <v>5.0</v>
      </c>
      <c r="K1176" s="197">
        <v>5.0</v>
      </c>
      <c r="L1176" s="197">
        <v>5.0</v>
      </c>
      <c r="M1176" s="197">
        <v>5.0</v>
      </c>
      <c r="N1176" s="197">
        <v>5.0</v>
      </c>
      <c r="O1176" s="197">
        <v>5.0</v>
      </c>
      <c r="P1176" s="197">
        <v>5.0</v>
      </c>
      <c r="Q1176" s="197">
        <v>5.0</v>
      </c>
      <c r="R1176" s="197">
        <v>5.0</v>
      </c>
      <c r="S1176" s="197">
        <v>5.0</v>
      </c>
      <c r="T1176" s="197">
        <v>5.0</v>
      </c>
      <c r="U1176" s="197">
        <v>5.0</v>
      </c>
      <c r="V1176" s="197">
        <v>5.0</v>
      </c>
      <c r="W1176" s="197">
        <v>5.0</v>
      </c>
      <c r="X1176" s="196"/>
      <c r="Y1176" s="196"/>
      <c r="Z1176" s="196"/>
      <c r="AA1176" s="196"/>
      <c r="AB1176" s="196"/>
      <c r="AC1176" s="197">
        <v>5.0</v>
      </c>
      <c r="AD1176" s="198"/>
    </row>
    <row r="1177">
      <c r="A1177" s="193">
        <v>106375.0</v>
      </c>
      <c r="B1177" s="194" t="s">
        <v>2562</v>
      </c>
      <c r="C1177" s="192" t="s">
        <v>2563</v>
      </c>
      <c r="D1177" s="195">
        <v>45989.0</v>
      </c>
      <c r="E1177" s="192" t="s">
        <v>2179</v>
      </c>
      <c r="F1177" s="196"/>
      <c r="G1177" s="196"/>
      <c r="H1177" s="197">
        <v>5.0</v>
      </c>
      <c r="I1177" s="197">
        <v>5.0</v>
      </c>
      <c r="J1177" s="197">
        <v>5.0</v>
      </c>
      <c r="K1177" s="197">
        <v>5.0</v>
      </c>
      <c r="L1177" s="197">
        <v>4.0</v>
      </c>
      <c r="M1177" s="197">
        <v>4.8</v>
      </c>
      <c r="N1177" s="197">
        <v>5.0</v>
      </c>
      <c r="O1177" s="197">
        <v>5.0</v>
      </c>
      <c r="P1177" s="197">
        <v>5.0</v>
      </c>
      <c r="Q1177" s="197">
        <v>5.0</v>
      </c>
      <c r="R1177" s="197">
        <v>5.0</v>
      </c>
      <c r="S1177" s="197">
        <v>5.0</v>
      </c>
      <c r="T1177" s="197">
        <v>5.0</v>
      </c>
      <c r="U1177" s="197">
        <v>5.0</v>
      </c>
      <c r="V1177" s="197">
        <v>5.0</v>
      </c>
      <c r="W1177" s="197">
        <v>5.0</v>
      </c>
      <c r="X1177" s="196"/>
      <c r="Y1177" s="196"/>
      <c r="Z1177" s="196"/>
      <c r="AA1177" s="196"/>
      <c r="AB1177" s="196"/>
      <c r="AC1177" s="197">
        <v>4.933333333333334</v>
      </c>
      <c r="AD1177" s="198"/>
    </row>
    <row r="1178">
      <c r="A1178" s="193">
        <v>106441.0</v>
      </c>
      <c r="B1178" s="194" t="s">
        <v>2564</v>
      </c>
      <c r="C1178" s="192" t="s">
        <v>2565</v>
      </c>
      <c r="D1178" s="195">
        <v>45989.0</v>
      </c>
      <c r="E1178" s="192" t="s">
        <v>113</v>
      </c>
      <c r="F1178" s="196"/>
      <c r="G1178" s="196"/>
      <c r="H1178" s="197">
        <v>5.0</v>
      </c>
      <c r="I1178" s="197">
        <v>5.0</v>
      </c>
      <c r="J1178" s="197">
        <v>5.0</v>
      </c>
      <c r="K1178" s="197">
        <v>5.0</v>
      </c>
      <c r="L1178" s="197">
        <v>5.0</v>
      </c>
      <c r="M1178" s="197">
        <v>5.0</v>
      </c>
      <c r="N1178" s="197">
        <v>5.0</v>
      </c>
      <c r="O1178" s="197">
        <v>5.0</v>
      </c>
      <c r="P1178" s="197">
        <v>5.0</v>
      </c>
      <c r="Q1178" s="197">
        <v>5.0</v>
      </c>
      <c r="R1178" s="197">
        <v>5.0</v>
      </c>
      <c r="S1178" s="197">
        <v>5.0</v>
      </c>
      <c r="T1178" s="197">
        <v>5.0</v>
      </c>
      <c r="U1178" s="197">
        <v>5.0</v>
      </c>
      <c r="V1178" s="197">
        <v>5.0</v>
      </c>
      <c r="W1178" s="197">
        <v>5.0</v>
      </c>
      <c r="X1178" s="196"/>
      <c r="Y1178" s="196"/>
      <c r="Z1178" s="196"/>
      <c r="AA1178" s="196"/>
      <c r="AB1178" s="196"/>
      <c r="AC1178" s="197">
        <v>5.0</v>
      </c>
      <c r="AD1178" s="198"/>
    </row>
    <row r="1179">
      <c r="A1179" s="193">
        <v>106441.0</v>
      </c>
      <c r="B1179" s="194" t="s">
        <v>2566</v>
      </c>
      <c r="C1179" s="192" t="s">
        <v>2565</v>
      </c>
      <c r="D1179" s="195">
        <v>45989.0</v>
      </c>
      <c r="E1179" s="192" t="s">
        <v>2190</v>
      </c>
      <c r="F1179" s="196"/>
      <c r="G1179" s="196"/>
      <c r="H1179" s="197">
        <v>5.0</v>
      </c>
      <c r="I1179" s="197">
        <v>5.0</v>
      </c>
      <c r="J1179" s="197">
        <v>5.0</v>
      </c>
      <c r="K1179" s="197">
        <v>5.0</v>
      </c>
      <c r="L1179" s="197">
        <v>4.5</v>
      </c>
      <c r="M1179" s="197">
        <v>4.9</v>
      </c>
      <c r="N1179" s="197">
        <v>5.0</v>
      </c>
      <c r="O1179" s="197">
        <v>5.0</v>
      </c>
      <c r="P1179" s="197">
        <v>5.0</v>
      </c>
      <c r="Q1179" s="197">
        <v>5.0</v>
      </c>
      <c r="R1179" s="197">
        <v>5.0</v>
      </c>
      <c r="S1179" s="197">
        <v>5.0</v>
      </c>
      <c r="T1179" s="197">
        <v>5.0</v>
      </c>
      <c r="U1179" s="197">
        <v>5.0</v>
      </c>
      <c r="V1179" s="197">
        <v>5.0</v>
      </c>
      <c r="W1179" s="197">
        <v>5.0</v>
      </c>
      <c r="X1179" s="196"/>
      <c r="Y1179" s="196"/>
      <c r="Z1179" s="196"/>
      <c r="AA1179" s="196"/>
      <c r="AB1179" s="196"/>
      <c r="AC1179" s="197">
        <v>4.966666666666667</v>
      </c>
      <c r="AD1179" s="198"/>
    </row>
    <row r="1180">
      <c r="A1180" s="193">
        <v>106375.0</v>
      </c>
      <c r="B1180" s="194" t="s">
        <v>2567</v>
      </c>
      <c r="C1180" s="192" t="s">
        <v>2563</v>
      </c>
      <c r="D1180" s="195">
        <v>45989.0</v>
      </c>
      <c r="E1180" s="192" t="s">
        <v>113</v>
      </c>
      <c r="F1180" s="196"/>
      <c r="G1180" s="196"/>
      <c r="H1180" s="197">
        <v>5.0</v>
      </c>
      <c r="I1180" s="197">
        <v>5.0</v>
      </c>
      <c r="J1180" s="197">
        <v>5.0</v>
      </c>
      <c r="K1180" s="197">
        <v>5.0</v>
      </c>
      <c r="L1180" s="197">
        <v>5.0</v>
      </c>
      <c r="M1180" s="197">
        <v>5.0</v>
      </c>
      <c r="N1180" s="197">
        <v>5.0</v>
      </c>
      <c r="O1180" s="197">
        <v>5.0</v>
      </c>
      <c r="P1180" s="197">
        <v>5.0</v>
      </c>
      <c r="Q1180" s="197">
        <v>5.0</v>
      </c>
      <c r="R1180" s="197">
        <v>5.0</v>
      </c>
      <c r="S1180" s="197">
        <v>5.0</v>
      </c>
      <c r="T1180" s="197">
        <v>5.0</v>
      </c>
      <c r="U1180" s="197">
        <v>5.0</v>
      </c>
      <c r="V1180" s="197">
        <v>5.0</v>
      </c>
      <c r="W1180" s="197">
        <v>5.0</v>
      </c>
      <c r="X1180" s="196"/>
      <c r="Y1180" s="196"/>
      <c r="Z1180" s="196"/>
      <c r="AA1180" s="196"/>
      <c r="AB1180" s="196"/>
      <c r="AC1180" s="197">
        <v>5.0</v>
      </c>
      <c r="AD1180" s="198"/>
    </row>
    <row r="1181">
      <c r="A1181" s="193">
        <v>106375.0</v>
      </c>
      <c r="B1181" s="194" t="s">
        <v>2568</v>
      </c>
      <c r="C1181" s="192" t="s">
        <v>2563</v>
      </c>
      <c r="D1181" s="195">
        <v>45989.0</v>
      </c>
      <c r="E1181" s="192" t="s">
        <v>254</v>
      </c>
      <c r="F1181" s="196"/>
      <c r="G1181" s="196"/>
      <c r="H1181" s="197">
        <v>5.0</v>
      </c>
      <c r="I1181" s="197">
        <v>5.0</v>
      </c>
      <c r="J1181" s="197">
        <v>5.0</v>
      </c>
      <c r="K1181" s="197">
        <v>5.0</v>
      </c>
      <c r="L1181" s="197">
        <v>5.0</v>
      </c>
      <c r="M1181" s="197">
        <v>5.0</v>
      </c>
      <c r="N1181" s="197">
        <v>5.0</v>
      </c>
      <c r="O1181" s="197">
        <v>5.0</v>
      </c>
      <c r="P1181" s="197">
        <v>5.0</v>
      </c>
      <c r="Q1181" s="197">
        <v>5.0</v>
      </c>
      <c r="R1181" s="197">
        <v>5.0</v>
      </c>
      <c r="S1181" s="197">
        <v>5.0</v>
      </c>
      <c r="T1181" s="197">
        <v>5.0</v>
      </c>
      <c r="U1181" s="197">
        <v>5.0</v>
      </c>
      <c r="V1181" s="197">
        <v>5.0</v>
      </c>
      <c r="W1181" s="197">
        <v>5.0</v>
      </c>
      <c r="X1181" s="196"/>
      <c r="Y1181" s="196"/>
      <c r="Z1181" s="196"/>
      <c r="AA1181" s="196"/>
      <c r="AB1181" s="196"/>
      <c r="AC1181" s="197">
        <v>5.0</v>
      </c>
      <c r="AD1181" s="198"/>
    </row>
    <row r="1182">
      <c r="A1182" s="193">
        <v>106909.0</v>
      </c>
      <c r="B1182" s="194" t="s">
        <v>2570</v>
      </c>
      <c r="C1182" s="192" t="s">
        <v>2571</v>
      </c>
      <c r="D1182" s="195">
        <v>46148.0</v>
      </c>
      <c r="E1182" s="192" t="s">
        <v>254</v>
      </c>
      <c r="F1182" s="196"/>
      <c r="G1182" s="196"/>
      <c r="H1182" s="197">
        <v>5.0</v>
      </c>
      <c r="I1182" s="197">
        <v>5.0</v>
      </c>
      <c r="J1182" s="197">
        <v>5.0</v>
      </c>
      <c r="K1182" s="197">
        <v>5.0</v>
      </c>
      <c r="L1182" s="197">
        <v>5.0</v>
      </c>
      <c r="M1182" s="197">
        <v>5.0</v>
      </c>
      <c r="N1182" s="197">
        <v>5.0</v>
      </c>
      <c r="O1182" s="197">
        <v>5.0</v>
      </c>
      <c r="P1182" s="197">
        <v>5.0</v>
      </c>
      <c r="Q1182" s="197">
        <v>5.0</v>
      </c>
      <c r="R1182" s="197">
        <v>5.0</v>
      </c>
      <c r="S1182" s="197">
        <v>5.0</v>
      </c>
      <c r="T1182" s="197">
        <v>5.0</v>
      </c>
      <c r="U1182" s="197">
        <v>5.0</v>
      </c>
      <c r="V1182" s="197">
        <v>5.0</v>
      </c>
      <c r="W1182" s="197">
        <v>5.0</v>
      </c>
      <c r="X1182" s="196"/>
      <c r="Y1182" s="196"/>
      <c r="Z1182" s="196"/>
      <c r="AA1182" s="196"/>
      <c r="AB1182" s="196"/>
      <c r="AC1182" s="197">
        <v>5.0</v>
      </c>
      <c r="AD1182" s="198"/>
    </row>
    <row r="1183">
      <c r="A1183" s="193">
        <v>106909.0</v>
      </c>
      <c r="B1183" s="194" t="s">
        <v>2572</v>
      </c>
      <c r="C1183" s="192" t="s">
        <v>2571</v>
      </c>
      <c r="D1183" s="195">
        <v>46148.0</v>
      </c>
      <c r="E1183" s="192" t="s">
        <v>806</v>
      </c>
      <c r="F1183" s="196"/>
      <c r="G1183" s="196"/>
      <c r="H1183" s="197">
        <v>5.0</v>
      </c>
      <c r="I1183" s="197">
        <v>5.0</v>
      </c>
      <c r="J1183" s="197">
        <v>5.0</v>
      </c>
      <c r="K1183" s="197">
        <v>5.0</v>
      </c>
      <c r="L1183" s="197">
        <v>5.0</v>
      </c>
      <c r="M1183" s="197">
        <v>5.0</v>
      </c>
      <c r="N1183" s="197">
        <v>5.0</v>
      </c>
      <c r="O1183" s="197">
        <v>5.0</v>
      </c>
      <c r="P1183" s="197">
        <v>5.0</v>
      </c>
      <c r="Q1183" s="197">
        <v>5.0</v>
      </c>
      <c r="R1183" s="197">
        <v>5.0</v>
      </c>
      <c r="S1183" s="197">
        <v>5.0</v>
      </c>
      <c r="T1183" s="197">
        <v>5.0</v>
      </c>
      <c r="U1183" s="197">
        <v>5.0</v>
      </c>
      <c r="V1183" s="197">
        <v>5.0</v>
      </c>
      <c r="W1183" s="197">
        <v>5.0</v>
      </c>
      <c r="X1183" s="196"/>
      <c r="Y1183" s="196"/>
      <c r="Z1183" s="196"/>
      <c r="AA1183" s="196"/>
      <c r="AB1183" s="196"/>
      <c r="AC1183" s="197">
        <v>5.0</v>
      </c>
      <c r="AD1183" s="198"/>
    </row>
    <row r="1184">
      <c r="A1184" s="193">
        <v>106909.0</v>
      </c>
      <c r="B1184" s="194" t="s">
        <v>2573</v>
      </c>
      <c r="C1184" s="192" t="s">
        <v>2571</v>
      </c>
      <c r="D1184" s="195">
        <v>46148.0</v>
      </c>
      <c r="E1184" s="192" t="s">
        <v>113</v>
      </c>
      <c r="F1184" s="196"/>
      <c r="G1184" s="196"/>
      <c r="H1184" s="197">
        <v>5.0</v>
      </c>
      <c r="I1184" s="197">
        <v>5.0</v>
      </c>
      <c r="J1184" s="197">
        <v>5.0</v>
      </c>
      <c r="K1184" s="197">
        <v>5.0</v>
      </c>
      <c r="L1184" s="197">
        <v>5.0</v>
      </c>
      <c r="M1184" s="197">
        <v>5.0</v>
      </c>
      <c r="N1184" s="197">
        <v>5.0</v>
      </c>
      <c r="O1184" s="197">
        <v>5.0</v>
      </c>
      <c r="P1184" s="197">
        <v>5.0</v>
      </c>
      <c r="Q1184" s="197">
        <v>5.0</v>
      </c>
      <c r="R1184" s="197">
        <v>5.0</v>
      </c>
      <c r="S1184" s="197">
        <v>5.0</v>
      </c>
      <c r="T1184" s="197">
        <v>5.0</v>
      </c>
      <c r="U1184" s="197">
        <v>5.0</v>
      </c>
      <c r="V1184" s="197">
        <v>5.0</v>
      </c>
      <c r="W1184" s="197">
        <v>5.0</v>
      </c>
      <c r="X1184" s="196"/>
      <c r="Y1184" s="196"/>
      <c r="Z1184" s="196"/>
      <c r="AA1184" s="196"/>
      <c r="AB1184" s="196"/>
      <c r="AC1184" s="197">
        <v>5.0</v>
      </c>
      <c r="AD1184" s="198"/>
    </row>
    <row r="1185">
      <c r="A1185" s="193">
        <v>106623.0</v>
      </c>
      <c r="B1185" s="194" t="s">
        <v>2574</v>
      </c>
      <c r="C1185" s="192" t="s">
        <v>2555</v>
      </c>
      <c r="D1185" s="195">
        <v>46087.0</v>
      </c>
      <c r="E1185" s="192" t="s">
        <v>254</v>
      </c>
      <c r="F1185" s="196"/>
      <c r="G1185" s="196"/>
      <c r="H1185" s="197">
        <v>5.0</v>
      </c>
      <c r="I1185" s="197">
        <v>5.0</v>
      </c>
      <c r="J1185" s="197">
        <v>5.0</v>
      </c>
      <c r="K1185" s="197">
        <v>5.0</v>
      </c>
      <c r="L1185" s="197">
        <v>5.0</v>
      </c>
      <c r="M1185" s="197">
        <v>5.0</v>
      </c>
      <c r="N1185" s="197">
        <v>5.0</v>
      </c>
      <c r="O1185" s="197">
        <v>5.0</v>
      </c>
      <c r="P1185" s="197">
        <v>5.0</v>
      </c>
      <c r="Q1185" s="197">
        <v>5.0</v>
      </c>
      <c r="R1185" s="197">
        <v>5.0</v>
      </c>
      <c r="S1185" s="197">
        <v>5.0</v>
      </c>
      <c r="T1185" s="197">
        <v>5.0</v>
      </c>
      <c r="U1185" s="197">
        <v>5.0</v>
      </c>
      <c r="V1185" s="197">
        <v>5.0</v>
      </c>
      <c r="W1185" s="197">
        <v>5.0</v>
      </c>
      <c r="X1185" s="196"/>
      <c r="Y1185" s="196"/>
      <c r="Z1185" s="196"/>
      <c r="AA1185" s="196"/>
      <c r="AB1185" s="196"/>
      <c r="AC1185" s="197">
        <v>5.0</v>
      </c>
      <c r="AD1185" s="198"/>
    </row>
    <row r="1186">
      <c r="A1186" s="193">
        <v>106530.0</v>
      </c>
      <c r="B1186" s="194" t="s">
        <v>2575</v>
      </c>
      <c r="C1186" s="192" t="s">
        <v>2576</v>
      </c>
      <c r="D1186" s="195">
        <v>46043.0</v>
      </c>
      <c r="E1186" s="192" t="s">
        <v>1054</v>
      </c>
      <c r="F1186" s="196"/>
      <c r="G1186" s="196"/>
      <c r="H1186" s="197">
        <v>5.0</v>
      </c>
      <c r="I1186" s="197">
        <v>5.0</v>
      </c>
      <c r="J1186" s="197">
        <v>5.0</v>
      </c>
      <c r="K1186" s="197">
        <v>5.0</v>
      </c>
      <c r="L1186" s="197">
        <v>5.0</v>
      </c>
      <c r="M1186" s="197">
        <v>5.0</v>
      </c>
      <c r="N1186" s="197">
        <v>5.0</v>
      </c>
      <c r="O1186" s="197">
        <v>5.0</v>
      </c>
      <c r="P1186" s="197">
        <v>5.0</v>
      </c>
      <c r="Q1186" s="197">
        <v>5.0</v>
      </c>
      <c r="R1186" s="197">
        <v>5.0</v>
      </c>
      <c r="S1186" s="197">
        <v>5.0</v>
      </c>
      <c r="T1186" s="197">
        <v>5.0</v>
      </c>
      <c r="U1186" s="197">
        <v>5.0</v>
      </c>
      <c r="V1186" s="197">
        <v>5.0</v>
      </c>
      <c r="W1186" s="197">
        <v>5.0</v>
      </c>
      <c r="X1186" s="196"/>
      <c r="Y1186" s="196"/>
      <c r="Z1186" s="196"/>
      <c r="AA1186" s="196"/>
      <c r="AB1186" s="196"/>
      <c r="AC1186" s="197">
        <v>5.0</v>
      </c>
      <c r="AD1186" s="198"/>
    </row>
    <row r="1187">
      <c r="A1187" s="193">
        <v>106527.0</v>
      </c>
      <c r="B1187" s="194" t="s">
        <v>2577</v>
      </c>
      <c r="C1187" s="192" t="s">
        <v>2578</v>
      </c>
      <c r="D1187" s="195">
        <v>46044.0</v>
      </c>
      <c r="E1187" s="192" t="s">
        <v>360</v>
      </c>
      <c r="F1187" s="196"/>
      <c r="G1187" s="196"/>
      <c r="H1187" s="197">
        <v>5.0</v>
      </c>
      <c r="I1187" s="197">
        <v>5.0</v>
      </c>
      <c r="J1187" s="197">
        <v>5.0</v>
      </c>
      <c r="K1187" s="197">
        <v>5.0</v>
      </c>
      <c r="L1187" s="197">
        <v>5.0</v>
      </c>
      <c r="M1187" s="197">
        <v>5.0</v>
      </c>
      <c r="N1187" s="197">
        <v>5.0</v>
      </c>
      <c r="O1187" s="197">
        <v>5.0</v>
      </c>
      <c r="P1187" s="197">
        <v>5.0</v>
      </c>
      <c r="Q1187" s="197">
        <v>5.0</v>
      </c>
      <c r="R1187" s="197">
        <v>5.0</v>
      </c>
      <c r="S1187" s="197">
        <v>5.0</v>
      </c>
      <c r="T1187" s="197">
        <v>5.0</v>
      </c>
      <c r="U1187" s="197">
        <v>5.0</v>
      </c>
      <c r="V1187" s="197">
        <v>5.0</v>
      </c>
      <c r="W1187" s="197">
        <v>5.0</v>
      </c>
      <c r="X1187" s="196"/>
      <c r="Y1187" s="196"/>
      <c r="Z1187" s="196"/>
      <c r="AA1187" s="196"/>
      <c r="AB1187" s="196"/>
      <c r="AC1187" s="197">
        <v>5.0</v>
      </c>
      <c r="AD1187" s="198"/>
    </row>
    <row r="1188">
      <c r="A1188" s="193">
        <v>106523.0</v>
      </c>
      <c r="B1188" s="194" t="s">
        <v>2579</v>
      </c>
      <c r="C1188" s="192" t="s">
        <v>2580</v>
      </c>
      <c r="D1188" s="195">
        <v>46037.0</v>
      </c>
      <c r="E1188" s="192" t="s">
        <v>1547</v>
      </c>
      <c r="F1188" s="196"/>
      <c r="G1188" s="196"/>
      <c r="H1188" s="197">
        <v>5.0</v>
      </c>
      <c r="I1188" s="197">
        <v>5.0</v>
      </c>
      <c r="J1188" s="197">
        <v>5.0</v>
      </c>
      <c r="K1188" s="197">
        <v>5.0</v>
      </c>
      <c r="L1188" s="197">
        <v>5.0</v>
      </c>
      <c r="M1188" s="197">
        <v>5.0</v>
      </c>
      <c r="N1188" s="197">
        <v>5.0</v>
      </c>
      <c r="O1188" s="197">
        <v>5.0</v>
      </c>
      <c r="P1188" s="197">
        <v>5.0</v>
      </c>
      <c r="Q1188" s="197">
        <v>5.0</v>
      </c>
      <c r="R1188" s="197">
        <v>5.0</v>
      </c>
      <c r="S1188" s="197">
        <v>5.0</v>
      </c>
      <c r="T1188" s="197">
        <v>5.0</v>
      </c>
      <c r="U1188" s="197">
        <v>5.0</v>
      </c>
      <c r="V1188" s="197">
        <v>5.0</v>
      </c>
      <c r="W1188" s="197">
        <v>5.0</v>
      </c>
      <c r="X1188" s="196"/>
      <c r="Y1188" s="196"/>
      <c r="Z1188" s="196"/>
      <c r="AA1188" s="196"/>
      <c r="AB1188" s="196"/>
      <c r="AC1188" s="197">
        <v>5.0</v>
      </c>
      <c r="AD1188" s="198"/>
    </row>
    <row r="1189">
      <c r="A1189" s="193">
        <v>106520.0</v>
      </c>
      <c r="B1189" s="194" t="s">
        <v>2581</v>
      </c>
      <c r="C1189" s="192" t="s">
        <v>2582</v>
      </c>
      <c r="D1189" s="195">
        <v>46037.0</v>
      </c>
      <c r="E1189" s="192" t="s">
        <v>2193</v>
      </c>
      <c r="F1189" s="196"/>
      <c r="G1189" s="196"/>
      <c r="H1189" s="197">
        <v>5.0</v>
      </c>
      <c r="I1189" s="197">
        <v>5.0</v>
      </c>
      <c r="J1189" s="197">
        <v>5.0</v>
      </c>
      <c r="K1189" s="197">
        <v>5.0</v>
      </c>
      <c r="L1189" s="197">
        <v>5.0</v>
      </c>
      <c r="M1189" s="197">
        <v>5.0</v>
      </c>
      <c r="N1189" s="197">
        <v>5.0</v>
      </c>
      <c r="O1189" s="197">
        <v>5.0</v>
      </c>
      <c r="P1189" s="197">
        <v>5.0</v>
      </c>
      <c r="Q1189" s="197">
        <v>5.0</v>
      </c>
      <c r="R1189" s="197">
        <v>5.0</v>
      </c>
      <c r="S1189" s="197">
        <v>5.0</v>
      </c>
      <c r="T1189" s="197">
        <v>5.0</v>
      </c>
      <c r="U1189" s="197">
        <v>5.0</v>
      </c>
      <c r="V1189" s="197">
        <v>5.0</v>
      </c>
      <c r="W1189" s="197">
        <v>5.0</v>
      </c>
      <c r="X1189" s="196"/>
      <c r="Y1189" s="196"/>
      <c r="Z1189" s="196"/>
      <c r="AA1189" s="196"/>
      <c r="AB1189" s="196"/>
      <c r="AC1189" s="197">
        <v>5.0</v>
      </c>
      <c r="AD1189" s="198"/>
    </row>
    <row r="1190">
      <c r="A1190" s="193">
        <v>106553.0</v>
      </c>
      <c r="B1190" s="194" t="s">
        <v>2583</v>
      </c>
      <c r="C1190" s="192" t="s">
        <v>2584</v>
      </c>
      <c r="D1190" s="195">
        <v>46035.0</v>
      </c>
      <c r="E1190" s="192" t="s">
        <v>87</v>
      </c>
      <c r="F1190" s="196"/>
      <c r="G1190" s="196"/>
      <c r="H1190" s="197">
        <v>5.0</v>
      </c>
      <c r="I1190" s="197">
        <v>4.5</v>
      </c>
      <c r="J1190" s="197">
        <v>5.0</v>
      </c>
      <c r="K1190" s="197">
        <v>5.0</v>
      </c>
      <c r="L1190" s="197">
        <v>5.0</v>
      </c>
      <c r="M1190" s="197">
        <v>4.9</v>
      </c>
      <c r="N1190" s="197">
        <v>5.0</v>
      </c>
      <c r="O1190" s="197">
        <v>4.5</v>
      </c>
      <c r="P1190" s="197">
        <v>5.0</v>
      </c>
      <c r="Q1190" s="197">
        <v>5.0</v>
      </c>
      <c r="R1190" s="197">
        <v>4.833333333333333</v>
      </c>
      <c r="S1190" s="197">
        <v>5.0</v>
      </c>
      <c r="T1190" s="197">
        <v>4.5</v>
      </c>
      <c r="U1190" s="197">
        <v>5.0</v>
      </c>
      <c r="V1190" s="197">
        <v>5.0</v>
      </c>
      <c r="W1190" s="197">
        <v>4.875</v>
      </c>
      <c r="X1190" s="196"/>
      <c r="Y1190" s="196"/>
      <c r="Z1190" s="196"/>
      <c r="AA1190" s="196"/>
      <c r="AB1190" s="196"/>
      <c r="AC1190" s="197">
        <v>4.8694444444444445</v>
      </c>
      <c r="AD1190" s="198"/>
    </row>
    <row r="1191">
      <c r="A1191" s="193">
        <v>106494.0</v>
      </c>
      <c r="B1191" s="194" t="s">
        <v>2585</v>
      </c>
      <c r="C1191" s="192" t="s">
        <v>2586</v>
      </c>
      <c r="D1191" s="195">
        <v>46013.0</v>
      </c>
      <c r="E1191" s="192" t="s">
        <v>87</v>
      </c>
      <c r="F1191" s="196"/>
      <c r="G1191" s="196"/>
      <c r="H1191" s="197">
        <v>5.0</v>
      </c>
      <c r="I1191" s="197">
        <v>4.5</v>
      </c>
      <c r="J1191" s="197">
        <v>5.0</v>
      </c>
      <c r="K1191" s="197">
        <v>5.0</v>
      </c>
      <c r="L1191" s="197">
        <v>5.0</v>
      </c>
      <c r="M1191" s="197">
        <v>4.9</v>
      </c>
      <c r="N1191" s="197">
        <v>5.0</v>
      </c>
      <c r="O1191" s="197">
        <v>4.5</v>
      </c>
      <c r="P1191" s="197">
        <v>5.0</v>
      </c>
      <c r="Q1191" s="197">
        <v>5.0</v>
      </c>
      <c r="R1191" s="197">
        <v>4.833333333333333</v>
      </c>
      <c r="S1191" s="197">
        <v>5.0</v>
      </c>
      <c r="T1191" s="197">
        <v>4.5</v>
      </c>
      <c r="U1191" s="197">
        <v>5.0</v>
      </c>
      <c r="V1191" s="197">
        <v>5.0</v>
      </c>
      <c r="W1191" s="197">
        <v>4.875</v>
      </c>
      <c r="X1191" s="196"/>
      <c r="Y1191" s="196"/>
      <c r="Z1191" s="196"/>
      <c r="AA1191" s="196"/>
      <c r="AB1191" s="196"/>
      <c r="AC1191" s="197">
        <v>4.8694444444444445</v>
      </c>
      <c r="AD1191" s="198"/>
    </row>
    <row r="1192">
      <c r="A1192" s="193">
        <v>106494.0</v>
      </c>
      <c r="B1192" s="194" t="s">
        <v>2585</v>
      </c>
      <c r="C1192" s="192" t="s">
        <v>2586</v>
      </c>
      <c r="D1192" s="195">
        <v>46013.0</v>
      </c>
      <c r="E1192" s="192" t="s">
        <v>87</v>
      </c>
      <c r="F1192" s="196"/>
      <c r="G1192" s="196"/>
      <c r="H1192" s="197">
        <v>5.0</v>
      </c>
      <c r="I1192" s="197">
        <v>4.5</v>
      </c>
      <c r="J1192" s="197">
        <v>5.0</v>
      </c>
      <c r="K1192" s="197">
        <v>5.0</v>
      </c>
      <c r="L1192" s="197">
        <v>5.0</v>
      </c>
      <c r="M1192" s="197">
        <v>4.9</v>
      </c>
      <c r="N1192" s="197">
        <v>5.0</v>
      </c>
      <c r="O1192" s="197">
        <v>4.5</v>
      </c>
      <c r="P1192" s="197">
        <v>5.0</v>
      </c>
      <c r="Q1192" s="197">
        <v>5.0</v>
      </c>
      <c r="R1192" s="197">
        <v>4.833333333333333</v>
      </c>
      <c r="S1192" s="197">
        <v>5.0</v>
      </c>
      <c r="T1192" s="197">
        <v>4.5</v>
      </c>
      <c r="U1192" s="197">
        <v>5.0</v>
      </c>
      <c r="V1192" s="197">
        <v>5.0</v>
      </c>
      <c r="W1192" s="197">
        <v>4.875</v>
      </c>
      <c r="X1192" s="196"/>
      <c r="Y1192" s="196"/>
      <c r="Z1192" s="196"/>
      <c r="AA1192" s="196"/>
      <c r="AB1192" s="196"/>
      <c r="AC1192" s="197">
        <v>4.8694444444444445</v>
      </c>
      <c r="AD1192" s="198"/>
    </row>
    <row r="1193">
      <c r="A1193" s="193">
        <v>106507.0</v>
      </c>
      <c r="B1193" s="194" t="s">
        <v>2587</v>
      </c>
      <c r="C1193" s="192" t="s">
        <v>2589</v>
      </c>
      <c r="D1193" s="195">
        <v>46013.0</v>
      </c>
      <c r="E1193" s="192" t="s">
        <v>87</v>
      </c>
      <c r="F1193" s="196"/>
      <c r="G1193" s="196"/>
      <c r="H1193" s="197">
        <v>5.0</v>
      </c>
      <c r="I1193" s="197">
        <v>4.5</v>
      </c>
      <c r="J1193" s="197">
        <v>4.5</v>
      </c>
      <c r="K1193" s="197">
        <v>4.5</v>
      </c>
      <c r="L1193" s="197">
        <v>4.5</v>
      </c>
      <c r="M1193" s="197">
        <v>4.6</v>
      </c>
      <c r="N1193" s="197">
        <v>5.0</v>
      </c>
      <c r="O1193" s="197">
        <v>4.5</v>
      </c>
      <c r="P1193" s="197">
        <v>5.0</v>
      </c>
      <c r="Q1193" s="197">
        <v>5.0</v>
      </c>
      <c r="R1193" s="197">
        <v>4.833333333333333</v>
      </c>
      <c r="S1193" s="197">
        <v>5.0</v>
      </c>
      <c r="T1193" s="197">
        <v>4.5</v>
      </c>
      <c r="U1193" s="197">
        <v>5.0</v>
      </c>
      <c r="V1193" s="197">
        <v>5.0</v>
      </c>
      <c r="W1193" s="197">
        <v>4.875</v>
      </c>
      <c r="X1193" s="196"/>
      <c r="Y1193" s="196"/>
      <c r="Z1193" s="196"/>
      <c r="AA1193" s="196"/>
      <c r="AB1193" s="196"/>
      <c r="AC1193" s="197">
        <v>4.769444444444445</v>
      </c>
      <c r="AD1193" s="198"/>
    </row>
    <row r="1194">
      <c r="A1194" s="193">
        <v>106451.0</v>
      </c>
      <c r="B1194" s="194" t="s">
        <v>2590</v>
      </c>
      <c r="C1194" s="192" t="s">
        <v>2591</v>
      </c>
      <c r="D1194" s="195">
        <v>46007.0</v>
      </c>
      <c r="E1194" s="192" t="s">
        <v>87</v>
      </c>
      <c r="F1194" s="196"/>
      <c r="G1194" s="196"/>
      <c r="H1194" s="197">
        <v>5.0</v>
      </c>
      <c r="I1194" s="197">
        <v>5.0</v>
      </c>
      <c r="J1194" s="197">
        <v>5.0</v>
      </c>
      <c r="K1194" s="197">
        <v>5.0</v>
      </c>
      <c r="L1194" s="197">
        <v>5.0</v>
      </c>
      <c r="M1194" s="197">
        <v>5.0</v>
      </c>
      <c r="N1194" s="197">
        <v>5.0</v>
      </c>
      <c r="O1194" s="197">
        <v>4.5</v>
      </c>
      <c r="P1194" s="197">
        <v>5.0</v>
      </c>
      <c r="Q1194" s="197">
        <v>5.0</v>
      </c>
      <c r="R1194" s="197">
        <v>4.833333333333333</v>
      </c>
      <c r="S1194" s="197">
        <v>5.0</v>
      </c>
      <c r="T1194" s="197">
        <v>4.5</v>
      </c>
      <c r="U1194" s="197">
        <v>5.0</v>
      </c>
      <c r="V1194" s="197">
        <v>5.0</v>
      </c>
      <c r="W1194" s="197">
        <v>4.875</v>
      </c>
      <c r="X1194" s="196"/>
      <c r="Y1194" s="196"/>
      <c r="Z1194" s="196"/>
      <c r="AA1194" s="196"/>
      <c r="AB1194" s="196"/>
      <c r="AC1194" s="197">
        <v>4.902777777777778</v>
      </c>
      <c r="AD1194" s="198"/>
    </row>
    <row r="1195">
      <c r="A1195" s="193">
        <v>106413.0</v>
      </c>
      <c r="B1195" s="194" t="s">
        <v>2592</v>
      </c>
      <c r="C1195" s="192" t="s">
        <v>2593</v>
      </c>
      <c r="D1195" s="195">
        <v>45996.0</v>
      </c>
      <c r="E1195" s="192" t="s">
        <v>87</v>
      </c>
      <c r="F1195" s="196"/>
      <c r="G1195" s="196"/>
      <c r="H1195" s="197">
        <v>5.0</v>
      </c>
      <c r="I1195" s="197">
        <v>5.0</v>
      </c>
      <c r="J1195" s="197">
        <v>5.0</v>
      </c>
      <c r="K1195" s="197">
        <v>5.0</v>
      </c>
      <c r="L1195" s="197">
        <v>5.0</v>
      </c>
      <c r="M1195" s="197">
        <v>5.0</v>
      </c>
      <c r="N1195" s="197">
        <v>5.0</v>
      </c>
      <c r="O1195" s="197">
        <v>4.5</v>
      </c>
      <c r="P1195" s="197">
        <v>5.0</v>
      </c>
      <c r="Q1195" s="197">
        <v>5.0</v>
      </c>
      <c r="R1195" s="197">
        <v>4.833333333333333</v>
      </c>
      <c r="S1195" s="197">
        <v>5.0</v>
      </c>
      <c r="T1195" s="197">
        <v>4.5</v>
      </c>
      <c r="U1195" s="197">
        <v>5.0</v>
      </c>
      <c r="V1195" s="197">
        <v>5.0</v>
      </c>
      <c r="W1195" s="197">
        <v>4.875</v>
      </c>
      <c r="X1195" s="196"/>
      <c r="Y1195" s="196"/>
      <c r="Z1195" s="196"/>
      <c r="AA1195" s="196"/>
      <c r="AB1195" s="196"/>
      <c r="AC1195" s="197">
        <v>4.902777777777778</v>
      </c>
      <c r="AD1195" s="198"/>
    </row>
    <row r="1196">
      <c r="A1196" s="193">
        <v>106430.0</v>
      </c>
      <c r="B1196" s="194" t="s">
        <v>2594</v>
      </c>
      <c r="C1196" s="192" t="s">
        <v>2595</v>
      </c>
      <c r="D1196" s="195">
        <v>45982.0</v>
      </c>
      <c r="E1196" s="192" t="s">
        <v>806</v>
      </c>
      <c r="F1196" s="196"/>
      <c r="G1196" s="196"/>
      <c r="H1196" s="197">
        <v>5.0</v>
      </c>
      <c r="I1196" s="197">
        <v>5.0</v>
      </c>
      <c r="J1196" s="197">
        <v>5.0</v>
      </c>
      <c r="K1196" s="197">
        <v>5.0</v>
      </c>
      <c r="L1196" s="197">
        <v>5.0</v>
      </c>
      <c r="M1196" s="197">
        <v>5.0</v>
      </c>
      <c r="N1196" s="197">
        <v>5.0</v>
      </c>
      <c r="O1196" s="197">
        <v>5.0</v>
      </c>
      <c r="P1196" s="197">
        <v>5.0</v>
      </c>
      <c r="Q1196" s="197">
        <v>5.0</v>
      </c>
      <c r="R1196" s="197">
        <v>5.0</v>
      </c>
      <c r="S1196" s="197">
        <v>5.0</v>
      </c>
      <c r="T1196" s="197">
        <v>5.0</v>
      </c>
      <c r="U1196" s="197">
        <v>5.0</v>
      </c>
      <c r="V1196" s="197">
        <v>5.0</v>
      </c>
      <c r="W1196" s="197">
        <v>5.0</v>
      </c>
      <c r="X1196" s="196"/>
      <c r="Y1196" s="196"/>
      <c r="Z1196" s="196"/>
      <c r="AA1196" s="196"/>
      <c r="AB1196" s="196"/>
      <c r="AC1196" s="197">
        <v>5.0</v>
      </c>
      <c r="AD1196" s="198"/>
    </row>
    <row r="1197">
      <c r="A1197" s="193">
        <v>106419.0</v>
      </c>
      <c r="B1197" s="194" t="s">
        <v>2596</v>
      </c>
      <c r="C1197" s="192" t="s">
        <v>2597</v>
      </c>
      <c r="D1197" s="195">
        <v>45978.0</v>
      </c>
      <c r="E1197" s="192" t="s">
        <v>806</v>
      </c>
      <c r="F1197" s="196"/>
      <c r="G1197" s="196"/>
      <c r="H1197" s="197">
        <v>5.0</v>
      </c>
      <c r="I1197" s="197">
        <v>5.0</v>
      </c>
      <c r="J1197" s="197">
        <v>5.0</v>
      </c>
      <c r="K1197" s="197">
        <v>5.0</v>
      </c>
      <c r="L1197" s="197">
        <v>5.0</v>
      </c>
      <c r="M1197" s="197">
        <v>5.0</v>
      </c>
      <c r="N1197" s="197">
        <v>5.0</v>
      </c>
      <c r="O1197" s="197">
        <v>5.0</v>
      </c>
      <c r="P1197" s="197">
        <v>5.0</v>
      </c>
      <c r="Q1197" s="197">
        <v>5.0</v>
      </c>
      <c r="R1197" s="197">
        <v>5.0</v>
      </c>
      <c r="S1197" s="197">
        <v>5.0</v>
      </c>
      <c r="T1197" s="197">
        <v>5.0</v>
      </c>
      <c r="U1197" s="197">
        <v>5.0</v>
      </c>
      <c r="V1197" s="197">
        <v>5.0</v>
      </c>
      <c r="W1197" s="197">
        <v>5.0</v>
      </c>
      <c r="X1197" s="196"/>
      <c r="Y1197" s="196"/>
      <c r="Z1197" s="196"/>
      <c r="AA1197" s="196"/>
      <c r="AB1197" s="196"/>
      <c r="AC1197" s="197">
        <v>5.0</v>
      </c>
      <c r="AD1197" s="198"/>
    </row>
    <row r="1198">
      <c r="A1198" s="193">
        <v>106487.0</v>
      </c>
      <c r="B1198" s="194" t="s">
        <v>2598</v>
      </c>
      <c r="C1198" s="192" t="s">
        <v>2599</v>
      </c>
      <c r="D1198" s="195">
        <v>46006.0</v>
      </c>
      <c r="E1198" s="192" t="s">
        <v>154</v>
      </c>
      <c r="F1198" s="196"/>
      <c r="G1198" s="196"/>
      <c r="H1198" s="197">
        <v>5.0</v>
      </c>
      <c r="I1198" s="197">
        <v>5.0</v>
      </c>
      <c r="J1198" s="197">
        <v>5.0</v>
      </c>
      <c r="K1198" s="197">
        <v>5.0</v>
      </c>
      <c r="L1198" s="197">
        <v>5.0</v>
      </c>
      <c r="M1198" s="197">
        <v>5.0</v>
      </c>
      <c r="N1198" s="197">
        <v>5.0</v>
      </c>
      <c r="O1198" s="197">
        <v>4.5</v>
      </c>
      <c r="P1198" s="197">
        <v>5.0</v>
      </c>
      <c r="Q1198" s="197">
        <v>5.0</v>
      </c>
      <c r="R1198" s="197">
        <v>4.833333333333333</v>
      </c>
      <c r="S1198" s="197">
        <v>5.0</v>
      </c>
      <c r="T1198" s="197">
        <v>4.5</v>
      </c>
      <c r="U1198" s="197">
        <v>5.0</v>
      </c>
      <c r="V1198" s="197">
        <v>5.0</v>
      </c>
      <c r="W1198" s="197">
        <v>4.875</v>
      </c>
      <c r="X1198" s="196"/>
      <c r="Y1198" s="196"/>
      <c r="Z1198" s="196"/>
      <c r="AA1198" s="196"/>
      <c r="AB1198" s="196"/>
      <c r="AC1198" s="197">
        <v>4.902777777777778</v>
      </c>
      <c r="AD1198" s="198"/>
    </row>
    <row r="1199">
      <c r="A1199" s="193">
        <v>106431.0</v>
      </c>
      <c r="B1199" s="194" t="s">
        <v>2600</v>
      </c>
      <c r="C1199" s="192" t="s">
        <v>2601</v>
      </c>
      <c r="D1199" s="195">
        <v>46007.0</v>
      </c>
      <c r="E1199" s="192" t="s">
        <v>87</v>
      </c>
      <c r="F1199" s="196"/>
      <c r="G1199" s="196"/>
      <c r="H1199" s="197">
        <v>5.0</v>
      </c>
      <c r="I1199" s="197">
        <v>4.5</v>
      </c>
      <c r="J1199" s="197">
        <v>5.0</v>
      </c>
      <c r="K1199" s="197">
        <v>5.0</v>
      </c>
      <c r="L1199" s="197">
        <v>5.0</v>
      </c>
      <c r="M1199" s="197">
        <v>4.9</v>
      </c>
      <c r="N1199" s="197">
        <v>5.0</v>
      </c>
      <c r="O1199" s="197">
        <v>4.5</v>
      </c>
      <c r="P1199" s="197">
        <v>5.0</v>
      </c>
      <c r="Q1199" s="197">
        <v>5.0</v>
      </c>
      <c r="R1199" s="197">
        <v>4.833333333333333</v>
      </c>
      <c r="S1199" s="197">
        <v>5.0</v>
      </c>
      <c r="T1199" s="197">
        <v>4.5</v>
      </c>
      <c r="U1199" s="197">
        <v>5.0</v>
      </c>
      <c r="V1199" s="197">
        <v>5.0</v>
      </c>
      <c r="W1199" s="197">
        <v>4.875</v>
      </c>
      <c r="X1199" s="196"/>
      <c r="Y1199" s="196"/>
      <c r="Z1199" s="196"/>
      <c r="AA1199" s="196"/>
      <c r="AB1199" s="196"/>
      <c r="AC1199" s="197">
        <v>4.8694444444444445</v>
      </c>
      <c r="AD1199" s="198"/>
    </row>
    <row r="1200">
      <c r="A1200" s="193">
        <v>105799.0</v>
      </c>
      <c r="B1200" s="194" t="s">
        <v>2602</v>
      </c>
      <c r="C1200" s="192" t="s">
        <v>2603</v>
      </c>
      <c r="D1200" s="195">
        <v>45903.0</v>
      </c>
      <c r="E1200" s="192" t="s">
        <v>113</v>
      </c>
      <c r="F1200" s="196"/>
      <c r="G1200" s="196"/>
      <c r="H1200" s="197">
        <v>5.0</v>
      </c>
      <c r="I1200" s="197">
        <v>5.0</v>
      </c>
      <c r="J1200" s="197">
        <v>5.0</v>
      </c>
      <c r="K1200" s="197">
        <v>5.0</v>
      </c>
      <c r="L1200" s="197">
        <v>4.5</v>
      </c>
      <c r="M1200" s="197">
        <v>4.9</v>
      </c>
      <c r="N1200" s="197">
        <v>5.0</v>
      </c>
      <c r="O1200" s="197">
        <v>5.0</v>
      </c>
      <c r="P1200" s="197">
        <v>5.0</v>
      </c>
      <c r="Q1200" s="197">
        <v>5.0</v>
      </c>
      <c r="R1200" s="197">
        <v>5.0</v>
      </c>
      <c r="S1200" s="197">
        <v>4.5</v>
      </c>
      <c r="T1200" s="197">
        <v>4.5</v>
      </c>
      <c r="U1200" s="197">
        <v>4.5</v>
      </c>
      <c r="V1200" s="197">
        <v>4.5</v>
      </c>
      <c r="W1200" s="197">
        <v>4.5</v>
      </c>
      <c r="X1200" s="196"/>
      <c r="Y1200" s="196"/>
      <c r="Z1200" s="196"/>
      <c r="AA1200" s="196"/>
      <c r="AB1200" s="196"/>
      <c r="AC1200" s="197">
        <v>4.8</v>
      </c>
      <c r="AD1200" s="198"/>
    </row>
    <row r="1201">
      <c r="A1201" s="193">
        <v>106533.0</v>
      </c>
      <c r="B1201" s="194" t="s">
        <v>2604</v>
      </c>
      <c r="C1201" s="192" t="s">
        <v>2605</v>
      </c>
      <c r="D1201" s="195">
        <v>46048.0</v>
      </c>
      <c r="E1201" s="192" t="s">
        <v>87</v>
      </c>
      <c r="F1201" s="196"/>
      <c r="G1201" s="196"/>
      <c r="H1201" s="197">
        <v>5.0</v>
      </c>
      <c r="I1201" s="197">
        <v>4.5</v>
      </c>
      <c r="J1201" s="197">
        <v>5.0</v>
      </c>
      <c r="K1201" s="197">
        <v>5.0</v>
      </c>
      <c r="L1201" s="197">
        <v>5.0</v>
      </c>
      <c r="M1201" s="197">
        <v>4.9</v>
      </c>
      <c r="N1201" s="197">
        <v>5.0</v>
      </c>
      <c r="O1201" s="197">
        <v>4.5</v>
      </c>
      <c r="P1201" s="197">
        <v>5.0</v>
      </c>
      <c r="Q1201" s="197">
        <v>5.0</v>
      </c>
      <c r="R1201" s="197">
        <v>4.833333333333333</v>
      </c>
      <c r="S1201" s="197">
        <v>5.0</v>
      </c>
      <c r="T1201" s="197">
        <v>4.5</v>
      </c>
      <c r="U1201" s="197">
        <v>5.0</v>
      </c>
      <c r="V1201" s="197">
        <v>5.0</v>
      </c>
      <c r="W1201" s="197">
        <v>4.875</v>
      </c>
      <c r="X1201" s="196"/>
      <c r="Y1201" s="196"/>
      <c r="Z1201" s="196"/>
      <c r="AA1201" s="196"/>
      <c r="AB1201" s="196"/>
      <c r="AC1201" s="197">
        <v>4.8694444444444445</v>
      </c>
      <c r="AD1201" s="198"/>
    </row>
    <row r="1202">
      <c r="A1202" s="193">
        <v>106395.0</v>
      </c>
      <c r="B1202" s="194" t="s">
        <v>2606</v>
      </c>
      <c r="C1202" s="192" t="s">
        <v>2607</v>
      </c>
      <c r="D1202" s="195">
        <v>45968.0</v>
      </c>
      <c r="E1202" s="192" t="s">
        <v>427</v>
      </c>
      <c r="F1202" s="196"/>
      <c r="G1202" s="196"/>
      <c r="H1202" s="197">
        <v>5.0</v>
      </c>
      <c r="I1202" s="197">
        <v>5.0</v>
      </c>
      <c r="J1202" s="197">
        <v>5.0</v>
      </c>
      <c r="K1202" s="197">
        <v>5.0</v>
      </c>
      <c r="L1202" s="197">
        <v>5.0</v>
      </c>
      <c r="M1202" s="197">
        <v>5.0</v>
      </c>
      <c r="N1202" s="197">
        <v>5.0</v>
      </c>
      <c r="O1202" s="197">
        <v>4.5</v>
      </c>
      <c r="P1202" s="197">
        <v>5.0</v>
      </c>
      <c r="Q1202" s="197">
        <v>5.0</v>
      </c>
      <c r="R1202" s="197">
        <v>4.833333333333333</v>
      </c>
      <c r="S1202" s="197">
        <v>5.0</v>
      </c>
      <c r="T1202" s="197">
        <v>4.5</v>
      </c>
      <c r="U1202" s="197">
        <v>5.0</v>
      </c>
      <c r="V1202" s="197">
        <v>5.0</v>
      </c>
      <c r="W1202" s="197">
        <v>4.875</v>
      </c>
      <c r="X1202" s="196"/>
      <c r="Y1202" s="196"/>
      <c r="Z1202" s="196"/>
      <c r="AA1202" s="196"/>
      <c r="AB1202" s="196"/>
      <c r="AC1202" s="197">
        <v>4.902777777777778</v>
      </c>
      <c r="AD1202" s="198"/>
    </row>
    <row r="1203">
      <c r="A1203" s="193">
        <v>106614.0</v>
      </c>
      <c r="B1203" s="194" t="s">
        <v>2608</v>
      </c>
      <c r="C1203" s="192" t="s">
        <v>2609</v>
      </c>
      <c r="D1203" s="195">
        <v>46079.0</v>
      </c>
      <c r="E1203" s="192" t="s">
        <v>87</v>
      </c>
      <c r="F1203" s="196"/>
      <c r="G1203" s="196"/>
      <c r="H1203" s="197">
        <v>5.0</v>
      </c>
      <c r="I1203" s="197">
        <v>4.5</v>
      </c>
      <c r="J1203" s="197">
        <v>5.0</v>
      </c>
      <c r="K1203" s="197">
        <v>5.0</v>
      </c>
      <c r="L1203" s="197">
        <v>4.8</v>
      </c>
      <c r="M1203" s="197">
        <v>4.86</v>
      </c>
      <c r="N1203" s="197">
        <v>5.0</v>
      </c>
      <c r="O1203" s="197">
        <v>4.5</v>
      </c>
      <c r="P1203" s="197">
        <v>5.0</v>
      </c>
      <c r="Q1203" s="197">
        <v>5.0</v>
      </c>
      <c r="R1203" s="197">
        <v>4.833333333333333</v>
      </c>
      <c r="S1203" s="197">
        <v>5.0</v>
      </c>
      <c r="T1203" s="197">
        <v>4.0</v>
      </c>
      <c r="U1203" s="197">
        <v>5.0</v>
      </c>
      <c r="V1203" s="197">
        <v>5.0</v>
      </c>
      <c r="W1203" s="197">
        <v>4.75</v>
      </c>
      <c r="X1203" s="196"/>
      <c r="Y1203" s="196"/>
      <c r="Z1203" s="196"/>
      <c r="AA1203" s="196"/>
      <c r="AB1203" s="196"/>
      <c r="AC1203" s="197">
        <v>4.814444444444445</v>
      </c>
      <c r="AD1203" s="198"/>
    </row>
    <row r="1204">
      <c r="A1204" s="193">
        <v>106635.0</v>
      </c>
      <c r="B1204" s="194" t="s">
        <v>2610</v>
      </c>
      <c r="C1204" s="192" t="s">
        <v>2611</v>
      </c>
      <c r="D1204" s="195">
        <v>46066.0</v>
      </c>
      <c r="E1204" s="192" t="s">
        <v>87</v>
      </c>
      <c r="F1204" s="196"/>
      <c r="G1204" s="196"/>
      <c r="H1204" s="197">
        <v>5.0</v>
      </c>
      <c r="I1204" s="197">
        <v>4.5</v>
      </c>
      <c r="J1204" s="197">
        <v>5.0</v>
      </c>
      <c r="K1204" s="197">
        <v>5.0</v>
      </c>
      <c r="L1204" s="197">
        <v>4.5</v>
      </c>
      <c r="M1204" s="197">
        <v>4.8</v>
      </c>
      <c r="N1204" s="197">
        <v>5.0</v>
      </c>
      <c r="O1204" s="197">
        <v>4.5</v>
      </c>
      <c r="P1204" s="197">
        <v>5.0</v>
      </c>
      <c r="Q1204" s="197">
        <v>5.0</v>
      </c>
      <c r="R1204" s="197">
        <v>4.833333333333333</v>
      </c>
      <c r="S1204" s="197">
        <v>5.0</v>
      </c>
      <c r="T1204" s="197">
        <v>4.5</v>
      </c>
      <c r="U1204" s="197">
        <v>5.0</v>
      </c>
      <c r="V1204" s="197">
        <v>5.0</v>
      </c>
      <c r="W1204" s="197">
        <v>4.875</v>
      </c>
      <c r="X1204" s="196"/>
      <c r="Y1204" s="196"/>
      <c r="Z1204" s="196"/>
      <c r="AA1204" s="196"/>
      <c r="AB1204" s="196"/>
      <c r="AC1204" s="197">
        <v>4.836111111111111</v>
      </c>
      <c r="AD1204" s="198"/>
    </row>
    <row r="1205">
      <c r="A1205" s="193">
        <v>106582.0</v>
      </c>
      <c r="B1205" s="194" t="s">
        <v>2612</v>
      </c>
      <c r="C1205" s="192" t="s">
        <v>2613</v>
      </c>
      <c r="D1205" s="195">
        <v>46066.0</v>
      </c>
      <c r="E1205" s="192" t="s">
        <v>87</v>
      </c>
      <c r="F1205" s="196"/>
      <c r="G1205" s="196"/>
      <c r="H1205" s="197">
        <v>5.0</v>
      </c>
      <c r="I1205" s="197">
        <v>4.5</v>
      </c>
      <c r="J1205" s="197">
        <v>5.0</v>
      </c>
      <c r="K1205" s="197">
        <v>5.0</v>
      </c>
      <c r="L1205" s="197">
        <v>4.8</v>
      </c>
      <c r="M1205" s="197">
        <v>4.86</v>
      </c>
      <c r="N1205" s="197">
        <v>5.0</v>
      </c>
      <c r="O1205" s="197">
        <v>4.5</v>
      </c>
      <c r="P1205" s="197">
        <v>5.0</v>
      </c>
      <c r="Q1205" s="197">
        <v>5.0</v>
      </c>
      <c r="R1205" s="197">
        <v>4.833333333333333</v>
      </c>
      <c r="S1205" s="197">
        <v>5.0</v>
      </c>
      <c r="T1205" s="197">
        <v>4.5</v>
      </c>
      <c r="U1205" s="197">
        <v>5.0</v>
      </c>
      <c r="V1205" s="197">
        <v>5.0</v>
      </c>
      <c r="W1205" s="197">
        <v>4.875</v>
      </c>
      <c r="X1205" s="196"/>
      <c r="Y1205" s="196"/>
      <c r="Z1205" s="196"/>
      <c r="AA1205" s="196"/>
      <c r="AB1205" s="196"/>
      <c r="AC1205" s="197">
        <v>4.856111111111111</v>
      </c>
      <c r="AD1205" s="198"/>
    </row>
    <row r="1206">
      <c r="A1206" s="193">
        <v>106533.0</v>
      </c>
      <c r="B1206" s="194" t="s">
        <v>2614</v>
      </c>
      <c r="C1206" s="192" t="s">
        <v>2605</v>
      </c>
      <c r="D1206" s="195">
        <v>46055.0</v>
      </c>
      <c r="E1206" s="192" t="s">
        <v>1212</v>
      </c>
      <c r="F1206" s="196"/>
      <c r="G1206" s="196"/>
      <c r="H1206" s="197">
        <v>5.0</v>
      </c>
      <c r="I1206" s="197">
        <v>4.5</v>
      </c>
      <c r="J1206" s="197">
        <v>5.0</v>
      </c>
      <c r="K1206" s="197">
        <v>5.0</v>
      </c>
      <c r="L1206" s="197">
        <v>4.5</v>
      </c>
      <c r="M1206" s="197">
        <v>4.8</v>
      </c>
      <c r="N1206" s="197">
        <v>5.0</v>
      </c>
      <c r="O1206" s="197">
        <v>4.5</v>
      </c>
      <c r="P1206" s="197">
        <v>5.0</v>
      </c>
      <c r="Q1206" s="197">
        <v>5.0</v>
      </c>
      <c r="R1206" s="197">
        <v>4.833333333333333</v>
      </c>
      <c r="S1206" s="197">
        <v>5.0</v>
      </c>
      <c r="T1206" s="197">
        <v>4.5</v>
      </c>
      <c r="U1206" s="197">
        <v>5.0</v>
      </c>
      <c r="V1206" s="197">
        <v>5.0</v>
      </c>
      <c r="W1206" s="197">
        <v>4.875</v>
      </c>
      <c r="X1206" s="196"/>
      <c r="Y1206" s="196"/>
      <c r="Z1206" s="196"/>
      <c r="AA1206" s="196"/>
      <c r="AB1206" s="196"/>
      <c r="AC1206" s="197">
        <v>4.836111111111111</v>
      </c>
      <c r="AD1206" s="198"/>
    </row>
    <row r="1207">
      <c r="A1207" s="193">
        <v>106683.0</v>
      </c>
      <c r="B1207" s="194" t="s">
        <v>2615</v>
      </c>
      <c r="C1207" s="192" t="s">
        <v>2616</v>
      </c>
      <c r="D1207" s="195">
        <v>46094.0</v>
      </c>
      <c r="E1207" s="192" t="s">
        <v>87</v>
      </c>
      <c r="F1207" s="196"/>
      <c r="G1207" s="196"/>
      <c r="H1207" s="197">
        <v>5.0</v>
      </c>
      <c r="I1207" s="197">
        <v>4.5</v>
      </c>
      <c r="J1207" s="197">
        <v>5.0</v>
      </c>
      <c r="K1207" s="197">
        <v>5.0</v>
      </c>
      <c r="L1207" s="197">
        <v>4.8</v>
      </c>
      <c r="M1207" s="197">
        <v>4.86</v>
      </c>
      <c r="N1207" s="197">
        <v>5.0</v>
      </c>
      <c r="O1207" s="197">
        <v>4.5</v>
      </c>
      <c r="P1207" s="197">
        <v>5.0</v>
      </c>
      <c r="Q1207" s="197">
        <v>5.0</v>
      </c>
      <c r="R1207" s="197">
        <v>4.833333333333333</v>
      </c>
      <c r="S1207" s="197">
        <v>5.0</v>
      </c>
      <c r="T1207" s="197">
        <v>4.5</v>
      </c>
      <c r="U1207" s="197">
        <v>5.0</v>
      </c>
      <c r="V1207" s="197">
        <v>5.0</v>
      </c>
      <c r="W1207" s="197">
        <v>4.875</v>
      </c>
      <c r="X1207" s="196"/>
      <c r="Y1207" s="196"/>
      <c r="Z1207" s="196"/>
      <c r="AA1207" s="196"/>
      <c r="AB1207" s="196"/>
      <c r="AC1207" s="197">
        <v>4.856111111111111</v>
      </c>
      <c r="AD1207" s="198"/>
    </row>
    <row r="1208">
      <c r="A1208" s="193">
        <v>106668.0</v>
      </c>
      <c r="B1208" s="194" t="s">
        <v>2617</v>
      </c>
      <c r="C1208" s="192" t="s">
        <v>2618</v>
      </c>
      <c r="D1208" s="195">
        <v>46094.0</v>
      </c>
      <c r="E1208" s="192" t="s">
        <v>87</v>
      </c>
      <c r="F1208" s="196"/>
      <c r="G1208" s="196"/>
      <c r="H1208" s="197">
        <v>5.0</v>
      </c>
      <c r="I1208" s="197">
        <v>4.5</v>
      </c>
      <c r="J1208" s="197">
        <v>5.0</v>
      </c>
      <c r="K1208" s="197">
        <v>5.0</v>
      </c>
      <c r="L1208" s="197">
        <v>4.8</v>
      </c>
      <c r="M1208" s="197">
        <v>4.86</v>
      </c>
      <c r="N1208" s="197">
        <v>5.0</v>
      </c>
      <c r="O1208" s="197">
        <v>4.5</v>
      </c>
      <c r="P1208" s="197">
        <v>5.0</v>
      </c>
      <c r="Q1208" s="197">
        <v>5.0</v>
      </c>
      <c r="R1208" s="197">
        <v>4.833333333333333</v>
      </c>
      <c r="S1208" s="197">
        <v>5.0</v>
      </c>
      <c r="T1208" s="197">
        <v>4.5</v>
      </c>
      <c r="U1208" s="197">
        <v>5.0</v>
      </c>
      <c r="V1208" s="197">
        <v>5.0</v>
      </c>
      <c r="W1208" s="197">
        <v>4.875</v>
      </c>
      <c r="X1208" s="196"/>
      <c r="Y1208" s="196"/>
      <c r="Z1208" s="196"/>
      <c r="AA1208" s="196"/>
      <c r="AB1208" s="196"/>
      <c r="AC1208" s="197">
        <v>4.856111111111111</v>
      </c>
      <c r="AD1208" s="198"/>
    </row>
    <row r="1209">
      <c r="A1209" s="193">
        <v>106671.0</v>
      </c>
      <c r="B1209" s="194" t="s">
        <v>2619</v>
      </c>
      <c r="C1209" s="192" t="s">
        <v>2620</v>
      </c>
      <c r="D1209" s="195">
        <v>46087.0</v>
      </c>
      <c r="E1209" s="192" t="s">
        <v>87</v>
      </c>
      <c r="F1209" s="196"/>
      <c r="G1209" s="196"/>
      <c r="H1209" s="197">
        <v>5.0</v>
      </c>
      <c r="I1209" s="197">
        <v>4.5</v>
      </c>
      <c r="J1209" s="197">
        <v>5.0</v>
      </c>
      <c r="K1209" s="197">
        <v>5.0</v>
      </c>
      <c r="L1209" s="197">
        <v>4.8</v>
      </c>
      <c r="M1209" s="197">
        <v>4.86</v>
      </c>
      <c r="N1209" s="197">
        <v>5.0</v>
      </c>
      <c r="O1209" s="197">
        <v>4.5</v>
      </c>
      <c r="P1209" s="197">
        <v>5.0</v>
      </c>
      <c r="Q1209" s="197">
        <v>5.0</v>
      </c>
      <c r="R1209" s="197">
        <v>4.833333333333333</v>
      </c>
      <c r="S1209" s="197">
        <v>5.0</v>
      </c>
      <c r="T1209" s="197">
        <v>4.5</v>
      </c>
      <c r="U1209" s="197">
        <v>5.0</v>
      </c>
      <c r="V1209" s="197">
        <v>5.0</v>
      </c>
      <c r="W1209" s="197">
        <v>4.875</v>
      </c>
      <c r="X1209" s="196"/>
      <c r="Y1209" s="196"/>
      <c r="Z1209" s="196"/>
      <c r="AA1209" s="196"/>
      <c r="AB1209" s="196"/>
      <c r="AC1209" s="197">
        <v>4.856111111111111</v>
      </c>
      <c r="AD1209" s="198"/>
    </row>
    <row r="1210">
      <c r="A1210" s="193">
        <v>106684.0</v>
      </c>
      <c r="B1210" s="194" t="s">
        <v>2621</v>
      </c>
      <c r="C1210" s="192" t="s">
        <v>2622</v>
      </c>
      <c r="D1210" s="195">
        <v>46087.0</v>
      </c>
      <c r="E1210" s="192" t="s">
        <v>87</v>
      </c>
      <c r="F1210" s="196"/>
      <c r="G1210" s="196"/>
      <c r="H1210" s="197">
        <v>5.0</v>
      </c>
      <c r="I1210" s="197">
        <v>4.5</v>
      </c>
      <c r="J1210" s="197">
        <v>5.0</v>
      </c>
      <c r="K1210" s="197">
        <v>5.0</v>
      </c>
      <c r="L1210" s="197">
        <v>4.8</v>
      </c>
      <c r="M1210" s="197">
        <v>4.86</v>
      </c>
      <c r="N1210" s="197">
        <v>5.0</v>
      </c>
      <c r="O1210" s="197">
        <v>4.5</v>
      </c>
      <c r="P1210" s="197">
        <v>5.0</v>
      </c>
      <c r="Q1210" s="197">
        <v>5.0</v>
      </c>
      <c r="R1210" s="197">
        <v>4.833333333333333</v>
      </c>
      <c r="S1210" s="197">
        <v>5.0</v>
      </c>
      <c r="T1210" s="197">
        <v>4.5</v>
      </c>
      <c r="U1210" s="197">
        <v>5.0</v>
      </c>
      <c r="V1210" s="197">
        <v>5.0</v>
      </c>
      <c r="W1210" s="197">
        <v>4.875</v>
      </c>
      <c r="X1210" s="196"/>
      <c r="Y1210" s="196"/>
      <c r="Z1210" s="196"/>
      <c r="AA1210" s="196"/>
      <c r="AB1210" s="196"/>
      <c r="AC1210" s="197">
        <v>4.856111111111111</v>
      </c>
      <c r="AD1210" s="198"/>
    </row>
    <row r="1211">
      <c r="A1211" s="193">
        <v>106569.0</v>
      </c>
      <c r="B1211" s="194" t="s">
        <v>2623</v>
      </c>
      <c r="C1211" s="192" t="s">
        <v>2624</v>
      </c>
      <c r="D1211" s="195">
        <v>46056.0</v>
      </c>
      <c r="E1211" s="192" t="s">
        <v>427</v>
      </c>
      <c r="F1211" s="196"/>
      <c r="G1211" s="196"/>
      <c r="H1211" s="197">
        <v>5.0</v>
      </c>
      <c r="I1211" s="197">
        <v>4.5</v>
      </c>
      <c r="J1211" s="197">
        <v>5.0</v>
      </c>
      <c r="K1211" s="197">
        <v>5.0</v>
      </c>
      <c r="L1211" s="197">
        <v>5.0</v>
      </c>
      <c r="M1211" s="197">
        <v>4.9</v>
      </c>
      <c r="N1211" s="197">
        <v>5.0</v>
      </c>
      <c r="O1211" s="197">
        <v>4.5</v>
      </c>
      <c r="P1211" s="197">
        <v>5.0</v>
      </c>
      <c r="Q1211" s="197">
        <v>5.0</v>
      </c>
      <c r="R1211" s="197">
        <v>4.833333333333333</v>
      </c>
      <c r="S1211" s="197">
        <v>5.0</v>
      </c>
      <c r="T1211" s="197">
        <v>4.5</v>
      </c>
      <c r="U1211" s="197">
        <v>5.0</v>
      </c>
      <c r="V1211" s="197">
        <v>5.0</v>
      </c>
      <c r="W1211" s="197">
        <v>4.875</v>
      </c>
      <c r="X1211" s="196"/>
      <c r="Y1211" s="196"/>
      <c r="Z1211" s="196"/>
      <c r="AA1211" s="196"/>
      <c r="AB1211" s="196"/>
      <c r="AC1211" s="197">
        <v>4.8694444444444445</v>
      </c>
      <c r="AD1211" s="198"/>
    </row>
    <row r="1212">
      <c r="A1212" s="193">
        <v>106568.0</v>
      </c>
      <c r="B1212" s="194" t="s">
        <v>2625</v>
      </c>
      <c r="C1212" s="192" t="s">
        <v>2626</v>
      </c>
      <c r="D1212" s="195">
        <v>46056.0</v>
      </c>
      <c r="E1212" s="192" t="s">
        <v>427</v>
      </c>
      <c r="F1212" s="196"/>
      <c r="G1212" s="196"/>
      <c r="H1212" s="197">
        <v>5.0</v>
      </c>
      <c r="I1212" s="197">
        <v>4.5</v>
      </c>
      <c r="J1212" s="197">
        <v>5.0</v>
      </c>
      <c r="K1212" s="197">
        <v>5.0</v>
      </c>
      <c r="L1212" s="197">
        <v>4.8</v>
      </c>
      <c r="M1212" s="197">
        <v>4.86</v>
      </c>
      <c r="N1212" s="197">
        <v>5.0</v>
      </c>
      <c r="O1212" s="197">
        <v>4.5</v>
      </c>
      <c r="P1212" s="197">
        <v>5.0</v>
      </c>
      <c r="Q1212" s="197">
        <v>5.0</v>
      </c>
      <c r="R1212" s="197">
        <v>4.833333333333333</v>
      </c>
      <c r="S1212" s="197">
        <v>5.0</v>
      </c>
      <c r="T1212" s="197">
        <v>4.5</v>
      </c>
      <c r="U1212" s="197">
        <v>5.0</v>
      </c>
      <c r="V1212" s="197">
        <v>5.0</v>
      </c>
      <c r="W1212" s="197">
        <v>4.875</v>
      </c>
      <c r="X1212" s="196"/>
      <c r="Y1212" s="196"/>
      <c r="Z1212" s="196"/>
      <c r="AA1212" s="196"/>
      <c r="AB1212" s="196"/>
      <c r="AC1212" s="197">
        <v>4.856111111111111</v>
      </c>
      <c r="AD1212" s="198"/>
    </row>
    <row r="1213">
      <c r="A1213" s="193">
        <v>106711.0</v>
      </c>
      <c r="B1213" s="194" t="s">
        <v>2627</v>
      </c>
      <c r="C1213" s="192" t="s">
        <v>2628</v>
      </c>
      <c r="D1213" s="195">
        <v>46108.0</v>
      </c>
      <c r="E1213" s="192" t="s">
        <v>87</v>
      </c>
      <c r="F1213" s="196"/>
      <c r="G1213" s="196"/>
      <c r="H1213" s="197">
        <v>5.0</v>
      </c>
      <c r="I1213" s="197">
        <v>4.5</v>
      </c>
      <c r="J1213" s="197">
        <v>5.0</v>
      </c>
      <c r="K1213" s="197">
        <v>5.0</v>
      </c>
      <c r="L1213" s="197">
        <v>4.8</v>
      </c>
      <c r="M1213" s="197">
        <v>4.86</v>
      </c>
      <c r="N1213" s="197">
        <v>5.0</v>
      </c>
      <c r="O1213" s="197">
        <v>4.5</v>
      </c>
      <c r="P1213" s="197">
        <v>5.0</v>
      </c>
      <c r="Q1213" s="197">
        <v>5.0</v>
      </c>
      <c r="R1213" s="197">
        <v>4.833333333333333</v>
      </c>
      <c r="S1213" s="197">
        <v>5.0</v>
      </c>
      <c r="T1213" s="197">
        <v>4.5</v>
      </c>
      <c r="U1213" s="197">
        <v>5.0</v>
      </c>
      <c r="V1213" s="197">
        <v>5.0</v>
      </c>
      <c r="W1213" s="197">
        <v>4.875</v>
      </c>
      <c r="X1213" s="196"/>
      <c r="Y1213" s="196"/>
      <c r="Z1213" s="196"/>
      <c r="AA1213" s="196"/>
      <c r="AB1213" s="196"/>
      <c r="AC1213" s="197">
        <v>4.856111111111111</v>
      </c>
      <c r="AD1213" s="198"/>
    </row>
    <row r="1214">
      <c r="A1214" s="193">
        <v>106696.0</v>
      </c>
      <c r="B1214" s="194" t="s">
        <v>2630</v>
      </c>
      <c r="C1214" s="192" t="s">
        <v>2631</v>
      </c>
      <c r="D1214" s="195">
        <v>46108.0</v>
      </c>
      <c r="E1214" s="192" t="s">
        <v>87</v>
      </c>
      <c r="F1214" s="196"/>
      <c r="G1214" s="196"/>
      <c r="H1214" s="197">
        <v>5.0</v>
      </c>
      <c r="I1214" s="197">
        <v>4.5</v>
      </c>
      <c r="J1214" s="197">
        <v>5.0</v>
      </c>
      <c r="K1214" s="197">
        <v>5.0</v>
      </c>
      <c r="L1214" s="197">
        <v>4.8</v>
      </c>
      <c r="M1214" s="197">
        <v>4.86</v>
      </c>
      <c r="N1214" s="197">
        <v>5.0</v>
      </c>
      <c r="O1214" s="197">
        <v>4.5</v>
      </c>
      <c r="P1214" s="197">
        <v>5.0</v>
      </c>
      <c r="Q1214" s="197">
        <v>5.0</v>
      </c>
      <c r="R1214" s="197">
        <v>4.833333333333333</v>
      </c>
      <c r="S1214" s="197">
        <v>5.0</v>
      </c>
      <c r="T1214" s="197">
        <v>4.5</v>
      </c>
      <c r="U1214" s="197">
        <v>5.0</v>
      </c>
      <c r="V1214" s="197">
        <v>5.0</v>
      </c>
      <c r="W1214" s="197">
        <v>4.875</v>
      </c>
      <c r="X1214" s="196"/>
      <c r="Y1214" s="196"/>
      <c r="Z1214" s="196"/>
      <c r="AA1214" s="196"/>
      <c r="AB1214" s="196"/>
      <c r="AC1214" s="197">
        <v>4.856111111111111</v>
      </c>
      <c r="AD1214" s="198"/>
    </row>
    <row r="1215">
      <c r="A1215" s="193">
        <v>106707.0</v>
      </c>
      <c r="B1215" s="194" t="s">
        <v>2632</v>
      </c>
      <c r="C1215" s="192" t="s">
        <v>2633</v>
      </c>
      <c r="D1215" s="195">
        <v>46108.0</v>
      </c>
      <c r="E1215" s="192" t="s">
        <v>87</v>
      </c>
      <c r="F1215" s="196"/>
      <c r="G1215" s="196"/>
      <c r="H1215" s="197">
        <v>5.0</v>
      </c>
      <c r="I1215" s="197">
        <v>4.5</v>
      </c>
      <c r="J1215" s="197">
        <v>5.0</v>
      </c>
      <c r="K1215" s="197">
        <v>5.0</v>
      </c>
      <c r="L1215" s="197">
        <v>4.0</v>
      </c>
      <c r="M1215" s="197">
        <v>4.7</v>
      </c>
      <c r="N1215" s="197">
        <v>5.0</v>
      </c>
      <c r="O1215" s="197">
        <v>4.5</v>
      </c>
      <c r="P1215" s="197">
        <v>5.0</v>
      </c>
      <c r="Q1215" s="197">
        <v>5.0</v>
      </c>
      <c r="R1215" s="197">
        <v>4.833333333333333</v>
      </c>
      <c r="S1215" s="197">
        <v>5.0</v>
      </c>
      <c r="T1215" s="197">
        <v>4.5</v>
      </c>
      <c r="U1215" s="197">
        <v>5.0</v>
      </c>
      <c r="V1215" s="197">
        <v>5.0</v>
      </c>
      <c r="W1215" s="197">
        <v>4.875</v>
      </c>
      <c r="X1215" s="196"/>
      <c r="Y1215" s="196"/>
      <c r="Z1215" s="196"/>
      <c r="AA1215" s="196"/>
      <c r="AB1215" s="196"/>
      <c r="AC1215" s="197">
        <v>4.802777777777778</v>
      </c>
      <c r="AD1215" s="198"/>
    </row>
    <row r="1216">
      <c r="A1216" s="193">
        <v>106854.0</v>
      </c>
      <c r="B1216" s="194" t="s">
        <v>2634</v>
      </c>
      <c r="C1216" s="192" t="s">
        <v>2635</v>
      </c>
      <c r="D1216" s="195">
        <v>46142.0</v>
      </c>
      <c r="E1216" s="192" t="s">
        <v>87</v>
      </c>
      <c r="F1216" s="196"/>
      <c r="G1216" s="196"/>
      <c r="H1216" s="197">
        <v>5.0</v>
      </c>
      <c r="I1216" s="197">
        <v>4.5</v>
      </c>
      <c r="J1216" s="197">
        <v>5.0</v>
      </c>
      <c r="K1216" s="197">
        <v>5.0</v>
      </c>
      <c r="L1216" s="197">
        <v>4.5</v>
      </c>
      <c r="M1216" s="197">
        <v>4.8</v>
      </c>
      <c r="N1216" s="197">
        <v>5.0</v>
      </c>
      <c r="O1216" s="197">
        <v>4.5</v>
      </c>
      <c r="P1216" s="197">
        <v>5.0</v>
      </c>
      <c r="Q1216" s="197">
        <v>5.0</v>
      </c>
      <c r="R1216" s="197">
        <v>4.833333333333333</v>
      </c>
      <c r="S1216" s="197">
        <v>5.0</v>
      </c>
      <c r="T1216" s="197">
        <v>4.5</v>
      </c>
      <c r="U1216" s="197">
        <v>5.0</v>
      </c>
      <c r="V1216" s="197">
        <v>5.0</v>
      </c>
      <c r="W1216" s="197">
        <v>4.875</v>
      </c>
      <c r="X1216" s="196"/>
      <c r="Y1216" s="196"/>
      <c r="Z1216" s="196"/>
      <c r="AA1216" s="196"/>
      <c r="AB1216" s="196"/>
      <c r="AC1216" s="197">
        <v>4.836111111111111</v>
      </c>
      <c r="AD1216" s="198"/>
    </row>
    <row r="1217">
      <c r="A1217" s="193">
        <v>106776.0</v>
      </c>
      <c r="B1217" s="194" t="s">
        <v>2636</v>
      </c>
      <c r="C1217" s="192" t="s">
        <v>2637</v>
      </c>
      <c r="D1217" s="195">
        <v>46150.0</v>
      </c>
      <c r="E1217" s="192" t="s">
        <v>87</v>
      </c>
      <c r="F1217" s="196"/>
      <c r="G1217" s="196"/>
      <c r="H1217" s="197">
        <v>5.0</v>
      </c>
      <c r="I1217" s="197">
        <v>4.5</v>
      </c>
      <c r="J1217" s="197">
        <v>5.0</v>
      </c>
      <c r="K1217" s="197">
        <v>5.0</v>
      </c>
      <c r="L1217" s="197">
        <v>4.5</v>
      </c>
      <c r="M1217" s="197">
        <v>4.8</v>
      </c>
      <c r="N1217" s="197">
        <v>5.0</v>
      </c>
      <c r="O1217" s="197">
        <v>4.5</v>
      </c>
      <c r="P1217" s="197">
        <v>5.0</v>
      </c>
      <c r="Q1217" s="197">
        <v>5.0</v>
      </c>
      <c r="R1217" s="197">
        <v>4.833333333333333</v>
      </c>
      <c r="S1217" s="197">
        <v>5.0</v>
      </c>
      <c r="T1217" s="197">
        <v>4.5</v>
      </c>
      <c r="U1217" s="197">
        <v>5.0</v>
      </c>
      <c r="V1217" s="197">
        <v>5.0</v>
      </c>
      <c r="W1217" s="197">
        <v>4.875</v>
      </c>
      <c r="X1217" s="196"/>
      <c r="Y1217" s="196"/>
      <c r="Z1217" s="196"/>
      <c r="AA1217" s="196"/>
      <c r="AB1217" s="196"/>
      <c r="AC1217" s="197">
        <v>4.836111111111111</v>
      </c>
      <c r="AD1217" s="198"/>
    </row>
    <row r="1218">
      <c r="A1218" s="193">
        <v>106775.0</v>
      </c>
      <c r="B1218" s="194" t="s">
        <v>2638</v>
      </c>
      <c r="C1218" s="192" t="s">
        <v>2639</v>
      </c>
      <c r="D1218" s="195">
        <v>46150.0</v>
      </c>
      <c r="E1218" s="192" t="s">
        <v>87</v>
      </c>
      <c r="F1218" s="196"/>
      <c r="G1218" s="196"/>
      <c r="H1218" s="197">
        <v>5.0</v>
      </c>
      <c r="I1218" s="197">
        <v>4.5</v>
      </c>
      <c r="J1218" s="197">
        <v>5.0</v>
      </c>
      <c r="K1218" s="197">
        <v>5.0</v>
      </c>
      <c r="L1218" s="197">
        <v>4.8</v>
      </c>
      <c r="M1218" s="197">
        <v>4.86</v>
      </c>
      <c r="N1218" s="197">
        <v>5.0</v>
      </c>
      <c r="O1218" s="197">
        <v>4.5</v>
      </c>
      <c r="P1218" s="197">
        <v>5.0</v>
      </c>
      <c r="Q1218" s="197">
        <v>5.0</v>
      </c>
      <c r="R1218" s="197">
        <v>4.833333333333333</v>
      </c>
      <c r="S1218" s="197">
        <v>5.0</v>
      </c>
      <c r="T1218" s="197">
        <v>4.5</v>
      </c>
      <c r="U1218" s="197">
        <v>5.0</v>
      </c>
      <c r="V1218" s="197">
        <v>5.0</v>
      </c>
      <c r="W1218" s="197">
        <v>4.875</v>
      </c>
      <c r="X1218" s="196"/>
      <c r="Y1218" s="196"/>
      <c r="Z1218" s="196"/>
      <c r="AA1218" s="196"/>
      <c r="AB1218" s="196"/>
      <c r="AC1218" s="197">
        <v>4.856111111111111</v>
      </c>
      <c r="AD1218" s="198"/>
    </row>
    <row r="1219">
      <c r="A1219" s="193">
        <v>106804.0</v>
      </c>
      <c r="B1219" s="194" t="s">
        <v>2640</v>
      </c>
      <c r="C1219" s="192" t="s">
        <v>2641</v>
      </c>
      <c r="D1219" s="195">
        <v>46136.0</v>
      </c>
      <c r="E1219" s="192" t="s">
        <v>2196</v>
      </c>
      <c r="F1219" s="196"/>
      <c r="G1219" s="196"/>
      <c r="H1219" s="197">
        <v>5.0</v>
      </c>
      <c r="I1219" s="197">
        <v>5.0</v>
      </c>
      <c r="J1219" s="197">
        <v>4.5</v>
      </c>
      <c r="K1219" s="197">
        <v>5.0</v>
      </c>
      <c r="L1219" s="197">
        <v>4.0</v>
      </c>
      <c r="M1219" s="197">
        <v>4.7</v>
      </c>
      <c r="N1219" s="197">
        <v>5.0</v>
      </c>
      <c r="O1219" s="197">
        <v>5.0</v>
      </c>
      <c r="P1219" s="197">
        <v>4.5</v>
      </c>
      <c r="Q1219" s="197">
        <v>5.0</v>
      </c>
      <c r="R1219" s="197">
        <v>4.833333333333333</v>
      </c>
      <c r="S1219" s="197">
        <v>5.0</v>
      </c>
      <c r="T1219" s="197">
        <v>5.0</v>
      </c>
      <c r="U1219" s="197">
        <v>4.5</v>
      </c>
      <c r="V1219" s="197">
        <v>5.0</v>
      </c>
      <c r="W1219" s="197">
        <v>4.875</v>
      </c>
      <c r="X1219" s="196"/>
      <c r="Y1219" s="196"/>
      <c r="Z1219" s="196"/>
      <c r="AA1219" s="196"/>
      <c r="AB1219" s="196"/>
      <c r="AC1219" s="197">
        <v>4.802777777777778</v>
      </c>
      <c r="AD1219" s="198"/>
    </row>
    <row r="1220">
      <c r="A1220" s="193">
        <v>106009.0</v>
      </c>
      <c r="B1220" s="194" t="s">
        <v>2642</v>
      </c>
      <c r="C1220" s="192" t="s">
        <v>2643</v>
      </c>
      <c r="D1220" s="195">
        <v>45877.0</v>
      </c>
      <c r="E1220" s="192" t="s">
        <v>254</v>
      </c>
      <c r="F1220" s="196"/>
      <c r="G1220" s="196"/>
      <c r="H1220" s="197">
        <v>5.0</v>
      </c>
      <c r="I1220" s="197">
        <v>5.0</v>
      </c>
      <c r="J1220" s="197">
        <v>5.0</v>
      </c>
      <c r="K1220" s="197">
        <v>5.0</v>
      </c>
      <c r="L1220" s="197">
        <v>5.0</v>
      </c>
      <c r="M1220" s="197">
        <v>5.0</v>
      </c>
      <c r="N1220" s="197">
        <v>5.0</v>
      </c>
      <c r="O1220" s="197">
        <v>5.0</v>
      </c>
      <c r="P1220" s="197">
        <v>5.0</v>
      </c>
      <c r="Q1220" s="197">
        <v>5.0</v>
      </c>
      <c r="R1220" s="197">
        <v>5.0</v>
      </c>
      <c r="S1220" s="197">
        <v>5.0</v>
      </c>
      <c r="T1220" s="197">
        <v>5.0</v>
      </c>
      <c r="U1220" s="197">
        <v>5.0</v>
      </c>
      <c r="V1220" s="197">
        <v>5.0</v>
      </c>
      <c r="W1220" s="197">
        <v>5.0</v>
      </c>
      <c r="X1220" s="196"/>
      <c r="Y1220" s="196"/>
      <c r="Z1220" s="196"/>
      <c r="AA1220" s="196"/>
      <c r="AB1220" s="196"/>
      <c r="AC1220" s="197">
        <v>5.0</v>
      </c>
      <c r="AD1220" s="198"/>
    </row>
    <row r="1221">
      <c r="A1221" s="193">
        <v>105788.0</v>
      </c>
      <c r="B1221" s="194" t="s">
        <v>2644</v>
      </c>
      <c r="C1221" s="192" t="s">
        <v>2645</v>
      </c>
      <c r="D1221" s="195">
        <v>45798.0</v>
      </c>
      <c r="E1221" s="192" t="s">
        <v>625</v>
      </c>
      <c r="F1221" s="196"/>
      <c r="G1221" s="196"/>
      <c r="H1221" s="197">
        <v>5.0</v>
      </c>
      <c r="I1221" s="197">
        <v>5.0</v>
      </c>
      <c r="J1221" s="197">
        <v>5.0</v>
      </c>
      <c r="K1221" s="197">
        <v>5.0</v>
      </c>
      <c r="L1221" s="197">
        <v>5.0</v>
      </c>
      <c r="M1221" s="197">
        <v>5.0</v>
      </c>
      <c r="N1221" s="197">
        <v>5.0</v>
      </c>
      <c r="O1221" s="197">
        <v>5.0</v>
      </c>
      <c r="P1221" s="197">
        <v>5.0</v>
      </c>
      <c r="Q1221" s="197">
        <v>5.0</v>
      </c>
      <c r="R1221" s="197">
        <v>5.0</v>
      </c>
      <c r="S1221" s="197">
        <v>5.0</v>
      </c>
      <c r="T1221" s="197">
        <v>5.0</v>
      </c>
      <c r="U1221" s="197">
        <v>5.0</v>
      </c>
      <c r="V1221" s="197">
        <v>5.0</v>
      </c>
      <c r="W1221" s="197">
        <v>5.0</v>
      </c>
      <c r="X1221" s="196"/>
      <c r="Y1221" s="196"/>
      <c r="Z1221" s="196"/>
      <c r="AA1221" s="196"/>
      <c r="AB1221" s="196"/>
      <c r="AC1221" s="197">
        <v>5.0</v>
      </c>
      <c r="AD1221" s="198"/>
    </row>
    <row r="1222">
      <c r="A1222" s="193">
        <v>105751.0</v>
      </c>
      <c r="B1222" s="194" t="s">
        <v>2452</v>
      </c>
      <c r="C1222" s="192" t="s">
        <v>2453</v>
      </c>
      <c r="D1222" s="195">
        <v>45849.0</v>
      </c>
      <c r="E1222" s="192" t="s">
        <v>254</v>
      </c>
      <c r="F1222" s="196"/>
      <c r="G1222" s="196"/>
      <c r="H1222" s="197">
        <v>5.0</v>
      </c>
      <c r="I1222" s="197">
        <v>5.0</v>
      </c>
      <c r="J1222" s="197">
        <v>5.0</v>
      </c>
      <c r="K1222" s="197">
        <v>5.0</v>
      </c>
      <c r="L1222" s="197">
        <v>5.0</v>
      </c>
      <c r="M1222" s="197">
        <v>5.0</v>
      </c>
      <c r="N1222" s="197">
        <v>5.0</v>
      </c>
      <c r="O1222" s="197">
        <v>5.0</v>
      </c>
      <c r="P1222" s="197">
        <v>5.0</v>
      </c>
      <c r="Q1222" s="197">
        <v>5.0</v>
      </c>
      <c r="R1222" s="197">
        <v>5.0</v>
      </c>
      <c r="S1222" s="197">
        <v>5.0</v>
      </c>
      <c r="T1222" s="197">
        <v>5.0</v>
      </c>
      <c r="U1222" s="197">
        <v>5.0</v>
      </c>
      <c r="V1222" s="197">
        <v>5.0</v>
      </c>
      <c r="W1222" s="197">
        <v>5.0</v>
      </c>
      <c r="X1222" s="196"/>
      <c r="Y1222" s="196"/>
      <c r="Z1222" s="196"/>
      <c r="AA1222" s="196"/>
      <c r="AB1222" s="196"/>
      <c r="AC1222" s="197">
        <v>5.0</v>
      </c>
      <c r="AD1222" s="198"/>
    </row>
    <row r="1223">
      <c r="A1223" s="193">
        <v>105907.0</v>
      </c>
      <c r="B1223" s="194" t="s">
        <v>2646</v>
      </c>
      <c r="C1223" s="192" t="s">
        <v>2647</v>
      </c>
      <c r="D1223" s="195">
        <v>45838.0</v>
      </c>
      <c r="E1223" s="192" t="s">
        <v>767</v>
      </c>
      <c r="F1223" s="196"/>
      <c r="G1223" s="196"/>
      <c r="H1223" s="197">
        <v>5.0</v>
      </c>
      <c r="I1223" s="197">
        <v>5.0</v>
      </c>
      <c r="J1223" s="197">
        <v>5.0</v>
      </c>
      <c r="K1223" s="197">
        <v>5.0</v>
      </c>
      <c r="L1223" s="197">
        <v>5.0</v>
      </c>
      <c r="M1223" s="197">
        <v>5.0</v>
      </c>
      <c r="N1223" s="197">
        <v>5.0</v>
      </c>
      <c r="O1223" s="197">
        <v>5.0</v>
      </c>
      <c r="P1223" s="197">
        <v>5.0</v>
      </c>
      <c r="Q1223" s="197">
        <v>5.0</v>
      </c>
      <c r="R1223" s="197">
        <v>5.0</v>
      </c>
      <c r="S1223" s="197">
        <v>5.0</v>
      </c>
      <c r="T1223" s="197">
        <v>5.0</v>
      </c>
      <c r="U1223" s="197">
        <v>5.0</v>
      </c>
      <c r="V1223" s="197">
        <v>5.0</v>
      </c>
      <c r="W1223" s="197">
        <v>5.0</v>
      </c>
      <c r="X1223" s="196"/>
      <c r="Y1223" s="196"/>
      <c r="Z1223" s="196"/>
      <c r="AA1223" s="196"/>
      <c r="AB1223" s="196"/>
      <c r="AC1223" s="197">
        <v>5.0</v>
      </c>
      <c r="AD1223" s="198"/>
    </row>
    <row r="1224">
      <c r="A1224" s="193">
        <v>105939.0</v>
      </c>
      <c r="B1224" s="194"/>
      <c r="C1224" s="192" t="s">
        <v>2648</v>
      </c>
      <c r="D1224" s="195">
        <v>45833.0</v>
      </c>
      <c r="E1224" s="192" t="s">
        <v>767</v>
      </c>
      <c r="F1224" s="196"/>
      <c r="G1224" s="196"/>
      <c r="H1224" s="197">
        <v>5.0</v>
      </c>
      <c r="I1224" s="197">
        <v>5.0</v>
      </c>
      <c r="J1224" s="197">
        <v>5.0</v>
      </c>
      <c r="K1224" s="197">
        <v>5.0</v>
      </c>
      <c r="L1224" s="197">
        <v>5.0</v>
      </c>
      <c r="M1224" s="197">
        <v>5.0</v>
      </c>
      <c r="N1224" s="197">
        <v>5.0</v>
      </c>
      <c r="O1224" s="197">
        <v>5.0</v>
      </c>
      <c r="P1224" s="197">
        <v>5.0</v>
      </c>
      <c r="Q1224" s="197">
        <v>5.0</v>
      </c>
      <c r="R1224" s="197">
        <v>5.0</v>
      </c>
      <c r="S1224" s="197">
        <v>5.0</v>
      </c>
      <c r="T1224" s="197">
        <v>5.0</v>
      </c>
      <c r="U1224" s="197">
        <v>5.0</v>
      </c>
      <c r="V1224" s="197">
        <v>5.0</v>
      </c>
      <c r="W1224" s="197">
        <v>5.0</v>
      </c>
      <c r="X1224" s="196"/>
      <c r="Y1224" s="196"/>
      <c r="Z1224" s="196"/>
      <c r="AA1224" s="196"/>
      <c r="AB1224" s="196"/>
      <c r="AC1224" s="197">
        <v>5.0</v>
      </c>
      <c r="AD1224" s="198"/>
    </row>
    <row r="1225">
      <c r="A1225" s="193">
        <v>105938.0</v>
      </c>
      <c r="B1225" s="194" t="s">
        <v>2649</v>
      </c>
      <c r="C1225" s="192" t="s">
        <v>2650</v>
      </c>
      <c r="D1225" s="195">
        <v>45833.0</v>
      </c>
      <c r="E1225" s="192" t="s">
        <v>767</v>
      </c>
      <c r="F1225" s="196"/>
      <c r="G1225" s="196"/>
      <c r="H1225" s="197">
        <v>5.0</v>
      </c>
      <c r="I1225" s="197">
        <v>5.0</v>
      </c>
      <c r="J1225" s="197">
        <v>5.0</v>
      </c>
      <c r="K1225" s="197">
        <v>5.0</v>
      </c>
      <c r="L1225" s="197">
        <v>5.0</v>
      </c>
      <c r="M1225" s="197">
        <v>5.0</v>
      </c>
      <c r="N1225" s="197">
        <v>5.0</v>
      </c>
      <c r="O1225" s="197">
        <v>5.0</v>
      </c>
      <c r="P1225" s="197">
        <v>5.0</v>
      </c>
      <c r="Q1225" s="197">
        <v>5.0</v>
      </c>
      <c r="R1225" s="197">
        <v>5.0</v>
      </c>
      <c r="S1225" s="197">
        <v>5.0</v>
      </c>
      <c r="T1225" s="197">
        <v>5.0</v>
      </c>
      <c r="U1225" s="197">
        <v>5.0</v>
      </c>
      <c r="V1225" s="197">
        <v>5.0</v>
      </c>
      <c r="W1225" s="197">
        <v>5.0</v>
      </c>
      <c r="X1225" s="196"/>
      <c r="Y1225" s="196"/>
      <c r="Z1225" s="196"/>
      <c r="AA1225" s="196"/>
      <c r="AB1225" s="196"/>
      <c r="AC1225" s="197">
        <v>5.0</v>
      </c>
      <c r="AD1225" s="198"/>
    </row>
    <row r="1226">
      <c r="A1226" s="193">
        <v>106039.0</v>
      </c>
      <c r="B1226" s="194" t="s">
        <v>2651</v>
      </c>
      <c r="C1226" s="192" t="s">
        <v>2652</v>
      </c>
      <c r="D1226" s="195">
        <v>45888.0</v>
      </c>
      <c r="E1226" s="192" t="s">
        <v>2175</v>
      </c>
      <c r="F1226" s="196"/>
      <c r="G1226" s="196"/>
      <c r="H1226" s="197">
        <v>5.0</v>
      </c>
      <c r="I1226" s="197">
        <v>5.0</v>
      </c>
      <c r="J1226" s="197">
        <v>5.0</v>
      </c>
      <c r="K1226" s="197">
        <v>5.0</v>
      </c>
      <c r="L1226" s="197">
        <v>3.0</v>
      </c>
      <c r="M1226" s="197">
        <v>4.6</v>
      </c>
      <c r="N1226" s="197">
        <v>5.0</v>
      </c>
      <c r="O1226" s="197">
        <v>5.0</v>
      </c>
      <c r="P1226" s="197">
        <v>5.0</v>
      </c>
      <c r="Q1226" s="197">
        <v>5.0</v>
      </c>
      <c r="R1226" s="197">
        <v>5.0</v>
      </c>
      <c r="S1226" s="197">
        <v>4.0</v>
      </c>
      <c r="T1226" s="197">
        <v>4.0</v>
      </c>
      <c r="U1226" s="197">
        <v>4.0</v>
      </c>
      <c r="V1226" s="197">
        <v>4.0</v>
      </c>
      <c r="W1226" s="197">
        <v>4.0</v>
      </c>
      <c r="X1226" s="196"/>
      <c r="Y1226" s="196"/>
      <c r="Z1226" s="196"/>
      <c r="AA1226" s="196"/>
      <c r="AB1226" s="196"/>
      <c r="AC1226" s="197">
        <v>4.533333333333333</v>
      </c>
      <c r="AD1226" s="198"/>
    </row>
    <row r="1227">
      <c r="A1227" s="193">
        <v>105905.0</v>
      </c>
      <c r="B1227" s="194" t="s">
        <v>2653</v>
      </c>
      <c r="C1227" s="192" t="s">
        <v>2654</v>
      </c>
      <c r="D1227" s="195">
        <v>45842.0</v>
      </c>
      <c r="E1227" s="192" t="s">
        <v>767</v>
      </c>
      <c r="F1227" s="196"/>
      <c r="G1227" s="196"/>
      <c r="H1227" s="197">
        <v>5.0</v>
      </c>
      <c r="I1227" s="197">
        <v>5.0</v>
      </c>
      <c r="J1227" s="197">
        <v>5.0</v>
      </c>
      <c r="K1227" s="197">
        <v>5.0</v>
      </c>
      <c r="L1227" s="197">
        <v>5.0</v>
      </c>
      <c r="M1227" s="197">
        <v>5.0</v>
      </c>
      <c r="N1227" s="197">
        <v>5.0</v>
      </c>
      <c r="O1227" s="197">
        <v>5.0</v>
      </c>
      <c r="P1227" s="197">
        <v>5.0</v>
      </c>
      <c r="Q1227" s="197">
        <v>5.0</v>
      </c>
      <c r="R1227" s="197">
        <v>5.0</v>
      </c>
      <c r="S1227" s="197">
        <v>5.0</v>
      </c>
      <c r="T1227" s="197">
        <v>5.0</v>
      </c>
      <c r="U1227" s="197">
        <v>5.0</v>
      </c>
      <c r="V1227" s="197">
        <v>5.0</v>
      </c>
      <c r="W1227" s="197">
        <v>5.0</v>
      </c>
      <c r="X1227" s="196"/>
      <c r="Y1227" s="196"/>
      <c r="Z1227" s="196"/>
      <c r="AA1227" s="196"/>
      <c r="AB1227" s="196"/>
      <c r="AC1227" s="197">
        <v>5.0</v>
      </c>
      <c r="AD1227" s="198"/>
    </row>
    <row r="1228">
      <c r="A1228" s="193">
        <v>105899.0</v>
      </c>
      <c r="B1228" s="194" t="s">
        <v>2655</v>
      </c>
      <c r="C1228" s="192" t="s">
        <v>2656</v>
      </c>
      <c r="D1228" s="195">
        <v>45842.0</v>
      </c>
      <c r="E1228" s="192" t="s">
        <v>767</v>
      </c>
      <c r="F1228" s="196"/>
      <c r="G1228" s="196"/>
      <c r="H1228" s="197">
        <v>5.0</v>
      </c>
      <c r="I1228" s="197">
        <v>5.0</v>
      </c>
      <c r="J1228" s="197">
        <v>5.0</v>
      </c>
      <c r="K1228" s="197">
        <v>5.0</v>
      </c>
      <c r="L1228" s="197">
        <v>5.0</v>
      </c>
      <c r="M1228" s="197">
        <v>5.0</v>
      </c>
      <c r="N1228" s="197">
        <v>5.0</v>
      </c>
      <c r="O1228" s="197">
        <v>5.0</v>
      </c>
      <c r="P1228" s="197">
        <v>5.0</v>
      </c>
      <c r="Q1228" s="197">
        <v>5.0</v>
      </c>
      <c r="R1228" s="197">
        <v>5.0</v>
      </c>
      <c r="S1228" s="197">
        <v>5.0</v>
      </c>
      <c r="T1228" s="197">
        <v>5.0</v>
      </c>
      <c r="U1228" s="197">
        <v>5.0</v>
      </c>
      <c r="V1228" s="197">
        <v>5.0</v>
      </c>
      <c r="W1228" s="197">
        <v>5.0</v>
      </c>
      <c r="X1228" s="196"/>
      <c r="Y1228" s="196"/>
      <c r="Z1228" s="196"/>
      <c r="AA1228" s="196"/>
      <c r="AB1228" s="196"/>
      <c r="AC1228" s="197">
        <v>5.0</v>
      </c>
      <c r="AD1228" s="198"/>
    </row>
    <row r="1229">
      <c r="A1229" s="193">
        <v>105903.0</v>
      </c>
      <c r="B1229" s="194" t="s">
        <v>2657</v>
      </c>
      <c r="C1229" s="192" t="s">
        <v>2658</v>
      </c>
      <c r="D1229" s="195">
        <v>45842.0</v>
      </c>
      <c r="E1229" s="192" t="s">
        <v>767</v>
      </c>
      <c r="F1229" s="196"/>
      <c r="G1229" s="196"/>
      <c r="H1229" s="197">
        <v>5.0</v>
      </c>
      <c r="I1229" s="197">
        <v>5.0</v>
      </c>
      <c r="J1229" s="197">
        <v>5.0</v>
      </c>
      <c r="K1229" s="197">
        <v>5.0</v>
      </c>
      <c r="L1229" s="197">
        <v>5.0</v>
      </c>
      <c r="M1229" s="197">
        <v>5.0</v>
      </c>
      <c r="N1229" s="197">
        <v>5.0</v>
      </c>
      <c r="O1229" s="197">
        <v>5.0</v>
      </c>
      <c r="P1229" s="197">
        <v>5.0</v>
      </c>
      <c r="Q1229" s="197">
        <v>5.0</v>
      </c>
      <c r="R1229" s="197">
        <v>5.0</v>
      </c>
      <c r="S1229" s="197">
        <v>5.0</v>
      </c>
      <c r="T1229" s="197">
        <v>5.0</v>
      </c>
      <c r="U1229" s="197">
        <v>5.0</v>
      </c>
      <c r="V1229" s="197">
        <v>5.0</v>
      </c>
      <c r="W1229" s="197">
        <v>5.0</v>
      </c>
      <c r="X1229" s="196"/>
      <c r="Y1229" s="196"/>
      <c r="Z1229" s="196"/>
      <c r="AA1229" s="196"/>
      <c r="AB1229" s="196"/>
      <c r="AC1229" s="197">
        <v>5.0</v>
      </c>
      <c r="AD1229" s="198"/>
    </row>
    <row r="1230">
      <c r="A1230" s="193">
        <v>105902.0</v>
      </c>
      <c r="B1230" s="194" t="s">
        <v>2659</v>
      </c>
      <c r="C1230" s="192" t="s">
        <v>2660</v>
      </c>
      <c r="D1230" s="195">
        <v>45842.0</v>
      </c>
      <c r="E1230" s="192" t="s">
        <v>767</v>
      </c>
      <c r="F1230" s="196"/>
      <c r="G1230" s="196"/>
      <c r="H1230" s="197">
        <v>5.0</v>
      </c>
      <c r="I1230" s="197">
        <v>5.0</v>
      </c>
      <c r="J1230" s="197">
        <v>5.0</v>
      </c>
      <c r="K1230" s="197">
        <v>5.0</v>
      </c>
      <c r="L1230" s="197">
        <v>5.0</v>
      </c>
      <c r="M1230" s="197">
        <v>5.0</v>
      </c>
      <c r="N1230" s="197">
        <v>5.0</v>
      </c>
      <c r="O1230" s="197">
        <v>5.0</v>
      </c>
      <c r="P1230" s="197">
        <v>5.0</v>
      </c>
      <c r="Q1230" s="197">
        <v>5.0</v>
      </c>
      <c r="R1230" s="197">
        <v>5.0</v>
      </c>
      <c r="S1230" s="197">
        <v>5.0</v>
      </c>
      <c r="T1230" s="197">
        <v>5.0</v>
      </c>
      <c r="U1230" s="197">
        <v>5.0</v>
      </c>
      <c r="V1230" s="197">
        <v>5.0</v>
      </c>
      <c r="W1230" s="197">
        <v>5.0</v>
      </c>
      <c r="X1230" s="196"/>
      <c r="Y1230" s="196"/>
      <c r="Z1230" s="196"/>
      <c r="AA1230" s="196"/>
      <c r="AB1230" s="196"/>
      <c r="AC1230" s="197">
        <v>5.0</v>
      </c>
      <c r="AD1230" s="198"/>
    </row>
    <row r="1231">
      <c r="A1231" s="193">
        <v>105942.0</v>
      </c>
      <c r="B1231" s="194" t="s">
        <v>2661</v>
      </c>
      <c r="C1231" s="192" t="s">
        <v>2662</v>
      </c>
      <c r="D1231" s="195">
        <v>45834.0</v>
      </c>
      <c r="E1231" s="192" t="s">
        <v>767</v>
      </c>
      <c r="F1231" s="196"/>
      <c r="G1231" s="196"/>
      <c r="H1231" s="197">
        <v>5.0</v>
      </c>
      <c r="I1231" s="197">
        <v>5.0</v>
      </c>
      <c r="J1231" s="197">
        <v>5.0</v>
      </c>
      <c r="K1231" s="197">
        <v>5.0</v>
      </c>
      <c r="L1231" s="197">
        <v>5.0</v>
      </c>
      <c r="M1231" s="197">
        <v>5.0</v>
      </c>
      <c r="N1231" s="197">
        <v>5.0</v>
      </c>
      <c r="O1231" s="197">
        <v>5.0</v>
      </c>
      <c r="P1231" s="197">
        <v>5.0</v>
      </c>
      <c r="Q1231" s="197">
        <v>5.0</v>
      </c>
      <c r="R1231" s="197">
        <v>5.0</v>
      </c>
      <c r="S1231" s="197">
        <v>5.0</v>
      </c>
      <c r="T1231" s="197">
        <v>5.0</v>
      </c>
      <c r="U1231" s="197">
        <v>5.0</v>
      </c>
      <c r="V1231" s="197">
        <v>5.0</v>
      </c>
      <c r="W1231" s="197">
        <v>5.0</v>
      </c>
      <c r="X1231" s="196"/>
      <c r="Y1231" s="196"/>
      <c r="Z1231" s="196"/>
      <c r="AA1231" s="196"/>
      <c r="AB1231" s="196"/>
      <c r="AC1231" s="197">
        <v>5.0</v>
      </c>
      <c r="AD1231" s="198"/>
    </row>
    <row r="1232">
      <c r="A1232" s="193">
        <v>105941.0</v>
      </c>
      <c r="B1232" s="194" t="s">
        <v>2663</v>
      </c>
      <c r="C1232" s="192" t="s">
        <v>2664</v>
      </c>
      <c r="D1232" s="195">
        <v>45834.0</v>
      </c>
      <c r="E1232" s="192" t="s">
        <v>767</v>
      </c>
      <c r="F1232" s="196"/>
      <c r="G1232" s="196"/>
      <c r="H1232" s="197">
        <v>5.0</v>
      </c>
      <c r="I1232" s="197">
        <v>5.0</v>
      </c>
      <c r="J1232" s="197">
        <v>5.0</v>
      </c>
      <c r="K1232" s="197">
        <v>5.0</v>
      </c>
      <c r="L1232" s="197">
        <v>5.0</v>
      </c>
      <c r="M1232" s="197">
        <v>5.0</v>
      </c>
      <c r="N1232" s="197">
        <v>5.0</v>
      </c>
      <c r="O1232" s="197">
        <v>5.0</v>
      </c>
      <c r="P1232" s="197">
        <v>5.0</v>
      </c>
      <c r="Q1232" s="197">
        <v>5.0</v>
      </c>
      <c r="R1232" s="197">
        <v>5.0</v>
      </c>
      <c r="S1232" s="197">
        <v>5.0</v>
      </c>
      <c r="T1232" s="197">
        <v>5.0</v>
      </c>
      <c r="U1232" s="197">
        <v>5.0</v>
      </c>
      <c r="V1232" s="197">
        <v>5.0</v>
      </c>
      <c r="W1232" s="197">
        <v>5.0</v>
      </c>
      <c r="X1232" s="196"/>
      <c r="Y1232" s="196"/>
      <c r="Z1232" s="196"/>
      <c r="AA1232" s="196"/>
      <c r="AB1232" s="196"/>
      <c r="AC1232" s="197">
        <v>5.0</v>
      </c>
      <c r="AD1232" s="198"/>
    </row>
    <row r="1233">
      <c r="A1233" s="193">
        <v>105935.0</v>
      </c>
      <c r="B1233" s="194" t="s">
        <v>2665</v>
      </c>
      <c r="C1233" s="192" t="s">
        <v>2666</v>
      </c>
      <c r="D1233" s="195">
        <v>45834.0</v>
      </c>
      <c r="E1233" s="192" t="s">
        <v>767</v>
      </c>
      <c r="F1233" s="196"/>
      <c r="G1233" s="196"/>
      <c r="H1233" s="197">
        <v>5.0</v>
      </c>
      <c r="I1233" s="197">
        <v>5.0</v>
      </c>
      <c r="J1233" s="197">
        <v>5.0</v>
      </c>
      <c r="K1233" s="197">
        <v>5.0</v>
      </c>
      <c r="L1233" s="197">
        <v>5.0</v>
      </c>
      <c r="M1233" s="197">
        <v>5.0</v>
      </c>
      <c r="N1233" s="197">
        <v>5.0</v>
      </c>
      <c r="O1233" s="197">
        <v>5.0</v>
      </c>
      <c r="P1233" s="197">
        <v>5.0</v>
      </c>
      <c r="Q1233" s="197">
        <v>5.0</v>
      </c>
      <c r="R1233" s="197">
        <v>5.0</v>
      </c>
      <c r="S1233" s="197">
        <v>5.0</v>
      </c>
      <c r="T1233" s="197">
        <v>5.0</v>
      </c>
      <c r="U1233" s="197">
        <v>5.0</v>
      </c>
      <c r="V1233" s="197">
        <v>5.0</v>
      </c>
      <c r="W1233" s="197">
        <v>5.0</v>
      </c>
      <c r="X1233" s="196"/>
      <c r="Y1233" s="196"/>
      <c r="Z1233" s="196"/>
      <c r="AA1233" s="196"/>
      <c r="AB1233" s="196"/>
      <c r="AC1233" s="197">
        <v>5.0</v>
      </c>
      <c r="AD1233" s="198"/>
    </row>
    <row r="1234">
      <c r="A1234" s="193">
        <v>105931.0</v>
      </c>
      <c r="B1234" s="194" t="s">
        <v>2667</v>
      </c>
      <c r="C1234" s="192" t="s">
        <v>2668</v>
      </c>
      <c r="D1234" s="195">
        <v>45833.0</v>
      </c>
      <c r="E1234" s="192" t="s">
        <v>767</v>
      </c>
      <c r="F1234" s="196"/>
      <c r="G1234" s="196"/>
      <c r="H1234" s="197">
        <v>5.0</v>
      </c>
      <c r="I1234" s="197">
        <v>5.0</v>
      </c>
      <c r="J1234" s="197">
        <v>5.0</v>
      </c>
      <c r="K1234" s="197">
        <v>5.0</v>
      </c>
      <c r="L1234" s="197">
        <v>5.0</v>
      </c>
      <c r="M1234" s="197">
        <v>5.0</v>
      </c>
      <c r="N1234" s="197">
        <v>5.0</v>
      </c>
      <c r="O1234" s="197">
        <v>5.0</v>
      </c>
      <c r="P1234" s="197">
        <v>5.0</v>
      </c>
      <c r="Q1234" s="197">
        <v>5.0</v>
      </c>
      <c r="R1234" s="197">
        <v>5.0</v>
      </c>
      <c r="S1234" s="197">
        <v>5.0</v>
      </c>
      <c r="T1234" s="197">
        <v>5.0</v>
      </c>
      <c r="U1234" s="197">
        <v>5.0</v>
      </c>
      <c r="V1234" s="197">
        <v>5.0</v>
      </c>
      <c r="W1234" s="197">
        <v>5.0</v>
      </c>
      <c r="X1234" s="196"/>
      <c r="Y1234" s="196"/>
      <c r="Z1234" s="196"/>
      <c r="AA1234" s="196"/>
      <c r="AB1234" s="196"/>
      <c r="AC1234" s="197">
        <v>5.0</v>
      </c>
      <c r="AD1234" s="198"/>
    </row>
    <row r="1235">
      <c r="A1235" s="193">
        <v>105937.0</v>
      </c>
      <c r="B1235" s="194" t="s">
        <v>2669</v>
      </c>
      <c r="C1235" s="192" t="s">
        <v>2670</v>
      </c>
      <c r="D1235" s="195">
        <v>45833.0</v>
      </c>
      <c r="E1235" s="192" t="s">
        <v>767</v>
      </c>
      <c r="F1235" s="196"/>
      <c r="G1235" s="196"/>
      <c r="H1235" s="197">
        <v>5.0</v>
      </c>
      <c r="I1235" s="197">
        <v>5.0</v>
      </c>
      <c r="J1235" s="197">
        <v>5.0</v>
      </c>
      <c r="K1235" s="197">
        <v>5.0</v>
      </c>
      <c r="L1235" s="197">
        <v>5.0</v>
      </c>
      <c r="M1235" s="197">
        <v>5.0</v>
      </c>
      <c r="N1235" s="197">
        <v>5.0</v>
      </c>
      <c r="O1235" s="197">
        <v>5.0</v>
      </c>
      <c r="P1235" s="197">
        <v>5.0</v>
      </c>
      <c r="Q1235" s="197">
        <v>5.0</v>
      </c>
      <c r="R1235" s="197">
        <v>5.0</v>
      </c>
      <c r="S1235" s="197">
        <v>5.0</v>
      </c>
      <c r="T1235" s="197">
        <v>5.0</v>
      </c>
      <c r="U1235" s="197">
        <v>5.0</v>
      </c>
      <c r="V1235" s="197">
        <v>5.0</v>
      </c>
      <c r="W1235" s="197">
        <v>5.0</v>
      </c>
      <c r="X1235" s="196"/>
      <c r="Y1235" s="196"/>
      <c r="Z1235" s="196"/>
      <c r="AA1235" s="196"/>
      <c r="AB1235" s="196"/>
      <c r="AC1235" s="197">
        <v>5.0</v>
      </c>
      <c r="AD1235" s="198"/>
    </row>
    <row r="1236">
      <c r="A1236" s="193">
        <v>105936.0</v>
      </c>
      <c r="B1236" s="194" t="s">
        <v>2671</v>
      </c>
      <c r="C1236" s="192" t="s">
        <v>2672</v>
      </c>
      <c r="D1236" s="195">
        <v>45834.0</v>
      </c>
      <c r="E1236" s="192" t="s">
        <v>767</v>
      </c>
      <c r="F1236" s="196"/>
      <c r="G1236" s="196"/>
      <c r="H1236" s="197">
        <v>5.0</v>
      </c>
      <c r="I1236" s="197">
        <v>5.0</v>
      </c>
      <c r="J1236" s="197">
        <v>5.0</v>
      </c>
      <c r="K1236" s="197">
        <v>5.0</v>
      </c>
      <c r="L1236" s="197">
        <v>5.0</v>
      </c>
      <c r="M1236" s="197">
        <v>5.0</v>
      </c>
      <c r="N1236" s="197">
        <v>5.0</v>
      </c>
      <c r="O1236" s="197">
        <v>5.0</v>
      </c>
      <c r="P1236" s="197">
        <v>5.0</v>
      </c>
      <c r="Q1236" s="197">
        <v>5.0</v>
      </c>
      <c r="R1236" s="197">
        <v>5.0</v>
      </c>
      <c r="S1236" s="197">
        <v>5.0</v>
      </c>
      <c r="T1236" s="197">
        <v>5.0</v>
      </c>
      <c r="U1236" s="197">
        <v>5.0</v>
      </c>
      <c r="V1236" s="197">
        <v>5.0</v>
      </c>
      <c r="W1236" s="197">
        <v>5.0</v>
      </c>
      <c r="X1236" s="196"/>
      <c r="Y1236" s="196"/>
      <c r="Z1236" s="196"/>
      <c r="AA1236" s="196"/>
      <c r="AB1236" s="196"/>
      <c r="AC1236" s="197">
        <v>5.0</v>
      </c>
      <c r="AD1236" s="198"/>
    </row>
    <row r="1237">
      <c r="A1237" s="193">
        <v>105932.0</v>
      </c>
      <c r="B1237" s="194" t="s">
        <v>2673</v>
      </c>
      <c r="C1237" s="192" t="s">
        <v>2674</v>
      </c>
      <c r="D1237" s="195">
        <v>45833.0</v>
      </c>
      <c r="E1237" s="192" t="s">
        <v>767</v>
      </c>
      <c r="F1237" s="196"/>
      <c r="G1237" s="196"/>
      <c r="H1237" s="197">
        <v>5.0</v>
      </c>
      <c r="I1237" s="197">
        <v>5.0</v>
      </c>
      <c r="J1237" s="197">
        <v>5.0</v>
      </c>
      <c r="K1237" s="197">
        <v>5.0</v>
      </c>
      <c r="L1237" s="197">
        <v>5.0</v>
      </c>
      <c r="M1237" s="197">
        <v>5.0</v>
      </c>
      <c r="N1237" s="197">
        <v>5.0</v>
      </c>
      <c r="O1237" s="197">
        <v>5.0</v>
      </c>
      <c r="P1237" s="197">
        <v>5.0</v>
      </c>
      <c r="Q1237" s="197">
        <v>5.0</v>
      </c>
      <c r="R1237" s="197">
        <v>5.0</v>
      </c>
      <c r="S1237" s="197">
        <v>5.0</v>
      </c>
      <c r="T1237" s="197">
        <v>5.0</v>
      </c>
      <c r="U1237" s="197">
        <v>5.0</v>
      </c>
      <c r="V1237" s="197">
        <v>5.0</v>
      </c>
      <c r="W1237" s="197">
        <v>5.0</v>
      </c>
      <c r="X1237" s="196"/>
      <c r="Y1237" s="196"/>
      <c r="Z1237" s="196"/>
      <c r="AA1237" s="196"/>
      <c r="AB1237" s="196"/>
      <c r="AC1237" s="197">
        <v>5.0</v>
      </c>
      <c r="AD1237" s="198"/>
    </row>
    <row r="1238">
      <c r="A1238" s="193">
        <v>105940.0</v>
      </c>
      <c r="B1238" s="194" t="s">
        <v>2675</v>
      </c>
      <c r="C1238" s="192" t="s">
        <v>2676</v>
      </c>
      <c r="D1238" s="195">
        <v>46198.0</v>
      </c>
      <c r="E1238" s="192" t="s">
        <v>767</v>
      </c>
      <c r="F1238" s="196"/>
      <c r="G1238" s="196"/>
      <c r="H1238" s="197">
        <v>5.0</v>
      </c>
      <c r="I1238" s="197">
        <v>5.0</v>
      </c>
      <c r="J1238" s="197">
        <v>5.0</v>
      </c>
      <c r="K1238" s="197">
        <v>5.0</v>
      </c>
      <c r="L1238" s="197">
        <v>5.0</v>
      </c>
      <c r="M1238" s="197">
        <v>5.0</v>
      </c>
      <c r="N1238" s="197">
        <v>5.0</v>
      </c>
      <c r="O1238" s="197">
        <v>5.0</v>
      </c>
      <c r="P1238" s="197">
        <v>5.0</v>
      </c>
      <c r="Q1238" s="197">
        <v>5.0</v>
      </c>
      <c r="R1238" s="197">
        <v>5.0</v>
      </c>
      <c r="S1238" s="197">
        <v>5.0</v>
      </c>
      <c r="T1238" s="197">
        <v>5.0</v>
      </c>
      <c r="U1238" s="197">
        <v>5.0</v>
      </c>
      <c r="V1238" s="197">
        <v>5.0</v>
      </c>
      <c r="W1238" s="197">
        <v>5.0</v>
      </c>
      <c r="X1238" s="196"/>
      <c r="Y1238" s="196"/>
      <c r="Z1238" s="196"/>
      <c r="AA1238" s="196"/>
      <c r="AB1238" s="196"/>
      <c r="AC1238" s="197">
        <v>5.0</v>
      </c>
      <c r="AD1238" s="198"/>
    </row>
    <row r="1239">
      <c r="A1239" s="193">
        <v>105913.0</v>
      </c>
      <c r="B1239" s="194" t="s">
        <v>2677</v>
      </c>
      <c r="C1239" s="192" t="s">
        <v>2678</v>
      </c>
      <c r="D1239" s="195">
        <v>45838.0</v>
      </c>
      <c r="E1239" s="192" t="s">
        <v>767</v>
      </c>
      <c r="F1239" s="196"/>
      <c r="G1239" s="196"/>
      <c r="H1239" s="197">
        <v>5.0</v>
      </c>
      <c r="I1239" s="197">
        <v>5.0</v>
      </c>
      <c r="J1239" s="197">
        <v>5.0</v>
      </c>
      <c r="K1239" s="197">
        <v>5.0</v>
      </c>
      <c r="L1239" s="197">
        <v>5.0</v>
      </c>
      <c r="M1239" s="197">
        <v>5.0</v>
      </c>
      <c r="N1239" s="197">
        <v>5.0</v>
      </c>
      <c r="O1239" s="197">
        <v>5.0</v>
      </c>
      <c r="P1239" s="197">
        <v>5.0</v>
      </c>
      <c r="Q1239" s="197">
        <v>5.0</v>
      </c>
      <c r="R1239" s="197">
        <v>5.0</v>
      </c>
      <c r="S1239" s="197">
        <v>5.0</v>
      </c>
      <c r="T1239" s="197">
        <v>5.0</v>
      </c>
      <c r="U1239" s="197">
        <v>5.0</v>
      </c>
      <c r="V1239" s="197">
        <v>5.0</v>
      </c>
      <c r="W1239" s="197">
        <v>5.0</v>
      </c>
      <c r="X1239" s="196"/>
      <c r="Y1239" s="196"/>
      <c r="Z1239" s="196"/>
      <c r="AA1239" s="196"/>
      <c r="AB1239" s="196"/>
      <c r="AC1239" s="197">
        <v>5.0</v>
      </c>
      <c r="AD1239" s="198"/>
    </row>
    <row r="1240">
      <c r="A1240" s="193">
        <v>105912.0</v>
      </c>
      <c r="B1240" s="194" t="s">
        <v>2679</v>
      </c>
      <c r="C1240" s="192" t="s">
        <v>2680</v>
      </c>
      <c r="D1240" s="195">
        <v>45838.0</v>
      </c>
      <c r="E1240" s="192" t="s">
        <v>767</v>
      </c>
      <c r="F1240" s="196"/>
      <c r="G1240" s="196"/>
      <c r="H1240" s="197">
        <v>5.0</v>
      </c>
      <c r="I1240" s="197">
        <v>5.0</v>
      </c>
      <c r="J1240" s="197">
        <v>5.0</v>
      </c>
      <c r="K1240" s="197">
        <v>5.0</v>
      </c>
      <c r="L1240" s="197">
        <v>5.0</v>
      </c>
      <c r="M1240" s="197">
        <v>5.0</v>
      </c>
      <c r="N1240" s="197">
        <v>5.0</v>
      </c>
      <c r="O1240" s="197">
        <v>5.0</v>
      </c>
      <c r="P1240" s="197">
        <v>5.0</v>
      </c>
      <c r="Q1240" s="197">
        <v>5.0</v>
      </c>
      <c r="R1240" s="197">
        <v>5.0</v>
      </c>
      <c r="S1240" s="197">
        <v>5.0</v>
      </c>
      <c r="T1240" s="197">
        <v>5.0</v>
      </c>
      <c r="U1240" s="197">
        <v>5.0</v>
      </c>
      <c r="V1240" s="197">
        <v>5.0</v>
      </c>
      <c r="W1240" s="197">
        <v>5.0</v>
      </c>
      <c r="X1240" s="196"/>
      <c r="Y1240" s="196"/>
      <c r="Z1240" s="196"/>
      <c r="AA1240" s="196"/>
      <c r="AB1240" s="196"/>
      <c r="AC1240" s="197">
        <v>5.0</v>
      </c>
      <c r="AD1240" s="198"/>
    </row>
    <row r="1241">
      <c r="A1241" s="193">
        <v>105846.0</v>
      </c>
      <c r="B1241" s="194" t="s">
        <v>2681</v>
      </c>
      <c r="C1241" s="192" t="s">
        <v>2682</v>
      </c>
      <c r="D1241" s="195">
        <v>45835.0</v>
      </c>
      <c r="E1241" s="192" t="s">
        <v>254</v>
      </c>
      <c r="F1241" s="196"/>
      <c r="G1241" s="196"/>
      <c r="H1241" s="197">
        <v>5.0</v>
      </c>
      <c r="I1241" s="197">
        <v>5.0</v>
      </c>
      <c r="J1241" s="197">
        <v>5.0</v>
      </c>
      <c r="K1241" s="197">
        <v>5.0</v>
      </c>
      <c r="L1241" s="197">
        <v>5.0</v>
      </c>
      <c r="M1241" s="197">
        <v>5.0</v>
      </c>
      <c r="N1241" s="197">
        <v>5.0</v>
      </c>
      <c r="O1241" s="197">
        <v>5.0</v>
      </c>
      <c r="P1241" s="197">
        <v>5.0</v>
      </c>
      <c r="Q1241" s="197">
        <v>5.0</v>
      </c>
      <c r="R1241" s="197">
        <v>5.0</v>
      </c>
      <c r="S1241" s="197">
        <v>5.0</v>
      </c>
      <c r="T1241" s="197">
        <v>5.0</v>
      </c>
      <c r="U1241" s="197">
        <v>5.0</v>
      </c>
      <c r="V1241" s="197">
        <v>5.0</v>
      </c>
      <c r="W1241" s="197">
        <v>5.0</v>
      </c>
      <c r="X1241" s="196"/>
      <c r="Y1241" s="196"/>
      <c r="Z1241" s="196"/>
      <c r="AA1241" s="196"/>
      <c r="AB1241" s="196"/>
      <c r="AC1241" s="197">
        <v>5.0</v>
      </c>
      <c r="AD1241" s="198"/>
    </row>
    <row r="1242">
      <c r="A1242" s="193">
        <v>105958.0</v>
      </c>
      <c r="B1242" s="194" t="s">
        <v>2683</v>
      </c>
      <c r="C1242" s="192" t="s">
        <v>2684</v>
      </c>
      <c r="D1242" s="195">
        <v>45841.0</v>
      </c>
      <c r="E1242" s="192" t="s">
        <v>806</v>
      </c>
      <c r="F1242" s="196"/>
      <c r="G1242" s="196"/>
      <c r="H1242" s="197">
        <v>5.0</v>
      </c>
      <c r="I1242" s="197">
        <v>5.0</v>
      </c>
      <c r="J1242" s="197">
        <v>5.0</v>
      </c>
      <c r="K1242" s="197">
        <v>5.0</v>
      </c>
      <c r="L1242" s="197">
        <v>5.0</v>
      </c>
      <c r="M1242" s="197">
        <v>5.0</v>
      </c>
      <c r="N1242" s="197">
        <v>5.0</v>
      </c>
      <c r="O1242" s="197">
        <v>5.0</v>
      </c>
      <c r="P1242" s="197">
        <v>5.0</v>
      </c>
      <c r="Q1242" s="197">
        <v>5.0</v>
      </c>
      <c r="R1242" s="197">
        <v>5.0</v>
      </c>
      <c r="S1242" s="197">
        <v>5.0</v>
      </c>
      <c r="T1242" s="197">
        <v>5.0</v>
      </c>
      <c r="U1242" s="197">
        <v>5.0</v>
      </c>
      <c r="V1242" s="197">
        <v>5.0</v>
      </c>
      <c r="W1242" s="197">
        <v>5.0</v>
      </c>
      <c r="X1242" s="196"/>
      <c r="Y1242" s="196"/>
      <c r="Z1242" s="196"/>
      <c r="AA1242" s="196"/>
      <c r="AB1242" s="196"/>
      <c r="AC1242" s="197">
        <v>5.0</v>
      </c>
      <c r="AD1242" s="198"/>
    </row>
    <row r="1243">
      <c r="A1243" s="193">
        <v>105978.0</v>
      </c>
      <c r="B1243" s="194" t="s">
        <v>2685</v>
      </c>
      <c r="C1243" s="192" t="s">
        <v>2686</v>
      </c>
      <c r="D1243" s="195">
        <v>45880.0</v>
      </c>
      <c r="E1243" s="192" t="s">
        <v>326</v>
      </c>
      <c r="F1243" s="196"/>
      <c r="G1243" s="196"/>
      <c r="H1243" s="197">
        <v>5.0</v>
      </c>
      <c r="I1243" s="197">
        <v>5.0</v>
      </c>
      <c r="J1243" s="197">
        <v>5.0</v>
      </c>
      <c r="K1243" s="197">
        <v>5.0</v>
      </c>
      <c r="L1243" s="197">
        <v>5.0</v>
      </c>
      <c r="M1243" s="197">
        <v>5.0</v>
      </c>
      <c r="N1243" s="197">
        <v>5.0</v>
      </c>
      <c r="O1243" s="197">
        <v>5.0</v>
      </c>
      <c r="P1243" s="197">
        <v>5.0</v>
      </c>
      <c r="Q1243" s="197">
        <v>5.0</v>
      </c>
      <c r="R1243" s="197">
        <v>5.0</v>
      </c>
      <c r="S1243" s="197">
        <v>5.0</v>
      </c>
      <c r="T1243" s="197">
        <v>5.0</v>
      </c>
      <c r="U1243" s="197">
        <v>5.0</v>
      </c>
      <c r="V1243" s="197">
        <v>5.0</v>
      </c>
      <c r="W1243" s="197">
        <v>5.0</v>
      </c>
      <c r="X1243" s="196"/>
      <c r="Y1243" s="196"/>
      <c r="Z1243" s="196"/>
      <c r="AA1243" s="196"/>
      <c r="AB1243" s="196"/>
      <c r="AC1243" s="197">
        <v>5.0</v>
      </c>
      <c r="AD1243" s="198"/>
    </row>
    <row r="1244">
      <c r="A1244" s="193">
        <v>105641.0</v>
      </c>
      <c r="B1244" s="194" t="s">
        <v>2687</v>
      </c>
      <c r="C1244" s="192" t="s">
        <v>2688</v>
      </c>
      <c r="D1244" s="195">
        <v>45973.0</v>
      </c>
      <c r="E1244" s="192" t="s">
        <v>2179</v>
      </c>
      <c r="F1244" s="196"/>
      <c r="G1244" s="196"/>
      <c r="H1244" s="197">
        <v>4.0</v>
      </c>
      <c r="I1244" s="197">
        <v>5.0</v>
      </c>
      <c r="J1244" s="197">
        <v>4.0</v>
      </c>
      <c r="K1244" s="197">
        <v>4.0</v>
      </c>
      <c r="L1244" s="197">
        <v>4.0</v>
      </c>
      <c r="M1244" s="197">
        <v>4.2</v>
      </c>
      <c r="N1244" s="197">
        <v>4.0</v>
      </c>
      <c r="O1244" s="197">
        <v>5.0</v>
      </c>
      <c r="P1244" s="197">
        <v>4.0</v>
      </c>
      <c r="Q1244" s="197">
        <v>4.0</v>
      </c>
      <c r="R1244" s="197">
        <v>4.333333333333333</v>
      </c>
      <c r="S1244" s="197">
        <v>4.0</v>
      </c>
      <c r="T1244" s="197">
        <v>4.0</v>
      </c>
      <c r="U1244" s="197">
        <v>4.0</v>
      </c>
      <c r="V1244" s="197">
        <v>4.0</v>
      </c>
      <c r="W1244" s="197">
        <v>4.0</v>
      </c>
      <c r="X1244" s="196"/>
      <c r="Y1244" s="196"/>
      <c r="Z1244" s="196"/>
      <c r="AA1244" s="196"/>
      <c r="AB1244" s="196"/>
      <c r="AC1244" s="197">
        <v>4.177777777777778</v>
      </c>
      <c r="AD1244" s="198"/>
    </row>
    <row r="1245">
      <c r="A1245" s="193">
        <v>105841.0</v>
      </c>
      <c r="B1245" s="194" t="s">
        <v>2687</v>
      </c>
      <c r="C1245" s="192" t="s">
        <v>2689</v>
      </c>
      <c r="D1245" s="195">
        <v>45973.0</v>
      </c>
      <c r="E1245" s="192" t="s">
        <v>2179</v>
      </c>
      <c r="F1245" s="196"/>
      <c r="G1245" s="196"/>
      <c r="H1245" s="197">
        <v>4.0</v>
      </c>
      <c r="I1245" s="197">
        <v>5.0</v>
      </c>
      <c r="J1245" s="197">
        <v>4.0</v>
      </c>
      <c r="K1245" s="197">
        <v>4.0</v>
      </c>
      <c r="L1245" s="197">
        <v>4.0</v>
      </c>
      <c r="M1245" s="197">
        <v>4.2</v>
      </c>
      <c r="N1245" s="197">
        <v>4.0</v>
      </c>
      <c r="O1245" s="197">
        <v>5.0</v>
      </c>
      <c r="P1245" s="197">
        <v>4.0</v>
      </c>
      <c r="Q1245" s="197">
        <v>4.0</v>
      </c>
      <c r="R1245" s="197">
        <v>4.333333333333333</v>
      </c>
      <c r="S1245" s="197">
        <v>4.0</v>
      </c>
      <c r="T1245" s="197">
        <v>4.0</v>
      </c>
      <c r="U1245" s="197">
        <v>4.0</v>
      </c>
      <c r="V1245" s="197">
        <v>4.0</v>
      </c>
      <c r="W1245" s="197">
        <v>4.0</v>
      </c>
      <c r="X1245" s="196"/>
      <c r="Y1245" s="196"/>
      <c r="Z1245" s="196"/>
      <c r="AA1245" s="196"/>
      <c r="AB1245" s="196"/>
      <c r="AC1245" s="197">
        <v>4.177777777777778</v>
      </c>
      <c r="AD1245" s="198"/>
    </row>
    <row r="1246">
      <c r="A1246" s="193">
        <v>105614.0</v>
      </c>
      <c r="B1246" s="194" t="s">
        <v>2690</v>
      </c>
      <c r="C1246" s="192" t="s">
        <v>2691</v>
      </c>
      <c r="D1246" s="195">
        <v>45988.0</v>
      </c>
      <c r="E1246" s="192" t="s">
        <v>2179</v>
      </c>
      <c r="F1246" s="196"/>
      <c r="G1246" s="196"/>
      <c r="H1246" s="197">
        <v>5.0</v>
      </c>
      <c r="I1246" s="197">
        <v>4.0</v>
      </c>
      <c r="J1246" s="197">
        <v>4.0</v>
      </c>
      <c r="K1246" s="197">
        <v>4.0</v>
      </c>
      <c r="L1246" s="197">
        <v>4.0</v>
      </c>
      <c r="M1246" s="197">
        <v>4.2</v>
      </c>
      <c r="N1246" s="197">
        <v>5.0</v>
      </c>
      <c r="O1246" s="197">
        <v>4.0</v>
      </c>
      <c r="P1246" s="197">
        <v>4.0</v>
      </c>
      <c r="Q1246" s="197">
        <v>4.0</v>
      </c>
      <c r="R1246" s="197">
        <v>4.333333333333333</v>
      </c>
      <c r="S1246" s="197">
        <v>4.0</v>
      </c>
      <c r="T1246" s="197">
        <v>4.0</v>
      </c>
      <c r="U1246" s="197">
        <v>4.0</v>
      </c>
      <c r="V1246" s="197">
        <v>4.0</v>
      </c>
      <c r="W1246" s="197">
        <v>4.0</v>
      </c>
      <c r="X1246" s="196"/>
      <c r="Y1246" s="196"/>
      <c r="Z1246" s="196"/>
      <c r="AA1246" s="196"/>
      <c r="AB1246" s="196"/>
      <c r="AC1246" s="197">
        <v>4.177777777777778</v>
      </c>
      <c r="AD1246" s="198"/>
    </row>
    <row r="1247">
      <c r="A1247" s="193">
        <v>106278.0</v>
      </c>
      <c r="B1247" s="194" t="s">
        <v>2692</v>
      </c>
      <c r="C1247" s="192" t="s">
        <v>2693</v>
      </c>
      <c r="D1247" s="195">
        <v>45981.0</v>
      </c>
      <c r="E1247" s="192" t="s">
        <v>113</v>
      </c>
      <c r="F1247" s="196"/>
      <c r="G1247" s="196"/>
      <c r="H1247" s="197">
        <v>5.0</v>
      </c>
      <c r="I1247" s="197">
        <v>5.0</v>
      </c>
      <c r="J1247" s="197">
        <v>5.0</v>
      </c>
      <c r="K1247" s="197">
        <v>4.0</v>
      </c>
      <c r="L1247" s="197">
        <v>5.0</v>
      </c>
      <c r="M1247" s="197">
        <v>4.8</v>
      </c>
      <c r="N1247" s="197">
        <v>5.0</v>
      </c>
      <c r="O1247" s="197">
        <v>5.0</v>
      </c>
      <c r="P1247" s="197">
        <v>5.0</v>
      </c>
      <c r="Q1247" s="197">
        <v>4.0</v>
      </c>
      <c r="R1247" s="197">
        <v>5.0</v>
      </c>
      <c r="S1247" s="197">
        <v>4.5</v>
      </c>
      <c r="T1247" s="197">
        <v>4.5</v>
      </c>
      <c r="U1247" s="197">
        <v>4.5</v>
      </c>
      <c r="V1247" s="197">
        <v>4.5</v>
      </c>
      <c r="W1247" s="197">
        <v>4.5</v>
      </c>
      <c r="X1247" s="196"/>
      <c r="Y1247" s="196"/>
      <c r="Z1247" s="196"/>
      <c r="AA1247" s="196"/>
      <c r="AB1247" s="196"/>
      <c r="AC1247" s="197">
        <v>4.766666666666667</v>
      </c>
      <c r="AD1247" s="198"/>
    </row>
    <row r="1248">
      <c r="A1248" s="193">
        <v>106474.0</v>
      </c>
      <c r="B1248" s="194" t="s">
        <v>2694</v>
      </c>
      <c r="C1248" s="192" t="s">
        <v>2695</v>
      </c>
      <c r="D1248" s="195">
        <v>46006.0</v>
      </c>
      <c r="E1248" s="192" t="s">
        <v>295</v>
      </c>
      <c r="F1248" s="196"/>
      <c r="G1248" s="196"/>
      <c r="H1248" s="197">
        <v>5.0</v>
      </c>
      <c r="I1248" s="197">
        <v>5.0</v>
      </c>
      <c r="J1248" s="197">
        <v>5.0</v>
      </c>
      <c r="K1248" s="197">
        <v>5.0</v>
      </c>
      <c r="L1248" s="197">
        <v>4.9</v>
      </c>
      <c r="M1248" s="197">
        <v>4.9799999999999995</v>
      </c>
      <c r="N1248" s="197">
        <v>4.49</v>
      </c>
      <c r="O1248" s="197">
        <v>4.49</v>
      </c>
      <c r="P1248" s="197">
        <v>4.49</v>
      </c>
      <c r="Q1248" s="197">
        <v>4.49</v>
      </c>
      <c r="R1248" s="197">
        <v>4.49</v>
      </c>
      <c r="S1248" s="197">
        <v>4.49</v>
      </c>
      <c r="T1248" s="197">
        <v>4.49</v>
      </c>
      <c r="U1248" s="197">
        <v>4.49</v>
      </c>
      <c r="V1248" s="197">
        <v>4.49</v>
      </c>
      <c r="W1248" s="197">
        <v>4.49</v>
      </c>
      <c r="X1248" s="196"/>
      <c r="Y1248" s="196"/>
      <c r="Z1248" s="196"/>
      <c r="AA1248" s="196"/>
      <c r="AB1248" s="196"/>
      <c r="AC1248" s="197">
        <v>4.653333333333333</v>
      </c>
      <c r="AD1248" s="198"/>
    </row>
    <row r="1249">
      <c r="A1249" s="193">
        <v>106478.0</v>
      </c>
      <c r="B1249" s="194" t="s">
        <v>2696</v>
      </c>
      <c r="C1249" s="192" t="s">
        <v>2697</v>
      </c>
      <c r="D1249" s="195">
        <v>46006.0</v>
      </c>
      <c r="E1249" s="192" t="s">
        <v>295</v>
      </c>
      <c r="F1249" s="196"/>
      <c r="G1249" s="196"/>
      <c r="H1249" s="197">
        <v>5.0</v>
      </c>
      <c r="I1249" s="197">
        <v>5.0</v>
      </c>
      <c r="J1249" s="197">
        <v>5.0</v>
      </c>
      <c r="K1249" s="197">
        <v>5.0</v>
      </c>
      <c r="L1249" s="197">
        <v>4.9</v>
      </c>
      <c r="M1249" s="197">
        <v>4.9799999999999995</v>
      </c>
      <c r="N1249" s="197">
        <v>4.49</v>
      </c>
      <c r="O1249" s="197">
        <v>4.49</v>
      </c>
      <c r="P1249" s="197">
        <v>4.49</v>
      </c>
      <c r="Q1249" s="197">
        <v>4.49</v>
      </c>
      <c r="R1249" s="197">
        <v>4.49</v>
      </c>
      <c r="S1249" s="197">
        <v>4.49</v>
      </c>
      <c r="T1249" s="197">
        <v>4.49</v>
      </c>
      <c r="U1249" s="197">
        <v>4.49</v>
      </c>
      <c r="V1249" s="197">
        <v>4.49</v>
      </c>
      <c r="W1249" s="197">
        <v>4.49</v>
      </c>
      <c r="X1249" s="196"/>
      <c r="Y1249" s="196"/>
      <c r="Z1249" s="196"/>
      <c r="AA1249" s="196"/>
      <c r="AB1249" s="196"/>
      <c r="AC1249" s="197">
        <v>4.653333333333333</v>
      </c>
      <c r="AD1249" s="198"/>
    </row>
    <row r="1250">
      <c r="A1250" s="193">
        <v>106513.0</v>
      </c>
      <c r="B1250" s="194" t="s">
        <v>2698</v>
      </c>
      <c r="C1250" s="192" t="s">
        <v>2699</v>
      </c>
      <c r="D1250" s="195">
        <v>46009.0</v>
      </c>
      <c r="E1250" s="192" t="s">
        <v>2185</v>
      </c>
      <c r="F1250" s="196"/>
      <c r="G1250" s="196"/>
      <c r="H1250" s="197">
        <v>5.0</v>
      </c>
      <c r="I1250" s="197">
        <v>5.0</v>
      </c>
      <c r="J1250" s="197">
        <v>5.0</v>
      </c>
      <c r="K1250" s="197">
        <v>5.0</v>
      </c>
      <c r="L1250" s="197">
        <v>4.0</v>
      </c>
      <c r="M1250" s="197">
        <v>4.8</v>
      </c>
      <c r="N1250" s="197">
        <v>4.49</v>
      </c>
      <c r="O1250" s="197">
        <v>4.49</v>
      </c>
      <c r="P1250" s="197">
        <v>4.49</v>
      </c>
      <c r="Q1250" s="197">
        <v>4.49</v>
      </c>
      <c r="R1250" s="197">
        <v>4.49</v>
      </c>
      <c r="S1250" s="197">
        <v>4.49</v>
      </c>
      <c r="T1250" s="197">
        <v>4.49</v>
      </c>
      <c r="U1250" s="197">
        <v>4.49</v>
      </c>
      <c r="V1250" s="197">
        <v>4.49</v>
      </c>
      <c r="W1250" s="197">
        <v>4.49</v>
      </c>
      <c r="X1250" s="196"/>
      <c r="Y1250" s="196"/>
      <c r="Z1250" s="196"/>
      <c r="AA1250" s="196"/>
      <c r="AB1250" s="196"/>
      <c r="AC1250" s="197">
        <v>4.593333333333333</v>
      </c>
      <c r="AD1250" s="198"/>
    </row>
    <row r="1251">
      <c r="A1251" s="193">
        <v>106446.0</v>
      </c>
      <c r="B1251" s="194" t="s">
        <v>2700</v>
      </c>
      <c r="C1251" s="192" t="s">
        <v>2701</v>
      </c>
      <c r="D1251" s="195">
        <v>46007.0</v>
      </c>
      <c r="E1251" s="192" t="s">
        <v>380</v>
      </c>
      <c r="F1251" s="196"/>
      <c r="G1251" s="196"/>
      <c r="H1251" s="197">
        <v>5.0</v>
      </c>
      <c r="I1251" s="197">
        <v>5.0</v>
      </c>
      <c r="J1251" s="197">
        <v>5.0</v>
      </c>
      <c r="K1251" s="197">
        <v>5.0</v>
      </c>
      <c r="L1251" s="197">
        <v>4.0</v>
      </c>
      <c r="M1251" s="197">
        <v>4.8</v>
      </c>
      <c r="N1251" s="197">
        <v>5.0</v>
      </c>
      <c r="O1251" s="197">
        <v>5.0</v>
      </c>
      <c r="P1251" s="197">
        <v>5.0</v>
      </c>
      <c r="Q1251" s="197">
        <v>5.0</v>
      </c>
      <c r="R1251" s="197">
        <v>5.0</v>
      </c>
      <c r="S1251" s="197">
        <v>5.0</v>
      </c>
      <c r="T1251" s="197">
        <v>5.0</v>
      </c>
      <c r="U1251" s="197">
        <v>5.0</v>
      </c>
      <c r="V1251" s="197">
        <v>5.0</v>
      </c>
      <c r="W1251" s="197">
        <v>5.0</v>
      </c>
      <c r="X1251" s="196"/>
      <c r="Y1251" s="196"/>
      <c r="Z1251" s="196"/>
      <c r="AA1251" s="196"/>
      <c r="AB1251" s="196"/>
      <c r="AC1251" s="197">
        <v>4.933333333333334</v>
      </c>
      <c r="AD1251" s="198"/>
    </row>
    <row r="1252">
      <c r="A1252" s="193">
        <v>106500.0</v>
      </c>
      <c r="B1252" s="194" t="s">
        <v>2702</v>
      </c>
      <c r="C1252" s="192" t="s">
        <v>2703</v>
      </c>
      <c r="D1252" s="195">
        <v>46035.0</v>
      </c>
      <c r="E1252" s="192" t="s">
        <v>360</v>
      </c>
      <c r="F1252" s="196"/>
      <c r="G1252" s="196"/>
      <c r="H1252" s="197">
        <v>5.0</v>
      </c>
      <c r="I1252" s="197">
        <v>5.0</v>
      </c>
      <c r="J1252" s="197">
        <v>5.0</v>
      </c>
      <c r="K1252" s="197">
        <v>5.0</v>
      </c>
      <c r="L1252" s="197">
        <v>5.0</v>
      </c>
      <c r="M1252" s="197">
        <v>5.0</v>
      </c>
      <c r="N1252" s="197">
        <v>5.0</v>
      </c>
      <c r="O1252" s="197">
        <v>5.0</v>
      </c>
      <c r="P1252" s="197">
        <v>5.0</v>
      </c>
      <c r="Q1252" s="197">
        <v>5.0</v>
      </c>
      <c r="R1252" s="197">
        <v>5.0</v>
      </c>
      <c r="S1252" s="197">
        <v>5.0</v>
      </c>
      <c r="T1252" s="197">
        <v>5.0</v>
      </c>
      <c r="U1252" s="197">
        <v>5.0</v>
      </c>
      <c r="V1252" s="197">
        <v>5.0</v>
      </c>
      <c r="W1252" s="197">
        <v>5.0</v>
      </c>
      <c r="X1252" s="196"/>
      <c r="Y1252" s="196"/>
      <c r="Z1252" s="196"/>
      <c r="AA1252" s="196"/>
      <c r="AB1252" s="196"/>
      <c r="AC1252" s="197">
        <v>5.0</v>
      </c>
      <c r="AD1252" s="198"/>
    </row>
    <row r="1253">
      <c r="A1253" s="193">
        <v>106519.0</v>
      </c>
      <c r="B1253" s="194" t="s">
        <v>2704</v>
      </c>
      <c r="C1253" s="192" t="s">
        <v>2705</v>
      </c>
      <c r="D1253" s="195">
        <v>46037.0</v>
      </c>
      <c r="E1253" s="192" t="s">
        <v>1547</v>
      </c>
      <c r="F1253" s="196"/>
      <c r="G1253" s="196"/>
      <c r="H1253" s="197">
        <v>5.0</v>
      </c>
      <c r="I1253" s="197">
        <v>5.0</v>
      </c>
      <c r="J1253" s="197">
        <v>5.0</v>
      </c>
      <c r="K1253" s="197">
        <v>5.0</v>
      </c>
      <c r="L1253" s="197">
        <v>5.0</v>
      </c>
      <c r="M1253" s="197">
        <v>5.0</v>
      </c>
      <c r="N1253" s="197">
        <v>5.0</v>
      </c>
      <c r="O1253" s="197">
        <v>5.0</v>
      </c>
      <c r="P1253" s="197">
        <v>5.0</v>
      </c>
      <c r="Q1253" s="197">
        <v>5.0</v>
      </c>
      <c r="R1253" s="197">
        <v>5.0</v>
      </c>
      <c r="S1253" s="197">
        <v>5.0</v>
      </c>
      <c r="T1253" s="197">
        <v>5.0</v>
      </c>
      <c r="U1253" s="197">
        <v>5.0</v>
      </c>
      <c r="V1253" s="197">
        <v>5.0</v>
      </c>
      <c r="W1253" s="197">
        <v>5.0</v>
      </c>
      <c r="X1253" s="196"/>
      <c r="Y1253" s="196"/>
      <c r="Z1253" s="196"/>
      <c r="AA1253" s="196"/>
      <c r="AB1253" s="196"/>
      <c r="AC1253" s="197">
        <v>5.0</v>
      </c>
      <c r="AD1253" s="198"/>
    </row>
    <row r="1254">
      <c r="A1254" s="193">
        <v>106528.0</v>
      </c>
      <c r="B1254" s="194" t="s">
        <v>2706</v>
      </c>
      <c r="C1254" s="192" t="s">
        <v>2707</v>
      </c>
      <c r="D1254" s="195">
        <v>46038.0</v>
      </c>
      <c r="E1254" s="192" t="s">
        <v>1547</v>
      </c>
      <c r="F1254" s="196"/>
      <c r="G1254" s="196"/>
      <c r="H1254" s="197">
        <v>5.0</v>
      </c>
      <c r="I1254" s="197">
        <v>5.0</v>
      </c>
      <c r="J1254" s="197">
        <v>5.0</v>
      </c>
      <c r="K1254" s="197">
        <v>5.0</v>
      </c>
      <c r="L1254" s="197">
        <v>5.0</v>
      </c>
      <c r="M1254" s="197">
        <v>5.0</v>
      </c>
      <c r="N1254" s="197">
        <v>5.0</v>
      </c>
      <c r="O1254" s="197">
        <v>5.0</v>
      </c>
      <c r="P1254" s="197">
        <v>5.0</v>
      </c>
      <c r="Q1254" s="197">
        <v>5.0</v>
      </c>
      <c r="R1254" s="197">
        <v>5.0</v>
      </c>
      <c r="S1254" s="197">
        <v>5.0</v>
      </c>
      <c r="T1254" s="197">
        <v>5.0</v>
      </c>
      <c r="U1254" s="197">
        <v>5.0</v>
      </c>
      <c r="V1254" s="197"/>
      <c r="W1254" s="197">
        <v>5.0</v>
      </c>
      <c r="X1254" s="196"/>
      <c r="Y1254" s="196"/>
      <c r="Z1254" s="196"/>
      <c r="AA1254" s="196"/>
      <c r="AB1254" s="196"/>
      <c r="AC1254" s="197">
        <v>5.0</v>
      </c>
      <c r="AD1254" s="198"/>
    </row>
    <row r="1255">
      <c r="A1255" s="193">
        <v>106524.0</v>
      </c>
      <c r="B1255" s="194" t="s">
        <v>2708</v>
      </c>
      <c r="C1255" s="192" t="s">
        <v>2709</v>
      </c>
      <c r="D1255" s="195">
        <v>46038.0</v>
      </c>
      <c r="E1255" s="192" t="s">
        <v>2193</v>
      </c>
      <c r="F1255" s="196"/>
      <c r="G1255" s="196"/>
      <c r="H1255" s="197">
        <v>5.0</v>
      </c>
      <c r="I1255" s="197">
        <v>5.0</v>
      </c>
      <c r="J1255" s="197">
        <v>5.0</v>
      </c>
      <c r="K1255" s="197">
        <v>5.0</v>
      </c>
      <c r="L1255" s="197">
        <v>5.0</v>
      </c>
      <c r="M1255" s="197">
        <v>5.0</v>
      </c>
      <c r="N1255" s="197">
        <v>5.0</v>
      </c>
      <c r="O1255" s="197">
        <v>5.0</v>
      </c>
      <c r="P1255" s="197">
        <v>5.0</v>
      </c>
      <c r="Q1255" s="197">
        <v>5.0</v>
      </c>
      <c r="R1255" s="197">
        <v>5.0</v>
      </c>
      <c r="S1255" s="197">
        <v>5.0</v>
      </c>
      <c r="T1255" s="197">
        <v>5.0</v>
      </c>
      <c r="U1255" s="197">
        <v>5.0</v>
      </c>
      <c r="V1255" s="197">
        <v>5.0</v>
      </c>
      <c r="W1255" s="197">
        <v>5.0</v>
      </c>
      <c r="X1255" s="196"/>
      <c r="Y1255" s="196"/>
      <c r="Z1255" s="196"/>
      <c r="AA1255" s="196"/>
      <c r="AB1255" s="196"/>
      <c r="AC1255" s="197">
        <v>5.0</v>
      </c>
      <c r="AD1255" s="198"/>
    </row>
    <row r="1256">
      <c r="A1256" s="193">
        <v>106524.0</v>
      </c>
      <c r="B1256" s="194" t="s">
        <v>2708</v>
      </c>
      <c r="C1256" s="192" t="s">
        <v>2709</v>
      </c>
      <c r="D1256" s="195">
        <v>46038.0</v>
      </c>
      <c r="E1256" s="192" t="s">
        <v>2193</v>
      </c>
      <c r="F1256" s="196"/>
      <c r="G1256" s="196"/>
      <c r="H1256" s="197">
        <v>5.0</v>
      </c>
      <c r="I1256" s="197">
        <v>5.0</v>
      </c>
      <c r="J1256" s="197">
        <v>5.0</v>
      </c>
      <c r="K1256" s="197">
        <v>5.0</v>
      </c>
      <c r="L1256" s="197">
        <v>5.0</v>
      </c>
      <c r="M1256" s="197">
        <v>5.0</v>
      </c>
      <c r="N1256" s="197">
        <v>5.0</v>
      </c>
      <c r="O1256" s="197">
        <v>5.0</v>
      </c>
      <c r="P1256" s="197">
        <v>5.0</v>
      </c>
      <c r="Q1256" s="197">
        <v>5.0</v>
      </c>
      <c r="R1256" s="197">
        <v>5.0</v>
      </c>
      <c r="S1256" s="197">
        <v>5.0</v>
      </c>
      <c r="T1256" s="197">
        <v>5.0</v>
      </c>
      <c r="U1256" s="197">
        <v>5.0</v>
      </c>
      <c r="V1256" s="197">
        <v>5.0</v>
      </c>
      <c r="W1256" s="197">
        <v>5.0</v>
      </c>
      <c r="X1256" s="196"/>
      <c r="Y1256" s="196"/>
      <c r="Z1256" s="196"/>
      <c r="AA1256" s="196"/>
      <c r="AB1256" s="196"/>
      <c r="AC1256" s="197">
        <v>5.0</v>
      </c>
      <c r="AD1256" s="198"/>
    </row>
    <row r="1257">
      <c r="A1257" s="193">
        <v>106524.0</v>
      </c>
      <c r="B1257" s="194" t="s">
        <v>2581</v>
      </c>
      <c r="C1257" s="192" t="s">
        <v>2709</v>
      </c>
      <c r="D1257" s="195">
        <v>46037.0</v>
      </c>
      <c r="E1257" s="192" t="s">
        <v>2193</v>
      </c>
      <c r="F1257" s="196"/>
      <c r="G1257" s="196"/>
      <c r="H1257" s="197">
        <v>5.0</v>
      </c>
      <c r="I1257" s="197">
        <v>5.0</v>
      </c>
      <c r="J1257" s="197">
        <v>5.0</v>
      </c>
      <c r="K1257" s="197">
        <v>5.0</v>
      </c>
      <c r="L1257" s="197">
        <v>5.0</v>
      </c>
      <c r="M1257" s="197">
        <v>5.0</v>
      </c>
      <c r="N1257" s="197">
        <v>5.0</v>
      </c>
      <c r="O1257" s="197">
        <v>5.0</v>
      </c>
      <c r="P1257" s="197">
        <v>5.0</v>
      </c>
      <c r="Q1257" s="197">
        <v>5.0</v>
      </c>
      <c r="R1257" s="197">
        <v>5.0</v>
      </c>
      <c r="S1257" s="197">
        <v>5.0</v>
      </c>
      <c r="T1257" s="197">
        <v>5.0</v>
      </c>
      <c r="U1257" s="197">
        <v>5.0</v>
      </c>
      <c r="V1257" s="197">
        <v>5.0</v>
      </c>
      <c r="W1257" s="197">
        <v>5.0</v>
      </c>
      <c r="X1257" s="196"/>
      <c r="Y1257" s="196"/>
      <c r="Z1257" s="196"/>
      <c r="AA1257" s="196"/>
      <c r="AB1257" s="196"/>
      <c r="AC1257" s="197">
        <v>5.0</v>
      </c>
      <c r="AD1257" s="198"/>
    </row>
    <row r="1258">
      <c r="A1258" s="193">
        <v>106528.0</v>
      </c>
      <c r="B1258" s="194" t="s">
        <v>2706</v>
      </c>
      <c r="C1258" s="192" t="s">
        <v>2707</v>
      </c>
      <c r="D1258" s="195">
        <v>46038.0</v>
      </c>
      <c r="E1258" s="192" t="s">
        <v>1547</v>
      </c>
      <c r="F1258" s="196"/>
      <c r="G1258" s="196"/>
      <c r="H1258" s="197">
        <v>5.0</v>
      </c>
      <c r="I1258" s="197">
        <v>5.0</v>
      </c>
      <c r="J1258" s="197">
        <v>5.0</v>
      </c>
      <c r="K1258" s="197">
        <v>5.0</v>
      </c>
      <c r="L1258" s="197">
        <v>5.0</v>
      </c>
      <c r="M1258" s="197">
        <v>5.0</v>
      </c>
      <c r="N1258" s="197">
        <v>5.0</v>
      </c>
      <c r="O1258" s="197">
        <v>5.0</v>
      </c>
      <c r="P1258" s="197">
        <v>5.0</v>
      </c>
      <c r="Q1258" s="197">
        <v>5.0</v>
      </c>
      <c r="R1258" s="197">
        <v>5.0</v>
      </c>
      <c r="S1258" s="197">
        <v>5.0</v>
      </c>
      <c r="T1258" s="197">
        <v>5.0</v>
      </c>
      <c r="U1258" s="197">
        <v>5.0</v>
      </c>
      <c r="V1258" s="197">
        <v>5.0</v>
      </c>
      <c r="W1258" s="197">
        <v>5.0</v>
      </c>
      <c r="X1258" s="196"/>
      <c r="Y1258" s="196"/>
      <c r="Z1258" s="196"/>
      <c r="AA1258" s="196"/>
      <c r="AB1258" s="196"/>
      <c r="AC1258" s="197">
        <v>5.0</v>
      </c>
      <c r="AD1258" s="198"/>
    </row>
    <row r="1259">
      <c r="A1259" s="193">
        <v>106519.0</v>
      </c>
      <c r="B1259" s="194" t="s">
        <v>2704</v>
      </c>
      <c r="C1259" s="192" t="s">
        <v>2705</v>
      </c>
      <c r="D1259" s="195">
        <v>46037.0</v>
      </c>
      <c r="E1259" s="192" t="s">
        <v>1547</v>
      </c>
      <c r="F1259" s="196"/>
      <c r="G1259" s="196"/>
      <c r="H1259" s="197">
        <v>5.0</v>
      </c>
      <c r="I1259" s="197">
        <v>5.0</v>
      </c>
      <c r="J1259" s="197">
        <v>5.0</v>
      </c>
      <c r="K1259" s="197">
        <v>5.0</v>
      </c>
      <c r="L1259" s="197">
        <v>5.0</v>
      </c>
      <c r="M1259" s="197">
        <v>5.0</v>
      </c>
      <c r="N1259" s="197">
        <v>5.0</v>
      </c>
      <c r="O1259" s="197">
        <v>5.0</v>
      </c>
      <c r="P1259" s="197">
        <v>5.0</v>
      </c>
      <c r="Q1259" s="197">
        <v>5.0</v>
      </c>
      <c r="R1259" s="197">
        <v>5.0</v>
      </c>
      <c r="S1259" s="197">
        <v>5.0</v>
      </c>
      <c r="T1259" s="197">
        <v>5.0</v>
      </c>
      <c r="U1259" s="197">
        <v>5.0</v>
      </c>
      <c r="V1259" s="197">
        <v>5.0</v>
      </c>
      <c r="W1259" s="197">
        <v>5.0</v>
      </c>
      <c r="X1259" s="196"/>
      <c r="Y1259" s="196"/>
      <c r="Z1259" s="196"/>
      <c r="AA1259" s="196"/>
      <c r="AB1259" s="196"/>
      <c r="AC1259" s="197">
        <v>5.0</v>
      </c>
      <c r="AD1259" s="198"/>
    </row>
    <row r="1260">
      <c r="A1260" s="193">
        <v>106522.0</v>
      </c>
      <c r="B1260" s="194" t="s">
        <v>2710</v>
      </c>
      <c r="C1260" s="192" t="s">
        <v>2711</v>
      </c>
      <c r="D1260" s="195">
        <v>46044.0</v>
      </c>
      <c r="E1260" s="192" t="s">
        <v>360</v>
      </c>
      <c r="F1260" s="196"/>
      <c r="G1260" s="196"/>
      <c r="H1260" s="197">
        <v>5.0</v>
      </c>
      <c r="I1260" s="197">
        <v>5.0</v>
      </c>
      <c r="J1260" s="197">
        <v>5.0</v>
      </c>
      <c r="K1260" s="197">
        <v>5.0</v>
      </c>
      <c r="L1260" s="197">
        <v>5.0</v>
      </c>
      <c r="M1260" s="197">
        <v>5.0</v>
      </c>
      <c r="N1260" s="197">
        <v>5.0</v>
      </c>
      <c r="O1260" s="197">
        <v>5.0</v>
      </c>
      <c r="P1260" s="197">
        <v>5.0</v>
      </c>
      <c r="Q1260" s="197">
        <v>5.0</v>
      </c>
      <c r="R1260" s="197">
        <v>5.0</v>
      </c>
      <c r="S1260" s="197">
        <v>5.0</v>
      </c>
      <c r="T1260" s="197">
        <v>5.0</v>
      </c>
      <c r="U1260" s="197">
        <v>5.0</v>
      </c>
      <c r="V1260" s="197">
        <v>5.0</v>
      </c>
      <c r="W1260" s="197">
        <v>5.0</v>
      </c>
      <c r="X1260" s="196"/>
      <c r="Y1260" s="196"/>
      <c r="Z1260" s="196"/>
      <c r="AA1260" s="196"/>
      <c r="AB1260" s="196"/>
      <c r="AC1260" s="197">
        <v>5.0</v>
      </c>
      <c r="AD1260" s="198"/>
    </row>
    <row r="1261">
      <c r="A1261" s="193">
        <v>106225.0</v>
      </c>
      <c r="B1261" s="194" t="s">
        <v>2712</v>
      </c>
      <c r="C1261" s="192" t="s">
        <v>2713</v>
      </c>
      <c r="D1261" s="195">
        <v>46044.0</v>
      </c>
      <c r="E1261" s="192" t="s">
        <v>360</v>
      </c>
      <c r="F1261" s="196"/>
      <c r="G1261" s="196"/>
      <c r="H1261" s="197">
        <v>5.0</v>
      </c>
      <c r="I1261" s="197">
        <v>5.0</v>
      </c>
      <c r="J1261" s="197">
        <v>5.0</v>
      </c>
      <c r="K1261" s="197">
        <v>5.0</v>
      </c>
      <c r="L1261" s="197">
        <v>5.0</v>
      </c>
      <c r="M1261" s="197">
        <v>5.0</v>
      </c>
      <c r="N1261" s="197">
        <v>5.0</v>
      </c>
      <c r="O1261" s="197">
        <v>5.0</v>
      </c>
      <c r="P1261" s="197">
        <v>5.0</v>
      </c>
      <c r="Q1261" s="197">
        <v>5.0</v>
      </c>
      <c r="R1261" s="197">
        <v>5.0</v>
      </c>
      <c r="S1261" s="197">
        <v>5.0</v>
      </c>
      <c r="T1261" s="197">
        <v>5.0</v>
      </c>
      <c r="U1261" s="197">
        <v>5.0</v>
      </c>
      <c r="V1261" s="197">
        <v>5.0</v>
      </c>
      <c r="W1261" s="197">
        <v>5.0</v>
      </c>
      <c r="X1261" s="196"/>
      <c r="Y1261" s="196"/>
      <c r="Z1261" s="196"/>
      <c r="AA1261" s="196"/>
      <c r="AB1261" s="196"/>
      <c r="AC1261" s="197">
        <v>5.0</v>
      </c>
      <c r="AD1261" s="198"/>
    </row>
    <row r="1262">
      <c r="A1262" s="193">
        <v>106046.0</v>
      </c>
      <c r="B1262" s="194" t="s">
        <v>2714</v>
      </c>
      <c r="C1262" s="192" t="s">
        <v>2715</v>
      </c>
      <c r="D1262" s="195">
        <v>45901.0</v>
      </c>
      <c r="E1262" s="192" t="s">
        <v>767</v>
      </c>
      <c r="F1262" s="196"/>
      <c r="G1262" s="196"/>
      <c r="H1262" s="197">
        <v>5.0</v>
      </c>
      <c r="I1262" s="197">
        <v>5.0</v>
      </c>
      <c r="J1262" s="197">
        <v>5.0</v>
      </c>
      <c r="K1262" s="197">
        <v>5.0</v>
      </c>
      <c r="L1262" s="197">
        <v>5.0</v>
      </c>
      <c r="M1262" s="197">
        <v>5.0</v>
      </c>
      <c r="N1262" s="197">
        <v>5.0</v>
      </c>
      <c r="O1262" s="197">
        <v>5.0</v>
      </c>
      <c r="P1262" s="197">
        <v>5.0</v>
      </c>
      <c r="Q1262" s="197">
        <v>5.0</v>
      </c>
      <c r="R1262" s="197">
        <v>5.0</v>
      </c>
      <c r="S1262" s="197">
        <v>5.0</v>
      </c>
      <c r="T1262" s="197">
        <v>5.0</v>
      </c>
      <c r="U1262" s="197">
        <v>5.0</v>
      </c>
      <c r="V1262" s="197">
        <v>5.0</v>
      </c>
      <c r="W1262" s="197">
        <v>5.0</v>
      </c>
      <c r="X1262" s="196"/>
      <c r="Y1262" s="196"/>
      <c r="Z1262" s="196"/>
      <c r="AA1262" s="196"/>
      <c r="AB1262" s="196"/>
      <c r="AC1262" s="197">
        <v>5.0</v>
      </c>
      <c r="AD1262" s="198"/>
    </row>
    <row r="1263">
      <c r="A1263" s="193">
        <v>106523.0</v>
      </c>
      <c r="B1263" s="194" t="s">
        <v>2579</v>
      </c>
      <c r="C1263" s="192" t="s">
        <v>2580</v>
      </c>
      <c r="D1263" s="195">
        <v>46037.0</v>
      </c>
      <c r="E1263" s="192" t="s">
        <v>1547</v>
      </c>
      <c r="F1263" s="196"/>
      <c r="G1263" s="196"/>
      <c r="H1263" s="197">
        <v>5.0</v>
      </c>
      <c r="I1263" s="197">
        <v>5.0</v>
      </c>
      <c r="J1263" s="197">
        <v>5.0</v>
      </c>
      <c r="K1263" s="197">
        <v>5.0</v>
      </c>
      <c r="L1263" s="197">
        <v>5.0</v>
      </c>
      <c r="M1263" s="197">
        <v>5.0</v>
      </c>
      <c r="N1263" s="197">
        <v>5.0</v>
      </c>
      <c r="O1263" s="197">
        <v>5.0</v>
      </c>
      <c r="P1263" s="197">
        <v>5.0</v>
      </c>
      <c r="Q1263" s="197">
        <v>5.0</v>
      </c>
      <c r="R1263" s="197">
        <v>5.0</v>
      </c>
      <c r="S1263" s="197">
        <v>5.0</v>
      </c>
      <c r="T1263" s="197">
        <v>5.0</v>
      </c>
      <c r="U1263" s="197">
        <v>5.0</v>
      </c>
      <c r="V1263" s="197">
        <v>5.0</v>
      </c>
      <c r="W1263" s="197">
        <v>5.0</v>
      </c>
      <c r="X1263" s="196"/>
      <c r="Y1263" s="196"/>
      <c r="Z1263" s="196"/>
      <c r="AA1263" s="196"/>
      <c r="AB1263" s="196"/>
      <c r="AC1263" s="197">
        <v>5.0</v>
      </c>
      <c r="AD1263" s="198"/>
    </row>
    <row r="1264">
      <c r="A1264" s="193">
        <v>104338.0</v>
      </c>
      <c r="B1264" s="194" t="s">
        <v>2716</v>
      </c>
      <c r="C1264" s="192" t="s">
        <v>2717</v>
      </c>
      <c r="D1264" s="195">
        <v>45471.0</v>
      </c>
      <c r="E1264" s="192" t="s">
        <v>193</v>
      </c>
      <c r="F1264" s="196"/>
      <c r="G1264" s="196"/>
      <c r="H1264" s="197">
        <v>5.0</v>
      </c>
      <c r="I1264" s="197">
        <v>4.5</v>
      </c>
      <c r="J1264" s="197">
        <v>5.0</v>
      </c>
      <c r="K1264" s="197">
        <v>5.0</v>
      </c>
      <c r="L1264" s="197">
        <v>4.5</v>
      </c>
      <c r="M1264" s="197">
        <v>4.8</v>
      </c>
      <c r="N1264" s="197">
        <v>5.0</v>
      </c>
      <c r="O1264" s="197">
        <v>4.5</v>
      </c>
      <c r="P1264" s="197">
        <v>5.0</v>
      </c>
      <c r="Q1264" s="197">
        <v>5.0</v>
      </c>
      <c r="R1264" s="197">
        <v>4.833333333333333</v>
      </c>
      <c r="S1264" s="197">
        <v>5.0</v>
      </c>
      <c r="T1264" s="197">
        <v>4.5</v>
      </c>
      <c r="U1264" s="197">
        <v>5.0</v>
      </c>
      <c r="V1264" s="197">
        <v>5.0</v>
      </c>
      <c r="W1264" s="197">
        <v>4.875</v>
      </c>
      <c r="X1264" s="196"/>
      <c r="Y1264" s="196"/>
      <c r="Z1264" s="196"/>
      <c r="AA1264" s="196"/>
      <c r="AB1264" s="196"/>
      <c r="AC1264" s="197">
        <v>4.836111111111111</v>
      </c>
      <c r="AD1264" s="198"/>
    </row>
    <row r="1265">
      <c r="A1265" s="193">
        <v>105904.0</v>
      </c>
      <c r="B1265" s="194" t="s">
        <v>2718</v>
      </c>
      <c r="C1265" s="192" t="s">
        <v>2719</v>
      </c>
      <c r="D1265" s="195">
        <v>45842.0</v>
      </c>
      <c r="E1265" s="192" t="s">
        <v>767</v>
      </c>
      <c r="F1265" s="196"/>
      <c r="G1265" s="196"/>
      <c r="H1265" s="197">
        <v>5.0</v>
      </c>
      <c r="I1265" s="197">
        <v>5.0</v>
      </c>
      <c r="J1265" s="197">
        <v>5.0</v>
      </c>
      <c r="K1265" s="197">
        <v>5.0</v>
      </c>
      <c r="L1265" s="197">
        <v>5.0</v>
      </c>
      <c r="M1265" s="197">
        <v>5.0</v>
      </c>
      <c r="N1265" s="197">
        <v>5.0</v>
      </c>
      <c r="O1265" s="197">
        <v>5.0</v>
      </c>
      <c r="P1265" s="197">
        <v>5.0</v>
      </c>
      <c r="Q1265" s="197">
        <v>5.0</v>
      </c>
      <c r="R1265" s="197">
        <v>5.0</v>
      </c>
      <c r="S1265" s="197">
        <v>5.0</v>
      </c>
      <c r="T1265" s="197">
        <v>5.0</v>
      </c>
      <c r="U1265" s="197">
        <v>5.0</v>
      </c>
      <c r="V1265" s="197">
        <v>5.0</v>
      </c>
      <c r="W1265" s="197">
        <v>5.0</v>
      </c>
      <c r="X1265" s="196"/>
      <c r="Y1265" s="196"/>
      <c r="Z1265" s="196"/>
      <c r="AA1265" s="196"/>
      <c r="AB1265" s="196"/>
      <c r="AC1265" s="197">
        <v>5.0</v>
      </c>
      <c r="AD1265" s="198"/>
    </row>
    <row r="1266">
      <c r="A1266" s="193">
        <v>105906.0</v>
      </c>
      <c r="B1266" s="194" t="s">
        <v>2720</v>
      </c>
      <c r="C1266" s="192" t="s">
        <v>2721</v>
      </c>
      <c r="D1266" s="195">
        <v>45842.0</v>
      </c>
      <c r="E1266" s="192" t="s">
        <v>767</v>
      </c>
      <c r="F1266" s="196"/>
      <c r="G1266" s="196"/>
      <c r="H1266" s="197">
        <v>5.0</v>
      </c>
      <c r="I1266" s="197">
        <v>5.0</v>
      </c>
      <c r="J1266" s="197">
        <v>5.0</v>
      </c>
      <c r="K1266" s="197">
        <v>5.0</v>
      </c>
      <c r="L1266" s="197">
        <v>5.0</v>
      </c>
      <c r="M1266" s="197">
        <v>5.0</v>
      </c>
      <c r="N1266" s="197">
        <v>5.0</v>
      </c>
      <c r="O1266" s="197">
        <v>5.0</v>
      </c>
      <c r="P1266" s="197">
        <v>5.0</v>
      </c>
      <c r="Q1266" s="197">
        <v>5.0</v>
      </c>
      <c r="R1266" s="197">
        <v>5.0</v>
      </c>
      <c r="S1266" s="197">
        <v>5.0</v>
      </c>
      <c r="T1266" s="197">
        <v>5.0</v>
      </c>
      <c r="U1266" s="197">
        <v>5.0</v>
      </c>
      <c r="V1266" s="197">
        <v>5.0</v>
      </c>
      <c r="W1266" s="197">
        <v>5.0</v>
      </c>
      <c r="X1266" s="196"/>
      <c r="Y1266" s="196"/>
      <c r="Z1266" s="196"/>
      <c r="AA1266" s="196"/>
      <c r="AB1266" s="196"/>
      <c r="AC1266" s="197">
        <v>5.0</v>
      </c>
      <c r="AD1266" s="198"/>
    </row>
    <row r="1267">
      <c r="A1267" s="193">
        <v>106030.0</v>
      </c>
      <c r="B1267" s="194" t="s">
        <v>2722</v>
      </c>
      <c r="C1267" s="192" t="s">
        <v>2723</v>
      </c>
      <c r="D1267" s="195">
        <v>45880.0</v>
      </c>
      <c r="E1267" s="192" t="s">
        <v>767</v>
      </c>
      <c r="F1267" s="196"/>
      <c r="G1267" s="196"/>
      <c r="H1267" s="197">
        <v>5.0</v>
      </c>
      <c r="I1267" s="197">
        <v>5.0</v>
      </c>
      <c r="J1267" s="197">
        <v>5.0</v>
      </c>
      <c r="K1267" s="197">
        <v>5.0</v>
      </c>
      <c r="L1267" s="197">
        <v>5.0</v>
      </c>
      <c r="M1267" s="197">
        <v>5.0</v>
      </c>
      <c r="N1267" s="197">
        <v>5.0</v>
      </c>
      <c r="O1267" s="197">
        <v>5.0</v>
      </c>
      <c r="P1267" s="197">
        <v>5.0</v>
      </c>
      <c r="Q1267" s="197">
        <v>5.0</v>
      </c>
      <c r="R1267" s="197">
        <v>5.0</v>
      </c>
      <c r="S1267" s="197">
        <v>5.0</v>
      </c>
      <c r="T1267" s="197">
        <v>5.0</v>
      </c>
      <c r="U1267" s="197">
        <v>5.0</v>
      </c>
      <c r="V1267" s="197">
        <v>5.0</v>
      </c>
      <c r="W1267" s="197">
        <v>5.0</v>
      </c>
      <c r="X1267" s="196"/>
      <c r="Y1267" s="196"/>
      <c r="Z1267" s="196"/>
      <c r="AA1267" s="196"/>
      <c r="AB1267" s="196"/>
      <c r="AC1267" s="197">
        <v>5.0</v>
      </c>
      <c r="AD1267" s="198"/>
    </row>
    <row r="1268">
      <c r="A1268" s="193">
        <v>106031.0</v>
      </c>
      <c r="B1268" s="194" t="s">
        <v>2724</v>
      </c>
      <c r="C1268" s="192" t="s">
        <v>2725</v>
      </c>
      <c r="D1268" s="195">
        <v>45880.0</v>
      </c>
      <c r="E1268" s="192" t="s">
        <v>767</v>
      </c>
      <c r="F1268" s="196"/>
      <c r="G1268" s="196"/>
      <c r="H1268" s="197">
        <v>5.0</v>
      </c>
      <c r="I1268" s="197">
        <v>5.0</v>
      </c>
      <c r="J1268" s="197">
        <v>5.0</v>
      </c>
      <c r="K1268" s="197">
        <v>5.0</v>
      </c>
      <c r="L1268" s="197">
        <v>5.0</v>
      </c>
      <c r="M1268" s="197">
        <v>5.0</v>
      </c>
      <c r="N1268" s="197">
        <v>5.0</v>
      </c>
      <c r="O1268" s="197">
        <v>5.0</v>
      </c>
      <c r="P1268" s="197">
        <v>5.0</v>
      </c>
      <c r="Q1268" s="197">
        <v>5.0</v>
      </c>
      <c r="R1268" s="197">
        <v>5.0</v>
      </c>
      <c r="S1268" s="197">
        <v>5.0</v>
      </c>
      <c r="T1268" s="197">
        <v>5.0</v>
      </c>
      <c r="U1268" s="197">
        <v>5.0</v>
      </c>
      <c r="V1268" s="197">
        <v>5.0</v>
      </c>
      <c r="W1268" s="197">
        <v>5.0</v>
      </c>
      <c r="X1268" s="196"/>
      <c r="Y1268" s="196"/>
      <c r="Z1268" s="196"/>
      <c r="AA1268" s="196"/>
      <c r="AB1268" s="196"/>
      <c r="AC1268" s="197">
        <v>5.0</v>
      </c>
      <c r="AD1268" s="198"/>
    </row>
    <row r="1269">
      <c r="A1269" s="193">
        <v>105946.0</v>
      </c>
      <c r="B1269" s="194" t="s">
        <v>2726</v>
      </c>
      <c r="C1269" s="192" t="s">
        <v>2727</v>
      </c>
      <c r="D1269" s="195">
        <v>45838.0</v>
      </c>
      <c r="E1269" s="192" t="s">
        <v>767</v>
      </c>
      <c r="F1269" s="196"/>
      <c r="G1269" s="196"/>
      <c r="H1269" s="197">
        <v>5.0</v>
      </c>
      <c r="I1269" s="197">
        <v>5.0</v>
      </c>
      <c r="J1269" s="197">
        <v>5.0</v>
      </c>
      <c r="K1269" s="197">
        <v>5.0</v>
      </c>
      <c r="L1269" s="197">
        <v>5.0</v>
      </c>
      <c r="M1269" s="197">
        <v>5.0</v>
      </c>
      <c r="N1269" s="197">
        <v>5.0</v>
      </c>
      <c r="O1269" s="197">
        <v>5.0</v>
      </c>
      <c r="P1269" s="197">
        <v>5.0</v>
      </c>
      <c r="Q1269" s="197">
        <v>5.0</v>
      </c>
      <c r="R1269" s="197">
        <v>5.0</v>
      </c>
      <c r="S1269" s="197">
        <v>5.0</v>
      </c>
      <c r="T1269" s="197">
        <v>5.0</v>
      </c>
      <c r="U1269" s="197">
        <v>5.0</v>
      </c>
      <c r="V1269" s="197">
        <v>5.0</v>
      </c>
      <c r="W1269" s="197">
        <v>5.0</v>
      </c>
      <c r="X1269" s="196"/>
      <c r="Y1269" s="196"/>
      <c r="Z1269" s="196"/>
      <c r="AA1269" s="196"/>
      <c r="AB1269" s="196"/>
      <c r="AC1269" s="197">
        <v>5.0</v>
      </c>
      <c r="AD1269" s="198"/>
    </row>
    <row r="1270">
      <c r="A1270" s="193">
        <v>105911.0</v>
      </c>
      <c r="B1270" s="194" t="s">
        <v>2728</v>
      </c>
      <c r="C1270" s="192" t="s">
        <v>2729</v>
      </c>
      <c r="D1270" s="195">
        <v>45838.0</v>
      </c>
      <c r="E1270" s="192" t="s">
        <v>767</v>
      </c>
      <c r="F1270" s="196"/>
      <c r="G1270" s="196"/>
      <c r="H1270" s="197">
        <v>5.0</v>
      </c>
      <c r="I1270" s="197">
        <v>5.0</v>
      </c>
      <c r="J1270" s="197">
        <v>5.0</v>
      </c>
      <c r="K1270" s="197">
        <v>5.0</v>
      </c>
      <c r="L1270" s="197">
        <v>5.0</v>
      </c>
      <c r="M1270" s="197">
        <v>5.0</v>
      </c>
      <c r="N1270" s="197">
        <v>5.0</v>
      </c>
      <c r="O1270" s="197">
        <v>5.0</v>
      </c>
      <c r="P1270" s="197">
        <v>5.0</v>
      </c>
      <c r="Q1270" s="197">
        <v>5.0</v>
      </c>
      <c r="R1270" s="197">
        <v>5.0</v>
      </c>
      <c r="S1270" s="197">
        <v>5.0</v>
      </c>
      <c r="T1270" s="197">
        <v>5.0</v>
      </c>
      <c r="U1270" s="197">
        <v>5.0</v>
      </c>
      <c r="V1270" s="197">
        <v>5.0</v>
      </c>
      <c r="W1270" s="197">
        <v>5.0</v>
      </c>
      <c r="X1270" s="196"/>
      <c r="Y1270" s="196"/>
      <c r="Z1270" s="196"/>
      <c r="AA1270" s="196"/>
      <c r="AB1270" s="196"/>
      <c r="AC1270" s="197">
        <v>5.0</v>
      </c>
      <c r="AD1270" s="198"/>
    </row>
    <row r="1271">
      <c r="A1271" s="193">
        <v>105910.0</v>
      </c>
      <c r="B1271" s="194" t="s">
        <v>2730</v>
      </c>
      <c r="C1271" s="192" t="s">
        <v>2731</v>
      </c>
      <c r="D1271" s="195">
        <v>45838.0</v>
      </c>
      <c r="E1271" s="192" t="s">
        <v>767</v>
      </c>
      <c r="F1271" s="196"/>
      <c r="G1271" s="196"/>
      <c r="H1271" s="197">
        <v>5.0</v>
      </c>
      <c r="I1271" s="197">
        <v>5.0</v>
      </c>
      <c r="J1271" s="197">
        <v>5.0</v>
      </c>
      <c r="K1271" s="197">
        <v>5.0</v>
      </c>
      <c r="L1271" s="197">
        <v>5.0</v>
      </c>
      <c r="M1271" s="197">
        <v>5.0</v>
      </c>
      <c r="N1271" s="197">
        <v>5.0</v>
      </c>
      <c r="O1271" s="197">
        <v>5.0</v>
      </c>
      <c r="P1271" s="197">
        <v>5.0</v>
      </c>
      <c r="Q1271" s="197">
        <v>5.0</v>
      </c>
      <c r="R1271" s="197">
        <v>5.0</v>
      </c>
      <c r="S1271" s="197">
        <v>5.0</v>
      </c>
      <c r="T1271" s="197">
        <v>5.0</v>
      </c>
      <c r="U1271" s="197">
        <v>5.0</v>
      </c>
      <c r="V1271" s="197">
        <v>5.0</v>
      </c>
      <c r="W1271" s="197">
        <v>5.0</v>
      </c>
      <c r="X1271" s="196"/>
      <c r="Y1271" s="196"/>
      <c r="Z1271" s="196"/>
      <c r="AA1271" s="196"/>
      <c r="AB1271" s="196"/>
      <c r="AC1271" s="197">
        <v>5.0</v>
      </c>
      <c r="AD1271" s="198"/>
    </row>
    <row r="1272">
      <c r="A1272" s="193">
        <v>105909.0</v>
      </c>
      <c r="B1272" s="194" t="s">
        <v>2732</v>
      </c>
      <c r="C1272" s="192" t="s">
        <v>2733</v>
      </c>
      <c r="D1272" s="195">
        <v>45838.0</v>
      </c>
      <c r="E1272" s="192" t="s">
        <v>767</v>
      </c>
      <c r="F1272" s="196"/>
      <c r="G1272" s="196"/>
      <c r="H1272" s="197">
        <v>5.0</v>
      </c>
      <c r="I1272" s="197">
        <v>5.0</v>
      </c>
      <c r="J1272" s="197">
        <v>5.0</v>
      </c>
      <c r="K1272" s="197">
        <v>5.0</v>
      </c>
      <c r="L1272" s="197">
        <v>5.0</v>
      </c>
      <c r="M1272" s="197">
        <v>5.0</v>
      </c>
      <c r="N1272" s="197">
        <v>5.0</v>
      </c>
      <c r="O1272" s="197">
        <v>5.0</v>
      </c>
      <c r="P1272" s="197">
        <v>5.0</v>
      </c>
      <c r="Q1272" s="197">
        <v>5.0</v>
      </c>
      <c r="R1272" s="197">
        <v>5.0</v>
      </c>
      <c r="S1272" s="197">
        <v>5.0</v>
      </c>
      <c r="T1272" s="197">
        <v>5.0</v>
      </c>
      <c r="U1272" s="197">
        <v>5.0</v>
      </c>
      <c r="V1272" s="197">
        <v>5.0</v>
      </c>
      <c r="W1272" s="197">
        <v>5.0</v>
      </c>
      <c r="X1272" s="196"/>
      <c r="Y1272" s="196"/>
      <c r="Z1272" s="196"/>
      <c r="AA1272" s="196"/>
      <c r="AB1272" s="196"/>
      <c r="AC1272" s="197">
        <v>5.0</v>
      </c>
      <c r="AD1272" s="198"/>
    </row>
    <row r="1273">
      <c r="A1273" s="193">
        <v>105923.0</v>
      </c>
      <c r="B1273" s="194" t="s">
        <v>2734</v>
      </c>
      <c r="C1273" s="192" t="s">
        <v>2735</v>
      </c>
      <c r="D1273" s="195">
        <v>45845.0</v>
      </c>
      <c r="E1273" s="192" t="s">
        <v>767</v>
      </c>
      <c r="F1273" s="196"/>
      <c r="G1273" s="196"/>
      <c r="H1273" s="197">
        <v>5.0</v>
      </c>
      <c r="I1273" s="197">
        <v>5.0</v>
      </c>
      <c r="J1273" s="197">
        <v>5.0</v>
      </c>
      <c r="K1273" s="197">
        <v>5.0</v>
      </c>
      <c r="L1273" s="197">
        <v>5.0</v>
      </c>
      <c r="M1273" s="197">
        <v>5.0</v>
      </c>
      <c r="N1273" s="197">
        <v>5.0</v>
      </c>
      <c r="O1273" s="197">
        <v>5.0</v>
      </c>
      <c r="P1273" s="197">
        <v>5.0</v>
      </c>
      <c r="Q1273" s="197">
        <v>5.0</v>
      </c>
      <c r="R1273" s="197">
        <v>5.0</v>
      </c>
      <c r="S1273" s="197">
        <v>5.0</v>
      </c>
      <c r="T1273" s="197">
        <v>5.0</v>
      </c>
      <c r="U1273" s="197">
        <v>5.0</v>
      </c>
      <c r="V1273" s="197">
        <v>5.0</v>
      </c>
      <c r="W1273" s="197">
        <v>5.0</v>
      </c>
      <c r="X1273" s="196"/>
      <c r="Y1273" s="196"/>
      <c r="Z1273" s="196"/>
      <c r="AA1273" s="196"/>
      <c r="AB1273" s="196"/>
      <c r="AC1273" s="197">
        <v>5.0</v>
      </c>
      <c r="AD1273" s="198"/>
    </row>
    <row r="1274">
      <c r="A1274" s="193">
        <v>105927.0</v>
      </c>
      <c r="B1274" s="194" t="s">
        <v>2736</v>
      </c>
      <c r="C1274" s="192" t="s">
        <v>2737</v>
      </c>
      <c r="D1274" s="195">
        <v>45840.0</v>
      </c>
      <c r="E1274" s="192" t="s">
        <v>767</v>
      </c>
      <c r="F1274" s="196"/>
      <c r="G1274" s="196"/>
      <c r="H1274" s="197">
        <v>5.0</v>
      </c>
      <c r="I1274" s="197">
        <v>5.0</v>
      </c>
      <c r="J1274" s="197">
        <v>5.0</v>
      </c>
      <c r="K1274" s="197">
        <v>5.0</v>
      </c>
      <c r="L1274" s="197">
        <v>5.0</v>
      </c>
      <c r="M1274" s="197">
        <v>5.0</v>
      </c>
      <c r="N1274" s="197">
        <v>5.0</v>
      </c>
      <c r="O1274" s="197">
        <v>5.0</v>
      </c>
      <c r="P1274" s="197">
        <v>5.0</v>
      </c>
      <c r="Q1274" s="197">
        <v>5.0</v>
      </c>
      <c r="R1274" s="197">
        <v>5.0</v>
      </c>
      <c r="S1274" s="197">
        <v>5.0</v>
      </c>
      <c r="T1274" s="197">
        <v>5.0</v>
      </c>
      <c r="U1274" s="197">
        <v>5.0</v>
      </c>
      <c r="V1274" s="197">
        <v>5.0</v>
      </c>
      <c r="W1274" s="197">
        <v>5.0</v>
      </c>
      <c r="X1274" s="196"/>
      <c r="Y1274" s="196"/>
      <c r="Z1274" s="196"/>
      <c r="AA1274" s="196"/>
      <c r="AB1274" s="196"/>
      <c r="AC1274" s="197">
        <v>5.0</v>
      </c>
      <c r="AD1274" s="198"/>
    </row>
    <row r="1275">
      <c r="A1275" s="193">
        <v>105926.0</v>
      </c>
      <c r="B1275" s="194" t="s">
        <v>2738</v>
      </c>
      <c r="C1275" s="192" t="s">
        <v>2739</v>
      </c>
      <c r="D1275" s="195">
        <v>45846.0</v>
      </c>
      <c r="E1275" s="192" t="s">
        <v>767</v>
      </c>
      <c r="F1275" s="196"/>
      <c r="G1275" s="196"/>
      <c r="H1275" s="197">
        <v>5.0</v>
      </c>
      <c r="I1275" s="197">
        <v>5.0</v>
      </c>
      <c r="J1275" s="197">
        <v>5.0</v>
      </c>
      <c r="K1275" s="197">
        <v>5.0</v>
      </c>
      <c r="L1275" s="197">
        <v>5.0</v>
      </c>
      <c r="M1275" s="197">
        <v>5.0</v>
      </c>
      <c r="N1275" s="197">
        <v>5.0</v>
      </c>
      <c r="O1275" s="197">
        <v>5.0</v>
      </c>
      <c r="P1275" s="197">
        <v>5.0</v>
      </c>
      <c r="Q1275" s="197">
        <v>5.0</v>
      </c>
      <c r="R1275" s="197">
        <v>5.0</v>
      </c>
      <c r="S1275" s="197">
        <v>5.0</v>
      </c>
      <c r="T1275" s="197">
        <v>5.0</v>
      </c>
      <c r="U1275" s="197">
        <v>5.0</v>
      </c>
      <c r="V1275" s="197">
        <v>5.0</v>
      </c>
      <c r="W1275" s="197">
        <v>5.0</v>
      </c>
      <c r="X1275" s="196"/>
      <c r="Y1275" s="196"/>
      <c r="Z1275" s="196"/>
      <c r="AA1275" s="196"/>
      <c r="AB1275" s="196"/>
      <c r="AC1275" s="197">
        <v>5.0</v>
      </c>
      <c r="AD1275" s="198"/>
    </row>
    <row r="1276">
      <c r="A1276" s="193">
        <v>105922.0</v>
      </c>
      <c r="B1276" s="194" t="s">
        <v>2740</v>
      </c>
      <c r="C1276" s="192" t="s">
        <v>2741</v>
      </c>
      <c r="D1276" s="195">
        <v>45840.0</v>
      </c>
      <c r="E1276" s="192" t="s">
        <v>767</v>
      </c>
      <c r="F1276" s="196"/>
      <c r="G1276" s="196"/>
      <c r="H1276" s="197">
        <v>5.0</v>
      </c>
      <c r="I1276" s="197">
        <v>5.0</v>
      </c>
      <c r="J1276" s="197">
        <v>5.0</v>
      </c>
      <c r="K1276" s="197">
        <v>5.0</v>
      </c>
      <c r="L1276" s="197">
        <v>5.0</v>
      </c>
      <c r="M1276" s="197">
        <v>5.0</v>
      </c>
      <c r="N1276" s="197">
        <v>5.0</v>
      </c>
      <c r="O1276" s="197">
        <v>5.0</v>
      </c>
      <c r="P1276" s="197">
        <v>5.0</v>
      </c>
      <c r="Q1276" s="197">
        <v>5.0</v>
      </c>
      <c r="R1276" s="197">
        <v>5.0</v>
      </c>
      <c r="S1276" s="197">
        <v>5.0</v>
      </c>
      <c r="T1276" s="197">
        <v>5.0</v>
      </c>
      <c r="U1276" s="197">
        <v>5.0</v>
      </c>
      <c r="V1276" s="197">
        <v>5.0</v>
      </c>
      <c r="W1276" s="197">
        <v>5.0</v>
      </c>
      <c r="X1276" s="196"/>
      <c r="Y1276" s="196"/>
      <c r="Z1276" s="196"/>
      <c r="AA1276" s="196"/>
      <c r="AB1276" s="196"/>
      <c r="AC1276" s="197">
        <v>5.0</v>
      </c>
      <c r="AD1276" s="198"/>
    </row>
    <row r="1277">
      <c r="A1277" s="193">
        <v>104862.0</v>
      </c>
      <c r="B1277" s="194" t="s">
        <v>2742</v>
      </c>
      <c r="C1277" s="192" t="s">
        <v>2743</v>
      </c>
      <c r="D1277" s="195">
        <v>45604.0</v>
      </c>
      <c r="E1277" s="192" t="s">
        <v>2199</v>
      </c>
      <c r="F1277" s="196"/>
      <c r="G1277" s="196"/>
      <c r="H1277" s="197">
        <v>3.0</v>
      </c>
      <c r="I1277" s="197">
        <v>4.5</v>
      </c>
      <c r="J1277" s="197">
        <v>5.0</v>
      </c>
      <c r="K1277" s="197">
        <v>3.5</v>
      </c>
      <c r="L1277" s="197">
        <v>5.0</v>
      </c>
      <c r="M1277" s="197">
        <v>4.2</v>
      </c>
      <c r="N1277" s="197">
        <v>3.0</v>
      </c>
      <c r="O1277" s="197">
        <v>4.0</v>
      </c>
      <c r="P1277" s="197">
        <v>2.0</v>
      </c>
      <c r="Q1277" s="197">
        <v>3.5</v>
      </c>
      <c r="R1277" s="197">
        <v>3.0</v>
      </c>
      <c r="S1277" s="197">
        <v>3.5</v>
      </c>
      <c r="T1277" s="197">
        <v>3.5</v>
      </c>
      <c r="U1277" s="197">
        <v>3.5</v>
      </c>
      <c r="V1277" s="197">
        <v>3.5</v>
      </c>
      <c r="W1277" s="197">
        <v>3.5</v>
      </c>
      <c r="X1277" s="196"/>
      <c r="Y1277" s="196"/>
      <c r="Z1277" s="196"/>
      <c r="AA1277" s="196"/>
      <c r="AB1277" s="196"/>
      <c r="AC1277" s="197">
        <v>3.5666666666666664</v>
      </c>
      <c r="AD1277" s="198"/>
    </row>
    <row r="1278">
      <c r="A1278" s="193">
        <v>106012.0</v>
      </c>
      <c r="B1278" s="194" t="s">
        <v>2744</v>
      </c>
      <c r="C1278" s="192" t="s">
        <v>2745</v>
      </c>
      <c r="D1278" s="195">
        <v>45899.0</v>
      </c>
      <c r="E1278" s="192" t="s">
        <v>312</v>
      </c>
      <c r="F1278" s="196"/>
      <c r="G1278" s="196"/>
      <c r="H1278" s="197">
        <v>5.0</v>
      </c>
      <c r="I1278" s="197">
        <v>4.5</v>
      </c>
      <c r="J1278" s="197">
        <v>5.0</v>
      </c>
      <c r="K1278" s="197">
        <v>5.0</v>
      </c>
      <c r="L1278" s="197">
        <v>5.0</v>
      </c>
      <c r="M1278" s="197">
        <v>4.9</v>
      </c>
      <c r="N1278" s="197">
        <v>5.0</v>
      </c>
      <c r="O1278" s="197">
        <v>4.0</v>
      </c>
      <c r="P1278" s="197">
        <v>5.0</v>
      </c>
      <c r="Q1278" s="197">
        <v>5.0</v>
      </c>
      <c r="R1278" s="197">
        <v>4.666666666666667</v>
      </c>
      <c r="S1278" s="197">
        <v>5.0</v>
      </c>
      <c r="T1278" s="197">
        <v>5.0</v>
      </c>
      <c r="U1278" s="197">
        <v>5.0</v>
      </c>
      <c r="V1278" s="197">
        <v>5.0</v>
      </c>
      <c r="W1278" s="197">
        <v>5.0</v>
      </c>
      <c r="X1278" s="196"/>
      <c r="Y1278" s="196"/>
      <c r="Z1278" s="196"/>
      <c r="AA1278" s="196"/>
      <c r="AB1278" s="196"/>
      <c r="AC1278" s="197">
        <v>4.855555555555555</v>
      </c>
      <c r="AD1278" s="198"/>
    </row>
    <row r="1279">
      <c r="A1279" s="193">
        <v>106096.0</v>
      </c>
      <c r="B1279" s="194" t="s">
        <v>2404</v>
      </c>
      <c r="C1279" s="192" t="s">
        <v>2405</v>
      </c>
      <c r="D1279" s="195">
        <v>45889.0</v>
      </c>
      <c r="E1279" s="192" t="s">
        <v>254</v>
      </c>
      <c r="F1279" s="196"/>
      <c r="G1279" s="196"/>
      <c r="H1279" s="197">
        <v>5.0</v>
      </c>
      <c r="I1279" s="197">
        <v>5.0</v>
      </c>
      <c r="J1279" s="197">
        <v>5.0</v>
      </c>
      <c r="K1279" s="197">
        <v>5.0</v>
      </c>
      <c r="L1279" s="197">
        <v>5.0</v>
      </c>
      <c r="M1279" s="197">
        <v>5.0</v>
      </c>
      <c r="N1279" s="197">
        <v>5.0</v>
      </c>
      <c r="O1279" s="197">
        <v>5.0</v>
      </c>
      <c r="P1279" s="197">
        <v>5.0</v>
      </c>
      <c r="Q1279" s="197">
        <v>5.0</v>
      </c>
      <c r="R1279" s="197">
        <v>5.0</v>
      </c>
      <c r="S1279" s="197">
        <v>5.0</v>
      </c>
      <c r="T1279" s="197">
        <v>5.0</v>
      </c>
      <c r="U1279" s="197">
        <v>5.0</v>
      </c>
      <c r="V1279" s="197">
        <v>5.0</v>
      </c>
      <c r="W1279" s="197">
        <v>5.0</v>
      </c>
      <c r="X1279" s="196"/>
      <c r="Y1279" s="196"/>
      <c r="Z1279" s="196"/>
      <c r="AA1279" s="196"/>
      <c r="AB1279" s="196"/>
      <c r="AC1279" s="197">
        <v>5.0</v>
      </c>
      <c r="AD1279" s="198"/>
    </row>
    <row r="1280">
      <c r="A1280" s="193">
        <v>105693.0</v>
      </c>
      <c r="B1280" s="194" t="s">
        <v>2402</v>
      </c>
      <c r="C1280" s="192" t="s">
        <v>2403</v>
      </c>
      <c r="D1280" s="244" t="s">
        <v>2746</v>
      </c>
      <c r="E1280" s="192" t="s">
        <v>113</v>
      </c>
      <c r="F1280" s="196"/>
      <c r="G1280" s="196"/>
      <c r="H1280" s="197">
        <v>5.0</v>
      </c>
      <c r="I1280" s="197">
        <v>5.0</v>
      </c>
      <c r="J1280" s="197">
        <v>5.0</v>
      </c>
      <c r="K1280" s="197">
        <v>5.0</v>
      </c>
      <c r="L1280" s="197">
        <v>5.0</v>
      </c>
      <c r="M1280" s="197">
        <v>5.0</v>
      </c>
      <c r="N1280" s="197">
        <v>5.0</v>
      </c>
      <c r="O1280" s="197">
        <v>5.0</v>
      </c>
      <c r="P1280" s="197">
        <v>5.0</v>
      </c>
      <c r="Q1280" s="197">
        <v>5.0</v>
      </c>
      <c r="R1280" s="197">
        <v>5.0</v>
      </c>
      <c r="S1280" s="197">
        <v>5.0</v>
      </c>
      <c r="T1280" s="197">
        <v>5.0</v>
      </c>
      <c r="U1280" s="197">
        <v>5.0</v>
      </c>
      <c r="V1280" s="197">
        <v>5.0</v>
      </c>
      <c r="W1280" s="197">
        <v>5.0</v>
      </c>
      <c r="X1280" s="196"/>
      <c r="Y1280" s="196"/>
      <c r="Z1280" s="196"/>
      <c r="AA1280" s="196"/>
      <c r="AB1280" s="196"/>
      <c r="AC1280" s="197">
        <v>5.0</v>
      </c>
      <c r="AD1280" s="198"/>
    </row>
    <row r="1281">
      <c r="A1281" s="193">
        <v>105972.0</v>
      </c>
      <c r="B1281" s="194" t="s">
        <v>2747</v>
      </c>
      <c r="C1281" s="192" t="s">
        <v>2485</v>
      </c>
      <c r="D1281" s="195">
        <v>45846.0</v>
      </c>
      <c r="E1281" s="192" t="s">
        <v>806</v>
      </c>
      <c r="F1281" s="196"/>
      <c r="G1281" s="196"/>
      <c r="H1281" s="197">
        <v>5.0</v>
      </c>
      <c r="I1281" s="197">
        <v>5.0</v>
      </c>
      <c r="J1281" s="197">
        <v>5.0</v>
      </c>
      <c r="K1281" s="197">
        <v>5.0</v>
      </c>
      <c r="L1281" s="197">
        <v>5.0</v>
      </c>
      <c r="M1281" s="197">
        <v>5.0</v>
      </c>
      <c r="N1281" s="197">
        <v>5.0</v>
      </c>
      <c r="O1281" s="197">
        <v>5.0</v>
      </c>
      <c r="P1281" s="197">
        <v>5.0</v>
      </c>
      <c r="Q1281" s="197">
        <v>5.0</v>
      </c>
      <c r="R1281" s="197">
        <v>5.0</v>
      </c>
      <c r="S1281" s="197">
        <v>5.0</v>
      </c>
      <c r="T1281" s="197">
        <v>5.0</v>
      </c>
      <c r="U1281" s="197">
        <v>5.0</v>
      </c>
      <c r="V1281" s="197">
        <v>5.0</v>
      </c>
      <c r="W1281" s="197">
        <v>5.0</v>
      </c>
      <c r="X1281" s="196"/>
      <c r="Y1281" s="196"/>
      <c r="Z1281" s="196"/>
      <c r="AA1281" s="196"/>
      <c r="AB1281" s="196"/>
      <c r="AC1281" s="197">
        <v>5.0</v>
      </c>
      <c r="AD1281" s="198"/>
    </row>
    <row r="1282">
      <c r="A1282" s="193">
        <v>106103.0</v>
      </c>
      <c r="B1282" s="194" t="s">
        <v>2406</v>
      </c>
      <c r="C1282" s="192" t="s">
        <v>2407</v>
      </c>
      <c r="D1282" s="195">
        <v>45889.0</v>
      </c>
      <c r="E1282" s="192" t="s">
        <v>254</v>
      </c>
      <c r="F1282" s="196"/>
      <c r="G1282" s="196"/>
      <c r="H1282" s="197">
        <v>5.0</v>
      </c>
      <c r="I1282" s="197">
        <v>5.0</v>
      </c>
      <c r="J1282" s="197">
        <v>5.0</v>
      </c>
      <c r="K1282" s="197">
        <v>5.0</v>
      </c>
      <c r="L1282" s="197">
        <v>5.0</v>
      </c>
      <c r="M1282" s="197">
        <v>5.0</v>
      </c>
      <c r="N1282" s="197">
        <v>5.0</v>
      </c>
      <c r="O1282" s="197">
        <v>5.0</v>
      </c>
      <c r="P1282" s="197">
        <v>5.0</v>
      </c>
      <c r="Q1282" s="197">
        <v>5.0</v>
      </c>
      <c r="R1282" s="197">
        <v>5.0</v>
      </c>
      <c r="S1282" s="197">
        <v>5.0</v>
      </c>
      <c r="T1282" s="197">
        <v>5.0</v>
      </c>
      <c r="U1282" s="197">
        <v>5.0</v>
      </c>
      <c r="V1282" s="197">
        <v>5.0</v>
      </c>
      <c r="W1282" s="197">
        <v>5.0</v>
      </c>
      <c r="X1282" s="196"/>
      <c r="Y1282" s="196"/>
      <c r="Z1282" s="196"/>
      <c r="AA1282" s="196"/>
      <c r="AB1282" s="196"/>
      <c r="AC1282" s="197">
        <v>5.0</v>
      </c>
      <c r="AD1282" s="198"/>
    </row>
    <row r="1283">
      <c r="A1283" s="193">
        <v>106087.0</v>
      </c>
      <c r="B1283" s="194" t="s">
        <v>2748</v>
      </c>
      <c r="C1283" s="192" t="s">
        <v>2749</v>
      </c>
      <c r="D1283" s="195">
        <v>45890.0</v>
      </c>
      <c r="E1283" s="192" t="s">
        <v>254</v>
      </c>
      <c r="F1283" s="196"/>
      <c r="G1283" s="196"/>
      <c r="H1283" s="197">
        <v>5.0</v>
      </c>
      <c r="I1283" s="197">
        <v>5.0</v>
      </c>
      <c r="J1283" s="197">
        <v>5.0</v>
      </c>
      <c r="K1283" s="197">
        <v>5.0</v>
      </c>
      <c r="L1283" s="197">
        <v>5.0</v>
      </c>
      <c r="M1283" s="197">
        <v>5.0</v>
      </c>
      <c r="N1283" s="197">
        <v>5.0</v>
      </c>
      <c r="O1283" s="197">
        <v>5.0</v>
      </c>
      <c r="P1283" s="197">
        <v>5.0</v>
      </c>
      <c r="Q1283" s="197">
        <v>5.0</v>
      </c>
      <c r="R1283" s="197">
        <v>5.0</v>
      </c>
      <c r="S1283" s="197">
        <v>5.0</v>
      </c>
      <c r="T1283" s="197">
        <v>5.0</v>
      </c>
      <c r="U1283" s="197">
        <v>5.0</v>
      </c>
      <c r="V1283" s="197">
        <v>5.0</v>
      </c>
      <c r="W1283" s="197">
        <v>5.0</v>
      </c>
      <c r="X1283" s="196"/>
      <c r="Y1283" s="196"/>
      <c r="Z1283" s="196"/>
      <c r="AA1283" s="196"/>
      <c r="AB1283" s="196"/>
      <c r="AC1283" s="197">
        <v>5.0</v>
      </c>
      <c r="AD1283" s="198"/>
    </row>
    <row r="1284">
      <c r="A1284" s="193">
        <v>105684.0</v>
      </c>
      <c r="B1284" s="194" t="s">
        <v>2750</v>
      </c>
      <c r="C1284" s="192" t="s">
        <v>2751</v>
      </c>
      <c r="D1284" s="195">
        <v>45863.0</v>
      </c>
      <c r="E1284" s="192" t="s">
        <v>87</v>
      </c>
      <c r="F1284" s="196"/>
      <c r="G1284" s="196"/>
      <c r="H1284" s="197">
        <v>5.0</v>
      </c>
      <c r="I1284" s="197">
        <v>5.0</v>
      </c>
      <c r="J1284" s="197">
        <v>5.0</v>
      </c>
      <c r="K1284" s="197">
        <v>5.0</v>
      </c>
      <c r="L1284" s="197">
        <v>5.0</v>
      </c>
      <c r="M1284" s="197">
        <v>5.0</v>
      </c>
      <c r="N1284" s="197">
        <v>5.0</v>
      </c>
      <c r="O1284" s="197">
        <v>5.0</v>
      </c>
      <c r="P1284" s="197">
        <v>5.0</v>
      </c>
      <c r="Q1284" s="197">
        <v>5.0</v>
      </c>
      <c r="R1284" s="197">
        <v>5.0</v>
      </c>
      <c r="S1284" s="197">
        <v>4.5</v>
      </c>
      <c r="T1284" s="197">
        <v>4.5</v>
      </c>
      <c r="U1284" s="197">
        <v>4.5</v>
      </c>
      <c r="V1284" s="197">
        <v>4.5</v>
      </c>
      <c r="W1284" s="197">
        <v>4.5</v>
      </c>
      <c r="X1284" s="196"/>
      <c r="Y1284" s="196"/>
      <c r="Z1284" s="196"/>
      <c r="AA1284" s="196"/>
      <c r="AB1284" s="196"/>
      <c r="AC1284" s="197">
        <v>4.833333333333333</v>
      </c>
      <c r="AD1284" s="198"/>
    </row>
    <row r="1285">
      <c r="A1285" s="193">
        <v>106265.0</v>
      </c>
      <c r="B1285" s="194" t="s">
        <v>2752</v>
      </c>
      <c r="C1285" s="192" t="s">
        <v>2753</v>
      </c>
      <c r="D1285" s="195">
        <v>45933.0</v>
      </c>
      <c r="E1285" s="192" t="s">
        <v>254</v>
      </c>
      <c r="F1285" s="196"/>
      <c r="G1285" s="196"/>
      <c r="H1285" s="197">
        <v>5.0</v>
      </c>
      <c r="I1285" s="197">
        <v>5.0</v>
      </c>
      <c r="J1285" s="197">
        <v>5.0</v>
      </c>
      <c r="K1285" s="197">
        <v>5.0</v>
      </c>
      <c r="L1285" s="197">
        <v>5.0</v>
      </c>
      <c r="M1285" s="197">
        <v>5.0</v>
      </c>
      <c r="N1285" s="197">
        <v>5.0</v>
      </c>
      <c r="O1285" s="197">
        <v>5.0</v>
      </c>
      <c r="P1285" s="197">
        <v>5.0</v>
      </c>
      <c r="Q1285" s="197">
        <v>5.0</v>
      </c>
      <c r="R1285" s="197">
        <v>5.0</v>
      </c>
      <c r="S1285" s="197">
        <v>4.5</v>
      </c>
      <c r="T1285" s="197">
        <v>4.5</v>
      </c>
      <c r="U1285" s="197">
        <v>4.5</v>
      </c>
      <c r="V1285" s="197">
        <v>4.5</v>
      </c>
      <c r="W1285" s="197">
        <v>4.5</v>
      </c>
      <c r="X1285" s="196"/>
      <c r="Y1285" s="196"/>
      <c r="Z1285" s="196"/>
      <c r="AA1285" s="196"/>
      <c r="AB1285" s="196"/>
      <c r="AC1285" s="197">
        <v>4.833333333333333</v>
      </c>
      <c r="AD1285" s="198"/>
    </row>
    <row r="1286">
      <c r="A1286" s="193">
        <v>106134.0</v>
      </c>
      <c r="B1286" s="194" t="s">
        <v>2754</v>
      </c>
      <c r="C1286" s="192" t="s">
        <v>2755</v>
      </c>
      <c r="D1286" s="195">
        <v>45967.0</v>
      </c>
      <c r="E1286" s="192" t="s">
        <v>193</v>
      </c>
      <c r="F1286" s="196"/>
      <c r="G1286" s="196"/>
      <c r="H1286" s="197">
        <v>5.0</v>
      </c>
      <c r="I1286" s="197">
        <v>5.0</v>
      </c>
      <c r="J1286" s="197">
        <v>5.0</v>
      </c>
      <c r="K1286" s="197">
        <v>5.0</v>
      </c>
      <c r="L1286" s="197">
        <v>5.0</v>
      </c>
      <c r="M1286" s="197">
        <v>5.0</v>
      </c>
      <c r="N1286" s="197">
        <v>5.0</v>
      </c>
      <c r="O1286" s="197">
        <v>5.0</v>
      </c>
      <c r="P1286" s="197">
        <v>5.0</v>
      </c>
      <c r="Q1286" s="197">
        <v>5.0</v>
      </c>
      <c r="R1286" s="197">
        <v>5.0</v>
      </c>
      <c r="S1286" s="197">
        <v>5.0</v>
      </c>
      <c r="T1286" s="197">
        <v>5.0</v>
      </c>
      <c r="U1286" s="197">
        <v>5.0</v>
      </c>
      <c r="V1286" s="197">
        <v>5.0</v>
      </c>
      <c r="W1286" s="197">
        <v>5.0</v>
      </c>
      <c r="X1286" s="196"/>
      <c r="Y1286" s="196"/>
      <c r="Z1286" s="196"/>
      <c r="AA1286" s="196"/>
      <c r="AB1286" s="196"/>
      <c r="AC1286" s="197">
        <v>5.0</v>
      </c>
      <c r="AD1286" s="198"/>
    </row>
    <row r="1287">
      <c r="A1287" s="193">
        <v>106392.0</v>
      </c>
      <c r="B1287" s="194" t="s">
        <v>2756</v>
      </c>
      <c r="C1287" s="192" t="s">
        <v>2757</v>
      </c>
      <c r="D1287" s="195">
        <v>45989.0</v>
      </c>
      <c r="E1287" s="192" t="s">
        <v>193</v>
      </c>
      <c r="F1287" s="196"/>
      <c r="G1287" s="196"/>
      <c r="H1287" s="197">
        <v>5.0</v>
      </c>
      <c r="I1287" s="197">
        <v>5.0</v>
      </c>
      <c r="J1287" s="197">
        <v>5.0</v>
      </c>
      <c r="K1287" s="197">
        <v>5.0</v>
      </c>
      <c r="L1287" s="197">
        <v>5.0</v>
      </c>
      <c r="M1287" s="197">
        <v>5.0</v>
      </c>
      <c r="N1287" s="197">
        <v>5.0</v>
      </c>
      <c r="O1287" s="197">
        <v>5.0</v>
      </c>
      <c r="P1287" s="197">
        <v>5.0</v>
      </c>
      <c r="Q1287" s="197">
        <v>5.0</v>
      </c>
      <c r="R1287" s="197">
        <v>5.0</v>
      </c>
      <c r="S1287" s="197">
        <v>5.0</v>
      </c>
      <c r="T1287" s="197">
        <v>5.0</v>
      </c>
      <c r="U1287" s="197">
        <v>5.0</v>
      </c>
      <c r="V1287" s="197">
        <v>5.0</v>
      </c>
      <c r="W1287" s="197">
        <v>5.0</v>
      </c>
      <c r="X1287" s="196"/>
      <c r="Y1287" s="196"/>
      <c r="Z1287" s="196"/>
      <c r="AA1287" s="196"/>
      <c r="AB1287" s="196"/>
      <c r="AC1287" s="197">
        <v>5.0</v>
      </c>
      <c r="AD1287" s="198"/>
    </row>
    <row r="1288">
      <c r="A1288" s="193">
        <v>106394.0</v>
      </c>
      <c r="B1288" s="194" t="s">
        <v>2758</v>
      </c>
      <c r="C1288" s="192" t="s">
        <v>2759</v>
      </c>
      <c r="D1288" s="195">
        <v>45974.0</v>
      </c>
      <c r="E1288" s="192" t="s">
        <v>2179</v>
      </c>
      <c r="F1288" s="196"/>
      <c r="G1288" s="196"/>
      <c r="H1288" s="197">
        <v>5.0</v>
      </c>
      <c r="I1288" s="197">
        <v>5.0</v>
      </c>
      <c r="J1288" s="197">
        <v>5.0</v>
      </c>
      <c r="K1288" s="197">
        <v>5.0</v>
      </c>
      <c r="L1288" s="197">
        <v>5.0</v>
      </c>
      <c r="M1288" s="197">
        <v>5.0</v>
      </c>
      <c r="N1288" s="197">
        <v>5.0</v>
      </c>
      <c r="O1288" s="197">
        <v>5.0</v>
      </c>
      <c r="P1288" s="197">
        <v>5.0</v>
      </c>
      <c r="Q1288" s="197">
        <v>5.0</v>
      </c>
      <c r="R1288" s="197">
        <v>5.0</v>
      </c>
      <c r="S1288" s="197">
        <v>5.0</v>
      </c>
      <c r="T1288" s="197">
        <v>5.0</v>
      </c>
      <c r="U1288" s="197">
        <v>5.0</v>
      </c>
      <c r="V1288" s="197">
        <v>5.0</v>
      </c>
      <c r="W1288" s="197">
        <v>5.0</v>
      </c>
      <c r="X1288" s="196"/>
      <c r="Y1288" s="196"/>
      <c r="Z1288" s="196"/>
      <c r="AA1288" s="196"/>
      <c r="AB1288" s="196"/>
      <c r="AC1288" s="197">
        <v>5.0</v>
      </c>
      <c r="AD1288" s="198"/>
    </row>
    <row r="1289">
      <c r="A1289" s="193">
        <v>106434.0</v>
      </c>
      <c r="B1289" s="194" t="s">
        <v>2760</v>
      </c>
      <c r="C1289" s="192" t="s">
        <v>2761</v>
      </c>
      <c r="D1289" s="195">
        <v>45992.0</v>
      </c>
      <c r="E1289" s="192" t="s">
        <v>1140</v>
      </c>
      <c r="F1289" s="196"/>
      <c r="G1289" s="196"/>
      <c r="H1289" s="197">
        <v>5.0</v>
      </c>
      <c r="I1289" s="197">
        <v>5.0</v>
      </c>
      <c r="J1289" s="197">
        <v>5.0</v>
      </c>
      <c r="K1289" s="197">
        <v>5.0</v>
      </c>
      <c r="L1289" s="197">
        <v>5.0</v>
      </c>
      <c r="M1289" s="197">
        <v>5.0</v>
      </c>
      <c r="N1289" s="197">
        <v>5.0</v>
      </c>
      <c r="O1289" s="197">
        <v>5.0</v>
      </c>
      <c r="P1289" s="197">
        <v>5.0</v>
      </c>
      <c r="Q1289" s="197">
        <v>5.0</v>
      </c>
      <c r="R1289" s="197">
        <v>5.0</v>
      </c>
      <c r="S1289" s="197">
        <v>5.0</v>
      </c>
      <c r="T1289" s="197">
        <v>5.0</v>
      </c>
      <c r="U1289" s="197">
        <v>5.0</v>
      </c>
      <c r="V1289" s="197">
        <v>5.0</v>
      </c>
      <c r="W1289" s="197">
        <v>5.0</v>
      </c>
      <c r="X1289" s="196"/>
      <c r="Y1289" s="196"/>
      <c r="Z1289" s="196"/>
      <c r="AA1289" s="196"/>
      <c r="AB1289" s="196"/>
      <c r="AC1289" s="197">
        <v>5.0</v>
      </c>
      <c r="AD1289" s="198"/>
    </row>
    <row r="1290">
      <c r="A1290" s="193">
        <v>106496.0</v>
      </c>
      <c r="B1290" s="194" t="s">
        <v>2762</v>
      </c>
      <c r="C1290" s="192" t="s">
        <v>2763</v>
      </c>
      <c r="D1290" s="195">
        <v>45992.0</v>
      </c>
      <c r="E1290" s="192" t="s">
        <v>1140</v>
      </c>
      <c r="F1290" s="196"/>
      <c r="G1290" s="196"/>
      <c r="H1290" s="197">
        <v>5.0</v>
      </c>
      <c r="I1290" s="197">
        <v>5.0</v>
      </c>
      <c r="J1290" s="197">
        <v>5.0</v>
      </c>
      <c r="K1290" s="197">
        <v>5.0</v>
      </c>
      <c r="L1290" s="197">
        <v>5.0</v>
      </c>
      <c r="M1290" s="197">
        <v>5.0</v>
      </c>
      <c r="N1290" s="197">
        <v>5.0</v>
      </c>
      <c r="O1290" s="197">
        <v>5.0</v>
      </c>
      <c r="P1290" s="197">
        <v>5.0</v>
      </c>
      <c r="Q1290" s="197">
        <v>5.0</v>
      </c>
      <c r="R1290" s="197">
        <v>5.0</v>
      </c>
      <c r="S1290" s="197">
        <v>5.0</v>
      </c>
      <c r="T1290" s="197">
        <v>5.0</v>
      </c>
      <c r="U1290" s="197">
        <v>5.0</v>
      </c>
      <c r="V1290" s="197">
        <v>5.0</v>
      </c>
      <c r="W1290" s="197">
        <v>5.0</v>
      </c>
      <c r="X1290" s="196"/>
      <c r="Y1290" s="196"/>
      <c r="Z1290" s="196"/>
      <c r="AA1290" s="196"/>
      <c r="AB1290" s="196"/>
      <c r="AC1290" s="197">
        <v>5.0</v>
      </c>
      <c r="AD1290" s="198"/>
    </row>
    <row r="1291">
      <c r="A1291" s="193">
        <v>106484.0</v>
      </c>
      <c r="B1291" s="194" t="s">
        <v>2764</v>
      </c>
      <c r="C1291" s="192" t="s">
        <v>2765</v>
      </c>
      <c r="D1291" s="195">
        <v>45992.0</v>
      </c>
      <c r="E1291" s="192" t="s">
        <v>1140</v>
      </c>
      <c r="F1291" s="196"/>
      <c r="G1291" s="196"/>
      <c r="H1291" s="197">
        <v>5.0</v>
      </c>
      <c r="I1291" s="197">
        <v>5.0</v>
      </c>
      <c r="J1291" s="197">
        <v>5.0</v>
      </c>
      <c r="K1291" s="197">
        <v>5.0</v>
      </c>
      <c r="L1291" s="197">
        <v>5.0</v>
      </c>
      <c r="M1291" s="197">
        <v>5.0</v>
      </c>
      <c r="N1291" s="197">
        <v>5.0</v>
      </c>
      <c r="O1291" s="197">
        <v>5.0</v>
      </c>
      <c r="P1291" s="197">
        <v>5.0</v>
      </c>
      <c r="Q1291" s="197">
        <v>5.0</v>
      </c>
      <c r="R1291" s="197">
        <v>5.0</v>
      </c>
      <c r="S1291" s="197">
        <v>5.0</v>
      </c>
      <c r="T1291" s="197">
        <v>5.0</v>
      </c>
      <c r="U1291" s="197">
        <v>5.0</v>
      </c>
      <c r="V1291" s="197">
        <v>5.0</v>
      </c>
      <c r="W1291" s="197">
        <v>5.0</v>
      </c>
      <c r="X1291" s="196"/>
      <c r="Y1291" s="196"/>
      <c r="Z1291" s="196"/>
      <c r="AA1291" s="196"/>
      <c r="AB1291" s="196"/>
      <c r="AC1291" s="197">
        <v>5.0</v>
      </c>
      <c r="AD1291" s="198"/>
    </row>
    <row r="1292">
      <c r="A1292" s="193">
        <v>106495.0</v>
      </c>
      <c r="B1292" s="194" t="s">
        <v>2766</v>
      </c>
      <c r="C1292" s="192" t="s">
        <v>2767</v>
      </c>
      <c r="D1292" s="195">
        <v>45992.0</v>
      </c>
      <c r="E1292" s="192" t="s">
        <v>1140</v>
      </c>
      <c r="F1292" s="196"/>
      <c r="G1292" s="196"/>
      <c r="H1292" s="197">
        <v>5.0</v>
      </c>
      <c r="I1292" s="197">
        <v>5.0</v>
      </c>
      <c r="J1292" s="197">
        <v>5.0</v>
      </c>
      <c r="K1292" s="197">
        <v>5.0</v>
      </c>
      <c r="L1292" s="197">
        <v>5.0</v>
      </c>
      <c r="M1292" s="197">
        <v>5.0</v>
      </c>
      <c r="N1292" s="197">
        <v>5.0</v>
      </c>
      <c r="O1292" s="197">
        <v>5.0</v>
      </c>
      <c r="P1292" s="197">
        <v>5.0</v>
      </c>
      <c r="Q1292" s="197">
        <v>5.0</v>
      </c>
      <c r="R1292" s="197">
        <v>5.0</v>
      </c>
      <c r="S1292" s="197">
        <v>5.0</v>
      </c>
      <c r="T1292" s="197">
        <v>5.0</v>
      </c>
      <c r="U1292" s="197">
        <v>5.0</v>
      </c>
      <c r="V1292" s="197">
        <v>5.0</v>
      </c>
      <c r="W1292" s="197">
        <v>5.0</v>
      </c>
      <c r="X1292" s="196"/>
      <c r="Y1292" s="196"/>
      <c r="Z1292" s="196"/>
      <c r="AA1292" s="196"/>
      <c r="AB1292" s="196"/>
      <c r="AC1292" s="197">
        <v>5.0</v>
      </c>
      <c r="AD1292" s="198"/>
    </row>
    <row r="1293">
      <c r="A1293" s="193">
        <v>106473.0</v>
      </c>
      <c r="B1293" s="194" t="s">
        <v>2768</v>
      </c>
      <c r="C1293" s="192" t="s">
        <v>2769</v>
      </c>
      <c r="D1293" s="195">
        <v>45992.0</v>
      </c>
      <c r="E1293" s="192" t="s">
        <v>1140</v>
      </c>
      <c r="F1293" s="196"/>
      <c r="G1293" s="196"/>
      <c r="H1293" s="197">
        <v>5.0</v>
      </c>
      <c r="I1293" s="197">
        <v>5.0</v>
      </c>
      <c r="J1293" s="197">
        <v>5.0</v>
      </c>
      <c r="K1293" s="197">
        <v>5.0</v>
      </c>
      <c r="L1293" s="197">
        <v>5.0</v>
      </c>
      <c r="M1293" s="197">
        <v>5.0</v>
      </c>
      <c r="N1293" s="197">
        <v>5.0</v>
      </c>
      <c r="O1293" s="197">
        <v>5.0</v>
      </c>
      <c r="P1293" s="197">
        <v>5.0</v>
      </c>
      <c r="Q1293" s="197">
        <v>5.0</v>
      </c>
      <c r="R1293" s="197">
        <v>5.0</v>
      </c>
      <c r="S1293" s="197">
        <v>5.0</v>
      </c>
      <c r="T1293" s="197">
        <v>5.0</v>
      </c>
      <c r="U1293" s="197">
        <v>5.0</v>
      </c>
      <c r="V1293" s="197">
        <v>5.0</v>
      </c>
      <c r="W1293" s="197">
        <v>5.0</v>
      </c>
      <c r="X1293" s="196"/>
      <c r="Y1293" s="196"/>
      <c r="Z1293" s="196"/>
      <c r="AA1293" s="196"/>
      <c r="AB1293" s="196"/>
      <c r="AC1293" s="197">
        <v>5.0</v>
      </c>
      <c r="AD1293" s="198"/>
    </row>
    <row r="1294">
      <c r="A1294" s="193">
        <v>106417.0</v>
      </c>
      <c r="B1294" s="194" t="s">
        <v>2770</v>
      </c>
      <c r="C1294" s="192" t="s">
        <v>2771</v>
      </c>
      <c r="D1294" s="195">
        <v>45983.0</v>
      </c>
      <c r="E1294" s="192" t="s">
        <v>1140</v>
      </c>
      <c r="F1294" s="196"/>
      <c r="G1294" s="196"/>
      <c r="H1294" s="197">
        <v>5.0</v>
      </c>
      <c r="I1294" s="197">
        <v>5.0</v>
      </c>
      <c r="J1294" s="197">
        <v>5.0</v>
      </c>
      <c r="K1294" s="197">
        <v>5.0</v>
      </c>
      <c r="L1294" s="197">
        <v>5.0</v>
      </c>
      <c r="M1294" s="197">
        <v>5.0</v>
      </c>
      <c r="N1294" s="197">
        <v>5.0</v>
      </c>
      <c r="O1294" s="197">
        <v>5.0</v>
      </c>
      <c r="P1294" s="197">
        <v>5.0</v>
      </c>
      <c r="Q1294" s="197">
        <v>5.0</v>
      </c>
      <c r="R1294" s="197">
        <v>5.0</v>
      </c>
      <c r="S1294" s="197">
        <v>5.0</v>
      </c>
      <c r="T1294" s="197">
        <v>5.0</v>
      </c>
      <c r="U1294" s="197">
        <v>5.0</v>
      </c>
      <c r="V1294" s="197">
        <v>5.0</v>
      </c>
      <c r="W1294" s="197">
        <v>5.0</v>
      </c>
      <c r="X1294" s="309">
        <v>11.0</v>
      </c>
      <c r="Y1294" s="196"/>
      <c r="Z1294" s="196"/>
      <c r="AA1294" s="196"/>
      <c r="AB1294" s="196"/>
      <c r="AC1294" s="197">
        <v>5.0</v>
      </c>
      <c r="AD1294" s="198"/>
    </row>
    <row r="1295">
      <c r="A1295" s="193">
        <v>106514.0</v>
      </c>
      <c r="B1295" s="194" t="s">
        <v>2772</v>
      </c>
      <c r="C1295" s="192" t="s">
        <v>2773</v>
      </c>
      <c r="D1295" s="195">
        <v>46007.0</v>
      </c>
      <c r="E1295" s="192" t="s">
        <v>1140</v>
      </c>
      <c r="F1295" s="196"/>
      <c r="G1295" s="196"/>
      <c r="H1295" s="197">
        <v>5.0</v>
      </c>
      <c r="I1295" s="197">
        <v>5.0</v>
      </c>
      <c r="J1295" s="197">
        <v>5.0</v>
      </c>
      <c r="K1295" s="197">
        <v>5.0</v>
      </c>
      <c r="L1295" s="197">
        <v>5.0</v>
      </c>
      <c r="M1295" s="197">
        <v>5.0</v>
      </c>
      <c r="N1295" s="197">
        <v>5.0</v>
      </c>
      <c r="O1295" s="197">
        <v>5.0</v>
      </c>
      <c r="P1295" s="197">
        <v>5.0</v>
      </c>
      <c r="Q1295" s="197">
        <v>5.0</v>
      </c>
      <c r="R1295" s="197">
        <v>5.0</v>
      </c>
      <c r="S1295" s="197">
        <v>5.0</v>
      </c>
      <c r="T1295" s="197">
        <v>5.0</v>
      </c>
      <c r="U1295" s="197">
        <v>5.0</v>
      </c>
      <c r="V1295" s="197">
        <v>5.0</v>
      </c>
      <c r="W1295" s="197">
        <v>5.0</v>
      </c>
      <c r="X1295" s="196"/>
      <c r="Y1295" s="196"/>
      <c r="Z1295" s="196"/>
      <c r="AA1295" s="196"/>
      <c r="AB1295" s="196"/>
      <c r="AC1295" s="197">
        <v>5.0</v>
      </c>
      <c r="AD1295" s="198"/>
    </row>
    <row r="1296">
      <c r="A1296" s="193">
        <v>106548.0</v>
      </c>
      <c r="B1296" s="194" t="s">
        <v>2774</v>
      </c>
      <c r="C1296" s="192" t="s">
        <v>2775</v>
      </c>
      <c r="D1296" s="195">
        <v>45662.0</v>
      </c>
      <c r="E1296" s="192" t="s">
        <v>1140</v>
      </c>
      <c r="F1296" s="196"/>
      <c r="G1296" s="196"/>
      <c r="H1296" s="197">
        <v>5.0</v>
      </c>
      <c r="I1296" s="197">
        <v>5.0</v>
      </c>
      <c r="J1296" s="197">
        <v>5.0</v>
      </c>
      <c r="K1296" s="197">
        <v>5.0</v>
      </c>
      <c r="L1296" s="197">
        <v>5.0</v>
      </c>
      <c r="M1296" s="197">
        <v>5.0</v>
      </c>
      <c r="N1296" s="197">
        <v>5.0</v>
      </c>
      <c r="O1296" s="197">
        <v>5.0</v>
      </c>
      <c r="P1296" s="197">
        <v>5.0</v>
      </c>
      <c r="Q1296" s="197">
        <v>5.0</v>
      </c>
      <c r="R1296" s="197">
        <v>5.0</v>
      </c>
      <c r="S1296" s="197">
        <v>5.0</v>
      </c>
      <c r="T1296" s="197">
        <v>5.0</v>
      </c>
      <c r="U1296" s="197">
        <v>5.0</v>
      </c>
      <c r="V1296" s="197">
        <v>5.0</v>
      </c>
      <c r="W1296" s="197">
        <v>5.0</v>
      </c>
      <c r="X1296" s="196"/>
      <c r="Y1296" s="196"/>
      <c r="Z1296" s="196"/>
      <c r="AA1296" s="196"/>
      <c r="AB1296" s="196"/>
      <c r="AC1296" s="197">
        <v>5.0</v>
      </c>
      <c r="AD1296" s="198"/>
    </row>
    <row r="1297">
      <c r="A1297" s="193">
        <v>105934.0</v>
      </c>
      <c r="B1297" s="194" t="s">
        <v>2776</v>
      </c>
      <c r="C1297" s="192" t="s">
        <v>2777</v>
      </c>
      <c r="D1297" s="195">
        <v>45833.0</v>
      </c>
      <c r="E1297" s="192" t="s">
        <v>767</v>
      </c>
      <c r="F1297" s="196"/>
      <c r="G1297" s="196"/>
      <c r="H1297" s="197">
        <v>5.0</v>
      </c>
      <c r="I1297" s="197">
        <v>5.0</v>
      </c>
      <c r="J1297" s="197">
        <v>5.0</v>
      </c>
      <c r="K1297" s="197">
        <v>5.0</v>
      </c>
      <c r="L1297" s="197">
        <v>5.0</v>
      </c>
      <c r="M1297" s="197">
        <v>5.0</v>
      </c>
      <c r="N1297" s="197">
        <v>5.0</v>
      </c>
      <c r="O1297" s="197">
        <v>5.0</v>
      </c>
      <c r="P1297" s="197">
        <v>5.0</v>
      </c>
      <c r="Q1297" s="197">
        <v>5.0</v>
      </c>
      <c r="R1297" s="197">
        <v>5.0</v>
      </c>
      <c r="S1297" s="197">
        <v>5.0</v>
      </c>
      <c r="T1297" s="197">
        <v>5.0</v>
      </c>
      <c r="U1297" s="197">
        <v>5.0</v>
      </c>
      <c r="V1297" s="197">
        <v>5.0</v>
      </c>
      <c r="W1297" s="197">
        <v>5.0</v>
      </c>
      <c r="X1297" s="196"/>
      <c r="Y1297" s="196"/>
      <c r="Z1297" s="196"/>
      <c r="AA1297" s="196"/>
      <c r="AB1297" s="196"/>
      <c r="AC1297" s="197">
        <v>5.0</v>
      </c>
      <c r="AD1297" s="198"/>
    </row>
    <row r="1298">
      <c r="A1298" s="193">
        <v>108925.0</v>
      </c>
      <c r="B1298" s="194" t="s">
        <v>2778</v>
      </c>
      <c r="C1298" s="192" t="e">
        <v>#N/A</v>
      </c>
      <c r="D1298" s="195">
        <v>45845.0</v>
      </c>
      <c r="E1298" s="192" t="s">
        <v>767</v>
      </c>
      <c r="F1298" s="196"/>
      <c r="G1298" s="196"/>
      <c r="H1298" s="197">
        <v>5.0</v>
      </c>
      <c r="I1298" s="197">
        <v>5.0</v>
      </c>
      <c r="J1298" s="197">
        <v>5.0</v>
      </c>
      <c r="K1298" s="197">
        <v>5.0</v>
      </c>
      <c r="L1298" s="197">
        <v>5.0</v>
      </c>
      <c r="M1298" s="197">
        <v>5.0</v>
      </c>
      <c r="N1298" s="197">
        <v>5.0</v>
      </c>
      <c r="O1298" s="197">
        <v>5.0</v>
      </c>
      <c r="P1298" s="197">
        <v>5.0</v>
      </c>
      <c r="Q1298" s="197">
        <v>5.0</v>
      </c>
      <c r="R1298" s="197">
        <v>5.0</v>
      </c>
      <c r="S1298" s="197">
        <v>4.5</v>
      </c>
      <c r="T1298" s="197">
        <v>4.5</v>
      </c>
      <c r="U1298" s="197">
        <v>4.5</v>
      </c>
      <c r="V1298" s="197">
        <v>4.5</v>
      </c>
      <c r="W1298" s="197">
        <v>4.5</v>
      </c>
      <c r="X1298" s="196"/>
      <c r="Y1298" s="196"/>
      <c r="Z1298" s="196"/>
      <c r="AA1298" s="196"/>
      <c r="AB1298" s="196"/>
      <c r="AC1298" s="197">
        <v>4.833333333333333</v>
      </c>
      <c r="AD1298" s="198"/>
    </row>
    <row r="1299">
      <c r="A1299" s="193">
        <v>105919.0</v>
      </c>
      <c r="B1299" s="194" t="s">
        <v>2779</v>
      </c>
      <c r="C1299" s="192" t="s">
        <v>2780</v>
      </c>
      <c r="D1299" s="195">
        <v>45840.0</v>
      </c>
      <c r="E1299" s="192" t="s">
        <v>767</v>
      </c>
      <c r="F1299" s="196"/>
      <c r="G1299" s="196"/>
      <c r="H1299" s="197">
        <v>5.0</v>
      </c>
      <c r="I1299" s="197">
        <v>5.0</v>
      </c>
      <c r="J1299" s="197">
        <v>5.0</v>
      </c>
      <c r="K1299" s="197">
        <v>5.0</v>
      </c>
      <c r="L1299" s="197">
        <v>5.0</v>
      </c>
      <c r="M1299" s="197">
        <v>5.0</v>
      </c>
      <c r="N1299" s="197">
        <v>5.0</v>
      </c>
      <c r="O1299" s="197">
        <v>5.0</v>
      </c>
      <c r="P1299" s="197">
        <v>5.0</v>
      </c>
      <c r="Q1299" s="197">
        <v>5.0</v>
      </c>
      <c r="R1299" s="197">
        <v>5.0</v>
      </c>
      <c r="S1299" s="197">
        <v>4.5</v>
      </c>
      <c r="T1299" s="197">
        <v>4.5</v>
      </c>
      <c r="U1299" s="197">
        <v>4.5</v>
      </c>
      <c r="V1299" s="197">
        <v>4.5</v>
      </c>
      <c r="W1299" s="197">
        <v>4.5</v>
      </c>
      <c r="X1299" s="196"/>
      <c r="Y1299" s="196"/>
      <c r="Z1299" s="196"/>
      <c r="AA1299" s="196"/>
      <c r="AB1299" s="196"/>
      <c r="AC1299" s="197">
        <v>4.833333333333333</v>
      </c>
      <c r="AD1299" s="198"/>
    </row>
    <row r="1300">
      <c r="A1300" s="193">
        <v>105928.0</v>
      </c>
      <c r="B1300" s="194" t="s">
        <v>2781</v>
      </c>
      <c r="C1300" s="192" t="s">
        <v>2782</v>
      </c>
      <c r="D1300" s="195">
        <v>45846.0</v>
      </c>
      <c r="E1300" s="192" t="s">
        <v>767</v>
      </c>
      <c r="F1300" s="196"/>
      <c r="G1300" s="196"/>
      <c r="H1300" s="197">
        <v>5.0</v>
      </c>
      <c r="I1300" s="197">
        <v>5.0</v>
      </c>
      <c r="J1300" s="197">
        <v>5.0</v>
      </c>
      <c r="K1300" s="197">
        <v>5.0</v>
      </c>
      <c r="L1300" s="197">
        <v>5.0</v>
      </c>
      <c r="M1300" s="197">
        <v>5.0</v>
      </c>
      <c r="N1300" s="197">
        <v>5.0</v>
      </c>
      <c r="O1300" s="197">
        <v>5.0</v>
      </c>
      <c r="P1300" s="197">
        <v>5.0</v>
      </c>
      <c r="Q1300" s="197">
        <v>5.0</v>
      </c>
      <c r="R1300" s="197">
        <v>5.0</v>
      </c>
      <c r="S1300" s="197">
        <v>4.5</v>
      </c>
      <c r="T1300" s="197">
        <v>4.5</v>
      </c>
      <c r="U1300" s="197">
        <v>4.5</v>
      </c>
      <c r="V1300" s="197">
        <v>4.5</v>
      </c>
      <c r="W1300" s="197">
        <v>4.5</v>
      </c>
      <c r="X1300" s="196"/>
      <c r="Y1300" s="196"/>
      <c r="Z1300" s="196"/>
      <c r="AA1300" s="196"/>
      <c r="AB1300" s="196"/>
      <c r="AC1300" s="197">
        <v>4.833333333333333</v>
      </c>
      <c r="AD1300" s="198"/>
    </row>
    <row r="1301">
      <c r="A1301" s="193">
        <v>105889.0</v>
      </c>
      <c r="B1301" s="194" t="s">
        <v>2783</v>
      </c>
      <c r="C1301" s="192" t="s">
        <v>2784</v>
      </c>
      <c r="D1301" s="195">
        <v>45839.0</v>
      </c>
      <c r="E1301" s="192" t="s">
        <v>767</v>
      </c>
      <c r="F1301" s="196"/>
      <c r="G1301" s="196"/>
      <c r="H1301" s="197">
        <v>5.0</v>
      </c>
      <c r="I1301" s="197">
        <v>5.0</v>
      </c>
      <c r="J1301" s="197">
        <v>5.0</v>
      </c>
      <c r="K1301" s="197">
        <v>5.0</v>
      </c>
      <c r="L1301" s="197">
        <v>5.0</v>
      </c>
      <c r="M1301" s="197">
        <v>5.0</v>
      </c>
      <c r="N1301" s="197">
        <v>5.0</v>
      </c>
      <c r="O1301" s="197">
        <v>5.0</v>
      </c>
      <c r="P1301" s="197">
        <v>5.0</v>
      </c>
      <c r="Q1301" s="197">
        <v>5.0</v>
      </c>
      <c r="R1301" s="197">
        <v>5.0</v>
      </c>
      <c r="S1301" s="197">
        <v>4.5</v>
      </c>
      <c r="T1301" s="197">
        <v>4.5</v>
      </c>
      <c r="U1301" s="197">
        <v>4.5</v>
      </c>
      <c r="V1301" s="197">
        <v>4.5</v>
      </c>
      <c r="W1301" s="197">
        <v>4.5</v>
      </c>
      <c r="X1301" s="196"/>
      <c r="Y1301" s="196"/>
      <c r="Z1301" s="196"/>
      <c r="AA1301" s="196"/>
      <c r="AB1301" s="196"/>
      <c r="AC1301" s="197">
        <v>4.833333333333333</v>
      </c>
      <c r="AD1301" s="198"/>
    </row>
    <row r="1302">
      <c r="A1302" s="193">
        <v>105898.0</v>
      </c>
      <c r="B1302" s="194" t="s">
        <v>2785</v>
      </c>
      <c r="C1302" s="192" t="s">
        <v>2786</v>
      </c>
      <c r="D1302" s="195">
        <v>45839.0</v>
      </c>
      <c r="E1302" s="192" t="s">
        <v>767</v>
      </c>
      <c r="F1302" s="196"/>
      <c r="G1302" s="196"/>
      <c r="H1302" s="197">
        <v>5.0</v>
      </c>
      <c r="I1302" s="197">
        <v>5.0</v>
      </c>
      <c r="J1302" s="197">
        <v>5.0</v>
      </c>
      <c r="K1302" s="197">
        <v>5.0</v>
      </c>
      <c r="L1302" s="197">
        <v>5.0</v>
      </c>
      <c r="M1302" s="197">
        <v>5.0</v>
      </c>
      <c r="N1302" s="197">
        <v>5.0</v>
      </c>
      <c r="O1302" s="197">
        <v>5.0</v>
      </c>
      <c r="P1302" s="197">
        <v>5.0</v>
      </c>
      <c r="Q1302" s="197">
        <v>5.0</v>
      </c>
      <c r="R1302" s="197">
        <v>5.0</v>
      </c>
      <c r="S1302" s="197">
        <v>4.5</v>
      </c>
      <c r="T1302" s="197">
        <v>4.5</v>
      </c>
      <c r="U1302" s="197">
        <v>4.5</v>
      </c>
      <c r="V1302" s="197">
        <v>4.5</v>
      </c>
      <c r="W1302" s="197">
        <v>4.5</v>
      </c>
      <c r="X1302" s="196"/>
      <c r="Y1302" s="196"/>
      <c r="Z1302" s="196"/>
      <c r="AA1302" s="196"/>
      <c r="AB1302" s="196"/>
      <c r="AC1302" s="197">
        <v>4.833333333333333</v>
      </c>
      <c r="AD1302" s="198"/>
    </row>
    <row r="1303">
      <c r="A1303" s="193">
        <v>105891.0</v>
      </c>
      <c r="B1303" s="194" t="s">
        <v>2787</v>
      </c>
      <c r="C1303" s="192" t="s">
        <v>2788</v>
      </c>
      <c r="D1303" s="195">
        <v>45839.0</v>
      </c>
      <c r="E1303" s="192" t="s">
        <v>767</v>
      </c>
      <c r="F1303" s="196"/>
      <c r="G1303" s="196"/>
      <c r="H1303" s="197">
        <v>5.0</v>
      </c>
      <c r="I1303" s="197">
        <v>5.0</v>
      </c>
      <c r="J1303" s="197">
        <v>5.0</v>
      </c>
      <c r="K1303" s="197">
        <v>5.0</v>
      </c>
      <c r="L1303" s="197">
        <v>5.0</v>
      </c>
      <c r="M1303" s="197">
        <v>5.0</v>
      </c>
      <c r="N1303" s="197">
        <v>5.0</v>
      </c>
      <c r="O1303" s="197">
        <v>5.0</v>
      </c>
      <c r="P1303" s="197">
        <v>5.0</v>
      </c>
      <c r="Q1303" s="197">
        <v>5.0</v>
      </c>
      <c r="R1303" s="197">
        <v>5.0</v>
      </c>
      <c r="S1303" s="197">
        <v>4.5</v>
      </c>
      <c r="T1303" s="197">
        <v>4.5</v>
      </c>
      <c r="U1303" s="197">
        <v>4.5</v>
      </c>
      <c r="V1303" s="197">
        <v>4.5</v>
      </c>
      <c r="W1303" s="197">
        <v>4.5</v>
      </c>
      <c r="X1303" s="196"/>
      <c r="Y1303" s="196"/>
      <c r="Z1303" s="196"/>
      <c r="AA1303" s="196"/>
      <c r="AB1303" s="196"/>
      <c r="AC1303" s="197">
        <v>4.833333333333333</v>
      </c>
      <c r="AD1303" s="198"/>
    </row>
    <row r="1304">
      <c r="A1304" s="193">
        <v>105888.0</v>
      </c>
      <c r="B1304" s="194" t="s">
        <v>2789</v>
      </c>
      <c r="C1304" s="192" t="s">
        <v>2790</v>
      </c>
      <c r="D1304" s="195">
        <v>45839.0</v>
      </c>
      <c r="E1304" s="192" t="s">
        <v>767</v>
      </c>
      <c r="F1304" s="196"/>
      <c r="G1304" s="196"/>
      <c r="H1304" s="197">
        <v>5.0</v>
      </c>
      <c r="I1304" s="197">
        <v>5.0</v>
      </c>
      <c r="J1304" s="197">
        <v>5.0</v>
      </c>
      <c r="K1304" s="197">
        <v>5.0</v>
      </c>
      <c r="L1304" s="197">
        <v>5.0</v>
      </c>
      <c r="M1304" s="197">
        <v>5.0</v>
      </c>
      <c r="N1304" s="197">
        <v>5.0</v>
      </c>
      <c r="O1304" s="197">
        <v>5.0</v>
      </c>
      <c r="P1304" s="197">
        <v>5.0</v>
      </c>
      <c r="Q1304" s="197">
        <v>5.0</v>
      </c>
      <c r="R1304" s="197">
        <v>5.0</v>
      </c>
      <c r="S1304" s="197">
        <v>4.5</v>
      </c>
      <c r="T1304" s="197">
        <v>4.5</v>
      </c>
      <c r="U1304" s="197">
        <v>4.5</v>
      </c>
      <c r="V1304" s="197">
        <v>4.5</v>
      </c>
      <c r="W1304" s="197">
        <v>4.5</v>
      </c>
      <c r="X1304" s="196"/>
      <c r="Y1304" s="196"/>
      <c r="Z1304" s="196"/>
      <c r="AA1304" s="196"/>
      <c r="AB1304" s="196"/>
      <c r="AC1304" s="197">
        <v>4.833333333333333</v>
      </c>
      <c r="AD1304" s="198"/>
    </row>
    <row r="1305">
      <c r="A1305" s="193">
        <v>105951.0</v>
      </c>
      <c r="B1305" s="194" t="s">
        <v>2791</v>
      </c>
      <c r="C1305" s="192" t="s">
        <v>2792</v>
      </c>
      <c r="D1305" s="195">
        <v>45838.0</v>
      </c>
      <c r="E1305" s="192" t="s">
        <v>767</v>
      </c>
      <c r="F1305" s="196"/>
      <c r="G1305" s="196"/>
      <c r="H1305" s="197">
        <v>5.0</v>
      </c>
      <c r="I1305" s="197">
        <v>5.0</v>
      </c>
      <c r="J1305" s="197">
        <v>5.0</v>
      </c>
      <c r="K1305" s="197">
        <v>5.0</v>
      </c>
      <c r="L1305" s="197">
        <v>5.0</v>
      </c>
      <c r="M1305" s="197">
        <v>5.0</v>
      </c>
      <c r="N1305" s="197">
        <v>5.0</v>
      </c>
      <c r="O1305" s="197">
        <v>5.0</v>
      </c>
      <c r="P1305" s="197">
        <v>5.0</v>
      </c>
      <c r="Q1305" s="197">
        <v>5.0</v>
      </c>
      <c r="R1305" s="197">
        <v>5.0</v>
      </c>
      <c r="S1305" s="197">
        <v>4.5</v>
      </c>
      <c r="T1305" s="197">
        <v>4.5</v>
      </c>
      <c r="U1305" s="197">
        <v>4.5</v>
      </c>
      <c r="V1305" s="197">
        <v>4.5</v>
      </c>
      <c r="W1305" s="197">
        <v>4.5</v>
      </c>
      <c r="X1305" s="196"/>
      <c r="Y1305" s="196"/>
      <c r="Z1305" s="196"/>
      <c r="AA1305" s="196"/>
      <c r="AB1305" s="196"/>
      <c r="AC1305" s="197">
        <v>4.833333333333333</v>
      </c>
      <c r="AD1305" s="198"/>
    </row>
    <row r="1306">
      <c r="A1306" s="193">
        <v>105908.0</v>
      </c>
      <c r="B1306" s="194" t="s">
        <v>2793</v>
      </c>
      <c r="C1306" s="192" t="s">
        <v>2794</v>
      </c>
      <c r="D1306" s="195">
        <v>45838.0</v>
      </c>
      <c r="E1306" s="192" t="s">
        <v>767</v>
      </c>
      <c r="F1306" s="196"/>
      <c r="G1306" s="196"/>
      <c r="H1306" s="197">
        <v>5.0</v>
      </c>
      <c r="I1306" s="197">
        <v>5.0</v>
      </c>
      <c r="J1306" s="197">
        <v>5.0</v>
      </c>
      <c r="K1306" s="197">
        <v>5.0</v>
      </c>
      <c r="L1306" s="197">
        <v>5.0</v>
      </c>
      <c r="M1306" s="197">
        <v>5.0</v>
      </c>
      <c r="N1306" s="197">
        <v>5.0</v>
      </c>
      <c r="O1306" s="197">
        <v>5.0</v>
      </c>
      <c r="P1306" s="197">
        <v>5.0</v>
      </c>
      <c r="Q1306" s="197">
        <v>5.0</v>
      </c>
      <c r="R1306" s="197">
        <v>5.0</v>
      </c>
      <c r="S1306" s="197">
        <v>4.5</v>
      </c>
      <c r="T1306" s="197">
        <v>4.5</v>
      </c>
      <c r="U1306" s="197">
        <v>4.5</v>
      </c>
      <c r="V1306" s="197">
        <v>4.5</v>
      </c>
      <c r="W1306" s="197">
        <v>4.5</v>
      </c>
      <c r="X1306" s="196"/>
      <c r="Y1306" s="196"/>
      <c r="Z1306" s="196"/>
      <c r="AA1306" s="196"/>
      <c r="AB1306" s="196"/>
      <c r="AC1306" s="197">
        <v>4.833333333333333</v>
      </c>
      <c r="AD1306" s="198"/>
    </row>
    <row r="1307">
      <c r="A1307" s="193">
        <v>105914.0</v>
      </c>
      <c r="B1307" s="194" t="s">
        <v>2795</v>
      </c>
      <c r="C1307" s="192" t="s">
        <v>2796</v>
      </c>
      <c r="D1307" s="195">
        <v>45838.0</v>
      </c>
      <c r="E1307" s="192" t="s">
        <v>767</v>
      </c>
      <c r="F1307" s="196"/>
      <c r="G1307" s="196"/>
      <c r="H1307" s="197">
        <v>5.0</v>
      </c>
      <c r="I1307" s="197">
        <v>5.0</v>
      </c>
      <c r="J1307" s="197">
        <v>5.0</v>
      </c>
      <c r="K1307" s="197">
        <v>5.0</v>
      </c>
      <c r="L1307" s="197">
        <v>5.0</v>
      </c>
      <c r="M1307" s="197">
        <v>5.0</v>
      </c>
      <c r="N1307" s="197">
        <v>5.0</v>
      </c>
      <c r="O1307" s="197">
        <v>5.0</v>
      </c>
      <c r="P1307" s="197">
        <v>5.0</v>
      </c>
      <c r="Q1307" s="197">
        <v>5.0</v>
      </c>
      <c r="R1307" s="197">
        <v>5.0</v>
      </c>
      <c r="S1307" s="197">
        <v>4.5</v>
      </c>
      <c r="T1307" s="197">
        <v>4.5</v>
      </c>
      <c r="U1307" s="197">
        <v>4.5</v>
      </c>
      <c r="V1307" s="197">
        <v>4.5</v>
      </c>
      <c r="W1307" s="197">
        <v>4.5</v>
      </c>
      <c r="X1307" s="196"/>
      <c r="Y1307" s="196"/>
      <c r="Z1307" s="196"/>
      <c r="AA1307" s="196"/>
      <c r="AB1307" s="196"/>
      <c r="AC1307" s="197">
        <v>4.833333333333333</v>
      </c>
      <c r="AD1307" s="198"/>
    </row>
    <row r="1308">
      <c r="A1308" s="193">
        <v>105915.0</v>
      </c>
      <c r="B1308" s="194" t="s">
        <v>2797</v>
      </c>
      <c r="C1308" s="192" t="s">
        <v>2798</v>
      </c>
      <c r="D1308" s="195">
        <v>45838.0</v>
      </c>
      <c r="E1308" s="192" t="s">
        <v>767</v>
      </c>
      <c r="F1308" s="196"/>
      <c r="G1308" s="196"/>
      <c r="H1308" s="197">
        <v>5.0</v>
      </c>
      <c r="I1308" s="197">
        <v>5.0</v>
      </c>
      <c r="J1308" s="197">
        <v>5.0</v>
      </c>
      <c r="K1308" s="197">
        <v>5.0</v>
      </c>
      <c r="L1308" s="197">
        <v>5.0</v>
      </c>
      <c r="M1308" s="197">
        <v>5.0</v>
      </c>
      <c r="N1308" s="197">
        <v>5.0</v>
      </c>
      <c r="O1308" s="197">
        <v>5.0</v>
      </c>
      <c r="P1308" s="197">
        <v>5.0</v>
      </c>
      <c r="Q1308" s="197">
        <v>5.0</v>
      </c>
      <c r="R1308" s="197">
        <v>5.0</v>
      </c>
      <c r="S1308" s="197">
        <v>4.5</v>
      </c>
      <c r="T1308" s="197">
        <v>4.5</v>
      </c>
      <c r="U1308" s="197">
        <v>4.5</v>
      </c>
      <c r="V1308" s="197">
        <v>4.5</v>
      </c>
      <c r="W1308" s="197">
        <v>4.5</v>
      </c>
      <c r="X1308" s="196"/>
      <c r="Y1308" s="196"/>
      <c r="Z1308" s="196"/>
      <c r="AA1308" s="196"/>
      <c r="AB1308" s="196"/>
      <c r="AC1308" s="197">
        <v>4.833333333333333</v>
      </c>
      <c r="AD1308" s="198"/>
    </row>
    <row r="1309">
      <c r="A1309" s="193">
        <v>105916.0</v>
      </c>
      <c r="B1309" s="194" t="s">
        <v>2799</v>
      </c>
      <c r="C1309" s="192" t="s">
        <v>2800</v>
      </c>
      <c r="D1309" s="195">
        <v>45838.0</v>
      </c>
      <c r="E1309" s="192" t="s">
        <v>767</v>
      </c>
      <c r="F1309" s="196"/>
      <c r="G1309" s="196"/>
      <c r="H1309" s="197">
        <v>5.0</v>
      </c>
      <c r="I1309" s="197">
        <v>5.0</v>
      </c>
      <c r="J1309" s="197">
        <v>5.0</v>
      </c>
      <c r="K1309" s="197">
        <v>5.0</v>
      </c>
      <c r="L1309" s="197">
        <v>5.0</v>
      </c>
      <c r="M1309" s="197">
        <v>5.0</v>
      </c>
      <c r="N1309" s="197">
        <v>5.0</v>
      </c>
      <c r="O1309" s="197">
        <v>5.0</v>
      </c>
      <c r="P1309" s="197">
        <v>5.0</v>
      </c>
      <c r="Q1309" s="197">
        <v>5.0</v>
      </c>
      <c r="R1309" s="197">
        <v>5.0</v>
      </c>
      <c r="S1309" s="197">
        <v>4.5</v>
      </c>
      <c r="T1309" s="197">
        <v>4.5</v>
      </c>
      <c r="U1309" s="197">
        <v>4.5</v>
      </c>
      <c r="V1309" s="197">
        <v>4.5</v>
      </c>
      <c r="W1309" s="197">
        <v>4.5</v>
      </c>
      <c r="X1309" s="196"/>
      <c r="Y1309" s="196"/>
      <c r="Z1309" s="196"/>
      <c r="AA1309" s="196"/>
      <c r="AB1309" s="196"/>
      <c r="AC1309" s="197">
        <v>4.833333333333333</v>
      </c>
      <c r="AD1309" s="198"/>
    </row>
    <row r="1310">
      <c r="A1310" s="193">
        <v>105917.0</v>
      </c>
      <c r="B1310" s="194" t="s">
        <v>2801</v>
      </c>
      <c r="C1310" s="192" t="s">
        <v>2802</v>
      </c>
      <c r="D1310" s="195">
        <v>45838.0</v>
      </c>
      <c r="E1310" s="192" t="s">
        <v>767</v>
      </c>
      <c r="F1310" s="196"/>
      <c r="G1310" s="196"/>
      <c r="H1310" s="197">
        <v>5.0</v>
      </c>
      <c r="I1310" s="197">
        <v>5.0</v>
      </c>
      <c r="J1310" s="197">
        <v>5.0</v>
      </c>
      <c r="K1310" s="197">
        <v>5.0</v>
      </c>
      <c r="L1310" s="197">
        <v>5.0</v>
      </c>
      <c r="M1310" s="197">
        <v>5.0</v>
      </c>
      <c r="N1310" s="197">
        <v>5.0</v>
      </c>
      <c r="O1310" s="197">
        <v>5.0</v>
      </c>
      <c r="P1310" s="197">
        <v>5.0</v>
      </c>
      <c r="Q1310" s="197">
        <v>5.0</v>
      </c>
      <c r="R1310" s="197">
        <v>5.0</v>
      </c>
      <c r="S1310" s="197">
        <v>4.5</v>
      </c>
      <c r="T1310" s="197">
        <v>4.5</v>
      </c>
      <c r="U1310" s="197">
        <v>4.5</v>
      </c>
      <c r="V1310" s="197">
        <v>4.5</v>
      </c>
      <c r="W1310" s="197">
        <v>4.5</v>
      </c>
      <c r="X1310" s="196"/>
      <c r="Y1310" s="196"/>
      <c r="Z1310" s="196"/>
      <c r="AA1310" s="196"/>
      <c r="AB1310" s="196"/>
      <c r="AC1310" s="197">
        <v>4.833333333333333</v>
      </c>
      <c r="AD1310" s="198"/>
    </row>
    <row r="1311">
      <c r="A1311" s="193">
        <v>105917.0</v>
      </c>
      <c r="B1311" s="194" t="s">
        <v>2801</v>
      </c>
      <c r="C1311" s="192" t="s">
        <v>2802</v>
      </c>
      <c r="D1311" s="195">
        <v>45838.0</v>
      </c>
      <c r="E1311" s="192" t="s">
        <v>767</v>
      </c>
      <c r="F1311" s="196"/>
      <c r="G1311" s="196"/>
      <c r="H1311" s="197">
        <v>5.0</v>
      </c>
      <c r="I1311" s="197">
        <v>5.0</v>
      </c>
      <c r="J1311" s="197">
        <v>5.0</v>
      </c>
      <c r="K1311" s="197">
        <v>5.0</v>
      </c>
      <c r="L1311" s="197">
        <v>5.0</v>
      </c>
      <c r="M1311" s="197">
        <v>5.0</v>
      </c>
      <c r="N1311" s="197">
        <v>5.0</v>
      </c>
      <c r="O1311" s="197">
        <v>5.0</v>
      </c>
      <c r="P1311" s="197">
        <v>5.0</v>
      </c>
      <c r="Q1311" s="197">
        <v>5.0</v>
      </c>
      <c r="R1311" s="197">
        <v>5.0</v>
      </c>
      <c r="S1311" s="197">
        <v>4.5</v>
      </c>
      <c r="T1311" s="197">
        <v>4.5</v>
      </c>
      <c r="U1311" s="197">
        <v>4.5</v>
      </c>
      <c r="V1311" s="197">
        <v>4.5</v>
      </c>
      <c r="W1311" s="197">
        <v>4.5</v>
      </c>
      <c r="X1311" s="196"/>
      <c r="Y1311" s="196"/>
      <c r="Z1311" s="196"/>
      <c r="AA1311" s="196"/>
      <c r="AB1311" s="196"/>
      <c r="AC1311" s="197">
        <v>4.833333333333333</v>
      </c>
      <c r="AD1311" s="198"/>
    </row>
    <row r="1312">
      <c r="A1312" s="193">
        <v>105918.0</v>
      </c>
      <c r="B1312" s="194" t="s">
        <v>2803</v>
      </c>
      <c r="C1312" s="192" t="s">
        <v>2804</v>
      </c>
      <c r="D1312" s="195">
        <v>45838.0</v>
      </c>
      <c r="E1312" s="192" t="s">
        <v>767</v>
      </c>
      <c r="F1312" s="196"/>
      <c r="G1312" s="196"/>
      <c r="H1312" s="197">
        <v>5.0</v>
      </c>
      <c r="I1312" s="197">
        <v>5.0</v>
      </c>
      <c r="J1312" s="197">
        <v>5.0</v>
      </c>
      <c r="K1312" s="197">
        <v>5.0</v>
      </c>
      <c r="L1312" s="197">
        <v>5.0</v>
      </c>
      <c r="M1312" s="197">
        <v>5.0</v>
      </c>
      <c r="N1312" s="197">
        <v>5.0</v>
      </c>
      <c r="O1312" s="197">
        <v>5.0</v>
      </c>
      <c r="P1312" s="197">
        <v>5.0</v>
      </c>
      <c r="Q1312" s="197">
        <v>5.0</v>
      </c>
      <c r="R1312" s="197">
        <v>5.0</v>
      </c>
      <c r="S1312" s="197">
        <v>4.5</v>
      </c>
      <c r="T1312" s="197">
        <v>4.5</v>
      </c>
      <c r="U1312" s="197">
        <v>4.5</v>
      </c>
      <c r="V1312" s="197">
        <v>45.0</v>
      </c>
      <c r="W1312" s="197">
        <v>14.625</v>
      </c>
      <c r="X1312" s="196"/>
      <c r="Y1312" s="196"/>
      <c r="Z1312" s="196"/>
      <c r="AA1312" s="196"/>
      <c r="AB1312" s="196"/>
      <c r="AC1312" s="197">
        <v>8.208333333333334</v>
      </c>
      <c r="AD1312" s="198"/>
    </row>
    <row r="1313">
      <c r="A1313" s="193">
        <v>106358.0</v>
      </c>
      <c r="B1313" s="194" t="s">
        <v>2805</v>
      </c>
      <c r="C1313" s="192" t="s">
        <v>2806</v>
      </c>
      <c r="D1313" s="195">
        <v>45974.0</v>
      </c>
      <c r="E1313" s="192" t="s">
        <v>1140</v>
      </c>
      <c r="F1313" s="196"/>
      <c r="G1313" s="196"/>
      <c r="H1313" s="197">
        <v>5.0</v>
      </c>
      <c r="I1313" s="197">
        <v>5.0</v>
      </c>
      <c r="J1313" s="197">
        <v>5.0</v>
      </c>
      <c r="K1313" s="197">
        <v>5.0</v>
      </c>
      <c r="L1313" s="197">
        <v>5.0</v>
      </c>
      <c r="M1313" s="197">
        <v>5.0</v>
      </c>
      <c r="N1313" s="197">
        <v>5.0</v>
      </c>
      <c r="O1313" s="197">
        <v>5.0</v>
      </c>
      <c r="P1313" s="197">
        <v>5.0</v>
      </c>
      <c r="Q1313" s="197">
        <v>5.0</v>
      </c>
      <c r="R1313" s="197">
        <v>5.0</v>
      </c>
      <c r="S1313" s="197">
        <v>4.5</v>
      </c>
      <c r="T1313" s="197">
        <v>4.5</v>
      </c>
      <c r="U1313" s="197">
        <v>4.5</v>
      </c>
      <c r="V1313" s="197">
        <v>4.5</v>
      </c>
      <c r="W1313" s="197">
        <v>4.5</v>
      </c>
      <c r="X1313" s="196"/>
      <c r="Y1313" s="196"/>
      <c r="Z1313" s="196"/>
      <c r="AA1313" s="196"/>
      <c r="AB1313" s="196"/>
      <c r="AC1313" s="197">
        <v>4.833333333333333</v>
      </c>
      <c r="AD1313" s="198"/>
    </row>
    <row r="1314">
      <c r="A1314" s="193">
        <v>106728.0</v>
      </c>
      <c r="B1314" s="194" t="s">
        <v>2807</v>
      </c>
      <c r="C1314" s="192" t="s">
        <v>2808</v>
      </c>
      <c r="D1314" s="195">
        <v>46118.0</v>
      </c>
      <c r="E1314" s="192" t="s">
        <v>94</v>
      </c>
      <c r="F1314" s="196"/>
      <c r="G1314" s="196"/>
      <c r="H1314" s="197">
        <v>5.0</v>
      </c>
      <c r="I1314" s="197">
        <v>5.0</v>
      </c>
      <c r="J1314" s="197">
        <v>5.0</v>
      </c>
      <c r="K1314" s="197">
        <v>5.0</v>
      </c>
      <c r="L1314" s="197">
        <v>5.0</v>
      </c>
      <c r="M1314" s="197">
        <v>5.0</v>
      </c>
      <c r="N1314" s="197">
        <v>5.0</v>
      </c>
      <c r="O1314" s="197">
        <v>5.0</v>
      </c>
      <c r="P1314" s="197">
        <v>5.0</v>
      </c>
      <c r="Q1314" s="197">
        <v>5.0</v>
      </c>
      <c r="R1314" s="197">
        <v>5.0</v>
      </c>
      <c r="S1314" s="197">
        <v>5.0</v>
      </c>
      <c r="T1314" s="197">
        <v>5.0</v>
      </c>
      <c r="U1314" s="197">
        <v>5.0</v>
      </c>
      <c r="V1314" s="197">
        <v>5.0</v>
      </c>
      <c r="W1314" s="197">
        <v>5.0</v>
      </c>
      <c r="X1314" s="196"/>
      <c r="Y1314" s="196"/>
      <c r="Z1314" s="196"/>
      <c r="AA1314" s="196"/>
      <c r="AB1314" s="196"/>
      <c r="AC1314" s="197">
        <v>5.0</v>
      </c>
      <c r="AD1314" s="198"/>
    </row>
    <row r="1315">
      <c r="A1315" s="193">
        <v>106723.0</v>
      </c>
      <c r="B1315" s="194" t="s">
        <v>2809</v>
      </c>
      <c r="C1315" s="192" t="s">
        <v>2810</v>
      </c>
      <c r="D1315" s="195">
        <v>46136.0</v>
      </c>
      <c r="E1315" s="192" t="s">
        <v>141</v>
      </c>
      <c r="F1315" s="196"/>
      <c r="G1315" s="196"/>
      <c r="H1315" s="197">
        <v>4.5</v>
      </c>
      <c r="I1315" s="197">
        <v>5.0</v>
      </c>
      <c r="J1315" s="197">
        <v>4.0</v>
      </c>
      <c r="K1315" s="197">
        <v>5.0</v>
      </c>
      <c r="L1315" s="197">
        <v>4.0</v>
      </c>
      <c r="M1315" s="197">
        <v>4.5</v>
      </c>
      <c r="N1315" s="197">
        <v>4.5</v>
      </c>
      <c r="O1315" s="197">
        <v>5.0</v>
      </c>
      <c r="P1315" s="197">
        <v>4.5</v>
      </c>
      <c r="Q1315" s="197">
        <v>5.0</v>
      </c>
      <c r="R1315" s="197">
        <v>4.75</v>
      </c>
      <c r="S1315" s="197">
        <v>4.5</v>
      </c>
      <c r="T1315" s="197">
        <v>5.0</v>
      </c>
      <c r="U1315" s="197">
        <v>4.5</v>
      </c>
      <c r="V1315" s="197">
        <v>5.0</v>
      </c>
      <c r="W1315" s="197">
        <v>4.75</v>
      </c>
      <c r="X1315" s="196"/>
      <c r="Y1315" s="196"/>
      <c r="Z1315" s="196"/>
      <c r="AA1315" s="196"/>
      <c r="AB1315" s="196"/>
      <c r="AC1315" s="197">
        <v>4.666666666666667</v>
      </c>
      <c r="AD1315" s="198"/>
    </row>
    <row r="1316">
      <c r="A1316" s="193">
        <v>106728.0</v>
      </c>
      <c r="B1316" s="194" t="s">
        <v>2811</v>
      </c>
      <c r="C1316" s="192" t="s">
        <v>2808</v>
      </c>
      <c r="D1316" s="195">
        <v>46118.0</v>
      </c>
      <c r="E1316" s="192" t="s">
        <v>295</v>
      </c>
      <c r="F1316" s="196"/>
      <c r="G1316" s="196"/>
      <c r="H1316" s="197">
        <v>5.0</v>
      </c>
      <c r="I1316" s="197">
        <v>5.0</v>
      </c>
      <c r="J1316" s="197">
        <v>5.0</v>
      </c>
      <c r="K1316" s="197">
        <v>5.0</v>
      </c>
      <c r="L1316" s="197">
        <v>5.0</v>
      </c>
      <c r="M1316" s="197">
        <v>5.0</v>
      </c>
      <c r="N1316" s="197">
        <v>5.0</v>
      </c>
      <c r="O1316" s="197">
        <v>5.0</v>
      </c>
      <c r="P1316" s="197">
        <v>5.0</v>
      </c>
      <c r="Q1316" s="197">
        <v>5.0</v>
      </c>
      <c r="R1316" s="197">
        <v>5.0</v>
      </c>
      <c r="S1316" s="197">
        <v>5.0</v>
      </c>
      <c r="T1316" s="197">
        <v>5.0</v>
      </c>
      <c r="U1316" s="197">
        <v>5.0</v>
      </c>
      <c r="V1316" s="197">
        <v>5.0</v>
      </c>
      <c r="W1316" s="197">
        <v>5.0</v>
      </c>
      <c r="X1316" s="196"/>
      <c r="Y1316" s="196"/>
      <c r="Z1316" s="196"/>
      <c r="AA1316" s="196"/>
      <c r="AB1316" s="196"/>
      <c r="AC1316" s="197">
        <v>5.0</v>
      </c>
      <c r="AD1316" s="198"/>
    </row>
    <row r="1317">
      <c r="A1317" s="193">
        <v>106721.0</v>
      </c>
      <c r="B1317" s="194" t="s">
        <v>2812</v>
      </c>
      <c r="C1317" s="192" t="s">
        <v>2813</v>
      </c>
      <c r="D1317" s="195">
        <v>46119.0</v>
      </c>
      <c r="E1317" s="192" t="s">
        <v>295</v>
      </c>
      <c r="F1317" s="196"/>
      <c r="G1317" s="196"/>
      <c r="H1317" s="197">
        <v>5.0</v>
      </c>
      <c r="I1317" s="197">
        <v>5.0</v>
      </c>
      <c r="J1317" s="197">
        <v>5.0</v>
      </c>
      <c r="K1317" s="197">
        <v>5.0</v>
      </c>
      <c r="L1317" s="197">
        <v>5.0</v>
      </c>
      <c r="M1317" s="197">
        <v>5.0</v>
      </c>
      <c r="N1317" s="197">
        <v>5.0</v>
      </c>
      <c r="O1317" s="197">
        <v>5.0</v>
      </c>
      <c r="P1317" s="197">
        <v>5.0</v>
      </c>
      <c r="Q1317" s="197">
        <v>5.0</v>
      </c>
      <c r="R1317" s="197">
        <v>5.0</v>
      </c>
      <c r="S1317" s="197">
        <v>5.0</v>
      </c>
      <c r="T1317" s="197">
        <v>5.0</v>
      </c>
      <c r="U1317" s="197">
        <v>5.0</v>
      </c>
      <c r="V1317" s="197">
        <v>5.0</v>
      </c>
      <c r="W1317" s="197">
        <v>5.0</v>
      </c>
      <c r="X1317" s="196"/>
      <c r="Y1317" s="196"/>
      <c r="Z1317" s="196"/>
      <c r="AA1317" s="196"/>
      <c r="AB1317" s="196"/>
      <c r="AC1317" s="197">
        <v>5.0</v>
      </c>
      <c r="AD1317" s="198"/>
    </row>
    <row r="1318">
      <c r="A1318" s="193">
        <v>106728.0</v>
      </c>
      <c r="B1318" s="194" t="s">
        <v>2814</v>
      </c>
      <c r="C1318" s="192" t="s">
        <v>2808</v>
      </c>
      <c r="D1318" s="195">
        <v>46118.0</v>
      </c>
      <c r="E1318" s="192" t="s">
        <v>219</v>
      </c>
      <c r="F1318" s="196"/>
      <c r="G1318" s="196"/>
      <c r="H1318" s="197">
        <v>4.0</v>
      </c>
      <c r="I1318" s="197">
        <v>5.0</v>
      </c>
      <c r="J1318" s="197">
        <v>4.0</v>
      </c>
      <c r="K1318" s="197">
        <v>5.0</v>
      </c>
      <c r="L1318" s="197">
        <v>4.0</v>
      </c>
      <c r="M1318" s="197">
        <v>4.4</v>
      </c>
      <c r="N1318" s="197">
        <v>4.0</v>
      </c>
      <c r="O1318" s="197">
        <v>5.0</v>
      </c>
      <c r="P1318" s="197">
        <v>4.0</v>
      </c>
      <c r="Q1318" s="197">
        <v>5.0</v>
      </c>
      <c r="R1318" s="197">
        <v>4.5</v>
      </c>
      <c r="S1318" s="197">
        <v>4.0</v>
      </c>
      <c r="T1318" s="197">
        <v>5.0</v>
      </c>
      <c r="U1318" s="197">
        <v>4.0</v>
      </c>
      <c r="V1318" s="197">
        <v>5.0</v>
      </c>
      <c r="W1318" s="197">
        <v>4.5</v>
      </c>
      <c r="X1318" s="196"/>
      <c r="Y1318" s="196"/>
      <c r="Z1318" s="196"/>
      <c r="AA1318" s="196"/>
      <c r="AB1318" s="196"/>
      <c r="AC1318" s="197">
        <v>4.466666666666667</v>
      </c>
      <c r="AD1318" s="198"/>
    </row>
    <row r="1319">
      <c r="A1319" s="193">
        <v>106722.0</v>
      </c>
      <c r="B1319" s="194" t="s">
        <v>2815</v>
      </c>
      <c r="C1319" s="192" t="s">
        <v>2816</v>
      </c>
      <c r="D1319" s="195">
        <v>46122.0</v>
      </c>
      <c r="E1319" s="192" t="s">
        <v>219</v>
      </c>
      <c r="F1319" s="196"/>
      <c r="G1319" s="196"/>
      <c r="H1319" s="197">
        <v>5.0</v>
      </c>
      <c r="I1319" s="197">
        <v>5.0</v>
      </c>
      <c r="J1319" s="197">
        <v>5.0</v>
      </c>
      <c r="K1319" s="197">
        <v>5.0</v>
      </c>
      <c r="L1319" s="197"/>
      <c r="M1319" s="197">
        <v>5.0</v>
      </c>
      <c r="N1319" s="197">
        <v>5.0</v>
      </c>
      <c r="O1319" s="197">
        <v>5.0</v>
      </c>
      <c r="P1319" s="197">
        <v>5.0</v>
      </c>
      <c r="Q1319" s="197">
        <v>5.0</v>
      </c>
      <c r="R1319" s="197">
        <v>5.0</v>
      </c>
      <c r="S1319" s="197">
        <v>5.0</v>
      </c>
      <c r="T1319" s="197">
        <v>5.0</v>
      </c>
      <c r="U1319" s="197">
        <v>5.0</v>
      </c>
      <c r="V1319" s="197">
        <v>5.0</v>
      </c>
      <c r="W1319" s="197">
        <v>5.0</v>
      </c>
      <c r="X1319" s="196"/>
      <c r="Y1319" s="196"/>
      <c r="Z1319" s="196"/>
      <c r="AA1319" s="196"/>
      <c r="AB1319" s="196"/>
      <c r="AC1319" s="197">
        <v>5.0</v>
      </c>
      <c r="AD1319" s="198"/>
    </row>
    <row r="1320">
      <c r="A1320" s="193">
        <v>106722.0</v>
      </c>
      <c r="B1320" s="194" t="s">
        <v>2817</v>
      </c>
      <c r="C1320" s="192" t="s">
        <v>2816</v>
      </c>
      <c r="D1320" s="195">
        <v>46112.0</v>
      </c>
      <c r="E1320" s="192" t="s">
        <v>295</v>
      </c>
      <c r="F1320" s="196"/>
      <c r="G1320" s="196"/>
      <c r="H1320" s="197">
        <v>5.0</v>
      </c>
      <c r="I1320" s="197">
        <v>5.0</v>
      </c>
      <c r="J1320" s="197">
        <v>5.0</v>
      </c>
      <c r="K1320" s="197">
        <v>5.0</v>
      </c>
      <c r="L1320" s="197">
        <v>5.0</v>
      </c>
      <c r="M1320" s="197">
        <v>5.0</v>
      </c>
      <c r="N1320" s="197">
        <v>5.0</v>
      </c>
      <c r="O1320" s="197">
        <v>5.0</v>
      </c>
      <c r="P1320" s="197">
        <v>5.0</v>
      </c>
      <c r="Q1320" s="197">
        <v>5.0</v>
      </c>
      <c r="R1320" s="197">
        <v>5.0</v>
      </c>
      <c r="S1320" s="197">
        <v>5.0</v>
      </c>
      <c r="T1320" s="197">
        <v>5.0</v>
      </c>
      <c r="U1320" s="197">
        <v>5.0</v>
      </c>
      <c r="V1320" s="197">
        <v>5.0</v>
      </c>
      <c r="W1320" s="197">
        <v>5.0</v>
      </c>
      <c r="X1320" s="196"/>
      <c r="Y1320" s="196"/>
      <c r="Z1320" s="196"/>
      <c r="AA1320" s="196"/>
      <c r="AB1320" s="196"/>
      <c r="AC1320" s="197">
        <v>5.0</v>
      </c>
      <c r="AD1320" s="198"/>
    </row>
    <row r="1321">
      <c r="A1321" s="193">
        <v>106726.0</v>
      </c>
      <c r="B1321" s="194" t="s">
        <v>2818</v>
      </c>
      <c r="C1321" s="192" t="s">
        <v>2819</v>
      </c>
      <c r="D1321" s="195">
        <v>46120.0</v>
      </c>
      <c r="E1321" s="192" t="s">
        <v>94</v>
      </c>
      <c r="F1321" s="196"/>
      <c r="G1321" s="196"/>
      <c r="H1321" s="197">
        <v>5.0</v>
      </c>
      <c r="I1321" s="197">
        <v>5.0</v>
      </c>
      <c r="J1321" s="197">
        <v>5.0</v>
      </c>
      <c r="K1321" s="197">
        <v>5.0</v>
      </c>
      <c r="L1321" s="197">
        <v>5.0</v>
      </c>
      <c r="M1321" s="197">
        <v>5.0</v>
      </c>
      <c r="N1321" s="197">
        <v>5.0</v>
      </c>
      <c r="O1321" s="197">
        <v>5.0</v>
      </c>
      <c r="P1321" s="197">
        <v>5.0</v>
      </c>
      <c r="Q1321" s="197">
        <v>5.0</v>
      </c>
      <c r="R1321" s="197">
        <v>5.0</v>
      </c>
      <c r="S1321" s="197">
        <v>5.0</v>
      </c>
      <c r="T1321" s="197">
        <v>5.0</v>
      </c>
      <c r="U1321" s="197">
        <v>5.0</v>
      </c>
      <c r="V1321" s="197">
        <v>5.0</v>
      </c>
      <c r="W1321" s="197">
        <v>5.0</v>
      </c>
      <c r="X1321" s="196"/>
      <c r="Y1321" s="196"/>
      <c r="Z1321" s="196"/>
      <c r="AA1321" s="196"/>
      <c r="AB1321" s="196"/>
      <c r="AC1321" s="197">
        <v>5.0</v>
      </c>
      <c r="AD1321" s="198"/>
    </row>
    <row r="1322">
      <c r="A1322" s="193">
        <v>105149.0</v>
      </c>
      <c r="B1322" s="194" t="s">
        <v>2820</v>
      </c>
      <c r="C1322" s="192" t="s">
        <v>2821</v>
      </c>
      <c r="D1322" s="195">
        <v>1.0302024E7</v>
      </c>
      <c r="E1322" s="192" t="s">
        <v>2202</v>
      </c>
      <c r="F1322" s="196"/>
      <c r="G1322" s="196"/>
      <c r="H1322" s="197">
        <v>4.0</v>
      </c>
      <c r="I1322" s="197">
        <v>4.0</v>
      </c>
      <c r="J1322" s="197">
        <v>4.0</v>
      </c>
      <c r="K1322" s="197">
        <v>4.0</v>
      </c>
      <c r="L1322" s="197">
        <v>4.0</v>
      </c>
      <c r="M1322" s="197">
        <v>4.0</v>
      </c>
      <c r="N1322" s="197">
        <v>5.0</v>
      </c>
      <c r="O1322" s="197">
        <v>5.0</v>
      </c>
      <c r="P1322" s="197">
        <v>5.0</v>
      </c>
      <c r="Q1322" s="197">
        <v>5.0</v>
      </c>
      <c r="R1322" s="197">
        <v>5.0</v>
      </c>
      <c r="S1322" s="197">
        <v>4.5</v>
      </c>
      <c r="T1322" s="197">
        <v>4.5</v>
      </c>
      <c r="U1322" s="197">
        <v>4.5</v>
      </c>
      <c r="V1322" s="197">
        <v>4.5</v>
      </c>
      <c r="W1322" s="197">
        <v>4.5</v>
      </c>
      <c r="X1322" s="196"/>
      <c r="Y1322" s="196"/>
      <c r="Z1322" s="196"/>
      <c r="AA1322" s="196"/>
      <c r="AB1322" s="196"/>
      <c r="AC1322" s="197">
        <v>4.5</v>
      </c>
      <c r="AD1322" s="198"/>
    </row>
    <row r="1323">
      <c r="A1323" s="193">
        <v>105292.0</v>
      </c>
      <c r="B1323" s="194" t="s">
        <v>2822</v>
      </c>
      <c r="C1323" s="192" t="s">
        <v>2823</v>
      </c>
      <c r="D1323" s="195">
        <v>45632.0</v>
      </c>
      <c r="E1323" s="192" t="s">
        <v>265</v>
      </c>
      <c r="F1323" s="196"/>
      <c r="G1323" s="196"/>
      <c r="H1323" s="197">
        <v>5.0</v>
      </c>
      <c r="I1323" s="197">
        <v>5.0</v>
      </c>
      <c r="J1323" s="197">
        <v>5.0</v>
      </c>
      <c r="K1323" s="197">
        <v>5.0</v>
      </c>
      <c r="L1323" s="197">
        <v>5.0</v>
      </c>
      <c r="M1323" s="197">
        <v>5.0</v>
      </c>
      <c r="N1323" s="197">
        <v>5.0</v>
      </c>
      <c r="O1323" s="197">
        <v>5.0</v>
      </c>
      <c r="P1323" s="197">
        <v>5.0</v>
      </c>
      <c r="Q1323" s="197">
        <v>5.0</v>
      </c>
      <c r="R1323" s="197">
        <v>5.0</v>
      </c>
      <c r="S1323" s="197">
        <v>4.5</v>
      </c>
      <c r="T1323" s="197">
        <v>4.5</v>
      </c>
      <c r="U1323" s="197">
        <v>4.5</v>
      </c>
      <c r="V1323" s="197">
        <v>4.5</v>
      </c>
      <c r="W1323" s="197">
        <v>4.5</v>
      </c>
      <c r="X1323" s="196"/>
      <c r="Y1323" s="196"/>
      <c r="Z1323" s="196"/>
      <c r="AA1323" s="196"/>
      <c r="AB1323" s="196"/>
      <c r="AC1323" s="197">
        <v>4.833333333333333</v>
      </c>
      <c r="AD1323" s="198"/>
    </row>
    <row r="1324">
      <c r="A1324" s="193">
        <v>105528.0</v>
      </c>
      <c r="B1324" s="194" t="s">
        <v>2824</v>
      </c>
      <c r="C1324" s="192" t="s">
        <v>2825</v>
      </c>
      <c r="D1324" s="195">
        <v>45724.0</v>
      </c>
      <c r="E1324" s="192" t="s">
        <v>2141</v>
      </c>
      <c r="F1324" s="196"/>
      <c r="G1324" s="196"/>
      <c r="H1324" s="197">
        <v>5.0</v>
      </c>
      <c r="I1324" s="197">
        <v>5.0</v>
      </c>
      <c r="J1324" s="197">
        <v>5.0</v>
      </c>
      <c r="K1324" s="197">
        <v>5.0</v>
      </c>
      <c r="L1324" s="197">
        <v>4.5</v>
      </c>
      <c r="M1324" s="197">
        <v>4.9</v>
      </c>
      <c r="N1324" s="197">
        <v>5.0</v>
      </c>
      <c r="O1324" s="197">
        <v>5.0</v>
      </c>
      <c r="P1324" s="197">
        <v>5.0</v>
      </c>
      <c r="Q1324" s="197">
        <v>5.0</v>
      </c>
      <c r="R1324" s="197">
        <v>5.0</v>
      </c>
      <c r="S1324" s="197">
        <v>4.5</v>
      </c>
      <c r="T1324" s="197">
        <v>4.5</v>
      </c>
      <c r="U1324" s="197">
        <v>4.5</v>
      </c>
      <c r="V1324" s="197">
        <v>4.5</v>
      </c>
      <c r="W1324" s="197">
        <v>4.5</v>
      </c>
      <c r="X1324" s="196"/>
      <c r="Y1324" s="196"/>
      <c r="Z1324" s="196"/>
      <c r="AA1324" s="196"/>
      <c r="AB1324" s="196"/>
      <c r="AC1324" s="197">
        <v>4.8</v>
      </c>
      <c r="AD1324" s="198"/>
    </row>
    <row r="1325">
      <c r="A1325" s="193">
        <v>105491.0</v>
      </c>
      <c r="B1325" s="194" t="s">
        <v>2826</v>
      </c>
      <c r="C1325" s="192" t="s">
        <v>2827</v>
      </c>
      <c r="D1325" s="195">
        <v>45777.0</v>
      </c>
      <c r="E1325" s="192" t="s">
        <v>61</v>
      </c>
      <c r="F1325" s="196"/>
      <c r="G1325" s="196"/>
      <c r="H1325" s="197">
        <v>5.0</v>
      </c>
      <c r="I1325" s="197">
        <v>5.0</v>
      </c>
      <c r="J1325" s="197">
        <v>5.0</v>
      </c>
      <c r="K1325" s="197">
        <v>5.0</v>
      </c>
      <c r="L1325" s="197">
        <v>5.0</v>
      </c>
      <c r="M1325" s="197">
        <v>5.0</v>
      </c>
      <c r="N1325" s="197">
        <v>5.0</v>
      </c>
      <c r="O1325" s="197">
        <v>5.0</v>
      </c>
      <c r="P1325" s="197">
        <v>5.0</v>
      </c>
      <c r="Q1325" s="197">
        <v>5.0</v>
      </c>
      <c r="R1325" s="197">
        <v>5.0</v>
      </c>
      <c r="S1325" s="197">
        <v>5.0</v>
      </c>
      <c r="T1325" s="197">
        <v>5.0</v>
      </c>
      <c r="U1325" s="197">
        <v>5.0</v>
      </c>
      <c r="V1325" s="197">
        <v>5.0</v>
      </c>
      <c r="W1325" s="197">
        <v>5.0</v>
      </c>
      <c r="X1325" s="196"/>
      <c r="Y1325" s="196"/>
      <c r="Z1325" s="196"/>
      <c r="AA1325" s="196"/>
      <c r="AB1325" s="196"/>
      <c r="AC1325" s="197">
        <v>5.0</v>
      </c>
      <c r="AD1325" s="198"/>
    </row>
    <row r="1326">
      <c r="A1326" s="193">
        <v>105504.0</v>
      </c>
      <c r="B1326" s="194" t="s">
        <v>2828</v>
      </c>
      <c r="C1326" s="192" t="s">
        <v>2829</v>
      </c>
      <c r="D1326" s="195">
        <v>45716.0</v>
      </c>
      <c r="E1326" s="192" t="s">
        <v>2141</v>
      </c>
      <c r="F1326" s="196"/>
      <c r="G1326" s="196"/>
      <c r="H1326" s="197">
        <v>5.0</v>
      </c>
      <c r="I1326" s="197">
        <v>5.0</v>
      </c>
      <c r="J1326" s="197">
        <v>5.0</v>
      </c>
      <c r="K1326" s="197">
        <v>5.0</v>
      </c>
      <c r="L1326" s="197">
        <v>4.5</v>
      </c>
      <c r="M1326" s="197">
        <v>4.9</v>
      </c>
      <c r="N1326" s="197">
        <v>5.0</v>
      </c>
      <c r="O1326" s="197">
        <v>5.0</v>
      </c>
      <c r="P1326" s="197">
        <v>5.0</v>
      </c>
      <c r="Q1326" s="197">
        <v>5.0</v>
      </c>
      <c r="R1326" s="197">
        <v>5.0</v>
      </c>
      <c r="S1326" s="197">
        <v>4.5</v>
      </c>
      <c r="T1326" s="197">
        <v>4.5</v>
      </c>
      <c r="U1326" s="197">
        <v>4.5</v>
      </c>
      <c r="V1326" s="197">
        <v>4.5</v>
      </c>
      <c r="W1326" s="197">
        <v>4.5</v>
      </c>
      <c r="X1326" s="196"/>
      <c r="Y1326" s="196"/>
      <c r="Z1326" s="196"/>
      <c r="AA1326" s="196"/>
      <c r="AB1326" s="196"/>
      <c r="AC1326" s="197">
        <v>4.8</v>
      </c>
      <c r="AD1326" s="198"/>
    </row>
    <row r="1327">
      <c r="A1327" s="193">
        <v>105522.0</v>
      </c>
      <c r="B1327" s="194" t="s">
        <v>2830</v>
      </c>
      <c r="C1327" s="192" t="s">
        <v>2831</v>
      </c>
      <c r="D1327" s="195">
        <v>46089.0</v>
      </c>
      <c r="E1327" s="192" t="s">
        <v>2141</v>
      </c>
      <c r="F1327" s="196"/>
      <c r="G1327" s="196"/>
      <c r="H1327" s="197">
        <v>5.0</v>
      </c>
      <c r="I1327" s="197">
        <v>5.0</v>
      </c>
      <c r="J1327" s="197">
        <v>5.0</v>
      </c>
      <c r="K1327" s="197">
        <v>5.0</v>
      </c>
      <c r="L1327" s="197">
        <v>4.5</v>
      </c>
      <c r="M1327" s="197">
        <v>4.9</v>
      </c>
      <c r="N1327" s="197">
        <v>5.0</v>
      </c>
      <c r="O1327" s="197">
        <v>5.0</v>
      </c>
      <c r="P1327" s="197">
        <v>5.0</v>
      </c>
      <c r="Q1327" s="197">
        <v>5.0</v>
      </c>
      <c r="R1327" s="197">
        <v>5.0</v>
      </c>
      <c r="S1327" s="197">
        <v>4.5</v>
      </c>
      <c r="T1327" s="197">
        <v>4.5</v>
      </c>
      <c r="U1327" s="197">
        <v>4.5</v>
      </c>
      <c r="V1327" s="197">
        <v>4.5</v>
      </c>
      <c r="W1327" s="197">
        <v>4.5</v>
      </c>
      <c r="X1327" s="196"/>
      <c r="Y1327" s="196"/>
      <c r="Z1327" s="196"/>
      <c r="AA1327" s="196"/>
      <c r="AB1327" s="196"/>
      <c r="AC1327" s="197">
        <v>4.8</v>
      </c>
      <c r="AD1327" s="198"/>
    </row>
    <row r="1328">
      <c r="A1328" s="193">
        <v>105523.0</v>
      </c>
      <c r="B1328" s="194" t="s">
        <v>2832</v>
      </c>
      <c r="C1328" s="192" t="s">
        <v>2833</v>
      </c>
      <c r="D1328" s="195">
        <v>45724.0</v>
      </c>
      <c r="E1328" s="192" t="s">
        <v>2141</v>
      </c>
      <c r="F1328" s="196"/>
      <c r="G1328" s="196"/>
      <c r="H1328" s="197">
        <v>5.0</v>
      </c>
      <c r="I1328" s="197">
        <v>5.0</v>
      </c>
      <c r="J1328" s="197">
        <v>5.0</v>
      </c>
      <c r="K1328" s="197">
        <v>5.0</v>
      </c>
      <c r="L1328" s="197">
        <v>4.5</v>
      </c>
      <c r="M1328" s="197">
        <v>4.9</v>
      </c>
      <c r="N1328" s="197">
        <v>5.0</v>
      </c>
      <c r="O1328" s="197">
        <v>5.0</v>
      </c>
      <c r="P1328" s="197">
        <v>5.0</v>
      </c>
      <c r="Q1328" s="197">
        <v>5.0</v>
      </c>
      <c r="R1328" s="197">
        <v>5.0</v>
      </c>
      <c r="S1328" s="197">
        <v>4.5</v>
      </c>
      <c r="T1328" s="197">
        <v>4.5</v>
      </c>
      <c r="U1328" s="197">
        <v>4.5</v>
      </c>
      <c r="V1328" s="197">
        <v>4.5</v>
      </c>
      <c r="W1328" s="197">
        <v>4.5</v>
      </c>
      <c r="X1328" s="196"/>
      <c r="Y1328" s="196"/>
      <c r="Z1328" s="196"/>
      <c r="AA1328" s="196"/>
      <c r="AB1328" s="196"/>
      <c r="AC1328" s="197">
        <v>4.8</v>
      </c>
      <c r="AD1328" s="198"/>
    </row>
    <row r="1329">
      <c r="A1329" s="193">
        <v>105524.0</v>
      </c>
      <c r="B1329" s="194" t="s">
        <v>2834</v>
      </c>
      <c r="C1329" s="192" t="s">
        <v>2835</v>
      </c>
      <c r="D1329" s="195">
        <v>45724.0</v>
      </c>
      <c r="E1329" s="192" t="s">
        <v>2141</v>
      </c>
      <c r="F1329" s="196"/>
      <c r="G1329" s="196"/>
      <c r="H1329" s="197">
        <v>5.0</v>
      </c>
      <c r="I1329" s="197">
        <v>5.0</v>
      </c>
      <c r="J1329" s="197">
        <v>5.0</v>
      </c>
      <c r="K1329" s="197">
        <v>5.0</v>
      </c>
      <c r="L1329" s="197">
        <v>4.5</v>
      </c>
      <c r="M1329" s="197">
        <v>4.9</v>
      </c>
      <c r="N1329" s="197">
        <v>5.0</v>
      </c>
      <c r="O1329" s="197">
        <v>5.0</v>
      </c>
      <c r="P1329" s="197">
        <v>5.0</v>
      </c>
      <c r="Q1329" s="197">
        <v>5.0</v>
      </c>
      <c r="R1329" s="197">
        <v>5.0</v>
      </c>
      <c r="S1329" s="197">
        <v>4.5</v>
      </c>
      <c r="T1329" s="197">
        <v>4.5</v>
      </c>
      <c r="U1329" s="197">
        <v>4.5</v>
      </c>
      <c r="V1329" s="197">
        <v>4.5</v>
      </c>
      <c r="W1329" s="197">
        <v>4.5</v>
      </c>
      <c r="X1329" s="196"/>
      <c r="Y1329" s="196"/>
      <c r="Z1329" s="196"/>
      <c r="AA1329" s="196"/>
      <c r="AB1329" s="196"/>
      <c r="AC1329" s="197">
        <v>4.8</v>
      </c>
      <c r="AD1329" s="198"/>
    </row>
    <row r="1330">
      <c r="A1330" s="193">
        <v>105526.0</v>
      </c>
      <c r="B1330" s="194" t="s">
        <v>2836</v>
      </c>
      <c r="C1330" s="192" t="s">
        <v>2837</v>
      </c>
      <c r="D1330" s="195">
        <v>45724.0</v>
      </c>
      <c r="E1330" s="192" t="s">
        <v>2141</v>
      </c>
      <c r="F1330" s="196"/>
      <c r="G1330" s="196"/>
      <c r="H1330" s="197">
        <v>5.0</v>
      </c>
      <c r="I1330" s="197">
        <v>5.0</v>
      </c>
      <c r="J1330" s="197">
        <v>5.0</v>
      </c>
      <c r="K1330" s="197">
        <v>5.0</v>
      </c>
      <c r="L1330" s="197">
        <v>4.5</v>
      </c>
      <c r="M1330" s="197">
        <v>4.9</v>
      </c>
      <c r="N1330" s="197">
        <v>5.0</v>
      </c>
      <c r="O1330" s="197">
        <v>5.0</v>
      </c>
      <c r="P1330" s="197">
        <v>5.0</v>
      </c>
      <c r="Q1330" s="197">
        <v>5.0</v>
      </c>
      <c r="R1330" s="197">
        <v>5.0</v>
      </c>
      <c r="S1330" s="197">
        <v>4.5</v>
      </c>
      <c r="T1330" s="197">
        <v>4.5</v>
      </c>
      <c r="U1330" s="197">
        <v>4.5</v>
      </c>
      <c r="V1330" s="197">
        <v>4.5</v>
      </c>
      <c r="W1330" s="197">
        <v>4.5</v>
      </c>
      <c r="X1330" s="196"/>
      <c r="Y1330" s="196"/>
      <c r="Z1330" s="196"/>
      <c r="AA1330" s="196"/>
      <c r="AB1330" s="196"/>
      <c r="AC1330" s="197">
        <v>4.8</v>
      </c>
      <c r="AD1330" s="198"/>
    </row>
    <row r="1331">
      <c r="A1331" s="193">
        <v>105525.0</v>
      </c>
      <c r="B1331" s="194" t="s">
        <v>2838</v>
      </c>
      <c r="C1331" s="192" t="s">
        <v>2839</v>
      </c>
      <c r="D1331" s="195">
        <v>45724.0</v>
      </c>
      <c r="E1331" s="192" t="s">
        <v>2141</v>
      </c>
      <c r="F1331" s="196"/>
      <c r="G1331" s="196"/>
      <c r="H1331" s="197">
        <v>5.0</v>
      </c>
      <c r="I1331" s="197">
        <v>5.0</v>
      </c>
      <c r="J1331" s="197">
        <v>5.0</v>
      </c>
      <c r="K1331" s="197">
        <v>5.0</v>
      </c>
      <c r="L1331" s="197">
        <v>4.5</v>
      </c>
      <c r="M1331" s="197">
        <v>4.9</v>
      </c>
      <c r="N1331" s="197">
        <v>5.0</v>
      </c>
      <c r="O1331" s="197">
        <v>5.0</v>
      </c>
      <c r="P1331" s="197">
        <v>5.0</v>
      </c>
      <c r="Q1331" s="197">
        <v>5.0</v>
      </c>
      <c r="R1331" s="197">
        <v>5.0</v>
      </c>
      <c r="S1331" s="197">
        <v>4.5</v>
      </c>
      <c r="T1331" s="197">
        <v>4.5</v>
      </c>
      <c r="U1331" s="197">
        <v>4.5</v>
      </c>
      <c r="V1331" s="197">
        <v>4.5</v>
      </c>
      <c r="W1331" s="197">
        <v>4.5</v>
      </c>
      <c r="X1331" s="196"/>
      <c r="Y1331" s="196"/>
      <c r="Z1331" s="196"/>
      <c r="AA1331" s="196"/>
      <c r="AB1331" s="196"/>
      <c r="AC1331" s="197">
        <v>4.8</v>
      </c>
      <c r="AD1331" s="198"/>
    </row>
    <row r="1332">
      <c r="A1332" s="193">
        <v>105527.0</v>
      </c>
      <c r="B1332" s="194" t="s">
        <v>2840</v>
      </c>
      <c r="C1332" s="192" t="s">
        <v>2841</v>
      </c>
      <c r="D1332" s="195">
        <v>45724.0</v>
      </c>
      <c r="E1332" s="192" t="s">
        <v>2141</v>
      </c>
      <c r="F1332" s="196"/>
      <c r="G1332" s="196"/>
      <c r="H1332" s="197">
        <v>5.0</v>
      </c>
      <c r="I1332" s="197">
        <v>5.0</v>
      </c>
      <c r="J1332" s="197">
        <v>5.0</v>
      </c>
      <c r="K1332" s="197">
        <v>5.0</v>
      </c>
      <c r="L1332" s="197">
        <v>4.5</v>
      </c>
      <c r="M1332" s="197">
        <v>4.9</v>
      </c>
      <c r="N1332" s="197">
        <v>5.0</v>
      </c>
      <c r="O1332" s="197">
        <v>5.0</v>
      </c>
      <c r="P1332" s="197">
        <v>5.0</v>
      </c>
      <c r="Q1332" s="197">
        <v>5.0</v>
      </c>
      <c r="R1332" s="197">
        <v>5.0</v>
      </c>
      <c r="S1332" s="197">
        <v>4.5</v>
      </c>
      <c r="T1332" s="197">
        <v>4.5</v>
      </c>
      <c r="U1332" s="197">
        <v>4.5</v>
      </c>
      <c r="V1332" s="197">
        <v>4.5</v>
      </c>
      <c r="W1332" s="197">
        <v>4.5</v>
      </c>
      <c r="X1332" s="196"/>
      <c r="Y1332" s="196"/>
      <c r="Z1332" s="196"/>
      <c r="AA1332" s="196"/>
      <c r="AB1332" s="196"/>
      <c r="AC1332" s="197">
        <v>4.8</v>
      </c>
      <c r="AD1332" s="198"/>
    </row>
    <row r="1333">
      <c r="A1333" s="193">
        <v>105530.0</v>
      </c>
      <c r="B1333" s="194" t="s">
        <v>2842</v>
      </c>
      <c r="C1333" s="192" t="s">
        <v>2843</v>
      </c>
      <c r="D1333" s="195">
        <v>45724.0</v>
      </c>
      <c r="E1333" s="192" t="s">
        <v>2141</v>
      </c>
      <c r="F1333" s="196"/>
      <c r="G1333" s="196"/>
      <c r="H1333" s="197">
        <v>5.0</v>
      </c>
      <c r="I1333" s="197">
        <v>5.0</v>
      </c>
      <c r="J1333" s="197">
        <v>5.0</v>
      </c>
      <c r="K1333" s="197">
        <v>5.0</v>
      </c>
      <c r="L1333" s="197">
        <v>4.5</v>
      </c>
      <c r="M1333" s="197">
        <v>4.9</v>
      </c>
      <c r="N1333" s="197">
        <v>5.0</v>
      </c>
      <c r="O1333" s="197">
        <v>5.0</v>
      </c>
      <c r="P1333" s="197">
        <v>5.0</v>
      </c>
      <c r="Q1333" s="197">
        <v>5.0</v>
      </c>
      <c r="R1333" s="197">
        <v>5.0</v>
      </c>
      <c r="S1333" s="197">
        <v>4.5</v>
      </c>
      <c r="T1333" s="197">
        <v>4.5</v>
      </c>
      <c r="U1333" s="197">
        <v>4.5</v>
      </c>
      <c r="V1333" s="197">
        <v>4.5</v>
      </c>
      <c r="W1333" s="197">
        <v>4.5</v>
      </c>
      <c r="X1333" s="196"/>
      <c r="Y1333" s="196"/>
      <c r="Z1333" s="196"/>
      <c r="AA1333" s="196"/>
      <c r="AB1333" s="196"/>
      <c r="AC1333" s="197">
        <v>4.8</v>
      </c>
      <c r="AD1333" s="198"/>
    </row>
    <row r="1334">
      <c r="A1334" s="193">
        <v>105529.0</v>
      </c>
      <c r="B1334" s="194" t="s">
        <v>2844</v>
      </c>
      <c r="C1334" s="192" t="s">
        <v>2845</v>
      </c>
      <c r="D1334" s="195">
        <v>45724.0</v>
      </c>
      <c r="E1334" s="192" t="s">
        <v>2141</v>
      </c>
      <c r="F1334" s="196"/>
      <c r="G1334" s="196"/>
      <c r="H1334" s="197">
        <v>5.0</v>
      </c>
      <c r="I1334" s="197">
        <v>5.0</v>
      </c>
      <c r="J1334" s="197">
        <v>5.0</v>
      </c>
      <c r="K1334" s="197">
        <v>5.0</v>
      </c>
      <c r="L1334" s="197">
        <v>4.5</v>
      </c>
      <c r="M1334" s="197">
        <v>4.9</v>
      </c>
      <c r="N1334" s="197">
        <v>5.0</v>
      </c>
      <c r="O1334" s="197">
        <v>5.0</v>
      </c>
      <c r="P1334" s="197">
        <v>5.0</v>
      </c>
      <c r="Q1334" s="197">
        <v>5.0</v>
      </c>
      <c r="R1334" s="197">
        <v>5.0</v>
      </c>
      <c r="S1334" s="197">
        <v>4.5</v>
      </c>
      <c r="T1334" s="197">
        <v>4.5</v>
      </c>
      <c r="U1334" s="197">
        <v>4.5</v>
      </c>
      <c r="V1334" s="197">
        <v>4.5</v>
      </c>
      <c r="W1334" s="197">
        <v>4.5</v>
      </c>
      <c r="X1334" s="196"/>
      <c r="Y1334" s="196"/>
      <c r="Z1334" s="196"/>
      <c r="AA1334" s="196"/>
      <c r="AB1334" s="196"/>
      <c r="AC1334" s="197">
        <v>4.8</v>
      </c>
      <c r="AD1334" s="198"/>
    </row>
    <row r="1335">
      <c r="A1335" s="193">
        <v>106188.0</v>
      </c>
      <c r="B1335" s="194" t="s">
        <v>2846</v>
      </c>
      <c r="C1335" s="192" t="s">
        <v>2847</v>
      </c>
      <c r="D1335" s="195">
        <v>45937.0</v>
      </c>
      <c r="E1335" s="192" t="s">
        <v>265</v>
      </c>
      <c r="F1335" s="196"/>
      <c r="G1335" s="196"/>
      <c r="H1335" s="197">
        <v>5.0</v>
      </c>
      <c r="I1335" s="197">
        <v>5.0</v>
      </c>
      <c r="J1335" s="197">
        <v>5.0</v>
      </c>
      <c r="K1335" s="197">
        <v>5.0</v>
      </c>
      <c r="L1335" s="197">
        <v>4.5</v>
      </c>
      <c r="M1335" s="197">
        <v>4.9</v>
      </c>
      <c r="N1335" s="197">
        <v>5.0</v>
      </c>
      <c r="O1335" s="197">
        <v>5.0</v>
      </c>
      <c r="P1335" s="197">
        <v>5.0</v>
      </c>
      <c r="Q1335" s="197">
        <v>5.0</v>
      </c>
      <c r="R1335" s="197">
        <v>5.0</v>
      </c>
      <c r="S1335" s="197">
        <v>4.5</v>
      </c>
      <c r="T1335" s="197">
        <v>4.5</v>
      </c>
      <c r="U1335" s="197">
        <v>4.5</v>
      </c>
      <c r="V1335" s="197">
        <v>4.5</v>
      </c>
      <c r="W1335" s="197">
        <v>4.5</v>
      </c>
      <c r="X1335" s="196"/>
      <c r="Y1335" s="196"/>
      <c r="Z1335" s="196"/>
      <c r="AA1335" s="196"/>
      <c r="AB1335" s="196"/>
      <c r="AC1335" s="197">
        <v>4.8</v>
      </c>
      <c r="AD1335" s="198"/>
    </row>
    <row r="1336">
      <c r="A1336" s="193">
        <v>104478.0</v>
      </c>
      <c r="B1336" s="194" t="s">
        <v>2848</v>
      </c>
      <c r="C1336" s="192" t="s">
        <v>2849</v>
      </c>
      <c r="D1336" s="195">
        <v>45434.0</v>
      </c>
      <c r="E1336" s="192" t="s">
        <v>95</v>
      </c>
      <c r="F1336" s="196"/>
      <c r="G1336" s="196"/>
      <c r="H1336" s="197">
        <v>5.0</v>
      </c>
      <c r="I1336" s="197">
        <v>4.5</v>
      </c>
      <c r="J1336" s="197">
        <v>5.0</v>
      </c>
      <c r="K1336" s="197">
        <v>5.0</v>
      </c>
      <c r="L1336" s="197">
        <v>5.0</v>
      </c>
      <c r="M1336" s="197">
        <v>4.9</v>
      </c>
      <c r="N1336" s="197">
        <v>5.0</v>
      </c>
      <c r="O1336" s="197">
        <v>5.0</v>
      </c>
      <c r="P1336" s="197">
        <v>5.0</v>
      </c>
      <c r="Q1336" s="197">
        <v>5.0</v>
      </c>
      <c r="R1336" s="197">
        <v>5.0</v>
      </c>
      <c r="S1336" s="197">
        <v>4.5</v>
      </c>
      <c r="T1336" s="197">
        <v>4.5</v>
      </c>
      <c r="U1336" s="197">
        <v>4.5</v>
      </c>
      <c r="V1336" s="197">
        <v>4.5</v>
      </c>
      <c r="W1336" s="197">
        <v>4.5</v>
      </c>
      <c r="X1336" s="196"/>
      <c r="Y1336" s="196"/>
      <c r="Z1336" s="196"/>
      <c r="AA1336" s="196"/>
      <c r="AB1336" s="196"/>
      <c r="AC1336" s="197">
        <v>4.8</v>
      </c>
      <c r="AD1336" s="198"/>
    </row>
    <row r="1337">
      <c r="A1337" s="193">
        <v>105990.0</v>
      </c>
      <c r="B1337" s="194" t="s">
        <v>2850</v>
      </c>
      <c r="C1337" s="192" t="s">
        <v>2851</v>
      </c>
      <c r="D1337" s="195">
        <v>45846.0</v>
      </c>
      <c r="E1337" s="192" t="s">
        <v>1184</v>
      </c>
      <c r="F1337" s="196"/>
      <c r="G1337" s="196"/>
      <c r="H1337" s="197">
        <v>5.0</v>
      </c>
      <c r="I1337" s="197">
        <v>5.0</v>
      </c>
      <c r="J1337" s="197">
        <v>5.0</v>
      </c>
      <c r="K1337" s="197">
        <v>5.0</v>
      </c>
      <c r="L1337" s="197">
        <v>5.0</v>
      </c>
      <c r="M1337" s="197">
        <v>5.0</v>
      </c>
      <c r="N1337" s="197">
        <v>5.0</v>
      </c>
      <c r="O1337" s="197">
        <v>5.0</v>
      </c>
      <c r="P1337" s="197">
        <v>5.0</v>
      </c>
      <c r="Q1337" s="197">
        <v>5.0</v>
      </c>
      <c r="R1337" s="197">
        <v>5.0</v>
      </c>
      <c r="S1337" s="197">
        <v>5.0</v>
      </c>
      <c r="T1337" s="197">
        <v>5.0</v>
      </c>
      <c r="U1337" s="197">
        <v>5.0</v>
      </c>
      <c r="V1337" s="197">
        <v>5.0</v>
      </c>
      <c r="W1337" s="197">
        <v>5.0</v>
      </c>
      <c r="X1337" s="196"/>
      <c r="Y1337" s="196"/>
      <c r="Z1337" s="196"/>
      <c r="AA1337" s="196"/>
      <c r="AB1337" s="196"/>
      <c r="AC1337" s="197">
        <v>5.0</v>
      </c>
      <c r="AD1337" s="198"/>
    </row>
    <row r="1338">
      <c r="A1338" s="193">
        <v>105712.0</v>
      </c>
      <c r="B1338" s="194" t="s">
        <v>2852</v>
      </c>
      <c r="C1338" s="192" t="s">
        <v>2853</v>
      </c>
      <c r="D1338" s="195">
        <v>45775.0</v>
      </c>
      <c r="E1338" s="192" t="s">
        <v>265</v>
      </c>
      <c r="F1338" s="196"/>
      <c r="G1338" s="196"/>
      <c r="H1338" s="197">
        <v>4.0</v>
      </c>
      <c r="I1338" s="197">
        <v>4.0</v>
      </c>
      <c r="J1338" s="197">
        <v>4.0</v>
      </c>
      <c r="K1338" s="197">
        <v>4.0</v>
      </c>
      <c r="L1338" s="197">
        <v>4.5</v>
      </c>
      <c r="M1338" s="197">
        <v>4.1</v>
      </c>
      <c r="N1338" s="197">
        <v>3.0</v>
      </c>
      <c r="O1338" s="197">
        <v>4.0</v>
      </c>
      <c r="P1338" s="197">
        <v>4.0</v>
      </c>
      <c r="Q1338" s="197">
        <v>4.0</v>
      </c>
      <c r="R1338" s="197">
        <v>3.75</v>
      </c>
      <c r="S1338" s="197">
        <v>4.5</v>
      </c>
      <c r="T1338" s="197">
        <v>4.5</v>
      </c>
      <c r="U1338" s="197">
        <v>4.5</v>
      </c>
      <c r="V1338" s="197">
        <v>4.5</v>
      </c>
      <c r="W1338" s="197">
        <v>4.5</v>
      </c>
      <c r="X1338" s="196"/>
      <c r="Y1338" s="196"/>
      <c r="Z1338" s="196"/>
      <c r="AA1338" s="196"/>
      <c r="AB1338" s="196"/>
      <c r="AC1338" s="197">
        <v>4.116666666666666</v>
      </c>
      <c r="AD1338" s="198"/>
    </row>
    <row r="1339">
      <c r="A1339" s="193">
        <v>106355.0</v>
      </c>
      <c r="B1339" s="194" t="s">
        <v>2854</v>
      </c>
      <c r="C1339" s="192" t="s">
        <v>2855</v>
      </c>
      <c r="D1339" s="195">
        <v>45954.0</v>
      </c>
      <c r="E1339" s="192" t="s">
        <v>265</v>
      </c>
      <c r="F1339" s="196"/>
      <c r="G1339" s="196"/>
      <c r="H1339" s="197">
        <v>4.0</v>
      </c>
      <c r="I1339" s="197">
        <v>4.0</v>
      </c>
      <c r="J1339" s="197">
        <v>4.0</v>
      </c>
      <c r="K1339" s="197">
        <v>4.0</v>
      </c>
      <c r="L1339" s="197">
        <v>4.5</v>
      </c>
      <c r="M1339" s="197">
        <v>4.1</v>
      </c>
      <c r="N1339" s="197">
        <v>3.0</v>
      </c>
      <c r="O1339" s="197">
        <v>4.0</v>
      </c>
      <c r="P1339" s="197">
        <v>4.0</v>
      </c>
      <c r="Q1339" s="197">
        <v>4.0</v>
      </c>
      <c r="R1339" s="197">
        <v>3.75</v>
      </c>
      <c r="S1339" s="197">
        <v>4.0</v>
      </c>
      <c r="T1339" s="197">
        <v>4.0</v>
      </c>
      <c r="U1339" s="197">
        <v>4.0</v>
      </c>
      <c r="V1339" s="197">
        <v>4.0</v>
      </c>
      <c r="W1339" s="197">
        <v>4.0</v>
      </c>
      <c r="X1339" s="196"/>
      <c r="Y1339" s="196"/>
      <c r="Z1339" s="196"/>
      <c r="AA1339" s="196"/>
      <c r="AB1339" s="196"/>
      <c r="AC1339" s="197">
        <v>3.9499999999999997</v>
      </c>
      <c r="AD1339" s="198"/>
    </row>
    <row r="1340">
      <c r="A1340" s="193">
        <v>105835.0</v>
      </c>
      <c r="B1340" s="194" t="s">
        <v>2856</v>
      </c>
      <c r="C1340" s="192" t="s">
        <v>2857</v>
      </c>
      <c r="D1340" s="195">
        <v>45828.0</v>
      </c>
      <c r="E1340" s="192" t="s">
        <v>265</v>
      </c>
      <c r="F1340" s="196"/>
      <c r="G1340" s="196"/>
      <c r="H1340" s="197">
        <v>5.0</v>
      </c>
      <c r="I1340" s="197">
        <v>4.0</v>
      </c>
      <c r="J1340" s="197">
        <v>5.0</v>
      </c>
      <c r="K1340" s="197">
        <v>4.0</v>
      </c>
      <c r="L1340" s="197">
        <v>4.5</v>
      </c>
      <c r="M1340" s="197">
        <v>4.5</v>
      </c>
      <c r="N1340" s="197">
        <v>5.0</v>
      </c>
      <c r="O1340" s="197">
        <v>4.0</v>
      </c>
      <c r="P1340" s="197">
        <v>5.0</v>
      </c>
      <c r="Q1340" s="197">
        <v>4.0</v>
      </c>
      <c r="R1340" s="197">
        <v>4.5</v>
      </c>
      <c r="S1340" s="197">
        <v>5.0</v>
      </c>
      <c r="T1340" s="197">
        <v>4.0</v>
      </c>
      <c r="U1340" s="197">
        <v>5.0</v>
      </c>
      <c r="V1340" s="197">
        <v>4.0</v>
      </c>
      <c r="W1340" s="197">
        <v>4.5</v>
      </c>
      <c r="X1340" s="196"/>
      <c r="Y1340" s="196"/>
      <c r="Z1340" s="196"/>
      <c r="AA1340" s="196"/>
      <c r="AB1340" s="196"/>
      <c r="AC1340" s="197">
        <v>4.5</v>
      </c>
      <c r="AD1340" s="198"/>
    </row>
    <row r="1341">
      <c r="A1341" s="193">
        <v>106029.0</v>
      </c>
      <c r="B1341" s="194" t="s">
        <v>2858</v>
      </c>
      <c r="C1341" s="192" t="s">
        <v>2859</v>
      </c>
      <c r="D1341" s="195">
        <v>45869.0</v>
      </c>
      <c r="E1341" s="192" t="s">
        <v>806</v>
      </c>
      <c r="F1341" s="196"/>
      <c r="G1341" s="196"/>
      <c r="H1341" s="197">
        <v>5.0</v>
      </c>
      <c r="I1341" s="197">
        <v>5.0</v>
      </c>
      <c r="J1341" s="197">
        <v>4.0</v>
      </c>
      <c r="K1341" s="197">
        <v>5.0</v>
      </c>
      <c r="L1341" s="197">
        <v>4.0</v>
      </c>
      <c r="M1341" s="197">
        <v>4.6</v>
      </c>
      <c r="N1341" s="197">
        <v>5.0</v>
      </c>
      <c r="O1341" s="197">
        <v>5.0</v>
      </c>
      <c r="P1341" s="197">
        <v>4.0</v>
      </c>
      <c r="Q1341" s="197">
        <v>5.0</v>
      </c>
      <c r="R1341" s="197">
        <v>4.75</v>
      </c>
      <c r="S1341" s="197">
        <v>4.5</v>
      </c>
      <c r="T1341" s="197">
        <v>4.5</v>
      </c>
      <c r="U1341" s="197">
        <v>4.5</v>
      </c>
      <c r="V1341" s="197">
        <v>4.5</v>
      </c>
      <c r="W1341" s="197">
        <v>4.5</v>
      </c>
      <c r="X1341" s="196"/>
      <c r="Y1341" s="196"/>
      <c r="Z1341" s="196"/>
      <c r="AA1341" s="196"/>
      <c r="AB1341" s="196"/>
      <c r="AC1341" s="197">
        <v>4.616666666666666</v>
      </c>
      <c r="AD1341" s="198"/>
    </row>
    <row r="1342">
      <c r="A1342" s="193">
        <v>105639.0</v>
      </c>
      <c r="B1342" s="194" t="s">
        <v>2860</v>
      </c>
      <c r="C1342" s="192" t="s">
        <v>2861</v>
      </c>
      <c r="D1342" s="195">
        <v>45772.0</v>
      </c>
      <c r="E1342" s="192" t="s">
        <v>265</v>
      </c>
      <c r="F1342" s="196"/>
      <c r="G1342" s="196"/>
      <c r="H1342" s="197">
        <v>5.0</v>
      </c>
      <c r="I1342" s="197">
        <v>5.0</v>
      </c>
      <c r="J1342" s="197">
        <v>5.0</v>
      </c>
      <c r="K1342" s="197">
        <v>5.0</v>
      </c>
      <c r="L1342" s="197">
        <v>4.5</v>
      </c>
      <c r="M1342" s="197">
        <v>4.9</v>
      </c>
      <c r="N1342" s="197">
        <v>5.0</v>
      </c>
      <c r="O1342" s="197">
        <v>5.0</v>
      </c>
      <c r="P1342" s="197">
        <v>5.0</v>
      </c>
      <c r="Q1342" s="197">
        <v>5.0</v>
      </c>
      <c r="R1342" s="197">
        <v>5.0</v>
      </c>
      <c r="S1342" s="197">
        <v>4.5</v>
      </c>
      <c r="T1342" s="197">
        <v>4.5</v>
      </c>
      <c r="U1342" s="197">
        <v>4.5</v>
      </c>
      <c r="V1342" s="197">
        <v>4.5</v>
      </c>
      <c r="W1342" s="197">
        <v>4.5</v>
      </c>
      <c r="X1342" s="196"/>
      <c r="Y1342" s="196"/>
      <c r="Z1342" s="196"/>
      <c r="AA1342" s="196"/>
      <c r="AB1342" s="196"/>
      <c r="AC1342" s="197">
        <v>4.8</v>
      </c>
      <c r="AD1342" s="198"/>
    </row>
    <row r="1343">
      <c r="A1343" s="193">
        <v>105178.0</v>
      </c>
      <c r="B1343" s="194"/>
      <c r="C1343" s="192" t="s">
        <v>2862</v>
      </c>
      <c r="D1343" s="195">
        <v>45604.0</v>
      </c>
      <c r="E1343" s="192" t="s">
        <v>265</v>
      </c>
      <c r="F1343" s="196"/>
      <c r="G1343" s="196"/>
      <c r="H1343" s="197">
        <v>5.0</v>
      </c>
      <c r="I1343" s="197">
        <v>5.0</v>
      </c>
      <c r="J1343" s="197">
        <v>5.0</v>
      </c>
      <c r="K1343" s="197">
        <v>5.0</v>
      </c>
      <c r="L1343" s="197">
        <v>4.5</v>
      </c>
      <c r="M1343" s="197">
        <v>4.9</v>
      </c>
      <c r="N1343" s="197">
        <v>5.0</v>
      </c>
      <c r="O1343" s="197">
        <v>5.0</v>
      </c>
      <c r="P1343" s="197">
        <v>5.0</v>
      </c>
      <c r="Q1343" s="197">
        <v>5.0</v>
      </c>
      <c r="R1343" s="197">
        <v>5.0</v>
      </c>
      <c r="S1343" s="197">
        <v>4.5</v>
      </c>
      <c r="T1343" s="197">
        <v>4.5</v>
      </c>
      <c r="U1343" s="197">
        <v>4.5</v>
      </c>
      <c r="V1343" s="197">
        <v>4.5</v>
      </c>
      <c r="W1343" s="197">
        <v>4.5</v>
      </c>
      <c r="X1343" s="196"/>
      <c r="Y1343" s="196"/>
      <c r="Z1343" s="196"/>
      <c r="AA1343" s="196"/>
      <c r="AB1343" s="196"/>
      <c r="AC1343" s="197">
        <v>4.8</v>
      </c>
      <c r="AD1343" s="198"/>
    </row>
    <row r="1344">
      <c r="A1344" s="193">
        <v>106079.0</v>
      </c>
      <c r="B1344" s="194" t="s">
        <v>2863</v>
      </c>
      <c r="C1344" s="192" t="s">
        <v>2864</v>
      </c>
      <c r="D1344" s="195">
        <v>45877.0</v>
      </c>
      <c r="E1344" s="192" t="s">
        <v>94</v>
      </c>
      <c r="F1344" s="196"/>
      <c r="G1344" s="196"/>
      <c r="H1344" s="197">
        <v>5.0</v>
      </c>
      <c r="I1344" s="197">
        <v>5.0</v>
      </c>
      <c r="J1344" s="197">
        <v>5.0</v>
      </c>
      <c r="K1344" s="197">
        <v>5.0</v>
      </c>
      <c r="L1344" s="197">
        <v>4.5</v>
      </c>
      <c r="M1344" s="197">
        <v>4.9</v>
      </c>
      <c r="N1344" s="197">
        <v>5.0</v>
      </c>
      <c r="O1344" s="197">
        <v>5.0</v>
      </c>
      <c r="P1344" s="197">
        <v>5.0</v>
      </c>
      <c r="Q1344" s="197">
        <v>5.0</v>
      </c>
      <c r="R1344" s="197">
        <v>5.0</v>
      </c>
      <c r="S1344" s="197">
        <v>4.5</v>
      </c>
      <c r="T1344" s="197">
        <v>4.5</v>
      </c>
      <c r="U1344" s="197">
        <v>4.5</v>
      </c>
      <c r="V1344" s="197">
        <v>4.5</v>
      </c>
      <c r="W1344" s="197">
        <v>4.5</v>
      </c>
      <c r="X1344" s="196"/>
      <c r="Y1344" s="196"/>
      <c r="Z1344" s="196"/>
      <c r="AA1344" s="196"/>
      <c r="AB1344" s="196"/>
      <c r="AC1344" s="197">
        <v>4.8</v>
      </c>
      <c r="AD1344" s="198"/>
    </row>
    <row r="1345">
      <c r="A1345" s="193">
        <v>106368.0</v>
      </c>
      <c r="B1345" s="194" t="s">
        <v>2865</v>
      </c>
      <c r="C1345" s="192" t="s">
        <v>2866</v>
      </c>
      <c r="D1345" s="195">
        <v>45964.0</v>
      </c>
      <c r="E1345" s="192" t="s">
        <v>295</v>
      </c>
      <c r="F1345" s="196"/>
      <c r="G1345" s="196"/>
      <c r="H1345" s="197">
        <v>5.0</v>
      </c>
      <c r="I1345" s="197">
        <v>5.0</v>
      </c>
      <c r="J1345" s="197">
        <v>5.0</v>
      </c>
      <c r="K1345" s="197">
        <v>5.0</v>
      </c>
      <c r="L1345" s="197">
        <v>4.5</v>
      </c>
      <c r="M1345" s="197">
        <v>4.9</v>
      </c>
      <c r="N1345" s="197">
        <v>5.0</v>
      </c>
      <c r="O1345" s="197">
        <v>5.0</v>
      </c>
      <c r="P1345" s="197">
        <v>5.0</v>
      </c>
      <c r="Q1345" s="197">
        <v>5.0</v>
      </c>
      <c r="R1345" s="197">
        <v>5.0</v>
      </c>
      <c r="S1345" s="197">
        <v>4.5</v>
      </c>
      <c r="T1345" s="197">
        <v>4.5</v>
      </c>
      <c r="U1345" s="197">
        <v>4.5</v>
      </c>
      <c r="V1345" s="197">
        <v>4.5</v>
      </c>
      <c r="W1345" s="197">
        <v>4.5</v>
      </c>
      <c r="X1345" s="196"/>
      <c r="Y1345" s="196"/>
      <c r="Z1345" s="196"/>
      <c r="AA1345" s="196"/>
      <c r="AB1345" s="196"/>
      <c r="AC1345" s="197">
        <v>4.8</v>
      </c>
      <c r="AD1345" s="198"/>
    </row>
    <row r="1346">
      <c r="A1346" s="193">
        <v>106061.0</v>
      </c>
      <c r="B1346" s="194" t="s">
        <v>2867</v>
      </c>
      <c r="C1346" s="192" t="s">
        <v>2868</v>
      </c>
      <c r="D1346" s="195">
        <v>45874.0</v>
      </c>
      <c r="E1346" s="192" t="s">
        <v>1140</v>
      </c>
      <c r="F1346" s="196"/>
      <c r="G1346" s="196"/>
      <c r="H1346" s="197">
        <v>5.0</v>
      </c>
      <c r="I1346" s="197">
        <v>5.0</v>
      </c>
      <c r="J1346" s="197">
        <v>5.0</v>
      </c>
      <c r="K1346" s="197">
        <v>5.0</v>
      </c>
      <c r="L1346" s="197">
        <v>4.5</v>
      </c>
      <c r="M1346" s="197">
        <v>4.9</v>
      </c>
      <c r="N1346" s="197">
        <v>5.0</v>
      </c>
      <c r="O1346" s="197">
        <v>5.0</v>
      </c>
      <c r="P1346" s="197">
        <v>5.0</v>
      </c>
      <c r="Q1346" s="197">
        <v>5.0</v>
      </c>
      <c r="R1346" s="197">
        <v>5.0</v>
      </c>
      <c r="S1346" s="197">
        <v>5.0</v>
      </c>
      <c r="T1346" s="197">
        <v>5.0</v>
      </c>
      <c r="U1346" s="197">
        <v>5.0</v>
      </c>
      <c r="V1346" s="197">
        <v>5.0</v>
      </c>
      <c r="W1346" s="197">
        <v>5.0</v>
      </c>
      <c r="X1346" s="196"/>
      <c r="Y1346" s="196"/>
      <c r="Z1346" s="196"/>
      <c r="AA1346" s="196"/>
      <c r="AB1346" s="196"/>
      <c r="AC1346" s="197">
        <v>4.966666666666667</v>
      </c>
      <c r="AD1346" s="198"/>
    </row>
    <row r="1347">
      <c r="A1347" s="193">
        <v>105980.0</v>
      </c>
      <c r="B1347" s="194" t="s">
        <v>2869</v>
      </c>
      <c r="C1347" s="192" t="s">
        <v>2870</v>
      </c>
      <c r="D1347" s="195">
        <v>45856.0</v>
      </c>
      <c r="E1347" s="192" t="s">
        <v>646</v>
      </c>
      <c r="F1347" s="196"/>
      <c r="G1347" s="196"/>
      <c r="H1347" s="197">
        <v>5.0</v>
      </c>
      <c r="I1347" s="197">
        <v>5.0</v>
      </c>
      <c r="J1347" s="197">
        <v>5.0</v>
      </c>
      <c r="K1347" s="197">
        <v>5.0</v>
      </c>
      <c r="L1347" s="197">
        <v>4.5</v>
      </c>
      <c r="M1347" s="197">
        <v>4.9</v>
      </c>
      <c r="N1347" s="197">
        <v>5.0</v>
      </c>
      <c r="O1347" s="197">
        <v>5.0</v>
      </c>
      <c r="P1347" s="197">
        <v>5.0</v>
      </c>
      <c r="Q1347" s="197">
        <v>5.0</v>
      </c>
      <c r="R1347" s="197">
        <v>5.0</v>
      </c>
      <c r="S1347" s="197">
        <v>4.5</v>
      </c>
      <c r="T1347" s="197">
        <v>4.5</v>
      </c>
      <c r="U1347" s="197">
        <v>4.5</v>
      </c>
      <c r="V1347" s="197">
        <v>4.5</v>
      </c>
      <c r="W1347" s="197">
        <v>4.5</v>
      </c>
      <c r="X1347" s="196"/>
      <c r="Y1347" s="196"/>
      <c r="Z1347" s="196"/>
      <c r="AA1347" s="196"/>
      <c r="AB1347" s="196"/>
      <c r="AC1347" s="197">
        <v>4.8</v>
      </c>
      <c r="AD1347" s="198"/>
    </row>
    <row r="1348">
      <c r="A1348" s="193">
        <v>105720.0</v>
      </c>
      <c r="B1348" s="194" t="s">
        <v>2871</v>
      </c>
      <c r="C1348" s="192" t="s">
        <v>2872</v>
      </c>
      <c r="D1348" s="195">
        <v>46008.0</v>
      </c>
      <c r="E1348" s="192" t="s">
        <v>1140</v>
      </c>
      <c r="F1348" s="196"/>
      <c r="G1348" s="196"/>
      <c r="H1348" s="197">
        <v>5.0</v>
      </c>
      <c r="I1348" s="197">
        <v>5.0</v>
      </c>
      <c r="J1348" s="197">
        <v>5.0</v>
      </c>
      <c r="K1348" s="197">
        <v>5.0</v>
      </c>
      <c r="L1348" s="197">
        <v>4.5</v>
      </c>
      <c r="M1348" s="197">
        <v>4.9</v>
      </c>
      <c r="N1348" s="197">
        <v>5.0</v>
      </c>
      <c r="O1348" s="197">
        <v>5.0</v>
      </c>
      <c r="P1348" s="197">
        <v>5.0</v>
      </c>
      <c r="Q1348" s="197">
        <v>5.0</v>
      </c>
      <c r="R1348" s="197">
        <v>5.0</v>
      </c>
      <c r="S1348" s="197">
        <v>5.0</v>
      </c>
      <c r="T1348" s="197">
        <v>5.0</v>
      </c>
      <c r="U1348" s="197">
        <v>5.0</v>
      </c>
      <c r="V1348" s="197">
        <v>5.0</v>
      </c>
      <c r="W1348" s="197">
        <v>5.0</v>
      </c>
      <c r="X1348" s="196"/>
      <c r="Y1348" s="196"/>
      <c r="Z1348" s="196"/>
      <c r="AA1348" s="196"/>
      <c r="AB1348" s="196"/>
      <c r="AC1348" s="197">
        <v>4.966666666666667</v>
      </c>
      <c r="AD1348" s="198"/>
    </row>
    <row r="1349">
      <c r="A1349" s="193">
        <v>105755.0</v>
      </c>
      <c r="B1349" s="194" t="s">
        <v>2873</v>
      </c>
      <c r="C1349" s="192" t="s">
        <v>2874</v>
      </c>
      <c r="D1349" s="195">
        <v>45901.0</v>
      </c>
      <c r="E1349" s="192" t="s">
        <v>1140</v>
      </c>
      <c r="F1349" s="196"/>
      <c r="G1349" s="196"/>
      <c r="H1349" s="197">
        <v>5.0</v>
      </c>
      <c r="I1349" s="197">
        <v>5.0</v>
      </c>
      <c r="J1349" s="197">
        <v>5.0</v>
      </c>
      <c r="K1349" s="197">
        <v>5.0</v>
      </c>
      <c r="L1349" s="197">
        <v>4.5</v>
      </c>
      <c r="M1349" s="197">
        <v>4.9</v>
      </c>
      <c r="N1349" s="197">
        <v>5.0</v>
      </c>
      <c r="O1349" s="197">
        <v>5.0</v>
      </c>
      <c r="P1349" s="197">
        <v>5.0</v>
      </c>
      <c r="Q1349" s="197">
        <v>5.0</v>
      </c>
      <c r="R1349" s="197">
        <v>5.0</v>
      </c>
      <c r="S1349" s="197">
        <v>5.0</v>
      </c>
      <c r="T1349" s="197">
        <v>5.0</v>
      </c>
      <c r="U1349" s="197">
        <v>5.0</v>
      </c>
      <c r="V1349" s="197">
        <v>5.0</v>
      </c>
      <c r="W1349" s="197">
        <v>5.0</v>
      </c>
      <c r="X1349" s="196"/>
      <c r="Y1349" s="196"/>
      <c r="Z1349" s="196"/>
      <c r="AA1349" s="196"/>
      <c r="AB1349" s="196"/>
      <c r="AC1349" s="197">
        <v>4.966666666666667</v>
      </c>
      <c r="AD1349" s="198"/>
    </row>
    <row r="1350">
      <c r="A1350" s="193">
        <v>105714.0</v>
      </c>
      <c r="B1350" s="194" t="s">
        <v>2875</v>
      </c>
      <c r="C1350" s="192" t="s">
        <v>2876</v>
      </c>
      <c r="D1350" s="195">
        <v>46008.0</v>
      </c>
      <c r="E1350" s="192" t="s">
        <v>1140</v>
      </c>
      <c r="F1350" s="196"/>
      <c r="G1350" s="196"/>
      <c r="H1350" s="197">
        <v>5.0</v>
      </c>
      <c r="I1350" s="197">
        <v>5.0</v>
      </c>
      <c r="J1350" s="197">
        <v>5.0</v>
      </c>
      <c r="K1350" s="197">
        <v>5.0</v>
      </c>
      <c r="L1350" s="197">
        <v>4.5</v>
      </c>
      <c r="M1350" s="197">
        <v>4.9</v>
      </c>
      <c r="N1350" s="197">
        <v>5.0</v>
      </c>
      <c r="O1350" s="197">
        <v>5.0</v>
      </c>
      <c r="P1350" s="197">
        <v>5.0</v>
      </c>
      <c r="Q1350" s="197">
        <v>5.0</v>
      </c>
      <c r="R1350" s="197">
        <v>5.0</v>
      </c>
      <c r="S1350" s="197">
        <v>5.0</v>
      </c>
      <c r="T1350" s="197">
        <v>5.0</v>
      </c>
      <c r="U1350" s="197">
        <v>5.0</v>
      </c>
      <c r="V1350" s="197">
        <v>5.0</v>
      </c>
      <c r="W1350" s="197">
        <v>5.0</v>
      </c>
      <c r="X1350" s="196"/>
      <c r="Y1350" s="196"/>
      <c r="Z1350" s="196"/>
      <c r="AA1350" s="196"/>
      <c r="AB1350" s="196"/>
      <c r="AC1350" s="197">
        <v>4.966666666666667</v>
      </c>
      <c r="AD1350" s="198"/>
    </row>
    <row r="1351">
      <c r="A1351" s="193">
        <v>105715.0</v>
      </c>
      <c r="B1351" s="194"/>
      <c r="C1351" s="192" t="s">
        <v>2877</v>
      </c>
      <c r="D1351" s="195">
        <v>46008.0</v>
      </c>
      <c r="E1351" s="192" t="s">
        <v>1140</v>
      </c>
      <c r="F1351" s="196"/>
      <c r="G1351" s="196"/>
      <c r="H1351" s="197">
        <v>5.0</v>
      </c>
      <c r="I1351" s="197">
        <v>5.0</v>
      </c>
      <c r="J1351" s="197">
        <v>5.0</v>
      </c>
      <c r="K1351" s="197">
        <v>5.0</v>
      </c>
      <c r="L1351" s="197">
        <v>4.5</v>
      </c>
      <c r="M1351" s="197">
        <v>4.9</v>
      </c>
      <c r="N1351" s="197">
        <v>5.0</v>
      </c>
      <c r="O1351" s="197">
        <v>5.0</v>
      </c>
      <c r="P1351" s="197">
        <v>5.0</v>
      </c>
      <c r="Q1351" s="197">
        <v>5.0</v>
      </c>
      <c r="R1351" s="197">
        <v>5.0</v>
      </c>
      <c r="S1351" s="197">
        <v>4.5</v>
      </c>
      <c r="T1351" s="197">
        <v>4.5</v>
      </c>
      <c r="U1351" s="197">
        <v>4.5</v>
      </c>
      <c r="V1351" s="197">
        <v>4.5</v>
      </c>
      <c r="W1351" s="197">
        <v>4.5</v>
      </c>
      <c r="X1351" s="196"/>
      <c r="Y1351" s="196"/>
      <c r="Z1351" s="196"/>
      <c r="AA1351" s="196"/>
      <c r="AB1351" s="196"/>
      <c r="AC1351" s="197">
        <v>4.8</v>
      </c>
      <c r="AD1351" s="198"/>
    </row>
    <row r="1352">
      <c r="A1352" s="193">
        <v>106750.0</v>
      </c>
      <c r="B1352" s="194" t="s">
        <v>105</v>
      </c>
      <c r="C1352" s="192" t="s">
        <v>2878</v>
      </c>
      <c r="D1352" s="195">
        <v>46100.0</v>
      </c>
      <c r="E1352" s="192" t="s">
        <v>1140</v>
      </c>
      <c r="F1352" s="196"/>
      <c r="G1352" s="196"/>
      <c r="H1352" s="197">
        <v>5.0</v>
      </c>
      <c r="I1352" s="197">
        <v>5.0</v>
      </c>
      <c r="J1352" s="197">
        <v>5.0</v>
      </c>
      <c r="K1352" s="197">
        <v>5.0</v>
      </c>
      <c r="L1352" s="197">
        <v>5.0</v>
      </c>
      <c r="M1352" s="197">
        <v>5.0</v>
      </c>
      <c r="N1352" s="197">
        <v>5.0</v>
      </c>
      <c r="O1352" s="197">
        <v>5.0</v>
      </c>
      <c r="P1352" s="197">
        <v>5.0</v>
      </c>
      <c r="Q1352" s="197">
        <v>5.0</v>
      </c>
      <c r="R1352" s="197">
        <v>5.0</v>
      </c>
      <c r="S1352" s="197">
        <v>5.0</v>
      </c>
      <c r="T1352" s="197">
        <v>5.0</v>
      </c>
      <c r="U1352" s="197">
        <v>5.0</v>
      </c>
      <c r="V1352" s="197">
        <v>5.0</v>
      </c>
      <c r="W1352" s="197">
        <v>5.0</v>
      </c>
      <c r="X1352" s="196"/>
      <c r="Y1352" s="196"/>
      <c r="Z1352" s="196"/>
      <c r="AA1352" s="196"/>
      <c r="AB1352" s="196"/>
      <c r="AC1352" s="197">
        <v>5.0</v>
      </c>
      <c r="AD1352" s="198"/>
    </row>
    <row r="1353">
      <c r="A1353" s="193">
        <v>106662.0</v>
      </c>
      <c r="B1353" s="194" t="s">
        <v>2879</v>
      </c>
      <c r="C1353" s="192" t="s">
        <v>2880</v>
      </c>
      <c r="D1353" s="195">
        <v>46073.0</v>
      </c>
      <c r="E1353" s="192" t="s">
        <v>1140</v>
      </c>
      <c r="F1353" s="196"/>
      <c r="G1353" s="196"/>
      <c r="H1353" s="197">
        <v>5.0</v>
      </c>
      <c r="I1353" s="197">
        <v>5.0</v>
      </c>
      <c r="J1353" s="197">
        <v>5.0</v>
      </c>
      <c r="K1353" s="197">
        <v>5.0</v>
      </c>
      <c r="L1353" s="197">
        <v>5.0</v>
      </c>
      <c r="M1353" s="197">
        <v>5.0</v>
      </c>
      <c r="N1353" s="197">
        <v>5.0</v>
      </c>
      <c r="O1353" s="197">
        <v>5.0</v>
      </c>
      <c r="P1353" s="197">
        <v>5.0</v>
      </c>
      <c r="Q1353" s="197">
        <v>5.0</v>
      </c>
      <c r="R1353" s="197">
        <v>5.0</v>
      </c>
      <c r="S1353" s="197">
        <v>5.0</v>
      </c>
      <c r="T1353" s="197">
        <v>5.0</v>
      </c>
      <c r="U1353" s="197">
        <v>5.0</v>
      </c>
      <c r="V1353" s="197">
        <v>5.0</v>
      </c>
      <c r="W1353" s="197">
        <v>5.0</v>
      </c>
      <c r="X1353" s="196"/>
      <c r="Y1353" s="196"/>
      <c r="Z1353" s="196"/>
      <c r="AA1353" s="196"/>
      <c r="AB1353" s="196"/>
      <c r="AC1353" s="197">
        <v>5.0</v>
      </c>
      <c r="AD1353" s="198"/>
    </row>
    <row r="1354">
      <c r="A1354" s="193">
        <v>106644.0</v>
      </c>
      <c r="B1354" s="194" t="s">
        <v>2881</v>
      </c>
      <c r="C1354" s="192" t="s">
        <v>2882</v>
      </c>
      <c r="D1354" s="195">
        <v>46060.0</v>
      </c>
      <c r="E1354" s="192" t="s">
        <v>1140</v>
      </c>
      <c r="F1354" s="196"/>
      <c r="G1354" s="196"/>
      <c r="H1354" s="197">
        <v>5.0</v>
      </c>
      <c r="I1354" s="197">
        <v>5.0</v>
      </c>
      <c r="J1354" s="197">
        <v>5.0</v>
      </c>
      <c r="K1354" s="197">
        <v>5.0</v>
      </c>
      <c r="L1354" s="197">
        <v>5.0</v>
      </c>
      <c r="M1354" s="197">
        <v>5.0</v>
      </c>
      <c r="N1354" s="197">
        <v>5.0</v>
      </c>
      <c r="O1354" s="197">
        <v>5.0</v>
      </c>
      <c r="P1354" s="197">
        <v>5.0</v>
      </c>
      <c r="Q1354" s="197">
        <v>5.0</v>
      </c>
      <c r="R1354" s="197">
        <v>5.0</v>
      </c>
      <c r="S1354" s="197">
        <v>5.0</v>
      </c>
      <c r="T1354" s="197">
        <v>5.0</v>
      </c>
      <c r="U1354" s="197">
        <v>5.0</v>
      </c>
      <c r="V1354" s="197">
        <v>5.0</v>
      </c>
      <c r="W1354" s="197">
        <v>5.0</v>
      </c>
      <c r="X1354" s="196"/>
      <c r="Y1354" s="196"/>
      <c r="Z1354" s="196"/>
      <c r="AA1354" s="196"/>
      <c r="AB1354" s="196"/>
      <c r="AC1354" s="197">
        <v>5.0</v>
      </c>
      <c r="AD1354" s="198"/>
    </row>
    <row r="1355">
      <c r="A1355" s="193"/>
      <c r="B1355" s="194"/>
      <c r="C1355" s="192" t="e">
        <v>#REF!</v>
      </c>
      <c r="D1355" s="195"/>
      <c r="E1355" s="192"/>
      <c r="F1355" s="196"/>
      <c r="G1355" s="196"/>
      <c r="H1355" s="197"/>
      <c r="I1355" s="197"/>
      <c r="J1355" s="197"/>
      <c r="K1355" s="197"/>
      <c r="L1355" s="197"/>
      <c r="M1355" s="197"/>
      <c r="N1355" s="197"/>
      <c r="O1355" s="197"/>
      <c r="P1355" s="197"/>
      <c r="Q1355" s="197"/>
      <c r="R1355" s="197"/>
      <c r="S1355" s="197"/>
      <c r="T1355" s="197"/>
      <c r="U1355" s="197"/>
      <c r="V1355" s="197"/>
      <c r="W1355" s="197"/>
      <c r="X1355" s="196"/>
      <c r="Y1355" s="196"/>
      <c r="Z1355" s="196"/>
      <c r="AA1355" s="196"/>
      <c r="AB1355" s="196"/>
      <c r="AC1355" s="197"/>
      <c r="AD1355" s="198"/>
    </row>
    <row r="1356">
      <c r="A1356" s="193"/>
      <c r="B1356" s="194"/>
      <c r="C1356" s="192" t="e">
        <v>#REF!</v>
      </c>
      <c r="D1356" s="195"/>
      <c r="E1356" s="192"/>
      <c r="F1356" s="196"/>
      <c r="G1356" s="196"/>
      <c r="H1356" s="197"/>
      <c r="I1356" s="197"/>
      <c r="J1356" s="197"/>
      <c r="K1356" s="197"/>
      <c r="L1356" s="197"/>
      <c r="M1356" s="197"/>
      <c r="N1356" s="197"/>
      <c r="O1356" s="197"/>
      <c r="P1356" s="197"/>
      <c r="Q1356" s="197"/>
      <c r="R1356" s="197"/>
      <c r="S1356" s="197"/>
      <c r="T1356" s="197"/>
      <c r="U1356" s="197"/>
      <c r="V1356" s="197"/>
      <c r="W1356" s="197"/>
      <c r="X1356" s="196"/>
      <c r="Y1356" s="196"/>
      <c r="Z1356" s="196"/>
      <c r="AA1356" s="196"/>
      <c r="AB1356" s="196"/>
      <c r="AC1356" s="197"/>
      <c r="AD1356" s="198"/>
    </row>
    <row r="1357">
      <c r="A1357" s="193"/>
      <c r="B1357" s="194"/>
      <c r="C1357" s="192" t="e">
        <v>#REF!</v>
      </c>
      <c r="D1357" s="195"/>
      <c r="E1357" s="192"/>
      <c r="F1357" s="196"/>
      <c r="G1357" s="196"/>
      <c r="H1357" s="197"/>
      <c r="I1357" s="197"/>
      <c r="J1357" s="197"/>
      <c r="K1357" s="197"/>
      <c r="L1357" s="197"/>
      <c r="M1357" s="197"/>
      <c r="N1357" s="197"/>
      <c r="O1357" s="197"/>
      <c r="P1357" s="197"/>
      <c r="Q1357" s="197"/>
      <c r="R1357" s="197"/>
      <c r="S1357" s="197"/>
      <c r="T1357" s="197"/>
      <c r="U1357" s="197"/>
      <c r="V1357" s="197"/>
      <c r="W1357" s="197"/>
      <c r="X1357" s="196"/>
      <c r="Y1357" s="196"/>
      <c r="Z1357" s="196"/>
      <c r="AA1357" s="196"/>
      <c r="AB1357" s="196"/>
      <c r="AC1357" s="197"/>
      <c r="AD1357" s="198"/>
    </row>
    <row r="1358">
      <c r="A1358" s="193"/>
      <c r="B1358" s="194"/>
      <c r="C1358" s="192"/>
      <c r="D1358" s="195"/>
      <c r="E1358" s="192"/>
      <c r="F1358" s="196"/>
      <c r="G1358" s="196"/>
      <c r="H1358" s="197"/>
      <c r="I1358" s="197"/>
      <c r="J1358" s="197"/>
      <c r="K1358" s="197"/>
      <c r="L1358" s="197"/>
      <c r="M1358" s="197"/>
      <c r="N1358" s="197"/>
      <c r="O1358" s="197"/>
      <c r="P1358" s="197"/>
      <c r="Q1358" s="197"/>
      <c r="R1358" s="197"/>
      <c r="S1358" s="197"/>
      <c r="T1358" s="197"/>
      <c r="U1358" s="197"/>
      <c r="V1358" s="197"/>
      <c r="W1358" s="197"/>
      <c r="X1358" s="196"/>
      <c r="Y1358" s="196"/>
      <c r="Z1358" s="196"/>
      <c r="AA1358" s="196"/>
      <c r="AB1358" s="196"/>
      <c r="AC1358" s="197"/>
      <c r="AD1358" s="198"/>
    </row>
    <row r="1359">
      <c r="A1359" s="193"/>
      <c r="B1359" s="194"/>
      <c r="C1359" s="192"/>
      <c r="D1359" s="195"/>
      <c r="E1359" s="192"/>
      <c r="F1359" s="196"/>
      <c r="G1359" s="196"/>
      <c r="H1359" s="197"/>
      <c r="I1359" s="197"/>
      <c r="J1359" s="197"/>
      <c r="K1359" s="197"/>
      <c r="L1359" s="197"/>
      <c r="M1359" s="197"/>
      <c r="N1359" s="197"/>
      <c r="O1359" s="197"/>
      <c r="P1359" s="197"/>
      <c r="Q1359" s="197"/>
      <c r="R1359" s="197"/>
      <c r="S1359" s="197"/>
      <c r="T1359" s="197"/>
      <c r="U1359" s="197"/>
      <c r="V1359" s="197"/>
      <c r="W1359" s="197"/>
      <c r="X1359" s="196"/>
      <c r="Y1359" s="196"/>
      <c r="Z1359" s="196"/>
      <c r="AA1359" s="196"/>
      <c r="AB1359" s="196"/>
      <c r="AC1359" s="197"/>
      <c r="AD1359" s="198"/>
    </row>
    <row r="1360">
      <c r="A1360" s="193"/>
      <c r="B1360" s="194"/>
      <c r="C1360" s="192"/>
      <c r="D1360" s="195"/>
      <c r="E1360" s="192"/>
      <c r="F1360" s="196"/>
      <c r="G1360" s="196"/>
      <c r="H1360" s="197"/>
      <c r="I1360" s="197"/>
      <c r="J1360" s="197"/>
      <c r="K1360" s="197"/>
      <c r="L1360" s="197"/>
      <c r="M1360" s="197"/>
      <c r="N1360" s="197"/>
      <c r="O1360" s="197"/>
      <c r="P1360" s="197"/>
      <c r="Q1360" s="197"/>
      <c r="R1360" s="197"/>
      <c r="S1360" s="197"/>
      <c r="T1360" s="197"/>
      <c r="U1360" s="197"/>
      <c r="V1360" s="197"/>
      <c r="W1360" s="197"/>
      <c r="X1360" s="196"/>
      <c r="Y1360" s="196"/>
      <c r="Z1360" s="196"/>
      <c r="AA1360" s="196"/>
      <c r="AB1360" s="196"/>
      <c r="AC1360" s="197"/>
      <c r="AD1360" s="198"/>
    </row>
    <row r="1361">
      <c r="A1361" s="193"/>
      <c r="B1361" s="194"/>
      <c r="C1361" s="192"/>
      <c r="D1361" s="195"/>
      <c r="E1361" s="192"/>
      <c r="F1361" s="196"/>
      <c r="G1361" s="196"/>
      <c r="H1361" s="197"/>
      <c r="I1361" s="197"/>
      <c r="J1361" s="197"/>
      <c r="K1361" s="197"/>
      <c r="L1361" s="197"/>
      <c r="M1361" s="197"/>
      <c r="N1361" s="197"/>
      <c r="O1361" s="197"/>
      <c r="P1361" s="197"/>
      <c r="Q1361" s="197"/>
      <c r="R1361" s="197"/>
      <c r="S1361" s="197"/>
      <c r="T1361" s="197"/>
      <c r="U1361" s="197"/>
      <c r="V1361" s="197"/>
      <c r="W1361" s="197"/>
      <c r="X1361" s="196"/>
      <c r="Y1361" s="196"/>
      <c r="Z1361" s="196"/>
      <c r="AA1361" s="196"/>
      <c r="AB1361" s="196"/>
      <c r="AC1361" s="197"/>
      <c r="AD1361" s="198"/>
    </row>
    <row r="1362">
      <c r="A1362" s="193"/>
      <c r="B1362" s="194"/>
      <c r="C1362" s="192"/>
      <c r="D1362" s="195"/>
      <c r="E1362" s="192"/>
      <c r="F1362" s="196"/>
      <c r="G1362" s="196"/>
      <c r="H1362" s="197"/>
      <c r="I1362" s="197"/>
      <c r="J1362" s="197"/>
      <c r="K1362" s="197"/>
      <c r="L1362" s="197"/>
      <c r="M1362" s="197"/>
      <c r="N1362" s="197"/>
      <c r="O1362" s="197"/>
      <c r="P1362" s="197"/>
      <c r="Q1362" s="197"/>
      <c r="R1362" s="197"/>
      <c r="S1362" s="197"/>
      <c r="T1362" s="197"/>
      <c r="U1362" s="197"/>
      <c r="V1362" s="197"/>
      <c r="W1362" s="197"/>
      <c r="X1362" s="196"/>
      <c r="Y1362" s="196"/>
      <c r="Z1362" s="196"/>
      <c r="AA1362" s="196"/>
      <c r="AB1362" s="196"/>
      <c r="AC1362" s="197"/>
      <c r="AD1362" s="198"/>
    </row>
    <row r="1363">
      <c r="A1363" s="193"/>
      <c r="B1363" s="194"/>
      <c r="C1363" s="192"/>
      <c r="D1363" s="195"/>
      <c r="E1363" s="192"/>
      <c r="F1363" s="196"/>
      <c r="G1363" s="196"/>
      <c r="H1363" s="197"/>
      <c r="I1363" s="197"/>
      <c r="J1363" s="197"/>
      <c r="K1363" s="197"/>
      <c r="L1363" s="197"/>
      <c r="M1363" s="197"/>
      <c r="N1363" s="197"/>
      <c r="O1363" s="197"/>
      <c r="P1363" s="197"/>
      <c r="Q1363" s="197"/>
      <c r="R1363" s="197"/>
      <c r="S1363" s="197"/>
      <c r="T1363" s="197"/>
      <c r="U1363" s="197"/>
      <c r="V1363" s="197"/>
      <c r="W1363" s="197"/>
      <c r="X1363" s="196"/>
      <c r="Y1363" s="196"/>
      <c r="Z1363" s="196"/>
      <c r="AA1363" s="196"/>
      <c r="AB1363" s="196"/>
      <c r="AC1363" s="197"/>
      <c r="AD1363" s="198"/>
    </row>
    <row r="1364">
      <c r="A1364" s="193"/>
      <c r="B1364" s="194"/>
      <c r="C1364" s="192"/>
      <c r="D1364" s="195"/>
      <c r="E1364" s="192"/>
      <c r="F1364" s="196"/>
      <c r="G1364" s="196"/>
      <c r="H1364" s="197"/>
      <c r="I1364" s="197"/>
      <c r="J1364" s="197"/>
      <c r="K1364" s="197"/>
      <c r="L1364" s="197"/>
      <c r="M1364" s="197"/>
      <c r="N1364" s="197"/>
      <c r="O1364" s="197"/>
      <c r="P1364" s="197"/>
      <c r="Q1364" s="197"/>
      <c r="R1364" s="197"/>
      <c r="S1364" s="197"/>
      <c r="T1364" s="197"/>
      <c r="U1364" s="197"/>
      <c r="V1364" s="197"/>
      <c r="W1364" s="197"/>
      <c r="X1364" s="196"/>
      <c r="Y1364" s="196"/>
      <c r="Z1364" s="196"/>
      <c r="AA1364" s="196"/>
      <c r="AB1364" s="196"/>
      <c r="AC1364" s="197"/>
      <c r="AD1364" s="198"/>
    </row>
    <row r="1365">
      <c r="A1365" s="193"/>
      <c r="B1365" s="194"/>
      <c r="C1365" s="192"/>
      <c r="D1365" s="195"/>
      <c r="E1365" s="192"/>
      <c r="F1365" s="196"/>
      <c r="G1365" s="196"/>
      <c r="H1365" s="197"/>
      <c r="I1365" s="197"/>
      <c r="J1365" s="197"/>
      <c r="K1365" s="197"/>
      <c r="L1365" s="197"/>
      <c r="M1365" s="197"/>
      <c r="N1365" s="197"/>
      <c r="O1365" s="197"/>
      <c r="P1365" s="197"/>
      <c r="Q1365" s="197"/>
      <c r="R1365" s="197"/>
      <c r="S1365" s="197"/>
      <c r="T1365" s="197"/>
      <c r="U1365" s="197"/>
      <c r="V1365" s="197"/>
      <c r="W1365" s="197"/>
      <c r="X1365" s="196"/>
      <c r="Y1365" s="196"/>
      <c r="Z1365" s="196"/>
      <c r="AA1365" s="196"/>
      <c r="AB1365" s="196"/>
      <c r="AC1365" s="197"/>
      <c r="AD1365" s="198"/>
    </row>
    <row r="1366">
      <c r="A1366" s="193"/>
      <c r="B1366" s="194"/>
      <c r="C1366" s="192"/>
      <c r="D1366" s="195"/>
      <c r="E1366" s="192"/>
      <c r="F1366" s="196"/>
      <c r="G1366" s="196"/>
      <c r="H1366" s="197"/>
      <c r="I1366" s="197"/>
      <c r="J1366" s="197"/>
      <c r="K1366" s="197"/>
      <c r="L1366" s="197"/>
      <c r="M1366" s="197"/>
      <c r="N1366" s="197"/>
      <c r="O1366" s="197"/>
      <c r="P1366" s="197"/>
      <c r="Q1366" s="197"/>
      <c r="R1366" s="197"/>
      <c r="S1366" s="197"/>
      <c r="T1366" s="197"/>
      <c r="U1366" s="197"/>
      <c r="V1366" s="197"/>
      <c r="W1366" s="197"/>
      <c r="X1366" s="196"/>
      <c r="Y1366" s="196"/>
      <c r="Z1366" s="196"/>
      <c r="AA1366" s="196"/>
      <c r="AB1366" s="196"/>
      <c r="AC1366" s="197"/>
      <c r="AD1366" s="198"/>
    </row>
    <row r="1367">
      <c r="A1367" s="193"/>
      <c r="B1367" s="194"/>
      <c r="C1367" s="192"/>
      <c r="D1367" s="195"/>
      <c r="E1367" s="192"/>
      <c r="F1367" s="196"/>
      <c r="G1367" s="196"/>
      <c r="H1367" s="197"/>
      <c r="I1367" s="197"/>
      <c r="J1367" s="197"/>
      <c r="K1367" s="197"/>
      <c r="L1367" s="197"/>
      <c r="M1367" s="197"/>
      <c r="N1367" s="197"/>
      <c r="O1367" s="197"/>
      <c r="P1367" s="197"/>
      <c r="Q1367" s="197"/>
      <c r="R1367" s="197"/>
      <c r="S1367" s="197"/>
      <c r="T1367" s="197"/>
      <c r="U1367" s="197"/>
      <c r="V1367" s="197"/>
      <c r="W1367" s="197"/>
      <c r="X1367" s="196"/>
      <c r="Y1367" s="196"/>
      <c r="Z1367" s="196"/>
      <c r="AA1367" s="196"/>
      <c r="AB1367" s="196"/>
      <c r="AC1367" s="197"/>
      <c r="AD1367" s="198"/>
    </row>
    <row r="1368">
      <c r="A1368" s="193"/>
      <c r="B1368" s="194"/>
      <c r="C1368" s="192"/>
      <c r="D1368" s="195"/>
      <c r="E1368" s="192"/>
      <c r="F1368" s="196"/>
      <c r="G1368" s="196"/>
      <c r="H1368" s="197"/>
      <c r="I1368" s="197"/>
      <c r="J1368" s="197"/>
      <c r="K1368" s="197"/>
      <c r="L1368" s="197"/>
      <c r="M1368" s="197"/>
      <c r="N1368" s="197"/>
      <c r="O1368" s="197"/>
      <c r="P1368" s="197"/>
      <c r="Q1368" s="197"/>
      <c r="R1368" s="197"/>
      <c r="S1368" s="197"/>
      <c r="T1368" s="197"/>
      <c r="U1368" s="197"/>
      <c r="V1368" s="197"/>
      <c r="W1368" s="197"/>
      <c r="X1368" s="196"/>
      <c r="Y1368" s="196"/>
      <c r="Z1368" s="196"/>
      <c r="AA1368" s="196"/>
      <c r="AB1368" s="196"/>
      <c r="AC1368" s="197"/>
      <c r="AD1368" s="198"/>
    </row>
    <row r="1369">
      <c r="A1369" s="193"/>
      <c r="B1369" s="194"/>
      <c r="C1369" s="192"/>
      <c r="D1369" s="195"/>
      <c r="E1369" s="192"/>
      <c r="F1369" s="196"/>
      <c r="G1369" s="196"/>
      <c r="H1369" s="197"/>
      <c r="I1369" s="197"/>
      <c r="J1369" s="197"/>
      <c r="K1369" s="197"/>
      <c r="L1369" s="197"/>
      <c r="M1369" s="197"/>
      <c r="N1369" s="197"/>
      <c r="O1369" s="197"/>
      <c r="P1369" s="197"/>
      <c r="Q1369" s="197"/>
      <c r="R1369" s="197"/>
      <c r="S1369" s="197"/>
      <c r="T1369" s="197"/>
      <c r="U1369" s="197"/>
      <c r="V1369" s="197"/>
      <c r="W1369" s="197"/>
      <c r="X1369" s="196"/>
      <c r="Y1369" s="196"/>
      <c r="Z1369" s="196"/>
      <c r="AA1369" s="196"/>
      <c r="AB1369" s="196"/>
      <c r="AC1369" s="197"/>
      <c r="AD1369" s="198"/>
    </row>
    <row r="1370">
      <c r="A1370" s="193"/>
      <c r="B1370" s="194"/>
      <c r="C1370" s="192"/>
      <c r="D1370" s="195"/>
      <c r="E1370" s="192"/>
      <c r="F1370" s="196"/>
      <c r="G1370" s="196"/>
      <c r="H1370" s="197"/>
      <c r="I1370" s="197"/>
      <c r="J1370" s="197"/>
      <c r="K1370" s="197"/>
      <c r="L1370" s="197"/>
      <c r="M1370" s="197"/>
      <c r="N1370" s="197"/>
      <c r="O1370" s="197"/>
      <c r="P1370" s="197"/>
      <c r="Q1370" s="197"/>
      <c r="R1370" s="197"/>
      <c r="S1370" s="197"/>
      <c r="T1370" s="197"/>
      <c r="U1370" s="197"/>
      <c r="V1370" s="197"/>
      <c r="W1370" s="197"/>
      <c r="X1370" s="196"/>
      <c r="Y1370" s="196"/>
      <c r="Z1370" s="196"/>
      <c r="AA1370" s="196"/>
      <c r="AB1370" s="196"/>
      <c r="AC1370" s="197"/>
      <c r="AD1370" s="198"/>
    </row>
    <row r="1371">
      <c r="A1371" s="193"/>
      <c r="B1371" s="194"/>
      <c r="C1371" s="192"/>
      <c r="D1371" s="195"/>
      <c r="E1371" s="192"/>
      <c r="F1371" s="196"/>
      <c r="G1371" s="196"/>
      <c r="H1371" s="197"/>
      <c r="I1371" s="197"/>
      <c r="J1371" s="197"/>
      <c r="K1371" s="197"/>
      <c r="L1371" s="197"/>
      <c r="M1371" s="197"/>
      <c r="N1371" s="197"/>
      <c r="O1371" s="197"/>
      <c r="P1371" s="197"/>
      <c r="Q1371" s="197"/>
      <c r="R1371" s="197"/>
      <c r="S1371" s="197"/>
      <c r="T1371" s="197"/>
      <c r="U1371" s="197"/>
      <c r="V1371" s="197"/>
      <c r="W1371" s="197"/>
      <c r="X1371" s="196"/>
      <c r="Y1371" s="196"/>
      <c r="Z1371" s="196"/>
      <c r="AA1371" s="196"/>
      <c r="AB1371" s="196"/>
      <c r="AC1371" s="197"/>
      <c r="AD1371" s="198"/>
    </row>
    <row r="1372">
      <c r="A1372" s="193"/>
      <c r="B1372" s="194"/>
      <c r="C1372" s="192"/>
      <c r="D1372" s="195"/>
      <c r="E1372" s="192"/>
      <c r="F1372" s="196"/>
      <c r="G1372" s="196"/>
      <c r="H1372" s="197"/>
      <c r="I1372" s="197"/>
      <c r="J1372" s="197"/>
      <c r="K1372" s="197"/>
      <c r="L1372" s="197"/>
      <c r="M1372" s="197"/>
      <c r="N1372" s="197"/>
      <c r="O1372" s="197"/>
      <c r="P1372" s="197"/>
      <c r="Q1372" s="197"/>
      <c r="R1372" s="197"/>
      <c r="S1372" s="197"/>
      <c r="T1372" s="197"/>
      <c r="U1372" s="197"/>
      <c r="V1372" s="197"/>
      <c r="W1372" s="197"/>
      <c r="X1372" s="196"/>
      <c r="Y1372" s="196"/>
      <c r="Z1372" s="196"/>
      <c r="AA1372" s="196"/>
      <c r="AB1372" s="196"/>
      <c r="AC1372" s="197"/>
      <c r="AD1372" s="198"/>
    </row>
    <row r="1373">
      <c r="A1373" s="193"/>
      <c r="B1373" s="194"/>
      <c r="C1373" s="192"/>
      <c r="D1373" s="195"/>
      <c r="E1373" s="192"/>
      <c r="F1373" s="196"/>
      <c r="G1373" s="196"/>
      <c r="H1373" s="197"/>
      <c r="I1373" s="197"/>
      <c r="J1373" s="197"/>
      <c r="K1373" s="197"/>
      <c r="L1373" s="197"/>
      <c r="M1373" s="197"/>
      <c r="N1373" s="197"/>
      <c r="O1373" s="197"/>
      <c r="P1373" s="197"/>
      <c r="Q1373" s="197"/>
      <c r="R1373" s="197"/>
      <c r="S1373" s="197"/>
      <c r="T1373" s="197"/>
      <c r="U1373" s="197"/>
      <c r="V1373" s="197"/>
      <c r="W1373" s="197"/>
      <c r="X1373" s="196"/>
      <c r="Y1373" s="196"/>
      <c r="Z1373" s="196"/>
      <c r="AA1373" s="196"/>
      <c r="AB1373" s="196"/>
      <c r="AC1373" s="197"/>
      <c r="AD1373" s="198"/>
    </row>
    <row r="1374">
      <c r="A1374" s="193"/>
      <c r="B1374" s="194"/>
      <c r="C1374" s="192"/>
      <c r="D1374" s="195"/>
      <c r="E1374" s="192"/>
      <c r="F1374" s="196"/>
      <c r="G1374" s="196"/>
      <c r="H1374" s="197"/>
      <c r="I1374" s="197"/>
      <c r="J1374" s="197"/>
      <c r="K1374" s="197"/>
      <c r="L1374" s="197"/>
      <c r="M1374" s="197"/>
      <c r="N1374" s="197"/>
      <c r="O1374" s="197"/>
      <c r="P1374" s="197"/>
      <c r="Q1374" s="197"/>
      <c r="R1374" s="197"/>
      <c r="S1374" s="197"/>
      <c r="T1374" s="197"/>
      <c r="U1374" s="197"/>
      <c r="V1374" s="197"/>
      <c r="W1374" s="197"/>
      <c r="X1374" s="196"/>
      <c r="Y1374" s="196"/>
      <c r="Z1374" s="196"/>
      <c r="AA1374" s="196"/>
      <c r="AB1374" s="196"/>
      <c r="AC1374" s="197"/>
      <c r="AD1374" s="198"/>
    </row>
    <row r="1375">
      <c r="A1375" s="193"/>
      <c r="B1375" s="194"/>
      <c r="C1375" s="192"/>
      <c r="D1375" s="195"/>
      <c r="E1375" s="192"/>
      <c r="F1375" s="196"/>
      <c r="G1375" s="196"/>
      <c r="H1375" s="197"/>
      <c r="I1375" s="197"/>
      <c r="J1375" s="197"/>
      <c r="K1375" s="197"/>
      <c r="L1375" s="197"/>
      <c r="M1375" s="197"/>
      <c r="N1375" s="197"/>
      <c r="O1375" s="197"/>
      <c r="P1375" s="197"/>
      <c r="Q1375" s="197"/>
      <c r="R1375" s="197"/>
      <c r="S1375" s="197"/>
      <c r="T1375" s="197"/>
      <c r="U1375" s="197"/>
      <c r="V1375" s="197"/>
      <c r="W1375" s="197"/>
      <c r="X1375" s="196"/>
      <c r="Y1375" s="196"/>
      <c r="Z1375" s="196"/>
      <c r="AA1375" s="196"/>
      <c r="AB1375" s="196"/>
      <c r="AC1375" s="197"/>
      <c r="AD1375" s="198"/>
    </row>
    <row r="1376">
      <c r="A1376" s="193"/>
      <c r="B1376" s="194"/>
      <c r="C1376" s="192"/>
      <c r="D1376" s="195"/>
      <c r="E1376" s="192"/>
      <c r="F1376" s="196"/>
      <c r="G1376" s="196"/>
      <c r="H1376" s="197"/>
      <c r="I1376" s="197"/>
      <c r="J1376" s="197"/>
      <c r="K1376" s="197"/>
      <c r="L1376" s="197"/>
      <c r="M1376" s="197"/>
      <c r="N1376" s="197"/>
      <c r="O1376" s="197"/>
      <c r="P1376" s="197"/>
      <c r="Q1376" s="197"/>
      <c r="R1376" s="197"/>
      <c r="S1376" s="197"/>
      <c r="T1376" s="197"/>
      <c r="U1376" s="197"/>
      <c r="V1376" s="197"/>
      <c r="W1376" s="197"/>
      <c r="X1376" s="196"/>
      <c r="Y1376" s="196"/>
      <c r="Z1376" s="196"/>
      <c r="AA1376" s="196"/>
      <c r="AB1376" s="196"/>
      <c r="AC1376" s="197"/>
      <c r="AD1376" s="198"/>
    </row>
    <row r="1377">
      <c r="A1377" s="193"/>
      <c r="B1377" s="194"/>
      <c r="C1377" s="192"/>
      <c r="D1377" s="195"/>
      <c r="E1377" s="192"/>
      <c r="F1377" s="196"/>
      <c r="G1377" s="196"/>
      <c r="H1377" s="197"/>
      <c r="I1377" s="197"/>
      <c r="J1377" s="197"/>
      <c r="K1377" s="197"/>
      <c r="L1377" s="197"/>
      <c r="M1377" s="197"/>
      <c r="N1377" s="197"/>
      <c r="O1377" s="197"/>
      <c r="P1377" s="197"/>
      <c r="Q1377" s="197"/>
      <c r="R1377" s="197"/>
      <c r="S1377" s="197"/>
      <c r="T1377" s="197"/>
      <c r="U1377" s="197"/>
      <c r="V1377" s="197"/>
      <c r="W1377" s="197"/>
      <c r="X1377" s="196"/>
      <c r="Y1377" s="196"/>
      <c r="Z1377" s="196"/>
      <c r="AA1377" s="196"/>
      <c r="AB1377" s="196"/>
      <c r="AC1377" s="197"/>
      <c r="AD1377" s="198"/>
    </row>
    <row r="1378">
      <c r="A1378" s="193"/>
      <c r="B1378" s="194"/>
      <c r="C1378" s="192"/>
      <c r="D1378" s="195"/>
      <c r="E1378" s="192"/>
      <c r="F1378" s="196"/>
      <c r="G1378" s="196"/>
      <c r="H1378" s="197"/>
      <c r="I1378" s="197"/>
      <c r="J1378" s="197"/>
      <c r="K1378" s="197"/>
      <c r="L1378" s="197"/>
      <c r="M1378" s="197"/>
      <c r="N1378" s="197"/>
      <c r="O1378" s="197"/>
      <c r="P1378" s="197"/>
      <c r="Q1378" s="197"/>
      <c r="R1378" s="197"/>
      <c r="S1378" s="197"/>
      <c r="T1378" s="197"/>
      <c r="U1378" s="197"/>
      <c r="V1378" s="197"/>
      <c r="W1378" s="197"/>
      <c r="X1378" s="196"/>
      <c r="Y1378" s="196"/>
      <c r="Z1378" s="196"/>
      <c r="AA1378" s="196"/>
      <c r="AB1378" s="196"/>
      <c r="AC1378" s="197"/>
      <c r="AD1378" s="198"/>
    </row>
    <row r="1379">
      <c r="A1379" s="193"/>
      <c r="B1379" s="194"/>
      <c r="C1379" s="192"/>
      <c r="D1379" s="195"/>
      <c r="E1379" s="192"/>
      <c r="F1379" s="196"/>
      <c r="G1379" s="196"/>
      <c r="H1379" s="197"/>
      <c r="I1379" s="197"/>
      <c r="J1379" s="197"/>
      <c r="K1379" s="197"/>
      <c r="L1379" s="197"/>
      <c r="M1379" s="197"/>
      <c r="N1379" s="197"/>
      <c r="O1379" s="197"/>
      <c r="P1379" s="197"/>
      <c r="Q1379" s="197"/>
      <c r="R1379" s="197"/>
      <c r="S1379" s="197"/>
      <c r="T1379" s="197"/>
      <c r="U1379" s="197"/>
      <c r="V1379" s="197"/>
      <c r="W1379" s="197"/>
      <c r="X1379" s="196"/>
      <c r="Y1379" s="196"/>
      <c r="Z1379" s="196"/>
      <c r="AA1379" s="196"/>
      <c r="AB1379" s="196"/>
      <c r="AC1379" s="197"/>
      <c r="AD1379" s="198"/>
    </row>
    <row r="1380">
      <c r="A1380" s="193"/>
      <c r="B1380" s="194"/>
      <c r="C1380" s="192"/>
      <c r="D1380" s="195"/>
      <c r="E1380" s="192"/>
      <c r="F1380" s="196"/>
      <c r="G1380" s="196"/>
      <c r="H1380" s="197"/>
      <c r="I1380" s="197"/>
      <c r="J1380" s="197"/>
      <c r="K1380" s="197"/>
      <c r="L1380" s="197"/>
      <c r="M1380" s="197"/>
      <c r="N1380" s="197"/>
      <c r="O1380" s="197"/>
      <c r="P1380" s="197"/>
      <c r="Q1380" s="197"/>
      <c r="R1380" s="197"/>
      <c r="S1380" s="197"/>
      <c r="T1380" s="197"/>
      <c r="U1380" s="197"/>
      <c r="V1380" s="197"/>
      <c r="W1380" s="197"/>
      <c r="X1380" s="196"/>
      <c r="Y1380" s="196"/>
      <c r="Z1380" s="196"/>
      <c r="AA1380" s="196"/>
      <c r="AB1380" s="196"/>
      <c r="AC1380" s="197"/>
      <c r="AD1380" s="198"/>
    </row>
    <row r="1381">
      <c r="A1381" s="193"/>
      <c r="B1381" s="194"/>
      <c r="C1381" s="192"/>
      <c r="D1381" s="195"/>
      <c r="E1381" s="192"/>
      <c r="F1381" s="196"/>
      <c r="G1381" s="196"/>
      <c r="H1381" s="197"/>
      <c r="I1381" s="197"/>
      <c r="J1381" s="197"/>
      <c r="K1381" s="197"/>
      <c r="L1381" s="197"/>
      <c r="M1381" s="197"/>
      <c r="N1381" s="197"/>
      <c r="O1381" s="197"/>
      <c r="P1381" s="197"/>
      <c r="Q1381" s="197"/>
      <c r="R1381" s="197"/>
      <c r="S1381" s="197"/>
      <c r="T1381" s="197"/>
      <c r="U1381" s="197"/>
      <c r="V1381" s="197"/>
      <c r="W1381" s="197"/>
      <c r="X1381" s="196"/>
      <c r="Y1381" s="196"/>
      <c r="Z1381" s="196"/>
      <c r="AA1381" s="196"/>
      <c r="AB1381" s="196"/>
      <c r="AC1381" s="197"/>
      <c r="AD1381" s="198"/>
    </row>
    <row r="1382">
      <c r="A1382" s="193"/>
      <c r="B1382" s="194"/>
      <c r="C1382" s="192"/>
      <c r="D1382" s="195"/>
      <c r="E1382" s="192"/>
      <c r="F1382" s="196"/>
      <c r="G1382" s="196"/>
      <c r="H1382" s="197"/>
      <c r="I1382" s="197"/>
      <c r="J1382" s="197"/>
      <c r="K1382" s="197"/>
      <c r="L1382" s="197"/>
      <c r="M1382" s="197"/>
      <c r="N1382" s="197"/>
      <c r="O1382" s="197"/>
      <c r="P1382" s="197"/>
      <c r="Q1382" s="197"/>
      <c r="R1382" s="197"/>
      <c r="S1382" s="197"/>
      <c r="T1382" s="197"/>
      <c r="U1382" s="197"/>
      <c r="V1382" s="197"/>
      <c r="W1382" s="197"/>
      <c r="X1382" s="196"/>
      <c r="Y1382" s="196"/>
      <c r="Z1382" s="196"/>
      <c r="AA1382" s="196"/>
      <c r="AB1382" s="196"/>
      <c r="AC1382" s="197"/>
      <c r="AD1382" s="198"/>
    </row>
    <row r="1383">
      <c r="A1383" s="193"/>
      <c r="B1383" s="194"/>
      <c r="C1383" s="192"/>
      <c r="D1383" s="195"/>
      <c r="E1383" s="192"/>
      <c r="F1383" s="196"/>
      <c r="G1383" s="196"/>
      <c r="H1383" s="197"/>
      <c r="I1383" s="197"/>
      <c r="J1383" s="197"/>
      <c r="K1383" s="197"/>
      <c r="L1383" s="197"/>
      <c r="M1383" s="197"/>
      <c r="N1383" s="197"/>
      <c r="O1383" s="197"/>
      <c r="P1383" s="197"/>
      <c r="Q1383" s="197"/>
      <c r="R1383" s="197"/>
      <c r="S1383" s="197"/>
      <c r="T1383" s="197"/>
      <c r="U1383" s="197"/>
      <c r="V1383" s="197"/>
      <c r="W1383" s="197"/>
      <c r="X1383" s="196"/>
      <c r="Y1383" s="196"/>
      <c r="Z1383" s="196"/>
      <c r="AA1383" s="196"/>
      <c r="AB1383" s="196"/>
      <c r="AC1383" s="197"/>
      <c r="AD1383" s="198"/>
    </row>
    <row r="1384">
      <c r="A1384" s="193"/>
      <c r="B1384" s="194"/>
      <c r="C1384" s="192"/>
      <c r="D1384" s="195"/>
      <c r="E1384" s="192"/>
      <c r="F1384" s="196"/>
      <c r="G1384" s="196"/>
      <c r="H1384" s="197"/>
      <c r="I1384" s="197"/>
      <c r="J1384" s="197"/>
      <c r="K1384" s="197"/>
      <c r="L1384" s="197"/>
      <c r="M1384" s="197"/>
      <c r="N1384" s="197"/>
      <c r="O1384" s="197"/>
      <c r="P1384" s="197"/>
      <c r="Q1384" s="197"/>
      <c r="R1384" s="197"/>
      <c r="S1384" s="197"/>
      <c r="T1384" s="197"/>
      <c r="U1384" s="197"/>
      <c r="V1384" s="197"/>
      <c r="W1384" s="197"/>
      <c r="X1384" s="196"/>
      <c r="Y1384" s="196"/>
      <c r="Z1384" s="196"/>
      <c r="AA1384" s="196"/>
      <c r="AB1384" s="196"/>
      <c r="AC1384" s="197"/>
      <c r="AD1384" s="198"/>
    </row>
    <row r="1385">
      <c r="A1385" s="193"/>
      <c r="B1385" s="194"/>
      <c r="C1385" s="192"/>
      <c r="D1385" s="195"/>
      <c r="E1385" s="192"/>
      <c r="F1385" s="196"/>
      <c r="G1385" s="196"/>
      <c r="H1385" s="197"/>
      <c r="I1385" s="197"/>
      <c r="J1385" s="197"/>
      <c r="K1385" s="197"/>
      <c r="L1385" s="197"/>
      <c r="M1385" s="197"/>
      <c r="N1385" s="197"/>
      <c r="O1385" s="197"/>
      <c r="P1385" s="197"/>
      <c r="Q1385" s="197"/>
      <c r="R1385" s="197"/>
      <c r="S1385" s="197"/>
      <c r="T1385" s="197"/>
      <c r="U1385" s="197"/>
      <c r="V1385" s="197"/>
      <c r="W1385" s="197"/>
      <c r="X1385" s="196"/>
      <c r="Y1385" s="196"/>
      <c r="Z1385" s="196"/>
      <c r="AA1385" s="196"/>
      <c r="AB1385" s="196"/>
      <c r="AC1385" s="197"/>
      <c r="AD1385" s="198"/>
    </row>
    <row r="1386">
      <c r="A1386" s="193"/>
      <c r="B1386" s="194"/>
      <c r="C1386" s="192"/>
      <c r="D1386" s="195"/>
      <c r="E1386" s="192"/>
      <c r="F1386" s="196"/>
      <c r="G1386" s="196"/>
      <c r="H1386" s="197"/>
      <c r="I1386" s="197"/>
      <c r="J1386" s="197"/>
      <c r="K1386" s="197"/>
      <c r="L1386" s="197"/>
      <c r="M1386" s="197"/>
      <c r="N1386" s="197"/>
      <c r="O1386" s="197"/>
      <c r="P1386" s="197"/>
      <c r="Q1386" s="197"/>
      <c r="R1386" s="197"/>
      <c r="S1386" s="197"/>
      <c r="T1386" s="197"/>
      <c r="U1386" s="197"/>
      <c r="V1386" s="197"/>
      <c r="W1386" s="197"/>
      <c r="X1386" s="196"/>
      <c r="Y1386" s="196"/>
      <c r="Z1386" s="196"/>
      <c r="AA1386" s="196"/>
      <c r="AB1386" s="196"/>
      <c r="AC1386" s="197"/>
      <c r="AD1386" s="198"/>
    </row>
    <row r="1387">
      <c r="A1387" s="193"/>
      <c r="B1387" s="194"/>
      <c r="C1387" s="192"/>
      <c r="D1387" s="195"/>
      <c r="E1387" s="192"/>
      <c r="F1387" s="196"/>
      <c r="G1387" s="196"/>
      <c r="H1387" s="197"/>
      <c r="I1387" s="197"/>
      <c r="J1387" s="197"/>
      <c r="K1387" s="197"/>
      <c r="L1387" s="197"/>
      <c r="M1387" s="197"/>
      <c r="N1387" s="197"/>
      <c r="O1387" s="197"/>
      <c r="P1387" s="197"/>
      <c r="Q1387" s="197"/>
      <c r="R1387" s="197"/>
      <c r="S1387" s="197"/>
      <c r="T1387" s="197"/>
      <c r="U1387" s="197"/>
      <c r="V1387" s="197"/>
      <c r="W1387" s="197"/>
      <c r="X1387" s="196"/>
      <c r="Y1387" s="196"/>
      <c r="Z1387" s="196"/>
      <c r="AA1387" s="196"/>
      <c r="AB1387" s="196"/>
      <c r="AC1387" s="197"/>
      <c r="AD1387" s="198"/>
    </row>
    <row r="1388">
      <c r="A1388" s="193"/>
      <c r="B1388" s="194"/>
      <c r="C1388" s="192"/>
      <c r="D1388" s="195"/>
      <c r="E1388" s="192"/>
      <c r="F1388" s="196"/>
      <c r="G1388" s="196"/>
      <c r="H1388" s="197"/>
      <c r="I1388" s="197"/>
      <c r="J1388" s="197"/>
      <c r="K1388" s="197"/>
      <c r="L1388" s="197"/>
      <c r="M1388" s="197"/>
      <c r="N1388" s="197"/>
      <c r="O1388" s="197"/>
      <c r="P1388" s="197"/>
      <c r="Q1388" s="197"/>
      <c r="R1388" s="197"/>
      <c r="S1388" s="197"/>
      <c r="T1388" s="197"/>
      <c r="U1388" s="197"/>
      <c r="V1388" s="197"/>
      <c r="W1388" s="197"/>
      <c r="X1388" s="196"/>
      <c r="Y1388" s="196"/>
      <c r="Z1388" s="196"/>
      <c r="AA1388" s="196"/>
      <c r="AB1388" s="196"/>
      <c r="AC1388" s="197"/>
      <c r="AD1388" s="198"/>
    </row>
    <row r="1389">
      <c r="A1389" s="193"/>
      <c r="B1389" s="194"/>
      <c r="C1389" s="192"/>
      <c r="D1389" s="195"/>
      <c r="E1389" s="192"/>
      <c r="F1389" s="196"/>
      <c r="G1389" s="196"/>
      <c r="H1389" s="197"/>
      <c r="I1389" s="197"/>
      <c r="J1389" s="197"/>
      <c r="K1389" s="197"/>
      <c r="L1389" s="197"/>
      <c r="M1389" s="197"/>
      <c r="N1389" s="197"/>
      <c r="O1389" s="197"/>
      <c r="P1389" s="197"/>
      <c r="Q1389" s="197"/>
      <c r="R1389" s="197"/>
      <c r="S1389" s="197"/>
      <c r="T1389" s="197"/>
      <c r="U1389" s="197"/>
      <c r="V1389" s="197"/>
      <c r="W1389" s="197"/>
      <c r="X1389" s="196"/>
      <c r="Y1389" s="196"/>
      <c r="Z1389" s="196"/>
      <c r="AA1389" s="196"/>
      <c r="AB1389" s="196"/>
      <c r="AC1389" s="197"/>
      <c r="AD1389" s="198"/>
    </row>
    <row r="1390">
      <c r="A1390" s="193"/>
      <c r="B1390" s="194"/>
      <c r="C1390" s="192"/>
      <c r="D1390" s="195"/>
      <c r="E1390" s="192"/>
      <c r="F1390" s="196"/>
      <c r="G1390" s="196"/>
      <c r="H1390" s="197"/>
      <c r="I1390" s="197"/>
      <c r="J1390" s="197"/>
      <c r="K1390" s="197"/>
      <c r="L1390" s="197"/>
      <c r="M1390" s="197"/>
      <c r="N1390" s="197"/>
      <c r="O1390" s="197"/>
      <c r="P1390" s="197"/>
      <c r="Q1390" s="197"/>
      <c r="R1390" s="197"/>
      <c r="S1390" s="197"/>
      <c r="T1390" s="197"/>
      <c r="U1390" s="197"/>
      <c r="V1390" s="197"/>
      <c r="W1390" s="197"/>
      <c r="X1390" s="196"/>
      <c r="Y1390" s="196"/>
      <c r="Z1390" s="196"/>
      <c r="AA1390" s="196"/>
      <c r="AB1390" s="196"/>
      <c r="AC1390" s="197"/>
      <c r="AD1390" s="198"/>
    </row>
    <row r="1391">
      <c r="A1391" s="193"/>
      <c r="B1391" s="194"/>
      <c r="C1391" s="192"/>
      <c r="D1391" s="195"/>
      <c r="E1391" s="192"/>
      <c r="F1391" s="196"/>
      <c r="G1391" s="196"/>
      <c r="H1391" s="197"/>
      <c r="I1391" s="197"/>
      <c r="J1391" s="197"/>
      <c r="K1391" s="197"/>
      <c r="L1391" s="197"/>
      <c r="M1391" s="197"/>
      <c r="N1391" s="197"/>
      <c r="O1391" s="197"/>
      <c r="P1391" s="197"/>
      <c r="Q1391" s="197"/>
      <c r="R1391" s="197"/>
      <c r="S1391" s="197"/>
      <c r="T1391" s="197"/>
      <c r="U1391" s="197"/>
      <c r="V1391" s="197"/>
      <c r="W1391" s="197"/>
      <c r="X1391" s="196"/>
      <c r="Y1391" s="196"/>
      <c r="Z1391" s="196"/>
      <c r="AA1391" s="196"/>
      <c r="AB1391" s="196"/>
      <c r="AC1391" s="197"/>
      <c r="AD1391" s="198"/>
    </row>
    <row r="1392">
      <c r="A1392" s="193"/>
      <c r="B1392" s="194"/>
      <c r="C1392" s="192"/>
      <c r="D1392" s="195"/>
      <c r="E1392" s="192"/>
      <c r="F1392" s="196"/>
      <c r="G1392" s="196"/>
      <c r="H1392" s="197"/>
      <c r="I1392" s="197"/>
      <c r="J1392" s="197"/>
      <c r="K1392" s="197"/>
      <c r="L1392" s="197"/>
      <c r="M1392" s="197"/>
      <c r="N1392" s="197"/>
      <c r="O1392" s="197"/>
      <c r="P1392" s="197"/>
      <c r="Q1392" s="197"/>
      <c r="R1392" s="197"/>
      <c r="S1392" s="197"/>
      <c r="T1392" s="197"/>
      <c r="U1392" s="197"/>
      <c r="V1392" s="197"/>
      <c r="W1392" s="197"/>
      <c r="X1392" s="196"/>
      <c r="Y1392" s="196"/>
      <c r="Z1392" s="196"/>
      <c r="AA1392" s="196"/>
      <c r="AB1392" s="196"/>
      <c r="AC1392" s="197"/>
      <c r="AD1392" s="198"/>
    </row>
    <row r="1393">
      <c r="A1393" s="193"/>
      <c r="B1393" s="194"/>
      <c r="C1393" s="192"/>
      <c r="D1393" s="195"/>
      <c r="E1393" s="192"/>
      <c r="F1393" s="196"/>
      <c r="G1393" s="196"/>
      <c r="H1393" s="197"/>
      <c r="I1393" s="197"/>
      <c r="J1393" s="197"/>
      <c r="K1393" s="197"/>
      <c r="L1393" s="197"/>
      <c r="M1393" s="197"/>
      <c r="N1393" s="197"/>
      <c r="O1393" s="197"/>
      <c r="P1393" s="197"/>
      <c r="Q1393" s="197"/>
      <c r="R1393" s="197"/>
      <c r="S1393" s="197"/>
      <c r="T1393" s="197"/>
      <c r="U1393" s="197"/>
      <c r="V1393" s="197"/>
      <c r="W1393" s="197"/>
      <c r="X1393" s="196"/>
      <c r="Y1393" s="196"/>
      <c r="Z1393" s="196"/>
      <c r="AA1393" s="196"/>
      <c r="AB1393" s="196"/>
      <c r="AC1393" s="197"/>
      <c r="AD1393" s="198"/>
    </row>
    <row r="1394">
      <c r="A1394" s="193"/>
      <c r="B1394" s="194"/>
      <c r="C1394" s="192"/>
      <c r="D1394" s="195"/>
      <c r="E1394" s="192"/>
      <c r="F1394" s="196"/>
      <c r="G1394" s="196"/>
      <c r="H1394" s="197"/>
      <c r="I1394" s="197"/>
      <c r="J1394" s="197"/>
      <c r="K1394" s="197"/>
      <c r="L1394" s="197"/>
      <c r="M1394" s="197"/>
      <c r="N1394" s="197"/>
      <c r="O1394" s="197"/>
      <c r="P1394" s="197"/>
      <c r="Q1394" s="197"/>
      <c r="R1394" s="197"/>
      <c r="S1394" s="197"/>
      <c r="T1394" s="197"/>
      <c r="U1394" s="197"/>
      <c r="V1394" s="197"/>
      <c r="W1394" s="197"/>
      <c r="X1394" s="196"/>
      <c r="Y1394" s="196"/>
      <c r="Z1394" s="196"/>
      <c r="AA1394" s="196"/>
      <c r="AB1394" s="196"/>
      <c r="AC1394" s="197"/>
      <c r="AD1394" s="198"/>
    </row>
    <row r="1395">
      <c r="A1395" s="193"/>
      <c r="B1395" s="194"/>
      <c r="C1395" s="192"/>
      <c r="D1395" s="195"/>
      <c r="E1395" s="192"/>
      <c r="F1395" s="196"/>
      <c r="G1395" s="196"/>
      <c r="H1395" s="197"/>
      <c r="I1395" s="197"/>
      <c r="J1395" s="197"/>
      <c r="K1395" s="197"/>
      <c r="L1395" s="197"/>
      <c r="M1395" s="197"/>
      <c r="N1395" s="197"/>
      <c r="O1395" s="197"/>
      <c r="P1395" s="197"/>
      <c r="Q1395" s="197"/>
      <c r="R1395" s="197"/>
      <c r="S1395" s="197"/>
      <c r="T1395" s="197"/>
      <c r="U1395" s="197"/>
      <c r="V1395" s="197"/>
      <c r="W1395" s="197"/>
      <c r="X1395" s="196"/>
      <c r="Y1395" s="196"/>
      <c r="Z1395" s="196"/>
      <c r="AA1395" s="196"/>
      <c r="AB1395" s="196"/>
      <c r="AC1395" s="197"/>
      <c r="AD1395" s="198"/>
    </row>
    <row r="1396">
      <c r="A1396" s="193"/>
      <c r="B1396" s="194"/>
      <c r="C1396" s="192"/>
      <c r="D1396" s="195"/>
      <c r="E1396" s="192"/>
      <c r="F1396" s="196"/>
      <c r="G1396" s="196"/>
      <c r="H1396" s="197"/>
      <c r="I1396" s="197"/>
      <c r="J1396" s="197"/>
      <c r="K1396" s="197"/>
      <c r="L1396" s="197"/>
      <c r="M1396" s="197"/>
      <c r="N1396" s="197"/>
      <c r="O1396" s="197"/>
      <c r="P1396" s="197"/>
      <c r="Q1396" s="197"/>
      <c r="R1396" s="197"/>
      <c r="S1396" s="197"/>
      <c r="T1396" s="197"/>
      <c r="U1396" s="197"/>
      <c r="V1396" s="197"/>
      <c r="W1396" s="197"/>
      <c r="X1396" s="196"/>
      <c r="Y1396" s="196"/>
      <c r="Z1396" s="196"/>
      <c r="AA1396" s="196"/>
      <c r="AB1396" s="196"/>
      <c r="AC1396" s="197"/>
      <c r="AD1396" s="198"/>
    </row>
    <row r="1397">
      <c r="A1397" s="193"/>
      <c r="B1397" s="194"/>
      <c r="C1397" s="192"/>
      <c r="D1397" s="195"/>
      <c r="E1397" s="192"/>
      <c r="F1397" s="196"/>
      <c r="G1397" s="196"/>
      <c r="H1397" s="197"/>
      <c r="I1397" s="197"/>
      <c r="J1397" s="197"/>
      <c r="K1397" s="197"/>
      <c r="L1397" s="197"/>
      <c r="M1397" s="197"/>
      <c r="N1397" s="197"/>
      <c r="O1397" s="197"/>
      <c r="P1397" s="197"/>
      <c r="Q1397" s="197"/>
      <c r="R1397" s="197"/>
      <c r="S1397" s="197"/>
      <c r="T1397" s="197"/>
      <c r="U1397" s="197"/>
      <c r="V1397" s="197"/>
      <c r="W1397" s="197"/>
      <c r="X1397" s="196"/>
      <c r="Y1397" s="196"/>
      <c r="Z1397" s="196"/>
      <c r="AA1397" s="196"/>
      <c r="AB1397" s="196"/>
      <c r="AC1397" s="197"/>
      <c r="AD1397" s="198"/>
    </row>
    <row r="1398">
      <c r="A1398" s="193"/>
      <c r="B1398" s="194"/>
      <c r="C1398" s="192"/>
      <c r="D1398" s="195"/>
      <c r="E1398" s="192"/>
      <c r="F1398" s="196"/>
      <c r="G1398" s="196"/>
      <c r="H1398" s="197"/>
      <c r="I1398" s="197"/>
      <c r="J1398" s="197"/>
      <c r="K1398" s="197"/>
      <c r="L1398" s="197"/>
      <c r="M1398" s="197"/>
      <c r="N1398" s="197"/>
      <c r="O1398" s="197"/>
      <c r="P1398" s="197"/>
      <c r="Q1398" s="197"/>
      <c r="R1398" s="197"/>
      <c r="S1398" s="197"/>
      <c r="T1398" s="197"/>
      <c r="U1398" s="197"/>
      <c r="V1398" s="197"/>
      <c r="W1398" s="197"/>
      <c r="X1398" s="196"/>
      <c r="Y1398" s="196"/>
      <c r="Z1398" s="196"/>
      <c r="AA1398" s="196"/>
      <c r="AB1398" s="196"/>
      <c r="AC1398" s="197"/>
      <c r="AD1398" s="198"/>
    </row>
    <row r="1399">
      <c r="A1399" s="193"/>
      <c r="B1399" s="194"/>
      <c r="C1399" s="192"/>
      <c r="D1399" s="195"/>
      <c r="E1399" s="192"/>
      <c r="F1399" s="196"/>
      <c r="G1399" s="196"/>
      <c r="H1399" s="197"/>
      <c r="I1399" s="197"/>
      <c r="J1399" s="197"/>
      <c r="K1399" s="197"/>
      <c r="L1399" s="197"/>
      <c r="M1399" s="197"/>
      <c r="N1399" s="197"/>
      <c r="O1399" s="197"/>
      <c r="P1399" s="197"/>
      <c r="Q1399" s="197"/>
      <c r="R1399" s="197"/>
      <c r="S1399" s="197"/>
      <c r="T1399" s="197"/>
      <c r="U1399" s="197"/>
      <c r="V1399" s="197"/>
      <c r="W1399" s="197"/>
      <c r="X1399" s="196"/>
      <c r="Y1399" s="196"/>
      <c r="Z1399" s="196"/>
      <c r="AA1399" s="196"/>
      <c r="AB1399" s="196"/>
      <c r="AC1399" s="197"/>
      <c r="AD1399" s="198"/>
    </row>
    <row r="1400">
      <c r="A1400" s="193"/>
      <c r="B1400" s="194"/>
      <c r="C1400" s="192"/>
      <c r="D1400" s="195"/>
      <c r="E1400" s="192"/>
      <c r="F1400" s="196"/>
      <c r="G1400" s="196"/>
      <c r="H1400" s="197"/>
      <c r="I1400" s="197"/>
      <c r="J1400" s="197"/>
      <c r="K1400" s="197"/>
      <c r="L1400" s="197"/>
      <c r="M1400" s="197"/>
      <c r="N1400" s="197"/>
      <c r="O1400" s="197"/>
      <c r="P1400" s="197"/>
      <c r="Q1400" s="197"/>
      <c r="R1400" s="197"/>
      <c r="S1400" s="197"/>
      <c r="T1400" s="197"/>
      <c r="U1400" s="197"/>
      <c r="V1400" s="197"/>
      <c r="W1400" s="197"/>
      <c r="X1400" s="196"/>
      <c r="Y1400" s="196"/>
      <c r="Z1400" s="196"/>
      <c r="AA1400" s="196"/>
      <c r="AB1400" s="196"/>
      <c r="AC1400" s="197"/>
      <c r="AD1400" s="198"/>
    </row>
    <row r="1401">
      <c r="A1401" s="193"/>
      <c r="B1401" s="194"/>
      <c r="C1401" s="192"/>
      <c r="D1401" s="195"/>
      <c r="E1401" s="192"/>
      <c r="F1401" s="196"/>
      <c r="G1401" s="196"/>
      <c r="H1401" s="197"/>
      <c r="I1401" s="197"/>
      <c r="J1401" s="197"/>
      <c r="K1401" s="197"/>
      <c r="L1401" s="197"/>
      <c r="M1401" s="197"/>
      <c r="N1401" s="197"/>
      <c r="O1401" s="197"/>
      <c r="P1401" s="197"/>
      <c r="Q1401" s="197"/>
      <c r="R1401" s="197"/>
      <c r="S1401" s="197"/>
      <c r="T1401" s="197"/>
      <c r="U1401" s="197"/>
      <c r="V1401" s="197"/>
      <c r="W1401" s="197"/>
      <c r="X1401" s="196"/>
      <c r="Y1401" s="196"/>
      <c r="Z1401" s="196"/>
      <c r="AA1401" s="196"/>
      <c r="AB1401" s="196"/>
      <c r="AC1401" s="197"/>
      <c r="AD1401" s="198"/>
    </row>
    <row r="1402">
      <c r="A1402" s="193"/>
      <c r="B1402" s="194"/>
      <c r="C1402" s="192"/>
      <c r="D1402" s="195"/>
      <c r="E1402" s="192"/>
      <c r="F1402" s="196"/>
      <c r="G1402" s="196"/>
      <c r="H1402" s="197"/>
      <c r="I1402" s="197"/>
      <c r="J1402" s="197"/>
      <c r="K1402" s="197"/>
      <c r="L1402" s="197"/>
      <c r="M1402" s="197"/>
      <c r="N1402" s="197"/>
      <c r="O1402" s="197"/>
      <c r="P1402" s="197"/>
      <c r="Q1402" s="197"/>
      <c r="R1402" s="197"/>
      <c r="S1402" s="197"/>
      <c r="T1402" s="197"/>
      <c r="U1402" s="197"/>
      <c r="V1402" s="197"/>
      <c r="W1402" s="197"/>
      <c r="X1402" s="196"/>
      <c r="Y1402" s="196"/>
      <c r="Z1402" s="196"/>
      <c r="AA1402" s="196"/>
      <c r="AB1402" s="196"/>
      <c r="AC1402" s="197"/>
      <c r="AD1402" s="198"/>
    </row>
    <row r="1403">
      <c r="A1403" s="193"/>
      <c r="B1403" s="194"/>
      <c r="C1403" s="192"/>
      <c r="D1403" s="195"/>
      <c r="E1403" s="192"/>
      <c r="F1403" s="196"/>
      <c r="G1403" s="196"/>
      <c r="H1403" s="197"/>
      <c r="I1403" s="197"/>
      <c r="J1403" s="197"/>
      <c r="K1403" s="197"/>
      <c r="L1403" s="197"/>
      <c r="M1403" s="197"/>
      <c r="N1403" s="197"/>
      <c r="O1403" s="197"/>
      <c r="P1403" s="197"/>
      <c r="Q1403" s="197"/>
      <c r="R1403" s="197"/>
      <c r="S1403" s="197"/>
      <c r="T1403" s="197"/>
      <c r="U1403" s="197"/>
      <c r="V1403" s="197"/>
      <c r="W1403" s="197"/>
      <c r="X1403" s="196"/>
      <c r="Y1403" s="196"/>
      <c r="Z1403" s="196"/>
      <c r="AA1403" s="196"/>
      <c r="AB1403" s="196"/>
      <c r="AC1403" s="197"/>
      <c r="AD1403" s="198"/>
    </row>
    <row r="1404">
      <c r="A1404" s="193"/>
      <c r="B1404" s="194"/>
      <c r="C1404" s="192"/>
      <c r="D1404" s="195"/>
      <c r="E1404" s="192"/>
      <c r="F1404" s="196"/>
      <c r="G1404" s="196"/>
      <c r="H1404" s="197"/>
      <c r="I1404" s="197"/>
      <c r="J1404" s="197"/>
      <c r="K1404" s="197"/>
      <c r="L1404" s="197"/>
      <c r="M1404" s="197"/>
      <c r="N1404" s="197"/>
      <c r="O1404" s="197"/>
      <c r="P1404" s="197"/>
      <c r="Q1404" s="197"/>
      <c r="R1404" s="197"/>
      <c r="S1404" s="197"/>
      <c r="T1404" s="197"/>
      <c r="U1404" s="197"/>
      <c r="V1404" s="197"/>
      <c r="W1404" s="197"/>
      <c r="X1404" s="196"/>
      <c r="Y1404" s="196"/>
      <c r="Z1404" s="196"/>
      <c r="AA1404" s="196"/>
      <c r="AB1404" s="196"/>
      <c r="AC1404" s="197"/>
      <c r="AD1404" s="198"/>
    </row>
    <row r="1405">
      <c r="A1405" s="193"/>
      <c r="B1405" s="194"/>
      <c r="C1405" s="192"/>
      <c r="D1405" s="195"/>
      <c r="E1405" s="192"/>
      <c r="F1405" s="196"/>
      <c r="G1405" s="196"/>
      <c r="H1405" s="197"/>
      <c r="I1405" s="197"/>
      <c r="J1405" s="197"/>
      <c r="K1405" s="197"/>
      <c r="L1405" s="197"/>
      <c r="M1405" s="197"/>
      <c r="N1405" s="197"/>
      <c r="O1405" s="197"/>
      <c r="P1405" s="197"/>
      <c r="Q1405" s="197"/>
      <c r="R1405" s="197"/>
      <c r="S1405" s="197"/>
      <c r="T1405" s="197"/>
      <c r="U1405" s="197"/>
      <c r="V1405" s="197"/>
      <c r="W1405" s="197"/>
      <c r="X1405" s="196"/>
      <c r="Y1405" s="196"/>
      <c r="Z1405" s="196"/>
      <c r="AA1405" s="196"/>
      <c r="AB1405" s="196"/>
      <c r="AC1405" s="197"/>
      <c r="AD1405" s="198"/>
    </row>
    <row r="1406">
      <c r="A1406" s="193"/>
      <c r="B1406" s="194"/>
      <c r="C1406" s="192"/>
      <c r="D1406" s="195"/>
      <c r="E1406" s="192"/>
      <c r="F1406" s="196"/>
      <c r="G1406" s="196"/>
      <c r="H1406" s="197"/>
      <c r="I1406" s="197"/>
      <c r="J1406" s="197"/>
      <c r="K1406" s="197"/>
      <c r="L1406" s="197"/>
      <c r="M1406" s="197"/>
      <c r="N1406" s="197"/>
      <c r="O1406" s="197"/>
      <c r="P1406" s="197"/>
      <c r="Q1406" s="197"/>
      <c r="R1406" s="197"/>
      <c r="S1406" s="197"/>
      <c r="T1406" s="197"/>
      <c r="U1406" s="197"/>
      <c r="V1406" s="197"/>
      <c r="W1406" s="197"/>
      <c r="X1406" s="196"/>
      <c r="Y1406" s="196"/>
      <c r="Z1406" s="196"/>
      <c r="AA1406" s="196"/>
      <c r="AB1406" s="196"/>
      <c r="AC1406" s="197"/>
      <c r="AD1406" s="198"/>
    </row>
    <row r="1407">
      <c r="A1407" s="193"/>
      <c r="B1407" s="194"/>
      <c r="C1407" s="192"/>
      <c r="D1407" s="195"/>
      <c r="E1407" s="192"/>
      <c r="F1407" s="196"/>
      <c r="G1407" s="196"/>
      <c r="H1407" s="197"/>
      <c r="I1407" s="197"/>
      <c r="J1407" s="197"/>
      <c r="K1407" s="197"/>
      <c r="L1407" s="197"/>
      <c r="M1407" s="197"/>
      <c r="N1407" s="197"/>
      <c r="O1407" s="197"/>
      <c r="P1407" s="197"/>
      <c r="Q1407" s="197"/>
      <c r="R1407" s="197"/>
      <c r="S1407" s="197"/>
      <c r="T1407" s="197"/>
      <c r="U1407" s="197"/>
      <c r="V1407" s="197"/>
      <c r="W1407" s="197"/>
      <c r="X1407" s="196"/>
      <c r="Y1407" s="196"/>
      <c r="Z1407" s="196"/>
      <c r="AA1407" s="196"/>
      <c r="AB1407" s="196"/>
      <c r="AC1407" s="197"/>
      <c r="AD1407" s="198"/>
    </row>
    <row r="1408">
      <c r="A1408" s="193"/>
      <c r="B1408" s="194"/>
      <c r="C1408" s="192"/>
      <c r="D1408" s="195"/>
      <c r="E1408" s="192"/>
      <c r="F1408" s="196"/>
      <c r="G1408" s="196"/>
      <c r="H1408" s="197"/>
      <c r="I1408" s="197"/>
      <c r="J1408" s="197"/>
      <c r="K1408" s="197"/>
      <c r="L1408" s="197"/>
      <c r="M1408" s="197"/>
      <c r="N1408" s="197"/>
      <c r="O1408" s="197"/>
      <c r="P1408" s="197"/>
      <c r="Q1408" s="197"/>
      <c r="R1408" s="197"/>
      <c r="S1408" s="197"/>
      <c r="T1408" s="197"/>
      <c r="U1408" s="197"/>
      <c r="V1408" s="197"/>
      <c r="W1408" s="197"/>
      <c r="X1408" s="196"/>
      <c r="Y1408" s="196"/>
      <c r="Z1408" s="196"/>
      <c r="AA1408" s="196"/>
      <c r="AB1408" s="196"/>
      <c r="AC1408" s="197"/>
      <c r="AD1408" s="198"/>
    </row>
    <row r="1409">
      <c r="A1409" s="193"/>
      <c r="B1409" s="194"/>
      <c r="C1409" s="192"/>
      <c r="D1409" s="195"/>
      <c r="E1409" s="192"/>
      <c r="F1409" s="196"/>
      <c r="G1409" s="196"/>
      <c r="H1409" s="197"/>
      <c r="I1409" s="197"/>
      <c r="J1409" s="197"/>
      <c r="K1409" s="197"/>
      <c r="L1409" s="197"/>
      <c r="M1409" s="197"/>
      <c r="N1409" s="197"/>
      <c r="O1409" s="197"/>
      <c r="P1409" s="197"/>
      <c r="Q1409" s="197"/>
      <c r="R1409" s="197"/>
      <c r="S1409" s="197"/>
      <c r="T1409" s="197"/>
      <c r="U1409" s="197"/>
      <c r="V1409" s="197"/>
      <c r="W1409" s="197"/>
      <c r="X1409" s="196"/>
      <c r="Y1409" s="196"/>
      <c r="Z1409" s="196"/>
      <c r="AA1409" s="196"/>
      <c r="AB1409" s="196"/>
      <c r="AC1409" s="197"/>
      <c r="AD1409" s="198"/>
    </row>
    <row r="1410">
      <c r="A1410" s="193"/>
      <c r="B1410" s="194"/>
      <c r="C1410" s="192"/>
      <c r="D1410" s="195"/>
      <c r="E1410" s="192"/>
      <c r="F1410" s="196"/>
      <c r="G1410" s="196"/>
      <c r="H1410" s="197"/>
      <c r="I1410" s="197"/>
      <c r="J1410" s="197"/>
      <c r="K1410" s="197"/>
      <c r="L1410" s="197"/>
      <c r="M1410" s="197"/>
      <c r="N1410" s="197"/>
      <c r="O1410" s="197"/>
      <c r="P1410" s="197"/>
      <c r="Q1410" s="197"/>
      <c r="R1410" s="197"/>
      <c r="S1410" s="197"/>
      <c r="T1410" s="197"/>
      <c r="U1410" s="197"/>
      <c r="V1410" s="197"/>
      <c r="W1410" s="197"/>
      <c r="X1410" s="196"/>
      <c r="Y1410" s="196"/>
      <c r="Z1410" s="196"/>
      <c r="AA1410" s="196"/>
      <c r="AB1410" s="196"/>
      <c r="AC1410" s="197"/>
      <c r="AD1410" s="198"/>
    </row>
    <row r="1411">
      <c r="A1411" s="193"/>
      <c r="B1411" s="194"/>
      <c r="C1411" s="192"/>
      <c r="D1411" s="195"/>
      <c r="E1411" s="192"/>
      <c r="F1411" s="196"/>
      <c r="G1411" s="196"/>
      <c r="H1411" s="197"/>
      <c r="I1411" s="197"/>
      <c r="J1411" s="197"/>
      <c r="K1411" s="197"/>
      <c r="L1411" s="197"/>
      <c r="M1411" s="197"/>
      <c r="N1411" s="197"/>
      <c r="O1411" s="197"/>
      <c r="P1411" s="197"/>
      <c r="Q1411" s="197"/>
      <c r="R1411" s="197"/>
      <c r="S1411" s="197"/>
      <c r="T1411" s="197"/>
      <c r="U1411" s="197"/>
      <c r="V1411" s="197"/>
      <c r="W1411" s="197"/>
      <c r="X1411" s="196"/>
      <c r="Y1411" s="196"/>
      <c r="Z1411" s="196"/>
      <c r="AA1411" s="196"/>
      <c r="AB1411" s="196"/>
      <c r="AC1411" s="197"/>
      <c r="AD1411" s="198"/>
    </row>
    <row r="1412">
      <c r="A1412" s="193"/>
      <c r="B1412" s="194"/>
      <c r="C1412" s="192"/>
      <c r="D1412" s="195"/>
      <c r="E1412" s="192"/>
      <c r="F1412" s="196"/>
      <c r="G1412" s="196"/>
      <c r="H1412" s="197"/>
      <c r="I1412" s="197"/>
      <c r="J1412" s="197"/>
      <c r="K1412" s="197"/>
      <c r="L1412" s="197"/>
      <c r="M1412" s="197"/>
      <c r="N1412" s="197"/>
      <c r="O1412" s="197"/>
      <c r="P1412" s="197"/>
      <c r="Q1412" s="197"/>
      <c r="R1412" s="197"/>
      <c r="S1412" s="197"/>
      <c r="T1412" s="197"/>
      <c r="U1412" s="197"/>
      <c r="V1412" s="197"/>
      <c r="W1412" s="197"/>
      <c r="X1412" s="196"/>
      <c r="Y1412" s="196"/>
      <c r="Z1412" s="196"/>
      <c r="AA1412" s="196"/>
      <c r="AB1412" s="196"/>
      <c r="AC1412" s="197"/>
      <c r="AD1412" s="198"/>
    </row>
    <row r="1413">
      <c r="A1413" s="193"/>
      <c r="B1413" s="194"/>
      <c r="C1413" s="192"/>
      <c r="D1413" s="195"/>
      <c r="E1413" s="192"/>
      <c r="F1413" s="196"/>
      <c r="G1413" s="196"/>
      <c r="H1413" s="197"/>
      <c r="I1413" s="197"/>
      <c r="J1413" s="197"/>
      <c r="K1413" s="197"/>
      <c r="L1413" s="197"/>
      <c r="M1413" s="197"/>
      <c r="N1413" s="197"/>
      <c r="O1413" s="197"/>
      <c r="P1413" s="197"/>
      <c r="Q1413" s="197"/>
      <c r="R1413" s="197"/>
      <c r="S1413" s="197"/>
      <c r="T1413" s="197"/>
      <c r="U1413" s="197"/>
      <c r="V1413" s="197"/>
      <c r="W1413" s="197"/>
      <c r="X1413" s="196"/>
      <c r="Y1413" s="196"/>
      <c r="Z1413" s="196"/>
      <c r="AA1413" s="196"/>
      <c r="AB1413" s="196"/>
      <c r="AC1413" s="197"/>
      <c r="AD1413" s="198"/>
    </row>
    <row r="1414">
      <c r="A1414" s="193"/>
      <c r="B1414" s="194"/>
      <c r="C1414" s="192"/>
      <c r="D1414" s="195"/>
      <c r="E1414" s="192"/>
      <c r="F1414" s="196"/>
      <c r="G1414" s="196"/>
      <c r="H1414" s="197"/>
      <c r="I1414" s="197"/>
      <c r="J1414" s="197"/>
      <c r="K1414" s="197"/>
      <c r="L1414" s="197"/>
      <c r="M1414" s="197"/>
      <c r="N1414" s="197"/>
      <c r="O1414" s="197"/>
      <c r="P1414" s="197"/>
      <c r="Q1414" s="197"/>
      <c r="R1414" s="197"/>
      <c r="S1414" s="197"/>
      <c r="T1414" s="197"/>
      <c r="U1414" s="197"/>
      <c r="V1414" s="197"/>
      <c r="W1414" s="197"/>
      <c r="X1414" s="196"/>
      <c r="Y1414" s="196"/>
      <c r="Z1414" s="196"/>
      <c r="AA1414" s="196"/>
      <c r="AB1414" s="196"/>
      <c r="AC1414" s="197"/>
      <c r="AD1414" s="198"/>
    </row>
    <row r="1415">
      <c r="A1415" s="193"/>
      <c r="B1415" s="194"/>
      <c r="C1415" s="192"/>
      <c r="D1415" s="195"/>
      <c r="E1415" s="192"/>
      <c r="F1415" s="196"/>
      <c r="G1415" s="196"/>
      <c r="H1415" s="197"/>
      <c r="I1415" s="197"/>
      <c r="J1415" s="197"/>
      <c r="K1415" s="197"/>
      <c r="L1415" s="197"/>
      <c r="M1415" s="197"/>
      <c r="N1415" s="197"/>
      <c r="O1415" s="197"/>
      <c r="P1415" s="197"/>
      <c r="Q1415" s="197"/>
      <c r="R1415" s="197"/>
      <c r="S1415" s="197"/>
      <c r="T1415" s="197"/>
      <c r="U1415" s="197"/>
      <c r="V1415" s="197"/>
      <c r="W1415" s="197"/>
      <c r="X1415" s="196"/>
      <c r="Y1415" s="196"/>
      <c r="Z1415" s="196"/>
      <c r="AA1415" s="196"/>
      <c r="AB1415" s="196"/>
      <c r="AC1415" s="197"/>
      <c r="AD1415" s="198"/>
    </row>
    <row r="1416">
      <c r="A1416" s="193"/>
      <c r="B1416" s="194"/>
      <c r="C1416" s="192"/>
      <c r="D1416" s="195"/>
      <c r="E1416" s="192"/>
      <c r="F1416" s="196"/>
      <c r="G1416" s="196"/>
      <c r="H1416" s="197"/>
      <c r="I1416" s="197"/>
      <c r="J1416" s="197"/>
      <c r="K1416" s="197"/>
      <c r="L1416" s="197"/>
      <c r="M1416" s="197"/>
      <c r="N1416" s="197"/>
      <c r="O1416" s="197"/>
      <c r="P1416" s="197"/>
      <c r="Q1416" s="197"/>
      <c r="R1416" s="197"/>
      <c r="S1416" s="197"/>
      <c r="T1416" s="197"/>
      <c r="U1416" s="197"/>
      <c r="V1416" s="197"/>
      <c r="W1416" s="197"/>
      <c r="X1416" s="196"/>
      <c r="Y1416" s="196"/>
      <c r="Z1416" s="196"/>
      <c r="AA1416" s="196"/>
      <c r="AB1416" s="196"/>
      <c r="AC1416" s="197"/>
      <c r="AD1416" s="198"/>
    </row>
    <row r="1417">
      <c r="A1417" s="193"/>
      <c r="B1417" s="194"/>
      <c r="C1417" s="192"/>
      <c r="D1417" s="195"/>
      <c r="E1417" s="192"/>
      <c r="F1417" s="196"/>
      <c r="G1417" s="196"/>
      <c r="H1417" s="197"/>
      <c r="I1417" s="197"/>
      <c r="J1417" s="197"/>
      <c r="K1417" s="197"/>
      <c r="L1417" s="197"/>
      <c r="M1417" s="197"/>
      <c r="N1417" s="197"/>
      <c r="O1417" s="197"/>
      <c r="P1417" s="197"/>
      <c r="Q1417" s="197"/>
      <c r="R1417" s="197"/>
      <c r="S1417" s="197"/>
      <c r="T1417" s="197"/>
      <c r="U1417" s="197"/>
      <c r="V1417" s="197"/>
      <c r="W1417" s="197"/>
      <c r="X1417" s="196"/>
      <c r="Y1417" s="196"/>
      <c r="Z1417" s="196"/>
      <c r="AA1417" s="196"/>
      <c r="AB1417" s="196"/>
      <c r="AC1417" s="197"/>
      <c r="AD1417" s="198"/>
    </row>
    <row r="1418">
      <c r="A1418" s="193"/>
      <c r="B1418" s="194"/>
      <c r="C1418" s="192"/>
      <c r="D1418" s="195"/>
      <c r="E1418" s="192"/>
      <c r="F1418" s="196"/>
      <c r="G1418" s="196"/>
      <c r="H1418" s="197"/>
      <c r="I1418" s="197"/>
      <c r="J1418" s="197"/>
      <c r="K1418" s="197"/>
      <c r="L1418" s="197"/>
      <c r="M1418" s="197"/>
      <c r="N1418" s="197"/>
      <c r="O1418" s="197"/>
      <c r="P1418" s="197"/>
      <c r="Q1418" s="197"/>
      <c r="R1418" s="197"/>
      <c r="S1418" s="197"/>
      <c r="T1418" s="197"/>
      <c r="U1418" s="197"/>
      <c r="V1418" s="197"/>
      <c r="W1418" s="197"/>
      <c r="X1418" s="196"/>
      <c r="Y1418" s="196"/>
      <c r="Z1418" s="196"/>
      <c r="AA1418" s="196"/>
      <c r="AB1418" s="196"/>
      <c r="AC1418" s="197"/>
      <c r="AD1418" s="198"/>
    </row>
    <row r="1419">
      <c r="A1419" s="193"/>
      <c r="B1419" s="194"/>
      <c r="C1419" s="192"/>
      <c r="D1419" s="195"/>
      <c r="E1419" s="192"/>
      <c r="F1419" s="196"/>
      <c r="G1419" s="196"/>
      <c r="H1419" s="197"/>
      <c r="I1419" s="197"/>
      <c r="J1419" s="197"/>
      <c r="K1419" s="197"/>
      <c r="L1419" s="197"/>
      <c r="M1419" s="197"/>
      <c r="N1419" s="197"/>
      <c r="O1419" s="197"/>
      <c r="P1419" s="197"/>
      <c r="Q1419" s="197"/>
      <c r="R1419" s="197"/>
      <c r="S1419" s="197"/>
      <c r="T1419" s="197"/>
      <c r="U1419" s="197"/>
      <c r="V1419" s="197"/>
      <c r="W1419" s="197"/>
      <c r="X1419" s="196"/>
      <c r="Y1419" s="196"/>
      <c r="Z1419" s="196"/>
      <c r="AA1419" s="196"/>
      <c r="AB1419" s="196"/>
      <c r="AC1419" s="197"/>
      <c r="AD1419" s="198"/>
    </row>
    <row r="1420">
      <c r="A1420" s="193"/>
      <c r="B1420" s="194"/>
      <c r="C1420" s="192"/>
      <c r="D1420" s="195"/>
      <c r="E1420" s="192"/>
      <c r="F1420" s="196"/>
      <c r="G1420" s="196"/>
      <c r="H1420" s="197"/>
      <c r="I1420" s="197"/>
      <c r="J1420" s="197"/>
      <c r="K1420" s="197"/>
      <c r="L1420" s="197"/>
      <c r="M1420" s="197"/>
      <c r="N1420" s="197"/>
      <c r="O1420" s="197"/>
      <c r="P1420" s="197"/>
      <c r="Q1420" s="197"/>
      <c r="R1420" s="197"/>
      <c r="S1420" s="197"/>
      <c r="T1420" s="197"/>
      <c r="U1420" s="197"/>
      <c r="V1420" s="197"/>
      <c r="W1420" s="197"/>
      <c r="X1420" s="196"/>
      <c r="Y1420" s="196"/>
      <c r="Z1420" s="196"/>
      <c r="AA1420" s="196"/>
      <c r="AB1420" s="196"/>
      <c r="AC1420" s="197"/>
      <c r="AD1420" s="198"/>
    </row>
    <row r="1421">
      <c r="A1421" s="193"/>
      <c r="B1421" s="194"/>
      <c r="C1421" s="192"/>
      <c r="D1421" s="195"/>
      <c r="E1421" s="192"/>
      <c r="F1421" s="196"/>
      <c r="G1421" s="196"/>
      <c r="H1421" s="197"/>
      <c r="I1421" s="197"/>
      <c r="J1421" s="197"/>
      <c r="K1421" s="197"/>
      <c r="L1421" s="197"/>
      <c r="M1421" s="197"/>
      <c r="N1421" s="197"/>
      <c r="O1421" s="197"/>
      <c r="P1421" s="197"/>
      <c r="Q1421" s="197"/>
      <c r="R1421" s="197"/>
      <c r="S1421" s="197"/>
      <c r="T1421" s="197"/>
      <c r="U1421" s="197"/>
      <c r="V1421" s="197"/>
      <c r="W1421" s="197"/>
      <c r="X1421" s="196"/>
      <c r="Y1421" s="196"/>
      <c r="Z1421" s="196"/>
      <c r="AA1421" s="196"/>
      <c r="AB1421" s="196"/>
      <c r="AC1421" s="197"/>
      <c r="AD1421" s="198"/>
    </row>
    <row r="1422">
      <c r="A1422" s="193"/>
      <c r="B1422" s="194"/>
      <c r="C1422" s="192"/>
      <c r="D1422" s="195"/>
      <c r="E1422" s="192"/>
      <c r="F1422" s="196"/>
      <c r="G1422" s="196"/>
      <c r="H1422" s="197"/>
      <c r="I1422" s="197"/>
      <c r="J1422" s="197"/>
      <c r="K1422" s="197"/>
      <c r="L1422" s="197"/>
      <c r="M1422" s="197"/>
      <c r="N1422" s="197"/>
      <c r="O1422" s="197"/>
      <c r="P1422" s="197"/>
      <c r="Q1422" s="197"/>
      <c r="R1422" s="197"/>
      <c r="S1422" s="197"/>
      <c r="T1422" s="197"/>
      <c r="U1422" s="197"/>
      <c r="V1422" s="197"/>
      <c r="W1422" s="197"/>
      <c r="X1422" s="196"/>
      <c r="Y1422" s="196"/>
      <c r="Z1422" s="196"/>
      <c r="AA1422" s="196"/>
      <c r="AB1422" s="196"/>
      <c r="AC1422" s="197"/>
      <c r="AD1422" s="198"/>
    </row>
    <row r="1423">
      <c r="A1423" s="193"/>
      <c r="B1423" s="194"/>
      <c r="C1423" s="192"/>
      <c r="D1423" s="195"/>
      <c r="E1423" s="192"/>
      <c r="F1423" s="196"/>
      <c r="G1423" s="196"/>
      <c r="H1423" s="197"/>
      <c r="I1423" s="197"/>
      <c r="J1423" s="197"/>
      <c r="K1423" s="197"/>
      <c r="L1423" s="197"/>
      <c r="M1423" s="197"/>
      <c r="N1423" s="197"/>
      <c r="O1423" s="197"/>
      <c r="P1423" s="197"/>
      <c r="Q1423" s="197"/>
      <c r="R1423" s="197"/>
      <c r="S1423" s="197"/>
      <c r="T1423" s="197"/>
      <c r="U1423" s="197"/>
      <c r="V1423" s="197"/>
      <c r="W1423" s="197"/>
      <c r="X1423" s="196"/>
      <c r="Y1423" s="196"/>
      <c r="Z1423" s="196"/>
      <c r="AA1423" s="196"/>
      <c r="AB1423" s="196"/>
      <c r="AC1423" s="197"/>
      <c r="AD1423" s="198"/>
    </row>
    <row r="1424">
      <c r="A1424" s="193"/>
      <c r="B1424" s="194"/>
      <c r="C1424" s="192"/>
      <c r="D1424" s="195"/>
      <c r="E1424" s="192"/>
      <c r="F1424" s="196"/>
      <c r="G1424" s="196"/>
      <c r="H1424" s="197"/>
      <c r="I1424" s="197"/>
      <c r="J1424" s="197"/>
      <c r="K1424" s="197"/>
      <c r="L1424" s="197"/>
      <c r="M1424" s="197"/>
      <c r="N1424" s="197"/>
      <c r="O1424" s="197"/>
      <c r="P1424" s="197"/>
      <c r="Q1424" s="197"/>
      <c r="R1424" s="197"/>
      <c r="S1424" s="197"/>
      <c r="T1424" s="197"/>
      <c r="U1424" s="197"/>
      <c r="V1424" s="197"/>
      <c r="W1424" s="197"/>
      <c r="X1424" s="196"/>
      <c r="Y1424" s="196"/>
      <c r="Z1424" s="196"/>
      <c r="AA1424" s="196"/>
      <c r="AB1424" s="196"/>
      <c r="AC1424" s="197"/>
      <c r="AD1424" s="198"/>
    </row>
    <row r="1425">
      <c r="A1425" s="193"/>
      <c r="B1425" s="194"/>
      <c r="C1425" s="192"/>
      <c r="D1425" s="195"/>
      <c r="E1425" s="192"/>
      <c r="F1425" s="196"/>
      <c r="G1425" s="196"/>
      <c r="H1425" s="197"/>
      <c r="I1425" s="197"/>
      <c r="J1425" s="197"/>
      <c r="K1425" s="197"/>
      <c r="L1425" s="197"/>
      <c r="M1425" s="197"/>
      <c r="N1425" s="197"/>
      <c r="O1425" s="197"/>
      <c r="P1425" s="197"/>
      <c r="Q1425" s="197"/>
      <c r="R1425" s="197"/>
      <c r="S1425" s="197"/>
      <c r="T1425" s="197"/>
      <c r="U1425" s="197"/>
      <c r="V1425" s="197"/>
      <c r="W1425" s="197"/>
      <c r="X1425" s="196"/>
      <c r="Y1425" s="196"/>
      <c r="Z1425" s="196"/>
      <c r="AA1425" s="196"/>
      <c r="AB1425" s="196"/>
      <c r="AC1425" s="197"/>
      <c r="AD1425" s="198"/>
    </row>
    <row r="1426">
      <c r="A1426" s="193"/>
      <c r="B1426" s="194"/>
      <c r="C1426" s="192"/>
      <c r="D1426" s="195"/>
      <c r="E1426" s="192"/>
      <c r="F1426" s="196"/>
      <c r="G1426" s="196"/>
      <c r="H1426" s="197"/>
      <c r="I1426" s="197"/>
      <c r="J1426" s="197"/>
      <c r="K1426" s="197"/>
      <c r="L1426" s="197"/>
      <c r="M1426" s="197"/>
      <c r="N1426" s="197"/>
      <c r="O1426" s="197"/>
      <c r="P1426" s="197"/>
      <c r="Q1426" s="197"/>
      <c r="R1426" s="197"/>
      <c r="S1426" s="197"/>
      <c r="T1426" s="197"/>
      <c r="U1426" s="197"/>
      <c r="V1426" s="197"/>
      <c r="W1426" s="197"/>
      <c r="X1426" s="196"/>
      <c r="Y1426" s="196"/>
      <c r="Z1426" s="196"/>
      <c r="AA1426" s="196"/>
      <c r="AB1426" s="196"/>
      <c r="AC1426" s="197"/>
      <c r="AD1426" s="198"/>
    </row>
    <row r="1427">
      <c r="A1427" s="193"/>
      <c r="B1427" s="194"/>
      <c r="C1427" s="192"/>
      <c r="D1427" s="195"/>
      <c r="E1427" s="192"/>
      <c r="F1427" s="196"/>
      <c r="G1427" s="196"/>
      <c r="H1427" s="197"/>
      <c r="I1427" s="197"/>
      <c r="J1427" s="197"/>
      <c r="K1427" s="197"/>
      <c r="L1427" s="197"/>
      <c r="M1427" s="197"/>
      <c r="N1427" s="197"/>
      <c r="O1427" s="197"/>
      <c r="P1427" s="197"/>
      <c r="Q1427" s="197"/>
      <c r="R1427" s="197"/>
      <c r="S1427" s="197"/>
      <c r="T1427" s="197"/>
      <c r="U1427" s="197"/>
      <c r="V1427" s="197"/>
      <c r="W1427" s="197"/>
      <c r="X1427" s="196"/>
      <c r="Y1427" s="196"/>
      <c r="Z1427" s="196"/>
      <c r="AA1427" s="196"/>
      <c r="AB1427" s="196"/>
      <c r="AC1427" s="197"/>
      <c r="AD1427" s="198"/>
    </row>
    <row r="1428">
      <c r="A1428" s="193"/>
      <c r="B1428" s="194"/>
      <c r="C1428" s="192"/>
      <c r="D1428" s="195"/>
      <c r="E1428" s="192"/>
      <c r="F1428" s="196"/>
      <c r="G1428" s="196"/>
      <c r="H1428" s="197"/>
      <c r="I1428" s="197"/>
      <c r="J1428" s="197"/>
      <c r="K1428" s="197"/>
      <c r="L1428" s="197"/>
      <c r="M1428" s="197"/>
      <c r="N1428" s="197"/>
      <c r="O1428" s="197"/>
      <c r="P1428" s="197"/>
      <c r="Q1428" s="197"/>
      <c r="R1428" s="197"/>
      <c r="S1428" s="197"/>
      <c r="T1428" s="197"/>
      <c r="U1428" s="197"/>
      <c r="V1428" s="197"/>
      <c r="W1428" s="197"/>
      <c r="X1428" s="196"/>
      <c r="Y1428" s="196"/>
      <c r="Z1428" s="196"/>
      <c r="AA1428" s="196"/>
      <c r="AB1428" s="196"/>
      <c r="AC1428" s="197"/>
      <c r="AD1428" s="198"/>
    </row>
    <row r="1429">
      <c r="A1429" s="193"/>
      <c r="B1429" s="194"/>
      <c r="C1429" s="192"/>
      <c r="D1429" s="195"/>
      <c r="E1429" s="192"/>
      <c r="F1429" s="196"/>
      <c r="G1429" s="196"/>
      <c r="H1429" s="197"/>
      <c r="I1429" s="197"/>
      <c r="J1429" s="197"/>
      <c r="K1429" s="197"/>
      <c r="L1429" s="197"/>
      <c r="M1429" s="197"/>
      <c r="N1429" s="197"/>
      <c r="O1429" s="197"/>
      <c r="P1429" s="197"/>
      <c r="Q1429" s="197"/>
      <c r="R1429" s="197"/>
      <c r="S1429" s="197"/>
      <c r="T1429" s="197"/>
      <c r="U1429" s="197"/>
      <c r="V1429" s="197"/>
      <c r="W1429" s="197"/>
      <c r="X1429" s="196"/>
      <c r="Y1429" s="196"/>
      <c r="Z1429" s="196"/>
      <c r="AA1429" s="196"/>
      <c r="AB1429" s="196"/>
      <c r="AC1429" s="197"/>
      <c r="AD1429" s="198"/>
    </row>
    <row r="1430">
      <c r="A1430" s="193"/>
      <c r="B1430" s="194"/>
      <c r="C1430" s="192"/>
      <c r="D1430" s="195"/>
      <c r="E1430" s="192"/>
      <c r="F1430" s="196"/>
      <c r="G1430" s="196"/>
      <c r="H1430" s="197"/>
      <c r="I1430" s="197"/>
      <c r="J1430" s="197"/>
      <c r="K1430" s="197"/>
      <c r="L1430" s="197"/>
      <c r="M1430" s="197"/>
      <c r="N1430" s="197"/>
      <c r="O1430" s="197"/>
      <c r="P1430" s="197"/>
      <c r="Q1430" s="197"/>
      <c r="R1430" s="197"/>
      <c r="S1430" s="197"/>
      <c r="T1430" s="197"/>
      <c r="U1430" s="197"/>
      <c r="V1430" s="197"/>
      <c r="W1430" s="197"/>
      <c r="X1430" s="196"/>
      <c r="Y1430" s="196"/>
      <c r="Z1430" s="196"/>
      <c r="AA1430" s="196"/>
      <c r="AB1430" s="196"/>
      <c r="AC1430" s="197"/>
      <c r="AD1430" s="198"/>
    </row>
    <row r="1431">
      <c r="A1431" s="193"/>
      <c r="B1431" s="194"/>
      <c r="C1431" s="192"/>
      <c r="D1431" s="195"/>
      <c r="E1431" s="192"/>
      <c r="F1431" s="196"/>
      <c r="G1431" s="196"/>
      <c r="H1431" s="197"/>
      <c r="I1431" s="197"/>
      <c r="J1431" s="197"/>
      <c r="K1431" s="197"/>
      <c r="L1431" s="197"/>
      <c r="M1431" s="197"/>
      <c r="N1431" s="197"/>
      <c r="O1431" s="197"/>
      <c r="P1431" s="197"/>
      <c r="Q1431" s="197"/>
      <c r="R1431" s="197"/>
      <c r="S1431" s="197"/>
      <c r="T1431" s="197"/>
      <c r="U1431" s="197"/>
      <c r="V1431" s="197"/>
      <c r="W1431" s="197"/>
      <c r="X1431" s="196"/>
      <c r="Y1431" s="196"/>
      <c r="Z1431" s="196"/>
      <c r="AA1431" s="196"/>
      <c r="AB1431" s="196"/>
      <c r="AC1431" s="197"/>
      <c r="AD1431" s="198"/>
    </row>
    <row r="1432">
      <c r="A1432" s="193"/>
      <c r="B1432" s="194"/>
      <c r="C1432" s="192"/>
      <c r="D1432" s="195"/>
      <c r="E1432" s="192"/>
      <c r="F1432" s="196"/>
      <c r="G1432" s="196"/>
      <c r="H1432" s="197"/>
      <c r="I1432" s="197"/>
      <c r="J1432" s="197"/>
      <c r="K1432" s="197"/>
      <c r="L1432" s="197"/>
      <c r="M1432" s="197"/>
      <c r="N1432" s="197"/>
      <c r="O1432" s="197"/>
      <c r="P1432" s="197"/>
      <c r="Q1432" s="197"/>
      <c r="R1432" s="197"/>
      <c r="S1432" s="197"/>
      <c r="T1432" s="197"/>
      <c r="U1432" s="197"/>
      <c r="V1432" s="197"/>
      <c r="W1432" s="197"/>
      <c r="X1432" s="196"/>
      <c r="Y1432" s="196"/>
      <c r="Z1432" s="196"/>
      <c r="AA1432" s="196"/>
      <c r="AB1432" s="196"/>
      <c r="AC1432" s="197"/>
      <c r="AD1432" s="198"/>
    </row>
    <row r="1433">
      <c r="A1433" s="193"/>
      <c r="B1433" s="194"/>
      <c r="C1433" s="192"/>
      <c r="D1433" s="195"/>
      <c r="E1433" s="192"/>
      <c r="F1433" s="196"/>
      <c r="G1433" s="196"/>
      <c r="H1433" s="197"/>
      <c r="I1433" s="197"/>
      <c r="J1433" s="197"/>
      <c r="K1433" s="197"/>
      <c r="L1433" s="197"/>
      <c r="M1433" s="197"/>
      <c r="N1433" s="197"/>
      <c r="O1433" s="197"/>
      <c r="P1433" s="197"/>
      <c r="Q1433" s="197"/>
      <c r="R1433" s="197"/>
      <c r="S1433" s="197"/>
      <c r="T1433" s="197"/>
      <c r="U1433" s="197"/>
      <c r="V1433" s="197"/>
      <c r="W1433" s="197"/>
      <c r="X1433" s="196"/>
      <c r="Y1433" s="196"/>
      <c r="Z1433" s="196"/>
      <c r="AA1433" s="196"/>
      <c r="AB1433" s="196"/>
      <c r="AC1433" s="197"/>
      <c r="AD1433" s="198"/>
    </row>
    <row r="1434">
      <c r="A1434" s="193"/>
      <c r="B1434" s="194"/>
      <c r="C1434" s="192"/>
      <c r="D1434" s="195"/>
      <c r="E1434" s="192"/>
      <c r="F1434" s="196"/>
      <c r="G1434" s="196"/>
      <c r="H1434" s="197"/>
      <c r="I1434" s="197"/>
      <c r="J1434" s="197"/>
      <c r="K1434" s="197"/>
      <c r="L1434" s="197"/>
      <c r="M1434" s="197"/>
      <c r="N1434" s="197"/>
      <c r="O1434" s="197"/>
      <c r="P1434" s="197"/>
      <c r="Q1434" s="197"/>
      <c r="R1434" s="197"/>
      <c r="S1434" s="197"/>
      <c r="T1434" s="197"/>
      <c r="U1434" s="197"/>
      <c r="V1434" s="197"/>
      <c r="W1434" s="197"/>
      <c r="X1434" s="196"/>
      <c r="Y1434" s="196"/>
      <c r="Z1434" s="196"/>
      <c r="AA1434" s="196"/>
      <c r="AB1434" s="196"/>
      <c r="AC1434" s="197"/>
      <c r="AD1434" s="198"/>
    </row>
    <row r="1435">
      <c r="A1435" s="193"/>
      <c r="B1435" s="194"/>
      <c r="C1435" s="192"/>
      <c r="D1435" s="195"/>
      <c r="E1435" s="192"/>
      <c r="F1435" s="196"/>
      <c r="G1435" s="196"/>
      <c r="H1435" s="197"/>
      <c r="I1435" s="197"/>
      <c r="J1435" s="197"/>
      <c r="K1435" s="197"/>
      <c r="L1435" s="197"/>
      <c r="M1435" s="197"/>
      <c r="N1435" s="197"/>
      <c r="O1435" s="197"/>
      <c r="P1435" s="197"/>
      <c r="Q1435" s="197"/>
      <c r="R1435" s="197"/>
      <c r="S1435" s="197"/>
      <c r="T1435" s="197"/>
      <c r="U1435" s="197"/>
      <c r="V1435" s="197"/>
      <c r="W1435" s="197"/>
      <c r="X1435" s="196"/>
      <c r="Y1435" s="196"/>
      <c r="Z1435" s="196"/>
      <c r="AA1435" s="196"/>
      <c r="AB1435" s="196"/>
      <c r="AC1435" s="197"/>
      <c r="AD1435" s="198"/>
    </row>
    <row r="1436">
      <c r="A1436" s="193"/>
      <c r="B1436" s="194"/>
      <c r="C1436" s="192"/>
      <c r="D1436" s="195"/>
      <c r="E1436" s="192"/>
      <c r="F1436" s="196"/>
      <c r="G1436" s="196"/>
      <c r="H1436" s="197"/>
      <c r="I1436" s="197"/>
      <c r="J1436" s="197"/>
      <c r="K1436" s="197"/>
      <c r="L1436" s="197"/>
      <c r="M1436" s="197"/>
      <c r="N1436" s="197"/>
      <c r="O1436" s="197"/>
      <c r="P1436" s="197"/>
      <c r="Q1436" s="197"/>
      <c r="R1436" s="197"/>
      <c r="S1436" s="197"/>
      <c r="T1436" s="197"/>
      <c r="U1436" s="197"/>
      <c r="V1436" s="197"/>
      <c r="W1436" s="197"/>
      <c r="X1436" s="196"/>
      <c r="Y1436" s="196"/>
      <c r="Z1436" s="196"/>
      <c r="AA1436" s="196"/>
      <c r="AB1436" s="196"/>
      <c r="AC1436" s="197"/>
      <c r="AD1436" s="198"/>
    </row>
    <row r="1437">
      <c r="A1437" s="193"/>
      <c r="B1437" s="194"/>
      <c r="C1437" s="192"/>
      <c r="D1437" s="195"/>
      <c r="E1437" s="192"/>
      <c r="F1437" s="196"/>
      <c r="G1437" s="196"/>
      <c r="H1437" s="197"/>
      <c r="I1437" s="197"/>
      <c r="J1437" s="197"/>
      <c r="K1437" s="197"/>
      <c r="L1437" s="197"/>
      <c r="M1437" s="197"/>
      <c r="N1437" s="197"/>
      <c r="O1437" s="197"/>
      <c r="P1437" s="197"/>
      <c r="Q1437" s="197"/>
      <c r="R1437" s="197"/>
      <c r="S1437" s="197"/>
      <c r="T1437" s="197"/>
      <c r="U1437" s="197"/>
      <c r="V1437" s="197"/>
      <c r="W1437" s="197"/>
      <c r="X1437" s="196"/>
      <c r="Y1437" s="196"/>
      <c r="Z1437" s="196"/>
      <c r="AA1437" s="196"/>
      <c r="AB1437" s="196"/>
      <c r="AC1437" s="197"/>
      <c r="AD1437" s="198"/>
    </row>
    <row r="1438">
      <c r="A1438" s="193"/>
      <c r="B1438" s="194"/>
      <c r="C1438" s="192"/>
      <c r="D1438" s="195"/>
      <c r="E1438" s="192"/>
      <c r="F1438" s="196"/>
      <c r="G1438" s="196"/>
      <c r="H1438" s="197"/>
      <c r="I1438" s="197"/>
      <c r="J1438" s="197"/>
      <c r="K1438" s="197"/>
      <c r="L1438" s="197"/>
      <c r="M1438" s="197"/>
      <c r="N1438" s="197"/>
      <c r="O1438" s="197"/>
      <c r="P1438" s="197"/>
      <c r="Q1438" s="197"/>
      <c r="R1438" s="197"/>
      <c r="S1438" s="197"/>
      <c r="T1438" s="197"/>
      <c r="U1438" s="197"/>
      <c r="V1438" s="197"/>
      <c r="W1438" s="197"/>
      <c r="X1438" s="196"/>
      <c r="Y1438" s="196"/>
      <c r="Z1438" s="196"/>
      <c r="AA1438" s="196"/>
      <c r="AB1438" s="196"/>
      <c r="AC1438" s="197"/>
      <c r="AD1438" s="198"/>
    </row>
    <row r="1439">
      <c r="A1439" s="193"/>
      <c r="B1439" s="194"/>
      <c r="C1439" s="192"/>
      <c r="D1439" s="195"/>
      <c r="E1439" s="192"/>
      <c r="F1439" s="196"/>
      <c r="G1439" s="196"/>
      <c r="H1439" s="197"/>
      <c r="I1439" s="197"/>
      <c r="J1439" s="197"/>
      <c r="K1439" s="197"/>
      <c r="L1439" s="197"/>
      <c r="M1439" s="197"/>
      <c r="N1439" s="197"/>
      <c r="O1439" s="197"/>
      <c r="P1439" s="197"/>
      <c r="Q1439" s="197"/>
      <c r="R1439" s="197"/>
      <c r="S1439" s="197"/>
      <c r="T1439" s="197"/>
      <c r="U1439" s="197"/>
      <c r="V1439" s="197"/>
      <c r="W1439" s="197"/>
      <c r="X1439" s="196"/>
      <c r="Y1439" s="196"/>
      <c r="Z1439" s="196"/>
      <c r="AA1439" s="196"/>
      <c r="AB1439" s="196"/>
      <c r="AC1439" s="197"/>
      <c r="AD1439" s="198"/>
    </row>
    <row r="1440">
      <c r="A1440" s="193"/>
      <c r="B1440" s="194"/>
      <c r="C1440" s="192"/>
      <c r="D1440" s="195"/>
      <c r="E1440" s="192"/>
      <c r="F1440" s="196"/>
      <c r="G1440" s="196"/>
      <c r="H1440" s="197"/>
      <c r="I1440" s="197"/>
      <c r="J1440" s="197"/>
      <c r="K1440" s="197"/>
      <c r="L1440" s="197"/>
      <c r="M1440" s="197"/>
      <c r="N1440" s="197"/>
      <c r="O1440" s="197"/>
      <c r="P1440" s="197"/>
      <c r="Q1440" s="197"/>
      <c r="R1440" s="197"/>
      <c r="S1440" s="197"/>
      <c r="T1440" s="197"/>
      <c r="U1440" s="197"/>
      <c r="V1440" s="197"/>
      <c r="W1440" s="197"/>
      <c r="X1440" s="196"/>
      <c r="Y1440" s="196"/>
      <c r="Z1440" s="196"/>
      <c r="AA1440" s="196"/>
      <c r="AB1440" s="196"/>
      <c r="AC1440" s="197"/>
      <c r="AD1440" s="198"/>
    </row>
    <row r="1441">
      <c r="A1441" s="193"/>
      <c r="B1441" s="194"/>
      <c r="C1441" s="192"/>
      <c r="D1441" s="195"/>
      <c r="E1441" s="192"/>
      <c r="F1441" s="196"/>
      <c r="G1441" s="196"/>
      <c r="H1441" s="197"/>
      <c r="I1441" s="197"/>
      <c r="J1441" s="197"/>
      <c r="K1441" s="197"/>
      <c r="L1441" s="197"/>
      <c r="M1441" s="197"/>
      <c r="N1441" s="197"/>
      <c r="O1441" s="197"/>
      <c r="P1441" s="197"/>
      <c r="Q1441" s="197"/>
      <c r="R1441" s="197"/>
      <c r="S1441" s="197"/>
      <c r="T1441" s="197"/>
      <c r="U1441" s="197"/>
      <c r="V1441" s="197"/>
      <c r="W1441" s="197"/>
      <c r="X1441" s="196"/>
      <c r="Y1441" s="196"/>
      <c r="Z1441" s="196"/>
      <c r="AA1441" s="196"/>
      <c r="AB1441" s="196"/>
      <c r="AC1441" s="197"/>
      <c r="AD1441" s="198"/>
    </row>
    <row r="1442">
      <c r="A1442" s="193"/>
      <c r="B1442" s="194"/>
      <c r="C1442" s="192"/>
      <c r="D1442" s="195"/>
      <c r="E1442" s="192"/>
      <c r="F1442" s="196"/>
      <c r="G1442" s="196"/>
      <c r="H1442" s="197"/>
      <c r="I1442" s="197"/>
      <c r="J1442" s="197"/>
      <c r="K1442" s="197"/>
      <c r="L1442" s="197"/>
      <c r="M1442" s="197"/>
      <c r="N1442" s="197"/>
      <c r="O1442" s="197"/>
      <c r="P1442" s="197"/>
      <c r="Q1442" s="197"/>
      <c r="R1442" s="197"/>
      <c r="S1442" s="197"/>
      <c r="T1442" s="197"/>
      <c r="U1442" s="197"/>
      <c r="V1442" s="197"/>
      <c r="W1442" s="197"/>
      <c r="X1442" s="196"/>
      <c r="Y1442" s="196"/>
      <c r="Z1442" s="196"/>
      <c r="AA1442" s="196"/>
      <c r="AB1442" s="196"/>
      <c r="AC1442" s="197"/>
      <c r="AD1442" s="198"/>
    </row>
    <row r="1443">
      <c r="A1443" s="193"/>
      <c r="B1443" s="194"/>
      <c r="C1443" s="192"/>
      <c r="D1443" s="195"/>
      <c r="E1443" s="192"/>
      <c r="F1443" s="196"/>
      <c r="G1443" s="196"/>
      <c r="H1443" s="197"/>
      <c r="I1443" s="197"/>
      <c r="J1443" s="197"/>
      <c r="K1443" s="197"/>
      <c r="L1443" s="197"/>
      <c r="M1443" s="197"/>
      <c r="N1443" s="197"/>
      <c r="O1443" s="197"/>
      <c r="P1443" s="197"/>
      <c r="Q1443" s="197"/>
      <c r="R1443" s="197"/>
      <c r="S1443" s="197"/>
      <c r="T1443" s="197"/>
      <c r="U1443" s="197"/>
      <c r="V1443" s="197"/>
      <c r="W1443" s="197"/>
      <c r="X1443" s="196"/>
      <c r="Y1443" s="196"/>
      <c r="Z1443" s="196"/>
      <c r="AA1443" s="196"/>
      <c r="AB1443" s="196"/>
      <c r="AC1443" s="197"/>
      <c r="AD1443" s="198"/>
    </row>
    <row r="1444">
      <c r="A1444" s="193"/>
      <c r="B1444" s="194"/>
      <c r="C1444" s="192"/>
      <c r="D1444" s="195"/>
      <c r="E1444" s="192"/>
      <c r="F1444" s="196"/>
      <c r="G1444" s="196"/>
      <c r="H1444" s="197"/>
      <c r="I1444" s="197"/>
      <c r="J1444" s="197"/>
      <c r="K1444" s="197"/>
      <c r="L1444" s="197"/>
      <c r="M1444" s="197"/>
      <c r="N1444" s="197"/>
      <c r="O1444" s="197"/>
      <c r="P1444" s="197"/>
      <c r="Q1444" s="197"/>
      <c r="R1444" s="197"/>
      <c r="S1444" s="197"/>
      <c r="T1444" s="197"/>
      <c r="U1444" s="197"/>
      <c r="V1444" s="197"/>
      <c r="W1444" s="197"/>
      <c r="X1444" s="196"/>
      <c r="Y1444" s="196"/>
      <c r="Z1444" s="196"/>
      <c r="AA1444" s="196"/>
      <c r="AB1444" s="196"/>
      <c r="AC1444" s="197"/>
      <c r="AD1444" s="198"/>
    </row>
    <row r="1445">
      <c r="A1445" s="193"/>
      <c r="B1445" s="194"/>
      <c r="C1445" s="192"/>
      <c r="D1445" s="195"/>
      <c r="E1445" s="192"/>
      <c r="F1445" s="196"/>
      <c r="G1445" s="196"/>
      <c r="H1445" s="197"/>
      <c r="I1445" s="197"/>
      <c r="J1445" s="197"/>
      <c r="K1445" s="197"/>
      <c r="L1445" s="197"/>
      <c r="M1445" s="197"/>
      <c r="N1445" s="197"/>
      <c r="O1445" s="197"/>
      <c r="P1445" s="197"/>
      <c r="Q1445" s="197"/>
      <c r="R1445" s="197"/>
      <c r="S1445" s="197"/>
      <c r="T1445" s="197"/>
      <c r="U1445" s="197"/>
      <c r="V1445" s="197"/>
      <c r="W1445" s="197"/>
      <c r="X1445" s="196"/>
      <c r="Y1445" s="196"/>
      <c r="Z1445" s="196"/>
      <c r="AA1445" s="196"/>
      <c r="AB1445" s="196"/>
      <c r="AC1445" s="197"/>
      <c r="AD1445" s="198"/>
    </row>
    <row r="1446">
      <c r="A1446" s="193"/>
      <c r="B1446" s="194"/>
      <c r="C1446" s="192"/>
      <c r="D1446" s="195"/>
      <c r="E1446" s="192"/>
      <c r="F1446" s="196"/>
      <c r="G1446" s="196"/>
      <c r="H1446" s="197"/>
      <c r="I1446" s="197"/>
      <c r="J1446" s="197"/>
      <c r="K1446" s="197"/>
      <c r="L1446" s="197"/>
      <c r="M1446" s="197"/>
      <c r="N1446" s="197"/>
      <c r="O1446" s="197"/>
      <c r="P1446" s="197"/>
      <c r="Q1446" s="197"/>
      <c r="R1446" s="197"/>
      <c r="S1446" s="197"/>
      <c r="T1446" s="197"/>
      <c r="U1446" s="197"/>
      <c r="V1446" s="197"/>
      <c r="W1446" s="197"/>
      <c r="X1446" s="196"/>
      <c r="Y1446" s="196"/>
      <c r="Z1446" s="196"/>
      <c r="AA1446" s="196"/>
      <c r="AB1446" s="196"/>
      <c r="AC1446" s="197"/>
      <c r="AD1446" s="198"/>
    </row>
    <row r="1447">
      <c r="A1447" s="193"/>
      <c r="B1447" s="194"/>
      <c r="C1447" s="192"/>
      <c r="D1447" s="195"/>
      <c r="E1447" s="192"/>
      <c r="F1447" s="196"/>
      <c r="G1447" s="196"/>
      <c r="H1447" s="197"/>
      <c r="I1447" s="197"/>
      <c r="J1447" s="197"/>
      <c r="K1447" s="197"/>
      <c r="L1447" s="197"/>
      <c r="M1447" s="197"/>
      <c r="N1447" s="197"/>
      <c r="O1447" s="197"/>
      <c r="P1447" s="197"/>
      <c r="Q1447" s="197"/>
      <c r="R1447" s="197"/>
      <c r="S1447" s="197"/>
      <c r="T1447" s="197"/>
      <c r="U1447" s="197"/>
      <c r="V1447" s="197"/>
      <c r="W1447" s="197"/>
      <c r="X1447" s="196"/>
      <c r="Y1447" s="196"/>
      <c r="Z1447" s="196"/>
      <c r="AA1447" s="196"/>
      <c r="AB1447" s="196"/>
      <c r="AC1447" s="197"/>
      <c r="AD1447" s="198"/>
    </row>
    <row r="1448">
      <c r="A1448" s="193"/>
      <c r="B1448" s="194"/>
      <c r="C1448" s="192"/>
      <c r="D1448" s="195"/>
      <c r="E1448" s="192"/>
      <c r="F1448" s="196"/>
      <c r="G1448" s="196"/>
      <c r="H1448" s="197"/>
      <c r="I1448" s="197"/>
      <c r="J1448" s="197"/>
      <c r="K1448" s="197"/>
      <c r="L1448" s="197"/>
      <c r="M1448" s="197"/>
      <c r="N1448" s="197"/>
      <c r="O1448" s="197"/>
      <c r="P1448" s="197"/>
      <c r="Q1448" s="197"/>
      <c r="R1448" s="197"/>
      <c r="S1448" s="197"/>
      <c r="T1448" s="197"/>
      <c r="U1448" s="197"/>
      <c r="V1448" s="197"/>
      <c r="W1448" s="197"/>
      <c r="X1448" s="196"/>
      <c r="Y1448" s="196"/>
      <c r="Z1448" s="196"/>
      <c r="AA1448" s="196"/>
      <c r="AB1448" s="196"/>
      <c r="AC1448" s="197"/>
      <c r="AD1448" s="198"/>
    </row>
    <row r="1449">
      <c r="A1449" s="193"/>
      <c r="B1449" s="194"/>
      <c r="C1449" s="192"/>
      <c r="D1449" s="195"/>
      <c r="E1449" s="192"/>
      <c r="F1449" s="196"/>
      <c r="G1449" s="196"/>
      <c r="H1449" s="197"/>
      <c r="I1449" s="197"/>
      <c r="J1449" s="197"/>
      <c r="K1449" s="197"/>
      <c r="L1449" s="197"/>
      <c r="M1449" s="197"/>
      <c r="N1449" s="197"/>
      <c r="O1449" s="197"/>
      <c r="P1449" s="197"/>
      <c r="Q1449" s="197"/>
      <c r="R1449" s="197"/>
      <c r="S1449" s="197"/>
      <c r="T1449" s="197"/>
      <c r="U1449" s="197"/>
      <c r="V1449" s="197"/>
      <c r="W1449" s="197"/>
      <c r="X1449" s="196"/>
      <c r="Y1449" s="196"/>
      <c r="Z1449" s="196"/>
      <c r="AA1449" s="196"/>
      <c r="AB1449" s="196"/>
      <c r="AC1449" s="197"/>
      <c r="AD1449" s="198"/>
    </row>
    <row r="1450">
      <c r="A1450" s="193"/>
      <c r="B1450" s="194"/>
      <c r="C1450" s="192"/>
      <c r="D1450" s="195"/>
      <c r="E1450" s="192"/>
      <c r="F1450" s="196"/>
      <c r="G1450" s="196"/>
      <c r="H1450" s="197"/>
      <c r="I1450" s="197"/>
      <c r="J1450" s="197"/>
      <c r="K1450" s="197"/>
      <c r="L1450" s="197"/>
      <c r="M1450" s="197"/>
      <c r="N1450" s="197"/>
      <c r="O1450" s="197"/>
      <c r="P1450" s="197"/>
      <c r="Q1450" s="197"/>
      <c r="R1450" s="197"/>
      <c r="S1450" s="197"/>
      <c r="T1450" s="197"/>
      <c r="U1450" s="197"/>
      <c r="V1450" s="197"/>
      <c r="W1450" s="197"/>
      <c r="X1450" s="196"/>
      <c r="Y1450" s="196"/>
      <c r="Z1450" s="196"/>
      <c r="AA1450" s="196"/>
      <c r="AB1450" s="196"/>
      <c r="AC1450" s="197"/>
      <c r="AD1450" s="198"/>
    </row>
    <row r="1451">
      <c r="A1451" s="193"/>
      <c r="B1451" s="194"/>
      <c r="C1451" s="192"/>
      <c r="D1451" s="195"/>
      <c r="E1451" s="192"/>
      <c r="F1451" s="196"/>
      <c r="G1451" s="196"/>
      <c r="H1451" s="197"/>
      <c r="I1451" s="197"/>
      <c r="J1451" s="197"/>
      <c r="K1451" s="197"/>
      <c r="L1451" s="197"/>
      <c r="M1451" s="197"/>
      <c r="N1451" s="197"/>
      <c r="O1451" s="197"/>
      <c r="P1451" s="197"/>
      <c r="Q1451" s="197"/>
      <c r="R1451" s="197"/>
      <c r="S1451" s="197"/>
      <c r="T1451" s="197"/>
      <c r="U1451" s="197"/>
      <c r="V1451" s="197"/>
      <c r="W1451" s="197"/>
      <c r="X1451" s="196"/>
      <c r="Y1451" s="196"/>
      <c r="Z1451" s="196"/>
      <c r="AA1451" s="196"/>
      <c r="AB1451" s="196"/>
      <c r="AC1451" s="197"/>
      <c r="AD1451" s="198"/>
    </row>
    <row r="1452">
      <c r="A1452" s="193"/>
      <c r="B1452" s="194"/>
      <c r="C1452" s="192"/>
      <c r="D1452" s="195"/>
      <c r="E1452" s="192"/>
      <c r="F1452" s="196"/>
      <c r="G1452" s="196"/>
      <c r="H1452" s="197"/>
      <c r="I1452" s="197"/>
      <c r="J1452" s="197"/>
      <c r="K1452" s="197"/>
      <c r="L1452" s="197"/>
      <c r="M1452" s="197"/>
      <c r="N1452" s="197"/>
      <c r="O1452" s="197"/>
      <c r="P1452" s="197"/>
      <c r="Q1452" s="197"/>
      <c r="R1452" s="197"/>
      <c r="S1452" s="197"/>
      <c r="T1452" s="197"/>
      <c r="U1452" s="197"/>
      <c r="V1452" s="197"/>
      <c r="W1452" s="197"/>
      <c r="X1452" s="196"/>
      <c r="Y1452" s="196"/>
      <c r="Z1452" s="196"/>
      <c r="AA1452" s="196"/>
      <c r="AB1452" s="196"/>
      <c r="AC1452" s="197"/>
      <c r="AD1452" s="198"/>
    </row>
    <row r="1453">
      <c r="A1453" s="193"/>
      <c r="B1453" s="194"/>
      <c r="C1453" s="192"/>
      <c r="D1453" s="195"/>
      <c r="E1453" s="192"/>
      <c r="F1453" s="196"/>
      <c r="G1453" s="196"/>
      <c r="H1453" s="197"/>
      <c r="I1453" s="197"/>
      <c r="J1453" s="197"/>
      <c r="K1453" s="197"/>
      <c r="L1453" s="197"/>
      <c r="M1453" s="197"/>
      <c r="N1453" s="197"/>
      <c r="O1453" s="197"/>
      <c r="P1453" s="197"/>
      <c r="Q1453" s="197"/>
      <c r="R1453" s="197"/>
      <c r="S1453" s="197"/>
      <c r="T1453" s="197"/>
      <c r="U1453" s="197"/>
      <c r="V1453" s="197"/>
      <c r="W1453" s="197"/>
      <c r="X1453" s="196"/>
      <c r="Y1453" s="196"/>
      <c r="Z1453" s="196"/>
      <c r="AA1453" s="196"/>
      <c r="AB1453" s="196"/>
      <c r="AC1453" s="197"/>
      <c r="AD1453" s="198"/>
    </row>
    <row r="1454">
      <c r="A1454" s="193"/>
      <c r="B1454" s="194"/>
      <c r="C1454" s="192"/>
      <c r="D1454" s="195"/>
      <c r="E1454" s="192"/>
      <c r="F1454" s="196"/>
      <c r="G1454" s="196"/>
      <c r="H1454" s="197"/>
      <c r="I1454" s="197"/>
      <c r="J1454" s="197"/>
      <c r="K1454" s="197"/>
      <c r="L1454" s="197"/>
      <c r="M1454" s="197"/>
      <c r="N1454" s="197"/>
      <c r="O1454" s="197"/>
      <c r="P1454" s="197"/>
      <c r="Q1454" s="197"/>
      <c r="R1454" s="197"/>
      <c r="S1454" s="197"/>
      <c r="T1454" s="197"/>
      <c r="U1454" s="197"/>
      <c r="V1454" s="197"/>
      <c r="W1454" s="197"/>
      <c r="X1454" s="196"/>
      <c r="Y1454" s="196"/>
      <c r="Z1454" s="196"/>
      <c r="AA1454" s="196"/>
      <c r="AB1454" s="196"/>
      <c r="AC1454" s="197"/>
      <c r="AD1454" s="198"/>
    </row>
    <row r="1455">
      <c r="A1455" s="193"/>
      <c r="B1455" s="194"/>
      <c r="C1455" s="192"/>
      <c r="D1455" s="195"/>
      <c r="E1455" s="192"/>
      <c r="F1455" s="196"/>
      <c r="G1455" s="196"/>
      <c r="H1455" s="197"/>
      <c r="I1455" s="197"/>
      <c r="J1455" s="197"/>
      <c r="K1455" s="197"/>
      <c r="L1455" s="197"/>
      <c r="M1455" s="197"/>
      <c r="N1455" s="197"/>
      <c r="O1455" s="197"/>
      <c r="P1455" s="197"/>
      <c r="Q1455" s="197"/>
      <c r="R1455" s="197"/>
      <c r="S1455" s="197"/>
      <c r="T1455" s="197"/>
      <c r="U1455" s="197"/>
      <c r="V1455" s="197"/>
      <c r="W1455" s="197"/>
      <c r="X1455" s="196"/>
      <c r="Y1455" s="196"/>
      <c r="Z1455" s="196"/>
      <c r="AA1455" s="196"/>
      <c r="AB1455" s="196"/>
      <c r="AC1455" s="197"/>
      <c r="AD1455" s="198"/>
    </row>
    <row r="1456">
      <c r="A1456" s="193"/>
      <c r="B1456" s="194"/>
      <c r="C1456" s="192"/>
      <c r="D1456" s="195"/>
      <c r="E1456" s="192"/>
      <c r="F1456" s="196"/>
      <c r="G1456" s="196"/>
      <c r="H1456" s="197"/>
      <c r="I1456" s="197"/>
      <c r="J1456" s="197"/>
      <c r="K1456" s="197"/>
      <c r="L1456" s="197"/>
      <c r="M1456" s="197"/>
      <c r="N1456" s="197"/>
      <c r="O1456" s="197"/>
      <c r="P1456" s="197"/>
      <c r="Q1456" s="197"/>
      <c r="R1456" s="197"/>
      <c r="S1456" s="197"/>
      <c r="T1456" s="197"/>
      <c r="U1456" s="197"/>
      <c r="V1456" s="197"/>
      <c r="W1456" s="197"/>
      <c r="X1456" s="196"/>
      <c r="Y1456" s="196"/>
      <c r="Z1456" s="196"/>
      <c r="AA1456" s="196"/>
      <c r="AB1456" s="196"/>
      <c r="AC1456" s="197"/>
      <c r="AD1456" s="198"/>
    </row>
    <row r="1457">
      <c r="A1457" s="193"/>
      <c r="B1457" s="194"/>
      <c r="C1457" s="192"/>
      <c r="D1457" s="195"/>
      <c r="E1457" s="192"/>
      <c r="F1457" s="196"/>
      <c r="G1457" s="196"/>
      <c r="H1457" s="197"/>
      <c r="I1457" s="197"/>
      <c r="J1457" s="197"/>
      <c r="K1457" s="197"/>
      <c r="L1457" s="197"/>
      <c r="M1457" s="197"/>
      <c r="N1457" s="197"/>
      <c r="O1457" s="197"/>
      <c r="P1457" s="197"/>
      <c r="Q1457" s="197"/>
      <c r="R1457" s="197"/>
      <c r="S1457" s="197"/>
      <c r="T1457" s="197"/>
      <c r="U1457" s="197"/>
      <c r="V1457" s="197"/>
      <c r="W1457" s="197"/>
      <c r="X1457" s="196"/>
      <c r="Y1457" s="196"/>
      <c r="Z1457" s="196"/>
      <c r="AA1457" s="196"/>
      <c r="AB1457" s="196"/>
      <c r="AC1457" s="197"/>
      <c r="AD1457" s="198"/>
    </row>
    <row r="1458">
      <c r="A1458" s="193"/>
      <c r="B1458" s="194"/>
      <c r="C1458" s="192"/>
      <c r="D1458" s="195"/>
      <c r="E1458" s="192"/>
      <c r="F1458" s="196"/>
      <c r="G1458" s="196"/>
      <c r="H1458" s="197"/>
      <c r="I1458" s="197"/>
      <c r="J1458" s="197"/>
      <c r="K1458" s="197"/>
      <c r="L1458" s="197"/>
      <c r="M1458" s="197"/>
      <c r="N1458" s="197"/>
      <c r="O1458" s="197"/>
      <c r="P1458" s="197"/>
      <c r="Q1458" s="197"/>
      <c r="R1458" s="197"/>
      <c r="S1458" s="197"/>
      <c r="T1458" s="197"/>
      <c r="U1458" s="197"/>
      <c r="V1458" s="197"/>
      <c r="W1458" s="197"/>
      <c r="X1458" s="196"/>
      <c r="Y1458" s="196"/>
      <c r="Z1458" s="196"/>
      <c r="AA1458" s="196"/>
      <c r="AB1458" s="196"/>
      <c r="AC1458" s="197"/>
      <c r="AD1458" s="198"/>
    </row>
    <row r="1459">
      <c r="A1459" s="193"/>
      <c r="B1459" s="194"/>
      <c r="C1459" s="192"/>
      <c r="D1459" s="195"/>
      <c r="E1459" s="192"/>
      <c r="F1459" s="196"/>
      <c r="G1459" s="196"/>
      <c r="H1459" s="197"/>
      <c r="I1459" s="197"/>
      <c r="J1459" s="197"/>
      <c r="K1459" s="197"/>
      <c r="L1459" s="197"/>
      <c r="M1459" s="197"/>
      <c r="N1459" s="197"/>
      <c r="O1459" s="197"/>
      <c r="P1459" s="197"/>
      <c r="Q1459" s="197"/>
      <c r="R1459" s="197"/>
      <c r="S1459" s="197"/>
      <c r="T1459" s="197"/>
      <c r="U1459" s="197"/>
      <c r="V1459" s="197"/>
      <c r="W1459" s="197"/>
      <c r="X1459" s="196"/>
      <c r="Y1459" s="196"/>
      <c r="Z1459" s="196"/>
      <c r="AA1459" s="196"/>
      <c r="AB1459" s="196"/>
      <c r="AC1459" s="197"/>
      <c r="AD1459" s="198"/>
    </row>
    <row r="1460">
      <c r="A1460" s="193"/>
      <c r="B1460" s="194"/>
      <c r="C1460" s="192"/>
      <c r="D1460" s="195"/>
      <c r="E1460" s="192"/>
      <c r="F1460" s="196"/>
      <c r="G1460" s="196"/>
      <c r="H1460" s="197"/>
      <c r="I1460" s="197"/>
      <c r="J1460" s="197"/>
      <c r="K1460" s="197"/>
      <c r="L1460" s="197"/>
      <c r="M1460" s="197"/>
      <c r="N1460" s="197"/>
      <c r="O1460" s="197"/>
      <c r="P1460" s="197"/>
      <c r="Q1460" s="197"/>
      <c r="R1460" s="197"/>
      <c r="S1460" s="197"/>
      <c r="T1460" s="197"/>
      <c r="U1460" s="197"/>
      <c r="V1460" s="197"/>
      <c r="W1460" s="197"/>
      <c r="X1460" s="196"/>
      <c r="Y1460" s="196"/>
      <c r="Z1460" s="196"/>
      <c r="AA1460" s="196"/>
      <c r="AB1460" s="196"/>
      <c r="AC1460" s="197"/>
      <c r="AD1460" s="198"/>
    </row>
    <row r="1461">
      <c r="A1461" s="193"/>
      <c r="B1461" s="194"/>
      <c r="C1461" s="192"/>
      <c r="D1461" s="195"/>
      <c r="E1461" s="192"/>
      <c r="F1461" s="196"/>
      <c r="G1461" s="196"/>
      <c r="H1461" s="197"/>
      <c r="I1461" s="197"/>
      <c r="J1461" s="197"/>
      <c r="K1461" s="197"/>
      <c r="L1461" s="197"/>
      <c r="M1461" s="197"/>
      <c r="N1461" s="197"/>
      <c r="O1461" s="197"/>
      <c r="P1461" s="197"/>
      <c r="Q1461" s="197"/>
      <c r="R1461" s="197"/>
      <c r="S1461" s="197"/>
      <c r="T1461" s="197"/>
      <c r="U1461" s="197"/>
      <c r="V1461" s="197"/>
      <c r="W1461" s="197"/>
      <c r="X1461" s="196"/>
      <c r="Y1461" s="196"/>
      <c r="Z1461" s="196"/>
      <c r="AA1461" s="196"/>
      <c r="AB1461" s="196"/>
      <c r="AC1461" s="197"/>
      <c r="AD1461" s="198"/>
    </row>
    <row r="1462">
      <c r="A1462" s="193"/>
      <c r="B1462" s="194"/>
      <c r="C1462" s="192"/>
      <c r="D1462" s="195"/>
      <c r="E1462" s="192"/>
      <c r="F1462" s="196"/>
      <c r="G1462" s="196"/>
      <c r="H1462" s="197"/>
      <c r="I1462" s="197"/>
      <c r="J1462" s="197"/>
      <c r="K1462" s="197"/>
      <c r="L1462" s="197"/>
      <c r="M1462" s="197"/>
      <c r="N1462" s="197"/>
      <c r="O1462" s="197"/>
      <c r="P1462" s="197"/>
      <c r="Q1462" s="197"/>
      <c r="R1462" s="197"/>
      <c r="S1462" s="197"/>
      <c r="T1462" s="197"/>
      <c r="U1462" s="197"/>
      <c r="V1462" s="197"/>
      <c r="W1462" s="197"/>
      <c r="X1462" s="196"/>
      <c r="Y1462" s="196"/>
      <c r="Z1462" s="196"/>
      <c r="AA1462" s="196"/>
      <c r="AB1462" s="196"/>
      <c r="AC1462" s="197"/>
      <c r="AD1462" s="198"/>
    </row>
    <row r="1463">
      <c r="A1463" s="193"/>
      <c r="B1463" s="194"/>
      <c r="C1463" s="192"/>
      <c r="D1463" s="195"/>
      <c r="E1463" s="192"/>
      <c r="F1463" s="196"/>
      <c r="G1463" s="196"/>
      <c r="H1463" s="197"/>
      <c r="I1463" s="197"/>
      <c r="J1463" s="197"/>
      <c r="K1463" s="197"/>
      <c r="L1463" s="197"/>
      <c r="M1463" s="197"/>
      <c r="N1463" s="197"/>
      <c r="O1463" s="197"/>
      <c r="P1463" s="197"/>
      <c r="Q1463" s="197"/>
      <c r="R1463" s="197"/>
      <c r="S1463" s="197"/>
      <c r="T1463" s="197"/>
      <c r="U1463" s="197"/>
      <c r="V1463" s="197"/>
      <c r="W1463" s="197"/>
      <c r="X1463" s="196"/>
      <c r="Y1463" s="196"/>
      <c r="Z1463" s="196"/>
      <c r="AA1463" s="196"/>
      <c r="AB1463" s="196"/>
      <c r="AC1463" s="197"/>
      <c r="AD1463" s="198"/>
    </row>
    <row r="1464">
      <c r="A1464" s="193"/>
      <c r="B1464" s="194"/>
      <c r="C1464" s="192"/>
      <c r="D1464" s="195"/>
      <c r="E1464" s="192"/>
      <c r="F1464" s="196"/>
      <c r="G1464" s="196"/>
      <c r="H1464" s="197"/>
      <c r="I1464" s="197"/>
      <c r="J1464" s="197"/>
      <c r="K1464" s="197"/>
      <c r="L1464" s="197"/>
      <c r="M1464" s="197"/>
      <c r="N1464" s="197"/>
      <c r="O1464" s="197"/>
      <c r="P1464" s="197"/>
      <c r="Q1464" s="197"/>
      <c r="R1464" s="197"/>
      <c r="S1464" s="197"/>
      <c r="T1464" s="197"/>
      <c r="U1464" s="197"/>
      <c r="V1464" s="197"/>
      <c r="W1464" s="197"/>
      <c r="X1464" s="196"/>
      <c r="Y1464" s="196"/>
      <c r="Z1464" s="196"/>
      <c r="AA1464" s="196"/>
      <c r="AB1464" s="196"/>
      <c r="AC1464" s="197"/>
      <c r="AD1464" s="198"/>
    </row>
    <row r="1465">
      <c r="A1465" s="193"/>
      <c r="B1465" s="194"/>
      <c r="C1465" s="192"/>
      <c r="D1465" s="195"/>
      <c r="E1465" s="192"/>
      <c r="F1465" s="196"/>
      <c r="G1465" s="196"/>
      <c r="H1465" s="197"/>
      <c r="I1465" s="197"/>
      <c r="J1465" s="197"/>
      <c r="K1465" s="197"/>
      <c r="L1465" s="197"/>
      <c r="M1465" s="197"/>
      <c r="N1465" s="197"/>
      <c r="O1465" s="197"/>
      <c r="P1465" s="197"/>
      <c r="Q1465" s="197"/>
      <c r="R1465" s="197"/>
      <c r="S1465" s="197"/>
      <c r="T1465" s="197"/>
      <c r="U1465" s="197"/>
      <c r="V1465" s="197"/>
      <c r="W1465" s="197"/>
      <c r="X1465" s="196"/>
      <c r="Y1465" s="196"/>
      <c r="Z1465" s="196"/>
      <c r="AA1465" s="196"/>
      <c r="AB1465" s="196"/>
      <c r="AC1465" s="197"/>
      <c r="AD1465" s="198"/>
    </row>
    <row r="1466">
      <c r="A1466" s="193"/>
      <c r="B1466" s="194"/>
      <c r="C1466" s="192"/>
      <c r="D1466" s="195"/>
      <c r="E1466" s="192"/>
      <c r="F1466" s="196"/>
      <c r="G1466" s="196"/>
      <c r="H1466" s="197"/>
      <c r="I1466" s="197"/>
      <c r="J1466" s="197"/>
      <c r="K1466" s="197"/>
      <c r="L1466" s="197"/>
      <c r="M1466" s="197"/>
      <c r="N1466" s="197"/>
      <c r="O1466" s="197"/>
      <c r="P1466" s="197"/>
      <c r="Q1466" s="197"/>
      <c r="R1466" s="197"/>
      <c r="S1466" s="197"/>
      <c r="T1466" s="197"/>
      <c r="U1466" s="197"/>
      <c r="V1466" s="197"/>
      <c r="W1466" s="197"/>
      <c r="X1466" s="196"/>
      <c r="Y1466" s="196"/>
      <c r="Z1466" s="196"/>
      <c r="AA1466" s="196"/>
      <c r="AB1466" s="196"/>
      <c r="AC1466" s="197"/>
      <c r="AD1466" s="198"/>
    </row>
    <row r="1467">
      <c r="A1467" s="193"/>
      <c r="B1467" s="194"/>
      <c r="C1467" s="192"/>
      <c r="D1467" s="195"/>
      <c r="E1467" s="192"/>
      <c r="F1467" s="196"/>
      <c r="G1467" s="196"/>
      <c r="H1467" s="197"/>
      <c r="I1467" s="197"/>
      <c r="J1467" s="197"/>
      <c r="K1467" s="197"/>
      <c r="L1467" s="197"/>
      <c r="M1467" s="197"/>
      <c r="N1467" s="197"/>
      <c r="O1467" s="197"/>
      <c r="P1467" s="197"/>
      <c r="Q1467" s="197"/>
      <c r="R1467" s="197"/>
      <c r="S1467" s="197"/>
      <c r="T1467" s="197"/>
      <c r="U1467" s="197"/>
      <c r="V1467" s="197"/>
      <c r="W1467" s="197"/>
      <c r="X1467" s="196"/>
      <c r="Y1467" s="196"/>
      <c r="Z1467" s="196"/>
      <c r="AA1467" s="196"/>
      <c r="AB1467" s="196"/>
      <c r="AC1467" s="197"/>
      <c r="AD1467" s="198"/>
    </row>
    <row r="1468">
      <c r="A1468" s="193"/>
      <c r="B1468" s="194"/>
      <c r="C1468" s="192"/>
      <c r="D1468" s="195"/>
      <c r="E1468" s="192"/>
      <c r="F1468" s="196"/>
      <c r="G1468" s="196"/>
      <c r="H1468" s="197"/>
      <c r="I1468" s="197"/>
      <c r="J1468" s="197"/>
      <c r="K1468" s="197"/>
      <c r="L1468" s="197"/>
      <c r="M1468" s="197"/>
      <c r="N1468" s="197"/>
      <c r="O1468" s="197"/>
      <c r="P1468" s="197"/>
      <c r="Q1468" s="197"/>
      <c r="R1468" s="197"/>
      <c r="S1468" s="197"/>
      <c r="T1468" s="197"/>
      <c r="U1468" s="197"/>
      <c r="V1468" s="197"/>
      <c r="W1468" s="197"/>
      <c r="X1468" s="196"/>
      <c r="Y1468" s="196"/>
      <c r="Z1468" s="196"/>
      <c r="AA1468" s="196"/>
      <c r="AB1468" s="196"/>
      <c r="AC1468" s="197"/>
      <c r="AD1468" s="198"/>
    </row>
    <row r="1469">
      <c r="A1469" s="193"/>
      <c r="B1469" s="194"/>
      <c r="C1469" s="192"/>
      <c r="D1469" s="195"/>
      <c r="E1469" s="192"/>
      <c r="F1469" s="196"/>
      <c r="G1469" s="196"/>
      <c r="H1469" s="197"/>
      <c r="I1469" s="197"/>
      <c r="J1469" s="197"/>
      <c r="K1469" s="197"/>
      <c r="L1469" s="197"/>
      <c r="M1469" s="197"/>
      <c r="N1469" s="197"/>
      <c r="O1469" s="197"/>
      <c r="P1469" s="197"/>
      <c r="Q1469" s="197"/>
      <c r="R1469" s="197"/>
      <c r="S1469" s="197"/>
      <c r="T1469" s="197"/>
      <c r="U1469" s="197"/>
      <c r="V1469" s="197"/>
      <c r="W1469" s="197"/>
      <c r="X1469" s="196"/>
      <c r="Y1469" s="196"/>
      <c r="Z1469" s="196"/>
      <c r="AA1469" s="196"/>
      <c r="AB1469" s="196"/>
      <c r="AC1469" s="197"/>
      <c r="AD1469" s="198"/>
    </row>
    <row r="1470">
      <c r="A1470" s="193"/>
      <c r="B1470" s="194"/>
      <c r="C1470" s="192"/>
      <c r="D1470" s="195"/>
      <c r="E1470" s="192"/>
      <c r="F1470" s="196"/>
      <c r="G1470" s="196"/>
      <c r="H1470" s="197"/>
      <c r="I1470" s="197"/>
      <c r="J1470" s="197"/>
      <c r="K1470" s="197"/>
      <c r="L1470" s="197"/>
      <c r="M1470" s="197"/>
      <c r="N1470" s="197"/>
      <c r="O1470" s="197"/>
      <c r="P1470" s="197"/>
      <c r="Q1470" s="197"/>
      <c r="R1470" s="197"/>
      <c r="S1470" s="197"/>
      <c r="T1470" s="197"/>
      <c r="U1470" s="197"/>
      <c r="V1470" s="197"/>
      <c r="W1470" s="197"/>
      <c r="X1470" s="196"/>
      <c r="Y1470" s="196"/>
      <c r="Z1470" s="196"/>
      <c r="AA1470" s="196"/>
      <c r="AB1470" s="196"/>
      <c r="AC1470" s="197"/>
      <c r="AD1470" s="198"/>
    </row>
    <row r="1471">
      <c r="A1471" s="193"/>
      <c r="B1471" s="194"/>
      <c r="C1471" s="192"/>
      <c r="D1471" s="195"/>
      <c r="E1471" s="192"/>
      <c r="F1471" s="196"/>
      <c r="G1471" s="196"/>
      <c r="H1471" s="197"/>
      <c r="I1471" s="197"/>
      <c r="J1471" s="197"/>
      <c r="K1471" s="197"/>
      <c r="L1471" s="197"/>
      <c r="M1471" s="197"/>
      <c r="N1471" s="197"/>
      <c r="O1471" s="197"/>
      <c r="P1471" s="197"/>
      <c r="Q1471" s="197"/>
      <c r="R1471" s="197"/>
      <c r="S1471" s="197"/>
      <c r="T1471" s="197"/>
      <c r="U1471" s="197"/>
      <c r="V1471" s="197"/>
      <c r="W1471" s="197"/>
      <c r="X1471" s="196"/>
      <c r="Y1471" s="196"/>
      <c r="Z1471" s="196"/>
      <c r="AA1471" s="196"/>
      <c r="AB1471" s="196"/>
      <c r="AC1471" s="197"/>
      <c r="AD1471" s="198"/>
    </row>
    <row r="1472">
      <c r="A1472" s="193"/>
      <c r="B1472" s="194"/>
      <c r="C1472" s="192"/>
      <c r="D1472" s="195"/>
      <c r="E1472" s="192"/>
      <c r="F1472" s="196"/>
      <c r="G1472" s="196"/>
      <c r="H1472" s="197"/>
      <c r="I1472" s="197"/>
      <c r="J1472" s="197"/>
      <c r="K1472" s="197"/>
      <c r="L1472" s="197"/>
      <c r="M1472" s="197"/>
      <c r="N1472" s="197"/>
      <c r="O1472" s="197"/>
      <c r="P1472" s="197"/>
      <c r="Q1472" s="197"/>
      <c r="R1472" s="197"/>
      <c r="S1472" s="197"/>
      <c r="T1472" s="197"/>
      <c r="U1472" s="197"/>
      <c r="V1472" s="197"/>
      <c r="W1472" s="197"/>
      <c r="X1472" s="196"/>
      <c r="Y1472" s="196"/>
      <c r="Z1472" s="196"/>
      <c r="AA1472" s="196"/>
      <c r="AB1472" s="196"/>
      <c r="AC1472" s="197"/>
      <c r="AD1472" s="198"/>
    </row>
    <row r="1473">
      <c r="A1473" s="193"/>
      <c r="B1473" s="194"/>
      <c r="C1473" s="192"/>
      <c r="D1473" s="195"/>
      <c r="E1473" s="192"/>
      <c r="F1473" s="196"/>
      <c r="G1473" s="196"/>
      <c r="H1473" s="197"/>
      <c r="I1473" s="197"/>
      <c r="J1473" s="197"/>
      <c r="K1473" s="197"/>
      <c r="L1473" s="197"/>
      <c r="M1473" s="197"/>
      <c r="N1473" s="197"/>
      <c r="O1473" s="197"/>
      <c r="P1473" s="197"/>
      <c r="Q1473" s="197"/>
      <c r="R1473" s="197"/>
      <c r="S1473" s="197"/>
      <c r="T1473" s="197"/>
      <c r="U1473" s="197"/>
      <c r="V1473" s="197"/>
      <c r="W1473" s="197"/>
      <c r="X1473" s="196"/>
      <c r="Y1473" s="196"/>
      <c r="Z1473" s="196"/>
      <c r="AA1473" s="196"/>
      <c r="AB1473" s="196"/>
      <c r="AC1473" s="197"/>
      <c r="AD1473" s="198"/>
    </row>
    <row r="1474">
      <c r="A1474" s="193"/>
      <c r="B1474" s="194"/>
      <c r="C1474" s="192"/>
      <c r="D1474" s="195"/>
      <c r="E1474" s="192"/>
      <c r="F1474" s="196"/>
      <c r="G1474" s="196"/>
      <c r="H1474" s="197"/>
      <c r="I1474" s="197"/>
      <c r="J1474" s="197"/>
      <c r="K1474" s="197"/>
      <c r="L1474" s="197"/>
      <c r="M1474" s="197"/>
      <c r="N1474" s="197"/>
      <c r="O1474" s="197"/>
      <c r="P1474" s="197"/>
      <c r="Q1474" s="197"/>
      <c r="R1474" s="197"/>
      <c r="S1474" s="197"/>
      <c r="T1474" s="197"/>
      <c r="U1474" s="197"/>
      <c r="V1474" s="197"/>
      <c r="W1474" s="197"/>
      <c r="X1474" s="196"/>
      <c r="Y1474" s="196"/>
      <c r="Z1474" s="196"/>
      <c r="AA1474" s="196"/>
      <c r="AB1474" s="196"/>
      <c r="AC1474" s="197"/>
      <c r="AD1474" s="198"/>
    </row>
    <row r="1475">
      <c r="A1475" s="193"/>
      <c r="B1475" s="194"/>
      <c r="C1475" s="192"/>
      <c r="D1475" s="195"/>
      <c r="E1475" s="192"/>
      <c r="F1475" s="196"/>
      <c r="G1475" s="196"/>
      <c r="H1475" s="197"/>
      <c r="I1475" s="197"/>
      <c r="J1475" s="197"/>
      <c r="K1475" s="197"/>
      <c r="L1475" s="197"/>
      <c r="M1475" s="197"/>
      <c r="N1475" s="197"/>
      <c r="O1475" s="197"/>
      <c r="P1475" s="197"/>
      <c r="Q1475" s="197"/>
      <c r="R1475" s="197"/>
      <c r="S1475" s="197"/>
      <c r="T1475" s="197"/>
      <c r="U1475" s="197"/>
      <c r="V1475" s="197"/>
      <c r="W1475" s="197"/>
      <c r="X1475" s="196"/>
      <c r="Y1475" s="196"/>
      <c r="Z1475" s="196"/>
      <c r="AA1475" s="196"/>
      <c r="AB1475" s="196"/>
      <c r="AC1475" s="197"/>
      <c r="AD1475" s="198"/>
    </row>
    <row r="1476">
      <c r="A1476" s="193"/>
      <c r="B1476" s="194"/>
      <c r="C1476" s="192"/>
      <c r="D1476" s="195"/>
      <c r="E1476" s="192"/>
      <c r="F1476" s="196"/>
      <c r="G1476" s="196"/>
      <c r="H1476" s="197"/>
      <c r="I1476" s="197"/>
      <c r="J1476" s="197"/>
      <c r="K1476" s="197"/>
      <c r="L1476" s="197"/>
      <c r="M1476" s="197"/>
      <c r="N1476" s="197"/>
      <c r="O1476" s="197"/>
      <c r="P1476" s="197"/>
      <c r="Q1476" s="197"/>
      <c r="R1476" s="197"/>
      <c r="S1476" s="197"/>
      <c r="T1476" s="197"/>
      <c r="U1476" s="197"/>
      <c r="V1476" s="197"/>
      <c r="W1476" s="197"/>
      <c r="X1476" s="196"/>
      <c r="Y1476" s="196"/>
      <c r="Z1476" s="196"/>
      <c r="AA1476" s="196"/>
      <c r="AB1476" s="196"/>
      <c r="AC1476" s="197"/>
      <c r="AD1476" s="198"/>
    </row>
    <row r="1477">
      <c r="A1477" s="193"/>
      <c r="B1477" s="194"/>
      <c r="C1477" s="192"/>
      <c r="D1477" s="195"/>
      <c r="E1477" s="192"/>
      <c r="F1477" s="196"/>
      <c r="G1477" s="196"/>
      <c r="H1477" s="197"/>
      <c r="I1477" s="197"/>
      <c r="J1477" s="197"/>
      <c r="K1477" s="197"/>
      <c r="L1477" s="197"/>
      <c r="M1477" s="197"/>
      <c r="N1477" s="197"/>
      <c r="O1477" s="197"/>
      <c r="P1477" s="197"/>
      <c r="Q1477" s="197"/>
      <c r="R1477" s="197"/>
      <c r="S1477" s="197"/>
      <c r="T1477" s="197"/>
      <c r="U1477" s="197"/>
      <c r="V1477" s="197"/>
      <c r="W1477" s="197"/>
      <c r="X1477" s="196"/>
      <c r="Y1477" s="196"/>
      <c r="Z1477" s="196"/>
      <c r="AA1477" s="196"/>
      <c r="AB1477" s="196"/>
      <c r="AC1477" s="197"/>
      <c r="AD1477" s="198"/>
    </row>
    <row r="1478">
      <c r="A1478" s="193"/>
      <c r="B1478" s="194"/>
      <c r="C1478" s="192"/>
      <c r="D1478" s="195"/>
      <c r="E1478" s="192"/>
      <c r="F1478" s="196"/>
      <c r="G1478" s="196"/>
      <c r="H1478" s="197"/>
      <c r="I1478" s="197"/>
      <c r="J1478" s="197"/>
      <c r="K1478" s="197"/>
      <c r="L1478" s="197"/>
      <c r="M1478" s="197"/>
      <c r="N1478" s="197"/>
      <c r="O1478" s="197"/>
      <c r="P1478" s="197"/>
      <c r="Q1478" s="197"/>
      <c r="R1478" s="197"/>
      <c r="S1478" s="197"/>
      <c r="T1478" s="197"/>
      <c r="U1478" s="197"/>
      <c r="V1478" s="197"/>
      <c r="W1478" s="197"/>
      <c r="X1478" s="196"/>
      <c r="Y1478" s="196"/>
      <c r="Z1478" s="196"/>
      <c r="AA1478" s="196"/>
      <c r="AB1478" s="196"/>
      <c r="AC1478" s="197"/>
      <c r="AD1478" s="198"/>
    </row>
    <row r="1479">
      <c r="A1479" s="193"/>
      <c r="B1479" s="194"/>
      <c r="C1479" s="192"/>
      <c r="D1479" s="195"/>
      <c r="E1479" s="192"/>
      <c r="F1479" s="196"/>
      <c r="G1479" s="196"/>
      <c r="H1479" s="197"/>
      <c r="I1479" s="197"/>
      <c r="J1479" s="197"/>
      <c r="K1479" s="197"/>
      <c r="L1479" s="197"/>
      <c r="M1479" s="197"/>
      <c r="N1479" s="197"/>
      <c r="O1479" s="197"/>
      <c r="P1479" s="197"/>
      <c r="Q1479" s="197"/>
      <c r="R1479" s="197"/>
      <c r="S1479" s="197"/>
      <c r="T1479" s="197"/>
      <c r="U1479" s="197"/>
      <c r="V1479" s="197"/>
      <c r="W1479" s="197"/>
      <c r="X1479" s="196"/>
      <c r="Y1479" s="196"/>
      <c r="Z1479" s="196"/>
      <c r="AA1479" s="196"/>
      <c r="AB1479" s="196"/>
      <c r="AC1479" s="197"/>
      <c r="AD1479" s="198"/>
    </row>
    <row r="1480">
      <c r="A1480" s="193"/>
      <c r="B1480" s="194"/>
      <c r="C1480" s="192"/>
      <c r="D1480" s="195"/>
      <c r="E1480" s="192"/>
      <c r="F1480" s="196"/>
      <c r="G1480" s="196"/>
      <c r="H1480" s="197"/>
      <c r="I1480" s="197"/>
      <c r="J1480" s="197"/>
      <c r="K1480" s="197"/>
      <c r="L1480" s="197"/>
      <c r="M1480" s="197"/>
      <c r="N1480" s="197"/>
      <c r="O1480" s="197"/>
      <c r="P1480" s="197"/>
      <c r="Q1480" s="197"/>
      <c r="R1480" s="197"/>
      <c r="S1480" s="197"/>
      <c r="T1480" s="197"/>
      <c r="U1480" s="197"/>
      <c r="V1480" s="197"/>
      <c r="W1480" s="197"/>
      <c r="X1480" s="196"/>
      <c r="Y1480" s="196"/>
      <c r="Z1480" s="196"/>
      <c r="AA1480" s="196"/>
      <c r="AB1480" s="196"/>
      <c r="AC1480" s="197"/>
      <c r="AD1480" s="198"/>
    </row>
    <row r="1481">
      <c r="A1481" s="193"/>
      <c r="B1481" s="194"/>
      <c r="C1481" s="192"/>
      <c r="D1481" s="195"/>
      <c r="E1481" s="192"/>
      <c r="F1481" s="196"/>
      <c r="G1481" s="196"/>
      <c r="H1481" s="197"/>
      <c r="I1481" s="197"/>
      <c r="J1481" s="197"/>
      <c r="K1481" s="197"/>
      <c r="L1481" s="197"/>
      <c r="M1481" s="197"/>
      <c r="N1481" s="197"/>
      <c r="O1481" s="197"/>
      <c r="P1481" s="197"/>
      <c r="Q1481" s="197"/>
      <c r="R1481" s="197"/>
      <c r="S1481" s="197"/>
      <c r="T1481" s="197"/>
      <c r="U1481" s="197"/>
      <c r="V1481" s="197"/>
      <c r="W1481" s="197"/>
      <c r="X1481" s="196"/>
      <c r="Y1481" s="196"/>
      <c r="Z1481" s="196"/>
      <c r="AA1481" s="196"/>
      <c r="AB1481" s="196"/>
      <c r="AC1481" s="197"/>
      <c r="AD1481" s="198"/>
    </row>
    <row r="1482">
      <c r="A1482" s="193"/>
      <c r="B1482" s="194"/>
      <c r="C1482" s="192"/>
      <c r="D1482" s="195"/>
      <c r="E1482" s="192"/>
      <c r="F1482" s="196"/>
      <c r="G1482" s="196"/>
      <c r="H1482" s="197"/>
      <c r="I1482" s="197"/>
      <c r="J1482" s="197"/>
      <c r="K1482" s="197"/>
      <c r="L1482" s="197"/>
      <c r="M1482" s="197"/>
      <c r="N1482" s="197"/>
      <c r="O1482" s="197"/>
      <c r="P1482" s="197"/>
      <c r="Q1482" s="197"/>
      <c r="R1482" s="197"/>
      <c r="S1482" s="197"/>
      <c r="T1482" s="197"/>
      <c r="U1482" s="197"/>
      <c r="V1482" s="197"/>
      <c r="W1482" s="197"/>
      <c r="X1482" s="196"/>
      <c r="Y1482" s="196"/>
      <c r="Z1482" s="196"/>
      <c r="AA1482" s="196"/>
      <c r="AB1482" s="196"/>
      <c r="AC1482" s="197"/>
      <c r="AD1482" s="198"/>
    </row>
    <row r="1483">
      <c r="A1483" s="193"/>
      <c r="B1483" s="194"/>
      <c r="C1483" s="192"/>
      <c r="D1483" s="195"/>
      <c r="E1483" s="192"/>
      <c r="F1483" s="196"/>
      <c r="G1483" s="196"/>
      <c r="H1483" s="197"/>
      <c r="I1483" s="197"/>
      <c r="J1483" s="197"/>
      <c r="K1483" s="197"/>
      <c r="L1483" s="197"/>
      <c r="M1483" s="197"/>
      <c r="N1483" s="197"/>
      <c r="O1483" s="197"/>
      <c r="P1483" s="197"/>
      <c r="Q1483" s="197"/>
      <c r="R1483" s="197"/>
      <c r="S1483" s="197"/>
      <c r="T1483" s="197"/>
      <c r="U1483" s="197"/>
      <c r="V1483" s="197"/>
      <c r="W1483" s="197"/>
      <c r="X1483" s="196"/>
      <c r="Y1483" s="196"/>
      <c r="Z1483" s="196"/>
      <c r="AA1483" s="196"/>
      <c r="AB1483" s="196"/>
      <c r="AC1483" s="197"/>
      <c r="AD1483" s="198"/>
    </row>
    <row r="1484">
      <c r="A1484" s="193"/>
      <c r="B1484" s="194"/>
      <c r="C1484" s="192"/>
      <c r="D1484" s="195"/>
      <c r="E1484" s="192"/>
      <c r="F1484" s="196"/>
      <c r="G1484" s="196"/>
      <c r="H1484" s="197"/>
      <c r="I1484" s="197"/>
      <c r="J1484" s="197"/>
      <c r="K1484" s="197"/>
      <c r="L1484" s="197"/>
      <c r="M1484" s="197"/>
      <c r="N1484" s="197"/>
      <c r="O1484" s="197"/>
      <c r="P1484" s="197"/>
      <c r="Q1484" s="197"/>
      <c r="R1484" s="197"/>
      <c r="S1484" s="197"/>
      <c r="T1484" s="197"/>
      <c r="U1484" s="197"/>
      <c r="V1484" s="197"/>
      <c r="W1484" s="197"/>
      <c r="X1484" s="196"/>
      <c r="Y1484" s="196"/>
      <c r="Z1484" s="196"/>
      <c r="AA1484" s="196"/>
      <c r="AB1484" s="196"/>
      <c r="AC1484" s="197"/>
      <c r="AD1484" s="198"/>
    </row>
    <row r="1485">
      <c r="A1485" s="193"/>
      <c r="B1485" s="194"/>
      <c r="C1485" s="192"/>
      <c r="D1485" s="195"/>
      <c r="E1485" s="192"/>
      <c r="F1485" s="196"/>
      <c r="G1485" s="196"/>
      <c r="H1485" s="197"/>
      <c r="I1485" s="197"/>
      <c r="J1485" s="197"/>
      <c r="K1485" s="197"/>
      <c r="L1485" s="197"/>
      <c r="M1485" s="197"/>
      <c r="N1485" s="197"/>
      <c r="O1485" s="197"/>
      <c r="P1485" s="197"/>
      <c r="Q1485" s="197"/>
      <c r="R1485" s="197"/>
      <c r="S1485" s="197"/>
      <c r="T1485" s="197"/>
      <c r="U1485" s="197"/>
      <c r="V1485" s="197"/>
      <c r="W1485" s="197"/>
      <c r="X1485" s="196"/>
      <c r="Y1485" s="196"/>
      <c r="Z1485" s="196"/>
      <c r="AA1485" s="196"/>
      <c r="AB1485" s="196"/>
      <c r="AC1485" s="197"/>
      <c r="AD1485" s="198"/>
    </row>
    <row r="1486">
      <c r="A1486" s="193"/>
      <c r="B1486" s="194"/>
      <c r="C1486" s="192"/>
      <c r="D1486" s="195"/>
      <c r="E1486" s="192"/>
      <c r="F1486" s="196"/>
      <c r="G1486" s="196"/>
      <c r="H1486" s="197"/>
      <c r="I1486" s="197"/>
      <c r="J1486" s="197"/>
      <c r="K1486" s="197"/>
      <c r="L1486" s="197"/>
      <c r="M1486" s="197"/>
      <c r="N1486" s="197"/>
      <c r="O1486" s="197"/>
      <c r="P1486" s="197"/>
      <c r="Q1486" s="197"/>
      <c r="R1486" s="197"/>
      <c r="S1486" s="197"/>
      <c r="T1486" s="197"/>
      <c r="U1486" s="197"/>
      <c r="V1486" s="197"/>
      <c r="W1486" s="197"/>
      <c r="X1486" s="196"/>
      <c r="Y1486" s="196"/>
      <c r="Z1486" s="196"/>
      <c r="AA1486" s="196"/>
      <c r="AB1486" s="196"/>
      <c r="AC1486" s="197"/>
      <c r="AD1486" s="198"/>
    </row>
    <row r="1487">
      <c r="A1487" s="193"/>
      <c r="B1487" s="194"/>
      <c r="C1487" s="192"/>
      <c r="D1487" s="195"/>
      <c r="E1487" s="192"/>
      <c r="F1487" s="196"/>
      <c r="G1487" s="196"/>
      <c r="H1487" s="197"/>
      <c r="I1487" s="197"/>
      <c r="J1487" s="197"/>
      <c r="K1487" s="197"/>
      <c r="L1487" s="197"/>
      <c r="M1487" s="197"/>
      <c r="N1487" s="197"/>
      <c r="O1487" s="197"/>
      <c r="P1487" s="197"/>
      <c r="Q1487" s="197"/>
      <c r="R1487" s="197"/>
      <c r="S1487" s="197"/>
      <c r="T1487" s="197"/>
      <c r="U1487" s="197"/>
      <c r="V1487" s="197"/>
      <c r="W1487" s="197"/>
      <c r="X1487" s="196"/>
      <c r="Y1487" s="196"/>
      <c r="Z1487" s="196"/>
      <c r="AA1487" s="196"/>
      <c r="AB1487" s="196"/>
      <c r="AC1487" s="197"/>
      <c r="AD1487" s="198"/>
    </row>
    <row r="1488">
      <c r="A1488" s="193"/>
      <c r="B1488" s="194"/>
      <c r="C1488" s="192"/>
      <c r="D1488" s="195"/>
      <c r="E1488" s="192"/>
      <c r="F1488" s="196"/>
      <c r="G1488" s="196"/>
      <c r="H1488" s="197"/>
      <c r="I1488" s="197"/>
      <c r="J1488" s="197"/>
      <c r="K1488" s="197"/>
      <c r="L1488" s="197"/>
      <c r="M1488" s="197"/>
      <c r="N1488" s="197"/>
      <c r="O1488" s="197"/>
      <c r="P1488" s="197"/>
      <c r="Q1488" s="197"/>
      <c r="R1488" s="197"/>
      <c r="S1488" s="197"/>
      <c r="T1488" s="197"/>
      <c r="U1488" s="197"/>
      <c r="V1488" s="197"/>
      <c r="W1488" s="197"/>
      <c r="X1488" s="196"/>
      <c r="Y1488" s="196"/>
      <c r="Z1488" s="196"/>
      <c r="AA1488" s="196"/>
      <c r="AB1488" s="196"/>
      <c r="AC1488" s="197"/>
      <c r="AD1488" s="198"/>
    </row>
    <row r="1489">
      <c r="A1489" s="193"/>
      <c r="B1489" s="194"/>
      <c r="C1489" s="192"/>
      <c r="D1489" s="195"/>
      <c r="E1489" s="192"/>
      <c r="F1489" s="196"/>
      <c r="G1489" s="196"/>
      <c r="H1489" s="197"/>
      <c r="I1489" s="197"/>
      <c r="J1489" s="197"/>
      <c r="K1489" s="197"/>
      <c r="L1489" s="197"/>
      <c r="M1489" s="197"/>
      <c r="N1489" s="197"/>
      <c r="O1489" s="197"/>
      <c r="P1489" s="197"/>
      <c r="Q1489" s="197"/>
      <c r="R1489" s="197"/>
      <c r="S1489" s="197"/>
      <c r="T1489" s="197"/>
      <c r="U1489" s="197"/>
      <c r="V1489" s="197"/>
      <c r="W1489" s="197"/>
      <c r="X1489" s="196"/>
      <c r="Y1489" s="196"/>
      <c r="Z1489" s="196"/>
      <c r="AA1489" s="196"/>
      <c r="AB1489" s="196"/>
      <c r="AC1489" s="197"/>
      <c r="AD1489" s="198"/>
    </row>
    <row r="1490">
      <c r="A1490" s="193"/>
      <c r="B1490" s="194"/>
      <c r="C1490" s="192"/>
      <c r="D1490" s="195"/>
      <c r="E1490" s="192"/>
      <c r="F1490" s="196"/>
      <c r="G1490" s="196"/>
      <c r="H1490" s="197"/>
      <c r="I1490" s="197"/>
      <c r="J1490" s="197"/>
      <c r="K1490" s="197"/>
      <c r="L1490" s="197"/>
      <c r="M1490" s="197"/>
      <c r="N1490" s="197"/>
      <c r="O1490" s="197"/>
      <c r="P1490" s="197"/>
      <c r="Q1490" s="197"/>
      <c r="R1490" s="197"/>
      <c r="S1490" s="197"/>
      <c r="T1490" s="197"/>
      <c r="U1490" s="197"/>
      <c r="V1490" s="197"/>
      <c r="W1490" s="197"/>
      <c r="X1490" s="196"/>
      <c r="Y1490" s="196"/>
      <c r="Z1490" s="196"/>
      <c r="AA1490" s="196"/>
      <c r="AB1490" s="196"/>
      <c r="AC1490" s="197"/>
      <c r="AD1490" s="198"/>
    </row>
    <row r="1491">
      <c r="A1491" s="193"/>
      <c r="B1491" s="194"/>
      <c r="C1491" s="192"/>
      <c r="D1491" s="195"/>
      <c r="E1491" s="192"/>
      <c r="F1491" s="196"/>
      <c r="G1491" s="196"/>
      <c r="H1491" s="197"/>
      <c r="I1491" s="197"/>
      <c r="J1491" s="197"/>
      <c r="K1491" s="197"/>
      <c r="L1491" s="197"/>
      <c r="M1491" s="197"/>
      <c r="N1491" s="197"/>
      <c r="O1491" s="197"/>
      <c r="P1491" s="197"/>
      <c r="Q1491" s="197"/>
      <c r="R1491" s="197"/>
      <c r="S1491" s="197"/>
      <c r="T1491" s="197"/>
      <c r="U1491" s="197"/>
      <c r="V1491" s="197"/>
      <c r="W1491" s="197"/>
      <c r="X1491" s="196"/>
      <c r="Y1491" s="196"/>
      <c r="Z1491" s="196"/>
      <c r="AA1491" s="196"/>
      <c r="AB1491" s="196"/>
      <c r="AC1491" s="197"/>
      <c r="AD1491" s="198"/>
    </row>
    <row r="1492">
      <c r="A1492" s="193"/>
      <c r="B1492" s="194"/>
      <c r="C1492" s="192"/>
      <c r="D1492" s="195"/>
      <c r="E1492" s="192"/>
      <c r="F1492" s="196"/>
      <c r="G1492" s="196"/>
      <c r="H1492" s="197"/>
      <c r="I1492" s="197"/>
      <c r="J1492" s="197"/>
      <c r="K1492" s="197"/>
      <c r="L1492" s="197"/>
      <c r="M1492" s="197"/>
      <c r="N1492" s="197"/>
      <c r="O1492" s="197"/>
      <c r="P1492" s="197"/>
      <c r="Q1492" s="197"/>
      <c r="R1492" s="197"/>
      <c r="S1492" s="197"/>
      <c r="T1492" s="197"/>
      <c r="U1492" s="197"/>
      <c r="V1492" s="197"/>
      <c r="W1492" s="197"/>
      <c r="X1492" s="196"/>
      <c r="Y1492" s="196"/>
      <c r="Z1492" s="196"/>
      <c r="AA1492" s="196"/>
      <c r="AB1492" s="196"/>
      <c r="AC1492" s="197"/>
      <c r="AD1492" s="198"/>
    </row>
    <row r="1493">
      <c r="A1493" s="193"/>
      <c r="B1493" s="194"/>
      <c r="C1493" s="192"/>
      <c r="D1493" s="195"/>
      <c r="E1493" s="192"/>
      <c r="F1493" s="196"/>
      <c r="G1493" s="196"/>
      <c r="H1493" s="197"/>
      <c r="I1493" s="197"/>
      <c r="J1493" s="197"/>
      <c r="K1493" s="197"/>
      <c r="L1493" s="197"/>
      <c r="M1493" s="197"/>
      <c r="N1493" s="197"/>
      <c r="O1493" s="197"/>
      <c r="P1493" s="197"/>
      <c r="Q1493" s="197"/>
      <c r="R1493" s="197"/>
      <c r="S1493" s="197"/>
      <c r="T1493" s="197"/>
      <c r="U1493" s="197"/>
      <c r="V1493" s="197"/>
      <c r="W1493" s="197"/>
      <c r="X1493" s="196"/>
      <c r="Y1493" s="196"/>
      <c r="Z1493" s="196"/>
      <c r="AA1493" s="196"/>
      <c r="AB1493" s="196"/>
      <c r="AC1493" s="197"/>
      <c r="AD1493" s="198"/>
    </row>
    <row r="1494">
      <c r="A1494" s="193"/>
      <c r="B1494" s="194"/>
      <c r="C1494" s="192"/>
      <c r="D1494" s="195"/>
      <c r="E1494" s="192"/>
      <c r="F1494" s="196"/>
      <c r="G1494" s="196"/>
      <c r="H1494" s="197"/>
      <c r="I1494" s="197"/>
      <c r="J1494" s="197"/>
      <c r="K1494" s="197"/>
      <c r="L1494" s="197"/>
      <c r="M1494" s="197"/>
      <c r="N1494" s="197"/>
      <c r="O1494" s="197"/>
      <c r="P1494" s="197"/>
      <c r="Q1494" s="197"/>
      <c r="R1494" s="197"/>
      <c r="S1494" s="197"/>
      <c r="T1494" s="197"/>
      <c r="U1494" s="197"/>
      <c r="V1494" s="197"/>
      <c r="W1494" s="197"/>
      <c r="X1494" s="196"/>
      <c r="Y1494" s="196"/>
      <c r="Z1494" s="196"/>
      <c r="AA1494" s="196"/>
      <c r="AB1494" s="196"/>
      <c r="AC1494" s="197"/>
      <c r="AD1494" s="198"/>
    </row>
    <row r="1495">
      <c r="A1495" s="193"/>
      <c r="B1495" s="194"/>
      <c r="C1495" s="192"/>
      <c r="D1495" s="195"/>
      <c r="E1495" s="192"/>
      <c r="F1495" s="196"/>
      <c r="G1495" s="196"/>
      <c r="H1495" s="197"/>
      <c r="I1495" s="197"/>
      <c r="J1495" s="197"/>
      <c r="K1495" s="197"/>
      <c r="L1495" s="197"/>
      <c r="M1495" s="197"/>
      <c r="N1495" s="197"/>
      <c r="O1495" s="197"/>
      <c r="P1495" s="197"/>
      <c r="Q1495" s="197"/>
      <c r="R1495" s="197"/>
      <c r="S1495" s="197"/>
      <c r="T1495" s="197"/>
      <c r="U1495" s="197"/>
      <c r="V1495" s="197"/>
      <c r="W1495" s="197"/>
      <c r="X1495" s="196"/>
      <c r="Y1495" s="196"/>
      <c r="Z1495" s="196"/>
      <c r="AA1495" s="196"/>
      <c r="AB1495" s="196"/>
      <c r="AC1495" s="197"/>
      <c r="AD1495" s="198"/>
    </row>
    <row r="1496">
      <c r="A1496" s="193"/>
      <c r="B1496" s="194"/>
      <c r="C1496" s="192"/>
      <c r="D1496" s="195"/>
      <c r="E1496" s="192"/>
      <c r="F1496" s="196"/>
      <c r="G1496" s="196"/>
      <c r="H1496" s="197"/>
      <c r="I1496" s="197"/>
      <c r="J1496" s="197"/>
      <c r="K1496" s="197"/>
      <c r="L1496" s="197"/>
      <c r="M1496" s="197"/>
      <c r="N1496" s="197"/>
      <c r="O1496" s="197"/>
      <c r="P1496" s="197"/>
      <c r="Q1496" s="197"/>
      <c r="R1496" s="197"/>
      <c r="S1496" s="197"/>
      <c r="T1496" s="197"/>
      <c r="U1496" s="197"/>
      <c r="V1496" s="197"/>
      <c r="W1496" s="197"/>
      <c r="X1496" s="196"/>
      <c r="Y1496" s="196"/>
      <c r="Z1496" s="196"/>
      <c r="AA1496" s="196"/>
      <c r="AB1496" s="196"/>
      <c r="AC1496" s="197"/>
      <c r="AD1496" s="198"/>
    </row>
    <row r="1497">
      <c r="A1497" s="193"/>
      <c r="B1497" s="194"/>
      <c r="C1497" s="192"/>
      <c r="D1497" s="195"/>
      <c r="E1497" s="192"/>
      <c r="F1497" s="196"/>
      <c r="G1497" s="196"/>
      <c r="H1497" s="197"/>
      <c r="I1497" s="197"/>
      <c r="J1497" s="197"/>
      <c r="K1497" s="197"/>
      <c r="L1497" s="197"/>
      <c r="M1497" s="197"/>
      <c r="N1497" s="197"/>
      <c r="O1497" s="197"/>
      <c r="P1497" s="197"/>
      <c r="Q1497" s="197"/>
      <c r="R1497" s="197"/>
      <c r="S1497" s="197"/>
      <c r="T1497" s="197"/>
      <c r="U1497" s="197"/>
      <c r="V1497" s="197"/>
      <c r="W1497" s="197"/>
      <c r="X1497" s="196"/>
      <c r="Y1497" s="196"/>
      <c r="Z1497" s="196"/>
      <c r="AA1497" s="196"/>
      <c r="AB1497" s="196"/>
      <c r="AC1497" s="197"/>
      <c r="AD1497" s="198"/>
    </row>
    <row r="1498">
      <c r="A1498" s="193"/>
      <c r="B1498" s="194"/>
      <c r="C1498" s="192"/>
      <c r="D1498" s="195"/>
      <c r="E1498" s="192"/>
      <c r="F1498" s="196"/>
      <c r="G1498" s="196"/>
      <c r="H1498" s="197"/>
      <c r="I1498" s="197"/>
      <c r="J1498" s="197"/>
      <c r="K1498" s="197"/>
      <c r="L1498" s="197"/>
      <c r="M1498" s="197"/>
      <c r="N1498" s="197"/>
      <c r="O1498" s="197"/>
      <c r="P1498" s="197"/>
      <c r="Q1498" s="197"/>
      <c r="R1498" s="197"/>
      <c r="S1498" s="197"/>
      <c r="T1498" s="197"/>
      <c r="U1498" s="197"/>
      <c r="V1498" s="197"/>
      <c r="W1498" s="197"/>
      <c r="X1498" s="196"/>
      <c r="Y1498" s="196"/>
      <c r="Z1498" s="196"/>
      <c r="AA1498" s="196"/>
      <c r="AB1498" s="196"/>
      <c r="AC1498" s="197"/>
      <c r="AD1498" s="198"/>
    </row>
    <row r="1499">
      <c r="A1499" s="193"/>
      <c r="B1499" s="194"/>
      <c r="C1499" s="192"/>
      <c r="D1499" s="195"/>
      <c r="E1499" s="192"/>
      <c r="F1499" s="196"/>
      <c r="G1499" s="196"/>
      <c r="H1499" s="197"/>
      <c r="I1499" s="197"/>
      <c r="J1499" s="197"/>
      <c r="K1499" s="197"/>
      <c r="L1499" s="197"/>
      <c r="M1499" s="197"/>
      <c r="N1499" s="197"/>
      <c r="O1499" s="197"/>
      <c r="P1499" s="197"/>
      <c r="Q1499" s="197"/>
      <c r="R1499" s="197"/>
      <c r="S1499" s="197"/>
      <c r="T1499" s="197"/>
      <c r="U1499" s="197"/>
      <c r="V1499" s="197"/>
      <c r="W1499" s="197"/>
      <c r="X1499" s="196"/>
      <c r="Y1499" s="196"/>
      <c r="Z1499" s="196"/>
      <c r="AA1499" s="196"/>
      <c r="AB1499" s="196"/>
      <c r="AC1499" s="197"/>
      <c r="AD1499" s="198"/>
    </row>
    <row r="1500">
      <c r="A1500" s="193"/>
      <c r="B1500" s="194"/>
      <c r="C1500" s="192"/>
      <c r="D1500" s="195"/>
      <c r="E1500" s="192"/>
      <c r="F1500" s="196"/>
      <c r="G1500" s="196"/>
      <c r="H1500" s="197"/>
      <c r="I1500" s="197"/>
      <c r="J1500" s="197"/>
      <c r="K1500" s="197"/>
      <c r="L1500" s="197"/>
      <c r="M1500" s="197"/>
      <c r="N1500" s="197"/>
      <c r="O1500" s="197"/>
      <c r="P1500" s="197"/>
      <c r="Q1500" s="197"/>
      <c r="R1500" s="197"/>
      <c r="S1500" s="197"/>
      <c r="T1500" s="197"/>
      <c r="U1500" s="197"/>
      <c r="V1500" s="197"/>
      <c r="W1500" s="197"/>
      <c r="X1500" s="196"/>
      <c r="Y1500" s="196"/>
      <c r="Z1500" s="196"/>
      <c r="AA1500" s="196"/>
      <c r="AB1500" s="196"/>
      <c r="AC1500" s="197"/>
      <c r="AD1500" s="198"/>
    </row>
    <row r="1501">
      <c r="A1501" s="193"/>
      <c r="B1501" s="194"/>
      <c r="C1501" s="192"/>
      <c r="D1501" s="195"/>
      <c r="E1501" s="192"/>
      <c r="F1501" s="196"/>
      <c r="G1501" s="196"/>
      <c r="H1501" s="197"/>
      <c r="I1501" s="197"/>
      <c r="J1501" s="197"/>
      <c r="K1501" s="197"/>
      <c r="L1501" s="197"/>
      <c r="M1501" s="197"/>
      <c r="N1501" s="197"/>
      <c r="O1501" s="197"/>
      <c r="P1501" s="197"/>
      <c r="Q1501" s="197"/>
      <c r="R1501" s="197"/>
      <c r="S1501" s="197"/>
      <c r="T1501" s="197"/>
      <c r="U1501" s="197"/>
      <c r="V1501" s="197"/>
      <c r="W1501" s="197"/>
      <c r="X1501" s="196"/>
      <c r="Y1501" s="196"/>
      <c r="Z1501" s="196"/>
      <c r="AA1501" s="196"/>
      <c r="AB1501" s="196"/>
      <c r="AC1501" s="197"/>
      <c r="AD1501" s="198"/>
    </row>
    <row r="1502">
      <c r="A1502" s="193"/>
      <c r="B1502" s="194"/>
      <c r="C1502" s="192"/>
      <c r="D1502" s="195"/>
      <c r="E1502" s="192"/>
      <c r="F1502" s="196"/>
      <c r="G1502" s="196"/>
      <c r="H1502" s="197"/>
      <c r="I1502" s="197"/>
      <c r="J1502" s="197"/>
      <c r="K1502" s="197"/>
      <c r="L1502" s="197"/>
      <c r="M1502" s="197"/>
      <c r="N1502" s="197"/>
      <c r="O1502" s="197"/>
      <c r="P1502" s="197"/>
      <c r="Q1502" s="197"/>
      <c r="R1502" s="197"/>
      <c r="S1502" s="197"/>
      <c r="T1502" s="197"/>
      <c r="U1502" s="197"/>
      <c r="V1502" s="197"/>
      <c r="W1502" s="197"/>
      <c r="X1502" s="196"/>
      <c r="Y1502" s="196"/>
      <c r="Z1502" s="196"/>
      <c r="AA1502" s="196"/>
      <c r="AB1502" s="196"/>
      <c r="AC1502" s="197"/>
      <c r="AD1502" s="198"/>
    </row>
    <row r="1503">
      <c r="A1503" s="193"/>
      <c r="B1503" s="194"/>
      <c r="C1503" s="192"/>
      <c r="D1503" s="195"/>
      <c r="E1503" s="192"/>
      <c r="F1503" s="196"/>
      <c r="G1503" s="196"/>
      <c r="H1503" s="197"/>
      <c r="I1503" s="197"/>
      <c r="J1503" s="197"/>
      <c r="K1503" s="197"/>
      <c r="L1503" s="197"/>
      <c r="M1503" s="197"/>
      <c r="N1503" s="197"/>
      <c r="O1503" s="197"/>
      <c r="P1503" s="197"/>
      <c r="Q1503" s="197"/>
      <c r="R1503" s="197"/>
      <c r="S1503" s="197"/>
      <c r="T1503" s="197"/>
      <c r="U1503" s="197"/>
      <c r="V1503" s="197"/>
      <c r="W1503" s="197"/>
      <c r="X1503" s="196"/>
      <c r="Y1503" s="196"/>
      <c r="Z1503" s="196"/>
      <c r="AA1503" s="196"/>
      <c r="AB1503" s="196"/>
      <c r="AC1503" s="197"/>
      <c r="AD1503" s="198"/>
    </row>
    <row r="1504">
      <c r="A1504" s="193"/>
      <c r="B1504" s="194"/>
      <c r="C1504" s="192"/>
      <c r="D1504" s="195"/>
      <c r="E1504" s="192"/>
      <c r="F1504" s="196"/>
      <c r="G1504" s="196"/>
      <c r="H1504" s="197"/>
      <c r="I1504" s="197"/>
      <c r="J1504" s="197"/>
      <c r="K1504" s="197"/>
      <c r="L1504" s="197"/>
      <c r="M1504" s="197"/>
      <c r="N1504" s="197"/>
      <c r="O1504" s="197"/>
      <c r="P1504" s="197"/>
      <c r="Q1504" s="197"/>
      <c r="R1504" s="197"/>
      <c r="S1504" s="197"/>
      <c r="T1504" s="197"/>
      <c r="U1504" s="197"/>
      <c r="V1504" s="197"/>
      <c r="W1504" s="197"/>
      <c r="X1504" s="196"/>
      <c r="Y1504" s="196"/>
      <c r="Z1504" s="196"/>
      <c r="AA1504" s="196"/>
      <c r="AB1504" s="196"/>
      <c r="AC1504" s="197"/>
      <c r="AD1504" s="198"/>
    </row>
    <row r="1505">
      <c r="A1505" s="193"/>
      <c r="B1505" s="194"/>
      <c r="C1505" s="192"/>
      <c r="D1505" s="195"/>
      <c r="E1505" s="192"/>
      <c r="F1505" s="196"/>
      <c r="G1505" s="196"/>
      <c r="H1505" s="197"/>
      <c r="I1505" s="197"/>
      <c r="J1505" s="197"/>
      <c r="K1505" s="197"/>
      <c r="L1505" s="197"/>
      <c r="M1505" s="197"/>
      <c r="N1505" s="197"/>
      <c r="O1505" s="197"/>
      <c r="P1505" s="197"/>
      <c r="Q1505" s="197"/>
      <c r="R1505" s="197"/>
      <c r="S1505" s="197"/>
      <c r="T1505" s="197"/>
      <c r="U1505" s="197"/>
      <c r="V1505" s="197"/>
      <c r="W1505" s="197"/>
      <c r="X1505" s="196"/>
      <c r="Y1505" s="196"/>
      <c r="Z1505" s="196"/>
      <c r="AA1505" s="196"/>
      <c r="AB1505" s="196"/>
      <c r="AC1505" s="197"/>
      <c r="AD1505" s="198"/>
    </row>
    <row r="1506">
      <c r="A1506" s="193"/>
      <c r="B1506" s="194"/>
      <c r="C1506" s="192"/>
      <c r="D1506" s="195"/>
      <c r="E1506" s="192"/>
      <c r="F1506" s="196"/>
      <c r="G1506" s="196"/>
      <c r="H1506" s="197"/>
      <c r="I1506" s="197"/>
      <c r="J1506" s="197"/>
      <c r="K1506" s="197"/>
      <c r="L1506" s="197"/>
      <c r="M1506" s="197"/>
      <c r="N1506" s="197"/>
      <c r="O1506" s="197"/>
      <c r="P1506" s="197"/>
      <c r="Q1506" s="197"/>
      <c r="R1506" s="197"/>
      <c r="S1506" s="197"/>
      <c r="T1506" s="197"/>
      <c r="U1506" s="197"/>
      <c r="V1506" s="197"/>
      <c r="W1506" s="197"/>
      <c r="X1506" s="196"/>
      <c r="Y1506" s="196"/>
      <c r="Z1506" s="196"/>
      <c r="AA1506" s="196"/>
      <c r="AB1506" s="196"/>
      <c r="AC1506" s="197"/>
      <c r="AD1506" s="198"/>
    </row>
    <row r="1507">
      <c r="A1507" s="193"/>
      <c r="B1507" s="194"/>
      <c r="C1507" s="192"/>
      <c r="D1507" s="195"/>
      <c r="E1507" s="192"/>
      <c r="F1507" s="196"/>
      <c r="G1507" s="196"/>
      <c r="H1507" s="197"/>
      <c r="I1507" s="197"/>
      <c r="J1507" s="197"/>
      <c r="K1507" s="197"/>
      <c r="L1507" s="197"/>
      <c r="M1507" s="197"/>
      <c r="N1507" s="197"/>
      <c r="O1507" s="197"/>
      <c r="P1507" s="197"/>
      <c r="Q1507" s="197"/>
      <c r="R1507" s="197"/>
      <c r="S1507" s="197"/>
      <c r="T1507" s="197"/>
      <c r="U1507" s="197"/>
      <c r="V1507" s="197"/>
      <c r="W1507" s="197"/>
      <c r="X1507" s="196"/>
      <c r="Y1507" s="196"/>
      <c r="Z1507" s="196"/>
      <c r="AA1507" s="196"/>
      <c r="AB1507" s="196"/>
      <c r="AC1507" s="197"/>
      <c r="AD1507" s="198"/>
    </row>
    <row r="1508">
      <c r="A1508" s="193"/>
      <c r="B1508" s="194"/>
      <c r="C1508" s="192"/>
      <c r="D1508" s="195"/>
      <c r="E1508" s="192"/>
      <c r="F1508" s="196"/>
      <c r="G1508" s="196"/>
      <c r="H1508" s="197"/>
      <c r="I1508" s="197"/>
      <c r="J1508" s="197"/>
      <c r="K1508" s="197"/>
      <c r="L1508" s="197"/>
      <c r="M1508" s="197"/>
      <c r="N1508" s="197"/>
      <c r="O1508" s="197"/>
      <c r="P1508" s="197"/>
      <c r="Q1508" s="197"/>
      <c r="R1508" s="197"/>
      <c r="S1508" s="197"/>
      <c r="T1508" s="197"/>
      <c r="U1508" s="197"/>
      <c r="V1508" s="197"/>
      <c r="W1508" s="197"/>
      <c r="X1508" s="196"/>
      <c r="Y1508" s="196"/>
      <c r="Z1508" s="196"/>
      <c r="AA1508" s="196"/>
      <c r="AB1508" s="196"/>
      <c r="AC1508" s="197"/>
      <c r="AD1508" s="198"/>
    </row>
    <row r="1509">
      <c r="A1509" s="193"/>
      <c r="B1509" s="194"/>
      <c r="C1509" s="192"/>
      <c r="D1509" s="195"/>
      <c r="E1509" s="192"/>
      <c r="F1509" s="196"/>
      <c r="G1509" s="196"/>
      <c r="H1509" s="197"/>
      <c r="I1509" s="197"/>
      <c r="J1509" s="197"/>
      <c r="K1509" s="197"/>
      <c r="L1509" s="197"/>
      <c r="M1509" s="197"/>
      <c r="N1509" s="197"/>
      <c r="O1509" s="197"/>
      <c r="P1509" s="197"/>
      <c r="Q1509" s="197"/>
      <c r="R1509" s="197"/>
      <c r="S1509" s="197"/>
      <c r="T1509" s="197"/>
      <c r="U1509" s="197"/>
      <c r="V1509" s="197"/>
      <c r="W1509" s="197"/>
      <c r="X1509" s="196"/>
      <c r="Y1509" s="196"/>
      <c r="Z1509" s="196"/>
      <c r="AA1509" s="196"/>
      <c r="AB1509" s="196"/>
      <c r="AC1509" s="197"/>
      <c r="AD1509" s="198"/>
    </row>
    <row r="1510">
      <c r="A1510" s="193"/>
      <c r="B1510" s="194"/>
      <c r="C1510" s="192"/>
      <c r="D1510" s="195"/>
      <c r="E1510" s="192"/>
      <c r="F1510" s="196"/>
      <c r="G1510" s="196"/>
      <c r="H1510" s="197"/>
      <c r="I1510" s="197"/>
      <c r="J1510" s="197"/>
      <c r="K1510" s="197"/>
      <c r="L1510" s="197"/>
      <c r="M1510" s="197"/>
      <c r="N1510" s="197"/>
      <c r="O1510" s="197"/>
      <c r="P1510" s="197"/>
      <c r="Q1510" s="197"/>
      <c r="R1510" s="197"/>
      <c r="S1510" s="197"/>
      <c r="T1510" s="197"/>
      <c r="U1510" s="197"/>
      <c r="V1510" s="197"/>
      <c r="W1510" s="197"/>
      <c r="X1510" s="196"/>
      <c r="Y1510" s="196"/>
      <c r="Z1510" s="196"/>
      <c r="AA1510" s="196"/>
      <c r="AB1510" s="196"/>
      <c r="AC1510" s="197"/>
      <c r="AD1510" s="198"/>
    </row>
    <row r="1511">
      <c r="A1511" s="193"/>
      <c r="B1511" s="194"/>
      <c r="C1511" s="192"/>
      <c r="D1511" s="195"/>
      <c r="E1511" s="192"/>
      <c r="F1511" s="196"/>
      <c r="G1511" s="196"/>
      <c r="H1511" s="197"/>
      <c r="I1511" s="197"/>
      <c r="J1511" s="197"/>
      <c r="K1511" s="197"/>
      <c r="L1511" s="197"/>
      <c r="M1511" s="197"/>
      <c r="N1511" s="197"/>
      <c r="O1511" s="197"/>
      <c r="P1511" s="197"/>
      <c r="Q1511" s="197"/>
      <c r="R1511" s="197"/>
      <c r="S1511" s="197"/>
      <c r="T1511" s="197"/>
      <c r="U1511" s="197"/>
      <c r="V1511" s="197"/>
      <c r="W1511" s="197"/>
      <c r="X1511" s="196"/>
      <c r="Y1511" s="196"/>
      <c r="Z1511" s="196"/>
      <c r="AA1511" s="196"/>
      <c r="AB1511" s="196"/>
      <c r="AC1511" s="197"/>
      <c r="AD1511" s="198"/>
    </row>
    <row r="1512">
      <c r="A1512" s="193"/>
      <c r="B1512" s="194"/>
      <c r="C1512" s="192"/>
      <c r="D1512" s="195"/>
      <c r="E1512" s="192"/>
      <c r="F1512" s="196"/>
      <c r="G1512" s="196"/>
      <c r="H1512" s="197"/>
      <c r="I1512" s="197"/>
      <c r="J1512" s="197"/>
      <c r="K1512" s="197"/>
      <c r="L1512" s="197"/>
      <c r="M1512" s="197"/>
      <c r="N1512" s="197"/>
      <c r="O1512" s="197"/>
      <c r="P1512" s="197"/>
      <c r="Q1512" s="197"/>
      <c r="R1512" s="197"/>
      <c r="S1512" s="197"/>
      <c r="T1512" s="197"/>
      <c r="U1512" s="197"/>
      <c r="V1512" s="197"/>
      <c r="W1512" s="197"/>
      <c r="X1512" s="196"/>
      <c r="Y1512" s="196"/>
      <c r="Z1512" s="196"/>
      <c r="AA1512" s="196"/>
      <c r="AB1512" s="196"/>
      <c r="AC1512" s="197"/>
      <c r="AD1512" s="198"/>
    </row>
    <row r="1513">
      <c r="A1513" s="193"/>
      <c r="B1513" s="194"/>
      <c r="C1513" s="192"/>
      <c r="D1513" s="195"/>
      <c r="E1513" s="192"/>
      <c r="F1513" s="196"/>
      <c r="G1513" s="196"/>
      <c r="H1513" s="197"/>
      <c r="I1513" s="197"/>
      <c r="J1513" s="197"/>
      <c r="K1513" s="197"/>
      <c r="L1513" s="197"/>
      <c r="M1513" s="197"/>
      <c r="N1513" s="197"/>
      <c r="O1513" s="197"/>
      <c r="P1513" s="197"/>
      <c r="Q1513" s="197"/>
      <c r="R1513" s="197"/>
      <c r="S1513" s="197"/>
      <c r="T1513" s="197"/>
      <c r="U1513" s="197"/>
      <c r="V1513" s="197"/>
      <c r="W1513" s="197"/>
      <c r="X1513" s="196"/>
      <c r="Y1513" s="196"/>
      <c r="Z1513" s="196"/>
      <c r="AA1513" s="196"/>
      <c r="AB1513" s="196"/>
      <c r="AC1513" s="197"/>
      <c r="AD1513" s="198"/>
    </row>
    <row r="1514">
      <c r="A1514" s="193"/>
      <c r="B1514" s="194"/>
      <c r="C1514" s="192"/>
      <c r="D1514" s="195"/>
      <c r="E1514" s="192"/>
      <c r="F1514" s="196"/>
      <c r="G1514" s="196"/>
      <c r="H1514" s="197"/>
      <c r="I1514" s="197"/>
      <c r="J1514" s="197"/>
      <c r="K1514" s="197"/>
      <c r="L1514" s="197"/>
      <c r="M1514" s="197"/>
      <c r="N1514" s="197"/>
      <c r="O1514" s="197"/>
      <c r="P1514" s="197"/>
      <c r="Q1514" s="197"/>
      <c r="R1514" s="197"/>
      <c r="S1514" s="197"/>
      <c r="T1514" s="197"/>
      <c r="U1514" s="197"/>
      <c r="V1514" s="197"/>
      <c r="W1514" s="197"/>
      <c r="X1514" s="196"/>
      <c r="Y1514" s="196"/>
      <c r="Z1514" s="196"/>
      <c r="AA1514" s="196"/>
      <c r="AB1514" s="196"/>
      <c r="AC1514" s="197"/>
      <c r="AD1514" s="198"/>
    </row>
    <row r="1515">
      <c r="A1515" s="193"/>
      <c r="B1515" s="194"/>
      <c r="C1515" s="192"/>
      <c r="D1515" s="195"/>
      <c r="E1515" s="192"/>
      <c r="F1515" s="196"/>
      <c r="G1515" s="196"/>
      <c r="H1515" s="197"/>
      <c r="I1515" s="197"/>
      <c r="J1515" s="197"/>
      <c r="K1515" s="197"/>
      <c r="L1515" s="197"/>
      <c r="M1515" s="197"/>
      <c r="N1515" s="197"/>
      <c r="O1515" s="197"/>
      <c r="P1515" s="197"/>
      <c r="Q1515" s="197"/>
      <c r="R1515" s="197"/>
      <c r="S1515" s="197"/>
      <c r="T1515" s="197"/>
      <c r="U1515" s="197"/>
      <c r="V1515" s="197"/>
      <c r="W1515" s="197"/>
      <c r="X1515" s="196"/>
      <c r="Y1515" s="196"/>
      <c r="Z1515" s="196"/>
      <c r="AA1515" s="196"/>
      <c r="AB1515" s="196"/>
      <c r="AC1515" s="197"/>
      <c r="AD1515" s="198"/>
    </row>
    <row r="1516">
      <c r="A1516" s="193"/>
      <c r="B1516" s="194"/>
      <c r="C1516" s="192"/>
      <c r="D1516" s="195"/>
      <c r="E1516" s="192"/>
      <c r="F1516" s="196"/>
      <c r="G1516" s="196"/>
      <c r="H1516" s="197"/>
      <c r="I1516" s="197"/>
      <c r="J1516" s="197"/>
      <c r="K1516" s="197"/>
      <c r="L1516" s="197"/>
      <c r="M1516" s="197"/>
      <c r="N1516" s="197"/>
      <c r="O1516" s="197"/>
      <c r="P1516" s="197"/>
      <c r="Q1516" s="197"/>
      <c r="R1516" s="197"/>
      <c r="S1516" s="197"/>
      <c r="T1516" s="197"/>
      <c r="U1516" s="197"/>
      <c r="V1516" s="197"/>
      <c r="W1516" s="197"/>
      <c r="X1516" s="196"/>
      <c r="Y1516" s="196"/>
      <c r="Z1516" s="196"/>
      <c r="AA1516" s="196"/>
      <c r="AB1516" s="196"/>
      <c r="AC1516" s="197"/>
      <c r="AD1516" s="198"/>
    </row>
    <row r="1517">
      <c r="A1517" s="193"/>
      <c r="B1517" s="194"/>
      <c r="C1517" s="192"/>
      <c r="D1517" s="195"/>
      <c r="E1517" s="192"/>
      <c r="F1517" s="196"/>
      <c r="G1517" s="196"/>
      <c r="H1517" s="197"/>
      <c r="I1517" s="197"/>
      <c r="J1517" s="197"/>
      <c r="K1517" s="197"/>
      <c r="L1517" s="197"/>
      <c r="M1517" s="197"/>
      <c r="N1517" s="197"/>
      <c r="O1517" s="197"/>
      <c r="P1517" s="197"/>
      <c r="Q1517" s="197"/>
      <c r="R1517" s="197"/>
      <c r="S1517" s="197"/>
      <c r="T1517" s="197"/>
      <c r="U1517" s="197"/>
      <c r="V1517" s="197"/>
      <c r="W1517" s="197"/>
      <c r="X1517" s="196"/>
      <c r="Y1517" s="196"/>
      <c r="Z1517" s="196"/>
      <c r="AA1517" s="196"/>
      <c r="AB1517" s="196"/>
      <c r="AC1517" s="197"/>
      <c r="AD1517" s="198"/>
    </row>
    <row r="1518">
      <c r="A1518" s="193"/>
      <c r="B1518" s="194"/>
      <c r="C1518" s="192"/>
      <c r="D1518" s="195"/>
      <c r="E1518" s="192"/>
      <c r="F1518" s="196"/>
      <c r="G1518" s="196"/>
      <c r="H1518" s="197"/>
      <c r="I1518" s="197"/>
      <c r="J1518" s="197"/>
      <c r="K1518" s="197"/>
      <c r="L1518" s="197"/>
      <c r="M1518" s="197"/>
      <c r="N1518" s="197"/>
      <c r="O1518" s="197"/>
      <c r="P1518" s="197"/>
      <c r="Q1518" s="197"/>
      <c r="R1518" s="197"/>
      <c r="S1518" s="197"/>
      <c r="T1518" s="197"/>
      <c r="U1518" s="197"/>
      <c r="V1518" s="197"/>
      <c r="W1518" s="197"/>
      <c r="X1518" s="196"/>
      <c r="Y1518" s="196"/>
      <c r="Z1518" s="196"/>
      <c r="AA1518" s="196"/>
      <c r="AB1518" s="196"/>
      <c r="AC1518" s="197"/>
      <c r="AD1518" s="198"/>
    </row>
    <row r="1519">
      <c r="A1519" s="193"/>
      <c r="B1519" s="194"/>
      <c r="C1519" s="192"/>
      <c r="D1519" s="195"/>
      <c r="E1519" s="192"/>
      <c r="F1519" s="196"/>
      <c r="G1519" s="196"/>
      <c r="H1519" s="197"/>
      <c r="I1519" s="197"/>
      <c r="J1519" s="197"/>
      <c r="K1519" s="197"/>
      <c r="L1519" s="197"/>
      <c r="M1519" s="197"/>
      <c r="N1519" s="197"/>
      <c r="O1519" s="197"/>
      <c r="P1519" s="197"/>
      <c r="Q1519" s="197"/>
      <c r="R1519" s="197"/>
      <c r="S1519" s="197"/>
      <c r="T1519" s="197"/>
      <c r="U1519" s="197"/>
      <c r="V1519" s="197"/>
      <c r="W1519" s="197"/>
      <c r="X1519" s="196"/>
      <c r="Y1519" s="196"/>
      <c r="Z1519" s="196"/>
      <c r="AA1519" s="196"/>
      <c r="AB1519" s="196"/>
      <c r="AC1519" s="197"/>
      <c r="AD1519" s="198"/>
    </row>
    <row r="1520">
      <c r="A1520" s="193"/>
      <c r="B1520" s="194"/>
      <c r="C1520" s="192"/>
      <c r="D1520" s="195"/>
      <c r="E1520" s="192"/>
      <c r="F1520" s="196"/>
      <c r="G1520" s="196"/>
      <c r="H1520" s="197"/>
      <c r="I1520" s="197"/>
      <c r="J1520" s="197"/>
      <c r="K1520" s="197"/>
      <c r="L1520" s="197"/>
      <c r="M1520" s="197"/>
      <c r="N1520" s="197"/>
      <c r="O1520" s="197"/>
      <c r="P1520" s="197"/>
      <c r="Q1520" s="197"/>
      <c r="R1520" s="197"/>
      <c r="S1520" s="197"/>
      <c r="T1520" s="197"/>
      <c r="U1520" s="197"/>
      <c r="V1520" s="197"/>
      <c r="W1520" s="197"/>
      <c r="X1520" s="196"/>
      <c r="Y1520" s="196"/>
      <c r="Z1520" s="196"/>
      <c r="AA1520" s="196"/>
      <c r="AB1520" s="196"/>
      <c r="AC1520" s="197"/>
      <c r="AD1520" s="198"/>
    </row>
    <row r="1521">
      <c r="A1521" s="193"/>
      <c r="B1521" s="194"/>
      <c r="C1521" s="192"/>
      <c r="D1521" s="195"/>
      <c r="E1521" s="192"/>
      <c r="F1521" s="196"/>
      <c r="G1521" s="196"/>
      <c r="H1521" s="197"/>
      <c r="I1521" s="197"/>
      <c r="J1521" s="197"/>
      <c r="K1521" s="197"/>
      <c r="L1521" s="197"/>
      <c r="M1521" s="197"/>
      <c r="N1521" s="197"/>
      <c r="O1521" s="197"/>
      <c r="P1521" s="197"/>
      <c r="Q1521" s="197"/>
      <c r="R1521" s="197"/>
      <c r="S1521" s="197"/>
      <c r="T1521" s="197"/>
      <c r="U1521" s="197"/>
      <c r="V1521" s="197"/>
      <c r="W1521" s="197"/>
      <c r="X1521" s="196"/>
      <c r="Y1521" s="196"/>
      <c r="Z1521" s="196"/>
      <c r="AA1521" s="196"/>
      <c r="AB1521" s="196"/>
      <c r="AC1521" s="197"/>
      <c r="AD1521" s="198"/>
    </row>
    <row r="1522">
      <c r="A1522" s="193"/>
      <c r="B1522" s="194"/>
      <c r="C1522" s="192"/>
      <c r="D1522" s="195"/>
      <c r="E1522" s="192"/>
      <c r="F1522" s="196"/>
      <c r="G1522" s="196"/>
      <c r="H1522" s="197"/>
      <c r="I1522" s="197"/>
      <c r="J1522" s="197"/>
      <c r="K1522" s="197"/>
      <c r="L1522" s="197"/>
      <c r="M1522" s="197"/>
      <c r="N1522" s="197"/>
      <c r="O1522" s="197"/>
      <c r="P1522" s="197"/>
      <c r="Q1522" s="197"/>
      <c r="R1522" s="197"/>
      <c r="S1522" s="197"/>
      <c r="T1522" s="197"/>
      <c r="U1522" s="197"/>
      <c r="V1522" s="197"/>
      <c r="W1522" s="197"/>
      <c r="X1522" s="196"/>
      <c r="Y1522" s="196"/>
      <c r="Z1522" s="196"/>
      <c r="AA1522" s="196"/>
      <c r="AB1522" s="196"/>
      <c r="AC1522" s="197"/>
      <c r="AD1522" s="198"/>
    </row>
    <row r="1523">
      <c r="A1523" s="193"/>
      <c r="B1523" s="194"/>
      <c r="C1523" s="192"/>
      <c r="D1523" s="195"/>
      <c r="E1523" s="192"/>
      <c r="F1523" s="196"/>
      <c r="G1523" s="196"/>
      <c r="H1523" s="197"/>
      <c r="I1523" s="197"/>
      <c r="J1523" s="197"/>
      <c r="K1523" s="197"/>
      <c r="L1523" s="197"/>
      <c r="M1523" s="197"/>
      <c r="N1523" s="197"/>
      <c r="O1523" s="197"/>
      <c r="P1523" s="197"/>
      <c r="Q1523" s="197"/>
      <c r="R1523" s="197"/>
      <c r="S1523" s="197"/>
      <c r="T1523" s="197"/>
      <c r="U1523" s="197"/>
      <c r="V1523" s="197"/>
      <c r="W1523" s="197"/>
      <c r="X1523" s="196"/>
      <c r="Y1523" s="196"/>
      <c r="Z1523" s="196"/>
      <c r="AA1523" s="196"/>
      <c r="AB1523" s="196"/>
      <c r="AC1523" s="197"/>
      <c r="AD1523" s="198"/>
    </row>
    <row r="1524">
      <c r="A1524" s="193"/>
      <c r="B1524" s="194"/>
      <c r="C1524" s="192"/>
      <c r="D1524" s="195"/>
      <c r="E1524" s="192"/>
      <c r="F1524" s="196"/>
      <c r="G1524" s="196"/>
      <c r="H1524" s="197"/>
      <c r="I1524" s="197"/>
      <c r="J1524" s="197"/>
      <c r="K1524" s="197"/>
      <c r="L1524" s="197"/>
      <c r="M1524" s="197"/>
      <c r="N1524" s="197"/>
      <c r="O1524" s="197"/>
      <c r="P1524" s="197"/>
      <c r="Q1524" s="197"/>
      <c r="R1524" s="197"/>
      <c r="S1524" s="197"/>
      <c r="T1524" s="197"/>
      <c r="U1524" s="197"/>
      <c r="V1524" s="197"/>
      <c r="W1524" s="197"/>
      <c r="X1524" s="196"/>
      <c r="Y1524" s="196"/>
      <c r="Z1524" s="196"/>
      <c r="AA1524" s="196"/>
      <c r="AB1524" s="196"/>
      <c r="AC1524" s="197"/>
      <c r="AD1524" s="198"/>
    </row>
    <row r="1525">
      <c r="A1525" s="193"/>
      <c r="B1525" s="194"/>
      <c r="C1525" s="192"/>
      <c r="D1525" s="195"/>
      <c r="E1525" s="192"/>
      <c r="F1525" s="196"/>
      <c r="G1525" s="196"/>
      <c r="H1525" s="197"/>
      <c r="I1525" s="197"/>
      <c r="J1525" s="197"/>
      <c r="K1525" s="197"/>
      <c r="L1525" s="197"/>
      <c r="M1525" s="197"/>
      <c r="N1525" s="197"/>
      <c r="O1525" s="197"/>
      <c r="P1525" s="197"/>
      <c r="Q1525" s="197"/>
      <c r="R1525" s="197"/>
      <c r="S1525" s="197"/>
      <c r="T1525" s="197"/>
      <c r="U1525" s="197"/>
      <c r="V1525" s="197"/>
      <c r="W1525" s="197"/>
      <c r="X1525" s="196"/>
      <c r="Y1525" s="196"/>
      <c r="Z1525" s="196"/>
      <c r="AA1525" s="196"/>
      <c r="AB1525" s="196"/>
      <c r="AC1525" s="197"/>
      <c r="AD1525" s="198"/>
    </row>
    <row r="1526">
      <c r="A1526" s="193"/>
      <c r="B1526" s="194"/>
      <c r="C1526" s="192"/>
      <c r="D1526" s="195"/>
      <c r="E1526" s="192"/>
      <c r="F1526" s="196"/>
      <c r="G1526" s="196"/>
      <c r="H1526" s="197"/>
      <c r="I1526" s="197"/>
      <c r="J1526" s="197"/>
      <c r="K1526" s="197"/>
      <c r="L1526" s="197"/>
      <c r="M1526" s="197"/>
      <c r="N1526" s="197"/>
      <c r="O1526" s="197"/>
      <c r="P1526" s="197"/>
      <c r="Q1526" s="197"/>
      <c r="R1526" s="197"/>
      <c r="S1526" s="197"/>
      <c r="T1526" s="197"/>
      <c r="U1526" s="197"/>
      <c r="V1526" s="197"/>
      <c r="W1526" s="197"/>
      <c r="X1526" s="196"/>
      <c r="Y1526" s="196"/>
      <c r="Z1526" s="196"/>
      <c r="AA1526" s="196"/>
      <c r="AB1526" s="196"/>
      <c r="AC1526" s="197"/>
      <c r="AD1526" s="198"/>
    </row>
    <row r="1527">
      <c r="A1527" s="193"/>
      <c r="B1527" s="194"/>
      <c r="C1527" s="192"/>
      <c r="D1527" s="195"/>
      <c r="E1527" s="192"/>
      <c r="F1527" s="196"/>
      <c r="G1527" s="196"/>
      <c r="H1527" s="197"/>
      <c r="I1527" s="197"/>
      <c r="J1527" s="197"/>
      <c r="K1527" s="197"/>
      <c r="L1527" s="197"/>
      <c r="M1527" s="197"/>
      <c r="N1527" s="197"/>
      <c r="O1527" s="197"/>
      <c r="P1527" s="197"/>
      <c r="Q1527" s="197"/>
      <c r="R1527" s="197"/>
      <c r="S1527" s="197"/>
      <c r="T1527" s="197"/>
      <c r="U1527" s="197"/>
      <c r="V1527" s="197"/>
      <c r="W1527" s="197"/>
      <c r="X1527" s="196"/>
      <c r="Y1527" s="196"/>
      <c r="Z1527" s="196"/>
      <c r="AA1527" s="196"/>
      <c r="AB1527" s="196"/>
      <c r="AC1527" s="197"/>
      <c r="AD1527" s="198"/>
    </row>
    <row r="1528">
      <c r="A1528" s="193"/>
      <c r="B1528" s="194"/>
      <c r="C1528" s="192"/>
      <c r="D1528" s="195"/>
      <c r="E1528" s="192"/>
      <c r="F1528" s="196"/>
      <c r="G1528" s="196"/>
      <c r="H1528" s="197"/>
      <c r="I1528" s="197"/>
      <c r="J1528" s="197"/>
      <c r="K1528" s="197"/>
      <c r="L1528" s="197"/>
      <c r="M1528" s="197"/>
      <c r="N1528" s="197"/>
      <c r="O1528" s="197"/>
      <c r="P1528" s="197"/>
      <c r="Q1528" s="197"/>
      <c r="R1528" s="197"/>
      <c r="S1528" s="197"/>
      <c r="T1528" s="197"/>
      <c r="U1528" s="197"/>
      <c r="V1528" s="197"/>
      <c r="W1528" s="197"/>
      <c r="X1528" s="196"/>
      <c r="Y1528" s="196"/>
      <c r="Z1528" s="196"/>
      <c r="AA1528" s="196"/>
      <c r="AB1528" s="196"/>
      <c r="AC1528" s="197"/>
      <c r="AD1528" s="198"/>
    </row>
    <row r="1529">
      <c r="A1529" s="193"/>
      <c r="B1529" s="194"/>
      <c r="C1529" s="192"/>
      <c r="D1529" s="195"/>
      <c r="E1529" s="192"/>
      <c r="F1529" s="196"/>
      <c r="G1529" s="196"/>
      <c r="H1529" s="197"/>
      <c r="I1529" s="197"/>
      <c r="J1529" s="197"/>
      <c r="K1529" s="197"/>
      <c r="L1529" s="197"/>
      <c r="M1529" s="197"/>
      <c r="N1529" s="197"/>
      <c r="O1529" s="197"/>
      <c r="P1529" s="197"/>
      <c r="Q1529" s="197"/>
      <c r="R1529" s="197"/>
      <c r="S1529" s="197"/>
      <c r="T1529" s="197"/>
      <c r="U1529" s="197"/>
      <c r="V1529" s="197"/>
      <c r="W1529" s="197"/>
      <c r="X1529" s="196"/>
      <c r="Y1529" s="196"/>
      <c r="Z1529" s="196"/>
      <c r="AA1529" s="196"/>
      <c r="AB1529" s="196"/>
      <c r="AC1529" s="197"/>
      <c r="AD1529" s="198"/>
    </row>
    <row r="1530">
      <c r="A1530" s="193"/>
      <c r="B1530" s="194"/>
      <c r="C1530" s="192"/>
      <c r="D1530" s="195"/>
      <c r="E1530" s="192"/>
      <c r="F1530" s="196"/>
      <c r="G1530" s="196"/>
      <c r="H1530" s="197"/>
      <c r="I1530" s="197"/>
      <c r="J1530" s="197"/>
      <c r="K1530" s="197"/>
      <c r="L1530" s="197"/>
      <c r="M1530" s="197"/>
      <c r="N1530" s="197"/>
      <c r="O1530" s="197"/>
      <c r="P1530" s="197"/>
      <c r="Q1530" s="197"/>
      <c r="R1530" s="197"/>
      <c r="S1530" s="197"/>
      <c r="T1530" s="197"/>
      <c r="U1530" s="197"/>
      <c r="V1530" s="197"/>
      <c r="W1530" s="197"/>
      <c r="X1530" s="196"/>
      <c r="Y1530" s="196"/>
      <c r="Z1530" s="196"/>
      <c r="AA1530" s="196"/>
      <c r="AB1530" s="196"/>
      <c r="AC1530" s="197"/>
      <c r="AD1530" s="198"/>
    </row>
    <row r="1531">
      <c r="A1531" s="193"/>
      <c r="B1531" s="194"/>
      <c r="C1531" s="192"/>
      <c r="D1531" s="195"/>
      <c r="E1531" s="192"/>
      <c r="F1531" s="196"/>
      <c r="G1531" s="196"/>
      <c r="H1531" s="197"/>
      <c r="I1531" s="197"/>
      <c r="J1531" s="197"/>
      <c r="K1531" s="197"/>
      <c r="L1531" s="197"/>
      <c r="M1531" s="197"/>
      <c r="N1531" s="197"/>
      <c r="O1531" s="197"/>
      <c r="P1531" s="197"/>
      <c r="Q1531" s="197"/>
      <c r="R1531" s="197"/>
      <c r="S1531" s="197"/>
      <c r="T1531" s="197"/>
      <c r="U1531" s="197"/>
      <c r="V1531" s="197"/>
      <c r="W1531" s="197"/>
      <c r="X1531" s="196"/>
      <c r="Y1531" s="196"/>
      <c r="Z1531" s="196"/>
      <c r="AA1531" s="196"/>
      <c r="AB1531" s="196"/>
      <c r="AC1531" s="197"/>
      <c r="AD1531" s="198"/>
    </row>
    <row r="1532">
      <c r="A1532" s="193"/>
      <c r="B1532" s="194"/>
      <c r="C1532" s="192"/>
      <c r="D1532" s="195"/>
      <c r="E1532" s="192"/>
      <c r="F1532" s="196"/>
      <c r="G1532" s="196"/>
      <c r="H1532" s="197"/>
      <c r="I1532" s="197"/>
      <c r="J1532" s="197"/>
      <c r="K1532" s="197"/>
      <c r="L1532" s="197"/>
      <c r="M1532" s="197"/>
      <c r="N1532" s="197"/>
      <c r="O1532" s="197"/>
      <c r="P1532" s="197"/>
      <c r="Q1532" s="197"/>
      <c r="R1532" s="197"/>
      <c r="S1532" s="197"/>
      <c r="T1532" s="197"/>
      <c r="U1532" s="197"/>
      <c r="V1532" s="197"/>
      <c r="W1532" s="197"/>
      <c r="X1532" s="196"/>
      <c r="Y1532" s="196"/>
      <c r="Z1532" s="196"/>
      <c r="AA1532" s="196"/>
      <c r="AB1532" s="196"/>
      <c r="AC1532" s="197"/>
      <c r="AD1532" s="198"/>
    </row>
    <row r="1533">
      <c r="A1533" s="193"/>
      <c r="B1533" s="194"/>
      <c r="C1533" s="192"/>
      <c r="D1533" s="195"/>
      <c r="E1533" s="192"/>
      <c r="F1533" s="196"/>
      <c r="G1533" s="196"/>
      <c r="H1533" s="197"/>
      <c r="I1533" s="197"/>
      <c r="J1533" s="197"/>
      <c r="K1533" s="197"/>
      <c r="L1533" s="197"/>
      <c r="M1533" s="197"/>
      <c r="N1533" s="197"/>
      <c r="O1533" s="197"/>
      <c r="P1533" s="197"/>
      <c r="Q1533" s="197"/>
      <c r="R1533" s="197"/>
      <c r="S1533" s="197"/>
      <c r="T1533" s="197"/>
      <c r="U1533" s="197"/>
      <c r="V1533" s="197"/>
      <c r="W1533" s="197"/>
      <c r="X1533" s="196"/>
      <c r="Y1533" s="196"/>
      <c r="Z1533" s="196"/>
      <c r="AA1533" s="196"/>
      <c r="AB1533" s="196"/>
      <c r="AC1533" s="197"/>
      <c r="AD1533" s="198"/>
    </row>
    <row r="1534">
      <c r="A1534" s="193"/>
      <c r="B1534" s="194"/>
      <c r="C1534" s="192"/>
      <c r="D1534" s="195"/>
      <c r="E1534" s="192"/>
      <c r="F1534" s="196"/>
      <c r="G1534" s="196"/>
      <c r="H1534" s="197"/>
      <c r="I1534" s="197"/>
      <c r="J1534" s="197"/>
      <c r="K1534" s="197"/>
      <c r="L1534" s="197"/>
      <c r="M1534" s="197"/>
      <c r="N1534" s="197"/>
      <c r="O1534" s="197"/>
      <c r="P1534" s="197"/>
      <c r="Q1534" s="197"/>
      <c r="R1534" s="197"/>
      <c r="S1534" s="197"/>
      <c r="T1534" s="197"/>
      <c r="U1534" s="197"/>
      <c r="V1534" s="197"/>
      <c r="W1534" s="197"/>
      <c r="X1534" s="196"/>
      <c r="Y1534" s="196"/>
      <c r="Z1534" s="196"/>
      <c r="AA1534" s="196"/>
      <c r="AB1534" s="196"/>
      <c r="AC1534" s="197"/>
      <c r="AD1534" s="198"/>
    </row>
    <row r="1535">
      <c r="A1535" s="193"/>
      <c r="B1535" s="194"/>
      <c r="C1535" s="192"/>
      <c r="D1535" s="195"/>
      <c r="E1535" s="192"/>
      <c r="F1535" s="196"/>
      <c r="G1535" s="196"/>
      <c r="H1535" s="197"/>
      <c r="I1535" s="197"/>
      <c r="J1535" s="197"/>
      <c r="K1535" s="197"/>
      <c r="L1535" s="197"/>
      <c r="M1535" s="197"/>
      <c r="N1535" s="197"/>
      <c r="O1535" s="197"/>
      <c r="P1535" s="197"/>
      <c r="Q1535" s="197"/>
      <c r="R1535" s="197"/>
      <c r="S1535" s="197"/>
      <c r="T1535" s="197"/>
      <c r="U1535" s="197"/>
      <c r="V1535" s="197"/>
      <c r="W1535" s="197"/>
      <c r="X1535" s="196"/>
      <c r="Y1535" s="196"/>
      <c r="Z1535" s="196"/>
      <c r="AA1535" s="196"/>
      <c r="AB1535" s="196"/>
      <c r="AC1535" s="197"/>
      <c r="AD1535" s="198"/>
    </row>
    <row r="1536">
      <c r="A1536" s="193"/>
      <c r="B1536" s="194"/>
      <c r="C1536" s="192"/>
      <c r="D1536" s="195"/>
      <c r="E1536" s="192"/>
      <c r="F1536" s="196"/>
      <c r="G1536" s="196"/>
      <c r="H1536" s="197"/>
      <c r="I1536" s="197"/>
      <c r="J1536" s="197"/>
      <c r="K1536" s="197"/>
      <c r="L1536" s="197"/>
      <c r="M1536" s="197"/>
      <c r="N1536" s="197"/>
      <c r="O1536" s="197"/>
      <c r="P1536" s="197"/>
      <c r="Q1536" s="197"/>
      <c r="R1536" s="197"/>
      <c r="S1536" s="197"/>
      <c r="T1536" s="197"/>
      <c r="U1536" s="197"/>
      <c r="V1536" s="197"/>
      <c r="W1536" s="197"/>
      <c r="X1536" s="196"/>
      <c r="Y1536" s="196"/>
      <c r="Z1536" s="196"/>
      <c r="AA1536" s="196"/>
      <c r="AB1536" s="196"/>
      <c r="AC1536" s="197"/>
      <c r="AD1536" s="198"/>
    </row>
    <row r="1537">
      <c r="A1537" s="193"/>
      <c r="B1537" s="194"/>
      <c r="C1537" s="192"/>
      <c r="D1537" s="195"/>
      <c r="E1537" s="192"/>
      <c r="F1537" s="196"/>
      <c r="G1537" s="196"/>
      <c r="H1537" s="197"/>
      <c r="I1537" s="197"/>
      <c r="J1537" s="197"/>
      <c r="K1537" s="197"/>
      <c r="L1537" s="197"/>
      <c r="M1537" s="197"/>
      <c r="N1537" s="197"/>
      <c r="O1537" s="197"/>
      <c r="P1537" s="197"/>
      <c r="Q1537" s="197"/>
      <c r="R1537" s="197"/>
      <c r="S1537" s="197"/>
      <c r="T1537" s="197"/>
      <c r="U1537" s="197"/>
      <c r="V1537" s="197"/>
      <c r="W1537" s="197"/>
      <c r="X1537" s="196"/>
      <c r="Y1537" s="196"/>
      <c r="Z1537" s="196"/>
      <c r="AA1537" s="196"/>
      <c r="AB1537" s="196"/>
      <c r="AC1537" s="197"/>
      <c r="AD1537" s="198"/>
    </row>
    <row r="1538">
      <c r="A1538" s="193"/>
      <c r="B1538" s="194"/>
      <c r="C1538" s="192"/>
      <c r="D1538" s="195"/>
      <c r="E1538" s="192"/>
      <c r="F1538" s="196"/>
      <c r="G1538" s="196"/>
      <c r="H1538" s="197"/>
      <c r="I1538" s="197"/>
      <c r="J1538" s="197"/>
      <c r="K1538" s="197"/>
      <c r="L1538" s="197"/>
      <c r="M1538" s="197"/>
      <c r="N1538" s="197"/>
      <c r="O1538" s="197"/>
      <c r="P1538" s="197"/>
      <c r="Q1538" s="197"/>
      <c r="R1538" s="197"/>
      <c r="S1538" s="197"/>
      <c r="T1538" s="197"/>
      <c r="U1538" s="197"/>
      <c r="V1538" s="197"/>
      <c r="W1538" s="197"/>
      <c r="X1538" s="196"/>
      <c r="Y1538" s="196"/>
      <c r="Z1538" s="196"/>
      <c r="AA1538" s="196"/>
      <c r="AB1538" s="196"/>
      <c r="AC1538" s="197"/>
      <c r="AD1538" s="198"/>
    </row>
    <row r="1539">
      <c r="A1539" s="193"/>
      <c r="B1539" s="194"/>
      <c r="C1539" s="192"/>
      <c r="D1539" s="195"/>
      <c r="E1539" s="192"/>
      <c r="F1539" s="196"/>
      <c r="G1539" s="196"/>
      <c r="H1539" s="197"/>
      <c r="I1539" s="197"/>
      <c r="J1539" s="197"/>
      <c r="K1539" s="197"/>
      <c r="L1539" s="197"/>
      <c r="M1539" s="197"/>
      <c r="N1539" s="197"/>
      <c r="O1539" s="197"/>
      <c r="P1539" s="197"/>
      <c r="Q1539" s="197"/>
      <c r="R1539" s="197"/>
      <c r="S1539" s="197"/>
      <c r="T1539" s="197"/>
      <c r="U1539" s="197"/>
      <c r="V1539" s="197"/>
      <c r="W1539" s="197"/>
      <c r="X1539" s="196"/>
      <c r="Y1539" s="196"/>
      <c r="Z1539" s="196"/>
      <c r="AA1539" s="196"/>
      <c r="AB1539" s="196"/>
      <c r="AC1539" s="197"/>
      <c r="AD1539" s="198"/>
    </row>
    <row r="1540">
      <c r="A1540" s="193"/>
      <c r="B1540" s="194"/>
      <c r="C1540" s="192"/>
      <c r="D1540" s="195"/>
      <c r="E1540" s="192"/>
      <c r="F1540" s="196"/>
      <c r="G1540" s="196"/>
      <c r="H1540" s="197"/>
      <c r="I1540" s="197"/>
      <c r="J1540" s="197"/>
      <c r="K1540" s="197"/>
      <c r="L1540" s="197"/>
      <c r="M1540" s="197"/>
      <c r="N1540" s="197"/>
      <c r="O1540" s="197"/>
      <c r="P1540" s="197"/>
      <c r="Q1540" s="197"/>
      <c r="R1540" s="197"/>
      <c r="S1540" s="197"/>
      <c r="T1540" s="197"/>
      <c r="U1540" s="197"/>
      <c r="V1540" s="197"/>
      <c r="W1540" s="197"/>
      <c r="X1540" s="196"/>
      <c r="Y1540" s="196"/>
      <c r="Z1540" s="196"/>
      <c r="AA1540" s="196"/>
      <c r="AB1540" s="196"/>
      <c r="AC1540" s="197"/>
      <c r="AD1540" s="198"/>
    </row>
    <row r="1541">
      <c r="A1541" s="193"/>
      <c r="B1541" s="194"/>
      <c r="C1541" s="192"/>
      <c r="D1541" s="195"/>
      <c r="E1541" s="192"/>
      <c r="F1541" s="196"/>
      <c r="G1541" s="196"/>
      <c r="H1541" s="197"/>
      <c r="I1541" s="197"/>
      <c r="J1541" s="197"/>
      <c r="K1541" s="197"/>
      <c r="L1541" s="197"/>
      <c r="M1541" s="197"/>
      <c r="N1541" s="197"/>
      <c r="O1541" s="197"/>
      <c r="P1541" s="197"/>
      <c r="Q1541" s="197"/>
      <c r="R1541" s="197"/>
      <c r="S1541" s="197"/>
      <c r="T1541" s="197"/>
      <c r="U1541" s="197"/>
      <c r="V1541" s="197"/>
      <c r="W1541" s="197"/>
      <c r="X1541" s="196"/>
      <c r="Y1541" s="196"/>
      <c r="Z1541" s="196"/>
      <c r="AA1541" s="196"/>
      <c r="AB1541" s="196"/>
      <c r="AC1541" s="197"/>
      <c r="AD1541" s="198"/>
    </row>
    <row r="1542">
      <c r="A1542" s="193"/>
      <c r="B1542" s="194"/>
      <c r="C1542" s="192"/>
      <c r="D1542" s="195"/>
      <c r="E1542" s="192"/>
      <c r="F1542" s="196"/>
      <c r="G1542" s="196"/>
      <c r="H1542" s="197"/>
      <c r="I1542" s="197"/>
      <c r="J1542" s="197"/>
      <c r="K1542" s="197"/>
      <c r="L1542" s="197"/>
      <c r="M1542" s="197"/>
      <c r="N1542" s="197"/>
      <c r="O1542" s="197"/>
      <c r="P1542" s="197"/>
      <c r="Q1542" s="197"/>
      <c r="R1542" s="197"/>
      <c r="S1542" s="197"/>
      <c r="T1542" s="197"/>
      <c r="U1542" s="197"/>
      <c r="V1542" s="197"/>
      <c r="W1542" s="197"/>
      <c r="X1542" s="196"/>
      <c r="Y1542" s="196"/>
      <c r="Z1542" s="196"/>
      <c r="AA1542" s="196"/>
      <c r="AB1542" s="196"/>
      <c r="AC1542" s="197"/>
      <c r="AD1542" s="198"/>
    </row>
    <row r="1543">
      <c r="A1543" s="193"/>
      <c r="B1543" s="194"/>
      <c r="C1543" s="192"/>
      <c r="D1543" s="195"/>
      <c r="E1543" s="192"/>
      <c r="F1543" s="196"/>
      <c r="G1543" s="196"/>
      <c r="H1543" s="197"/>
      <c r="I1543" s="197"/>
      <c r="J1543" s="197"/>
      <c r="K1543" s="197"/>
      <c r="L1543" s="197"/>
      <c r="M1543" s="197"/>
      <c r="N1543" s="197"/>
      <c r="O1543" s="197"/>
      <c r="P1543" s="197"/>
      <c r="Q1543" s="197"/>
      <c r="R1543" s="197"/>
      <c r="S1543" s="197"/>
      <c r="T1543" s="197"/>
      <c r="U1543" s="197"/>
      <c r="V1543" s="197"/>
      <c r="W1543" s="197"/>
      <c r="X1543" s="196"/>
      <c r="Y1543" s="196"/>
      <c r="Z1543" s="196"/>
      <c r="AA1543" s="196"/>
      <c r="AB1543" s="196"/>
      <c r="AC1543" s="197"/>
      <c r="AD1543" s="198"/>
    </row>
    <row r="1544">
      <c r="A1544" s="193"/>
      <c r="B1544" s="194"/>
      <c r="C1544" s="192"/>
      <c r="D1544" s="195"/>
      <c r="E1544" s="192"/>
      <c r="F1544" s="196"/>
      <c r="G1544" s="196"/>
      <c r="H1544" s="197"/>
      <c r="I1544" s="197"/>
      <c r="J1544" s="197"/>
      <c r="K1544" s="197"/>
      <c r="L1544" s="197"/>
      <c r="M1544" s="197"/>
      <c r="N1544" s="197"/>
      <c r="O1544" s="197"/>
      <c r="P1544" s="197"/>
      <c r="Q1544" s="197"/>
      <c r="R1544" s="197"/>
      <c r="S1544" s="197"/>
      <c r="T1544" s="197"/>
      <c r="U1544" s="197"/>
      <c r="V1544" s="197"/>
      <c r="W1544" s="197"/>
      <c r="X1544" s="196"/>
      <c r="Y1544" s="196"/>
      <c r="Z1544" s="196"/>
      <c r="AA1544" s="196"/>
      <c r="AB1544" s="196"/>
      <c r="AC1544" s="197"/>
      <c r="AD1544" s="198"/>
    </row>
    <row r="1545">
      <c r="A1545" s="193"/>
      <c r="B1545" s="194"/>
      <c r="C1545" s="192"/>
      <c r="D1545" s="195"/>
      <c r="E1545" s="192"/>
      <c r="F1545" s="196"/>
      <c r="G1545" s="196"/>
      <c r="H1545" s="197"/>
      <c r="I1545" s="197"/>
      <c r="J1545" s="197"/>
      <c r="K1545" s="197"/>
      <c r="L1545" s="197"/>
      <c r="M1545" s="197"/>
      <c r="N1545" s="197"/>
      <c r="O1545" s="197"/>
      <c r="P1545" s="197"/>
      <c r="Q1545" s="197"/>
      <c r="R1545" s="197"/>
      <c r="S1545" s="197"/>
      <c r="T1545" s="197"/>
      <c r="U1545" s="197"/>
      <c r="V1545" s="197"/>
      <c r="W1545" s="197"/>
      <c r="X1545" s="196"/>
      <c r="Y1545" s="196"/>
      <c r="Z1545" s="196"/>
      <c r="AA1545" s="196"/>
      <c r="AB1545" s="196"/>
      <c r="AC1545" s="197"/>
      <c r="AD1545" s="198"/>
    </row>
    <row r="1546">
      <c r="A1546" s="193"/>
      <c r="B1546" s="194"/>
      <c r="C1546" s="192"/>
      <c r="D1546" s="195"/>
      <c r="E1546" s="192"/>
      <c r="F1546" s="196"/>
      <c r="G1546" s="196"/>
      <c r="H1546" s="197"/>
      <c r="I1546" s="197"/>
      <c r="J1546" s="197"/>
      <c r="K1546" s="197"/>
      <c r="L1546" s="197"/>
      <c r="M1546" s="197"/>
      <c r="N1546" s="197"/>
      <c r="O1546" s="197"/>
      <c r="P1546" s="197"/>
      <c r="Q1546" s="197"/>
      <c r="R1546" s="197"/>
      <c r="S1546" s="197"/>
      <c r="T1546" s="197"/>
      <c r="U1546" s="197"/>
      <c r="V1546" s="197"/>
      <c r="W1546" s="197"/>
      <c r="X1546" s="196"/>
      <c r="Y1546" s="196"/>
      <c r="Z1546" s="196"/>
      <c r="AA1546" s="196"/>
      <c r="AB1546" s="196"/>
      <c r="AC1546" s="197"/>
      <c r="AD1546" s="198"/>
    </row>
    <row r="1547">
      <c r="A1547" s="193"/>
      <c r="B1547" s="194"/>
      <c r="C1547" s="192"/>
      <c r="D1547" s="195"/>
      <c r="E1547" s="192"/>
      <c r="F1547" s="196"/>
      <c r="G1547" s="196"/>
      <c r="H1547" s="197"/>
      <c r="I1547" s="197"/>
      <c r="J1547" s="197"/>
      <c r="K1547" s="197"/>
      <c r="L1547" s="197"/>
      <c r="M1547" s="197"/>
      <c r="N1547" s="197"/>
      <c r="O1547" s="197"/>
      <c r="P1547" s="197"/>
      <c r="Q1547" s="197"/>
      <c r="R1547" s="197"/>
      <c r="S1547" s="197"/>
      <c r="T1547" s="197"/>
      <c r="U1547" s="197"/>
      <c r="V1547" s="197"/>
      <c r="W1547" s="197"/>
      <c r="X1547" s="196"/>
      <c r="Y1547" s="196"/>
      <c r="Z1547" s="196"/>
      <c r="AA1547" s="196"/>
      <c r="AB1547" s="196"/>
      <c r="AC1547" s="197"/>
      <c r="AD1547" s="198"/>
    </row>
    <row r="1548">
      <c r="A1548" s="193"/>
      <c r="B1548" s="194"/>
      <c r="C1548" s="192"/>
      <c r="D1548" s="195"/>
      <c r="E1548" s="192"/>
      <c r="F1548" s="196"/>
      <c r="G1548" s="196"/>
      <c r="H1548" s="197"/>
      <c r="I1548" s="197"/>
      <c r="J1548" s="197"/>
      <c r="K1548" s="197"/>
      <c r="L1548" s="197"/>
      <c r="M1548" s="197"/>
      <c r="N1548" s="197"/>
      <c r="O1548" s="197"/>
      <c r="P1548" s="197"/>
      <c r="Q1548" s="197"/>
      <c r="R1548" s="197"/>
      <c r="S1548" s="197"/>
      <c r="T1548" s="197"/>
      <c r="U1548" s="197"/>
      <c r="V1548" s="197"/>
      <c r="W1548" s="197"/>
      <c r="X1548" s="196"/>
      <c r="Y1548" s="196"/>
      <c r="Z1548" s="196"/>
      <c r="AA1548" s="196"/>
      <c r="AB1548" s="196"/>
      <c r="AC1548" s="197"/>
      <c r="AD1548" s="198"/>
    </row>
    <row r="1549">
      <c r="A1549" s="193"/>
      <c r="B1549" s="194"/>
      <c r="C1549" s="192"/>
      <c r="D1549" s="195"/>
      <c r="E1549" s="192"/>
      <c r="F1549" s="196"/>
      <c r="G1549" s="196"/>
      <c r="H1549" s="197"/>
      <c r="I1549" s="197"/>
      <c r="J1549" s="197"/>
      <c r="K1549" s="197"/>
      <c r="L1549" s="197"/>
      <c r="M1549" s="197"/>
      <c r="N1549" s="197"/>
      <c r="O1549" s="197"/>
      <c r="P1549" s="197"/>
      <c r="Q1549" s="197"/>
      <c r="R1549" s="197"/>
      <c r="S1549" s="197"/>
      <c r="T1549" s="197"/>
      <c r="U1549" s="197"/>
      <c r="V1549" s="197"/>
      <c r="W1549" s="197"/>
      <c r="X1549" s="196"/>
      <c r="Y1549" s="196"/>
      <c r="Z1549" s="196"/>
      <c r="AA1549" s="196"/>
      <c r="AB1549" s="196"/>
      <c r="AC1549" s="197"/>
      <c r="AD1549" s="198"/>
    </row>
    <row r="1550">
      <c r="A1550" s="193"/>
      <c r="B1550" s="194"/>
      <c r="C1550" s="192"/>
      <c r="D1550" s="195"/>
      <c r="E1550" s="192"/>
      <c r="F1550" s="196"/>
      <c r="G1550" s="196"/>
      <c r="H1550" s="197"/>
      <c r="I1550" s="197"/>
      <c r="J1550" s="197"/>
      <c r="K1550" s="197"/>
      <c r="L1550" s="197"/>
      <c r="M1550" s="197"/>
      <c r="N1550" s="197"/>
      <c r="O1550" s="197"/>
      <c r="P1550" s="197"/>
      <c r="Q1550" s="197"/>
      <c r="R1550" s="197"/>
      <c r="S1550" s="197"/>
      <c r="T1550" s="197"/>
      <c r="U1550" s="197"/>
      <c r="V1550" s="197"/>
      <c r="W1550" s="197"/>
      <c r="X1550" s="196"/>
      <c r="Y1550" s="196"/>
      <c r="Z1550" s="196"/>
      <c r="AA1550" s="196"/>
      <c r="AB1550" s="196"/>
      <c r="AC1550" s="197"/>
      <c r="AD1550" s="198"/>
    </row>
    <row r="1551">
      <c r="A1551" s="193"/>
      <c r="B1551" s="194"/>
      <c r="C1551" s="192"/>
      <c r="D1551" s="195"/>
      <c r="E1551" s="192"/>
      <c r="F1551" s="196"/>
      <c r="G1551" s="196"/>
      <c r="H1551" s="197"/>
      <c r="I1551" s="197"/>
      <c r="J1551" s="197"/>
      <c r="K1551" s="197"/>
      <c r="L1551" s="197"/>
      <c r="M1551" s="197"/>
      <c r="N1551" s="197"/>
      <c r="O1551" s="197"/>
      <c r="P1551" s="197"/>
      <c r="Q1551" s="197"/>
      <c r="R1551" s="197"/>
      <c r="S1551" s="197"/>
      <c r="T1551" s="197"/>
      <c r="U1551" s="197"/>
      <c r="V1551" s="197"/>
      <c r="W1551" s="197"/>
      <c r="X1551" s="196"/>
      <c r="Y1551" s="196"/>
      <c r="Z1551" s="196"/>
      <c r="AA1551" s="196"/>
      <c r="AB1551" s="196"/>
      <c r="AC1551" s="197"/>
      <c r="AD1551" s="198"/>
    </row>
    <row r="1552">
      <c r="A1552" s="193"/>
      <c r="B1552" s="194"/>
      <c r="C1552" s="192"/>
      <c r="D1552" s="195"/>
      <c r="E1552" s="192"/>
      <c r="F1552" s="196"/>
      <c r="G1552" s="196"/>
      <c r="H1552" s="197"/>
      <c r="I1552" s="197"/>
      <c r="J1552" s="197"/>
      <c r="K1552" s="197"/>
      <c r="L1552" s="197"/>
      <c r="M1552" s="197"/>
      <c r="N1552" s="197"/>
      <c r="O1552" s="197"/>
      <c r="P1552" s="197"/>
      <c r="Q1552" s="197"/>
      <c r="R1552" s="197"/>
      <c r="S1552" s="197"/>
      <c r="T1552" s="197"/>
      <c r="U1552" s="197"/>
      <c r="V1552" s="197"/>
      <c r="W1552" s="197"/>
      <c r="X1552" s="196"/>
      <c r="Y1552" s="196"/>
      <c r="Z1552" s="196"/>
      <c r="AA1552" s="196"/>
      <c r="AB1552" s="196"/>
      <c r="AC1552" s="197"/>
      <c r="AD1552" s="198"/>
    </row>
    <row r="1553">
      <c r="A1553" s="193"/>
      <c r="B1553" s="194"/>
      <c r="C1553" s="192"/>
      <c r="D1553" s="195"/>
      <c r="E1553" s="192"/>
      <c r="F1553" s="196"/>
      <c r="G1553" s="196"/>
      <c r="H1553" s="197"/>
      <c r="I1553" s="197"/>
      <c r="J1553" s="197"/>
      <c r="K1553" s="197"/>
      <c r="L1553" s="197"/>
      <c r="M1553" s="197"/>
      <c r="N1553" s="197"/>
      <c r="O1553" s="197"/>
      <c r="P1553" s="197"/>
      <c r="Q1553" s="197"/>
      <c r="R1553" s="197"/>
      <c r="S1553" s="197"/>
      <c r="T1553" s="197"/>
      <c r="U1553" s="197"/>
      <c r="V1553" s="197"/>
      <c r="W1553" s="197"/>
      <c r="X1553" s="196"/>
      <c r="Y1553" s="196"/>
      <c r="Z1553" s="196"/>
      <c r="AA1553" s="196"/>
      <c r="AB1553" s="196"/>
      <c r="AC1553" s="197"/>
      <c r="AD1553" s="198"/>
    </row>
    <row r="1554">
      <c r="A1554" s="193"/>
      <c r="B1554" s="194"/>
      <c r="C1554" s="192"/>
      <c r="D1554" s="195"/>
      <c r="E1554" s="192"/>
      <c r="F1554" s="196"/>
      <c r="G1554" s="196"/>
      <c r="H1554" s="197"/>
      <c r="I1554" s="197"/>
      <c r="J1554" s="197"/>
      <c r="K1554" s="197"/>
      <c r="L1554" s="197"/>
      <c r="M1554" s="197"/>
      <c r="N1554" s="197"/>
      <c r="O1554" s="197"/>
      <c r="P1554" s="197"/>
      <c r="Q1554" s="197"/>
      <c r="R1554" s="197"/>
      <c r="S1554" s="197"/>
      <c r="T1554" s="197"/>
      <c r="U1554" s="197"/>
      <c r="V1554" s="197"/>
      <c r="W1554" s="197"/>
      <c r="X1554" s="196"/>
      <c r="Y1554" s="196"/>
      <c r="Z1554" s="196"/>
      <c r="AA1554" s="196"/>
      <c r="AB1554" s="196"/>
      <c r="AC1554" s="197"/>
      <c r="AD1554" s="198"/>
    </row>
    <row r="1555">
      <c r="A1555" s="193"/>
      <c r="B1555" s="194"/>
      <c r="C1555" s="192"/>
      <c r="D1555" s="195"/>
      <c r="E1555" s="192"/>
      <c r="F1555" s="196"/>
      <c r="G1555" s="196"/>
      <c r="H1555" s="197"/>
      <c r="I1555" s="197"/>
      <c r="J1555" s="197"/>
      <c r="K1555" s="197"/>
      <c r="L1555" s="197"/>
      <c r="M1555" s="197"/>
      <c r="N1555" s="197"/>
      <c r="O1555" s="197"/>
      <c r="P1555" s="197"/>
      <c r="Q1555" s="197"/>
      <c r="R1555" s="197"/>
      <c r="S1555" s="197"/>
      <c r="T1555" s="197"/>
      <c r="U1555" s="197"/>
      <c r="V1555" s="197"/>
      <c r="W1555" s="197"/>
      <c r="X1555" s="196"/>
      <c r="Y1555" s="196"/>
      <c r="Z1555" s="196"/>
      <c r="AA1555" s="196"/>
      <c r="AB1555" s="196"/>
      <c r="AC1555" s="197"/>
      <c r="AD1555" s="198"/>
    </row>
    <row r="1556">
      <c r="A1556" s="193"/>
      <c r="B1556" s="194"/>
      <c r="C1556" s="192"/>
      <c r="D1556" s="195"/>
      <c r="E1556" s="192"/>
      <c r="F1556" s="196"/>
      <c r="G1556" s="196"/>
      <c r="H1556" s="197"/>
      <c r="I1556" s="197"/>
      <c r="J1556" s="197"/>
      <c r="K1556" s="197"/>
      <c r="L1556" s="197"/>
      <c r="M1556" s="197"/>
      <c r="N1556" s="197"/>
      <c r="O1556" s="197"/>
      <c r="P1556" s="197"/>
      <c r="Q1556" s="197"/>
      <c r="R1556" s="197"/>
      <c r="S1556" s="197"/>
      <c r="T1556" s="197"/>
      <c r="U1556" s="197"/>
      <c r="V1556" s="197"/>
      <c r="W1556" s="197"/>
      <c r="X1556" s="196"/>
      <c r="Y1556" s="196"/>
      <c r="Z1556" s="196"/>
      <c r="AA1556" s="196"/>
      <c r="AB1556" s="196"/>
      <c r="AC1556" s="197"/>
      <c r="AD1556" s="198"/>
    </row>
    <row r="1557">
      <c r="A1557" s="193"/>
      <c r="B1557" s="194"/>
      <c r="C1557" s="192"/>
      <c r="D1557" s="195"/>
      <c r="E1557" s="192"/>
      <c r="F1557" s="196"/>
      <c r="G1557" s="196"/>
      <c r="H1557" s="197"/>
      <c r="I1557" s="197"/>
      <c r="J1557" s="197"/>
      <c r="K1557" s="197"/>
      <c r="L1557" s="197"/>
      <c r="M1557" s="197"/>
      <c r="N1557" s="197"/>
      <c r="O1557" s="197"/>
      <c r="P1557" s="197"/>
      <c r="Q1557" s="197"/>
      <c r="R1557" s="197"/>
      <c r="S1557" s="197"/>
      <c r="T1557" s="197"/>
      <c r="U1557" s="197"/>
      <c r="V1557" s="197"/>
      <c r="W1557" s="197"/>
      <c r="X1557" s="196"/>
      <c r="Y1557" s="196"/>
      <c r="Z1557" s="196"/>
      <c r="AA1557" s="196"/>
      <c r="AB1557" s="196"/>
      <c r="AC1557" s="197"/>
      <c r="AD1557" s="198"/>
    </row>
    <row r="1558">
      <c r="A1558" s="193"/>
      <c r="B1558" s="194"/>
      <c r="C1558" s="192"/>
      <c r="D1558" s="195"/>
      <c r="E1558" s="192"/>
      <c r="F1558" s="196"/>
      <c r="G1558" s="196"/>
      <c r="H1558" s="197"/>
      <c r="I1558" s="197"/>
      <c r="J1558" s="197"/>
      <c r="K1558" s="197"/>
      <c r="L1558" s="197"/>
      <c r="M1558" s="197"/>
      <c r="N1558" s="197"/>
      <c r="O1558" s="197"/>
      <c r="P1558" s="197"/>
      <c r="Q1558" s="197"/>
      <c r="R1558" s="197"/>
      <c r="S1558" s="197"/>
      <c r="T1558" s="197"/>
      <c r="U1558" s="197"/>
      <c r="V1558" s="197"/>
      <c r="W1558" s="197"/>
      <c r="X1558" s="196"/>
      <c r="Y1558" s="196"/>
      <c r="Z1558" s="196"/>
      <c r="AA1558" s="196"/>
      <c r="AB1558" s="196"/>
      <c r="AC1558" s="197"/>
      <c r="AD1558" s="198"/>
    </row>
    <row r="1559">
      <c r="A1559" s="193"/>
      <c r="B1559" s="194"/>
      <c r="C1559" s="192"/>
      <c r="D1559" s="195"/>
      <c r="E1559" s="192"/>
      <c r="F1559" s="196"/>
      <c r="G1559" s="196"/>
      <c r="H1559" s="197"/>
      <c r="I1559" s="197"/>
      <c r="J1559" s="197"/>
      <c r="K1559" s="197"/>
      <c r="L1559" s="197"/>
      <c r="M1559" s="197"/>
      <c r="N1559" s="197"/>
      <c r="O1559" s="197"/>
      <c r="P1559" s="197"/>
      <c r="Q1559" s="197"/>
      <c r="R1559" s="197"/>
      <c r="S1559" s="197"/>
      <c r="T1559" s="197"/>
      <c r="U1559" s="197"/>
      <c r="V1559" s="197"/>
      <c r="W1559" s="197"/>
      <c r="X1559" s="196"/>
      <c r="Y1559" s="196"/>
      <c r="Z1559" s="196"/>
      <c r="AA1559" s="196"/>
      <c r="AB1559" s="196"/>
      <c r="AC1559" s="197"/>
      <c r="AD1559" s="198"/>
    </row>
    <row r="1560">
      <c r="A1560" s="193"/>
      <c r="B1560" s="194"/>
      <c r="C1560" s="192"/>
      <c r="D1560" s="195"/>
      <c r="E1560" s="192"/>
      <c r="F1560" s="196"/>
      <c r="G1560" s="196"/>
      <c r="H1560" s="197"/>
      <c r="I1560" s="197"/>
      <c r="J1560" s="197"/>
      <c r="K1560" s="197"/>
      <c r="L1560" s="197"/>
      <c r="M1560" s="197"/>
      <c r="N1560" s="197"/>
      <c r="O1560" s="197"/>
      <c r="P1560" s="197"/>
      <c r="Q1560" s="197"/>
      <c r="R1560" s="197"/>
      <c r="S1560" s="197"/>
      <c r="T1560" s="197"/>
      <c r="U1560" s="197"/>
      <c r="V1560" s="197"/>
      <c r="W1560" s="197"/>
      <c r="X1560" s="196"/>
      <c r="Y1560" s="196"/>
      <c r="Z1560" s="196"/>
      <c r="AA1560" s="196"/>
      <c r="AB1560" s="196"/>
      <c r="AC1560" s="197"/>
      <c r="AD1560" s="198"/>
    </row>
    <row r="1561">
      <c r="A1561" s="193"/>
      <c r="B1561" s="194"/>
      <c r="C1561" s="192"/>
      <c r="D1561" s="195"/>
      <c r="E1561" s="192"/>
      <c r="F1561" s="196"/>
      <c r="G1561" s="196"/>
      <c r="H1561" s="197"/>
      <c r="I1561" s="197"/>
      <c r="J1561" s="197"/>
      <c r="K1561" s="197"/>
      <c r="L1561" s="197"/>
      <c r="M1561" s="197"/>
      <c r="N1561" s="197"/>
      <c r="O1561" s="197"/>
      <c r="P1561" s="197"/>
      <c r="Q1561" s="197"/>
      <c r="R1561" s="197"/>
      <c r="S1561" s="197"/>
      <c r="T1561" s="197"/>
      <c r="U1561" s="197"/>
      <c r="V1561" s="197"/>
      <c r="W1561" s="197"/>
      <c r="X1561" s="196"/>
      <c r="Y1561" s="196"/>
      <c r="Z1561" s="196"/>
      <c r="AA1561" s="196"/>
      <c r="AB1561" s="196"/>
      <c r="AC1561" s="197"/>
      <c r="AD1561" s="198"/>
    </row>
    <row r="1562">
      <c r="A1562" s="193"/>
      <c r="B1562" s="194"/>
      <c r="C1562" s="192"/>
      <c r="D1562" s="195"/>
      <c r="E1562" s="192"/>
      <c r="F1562" s="196"/>
      <c r="G1562" s="196"/>
      <c r="H1562" s="197"/>
      <c r="I1562" s="197"/>
      <c r="J1562" s="197"/>
      <c r="K1562" s="197"/>
      <c r="L1562" s="197"/>
      <c r="M1562" s="197"/>
      <c r="N1562" s="197"/>
      <c r="O1562" s="197"/>
      <c r="P1562" s="197"/>
      <c r="Q1562" s="197"/>
      <c r="R1562" s="197"/>
      <c r="S1562" s="197"/>
      <c r="T1562" s="197"/>
      <c r="U1562" s="197"/>
      <c r="V1562" s="197"/>
      <c r="W1562" s="197"/>
      <c r="X1562" s="196"/>
      <c r="Y1562" s="196"/>
      <c r="Z1562" s="196"/>
      <c r="AA1562" s="196"/>
      <c r="AB1562" s="196"/>
      <c r="AC1562" s="197"/>
      <c r="AD1562" s="198"/>
    </row>
    <row r="1563">
      <c r="A1563" s="193"/>
      <c r="B1563" s="194"/>
      <c r="C1563" s="192"/>
      <c r="D1563" s="195"/>
      <c r="E1563" s="192"/>
      <c r="F1563" s="196"/>
      <c r="G1563" s="196"/>
      <c r="H1563" s="197"/>
      <c r="I1563" s="197"/>
      <c r="J1563" s="197"/>
      <c r="K1563" s="197"/>
      <c r="L1563" s="197"/>
      <c r="M1563" s="197"/>
      <c r="N1563" s="197"/>
      <c r="O1563" s="197"/>
      <c r="P1563" s="197"/>
      <c r="Q1563" s="197"/>
      <c r="R1563" s="197"/>
      <c r="S1563" s="197"/>
      <c r="T1563" s="197"/>
      <c r="U1563" s="197"/>
      <c r="V1563" s="197"/>
      <c r="W1563" s="197"/>
      <c r="X1563" s="196"/>
      <c r="Y1563" s="196"/>
      <c r="Z1563" s="196"/>
      <c r="AA1563" s="196"/>
      <c r="AB1563" s="196"/>
      <c r="AC1563" s="197"/>
      <c r="AD1563" s="198"/>
    </row>
    <row r="1564">
      <c r="A1564" s="193"/>
      <c r="B1564" s="194"/>
      <c r="C1564" s="192"/>
      <c r="D1564" s="195"/>
      <c r="E1564" s="192"/>
      <c r="F1564" s="196"/>
      <c r="G1564" s="196"/>
      <c r="H1564" s="197"/>
      <c r="I1564" s="197"/>
      <c r="J1564" s="197"/>
      <c r="K1564" s="197"/>
      <c r="L1564" s="197"/>
      <c r="M1564" s="197"/>
      <c r="N1564" s="197"/>
      <c r="O1564" s="197"/>
      <c r="P1564" s="197"/>
      <c r="Q1564" s="197"/>
      <c r="R1564" s="197"/>
      <c r="S1564" s="197"/>
      <c r="T1564" s="197"/>
      <c r="U1564" s="197"/>
      <c r="V1564" s="197"/>
      <c r="W1564" s="197"/>
      <c r="X1564" s="196"/>
      <c r="Y1564" s="196"/>
      <c r="Z1564" s="196"/>
      <c r="AA1564" s="196"/>
      <c r="AB1564" s="196"/>
      <c r="AC1564" s="197"/>
      <c r="AD1564" s="198"/>
    </row>
    <row r="1565">
      <c r="A1565" s="193"/>
      <c r="B1565" s="194"/>
      <c r="C1565" s="192"/>
      <c r="D1565" s="195"/>
      <c r="E1565" s="192"/>
      <c r="F1565" s="196"/>
      <c r="G1565" s="196"/>
      <c r="H1565" s="197"/>
      <c r="I1565" s="197"/>
      <c r="J1565" s="197"/>
      <c r="K1565" s="197"/>
      <c r="L1565" s="197"/>
      <c r="M1565" s="197"/>
      <c r="N1565" s="197"/>
      <c r="O1565" s="197"/>
      <c r="P1565" s="197"/>
      <c r="Q1565" s="197"/>
      <c r="R1565" s="197"/>
      <c r="S1565" s="197"/>
      <c r="T1565" s="197"/>
      <c r="U1565" s="197"/>
      <c r="V1565" s="197"/>
      <c r="W1565" s="197"/>
      <c r="X1565" s="196"/>
      <c r="Y1565" s="196"/>
      <c r="Z1565" s="196"/>
      <c r="AA1565" s="196"/>
      <c r="AB1565" s="196"/>
      <c r="AC1565" s="197"/>
      <c r="AD1565" s="198"/>
    </row>
    <row r="1566">
      <c r="A1566" s="193"/>
      <c r="B1566" s="194"/>
      <c r="C1566" s="192"/>
      <c r="D1566" s="195"/>
      <c r="E1566" s="192"/>
      <c r="F1566" s="196"/>
      <c r="G1566" s="196"/>
      <c r="H1566" s="197"/>
      <c r="I1566" s="197"/>
      <c r="J1566" s="197"/>
      <c r="K1566" s="197"/>
      <c r="L1566" s="197"/>
      <c r="M1566" s="197"/>
      <c r="N1566" s="197"/>
      <c r="O1566" s="197"/>
      <c r="P1566" s="197"/>
      <c r="Q1566" s="197"/>
      <c r="R1566" s="197"/>
      <c r="S1566" s="197"/>
      <c r="T1566" s="197"/>
      <c r="U1566" s="197"/>
      <c r="V1566" s="197"/>
      <c r="W1566" s="197"/>
      <c r="X1566" s="196"/>
      <c r="Y1566" s="196"/>
      <c r="Z1566" s="196"/>
      <c r="AA1566" s="196"/>
      <c r="AB1566" s="196"/>
      <c r="AC1566" s="197"/>
      <c r="AD1566" s="198"/>
    </row>
    <row r="1567">
      <c r="A1567" s="193"/>
      <c r="B1567" s="194"/>
      <c r="C1567" s="192"/>
      <c r="D1567" s="195"/>
      <c r="E1567" s="192"/>
      <c r="F1567" s="196"/>
      <c r="G1567" s="196"/>
      <c r="H1567" s="197"/>
      <c r="I1567" s="197"/>
      <c r="J1567" s="197"/>
      <c r="K1567" s="197"/>
      <c r="L1567" s="197"/>
      <c r="M1567" s="197"/>
      <c r="N1567" s="197"/>
      <c r="O1567" s="197"/>
      <c r="P1567" s="197"/>
      <c r="Q1567" s="197"/>
      <c r="R1567" s="197"/>
      <c r="S1567" s="197"/>
      <c r="T1567" s="197"/>
      <c r="U1567" s="197"/>
      <c r="V1567" s="197"/>
      <c r="W1567" s="197"/>
      <c r="X1567" s="196"/>
      <c r="Y1567" s="196"/>
      <c r="Z1567" s="196"/>
      <c r="AA1567" s="196"/>
      <c r="AB1567" s="196"/>
      <c r="AC1567" s="197"/>
      <c r="AD1567" s="198"/>
    </row>
    <row r="1568">
      <c r="A1568" s="193"/>
      <c r="B1568" s="194"/>
      <c r="C1568" s="192"/>
      <c r="D1568" s="195"/>
      <c r="E1568" s="192"/>
      <c r="F1568" s="196"/>
      <c r="G1568" s="196"/>
      <c r="H1568" s="197"/>
      <c r="I1568" s="197"/>
      <c r="J1568" s="197"/>
      <c r="K1568" s="197"/>
      <c r="L1568" s="197"/>
      <c r="M1568" s="197"/>
      <c r="N1568" s="197"/>
      <c r="O1568" s="197"/>
      <c r="P1568" s="197"/>
      <c r="Q1568" s="197"/>
      <c r="R1568" s="197"/>
      <c r="S1568" s="197"/>
      <c r="T1568" s="197"/>
      <c r="U1568" s="197"/>
      <c r="V1568" s="197"/>
      <c r="W1568" s="197"/>
      <c r="X1568" s="196"/>
      <c r="Y1568" s="196"/>
      <c r="Z1568" s="196"/>
      <c r="AA1568" s="196"/>
      <c r="AB1568" s="196"/>
      <c r="AC1568" s="197"/>
      <c r="AD1568" s="198"/>
    </row>
    <row r="1569">
      <c r="A1569" s="193"/>
      <c r="B1569" s="194"/>
      <c r="C1569" s="192"/>
      <c r="D1569" s="195"/>
      <c r="E1569" s="192"/>
      <c r="F1569" s="196"/>
      <c r="G1569" s="196"/>
      <c r="H1569" s="197"/>
      <c r="I1569" s="197"/>
      <c r="J1569" s="197"/>
      <c r="K1569" s="197"/>
      <c r="L1569" s="197"/>
      <c r="M1569" s="197"/>
      <c r="N1569" s="197"/>
      <c r="O1569" s="197"/>
      <c r="P1569" s="197"/>
      <c r="Q1569" s="197"/>
      <c r="R1569" s="197"/>
      <c r="S1569" s="197"/>
      <c r="T1569" s="197"/>
      <c r="U1569" s="197"/>
      <c r="V1569" s="197"/>
      <c r="W1569" s="197"/>
      <c r="X1569" s="196"/>
      <c r="Y1569" s="196"/>
      <c r="Z1569" s="196"/>
      <c r="AA1569" s="196"/>
      <c r="AB1569" s="196"/>
      <c r="AC1569" s="197"/>
      <c r="AD1569" s="198"/>
    </row>
    <row r="1570">
      <c r="A1570" s="193"/>
      <c r="B1570" s="194"/>
      <c r="C1570" s="192"/>
      <c r="D1570" s="195"/>
      <c r="E1570" s="192"/>
      <c r="F1570" s="196"/>
      <c r="G1570" s="196"/>
      <c r="H1570" s="197"/>
      <c r="I1570" s="197"/>
      <c r="J1570" s="197"/>
      <c r="K1570" s="197"/>
      <c r="L1570" s="197"/>
      <c r="M1570" s="197"/>
      <c r="N1570" s="197"/>
      <c r="O1570" s="197"/>
      <c r="P1570" s="197"/>
      <c r="Q1570" s="197"/>
      <c r="R1570" s="197"/>
      <c r="S1570" s="197"/>
      <c r="T1570" s="197"/>
      <c r="U1570" s="197"/>
      <c r="V1570" s="197"/>
      <c r="W1570" s="197"/>
      <c r="X1570" s="196"/>
      <c r="Y1570" s="196"/>
      <c r="Z1570" s="196"/>
      <c r="AA1570" s="196"/>
      <c r="AB1570" s="196"/>
      <c r="AC1570" s="197"/>
      <c r="AD1570" s="198"/>
    </row>
    <row r="1571">
      <c r="A1571" s="193"/>
      <c r="B1571" s="194"/>
      <c r="C1571" s="192"/>
      <c r="D1571" s="195"/>
      <c r="E1571" s="192"/>
      <c r="F1571" s="196"/>
      <c r="G1571" s="196"/>
      <c r="H1571" s="197"/>
      <c r="I1571" s="197"/>
      <c r="J1571" s="197"/>
      <c r="K1571" s="197"/>
      <c r="L1571" s="197"/>
      <c r="M1571" s="197"/>
      <c r="N1571" s="197"/>
      <c r="O1571" s="197"/>
      <c r="P1571" s="197"/>
      <c r="Q1571" s="197"/>
      <c r="R1571" s="197"/>
      <c r="S1571" s="197"/>
      <c r="T1571" s="197"/>
      <c r="U1571" s="197"/>
      <c r="V1571" s="197"/>
      <c r="W1571" s="197"/>
      <c r="X1571" s="196"/>
      <c r="Y1571" s="196"/>
      <c r="Z1571" s="196"/>
      <c r="AA1571" s="196"/>
      <c r="AB1571" s="196"/>
      <c r="AC1571" s="197"/>
      <c r="AD1571" s="198"/>
    </row>
    <row r="1572">
      <c r="A1572" s="193"/>
      <c r="B1572" s="194"/>
      <c r="C1572" s="192"/>
      <c r="D1572" s="195"/>
      <c r="E1572" s="192"/>
      <c r="F1572" s="196"/>
      <c r="G1572" s="196"/>
      <c r="H1572" s="197"/>
      <c r="I1572" s="197"/>
      <c r="J1572" s="197"/>
      <c r="K1572" s="197"/>
      <c r="L1572" s="197"/>
      <c r="M1572" s="197"/>
      <c r="N1572" s="197"/>
      <c r="O1572" s="197"/>
      <c r="P1572" s="197"/>
      <c r="Q1572" s="197"/>
      <c r="R1572" s="197"/>
      <c r="S1572" s="197"/>
      <c r="T1572" s="197"/>
      <c r="U1572" s="197"/>
      <c r="V1572" s="197"/>
      <c r="W1572" s="197"/>
      <c r="X1572" s="196"/>
      <c r="Y1572" s="196"/>
      <c r="Z1572" s="196"/>
      <c r="AA1572" s="196"/>
      <c r="AB1572" s="196"/>
      <c r="AC1572" s="197"/>
      <c r="AD1572" s="198"/>
    </row>
    <row r="1573">
      <c r="A1573" s="193"/>
      <c r="B1573" s="194"/>
      <c r="C1573" s="192"/>
      <c r="D1573" s="195"/>
      <c r="E1573" s="192"/>
      <c r="F1573" s="196"/>
      <c r="G1573" s="196"/>
      <c r="H1573" s="197"/>
      <c r="I1573" s="197"/>
      <c r="J1573" s="197"/>
      <c r="K1573" s="197"/>
      <c r="L1573" s="197"/>
      <c r="M1573" s="197"/>
      <c r="N1573" s="197"/>
      <c r="O1573" s="197"/>
      <c r="P1573" s="197"/>
      <c r="Q1573" s="197"/>
      <c r="R1573" s="197"/>
      <c r="S1573" s="197"/>
      <c r="T1573" s="197"/>
      <c r="U1573" s="197"/>
      <c r="V1573" s="197"/>
      <c r="W1573" s="197"/>
      <c r="X1573" s="196"/>
      <c r="Y1573" s="196"/>
      <c r="Z1573" s="196"/>
      <c r="AA1573" s="196"/>
      <c r="AB1573" s="196"/>
      <c r="AC1573" s="197"/>
      <c r="AD1573" s="198"/>
    </row>
    <row r="1574">
      <c r="A1574" s="193"/>
      <c r="B1574" s="194"/>
      <c r="C1574" s="192"/>
      <c r="D1574" s="195"/>
      <c r="E1574" s="192"/>
      <c r="F1574" s="196"/>
      <c r="G1574" s="196"/>
      <c r="H1574" s="197"/>
      <c r="I1574" s="197"/>
      <c r="J1574" s="197"/>
      <c r="K1574" s="197"/>
      <c r="L1574" s="197"/>
      <c r="M1574" s="197"/>
      <c r="N1574" s="197"/>
      <c r="O1574" s="197"/>
      <c r="P1574" s="197"/>
      <c r="Q1574" s="197"/>
      <c r="R1574" s="197"/>
      <c r="S1574" s="197"/>
      <c r="T1574" s="197"/>
      <c r="U1574" s="197"/>
      <c r="V1574" s="197"/>
      <c r="W1574" s="197"/>
      <c r="X1574" s="196"/>
      <c r="Y1574" s="196"/>
      <c r="Z1574" s="196"/>
      <c r="AA1574" s="196"/>
      <c r="AB1574" s="196"/>
      <c r="AC1574" s="197"/>
      <c r="AD1574" s="198"/>
    </row>
    <row r="1575">
      <c r="A1575" s="193"/>
      <c r="B1575" s="194"/>
      <c r="C1575" s="192"/>
      <c r="D1575" s="195"/>
      <c r="E1575" s="192"/>
      <c r="F1575" s="196"/>
      <c r="G1575" s="196"/>
      <c r="H1575" s="197"/>
      <c r="I1575" s="197"/>
      <c r="J1575" s="197"/>
      <c r="K1575" s="197"/>
      <c r="L1575" s="197"/>
      <c r="M1575" s="197"/>
      <c r="N1575" s="197"/>
      <c r="O1575" s="197"/>
      <c r="P1575" s="197"/>
      <c r="Q1575" s="197"/>
      <c r="R1575" s="197"/>
      <c r="S1575" s="197"/>
      <c r="T1575" s="197"/>
      <c r="U1575" s="197"/>
      <c r="V1575" s="197"/>
      <c r="W1575" s="197"/>
      <c r="X1575" s="196"/>
      <c r="Y1575" s="196"/>
      <c r="Z1575" s="196"/>
      <c r="AA1575" s="196"/>
      <c r="AB1575" s="196"/>
      <c r="AC1575" s="197"/>
      <c r="AD1575" s="198"/>
    </row>
    <row r="1576">
      <c r="A1576" s="193"/>
      <c r="B1576" s="194"/>
      <c r="C1576" s="192"/>
      <c r="D1576" s="195"/>
      <c r="E1576" s="192"/>
      <c r="F1576" s="196"/>
      <c r="G1576" s="196"/>
      <c r="H1576" s="197"/>
      <c r="I1576" s="197"/>
      <c r="J1576" s="197"/>
      <c r="K1576" s="197"/>
      <c r="L1576" s="197"/>
      <c r="M1576" s="197"/>
      <c r="N1576" s="197"/>
      <c r="O1576" s="197"/>
      <c r="P1576" s="197"/>
      <c r="Q1576" s="197"/>
      <c r="R1576" s="197"/>
      <c r="S1576" s="197"/>
      <c r="T1576" s="197"/>
      <c r="U1576" s="197"/>
      <c r="V1576" s="197"/>
      <c r="W1576" s="197"/>
      <c r="X1576" s="196"/>
      <c r="Y1576" s="196"/>
      <c r="Z1576" s="196"/>
      <c r="AA1576" s="196"/>
      <c r="AB1576" s="196"/>
      <c r="AC1576" s="197"/>
      <c r="AD1576" s="198"/>
    </row>
    <row r="1577">
      <c r="A1577" s="193"/>
      <c r="B1577" s="194"/>
      <c r="C1577" s="192"/>
      <c r="D1577" s="195"/>
      <c r="E1577" s="192"/>
      <c r="F1577" s="196"/>
      <c r="G1577" s="196"/>
      <c r="H1577" s="197"/>
      <c r="I1577" s="197"/>
      <c r="J1577" s="197"/>
      <c r="K1577" s="197"/>
      <c r="L1577" s="197"/>
      <c r="M1577" s="197"/>
      <c r="N1577" s="197"/>
      <c r="O1577" s="197"/>
      <c r="P1577" s="197"/>
      <c r="Q1577" s="197"/>
      <c r="R1577" s="197"/>
      <c r="S1577" s="197"/>
      <c r="T1577" s="197"/>
      <c r="U1577" s="197"/>
      <c r="V1577" s="197"/>
      <c r="W1577" s="197"/>
      <c r="X1577" s="196"/>
      <c r="Y1577" s="196"/>
      <c r="Z1577" s="196"/>
      <c r="AA1577" s="196"/>
      <c r="AB1577" s="196"/>
      <c r="AC1577" s="197"/>
      <c r="AD1577" s="198"/>
    </row>
    <row r="1578">
      <c r="A1578" s="193"/>
      <c r="B1578" s="194"/>
      <c r="C1578" s="192"/>
      <c r="D1578" s="195"/>
      <c r="E1578" s="192"/>
      <c r="F1578" s="196"/>
      <c r="G1578" s="196"/>
      <c r="H1578" s="197"/>
      <c r="I1578" s="197"/>
      <c r="J1578" s="197"/>
      <c r="K1578" s="197"/>
      <c r="L1578" s="197"/>
      <c r="M1578" s="197"/>
      <c r="N1578" s="197"/>
      <c r="O1578" s="197"/>
      <c r="P1578" s="197"/>
      <c r="Q1578" s="197"/>
      <c r="R1578" s="197"/>
      <c r="S1578" s="197"/>
      <c r="T1578" s="197"/>
      <c r="U1578" s="197"/>
      <c r="V1578" s="197"/>
      <c r="W1578" s="197"/>
      <c r="X1578" s="196"/>
      <c r="Y1578" s="196"/>
      <c r="Z1578" s="196"/>
      <c r="AA1578" s="196"/>
      <c r="AB1578" s="196"/>
      <c r="AC1578" s="197"/>
      <c r="AD1578" s="198"/>
    </row>
    <row r="1579">
      <c r="A1579" s="193"/>
      <c r="B1579" s="194"/>
      <c r="C1579" s="192"/>
      <c r="D1579" s="195"/>
      <c r="E1579" s="192"/>
      <c r="F1579" s="196"/>
      <c r="G1579" s="196"/>
      <c r="H1579" s="197"/>
      <c r="I1579" s="197"/>
      <c r="J1579" s="197"/>
      <c r="K1579" s="197"/>
      <c r="L1579" s="197"/>
      <c r="M1579" s="197"/>
      <c r="N1579" s="197"/>
      <c r="O1579" s="197"/>
      <c r="P1579" s="197"/>
      <c r="Q1579" s="197"/>
      <c r="R1579" s="197"/>
      <c r="S1579" s="197"/>
      <c r="T1579" s="197"/>
      <c r="U1579" s="197"/>
      <c r="V1579" s="197"/>
      <c r="W1579" s="197"/>
      <c r="X1579" s="196"/>
      <c r="Y1579" s="196"/>
      <c r="Z1579" s="196"/>
      <c r="AA1579" s="196"/>
      <c r="AB1579" s="196"/>
      <c r="AC1579" s="197"/>
      <c r="AD1579" s="198"/>
    </row>
    <row r="1580">
      <c r="A1580" s="193"/>
      <c r="B1580" s="194"/>
      <c r="C1580" s="192"/>
      <c r="D1580" s="195"/>
      <c r="E1580" s="192"/>
      <c r="F1580" s="196"/>
      <c r="G1580" s="196"/>
      <c r="H1580" s="197"/>
      <c r="I1580" s="197"/>
      <c r="J1580" s="197"/>
      <c r="K1580" s="197"/>
      <c r="L1580" s="197"/>
      <c r="M1580" s="197"/>
      <c r="N1580" s="197"/>
      <c r="O1580" s="197"/>
      <c r="P1580" s="197"/>
      <c r="Q1580" s="197"/>
      <c r="R1580" s="197"/>
      <c r="S1580" s="197"/>
      <c r="T1580" s="197"/>
      <c r="U1580" s="197"/>
      <c r="V1580" s="197"/>
      <c r="W1580" s="197"/>
      <c r="X1580" s="196"/>
      <c r="Y1580" s="196"/>
      <c r="Z1580" s="196"/>
      <c r="AA1580" s="196"/>
      <c r="AB1580" s="196"/>
      <c r="AC1580" s="197"/>
      <c r="AD1580" s="198"/>
    </row>
    <row r="1581">
      <c r="A1581" s="193"/>
      <c r="B1581" s="194"/>
      <c r="C1581" s="192"/>
      <c r="D1581" s="195"/>
      <c r="E1581" s="192"/>
      <c r="F1581" s="196"/>
      <c r="G1581" s="196"/>
      <c r="H1581" s="197"/>
      <c r="I1581" s="197"/>
      <c r="J1581" s="197"/>
      <c r="K1581" s="197"/>
      <c r="L1581" s="197"/>
      <c r="M1581" s="197"/>
      <c r="N1581" s="197"/>
      <c r="O1581" s="197"/>
      <c r="P1581" s="197"/>
      <c r="Q1581" s="197"/>
      <c r="R1581" s="197"/>
      <c r="S1581" s="197"/>
      <c r="T1581" s="197"/>
      <c r="U1581" s="197"/>
      <c r="V1581" s="197"/>
      <c r="W1581" s="197"/>
      <c r="X1581" s="196"/>
      <c r="Y1581" s="196"/>
      <c r="Z1581" s="196"/>
      <c r="AA1581" s="196"/>
      <c r="AB1581" s="196"/>
      <c r="AC1581" s="197"/>
      <c r="AD1581" s="198"/>
    </row>
    <row r="1582">
      <c r="A1582" s="193"/>
      <c r="B1582" s="194"/>
      <c r="C1582" s="192"/>
      <c r="D1582" s="195"/>
      <c r="E1582" s="192"/>
      <c r="F1582" s="196"/>
      <c r="G1582" s="196"/>
      <c r="H1582" s="197"/>
      <c r="I1582" s="197"/>
      <c r="J1582" s="197"/>
      <c r="K1582" s="197"/>
      <c r="L1582" s="197"/>
      <c r="M1582" s="197"/>
      <c r="N1582" s="197"/>
      <c r="O1582" s="197"/>
      <c r="P1582" s="197"/>
      <c r="Q1582" s="197"/>
      <c r="R1582" s="197"/>
      <c r="S1582" s="197"/>
      <c r="T1582" s="197"/>
      <c r="U1582" s="197"/>
      <c r="V1582" s="197"/>
      <c r="W1582" s="197"/>
      <c r="X1582" s="196"/>
      <c r="Y1582" s="196"/>
      <c r="Z1582" s="196"/>
      <c r="AA1582" s="196"/>
      <c r="AB1582" s="196"/>
      <c r="AC1582" s="197"/>
      <c r="AD1582" s="198"/>
    </row>
    <row r="1583">
      <c r="A1583" s="193"/>
      <c r="B1583" s="194"/>
      <c r="C1583" s="192"/>
      <c r="D1583" s="195"/>
      <c r="E1583" s="192"/>
      <c r="F1583" s="196"/>
      <c r="G1583" s="196"/>
      <c r="H1583" s="197"/>
      <c r="I1583" s="197"/>
      <c r="J1583" s="197"/>
      <c r="K1583" s="197"/>
      <c r="L1583" s="197"/>
      <c r="M1583" s="197"/>
      <c r="N1583" s="197"/>
      <c r="O1583" s="197"/>
      <c r="P1583" s="197"/>
      <c r="Q1583" s="197"/>
      <c r="R1583" s="197"/>
      <c r="S1583" s="197"/>
      <c r="T1583" s="197"/>
      <c r="U1583" s="197"/>
      <c r="V1583" s="197"/>
      <c r="W1583" s="197"/>
      <c r="X1583" s="196"/>
      <c r="Y1583" s="196"/>
      <c r="Z1583" s="196"/>
      <c r="AA1583" s="196"/>
      <c r="AB1583" s="196"/>
      <c r="AC1583" s="197"/>
      <c r="AD1583" s="198"/>
    </row>
    <row r="1584">
      <c r="A1584" s="193"/>
      <c r="B1584" s="194"/>
      <c r="C1584" s="192"/>
      <c r="D1584" s="195"/>
      <c r="E1584" s="192"/>
      <c r="F1584" s="196"/>
      <c r="G1584" s="196"/>
      <c r="H1584" s="197"/>
      <c r="I1584" s="197"/>
      <c r="J1584" s="197"/>
      <c r="K1584" s="197"/>
      <c r="L1584" s="197"/>
      <c r="M1584" s="197"/>
      <c r="N1584" s="197"/>
      <c r="O1584" s="197"/>
      <c r="P1584" s="197"/>
      <c r="Q1584" s="197"/>
      <c r="R1584" s="197"/>
      <c r="S1584" s="197"/>
      <c r="T1584" s="197"/>
      <c r="U1584" s="197"/>
      <c r="V1584" s="197"/>
      <c r="W1584" s="197"/>
      <c r="X1584" s="196"/>
      <c r="Y1584" s="196"/>
      <c r="Z1584" s="196"/>
      <c r="AA1584" s="196"/>
      <c r="AB1584" s="196"/>
      <c r="AC1584" s="197"/>
      <c r="AD1584" s="198"/>
    </row>
    <row r="1585">
      <c r="A1585" s="193"/>
      <c r="B1585" s="194"/>
      <c r="C1585" s="192"/>
      <c r="D1585" s="195"/>
      <c r="E1585" s="192"/>
      <c r="F1585" s="196"/>
      <c r="G1585" s="196"/>
      <c r="H1585" s="197"/>
      <c r="I1585" s="197"/>
      <c r="J1585" s="197"/>
      <c r="K1585" s="197"/>
      <c r="L1585" s="197"/>
      <c r="M1585" s="197"/>
      <c r="N1585" s="197"/>
      <c r="O1585" s="197"/>
      <c r="P1585" s="197"/>
      <c r="Q1585" s="197"/>
      <c r="R1585" s="197"/>
      <c r="S1585" s="197"/>
      <c r="T1585" s="197"/>
      <c r="U1585" s="197"/>
      <c r="V1585" s="197"/>
      <c r="W1585" s="197"/>
      <c r="X1585" s="196"/>
      <c r="Y1585" s="196"/>
      <c r="Z1585" s="196"/>
      <c r="AA1585" s="196"/>
      <c r="AB1585" s="196"/>
      <c r="AC1585" s="197"/>
      <c r="AD1585" s="198"/>
    </row>
    <row r="1586">
      <c r="A1586" s="193"/>
      <c r="B1586" s="194"/>
      <c r="C1586" s="192"/>
      <c r="D1586" s="195"/>
      <c r="E1586" s="192"/>
      <c r="F1586" s="196"/>
      <c r="G1586" s="196"/>
      <c r="H1586" s="197"/>
      <c r="I1586" s="197"/>
      <c r="J1586" s="197"/>
      <c r="K1586" s="197"/>
      <c r="L1586" s="197"/>
      <c r="M1586" s="197"/>
      <c r="N1586" s="197"/>
      <c r="O1586" s="197"/>
      <c r="P1586" s="197"/>
      <c r="Q1586" s="197"/>
      <c r="R1586" s="197"/>
      <c r="S1586" s="197"/>
      <c r="T1586" s="197"/>
      <c r="U1586" s="197"/>
      <c r="V1586" s="197"/>
      <c r="W1586" s="197"/>
      <c r="X1586" s="196"/>
      <c r="Y1586" s="196"/>
      <c r="Z1586" s="196"/>
      <c r="AA1586" s="196"/>
      <c r="AB1586" s="196"/>
      <c r="AC1586" s="197"/>
      <c r="AD1586" s="198"/>
    </row>
    <row r="1587">
      <c r="A1587" s="193"/>
      <c r="B1587" s="194"/>
      <c r="C1587" s="192"/>
      <c r="D1587" s="195"/>
      <c r="E1587" s="192"/>
      <c r="F1587" s="196"/>
      <c r="G1587" s="196"/>
      <c r="H1587" s="197"/>
      <c r="I1587" s="197"/>
      <c r="J1587" s="197"/>
      <c r="K1587" s="197"/>
      <c r="L1587" s="197"/>
      <c r="M1587" s="197"/>
      <c r="N1587" s="197"/>
      <c r="O1587" s="197"/>
      <c r="P1587" s="197"/>
      <c r="Q1587" s="197"/>
      <c r="R1587" s="197"/>
      <c r="S1587" s="197"/>
      <c r="T1587" s="197"/>
      <c r="U1587" s="197"/>
      <c r="V1587" s="197"/>
      <c r="W1587" s="197"/>
      <c r="X1587" s="196"/>
      <c r="Y1587" s="196"/>
      <c r="Z1587" s="196"/>
      <c r="AA1587" s="196"/>
      <c r="AB1587" s="196"/>
      <c r="AC1587" s="197"/>
      <c r="AD1587" s="198"/>
    </row>
    <row r="1588">
      <c r="A1588" s="193"/>
      <c r="B1588" s="194"/>
      <c r="C1588" s="192"/>
      <c r="D1588" s="195"/>
      <c r="E1588" s="192"/>
      <c r="F1588" s="196"/>
      <c r="G1588" s="196"/>
      <c r="H1588" s="197"/>
      <c r="I1588" s="197"/>
      <c r="J1588" s="197"/>
      <c r="K1588" s="197"/>
      <c r="L1588" s="197"/>
      <c r="M1588" s="197"/>
      <c r="N1588" s="197"/>
      <c r="O1588" s="197"/>
      <c r="P1588" s="197"/>
      <c r="Q1588" s="197"/>
      <c r="R1588" s="197"/>
      <c r="S1588" s="197"/>
      <c r="T1588" s="197"/>
      <c r="U1588" s="197"/>
      <c r="V1588" s="197"/>
      <c r="W1588" s="197"/>
      <c r="X1588" s="196"/>
      <c r="Y1588" s="196"/>
      <c r="Z1588" s="196"/>
      <c r="AA1588" s="196"/>
      <c r="AB1588" s="196"/>
      <c r="AC1588" s="197"/>
      <c r="AD1588" s="198"/>
    </row>
    <row r="1589">
      <c r="A1589" s="193"/>
      <c r="B1589" s="194"/>
      <c r="C1589" s="192"/>
      <c r="D1589" s="195"/>
      <c r="E1589" s="192"/>
      <c r="F1589" s="196"/>
      <c r="G1589" s="196"/>
      <c r="H1589" s="197"/>
      <c r="I1589" s="197"/>
      <c r="J1589" s="197"/>
      <c r="K1589" s="197"/>
      <c r="L1589" s="197"/>
      <c r="M1589" s="197"/>
      <c r="N1589" s="197"/>
      <c r="O1589" s="197"/>
      <c r="P1589" s="197"/>
      <c r="Q1589" s="197"/>
      <c r="R1589" s="197"/>
      <c r="S1589" s="197"/>
      <c r="T1589" s="197"/>
      <c r="U1589" s="197"/>
      <c r="V1589" s="197"/>
      <c r="W1589" s="197"/>
      <c r="X1589" s="196"/>
      <c r="Y1589" s="196"/>
      <c r="Z1589" s="196"/>
      <c r="AA1589" s="196"/>
      <c r="AB1589" s="196"/>
      <c r="AC1589" s="197"/>
      <c r="AD1589" s="198"/>
    </row>
    <row r="1590">
      <c r="A1590" s="193"/>
      <c r="B1590" s="194"/>
      <c r="C1590" s="192"/>
      <c r="D1590" s="195"/>
      <c r="E1590" s="192"/>
      <c r="F1590" s="196"/>
      <c r="G1590" s="196"/>
      <c r="H1590" s="197"/>
      <c r="I1590" s="197"/>
      <c r="J1590" s="197"/>
      <c r="K1590" s="197"/>
      <c r="L1590" s="197"/>
      <c r="M1590" s="197"/>
      <c r="N1590" s="197"/>
      <c r="O1590" s="197"/>
      <c r="P1590" s="197"/>
      <c r="Q1590" s="197"/>
      <c r="R1590" s="197"/>
      <c r="S1590" s="197"/>
      <c r="T1590" s="197"/>
      <c r="U1590" s="197"/>
      <c r="V1590" s="197"/>
      <c r="W1590" s="197"/>
      <c r="X1590" s="196"/>
      <c r="Y1590" s="196"/>
      <c r="Z1590" s="196"/>
      <c r="AA1590" s="196"/>
      <c r="AB1590" s="196"/>
      <c r="AC1590" s="197"/>
      <c r="AD1590" s="198"/>
    </row>
    <row r="1591">
      <c r="A1591" s="193"/>
      <c r="B1591" s="194"/>
      <c r="C1591" s="192"/>
      <c r="D1591" s="195"/>
      <c r="E1591" s="192"/>
      <c r="F1591" s="196"/>
      <c r="G1591" s="196"/>
      <c r="H1591" s="197"/>
      <c r="I1591" s="197"/>
      <c r="J1591" s="197"/>
      <c r="K1591" s="197"/>
      <c r="L1591" s="197"/>
      <c r="M1591" s="197"/>
      <c r="N1591" s="197"/>
      <c r="O1591" s="197"/>
      <c r="P1591" s="197"/>
      <c r="Q1591" s="197"/>
      <c r="R1591" s="197"/>
      <c r="S1591" s="197"/>
      <c r="T1591" s="197"/>
      <c r="U1591" s="197"/>
      <c r="V1591" s="197"/>
      <c r="W1591" s="197"/>
      <c r="X1591" s="196"/>
      <c r="Y1591" s="196"/>
      <c r="Z1591" s="196"/>
      <c r="AA1591" s="196"/>
      <c r="AB1591" s="196"/>
      <c r="AC1591" s="197"/>
      <c r="AD1591" s="198"/>
    </row>
    <row r="1592">
      <c r="A1592" s="193"/>
      <c r="B1592" s="194"/>
      <c r="C1592" s="192"/>
      <c r="D1592" s="195"/>
      <c r="E1592" s="192"/>
      <c r="F1592" s="196"/>
      <c r="G1592" s="196"/>
      <c r="H1592" s="197"/>
      <c r="I1592" s="197"/>
      <c r="J1592" s="197"/>
      <c r="K1592" s="197"/>
      <c r="L1592" s="197"/>
      <c r="M1592" s="197"/>
      <c r="N1592" s="197"/>
      <c r="O1592" s="197"/>
      <c r="P1592" s="197"/>
      <c r="Q1592" s="197"/>
      <c r="R1592" s="197"/>
      <c r="S1592" s="197"/>
      <c r="T1592" s="197"/>
      <c r="U1592" s="197"/>
      <c r="V1592" s="197"/>
      <c r="W1592" s="197"/>
      <c r="X1592" s="196"/>
      <c r="Y1592" s="196"/>
      <c r="Z1592" s="196"/>
      <c r="AA1592" s="196"/>
      <c r="AB1592" s="196"/>
      <c r="AC1592" s="197"/>
      <c r="AD1592" s="198"/>
    </row>
    <row r="1593">
      <c r="A1593" s="193"/>
      <c r="B1593" s="194"/>
      <c r="C1593" s="192"/>
      <c r="D1593" s="195"/>
      <c r="E1593" s="192"/>
      <c r="F1593" s="196"/>
      <c r="G1593" s="196"/>
      <c r="H1593" s="197"/>
      <c r="I1593" s="197"/>
      <c r="J1593" s="197"/>
      <c r="K1593" s="197"/>
      <c r="L1593" s="197"/>
      <c r="M1593" s="197"/>
      <c r="N1593" s="197"/>
      <c r="O1593" s="197"/>
      <c r="P1593" s="197"/>
      <c r="Q1593" s="197"/>
      <c r="R1593" s="197"/>
      <c r="S1593" s="197"/>
      <c r="T1593" s="197"/>
      <c r="U1593" s="197"/>
      <c r="V1593" s="197"/>
      <c r="W1593" s="197"/>
      <c r="X1593" s="196"/>
      <c r="Y1593" s="196"/>
      <c r="Z1593" s="196"/>
      <c r="AA1593" s="196"/>
      <c r="AB1593" s="196"/>
      <c r="AC1593" s="197"/>
      <c r="AD1593" s="198"/>
    </row>
    <row r="1594">
      <c r="A1594" s="193"/>
      <c r="B1594" s="194"/>
      <c r="C1594" s="192"/>
      <c r="D1594" s="195"/>
      <c r="E1594" s="192"/>
      <c r="F1594" s="196"/>
      <c r="G1594" s="196"/>
      <c r="H1594" s="197"/>
      <c r="I1594" s="197"/>
      <c r="J1594" s="197"/>
      <c r="K1594" s="197"/>
      <c r="L1594" s="197"/>
      <c r="M1594" s="197"/>
      <c r="N1594" s="197"/>
      <c r="O1594" s="197"/>
      <c r="P1594" s="197"/>
      <c r="Q1594" s="197"/>
      <c r="R1594" s="197"/>
      <c r="S1594" s="197"/>
      <c r="T1594" s="197"/>
      <c r="U1594" s="197"/>
      <c r="V1594" s="197"/>
      <c r="W1594" s="197"/>
      <c r="X1594" s="196"/>
      <c r="Y1594" s="196"/>
      <c r="Z1594" s="196"/>
      <c r="AA1594" s="196"/>
      <c r="AB1594" s="196"/>
      <c r="AC1594" s="197"/>
      <c r="AD1594" s="198"/>
    </row>
    <row r="1595">
      <c r="A1595" s="193"/>
      <c r="B1595" s="194"/>
      <c r="C1595" s="192"/>
      <c r="D1595" s="195"/>
      <c r="E1595" s="192"/>
      <c r="F1595" s="196"/>
      <c r="G1595" s="196"/>
      <c r="H1595" s="197"/>
      <c r="I1595" s="197"/>
      <c r="J1595" s="197"/>
      <c r="K1595" s="197"/>
      <c r="L1595" s="197"/>
      <c r="M1595" s="197"/>
      <c r="N1595" s="197"/>
      <c r="O1595" s="197"/>
      <c r="P1595" s="197"/>
      <c r="Q1595" s="197"/>
      <c r="R1595" s="197"/>
      <c r="S1595" s="197"/>
      <c r="T1595" s="197"/>
      <c r="U1595" s="197"/>
      <c r="V1595" s="197"/>
      <c r="W1595" s="197"/>
      <c r="X1595" s="196"/>
      <c r="Y1595" s="196"/>
      <c r="Z1595" s="196"/>
      <c r="AA1595" s="196"/>
      <c r="AB1595" s="196"/>
      <c r="AC1595" s="197"/>
      <c r="AD1595" s="198"/>
    </row>
    <row r="1596">
      <c r="A1596" s="193"/>
      <c r="B1596" s="194"/>
      <c r="C1596" s="192"/>
      <c r="D1596" s="195"/>
      <c r="E1596" s="192"/>
      <c r="F1596" s="196"/>
      <c r="G1596" s="196"/>
      <c r="H1596" s="197"/>
      <c r="I1596" s="197"/>
      <c r="J1596" s="197"/>
      <c r="K1596" s="197"/>
      <c r="L1596" s="197"/>
      <c r="M1596" s="197"/>
      <c r="N1596" s="197"/>
      <c r="O1596" s="197"/>
      <c r="P1596" s="197"/>
      <c r="Q1596" s="197"/>
      <c r="R1596" s="197"/>
      <c r="S1596" s="197"/>
      <c r="T1596" s="197"/>
      <c r="U1596" s="197"/>
      <c r="V1596" s="197"/>
      <c r="W1596" s="197"/>
      <c r="X1596" s="196"/>
      <c r="Y1596" s="196"/>
      <c r="Z1596" s="196"/>
      <c r="AA1596" s="196"/>
      <c r="AB1596" s="196"/>
      <c r="AC1596" s="197"/>
      <c r="AD1596" s="198"/>
    </row>
    <row r="1597">
      <c r="A1597" s="193"/>
      <c r="B1597" s="194"/>
      <c r="C1597" s="192"/>
      <c r="D1597" s="195"/>
      <c r="E1597" s="192"/>
      <c r="F1597" s="196"/>
      <c r="G1597" s="196"/>
      <c r="H1597" s="197"/>
      <c r="I1597" s="197"/>
      <c r="J1597" s="197"/>
      <c r="K1597" s="197"/>
      <c r="L1597" s="197"/>
      <c r="M1597" s="197"/>
      <c r="N1597" s="197"/>
      <c r="O1597" s="197"/>
      <c r="P1597" s="197"/>
      <c r="Q1597" s="197"/>
      <c r="R1597" s="197"/>
      <c r="S1597" s="197"/>
      <c r="T1597" s="197"/>
      <c r="U1597" s="197"/>
      <c r="V1597" s="197"/>
      <c r="W1597" s="197"/>
      <c r="X1597" s="196"/>
      <c r="Y1597" s="196"/>
      <c r="Z1597" s="196"/>
      <c r="AA1597" s="196"/>
      <c r="AB1597" s="196"/>
      <c r="AC1597" s="197"/>
      <c r="AD1597" s="198"/>
    </row>
    <row r="1598">
      <c r="A1598" s="193"/>
      <c r="B1598" s="194"/>
      <c r="C1598" s="192"/>
      <c r="D1598" s="195"/>
      <c r="E1598" s="192"/>
      <c r="F1598" s="196"/>
      <c r="G1598" s="196"/>
      <c r="H1598" s="197"/>
      <c r="I1598" s="197"/>
      <c r="J1598" s="197"/>
      <c r="K1598" s="197"/>
      <c r="L1598" s="197"/>
      <c r="M1598" s="197"/>
      <c r="N1598" s="197"/>
      <c r="O1598" s="197"/>
      <c r="P1598" s="197"/>
      <c r="Q1598" s="197"/>
      <c r="R1598" s="197"/>
      <c r="S1598" s="197"/>
      <c r="T1598" s="197"/>
      <c r="U1598" s="197"/>
      <c r="V1598" s="197"/>
      <c r="W1598" s="197"/>
      <c r="X1598" s="196"/>
      <c r="Y1598" s="196"/>
      <c r="Z1598" s="196"/>
      <c r="AA1598" s="196"/>
      <c r="AB1598" s="196"/>
      <c r="AC1598" s="197"/>
      <c r="AD1598" s="198"/>
    </row>
    <row r="1599">
      <c r="A1599" s="193"/>
      <c r="B1599" s="194"/>
      <c r="C1599" s="192"/>
      <c r="D1599" s="195"/>
      <c r="E1599" s="192"/>
      <c r="F1599" s="196"/>
      <c r="G1599" s="196"/>
      <c r="H1599" s="197"/>
      <c r="I1599" s="197"/>
      <c r="J1599" s="197"/>
      <c r="K1599" s="197"/>
      <c r="L1599" s="197"/>
      <c r="M1599" s="197"/>
      <c r="N1599" s="197"/>
      <c r="O1599" s="197"/>
      <c r="P1599" s="197"/>
      <c r="Q1599" s="197"/>
      <c r="R1599" s="197"/>
      <c r="S1599" s="197"/>
      <c r="T1599" s="197"/>
      <c r="U1599" s="197"/>
      <c r="V1599" s="197"/>
      <c r="W1599" s="197"/>
      <c r="X1599" s="196"/>
      <c r="Y1599" s="196"/>
      <c r="Z1599" s="196"/>
      <c r="AA1599" s="196"/>
      <c r="AB1599" s="196"/>
      <c r="AC1599" s="197"/>
      <c r="AD1599" s="198"/>
    </row>
    <row r="1600">
      <c r="A1600" s="193"/>
      <c r="B1600" s="194"/>
      <c r="C1600" s="192"/>
      <c r="D1600" s="195"/>
      <c r="E1600" s="192"/>
      <c r="F1600" s="196"/>
      <c r="G1600" s="196"/>
      <c r="H1600" s="197"/>
      <c r="I1600" s="197"/>
      <c r="J1600" s="197"/>
      <c r="K1600" s="197"/>
      <c r="L1600" s="197"/>
      <c r="M1600" s="197"/>
      <c r="N1600" s="197"/>
      <c r="O1600" s="197"/>
      <c r="P1600" s="197"/>
      <c r="Q1600" s="197"/>
      <c r="R1600" s="197"/>
      <c r="S1600" s="197"/>
      <c r="T1600" s="197"/>
      <c r="U1600" s="197"/>
      <c r="V1600" s="197"/>
      <c r="W1600" s="197"/>
      <c r="X1600" s="196"/>
      <c r="Y1600" s="196"/>
      <c r="Z1600" s="196"/>
      <c r="AA1600" s="196"/>
      <c r="AB1600" s="196"/>
      <c r="AC1600" s="197"/>
      <c r="AD1600" s="198"/>
    </row>
    <row r="1601">
      <c r="A1601" s="193"/>
      <c r="B1601" s="194"/>
      <c r="C1601" s="192"/>
      <c r="D1601" s="195"/>
      <c r="E1601" s="192"/>
      <c r="F1601" s="196"/>
      <c r="G1601" s="196"/>
      <c r="H1601" s="197"/>
      <c r="I1601" s="197"/>
      <c r="J1601" s="197"/>
      <c r="K1601" s="197"/>
      <c r="L1601" s="197"/>
      <c r="M1601" s="197"/>
      <c r="N1601" s="197"/>
      <c r="O1601" s="197"/>
      <c r="P1601" s="197"/>
      <c r="Q1601" s="197"/>
      <c r="R1601" s="197"/>
      <c r="S1601" s="197"/>
      <c r="T1601" s="197"/>
      <c r="U1601" s="197"/>
      <c r="V1601" s="197"/>
      <c r="W1601" s="197"/>
      <c r="X1601" s="196"/>
      <c r="Y1601" s="196"/>
      <c r="Z1601" s="196"/>
      <c r="AA1601" s="196"/>
      <c r="AB1601" s="196"/>
      <c r="AC1601" s="197"/>
      <c r="AD1601" s="198"/>
    </row>
    <row r="1602">
      <c r="A1602" s="193"/>
      <c r="B1602" s="194"/>
      <c r="C1602" s="192"/>
      <c r="D1602" s="195"/>
      <c r="E1602" s="192"/>
      <c r="F1602" s="196"/>
      <c r="G1602" s="196"/>
      <c r="H1602" s="197"/>
      <c r="I1602" s="197"/>
      <c r="J1602" s="197"/>
      <c r="K1602" s="197"/>
      <c r="L1602" s="197"/>
      <c r="M1602" s="197"/>
      <c r="N1602" s="197"/>
      <c r="O1602" s="197"/>
      <c r="P1602" s="197"/>
      <c r="Q1602" s="197"/>
      <c r="R1602" s="197"/>
      <c r="S1602" s="197"/>
      <c r="T1602" s="197"/>
      <c r="U1602" s="197"/>
      <c r="V1602" s="197"/>
      <c r="W1602" s="197"/>
      <c r="X1602" s="196"/>
      <c r="Y1602" s="196"/>
      <c r="Z1602" s="196"/>
      <c r="AA1602" s="196"/>
      <c r="AB1602" s="196"/>
      <c r="AC1602" s="197"/>
      <c r="AD1602" s="198"/>
    </row>
    <row r="1603">
      <c r="A1603" s="193"/>
      <c r="B1603" s="194"/>
      <c r="C1603" s="192"/>
      <c r="D1603" s="195"/>
      <c r="E1603" s="192"/>
      <c r="F1603" s="196"/>
      <c r="G1603" s="196"/>
      <c r="H1603" s="197"/>
      <c r="I1603" s="197"/>
      <c r="J1603" s="197"/>
      <c r="K1603" s="197"/>
      <c r="L1603" s="197"/>
      <c r="M1603" s="197"/>
      <c r="N1603" s="197"/>
      <c r="O1603" s="197"/>
      <c r="P1603" s="197"/>
      <c r="Q1603" s="197"/>
      <c r="R1603" s="197"/>
      <c r="S1603" s="197"/>
      <c r="T1603" s="197"/>
      <c r="U1603" s="197"/>
      <c r="V1603" s="197"/>
      <c r="W1603" s="197"/>
      <c r="X1603" s="196"/>
      <c r="Y1603" s="196"/>
      <c r="Z1603" s="196"/>
      <c r="AA1603" s="196"/>
      <c r="AB1603" s="196"/>
      <c r="AC1603" s="197"/>
      <c r="AD1603" s="198"/>
    </row>
    <row r="1604">
      <c r="A1604" s="193"/>
      <c r="B1604" s="194"/>
      <c r="C1604" s="192"/>
      <c r="D1604" s="195"/>
      <c r="E1604" s="192"/>
      <c r="F1604" s="196"/>
      <c r="G1604" s="196"/>
      <c r="H1604" s="197"/>
      <c r="I1604" s="197"/>
      <c r="J1604" s="197"/>
      <c r="K1604" s="197"/>
      <c r="L1604" s="197"/>
      <c r="M1604" s="197"/>
      <c r="N1604" s="197"/>
      <c r="O1604" s="197"/>
      <c r="P1604" s="197"/>
      <c r="Q1604" s="197"/>
      <c r="R1604" s="197"/>
      <c r="S1604" s="197"/>
      <c r="T1604" s="197"/>
      <c r="U1604" s="197"/>
      <c r="V1604" s="197"/>
      <c r="W1604" s="197"/>
      <c r="X1604" s="196"/>
      <c r="Y1604" s="196"/>
      <c r="Z1604" s="196"/>
      <c r="AA1604" s="196"/>
      <c r="AB1604" s="196"/>
      <c r="AC1604" s="197"/>
      <c r="AD1604" s="198"/>
    </row>
    <row r="1605">
      <c r="A1605" s="193"/>
      <c r="B1605" s="194"/>
      <c r="C1605" s="192"/>
      <c r="D1605" s="195"/>
      <c r="E1605" s="192"/>
      <c r="F1605" s="196"/>
      <c r="G1605" s="196"/>
      <c r="H1605" s="197"/>
      <c r="I1605" s="197"/>
      <c r="J1605" s="197"/>
      <c r="K1605" s="197"/>
      <c r="L1605" s="197"/>
      <c r="M1605" s="197"/>
      <c r="N1605" s="197"/>
      <c r="O1605" s="197"/>
      <c r="P1605" s="197"/>
      <c r="Q1605" s="197"/>
      <c r="R1605" s="197"/>
      <c r="S1605" s="197"/>
      <c r="T1605" s="197"/>
      <c r="U1605" s="197"/>
      <c r="V1605" s="197"/>
      <c r="W1605" s="197"/>
      <c r="X1605" s="196"/>
      <c r="Y1605" s="196"/>
      <c r="Z1605" s="196"/>
      <c r="AA1605" s="196"/>
      <c r="AB1605" s="196"/>
      <c r="AC1605" s="197"/>
      <c r="AD1605" s="198"/>
    </row>
    <row r="1606">
      <c r="A1606" s="193"/>
      <c r="B1606" s="194"/>
      <c r="C1606" s="192"/>
      <c r="D1606" s="195"/>
      <c r="E1606" s="192"/>
      <c r="F1606" s="196"/>
      <c r="G1606" s="196"/>
      <c r="H1606" s="197"/>
      <c r="I1606" s="197"/>
      <c r="J1606" s="197"/>
      <c r="K1606" s="197"/>
      <c r="L1606" s="197"/>
      <c r="M1606" s="197"/>
      <c r="N1606" s="197"/>
      <c r="O1606" s="197"/>
      <c r="P1606" s="197"/>
      <c r="Q1606" s="197"/>
      <c r="R1606" s="197"/>
      <c r="S1606" s="197"/>
      <c r="T1606" s="197"/>
      <c r="U1606" s="197"/>
      <c r="V1606" s="197"/>
      <c r="W1606" s="197"/>
      <c r="X1606" s="196"/>
      <c r="Y1606" s="196"/>
      <c r="Z1606" s="196"/>
      <c r="AA1606" s="196"/>
      <c r="AB1606" s="196"/>
      <c r="AC1606" s="197"/>
      <c r="AD1606" s="198"/>
    </row>
    <row r="1607">
      <c r="A1607" s="193"/>
      <c r="B1607" s="194"/>
      <c r="C1607" s="192"/>
      <c r="D1607" s="195"/>
      <c r="E1607" s="192"/>
      <c r="F1607" s="196"/>
      <c r="G1607" s="196"/>
      <c r="H1607" s="197"/>
      <c r="I1607" s="197"/>
      <c r="J1607" s="197"/>
      <c r="K1607" s="197"/>
      <c r="L1607" s="197"/>
      <c r="M1607" s="197"/>
      <c r="N1607" s="197"/>
      <c r="O1607" s="197"/>
      <c r="P1607" s="197"/>
      <c r="Q1607" s="197"/>
      <c r="R1607" s="197"/>
      <c r="S1607" s="197"/>
      <c r="T1607" s="197"/>
      <c r="U1607" s="197"/>
      <c r="V1607" s="197"/>
      <c r="W1607" s="197"/>
      <c r="X1607" s="196"/>
      <c r="Y1607" s="196"/>
      <c r="Z1607" s="196"/>
      <c r="AA1607" s="196"/>
      <c r="AB1607" s="196"/>
      <c r="AC1607" s="197"/>
      <c r="AD1607" s="198"/>
    </row>
    <row r="1608">
      <c r="A1608" s="193"/>
      <c r="B1608" s="194"/>
      <c r="C1608" s="192"/>
      <c r="D1608" s="195"/>
      <c r="E1608" s="192"/>
      <c r="F1608" s="196"/>
      <c r="G1608" s="196"/>
      <c r="H1608" s="197"/>
      <c r="I1608" s="197"/>
      <c r="J1608" s="197"/>
      <c r="K1608" s="197"/>
      <c r="L1608" s="197"/>
      <c r="M1608" s="197"/>
      <c r="N1608" s="197"/>
      <c r="O1608" s="197"/>
      <c r="P1608" s="197"/>
      <c r="Q1608" s="197"/>
      <c r="R1608" s="197"/>
      <c r="S1608" s="197"/>
      <c r="T1608" s="197"/>
      <c r="U1608" s="197"/>
      <c r="V1608" s="197"/>
      <c r="W1608" s="197"/>
      <c r="X1608" s="196"/>
      <c r="Y1608" s="196"/>
      <c r="Z1608" s="196"/>
      <c r="AA1608" s="196"/>
      <c r="AB1608" s="196"/>
      <c r="AC1608" s="197"/>
      <c r="AD1608" s="198"/>
    </row>
    <row r="1609">
      <c r="A1609" s="193"/>
      <c r="B1609" s="194"/>
      <c r="C1609" s="192"/>
      <c r="D1609" s="195"/>
      <c r="E1609" s="192"/>
      <c r="F1609" s="196"/>
      <c r="G1609" s="196"/>
      <c r="H1609" s="197"/>
      <c r="I1609" s="197"/>
      <c r="J1609" s="197"/>
      <c r="K1609" s="197"/>
      <c r="L1609" s="197"/>
      <c r="M1609" s="197"/>
      <c r="N1609" s="197"/>
      <c r="O1609" s="197"/>
      <c r="P1609" s="197"/>
      <c r="Q1609" s="197"/>
      <c r="R1609" s="197"/>
      <c r="S1609" s="197"/>
      <c r="T1609" s="197"/>
      <c r="U1609" s="197"/>
      <c r="V1609" s="197"/>
      <c r="W1609" s="197"/>
      <c r="X1609" s="196"/>
      <c r="Y1609" s="196"/>
      <c r="Z1609" s="196"/>
      <c r="AA1609" s="196"/>
      <c r="AB1609" s="196"/>
      <c r="AC1609" s="197"/>
      <c r="AD1609" s="198"/>
    </row>
    <row r="1610">
      <c r="A1610" s="193"/>
      <c r="B1610" s="194"/>
      <c r="C1610" s="192"/>
      <c r="D1610" s="195"/>
      <c r="E1610" s="192"/>
      <c r="F1610" s="196"/>
      <c r="G1610" s="196"/>
      <c r="H1610" s="197"/>
      <c r="I1610" s="197"/>
      <c r="J1610" s="197"/>
      <c r="K1610" s="197"/>
      <c r="L1610" s="197"/>
      <c r="M1610" s="197"/>
      <c r="N1610" s="197"/>
      <c r="O1610" s="197"/>
      <c r="P1610" s="197"/>
      <c r="Q1610" s="197"/>
      <c r="R1610" s="197"/>
      <c r="S1610" s="197"/>
      <c r="T1610" s="197"/>
      <c r="U1610" s="197"/>
      <c r="V1610" s="197"/>
      <c r="W1610" s="197"/>
      <c r="X1610" s="196"/>
      <c r="Y1610" s="196"/>
      <c r="Z1610" s="196"/>
      <c r="AA1610" s="196"/>
      <c r="AB1610" s="196"/>
      <c r="AC1610" s="197"/>
      <c r="AD1610" s="198"/>
    </row>
    <row r="1611">
      <c r="A1611" s="193"/>
      <c r="B1611" s="194"/>
      <c r="C1611" s="192"/>
      <c r="D1611" s="195"/>
      <c r="E1611" s="192"/>
      <c r="F1611" s="196"/>
      <c r="G1611" s="196"/>
      <c r="H1611" s="197"/>
      <c r="I1611" s="197"/>
      <c r="J1611" s="197"/>
      <c r="K1611" s="197"/>
      <c r="L1611" s="197"/>
      <c r="M1611" s="197"/>
      <c r="N1611" s="197"/>
      <c r="O1611" s="197"/>
      <c r="P1611" s="197"/>
      <c r="Q1611" s="197"/>
      <c r="R1611" s="197"/>
      <c r="S1611" s="197"/>
      <c r="T1611" s="197"/>
      <c r="U1611" s="197"/>
      <c r="V1611" s="197"/>
      <c r="W1611" s="197"/>
      <c r="X1611" s="196"/>
      <c r="Y1611" s="196"/>
      <c r="Z1611" s="196"/>
      <c r="AA1611" s="196"/>
      <c r="AB1611" s="196"/>
      <c r="AC1611" s="197"/>
      <c r="AD1611" s="198"/>
    </row>
    <row r="1612">
      <c r="A1612" s="193"/>
      <c r="B1612" s="194"/>
      <c r="C1612" s="192"/>
      <c r="D1612" s="195"/>
      <c r="E1612" s="192"/>
      <c r="F1612" s="196"/>
      <c r="G1612" s="196"/>
      <c r="H1612" s="197"/>
      <c r="I1612" s="197"/>
      <c r="J1612" s="197"/>
      <c r="K1612" s="197"/>
      <c r="L1612" s="197"/>
      <c r="M1612" s="197"/>
      <c r="N1612" s="197"/>
      <c r="O1612" s="197"/>
      <c r="P1612" s="197"/>
      <c r="Q1612" s="197"/>
      <c r="R1612" s="197"/>
      <c r="S1612" s="197"/>
      <c r="T1612" s="197"/>
      <c r="U1612" s="197"/>
      <c r="V1612" s="197"/>
      <c r="W1612" s="197"/>
      <c r="X1612" s="196"/>
      <c r="Y1612" s="196"/>
      <c r="Z1612" s="196"/>
      <c r="AA1612" s="196"/>
      <c r="AB1612" s="196"/>
      <c r="AC1612" s="197"/>
      <c r="AD1612" s="198"/>
    </row>
    <row r="1613">
      <c r="A1613" s="193"/>
      <c r="B1613" s="194"/>
      <c r="C1613" s="192"/>
      <c r="D1613" s="195"/>
      <c r="E1613" s="192"/>
      <c r="F1613" s="196"/>
      <c r="G1613" s="196"/>
      <c r="H1613" s="197"/>
      <c r="I1613" s="197"/>
      <c r="J1613" s="197"/>
      <c r="K1613" s="197"/>
      <c r="L1613" s="197"/>
      <c r="M1613" s="197"/>
      <c r="N1613" s="197"/>
      <c r="O1613" s="197"/>
      <c r="P1613" s="197"/>
      <c r="Q1613" s="197"/>
      <c r="R1613" s="197"/>
      <c r="S1613" s="197"/>
      <c r="T1613" s="197"/>
      <c r="U1613" s="197"/>
      <c r="V1613" s="197"/>
      <c r="W1613" s="197"/>
      <c r="X1613" s="196"/>
      <c r="Y1613" s="196"/>
      <c r="Z1613" s="196"/>
      <c r="AA1613" s="196"/>
      <c r="AB1613" s="196"/>
      <c r="AC1613" s="197"/>
      <c r="AD1613" s="198"/>
    </row>
    <row r="1614">
      <c r="A1614" s="193"/>
      <c r="B1614" s="194"/>
      <c r="C1614" s="192"/>
      <c r="D1614" s="195"/>
      <c r="E1614" s="192"/>
      <c r="F1614" s="196"/>
      <c r="G1614" s="196"/>
      <c r="H1614" s="197"/>
      <c r="I1614" s="197"/>
      <c r="J1614" s="197"/>
      <c r="K1614" s="197"/>
      <c r="L1614" s="197"/>
      <c r="M1614" s="197"/>
      <c r="N1614" s="197"/>
      <c r="O1614" s="197"/>
      <c r="P1614" s="197"/>
      <c r="Q1614" s="197"/>
      <c r="R1614" s="197"/>
      <c r="S1614" s="197"/>
      <c r="T1614" s="197"/>
      <c r="U1614" s="197"/>
      <c r="V1614" s="197"/>
      <c r="W1614" s="197"/>
      <c r="X1614" s="196"/>
      <c r="Y1614" s="196"/>
      <c r="Z1614" s="196"/>
      <c r="AA1614" s="196"/>
      <c r="AB1614" s="196"/>
      <c r="AC1614" s="197"/>
      <c r="AD1614" s="198"/>
    </row>
    <row r="1615">
      <c r="A1615" s="193"/>
      <c r="B1615" s="194"/>
      <c r="C1615" s="192"/>
      <c r="D1615" s="195"/>
      <c r="E1615" s="192"/>
      <c r="F1615" s="196"/>
      <c r="G1615" s="196"/>
      <c r="H1615" s="197"/>
      <c r="I1615" s="197"/>
      <c r="J1615" s="197"/>
      <c r="K1615" s="197"/>
      <c r="L1615" s="197"/>
      <c r="M1615" s="197"/>
      <c r="N1615" s="197"/>
      <c r="O1615" s="197"/>
      <c r="P1615" s="197"/>
      <c r="Q1615" s="197"/>
      <c r="R1615" s="197"/>
      <c r="S1615" s="197"/>
      <c r="T1615" s="197"/>
      <c r="U1615" s="197"/>
      <c r="V1615" s="197"/>
      <c r="W1615" s="197"/>
      <c r="X1615" s="196"/>
      <c r="Y1615" s="196"/>
      <c r="Z1615" s="196"/>
      <c r="AA1615" s="196"/>
      <c r="AB1615" s="196"/>
      <c r="AC1615" s="197"/>
      <c r="AD1615" s="198"/>
    </row>
    <row r="1616">
      <c r="A1616" s="193"/>
      <c r="B1616" s="194"/>
      <c r="C1616" s="192"/>
      <c r="D1616" s="195"/>
      <c r="E1616" s="192"/>
      <c r="F1616" s="196"/>
      <c r="G1616" s="196"/>
      <c r="H1616" s="197"/>
      <c r="I1616" s="197"/>
      <c r="J1616" s="197"/>
      <c r="K1616" s="197"/>
      <c r="L1616" s="197"/>
      <c r="M1616" s="197"/>
      <c r="N1616" s="197"/>
      <c r="O1616" s="197"/>
      <c r="P1616" s="197"/>
      <c r="Q1616" s="197"/>
      <c r="R1616" s="197"/>
      <c r="S1616" s="197"/>
      <c r="T1616" s="197"/>
      <c r="U1616" s="197"/>
      <c r="V1616" s="197"/>
      <c r="W1616" s="197"/>
      <c r="X1616" s="196"/>
      <c r="Y1616" s="196"/>
      <c r="Z1616" s="196"/>
      <c r="AA1616" s="196"/>
      <c r="AB1616" s="196"/>
      <c r="AC1616" s="197"/>
      <c r="AD1616" s="198"/>
    </row>
    <row r="1617">
      <c r="A1617" s="193"/>
      <c r="B1617" s="194"/>
      <c r="C1617" s="192"/>
      <c r="D1617" s="195"/>
      <c r="E1617" s="192"/>
      <c r="F1617" s="196"/>
      <c r="G1617" s="196"/>
      <c r="H1617" s="197"/>
      <c r="I1617" s="197"/>
      <c r="J1617" s="197"/>
      <c r="K1617" s="197"/>
      <c r="L1617" s="197"/>
      <c r="M1617" s="197"/>
      <c r="N1617" s="197"/>
      <c r="O1617" s="197"/>
      <c r="P1617" s="197"/>
      <c r="Q1617" s="197"/>
      <c r="R1617" s="197"/>
      <c r="S1617" s="197"/>
      <c r="T1617" s="197"/>
      <c r="U1617" s="197"/>
      <c r="V1617" s="197"/>
      <c r="W1617" s="197"/>
      <c r="X1617" s="196"/>
      <c r="Y1617" s="196"/>
      <c r="Z1617" s="196"/>
      <c r="AA1617" s="196"/>
      <c r="AB1617" s="196"/>
      <c r="AC1617" s="197"/>
      <c r="AD1617" s="198"/>
    </row>
    <row r="1618">
      <c r="A1618" s="193"/>
      <c r="B1618" s="194"/>
      <c r="C1618" s="192"/>
      <c r="D1618" s="195"/>
      <c r="E1618" s="192"/>
      <c r="F1618" s="196"/>
      <c r="G1618" s="196"/>
      <c r="H1618" s="197"/>
      <c r="I1618" s="197"/>
      <c r="J1618" s="197"/>
      <c r="K1618" s="197"/>
      <c r="L1618" s="197"/>
      <c r="M1618" s="197"/>
      <c r="N1618" s="197"/>
      <c r="O1618" s="197"/>
      <c r="P1618" s="197"/>
      <c r="Q1618" s="197"/>
      <c r="R1618" s="197"/>
      <c r="S1618" s="197"/>
      <c r="T1618" s="197"/>
      <c r="U1618" s="197"/>
      <c r="V1618" s="197"/>
      <c r="W1618" s="197"/>
      <c r="X1618" s="196"/>
      <c r="Y1618" s="196"/>
      <c r="Z1618" s="196"/>
      <c r="AA1618" s="196"/>
      <c r="AB1618" s="196"/>
      <c r="AC1618" s="197"/>
      <c r="AD1618" s="198"/>
    </row>
    <row r="1619">
      <c r="A1619" s="193"/>
      <c r="B1619" s="194"/>
      <c r="C1619" s="192"/>
      <c r="D1619" s="195"/>
      <c r="E1619" s="192"/>
      <c r="F1619" s="196"/>
      <c r="G1619" s="196"/>
      <c r="H1619" s="197"/>
      <c r="I1619" s="197"/>
      <c r="J1619" s="197"/>
      <c r="K1619" s="197"/>
      <c r="L1619" s="197"/>
      <c r="M1619" s="197"/>
      <c r="N1619" s="197"/>
      <c r="O1619" s="197"/>
      <c r="P1619" s="197"/>
      <c r="Q1619" s="197"/>
      <c r="R1619" s="197"/>
      <c r="S1619" s="197"/>
      <c r="T1619" s="197"/>
      <c r="U1619" s="197"/>
      <c r="V1619" s="197"/>
      <c r="W1619" s="197"/>
      <c r="X1619" s="196"/>
      <c r="Y1619" s="196"/>
      <c r="Z1619" s="196"/>
      <c r="AA1619" s="196"/>
      <c r="AB1619" s="196"/>
      <c r="AC1619" s="197"/>
      <c r="AD1619" s="198"/>
    </row>
    <row r="1620">
      <c r="A1620" s="193"/>
      <c r="B1620" s="194"/>
      <c r="C1620" s="192"/>
      <c r="D1620" s="195"/>
      <c r="E1620" s="192"/>
      <c r="F1620" s="196"/>
      <c r="G1620" s="196"/>
      <c r="H1620" s="197"/>
      <c r="I1620" s="197"/>
      <c r="J1620" s="197"/>
      <c r="K1620" s="197"/>
      <c r="L1620" s="197"/>
      <c r="M1620" s="197"/>
      <c r="N1620" s="197"/>
      <c r="O1620" s="197"/>
      <c r="P1620" s="197"/>
      <c r="Q1620" s="197"/>
      <c r="R1620" s="197"/>
      <c r="S1620" s="197"/>
      <c r="T1620" s="197"/>
      <c r="U1620" s="197"/>
      <c r="V1620" s="197"/>
      <c r="W1620" s="197"/>
      <c r="X1620" s="196"/>
      <c r="Y1620" s="196"/>
      <c r="Z1620" s="196"/>
      <c r="AA1620" s="196"/>
      <c r="AB1620" s="196"/>
      <c r="AC1620" s="197"/>
      <c r="AD1620" s="198"/>
    </row>
    <row r="1621">
      <c r="A1621" s="193"/>
      <c r="B1621" s="194"/>
      <c r="C1621" s="192"/>
      <c r="D1621" s="195"/>
      <c r="E1621" s="192"/>
      <c r="F1621" s="196"/>
      <c r="G1621" s="196"/>
      <c r="H1621" s="197"/>
      <c r="I1621" s="197"/>
      <c r="J1621" s="197"/>
      <c r="K1621" s="197"/>
      <c r="L1621" s="197"/>
      <c r="M1621" s="197"/>
      <c r="N1621" s="197"/>
      <c r="O1621" s="197"/>
      <c r="P1621" s="197"/>
      <c r="Q1621" s="197"/>
      <c r="R1621" s="197"/>
      <c r="S1621" s="197"/>
      <c r="T1621" s="197"/>
      <c r="U1621" s="197"/>
      <c r="V1621" s="197"/>
      <c r="W1621" s="197"/>
      <c r="X1621" s="196"/>
      <c r="Y1621" s="196"/>
      <c r="Z1621" s="196"/>
      <c r="AA1621" s="196"/>
      <c r="AB1621" s="196"/>
      <c r="AC1621" s="197"/>
      <c r="AD1621" s="198"/>
    </row>
    <row r="1622">
      <c r="A1622" s="193"/>
      <c r="B1622" s="194"/>
      <c r="C1622" s="192"/>
      <c r="D1622" s="195"/>
      <c r="E1622" s="192"/>
      <c r="F1622" s="196"/>
      <c r="G1622" s="196"/>
      <c r="H1622" s="197"/>
      <c r="I1622" s="197"/>
      <c r="J1622" s="197"/>
      <c r="K1622" s="197"/>
      <c r="L1622" s="197"/>
      <c r="M1622" s="197"/>
      <c r="N1622" s="197"/>
      <c r="O1622" s="197"/>
      <c r="P1622" s="197"/>
      <c r="Q1622" s="197"/>
      <c r="R1622" s="197"/>
      <c r="S1622" s="197"/>
      <c r="T1622" s="197"/>
      <c r="U1622" s="197"/>
      <c r="V1622" s="197"/>
      <c r="W1622" s="197"/>
      <c r="X1622" s="196"/>
      <c r="Y1622" s="196"/>
      <c r="Z1622" s="196"/>
      <c r="AA1622" s="196"/>
      <c r="AB1622" s="196"/>
      <c r="AC1622" s="197"/>
      <c r="AD1622" s="198"/>
    </row>
    <row r="1623">
      <c r="A1623" s="193"/>
      <c r="B1623" s="194"/>
      <c r="C1623" s="192"/>
      <c r="D1623" s="195"/>
      <c r="E1623" s="192"/>
      <c r="F1623" s="196"/>
      <c r="G1623" s="196"/>
      <c r="H1623" s="197"/>
      <c r="I1623" s="197"/>
      <c r="J1623" s="197"/>
      <c r="K1623" s="197"/>
      <c r="L1623" s="197"/>
      <c r="M1623" s="197"/>
      <c r="N1623" s="197"/>
      <c r="O1623" s="197"/>
      <c r="P1623" s="197"/>
      <c r="Q1623" s="197"/>
      <c r="R1623" s="197"/>
      <c r="S1623" s="197"/>
      <c r="T1623" s="197"/>
      <c r="U1623" s="197"/>
      <c r="V1623" s="197"/>
      <c r="W1623" s="197"/>
      <c r="X1623" s="196"/>
      <c r="Y1623" s="196"/>
      <c r="Z1623" s="196"/>
      <c r="AA1623" s="196"/>
      <c r="AB1623" s="196"/>
      <c r="AC1623" s="197"/>
      <c r="AD1623" s="198"/>
    </row>
    <row r="1624">
      <c r="A1624" s="193"/>
      <c r="B1624" s="194"/>
      <c r="C1624" s="192"/>
      <c r="D1624" s="195"/>
      <c r="E1624" s="192"/>
      <c r="F1624" s="196"/>
      <c r="G1624" s="196"/>
      <c r="H1624" s="197"/>
      <c r="I1624" s="197"/>
      <c r="J1624" s="197"/>
      <c r="K1624" s="197"/>
      <c r="L1624" s="197"/>
      <c r="M1624" s="197"/>
      <c r="N1624" s="197"/>
      <c r="O1624" s="197"/>
      <c r="P1624" s="197"/>
      <c r="Q1624" s="197"/>
      <c r="R1624" s="197"/>
      <c r="S1624" s="197"/>
      <c r="T1624" s="197"/>
      <c r="U1624" s="197"/>
      <c r="V1624" s="197"/>
      <c r="W1624" s="197"/>
      <c r="X1624" s="196"/>
      <c r="Y1624" s="196"/>
      <c r="Z1624" s="196"/>
      <c r="AA1624" s="196"/>
      <c r="AB1624" s="196"/>
      <c r="AC1624" s="197"/>
      <c r="AD1624" s="198"/>
    </row>
    <row r="1625">
      <c r="A1625" s="193"/>
      <c r="B1625" s="194"/>
      <c r="C1625" s="192"/>
      <c r="D1625" s="195"/>
      <c r="E1625" s="192"/>
      <c r="F1625" s="196"/>
      <c r="G1625" s="196"/>
      <c r="H1625" s="197"/>
      <c r="I1625" s="197"/>
      <c r="J1625" s="197"/>
      <c r="K1625" s="197"/>
      <c r="L1625" s="197"/>
      <c r="M1625" s="197"/>
      <c r="N1625" s="197"/>
      <c r="O1625" s="197"/>
      <c r="P1625" s="197"/>
      <c r="Q1625" s="197"/>
      <c r="R1625" s="197"/>
      <c r="S1625" s="197"/>
      <c r="T1625" s="197"/>
      <c r="U1625" s="197"/>
      <c r="V1625" s="197"/>
      <c r="W1625" s="197"/>
      <c r="X1625" s="196"/>
      <c r="Y1625" s="196"/>
      <c r="Z1625" s="196"/>
      <c r="AA1625" s="196"/>
      <c r="AB1625" s="196"/>
      <c r="AC1625" s="197"/>
      <c r="AD1625" s="198"/>
    </row>
    <row r="1626">
      <c r="A1626" s="193"/>
      <c r="B1626" s="194"/>
      <c r="C1626" s="192"/>
      <c r="D1626" s="195"/>
      <c r="E1626" s="192"/>
      <c r="F1626" s="196"/>
      <c r="G1626" s="196"/>
      <c r="H1626" s="197"/>
      <c r="I1626" s="197"/>
      <c r="J1626" s="197"/>
      <c r="K1626" s="197"/>
      <c r="L1626" s="197"/>
      <c r="M1626" s="197"/>
      <c r="N1626" s="197"/>
      <c r="O1626" s="197"/>
      <c r="P1626" s="197"/>
      <c r="Q1626" s="197"/>
      <c r="R1626" s="197"/>
      <c r="S1626" s="197"/>
      <c r="T1626" s="197"/>
      <c r="U1626" s="197"/>
      <c r="V1626" s="197"/>
      <c r="W1626" s="197"/>
      <c r="X1626" s="196"/>
      <c r="Y1626" s="196"/>
      <c r="Z1626" s="196"/>
      <c r="AA1626" s="196"/>
      <c r="AB1626" s="196"/>
      <c r="AC1626" s="197"/>
      <c r="AD1626" s="198"/>
    </row>
    <row r="1627">
      <c r="A1627" s="193"/>
      <c r="B1627" s="194"/>
      <c r="C1627" s="192"/>
      <c r="D1627" s="195"/>
      <c r="E1627" s="192"/>
      <c r="F1627" s="196"/>
      <c r="G1627" s="196"/>
      <c r="H1627" s="197"/>
      <c r="I1627" s="197"/>
      <c r="J1627" s="197"/>
      <c r="K1627" s="197"/>
      <c r="L1627" s="197"/>
      <c r="M1627" s="197"/>
      <c r="N1627" s="197"/>
      <c r="O1627" s="197"/>
      <c r="P1627" s="197"/>
      <c r="Q1627" s="197"/>
      <c r="R1627" s="197"/>
      <c r="S1627" s="197"/>
      <c r="T1627" s="197"/>
      <c r="U1627" s="197"/>
      <c r="V1627" s="197"/>
      <c r="W1627" s="197"/>
      <c r="X1627" s="196"/>
      <c r="Y1627" s="196"/>
      <c r="Z1627" s="196"/>
      <c r="AA1627" s="196"/>
      <c r="AB1627" s="196"/>
      <c r="AC1627" s="197"/>
      <c r="AD1627" s="198"/>
    </row>
    <row r="1628">
      <c r="A1628" s="193"/>
      <c r="B1628" s="194"/>
      <c r="C1628" s="192"/>
      <c r="D1628" s="195"/>
      <c r="E1628" s="192"/>
      <c r="F1628" s="196"/>
      <c r="G1628" s="196"/>
      <c r="H1628" s="197"/>
      <c r="I1628" s="197"/>
      <c r="J1628" s="197"/>
      <c r="K1628" s="197"/>
      <c r="L1628" s="197"/>
      <c r="M1628" s="197"/>
      <c r="N1628" s="197"/>
      <c r="O1628" s="197"/>
      <c r="P1628" s="197"/>
      <c r="Q1628" s="197"/>
      <c r="R1628" s="197"/>
      <c r="S1628" s="197"/>
      <c r="T1628" s="197"/>
      <c r="U1628" s="197"/>
      <c r="V1628" s="197"/>
      <c r="W1628" s="197"/>
      <c r="X1628" s="196"/>
      <c r="Y1628" s="196"/>
      <c r="Z1628" s="196"/>
      <c r="AA1628" s="196"/>
      <c r="AB1628" s="196"/>
      <c r="AC1628" s="197"/>
      <c r="AD1628" s="198"/>
    </row>
    <row r="1629">
      <c r="A1629" s="193"/>
      <c r="B1629" s="194"/>
      <c r="C1629" s="192"/>
      <c r="D1629" s="195"/>
      <c r="E1629" s="192"/>
      <c r="F1629" s="196"/>
      <c r="G1629" s="196"/>
      <c r="H1629" s="197"/>
      <c r="I1629" s="197"/>
      <c r="J1629" s="197"/>
      <c r="K1629" s="197"/>
      <c r="L1629" s="197"/>
      <c r="M1629" s="197"/>
      <c r="N1629" s="197"/>
      <c r="O1629" s="197"/>
      <c r="P1629" s="197"/>
      <c r="Q1629" s="197"/>
      <c r="R1629" s="197"/>
      <c r="S1629" s="197"/>
      <c r="T1629" s="197"/>
      <c r="U1629" s="197"/>
      <c r="V1629" s="197"/>
      <c r="W1629" s="197"/>
      <c r="X1629" s="196"/>
      <c r="Y1629" s="196"/>
      <c r="Z1629" s="196"/>
      <c r="AA1629" s="196"/>
      <c r="AB1629" s="196"/>
      <c r="AC1629" s="197"/>
      <c r="AD1629" s="198"/>
    </row>
    <row r="1630">
      <c r="A1630" s="193"/>
      <c r="B1630" s="194"/>
      <c r="C1630" s="192"/>
      <c r="D1630" s="195"/>
      <c r="E1630" s="192"/>
      <c r="F1630" s="196"/>
      <c r="G1630" s="196"/>
      <c r="H1630" s="197"/>
      <c r="I1630" s="197"/>
      <c r="J1630" s="197"/>
      <c r="K1630" s="197"/>
      <c r="L1630" s="197"/>
      <c r="M1630" s="197"/>
      <c r="N1630" s="197"/>
      <c r="O1630" s="197"/>
      <c r="P1630" s="197"/>
      <c r="Q1630" s="197"/>
      <c r="R1630" s="197"/>
      <c r="S1630" s="197"/>
      <c r="T1630" s="197"/>
      <c r="U1630" s="197"/>
      <c r="V1630" s="197"/>
      <c r="W1630" s="197"/>
      <c r="X1630" s="196"/>
      <c r="Y1630" s="196"/>
      <c r="Z1630" s="196"/>
      <c r="AA1630" s="196"/>
      <c r="AB1630" s="196"/>
      <c r="AC1630" s="197"/>
      <c r="AD1630" s="198"/>
    </row>
    <row r="1631">
      <c r="A1631" s="193"/>
      <c r="B1631" s="194"/>
      <c r="C1631" s="192"/>
      <c r="D1631" s="195"/>
      <c r="E1631" s="192"/>
      <c r="F1631" s="196"/>
      <c r="G1631" s="196"/>
      <c r="H1631" s="197"/>
      <c r="I1631" s="197"/>
      <c r="J1631" s="197"/>
      <c r="K1631" s="197"/>
      <c r="L1631" s="197"/>
      <c r="M1631" s="197"/>
      <c r="N1631" s="197"/>
      <c r="O1631" s="197"/>
      <c r="P1631" s="197"/>
      <c r="Q1631" s="197"/>
      <c r="R1631" s="197"/>
      <c r="S1631" s="197"/>
      <c r="T1631" s="197"/>
      <c r="U1631" s="197"/>
      <c r="V1631" s="197"/>
      <c r="W1631" s="197"/>
      <c r="X1631" s="196"/>
      <c r="Y1631" s="196"/>
      <c r="Z1631" s="196"/>
      <c r="AA1631" s="196"/>
      <c r="AB1631" s="196"/>
      <c r="AC1631" s="197"/>
      <c r="AD1631" s="198"/>
    </row>
    <row r="1632">
      <c r="A1632" s="193"/>
      <c r="B1632" s="194"/>
      <c r="C1632" s="192"/>
      <c r="D1632" s="195"/>
      <c r="E1632" s="192"/>
      <c r="F1632" s="196"/>
      <c r="G1632" s="196"/>
      <c r="H1632" s="197"/>
      <c r="I1632" s="197"/>
      <c r="J1632" s="197"/>
      <c r="K1632" s="197"/>
      <c r="L1632" s="197"/>
      <c r="M1632" s="197"/>
      <c r="N1632" s="197"/>
      <c r="O1632" s="197"/>
      <c r="P1632" s="197"/>
      <c r="Q1632" s="197"/>
      <c r="R1632" s="197"/>
      <c r="S1632" s="197"/>
      <c r="T1632" s="197"/>
      <c r="U1632" s="197"/>
      <c r="V1632" s="197"/>
      <c r="W1632" s="197"/>
      <c r="X1632" s="196"/>
      <c r="Y1632" s="196"/>
      <c r="Z1632" s="196"/>
      <c r="AA1632" s="196"/>
      <c r="AB1632" s="196"/>
      <c r="AC1632" s="197"/>
      <c r="AD1632" s="198"/>
    </row>
    <row r="1633">
      <c r="A1633" s="193"/>
      <c r="B1633" s="194"/>
      <c r="C1633" s="192"/>
      <c r="D1633" s="195"/>
      <c r="E1633" s="192"/>
      <c r="F1633" s="196"/>
      <c r="G1633" s="196"/>
      <c r="H1633" s="197"/>
      <c r="I1633" s="197"/>
      <c r="J1633" s="197"/>
      <c r="K1633" s="197"/>
      <c r="L1633" s="197"/>
      <c r="M1633" s="197"/>
      <c r="N1633" s="197"/>
      <c r="O1633" s="197"/>
      <c r="P1633" s="197"/>
      <c r="Q1633" s="197"/>
      <c r="R1633" s="197"/>
      <c r="S1633" s="197"/>
      <c r="T1633" s="197"/>
      <c r="U1633" s="197"/>
      <c r="V1633" s="197"/>
      <c r="W1633" s="197"/>
      <c r="X1633" s="196"/>
      <c r="Y1633" s="196"/>
      <c r="Z1633" s="196"/>
      <c r="AA1633" s="196"/>
      <c r="AB1633" s="196"/>
      <c r="AC1633" s="197"/>
      <c r="AD1633" s="198"/>
    </row>
    <row r="1634">
      <c r="A1634" s="193"/>
      <c r="B1634" s="194"/>
      <c r="C1634" s="192"/>
      <c r="D1634" s="195"/>
      <c r="E1634" s="192"/>
      <c r="F1634" s="196"/>
      <c r="G1634" s="196"/>
      <c r="H1634" s="197"/>
      <c r="I1634" s="197"/>
      <c r="J1634" s="197"/>
      <c r="K1634" s="197"/>
      <c r="L1634" s="197"/>
      <c r="M1634" s="197"/>
      <c r="N1634" s="197"/>
      <c r="O1634" s="197"/>
      <c r="P1634" s="197"/>
      <c r="Q1634" s="197"/>
      <c r="R1634" s="197"/>
      <c r="S1634" s="197"/>
      <c r="T1634" s="197"/>
      <c r="U1634" s="197"/>
      <c r="V1634" s="197"/>
      <c r="W1634" s="197"/>
      <c r="X1634" s="196"/>
      <c r="Y1634" s="196"/>
      <c r="Z1634" s="196"/>
      <c r="AA1634" s="196"/>
      <c r="AB1634" s="196"/>
      <c r="AC1634" s="197"/>
      <c r="AD1634" s="198"/>
    </row>
    <row r="1635">
      <c r="A1635" s="193"/>
      <c r="B1635" s="194"/>
      <c r="C1635" s="192"/>
      <c r="D1635" s="195"/>
      <c r="E1635" s="192"/>
      <c r="F1635" s="196"/>
      <c r="G1635" s="196"/>
      <c r="H1635" s="197"/>
      <c r="I1635" s="197"/>
      <c r="J1635" s="197"/>
      <c r="K1635" s="197"/>
      <c r="L1635" s="197"/>
      <c r="M1635" s="197"/>
      <c r="N1635" s="197"/>
      <c r="O1635" s="197"/>
      <c r="P1635" s="197"/>
      <c r="Q1635" s="197"/>
      <c r="R1635" s="197"/>
      <c r="S1635" s="197"/>
      <c r="T1635" s="197"/>
      <c r="U1635" s="197"/>
      <c r="V1635" s="197"/>
      <c r="W1635" s="197"/>
      <c r="X1635" s="196"/>
      <c r="Y1635" s="196"/>
      <c r="Z1635" s="196"/>
      <c r="AA1635" s="196"/>
      <c r="AB1635" s="196"/>
      <c r="AC1635" s="197"/>
      <c r="AD1635" s="198"/>
    </row>
    <row r="1636">
      <c r="A1636" s="193"/>
      <c r="B1636" s="194"/>
      <c r="C1636" s="192"/>
      <c r="D1636" s="195"/>
      <c r="E1636" s="192"/>
      <c r="F1636" s="196"/>
      <c r="G1636" s="196"/>
      <c r="H1636" s="197"/>
      <c r="I1636" s="197"/>
      <c r="J1636" s="197"/>
      <c r="K1636" s="197"/>
      <c r="L1636" s="197"/>
      <c r="M1636" s="197"/>
      <c r="N1636" s="197"/>
      <c r="O1636" s="197"/>
      <c r="P1636" s="197"/>
      <c r="Q1636" s="197"/>
      <c r="R1636" s="197"/>
      <c r="S1636" s="197"/>
      <c r="T1636" s="197"/>
      <c r="U1636" s="197"/>
      <c r="V1636" s="197"/>
      <c r="W1636" s="197"/>
      <c r="X1636" s="196"/>
      <c r="Y1636" s="196"/>
      <c r="Z1636" s="196"/>
      <c r="AA1636" s="196"/>
      <c r="AB1636" s="196"/>
      <c r="AC1636" s="197"/>
      <c r="AD1636" s="198"/>
    </row>
    <row r="1637">
      <c r="A1637" s="193"/>
      <c r="B1637" s="194"/>
      <c r="C1637" s="192"/>
      <c r="D1637" s="195"/>
      <c r="E1637" s="192"/>
      <c r="F1637" s="196"/>
      <c r="G1637" s="196"/>
      <c r="H1637" s="197"/>
      <c r="I1637" s="197"/>
      <c r="J1637" s="197"/>
      <c r="K1637" s="197"/>
      <c r="L1637" s="197"/>
      <c r="M1637" s="197"/>
      <c r="N1637" s="197"/>
      <c r="O1637" s="197"/>
      <c r="P1637" s="197"/>
      <c r="Q1637" s="197"/>
      <c r="R1637" s="197"/>
      <c r="S1637" s="197"/>
      <c r="T1637" s="197"/>
      <c r="U1637" s="197"/>
      <c r="V1637" s="197"/>
      <c r="W1637" s="197"/>
      <c r="X1637" s="196"/>
      <c r="Y1637" s="196"/>
      <c r="Z1637" s="196"/>
      <c r="AA1637" s="196"/>
      <c r="AB1637" s="196"/>
      <c r="AC1637" s="197"/>
      <c r="AD1637" s="198"/>
    </row>
    <row r="1638">
      <c r="A1638" s="193"/>
      <c r="B1638" s="194"/>
      <c r="C1638" s="192"/>
      <c r="D1638" s="195"/>
      <c r="E1638" s="192"/>
      <c r="F1638" s="196"/>
      <c r="G1638" s="196"/>
      <c r="H1638" s="197"/>
      <c r="I1638" s="197"/>
      <c r="J1638" s="197"/>
      <c r="K1638" s="197"/>
      <c r="L1638" s="197"/>
      <c r="M1638" s="197"/>
      <c r="N1638" s="197"/>
      <c r="O1638" s="197"/>
      <c r="P1638" s="197"/>
      <c r="Q1638" s="197"/>
      <c r="R1638" s="197"/>
      <c r="S1638" s="197"/>
      <c r="T1638" s="197"/>
      <c r="U1638" s="197"/>
      <c r="V1638" s="197"/>
      <c r="W1638" s="197"/>
      <c r="X1638" s="196"/>
      <c r="Y1638" s="196"/>
      <c r="Z1638" s="196"/>
      <c r="AA1638" s="196"/>
      <c r="AB1638" s="196"/>
      <c r="AC1638" s="197"/>
      <c r="AD1638" s="198"/>
    </row>
    <row r="1639">
      <c r="A1639" s="193"/>
      <c r="B1639" s="194"/>
      <c r="C1639" s="192"/>
      <c r="D1639" s="195"/>
      <c r="E1639" s="192"/>
      <c r="F1639" s="196"/>
      <c r="G1639" s="196"/>
      <c r="H1639" s="197"/>
      <c r="I1639" s="197"/>
      <c r="J1639" s="197"/>
      <c r="K1639" s="197"/>
      <c r="L1639" s="197"/>
      <c r="M1639" s="197"/>
      <c r="N1639" s="197"/>
      <c r="O1639" s="197"/>
      <c r="P1639" s="197"/>
      <c r="Q1639" s="197"/>
      <c r="R1639" s="197"/>
      <c r="S1639" s="197"/>
      <c r="T1639" s="197"/>
      <c r="U1639" s="197"/>
      <c r="V1639" s="197"/>
      <c r="W1639" s="197"/>
      <c r="X1639" s="196"/>
      <c r="Y1639" s="196"/>
      <c r="Z1639" s="196"/>
      <c r="AA1639" s="196"/>
      <c r="AB1639" s="196"/>
      <c r="AC1639" s="197"/>
      <c r="AD1639" s="198"/>
    </row>
    <row r="1640">
      <c r="A1640" s="193"/>
      <c r="B1640" s="194"/>
      <c r="C1640" s="192"/>
      <c r="D1640" s="195"/>
      <c r="E1640" s="192"/>
      <c r="F1640" s="196"/>
      <c r="G1640" s="196"/>
      <c r="H1640" s="197"/>
      <c r="I1640" s="197"/>
      <c r="J1640" s="197"/>
      <c r="K1640" s="197"/>
      <c r="L1640" s="197"/>
      <c r="M1640" s="197"/>
      <c r="N1640" s="197"/>
      <c r="O1640" s="197"/>
      <c r="P1640" s="197"/>
      <c r="Q1640" s="197"/>
      <c r="R1640" s="197"/>
      <c r="S1640" s="197"/>
      <c r="T1640" s="197"/>
      <c r="U1640" s="197"/>
      <c r="V1640" s="197"/>
      <c r="W1640" s="197"/>
      <c r="X1640" s="196"/>
      <c r="Y1640" s="196"/>
      <c r="Z1640" s="196"/>
      <c r="AA1640" s="196"/>
      <c r="AB1640" s="196"/>
      <c r="AC1640" s="197"/>
      <c r="AD1640" s="198"/>
    </row>
    <row r="1641">
      <c r="A1641" s="193"/>
      <c r="B1641" s="194"/>
      <c r="C1641" s="192"/>
      <c r="D1641" s="195"/>
      <c r="E1641" s="192"/>
      <c r="F1641" s="196"/>
      <c r="G1641" s="196"/>
      <c r="H1641" s="197"/>
      <c r="I1641" s="197"/>
      <c r="J1641" s="197"/>
      <c r="K1641" s="197"/>
      <c r="L1641" s="197"/>
      <c r="M1641" s="197"/>
      <c r="N1641" s="197"/>
      <c r="O1641" s="197"/>
      <c r="P1641" s="197"/>
      <c r="Q1641" s="197"/>
      <c r="R1641" s="197"/>
      <c r="S1641" s="197"/>
      <c r="T1641" s="197"/>
      <c r="U1641" s="197"/>
      <c r="V1641" s="197"/>
      <c r="W1641" s="197"/>
      <c r="X1641" s="196"/>
      <c r="Y1641" s="196"/>
      <c r="Z1641" s="196"/>
      <c r="AA1641" s="196"/>
      <c r="AB1641" s="196"/>
      <c r="AC1641" s="197"/>
      <c r="AD1641" s="198"/>
    </row>
    <row r="1642">
      <c r="A1642" s="193"/>
      <c r="B1642" s="194"/>
      <c r="C1642" s="192"/>
      <c r="D1642" s="195"/>
      <c r="E1642" s="192"/>
      <c r="F1642" s="196"/>
      <c r="G1642" s="196"/>
      <c r="H1642" s="197"/>
      <c r="I1642" s="197"/>
      <c r="J1642" s="197"/>
      <c r="K1642" s="197"/>
      <c r="L1642" s="197"/>
      <c r="M1642" s="197"/>
      <c r="N1642" s="197"/>
      <c r="O1642" s="197"/>
      <c r="P1642" s="197"/>
      <c r="Q1642" s="197"/>
      <c r="R1642" s="197"/>
      <c r="S1642" s="197"/>
      <c r="T1642" s="197"/>
      <c r="U1642" s="197"/>
      <c r="V1642" s="197"/>
      <c r="W1642" s="197"/>
      <c r="X1642" s="196"/>
      <c r="Y1642" s="196"/>
      <c r="Z1642" s="196"/>
      <c r="AA1642" s="196"/>
      <c r="AB1642" s="196"/>
      <c r="AC1642" s="197"/>
      <c r="AD1642" s="198"/>
    </row>
    <row r="1643">
      <c r="A1643" s="193"/>
      <c r="B1643" s="194"/>
      <c r="C1643" s="192"/>
      <c r="D1643" s="195"/>
      <c r="E1643" s="192"/>
      <c r="F1643" s="196"/>
      <c r="G1643" s="196"/>
      <c r="H1643" s="197"/>
      <c r="I1643" s="197"/>
      <c r="J1643" s="197"/>
      <c r="K1643" s="197"/>
      <c r="L1643" s="197"/>
      <c r="M1643" s="197"/>
      <c r="N1643" s="197"/>
      <c r="O1643" s="197"/>
      <c r="P1643" s="197"/>
      <c r="Q1643" s="197"/>
      <c r="R1643" s="197"/>
      <c r="S1643" s="197"/>
      <c r="T1643" s="197"/>
      <c r="U1643" s="197"/>
      <c r="V1643" s="197"/>
      <c r="W1643" s="197"/>
      <c r="X1643" s="196"/>
      <c r="Y1643" s="196"/>
      <c r="Z1643" s="196"/>
      <c r="AA1643" s="196"/>
      <c r="AB1643" s="196"/>
      <c r="AC1643" s="197"/>
      <c r="AD1643" s="198"/>
    </row>
    <row r="1644">
      <c r="A1644" s="193"/>
      <c r="B1644" s="194"/>
      <c r="C1644" s="192"/>
      <c r="D1644" s="195"/>
      <c r="E1644" s="192"/>
      <c r="F1644" s="196"/>
      <c r="G1644" s="196"/>
      <c r="H1644" s="197"/>
      <c r="I1644" s="197"/>
      <c r="J1644" s="197"/>
      <c r="K1644" s="197"/>
      <c r="L1644" s="197"/>
      <c r="M1644" s="197"/>
      <c r="N1644" s="197"/>
      <c r="O1644" s="197"/>
      <c r="P1644" s="197"/>
      <c r="Q1644" s="197"/>
      <c r="R1644" s="197"/>
      <c r="S1644" s="197"/>
      <c r="T1644" s="197"/>
      <c r="U1644" s="197"/>
      <c r="V1644" s="197"/>
      <c r="W1644" s="197"/>
      <c r="X1644" s="196"/>
      <c r="Y1644" s="196"/>
      <c r="Z1644" s="196"/>
      <c r="AA1644" s="196"/>
      <c r="AB1644" s="196"/>
      <c r="AC1644" s="197"/>
      <c r="AD1644" s="198"/>
    </row>
    <row r="1645">
      <c r="A1645" s="193"/>
      <c r="B1645" s="194"/>
      <c r="C1645" s="192"/>
      <c r="D1645" s="195"/>
      <c r="E1645" s="192"/>
      <c r="F1645" s="196"/>
      <c r="G1645" s="196"/>
      <c r="H1645" s="197"/>
      <c r="I1645" s="197"/>
      <c r="J1645" s="197"/>
      <c r="K1645" s="197"/>
      <c r="L1645" s="197"/>
      <c r="M1645" s="197"/>
      <c r="N1645" s="197"/>
      <c r="O1645" s="197"/>
      <c r="P1645" s="197"/>
      <c r="Q1645" s="197"/>
      <c r="R1645" s="197"/>
      <c r="S1645" s="197"/>
      <c r="T1645" s="197"/>
      <c r="U1645" s="197"/>
      <c r="V1645" s="197"/>
      <c r="W1645" s="197"/>
      <c r="X1645" s="196"/>
      <c r="Y1645" s="196"/>
      <c r="Z1645" s="196"/>
      <c r="AA1645" s="196"/>
      <c r="AB1645" s="196"/>
      <c r="AC1645" s="197"/>
      <c r="AD1645" s="198"/>
    </row>
    <row r="1646">
      <c r="A1646" s="193"/>
      <c r="B1646" s="194"/>
      <c r="C1646" s="192"/>
      <c r="D1646" s="195"/>
      <c r="E1646" s="192"/>
      <c r="F1646" s="196"/>
      <c r="G1646" s="196"/>
      <c r="H1646" s="197"/>
      <c r="I1646" s="197"/>
      <c r="J1646" s="197"/>
      <c r="K1646" s="197"/>
      <c r="L1646" s="197"/>
      <c r="M1646" s="197"/>
      <c r="N1646" s="197"/>
      <c r="O1646" s="197"/>
      <c r="P1646" s="197"/>
      <c r="Q1646" s="197"/>
      <c r="R1646" s="197"/>
      <c r="S1646" s="197"/>
      <c r="T1646" s="197"/>
      <c r="U1646" s="197"/>
      <c r="V1646" s="197"/>
      <c r="W1646" s="197"/>
      <c r="X1646" s="196"/>
      <c r="Y1646" s="196"/>
      <c r="Z1646" s="196"/>
      <c r="AA1646" s="196"/>
      <c r="AB1646" s="196"/>
      <c r="AC1646" s="197"/>
      <c r="AD1646" s="198"/>
    </row>
    <row r="1647">
      <c r="A1647" s="193"/>
      <c r="B1647" s="194"/>
      <c r="C1647" s="192"/>
      <c r="D1647" s="195"/>
      <c r="E1647" s="192"/>
      <c r="F1647" s="196"/>
      <c r="G1647" s="196"/>
      <c r="H1647" s="197"/>
      <c r="I1647" s="197"/>
      <c r="J1647" s="197"/>
      <c r="K1647" s="197"/>
      <c r="L1647" s="197"/>
      <c r="M1647" s="197"/>
      <c r="N1647" s="197"/>
      <c r="O1647" s="197"/>
      <c r="P1647" s="197"/>
      <c r="Q1647" s="197"/>
      <c r="R1647" s="197"/>
      <c r="S1647" s="197"/>
      <c r="T1647" s="197"/>
      <c r="U1647" s="197"/>
      <c r="V1647" s="197"/>
      <c r="W1647" s="197"/>
      <c r="X1647" s="196"/>
      <c r="Y1647" s="196"/>
      <c r="Z1647" s="196"/>
      <c r="AA1647" s="196"/>
      <c r="AB1647" s="196"/>
      <c r="AC1647" s="197"/>
      <c r="AD1647" s="198"/>
    </row>
    <row r="1648">
      <c r="A1648" s="193"/>
      <c r="B1648" s="194"/>
      <c r="C1648" s="192"/>
      <c r="D1648" s="195"/>
      <c r="E1648" s="192"/>
      <c r="F1648" s="196"/>
      <c r="G1648" s="196"/>
      <c r="H1648" s="197"/>
      <c r="I1648" s="197"/>
      <c r="J1648" s="197"/>
      <c r="K1648" s="197"/>
      <c r="L1648" s="197"/>
      <c r="M1648" s="197"/>
      <c r="N1648" s="197"/>
      <c r="O1648" s="197"/>
      <c r="P1648" s="197"/>
      <c r="Q1648" s="197"/>
      <c r="R1648" s="197"/>
      <c r="S1648" s="197"/>
      <c r="T1648" s="197"/>
      <c r="U1648" s="197"/>
      <c r="V1648" s="197"/>
      <c r="W1648" s="197"/>
      <c r="X1648" s="196"/>
      <c r="Y1648" s="196"/>
      <c r="Z1648" s="196"/>
      <c r="AA1648" s="196"/>
      <c r="AB1648" s="196"/>
      <c r="AC1648" s="197"/>
      <c r="AD1648" s="198"/>
    </row>
    <row r="1649">
      <c r="A1649" s="193"/>
      <c r="B1649" s="194"/>
      <c r="C1649" s="192"/>
      <c r="D1649" s="195"/>
      <c r="E1649" s="192"/>
      <c r="F1649" s="196"/>
      <c r="G1649" s="196"/>
      <c r="H1649" s="197"/>
      <c r="I1649" s="197"/>
      <c r="J1649" s="197"/>
      <c r="K1649" s="197"/>
      <c r="L1649" s="197"/>
      <c r="M1649" s="197"/>
      <c r="N1649" s="197"/>
      <c r="O1649" s="197"/>
      <c r="P1649" s="197"/>
      <c r="Q1649" s="197"/>
      <c r="R1649" s="197"/>
      <c r="S1649" s="197"/>
      <c r="T1649" s="197"/>
      <c r="U1649" s="197"/>
      <c r="V1649" s="197"/>
      <c r="W1649" s="197"/>
      <c r="X1649" s="196"/>
      <c r="Y1649" s="196"/>
      <c r="Z1649" s="196"/>
      <c r="AA1649" s="196"/>
      <c r="AB1649" s="196"/>
      <c r="AC1649" s="197"/>
      <c r="AD1649" s="198"/>
    </row>
    <row r="1650">
      <c r="A1650" s="193"/>
      <c r="B1650" s="194"/>
      <c r="C1650" s="192"/>
      <c r="D1650" s="195"/>
      <c r="E1650" s="192"/>
      <c r="F1650" s="196"/>
      <c r="G1650" s="196"/>
      <c r="H1650" s="197"/>
      <c r="I1650" s="197"/>
      <c r="J1650" s="197"/>
      <c r="K1650" s="197"/>
      <c r="L1650" s="197"/>
      <c r="M1650" s="197"/>
      <c r="N1650" s="197"/>
      <c r="O1650" s="197"/>
      <c r="P1650" s="197"/>
      <c r="Q1650" s="197"/>
      <c r="R1650" s="197"/>
      <c r="S1650" s="197"/>
      <c r="T1650" s="197"/>
      <c r="U1650" s="197"/>
      <c r="V1650" s="197"/>
      <c r="W1650" s="197"/>
      <c r="X1650" s="196"/>
      <c r="Y1650" s="196"/>
      <c r="Z1650" s="196"/>
      <c r="AA1650" s="196"/>
      <c r="AB1650" s="196"/>
      <c r="AC1650" s="197"/>
      <c r="AD1650" s="198"/>
    </row>
    <row r="1651">
      <c r="A1651" s="193"/>
      <c r="B1651" s="194"/>
      <c r="C1651" s="192"/>
      <c r="D1651" s="195"/>
      <c r="E1651" s="192"/>
      <c r="F1651" s="196"/>
      <c r="G1651" s="196"/>
      <c r="H1651" s="197"/>
      <c r="I1651" s="197"/>
      <c r="J1651" s="197"/>
      <c r="K1651" s="197"/>
      <c r="L1651" s="197"/>
      <c r="M1651" s="197"/>
      <c r="N1651" s="197"/>
      <c r="O1651" s="197"/>
      <c r="P1651" s="197"/>
      <c r="Q1651" s="197"/>
      <c r="R1651" s="197"/>
      <c r="S1651" s="197"/>
      <c r="T1651" s="197"/>
      <c r="U1651" s="197"/>
      <c r="V1651" s="197"/>
      <c r="W1651" s="197"/>
      <c r="X1651" s="196"/>
      <c r="Y1651" s="196"/>
      <c r="Z1651" s="196"/>
      <c r="AA1651" s="196"/>
      <c r="AB1651" s="196"/>
      <c r="AC1651" s="197"/>
      <c r="AD1651" s="198"/>
    </row>
    <row r="1652">
      <c r="A1652" s="193"/>
      <c r="B1652" s="194"/>
      <c r="C1652" s="192"/>
      <c r="D1652" s="195"/>
      <c r="E1652" s="192"/>
      <c r="F1652" s="196"/>
      <c r="G1652" s="196"/>
      <c r="H1652" s="197"/>
      <c r="I1652" s="197"/>
      <c r="J1652" s="197"/>
      <c r="K1652" s="197"/>
      <c r="L1652" s="197"/>
      <c r="M1652" s="197"/>
      <c r="N1652" s="197"/>
      <c r="O1652" s="197"/>
      <c r="P1652" s="197"/>
      <c r="Q1652" s="197"/>
      <c r="R1652" s="197"/>
      <c r="S1652" s="197"/>
      <c r="T1652" s="197"/>
      <c r="U1652" s="197"/>
      <c r="V1652" s="197"/>
      <c r="W1652" s="197"/>
      <c r="X1652" s="196"/>
      <c r="Y1652" s="196"/>
      <c r="Z1652" s="196"/>
      <c r="AA1652" s="196"/>
      <c r="AB1652" s="196"/>
      <c r="AC1652" s="197"/>
      <c r="AD1652" s="198"/>
    </row>
    <row r="1653">
      <c r="A1653" s="193"/>
      <c r="B1653" s="194"/>
      <c r="C1653" s="192"/>
      <c r="D1653" s="195"/>
      <c r="E1653" s="192"/>
      <c r="F1653" s="196"/>
      <c r="G1653" s="196"/>
      <c r="H1653" s="197"/>
      <c r="I1653" s="197"/>
      <c r="J1653" s="197"/>
      <c r="K1653" s="197"/>
      <c r="L1653" s="197"/>
      <c r="M1653" s="197"/>
      <c r="N1653" s="197"/>
      <c r="O1653" s="197"/>
      <c r="P1653" s="197"/>
      <c r="Q1653" s="197"/>
      <c r="R1653" s="197"/>
      <c r="S1653" s="197"/>
      <c r="T1653" s="197"/>
      <c r="U1653" s="197"/>
      <c r="V1653" s="197"/>
      <c r="W1653" s="197"/>
      <c r="X1653" s="196"/>
      <c r="Y1653" s="196"/>
      <c r="Z1653" s="196"/>
      <c r="AA1653" s="196"/>
      <c r="AB1653" s="196"/>
      <c r="AC1653" s="197"/>
      <c r="AD1653" s="198"/>
    </row>
    <row r="1654">
      <c r="A1654" s="193"/>
      <c r="B1654" s="194"/>
      <c r="C1654" s="192"/>
      <c r="D1654" s="195"/>
      <c r="E1654" s="192"/>
      <c r="F1654" s="196"/>
      <c r="G1654" s="196"/>
      <c r="H1654" s="197"/>
      <c r="I1654" s="197"/>
      <c r="J1654" s="197"/>
      <c r="K1654" s="197"/>
      <c r="L1654" s="197"/>
      <c r="M1654" s="197"/>
      <c r="N1654" s="197"/>
      <c r="O1654" s="197"/>
      <c r="P1654" s="197"/>
      <c r="Q1654" s="197"/>
      <c r="R1654" s="197"/>
      <c r="S1654" s="197"/>
      <c r="T1654" s="197"/>
      <c r="U1654" s="197"/>
      <c r="V1654" s="197"/>
      <c r="W1654" s="197"/>
      <c r="X1654" s="196"/>
      <c r="Y1654" s="196"/>
      <c r="Z1654" s="196"/>
      <c r="AA1654" s="196"/>
      <c r="AB1654" s="196"/>
      <c r="AC1654" s="197"/>
      <c r="AD1654" s="198"/>
    </row>
    <row r="1655">
      <c r="A1655" s="193"/>
      <c r="B1655" s="194"/>
      <c r="C1655" s="192"/>
      <c r="D1655" s="195"/>
      <c r="E1655" s="192"/>
      <c r="F1655" s="196"/>
      <c r="G1655" s="196"/>
      <c r="H1655" s="197"/>
      <c r="I1655" s="197"/>
      <c r="J1655" s="197"/>
      <c r="K1655" s="197"/>
      <c r="L1655" s="197"/>
      <c r="M1655" s="197"/>
      <c r="N1655" s="197"/>
      <c r="O1655" s="197"/>
      <c r="P1655" s="197"/>
      <c r="Q1655" s="197"/>
      <c r="R1655" s="197"/>
      <c r="S1655" s="197"/>
      <c r="T1655" s="197"/>
      <c r="U1655" s="197"/>
      <c r="V1655" s="197"/>
      <c r="W1655" s="197"/>
      <c r="X1655" s="196"/>
      <c r="Y1655" s="196"/>
      <c r="Z1655" s="196"/>
      <c r="AA1655" s="196"/>
      <c r="AB1655" s="196"/>
      <c r="AC1655" s="197"/>
      <c r="AD1655" s="198"/>
    </row>
    <row r="1656">
      <c r="A1656" s="193"/>
      <c r="B1656" s="194"/>
      <c r="C1656" s="192"/>
      <c r="D1656" s="195"/>
      <c r="E1656" s="192"/>
      <c r="F1656" s="196"/>
      <c r="G1656" s="196"/>
      <c r="H1656" s="197"/>
      <c r="I1656" s="197"/>
      <c r="J1656" s="197"/>
      <c r="K1656" s="197"/>
      <c r="L1656" s="197"/>
      <c r="M1656" s="197"/>
      <c r="N1656" s="197"/>
      <c r="O1656" s="197"/>
      <c r="P1656" s="197"/>
      <c r="Q1656" s="197"/>
      <c r="R1656" s="197"/>
      <c r="S1656" s="197"/>
      <c r="T1656" s="197"/>
      <c r="U1656" s="197"/>
      <c r="V1656" s="197"/>
      <c r="W1656" s="197"/>
      <c r="X1656" s="196"/>
      <c r="Y1656" s="196"/>
      <c r="Z1656" s="196"/>
      <c r="AA1656" s="196"/>
      <c r="AB1656" s="196"/>
      <c r="AC1656" s="197"/>
      <c r="AD1656" s="198"/>
    </row>
    <row r="1657">
      <c r="A1657" s="193"/>
      <c r="B1657" s="194"/>
      <c r="C1657" s="192"/>
      <c r="D1657" s="195"/>
      <c r="E1657" s="192"/>
      <c r="F1657" s="196"/>
      <c r="G1657" s="196"/>
      <c r="H1657" s="197"/>
      <c r="I1657" s="197"/>
      <c r="J1657" s="197"/>
      <c r="K1657" s="197"/>
      <c r="L1657" s="197"/>
      <c r="M1657" s="197"/>
      <c r="N1657" s="197"/>
      <c r="O1657" s="197"/>
      <c r="P1657" s="197"/>
      <c r="Q1657" s="197"/>
      <c r="R1657" s="197"/>
      <c r="S1657" s="197"/>
      <c r="T1657" s="197"/>
      <c r="U1657" s="197"/>
      <c r="V1657" s="197"/>
      <c r="W1657" s="197"/>
      <c r="X1657" s="196"/>
      <c r="Y1657" s="196"/>
      <c r="Z1657" s="196"/>
      <c r="AA1657" s="196"/>
      <c r="AB1657" s="196"/>
      <c r="AC1657" s="197"/>
      <c r="AD1657" s="198"/>
    </row>
    <row r="1658">
      <c r="A1658" s="193"/>
      <c r="B1658" s="194"/>
      <c r="C1658" s="192"/>
      <c r="D1658" s="195"/>
      <c r="E1658" s="192"/>
      <c r="F1658" s="196"/>
      <c r="G1658" s="196"/>
      <c r="H1658" s="197"/>
      <c r="I1658" s="197"/>
      <c r="J1658" s="197"/>
      <c r="K1658" s="197"/>
      <c r="L1658" s="197"/>
      <c r="M1658" s="197"/>
      <c r="N1658" s="197"/>
      <c r="O1658" s="197"/>
      <c r="P1658" s="197"/>
      <c r="Q1658" s="197"/>
      <c r="R1658" s="197"/>
      <c r="S1658" s="197"/>
      <c r="T1658" s="197"/>
      <c r="U1658" s="197"/>
      <c r="V1658" s="197"/>
      <c r="W1658" s="197"/>
      <c r="X1658" s="196"/>
      <c r="Y1658" s="196"/>
      <c r="Z1658" s="196"/>
      <c r="AA1658" s="196"/>
      <c r="AB1658" s="196"/>
      <c r="AC1658" s="197"/>
      <c r="AD1658" s="198"/>
    </row>
    <row r="1659">
      <c r="A1659" s="193"/>
      <c r="B1659" s="194"/>
      <c r="C1659" s="192"/>
      <c r="D1659" s="195"/>
      <c r="E1659" s="192"/>
      <c r="F1659" s="196"/>
      <c r="G1659" s="196"/>
      <c r="H1659" s="197"/>
      <c r="I1659" s="197"/>
      <c r="J1659" s="197"/>
      <c r="K1659" s="197"/>
      <c r="L1659" s="197"/>
      <c r="M1659" s="197"/>
      <c r="N1659" s="197"/>
      <c r="O1659" s="197"/>
      <c r="P1659" s="197"/>
      <c r="Q1659" s="197"/>
      <c r="R1659" s="197"/>
      <c r="S1659" s="197"/>
      <c r="T1659" s="197"/>
      <c r="U1659" s="197"/>
      <c r="V1659" s="197"/>
      <c r="W1659" s="197"/>
      <c r="X1659" s="196"/>
      <c r="Y1659" s="196"/>
      <c r="Z1659" s="196"/>
      <c r="AA1659" s="196"/>
      <c r="AB1659" s="196"/>
      <c r="AC1659" s="197"/>
      <c r="AD1659" s="198"/>
    </row>
    <row r="1660">
      <c r="A1660" s="193"/>
      <c r="B1660" s="194"/>
      <c r="C1660" s="192"/>
      <c r="D1660" s="195"/>
      <c r="E1660" s="192"/>
      <c r="F1660" s="196"/>
      <c r="G1660" s="196"/>
      <c r="H1660" s="197"/>
      <c r="I1660" s="197"/>
      <c r="J1660" s="197"/>
      <c r="K1660" s="197"/>
      <c r="L1660" s="197"/>
      <c r="M1660" s="197"/>
      <c r="N1660" s="197"/>
      <c r="O1660" s="197"/>
      <c r="P1660" s="197"/>
      <c r="Q1660" s="197"/>
      <c r="R1660" s="197"/>
      <c r="S1660" s="197"/>
      <c r="T1660" s="197"/>
      <c r="U1660" s="197"/>
      <c r="V1660" s="197"/>
      <c r="W1660" s="197"/>
      <c r="X1660" s="196"/>
      <c r="Y1660" s="196"/>
      <c r="Z1660" s="196"/>
      <c r="AA1660" s="196"/>
      <c r="AB1660" s="196"/>
      <c r="AC1660" s="197"/>
      <c r="AD1660" s="198"/>
    </row>
    <row r="1661">
      <c r="A1661" s="193"/>
      <c r="B1661" s="194"/>
      <c r="C1661" s="192"/>
      <c r="D1661" s="195"/>
      <c r="E1661" s="192"/>
      <c r="F1661" s="196"/>
      <c r="G1661" s="196"/>
      <c r="H1661" s="197"/>
      <c r="I1661" s="197"/>
      <c r="J1661" s="197"/>
      <c r="K1661" s="197"/>
      <c r="L1661" s="197"/>
      <c r="M1661" s="197"/>
      <c r="N1661" s="197"/>
      <c r="O1661" s="197"/>
      <c r="P1661" s="197"/>
      <c r="Q1661" s="197"/>
      <c r="R1661" s="197"/>
      <c r="S1661" s="197"/>
      <c r="T1661" s="197"/>
      <c r="U1661" s="197"/>
      <c r="V1661" s="197"/>
      <c r="W1661" s="197"/>
      <c r="X1661" s="196"/>
      <c r="Y1661" s="196"/>
      <c r="Z1661" s="196"/>
      <c r="AA1661" s="196"/>
      <c r="AB1661" s="196"/>
      <c r="AC1661" s="197"/>
      <c r="AD1661" s="198"/>
    </row>
    <row r="1662">
      <c r="A1662" s="193"/>
      <c r="B1662" s="194"/>
      <c r="C1662" s="192"/>
      <c r="D1662" s="195"/>
      <c r="E1662" s="192"/>
      <c r="F1662" s="196"/>
      <c r="G1662" s="196"/>
      <c r="H1662" s="197"/>
      <c r="I1662" s="197"/>
      <c r="J1662" s="197"/>
      <c r="K1662" s="197"/>
      <c r="L1662" s="197"/>
      <c r="M1662" s="197"/>
      <c r="N1662" s="197"/>
      <c r="O1662" s="197"/>
      <c r="P1662" s="197"/>
      <c r="Q1662" s="197"/>
      <c r="R1662" s="197"/>
      <c r="S1662" s="197"/>
      <c r="T1662" s="197"/>
      <c r="U1662" s="197"/>
      <c r="V1662" s="197"/>
      <c r="W1662" s="197"/>
      <c r="X1662" s="196"/>
      <c r="Y1662" s="196"/>
      <c r="Z1662" s="196"/>
      <c r="AA1662" s="196"/>
      <c r="AB1662" s="196"/>
      <c r="AC1662" s="197"/>
      <c r="AD1662" s="198"/>
    </row>
    <row r="1663">
      <c r="A1663" s="193"/>
      <c r="B1663" s="194"/>
      <c r="C1663" s="192"/>
      <c r="D1663" s="195"/>
      <c r="E1663" s="192"/>
      <c r="F1663" s="196"/>
      <c r="G1663" s="196"/>
      <c r="H1663" s="197"/>
      <c r="I1663" s="197"/>
      <c r="J1663" s="197"/>
      <c r="K1663" s="197"/>
      <c r="L1663" s="197"/>
      <c r="M1663" s="197"/>
      <c r="N1663" s="197"/>
      <c r="O1663" s="197"/>
      <c r="P1663" s="197"/>
      <c r="Q1663" s="197"/>
      <c r="R1663" s="197"/>
      <c r="S1663" s="197"/>
      <c r="T1663" s="197"/>
      <c r="U1663" s="197"/>
      <c r="V1663" s="197"/>
      <c r="W1663" s="197"/>
      <c r="X1663" s="196"/>
      <c r="Y1663" s="196"/>
      <c r="Z1663" s="196"/>
      <c r="AA1663" s="196"/>
      <c r="AB1663" s="196"/>
      <c r="AC1663" s="197"/>
      <c r="AD1663" s="198"/>
    </row>
    <row r="1664">
      <c r="A1664" s="193"/>
      <c r="B1664" s="194"/>
      <c r="C1664" s="192"/>
      <c r="D1664" s="195"/>
      <c r="E1664" s="192"/>
      <c r="F1664" s="196"/>
      <c r="G1664" s="196"/>
      <c r="H1664" s="197"/>
      <c r="I1664" s="197"/>
      <c r="J1664" s="197"/>
      <c r="K1664" s="197"/>
      <c r="L1664" s="197"/>
      <c r="M1664" s="197"/>
      <c r="N1664" s="197"/>
      <c r="O1664" s="197"/>
      <c r="P1664" s="197"/>
      <c r="Q1664" s="197"/>
      <c r="R1664" s="197"/>
      <c r="S1664" s="197"/>
      <c r="T1664" s="197"/>
      <c r="U1664" s="197"/>
      <c r="V1664" s="197"/>
      <c r="W1664" s="197"/>
      <c r="X1664" s="196"/>
      <c r="Y1664" s="196"/>
      <c r="Z1664" s="196"/>
      <c r="AA1664" s="196"/>
      <c r="AB1664" s="196"/>
      <c r="AC1664" s="197"/>
      <c r="AD1664" s="198"/>
    </row>
    <row r="1665">
      <c r="A1665" s="193"/>
      <c r="B1665" s="194"/>
      <c r="C1665" s="192"/>
      <c r="D1665" s="195"/>
      <c r="E1665" s="192"/>
      <c r="F1665" s="196"/>
      <c r="G1665" s="196"/>
      <c r="H1665" s="197"/>
      <c r="I1665" s="197"/>
      <c r="J1665" s="197"/>
      <c r="K1665" s="197"/>
      <c r="L1665" s="197"/>
      <c r="M1665" s="197"/>
      <c r="N1665" s="197"/>
      <c r="O1665" s="197"/>
      <c r="P1665" s="197"/>
      <c r="Q1665" s="197"/>
      <c r="R1665" s="197"/>
      <c r="S1665" s="197"/>
      <c r="T1665" s="197"/>
      <c r="U1665" s="197"/>
      <c r="V1665" s="197"/>
      <c r="W1665" s="197"/>
      <c r="X1665" s="196"/>
      <c r="Y1665" s="196"/>
      <c r="Z1665" s="196"/>
      <c r="AA1665" s="196"/>
      <c r="AB1665" s="196"/>
      <c r="AC1665" s="197"/>
      <c r="AD1665" s="198"/>
    </row>
    <row r="1666">
      <c r="A1666" s="193"/>
      <c r="B1666" s="194"/>
      <c r="C1666" s="192"/>
      <c r="D1666" s="195"/>
      <c r="E1666" s="192"/>
      <c r="F1666" s="196"/>
      <c r="G1666" s="196"/>
      <c r="H1666" s="197"/>
      <c r="I1666" s="197"/>
      <c r="J1666" s="197"/>
      <c r="K1666" s="197"/>
      <c r="L1666" s="197"/>
      <c r="M1666" s="197"/>
      <c r="N1666" s="197"/>
      <c r="O1666" s="197"/>
      <c r="P1666" s="197"/>
      <c r="Q1666" s="197"/>
      <c r="R1666" s="197"/>
      <c r="S1666" s="197"/>
      <c r="T1666" s="197"/>
      <c r="U1666" s="197"/>
      <c r="V1666" s="197"/>
      <c r="W1666" s="197"/>
      <c r="X1666" s="196"/>
      <c r="Y1666" s="196"/>
      <c r="Z1666" s="196"/>
      <c r="AA1666" s="196"/>
      <c r="AB1666" s="196"/>
      <c r="AC1666" s="197"/>
      <c r="AD1666" s="198"/>
    </row>
    <row r="1667">
      <c r="A1667" s="193"/>
      <c r="B1667" s="194"/>
      <c r="C1667" s="192"/>
      <c r="D1667" s="195"/>
      <c r="E1667" s="192"/>
      <c r="F1667" s="196"/>
      <c r="G1667" s="196"/>
      <c r="H1667" s="197"/>
      <c r="I1667" s="197"/>
      <c r="J1667" s="197"/>
      <c r="K1667" s="197"/>
      <c r="L1667" s="197"/>
      <c r="M1667" s="197"/>
      <c r="N1667" s="197"/>
      <c r="O1667" s="197"/>
      <c r="P1667" s="197"/>
      <c r="Q1667" s="197"/>
      <c r="R1667" s="197"/>
      <c r="S1667" s="197"/>
      <c r="T1667" s="197"/>
      <c r="U1667" s="197"/>
      <c r="V1667" s="197"/>
      <c r="W1667" s="197"/>
      <c r="X1667" s="196"/>
      <c r="Y1667" s="196"/>
      <c r="Z1667" s="196"/>
      <c r="AA1667" s="196"/>
      <c r="AB1667" s="196"/>
      <c r="AC1667" s="197"/>
      <c r="AD1667" s="198"/>
    </row>
    <row r="1668">
      <c r="A1668" s="193"/>
      <c r="B1668" s="194"/>
      <c r="C1668" s="192"/>
      <c r="D1668" s="195"/>
      <c r="E1668" s="192"/>
      <c r="F1668" s="196"/>
      <c r="G1668" s="196"/>
      <c r="H1668" s="197"/>
      <c r="I1668" s="197"/>
      <c r="J1668" s="197"/>
      <c r="K1668" s="197"/>
      <c r="L1668" s="197"/>
      <c r="M1668" s="197"/>
      <c r="N1668" s="197"/>
      <c r="O1668" s="197"/>
      <c r="P1668" s="197"/>
      <c r="Q1668" s="197"/>
      <c r="R1668" s="197"/>
      <c r="S1668" s="197"/>
      <c r="T1668" s="197"/>
      <c r="U1668" s="197"/>
      <c r="V1668" s="197"/>
      <c r="W1668" s="197"/>
      <c r="X1668" s="196"/>
      <c r="Y1668" s="196"/>
      <c r="Z1668" s="196"/>
      <c r="AA1668" s="196"/>
      <c r="AB1668" s="196"/>
      <c r="AC1668" s="197"/>
      <c r="AD1668" s="198"/>
    </row>
    <row r="1669">
      <c r="A1669" s="193"/>
      <c r="B1669" s="194"/>
      <c r="C1669" s="192"/>
      <c r="D1669" s="195"/>
      <c r="E1669" s="192"/>
      <c r="F1669" s="196"/>
      <c r="G1669" s="196"/>
      <c r="H1669" s="197"/>
      <c r="I1669" s="197"/>
      <c r="J1669" s="197"/>
      <c r="K1669" s="197"/>
      <c r="L1669" s="197"/>
      <c r="M1669" s="197"/>
      <c r="N1669" s="197"/>
      <c r="O1669" s="197"/>
      <c r="P1669" s="197"/>
      <c r="Q1669" s="197"/>
      <c r="R1669" s="197"/>
      <c r="S1669" s="197"/>
      <c r="T1669" s="197"/>
      <c r="U1669" s="197"/>
      <c r="V1669" s="197"/>
      <c r="W1669" s="197"/>
      <c r="X1669" s="196"/>
      <c r="Y1669" s="196"/>
      <c r="Z1669" s="196"/>
      <c r="AA1669" s="196"/>
      <c r="AB1669" s="196"/>
      <c r="AC1669" s="197"/>
      <c r="AD1669" s="198"/>
    </row>
    <row r="1670">
      <c r="A1670" s="193"/>
      <c r="B1670" s="194"/>
      <c r="C1670" s="192"/>
      <c r="D1670" s="195"/>
      <c r="E1670" s="192"/>
      <c r="F1670" s="196"/>
      <c r="G1670" s="196"/>
      <c r="H1670" s="197"/>
      <c r="I1670" s="197"/>
      <c r="J1670" s="197"/>
      <c r="K1670" s="197"/>
      <c r="L1670" s="197"/>
      <c r="M1670" s="197"/>
      <c r="N1670" s="197"/>
      <c r="O1670" s="197"/>
      <c r="P1670" s="197"/>
      <c r="Q1670" s="197"/>
      <c r="R1670" s="197"/>
      <c r="S1670" s="197"/>
      <c r="T1670" s="197"/>
      <c r="U1670" s="197"/>
      <c r="V1670" s="197"/>
      <c r="W1670" s="197"/>
      <c r="X1670" s="196"/>
      <c r="Y1670" s="196"/>
      <c r="Z1670" s="196"/>
      <c r="AA1670" s="196"/>
      <c r="AB1670" s="196"/>
      <c r="AC1670" s="197"/>
      <c r="AD1670" s="198"/>
    </row>
    <row r="1671">
      <c r="A1671" s="193"/>
      <c r="B1671" s="194"/>
      <c r="C1671" s="192"/>
      <c r="D1671" s="195"/>
      <c r="E1671" s="192"/>
      <c r="F1671" s="196"/>
      <c r="G1671" s="196"/>
      <c r="H1671" s="197"/>
      <c r="I1671" s="197"/>
      <c r="J1671" s="197"/>
      <c r="K1671" s="197"/>
      <c r="L1671" s="197"/>
      <c r="M1671" s="197"/>
      <c r="N1671" s="197"/>
      <c r="O1671" s="197"/>
      <c r="P1671" s="197"/>
      <c r="Q1671" s="197"/>
      <c r="R1671" s="197"/>
      <c r="S1671" s="197"/>
      <c r="T1671" s="197"/>
      <c r="U1671" s="197"/>
      <c r="V1671" s="197"/>
      <c r="W1671" s="197"/>
      <c r="X1671" s="196"/>
      <c r="Y1671" s="196"/>
      <c r="Z1671" s="196"/>
      <c r="AA1671" s="196"/>
      <c r="AB1671" s="196"/>
      <c r="AC1671" s="197"/>
      <c r="AD1671" s="198"/>
    </row>
    <row r="1672">
      <c r="A1672" s="193"/>
      <c r="B1672" s="194"/>
      <c r="C1672" s="192"/>
      <c r="D1672" s="195"/>
      <c r="E1672" s="192"/>
      <c r="F1672" s="196"/>
      <c r="G1672" s="196"/>
      <c r="H1672" s="197"/>
      <c r="I1672" s="197"/>
      <c r="J1672" s="197"/>
      <c r="K1672" s="197"/>
      <c r="L1672" s="197"/>
      <c r="M1672" s="197"/>
      <c r="N1672" s="197"/>
      <c r="O1672" s="197"/>
      <c r="P1672" s="197"/>
      <c r="Q1672" s="197"/>
      <c r="R1672" s="197"/>
      <c r="S1672" s="197"/>
      <c r="T1672" s="197"/>
      <c r="U1672" s="197"/>
      <c r="V1672" s="197"/>
      <c r="W1672" s="197"/>
      <c r="X1672" s="196"/>
      <c r="Y1672" s="196"/>
      <c r="Z1672" s="196"/>
      <c r="AA1672" s="196"/>
      <c r="AB1672" s="196"/>
      <c r="AC1672" s="197"/>
      <c r="AD1672" s="198"/>
    </row>
    <row r="1673">
      <c r="A1673" s="193"/>
      <c r="B1673" s="194"/>
      <c r="C1673" s="192"/>
      <c r="D1673" s="195"/>
      <c r="E1673" s="192"/>
      <c r="F1673" s="196"/>
      <c r="G1673" s="196"/>
      <c r="H1673" s="197"/>
      <c r="I1673" s="197"/>
      <c r="J1673" s="197"/>
      <c r="K1673" s="197"/>
      <c r="L1673" s="197"/>
      <c r="M1673" s="197"/>
      <c r="N1673" s="197"/>
      <c r="O1673" s="197"/>
      <c r="P1673" s="197"/>
      <c r="Q1673" s="197"/>
      <c r="R1673" s="197"/>
      <c r="S1673" s="197"/>
      <c r="T1673" s="197"/>
      <c r="U1673" s="197"/>
      <c r="V1673" s="197"/>
      <c r="W1673" s="197"/>
      <c r="X1673" s="196"/>
      <c r="Y1673" s="196"/>
      <c r="Z1673" s="196"/>
      <c r="AA1673" s="196"/>
      <c r="AB1673" s="196"/>
      <c r="AC1673" s="197"/>
      <c r="AD1673" s="198"/>
    </row>
    <row r="1674">
      <c r="A1674" s="193"/>
      <c r="B1674" s="194"/>
      <c r="C1674" s="192"/>
      <c r="D1674" s="195"/>
      <c r="E1674" s="192"/>
      <c r="F1674" s="196"/>
      <c r="G1674" s="196"/>
      <c r="H1674" s="197"/>
      <c r="I1674" s="197"/>
      <c r="J1674" s="197"/>
      <c r="K1674" s="197"/>
      <c r="L1674" s="197"/>
      <c r="M1674" s="197"/>
      <c r="N1674" s="197"/>
      <c r="O1674" s="197"/>
      <c r="P1674" s="197"/>
      <c r="Q1674" s="197"/>
      <c r="R1674" s="197"/>
      <c r="S1674" s="197"/>
      <c r="T1674" s="197"/>
      <c r="U1674" s="197"/>
      <c r="V1674" s="197"/>
      <c r="W1674" s="197"/>
      <c r="X1674" s="196"/>
      <c r="Y1674" s="196"/>
      <c r="Z1674" s="196"/>
      <c r="AA1674" s="196"/>
      <c r="AB1674" s="196"/>
      <c r="AC1674" s="197"/>
      <c r="AD1674" s="198"/>
    </row>
    <row r="1675">
      <c r="A1675" s="193"/>
      <c r="B1675" s="194"/>
      <c r="C1675" s="192"/>
      <c r="D1675" s="195"/>
      <c r="E1675" s="192"/>
      <c r="F1675" s="196"/>
      <c r="G1675" s="196"/>
      <c r="H1675" s="197"/>
      <c r="I1675" s="197"/>
      <c r="J1675" s="197"/>
      <c r="K1675" s="197"/>
      <c r="L1675" s="197"/>
      <c r="M1675" s="197"/>
      <c r="N1675" s="197"/>
      <c r="O1675" s="197"/>
      <c r="P1675" s="197"/>
      <c r="Q1675" s="197"/>
      <c r="R1675" s="197"/>
      <c r="S1675" s="197"/>
      <c r="T1675" s="197"/>
      <c r="U1675" s="197"/>
      <c r="V1675" s="197"/>
      <c r="W1675" s="197"/>
      <c r="X1675" s="196"/>
      <c r="Y1675" s="196"/>
      <c r="Z1675" s="196"/>
      <c r="AA1675" s="196"/>
      <c r="AB1675" s="196"/>
      <c r="AC1675" s="197"/>
      <c r="AD1675" s="198"/>
    </row>
    <row r="1676">
      <c r="A1676" s="193"/>
      <c r="B1676" s="194"/>
      <c r="C1676" s="192"/>
      <c r="D1676" s="195"/>
      <c r="E1676" s="192"/>
      <c r="F1676" s="196"/>
      <c r="G1676" s="196"/>
      <c r="H1676" s="197"/>
      <c r="I1676" s="197"/>
      <c r="J1676" s="197"/>
      <c r="K1676" s="197"/>
      <c r="L1676" s="197"/>
      <c r="M1676" s="197"/>
      <c r="N1676" s="197"/>
      <c r="O1676" s="197"/>
      <c r="P1676" s="197"/>
      <c r="Q1676" s="197"/>
      <c r="R1676" s="197"/>
      <c r="S1676" s="197"/>
      <c r="T1676" s="197"/>
      <c r="U1676" s="197"/>
      <c r="V1676" s="197"/>
      <c r="W1676" s="197"/>
      <c r="X1676" s="196"/>
      <c r="Y1676" s="196"/>
      <c r="Z1676" s="196"/>
      <c r="AA1676" s="196"/>
      <c r="AB1676" s="196"/>
      <c r="AC1676" s="197"/>
      <c r="AD1676" s="198"/>
    </row>
    <row r="1677">
      <c r="A1677" s="193"/>
      <c r="B1677" s="194"/>
      <c r="C1677" s="192"/>
      <c r="D1677" s="195"/>
      <c r="E1677" s="192"/>
      <c r="F1677" s="196"/>
      <c r="G1677" s="196"/>
      <c r="H1677" s="197"/>
      <c r="I1677" s="197"/>
      <c r="J1677" s="197"/>
      <c r="K1677" s="197"/>
      <c r="L1677" s="197"/>
      <c r="M1677" s="197"/>
      <c r="N1677" s="197"/>
      <c r="O1677" s="197"/>
      <c r="P1677" s="197"/>
      <c r="Q1677" s="197"/>
      <c r="R1677" s="197"/>
      <c r="S1677" s="197"/>
      <c r="T1677" s="197"/>
      <c r="U1677" s="197"/>
      <c r="V1677" s="197"/>
      <c r="W1677" s="197"/>
      <c r="X1677" s="196"/>
      <c r="Y1677" s="196"/>
      <c r="Z1677" s="196"/>
      <c r="AA1677" s="196"/>
      <c r="AB1677" s="196"/>
      <c r="AC1677" s="197"/>
      <c r="AD1677" s="198"/>
    </row>
    <row r="1678">
      <c r="A1678" s="193"/>
      <c r="B1678" s="194"/>
      <c r="C1678" s="192"/>
      <c r="D1678" s="195"/>
      <c r="E1678" s="192"/>
      <c r="F1678" s="196"/>
      <c r="G1678" s="196"/>
      <c r="H1678" s="197"/>
      <c r="I1678" s="197"/>
      <c r="J1678" s="197"/>
      <c r="K1678" s="197"/>
      <c r="L1678" s="197"/>
      <c r="M1678" s="197"/>
      <c r="N1678" s="197"/>
      <c r="O1678" s="197"/>
      <c r="P1678" s="197"/>
      <c r="Q1678" s="197"/>
      <c r="R1678" s="197"/>
      <c r="S1678" s="197"/>
      <c r="T1678" s="197"/>
      <c r="U1678" s="197"/>
      <c r="V1678" s="197"/>
      <c r="W1678" s="197"/>
      <c r="X1678" s="196"/>
      <c r="Y1678" s="196"/>
      <c r="Z1678" s="196"/>
      <c r="AA1678" s="196"/>
      <c r="AB1678" s="196"/>
      <c r="AC1678" s="197"/>
      <c r="AD1678" s="198"/>
    </row>
    <row r="1679">
      <c r="A1679" s="193"/>
      <c r="B1679" s="194"/>
      <c r="C1679" s="192"/>
      <c r="D1679" s="195"/>
      <c r="E1679" s="192"/>
      <c r="F1679" s="196"/>
      <c r="G1679" s="196"/>
      <c r="H1679" s="197"/>
      <c r="I1679" s="197"/>
      <c r="J1679" s="197"/>
      <c r="K1679" s="197"/>
      <c r="L1679" s="197"/>
      <c r="M1679" s="197"/>
      <c r="N1679" s="197"/>
      <c r="O1679" s="197"/>
      <c r="P1679" s="197"/>
      <c r="Q1679" s="197"/>
      <c r="R1679" s="197"/>
      <c r="S1679" s="197"/>
      <c r="T1679" s="197"/>
      <c r="U1679" s="197"/>
      <c r="V1679" s="197"/>
      <c r="W1679" s="197"/>
      <c r="X1679" s="196"/>
      <c r="Y1679" s="196"/>
      <c r="Z1679" s="196"/>
      <c r="AA1679" s="196"/>
      <c r="AB1679" s="196"/>
      <c r="AC1679" s="197"/>
      <c r="AD1679" s="198"/>
    </row>
    <row r="1680">
      <c r="A1680" s="193"/>
      <c r="B1680" s="194"/>
      <c r="C1680" s="192"/>
      <c r="D1680" s="195"/>
      <c r="E1680" s="192"/>
      <c r="F1680" s="196"/>
      <c r="G1680" s="196"/>
      <c r="H1680" s="197"/>
      <c r="I1680" s="197"/>
      <c r="J1680" s="197"/>
      <c r="K1680" s="197"/>
      <c r="L1680" s="197"/>
      <c r="M1680" s="197"/>
      <c r="N1680" s="197"/>
      <c r="O1680" s="197"/>
      <c r="P1680" s="197"/>
      <c r="Q1680" s="197"/>
      <c r="R1680" s="197"/>
      <c r="S1680" s="197"/>
      <c r="T1680" s="197"/>
      <c r="U1680" s="197"/>
      <c r="V1680" s="197"/>
      <c r="W1680" s="197"/>
      <c r="X1680" s="196"/>
      <c r="Y1680" s="196"/>
      <c r="Z1680" s="196"/>
      <c r="AA1680" s="196"/>
      <c r="AB1680" s="196"/>
      <c r="AC1680" s="197"/>
      <c r="AD1680" s="198"/>
    </row>
    <row r="1681">
      <c r="A1681" s="193"/>
      <c r="B1681" s="194"/>
      <c r="C1681" s="192"/>
      <c r="D1681" s="195"/>
      <c r="E1681" s="192"/>
      <c r="F1681" s="196"/>
      <c r="G1681" s="196"/>
      <c r="H1681" s="197"/>
      <c r="I1681" s="197"/>
      <c r="J1681" s="197"/>
      <c r="K1681" s="197"/>
      <c r="L1681" s="197"/>
      <c r="M1681" s="197"/>
      <c r="N1681" s="197"/>
      <c r="O1681" s="197"/>
      <c r="P1681" s="197"/>
      <c r="Q1681" s="197"/>
      <c r="R1681" s="197"/>
      <c r="S1681" s="197"/>
      <c r="T1681" s="197"/>
      <c r="U1681" s="197"/>
      <c r="V1681" s="197"/>
      <c r="W1681" s="197"/>
      <c r="X1681" s="196"/>
      <c r="Y1681" s="196"/>
      <c r="Z1681" s="196"/>
      <c r="AA1681" s="196"/>
      <c r="AB1681" s="196"/>
      <c r="AC1681" s="197"/>
      <c r="AD1681" s="198"/>
    </row>
    <row r="1682">
      <c r="A1682" s="193"/>
      <c r="B1682" s="194"/>
      <c r="C1682" s="192"/>
      <c r="D1682" s="195"/>
      <c r="E1682" s="192"/>
      <c r="F1682" s="196"/>
      <c r="G1682" s="196"/>
      <c r="H1682" s="197"/>
      <c r="I1682" s="197"/>
      <c r="J1682" s="197"/>
      <c r="K1682" s="197"/>
      <c r="L1682" s="197"/>
      <c r="M1682" s="197"/>
      <c r="N1682" s="197"/>
      <c r="O1682" s="197"/>
      <c r="P1682" s="197"/>
      <c r="Q1682" s="197"/>
      <c r="R1682" s="197"/>
      <c r="S1682" s="197"/>
      <c r="T1682" s="197"/>
      <c r="U1682" s="197"/>
      <c r="V1682" s="197"/>
      <c r="W1682" s="197"/>
      <c r="X1682" s="196"/>
      <c r="Y1682" s="196"/>
      <c r="Z1682" s="196"/>
      <c r="AA1682" s="196"/>
      <c r="AB1682" s="196"/>
      <c r="AC1682" s="197"/>
      <c r="AD1682" s="198"/>
    </row>
    <row r="1683">
      <c r="A1683" s="193"/>
      <c r="B1683" s="194"/>
      <c r="C1683" s="192"/>
      <c r="D1683" s="195"/>
      <c r="E1683" s="192"/>
      <c r="F1683" s="196"/>
      <c r="G1683" s="196"/>
      <c r="H1683" s="197"/>
      <c r="I1683" s="197"/>
      <c r="J1683" s="197"/>
      <c r="K1683" s="197"/>
      <c r="L1683" s="197"/>
      <c r="M1683" s="197"/>
      <c r="N1683" s="197"/>
      <c r="O1683" s="197"/>
      <c r="P1683" s="197"/>
      <c r="Q1683" s="197"/>
      <c r="R1683" s="197"/>
      <c r="S1683" s="197"/>
      <c r="T1683" s="197"/>
      <c r="U1683" s="197"/>
      <c r="V1683" s="197"/>
      <c r="W1683" s="197"/>
      <c r="X1683" s="196"/>
      <c r="Y1683" s="196"/>
      <c r="Z1683" s="196"/>
      <c r="AA1683" s="196"/>
      <c r="AB1683" s="196"/>
      <c r="AC1683" s="197"/>
      <c r="AD1683" s="198"/>
    </row>
    <row r="1684">
      <c r="A1684" s="193"/>
      <c r="B1684" s="194"/>
      <c r="C1684" s="192"/>
      <c r="D1684" s="195"/>
      <c r="E1684" s="192"/>
      <c r="F1684" s="196"/>
      <c r="G1684" s="196"/>
      <c r="H1684" s="197"/>
      <c r="I1684" s="197"/>
      <c r="J1684" s="197"/>
      <c r="K1684" s="197"/>
      <c r="L1684" s="197"/>
      <c r="M1684" s="197"/>
      <c r="N1684" s="197"/>
      <c r="O1684" s="197"/>
      <c r="P1684" s="197"/>
      <c r="Q1684" s="197"/>
      <c r="R1684" s="197"/>
      <c r="S1684" s="197"/>
      <c r="T1684" s="197"/>
      <c r="U1684" s="197"/>
      <c r="V1684" s="197"/>
      <c r="W1684" s="197"/>
      <c r="X1684" s="196"/>
      <c r="Y1684" s="196"/>
      <c r="Z1684" s="196"/>
      <c r="AA1684" s="196"/>
      <c r="AB1684" s="196"/>
      <c r="AC1684" s="197"/>
      <c r="AD1684" s="198"/>
    </row>
    <row r="1685">
      <c r="A1685" s="193"/>
      <c r="B1685" s="194"/>
      <c r="C1685" s="192"/>
      <c r="D1685" s="195"/>
      <c r="E1685" s="192"/>
      <c r="F1685" s="196"/>
      <c r="G1685" s="196"/>
      <c r="H1685" s="197"/>
      <c r="I1685" s="197"/>
      <c r="J1685" s="197"/>
      <c r="K1685" s="197"/>
      <c r="L1685" s="197"/>
      <c r="M1685" s="197"/>
      <c r="N1685" s="197"/>
      <c r="O1685" s="197"/>
      <c r="P1685" s="197"/>
      <c r="Q1685" s="197"/>
      <c r="R1685" s="197"/>
      <c r="S1685" s="197"/>
      <c r="T1685" s="197"/>
      <c r="U1685" s="197"/>
      <c r="V1685" s="197"/>
      <c r="W1685" s="197"/>
      <c r="X1685" s="196"/>
      <c r="Y1685" s="196"/>
      <c r="Z1685" s="196"/>
      <c r="AA1685" s="196"/>
      <c r="AB1685" s="196"/>
      <c r="AC1685" s="197"/>
      <c r="AD1685" s="198"/>
    </row>
    <row r="1686">
      <c r="A1686" s="193"/>
      <c r="B1686" s="194"/>
      <c r="C1686" s="192"/>
      <c r="D1686" s="195"/>
      <c r="E1686" s="192"/>
      <c r="F1686" s="196"/>
      <c r="G1686" s="196"/>
      <c r="H1686" s="197"/>
      <c r="I1686" s="197"/>
      <c r="J1686" s="197"/>
      <c r="K1686" s="197"/>
      <c r="L1686" s="197"/>
      <c r="M1686" s="197"/>
      <c r="N1686" s="197"/>
      <c r="O1686" s="197"/>
      <c r="P1686" s="197"/>
      <c r="Q1686" s="197"/>
      <c r="R1686" s="197"/>
      <c r="S1686" s="197"/>
      <c r="T1686" s="197"/>
      <c r="U1686" s="197"/>
      <c r="V1686" s="197"/>
      <c r="W1686" s="197"/>
      <c r="X1686" s="196"/>
      <c r="Y1686" s="196"/>
      <c r="Z1686" s="196"/>
      <c r="AA1686" s="196"/>
      <c r="AB1686" s="196"/>
      <c r="AC1686" s="197"/>
      <c r="AD1686" s="198"/>
    </row>
    <row r="1687">
      <c r="A1687" s="193"/>
      <c r="B1687" s="194"/>
      <c r="C1687" s="192"/>
      <c r="D1687" s="195"/>
      <c r="E1687" s="192"/>
      <c r="F1687" s="196"/>
      <c r="G1687" s="196"/>
      <c r="H1687" s="197"/>
      <c r="I1687" s="197"/>
      <c r="J1687" s="197"/>
      <c r="K1687" s="197"/>
      <c r="L1687" s="197"/>
      <c r="M1687" s="197"/>
      <c r="N1687" s="197"/>
      <c r="O1687" s="197"/>
      <c r="P1687" s="197"/>
      <c r="Q1687" s="197"/>
      <c r="R1687" s="197"/>
      <c r="S1687" s="197"/>
      <c r="T1687" s="197"/>
      <c r="U1687" s="197"/>
      <c r="V1687" s="197"/>
      <c r="W1687" s="197"/>
      <c r="X1687" s="196"/>
      <c r="Y1687" s="196"/>
      <c r="Z1687" s="196"/>
      <c r="AA1687" s="196"/>
      <c r="AB1687" s="196"/>
      <c r="AC1687" s="197"/>
      <c r="AD1687" s="198"/>
    </row>
    <row r="1688">
      <c r="A1688" s="193"/>
      <c r="B1688" s="194"/>
      <c r="C1688" s="192"/>
      <c r="D1688" s="195"/>
      <c r="E1688" s="192"/>
      <c r="F1688" s="196"/>
      <c r="G1688" s="196"/>
      <c r="H1688" s="197"/>
      <c r="I1688" s="197"/>
      <c r="J1688" s="197"/>
      <c r="K1688" s="197"/>
      <c r="L1688" s="197"/>
      <c r="M1688" s="197"/>
      <c r="N1688" s="197"/>
      <c r="O1688" s="197"/>
      <c r="P1688" s="197"/>
      <c r="Q1688" s="197"/>
      <c r="R1688" s="197"/>
      <c r="S1688" s="197"/>
      <c r="T1688" s="197"/>
      <c r="U1688" s="197"/>
      <c r="V1688" s="197"/>
      <c r="W1688" s="197"/>
      <c r="X1688" s="196"/>
      <c r="Y1688" s="196"/>
      <c r="Z1688" s="196"/>
      <c r="AA1688" s="196"/>
      <c r="AB1688" s="196"/>
      <c r="AC1688" s="197"/>
      <c r="AD1688" s="198"/>
    </row>
    <row r="1689">
      <c r="A1689" s="193"/>
      <c r="B1689" s="194"/>
      <c r="C1689" s="192"/>
      <c r="D1689" s="195"/>
      <c r="E1689" s="192"/>
      <c r="F1689" s="196"/>
      <c r="G1689" s="196"/>
      <c r="H1689" s="197"/>
      <c r="I1689" s="197"/>
      <c r="J1689" s="197"/>
      <c r="K1689" s="197"/>
      <c r="L1689" s="197"/>
      <c r="M1689" s="197"/>
      <c r="N1689" s="197"/>
      <c r="O1689" s="197"/>
      <c r="P1689" s="197"/>
      <c r="Q1689" s="197"/>
      <c r="R1689" s="197"/>
      <c r="S1689" s="197"/>
      <c r="T1689" s="197"/>
      <c r="U1689" s="197"/>
      <c r="V1689" s="197"/>
      <c r="W1689" s="197"/>
      <c r="X1689" s="196"/>
      <c r="Y1689" s="196"/>
      <c r="Z1689" s="196"/>
      <c r="AA1689" s="196"/>
      <c r="AB1689" s="196"/>
      <c r="AC1689" s="197"/>
      <c r="AD1689" s="198"/>
    </row>
    <row r="1690">
      <c r="A1690" s="193"/>
      <c r="B1690" s="194"/>
      <c r="C1690" s="192"/>
      <c r="D1690" s="195"/>
      <c r="E1690" s="192"/>
      <c r="F1690" s="196"/>
      <c r="G1690" s="196"/>
      <c r="H1690" s="197"/>
      <c r="I1690" s="197"/>
      <c r="J1690" s="197"/>
      <c r="K1690" s="197"/>
      <c r="L1690" s="197"/>
      <c r="M1690" s="197"/>
      <c r="N1690" s="197"/>
      <c r="O1690" s="197"/>
      <c r="P1690" s="197"/>
      <c r="Q1690" s="197"/>
      <c r="R1690" s="197"/>
      <c r="S1690" s="197"/>
      <c r="T1690" s="197"/>
      <c r="U1690" s="197"/>
      <c r="V1690" s="197"/>
      <c r="W1690" s="197"/>
      <c r="X1690" s="196"/>
      <c r="Y1690" s="196"/>
      <c r="Z1690" s="196"/>
      <c r="AA1690" s="196"/>
      <c r="AB1690" s="196"/>
      <c r="AC1690" s="197"/>
      <c r="AD1690" s="198"/>
    </row>
    <row r="1691">
      <c r="A1691" s="193"/>
      <c r="B1691" s="194"/>
      <c r="C1691" s="192"/>
      <c r="D1691" s="195"/>
      <c r="E1691" s="192"/>
      <c r="F1691" s="196"/>
      <c r="G1691" s="196"/>
      <c r="H1691" s="197"/>
      <c r="I1691" s="197"/>
      <c r="J1691" s="197"/>
      <c r="K1691" s="197"/>
      <c r="L1691" s="197"/>
      <c r="M1691" s="197"/>
      <c r="N1691" s="197"/>
      <c r="O1691" s="197"/>
      <c r="P1691" s="197"/>
      <c r="Q1691" s="197"/>
      <c r="R1691" s="197"/>
      <c r="S1691" s="197"/>
      <c r="T1691" s="197"/>
      <c r="U1691" s="197"/>
      <c r="V1691" s="197"/>
      <c r="W1691" s="197"/>
      <c r="X1691" s="196"/>
      <c r="Y1691" s="196"/>
      <c r="Z1691" s="196"/>
      <c r="AA1691" s="196"/>
      <c r="AB1691" s="196"/>
      <c r="AC1691" s="197"/>
      <c r="AD1691" s="198"/>
    </row>
    <row r="1692">
      <c r="A1692" s="193"/>
      <c r="B1692" s="194"/>
      <c r="C1692" s="192"/>
      <c r="D1692" s="195"/>
      <c r="E1692" s="192"/>
      <c r="F1692" s="196"/>
      <c r="G1692" s="196"/>
      <c r="H1692" s="197"/>
      <c r="I1692" s="197"/>
      <c r="J1692" s="197"/>
      <c r="K1692" s="197"/>
      <c r="L1692" s="197"/>
      <c r="M1692" s="197"/>
      <c r="N1692" s="197"/>
      <c r="O1692" s="197"/>
      <c r="P1692" s="197"/>
      <c r="Q1692" s="197"/>
      <c r="R1692" s="197"/>
      <c r="S1692" s="197"/>
      <c r="T1692" s="197"/>
      <c r="U1692" s="197"/>
      <c r="V1692" s="197"/>
      <c r="W1692" s="197"/>
      <c r="X1692" s="196"/>
      <c r="Y1692" s="196"/>
      <c r="Z1692" s="196"/>
      <c r="AA1692" s="196"/>
      <c r="AB1692" s="196"/>
      <c r="AC1692" s="197"/>
      <c r="AD1692" s="198"/>
    </row>
    <row r="1693">
      <c r="A1693" s="193"/>
      <c r="B1693" s="194"/>
      <c r="C1693" s="192"/>
      <c r="D1693" s="195"/>
      <c r="E1693" s="192"/>
      <c r="F1693" s="196"/>
      <c r="G1693" s="196"/>
      <c r="H1693" s="197"/>
      <c r="I1693" s="197"/>
      <c r="J1693" s="197"/>
      <c r="K1693" s="197"/>
      <c r="L1693" s="197"/>
      <c r="M1693" s="197"/>
      <c r="N1693" s="197"/>
      <c r="O1693" s="197"/>
      <c r="P1693" s="197"/>
      <c r="Q1693" s="197"/>
      <c r="R1693" s="197"/>
      <c r="S1693" s="197"/>
      <c r="T1693" s="197"/>
      <c r="U1693" s="197"/>
      <c r="V1693" s="197"/>
      <c r="W1693" s="197"/>
      <c r="X1693" s="196"/>
      <c r="Y1693" s="196"/>
      <c r="Z1693" s="196"/>
      <c r="AA1693" s="196"/>
      <c r="AB1693" s="196"/>
      <c r="AC1693" s="197"/>
      <c r="AD1693" s="198"/>
    </row>
    <row r="1694">
      <c r="A1694" s="193"/>
      <c r="B1694" s="194"/>
      <c r="C1694" s="192"/>
      <c r="D1694" s="195"/>
      <c r="E1694" s="192"/>
      <c r="F1694" s="196"/>
      <c r="G1694" s="196"/>
      <c r="H1694" s="197"/>
      <c r="I1694" s="197"/>
      <c r="J1694" s="197"/>
      <c r="K1694" s="197"/>
      <c r="L1694" s="197"/>
      <c r="M1694" s="197"/>
      <c r="N1694" s="197"/>
      <c r="O1694" s="197"/>
      <c r="P1694" s="197"/>
      <c r="Q1694" s="197"/>
      <c r="R1694" s="197"/>
      <c r="S1694" s="197"/>
      <c r="T1694" s="197"/>
      <c r="U1694" s="197"/>
      <c r="V1694" s="197"/>
      <c r="W1694" s="197"/>
      <c r="X1694" s="196"/>
      <c r="Y1694" s="196"/>
      <c r="Z1694" s="196"/>
      <c r="AA1694" s="196"/>
      <c r="AB1694" s="196"/>
      <c r="AC1694" s="197"/>
      <c r="AD1694" s="198"/>
    </row>
    <row r="1695">
      <c r="A1695" s="193"/>
      <c r="B1695" s="194"/>
      <c r="C1695" s="192"/>
      <c r="D1695" s="195"/>
      <c r="E1695" s="192"/>
      <c r="F1695" s="196"/>
      <c r="G1695" s="196"/>
      <c r="H1695" s="197"/>
      <c r="I1695" s="197"/>
      <c r="J1695" s="197"/>
      <c r="K1695" s="197"/>
      <c r="L1695" s="197"/>
      <c r="M1695" s="197"/>
      <c r="N1695" s="197"/>
      <c r="O1695" s="197"/>
      <c r="P1695" s="197"/>
      <c r="Q1695" s="197"/>
      <c r="R1695" s="197"/>
      <c r="S1695" s="197"/>
      <c r="T1695" s="197"/>
      <c r="U1695" s="197"/>
      <c r="V1695" s="197"/>
      <c r="W1695" s="197"/>
      <c r="X1695" s="196"/>
      <c r="Y1695" s="196"/>
      <c r="Z1695" s="196"/>
      <c r="AA1695" s="196"/>
      <c r="AB1695" s="196"/>
      <c r="AC1695" s="197"/>
      <c r="AD1695" s="198"/>
    </row>
    <row r="1696">
      <c r="A1696" s="193"/>
      <c r="B1696" s="194"/>
      <c r="C1696" s="192"/>
      <c r="D1696" s="195"/>
      <c r="E1696" s="192"/>
      <c r="F1696" s="196"/>
      <c r="G1696" s="196"/>
      <c r="H1696" s="197"/>
      <c r="I1696" s="197"/>
      <c r="J1696" s="197"/>
      <c r="K1696" s="197"/>
      <c r="L1696" s="197"/>
      <c r="M1696" s="197"/>
      <c r="N1696" s="197"/>
      <c r="O1696" s="197"/>
      <c r="P1696" s="197"/>
      <c r="Q1696" s="197"/>
      <c r="R1696" s="197"/>
      <c r="S1696" s="197"/>
      <c r="T1696" s="197"/>
      <c r="U1696" s="197"/>
      <c r="V1696" s="197"/>
      <c r="W1696" s="197"/>
      <c r="X1696" s="196"/>
      <c r="Y1696" s="196"/>
      <c r="Z1696" s="196"/>
      <c r="AA1696" s="196"/>
      <c r="AB1696" s="196"/>
      <c r="AC1696" s="197"/>
      <c r="AD1696" s="198"/>
    </row>
    <row r="1697">
      <c r="A1697" s="193"/>
      <c r="B1697" s="194"/>
      <c r="C1697" s="192"/>
      <c r="D1697" s="195"/>
      <c r="E1697" s="192"/>
      <c r="F1697" s="196"/>
      <c r="G1697" s="196"/>
      <c r="H1697" s="197"/>
      <c r="I1697" s="197"/>
      <c r="J1697" s="197"/>
      <c r="K1697" s="197"/>
      <c r="L1697" s="197"/>
      <c r="M1697" s="197"/>
      <c r="N1697" s="197"/>
      <c r="O1697" s="197"/>
      <c r="P1697" s="197"/>
      <c r="Q1697" s="197"/>
      <c r="R1697" s="197"/>
      <c r="S1697" s="197"/>
      <c r="T1697" s="197"/>
      <c r="U1697" s="197"/>
      <c r="V1697" s="197"/>
      <c r="W1697" s="197"/>
      <c r="X1697" s="196"/>
      <c r="Y1697" s="196"/>
      <c r="Z1697" s="196"/>
      <c r="AA1697" s="196"/>
      <c r="AB1697" s="196"/>
      <c r="AC1697" s="197"/>
      <c r="AD1697" s="198"/>
    </row>
    <row r="1698">
      <c r="A1698" s="193"/>
      <c r="B1698" s="194"/>
      <c r="C1698" s="192"/>
      <c r="D1698" s="195"/>
      <c r="E1698" s="192"/>
      <c r="F1698" s="196"/>
      <c r="G1698" s="196"/>
      <c r="H1698" s="197"/>
      <c r="I1698" s="197"/>
      <c r="J1698" s="197"/>
      <c r="K1698" s="197"/>
      <c r="L1698" s="197"/>
      <c r="M1698" s="197"/>
      <c r="N1698" s="197"/>
      <c r="O1698" s="197"/>
      <c r="P1698" s="197"/>
      <c r="Q1698" s="197"/>
      <c r="R1698" s="197"/>
      <c r="S1698" s="197"/>
      <c r="T1698" s="197"/>
      <c r="U1698" s="197"/>
      <c r="V1698" s="197"/>
      <c r="W1698" s="197"/>
      <c r="X1698" s="196"/>
      <c r="Y1698" s="196"/>
      <c r="Z1698" s="196"/>
      <c r="AA1698" s="196"/>
      <c r="AB1698" s="196"/>
      <c r="AC1698" s="197"/>
      <c r="AD1698" s="198"/>
    </row>
    <row r="1699">
      <c r="A1699" s="193"/>
      <c r="B1699" s="194"/>
      <c r="C1699" s="192"/>
      <c r="D1699" s="195"/>
      <c r="E1699" s="192"/>
      <c r="F1699" s="196"/>
      <c r="G1699" s="196"/>
      <c r="H1699" s="197"/>
      <c r="I1699" s="197"/>
      <c r="J1699" s="197"/>
      <c r="K1699" s="197"/>
      <c r="L1699" s="197"/>
      <c r="M1699" s="197"/>
      <c r="N1699" s="197"/>
      <c r="O1699" s="197"/>
      <c r="P1699" s="197"/>
      <c r="Q1699" s="197"/>
      <c r="R1699" s="197"/>
      <c r="S1699" s="197"/>
      <c r="T1699" s="197"/>
      <c r="U1699" s="197"/>
      <c r="V1699" s="197"/>
      <c r="W1699" s="197"/>
      <c r="X1699" s="196"/>
      <c r="Y1699" s="196"/>
      <c r="Z1699" s="196"/>
      <c r="AA1699" s="196"/>
      <c r="AB1699" s="196"/>
      <c r="AC1699" s="197"/>
      <c r="AD1699" s="198"/>
    </row>
    <row r="1700">
      <c r="A1700" s="193"/>
      <c r="B1700" s="194"/>
      <c r="C1700" s="192"/>
      <c r="D1700" s="195"/>
      <c r="E1700" s="192"/>
      <c r="F1700" s="196"/>
      <c r="G1700" s="196"/>
      <c r="H1700" s="197"/>
      <c r="I1700" s="197"/>
      <c r="J1700" s="197"/>
      <c r="K1700" s="197"/>
      <c r="L1700" s="197"/>
      <c r="M1700" s="197"/>
      <c r="N1700" s="197"/>
      <c r="O1700" s="197"/>
      <c r="P1700" s="197"/>
      <c r="Q1700" s="197"/>
      <c r="R1700" s="197"/>
      <c r="S1700" s="197"/>
      <c r="T1700" s="197"/>
      <c r="U1700" s="197"/>
      <c r="V1700" s="197"/>
      <c r="W1700" s="197"/>
      <c r="X1700" s="196"/>
      <c r="Y1700" s="196"/>
      <c r="Z1700" s="196"/>
      <c r="AA1700" s="196"/>
      <c r="AB1700" s="196"/>
      <c r="AC1700" s="197"/>
      <c r="AD1700" s="198"/>
    </row>
    <row r="1701">
      <c r="A1701" s="193"/>
      <c r="B1701" s="194"/>
      <c r="C1701" s="192"/>
      <c r="D1701" s="195"/>
      <c r="E1701" s="192"/>
      <c r="F1701" s="196"/>
      <c r="G1701" s="196"/>
      <c r="H1701" s="197"/>
      <c r="I1701" s="197"/>
      <c r="J1701" s="197"/>
      <c r="K1701" s="197"/>
      <c r="L1701" s="197"/>
      <c r="M1701" s="197"/>
      <c r="N1701" s="197"/>
      <c r="O1701" s="197"/>
      <c r="P1701" s="197"/>
      <c r="Q1701" s="197"/>
      <c r="R1701" s="197"/>
      <c r="S1701" s="197"/>
      <c r="T1701" s="197"/>
      <c r="U1701" s="197"/>
      <c r="V1701" s="197"/>
      <c r="W1701" s="197"/>
      <c r="X1701" s="196"/>
      <c r="Y1701" s="196"/>
      <c r="Z1701" s="196"/>
      <c r="AA1701" s="196"/>
      <c r="AB1701" s="196"/>
      <c r="AC1701" s="197"/>
      <c r="AD1701" s="198"/>
    </row>
    <row r="1702">
      <c r="A1702" s="193"/>
      <c r="B1702" s="194"/>
      <c r="C1702" s="192"/>
      <c r="D1702" s="195"/>
      <c r="E1702" s="192"/>
      <c r="F1702" s="196"/>
      <c r="G1702" s="196"/>
      <c r="H1702" s="197"/>
      <c r="I1702" s="197"/>
      <c r="J1702" s="197"/>
      <c r="K1702" s="197"/>
      <c r="L1702" s="197"/>
      <c r="M1702" s="197"/>
      <c r="N1702" s="197"/>
      <c r="O1702" s="197"/>
      <c r="P1702" s="197"/>
      <c r="Q1702" s="197"/>
      <c r="R1702" s="197"/>
      <c r="S1702" s="197"/>
      <c r="T1702" s="197"/>
      <c r="U1702" s="197"/>
      <c r="V1702" s="197"/>
      <c r="W1702" s="197"/>
      <c r="X1702" s="196"/>
      <c r="Y1702" s="196"/>
      <c r="Z1702" s="196"/>
      <c r="AA1702" s="196"/>
      <c r="AB1702" s="196"/>
      <c r="AC1702" s="197"/>
      <c r="AD1702" s="198"/>
    </row>
    <row r="1703">
      <c r="A1703" s="193"/>
      <c r="B1703" s="194"/>
      <c r="C1703" s="192"/>
      <c r="D1703" s="195"/>
      <c r="E1703" s="192"/>
      <c r="F1703" s="196"/>
      <c r="G1703" s="196"/>
      <c r="H1703" s="197"/>
      <c r="I1703" s="197"/>
      <c r="J1703" s="197"/>
      <c r="K1703" s="197"/>
      <c r="L1703" s="197"/>
      <c r="M1703" s="197"/>
      <c r="N1703" s="197"/>
      <c r="O1703" s="197"/>
      <c r="P1703" s="197"/>
      <c r="Q1703" s="197"/>
      <c r="R1703" s="197"/>
      <c r="S1703" s="197"/>
      <c r="T1703" s="197"/>
      <c r="U1703" s="197"/>
      <c r="V1703" s="197"/>
      <c r="W1703" s="197"/>
      <c r="X1703" s="196"/>
      <c r="Y1703" s="196"/>
      <c r="Z1703" s="196"/>
      <c r="AA1703" s="196"/>
      <c r="AB1703" s="196"/>
      <c r="AC1703" s="197"/>
      <c r="AD1703" s="198"/>
    </row>
    <row r="1704">
      <c r="A1704" s="193"/>
      <c r="B1704" s="194"/>
      <c r="C1704" s="192"/>
      <c r="D1704" s="195"/>
      <c r="E1704" s="192"/>
      <c r="F1704" s="196"/>
      <c r="G1704" s="196"/>
      <c r="H1704" s="197"/>
      <c r="I1704" s="197"/>
      <c r="J1704" s="197"/>
      <c r="K1704" s="197"/>
      <c r="L1704" s="197"/>
      <c r="M1704" s="197"/>
      <c r="N1704" s="197"/>
      <c r="O1704" s="197"/>
      <c r="P1704" s="197"/>
      <c r="Q1704" s="197"/>
      <c r="R1704" s="197"/>
      <c r="S1704" s="197"/>
      <c r="T1704" s="197"/>
      <c r="U1704" s="197"/>
      <c r="V1704" s="197"/>
      <c r="W1704" s="197"/>
      <c r="X1704" s="196"/>
      <c r="Y1704" s="196"/>
      <c r="Z1704" s="196"/>
      <c r="AA1704" s="196"/>
      <c r="AB1704" s="196"/>
      <c r="AC1704" s="197"/>
      <c r="AD1704" s="198"/>
    </row>
    <row r="1705">
      <c r="A1705" s="193"/>
      <c r="B1705" s="194"/>
      <c r="C1705" s="192"/>
      <c r="D1705" s="195"/>
      <c r="E1705" s="192"/>
      <c r="F1705" s="196"/>
      <c r="G1705" s="196"/>
      <c r="H1705" s="197"/>
      <c r="I1705" s="197"/>
      <c r="J1705" s="197"/>
      <c r="K1705" s="197"/>
      <c r="L1705" s="197"/>
      <c r="M1705" s="197"/>
      <c r="N1705" s="197"/>
      <c r="O1705" s="197"/>
      <c r="P1705" s="197"/>
      <c r="Q1705" s="197"/>
      <c r="R1705" s="197"/>
      <c r="S1705" s="197"/>
      <c r="T1705" s="197"/>
      <c r="U1705" s="197"/>
      <c r="V1705" s="197"/>
      <c r="W1705" s="197"/>
      <c r="X1705" s="196"/>
      <c r="Y1705" s="196"/>
      <c r="Z1705" s="196"/>
      <c r="AA1705" s="196"/>
      <c r="AB1705" s="196"/>
      <c r="AC1705" s="197"/>
      <c r="AD1705" s="198"/>
    </row>
    <row r="1706">
      <c r="A1706" s="193"/>
      <c r="B1706" s="194"/>
      <c r="C1706" s="192"/>
      <c r="D1706" s="195"/>
      <c r="E1706" s="192"/>
      <c r="F1706" s="196"/>
      <c r="G1706" s="196"/>
      <c r="H1706" s="197"/>
      <c r="I1706" s="197"/>
      <c r="J1706" s="197"/>
      <c r="K1706" s="197"/>
      <c r="L1706" s="197"/>
      <c r="M1706" s="197"/>
      <c r="N1706" s="197"/>
      <c r="O1706" s="197"/>
      <c r="P1706" s="197"/>
      <c r="Q1706" s="197"/>
      <c r="R1706" s="197"/>
      <c r="S1706" s="197"/>
      <c r="T1706" s="197"/>
      <c r="U1706" s="197"/>
      <c r="V1706" s="197"/>
      <c r="W1706" s="197"/>
      <c r="X1706" s="196"/>
      <c r="Y1706" s="196"/>
      <c r="Z1706" s="196"/>
      <c r="AA1706" s="196"/>
      <c r="AB1706" s="196"/>
      <c r="AC1706" s="197"/>
      <c r="AD1706" s="198"/>
    </row>
    <row r="1707">
      <c r="A1707" s="193"/>
      <c r="B1707" s="194"/>
      <c r="C1707" s="192"/>
      <c r="D1707" s="195"/>
      <c r="E1707" s="192"/>
      <c r="F1707" s="196"/>
      <c r="G1707" s="196"/>
      <c r="H1707" s="197"/>
      <c r="I1707" s="197"/>
      <c r="J1707" s="197"/>
      <c r="K1707" s="197"/>
      <c r="L1707" s="197"/>
      <c r="M1707" s="197"/>
      <c r="N1707" s="197"/>
      <c r="O1707" s="197"/>
      <c r="P1707" s="197"/>
      <c r="Q1707" s="197"/>
      <c r="R1707" s="197"/>
      <c r="S1707" s="197"/>
      <c r="T1707" s="197"/>
      <c r="U1707" s="197"/>
      <c r="V1707" s="197"/>
      <c r="W1707" s="197"/>
      <c r="X1707" s="196"/>
      <c r="Y1707" s="196"/>
      <c r="Z1707" s="196"/>
      <c r="AA1707" s="196"/>
      <c r="AB1707" s="196"/>
      <c r="AC1707" s="197"/>
      <c r="AD1707" s="198"/>
    </row>
    <row r="1708">
      <c r="A1708" s="193"/>
      <c r="B1708" s="194"/>
      <c r="C1708" s="192"/>
      <c r="D1708" s="195"/>
      <c r="E1708" s="192"/>
      <c r="F1708" s="196"/>
      <c r="G1708" s="196"/>
      <c r="H1708" s="197"/>
      <c r="I1708" s="197"/>
      <c r="J1708" s="197"/>
      <c r="K1708" s="197"/>
      <c r="L1708" s="197"/>
      <c r="M1708" s="197"/>
      <c r="N1708" s="197"/>
      <c r="O1708" s="197"/>
      <c r="P1708" s="197"/>
      <c r="Q1708" s="197"/>
      <c r="R1708" s="197"/>
      <c r="S1708" s="197"/>
      <c r="T1708" s="197"/>
      <c r="U1708" s="197"/>
      <c r="V1708" s="197"/>
      <c r="W1708" s="197"/>
      <c r="X1708" s="196"/>
      <c r="Y1708" s="196"/>
      <c r="Z1708" s="196"/>
      <c r="AA1708" s="196"/>
      <c r="AB1708" s="196"/>
      <c r="AC1708" s="197"/>
      <c r="AD1708" s="198"/>
    </row>
    <row r="1709">
      <c r="A1709" s="193"/>
      <c r="B1709" s="194"/>
      <c r="C1709" s="192"/>
      <c r="D1709" s="195"/>
      <c r="E1709" s="192"/>
      <c r="F1709" s="196"/>
      <c r="G1709" s="196"/>
      <c r="H1709" s="197"/>
      <c r="I1709" s="197"/>
      <c r="J1709" s="197"/>
      <c r="K1709" s="197"/>
      <c r="L1709" s="197"/>
      <c r="M1709" s="197"/>
      <c r="N1709" s="197"/>
      <c r="O1709" s="197"/>
      <c r="P1709" s="197"/>
      <c r="Q1709" s="197"/>
      <c r="R1709" s="197"/>
      <c r="S1709" s="197"/>
      <c r="T1709" s="197"/>
      <c r="U1709" s="197"/>
      <c r="V1709" s="197"/>
      <c r="W1709" s="197"/>
      <c r="X1709" s="196"/>
      <c r="Y1709" s="196"/>
      <c r="Z1709" s="196"/>
      <c r="AA1709" s="196"/>
      <c r="AB1709" s="196"/>
      <c r="AC1709" s="197"/>
      <c r="AD1709" s="198"/>
    </row>
    <row r="1710">
      <c r="A1710" s="193"/>
      <c r="B1710" s="194"/>
      <c r="C1710" s="192"/>
      <c r="D1710" s="195"/>
      <c r="E1710" s="192"/>
      <c r="F1710" s="196"/>
      <c r="G1710" s="196"/>
      <c r="H1710" s="197"/>
      <c r="I1710" s="197"/>
      <c r="J1710" s="197"/>
      <c r="K1710" s="197"/>
      <c r="L1710" s="197"/>
      <c r="M1710" s="197"/>
      <c r="N1710" s="197"/>
      <c r="O1710" s="197"/>
      <c r="P1710" s="197"/>
      <c r="Q1710" s="197"/>
      <c r="R1710" s="197"/>
      <c r="S1710" s="197"/>
      <c r="T1710" s="197"/>
      <c r="U1710" s="197"/>
      <c r="V1710" s="197"/>
      <c r="W1710" s="197"/>
      <c r="X1710" s="196"/>
      <c r="Y1710" s="196"/>
      <c r="Z1710" s="196"/>
      <c r="AA1710" s="196"/>
      <c r="AB1710" s="196"/>
      <c r="AC1710" s="197"/>
      <c r="AD1710" s="198"/>
    </row>
    <row r="1711">
      <c r="A1711" s="193"/>
      <c r="B1711" s="194"/>
      <c r="C1711" s="192"/>
      <c r="D1711" s="195"/>
      <c r="E1711" s="192"/>
      <c r="F1711" s="196"/>
      <c r="G1711" s="196"/>
      <c r="H1711" s="197"/>
      <c r="I1711" s="197"/>
      <c r="J1711" s="197"/>
      <c r="K1711" s="197"/>
      <c r="L1711" s="197"/>
      <c r="M1711" s="197"/>
      <c r="N1711" s="197"/>
      <c r="O1711" s="197"/>
      <c r="P1711" s="197"/>
      <c r="Q1711" s="197"/>
      <c r="R1711" s="197"/>
      <c r="S1711" s="197"/>
      <c r="T1711" s="197"/>
      <c r="U1711" s="197"/>
      <c r="V1711" s="197"/>
      <c r="W1711" s="197"/>
      <c r="X1711" s="196"/>
      <c r="Y1711" s="196"/>
      <c r="Z1711" s="196"/>
      <c r="AA1711" s="196"/>
      <c r="AB1711" s="196"/>
      <c r="AC1711" s="197"/>
      <c r="AD1711" s="198"/>
    </row>
    <row r="1712">
      <c r="A1712" s="193"/>
      <c r="B1712" s="194"/>
      <c r="C1712" s="192"/>
      <c r="D1712" s="195"/>
      <c r="E1712" s="192"/>
      <c r="F1712" s="196"/>
      <c r="G1712" s="196"/>
      <c r="H1712" s="197"/>
      <c r="I1712" s="197"/>
      <c r="J1712" s="197"/>
      <c r="K1712" s="197"/>
      <c r="L1712" s="197"/>
      <c r="M1712" s="197"/>
      <c r="N1712" s="197"/>
      <c r="O1712" s="197"/>
      <c r="P1712" s="197"/>
      <c r="Q1712" s="197"/>
      <c r="R1712" s="197"/>
      <c r="S1712" s="197"/>
      <c r="T1712" s="197"/>
      <c r="U1712" s="197"/>
      <c r="V1712" s="197"/>
      <c r="W1712" s="197"/>
      <c r="X1712" s="196"/>
      <c r="Y1712" s="196"/>
      <c r="Z1712" s="196"/>
      <c r="AA1712" s="196"/>
      <c r="AB1712" s="196"/>
      <c r="AC1712" s="197"/>
      <c r="AD1712" s="198"/>
    </row>
    <row r="1713">
      <c r="A1713" s="193"/>
      <c r="B1713" s="194"/>
      <c r="C1713" s="192"/>
      <c r="D1713" s="195"/>
      <c r="E1713" s="192"/>
      <c r="F1713" s="196"/>
      <c r="G1713" s="196"/>
      <c r="H1713" s="197"/>
      <c r="I1713" s="197"/>
      <c r="J1713" s="197"/>
      <c r="K1713" s="197"/>
      <c r="L1713" s="197"/>
      <c r="M1713" s="197"/>
      <c r="N1713" s="197"/>
      <c r="O1713" s="197"/>
      <c r="P1713" s="197"/>
      <c r="Q1713" s="197"/>
      <c r="R1713" s="197"/>
      <c r="S1713" s="197"/>
      <c r="T1713" s="197"/>
      <c r="U1713" s="197"/>
      <c r="V1713" s="197"/>
      <c r="W1713" s="197"/>
      <c r="X1713" s="196"/>
      <c r="Y1713" s="196"/>
      <c r="Z1713" s="196"/>
      <c r="AA1713" s="196"/>
      <c r="AB1713" s="196"/>
      <c r="AC1713" s="197"/>
      <c r="AD1713" s="198"/>
    </row>
    <row r="1714">
      <c r="A1714" s="193"/>
      <c r="B1714" s="194"/>
      <c r="C1714" s="192"/>
      <c r="D1714" s="195"/>
      <c r="E1714" s="192"/>
      <c r="F1714" s="196"/>
      <c r="G1714" s="196"/>
      <c r="H1714" s="197"/>
      <c r="I1714" s="197"/>
      <c r="J1714" s="197"/>
      <c r="K1714" s="197"/>
      <c r="L1714" s="197"/>
      <c r="M1714" s="197"/>
      <c r="N1714" s="197"/>
      <c r="O1714" s="197"/>
      <c r="P1714" s="197"/>
      <c r="Q1714" s="197"/>
      <c r="R1714" s="197"/>
      <c r="S1714" s="197"/>
      <c r="T1714" s="197"/>
      <c r="U1714" s="197"/>
      <c r="V1714" s="197"/>
      <c r="W1714" s="197"/>
      <c r="X1714" s="196"/>
      <c r="Y1714" s="196"/>
      <c r="Z1714" s="196"/>
      <c r="AA1714" s="196"/>
      <c r="AB1714" s="196"/>
      <c r="AC1714" s="197"/>
      <c r="AD1714" s="198"/>
    </row>
    <row r="1715">
      <c r="A1715" s="193"/>
      <c r="B1715" s="194"/>
      <c r="C1715" s="192"/>
      <c r="D1715" s="195"/>
      <c r="E1715" s="192"/>
      <c r="F1715" s="196"/>
      <c r="G1715" s="196"/>
      <c r="H1715" s="197"/>
      <c r="I1715" s="197"/>
      <c r="J1715" s="197"/>
      <c r="K1715" s="197"/>
      <c r="L1715" s="197"/>
      <c r="M1715" s="197"/>
      <c r="N1715" s="197"/>
      <c r="O1715" s="197"/>
      <c r="P1715" s="197"/>
      <c r="Q1715" s="197"/>
      <c r="R1715" s="197"/>
      <c r="S1715" s="197"/>
      <c r="T1715" s="197"/>
      <c r="U1715" s="197"/>
      <c r="V1715" s="197"/>
      <c r="W1715" s="197"/>
      <c r="X1715" s="196"/>
      <c r="Y1715" s="196"/>
      <c r="Z1715" s="196"/>
      <c r="AA1715" s="196"/>
      <c r="AB1715" s="196"/>
      <c r="AC1715" s="197"/>
      <c r="AD1715" s="198"/>
    </row>
    <row r="1716">
      <c r="A1716" s="193"/>
      <c r="B1716" s="194"/>
      <c r="C1716" s="192"/>
      <c r="D1716" s="195"/>
      <c r="E1716" s="192"/>
      <c r="F1716" s="196"/>
      <c r="G1716" s="196"/>
      <c r="H1716" s="197"/>
      <c r="I1716" s="197"/>
      <c r="J1716" s="197"/>
      <c r="K1716" s="197"/>
      <c r="L1716" s="197"/>
      <c r="M1716" s="197"/>
      <c r="N1716" s="197"/>
      <c r="O1716" s="197"/>
      <c r="P1716" s="197"/>
      <c r="Q1716" s="197"/>
      <c r="R1716" s="197"/>
      <c r="S1716" s="197"/>
      <c r="T1716" s="197"/>
      <c r="U1716" s="197"/>
      <c r="V1716" s="197"/>
      <c r="W1716" s="197"/>
      <c r="X1716" s="196"/>
      <c r="Y1716" s="196"/>
      <c r="Z1716" s="196"/>
      <c r="AA1716" s="196"/>
      <c r="AB1716" s="196"/>
      <c r="AC1716" s="197"/>
      <c r="AD1716" s="198"/>
    </row>
    <row r="1717">
      <c r="A1717" s="193"/>
      <c r="B1717" s="194"/>
      <c r="C1717" s="192"/>
      <c r="D1717" s="195"/>
      <c r="E1717" s="192"/>
      <c r="F1717" s="196"/>
      <c r="G1717" s="196"/>
      <c r="H1717" s="197"/>
      <c r="I1717" s="197"/>
      <c r="J1717" s="197"/>
      <c r="K1717" s="197"/>
      <c r="L1717" s="197"/>
      <c r="M1717" s="197"/>
      <c r="N1717" s="197"/>
      <c r="O1717" s="197"/>
      <c r="P1717" s="197"/>
      <c r="Q1717" s="197"/>
      <c r="R1717" s="197"/>
      <c r="S1717" s="197"/>
      <c r="T1717" s="197"/>
      <c r="U1717" s="197"/>
      <c r="V1717" s="197"/>
      <c r="W1717" s="197"/>
      <c r="X1717" s="196"/>
      <c r="Y1717" s="196"/>
      <c r="Z1717" s="196"/>
      <c r="AA1717" s="196"/>
      <c r="AB1717" s="196"/>
      <c r="AC1717" s="197"/>
      <c r="AD1717" s="198"/>
    </row>
    <row r="1718">
      <c r="A1718" s="193"/>
      <c r="B1718" s="194"/>
      <c r="C1718" s="192"/>
      <c r="D1718" s="195"/>
      <c r="E1718" s="192"/>
      <c r="F1718" s="196"/>
      <c r="G1718" s="196"/>
      <c r="H1718" s="197"/>
      <c r="I1718" s="197"/>
      <c r="J1718" s="197"/>
      <c r="K1718" s="197"/>
      <c r="L1718" s="197"/>
      <c r="M1718" s="197"/>
      <c r="N1718" s="197"/>
      <c r="O1718" s="197"/>
      <c r="P1718" s="197"/>
      <c r="Q1718" s="197"/>
      <c r="R1718" s="197"/>
      <c r="S1718" s="197"/>
      <c r="T1718" s="197"/>
      <c r="U1718" s="197"/>
      <c r="V1718" s="197"/>
      <c r="W1718" s="197"/>
      <c r="X1718" s="196"/>
      <c r="Y1718" s="196"/>
      <c r="Z1718" s="196"/>
      <c r="AA1718" s="196"/>
      <c r="AB1718" s="196"/>
      <c r="AC1718" s="197"/>
      <c r="AD1718" s="198"/>
    </row>
    <row r="1719">
      <c r="A1719" s="193"/>
      <c r="B1719" s="194"/>
      <c r="C1719" s="192"/>
      <c r="D1719" s="195"/>
      <c r="E1719" s="192"/>
      <c r="F1719" s="196"/>
      <c r="G1719" s="196"/>
      <c r="H1719" s="197"/>
      <c r="I1719" s="197"/>
      <c r="J1719" s="197"/>
      <c r="K1719" s="197"/>
      <c r="L1719" s="197"/>
      <c r="M1719" s="197"/>
      <c r="N1719" s="197"/>
      <c r="O1719" s="197"/>
      <c r="P1719" s="197"/>
      <c r="Q1719" s="197"/>
      <c r="R1719" s="197"/>
      <c r="S1719" s="197"/>
      <c r="T1719" s="197"/>
      <c r="U1719" s="197"/>
      <c r="V1719" s="197"/>
      <c r="W1719" s="197"/>
      <c r="X1719" s="196"/>
      <c r="Y1719" s="196"/>
      <c r="Z1719" s="196"/>
      <c r="AA1719" s="196"/>
      <c r="AB1719" s="196"/>
      <c r="AC1719" s="197"/>
      <c r="AD1719" s="198"/>
    </row>
    <row r="1720">
      <c r="A1720" s="193"/>
      <c r="B1720" s="194"/>
      <c r="C1720" s="192"/>
      <c r="D1720" s="195"/>
      <c r="E1720" s="192"/>
      <c r="F1720" s="196"/>
      <c r="G1720" s="196"/>
      <c r="H1720" s="197"/>
      <c r="I1720" s="197"/>
      <c r="J1720" s="197"/>
      <c r="K1720" s="197"/>
      <c r="L1720" s="197"/>
      <c r="M1720" s="197"/>
      <c r="N1720" s="197"/>
      <c r="O1720" s="197"/>
      <c r="P1720" s="197"/>
      <c r="Q1720" s="197"/>
      <c r="R1720" s="197"/>
      <c r="S1720" s="197"/>
      <c r="T1720" s="197"/>
      <c r="U1720" s="197"/>
      <c r="V1720" s="197"/>
      <c r="W1720" s="197"/>
      <c r="X1720" s="196"/>
      <c r="Y1720" s="196"/>
      <c r="Z1720" s="196"/>
      <c r="AA1720" s="196"/>
      <c r="AB1720" s="196"/>
      <c r="AC1720" s="197"/>
      <c r="AD1720" s="198"/>
    </row>
  </sheetData>
  <customSheetViews>
    <customSheetView guid="{5C7276FA-5674-445F-8BBF-4A49D391B765}" filter="1" showAutoFilter="1">
      <autoFilter ref="$A$1:$AC$1357">
        <filterColumn colId="3">
          <filters>
            <filter val="8/1/2024"/>
            <filter val="7/29/2025"/>
            <filter val="6/18/2025"/>
            <filter val="10/3/2025"/>
            <filter val="10/3/2024"/>
            <filter val="8/1/2025"/>
            <filter val="10/11/2024"/>
            <filter val="2/19/2025"/>
            <filter val="4/1/2024"/>
            <filter val="12/16/2024"/>
            <filter val="2/20/2026"/>
            <filter val="12/16/2025"/>
            <filter val="3/31/2026"/>
            <filter val="2/20/2024"/>
            <filter val="4/1/2025"/>
            <filter val="6/18/2024"/>
            <filter val="10/27/2025"/>
            <filter val="4/25/2025"/>
            <filter val="4/25/2024"/>
            <filter val="7/13/2024"/>
            <filter val="4/30/2024"/>
            <filter val="4/30/2026"/>
            <filter val="4/30/2025"/>
            <filter val="11/4/2024"/>
            <filter val="2/3/2025"/>
            <filter val="12/1512025"/>
            <filter val="2/3/2026"/>
            <filter val="5/24/2024"/>
            <filter val="9/2/2024"/>
            <filter val="8/12/2024"/>
            <filter val="5/24/2025"/>
            <filter val="5/2/2026"/>
            <filter val="12/5/2025"/>
            <filter val="11/17/2024"/>
            <filter val="11/17/2025"/>
            <filter val="1/21/2026"/>
            <filter val="7/25/2025"/>
            <filter val="7/25/2026"/>
            <filter val="8/24/2024"/>
            <filter val="12/1/2025"/>
            <filter val="10/15/2024"/>
            <filter val="10/18/2024"/>
            <filter val="1/30/2025"/>
            <filter val="9/23/2024"/>
            <filter val="11/14/2024"/>
            <filter val="10/20/2024"/>
            <filter val="4/8/2026"/>
            <filter val="4/8/2025"/>
            <filter val="4/8/2024"/>
            <filter val="2/7/2026"/>
            <filter val="2/7/2025"/>
            <filter val="2/7/2024"/>
            <filter val="3/23/2024"/>
            <filter val="2/27/2024"/>
            <filter val="9/14/2024"/>
            <filter val="11/13/2025"/>
            <filter val="1/16/2026"/>
            <filter val="7/7/2025"/>
            <filter val="2/11/2025"/>
            <filter val="2/28/2025"/>
            <filter val="2/28/2024"/>
            <filter val="11/7/2025"/>
            <filter val="7/8/2024"/>
            <filter val="11/29/2024"/>
            <filter val="5/27/2024"/>
            <filter val="7/8/2025"/>
            <filter val="6/15/2024"/>
            <filter val="3/4/2025"/>
            <filter val="8/28/2025"/>
            <filter val="3/4/2024"/>
            <filter val="8/19/2024"/>
            <filter val="8/19/2025"/>
            <filter val="5/6/2026"/>
            <filter val="3/14/2024"/>
            <filter val="5/6/2024"/>
            <filter val="7/30/2024"/>
            <filter val="1/9/2025"/>
            <filter val="3/14/2025"/>
            <filter val="1/25/2024"/>
            <filter val="4/16/2024"/>
            <filter val="11/8/2024"/>
            <filter val="4/10/2026"/>
            <filter val="8/5/2024"/>
            <filter val="9/9/2025"/>
            <filter val="9/9/2024"/>
            <filter val="11/22/2024"/>
            <filter val="9/15/2023"/>
            <filter val="11/22/2025"/>
            <filter val="8/5/2025"/>
            <filter val="10/26/2024"/>
            <filter val="2/2/2026"/>
            <filter val="2/2/2024"/>
            <filter val="3/15/2024"/>
            <filter val="7/1/2025"/>
            <filter val="3/29/2024"/>
            <filter val="7/31/2025"/>
            <filter val="2/18/2025"/>
            <filter val="10./4/2024"/>
            <filter val="5/1/2025"/>
            <filter val="4/12/2024"/>
            <filter val="8/82024"/>
            <filter val="10/24/2024"/>
            <filter val="9/24/2024"/>
            <filter val="10/24/2025"/>
            <filter val="11/21/2025"/>
            <filter val="9/19/2024"/>
            <filter val="5/21/2025"/>
            <filter val="5/21/2024"/>
            <filter val="12/2/2024"/>
            <filter val="11/18/2024"/>
            <filter val="1/26/2026"/>
            <filter val="1/26/2025"/>
            <filter val="1/26/2024"/>
            <filter val="8/4/2023"/>
            <filter val="7/18/2025"/>
            <filter val="7/18/2024"/>
            <filter val="4/24/2026"/>
            <filter val="4/24/2025"/>
            <filter val="4/24/2024"/>
            <filter val="10/22/2024"/>
            <filter val="3/19/2026"/>
            <filter val="12/13/2024"/>
            <filter val="3/19/2024"/>
            <filter val="8/30/2024"/>
            <filter val="8/30/2025"/>
            <filter val="3/22/2024"/>
            <filter val="5/11/2024"/>
            <filter val="12/4/2024"/>
            <filter val="10/12/2024"/>
            <filter val="9/20/2024"/>
            <filter val="9/20/2023"/>
            <filter val="8/27/2024"/>
            <filter val="3/25/2025"/>
            <filter val="3/25/2024"/>
            <filter val="8/7/2024"/>
            <filter val="8/7/2023"/>
            <filter val="12/11/2024"/>
            <filter val="6/26/2025"/>
            <filter val="12/11/2025"/>
            <filter val="8/20/2025"/>
            <filter val="8/20/2024"/>
            <filter val="12/9/2024"/>
            <filter val="9/30/2024"/>
            <filter val="10/2402024"/>
            <filter val="6/11/2025"/>
            <filter val="7/4/2005"/>
            <filter val="8/17/2024"/>
            <filter val="3/7/2025"/>
            <filter val="3/7/2024"/>
            <filter val="4/22/2025"/>
            <filter val="2/9/2024"/>
            <filter val="5/72025"/>
            <filter val="6/6/2024"/>
            <filter val="9/27/2024"/>
            <filter val="1/31/2024"/>
            <filter val="6/28/2024"/>
            <filter val="1/31/2025"/>
            <filter val="10/22/2025"/>
            <filter val="5/8/2026"/>
            <filter val="10/8/2024"/>
            <filter val="3/10/2025"/>
            <filter val="8/9/2024"/>
            <filter val="1/18/2025"/>
            <filter val="9/5/2024"/>
            <filter val="9/5/2025"/>
            <filter val="10/8/2025"/>
            <filter val="2/25/2025"/>
            <filter val="1/13/2025"/>
            <filter val="1/13/2026"/>
            <filter val="10/14/2024"/>
            <filter val="3/27/2026"/>
            <filter val="2/15/2024"/>
            <filter val="4/29/2024"/>
            <filter val="2/15/2025"/>
            <filter val="2/4/2025"/>
            <filter val="3/20/2025"/>
            <filter val="7/4/2026"/>
            <filter val="7/4/2025"/>
            <filter val="7/4/2024"/>
            <filter val="11/16/2026"/>
            <filter val="12/18/2024"/>
            <filter val="1/28/2025"/>
            <filter val="12/18/2025"/>
            <filter val="12/18/2023"/>
            <filter val="4/19/2024"/>
            <filter val="5/3/2024"/>
            <filter val="8/10/2024"/>
            <filter val="10/1/2024"/>
            <filter val="4/5/2024"/>
            <filter val="10/29/2025"/>
            <filter val="6/21/2024"/>
            <filter val="3/16/2024"/>
            <filter val="2/1/2025"/>
            <filter val="11/19/2026"/>
            <filter val="11/19/2024"/>
            <filter val="12/24/30105"/>
            <filter val="1/23/2024"/>
            <filter val="10/30/2024"/>
            <filter val="1/23/2025"/>
            <filter val="7/2/2025"/>
            <filter val="3/2/2024"/>
            <filter val="10/5/2024"/>
            <filter val="2/22/2025"/>
            <filter val="9/4/2024"/>
            <filter val="11/6/2025"/>
            <filter val="11/6/2024"/>
            <filter val="2/5/2024"/>
            <filter val="11/20/2025"/>
            <filter val="11/20/2024"/>
            <filter val="3/12/2024"/>
            <filter val="5/4/2024"/>
            <filter val="3/12/2025"/>
            <filter val="5/4/2026"/>
            <filter val="4/15/2025"/>
            <filter val="4/15/2024"/>
            <filter val="5/26/2025"/>
            <filter val="11/24/2025"/>
            <filter val="3/9/2024"/>
            <filter val="3/6/2024"/>
            <filter val="3/28/2026"/>
            <filter val="3/6/2025"/>
            <filter val="3/28/2024"/>
            <filter val="3/6/2026"/>
            <filter val="12/7/2023"/>
            <filter val="5/14/2024"/>
            <filter val="2/26/2026"/>
            <filter val="2/26/2024"/>
            <filter val="5/17/2024"/>
            <filter val="2/29/2024"/>
            <filter val="6/5/2026"/>
            <filter val="7/9/2025"/>
            <filter val="7/9/2024"/>
            <filter val="5/29/2025"/>
            <filter val="11/28/2025"/>
            <filter val="11/28/2024"/>
            <filter val="2/13/2026"/>
            <filter val="2/13/2025"/>
            <filter val="2/13/2024"/>
            <filter val="1/8/2026"/>
            <filter val="10/17/2024"/>
            <filter val="1/8/2025"/>
            <filter val="1/15/2025"/>
            <filter val="10/17/2025"/>
            <filter val="1/15/2026"/>
            <filter val="6//5/2025"/>
            <filter val="5/31/2024"/>
            <filter val="4/20/2024"/>
            <filter val="10/21/2024"/>
            <filter val="5/7/2026"/>
            <filter val="4/7/2026"/>
            <filter val="10/16/2025"/>
            <filter val="10/16/2024"/>
            <filter val="6/25/2025"/>
            <filter val="6/25/2026"/>
            <filter val="8/6/2024"/>
            <filter val="1/20/2025"/>
            <filter val="9/16/2024"/>
            <filter val="6/25/2024"/>
            <filter val="11/12/2024"/>
            <filter val="5/13/2024"/>
            <filter val="5/13/2025"/>
            <filter val="7/20/2024"/>
            <filter val="3/5/2025"/>
            <filter val="3/5/2024"/>
            <filter val="12/6/2023"/>
            <filter val="8/23/2024"/>
            <filter val="12/6/2024"/>
            <filter val="7/11/2024"/>
            <filter val="11/12/2025"/>
            <filter val="8/22/2024"/>
            <filter val="7/11/2025"/>
            <filter val="10/10/2024"/>
            <filter val="4/8/20205"/>
            <filter val="8/13/2024"/>
            <filter val="1/3/2025"/>
            <filter val="1/3/2024"/>
            <filter val="10/4/2023"/>
            <filter val="10/4/2024"/>
            <filter val="5/22/2024"/>
            <filter val="12/15/2025"/>
            <filter val="9/3/2024"/>
            <filter val="5/22/2025"/>
            <filter val="9/3/2025"/>
            <filter val="6/24/2025"/>
            <filter val="11/3/2025"/>
            <filter val="1/24/2025"/>
            <filter val="12/17/2025"/>
            <filter val="2/21/2025"/>
            <filter val="9/1/2025"/>
            <filter val="1/10/2024"/>
            <filter val="1/10/2025"/>
            <filter val="6/20/2024"/>
            <filter val="6/20/2025"/>
            <filter val="8/11/2025"/>
            <filter val="3/1/2024"/>
            <filter val="4/26/2024"/>
            <filter val="5/23/2024"/>
            <filter val="1/24/2024"/>
            <filter val="11/23/2024"/>
            <filter val="12/22/2025"/>
            <filter val="7/16/2025"/>
            <filter val="4/28/2025"/>
            <filter val="10/31/2024"/>
            <filter val="1/5/2025"/>
            <filter val="7/12/2024"/>
            <filter val="9/26/2024"/>
            <filter val="3/13/2026"/>
            <filter val="2/16/2024"/>
            <filter val="10/28/2024"/>
            <filter val="8/29/2186"/>
            <filter val="4/4/2025"/>
            <filter val="12/19/2024"/>
            <filter val="1/17/2024"/>
            <filter val="11/27/2025"/>
            <filter val="8/21/2025"/>
            <filter val="7/3/2023"/>
            <filter val="3/3/2025"/>
            <filter val="7/3/2024"/>
            <filter val="5/30/2025"/>
            <filter val="7/3/2025"/>
            <filter val="6/2/2025"/>
            <filter val="6/10/2024"/>
            <filter val="4/18/2024"/>
            <filter val="3/8/2026"/>
            <filter val="3/8/2025"/>
            <filter val="3/8/2024"/>
            <filter val="1/7/2025"/>
            <filter val="7/22/2024"/>
            <filter val="12/12/2025"/>
            <filter val="2/14/2025"/>
            <filter val="6/30/2025"/>
            <filter val="7/19/2024"/>
            <filter val="4/6/2026"/>
            <filter val="9/13/2024"/>
            <filter val="1/29/2024"/>
            <filter val="12/8/2023"/>
            <filter val="11/15/2024"/>
            <filter val="7/5/2024"/>
            <filter val="7/24/2024"/>
            <filter val="2/14/2024"/>
            <filter val="2/24/2025"/>
            <filter val="3/21/2025"/>
            <filter val="3/26/2024"/>
            <filter val="10/7/2024"/>
            <filter val="10/7/2025"/>
            <filter val="1/19/2024"/>
            <filter val="5/9/2025"/>
            <filter val="5/9/2024"/>
            <filter val="3/11/2024"/>
            <filter val="12/12/2023"/>
            <filter val="8/8/2025"/>
            <filter val="8/8/2024"/>
            <filter val="8/8/2023"/>
            <filter val="9/18/2024"/>
            <filter val="9/6/2024"/>
            <filter val="6/27/2025"/>
            <filter val="1/22/2024"/>
            <filter val="1/22/2026"/>
            <filter val="11/5/2024"/>
          </filters>
        </filterColumn>
        <sortState ref="A1:AC1357">
          <sortCondition ref="D1:D1357"/>
        </sortState>
      </autoFilter>
    </customSheetView>
  </customSheetViews>
  <mergeCells count="14">
    <mergeCell ref="H1:L1"/>
    <mergeCell ref="N1:Q1"/>
    <mergeCell ref="S1:V1"/>
    <mergeCell ref="X1:AB1"/>
    <mergeCell ref="R1:R2"/>
    <mergeCell ref="W1:W2"/>
    <mergeCell ref="AC1:AC2"/>
    <mergeCell ref="A1:A2"/>
    <mergeCell ref="B1:B2"/>
    <mergeCell ref="C1:C2"/>
    <mergeCell ref="E1:E2"/>
    <mergeCell ref="F1:F2"/>
    <mergeCell ref="G1:G2"/>
    <mergeCell ref="M1:M2"/>
  </mergeCells>
  <dataValidations>
    <dataValidation type="list" allowBlank="1" showErrorMessage="1" sqref="G1">
      <formula1>"Option 1,Option 2"</formula1>
    </dataValidation>
    <dataValidation type="list" allowBlank="1" showErrorMessage="1" sqref="E1">
      <formula1>"Net Ad,Option 2"</formula1>
    </dataValidation>
  </dataValidations>
  <printOptions horizontalCentered="1"/>
  <pageMargins bottom="0.75" footer="0.0" header="0.0" left="0.7" right="0.7" top="0.75"/>
  <pageSetup fitToHeight="0" paperSize="5"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6.0" topLeftCell="E7" activePane="bottomRight" state="frozen"/>
      <selection activeCell="E1" sqref="E1" pane="topRight"/>
      <selection activeCell="A7" sqref="A7" pane="bottomLeft"/>
      <selection activeCell="E7" sqref="E7" pane="bottomRight"/>
    </sheetView>
  </sheetViews>
  <sheetFormatPr customHeight="1" defaultColWidth="12.63" defaultRowHeight="15.75"/>
  <cols>
    <col customWidth="1" min="1" max="1" width="37.25"/>
    <col customWidth="1" min="2" max="2" width="3.25"/>
    <col customWidth="1" min="3" max="3" width="15.38"/>
    <col customWidth="1" min="4" max="4" width="14.63"/>
    <col customWidth="1" min="5" max="5" width="38.25"/>
    <col customWidth="1" min="6" max="6" width="14.75"/>
    <col customWidth="1" min="7" max="7" width="37.75"/>
    <col customWidth="1" min="8" max="8" width="32.13"/>
    <col customWidth="1" min="9" max="9" width="25.13"/>
    <col customWidth="1" min="10" max="14" width="5.63"/>
    <col customWidth="1" min="15" max="15" width="8.0"/>
    <col customWidth="1" min="16" max="19" width="5.38"/>
    <col customWidth="1" min="20" max="20" width="7.5"/>
    <col customWidth="1" min="21" max="24" width="5.13"/>
    <col customWidth="1" min="25" max="25" width="7.5"/>
    <col customWidth="1" min="30" max="30" width="13.88"/>
    <col customWidth="1" min="31" max="54" width="7.75"/>
  </cols>
  <sheetData>
    <row r="1" ht="16.5" customHeight="1">
      <c r="A1" s="199"/>
      <c r="B1" s="31"/>
      <c r="C1" s="112"/>
      <c r="D1" s="112"/>
      <c r="E1" s="200"/>
      <c r="F1" s="201"/>
      <c r="G1" s="202"/>
      <c r="H1" s="202"/>
      <c r="I1" s="202"/>
      <c r="J1" s="203"/>
      <c r="K1" s="203"/>
      <c r="L1" s="203"/>
      <c r="M1" s="203"/>
      <c r="N1" s="203"/>
      <c r="O1" s="203"/>
      <c r="P1" s="203"/>
      <c r="Q1" s="203"/>
      <c r="R1" s="203"/>
      <c r="S1" s="203"/>
      <c r="T1" s="203"/>
      <c r="U1" s="203"/>
      <c r="V1" s="203"/>
      <c r="W1" s="203"/>
      <c r="X1" s="203"/>
      <c r="Y1" s="203"/>
      <c r="Z1" s="204"/>
      <c r="AA1" s="204"/>
      <c r="AB1" s="204"/>
      <c r="AC1" s="204"/>
      <c r="AD1" s="204"/>
      <c r="AE1" s="203"/>
      <c r="AF1" s="205"/>
      <c r="AG1" s="205"/>
      <c r="AH1" s="205"/>
      <c r="AI1" s="205"/>
      <c r="AJ1" s="205"/>
      <c r="AK1" s="205"/>
      <c r="AL1" s="205"/>
      <c r="AM1" s="205"/>
      <c r="AN1" s="205"/>
      <c r="AO1" s="205"/>
      <c r="AP1" s="205"/>
      <c r="AQ1" s="205"/>
      <c r="AR1" s="205"/>
      <c r="AS1" s="205"/>
      <c r="AT1" s="205"/>
      <c r="AU1" s="205"/>
      <c r="AV1" s="205"/>
      <c r="AW1" s="205"/>
      <c r="AX1" s="205"/>
      <c r="AY1" s="205"/>
      <c r="AZ1" s="205"/>
      <c r="BA1" s="205"/>
      <c r="BB1" s="205"/>
    </row>
    <row r="2" ht="20.25" customHeight="1">
      <c r="A2" s="199"/>
      <c r="B2" s="31"/>
      <c r="C2" s="112"/>
      <c r="D2" s="199"/>
      <c r="E2" s="206" t="s">
        <v>219</v>
      </c>
      <c r="F2" s="201"/>
      <c r="G2" s="207">
        <v>45992.0</v>
      </c>
      <c r="H2" s="207">
        <v>45992.0</v>
      </c>
      <c r="I2" s="202"/>
      <c r="J2" s="203"/>
      <c r="K2" s="203"/>
      <c r="L2" s="203"/>
      <c r="M2" s="203"/>
      <c r="N2" s="203"/>
      <c r="O2" s="203"/>
      <c r="P2" s="203"/>
      <c r="Q2" s="203"/>
      <c r="R2" s="203"/>
      <c r="S2" s="203"/>
      <c r="T2" s="203"/>
      <c r="U2" s="203"/>
      <c r="V2" s="203"/>
      <c r="W2" s="203"/>
      <c r="X2" s="203"/>
      <c r="Y2" s="203"/>
      <c r="Z2" s="204"/>
      <c r="AA2" s="204"/>
      <c r="AB2" s="204"/>
      <c r="AC2" s="204"/>
      <c r="AD2" s="204"/>
      <c r="AE2" s="203"/>
      <c r="AF2" s="205"/>
      <c r="AG2" s="205"/>
      <c r="AH2" s="205"/>
      <c r="AI2" s="205"/>
      <c r="AJ2" s="205"/>
      <c r="AK2" s="205"/>
      <c r="AL2" s="205"/>
      <c r="AM2" s="205"/>
      <c r="AN2" s="205"/>
      <c r="AO2" s="205"/>
      <c r="AP2" s="205"/>
      <c r="AQ2" s="205"/>
      <c r="AR2" s="205"/>
      <c r="AS2" s="205"/>
      <c r="AT2" s="205"/>
      <c r="AU2" s="205"/>
      <c r="AV2" s="205"/>
      <c r="AW2" s="205"/>
      <c r="AX2" s="205"/>
      <c r="AY2" s="205"/>
      <c r="AZ2" s="205"/>
      <c r="BA2" s="205"/>
      <c r="BB2" s="205"/>
    </row>
    <row r="3" ht="16.5" customHeight="1">
      <c r="A3" s="199"/>
      <c r="B3" s="31"/>
      <c r="C3" s="112"/>
      <c r="D3" s="112"/>
      <c r="E3" s="200"/>
      <c r="F3" s="201"/>
      <c r="G3" s="208">
        <v>46149.0</v>
      </c>
      <c r="H3" s="208">
        <v>46149.0</v>
      </c>
      <c r="I3" s="202"/>
      <c r="J3" s="203"/>
      <c r="K3" s="203"/>
      <c r="L3" s="203"/>
      <c r="M3" s="203"/>
      <c r="N3" s="203"/>
      <c r="O3" s="203"/>
      <c r="P3" s="203"/>
      <c r="Q3" s="203"/>
      <c r="R3" s="203"/>
      <c r="S3" s="203"/>
      <c r="T3" s="203"/>
      <c r="U3" s="203"/>
      <c r="V3" s="203"/>
      <c r="W3" s="203"/>
      <c r="X3" s="203"/>
      <c r="Y3" s="203"/>
      <c r="Z3" s="204"/>
      <c r="AA3" s="204"/>
      <c r="AB3" s="204"/>
      <c r="AC3" s="204"/>
      <c r="AD3" s="209" t="s">
        <v>1826</v>
      </c>
      <c r="AE3" s="210" t="str">
        <f>AVERAGE(AE7:AE1002)</f>
        <v>#DIV/0!</v>
      </c>
      <c r="AF3" s="205"/>
      <c r="AG3" s="205"/>
      <c r="AH3" s="205"/>
      <c r="AI3" s="205"/>
      <c r="AJ3" s="205"/>
      <c r="AK3" s="205"/>
      <c r="AL3" s="205"/>
      <c r="AM3" s="205"/>
      <c r="AN3" s="205"/>
      <c r="AO3" s="205"/>
      <c r="AP3" s="205"/>
      <c r="AQ3" s="205"/>
      <c r="AR3" s="205"/>
      <c r="AS3" s="205"/>
      <c r="AT3" s="205"/>
      <c r="AU3" s="205"/>
      <c r="AV3" s="205"/>
      <c r="AW3" s="205"/>
      <c r="AX3" s="205"/>
      <c r="AY3" s="205"/>
      <c r="AZ3" s="205"/>
      <c r="BA3" s="205"/>
      <c r="BB3" s="205"/>
    </row>
    <row r="4">
      <c r="A4" s="199"/>
      <c r="B4" s="12"/>
      <c r="C4" s="202"/>
      <c r="D4" s="199"/>
      <c r="E4" s="211"/>
      <c r="F4" s="201"/>
      <c r="G4" s="199"/>
      <c r="H4" s="199"/>
      <c r="I4" s="199"/>
      <c r="J4" s="212"/>
      <c r="K4" s="212"/>
      <c r="L4" s="212"/>
      <c r="M4" s="212"/>
      <c r="N4" s="212"/>
      <c r="O4" s="212"/>
      <c r="P4" s="212"/>
      <c r="Q4" s="212"/>
      <c r="R4" s="212"/>
      <c r="S4" s="212"/>
      <c r="T4" s="212"/>
      <c r="U4" s="212"/>
      <c r="V4" s="212"/>
      <c r="W4" s="212"/>
      <c r="X4" s="212"/>
      <c r="Y4" s="212"/>
      <c r="Z4" s="204"/>
      <c r="AA4" s="204"/>
      <c r="AB4" s="204"/>
      <c r="AC4" s="204"/>
      <c r="AD4" s="204"/>
      <c r="AE4" s="212"/>
      <c r="AF4" s="213"/>
      <c r="AG4" s="213"/>
      <c r="AH4" s="213"/>
      <c r="AI4" s="213"/>
      <c r="AJ4" s="213"/>
      <c r="AK4" s="213"/>
      <c r="AL4" s="213"/>
      <c r="AM4" s="213"/>
      <c r="AN4" s="213"/>
      <c r="AO4" s="213"/>
      <c r="AP4" s="213"/>
      <c r="AQ4" s="213"/>
      <c r="AR4" s="213"/>
      <c r="AS4" s="213"/>
      <c r="AT4" s="213"/>
      <c r="AU4" s="213"/>
      <c r="AV4" s="213"/>
      <c r="AW4" s="213"/>
      <c r="AX4" s="213"/>
      <c r="AY4" s="213"/>
      <c r="AZ4" s="213"/>
      <c r="BA4" s="213"/>
      <c r="BB4" s="213"/>
    </row>
    <row r="5">
      <c r="A5" s="214" t="s">
        <v>1835</v>
      </c>
      <c r="B5" s="12"/>
      <c r="C5" s="143" t="s">
        <v>186</v>
      </c>
      <c r="D5" s="143" t="s">
        <v>187</v>
      </c>
      <c r="E5" s="143" t="s">
        <v>188</v>
      </c>
      <c r="F5" s="143" t="s">
        <v>189</v>
      </c>
      <c r="G5" s="143" t="s">
        <v>190</v>
      </c>
      <c r="H5" s="143" t="s">
        <v>192</v>
      </c>
      <c r="I5" s="143" t="s">
        <v>191</v>
      </c>
      <c r="J5" s="215" t="s">
        <v>195</v>
      </c>
      <c r="K5" s="110"/>
      <c r="L5" s="110"/>
      <c r="M5" s="110"/>
      <c r="N5" s="54"/>
      <c r="O5" s="216" t="s">
        <v>196</v>
      </c>
      <c r="P5" s="215" t="s">
        <v>197</v>
      </c>
      <c r="Q5" s="110"/>
      <c r="R5" s="110"/>
      <c r="S5" s="54"/>
      <c r="T5" s="216" t="s">
        <v>196</v>
      </c>
      <c r="U5" s="215" t="s">
        <v>39</v>
      </c>
      <c r="V5" s="110"/>
      <c r="W5" s="110"/>
      <c r="X5" s="54"/>
      <c r="Y5" s="216" t="s">
        <v>196</v>
      </c>
      <c r="Z5" s="147" t="s">
        <v>200</v>
      </c>
      <c r="AA5" s="110"/>
      <c r="AB5" s="110"/>
      <c r="AC5" s="110"/>
      <c r="AD5" s="54"/>
      <c r="AE5" s="217" t="s">
        <v>52</v>
      </c>
      <c r="AF5" s="218"/>
      <c r="AG5" s="218"/>
      <c r="AH5" s="218"/>
      <c r="AI5" s="218"/>
      <c r="AJ5" s="218"/>
      <c r="AK5" s="218"/>
      <c r="AL5" s="218"/>
      <c r="AM5" s="218"/>
      <c r="AN5" s="218"/>
      <c r="AO5" s="218"/>
      <c r="AP5" s="218"/>
      <c r="AQ5" s="218"/>
      <c r="AR5" s="218"/>
      <c r="AS5" s="218"/>
      <c r="AT5" s="218"/>
      <c r="AU5" s="218"/>
      <c r="AV5" s="218"/>
      <c r="AW5" s="218"/>
      <c r="AX5" s="218"/>
      <c r="AY5" s="218"/>
      <c r="AZ5" s="218"/>
      <c r="BA5" s="218"/>
      <c r="BB5" s="218"/>
    </row>
    <row r="6">
      <c r="A6" s="150"/>
      <c r="B6" s="12"/>
      <c r="C6" s="150"/>
      <c r="D6" s="150"/>
      <c r="E6" s="150"/>
      <c r="F6" s="150"/>
      <c r="G6" s="150"/>
      <c r="H6" s="150"/>
      <c r="I6" s="150"/>
      <c r="J6" s="219" t="s">
        <v>204</v>
      </c>
      <c r="K6" s="219" t="s">
        <v>205</v>
      </c>
      <c r="L6" s="219" t="s">
        <v>206</v>
      </c>
      <c r="M6" s="219" t="s">
        <v>207</v>
      </c>
      <c r="N6" s="219" t="s">
        <v>208</v>
      </c>
      <c r="O6" s="150"/>
      <c r="P6" s="216" t="s">
        <v>204</v>
      </c>
      <c r="Q6" s="216" t="s">
        <v>205</v>
      </c>
      <c r="R6" s="216" t="s">
        <v>206</v>
      </c>
      <c r="S6" s="216" t="s">
        <v>207</v>
      </c>
      <c r="T6" s="150"/>
      <c r="U6" s="216" t="s">
        <v>204</v>
      </c>
      <c r="V6" s="216" t="s">
        <v>205</v>
      </c>
      <c r="W6" s="216" t="s">
        <v>206</v>
      </c>
      <c r="X6" s="216" t="s">
        <v>207</v>
      </c>
      <c r="Y6" s="150"/>
      <c r="Z6" s="143" t="s">
        <v>204</v>
      </c>
      <c r="AA6" s="143" t="s">
        <v>205</v>
      </c>
      <c r="AB6" s="143" t="s">
        <v>206</v>
      </c>
      <c r="AC6" s="143" t="s">
        <v>207</v>
      </c>
      <c r="AD6" s="143" t="s">
        <v>208</v>
      </c>
      <c r="AE6" s="150"/>
      <c r="AF6" s="218"/>
      <c r="AG6" s="218"/>
      <c r="AH6" s="218"/>
      <c r="AI6" s="218"/>
      <c r="AJ6" s="218"/>
      <c r="AK6" s="218"/>
      <c r="AL6" s="218"/>
      <c r="AM6" s="218"/>
      <c r="AN6" s="218"/>
      <c r="AO6" s="218"/>
      <c r="AP6" s="218"/>
      <c r="AQ6" s="218"/>
      <c r="AR6" s="218"/>
      <c r="AS6" s="218"/>
      <c r="AT6" s="218"/>
      <c r="AU6" s="218"/>
      <c r="AV6" s="218"/>
      <c r="AW6" s="218"/>
      <c r="AX6" s="218"/>
      <c r="AY6" s="218"/>
      <c r="AZ6" s="218"/>
      <c r="BA6" s="218"/>
      <c r="BB6" s="218"/>
    </row>
    <row r="7">
      <c r="A7" s="220" t="str">
        <f t="array" ref="A7:A150">UNIQUE(DATABASE!E3:E1002)</f>
        <v>Maximum Solutions Corporation</v>
      </c>
      <c r="B7" s="12"/>
      <c r="C7" s="155"/>
      <c r="D7" s="221"/>
      <c r="E7" s="156"/>
      <c r="F7" s="222"/>
      <c r="G7" s="221"/>
      <c r="H7" s="220"/>
      <c r="I7" s="220"/>
      <c r="J7" s="223"/>
      <c r="K7" s="223"/>
      <c r="L7" s="223"/>
      <c r="M7" s="223"/>
      <c r="N7" s="223"/>
      <c r="O7" s="223"/>
      <c r="P7" s="224"/>
      <c r="Q7" s="224"/>
      <c r="R7" s="224"/>
      <c r="S7" s="224"/>
      <c r="T7" s="223"/>
      <c r="U7" s="224"/>
      <c r="V7" s="224"/>
      <c r="W7" s="224"/>
      <c r="X7" s="224"/>
      <c r="Y7" s="223"/>
      <c r="Z7" s="225"/>
      <c r="AA7" s="225"/>
      <c r="AB7" s="225"/>
      <c r="AC7" s="225"/>
      <c r="AD7" s="225"/>
      <c r="AE7" s="223"/>
      <c r="AF7" s="228"/>
      <c r="AG7" s="228"/>
      <c r="AH7" s="228"/>
      <c r="AI7" s="228"/>
      <c r="AJ7" s="228"/>
      <c r="AK7" s="228"/>
      <c r="AL7" s="228"/>
      <c r="AM7" s="228"/>
      <c r="AN7" s="228"/>
      <c r="AO7" s="228"/>
      <c r="AP7" s="228"/>
      <c r="AQ7" s="228"/>
      <c r="AR7" s="228"/>
      <c r="AS7" s="228"/>
      <c r="AT7" s="228"/>
      <c r="AU7" s="228"/>
      <c r="AV7" s="228"/>
      <c r="AW7" s="228"/>
      <c r="AX7" s="228"/>
      <c r="AY7" s="228"/>
      <c r="AZ7" s="228"/>
      <c r="BA7" s="228"/>
      <c r="BB7" s="228"/>
    </row>
    <row r="8">
      <c r="A8" s="229" t="s">
        <v>219</v>
      </c>
      <c r="B8" s="12"/>
      <c r="C8" s="162"/>
      <c r="D8" s="130"/>
      <c r="E8" s="164"/>
      <c r="F8" s="230"/>
      <c r="G8" s="130"/>
      <c r="H8" s="130"/>
      <c r="I8" s="130"/>
      <c r="J8" s="224"/>
      <c r="K8" s="224"/>
      <c r="L8" s="224"/>
      <c r="M8" s="224"/>
      <c r="N8" s="224"/>
      <c r="O8" s="224"/>
      <c r="P8" s="224"/>
      <c r="Q8" s="224"/>
      <c r="R8" s="224"/>
      <c r="S8" s="224"/>
      <c r="T8" s="224"/>
      <c r="U8" s="224"/>
      <c r="V8" s="224"/>
      <c r="W8" s="224"/>
      <c r="X8" s="224"/>
      <c r="Y8" s="224"/>
      <c r="Z8" s="231"/>
      <c r="AA8" s="231"/>
      <c r="AB8" s="231"/>
      <c r="AC8" s="231"/>
      <c r="AD8" s="231"/>
      <c r="AE8" s="224"/>
      <c r="AF8" s="228"/>
      <c r="AG8" s="228"/>
      <c r="AH8" s="228"/>
      <c r="AI8" s="228"/>
      <c r="AJ8" s="228"/>
      <c r="AK8" s="228"/>
      <c r="AL8" s="228"/>
      <c r="AM8" s="228"/>
      <c r="AN8" s="228"/>
      <c r="AO8" s="228"/>
      <c r="AP8" s="228"/>
      <c r="AQ8" s="228"/>
      <c r="AR8" s="228"/>
      <c r="AS8" s="228"/>
      <c r="AT8" s="228"/>
      <c r="AU8" s="228"/>
      <c r="AV8" s="228"/>
      <c r="AW8" s="228"/>
      <c r="AX8" s="228"/>
      <c r="AY8" s="228"/>
      <c r="AZ8" s="228"/>
      <c r="BA8" s="228"/>
      <c r="BB8" s="228"/>
    </row>
    <row r="9">
      <c r="A9" s="229" t="s">
        <v>94</v>
      </c>
      <c r="B9" s="12"/>
      <c r="C9" s="162"/>
      <c r="D9" s="130"/>
      <c r="E9" s="164"/>
      <c r="F9" s="230"/>
      <c r="G9" s="130"/>
      <c r="H9" s="229"/>
      <c r="I9" s="229"/>
      <c r="J9" s="224"/>
      <c r="K9" s="224"/>
      <c r="L9" s="224"/>
      <c r="M9" s="224"/>
      <c r="N9" s="224"/>
      <c r="O9" s="224"/>
      <c r="P9" s="224"/>
      <c r="Q9" s="224"/>
      <c r="R9" s="224"/>
      <c r="S9" s="224"/>
      <c r="T9" s="224"/>
      <c r="U9" s="224"/>
      <c r="V9" s="224"/>
      <c r="W9" s="224"/>
      <c r="X9" s="224"/>
      <c r="Y9" s="224"/>
      <c r="Z9" s="232"/>
      <c r="AA9" s="232"/>
      <c r="AB9" s="232"/>
      <c r="AC9" s="232"/>
      <c r="AD9" s="232"/>
      <c r="AE9" s="224"/>
      <c r="AF9" s="228"/>
      <c r="AG9" s="228"/>
      <c r="AH9" s="228"/>
      <c r="AI9" s="228"/>
      <c r="AJ9" s="228"/>
      <c r="AK9" s="228"/>
      <c r="AL9" s="228"/>
      <c r="AM9" s="228"/>
      <c r="AN9" s="228"/>
      <c r="AO9" s="228"/>
      <c r="AP9" s="228"/>
      <c r="AQ9" s="228"/>
      <c r="AR9" s="228"/>
      <c r="AS9" s="228"/>
      <c r="AT9" s="228"/>
      <c r="AU9" s="228"/>
      <c r="AV9" s="228"/>
      <c r="AW9" s="228"/>
      <c r="AX9" s="228"/>
      <c r="AY9" s="228"/>
      <c r="AZ9" s="228"/>
      <c r="BA9" s="228"/>
      <c r="BB9" s="228"/>
    </row>
    <row r="10">
      <c r="A10" s="229" t="s">
        <v>225</v>
      </c>
      <c r="B10" s="12"/>
      <c r="C10" s="162"/>
      <c r="D10" s="130"/>
      <c r="E10" s="164"/>
      <c r="F10" s="230"/>
      <c r="G10" s="130"/>
      <c r="H10" s="229"/>
      <c r="I10" s="229"/>
      <c r="J10" s="224"/>
      <c r="K10" s="224"/>
      <c r="L10" s="224"/>
      <c r="M10" s="224"/>
      <c r="N10" s="224"/>
      <c r="O10" s="224"/>
      <c r="P10" s="224"/>
      <c r="Q10" s="224"/>
      <c r="R10" s="224"/>
      <c r="S10" s="224"/>
      <c r="T10" s="224"/>
      <c r="U10" s="224"/>
      <c r="V10" s="224"/>
      <c r="W10" s="224"/>
      <c r="X10" s="224"/>
      <c r="Y10" s="224"/>
      <c r="Z10" s="232"/>
      <c r="AA10" s="232"/>
      <c r="AB10" s="232"/>
      <c r="AC10" s="232"/>
      <c r="AD10" s="232"/>
      <c r="AE10" s="224"/>
      <c r="AF10" s="228"/>
      <c r="AG10" s="228"/>
      <c r="AH10" s="228"/>
      <c r="AI10" s="228"/>
      <c r="AJ10" s="228"/>
      <c r="AK10" s="228"/>
      <c r="AL10" s="228"/>
      <c r="AM10" s="228"/>
      <c r="AN10" s="228"/>
      <c r="AO10" s="228"/>
      <c r="AP10" s="228"/>
      <c r="AQ10" s="228"/>
      <c r="AR10" s="228"/>
      <c r="AS10" s="228"/>
      <c r="AT10" s="228"/>
      <c r="AU10" s="228"/>
      <c r="AV10" s="228"/>
      <c r="AW10" s="228"/>
      <c r="AX10" s="228"/>
      <c r="AY10" s="228"/>
      <c r="AZ10" s="228"/>
      <c r="BA10" s="228"/>
      <c r="BB10" s="228"/>
    </row>
    <row r="11">
      <c r="A11" s="229" t="s">
        <v>233</v>
      </c>
      <c r="B11" s="12"/>
      <c r="C11" s="162"/>
      <c r="D11" s="130"/>
      <c r="E11" s="164"/>
      <c r="F11" s="230"/>
      <c r="G11" s="130"/>
      <c r="H11" s="229"/>
      <c r="I11" s="229"/>
      <c r="J11" s="224"/>
      <c r="K11" s="224"/>
      <c r="L11" s="224"/>
      <c r="M11" s="224"/>
      <c r="N11" s="224"/>
      <c r="O11" s="224"/>
      <c r="P11" s="224"/>
      <c r="Q11" s="224"/>
      <c r="R11" s="224"/>
      <c r="S11" s="224"/>
      <c r="T11" s="224"/>
      <c r="U11" s="224"/>
      <c r="V11" s="224"/>
      <c r="W11" s="224"/>
      <c r="X11" s="224"/>
      <c r="Y11" s="224"/>
      <c r="Z11" s="232"/>
      <c r="AA11" s="232"/>
      <c r="AB11" s="232"/>
      <c r="AC11" s="232"/>
      <c r="AD11" s="232"/>
      <c r="AE11" s="224"/>
      <c r="AF11" s="228"/>
      <c r="AG11" s="228"/>
      <c r="AH11" s="228"/>
      <c r="AI11" s="228"/>
      <c r="AJ11" s="228"/>
      <c r="AK11" s="228"/>
      <c r="AL11" s="228"/>
      <c r="AM11" s="228"/>
      <c r="AN11" s="228"/>
      <c r="AO11" s="228"/>
      <c r="AP11" s="228"/>
      <c r="AQ11" s="228"/>
      <c r="AR11" s="228"/>
      <c r="AS11" s="228"/>
      <c r="AT11" s="228"/>
      <c r="AU11" s="228"/>
      <c r="AV11" s="228"/>
      <c r="AW11" s="228"/>
      <c r="AX11" s="228"/>
      <c r="AY11" s="228"/>
      <c r="AZ11" s="228"/>
      <c r="BA11" s="228"/>
      <c r="BB11" s="228"/>
    </row>
    <row r="12">
      <c r="A12" s="229" t="s">
        <v>237</v>
      </c>
      <c r="B12" s="12"/>
      <c r="C12" s="162"/>
      <c r="D12" s="130"/>
      <c r="E12" s="164"/>
      <c r="F12" s="230"/>
      <c r="G12" s="130"/>
      <c r="H12" s="229"/>
      <c r="I12" s="229"/>
      <c r="J12" s="224"/>
      <c r="K12" s="224"/>
      <c r="L12" s="224"/>
      <c r="M12" s="224"/>
      <c r="N12" s="224"/>
      <c r="O12" s="224"/>
      <c r="P12" s="224"/>
      <c r="Q12" s="224"/>
      <c r="R12" s="224"/>
      <c r="S12" s="224"/>
      <c r="T12" s="224"/>
      <c r="U12" s="224"/>
      <c r="V12" s="224"/>
      <c r="W12" s="224"/>
      <c r="X12" s="224"/>
      <c r="Y12" s="224"/>
      <c r="Z12" s="232"/>
      <c r="AA12" s="232"/>
      <c r="AB12" s="232"/>
      <c r="AC12" s="232"/>
      <c r="AD12" s="232"/>
      <c r="AE12" s="224"/>
      <c r="AF12" s="228"/>
      <c r="AG12" s="228"/>
      <c r="AH12" s="228"/>
      <c r="AI12" s="228"/>
      <c r="AJ12" s="228"/>
      <c r="AK12" s="228"/>
      <c r="AL12" s="228"/>
      <c r="AM12" s="228"/>
      <c r="AN12" s="228"/>
      <c r="AO12" s="228"/>
      <c r="AP12" s="228"/>
      <c r="AQ12" s="228"/>
      <c r="AR12" s="228"/>
      <c r="AS12" s="228"/>
      <c r="AT12" s="228"/>
      <c r="AU12" s="228"/>
      <c r="AV12" s="228"/>
      <c r="AW12" s="228"/>
      <c r="AX12" s="228"/>
      <c r="AY12" s="228"/>
      <c r="AZ12" s="228"/>
      <c r="BA12" s="228"/>
      <c r="BB12" s="228"/>
    </row>
    <row r="13">
      <c r="A13" s="229" t="s">
        <v>51</v>
      </c>
      <c r="B13" s="12"/>
      <c r="C13" s="162"/>
      <c r="D13" s="130"/>
      <c r="E13" s="164"/>
      <c r="F13" s="230"/>
      <c r="G13" s="130"/>
      <c r="H13" s="229"/>
      <c r="I13" s="229"/>
      <c r="J13" s="224"/>
      <c r="K13" s="224"/>
      <c r="L13" s="224"/>
      <c r="M13" s="224"/>
      <c r="N13" s="224"/>
      <c r="O13" s="224"/>
      <c r="P13" s="224"/>
      <c r="Q13" s="224"/>
      <c r="R13" s="224"/>
      <c r="S13" s="224"/>
      <c r="T13" s="224"/>
      <c r="U13" s="224"/>
      <c r="V13" s="224"/>
      <c r="W13" s="224"/>
      <c r="X13" s="224"/>
      <c r="Y13" s="224"/>
      <c r="Z13" s="225"/>
      <c r="AA13" s="225"/>
      <c r="AB13" s="232"/>
      <c r="AC13" s="232"/>
      <c r="AD13" s="232"/>
      <c r="AE13" s="224"/>
      <c r="AF13" s="228"/>
      <c r="AG13" s="228"/>
      <c r="AH13" s="228"/>
      <c r="AI13" s="228"/>
      <c r="AJ13" s="228"/>
      <c r="AK13" s="228"/>
      <c r="AL13" s="228"/>
      <c r="AM13" s="228"/>
      <c r="AN13" s="228"/>
      <c r="AO13" s="228"/>
      <c r="AP13" s="228"/>
      <c r="AQ13" s="228"/>
      <c r="AR13" s="228"/>
      <c r="AS13" s="228"/>
      <c r="AT13" s="228"/>
      <c r="AU13" s="228"/>
      <c r="AV13" s="228"/>
      <c r="AW13" s="228"/>
      <c r="AX13" s="228"/>
      <c r="AY13" s="228"/>
      <c r="AZ13" s="228"/>
      <c r="BA13" s="228"/>
      <c r="BB13" s="228"/>
    </row>
    <row r="14">
      <c r="A14" s="229" t="s">
        <v>244</v>
      </c>
      <c r="B14" s="12"/>
      <c r="C14" s="162"/>
      <c r="D14" s="130"/>
      <c r="E14" s="164"/>
      <c r="F14" s="230"/>
      <c r="G14" s="130"/>
      <c r="H14" s="229"/>
      <c r="I14" s="229"/>
      <c r="J14" s="224"/>
      <c r="K14" s="224"/>
      <c r="L14" s="224"/>
      <c r="M14" s="224"/>
      <c r="N14" s="224"/>
      <c r="O14" s="224"/>
      <c r="P14" s="224"/>
      <c r="Q14" s="224"/>
      <c r="R14" s="224"/>
      <c r="S14" s="224"/>
      <c r="T14" s="224"/>
      <c r="U14" s="224"/>
      <c r="V14" s="224"/>
      <c r="W14" s="224"/>
      <c r="X14" s="224"/>
      <c r="Y14" s="224"/>
      <c r="Z14" s="232"/>
      <c r="AA14" s="232"/>
      <c r="AB14" s="232"/>
      <c r="AC14" s="232"/>
      <c r="AD14" s="232"/>
      <c r="AE14" s="224"/>
      <c r="AF14" s="228"/>
      <c r="AG14" s="228"/>
      <c r="AH14" s="228"/>
      <c r="AI14" s="228"/>
      <c r="AJ14" s="228"/>
      <c r="AK14" s="228"/>
      <c r="AL14" s="228"/>
      <c r="AM14" s="228"/>
      <c r="AN14" s="228"/>
      <c r="AO14" s="228"/>
      <c r="AP14" s="228"/>
      <c r="AQ14" s="228"/>
      <c r="AR14" s="228"/>
      <c r="AS14" s="228"/>
      <c r="AT14" s="228"/>
      <c r="AU14" s="228"/>
      <c r="AV14" s="228"/>
      <c r="AW14" s="228"/>
      <c r="AX14" s="228"/>
      <c r="AY14" s="228"/>
      <c r="AZ14" s="228"/>
      <c r="BA14" s="228"/>
      <c r="BB14" s="228"/>
    </row>
    <row r="15">
      <c r="A15" s="229" t="s">
        <v>247</v>
      </c>
      <c r="B15" s="12"/>
      <c r="C15" s="162"/>
      <c r="D15" s="130"/>
      <c r="E15" s="164"/>
      <c r="F15" s="230"/>
      <c r="G15" s="130"/>
      <c r="H15" s="229"/>
      <c r="I15" s="229"/>
      <c r="J15" s="224"/>
      <c r="K15" s="224"/>
      <c r="L15" s="224"/>
      <c r="M15" s="224"/>
      <c r="N15" s="224"/>
      <c r="O15" s="224"/>
      <c r="P15" s="224"/>
      <c r="Q15" s="224"/>
      <c r="R15" s="224"/>
      <c r="S15" s="224"/>
      <c r="T15" s="224"/>
      <c r="U15" s="224"/>
      <c r="V15" s="224"/>
      <c r="W15" s="224"/>
      <c r="X15" s="224"/>
      <c r="Y15" s="224"/>
      <c r="Z15" s="232"/>
      <c r="AA15" s="232"/>
      <c r="AB15" s="232"/>
      <c r="AC15" s="232"/>
      <c r="AD15" s="232"/>
      <c r="AE15" s="224"/>
      <c r="AF15" s="228"/>
      <c r="AG15" s="228"/>
      <c r="AH15" s="228"/>
      <c r="AI15" s="228"/>
      <c r="AJ15" s="228"/>
      <c r="AK15" s="228"/>
      <c r="AL15" s="228"/>
      <c r="AM15" s="228"/>
      <c r="AN15" s="228"/>
      <c r="AO15" s="228"/>
      <c r="AP15" s="228"/>
      <c r="AQ15" s="228"/>
      <c r="AR15" s="228"/>
      <c r="AS15" s="228"/>
      <c r="AT15" s="228"/>
      <c r="AU15" s="228"/>
      <c r="AV15" s="228"/>
      <c r="AW15" s="228"/>
      <c r="AX15" s="228"/>
      <c r="AY15" s="228"/>
      <c r="AZ15" s="228"/>
      <c r="BA15" s="228"/>
      <c r="BB15" s="228"/>
    </row>
    <row r="16">
      <c r="A16" s="229" t="s">
        <v>125</v>
      </c>
      <c r="B16" s="12"/>
      <c r="C16" s="162"/>
      <c r="D16" s="130"/>
      <c r="E16" s="164"/>
      <c r="F16" s="230"/>
      <c r="G16" s="130"/>
      <c r="H16" s="229"/>
      <c r="I16" s="229"/>
      <c r="J16" s="224"/>
      <c r="K16" s="224"/>
      <c r="L16" s="224"/>
      <c r="M16" s="224"/>
      <c r="N16" s="224"/>
      <c r="O16" s="224"/>
      <c r="P16" s="224"/>
      <c r="Q16" s="224"/>
      <c r="R16" s="224"/>
      <c r="S16" s="224"/>
      <c r="T16" s="224"/>
      <c r="U16" s="224"/>
      <c r="V16" s="224"/>
      <c r="W16" s="224"/>
      <c r="X16" s="224"/>
      <c r="Y16" s="224"/>
      <c r="Z16" s="232"/>
      <c r="AA16" s="232"/>
      <c r="AB16" s="232"/>
      <c r="AC16" s="232"/>
      <c r="AD16" s="232"/>
      <c r="AE16" s="224"/>
      <c r="AF16" s="228"/>
      <c r="AG16" s="228"/>
      <c r="AH16" s="228"/>
      <c r="AI16" s="228"/>
      <c r="AJ16" s="228"/>
      <c r="AK16" s="228"/>
      <c r="AL16" s="228"/>
      <c r="AM16" s="228"/>
      <c r="AN16" s="228"/>
      <c r="AO16" s="228"/>
      <c r="AP16" s="228"/>
      <c r="AQ16" s="228"/>
      <c r="AR16" s="228"/>
      <c r="AS16" s="228"/>
      <c r="AT16" s="228"/>
      <c r="AU16" s="228"/>
      <c r="AV16" s="228"/>
      <c r="AW16" s="228"/>
      <c r="AX16" s="228"/>
      <c r="AY16" s="228"/>
      <c r="AZ16" s="228"/>
      <c r="BA16" s="228"/>
      <c r="BB16" s="228"/>
    </row>
    <row r="17">
      <c r="A17" s="229" t="s">
        <v>254</v>
      </c>
      <c r="B17" s="12"/>
      <c r="C17" s="162"/>
      <c r="D17" s="130"/>
      <c r="E17" s="164"/>
      <c r="F17" s="230"/>
      <c r="G17" s="130"/>
      <c r="H17" s="229"/>
      <c r="I17" s="229"/>
      <c r="J17" s="224"/>
      <c r="K17" s="224"/>
      <c r="L17" s="224"/>
      <c r="M17" s="224"/>
      <c r="N17" s="224"/>
      <c r="O17" s="224"/>
      <c r="P17" s="224"/>
      <c r="Q17" s="224"/>
      <c r="R17" s="224"/>
      <c r="S17" s="224"/>
      <c r="T17" s="224"/>
      <c r="U17" s="224"/>
      <c r="V17" s="224"/>
      <c r="W17" s="224"/>
      <c r="X17" s="224"/>
      <c r="Y17" s="224"/>
      <c r="Z17" s="232"/>
      <c r="AA17" s="232"/>
      <c r="AB17" s="232"/>
      <c r="AC17" s="232"/>
      <c r="AD17" s="232"/>
      <c r="AE17" s="224"/>
      <c r="AF17" s="236"/>
      <c r="AG17" s="236"/>
      <c r="AH17" s="236"/>
      <c r="AI17" s="236"/>
      <c r="AJ17" s="236"/>
      <c r="AK17" s="236"/>
      <c r="AL17" s="236"/>
      <c r="AM17" s="236"/>
      <c r="AN17" s="236"/>
      <c r="AO17" s="236"/>
      <c r="AP17" s="236"/>
      <c r="AQ17" s="236"/>
      <c r="AR17" s="236"/>
      <c r="AS17" s="236"/>
      <c r="AT17" s="236"/>
      <c r="AU17" s="236"/>
      <c r="AV17" s="236"/>
      <c r="AW17" s="236"/>
      <c r="AX17" s="236"/>
      <c r="AY17" s="236"/>
      <c r="AZ17" s="236"/>
      <c r="BA17" s="236"/>
      <c r="BB17" s="236"/>
    </row>
    <row r="18">
      <c r="A18" s="229" t="s">
        <v>265</v>
      </c>
      <c r="B18" s="12"/>
      <c r="C18" s="162"/>
      <c r="D18" s="130"/>
      <c r="E18" s="164"/>
      <c r="F18" s="230"/>
      <c r="G18" s="130"/>
      <c r="H18" s="229"/>
      <c r="I18" s="229"/>
      <c r="J18" s="224"/>
      <c r="K18" s="224"/>
      <c r="L18" s="224"/>
      <c r="M18" s="224"/>
      <c r="N18" s="224"/>
      <c r="O18" s="224"/>
      <c r="P18" s="224"/>
      <c r="Q18" s="224"/>
      <c r="R18" s="224"/>
      <c r="S18" s="224"/>
      <c r="T18" s="224"/>
      <c r="U18" s="224"/>
      <c r="V18" s="224"/>
      <c r="W18" s="224"/>
      <c r="X18" s="224"/>
      <c r="Y18" s="224"/>
      <c r="Z18" s="232"/>
      <c r="AA18" s="232"/>
      <c r="AB18" s="232"/>
      <c r="AC18" s="232"/>
      <c r="AD18" s="232"/>
      <c r="AE18" s="224"/>
      <c r="AF18" s="236"/>
      <c r="AG18" s="236"/>
      <c r="AH18" s="236"/>
      <c r="AI18" s="236"/>
      <c r="AJ18" s="236"/>
      <c r="AK18" s="236"/>
      <c r="AL18" s="236"/>
      <c r="AM18" s="236"/>
      <c r="AN18" s="236"/>
      <c r="AO18" s="236"/>
      <c r="AP18" s="236"/>
      <c r="AQ18" s="236"/>
      <c r="AR18" s="236"/>
      <c r="AS18" s="236"/>
      <c r="AT18" s="236"/>
      <c r="AU18" s="236"/>
      <c r="AV18" s="236"/>
      <c r="AW18" s="236"/>
      <c r="AX18" s="236"/>
      <c r="AY18" s="236"/>
      <c r="AZ18" s="236"/>
      <c r="BA18" s="236"/>
      <c r="BB18" s="236"/>
    </row>
    <row r="19">
      <c r="A19" s="229" t="s">
        <v>285</v>
      </c>
      <c r="B19" s="12"/>
      <c r="C19" s="162"/>
      <c r="D19" s="130"/>
      <c r="E19" s="164"/>
      <c r="F19" s="230"/>
      <c r="G19" s="130"/>
      <c r="H19" s="229"/>
      <c r="I19" s="229"/>
      <c r="J19" s="224"/>
      <c r="K19" s="224"/>
      <c r="L19" s="224"/>
      <c r="M19" s="224"/>
      <c r="N19" s="224"/>
      <c r="O19" s="224"/>
      <c r="P19" s="224"/>
      <c r="Q19" s="224"/>
      <c r="R19" s="224"/>
      <c r="S19" s="224"/>
      <c r="T19" s="224"/>
      <c r="U19" s="224"/>
      <c r="V19" s="224"/>
      <c r="W19" s="224"/>
      <c r="X19" s="224"/>
      <c r="Y19" s="224"/>
      <c r="Z19" s="232"/>
      <c r="AA19" s="232"/>
      <c r="AB19" s="232"/>
      <c r="AC19" s="232"/>
      <c r="AD19" s="232"/>
      <c r="AE19" s="224"/>
      <c r="AF19" s="236"/>
      <c r="AG19" s="236"/>
      <c r="AH19" s="236"/>
      <c r="AI19" s="236"/>
      <c r="AJ19" s="236"/>
      <c r="AK19" s="236"/>
      <c r="AL19" s="236"/>
      <c r="AM19" s="236"/>
      <c r="AN19" s="236"/>
      <c r="AO19" s="236"/>
      <c r="AP19" s="236"/>
      <c r="AQ19" s="236"/>
      <c r="AR19" s="236"/>
      <c r="AS19" s="236"/>
      <c r="AT19" s="236"/>
      <c r="AU19" s="236"/>
      <c r="AV19" s="236"/>
      <c r="AW19" s="236"/>
      <c r="AX19" s="236"/>
      <c r="AY19" s="236"/>
      <c r="AZ19" s="236"/>
      <c r="BA19" s="236"/>
      <c r="BB19" s="236"/>
    </row>
    <row r="20">
      <c r="A20" s="229" t="s">
        <v>144</v>
      </c>
      <c r="B20" s="12"/>
      <c r="C20" s="162"/>
      <c r="D20" s="130"/>
      <c r="E20" s="164"/>
      <c r="F20" s="230"/>
      <c r="G20" s="130"/>
      <c r="H20" s="229"/>
      <c r="I20" s="229"/>
      <c r="J20" s="224"/>
      <c r="K20" s="224"/>
      <c r="L20" s="224"/>
      <c r="M20" s="224"/>
      <c r="N20" s="224"/>
      <c r="O20" s="224"/>
      <c r="P20" s="224"/>
      <c r="Q20" s="224"/>
      <c r="R20" s="224"/>
      <c r="S20" s="224"/>
      <c r="T20" s="224"/>
      <c r="U20" s="224"/>
      <c r="V20" s="224"/>
      <c r="W20" s="224"/>
      <c r="X20" s="224"/>
      <c r="Y20" s="224"/>
      <c r="Z20" s="232"/>
      <c r="AA20" s="232"/>
      <c r="AB20" s="232"/>
      <c r="AC20" s="232"/>
      <c r="AD20" s="232"/>
      <c r="AE20" s="224"/>
      <c r="AF20" s="236"/>
      <c r="AG20" s="236"/>
      <c r="AH20" s="236"/>
      <c r="AI20" s="236"/>
      <c r="AJ20" s="236"/>
      <c r="AK20" s="236"/>
      <c r="AL20" s="236"/>
      <c r="AM20" s="236"/>
      <c r="AN20" s="236"/>
      <c r="AO20" s="236"/>
      <c r="AP20" s="236"/>
      <c r="AQ20" s="236"/>
      <c r="AR20" s="236"/>
      <c r="AS20" s="236"/>
      <c r="AT20" s="236"/>
      <c r="AU20" s="236"/>
      <c r="AV20" s="236"/>
      <c r="AW20" s="236"/>
      <c r="AX20" s="236"/>
      <c r="AY20" s="236"/>
      <c r="AZ20" s="236"/>
      <c r="BA20" s="236"/>
      <c r="BB20" s="236"/>
    </row>
    <row r="21">
      <c r="A21" s="229" t="s">
        <v>294</v>
      </c>
      <c r="B21" s="12"/>
      <c r="C21" s="162"/>
      <c r="D21" s="130"/>
      <c r="E21" s="164"/>
      <c r="F21" s="230"/>
      <c r="G21" s="130"/>
      <c r="H21" s="229"/>
      <c r="I21" s="229"/>
      <c r="J21" s="224"/>
      <c r="K21" s="224"/>
      <c r="L21" s="224"/>
      <c r="M21" s="224"/>
      <c r="N21" s="224"/>
      <c r="O21" s="224"/>
      <c r="P21" s="224"/>
      <c r="Q21" s="224"/>
      <c r="R21" s="224"/>
      <c r="S21" s="224"/>
      <c r="T21" s="224"/>
      <c r="U21" s="224"/>
      <c r="V21" s="224"/>
      <c r="W21" s="224"/>
      <c r="X21" s="224"/>
      <c r="Y21" s="224"/>
      <c r="Z21" s="232"/>
      <c r="AA21" s="232"/>
      <c r="AB21" s="232"/>
      <c r="AC21" s="232"/>
      <c r="AD21" s="232"/>
      <c r="AE21" s="224"/>
      <c r="AF21" s="236"/>
      <c r="AG21" s="236"/>
      <c r="AH21" s="236"/>
      <c r="AI21" s="236"/>
      <c r="AJ21" s="236"/>
      <c r="AK21" s="236"/>
      <c r="AL21" s="236"/>
      <c r="AM21" s="236"/>
      <c r="AN21" s="236"/>
      <c r="AO21" s="236"/>
      <c r="AP21" s="236"/>
      <c r="AQ21" s="236"/>
      <c r="AR21" s="236"/>
      <c r="AS21" s="236"/>
      <c r="AT21" s="236"/>
      <c r="AU21" s="236"/>
      <c r="AV21" s="236"/>
      <c r="AW21" s="236"/>
      <c r="AX21" s="236"/>
      <c r="AY21" s="236"/>
      <c r="AZ21" s="236"/>
      <c r="BA21" s="236"/>
      <c r="BB21" s="236"/>
    </row>
    <row r="22">
      <c r="A22" s="229" t="s">
        <v>298</v>
      </c>
      <c r="B22" s="12"/>
      <c r="C22" s="162"/>
      <c r="D22" s="130"/>
      <c r="E22" s="164"/>
      <c r="F22" s="230"/>
      <c r="G22" s="130"/>
      <c r="H22" s="229"/>
      <c r="I22" s="229"/>
      <c r="J22" s="224"/>
      <c r="K22" s="224"/>
      <c r="L22" s="224"/>
      <c r="M22" s="224"/>
      <c r="N22" s="224"/>
      <c r="O22" s="224"/>
      <c r="P22" s="224"/>
      <c r="Q22" s="224"/>
      <c r="R22" s="224"/>
      <c r="S22" s="224"/>
      <c r="T22" s="224"/>
      <c r="U22" s="224"/>
      <c r="V22" s="224"/>
      <c r="W22" s="224"/>
      <c r="X22" s="224"/>
      <c r="Y22" s="224"/>
      <c r="Z22" s="232"/>
      <c r="AA22" s="232"/>
      <c r="AB22" s="232"/>
      <c r="AC22" s="232"/>
      <c r="AD22" s="232"/>
      <c r="AE22" s="224"/>
      <c r="AF22" s="236"/>
      <c r="AG22" s="236"/>
      <c r="AH22" s="236"/>
      <c r="AI22" s="236"/>
      <c r="AJ22" s="236"/>
      <c r="AK22" s="236"/>
      <c r="AL22" s="236"/>
      <c r="AM22" s="236"/>
      <c r="AN22" s="236"/>
      <c r="AO22" s="236"/>
      <c r="AP22" s="236"/>
      <c r="AQ22" s="236"/>
      <c r="AR22" s="236"/>
      <c r="AS22" s="236"/>
      <c r="AT22" s="236"/>
      <c r="AU22" s="236"/>
      <c r="AV22" s="236"/>
      <c r="AW22" s="236"/>
      <c r="AX22" s="236"/>
      <c r="AY22" s="236"/>
      <c r="AZ22" s="236"/>
      <c r="BA22" s="236"/>
      <c r="BB22" s="236"/>
    </row>
    <row r="23">
      <c r="A23" s="229" t="s">
        <v>306</v>
      </c>
      <c r="B23" s="12"/>
      <c r="C23" s="162"/>
      <c r="D23" s="130"/>
      <c r="E23" s="164"/>
      <c r="F23" s="230"/>
      <c r="G23" s="130"/>
      <c r="H23" s="229"/>
      <c r="I23" s="229"/>
      <c r="J23" s="224"/>
      <c r="K23" s="224"/>
      <c r="L23" s="224"/>
      <c r="M23" s="224"/>
      <c r="N23" s="224"/>
      <c r="O23" s="224"/>
      <c r="P23" s="224"/>
      <c r="Q23" s="224"/>
      <c r="R23" s="224"/>
      <c r="S23" s="224"/>
      <c r="T23" s="224"/>
      <c r="U23" s="224"/>
      <c r="V23" s="224"/>
      <c r="W23" s="224"/>
      <c r="X23" s="224"/>
      <c r="Y23" s="224"/>
      <c r="Z23" s="232"/>
      <c r="AA23" s="232"/>
      <c r="AB23" s="232"/>
      <c r="AC23" s="232"/>
      <c r="AD23" s="232"/>
      <c r="AE23" s="224"/>
      <c r="AF23" s="228"/>
      <c r="AG23" s="228"/>
      <c r="AH23" s="228"/>
      <c r="AI23" s="228"/>
      <c r="AJ23" s="228"/>
      <c r="AK23" s="228"/>
      <c r="AL23" s="228"/>
      <c r="AM23" s="228"/>
      <c r="AN23" s="228"/>
      <c r="AO23" s="228"/>
      <c r="AP23" s="228"/>
      <c r="AQ23" s="228"/>
      <c r="AR23" s="228"/>
      <c r="AS23" s="228"/>
      <c r="AT23" s="228"/>
      <c r="AU23" s="228"/>
      <c r="AV23" s="228"/>
      <c r="AW23" s="228"/>
      <c r="AX23" s="228"/>
      <c r="AY23" s="228"/>
      <c r="AZ23" s="228"/>
      <c r="BA23" s="228"/>
      <c r="BB23" s="228"/>
    </row>
    <row r="24">
      <c r="A24" s="229" t="s">
        <v>309</v>
      </c>
      <c r="B24" s="12"/>
      <c r="C24" s="162"/>
      <c r="D24" s="130"/>
      <c r="E24" s="164"/>
      <c r="F24" s="230"/>
      <c r="G24" s="130"/>
      <c r="H24" s="229"/>
      <c r="I24" s="229"/>
      <c r="J24" s="224"/>
      <c r="K24" s="224"/>
      <c r="L24" s="224"/>
      <c r="M24" s="224"/>
      <c r="N24" s="224"/>
      <c r="O24" s="224"/>
      <c r="P24" s="224"/>
      <c r="Q24" s="224"/>
      <c r="R24" s="224"/>
      <c r="S24" s="224"/>
      <c r="T24" s="224"/>
      <c r="U24" s="224"/>
      <c r="V24" s="224"/>
      <c r="W24" s="224"/>
      <c r="X24" s="224"/>
      <c r="Y24" s="224"/>
      <c r="Z24" s="232"/>
      <c r="AA24" s="232"/>
      <c r="AB24" s="232"/>
      <c r="AC24" s="232"/>
      <c r="AD24" s="232"/>
      <c r="AE24" s="224"/>
      <c r="AF24" s="228"/>
      <c r="AG24" s="228"/>
      <c r="AH24" s="228"/>
      <c r="AI24" s="228"/>
      <c r="AJ24" s="228"/>
      <c r="AK24" s="228"/>
      <c r="AL24" s="228"/>
      <c r="AM24" s="228"/>
      <c r="AN24" s="228"/>
      <c r="AO24" s="228"/>
      <c r="AP24" s="228"/>
      <c r="AQ24" s="228"/>
      <c r="AR24" s="228"/>
      <c r="AS24" s="228"/>
      <c r="AT24" s="228"/>
      <c r="AU24" s="228"/>
      <c r="AV24" s="228"/>
      <c r="AW24" s="228"/>
      <c r="AX24" s="228"/>
      <c r="AY24" s="228"/>
      <c r="AZ24" s="228"/>
      <c r="BA24" s="228"/>
      <c r="BB24" s="228"/>
    </row>
    <row r="25">
      <c r="A25" s="229" t="s">
        <v>312</v>
      </c>
      <c r="B25" s="12"/>
      <c r="C25" s="162"/>
      <c r="D25" s="130"/>
      <c r="E25" s="164"/>
      <c r="F25" s="230"/>
      <c r="G25" s="130"/>
      <c r="H25" s="229"/>
      <c r="I25" s="229"/>
      <c r="J25" s="224"/>
      <c r="K25" s="224"/>
      <c r="L25" s="224"/>
      <c r="M25" s="224"/>
      <c r="N25" s="224"/>
      <c r="O25" s="224"/>
      <c r="P25" s="224"/>
      <c r="Q25" s="224"/>
      <c r="R25" s="224"/>
      <c r="S25" s="224"/>
      <c r="T25" s="224"/>
      <c r="U25" s="224"/>
      <c r="V25" s="224"/>
      <c r="W25" s="224"/>
      <c r="X25" s="224"/>
      <c r="Y25" s="224"/>
      <c r="Z25" s="232"/>
      <c r="AA25" s="232"/>
      <c r="AB25" s="232"/>
      <c r="AC25" s="232"/>
      <c r="AD25" s="232"/>
      <c r="AE25" s="224"/>
      <c r="AF25" s="228"/>
      <c r="AG25" s="228"/>
      <c r="AH25" s="228"/>
      <c r="AI25" s="228"/>
      <c r="AJ25" s="228"/>
      <c r="AK25" s="228"/>
      <c r="AL25" s="228"/>
      <c r="AM25" s="228"/>
      <c r="AN25" s="228"/>
      <c r="AO25" s="228"/>
      <c r="AP25" s="228"/>
      <c r="AQ25" s="228"/>
      <c r="AR25" s="228"/>
      <c r="AS25" s="228"/>
      <c r="AT25" s="228"/>
      <c r="AU25" s="228"/>
      <c r="AV25" s="228"/>
      <c r="AW25" s="228"/>
      <c r="AX25" s="228"/>
      <c r="AY25" s="228"/>
      <c r="AZ25" s="228"/>
      <c r="BA25" s="228"/>
      <c r="BB25" s="228"/>
    </row>
    <row r="26">
      <c r="A26" s="229" t="s">
        <v>315</v>
      </c>
      <c r="B26" s="12"/>
      <c r="C26" s="162"/>
      <c r="D26" s="130"/>
      <c r="E26" s="164"/>
      <c r="F26" s="230"/>
      <c r="G26" s="130"/>
      <c r="H26" s="229"/>
      <c r="I26" s="229"/>
      <c r="J26" s="224"/>
      <c r="K26" s="224"/>
      <c r="L26" s="224"/>
      <c r="M26" s="224"/>
      <c r="N26" s="224"/>
      <c r="O26" s="224"/>
      <c r="P26" s="224"/>
      <c r="Q26" s="224"/>
      <c r="R26" s="224"/>
      <c r="S26" s="224"/>
      <c r="T26" s="224"/>
      <c r="U26" s="224"/>
      <c r="V26" s="224"/>
      <c r="W26" s="224"/>
      <c r="X26" s="224"/>
      <c r="Y26" s="224"/>
      <c r="Z26" s="232"/>
      <c r="AA26" s="232"/>
      <c r="AB26" s="232"/>
      <c r="AC26" s="232"/>
      <c r="AD26" s="232"/>
      <c r="AE26" s="224"/>
      <c r="AF26" s="228"/>
      <c r="AG26" s="228"/>
      <c r="AH26" s="228"/>
      <c r="AI26" s="228"/>
      <c r="AJ26" s="228"/>
      <c r="AK26" s="228"/>
      <c r="AL26" s="228"/>
      <c r="AM26" s="228"/>
      <c r="AN26" s="228"/>
      <c r="AO26" s="228"/>
      <c r="AP26" s="228"/>
      <c r="AQ26" s="228"/>
      <c r="AR26" s="228"/>
      <c r="AS26" s="228"/>
      <c r="AT26" s="228"/>
      <c r="AU26" s="228"/>
      <c r="AV26" s="228"/>
      <c r="AW26" s="228"/>
      <c r="AX26" s="228"/>
      <c r="AY26" s="228"/>
      <c r="AZ26" s="228"/>
      <c r="BA26" s="228"/>
      <c r="BB26" s="228"/>
    </row>
    <row r="27">
      <c r="A27" s="229" t="s">
        <v>318</v>
      </c>
      <c r="B27" s="12"/>
      <c r="C27" s="162"/>
      <c r="D27" s="130"/>
      <c r="E27" s="164"/>
      <c r="F27" s="230"/>
      <c r="G27" s="130"/>
      <c r="H27" s="229"/>
      <c r="I27" s="229"/>
      <c r="J27" s="224"/>
      <c r="K27" s="224"/>
      <c r="L27" s="224"/>
      <c r="M27" s="224"/>
      <c r="N27" s="224"/>
      <c r="O27" s="224"/>
      <c r="P27" s="224"/>
      <c r="Q27" s="224"/>
      <c r="R27" s="224"/>
      <c r="S27" s="224"/>
      <c r="T27" s="224"/>
      <c r="U27" s="224"/>
      <c r="V27" s="224"/>
      <c r="W27" s="224"/>
      <c r="X27" s="224"/>
      <c r="Y27" s="224"/>
      <c r="Z27" s="232"/>
      <c r="AA27" s="232"/>
      <c r="AB27" s="232"/>
      <c r="AC27" s="232"/>
      <c r="AD27" s="232"/>
      <c r="AE27" s="224"/>
      <c r="AF27" s="228"/>
      <c r="AG27" s="228"/>
      <c r="AH27" s="228"/>
      <c r="AI27" s="228"/>
      <c r="AJ27" s="228"/>
      <c r="AK27" s="228"/>
      <c r="AL27" s="228"/>
      <c r="AM27" s="228"/>
      <c r="AN27" s="228"/>
      <c r="AO27" s="228"/>
      <c r="AP27" s="228"/>
      <c r="AQ27" s="228"/>
      <c r="AR27" s="228"/>
      <c r="AS27" s="228"/>
      <c r="AT27" s="228"/>
      <c r="AU27" s="228"/>
      <c r="AV27" s="228"/>
      <c r="AW27" s="228"/>
      <c r="AX27" s="228"/>
      <c r="AY27" s="228"/>
      <c r="AZ27" s="228"/>
      <c r="BA27" s="228"/>
      <c r="BB27" s="228"/>
    </row>
    <row r="28">
      <c r="A28" s="229" t="s">
        <v>295</v>
      </c>
      <c r="B28" s="12"/>
      <c r="C28" s="162"/>
      <c r="D28" s="130"/>
      <c r="E28" s="164"/>
      <c r="F28" s="230"/>
      <c r="G28" s="130"/>
      <c r="H28" s="229"/>
      <c r="I28" s="229"/>
      <c r="J28" s="224"/>
      <c r="K28" s="224"/>
      <c r="L28" s="224"/>
      <c r="M28" s="224"/>
      <c r="N28" s="224"/>
      <c r="O28" s="224"/>
      <c r="P28" s="224"/>
      <c r="Q28" s="224"/>
      <c r="R28" s="224"/>
      <c r="S28" s="224"/>
      <c r="T28" s="224"/>
      <c r="U28" s="224"/>
      <c r="V28" s="224"/>
      <c r="W28" s="224"/>
      <c r="X28" s="224"/>
      <c r="Y28" s="224"/>
      <c r="Z28" s="232"/>
      <c r="AA28" s="232"/>
      <c r="AB28" s="232"/>
      <c r="AC28" s="232"/>
      <c r="AD28" s="232"/>
      <c r="AE28" s="224"/>
      <c r="AF28" s="228"/>
      <c r="AG28" s="228"/>
      <c r="AH28" s="228"/>
      <c r="AI28" s="228"/>
      <c r="AJ28" s="228"/>
      <c r="AK28" s="228"/>
      <c r="AL28" s="228"/>
      <c r="AM28" s="228"/>
      <c r="AN28" s="228"/>
      <c r="AO28" s="228"/>
      <c r="AP28" s="228"/>
      <c r="AQ28" s="228"/>
      <c r="AR28" s="228"/>
      <c r="AS28" s="228"/>
      <c r="AT28" s="228"/>
      <c r="AU28" s="228"/>
      <c r="AV28" s="228"/>
      <c r="AW28" s="228"/>
      <c r="AX28" s="228"/>
      <c r="AY28" s="228"/>
      <c r="AZ28" s="228"/>
      <c r="BA28" s="228"/>
      <c r="BB28" s="228"/>
    </row>
    <row r="29">
      <c r="A29" s="229" t="s">
        <v>326</v>
      </c>
      <c r="B29" s="12"/>
      <c r="C29" s="162"/>
      <c r="D29" s="130"/>
      <c r="E29" s="164"/>
      <c r="F29" s="230"/>
      <c r="G29" s="130"/>
      <c r="H29" s="229"/>
      <c r="I29" s="229"/>
      <c r="J29" s="224"/>
      <c r="K29" s="224"/>
      <c r="L29" s="224"/>
      <c r="M29" s="224"/>
      <c r="N29" s="224"/>
      <c r="O29" s="224"/>
      <c r="P29" s="224"/>
      <c r="Q29" s="224"/>
      <c r="R29" s="224"/>
      <c r="S29" s="224"/>
      <c r="T29" s="224"/>
      <c r="U29" s="224"/>
      <c r="V29" s="224"/>
      <c r="W29" s="224"/>
      <c r="X29" s="224"/>
      <c r="Y29" s="224"/>
      <c r="Z29" s="232"/>
      <c r="AA29" s="232"/>
      <c r="AB29" s="232"/>
      <c r="AC29" s="232"/>
      <c r="AD29" s="232"/>
      <c r="AE29" s="224"/>
      <c r="AF29" s="228"/>
      <c r="AG29" s="228"/>
      <c r="AH29" s="228"/>
      <c r="AI29" s="228"/>
      <c r="AJ29" s="228"/>
      <c r="AK29" s="228"/>
      <c r="AL29" s="228"/>
      <c r="AM29" s="228"/>
      <c r="AN29" s="228"/>
      <c r="AO29" s="228"/>
      <c r="AP29" s="228"/>
      <c r="AQ29" s="228"/>
      <c r="AR29" s="228"/>
      <c r="AS29" s="228"/>
      <c r="AT29" s="228"/>
      <c r="AU29" s="228"/>
      <c r="AV29" s="228"/>
      <c r="AW29" s="228"/>
      <c r="AX29" s="228"/>
      <c r="AY29" s="228"/>
      <c r="AZ29" s="228"/>
      <c r="BA29" s="228"/>
      <c r="BB29" s="228"/>
    </row>
    <row r="30">
      <c r="A30" s="229" t="s">
        <v>340</v>
      </c>
      <c r="B30" s="12"/>
      <c r="C30" s="162"/>
      <c r="D30" s="130"/>
      <c r="E30" s="164"/>
      <c r="F30" s="230"/>
      <c r="G30" s="130"/>
      <c r="H30" s="229"/>
      <c r="I30" s="229"/>
      <c r="J30" s="224"/>
      <c r="K30" s="224"/>
      <c r="L30" s="224"/>
      <c r="M30" s="224"/>
      <c r="N30" s="224"/>
      <c r="O30" s="224"/>
      <c r="P30" s="224"/>
      <c r="Q30" s="224"/>
      <c r="R30" s="224"/>
      <c r="S30" s="224"/>
      <c r="T30" s="224"/>
      <c r="U30" s="224"/>
      <c r="V30" s="224"/>
      <c r="W30" s="224"/>
      <c r="X30" s="224"/>
      <c r="Y30" s="224"/>
      <c r="Z30" s="232"/>
      <c r="AA30" s="232"/>
      <c r="AB30" s="232"/>
      <c r="AC30" s="232"/>
      <c r="AD30" s="232"/>
      <c r="AE30" s="224"/>
      <c r="AF30" s="228"/>
      <c r="AG30" s="228"/>
      <c r="AH30" s="228"/>
      <c r="AI30" s="228"/>
      <c r="AJ30" s="228"/>
      <c r="AK30" s="228"/>
      <c r="AL30" s="228"/>
      <c r="AM30" s="228"/>
      <c r="AN30" s="228"/>
      <c r="AO30" s="228"/>
      <c r="AP30" s="228"/>
      <c r="AQ30" s="228"/>
      <c r="AR30" s="228"/>
      <c r="AS30" s="228"/>
      <c r="AT30" s="228"/>
      <c r="AU30" s="228"/>
      <c r="AV30" s="228"/>
      <c r="AW30" s="228"/>
      <c r="AX30" s="228"/>
      <c r="AY30" s="228"/>
      <c r="AZ30" s="228"/>
      <c r="BA30" s="228"/>
      <c r="BB30" s="228"/>
    </row>
    <row r="31">
      <c r="A31" s="229" t="s">
        <v>87</v>
      </c>
      <c r="B31" s="12"/>
      <c r="C31" s="162"/>
      <c r="D31" s="130"/>
      <c r="E31" s="164"/>
      <c r="F31" s="230"/>
      <c r="G31" s="130"/>
      <c r="H31" s="229"/>
      <c r="I31" s="229"/>
      <c r="J31" s="224"/>
      <c r="K31" s="224"/>
      <c r="L31" s="224"/>
      <c r="M31" s="224"/>
      <c r="N31" s="224"/>
      <c r="O31" s="224"/>
      <c r="P31" s="224"/>
      <c r="Q31" s="224"/>
      <c r="R31" s="224"/>
      <c r="S31" s="224"/>
      <c r="T31" s="224"/>
      <c r="U31" s="224"/>
      <c r="V31" s="224"/>
      <c r="W31" s="224"/>
      <c r="X31" s="224"/>
      <c r="Y31" s="224"/>
      <c r="Z31" s="232"/>
      <c r="AA31" s="232"/>
      <c r="AB31" s="232"/>
      <c r="AC31" s="232"/>
      <c r="AD31" s="232"/>
      <c r="AE31" s="224"/>
      <c r="AF31" s="228"/>
      <c r="AG31" s="228"/>
      <c r="AH31" s="228"/>
      <c r="AI31" s="228"/>
      <c r="AJ31" s="228"/>
      <c r="AK31" s="228"/>
      <c r="AL31" s="228"/>
      <c r="AM31" s="228"/>
      <c r="AN31" s="228"/>
      <c r="AO31" s="228"/>
      <c r="AP31" s="228"/>
      <c r="AQ31" s="228"/>
      <c r="AR31" s="228"/>
      <c r="AS31" s="228"/>
      <c r="AT31" s="228"/>
      <c r="AU31" s="228"/>
      <c r="AV31" s="228"/>
      <c r="AW31" s="228"/>
      <c r="AX31" s="228"/>
      <c r="AY31" s="228"/>
      <c r="AZ31" s="228"/>
      <c r="BA31" s="228"/>
      <c r="BB31" s="228"/>
    </row>
    <row r="32">
      <c r="A32" s="229" t="s">
        <v>357</v>
      </c>
      <c r="B32" s="12"/>
      <c r="C32" s="162"/>
      <c r="D32" s="130"/>
      <c r="E32" s="164"/>
      <c r="F32" s="230"/>
      <c r="G32" s="130"/>
      <c r="H32" s="229"/>
      <c r="I32" s="229"/>
      <c r="J32" s="224"/>
      <c r="K32" s="224"/>
      <c r="L32" s="224"/>
      <c r="M32" s="224"/>
      <c r="N32" s="224"/>
      <c r="O32" s="224"/>
      <c r="P32" s="224"/>
      <c r="Q32" s="224"/>
      <c r="R32" s="224"/>
      <c r="S32" s="224"/>
      <c r="T32" s="224"/>
      <c r="U32" s="224"/>
      <c r="V32" s="224"/>
      <c r="W32" s="224"/>
      <c r="X32" s="224"/>
      <c r="Y32" s="224"/>
      <c r="Z32" s="232"/>
      <c r="AA32" s="232"/>
      <c r="AB32" s="232"/>
      <c r="AC32" s="232"/>
      <c r="AD32" s="232"/>
      <c r="AE32" s="224"/>
      <c r="AF32" s="228"/>
      <c r="AG32" s="228"/>
      <c r="AH32" s="228"/>
      <c r="AI32" s="228"/>
      <c r="AJ32" s="228"/>
      <c r="AK32" s="228"/>
      <c r="AL32" s="228"/>
      <c r="AM32" s="228"/>
      <c r="AN32" s="228"/>
      <c r="AO32" s="228"/>
      <c r="AP32" s="228"/>
      <c r="AQ32" s="228"/>
      <c r="AR32" s="228"/>
      <c r="AS32" s="228"/>
      <c r="AT32" s="228"/>
      <c r="AU32" s="228"/>
      <c r="AV32" s="228"/>
      <c r="AW32" s="228"/>
      <c r="AX32" s="228"/>
      <c r="AY32" s="228"/>
      <c r="AZ32" s="228"/>
      <c r="BA32" s="228"/>
      <c r="BB32" s="228"/>
    </row>
    <row r="33">
      <c r="A33" s="229" t="s">
        <v>360</v>
      </c>
      <c r="B33" s="12"/>
      <c r="C33" s="162"/>
      <c r="D33" s="130"/>
      <c r="E33" s="164"/>
      <c r="F33" s="230"/>
      <c r="G33" s="130"/>
      <c r="H33" s="229"/>
      <c r="I33" s="229"/>
      <c r="J33" s="224"/>
      <c r="K33" s="224"/>
      <c r="L33" s="224"/>
      <c r="M33" s="224"/>
      <c r="N33" s="224"/>
      <c r="O33" s="224"/>
      <c r="P33" s="224"/>
      <c r="Q33" s="224"/>
      <c r="R33" s="224"/>
      <c r="S33" s="224"/>
      <c r="T33" s="224"/>
      <c r="U33" s="224"/>
      <c r="V33" s="224"/>
      <c r="W33" s="224"/>
      <c r="X33" s="224"/>
      <c r="Y33" s="224"/>
      <c r="Z33" s="232"/>
      <c r="AA33" s="232"/>
      <c r="AB33" s="232"/>
      <c r="AC33" s="232"/>
      <c r="AD33" s="232"/>
      <c r="AE33" s="224"/>
      <c r="AF33" s="228"/>
      <c r="AG33" s="228"/>
      <c r="AH33" s="228"/>
      <c r="AI33" s="228"/>
      <c r="AJ33" s="228"/>
      <c r="AK33" s="228"/>
      <c r="AL33" s="228"/>
      <c r="AM33" s="228"/>
      <c r="AN33" s="228"/>
      <c r="AO33" s="228"/>
      <c r="AP33" s="228"/>
      <c r="AQ33" s="228"/>
      <c r="AR33" s="228"/>
      <c r="AS33" s="228"/>
      <c r="AT33" s="228"/>
      <c r="AU33" s="228"/>
      <c r="AV33" s="228"/>
      <c r="AW33" s="228"/>
      <c r="AX33" s="228"/>
      <c r="AY33" s="228"/>
      <c r="AZ33" s="228"/>
      <c r="BA33" s="228"/>
      <c r="BB33" s="228"/>
    </row>
    <row r="34">
      <c r="A34" s="229" t="s">
        <v>339</v>
      </c>
      <c r="B34" s="12"/>
      <c r="C34" s="162"/>
      <c r="D34" s="130"/>
      <c r="E34" s="164"/>
      <c r="F34" s="230"/>
      <c r="G34" s="130"/>
      <c r="H34" s="229"/>
      <c r="I34" s="229"/>
      <c r="J34" s="224"/>
      <c r="K34" s="224"/>
      <c r="L34" s="224"/>
      <c r="M34" s="224"/>
      <c r="N34" s="224"/>
      <c r="O34" s="224"/>
      <c r="P34" s="224"/>
      <c r="Q34" s="224"/>
      <c r="R34" s="224"/>
      <c r="S34" s="224"/>
      <c r="T34" s="224"/>
      <c r="U34" s="224"/>
      <c r="V34" s="224"/>
      <c r="W34" s="224"/>
      <c r="X34" s="224"/>
      <c r="Y34" s="224"/>
      <c r="Z34" s="232"/>
      <c r="AA34" s="232"/>
      <c r="AB34" s="232"/>
      <c r="AC34" s="232"/>
      <c r="AD34" s="232"/>
      <c r="AE34" s="224"/>
      <c r="AF34" s="228"/>
      <c r="AG34" s="228"/>
      <c r="AH34" s="228"/>
      <c r="AI34" s="228"/>
      <c r="AJ34" s="228"/>
      <c r="AK34" s="228"/>
      <c r="AL34" s="228"/>
      <c r="AM34" s="228"/>
      <c r="AN34" s="228"/>
      <c r="AO34" s="228"/>
      <c r="AP34" s="228"/>
      <c r="AQ34" s="228"/>
      <c r="AR34" s="228"/>
      <c r="AS34" s="228"/>
      <c r="AT34" s="228"/>
      <c r="AU34" s="228"/>
      <c r="AV34" s="228"/>
      <c r="AW34" s="228"/>
      <c r="AX34" s="228"/>
      <c r="AY34" s="228"/>
      <c r="AZ34" s="228"/>
      <c r="BA34" s="228"/>
      <c r="BB34" s="228"/>
    </row>
    <row r="35">
      <c r="A35" s="229" t="s">
        <v>113</v>
      </c>
      <c r="B35" s="12"/>
      <c r="C35" s="162"/>
      <c r="D35" s="130"/>
      <c r="E35" s="164"/>
      <c r="F35" s="230"/>
      <c r="G35" s="130"/>
      <c r="H35" s="229"/>
      <c r="I35" s="229"/>
      <c r="J35" s="224"/>
      <c r="K35" s="224"/>
      <c r="L35" s="224"/>
      <c r="M35" s="224"/>
      <c r="N35" s="224"/>
      <c r="O35" s="224"/>
      <c r="P35" s="224"/>
      <c r="Q35" s="224"/>
      <c r="R35" s="224"/>
      <c r="S35" s="224"/>
      <c r="T35" s="224"/>
      <c r="U35" s="224"/>
      <c r="V35" s="224"/>
      <c r="W35" s="224"/>
      <c r="X35" s="224"/>
      <c r="Y35" s="224"/>
      <c r="Z35" s="232"/>
      <c r="AA35" s="232"/>
      <c r="AB35" s="232"/>
      <c r="AC35" s="232"/>
      <c r="AD35" s="232"/>
      <c r="AE35" s="224"/>
      <c r="AF35" s="236"/>
      <c r="AG35" s="236"/>
      <c r="AH35" s="236"/>
      <c r="AI35" s="236"/>
      <c r="AJ35" s="236"/>
      <c r="AK35" s="236"/>
      <c r="AL35" s="236"/>
      <c r="AM35" s="236"/>
      <c r="AN35" s="236"/>
      <c r="AO35" s="236"/>
      <c r="AP35" s="236"/>
      <c r="AQ35" s="236"/>
      <c r="AR35" s="236"/>
      <c r="AS35" s="236"/>
      <c r="AT35" s="236"/>
      <c r="AU35" s="236"/>
      <c r="AV35" s="236"/>
      <c r="AW35" s="236"/>
      <c r="AX35" s="236"/>
      <c r="AY35" s="236"/>
      <c r="AZ35" s="236"/>
      <c r="BA35" s="236"/>
      <c r="BB35" s="236"/>
    </row>
    <row r="36">
      <c r="A36" s="229" t="s">
        <v>380</v>
      </c>
      <c r="B36" s="12"/>
      <c r="C36" s="162"/>
      <c r="D36" s="130"/>
      <c r="E36" s="164"/>
      <c r="F36" s="230"/>
      <c r="G36" s="130"/>
      <c r="H36" s="229"/>
      <c r="I36" s="229"/>
      <c r="J36" s="224"/>
      <c r="K36" s="224"/>
      <c r="L36" s="224"/>
      <c r="M36" s="224"/>
      <c r="N36" s="224"/>
      <c r="O36" s="224"/>
      <c r="P36" s="224"/>
      <c r="Q36" s="224"/>
      <c r="R36" s="224"/>
      <c r="S36" s="224"/>
      <c r="T36" s="224"/>
      <c r="U36" s="224"/>
      <c r="V36" s="224"/>
      <c r="W36" s="224"/>
      <c r="X36" s="224"/>
      <c r="Y36" s="224"/>
      <c r="Z36" s="232"/>
      <c r="AA36" s="232"/>
      <c r="AB36" s="232"/>
      <c r="AC36" s="232"/>
      <c r="AD36" s="232"/>
      <c r="AE36" s="224"/>
      <c r="AF36" s="236"/>
      <c r="AG36" s="236"/>
      <c r="AH36" s="236"/>
      <c r="AI36" s="236"/>
      <c r="AJ36" s="236"/>
      <c r="AK36" s="236"/>
      <c r="AL36" s="236"/>
      <c r="AM36" s="236"/>
      <c r="AN36" s="236"/>
      <c r="AO36" s="236"/>
      <c r="AP36" s="236"/>
      <c r="AQ36" s="236"/>
      <c r="AR36" s="236"/>
      <c r="AS36" s="236"/>
      <c r="AT36" s="236"/>
      <c r="AU36" s="236"/>
      <c r="AV36" s="236"/>
      <c r="AW36" s="236"/>
      <c r="AX36" s="236"/>
      <c r="AY36" s="236"/>
      <c r="AZ36" s="236"/>
      <c r="BA36" s="236"/>
      <c r="BB36" s="236"/>
    </row>
    <row r="37">
      <c r="A37" s="229" t="s">
        <v>393</v>
      </c>
      <c r="B37" s="12"/>
      <c r="C37" s="162"/>
      <c r="D37" s="130"/>
      <c r="E37" s="164"/>
      <c r="F37" s="230"/>
      <c r="G37" s="130"/>
      <c r="H37" s="229"/>
      <c r="I37" s="229"/>
      <c r="J37" s="224"/>
      <c r="K37" s="224"/>
      <c r="L37" s="224"/>
      <c r="M37" s="224"/>
      <c r="N37" s="224"/>
      <c r="O37" s="224"/>
      <c r="P37" s="224"/>
      <c r="Q37" s="224"/>
      <c r="R37" s="224"/>
      <c r="S37" s="224"/>
      <c r="T37" s="224"/>
      <c r="U37" s="224"/>
      <c r="V37" s="224"/>
      <c r="W37" s="224"/>
      <c r="X37" s="224"/>
      <c r="Y37" s="224"/>
      <c r="Z37" s="232"/>
      <c r="AA37" s="232"/>
      <c r="AB37" s="232"/>
      <c r="AC37" s="232"/>
      <c r="AD37" s="232"/>
      <c r="AE37" s="224"/>
      <c r="AF37" s="236"/>
      <c r="AG37" s="236"/>
      <c r="AH37" s="236"/>
      <c r="AI37" s="236"/>
      <c r="AJ37" s="236"/>
      <c r="AK37" s="236"/>
      <c r="AL37" s="236"/>
      <c r="AM37" s="236"/>
      <c r="AN37" s="236"/>
      <c r="AO37" s="236"/>
      <c r="AP37" s="236"/>
      <c r="AQ37" s="236"/>
      <c r="AR37" s="236"/>
      <c r="AS37" s="236"/>
      <c r="AT37" s="236"/>
      <c r="AU37" s="236"/>
      <c r="AV37" s="236"/>
      <c r="AW37" s="236"/>
      <c r="AX37" s="236"/>
      <c r="AY37" s="236"/>
      <c r="AZ37" s="236"/>
      <c r="BA37" s="236"/>
      <c r="BB37" s="236"/>
    </row>
    <row r="38">
      <c r="A38" s="229" t="s">
        <v>397</v>
      </c>
      <c r="B38" s="12"/>
      <c r="C38" s="162"/>
      <c r="D38" s="130"/>
      <c r="E38" s="164"/>
      <c r="F38" s="230"/>
      <c r="G38" s="130"/>
      <c r="H38" s="229"/>
      <c r="I38" s="229"/>
      <c r="J38" s="224"/>
      <c r="K38" s="224"/>
      <c r="L38" s="224"/>
      <c r="M38" s="224"/>
      <c r="N38" s="224"/>
      <c r="O38" s="224"/>
      <c r="P38" s="224"/>
      <c r="Q38" s="224"/>
      <c r="R38" s="224"/>
      <c r="S38" s="224"/>
      <c r="T38" s="224"/>
      <c r="U38" s="224"/>
      <c r="V38" s="224"/>
      <c r="W38" s="224"/>
      <c r="X38" s="224"/>
      <c r="Y38" s="224"/>
      <c r="Z38" s="232"/>
      <c r="AA38" s="232"/>
      <c r="AB38" s="232"/>
      <c r="AC38" s="232"/>
      <c r="AD38" s="232"/>
      <c r="AE38" s="224"/>
      <c r="AF38" s="236"/>
      <c r="AG38" s="236"/>
      <c r="AH38" s="236"/>
      <c r="AI38" s="236"/>
      <c r="AJ38" s="236"/>
      <c r="AK38" s="236"/>
      <c r="AL38" s="236"/>
      <c r="AM38" s="236"/>
      <c r="AN38" s="236"/>
      <c r="AO38" s="236"/>
      <c r="AP38" s="236"/>
      <c r="AQ38" s="236"/>
      <c r="AR38" s="236"/>
      <c r="AS38" s="236"/>
      <c r="AT38" s="236"/>
      <c r="AU38" s="236"/>
      <c r="AV38" s="236"/>
      <c r="AW38" s="236"/>
      <c r="AX38" s="236"/>
      <c r="AY38" s="236"/>
      <c r="AZ38" s="236"/>
      <c r="BA38" s="236"/>
      <c r="BB38" s="236"/>
    </row>
    <row r="39">
      <c r="A39" s="229" t="s">
        <v>411</v>
      </c>
      <c r="B39" s="12"/>
      <c r="C39" s="162"/>
      <c r="D39" s="130"/>
      <c r="E39" s="164"/>
      <c r="F39" s="230"/>
      <c r="G39" s="130"/>
      <c r="H39" s="229"/>
      <c r="I39" s="229"/>
      <c r="J39" s="224"/>
      <c r="K39" s="224"/>
      <c r="L39" s="224"/>
      <c r="M39" s="224"/>
      <c r="N39" s="224"/>
      <c r="O39" s="224"/>
      <c r="P39" s="224"/>
      <c r="Q39" s="224"/>
      <c r="R39" s="224"/>
      <c r="S39" s="224"/>
      <c r="T39" s="224"/>
      <c r="U39" s="224"/>
      <c r="V39" s="224"/>
      <c r="W39" s="224"/>
      <c r="X39" s="224"/>
      <c r="Y39" s="224"/>
      <c r="Z39" s="232"/>
      <c r="AA39" s="232"/>
      <c r="AB39" s="232"/>
      <c r="AC39" s="232"/>
      <c r="AD39" s="232"/>
      <c r="AE39" s="224"/>
      <c r="AF39" s="236"/>
      <c r="AG39" s="236"/>
      <c r="AH39" s="236"/>
      <c r="AI39" s="236"/>
      <c r="AJ39" s="236"/>
      <c r="AK39" s="236"/>
      <c r="AL39" s="236"/>
      <c r="AM39" s="236"/>
      <c r="AN39" s="236"/>
      <c r="AO39" s="236"/>
      <c r="AP39" s="236"/>
      <c r="AQ39" s="236"/>
      <c r="AR39" s="236"/>
      <c r="AS39" s="236"/>
      <c r="AT39" s="236"/>
      <c r="AU39" s="236"/>
      <c r="AV39" s="236"/>
      <c r="AW39" s="236"/>
      <c r="AX39" s="236"/>
      <c r="AY39" s="236"/>
      <c r="AZ39" s="236"/>
      <c r="BA39" s="236"/>
      <c r="BB39" s="236"/>
    </row>
    <row r="40">
      <c r="A40" s="229" t="s">
        <v>414</v>
      </c>
      <c r="B40" s="12"/>
      <c r="C40" s="162"/>
      <c r="D40" s="130"/>
      <c r="E40" s="164"/>
      <c r="F40" s="230"/>
      <c r="G40" s="130"/>
      <c r="H40" s="229"/>
      <c r="I40" s="229"/>
      <c r="J40" s="224"/>
      <c r="K40" s="224"/>
      <c r="L40" s="224"/>
      <c r="M40" s="224"/>
      <c r="N40" s="224"/>
      <c r="O40" s="224"/>
      <c r="P40" s="224"/>
      <c r="Q40" s="224"/>
      <c r="R40" s="224"/>
      <c r="S40" s="224"/>
      <c r="T40" s="224"/>
      <c r="U40" s="224"/>
      <c r="V40" s="224"/>
      <c r="W40" s="224"/>
      <c r="X40" s="224"/>
      <c r="Y40" s="224"/>
      <c r="Z40" s="232"/>
      <c r="AA40" s="232"/>
      <c r="AB40" s="232"/>
      <c r="AC40" s="232"/>
      <c r="AD40" s="232"/>
      <c r="AE40" s="224"/>
      <c r="AF40" s="236"/>
      <c r="AG40" s="236"/>
      <c r="AH40" s="236"/>
      <c r="AI40" s="236"/>
      <c r="AJ40" s="236"/>
      <c r="AK40" s="236"/>
      <c r="AL40" s="236"/>
      <c r="AM40" s="236"/>
      <c r="AN40" s="236"/>
      <c r="AO40" s="236"/>
      <c r="AP40" s="236"/>
      <c r="AQ40" s="236"/>
      <c r="AR40" s="236"/>
      <c r="AS40" s="236"/>
      <c r="AT40" s="236"/>
      <c r="AU40" s="236"/>
      <c r="AV40" s="236"/>
      <c r="AW40" s="236"/>
      <c r="AX40" s="236"/>
      <c r="AY40" s="236"/>
      <c r="AZ40" s="236"/>
      <c r="BA40" s="236"/>
      <c r="BB40" s="236"/>
    </row>
    <row r="41">
      <c r="A41" s="229" t="s">
        <v>427</v>
      </c>
      <c r="B41" s="12"/>
      <c r="C41" s="162"/>
      <c r="D41" s="130"/>
      <c r="E41" s="164"/>
      <c r="F41" s="230"/>
      <c r="G41" s="130"/>
      <c r="H41" s="229"/>
      <c r="I41" s="229"/>
      <c r="J41" s="224"/>
      <c r="K41" s="224"/>
      <c r="L41" s="224"/>
      <c r="M41" s="224"/>
      <c r="N41" s="224"/>
      <c r="O41" s="224"/>
      <c r="P41" s="224"/>
      <c r="Q41" s="224"/>
      <c r="R41" s="224"/>
      <c r="S41" s="224"/>
      <c r="T41" s="224"/>
      <c r="U41" s="224"/>
      <c r="V41" s="224"/>
      <c r="W41" s="224"/>
      <c r="X41" s="224"/>
      <c r="Y41" s="224"/>
      <c r="Z41" s="232"/>
      <c r="AA41" s="232"/>
      <c r="AB41" s="232"/>
      <c r="AC41" s="232"/>
      <c r="AD41" s="232"/>
      <c r="AE41" s="224"/>
      <c r="AF41" s="236"/>
      <c r="AG41" s="236"/>
      <c r="AH41" s="236"/>
      <c r="AI41" s="236"/>
      <c r="AJ41" s="236"/>
      <c r="AK41" s="236"/>
      <c r="AL41" s="236"/>
      <c r="AM41" s="236"/>
      <c r="AN41" s="236"/>
      <c r="AO41" s="236"/>
      <c r="AP41" s="236"/>
      <c r="AQ41" s="236"/>
      <c r="AR41" s="236"/>
      <c r="AS41" s="236"/>
      <c r="AT41" s="236"/>
      <c r="AU41" s="236"/>
      <c r="AV41" s="236"/>
      <c r="AW41" s="236"/>
      <c r="AX41" s="236"/>
      <c r="AY41" s="236"/>
      <c r="AZ41" s="236"/>
      <c r="BA41" s="236"/>
      <c r="BB41" s="236"/>
    </row>
    <row r="42">
      <c r="A42" s="229" t="s">
        <v>432</v>
      </c>
      <c r="B42" s="12"/>
      <c r="C42" s="162"/>
      <c r="D42" s="130"/>
      <c r="E42" s="164"/>
      <c r="F42" s="230"/>
      <c r="G42" s="130"/>
      <c r="H42" s="229"/>
      <c r="I42" s="229"/>
      <c r="J42" s="224"/>
      <c r="K42" s="224"/>
      <c r="L42" s="224"/>
      <c r="M42" s="224"/>
      <c r="N42" s="224"/>
      <c r="O42" s="224"/>
      <c r="P42" s="224"/>
      <c r="Q42" s="224"/>
      <c r="R42" s="224"/>
      <c r="S42" s="224"/>
      <c r="T42" s="224"/>
      <c r="U42" s="224"/>
      <c r="V42" s="224"/>
      <c r="W42" s="224"/>
      <c r="X42" s="224"/>
      <c r="Y42" s="224"/>
      <c r="Z42" s="232"/>
      <c r="AA42" s="232"/>
      <c r="AB42" s="232"/>
      <c r="AC42" s="232"/>
      <c r="AD42" s="232"/>
      <c r="AE42" s="224"/>
      <c r="AF42" s="236"/>
      <c r="AG42" s="236"/>
      <c r="AH42" s="236"/>
      <c r="AI42" s="236"/>
      <c r="AJ42" s="236"/>
      <c r="AK42" s="236"/>
      <c r="AL42" s="236"/>
      <c r="AM42" s="236"/>
      <c r="AN42" s="236"/>
      <c r="AO42" s="236"/>
      <c r="AP42" s="236"/>
      <c r="AQ42" s="236"/>
      <c r="AR42" s="236"/>
      <c r="AS42" s="236"/>
      <c r="AT42" s="236"/>
      <c r="AU42" s="236"/>
      <c r="AV42" s="236"/>
      <c r="AW42" s="236"/>
      <c r="AX42" s="236"/>
      <c r="AY42" s="236"/>
      <c r="AZ42" s="236"/>
      <c r="BA42" s="236"/>
      <c r="BB42" s="236"/>
    </row>
    <row r="43">
      <c r="A43" s="229" t="s">
        <v>437</v>
      </c>
      <c r="B43" s="12"/>
      <c r="C43" s="162"/>
      <c r="D43" s="130"/>
      <c r="E43" s="164"/>
      <c r="F43" s="230"/>
      <c r="G43" s="130"/>
      <c r="H43" s="229"/>
      <c r="I43" s="229"/>
      <c r="J43" s="224"/>
      <c r="K43" s="224"/>
      <c r="L43" s="224"/>
      <c r="M43" s="224"/>
      <c r="N43" s="224"/>
      <c r="O43" s="224"/>
      <c r="P43" s="224"/>
      <c r="Q43" s="224"/>
      <c r="R43" s="224"/>
      <c r="S43" s="224"/>
      <c r="T43" s="224"/>
      <c r="U43" s="224"/>
      <c r="V43" s="224"/>
      <c r="W43" s="224"/>
      <c r="X43" s="224"/>
      <c r="Y43" s="224"/>
      <c r="Z43" s="232"/>
      <c r="AA43" s="232"/>
      <c r="AB43" s="232"/>
      <c r="AC43" s="232"/>
      <c r="AD43" s="232"/>
      <c r="AE43" s="224"/>
      <c r="AF43" s="236"/>
      <c r="AG43" s="236"/>
      <c r="AH43" s="236"/>
      <c r="AI43" s="236"/>
      <c r="AJ43" s="236"/>
      <c r="AK43" s="236"/>
      <c r="AL43" s="236"/>
      <c r="AM43" s="236"/>
      <c r="AN43" s="236"/>
      <c r="AO43" s="236"/>
      <c r="AP43" s="236"/>
      <c r="AQ43" s="236"/>
      <c r="AR43" s="236"/>
      <c r="AS43" s="236"/>
      <c r="AT43" s="236"/>
      <c r="AU43" s="236"/>
      <c r="AV43" s="236"/>
      <c r="AW43" s="236"/>
      <c r="AX43" s="236"/>
      <c r="AY43" s="236"/>
      <c r="AZ43" s="236"/>
      <c r="BA43" s="236"/>
      <c r="BB43" s="236"/>
    </row>
    <row r="44">
      <c r="A44" s="229" t="s">
        <v>443</v>
      </c>
      <c r="B44" s="12"/>
      <c r="C44" s="162"/>
      <c r="D44" s="130"/>
      <c r="E44" s="164"/>
      <c r="F44" s="230"/>
      <c r="G44" s="130"/>
      <c r="H44" s="229"/>
      <c r="I44" s="229"/>
      <c r="J44" s="224"/>
      <c r="K44" s="224"/>
      <c r="L44" s="224"/>
      <c r="M44" s="224"/>
      <c r="N44" s="224"/>
      <c r="O44" s="224"/>
      <c r="P44" s="224"/>
      <c r="Q44" s="224"/>
      <c r="R44" s="224"/>
      <c r="S44" s="224"/>
      <c r="T44" s="224"/>
      <c r="U44" s="224"/>
      <c r="V44" s="224"/>
      <c r="W44" s="224"/>
      <c r="X44" s="224"/>
      <c r="Y44" s="224"/>
      <c r="Z44" s="232"/>
      <c r="AA44" s="232"/>
      <c r="AB44" s="232"/>
      <c r="AC44" s="232"/>
      <c r="AD44" s="232"/>
      <c r="AE44" s="224"/>
      <c r="AF44" s="236"/>
      <c r="AG44" s="236"/>
      <c r="AH44" s="236"/>
      <c r="AI44" s="236"/>
      <c r="AJ44" s="236"/>
      <c r="AK44" s="236"/>
      <c r="AL44" s="236"/>
      <c r="AM44" s="236"/>
      <c r="AN44" s="236"/>
      <c r="AO44" s="236"/>
      <c r="AP44" s="236"/>
      <c r="AQ44" s="236"/>
      <c r="AR44" s="236"/>
      <c r="AS44" s="236"/>
      <c r="AT44" s="236"/>
      <c r="AU44" s="236"/>
      <c r="AV44" s="236"/>
      <c r="AW44" s="236"/>
      <c r="AX44" s="236"/>
      <c r="AY44" s="236"/>
      <c r="AZ44" s="236"/>
      <c r="BA44" s="236"/>
      <c r="BB44" s="236"/>
    </row>
    <row r="45">
      <c r="A45" s="229" t="s">
        <v>141</v>
      </c>
      <c r="B45" s="12"/>
      <c r="C45" s="162"/>
      <c r="D45" s="130"/>
      <c r="E45" s="164"/>
      <c r="F45" s="230"/>
      <c r="G45" s="130"/>
      <c r="H45" s="229"/>
      <c r="I45" s="229"/>
      <c r="J45" s="224"/>
      <c r="K45" s="224"/>
      <c r="L45" s="224"/>
      <c r="M45" s="224"/>
      <c r="N45" s="224"/>
      <c r="O45" s="224"/>
      <c r="P45" s="224"/>
      <c r="Q45" s="224"/>
      <c r="R45" s="224"/>
      <c r="S45" s="224"/>
      <c r="T45" s="224"/>
      <c r="U45" s="224"/>
      <c r="V45" s="224"/>
      <c r="W45" s="224"/>
      <c r="X45" s="224"/>
      <c r="Y45" s="224"/>
      <c r="Z45" s="232"/>
      <c r="AA45" s="232"/>
      <c r="AB45" s="232"/>
      <c r="AC45" s="232"/>
      <c r="AD45" s="232"/>
      <c r="AE45" s="224"/>
      <c r="AF45" s="236"/>
      <c r="AG45" s="236"/>
      <c r="AH45" s="236"/>
      <c r="AI45" s="236"/>
      <c r="AJ45" s="236"/>
      <c r="AK45" s="236"/>
      <c r="AL45" s="236"/>
      <c r="AM45" s="236"/>
      <c r="AN45" s="236"/>
      <c r="AO45" s="236"/>
      <c r="AP45" s="236"/>
      <c r="AQ45" s="236"/>
      <c r="AR45" s="236"/>
      <c r="AS45" s="236"/>
      <c r="AT45" s="236"/>
      <c r="AU45" s="236"/>
      <c r="AV45" s="236"/>
      <c r="AW45" s="236"/>
      <c r="AX45" s="236"/>
      <c r="AY45" s="236"/>
      <c r="AZ45" s="236"/>
      <c r="BA45" s="236"/>
      <c r="BB45" s="236"/>
    </row>
    <row r="46">
      <c r="A46" s="229" t="s">
        <v>209</v>
      </c>
      <c r="B46" s="12"/>
      <c r="C46" s="162"/>
      <c r="D46" s="130"/>
      <c r="E46" s="164"/>
      <c r="F46" s="230"/>
      <c r="G46" s="130"/>
      <c r="H46" s="229"/>
      <c r="I46" s="229"/>
      <c r="J46" s="224"/>
      <c r="K46" s="224"/>
      <c r="L46" s="224"/>
      <c r="M46" s="224"/>
      <c r="N46" s="224"/>
      <c r="O46" s="224"/>
      <c r="P46" s="224"/>
      <c r="Q46" s="224"/>
      <c r="R46" s="224"/>
      <c r="S46" s="224"/>
      <c r="T46" s="224"/>
      <c r="U46" s="224"/>
      <c r="V46" s="224"/>
      <c r="W46" s="224"/>
      <c r="X46" s="224"/>
      <c r="Y46" s="224"/>
      <c r="Z46" s="232"/>
      <c r="AA46" s="232"/>
      <c r="AB46" s="232"/>
      <c r="AC46" s="232"/>
      <c r="AD46" s="232"/>
      <c r="AE46" s="224"/>
      <c r="AF46" s="236"/>
      <c r="AG46" s="236"/>
      <c r="AH46" s="236"/>
      <c r="AI46" s="236"/>
      <c r="AJ46" s="236"/>
      <c r="AK46" s="236"/>
      <c r="AL46" s="236"/>
      <c r="AM46" s="236"/>
      <c r="AN46" s="236"/>
      <c r="AO46" s="236"/>
      <c r="AP46" s="236"/>
      <c r="AQ46" s="236"/>
      <c r="AR46" s="236"/>
      <c r="AS46" s="236"/>
      <c r="AT46" s="236"/>
      <c r="AU46" s="236"/>
      <c r="AV46" s="236"/>
      <c r="AW46" s="236"/>
      <c r="AX46" s="236"/>
      <c r="AY46" s="236"/>
      <c r="AZ46" s="236"/>
      <c r="BA46" s="236"/>
      <c r="BB46" s="236"/>
    </row>
    <row r="47">
      <c r="A47" s="229" t="s">
        <v>483</v>
      </c>
      <c r="B47" s="12"/>
      <c r="C47" s="162"/>
      <c r="D47" s="130"/>
      <c r="E47" s="164"/>
      <c r="F47" s="230"/>
      <c r="G47" s="130"/>
      <c r="H47" s="229"/>
      <c r="I47" s="229"/>
      <c r="J47" s="224"/>
      <c r="K47" s="224"/>
      <c r="L47" s="224"/>
      <c r="M47" s="224"/>
      <c r="N47" s="224"/>
      <c r="O47" s="224"/>
      <c r="P47" s="224"/>
      <c r="Q47" s="224"/>
      <c r="R47" s="224"/>
      <c r="S47" s="224"/>
      <c r="T47" s="224"/>
      <c r="U47" s="224"/>
      <c r="V47" s="224"/>
      <c r="W47" s="224"/>
      <c r="X47" s="224"/>
      <c r="Y47" s="224"/>
      <c r="Z47" s="232"/>
      <c r="AA47" s="232"/>
      <c r="AB47" s="232"/>
      <c r="AC47" s="232"/>
      <c r="AD47" s="232"/>
      <c r="AE47" s="224"/>
      <c r="AF47" s="236"/>
      <c r="AG47" s="236"/>
      <c r="AH47" s="236"/>
      <c r="AI47" s="236"/>
      <c r="AJ47" s="236"/>
      <c r="AK47" s="236"/>
      <c r="AL47" s="236"/>
      <c r="AM47" s="236"/>
      <c r="AN47" s="236"/>
      <c r="AO47" s="236"/>
      <c r="AP47" s="236"/>
      <c r="AQ47" s="236"/>
      <c r="AR47" s="236"/>
      <c r="AS47" s="236"/>
      <c r="AT47" s="236"/>
      <c r="AU47" s="236"/>
      <c r="AV47" s="236"/>
      <c r="AW47" s="236"/>
      <c r="AX47" s="236"/>
      <c r="AY47" s="236"/>
      <c r="AZ47" s="236"/>
      <c r="BA47" s="236"/>
      <c r="BB47" s="236"/>
    </row>
    <row r="48">
      <c r="A48" s="229" t="s">
        <v>487</v>
      </c>
      <c r="B48" s="12"/>
      <c r="C48" s="162"/>
      <c r="D48" s="130"/>
      <c r="E48" s="164"/>
      <c r="F48" s="230"/>
      <c r="G48" s="130"/>
      <c r="H48" s="229"/>
      <c r="I48" s="229"/>
      <c r="J48" s="224"/>
      <c r="K48" s="224"/>
      <c r="L48" s="224"/>
      <c r="M48" s="224"/>
      <c r="N48" s="224"/>
      <c r="O48" s="224"/>
      <c r="P48" s="224"/>
      <c r="Q48" s="224"/>
      <c r="R48" s="224"/>
      <c r="S48" s="224"/>
      <c r="T48" s="224"/>
      <c r="U48" s="224"/>
      <c r="V48" s="224"/>
      <c r="W48" s="224"/>
      <c r="X48" s="224"/>
      <c r="Y48" s="224"/>
      <c r="Z48" s="232"/>
      <c r="AA48" s="232"/>
      <c r="AB48" s="232"/>
      <c r="AC48" s="232"/>
      <c r="AD48" s="232"/>
      <c r="AE48" s="224"/>
      <c r="AF48" s="236"/>
      <c r="AG48" s="236"/>
      <c r="AH48" s="236"/>
      <c r="AI48" s="236"/>
      <c r="AJ48" s="236"/>
      <c r="AK48" s="236"/>
      <c r="AL48" s="236"/>
      <c r="AM48" s="236"/>
      <c r="AN48" s="236"/>
      <c r="AO48" s="236"/>
      <c r="AP48" s="236"/>
      <c r="AQ48" s="236"/>
      <c r="AR48" s="236"/>
      <c r="AS48" s="236"/>
      <c r="AT48" s="236"/>
      <c r="AU48" s="236"/>
      <c r="AV48" s="236"/>
      <c r="AW48" s="236"/>
      <c r="AX48" s="236"/>
      <c r="AY48" s="236"/>
      <c r="AZ48" s="236"/>
      <c r="BA48" s="236"/>
      <c r="BB48" s="236"/>
    </row>
    <row r="49">
      <c r="A49" s="229" t="s">
        <v>522</v>
      </c>
      <c r="B49" s="12"/>
      <c r="C49" s="162"/>
      <c r="D49" s="130"/>
      <c r="E49" s="164"/>
      <c r="F49" s="230"/>
      <c r="G49" s="130"/>
      <c r="H49" s="229"/>
      <c r="I49" s="229"/>
      <c r="J49" s="224"/>
      <c r="K49" s="224"/>
      <c r="L49" s="224"/>
      <c r="M49" s="224"/>
      <c r="N49" s="224"/>
      <c r="O49" s="224"/>
      <c r="P49" s="224"/>
      <c r="Q49" s="224"/>
      <c r="R49" s="224"/>
      <c r="S49" s="224"/>
      <c r="T49" s="224"/>
      <c r="U49" s="224"/>
      <c r="V49" s="224"/>
      <c r="W49" s="224"/>
      <c r="X49" s="224"/>
      <c r="Y49" s="224"/>
      <c r="Z49" s="232"/>
      <c r="AA49" s="232"/>
      <c r="AB49" s="232"/>
      <c r="AC49" s="232"/>
      <c r="AD49" s="232"/>
      <c r="AE49" s="224"/>
      <c r="AF49" s="236"/>
      <c r="AG49" s="236"/>
      <c r="AH49" s="236"/>
      <c r="AI49" s="236"/>
      <c r="AJ49" s="236"/>
      <c r="AK49" s="236"/>
      <c r="AL49" s="236"/>
      <c r="AM49" s="236"/>
      <c r="AN49" s="236"/>
      <c r="AO49" s="236"/>
      <c r="AP49" s="236"/>
      <c r="AQ49" s="236"/>
      <c r="AR49" s="236"/>
      <c r="AS49" s="236"/>
      <c r="AT49" s="236"/>
      <c r="AU49" s="236"/>
      <c r="AV49" s="236"/>
      <c r="AW49" s="236"/>
      <c r="AX49" s="236"/>
      <c r="AY49" s="236"/>
      <c r="AZ49" s="236"/>
      <c r="BA49" s="236"/>
      <c r="BB49" s="236"/>
    </row>
    <row r="50">
      <c r="A50" s="229" t="s">
        <v>408</v>
      </c>
      <c r="B50" s="12"/>
      <c r="C50" s="162"/>
      <c r="D50" s="229"/>
      <c r="E50" s="164"/>
      <c r="F50" s="230"/>
      <c r="G50" s="130"/>
      <c r="H50" s="229"/>
      <c r="I50" s="229"/>
      <c r="J50" s="224"/>
      <c r="K50" s="224"/>
      <c r="L50" s="224"/>
      <c r="M50" s="224"/>
      <c r="N50" s="224"/>
      <c r="O50" s="224"/>
      <c r="P50" s="224"/>
      <c r="Q50" s="224"/>
      <c r="R50" s="224"/>
      <c r="S50" s="224"/>
      <c r="T50" s="224"/>
      <c r="U50" s="224"/>
      <c r="V50" s="224"/>
      <c r="W50" s="224"/>
      <c r="X50" s="224"/>
      <c r="Y50" s="224"/>
      <c r="Z50" s="232"/>
      <c r="AA50" s="232"/>
      <c r="AB50" s="232"/>
      <c r="AC50" s="232"/>
      <c r="AD50" s="232"/>
      <c r="AE50" s="224"/>
      <c r="AF50" s="236"/>
      <c r="AG50" s="236"/>
      <c r="AH50" s="236"/>
      <c r="AI50" s="236"/>
      <c r="AJ50" s="236"/>
      <c r="AK50" s="236"/>
      <c r="AL50" s="236"/>
      <c r="AM50" s="236"/>
      <c r="AN50" s="236"/>
      <c r="AO50" s="236"/>
      <c r="AP50" s="236"/>
      <c r="AQ50" s="236"/>
      <c r="AR50" s="236"/>
      <c r="AS50" s="236"/>
      <c r="AT50" s="236"/>
      <c r="AU50" s="236"/>
      <c r="AV50" s="236"/>
      <c r="AW50" s="236"/>
      <c r="AX50" s="236"/>
      <c r="AY50" s="236"/>
      <c r="AZ50" s="236"/>
      <c r="BA50" s="236"/>
      <c r="BB50" s="236"/>
    </row>
    <row r="51">
      <c r="A51" s="229" t="s">
        <v>547</v>
      </c>
      <c r="B51" s="12"/>
      <c r="C51" s="162"/>
      <c r="D51" s="130"/>
      <c r="E51" s="164"/>
      <c r="F51" s="230"/>
      <c r="G51" s="130"/>
      <c r="H51" s="229"/>
      <c r="I51" s="229"/>
      <c r="J51" s="224"/>
      <c r="K51" s="224"/>
      <c r="L51" s="224"/>
      <c r="M51" s="224"/>
      <c r="N51" s="224"/>
      <c r="O51" s="224"/>
      <c r="P51" s="224"/>
      <c r="Q51" s="224"/>
      <c r="R51" s="224"/>
      <c r="S51" s="224"/>
      <c r="T51" s="224"/>
      <c r="U51" s="224"/>
      <c r="V51" s="224"/>
      <c r="W51" s="224"/>
      <c r="X51" s="224"/>
      <c r="Y51" s="224"/>
      <c r="Z51" s="232"/>
      <c r="AA51" s="232"/>
      <c r="AB51" s="232"/>
      <c r="AC51" s="232"/>
      <c r="AD51" s="232"/>
      <c r="AE51" s="224"/>
      <c r="AF51" s="236"/>
      <c r="AG51" s="236"/>
      <c r="AH51" s="236"/>
      <c r="AI51" s="236"/>
      <c r="AJ51" s="236"/>
      <c r="AK51" s="236"/>
      <c r="AL51" s="236"/>
      <c r="AM51" s="236"/>
      <c r="AN51" s="236"/>
      <c r="AO51" s="236"/>
      <c r="AP51" s="236"/>
      <c r="AQ51" s="236"/>
      <c r="AR51" s="236"/>
      <c r="AS51" s="236"/>
      <c r="AT51" s="236"/>
      <c r="AU51" s="236"/>
      <c r="AV51" s="236"/>
      <c r="AW51" s="236"/>
      <c r="AX51" s="236"/>
      <c r="AY51" s="236"/>
      <c r="AZ51" s="236"/>
      <c r="BA51" s="236"/>
      <c r="BB51" s="236"/>
    </row>
    <row r="52">
      <c r="A52" s="229" t="s">
        <v>557</v>
      </c>
      <c r="B52" s="12"/>
      <c r="C52" s="162"/>
      <c r="D52" s="130"/>
      <c r="E52" s="164"/>
      <c r="F52" s="230"/>
      <c r="G52" s="130"/>
      <c r="H52" s="229"/>
      <c r="I52" s="229"/>
      <c r="J52" s="224"/>
      <c r="K52" s="224"/>
      <c r="L52" s="224"/>
      <c r="M52" s="224"/>
      <c r="N52" s="224"/>
      <c r="O52" s="224"/>
      <c r="P52" s="224"/>
      <c r="Q52" s="224"/>
      <c r="R52" s="224"/>
      <c r="S52" s="224"/>
      <c r="T52" s="224"/>
      <c r="U52" s="224"/>
      <c r="V52" s="224"/>
      <c r="W52" s="224"/>
      <c r="X52" s="224"/>
      <c r="Y52" s="224"/>
      <c r="Z52" s="232"/>
      <c r="AA52" s="232"/>
      <c r="AB52" s="232"/>
      <c r="AC52" s="232"/>
      <c r="AD52" s="232"/>
      <c r="AE52" s="224"/>
      <c r="AF52" s="236"/>
      <c r="AG52" s="236"/>
      <c r="AH52" s="236"/>
      <c r="AI52" s="236"/>
      <c r="AJ52" s="236"/>
      <c r="AK52" s="236"/>
      <c r="AL52" s="236"/>
      <c r="AM52" s="236"/>
      <c r="AN52" s="236"/>
      <c r="AO52" s="236"/>
      <c r="AP52" s="236"/>
      <c r="AQ52" s="236"/>
      <c r="AR52" s="236"/>
      <c r="AS52" s="236"/>
      <c r="AT52" s="236"/>
      <c r="AU52" s="236"/>
      <c r="AV52" s="236"/>
      <c r="AW52" s="236"/>
      <c r="AX52" s="236"/>
      <c r="AY52" s="236"/>
      <c r="AZ52" s="236"/>
      <c r="BA52" s="236"/>
      <c r="BB52" s="236"/>
    </row>
    <row r="53">
      <c r="A53" s="229" t="s">
        <v>214</v>
      </c>
      <c r="B53" s="12"/>
      <c r="C53" s="162"/>
      <c r="D53" s="130"/>
      <c r="E53" s="164"/>
      <c r="F53" s="230"/>
      <c r="G53" s="130"/>
      <c r="H53" s="229"/>
      <c r="I53" s="229"/>
      <c r="J53" s="224"/>
      <c r="K53" s="224"/>
      <c r="L53" s="224"/>
      <c r="M53" s="224"/>
      <c r="N53" s="224"/>
      <c r="O53" s="224"/>
      <c r="P53" s="224"/>
      <c r="Q53" s="224"/>
      <c r="R53" s="224"/>
      <c r="S53" s="224"/>
      <c r="T53" s="224"/>
      <c r="U53" s="224"/>
      <c r="V53" s="224"/>
      <c r="W53" s="224"/>
      <c r="X53" s="224"/>
      <c r="Y53" s="224"/>
      <c r="Z53" s="232"/>
      <c r="AA53" s="232"/>
      <c r="AB53" s="232"/>
      <c r="AC53" s="232"/>
      <c r="AD53" s="232"/>
      <c r="AE53" s="224"/>
      <c r="AF53" s="236"/>
      <c r="AG53" s="236"/>
      <c r="AH53" s="236"/>
      <c r="AI53" s="236"/>
      <c r="AJ53" s="236"/>
      <c r="AK53" s="236"/>
      <c r="AL53" s="236"/>
      <c r="AM53" s="236"/>
      <c r="AN53" s="236"/>
      <c r="AO53" s="236"/>
      <c r="AP53" s="236"/>
      <c r="AQ53" s="236"/>
      <c r="AR53" s="236"/>
      <c r="AS53" s="236"/>
      <c r="AT53" s="236"/>
      <c r="AU53" s="236"/>
      <c r="AV53" s="236"/>
      <c r="AW53" s="236"/>
      <c r="AX53" s="236"/>
      <c r="AY53" s="236"/>
      <c r="AZ53" s="236"/>
      <c r="BA53" s="236"/>
      <c r="BB53" s="236"/>
    </row>
    <row r="54">
      <c r="A54" s="229" t="s">
        <v>134</v>
      </c>
      <c r="B54" s="12"/>
      <c r="C54" s="162"/>
      <c r="D54" s="130"/>
      <c r="E54" s="164"/>
      <c r="F54" s="230"/>
      <c r="G54" s="130"/>
      <c r="H54" s="229"/>
      <c r="I54" s="229"/>
      <c r="J54" s="224"/>
      <c r="K54" s="224"/>
      <c r="L54" s="224"/>
      <c r="M54" s="224"/>
      <c r="N54" s="224"/>
      <c r="O54" s="224"/>
      <c r="P54" s="224"/>
      <c r="Q54" s="224"/>
      <c r="R54" s="224"/>
      <c r="S54" s="224"/>
      <c r="T54" s="224"/>
      <c r="U54" s="224"/>
      <c r="V54" s="224"/>
      <c r="W54" s="224"/>
      <c r="X54" s="224"/>
      <c r="Y54" s="224"/>
      <c r="Z54" s="232"/>
      <c r="AA54" s="232"/>
      <c r="AB54" s="232"/>
      <c r="AC54" s="232"/>
      <c r="AD54" s="232"/>
      <c r="AE54" s="224"/>
      <c r="AF54" s="236"/>
      <c r="AG54" s="236"/>
      <c r="AH54" s="236"/>
      <c r="AI54" s="236"/>
      <c r="AJ54" s="236"/>
      <c r="AK54" s="236"/>
      <c r="AL54" s="236"/>
      <c r="AM54" s="236"/>
      <c r="AN54" s="236"/>
      <c r="AO54" s="236"/>
      <c r="AP54" s="236"/>
      <c r="AQ54" s="236"/>
      <c r="AR54" s="236"/>
      <c r="AS54" s="236"/>
      <c r="AT54" s="236"/>
      <c r="AU54" s="236"/>
      <c r="AV54" s="236"/>
      <c r="AW54" s="236"/>
      <c r="AX54" s="236"/>
      <c r="AY54" s="236"/>
      <c r="AZ54" s="236"/>
      <c r="BA54" s="236"/>
      <c r="BB54" s="236"/>
    </row>
    <row r="55">
      <c r="A55" s="229" t="s">
        <v>154</v>
      </c>
      <c r="B55" s="12"/>
      <c r="C55" s="162"/>
      <c r="D55" s="130"/>
      <c r="E55" s="164"/>
      <c r="F55" s="230"/>
      <c r="G55" s="130"/>
      <c r="H55" s="229"/>
      <c r="I55" s="229"/>
      <c r="J55" s="224"/>
      <c r="K55" s="224"/>
      <c r="L55" s="224"/>
      <c r="M55" s="224"/>
      <c r="N55" s="224"/>
      <c r="O55" s="224"/>
      <c r="P55" s="224"/>
      <c r="Q55" s="224"/>
      <c r="R55" s="224"/>
      <c r="S55" s="224"/>
      <c r="T55" s="224"/>
      <c r="U55" s="224"/>
      <c r="V55" s="224"/>
      <c r="W55" s="224"/>
      <c r="X55" s="224"/>
      <c r="Y55" s="224"/>
      <c r="Z55" s="232"/>
      <c r="AA55" s="232"/>
      <c r="AB55" s="232"/>
      <c r="AC55" s="232"/>
      <c r="AD55" s="232"/>
      <c r="AE55" s="224"/>
      <c r="AF55" s="236"/>
      <c r="AG55" s="236"/>
      <c r="AH55" s="236"/>
      <c r="AI55" s="236"/>
      <c r="AJ55" s="236"/>
      <c r="AK55" s="236"/>
      <c r="AL55" s="236"/>
      <c r="AM55" s="236"/>
      <c r="AN55" s="236"/>
      <c r="AO55" s="236"/>
      <c r="AP55" s="236"/>
      <c r="AQ55" s="236"/>
      <c r="AR55" s="236"/>
      <c r="AS55" s="236"/>
      <c r="AT55" s="236"/>
      <c r="AU55" s="236"/>
      <c r="AV55" s="236"/>
      <c r="AW55" s="236"/>
      <c r="AX55" s="236"/>
      <c r="AY55" s="236"/>
      <c r="AZ55" s="236"/>
      <c r="BA55" s="236"/>
      <c r="BB55" s="236"/>
    </row>
    <row r="56">
      <c r="A56" s="229" t="s">
        <v>602</v>
      </c>
      <c r="B56" s="12"/>
      <c r="C56" s="162"/>
      <c r="D56" s="130"/>
      <c r="E56" s="164"/>
      <c r="F56" s="230"/>
      <c r="G56" s="130"/>
      <c r="H56" s="229"/>
      <c r="I56" s="229"/>
      <c r="J56" s="224"/>
      <c r="K56" s="224"/>
      <c r="L56" s="224"/>
      <c r="M56" s="224"/>
      <c r="N56" s="224"/>
      <c r="O56" s="224"/>
      <c r="P56" s="224"/>
      <c r="Q56" s="224"/>
      <c r="R56" s="224"/>
      <c r="S56" s="224"/>
      <c r="T56" s="224"/>
      <c r="U56" s="224"/>
      <c r="V56" s="224"/>
      <c r="W56" s="224"/>
      <c r="X56" s="224"/>
      <c r="Y56" s="224"/>
      <c r="Z56" s="232"/>
      <c r="AA56" s="232"/>
      <c r="AB56" s="232"/>
      <c r="AC56" s="232"/>
      <c r="AD56" s="232"/>
      <c r="AE56" s="224"/>
      <c r="AF56" s="236"/>
      <c r="AG56" s="236"/>
      <c r="AH56" s="236"/>
      <c r="AI56" s="236"/>
      <c r="AJ56" s="236"/>
      <c r="AK56" s="236"/>
      <c r="AL56" s="236"/>
      <c r="AM56" s="236"/>
      <c r="AN56" s="236"/>
      <c r="AO56" s="236"/>
      <c r="AP56" s="236"/>
      <c r="AQ56" s="236"/>
      <c r="AR56" s="236"/>
      <c r="AS56" s="236"/>
      <c r="AT56" s="236"/>
      <c r="AU56" s="236"/>
      <c r="AV56" s="236"/>
      <c r="AW56" s="236"/>
      <c r="AX56" s="236"/>
      <c r="AY56" s="236"/>
      <c r="AZ56" s="236"/>
      <c r="BA56" s="236"/>
      <c r="BB56" s="236"/>
    </row>
    <row r="57">
      <c r="A57" s="229" t="s">
        <v>625</v>
      </c>
      <c r="B57" s="12"/>
      <c r="C57" s="162"/>
      <c r="D57" s="130"/>
      <c r="E57" s="164"/>
      <c r="F57" s="230"/>
      <c r="G57" s="130"/>
      <c r="H57" s="229"/>
      <c r="I57" s="229"/>
      <c r="J57" s="224"/>
      <c r="K57" s="224"/>
      <c r="L57" s="224"/>
      <c r="M57" s="224"/>
      <c r="N57" s="224"/>
      <c r="O57" s="224"/>
      <c r="P57" s="224"/>
      <c r="Q57" s="224"/>
      <c r="R57" s="224"/>
      <c r="S57" s="224"/>
      <c r="T57" s="224"/>
      <c r="U57" s="224"/>
      <c r="V57" s="224"/>
      <c r="W57" s="224"/>
      <c r="X57" s="224"/>
      <c r="Y57" s="224"/>
      <c r="Z57" s="232"/>
      <c r="AA57" s="232"/>
      <c r="AB57" s="232"/>
      <c r="AC57" s="232"/>
      <c r="AD57" s="232"/>
      <c r="AE57" s="224"/>
      <c r="AF57" s="236"/>
      <c r="AG57" s="236"/>
      <c r="AH57" s="236"/>
      <c r="AI57" s="236"/>
      <c r="AJ57" s="236"/>
      <c r="AK57" s="236"/>
      <c r="AL57" s="236"/>
      <c r="AM57" s="236"/>
      <c r="AN57" s="236"/>
      <c r="AO57" s="236"/>
      <c r="AP57" s="236"/>
      <c r="AQ57" s="236"/>
      <c r="AR57" s="236"/>
      <c r="AS57" s="236"/>
      <c r="AT57" s="236"/>
      <c r="AU57" s="236"/>
      <c r="AV57" s="236"/>
      <c r="AW57" s="236"/>
      <c r="AX57" s="236"/>
      <c r="AY57" s="236"/>
      <c r="AZ57" s="236"/>
      <c r="BA57" s="236"/>
      <c r="BB57" s="236"/>
    </row>
    <row r="58">
      <c r="A58" s="229" t="s">
        <v>646</v>
      </c>
      <c r="B58" s="12"/>
      <c r="C58" s="162"/>
      <c r="D58" s="130"/>
      <c r="E58" s="164"/>
      <c r="F58" s="230"/>
      <c r="G58" s="130"/>
      <c r="H58" s="229"/>
      <c r="I58" s="229"/>
      <c r="J58" s="224"/>
      <c r="K58" s="224"/>
      <c r="L58" s="224"/>
      <c r="M58" s="224"/>
      <c r="N58" s="224"/>
      <c r="O58" s="224"/>
      <c r="P58" s="224"/>
      <c r="Q58" s="224"/>
      <c r="R58" s="224"/>
      <c r="S58" s="224"/>
      <c r="T58" s="224"/>
      <c r="U58" s="224"/>
      <c r="V58" s="224"/>
      <c r="W58" s="224"/>
      <c r="X58" s="224"/>
      <c r="Y58" s="224"/>
      <c r="Z58" s="232"/>
      <c r="AA58" s="232"/>
      <c r="AB58" s="232"/>
      <c r="AC58" s="232"/>
      <c r="AD58" s="232"/>
      <c r="AE58" s="224"/>
      <c r="AF58" s="236"/>
      <c r="AG58" s="236"/>
      <c r="AH58" s="236"/>
      <c r="AI58" s="236"/>
      <c r="AJ58" s="236"/>
      <c r="AK58" s="236"/>
      <c r="AL58" s="236"/>
      <c r="AM58" s="236"/>
      <c r="AN58" s="236"/>
      <c r="AO58" s="236"/>
      <c r="AP58" s="236"/>
      <c r="AQ58" s="236"/>
      <c r="AR58" s="236"/>
      <c r="AS58" s="236"/>
      <c r="AT58" s="236"/>
      <c r="AU58" s="236"/>
      <c r="AV58" s="236"/>
      <c r="AW58" s="236"/>
      <c r="AX58" s="236"/>
      <c r="AY58" s="236"/>
      <c r="AZ58" s="236"/>
      <c r="BA58" s="236"/>
      <c r="BB58" s="236"/>
    </row>
    <row r="59">
      <c r="A59" s="229" t="s">
        <v>185</v>
      </c>
      <c r="B59" s="12"/>
      <c r="C59" s="239"/>
      <c r="D59" s="240"/>
      <c r="E59" s="241"/>
      <c r="F59" s="242"/>
      <c r="G59" s="240"/>
      <c r="H59" s="199"/>
      <c r="I59" s="199"/>
      <c r="J59" s="243"/>
      <c r="K59" s="243"/>
      <c r="L59" s="243"/>
      <c r="M59" s="243"/>
      <c r="N59" s="243"/>
      <c r="O59" s="243"/>
      <c r="P59" s="243"/>
      <c r="Q59" s="243"/>
      <c r="R59" s="243"/>
      <c r="S59" s="243"/>
      <c r="T59" s="243"/>
      <c r="U59" s="243"/>
      <c r="V59" s="243"/>
      <c r="W59" s="243"/>
      <c r="X59" s="243"/>
      <c r="Y59" s="243"/>
      <c r="Z59" s="204"/>
      <c r="AA59" s="204"/>
      <c r="AB59" s="204"/>
      <c r="AC59" s="204"/>
      <c r="AD59" s="204"/>
      <c r="AE59" s="243"/>
      <c r="AF59" s="213"/>
      <c r="AG59" s="213"/>
      <c r="AH59" s="213"/>
      <c r="AI59" s="213"/>
      <c r="AJ59" s="213"/>
      <c r="AK59" s="213"/>
      <c r="AL59" s="213"/>
      <c r="AM59" s="213"/>
      <c r="AN59" s="213"/>
      <c r="AO59" s="213"/>
      <c r="AP59" s="213"/>
      <c r="AQ59" s="213"/>
      <c r="AR59" s="213"/>
      <c r="AS59" s="213"/>
      <c r="AT59" s="213"/>
      <c r="AU59" s="213"/>
      <c r="AV59" s="213"/>
      <c r="AW59" s="213"/>
      <c r="AX59" s="213"/>
      <c r="AY59" s="213"/>
      <c r="AZ59" s="213"/>
      <c r="BA59" s="213"/>
      <c r="BB59" s="213"/>
    </row>
    <row r="60">
      <c r="A60" s="229" t="s">
        <v>689</v>
      </c>
      <c r="B60" s="12"/>
      <c r="C60" s="239"/>
      <c r="D60" s="240"/>
      <c r="E60" s="241"/>
      <c r="F60" s="242"/>
      <c r="G60" s="240"/>
      <c r="H60" s="199"/>
      <c r="I60" s="199"/>
      <c r="J60" s="243"/>
      <c r="K60" s="243"/>
      <c r="L60" s="243"/>
      <c r="M60" s="243"/>
      <c r="N60" s="243"/>
      <c r="O60" s="243"/>
      <c r="P60" s="243"/>
      <c r="Q60" s="243"/>
      <c r="R60" s="243"/>
      <c r="S60" s="243"/>
      <c r="T60" s="243"/>
      <c r="U60" s="243"/>
      <c r="V60" s="243"/>
      <c r="W60" s="243"/>
      <c r="X60" s="243"/>
      <c r="Y60" s="243"/>
      <c r="Z60" s="204"/>
      <c r="AA60" s="204"/>
      <c r="AB60" s="204"/>
      <c r="AC60" s="204"/>
      <c r="AD60" s="204"/>
      <c r="AE60" s="243"/>
      <c r="AF60" s="213"/>
      <c r="AG60" s="213"/>
      <c r="AH60" s="213"/>
      <c r="AI60" s="213"/>
      <c r="AJ60" s="213"/>
      <c r="AK60" s="213"/>
      <c r="AL60" s="213"/>
      <c r="AM60" s="213"/>
      <c r="AN60" s="213"/>
      <c r="AO60" s="213"/>
      <c r="AP60" s="213"/>
      <c r="AQ60" s="213"/>
      <c r="AR60" s="213"/>
      <c r="AS60" s="213"/>
      <c r="AT60" s="213"/>
      <c r="AU60" s="213"/>
      <c r="AV60" s="213"/>
      <c r="AW60" s="213"/>
      <c r="AX60" s="213"/>
      <c r="AY60" s="213"/>
      <c r="AZ60" s="213"/>
      <c r="BA60" s="213"/>
      <c r="BB60" s="213"/>
    </row>
    <row r="61">
      <c r="A61" s="229" t="s">
        <v>704</v>
      </c>
      <c r="B61" s="12"/>
      <c r="C61" s="239"/>
      <c r="D61" s="240"/>
      <c r="E61" s="241"/>
      <c r="F61" s="242"/>
      <c r="G61" s="240"/>
      <c r="H61" s="199"/>
      <c r="I61" s="199"/>
      <c r="J61" s="243"/>
      <c r="K61" s="243"/>
      <c r="L61" s="243"/>
      <c r="M61" s="243"/>
      <c r="N61" s="243"/>
      <c r="O61" s="243"/>
      <c r="P61" s="243"/>
      <c r="Q61" s="243"/>
      <c r="R61" s="243"/>
      <c r="S61" s="243"/>
      <c r="T61" s="243"/>
      <c r="U61" s="243"/>
      <c r="V61" s="243"/>
      <c r="W61" s="243"/>
      <c r="X61" s="243"/>
      <c r="Y61" s="243"/>
      <c r="Z61" s="204"/>
      <c r="AA61" s="204"/>
      <c r="AB61" s="204"/>
      <c r="AC61" s="204"/>
      <c r="AD61" s="204"/>
      <c r="AE61" s="243"/>
      <c r="AF61" s="213"/>
      <c r="AG61" s="213"/>
      <c r="AH61" s="213"/>
      <c r="AI61" s="213"/>
      <c r="AJ61" s="213"/>
      <c r="AK61" s="213"/>
      <c r="AL61" s="213"/>
      <c r="AM61" s="213"/>
      <c r="AN61" s="213"/>
      <c r="AO61" s="213"/>
      <c r="AP61" s="213"/>
      <c r="AQ61" s="213"/>
      <c r="AR61" s="213"/>
      <c r="AS61" s="213"/>
      <c r="AT61" s="213"/>
      <c r="AU61" s="213"/>
      <c r="AV61" s="213"/>
      <c r="AW61" s="213"/>
      <c r="AX61" s="213"/>
      <c r="AY61" s="213"/>
      <c r="AZ61" s="213"/>
      <c r="BA61" s="213"/>
      <c r="BB61" s="213"/>
    </row>
    <row r="62">
      <c r="A62" s="229" t="s">
        <v>193</v>
      </c>
      <c r="B62" s="12"/>
      <c r="C62" s="239"/>
      <c r="D62" s="240"/>
      <c r="E62" s="241"/>
      <c r="F62" s="242"/>
      <c r="G62" s="240"/>
      <c r="H62" s="199"/>
      <c r="I62" s="199"/>
      <c r="J62" s="243"/>
      <c r="K62" s="243"/>
      <c r="L62" s="243"/>
      <c r="M62" s="243"/>
      <c r="N62" s="243"/>
      <c r="O62" s="243"/>
      <c r="P62" s="243"/>
      <c r="Q62" s="243"/>
      <c r="R62" s="243"/>
      <c r="S62" s="243"/>
      <c r="T62" s="243"/>
      <c r="U62" s="243"/>
      <c r="V62" s="243"/>
      <c r="W62" s="243"/>
      <c r="X62" s="243"/>
      <c r="Y62" s="243"/>
      <c r="Z62" s="204"/>
      <c r="AA62" s="204"/>
      <c r="AB62" s="204"/>
      <c r="AC62" s="204"/>
      <c r="AD62" s="204"/>
      <c r="AE62" s="243"/>
      <c r="AF62" s="213"/>
      <c r="AG62" s="213"/>
      <c r="AH62" s="213"/>
      <c r="AI62" s="213"/>
      <c r="AJ62" s="213"/>
      <c r="AK62" s="213"/>
      <c r="AL62" s="213"/>
      <c r="AM62" s="213"/>
      <c r="AN62" s="213"/>
      <c r="AO62" s="213"/>
      <c r="AP62" s="213"/>
      <c r="AQ62" s="213"/>
      <c r="AR62" s="213"/>
      <c r="AS62" s="213"/>
      <c r="AT62" s="213"/>
      <c r="AU62" s="213"/>
      <c r="AV62" s="213"/>
      <c r="AW62" s="213"/>
      <c r="AX62" s="213"/>
      <c r="AY62" s="213"/>
      <c r="AZ62" s="213"/>
      <c r="BA62" s="213"/>
      <c r="BB62" s="213"/>
    </row>
    <row r="63">
      <c r="A63" s="229" t="s">
        <v>495</v>
      </c>
      <c r="B63" s="12"/>
      <c r="C63" s="239"/>
      <c r="D63" s="240"/>
      <c r="E63" s="241"/>
      <c r="F63" s="242"/>
      <c r="G63" s="240"/>
      <c r="H63" s="199"/>
      <c r="I63" s="199"/>
      <c r="J63" s="243"/>
      <c r="K63" s="243"/>
      <c r="L63" s="243"/>
      <c r="M63" s="243"/>
      <c r="N63" s="243"/>
      <c r="O63" s="243"/>
      <c r="P63" s="243"/>
      <c r="Q63" s="243"/>
      <c r="R63" s="243"/>
      <c r="S63" s="243"/>
      <c r="T63" s="243"/>
      <c r="U63" s="243"/>
      <c r="V63" s="243"/>
      <c r="W63" s="243"/>
      <c r="X63" s="243"/>
      <c r="Y63" s="243"/>
      <c r="Z63" s="204"/>
      <c r="AA63" s="204"/>
      <c r="AB63" s="204"/>
      <c r="AC63" s="204"/>
      <c r="AD63" s="204"/>
      <c r="AE63" s="243"/>
      <c r="AF63" s="213"/>
      <c r="AG63" s="213"/>
      <c r="AH63" s="213"/>
      <c r="AI63" s="213"/>
      <c r="AJ63" s="213"/>
      <c r="AK63" s="213"/>
      <c r="AL63" s="213"/>
      <c r="AM63" s="213"/>
      <c r="AN63" s="213"/>
      <c r="AO63" s="213"/>
      <c r="AP63" s="213"/>
      <c r="AQ63" s="213"/>
      <c r="AR63" s="213"/>
      <c r="AS63" s="213"/>
      <c r="AT63" s="213"/>
      <c r="AU63" s="213"/>
      <c r="AV63" s="213"/>
      <c r="AW63" s="213"/>
      <c r="AX63" s="213"/>
      <c r="AY63" s="213"/>
      <c r="AZ63" s="213"/>
      <c r="BA63" s="213"/>
      <c r="BB63" s="213"/>
    </row>
    <row r="64">
      <c r="A64" s="229" t="s">
        <v>95</v>
      </c>
      <c r="B64" s="12"/>
      <c r="C64" s="239"/>
      <c r="D64" s="240"/>
      <c r="E64" s="241"/>
      <c r="F64" s="242"/>
      <c r="G64" s="240"/>
      <c r="H64" s="199"/>
      <c r="I64" s="199"/>
      <c r="J64" s="243"/>
      <c r="K64" s="243"/>
      <c r="L64" s="243"/>
      <c r="M64" s="243"/>
      <c r="N64" s="243"/>
      <c r="O64" s="243"/>
      <c r="P64" s="243"/>
      <c r="Q64" s="243"/>
      <c r="R64" s="243"/>
      <c r="S64" s="243"/>
      <c r="T64" s="243"/>
      <c r="U64" s="243"/>
      <c r="V64" s="243"/>
      <c r="W64" s="243"/>
      <c r="X64" s="243"/>
      <c r="Y64" s="243"/>
      <c r="Z64" s="204"/>
      <c r="AA64" s="204"/>
      <c r="AB64" s="204"/>
      <c r="AC64" s="204"/>
      <c r="AD64" s="204"/>
      <c r="AE64" s="243"/>
      <c r="AF64" s="213"/>
      <c r="AG64" s="213"/>
      <c r="AH64" s="213"/>
      <c r="AI64" s="213"/>
      <c r="AJ64" s="213"/>
      <c r="AK64" s="213"/>
      <c r="AL64" s="213"/>
      <c r="AM64" s="213"/>
      <c r="AN64" s="213"/>
      <c r="AO64" s="213"/>
      <c r="AP64" s="213"/>
      <c r="AQ64" s="213"/>
      <c r="AR64" s="213"/>
      <c r="AS64" s="213"/>
      <c r="AT64" s="213"/>
      <c r="AU64" s="213"/>
      <c r="AV64" s="213"/>
      <c r="AW64" s="213"/>
      <c r="AX64" s="213"/>
      <c r="AY64" s="213"/>
      <c r="AZ64" s="213"/>
      <c r="BA64" s="213"/>
      <c r="BB64" s="213"/>
    </row>
    <row r="65">
      <c r="A65" s="229" t="s">
        <v>754</v>
      </c>
      <c r="B65" s="12"/>
      <c r="C65" s="202"/>
      <c r="D65" s="199"/>
      <c r="E65" s="211"/>
      <c r="F65" s="201"/>
      <c r="G65" s="199"/>
      <c r="H65" s="199"/>
      <c r="I65" s="199"/>
      <c r="J65" s="212"/>
      <c r="K65" s="212"/>
      <c r="L65" s="212"/>
      <c r="M65" s="212"/>
      <c r="N65" s="212"/>
      <c r="O65" s="212"/>
      <c r="P65" s="212"/>
      <c r="Q65" s="212"/>
      <c r="R65" s="212"/>
      <c r="S65" s="212"/>
      <c r="T65" s="212"/>
      <c r="U65" s="212"/>
      <c r="V65" s="212"/>
      <c r="W65" s="212"/>
      <c r="X65" s="212"/>
      <c r="Y65" s="212"/>
      <c r="Z65" s="204"/>
      <c r="AA65" s="204"/>
      <c r="AB65" s="204"/>
      <c r="AC65" s="204"/>
      <c r="AD65" s="204"/>
      <c r="AE65" s="212"/>
      <c r="AF65" s="213"/>
      <c r="AG65" s="213"/>
      <c r="AH65" s="213"/>
      <c r="AI65" s="213"/>
      <c r="AJ65" s="213"/>
      <c r="AK65" s="213"/>
      <c r="AL65" s="213"/>
      <c r="AM65" s="213"/>
      <c r="AN65" s="213"/>
      <c r="AO65" s="213"/>
      <c r="AP65" s="213"/>
      <c r="AQ65" s="213"/>
      <c r="AR65" s="213"/>
      <c r="AS65" s="213"/>
      <c r="AT65" s="213"/>
      <c r="AU65" s="213"/>
      <c r="AV65" s="213"/>
      <c r="AW65" s="213"/>
      <c r="AX65" s="213"/>
      <c r="AY65" s="213"/>
      <c r="AZ65" s="213"/>
      <c r="BA65" s="213"/>
      <c r="BB65" s="213"/>
    </row>
    <row r="66">
      <c r="A66" s="229" t="s">
        <v>18</v>
      </c>
      <c r="B66" s="12"/>
      <c r="C66" s="202"/>
      <c r="D66" s="199"/>
      <c r="E66" s="211"/>
      <c r="F66" s="201"/>
      <c r="G66" s="199"/>
      <c r="H66" s="199"/>
      <c r="I66" s="199"/>
      <c r="J66" s="212"/>
      <c r="K66" s="212"/>
      <c r="L66" s="212"/>
      <c r="M66" s="212"/>
      <c r="N66" s="212"/>
      <c r="O66" s="212"/>
      <c r="P66" s="212"/>
      <c r="Q66" s="212"/>
      <c r="R66" s="212"/>
      <c r="S66" s="212"/>
      <c r="T66" s="212"/>
      <c r="U66" s="212"/>
      <c r="V66" s="212"/>
      <c r="W66" s="212"/>
      <c r="X66" s="212"/>
      <c r="Y66" s="212"/>
      <c r="Z66" s="204"/>
      <c r="AA66" s="204"/>
      <c r="AB66" s="204"/>
      <c r="AC66" s="204"/>
      <c r="AD66" s="204"/>
      <c r="AE66" s="212"/>
      <c r="AF66" s="213"/>
      <c r="AG66" s="213"/>
      <c r="AH66" s="213"/>
      <c r="AI66" s="213"/>
      <c r="AJ66" s="213"/>
      <c r="AK66" s="213"/>
      <c r="AL66" s="213"/>
      <c r="AM66" s="213"/>
      <c r="AN66" s="213"/>
      <c r="AO66" s="213"/>
      <c r="AP66" s="213"/>
      <c r="AQ66" s="213"/>
      <c r="AR66" s="213"/>
      <c r="AS66" s="213"/>
      <c r="AT66" s="213"/>
      <c r="AU66" s="213"/>
      <c r="AV66" s="213"/>
      <c r="AW66" s="213"/>
      <c r="AX66" s="213"/>
      <c r="AY66" s="213"/>
      <c r="AZ66" s="213"/>
      <c r="BA66" s="213"/>
      <c r="BB66" s="213"/>
    </row>
    <row r="67">
      <c r="A67" s="229" t="s">
        <v>767</v>
      </c>
      <c r="B67" s="12"/>
      <c r="C67" s="202"/>
      <c r="D67" s="199"/>
      <c r="E67" s="211"/>
      <c r="F67" s="201"/>
      <c r="G67" s="199"/>
      <c r="H67" s="199"/>
      <c r="I67" s="199"/>
      <c r="J67" s="212"/>
      <c r="K67" s="212"/>
      <c r="L67" s="212"/>
      <c r="M67" s="212"/>
      <c r="N67" s="212"/>
      <c r="O67" s="212"/>
      <c r="P67" s="212"/>
      <c r="Q67" s="212"/>
      <c r="R67" s="212"/>
      <c r="S67" s="212"/>
      <c r="T67" s="212"/>
      <c r="U67" s="212"/>
      <c r="V67" s="212"/>
      <c r="W67" s="212"/>
      <c r="X67" s="212"/>
      <c r="Y67" s="212"/>
      <c r="Z67" s="204"/>
      <c r="AA67" s="204"/>
      <c r="AB67" s="204"/>
      <c r="AC67" s="204"/>
      <c r="AD67" s="204"/>
      <c r="AE67" s="212"/>
      <c r="AF67" s="213"/>
      <c r="AG67" s="213"/>
      <c r="AH67" s="213"/>
      <c r="AI67" s="213"/>
      <c r="AJ67" s="213"/>
      <c r="AK67" s="213"/>
      <c r="AL67" s="213"/>
      <c r="AM67" s="213"/>
      <c r="AN67" s="213"/>
      <c r="AO67" s="213"/>
      <c r="AP67" s="213"/>
      <c r="AQ67" s="213"/>
      <c r="AR67" s="213"/>
      <c r="AS67" s="213"/>
      <c r="AT67" s="213"/>
      <c r="AU67" s="213"/>
      <c r="AV67" s="213"/>
      <c r="AW67" s="213"/>
      <c r="AX67" s="213"/>
      <c r="AY67" s="213"/>
      <c r="AZ67" s="213"/>
      <c r="BA67" s="213"/>
      <c r="BB67" s="213"/>
    </row>
    <row r="68">
      <c r="A68" s="229" t="s">
        <v>198</v>
      </c>
      <c r="B68" s="12"/>
      <c r="C68" s="202"/>
      <c r="D68" s="199"/>
      <c r="E68" s="211"/>
      <c r="F68" s="201"/>
      <c r="G68" s="199"/>
      <c r="H68" s="199"/>
      <c r="I68" s="199"/>
      <c r="J68" s="212"/>
      <c r="K68" s="212"/>
      <c r="L68" s="212"/>
      <c r="M68" s="212"/>
      <c r="N68" s="212"/>
      <c r="O68" s="212"/>
      <c r="P68" s="212"/>
      <c r="Q68" s="212"/>
      <c r="R68" s="212"/>
      <c r="S68" s="212"/>
      <c r="T68" s="212"/>
      <c r="U68" s="212"/>
      <c r="V68" s="212"/>
      <c r="W68" s="212"/>
      <c r="X68" s="212"/>
      <c r="Y68" s="212"/>
      <c r="Z68" s="204"/>
      <c r="AA68" s="204"/>
      <c r="AB68" s="204"/>
      <c r="AC68" s="204"/>
      <c r="AD68" s="204"/>
      <c r="AE68" s="212"/>
      <c r="AF68" s="213"/>
      <c r="AG68" s="213"/>
      <c r="AH68" s="213"/>
      <c r="AI68" s="213"/>
      <c r="AJ68" s="213"/>
      <c r="AK68" s="213"/>
      <c r="AL68" s="213"/>
      <c r="AM68" s="213"/>
      <c r="AN68" s="213"/>
      <c r="AO68" s="213"/>
      <c r="AP68" s="213"/>
      <c r="AQ68" s="213"/>
      <c r="AR68" s="213"/>
      <c r="AS68" s="213"/>
      <c r="AT68" s="213"/>
      <c r="AU68" s="213"/>
      <c r="AV68" s="213"/>
      <c r="AW68" s="213"/>
      <c r="AX68" s="213"/>
      <c r="AY68" s="213"/>
      <c r="AZ68" s="213"/>
      <c r="BA68" s="213"/>
      <c r="BB68" s="213"/>
    </row>
    <row r="69">
      <c r="A69" s="229" t="s">
        <v>806</v>
      </c>
      <c r="B69" s="12"/>
      <c r="C69" s="202"/>
      <c r="D69" s="199"/>
      <c r="E69" s="211"/>
      <c r="F69" s="201"/>
      <c r="G69" s="199"/>
      <c r="H69" s="199"/>
      <c r="I69" s="199"/>
      <c r="J69" s="212"/>
      <c r="K69" s="212"/>
      <c r="L69" s="212"/>
      <c r="M69" s="212"/>
      <c r="N69" s="212"/>
      <c r="O69" s="212"/>
      <c r="P69" s="212"/>
      <c r="Q69" s="212"/>
      <c r="R69" s="212"/>
      <c r="S69" s="212"/>
      <c r="T69" s="212"/>
      <c r="U69" s="212"/>
      <c r="V69" s="212"/>
      <c r="W69" s="212"/>
      <c r="X69" s="212"/>
      <c r="Y69" s="212"/>
      <c r="Z69" s="204"/>
      <c r="AA69" s="204"/>
      <c r="AB69" s="204"/>
      <c r="AC69" s="204"/>
      <c r="AD69" s="204"/>
      <c r="AE69" s="212"/>
      <c r="AF69" s="213"/>
      <c r="AG69" s="213"/>
      <c r="AH69" s="213"/>
      <c r="AI69" s="213"/>
      <c r="AJ69" s="213"/>
      <c r="AK69" s="213"/>
      <c r="AL69" s="213"/>
      <c r="AM69" s="213"/>
      <c r="AN69" s="213"/>
      <c r="AO69" s="213"/>
      <c r="AP69" s="213"/>
      <c r="AQ69" s="213"/>
      <c r="AR69" s="213"/>
      <c r="AS69" s="213"/>
      <c r="AT69" s="213"/>
      <c r="AU69" s="213"/>
      <c r="AV69" s="213"/>
      <c r="AW69" s="213"/>
      <c r="AX69" s="213"/>
      <c r="AY69" s="213"/>
      <c r="AZ69" s="213"/>
      <c r="BA69" s="213"/>
      <c r="BB69" s="213"/>
    </row>
    <row r="70">
      <c r="A70" s="229" t="s">
        <v>853</v>
      </c>
      <c r="B70" s="12"/>
      <c r="C70" s="202"/>
      <c r="D70" s="199"/>
      <c r="E70" s="211"/>
      <c r="F70" s="201"/>
      <c r="G70" s="199"/>
      <c r="H70" s="199"/>
      <c r="I70" s="199"/>
      <c r="J70" s="212"/>
      <c r="K70" s="212"/>
      <c r="L70" s="212"/>
      <c r="M70" s="212"/>
      <c r="N70" s="212"/>
      <c r="O70" s="212"/>
      <c r="P70" s="212"/>
      <c r="Q70" s="212"/>
      <c r="R70" s="212"/>
      <c r="S70" s="212"/>
      <c r="T70" s="212"/>
      <c r="U70" s="212"/>
      <c r="V70" s="212"/>
      <c r="W70" s="212"/>
      <c r="X70" s="212"/>
      <c r="Y70" s="212"/>
      <c r="Z70" s="204"/>
      <c r="AA70" s="204"/>
      <c r="AB70" s="204"/>
      <c r="AC70" s="204"/>
      <c r="AD70" s="204"/>
      <c r="AE70" s="212"/>
      <c r="AF70" s="213"/>
      <c r="AG70" s="213"/>
      <c r="AH70" s="213"/>
      <c r="AI70" s="213"/>
      <c r="AJ70" s="213"/>
      <c r="AK70" s="213"/>
      <c r="AL70" s="213"/>
      <c r="AM70" s="213"/>
      <c r="AN70" s="213"/>
      <c r="AO70" s="213"/>
      <c r="AP70" s="213"/>
      <c r="AQ70" s="213"/>
      <c r="AR70" s="213"/>
      <c r="AS70" s="213"/>
      <c r="AT70" s="213"/>
      <c r="AU70" s="213"/>
      <c r="AV70" s="213"/>
      <c r="AW70" s="213"/>
      <c r="AX70" s="213"/>
      <c r="AY70" s="213"/>
      <c r="AZ70" s="213"/>
      <c r="BA70" s="213"/>
      <c r="BB70" s="213"/>
    </row>
    <row r="71">
      <c r="A71" s="229" t="s">
        <v>864</v>
      </c>
      <c r="B71" s="12"/>
      <c r="C71" s="202"/>
      <c r="D71" s="199"/>
      <c r="E71" s="211"/>
      <c r="F71" s="201"/>
      <c r="G71" s="199"/>
      <c r="H71" s="199"/>
      <c r="I71" s="199"/>
      <c r="J71" s="212"/>
      <c r="K71" s="212"/>
      <c r="L71" s="212"/>
      <c r="M71" s="212"/>
      <c r="N71" s="212"/>
      <c r="O71" s="212"/>
      <c r="P71" s="212"/>
      <c r="Q71" s="212"/>
      <c r="R71" s="212"/>
      <c r="S71" s="212"/>
      <c r="T71" s="212"/>
      <c r="U71" s="212"/>
      <c r="V71" s="212"/>
      <c r="W71" s="212"/>
      <c r="X71" s="212"/>
      <c r="Y71" s="212"/>
      <c r="Z71" s="204"/>
      <c r="AA71" s="204"/>
      <c r="AB71" s="204"/>
      <c r="AC71" s="204"/>
      <c r="AD71" s="204"/>
      <c r="AE71" s="212"/>
      <c r="AF71" s="213"/>
      <c r="AG71" s="213"/>
      <c r="AH71" s="213"/>
      <c r="AI71" s="213"/>
      <c r="AJ71" s="213"/>
      <c r="AK71" s="213"/>
      <c r="AL71" s="213"/>
      <c r="AM71" s="213"/>
      <c r="AN71" s="213"/>
      <c r="AO71" s="213"/>
      <c r="AP71" s="213"/>
      <c r="AQ71" s="213"/>
      <c r="AR71" s="213"/>
      <c r="AS71" s="213"/>
      <c r="AT71" s="213"/>
      <c r="AU71" s="213"/>
      <c r="AV71" s="213"/>
      <c r="AW71" s="213"/>
      <c r="AX71" s="213"/>
      <c r="AY71" s="213"/>
      <c r="AZ71" s="213"/>
      <c r="BA71" s="213"/>
      <c r="BB71" s="213"/>
    </row>
    <row r="72">
      <c r="A72" s="229" t="s">
        <v>871</v>
      </c>
      <c r="B72" s="12"/>
      <c r="C72" s="202"/>
      <c r="D72" s="199"/>
      <c r="E72" s="211"/>
      <c r="F72" s="201"/>
      <c r="G72" s="199"/>
      <c r="H72" s="199"/>
      <c r="I72" s="199"/>
      <c r="J72" s="212"/>
      <c r="K72" s="212"/>
      <c r="L72" s="212"/>
      <c r="M72" s="212"/>
      <c r="N72" s="212"/>
      <c r="O72" s="212"/>
      <c r="P72" s="212"/>
      <c r="Q72" s="212"/>
      <c r="R72" s="212"/>
      <c r="S72" s="212"/>
      <c r="T72" s="212"/>
      <c r="U72" s="212"/>
      <c r="V72" s="212"/>
      <c r="W72" s="212"/>
      <c r="X72" s="212"/>
      <c r="Y72" s="212"/>
      <c r="Z72" s="204"/>
      <c r="AA72" s="204"/>
      <c r="AB72" s="204"/>
      <c r="AC72" s="204"/>
      <c r="AD72" s="204"/>
      <c r="AE72" s="212"/>
      <c r="AF72" s="213"/>
      <c r="AG72" s="213"/>
      <c r="AH72" s="213"/>
      <c r="AI72" s="213"/>
      <c r="AJ72" s="213"/>
      <c r="AK72" s="213"/>
      <c r="AL72" s="213"/>
      <c r="AM72" s="213"/>
      <c r="AN72" s="213"/>
      <c r="AO72" s="213"/>
      <c r="AP72" s="213"/>
      <c r="AQ72" s="213"/>
      <c r="AR72" s="213"/>
      <c r="AS72" s="213"/>
      <c r="AT72" s="213"/>
      <c r="AU72" s="213"/>
      <c r="AV72" s="213"/>
      <c r="AW72" s="213"/>
      <c r="AX72" s="213"/>
      <c r="AY72" s="213"/>
      <c r="AZ72" s="213"/>
      <c r="BA72" s="213"/>
      <c r="BB72" s="213"/>
    </row>
    <row r="73">
      <c r="A73" s="229" t="s">
        <v>398</v>
      </c>
      <c r="B73" s="12"/>
      <c r="C73" s="202"/>
      <c r="D73" s="199"/>
      <c r="E73" s="211"/>
      <c r="F73" s="201"/>
      <c r="G73" s="199"/>
      <c r="H73" s="199"/>
      <c r="I73" s="199"/>
      <c r="J73" s="212"/>
      <c r="K73" s="212"/>
      <c r="L73" s="212"/>
      <c r="M73" s="212"/>
      <c r="N73" s="212"/>
      <c r="O73" s="212"/>
      <c r="P73" s="212"/>
      <c r="Q73" s="212"/>
      <c r="R73" s="212"/>
      <c r="S73" s="212"/>
      <c r="T73" s="212"/>
      <c r="U73" s="212"/>
      <c r="V73" s="212"/>
      <c r="W73" s="212"/>
      <c r="X73" s="212"/>
      <c r="Y73" s="212"/>
      <c r="Z73" s="204"/>
      <c r="AA73" s="204"/>
      <c r="AB73" s="204"/>
      <c r="AC73" s="204"/>
      <c r="AD73" s="204"/>
      <c r="AE73" s="212"/>
      <c r="AF73" s="213"/>
      <c r="AG73" s="213"/>
      <c r="AH73" s="213"/>
      <c r="AI73" s="213"/>
      <c r="AJ73" s="213"/>
      <c r="AK73" s="213"/>
      <c r="AL73" s="213"/>
      <c r="AM73" s="213"/>
      <c r="AN73" s="213"/>
      <c r="AO73" s="213"/>
      <c r="AP73" s="213"/>
      <c r="AQ73" s="213"/>
      <c r="AR73" s="213"/>
      <c r="AS73" s="213"/>
      <c r="AT73" s="213"/>
      <c r="AU73" s="213"/>
      <c r="AV73" s="213"/>
      <c r="AW73" s="213"/>
      <c r="AX73" s="213"/>
      <c r="AY73" s="213"/>
      <c r="AZ73" s="213"/>
      <c r="BA73" s="213"/>
      <c r="BB73" s="213"/>
    </row>
    <row r="74">
      <c r="A74" s="229" t="s">
        <v>885</v>
      </c>
      <c r="B74" s="12"/>
      <c r="C74" s="202"/>
      <c r="D74" s="199"/>
      <c r="E74" s="211"/>
      <c r="F74" s="201"/>
      <c r="G74" s="199"/>
      <c r="H74" s="199"/>
      <c r="I74" s="199"/>
      <c r="J74" s="212"/>
      <c r="K74" s="212"/>
      <c r="L74" s="212"/>
      <c r="M74" s="212"/>
      <c r="N74" s="212"/>
      <c r="O74" s="212"/>
      <c r="P74" s="212"/>
      <c r="Q74" s="212"/>
      <c r="R74" s="212"/>
      <c r="S74" s="212"/>
      <c r="T74" s="212"/>
      <c r="U74" s="212"/>
      <c r="V74" s="212"/>
      <c r="W74" s="212"/>
      <c r="X74" s="212"/>
      <c r="Y74" s="212"/>
      <c r="Z74" s="204"/>
      <c r="AA74" s="204"/>
      <c r="AB74" s="204"/>
      <c r="AC74" s="204"/>
      <c r="AD74" s="204"/>
      <c r="AE74" s="212"/>
      <c r="AF74" s="213"/>
      <c r="AG74" s="213"/>
      <c r="AH74" s="213"/>
      <c r="AI74" s="213"/>
      <c r="AJ74" s="213"/>
      <c r="AK74" s="213"/>
      <c r="AL74" s="213"/>
      <c r="AM74" s="213"/>
      <c r="AN74" s="213"/>
      <c r="AO74" s="213"/>
      <c r="AP74" s="213"/>
      <c r="AQ74" s="213"/>
      <c r="AR74" s="213"/>
      <c r="AS74" s="213"/>
      <c r="AT74" s="213"/>
      <c r="AU74" s="213"/>
      <c r="AV74" s="213"/>
      <c r="AW74" s="213"/>
      <c r="AX74" s="213"/>
      <c r="AY74" s="213"/>
      <c r="AZ74" s="213"/>
      <c r="BA74" s="213"/>
      <c r="BB74" s="213"/>
    </row>
    <row r="75">
      <c r="A75" s="229" t="s">
        <v>101</v>
      </c>
      <c r="B75" s="12"/>
      <c r="C75" s="202"/>
      <c r="D75" s="199"/>
      <c r="E75" s="211"/>
      <c r="F75" s="201"/>
      <c r="G75" s="199"/>
      <c r="H75" s="199"/>
      <c r="I75" s="199"/>
      <c r="J75" s="212"/>
      <c r="K75" s="212"/>
      <c r="L75" s="212"/>
      <c r="M75" s="212"/>
      <c r="N75" s="212"/>
      <c r="O75" s="212"/>
      <c r="P75" s="212"/>
      <c r="Q75" s="212"/>
      <c r="R75" s="212"/>
      <c r="S75" s="212"/>
      <c r="T75" s="212"/>
      <c r="U75" s="212"/>
      <c r="V75" s="212"/>
      <c r="W75" s="212"/>
      <c r="X75" s="212"/>
      <c r="Y75" s="212"/>
      <c r="Z75" s="204"/>
      <c r="AA75" s="204"/>
      <c r="AB75" s="204"/>
      <c r="AC75" s="204"/>
      <c r="AD75" s="204"/>
      <c r="AE75" s="212"/>
      <c r="AF75" s="213"/>
      <c r="AG75" s="213"/>
      <c r="AH75" s="213"/>
      <c r="AI75" s="213"/>
      <c r="AJ75" s="213"/>
      <c r="AK75" s="213"/>
      <c r="AL75" s="213"/>
      <c r="AM75" s="213"/>
      <c r="AN75" s="213"/>
      <c r="AO75" s="213"/>
      <c r="AP75" s="213"/>
      <c r="AQ75" s="213"/>
      <c r="AR75" s="213"/>
      <c r="AS75" s="213"/>
      <c r="AT75" s="213"/>
      <c r="AU75" s="213"/>
      <c r="AV75" s="213"/>
      <c r="AW75" s="213"/>
      <c r="AX75" s="213"/>
      <c r="AY75" s="213"/>
      <c r="AZ75" s="213"/>
      <c r="BA75" s="213"/>
      <c r="BB75" s="213"/>
    </row>
    <row r="76">
      <c r="A76" s="229" t="s">
        <v>215</v>
      </c>
      <c r="B76" s="12"/>
      <c r="C76" s="202"/>
      <c r="D76" s="199"/>
      <c r="E76" s="211"/>
      <c r="F76" s="201"/>
      <c r="G76" s="199"/>
      <c r="H76" s="199"/>
      <c r="I76" s="199"/>
      <c r="J76" s="212"/>
      <c r="K76" s="212"/>
      <c r="L76" s="212"/>
      <c r="M76" s="212"/>
      <c r="N76" s="212"/>
      <c r="O76" s="212"/>
      <c r="P76" s="212"/>
      <c r="Q76" s="212"/>
      <c r="R76" s="212"/>
      <c r="S76" s="212"/>
      <c r="T76" s="212"/>
      <c r="U76" s="212"/>
      <c r="V76" s="212"/>
      <c r="W76" s="212"/>
      <c r="X76" s="212"/>
      <c r="Y76" s="212"/>
      <c r="Z76" s="204"/>
      <c r="AA76" s="204"/>
      <c r="AB76" s="204"/>
      <c r="AC76" s="204"/>
      <c r="AD76" s="204"/>
      <c r="AE76" s="212"/>
      <c r="AF76" s="213"/>
      <c r="AG76" s="213"/>
      <c r="AH76" s="213"/>
      <c r="AI76" s="213"/>
      <c r="AJ76" s="213"/>
      <c r="AK76" s="213"/>
      <c r="AL76" s="213"/>
      <c r="AM76" s="213"/>
      <c r="AN76" s="213"/>
      <c r="AO76" s="213"/>
      <c r="AP76" s="213"/>
      <c r="AQ76" s="213"/>
      <c r="AR76" s="213"/>
      <c r="AS76" s="213"/>
      <c r="AT76" s="213"/>
      <c r="AU76" s="213"/>
      <c r="AV76" s="213"/>
      <c r="AW76" s="213"/>
      <c r="AX76" s="213"/>
      <c r="AY76" s="213"/>
      <c r="AZ76" s="213"/>
      <c r="BA76" s="213"/>
      <c r="BB76" s="213"/>
    </row>
    <row r="77">
      <c r="A77" s="229" t="s">
        <v>156</v>
      </c>
      <c r="B77" s="12"/>
      <c r="C77" s="202"/>
      <c r="D77" s="199"/>
      <c r="E77" s="211"/>
      <c r="F77" s="201"/>
      <c r="G77" s="199"/>
      <c r="H77" s="199"/>
      <c r="I77" s="199"/>
      <c r="J77" s="212"/>
      <c r="K77" s="212"/>
      <c r="L77" s="212"/>
      <c r="M77" s="212"/>
      <c r="N77" s="212"/>
      <c r="O77" s="212"/>
      <c r="P77" s="212"/>
      <c r="Q77" s="212"/>
      <c r="R77" s="212"/>
      <c r="S77" s="212"/>
      <c r="T77" s="212"/>
      <c r="U77" s="212"/>
      <c r="V77" s="212"/>
      <c r="W77" s="212"/>
      <c r="X77" s="212"/>
      <c r="Y77" s="212"/>
      <c r="Z77" s="204"/>
      <c r="AA77" s="204"/>
      <c r="AB77" s="204"/>
      <c r="AC77" s="204"/>
      <c r="AD77" s="204"/>
      <c r="AE77" s="212"/>
      <c r="AF77" s="213"/>
      <c r="AG77" s="213"/>
      <c r="AH77" s="213"/>
      <c r="AI77" s="213"/>
      <c r="AJ77" s="213"/>
      <c r="AK77" s="213"/>
      <c r="AL77" s="213"/>
      <c r="AM77" s="213"/>
      <c r="AN77" s="213"/>
      <c r="AO77" s="213"/>
      <c r="AP77" s="213"/>
      <c r="AQ77" s="213"/>
      <c r="AR77" s="213"/>
      <c r="AS77" s="213"/>
      <c r="AT77" s="213"/>
      <c r="AU77" s="213"/>
      <c r="AV77" s="213"/>
      <c r="AW77" s="213"/>
      <c r="AX77" s="213"/>
      <c r="AY77" s="213"/>
      <c r="AZ77" s="213"/>
      <c r="BA77" s="213"/>
      <c r="BB77" s="213"/>
    </row>
    <row r="78">
      <c r="A78" s="229" t="s">
        <v>287</v>
      </c>
      <c r="B78" s="12"/>
      <c r="C78" s="202"/>
      <c r="D78" s="199"/>
      <c r="E78" s="211"/>
      <c r="F78" s="201"/>
      <c r="G78" s="199"/>
      <c r="H78" s="199"/>
      <c r="I78" s="199"/>
      <c r="J78" s="212"/>
      <c r="K78" s="212"/>
      <c r="L78" s="212"/>
      <c r="M78" s="212"/>
      <c r="N78" s="212"/>
      <c r="O78" s="212"/>
      <c r="P78" s="212"/>
      <c r="Q78" s="212"/>
      <c r="R78" s="212"/>
      <c r="S78" s="212"/>
      <c r="T78" s="212"/>
      <c r="U78" s="212"/>
      <c r="V78" s="212"/>
      <c r="W78" s="212"/>
      <c r="X78" s="212"/>
      <c r="Y78" s="212"/>
      <c r="Z78" s="204"/>
      <c r="AA78" s="204"/>
      <c r="AB78" s="204"/>
      <c r="AC78" s="204"/>
      <c r="AD78" s="204"/>
      <c r="AE78" s="212"/>
      <c r="AF78" s="213"/>
      <c r="AG78" s="213"/>
      <c r="AH78" s="213"/>
      <c r="AI78" s="213"/>
      <c r="AJ78" s="213"/>
      <c r="AK78" s="213"/>
      <c r="AL78" s="213"/>
      <c r="AM78" s="213"/>
      <c r="AN78" s="213"/>
      <c r="AO78" s="213"/>
      <c r="AP78" s="213"/>
      <c r="AQ78" s="213"/>
      <c r="AR78" s="213"/>
      <c r="AS78" s="213"/>
      <c r="AT78" s="213"/>
      <c r="AU78" s="213"/>
      <c r="AV78" s="213"/>
      <c r="AW78" s="213"/>
      <c r="AX78" s="213"/>
      <c r="AY78" s="213"/>
      <c r="AZ78" s="213"/>
      <c r="BA78" s="213"/>
      <c r="BB78" s="213"/>
    </row>
    <row r="79">
      <c r="A79" s="229" t="s">
        <v>976</v>
      </c>
      <c r="B79" s="12"/>
      <c r="C79" s="202"/>
      <c r="D79" s="199"/>
      <c r="E79" s="211"/>
      <c r="F79" s="201"/>
      <c r="G79" s="199"/>
      <c r="H79" s="199"/>
      <c r="I79" s="199"/>
      <c r="J79" s="212"/>
      <c r="K79" s="212"/>
      <c r="L79" s="212"/>
      <c r="M79" s="212"/>
      <c r="N79" s="212"/>
      <c r="O79" s="212"/>
      <c r="P79" s="212"/>
      <c r="Q79" s="212"/>
      <c r="R79" s="212"/>
      <c r="S79" s="212"/>
      <c r="T79" s="212"/>
      <c r="U79" s="212"/>
      <c r="V79" s="212"/>
      <c r="W79" s="212"/>
      <c r="X79" s="212"/>
      <c r="Y79" s="212"/>
      <c r="Z79" s="204"/>
      <c r="AA79" s="204"/>
      <c r="AB79" s="204"/>
      <c r="AC79" s="204"/>
      <c r="AD79" s="204"/>
      <c r="AE79" s="212"/>
      <c r="AF79" s="213"/>
      <c r="AG79" s="213"/>
      <c r="AH79" s="213"/>
      <c r="AI79" s="213"/>
      <c r="AJ79" s="213"/>
      <c r="AK79" s="213"/>
      <c r="AL79" s="213"/>
      <c r="AM79" s="213"/>
      <c r="AN79" s="213"/>
      <c r="AO79" s="213"/>
      <c r="AP79" s="213"/>
      <c r="AQ79" s="213"/>
      <c r="AR79" s="213"/>
      <c r="AS79" s="213"/>
      <c r="AT79" s="213"/>
      <c r="AU79" s="213"/>
      <c r="AV79" s="213"/>
      <c r="AW79" s="213"/>
      <c r="AX79" s="213"/>
      <c r="AY79" s="213"/>
      <c r="AZ79" s="213"/>
      <c r="BA79" s="213"/>
      <c r="BB79" s="213"/>
    </row>
    <row r="80">
      <c r="A80" s="229" t="s">
        <v>979</v>
      </c>
      <c r="B80" s="12"/>
      <c r="C80" s="202"/>
      <c r="D80" s="199"/>
      <c r="E80" s="211"/>
      <c r="F80" s="201"/>
      <c r="G80" s="199"/>
      <c r="H80" s="199"/>
      <c r="I80" s="199"/>
      <c r="J80" s="212"/>
      <c r="K80" s="212"/>
      <c r="L80" s="212"/>
      <c r="M80" s="212"/>
      <c r="N80" s="212"/>
      <c r="O80" s="212"/>
      <c r="P80" s="212"/>
      <c r="Q80" s="212"/>
      <c r="R80" s="212"/>
      <c r="S80" s="212"/>
      <c r="T80" s="212"/>
      <c r="U80" s="212"/>
      <c r="V80" s="212"/>
      <c r="W80" s="212"/>
      <c r="X80" s="212"/>
      <c r="Y80" s="212"/>
      <c r="Z80" s="204"/>
      <c r="AA80" s="204"/>
      <c r="AB80" s="204"/>
      <c r="AC80" s="204"/>
      <c r="AD80" s="204"/>
      <c r="AE80" s="212"/>
      <c r="AF80" s="213"/>
      <c r="AG80" s="213"/>
      <c r="AH80" s="213"/>
      <c r="AI80" s="213"/>
      <c r="AJ80" s="213"/>
      <c r="AK80" s="213"/>
      <c r="AL80" s="213"/>
      <c r="AM80" s="213"/>
      <c r="AN80" s="213"/>
      <c r="AO80" s="213"/>
      <c r="AP80" s="213"/>
      <c r="AQ80" s="213"/>
      <c r="AR80" s="213"/>
      <c r="AS80" s="213"/>
      <c r="AT80" s="213"/>
      <c r="AU80" s="213"/>
      <c r="AV80" s="213"/>
      <c r="AW80" s="213"/>
      <c r="AX80" s="213"/>
      <c r="AY80" s="213"/>
      <c r="AZ80" s="213"/>
      <c r="BA80" s="213"/>
      <c r="BB80" s="213"/>
    </row>
    <row r="81">
      <c r="A81" s="229" t="s">
        <v>107</v>
      </c>
      <c r="B81" s="12"/>
      <c r="C81" s="202"/>
      <c r="D81" s="199"/>
      <c r="E81" s="211"/>
      <c r="F81" s="201"/>
      <c r="G81" s="199"/>
      <c r="H81" s="199"/>
      <c r="I81" s="199"/>
      <c r="J81" s="212"/>
      <c r="K81" s="212"/>
      <c r="L81" s="212"/>
      <c r="M81" s="212"/>
      <c r="N81" s="212"/>
      <c r="O81" s="212"/>
      <c r="P81" s="212"/>
      <c r="Q81" s="212"/>
      <c r="R81" s="212"/>
      <c r="S81" s="212"/>
      <c r="T81" s="212"/>
      <c r="U81" s="212"/>
      <c r="V81" s="212"/>
      <c r="W81" s="212"/>
      <c r="X81" s="212"/>
      <c r="Y81" s="212"/>
      <c r="Z81" s="204"/>
      <c r="AA81" s="204"/>
      <c r="AB81" s="204"/>
      <c r="AC81" s="204"/>
      <c r="AD81" s="204"/>
      <c r="AE81" s="212"/>
      <c r="AF81" s="213"/>
      <c r="AG81" s="213"/>
      <c r="AH81" s="213"/>
      <c r="AI81" s="213"/>
      <c r="AJ81" s="213"/>
      <c r="AK81" s="213"/>
      <c r="AL81" s="213"/>
      <c r="AM81" s="213"/>
      <c r="AN81" s="213"/>
      <c r="AO81" s="213"/>
      <c r="AP81" s="213"/>
      <c r="AQ81" s="213"/>
      <c r="AR81" s="213"/>
      <c r="AS81" s="213"/>
      <c r="AT81" s="213"/>
      <c r="AU81" s="213"/>
      <c r="AV81" s="213"/>
      <c r="AW81" s="213"/>
      <c r="AX81" s="213"/>
      <c r="AY81" s="213"/>
      <c r="AZ81" s="213"/>
      <c r="BA81" s="213"/>
      <c r="BB81" s="213"/>
    </row>
    <row r="82">
      <c r="A82" s="229" t="s">
        <v>1043</v>
      </c>
      <c r="B82" s="12"/>
      <c r="C82" s="202"/>
      <c r="D82" s="199"/>
      <c r="E82" s="211"/>
      <c r="F82" s="201"/>
      <c r="G82" s="199"/>
      <c r="H82" s="199"/>
      <c r="I82" s="199"/>
      <c r="J82" s="212"/>
      <c r="K82" s="212"/>
      <c r="L82" s="212"/>
      <c r="M82" s="212"/>
      <c r="N82" s="212"/>
      <c r="O82" s="212"/>
      <c r="P82" s="212"/>
      <c r="Q82" s="212"/>
      <c r="R82" s="212"/>
      <c r="S82" s="212"/>
      <c r="T82" s="212"/>
      <c r="U82" s="212"/>
      <c r="V82" s="212"/>
      <c r="W82" s="212"/>
      <c r="X82" s="212"/>
      <c r="Y82" s="212"/>
      <c r="Z82" s="204"/>
      <c r="AA82" s="204"/>
      <c r="AB82" s="204"/>
      <c r="AC82" s="204"/>
      <c r="AD82" s="204"/>
      <c r="AE82" s="212"/>
      <c r="AF82" s="213"/>
      <c r="AG82" s="213"/>
      <c r="AH82" s="213"/>
      <c r="AI82" s="213"/>
      <c r="AJ82" s="213"/>
      <c r="AK82" s="213"/>
      <c r="AL82" s="213"/>
      <c r="AM82" s="213"/>
      <c r="AN82" s="213"/>
      <c r="AO82" s="213"/>
      <c r="AP82" s="213"/>
      <c r="AQ82" s="213"/>
      <c r="AR82" s="213"/>
      <c r="AS82" s="213"/>
      <c r="AT82" s="213"/>
      <c r="AU82" s="213"/>
      <c r="AV82" s="213"/>
      <c r="AW82" s="213"/>
      <c r="AX82" s="213"/>
      <c r="AY82" s="213"/>
      <c r="AZ82" s="213"/>
      <c r="BA82" s="213"/>
      <c r="BB82" s="213"/>
    </row>
    <row r="83">
      <c r="A83" s="229" t="s">
        <v>1054</v>
      </c>
      <c r="B83" s="12"/>
      <c r="C83" s="202"/>
      <c r="D83" s="199"/>
      <c r="E83" s="211"/>
      <c r="F83" s="201"/>
      <c r="G83" s="199"/>
      <c r="H83" s="199"/>
      <c r="I83" s="199"/>
      <c r="J83" s="212"/>
      <c r="K83" s="212"/>
      <c r="L83" s="212"/>
      <c r="M83" s="212"/>
      <c r="N83" s="212"/>
      <c r="O83" s="212"/>
      <c r="P83" s="212"/>
      <c r="Q83" s="212"/>
      <c r="R83" s="212"/>
      <c r="S83" s="212"/>
      <c r="T83" s="212"/>
      <c r="U83" s="212"/>
      <c r="V83" s="212"/>
      <c r="W83" s="212"/>
      <c r="X83" s="212"/>
      <c r="Y83" s="212"/>
      <c r="Z83" s="204"/>
      <c r="AA83" s="204"/>
      <c r="AB83" s="204"/>
      <c r="AC83" s="204"/>
      <c r="AD83" s="204"/>
      <c r="AE83" s="212"/>
      <c r="AF83" s="213"/>
      <c r="AG83" s="213"/>
      <c r="AH83" s="213"/>
      <c r="AI83" s="213"/>
      <c r="AJ83" s="213"/>
      <c r="AK83" s="213"/>
      <c r="AL83" s="213"/>
      <c r="AM83" s="213"/>
      <c r="AN83" s="213"/>
      <c r="AO83" s="213"/>
      <c r="AP83" s="213"/>
      <c r="AQ83" s="213"/>
      <c r="AR83" s="213"/>
      <c r="AS83" s="213"/>
      <c r="AT83" s="213"/>
      <c r="AU83" s="213"/>
      <c r="AV83" s="213"/>
      <c r="AW83" s="213"/>
      <c r="AX83" s="213"/>
      <c r="AY83" s="213"/>
      <c r="AZ83" s="213"/>
      <c r="BA83" s="213"/>
      <c r="BB83" s="213"/>
    </row>
    <row r="84">
      <c r="A84" s="229" t="s">
        <v>1079</v>
      </c>
      <c r="B84" s="12"/>
      <c r="C84" s="202"/>
      <c r="D84" s="199"/>
      <c r="E84" s="211"/>
      <c r="F84" s="201"/>
      <c r="G84" s="199"/>
      <c r="H84" s="199"/>
      <c r="I84" s="199"/>
      <c r="J84" s="212"/>
      <c r="K84" s="212"/>
      <c r="L84" s="212"/>
      <c r="M84" s="212"/>
      <c r="N84" s="212"/>
      <c r="O84" s="212"/>
      <c r="P84" s="212"/>
      <c r="Q84" s="212"/>
      <c r="R84" s="212"/>
      <c r="S84" s="212"/>
      <c r="T84" s="212"/>
      <c r="U84" s="212"/>
      <c r="V84" s="212"/>
      <c r="W84" s="212"/>
      <c r="X84" s="212"/>
      <c r="Y84" s="212"/>
      <c r="Z84" s="204"/>
      <c r="AA84" s="204"/>
      <c r="AB84" s="204"/>
      <c r="AC84" s="204"/>
      <c r="AD84" s="204"/>
      <c r="AE84" s="212"/>
      <c r="AF84" s="213"/>
      <c r="AG84" s="213"/>
      <c r="AH84" s="213"/>
      <c r="AI84" s="213"/>
      <c r="AJ84" s="213"/>
      <c r="AK84" s="213"/>
      <c r="AL84" s="213"/>
      <c r="AM84" s="213"/>
      <c r="AN84" s="213"/>
      <c r="AO84" s="213"/>
      <c r="AP84" s="213"/>
      <c r="AQ84" s="213"/>
      <c r="AR84" s="213"/>
      <c r="AS84" s="213"/>
      <c r="AT84" s="213"/>
      <c r="AU84" s="213"/>
      <c r="AV84" s="213"/>
      <c r="AW84" s="213"/>
      <c r="AX84" s="213"/>
      <c r="AY84" s="213"/>
      <c r="AZ84" s="213"/>
      <c r="BA84" s="213"/>
      <c r="BB84" s="213"/>
    </row>
    <row r="85">
      <c r="A85" s="229" t="s">
        <v>1098</v>
      </c>
      <c r="B85" s="12"/>
      <c r="C85" s="202"/>
      <c r="D85" s="199"/>
      <c r="E85" s="211"/>
      <c r="F85" s="201"/>
      <c r="G85" s="199"/>
      <c r="H85" s="199"/>
      <c r="I85" s="199"/>
      <c r="J85" s="212"/>
      <c r="K85" s="212"/>
      <c r="L85" s="212"/>
      <c r="M85" s="212"/>
      <c r="N85" s="212"/>
      <c r="O85" s="212"/>
      <c r="P85" s="212"/>
      <c r="Q85" s="212"/>
      <c r="R85" s="212"/>
      <c r="S85" s="212"/>
      <c r="T85" s="212"/>
      <c r="U85" s="212"/>
      <c r="V85" s="212"/>
      <c r="W85" s="212"/>
      <c r="X85" s="212"/>
      <c r="Y85" s="212"/>
      <c r="Z85" s="204"/>
      <c r="AA85" s="204"/>
      <c r="AB85" s="204"/>
      <c r="AC85" s="204"/>
      <c r="AD85" s="204"/>
      <c r="AE85" s="212"/>
      <c r="AF85" s="213"/>
      <c r="AG85" s="213"/>
      <c r="AH85" s="213"/>
      <c r="AI85" s="213"/>
      <c r="AJ85" s="213"/>
      <c r="AK85" s="213"/>
      <c r="AL85" s="213"/>
      <c r="AM85" s="213"/>
      <c r="AN85" s="213"/>
      <c r="AO85" s="213"/>
      <c r="AP85" s="213"/>
      <c r="AQ85" s="213"/>
      <c r="AR85" s="213"/>
      <c r="AS85" s="213"/>
      <c r="AT85" s="213"/>
      <c r="AU85" s="213"/>
      <c r="AV85" s="213"/>
      <c r="AW85" s="213"/>
      <c r="AX85" s="213"/>
      <c r="AY85" s="213"/>
      <c r="AZ85" s="213"/>
      <c r="BA85" s="213"/>
      <c r="BB85" s="213"/>
    </row>
    <row r="86">
      <c r="A86" s="229" t="s">
        <v>1129</v>
      </c>
      <c r="B86" s="12"/>
      <c r="C86" s="202"/>
      <c r="D86" s="199"/>
      <c r="E86" s="211"/>
      <c r="F86" s="201"/>
      <c r="G86" s="199"/>
      <c r="H86" s="199"/>
      <c r="I86" s="199"/>
      <c r="J86" s="212"/>
      <c r="K86" s="212"/>
      <c r="L86" s="212"/>
      <c r="M86" s="212"/>
      <c r="N86" s="212"/>
      <c r="O86" s="212"/>
      <c r="P86" s="212"/>
      <c r="Q86" s="212"/>
      <c r="R86" s="212"/>
      <c r="S86" s="212"/>
      <c r="T86" s="212"/>
      <c r="U86" s="212"/>
      <c r="V86" s="212"/>
      <c r="W86" s="212"/>
      <c r="X86" s="212"/>
      <c r="Y86" s="212"/>
      <c r="Z86" s="204"/>
      <c r="AA86" s="204"/>
      <c r="AB86" s="204"/>
      <c r="AC86" s="204"/>
      <c r="AD86" s="204"/>
      <c r="AE86" s="212"/>
      <c r="AF86" s="213"/>
      <c r="AG86" s="213"/>
      <c r="AH86" s="213"/>
      <c r="AI86" s="213"/>
      <c r="AJ86" s="213"/>
      <c r="AK86" s="213"/>
      <c r="AL86" s="213"/>
      <c r="AM86" s="213"/>
      <c r="AN86" s="213"/>
      <c r="AO86" s="213"/>
      <c r="AP86" s="213"/>
      <c r="AQ86" s="213"/>
      <c r="AR86" s="213"/>
      <c r="AS86" s="213"/>
      <c r="AT86" s="213"/>
      <c r="AU86" s="213"/>
      <c r="AV86" s="213"/>
      <c r="AW86" s="213"/>
      <c r="AX86" s="213"/>
      <c r="AY86" s="213"/>
      <c r="AZ86" s="213"/>
      <c r="BA86" s="213"/>
      <c r="BB86" s="213"/>
    </row>
    <row r="87">
      <c r="A87" s="229" t="s">
        <v>1140</v>
      </c>
      <c r="B87" s="12"/>
      <c r="C87" s="202"/>
      <c r="D87" s="199"/>
      <c r="E87" s="211"/>
      <c r="F87" s="201"/>
      <c r="G87" s="199"/>
      <c r="H87" s="199"/>
      <c r="I87" s="199"/>
      <c r="J87" s="212"/>
      <c r="K87" s="212"/>
      <c r="L87" s="212"/>
      <c r="M87" s="212"/>
      <c r="N87" s="212"/>
      <c r="O87" s="212"/>
      <c r="P87" s="212"/>
      <c r="Q87" s="212"/>
      <c r="R87" s="212"/>
      <c r="S87" s="212"/>
      <c r="T87" s="212"/>
      <c r="U87" s="212"/>
      <c r="V87" s="212"/>
      <c r="W87" s="212"/>
      <c r="X87" s="212"/>
      <c r="Y87" s="212"/>
      <c r="Z87" s="204"/>
      <c r="AA87" s="204"/>
      <c r="AB87" s="204"/>
      <c r="AC87" s="204"/>
      <c r="AD87" s="204"/>
      <c r="AE87" s="212"/>
      <c r="AF87" s="213"/>
      <c r="AG87" s="213"/>
      <c r="AH87" s="213"/>
      <c r="AI87" s="213"/>
      <c r="AJ87" s="213"/>
      <c r="AK87" s="213"/>
      <c r="AL87" s="213"/>
      <c r="AM87" s="213"/>
      <c r="AN87" s="213"/>
      <c r="AO87" s="213"/>
      <c r="AP87" s="213"/>
      <c r="AQ87" s="213"/>
      <c r="AR87" s="213"/>
      <c r="AS87" s="213"/>
      <c r="AT87" s="213"/>
      <c r="AU87" s="213"/>
      <c r="AV87" s="213"/>
      <c r="AW87" s="213"/>
      <c r="AX87" s="213"/>
      <c r="AY87" s="213"/>
      <c r="AZ87" s="213"/>
      <c r="BA87" s="213"/>
      <c r="BB87" s="213"/>
    </row>
    <row r="88">
      <c r="A88" s="229" t="s">
        <v>1154</v>
      </c>
      <c r="B88" s="12"/>
      <c r="C88" s="202"/>
      <c r="D88" s="199"/>
      <c r="E88" s="211"/>
      <c r="F88" s="201"/>
      <c r="G88" s="199"/>
      <c r="H88" s="199"/>
      <c r="I88" s="199"/>
      <c r="J88" s="212"/>
      <c r="K88" s="212"/>
      <c r="L88" s="212"/>
      <c r="M88" s="212"/>
      <c r="N88" s="212"/>
      <c r="O88" s="212"/>
      <c r="P88" s="212"/>
      <c r="Q88" s="212"/>
      <c r="R88" s="212"/>
      <c r="S88" s="212"/>
      <c r="T88" s="212"/>
      <c r="U88" s="212"/>
      <c r="V88" s="212"/>
      <c r="W88" s="212"/>
      <c r="X88" s="212"/>
      <c r="Y88" s="212"/>
      <c r="Z88" s="204"/>
      <c r="AA88" s="204"/>
      <c r="AB88" s="204"/>
      <c r="AC88" s="204"/>
      <c r="AD88" s="204"/>
      <c r="AE88" s="212"/>
      <c r="AF88" s="213"/>
      <c r="AG88" s="213"/>
      <c r="AH88" s="213"/>
      <c r="AI88" s="213"/>
      <c r="AJ88" s="213"/>
      <c r="AK88" s="213"/>
      <c r="AL88" s="213"/>
      <c r="AM88" s="213"/>
      <c r="AN88" s="213"/>
      <c r="AO88" s="213"/>
      <c r="AP88" s="213"/>
      <c r="AQ88" s="213"/>
      <c r="AR88" s="213"/>
      <c r="AS88" s="213"/>
      <c r="AT88" s="213"/>
      <c r="AU88" s="213"/>
      <c r="AV88" s="213"/>
      <c r="AW88" s="213"/>
      <c r="AX88" s="213"/>
      <c r="AY88" s="213"/>
      <c r="AZ88" s="213"/>
      <c r="BA88" s="213"/>
      <c r="BB88" s="213"/>
    </row>
    <row r="89">
      <c r="A89" s="229" t="s">
        <v>1159</v>
      </c>
      <c r="B89" s="12"/>
      <c r="C89" s="202"/>
      <c r="D89" s="199"/>
      <c r="E89" s="211"/>
      <c r="F89" s="201"/>
      <c r="G89" s="199"/>
      <c r="H89" s="199"/>
      <c r="I89" s="199"/>
      <c r="J89" s="212"/>
      <c r="K89" s="212"/>
      <c r="L89" s="212"/>
      <c r="M89" s="212"/>
      <c r="N89" s="212"/>
      <c r="O89" s="212"/>
      <c r="P89" s="212"/>
      <c r="Q89" s="212"/>
      <c r="R89" s="212"/>
      <c r="S89" s="212"/>
      <c r="T89" s="212"/>
      <c r="U89" s="212"/>
      <c r="V89" s="212"/>
      <c r="W89" s="212"/>
      <c r="X89" s="212"/>
      <c r="Y89" s="212"/>
      <c r="Z89" s="204"/>
      <c r="AA89" s="204"/>
      <c r="AB89" s="204"/>
      <c r="AC89" s="204"/>
      <c r="AD89" s="204"/>
      <c r="AE89" s="212"/>
      <c r="AF89" s="213"/>
      <c r="AG89" s="213"/>
      <c r="AH89" s="213"/>
      <c r="AI89" s="213"/>
      <c r="AJ89" s="213"/>
      <c r="AK89" s="213"/>
      <c r="AL89" s="213"/>
      <c r="AM89" s="213"/>
      <c r="AN89" s="213"/>
      <c r="AO89" s="213"/>
      <c r="AP89" s="213"/>
      <c r="AQ89" s="213"/>
      <c r="AR89" s="213"/>
      <c r="AS89" s="213"/>
      <c r="AT89" s="213"/>
      <c r="AU89" s="213"/>
      <c r="AV89" s="213"/>
      <c r="AW89" s="213"/>
      <c r="AX89" s="213"/>
      <c r="AY89" s="213"/>
      <c r="AZ89" s="213"/>
      <c r="BA89" s="213"/>
      <c r="BB89" s="213"/>
    </row>
    <row r="90">
      <c r="A90" s="229" t="s">
        <v>98</v>
      </c>
      <c r="B90" s="12"/>
      <c r="C90" s="202"/>
      <c r="D90" s="199"/>
      <c r="E90" s="211"/>
      <c r="F90" s="201"/>
      <c r="G90" s="199"/>
      <c r="H90" s="199"/>
      <c r="I90" s="199"/>
      <c r="J90" s="212"/>
      <c r="K90" s="212"/>
      <c r="L90" s="212"/>
      <c r="M90" s="212"/>
      <c r="N90" s="212"/>
      <c r="O90" s="212"/>
      <c r="P90" s="212"/>
      <c r="Q90" s="212"/>
      <c r="R90" s="212"/>
      <c r="S90" s="212"/>
      <c r="T90" s="212"/>
      <c r="U90" s="212"/>
      <c r="V90" s="212"/>
      <c r="W90" s="212"/>
      <c r="X90" s="212"/>
      <c r="Y90" s="212"/>
      <c r="Z90" s="204"/>
      <c r="AA90" s="204"/>
      <c r="AB90" s="204"/>
      <c r="AC90" s="204"/>
      <c r="AD90" s="204"/>
      <c r="AE90" s="212"/>
      <c r="AF90" s="213"/>
      <c r="AG90" s="213"/>
      <c r="AH90" s="213"/>
      <c r="AI90" s="213"/>
      <c r="AJ90" s="213"/>
      <c r="AK90" s="213"/>
      <c r="AL90" s="213"/>
      <c r="AM90" s="213"/>
      <c r="AN90" s="213"/>
      <c r="AO90" s="213"/>
      <c r="AP90" s="213"/>
      <c r="AQ90" s="213"/>
      <c r="AR90" s="213"/>
      <c r="AS90" s="213"/>
      <c r="AT90" s="213"/>
      <c r="AU90" s="213"/>
      <c r="AV90" s="213"/>
      <c r="AW90" s="213"/>
      <c r="AX90" s="213"/>
      <c r="AY90" s="213"/>
      <c r="AZ90" s="213"/>
      <c r="BA90" s="213"/>
      <c r="BB90" s="213"/>
    </row>
    <row r="91">
      <c r="A91" s="229" t="s">
        <v>1174</v>
      </c>
      <c r="B91" s="12"/>
      <c r="C91" s="202"/>
      <c r="D91" s="199"/>
      <c r="E91" s="211"/>
      <c r="F91" s="201"/>
      <c r="G91" s="199"/>
      <c r="H91" s="199"/>
      <c r="I91" s="199"/>
      <c r="J91" s="212"/>
      <c r="K91" s="212"/>
      <c r="L91" s="212"/>
      <c r="M91" s="212"/>
      <c r="N91" s="212"/>
      <c r="O91" s="212"/>
      <c r="P91" s="212"/>
      <c r="Q91" s="212"/>
      <c r="R91" s="212"/>
      <c r="S91" s="212"/>
      <c r="T91" s="212"/>
      <c r="U91" s="212"/>
      <c r="V91" s="212"/>
      <c r="W91" s="212"/>
      <c r="X91" s="212"/>
      <c r="Y91" s="212"/>
      <c r="Z91" s="204"/>
      <c r="AA91" s="204"/>
      <c r="AB91" s="204"/>
      <c r="AC91" s="204"/>
      <c r="AD91" s="204"/>
      <c r="AE91" s="212"/>
      <c r="AF91" s="213"/>
      <c r="AG91" s="213"/>
      <c r="AH91" s="213"/>
      <c r="AI91" s="213"/>
      <c r="AJ91" s="213"/>
      <c r="AK91" s="213"/>
      <c r="AL91" s="213"/>
      <c r="AM91" s="213"/>
      <c r="AN91" s="213"/>
      <c r="AO91" s="213"/>
      <c r="AP91" s="213"/>
      <c r="AQ91" s="213"/>
      <c r="AR91" s="213"/>
      <c r="AS91" s="213"/>
      <c r="AT91" s="213"/>
      <c r="AU91" s="213"/>
      <c r="AV91" s="213"/>
      <c r="AW91" s="213"/>
      <c r="AX91" s="213"/>
      <c r="AY91" s="213"/>
      <c r="AZ91" s="213"/>
      <c r="BA91" s="213"/>
      <c r="BB91" s="213"/>
    </row>
    <row r="92">
      <c r="A92" s="229" t="s">
        <v>1184</v>
      </c>
      <c r="B92" s="12"/>
      <c r="C92" s="202"/>
      <c r="D92" s="199"/>
      <c r="E92" s="211"/>
      <c r="F92" s="201"/>
      <c r="G92" s="199"/>
      <c r="H92" s="199"/>
      <c r="I92" s="199"/>
      <c r="J92" s="212"/>
      <c r="K92" s="212"/>
      <c r="L92" s="212"/>
      <c r="M92" s="212"/>
      <c r="N92" s="212"/>
      <c r="O92" s="212"/>
      <c r="P92" s="212"/>
      <c r="Q92" s="212"/>
      <c r="R92" s="212"/>
      <c r="S92" s="212"/>
      <c r="T92" s="212"/>
      <c r="U92" s="212"/>
      <c r="V92" s="212"/>
      <c r="W92" s="212"/>
      <c r="X92" s="212"/>
      <c r="Y92" s="212"/>
      <c r="Z92" s="204"/>
      <c r="AA92" s="204"/>
      <c r="AB92" s="204"/>
      <c r="AC92" s="204"/>
      <c r="AD92" s="204"/>
      <c r="AE92" s="212"/>
      <c r="AF92" s="213"/>
      <c r="AG92" s="213"/>
      <c r="AH92" s="213"/>
      <c r="AI92" s="213"/>
      <c r="AJ92" s="213"/>
      <c r="AK92" s="213"/>
      <c r="AL92" s="213"/>
      <c r="AM92" s="213"/>
      <c r="AN92" s="213"/>
      <c r="AO92" s="213"/>
      <c r="AP92" s="213"/>
      <c r="AQ92" s="213"/>
      <c r="AR92" s="213"/>
      <c r="AS92" s="213"/>
      <c r="AT92" s="213"/>
      <c r="AU92" s="213"/>
      <c r="AV92" s="213"/>
      <c r="AW92" s="213"/>
      <c r="AX92" s="213"/>
      <c r="AY92" s="213"/>
      <c r="AZ92" s="213"/>
      <c r="BA92" s="213"/>
      <c r="BB92" s="213"/>
    </row>
    <row r="93">
      <c r="A93" s="229" t="s">
        <v>1208</v>
      </c>
      <c r="B93" s="12"/>
      <c r="C93" s="202"/>
      <c r="D93" s="199"/>
      <c r="E93" s="211"/>
      <c r="F93" s="201"/>
      <c r="G93" s="199"/>
      <c r="H93" s="199"/>
      <c r="I93" s="199"/>
      <c r="J93" s="212"/>
      <c r="K93" s="212"/>
      <c r="L93" s="212"/>
      <c r="M93" s="212"/>
      <c r="N93" s="212"/>
      <c r="O93" s="212"/>
      <c r="P93" s="212"/>
      <c r="Q93" s="212"/>
      <c r="R93" s="212"/>
      <c r="S93" s="212"/>
      <c r="T93" s="212"/>
      <c r="U93" s="212"/>
      <c r="V93" s="212"/>
      <c r="W93" s="212"/>
      <c r="X93" s="212"/>
      <c r="Y93" s="212"/>
      <c r="Z93" s="204"/>
      <c r="AA93" s="204"/>
      <c r="AB93" s="204"/>
      <c r="AC93" s="204"/>
      <c r="AD93" s="204"/>
      <c r="AE93" s="212"/>
      <c r="AF93" s="213"/>
      <c r="AG93" s="213"/>
      <c r="AH93" s="213"/>
      <c r="AI93" s="213"/>
      <c r="AJ93" s="213"/>
      <c r="AK93" s="213"/>
      <c r="AL93" s="213"/>
      <c r="AM93" s="213"/>
      <c r="AN93" s="213"/>
      <c r="AO93" s="213"/>
      <c r="AP93" s="213"/>
      <c r="AQ93" s="213"/>
      <c r="AR93" s="213"/>
      <c r="AS93" s="213"/>
      <c r="AT93" s="213"/>
      <c r="AU93" s="213"/>
      <c r="AV93" s="213"/>
      <c r="AW93" s="213"/>
      <c r="AX93" s="213"/>
      <c r="AY93" s="213"/>
      <c r="AZ93" s="213"/>
      <c r="BA93" s="213"/>
      <c r="BB93" s="213"/>
    </row>
    <row r="94">
      <c r="A94" s="229" t="s">
        <v>1212</v>
      </c>
      <c r="B94" s="12"/>
      <c r="C94" s="202"/>
      <c r="D94" s="199"/>
      <c r="E94" s="211"/>
      <c r="F94" s="201"/>
      <c r="G94" s="199"/>
      <c r="H94" s="199"/>
      <c r="I94" s="199"/>
      <c r="J94" s="212"/>
      <c r="K94" s="212"/>
      <c r="L94" s="212"/>
      <c r="M94" s="212"/>
      <c r="N94" s="212"/>
      <c r="O94" s="212"/>
      <c r="P94" s="212"/>
      <c r="Q94" s="212"/>
      <c r="R94" s="212"/>
      <c r="S94" s="212"/>
      <c r="T94" s="212"/>
      <c r="U94" s="212"/>
      <c r="V94" s="212"/>
      <c r="W94" s="212"/>
      <c r="X94" s="212"/>
      <c r="Y94" s="212"/>
      <c r="Z94" s="204"/>
      <c r="AA94" s="204"/>
      <c r="AB94" s="204"/>
      <c r="AC94" s="204"/>
      <c r="AD94" s="204"/>
      <c r="AE94" s="212"/>
      <c r="AF94" s="213"/>
      <c r="AG94" s="213"/>
      <c r="AH94" s="213"/>
      <c r="AI94" s="213"/>
      <c r="AJ94" s="213"/>
      <c r="AK94" s="213"/>
      <c r="AL94" s="213"/>
      <c r="AM94" s="213"/>
      <c r="AN94" s="213"/>
      <c r="AO94" s="213"/>
      <c r="AP94" s="213"/>
      <c r="AQ94" s="213"/>
      <c r="AR94" s="213"/>
      <c r="AS94" s="213"/>
      <c r="AT94" s="213"/>
      <c r="AU94" s="213"/>
      <c r="AV94" s="213"/>
      <c r="AW94" s="213"/>
      <c r="AX94" s="213"/>
      <c r="AY94" s="213"/>
      <c r="AZ94" s="213"/>
      <c r="BA94" s="213"/>
      <c r="BB94" s="213"/>
    </row>
    <row r="95">
      <c r="A95" s="229" t="s">
        <v>1248</v>
      </c>
      <c r="B95" s="12"/>
      <c r="C95" s="202"/>
      <c r="D95" s="199"/>
      <c r="E95" s="211"/>
      <c r="F95" s="201"/>
      <c r="G95" s="199"/>
      <c r="H95" s="199"/>
      <c r="I95" s="199"/>
      <c r="J95" s="212"/>
      <c r="K95" s="212"/>
      <c r="L95" s="212"/>
      <c r="M95" s="212"/>
      <c r="N95" s="212"/>
      <c r="O95" s="212"/>
      <c r="P95" s="212"/>
      <c r="Q95" s="212"/>
      <c r="R95" s="212"/>
      <c r="S95" s="212"/>
      <c r="T95" s="212"/>
      <c r="U95" s="212"/>
      <c r="V95" s="212"/>
      <c r="W95" s="212"/>
      <c r="X95" s="212"/>
      <c r="Y95" s="212"/>
      <c r="Z95" s="204"/>
      <c r="AA95" s="204"/>
      <c r="AB95" s="204"/>
      <c r="AC95" s="204"/>
      <c r="AD95" s="204"/>
      <c r="AE95" s="212"/>
      <c r="AF95" s="213"/>
      <c r="AG95" s="213"/>
      <c r="AH95" s="213"/>
      <c r="AI95" s="213"/>
      <c r="AJ95" s="213"/>
      <c r="AK95" s="213"/>
      <c r="AL95" s="213"/>
      <c r="AM95" s="213"/>
      <c r="AN95" s="213"/>
      <c r="AO95" s="213"/>
      <c r="AP95" s="213"/>
      <c r="AQ95" s="213"/>
      <c r="AR95" s="213"/>
      <c r="AS95" s="213"/>
      <c r="AT95" s="213"/>
      <c r="AU95" s="213"/>
      <c r="AV95" s="213"/>
      <c r="AW95" s="213"/>
      <c r="AX95" s="213"/>
      <c r="AY95" s="213"/>
      <c r="AZ95" s="213"/>
      <c r="BA95" s="213"/>
      <c r="BB95" s="213"/>
    </row>
    <row r="96">
      <c r="A96" s="229" t="s">
        <v>1257</v>
      </c>
      <c r="B96" s="12"/>
      <c r="C96" s="202"/>
      <c r="D96" s="199"/>
      <c r="E96" s="211"/>
      <c r="F96" s="201"/>
      <c r="G96" s="199"/>
      <c r="H96" s="199"/>
      <c r="I96" s="199"/>
      <c r="J96" s="212"/>
      <c r="K96" s="212"/>
      <c r="L96" s="212"/>
      <c r="M96" s="212"/>
      <c r="N96" s="212"/>
      <c r="O96" s="212"/>
      <c r="P96" s="212"/>
      <c r="Q96" s="212"/>
      <c r="R96" s="212"/>
      <c r="S96" s="212"/>
      <c r="T96" s="212"/>
      <c r="U96" s="212"/>
      <c r="V96" s="212"/>
      <c r="W96" s="212"/>
      <c r="X96" s="212"/>
      <c r="Y96" s="212"/>
      <c r="Z96" s="204"/>
      <c r="AA96" s="204"/>
      <c r="AB96" s="204"/>
      <c r="AC96" s="204"/>
      <c r="AD96" s="204"/>
      <c r="AE96" s="212"/>
      <c r="AF96" s="213"/>
      <c r="AG96" s="213"/>
      <c r="AH96" s="213"/>
      <c r="AI96" s="213"/>
      <c r="AJ96" s="213"/>
      <c r="AK96" s="213"/>
      <c r="AL96" s="213"/>
      <c r="AM96" s="213"/>
      <c r="AN96" s="213"/>
      <c r="AO96" s="213"/>
      <c r="AP96" s="213"/>
      <c r="AQ96" s="213"/>
      <c r="AR96" s="213"/>
      <c r="AS96" s="213"/>
      <c r="AT96" s="213"/>
      <c r="AU96" s="213"/>
      <c r="AV96" s="213"/>
      <c r="AW96" s="213"/>
      <c r="AX96" s="213"/>
      <c r="AY96" s="213"/>
      <c r="AZ96" s="213"/>
      <c r="BA96" s="213"/>
      <c r="BB96" s="213"/>
    </row>
    <row r="97">
      <c r="A97" s="229" t="s">
        <v>1290</v>
      </c>
      <c r="B97" s="12"/>
      <c r="C97" s="202"/>
      <c r="D97" s="199"/>
      <c r="E97" s="211"/>
      <c r="F97" s="201"/>
      <c r="G97" s="199"/>
      <c r="H97" s="199"/>
      <c r="I97" s="199"/>
      <c r="J97" s="212"/>
      <c r="K97" s="212"/>
      <c r="L97" s="212"/>
      <c r="M97" s="212"/>
      <c r="N97" s="212"/>
      <c r="O97" s="212"/>
      <c r="P97" s="212"/>
      <c r="Q97" s="212"/>
      <c r="R97" s="212"/>
      <c r="S97" s="212"/>
      <c r="T97" s="212"/>
      <c r="U97" s="212"/>
      <c r="V97" s="212"/>
      <c r="W97" s="212"/>
      <c r="X97" s="212"/>
      <c r="Y97" s="212"/>
      <c r="Z97" s="204"/>
      <c r="AA97" s="204"/>
      <c r="AB97" s="204"/>
      <c r="AC97" s="204"/>
      <c r="AD97" s="204"/>
      <c r="AE97" s="212"/>
      <c r="AF97" s="213"/>
      <c r="AG97" s="213"/>
      <c r="AH97" s="213"/>
      <c r="AI97" s="213"/>
      <c r="AJ97" s="213"/>
      <c r="AK97" s="213"/>
      <c r="AL97" s="213"/>
      <c r="AM97" s="213"/>
      <c r="AN97" s="213"/>
      <c r="AO97" s="213"/>
      <c r="AP97" s="213"/>
      <c r="AQ97" s="213"/>
      <c r="AR97" s="213"/>
      <c r="AS97" s="213"/>
      <c r="AT97" s="213"/>
      <c r="AU97" s="213"/>
      <c r="AV97" s="213"/>
      <c r="AW97" s="213"/>
      <c r="AX97" s="213"/>
      <c r="AY97" s="213"/>
      <c r="AZ97" s="213"/>
      <c r="BA97" s="213"/>
      <c r="BB97" s="213"/>
    </row>
    <row r="98">
      <c r="A98" s="229" t="s">
        <v>1323</v>
      </c>
      <c r="B98" s="12"/>
      <c r="C98" s="202"/>
      <c r="D98" s="199"/>
      <c r="E98" s="211"/>
      <c r="F98" s="201"/>
      <c r="G98" s="199"/>
      <c r="H98" s="199"/>
      <c r="I98" s="199"/>
      <c r="J98" s="212"/>
      <c r="K98" s="212"/>
      <c r="L98" s="212"/>
      <c r="M98" s="212"/>
      <c r="N98" s="212"/>
      <c r="O98" s="212"/>
      <c r="P98" s="212"/>
      <c r="Q98" s="212"/>
      <c r="R98" s="212"/>
      <c r="S98" s="212"/>
      <c r="T98" s="212"/>
      <c r="U98" s="212"/>
      <c r="V98" s="212"/>
      <c r="W98" s="212"/>
      <c r="X98" s="212"/>
      <c r="Y98" s="212"/>
      <c r="Z98" s="204"/>
      <c r="AA98" s="204"/>
      <c r="AB98" s="204"/>
      <c r="AC98" s="204"/>
      <c r="AD98" s="204"/>
      <c r="AE98" s="212"/>
      <c r="AF98" s="213"/>
      <c r="AG98" s="213"/>
      <c r="AH98" s="213"/>
      <c r="AI98" s="213"/>
      <c r="AJ98" s="213"/>
      <c r="AK98" s="213"/>
      <c r="AL98" s="213"/>
      <c r="AM98" s="213"/>
      <c r="AN98" s="213"/>
      <c r="AO98" s="213"/>
      <c r="AP98" s="213"/>
      <c r="AQ98" s="213"/>
      <c r="AR98" s="213"/>
      <c r="AS98" s="213"/>
      <c r="AT98" s="213"/>
      <c r="AU98" s="213"/>
      <c r="AV98" s="213"/>
      <c r="AW98" s="213"/>
      <c r="AX98" s="213"/>
      <c r="AY98" s="213"/>
      <c r="AZ98" s="213"/>
      <c r="BA98" s="213"/>
      <c r="BB98" s="213"/>
    </row>
    <row r="99">
      <c r="A99" s="229" t="s">
        <v>1338</v>
      </c>
      <c r="B99" s="12"/>
      <c r="C99" s="202"/>
      <c r="D99" s="199"/>
      <c r="E99" s="211"/>
      <c r="F99" s="201"/>
      <c r="G99" s="199"/>
      <c r="H99" s="199"/>
      <c r="I99" s="199"/>
      <c r="J99" s="212"/>
      <c r="K99" s="212"/>
      <c r="L99" s="212"/>
      <c r="M99" s="212"/>
      <c r="N99" s="212"/>
      <c r="O99" s="212"/>
      <c r="P99" s="212"/>
      <c r="Q99" s="212"/>
      <c r="R99" s="212"/>
      <c r="S99" s="212"/>
      <c r="T99" s="212"/>
      <c r="U99" s="212"/>
      <c r="V99" s="212"/>
      <c r="W99" s="212"/>
      <c r="X99" s="212"/>
      <c r="Y99" s="212"/>
      <c r="Z99" s="204"/>
      <c r="AA99" s="204"/>
      <c r="AB99" s="204"/>
      <c r="AC99" s="204"/>
      <c r="AD99" s="204"/>
      <c r="AE99" s="212"/>
      <c r="AF99" s="213"/>
      <c r="AG99" s="213"/>
      <c r="AH99" s="213"/>
      <c r="AI99" s="213"/>
      <c r="AJ99" s="213"/>
      <c r="AK99" s="213"/>
      <c r="AL99" s="213"/>
      <c r="AM99" s="213"/>
      <c r="AN99" s="213"/>
      <c r="AO99" s="213"/>
      <c r="AP99" s="213"/>
      <c r="AQ99" s="213"/>
      <c r="AR99" s="213"/>
      <c r="AS99" s="213"/>
      <c r="AT99" s="213"/>
      <c r="AU99" s="213"/>
      <c r="AV99" s="213"/>
      <c r="AW99" s="213"/>
      <c r="AX99" s="213"/>
      <c r="AY99" s="213"/>
      <c r="AZ99" s="213"/>
      <c r="BA99" s="213"/>
      <c r="BB99" s="213"/>
    </row>
    <row r="100">
      <c r="A100" s="229" t="s">
        <v>1343</v>
      </c>
      <c r="B100" s="12"/>
      <c r="C100" s="202"/>
      <c r="D100" s="199"/>
      <c r="E100" s="211"/>
      <c r="F100" s="201"/>
      <c r="G100" s="199"/>
      <c r="H100" s="199"/>
      <c r="I100" s="199"/>
      <c r="J100" s="212"/>
      <c r="K100" s="212"/>
      <c r="L100" s="212"/>
      <c r="M100" s="212"/>
      <c r="N100" s="212"/>
      <c r="O100" s="212"/>
      <c r="P100" s="212"/>
      <c r="Q100" s="212"/>
      <c r="R100" s="212"/>
      <c r="S100" s="212"/>
      <c r="T100" s="212"/>
      <c r="U100" s="212"/>
      <c r="V100" s="212"/>
      <c r="W100" s="212"/>
      <c r="X100" s="212"/>
      <c r="Y100" s="212"/>
      <c r="Z100" s="204"/>
      <c r="AA100" s="204"/>
      <c r="AB100" s="204"/>
      <c r="AC100" s="204"/>
      <c r="AD100" s="204"/>
      <c r="AE100" s="212"/>
      <c r="AF100" s="213"/>
      <c r="AG100" s="213"/>
      <c r="AH100" s="213"/>
      <c r="AI100" s="213"/>
      <c r="AJ100" s="213"/>
      <c r="AK100" s="213"/>
      <c r="AL100" s="213"/>
      <c r="AM100" s="213"/>
      <c r="AN100" s="213"/>
      <c r="AO100" s="213"/>
      <c r="AP100" s="213"/>
      <c r="AQ100" s="213"/>
      <c r="AR100" s="213"/>
      <c r="AS100" s="213"/>
      <c r="AT100" s="213"/>
      <c r="AU100" s="213"/>
      <c r="AV100" s="213"/>
      <c r="AW100" s="213"/>
      <c r="AX100" s="213"/>
      <c r="AY100" s="213"/>
      <c r="AZ100" s="213"/>
      <c r="BA100" s="213"/>
      <c r="BB100" s="213"/>
    </row>
    <row r="101">
      <c r="A101" s="229" t="s">
        <v>1353</v>
      </c>
      <c r="B101" s="12"/>
      <c r="C101" s="202"/>
      <c r="D101" s="199"/>
      <c r="E101" s="211"/>
      <c r="F101" s="201"/>
      <c r="G101" s="199"/>
      <c r="H101" s="199"/>
      <c r="I101" s="199"/>
      <c r="J101" s="212"/>
      <c r="K101" s="212"/>
      <c r="L101" s="212"/>
      <c r="M101" s="212"/>
      <c r="N101" s="212"/>
      <c r="O101" s="212"/>
      <c r="P101" s="212"/>
      <c r="Q101" s="212"/>
      <c r="R101" s="212"/>
      <c r="S101" s="212"/>
      <c r="T101" s="212"/>
      <c r="U101" s="212"/>
      <c r="V101" s="212"/>
      <c r="W101" s="212"/>
      <c r="X101" s="212"/>
      <c r="Y101" s="212"/>
      <c r="Z101" s="204"/>
      <c r="AA101" s="204"/>
      <c r="AB101" s="204"/>
      <c r="AC101" s="204"/>
      <c r="AD101" s="204"/>
      <c r="AE101" s="212"/>
      <c r="AF101" s="213"/>
      <c r="AG101" s="213"/>
      <c r="AH101" s="213"/>
      <c r="AI101" s="213"/>
      <c r="AJ101" s="213"/>
      <c r="AK101" s="213"/>
      <c r="AL101" s="213"/>
      <c r="AM101" s="213"/>
      <c r="AN101" s="213"/>
      <c r="AO101" s="213"/>
      <c r="AP101" s="213"/>
      <c r="AQ101" s="213"/>
      <c r="AR101" s="213"/>
      <c r="AS101" s="213"/>
      <c r="AT101" s="213"/>
      <c r="AU101" s="213"/>
      <c r="AV101" s="213"/>
      <c r="AW101" s="213"/>
      <c r="AX101" s="213"/>
      <c r="AY101" s="213"/>
      <c r="AZ101" s="213"/>
      <c r="BA101" s="213"/>
      <c r="BB101" s="213"/>
    </row>
    <row r="102">
      <c r="A102" s="229" t="s">
        <v>1363</v>
      </c>
      <c r="B102" s="12"/>
      <c r="C102" s="202"/>
      <c r="D102" s="199"/>
      <c r="E102" s="211"/>
      <c r="F102" s="201"/>
      <c r="G102" s="199"/>
      <c r="H102" s="199"/>
      <c r="I102" s="199"/>
      <c r="J102" s="212"/>
      <c r="K102" s="212"/>
      <c r="L102" s="212"/>
      <c r="M102" s="212"/>
      <c r="N102" s="212"/>
      <c r="O102" s="212"/>
      <c r="P102" s="212"/>
      <c r="Q102" s="212"/>
      <c r="R102" s="212"/>
      <c r="S102" s="212"/>
      <c r="T102" s="212"/>
      <c r="U102" s="212"/>
      <c r="V102" s="212"/>
      <c r="W102" s="212"/>
      <c r="X102" s="212"/>
      <c r="Y102" s="212"/>
      <c r="Z102" s="204"/>
      <c r="AA102" s="204"/>
      <c r="AB102" s="204"/>
      <c r="AC102" s="204"/>
      <c r="AD102" s="204"/>
      <c r="AE102" s="212"/>
      <c r="AF102" s="213"/>
      <c r="AG102" s="213"/>
      <c r="AH102" s="213"/>
      <c r="AI102" s="213"/>
      <c r="AJ102" s="213"/>
      <c r="AK102" s="213"/>
      <c r="AL102" s="213"/>
      <c r="AM102" s="213"/>
      <c r="AN102" s="213"/>
      <c r="AO102" s="213"/>
      <c r="AP102" s="213"/>
      <c r="AQ102" s="213"/>
      <c r="AR102" s="213"/>
      <c r="AS102" s="213"/>
      <c r="AT102" s="213"/>
      <c r="AU102" s="213"/>
      <c r="AV102" s="213"/>
      <c r="AW102" s="213"/>
      <c r="AX102" s="213"/>
      <c r="AY102" s="213"/>
      <c r="AZ102" s="213"/>
      <c r="BA102" s="213"/>
      <c r="BB102" s="213"/>
    </row>
    <row r="103">
      <c r="A103" s="229" t="s">
        <v>1392</v>
      </c>
      <c r="B103" s="12"/>
      <c r="C103" s="202"/>
      <c r="D103" s="199"/>
      <c r="E103" s="211"/>
      <c r="F103" s="201"/>
      <c r="G103" s="199"/>
      <c r="H103" s="199"/>
      <c r="I103" s="199"/>
      <c r="J103" s="212"/>
      <c r="K103" s="212"/>
      <c r="L103" s="212"/>
      <c r="M103" s="212"/>
      <c r="N103" s="212"/>
      <c r="O103" s="212"/>
      <c r="P103" s="212"/>
      <c r="Q103" s="212"/>
      <c r="R103" s="212"/>
      <c r="S103" s="212"/>
      <c r="T103" s="212"/>
      <c r="U103" s="212"/>
      <c r="V103" s="212"/>
      <c r="W103" s="212"/>
      <c r="X103" s="212"/>
      <c r="Y103" s="212"/>
      <c r="Z103" s="204"/>
      <c r="AA103" s="204"/>
      <c r="AB103" s="204"/>
      <c r="AC103" s="204"/>
      <c r="AD103" s="204"/>
      <c r="AE103" s="212"/>
      <c r="AF103" s="213"/>
      <c r="AG103" s="213"/>
      <c r="AH103" s="213"/>
      <c r="AI103" s="213"/>
      <c r="AJ103" s="213"/>
      <c r="AK103" s="213"/>
      <c r="AL103" s="213"/>
      <c r="AM103" s="213"/>
      <c r="AN103" s="213"/>
      <c r="AO103" s="213"/>
      <c r="AP103" s="213"/>
      <c r="AQ103" s="213"/>
      <c r="AR103" s="213"/>
      <c r="AS103" s="213"/>
      <c r="AT103" s="213"/>
      <c r="AU103" s="213"/>
      <c r="AV103" s="213"/>
      <c r="AW103" s="213"/>
      <c r="AX103" s="213"/>
      <c r="AY103" s="213"/>
      <c r="AZ103" s="213"/>
      <c r="BA103" s="213"/>
      <c r="BB103" s="213"/>
    </row>
    <row r="104">
      <c r="A104" s="229" t="s">
        <v>1417</v>
      </c>
      <c r="B104" s="12"/>
      <c r="C104" s="202"/>
      <c r="D104" s="199"/>
      <c r="E104" s="211"/>
      <c r="F104" s="201"/>
      <c r="G104" s="199"/>
      <c r="H104" s="199"/>
      <c r="I104" s="199"/>
      <c r="J104" s="212"/>
      <c r="K104" s="212"/>
      <c r="L104" s="212"/>
      <c r="M104" s="212"/>
      <c r="N104" s="212"/>
      <c r="O104" s="212"/>
      <c r="P104" s="212"/>
      <c r="Q104" s="212"/>
      <c r="R104" s="212"/>
      <c r="S104" s="212"/>
      <c r="T104" s="212"/>
      <c r="U104" s="212"/>
      <c r="V104" s="212"/>
      <c r="W104" s="212"/>
      <c r="X104" s="212"/>
      <c r="Y104" s="212"/>
      <c r="Z104" s="204"/>
      <c r="AA104" s="204"/>
      <c r="AB104" s="204"/>
      <c r="AC104" s="204"/>
      <c r="AD104" s="204"/>
      <c r="AE104" s="212"/>
      <c r="AF104" s="213"/>
      <c r="AG104" s="213"/>
      <c r="AH104" s="213"/>
      <c r="AI104" s="213"/>
      <c r="AJ104" s="213"/>
      <c r="AK104" s="213"/>
      <c r="AL104" s="213"/>
      <c r="AM104" s="213"/>
      <c r="AN104" s="213"/>
      <c r="AO104" s="213"/>
      <c r="AP104" s="213"/>
      <c r="AQ104" s="213"/>
      <c r="AR104" s="213"/>
      <c r="AS104" s="213"/>
      <c r="AT104" s="213"/>
      <c r="AU104" s="213"/>
      <c r="AV104" s="213"/>
      <c r="AW104" s="213"/>
      <c r="AX104" s="213"/>
      <c r="AY104" s="213"/>
      <c r="AZ104" s="213"/>
      <c r="BA104" s="213"/>
      <c r="BB104" s="213"/>
    </row>
    <row r="105">
      <c r="A105" s="229" t="s">
        <v>1434</v>
      </c>
      <c r="B105" s="12"/>
      <c r="C105" s="202"/>
      <c r="D105" s="199"/>
      <c r="E105" s="211"/>
      <c r="F105" s="201"/>
      <c r="G105" s="199"/>
      <c r="H105" s="199"/>
      <c r="I105" s="199"/>
      <c r="J105" s="212"/>
      <c r="K105" s="212"/>
      <c r="L105" s="212"/>
      <c r="M105" s="212"/>
      <c r="N105" s="212"/>
      <c r="O105" s="212"/>
      <c r="P105" s="212"/>
      <c r="Q105" s="212"/>
      <c r="R105" s="212"/>
      <c r="S105" s="212"/>
      <c r="T105" s="212"/>
      <c r="U105" s="212"/>
      <c r="V105" s="212"/>
      <c r="W105" s="212"/>
      <c r="X105" s="212"/>
      <c r="Y105" s="212"/>
      <c r="Z105" s="204"/>
      <c r="AA105" s="204"/>
      <c r="AB105" s="204"/>
      <c r="AC105" s="204"/>
      <c r="AD105" s="204"/>
      <c r="AE105" s="212"/>
      <c r="AF105" s="213"/>
      <c r="AG105" s="213"/>
      <c r="AH105" s="213"/>
      <c r="AI105" s="213"/>
      <c r="AJ105" s="213"/>
      <c r="AK105" s="213"/>
      <c r="AL105" s="213"/>
      <c r="AM105" s="213"/>
      <c r="AN105" s="213"/>
      <c r="AO105" s="213"/>
      <c r="AP105" s="213"/>
      <c r="AQ105" s="213"/>
      <c r="AR105" s="213"/>
      <c r="AS105" s="213"/>
      <c r="AT105" s="213"/>
      <c r="AU105" s="213"/>
      <c r="AV105" s="213"/>
      <c r="AW105" s="213"/>
      <c r="AX105" s="213"/>
      <c r="AY105" s="213"/>
      <c r="AZ105" s="213"/>
      <c r="BA105" s="213"/>
      <c r="BB105" s="213"/>
    </row>
    <row r="106">
      <c r="A106" s="229" t="s">
        <v>1503</v>
      </c>
      <c r="B106" s="12"/>
      <c r="C106" s="202"/>
      <c r="D106" s="199"/>
      <c r="E106" s="211"/>
      <c r="F106" s="201"/>
      <c r="G106" s="199"/>
      <c r="H106" s="199"/>
      <c r="I106" s="199"/>
      <c r="J106" s="212"/>
      <c r="K106" s="212"/>
      <c r="L106" s="212"/>
      <c r="M106" s="212"/>
      <c r="N106" s="212"/>
      <c r="O106" s="212"/>
      <c r="P106" s="212"/>
      <c r="Q106" s="212"/>
      <c r="R106" s="212"/>
      <c r="S106" s="212"/>
      <c r="T106" s="212"/>
      <c r="U106" s="212"/>
      <c r="V106" s="212"/>
      <c r="W106" s="212"/>
      <c r="X106" s="212"/>
      <c r="Y106" s="212"/>
      <c r="Z106" s="204"/>
      <c r="AA106" s="204"/>
      <c r="AB106" s="204"/>
      <c r="AC106" s="204"/>
      <c r="AD106" s="204"/>
      <c r="AE106" s="212"/>
      <c r="AF106" s="213"/>
      <c r="AG106" s="213"/>
      <c r="AH106" s="213"/>
      <c r="AI106" s="213"/>
      <c r="AJ106" s="213"/>
      <c r="AK106" s="213"/>
      <c r="AL106" s="213"/>
      <c r="AM106" s="213"/>
      <c r="AN106" s="213"/>
      <c r="AO106" s="213"/>
      <c r="AP106" s="213"/>
      <c r="AQ106" s="213"/>
      <c r="AR106" s="213"/>
      <c r="AS106" s="213"/>
      <c r="AT106" s="213"/>
      <c r="AU106" s="213"/>
      <c r="AV106" s="213"/>
      <c r="AW106" s="213"/>
      <c r="AX106" s="213"/>
      <c r="AY106" s="213"/>
      <c r="AZ106" s="213"/>
      <c r="BA106" s="213"/>
      <c r="BB106" s="213"/>
    </row>
    <row r="107">
      <c r="A107" s="229" t="s">
        <v>61</v>
      </c>
      <c r="B107" s="12"/>
      <c r="C107" s="202"/>
      <c r="D107" s="199"/>
      <c r="E107" s="211"/>
      <c r="F107" s="201"/>
      <c r="G107" s="199"/>
      <c r="H107" s="199"/>
      <c r="I107" s="199"/>
      <c r="J107" s="212"/>
      <c r="K107" s="212"/>
      <c r="L107" s="212"/>
      <c r="M107" s="212"/>
      <c r="N107" s="212"/>
      <c r="O107" s="212"/>
      <c r="P107" s="212"/>
      <c r="Q107" s="212"/>
      <c r="R107" s="212"/>
      <c r="S107" s="212"/>
      <c r="T107" s="212"/>
      <c r="U107" s="212"/>
      <c r="V107" s="212"/>
      <c r="W107" s="212"/>
      <c r="X107" s="212"/>
      <c r="Y107" s="212"/>
      <c r="Z107" s="204"/>
      <c r="AA107" s="204"/>
      <c r="AB107" s="204"/>
      <c r="AC107" s="204"/>
      <c r="AD107" s="204"/>
      <c r="AE107" s="212"/>
      <c r="AF107" s="213"/>
      <c r="AG107" s="213"/>
      <c r="AH107" s="213"/>
      <c r="AI107" s="213"/>
      <c r="AJ107" s="213"/>
      <c r="AK107" s="213"/>
      <c r="AL107" s="213"/>
      <c r="AM107" s="213"/>
      <c r="AN107" s="213"/>
      <c r="AO107" s="213"/>
      <c r="AP107" s="213"/>
      <c r="AQ107" s="213"/>
      <c r="AR107" s="213"/>
      <c r="AS107" s="213"/>
      <c r="AT107" s="213"/>
      <c r="AU107" s="213"/>
      <c r="AV107" s="213"/>
      <c r="AW107" s="213"/>
      <c r="AX107" s="213"/>
      <c r="AY107" s="213"/>
      <c r="AZ107" s="213"/>
      <c r="BA107" s="213"/>
      <c r="BB107" s="213"/>
    </row>
    <row r="108">
      <c r="A108" s="229" t="s">
        <v>1516</v>
      </c>
      <c r="B108" s="12"/>
      <c r="C108" s="202"/>
      <c r="D108" s="199"/>
      <c r="E108" s="211"/>
      <c r="F108" s="201"/>
      <c r="G108" s="199"/>
      <c r="H108" s="199"/>
      <c r="I108" s="199"/>
      <c r="J108" s="212"/>
      <c r="K108" s="212"/>
      <c r="L108" s="212"/>
      <c r="M108" s="212"/>
      <c r="N108" s="212"/>
      <c r="O108" s="212"/>
      <c r="P108" s="212"/>
      <c r="Q108" s="212"/>
      <c r="R108" s="212"/>
      <c r="S108" s="212"/>
      <c r="T108" s="212"/>
      <c r="U108" s="212"/>
      <c r="V108" s="212"/>
      <c r="W108" s="212"/>
      <c r="X108" s="212"/>
      <c r="Y108" s="212"/>
      <c r="Z108" s="204"/>
      <c r="AA108" s="204"/>
      <c r="AB108" s="204"/>
      <c r="AC108" s="204"/>
      <c r="AD108" s="204"/>
      <c r="AE108" s="212"/>
      <c r="AF108" s="213"/>
      <c r="AG108" s="213"/>
      <c r="AH108" s="213"/>
      <c r="AI108" s="213"/>
      <c r="AJ108" s="213"/>
      <c r="AK108" s="213"/>
      <c r="AL108" s="213"/>
      <c r="AM108" s="213"/>
      <c r="AN108" s="213"/>
      <c r="AO108" s="213"/>
      <c r="AP108" s="213"/>
      <c r="AQ108" s="213"/>
      <c r="AR108" s="213"/>
      <c r="AS108" s="213"/>
      <c r="AT108" s="213"/>
      <c r="AU108" s="213"/>
      <c r="AV108" s="213"/>
      <c r="AW108" s="213"/>
      <c r="AX108" s="213"/>
      <c r="AY108" s="213"/>
      <c r="AZ108" s="213"/>
      <c r="BA108" s="213"/>
      <c r="BB108" s="213"/>
    </row>
    <row r="109">
      <c r="A109" s="229" t="s">
        <v>1519</v>
      </c>
      <c r="B109" s="12"/>
      <c r="C109" s="202"/>
      <c r="D109" s="199"/>
      <c r="E109" s="211"/>
      <c r="F109" s="201"/>
      <c r="G109" s="199"/>
      <c r="H109" s="199"/>
      <c r="I109" s="199"/>
      <c r="J109" s="212"/>
      <c r="K109" s="212"/>
      <c r="L109" s="212"/>
      <c r="M109" s="212"/>
      <c r="N109" s="212"/>
      <c r="O109" s="212"/>
      <c r="P109" s="212"/>
      <c r="Q109" s="212"/>
      <c r="R109" s="212"/>
      <c r="S109" s="212"/>
      <c r="T109" s="212"/>
      <c r="U109" s="212"/>
      <c r="V109" s="212"/>
      <c r="W109" s="212"/>
      <c r="X109" s="212"/>
      <c r="Y109" s="212"/>
      <c r="Z109" s="204"/>
      <c r="AA109" s="204"/>
      <c r="AB109" s="204"/>
      <c r="AC109" s="204"/>
      <c r="AD109" s="204"/>
      <c r="AE109" s="212"/>
      <c r="AF109" s="213"/>
      <c r="AG109" s="213"/>
      <c r="AH109" s="213"/>
      <c r="AI109" s="213"/>
      <c r="AJ109" s="213"/>
      <c r="AK109" s="213"/>
      <c r="AL109" s="213"/>
      <c r="AM109" s="213"/>
      <c r="AN109" s="213"/>
      <c r="AO109" s="213"/>
      <c r="AP109" s="213"/>
      <c r="AQ109" s="213"/>
      <c r="AR109" s="213"/>
      <c r="AS109" s="213"/>
      <c r="AT109" s="213"/>
      <c r="AU109" s="213"/>
      <c r="AV109" s="213"/>
      <c r="AW109" s="213"/>
      <c r="AX109" s="213"/>
      <c r="AY109" s="213"/>
      <c r="AZ109" s="213"/>
      <c r="BA109" s="213"/>
      <c r="BB109" s="213"/>
    </row>
    <row r="110">
      <c r="A110" s="229" t="s">
        <v>1547</v>
      </c>
      <c r="B110" s="12"/>
      <c r="C110" s="202"/>
      <c r="D110" s="199"/>
      <c r="E110" s="211"/>
      <c r="F110" s="201"/>
      <c r="G110" s="199"/>
      <c r="H110" s="199"/>
      <c r="I110" s="199"/>
      <c r="J110" s="212"/>
      <c r="K110" s="212"/>
      <c r="L110" s="212"/>
      <c r="M110" s="212"/>
      <c r="N110" s="212"/>
      <c r="O110" s="212"/>
      <c r="P110" s="212"/>
      <c r="Q110" s="212"/>
      <c r="R110" s="212"/>
      <c r="S110" s="212"/>
      <c r="T110" s="212"/>
      <c r="U110" s="212"/>
      <c r="V110" s="212"/>
      <c r="W110" s="212"/>
      <c r="X110" s="212"/>
      <c r="Y110" s="212"/>
      <c r="Z110" s="204"/>
      <c r="AA110" s="204"/>
      <c r="AB110" s="204"/>
      <c r="AC110" s="204"/>
      <c r="AD110" s="204"/>
      <c r="AE110" s="212"/>
      <c r="AF110" s="213"/>
      <c r="AG110" s="213"/>
      <c r="AH110" s="213"/>
      <c r="AI110" s="213"/>
      <c r="AJ110" s="213"/>
      <c r="AK110" s="213"/>
      <c r="AL110" s="213"/>
      <c r="AM110" s="213"/>
      <c r="AN110" s="213"/>
      <c r="AO110" s="213"/>
      <c r="AP110" s="213"/>
      <c r="AQ110" s="213"/>
      <c r="AR110" s="213"/>
      <c r="AS110" s="213"/>
      <c r="AT110" s="213"/>
      <c r="AU110" s="213"/>
      <c r="AV110" s="213"/>
      <c r="AW110" s="213"/>
      <c r="AX110" s="213"/>
      <c r="AY110" s="213"/>
      <c r="AZ110" s="213"/>
      <c r="BA110" s="213"/>
      <c r="BB110" s="213"/>
    </row>
    <row r="111">
      <c r="A111" s="229" t="s">
        <v>1660</v>
      </c>
      <c r="B111" s="12"/>
      <c r="C111" s="202"/>
      <c r="D111" s="199"/>
      <c r="E111" s="211"/>
      <c r="F111" s="201"/>
      <c r="G111" s="199"/>
      <c r="H111" s="199"/>
      <c r="I111" s="199"/>
      <c r="J111" s="212"/>
      <c r="K111" s="212"/>
      <c r="L111" s="212"/>
      <c r="M111" s="212"/>
      <c r="N111" s="212"/>
      <c r="O111" s="212"/>
      <c r="P111" s="212"/>
      <c r="Q111" s="212"/>
      <c r="R111" s="212"/>
      <c r="S111" s="212"/>
      <c r="T111" s="212"/>
      <c r="U111" s="212"/>
      <c r="V111" s="212"/>
      <c r="W111" s="212"/>
      <c r="X111" s="212"/>
      <c r="Y111" s="212"/>
      <c r="Z111" s="204"/>
      <c r="AA111" s="204"/>
      <c r="AB111" s="204"/>
      <c r="AC111" s="204"/>
      <c r="AD111" s="204"/>
      <c r="AE111" s="212"/>
      <c r="AF111" s="213"/>
      <c r="AG111" s="213"/>
      <c r="AH111" s="213"/>
      <c r="AI111" s="213"/>
      <c r="AJ111" s="213"/>
      <c r="AK111" s="213"/>
      <c r="AL111" s="213"/>
      <c r="AM111" s="213"/>
      <c r="AN111" s="213"/>
      <c r="AO111" s="213"/>
      <c r="AP111" s="213"/>
      <c r="AQ111" s="213"/>
      <c r="AR111" s="213"/>
      <c r="AS111" s="213"/>
      <c r="AT111" s="213"/>
      <c r="AU111" s="213"/>
      <c r="AV111" s="213"/>
      <c r="AW111" s="213"/>
      <c r="AX111" s="213"/>
      <c r="AY111" s="213"/>
      <c r="AZ111" s="213"/>
      <c r="BA111" s="213"/>
      <c r="BB111" s="213"/>
    </row>
    <row r="112">
      <c r="A112" s="229" t="s">
        <v>1673</v>
      </c>
      <c r="B112" s="12"/>
      <c r="C112" s="202"/>
      <c r="D112" s="199"/>
      <c r="E112" s="211"/>
      <c r="F112" s="201"/>
      <c r="G112" s="199"/>
      <c r="H112" s="199"/>
      <c r="I112" s="199"/>
      <c r="J112" s="212"/>
      <c r="K112" s="212"/>
      <c r="L112" s="212"/>
      <c r="M112" s="212"/>
      <c r="N112" s="212"/>
      <c r="O112" s="212"/>
      <c r="P112" s="212"/>
      <c r="Q112" s="212"/>
      <c r="R112" s="212"/>
      <c r="S112" s="212"/>
      <c r="T112" s="212"/>
      <c r="U112" s="212"/>
      <c r="V112" s="212"/>
      <c r="W112" s="212"/>
      <c r="X112" s="212"/>
      <c r="Y112" s="212"/>
      <c r="Z112" s="204"/>
      <c r="AA112" s="204"/>
      <c r="AB112" s="204"/>
      <c r="AC112" s="204"/>
      <c r="AD112" s="204"/>
      <c r="AE112" s="212"/>
      <c r="AF112" s="213"/>
      <c r="AG112" s="213"/>
      <c r="AH112" s="213"/>
      <c r="AI112" s="213"/>
      <c r="AJ112" s="213"/>
      <c r="AK112" s="213"/>
      <c r="AL112" s="213"/>
      <c r="AM112" s="213"/>
      <c r="AN112" s="213"/>
      <c r="AO112" s="213"/>
      <c r="AP112" s="213"/>
      <c r="AQ112" s="213"/>
      <c r="AR112" s="213"/>
      <c r="AS112" s="213"/>
      <c r="AT112" s="213"/>
      <c r="AU112" s="213"/>
      <c r="AV112" s="213"/>
      <c r="AW112" s="213"/>
      <c r="AX112" s="213"/>
      <c r="AY112" s="213"/>
      <c r="AZ112" s="213"/>
      <c r="BA112" s="213"/>
      <c r="BB112" s="213"/>
    </row>
    <row r="113">
      <c r="A113" s="229" t="s">
        <v>1676</v>
      </c>
      <c r="B113" s="12"/>
      <c r="C113" s="202"/>
      <c r="D113" s="199"/>
      <c r="E113" s="211"/>
      <c r="F113" s="201"/>
      <c r="G113" s="199"/>
      <c r="H113" s="199"/>
      <c r="I113" s="199"/>
      <c r="J113" s="212"/>
      <c r="K113" s="212"/>
      <c r="L113" s="212"/>
      <c r="M113" s="212"/>
      <c r="N113" s="212"/>
      <c r="O113" s="212"/>
      <c r="P113" s="212"/>
      <c r="Q113" s="212"/>
      <c r="R113" s="212"/>
      <c r="S113" s="212"/>
      <c r="T113" s="212"/>
      <c r="U113" s="212"/>
      <c r="V113" s="212"/>
      <c r="W113" s="212"/>
      <c r="X113" s="212"/>
      <c r="Y113" s="212"/>
      <c r="Z113" s="204"/>
      <c r="AA113" s="204"/>
      <c r="AB113" s="204"/>
      <c r="AC113" s="204"/>
      <c r="AD113" s="204"/>
      <c r="AE113" s="212"/>
      <c r="AF113" s="213"/>
      <c r="AG113" s="213"/>
      <c r="AH113" s="213"/>
      <c r="AI113" s="213"/>
      <c r="AJ113" s="213"/>
      <c r="AK113" s="213"/>
      <c r="AL113" s="213"/>
      <c r="AM113" s="213"/>
      <c r="AN113" s="213"/>
      <c r="AO113" s="213"/>
      <c r="AP113" s="213"/>
      <c r="AQ113" s="213"/>
      <c r="AR113" s="213"/>
      <c r="AS113" s="213"/>
      <c r="AT113" s="213"/>
      <c r="AU113" s="213"/>
      <c r="AV113" s="213"/>
      <c r="AW113" s="213"/>
      <c r="AX113" s="213"/>
      <c r="AY113" s="213"/>
      <c r="AZ113" s="213"/>
      <c r="BA113" s="213"/>
      <c r="BB113" s="213"/>
    </row>
    <row r="114">
      <c r="A114" s="229" t="s">
        <v>1695</v>
      </c>
      <c r="B114" s="12"/>
      <c r="C114" s="202"/>
      <c r="D114" s="199"/>
      <c r="E114" s="211"/>
      <c r="F114" s="201"/>
      <c r="G114" s="199"/>
      <c r="H114" s="199"/>
      <c r="I114" s="199"/>
      <c r="J114" s="212"/>
      <c r="K114" s="212"/>
      <c r="L114" s="212"/>
      <c r="M114" s="212"/>
      <c r="N114" s="212"/>
      <c r="O114" s="212"/>
      <c r="P114" s="212"/>
      <c r="Q114" s="212"/>
      <c r="R114" s="212"/>
      <c r="S114" s="212"/>
      <c r="T114" s="212"/>
      <c r="U114" s="212"/>
      <c r="V114" s="212"/>
      <c r="W114" s="212"/>
      <c r="X114" s="212"/>
      <c r="Y114" s="212"/>
      <c r="Z114" s="204"/>
      <c r="AA114" s="204"/>
      <c r="AB114" s="204"/>
      <c r="AC114" s="204"/>
      <c r="AD114" s="204"/>
      <c r="AE114" s="212"/>
      <c r="AF114" s="213"/>
      <c r="AG114" s="213"/>
      <c r="AH114" s="213"/>
      <c r="AI114" s="213"/>
      <c r="AJ114" s="213"/>
      <c r="AK114" s="213"/>
      <c r="AL114" s="213"/>
      <c r="AM114" s="213"/>
      <c r="AN114" s="213"/>
      <c r="AO114" s="213"/>
      <c r="AP114" s="213"/>
      <c r="AQ114" s="213"/>
      <c r="AR114" s="213"/>
      <c r="AS114" s="213"/>
      <c r="AT114" s="213"/>
      <c r="AU114" s="213"/>
      <c r="AV114" s="213"/>
      <c r="AW114" s="213"/>
      <c r="AX114" s="213"/>
      <c r="AY114" s="213"/>
      <c r="AZ114" s="213"/>
      <c r="BA114" s="213"/>
      <c r="BB114" s="213"/>
    </row>
    <row r="115">
      <c r="A115" s="229" t="s">
        <v>454</v>
      </c>
      <c r="B115" s="12"/>
      <c r="C115" s="202"/>
      <c r="D115" s="199"/>
      <c r="E115" s="211"/>
      <c r="F115" s="201"/>
      <c r="G115" s="199"/>
      <c r="H115" s="199"/>
      <c r="I115" s="199"/>
      <c r="J115" s="212"/>
      <c r="K115" s="212"/>
      <c r="L115" s="212"/>
      <c r="M115" s="212"/>
      <c r="N115" s="212"/>
      <c r="O115" s="212"/>
      <c r="P115" s="212"/>
      <c r="Q115" s="212"/>
      <c r="R115" s="212"/>
      <c r="S115" s="212"/>
      <c r="T115" s="212"/>
      <c r="U115" s="212"/>
      <c r="V115" s="212"/>
      <c r="W115" s="212"/>
      <c r="X115" s="212"/>
      <c r="Y115" s="212"/>
      <c r="Z115" s="204"/>
      <c r="AA115" s="204"/>
      <c r="AB115" s="204"/>
      <c r="AC115" s="204"/>
      <c r="AD115" s="204"/>
      <c r="AE115" s="212"/>
      <c r="AF115" s="213"/>
      <c r="AG115" s="213"/>
      <c r="AH115" s="213"/>
      <c r="AI115" s="213"/>
      <c r="AJ115" s="213"/>
      <c r="AK115" s="213"/>
      <c r="AL115" s="213"/>
      <c r="AM115" s="213"/>
      <c r="AN115" s="213"/>
      <c r="AO115" s="213"/>
      <c r="AP115" s="213"/>
      <c r="AQ115" s="213"/>
      <c r="AR115" s="213"/>
      <c r="AS115" s="213"/>
      <c r="AT115" s="213"/>
      <c r="AU115" s="213"/>
      <c r="AV115" s="213"/>
      <c r="AW115" s="213"/>
      <c r="AX115" s="213"/>
      <c r="AY115" s="213"/>
      <c r="AZ115" s="213"/>
      <c r="BA115" s="213"/>
      <c r="BB115" s="213"/>
    </row>
    <row r="116">
      <c r="A116" s="229" t="s">
        <v>1723</v>
      </c>
      <c r="B116" s="12"/>
      <c r="C116" s="202"/>
      <c r="D116" s="199"/>
      <c r="E116" s="211"/>
      <c r="F116" s="201"/>
      <c r="G116" s="199"/>
      <c r="H116" s="199"/>
      <c r="I116" s="199"/>
      <c r="J116" s="212"/>
      <c r="K116" s="212"/>
      <c r="L116" s="212"/>
      <c r="M116" s="212"/>
      <c r="N116" s="212"/>
      <c r="O116" s="212"/>
      <c r="P116" s="212"/>
      <c r="Q116" s="212"/>
      <c r="R116" s="212"/>
      <c r="S116" s="212"/>
      <c r="T116" s="212"/>
      <c r="U116" s="212"/>
      <c r="V116" s="212"/>
      <c r="W116" s="212"/>
      <c r="X116" s="212"/>
      <c r="Y116" s="212"/>
      <c r="Z116" s="204"/>
      <c r="AA116" s="204"/>
      <c r="AB116" s="204"/>
      <c r="AC116" s="204"/>
      <c r="AD116" s="204"/>
      <c r="AE116" s="212"/>
      <c r="AF116" s="213"/>
      <c r="AG116" s="213"/>
      <c r="AH116" s="213"/>
      <c r="AI116" s="213"/>
      <c r="AJ116" s="213"/>
      <c r="AK116" s="213"/>
      <c r="AL116" s="213"/>
      <c r="AM116" s="213"/>
      <c r="AN116" s="213"/>
      <c r="AO116" s="213"/>
      <c r="AP116" s="213"/>
      <c r="AQ116" s="213"/>
      <c r="AR116" s="213"/>
      <c r="AS116" s="213"/>
      <c r="AT116" s="213"/>
      <c r="AU116" s="213"/>
      <c r="AV116" s="213"/>
      <c r="AW116" s="213"/>
      <c r="AX116" s="213"/>
      <c r="AY116" s="213"/>
      <c r="AZ116" s="213"/>
      <c r="BA116" s="213"/>
      <c r="BB116" s="213"/>
    </row>
    <row r="117">
      <c r="A117" s="229" t="s">
        <v>1726</v>
      </c>
      <c r="B117" s="12"/>
      <c r="C117" s="202"/>
      <c r="D117" s="199"/>
      <c r="E117" s="211"/>
      <c r="F117" s="201"/>
      <c r="G117" s="199"/>
      <c r="H117" s="199"/>
      <c r="I117" s="199"/>
      <c r="J117" s="212"/>
      <c r="K117" s="212"/>
      <c r="L117" s="212"/>
      <c r="M117" s="212"/>
      <c r="N117" s="212"/>
      <c r="O117" s="212"/>
      <c r="P117" s="212"/>
      <c r="Q117" s="212"/>
      <c r="R117" s="212"/>
      <c r="S117" s="212"/>
      <c r="T117" s="212"/>
      <c r="U117" s="212"/>
      <c r="V117" s="212"/>
      <c r="W117" s="212"/>
      <c r="X117" s="212"/>
      <c r="Y117" s="212"/>
      <c r="Z117" s="204"/>
      <c r="AA117" s="204"/>
      <c r="AB117" s="204"/>
      <c r="AC117" s="204"/>
      <c r="AD117" s="204"/>
      <c r="AE117" s="212"/>
      <c r="AF117" s="213"/>
      <c r="AG117" s="213"/>
      <c r="AH117" s="213"/>
      <c r="AI117" s="213"/>
      <c r="AJ117" s="213"/>
      <c r="AK117" s="213"/>
      <c r="AL117" s="213"/>
      <c r="AM117" s="213"/>
      <c r="AN117" s="213"/>
      <c r="AO117" s="213"/>
      <c r="AP117" s="213"/>
      <c r="AQ117" s="213"/>
      <c r="AR117" s="213"/>
      <c r="AS117" s="213"/>
      <c r="AT117" s="213"/>
      <c r="AU117" s="213"/>
      <c r="AV117" s="213"/>
      <c r="AW117" s="213"/>
      <c r="AX117" s="213"/>
      <c r="AY117" s="213"/>
      <c r="AZ117" s="213"/>
      <c r="BA117" s="213"/>
      <c r="BB117" s="213"/>
    </row>
    <row r="118">
      <c r="A118" s="229" t="s">
        <v>1765</v>
      </c>
      <c r="B118" s="12"/>
      <c r="C118" s="202"/>
      <c r="D118" s="199"/>
      <c r="E118" s="211"/>
      <c r="F118" s="201"/>
      <c r="G118" s="199"/>
      <c r="H118" s="199"/>
      <c r="I118" s="199"/>
      <c r="J118" s="212"/>
      <c r="K118" s="212"/>
      <c r="L118" s="212"/>
      <c r="M118" s="212"/>
      <c r="N118" s="212"/>
      <c r="O118" s="212"/>
      <c r="P118" s="212"/>
      <c r="Q118" s="212"/>
      <c r="R118" s="212"/>
      <c r="S118" s="212"/>
      <c r="T118" s="212"/>
      <c r="U118" s="212"/>
      <c r="V118" s="212"/>
      <c r="W118" s="212"/>
      <c r="X118" s="212"/>
      <c r="Y118" s="212"/>
      <c r="Z118" s="204"/>
      <c r="AA118" s="204"/>
      <c r="AB118" s="204"/>
      <c r="AC118" s="204"/>
      <c r="AD118" s="204"/>
      <c r="AE118" s="212"/>
      <c r="AF118" s="213"/>
      <c r="AG118" s="213"/>
      <c r="AH118" s="213"/>
      <c r="AI118" s="213"/>
      <c r="AJ118" s="213"/>
      <c r="AK118" s="213"/>
      <c r="AL118" s="213"/>
      <c r="AM118" s="213"/>
      <c r="AN118" s="213"/>
      <c r="AO118" s="213"/>
      <c r="AP118" s="213"/>
      <c r="AQ118" s="213"/>
      <c r="AR118" s="213"/>
      <c r="AS118" s="213"/>
      <c r="AT118" s="213"/>
      <c r="AU118" s="213"/>
      <c r="AV118" s="213"/>
      <c r="AW118" s="213"/>
      <c r="AX118" s="213"/>
      <c r="AY118" s="213"/>
      <c r="AZ118" s="213"/>
      <c r="BA118" s="213"/>
      <c r="BB118" s="213"/>
    </row>
    <row r="119">
      <c r="A119" s="229" t="s">
        <v>1871</v>
      </c>
      <c r="B119" s="12"/>
      <c r="C119" s="202"/>
      <c r="D119" s="199"/>
      <c r="E119" s="211"/>
      <c r="F119" s="201"/>
      <c r="G119" s="199"/>
      <c r="H119" s="199"/>
      <c r="I119" s="199"/>
      <c r="J119" s="212"/>
      <c r="K119" s="212"/>
      <c r="L119" s="212"/>
      <c r="M119" s="212"/>
      <c r="N119" s="212"/>
      <c r="O119" s="212"/>
      <c r="P119" s="212"/>
      <c r="Q119" s="212"/>
      <c r="R119" s="212"/>
      <c r="S119" s="212"/>
      <c r="T119" s="212"/>
      <c r="U119" s="212"/>
      <c r="V119" s="212"/>
      <c r="W119" s="212"/>
      <c r="X119" s="212"/>
      <c r="Y119" s="212"/>
      <c r="Z119" s="204"/>
      <c r="AA119" s="204"/>
      <c r="AB119" s="204"/>
      <c r="AC119" s="204"/>
      <c r="AD119" s="204"/>
      <c r="AE119" s="212"/>
      <c r="AF119" s="213"/>
      <c r="AG119" s="213"/>
      <c r="AH119" s="213"/>
      <c r="AI119" s="213"/>
      <c r="AJ119" s="213"/>
      <c r="AK119" s="213"/>
      <c r="AL119" s="213"/>
      <c r="AM119" s="213"/>
      <c r="AN119" s="213"/>
      <c r="AO119" s="213"/>
      <c r="AP119" s="213"/>
      <c r="AQ119" s="213"/>
      <c r="AR119" s="213"/>
      <c r="AS119" s="213"/>
      <c r="AT119" s="213"/>
      <c r="AU119" s="213"/>
      <c r="AV119" s="213"/>
      <c r="AW119" s="213"/>
      <c r="AX119" s="213"/>
      <c r="AY119" s="213"/>
      <c r="AZ119" s="213"/>
      <c r="BA119" s="213"/>
      <c r="BB119" s="213"/>
    </row>
    <row r="120">
      <c r="A120" s="229" t="s">
        <v>1906</v>
      </c>
      <c r="B120" s="12"/>
      <c r="C120" s="202"/>
      <c r="D120" s="199"/>
      <c r="E120" s="211"/>
      <c r="F120" s="201"/>
      <c r="G120" s="199"/>
      <c r="H120" s="199"/>
      <c r="I120" s="199"/>
      <c r="J120" s="212"/>
      <c r="K120" s="212"/>
      <c r="L120" s="212"/>
      <c r="M120" s="212"/>
      <c r="N120" s="212"/>
      <c r="O120" s="212"/>
      <c r="P120" s="212"/>
      <c r="Q120" s="212"/>
      <c r="R120" s="212"/>
      <c r="S120" s="212"/>
      <c r="T120" s="212"/>
      <c r="U120" s="212"/>
      <c r="V120" s="212"/>
      <c r="W120" s="212"/>
      <c r="X120" s="212"/>
      <c r="Y120" s="212"/>
      <c r="Z120" s="204"/>
      <c r="AA120" s="204"/>
      <c r="AB120" s="204"/>
      <c r="AC120" s="204"/>
      <c r="AD120" s="204"/>
      <c r="AE120" s="212"/>
      <c r="AF120" s="213"/>
      <c r="AG120" s="213"/>
      <c r="AH120" s="213"/>
      <c r="AI120" s="213"/>
      <c r="AJ120" s="213"/>
      <c r="AK120" s="213"/>
      <c r="AL120" s="213"/>
      <c r="AM120" s="213"/>
      <c r="AN120" s="213"/>
      <c r="AO120" s="213"/>
      <c r="AP120" s="213"/>
      <c r="AQ120" s="213"/>
      <c r="AR120" s="213"/>
      <c r="AS120" s="213"/>
      <c r="AT120" s="213"/>
      <c r="AU120" s="213"/>
      <c r="AV120" s="213"/>
      <c r="AW120" s="213"/>
      <c r="AX120" s="213"/>
      <c r="AY120" s="213"/>
      <c r="AZ120" s="213"/>
      <c r="BA120" s="213"/>
      <c r="BB120" s="213"/>
    </row>
    <row r="121">
      <c r="A121" s="229" t="s">
        <v>1912</v>
      </c>
      <c r="B121" s="12"/>
      <c r="C121" s="202"/>
      <c r="D121" s="199"/>
      <c r="E121" s="211"/>
      <c r="F121" s="201"/>
      <c r="G121" s="199"/>
      <c r="H121" s="199"/>
      <c r="I121" s="199"/>
      <c r="J121" s="212"/>
      <c r="K121" s="212"/>
      <c r="L121" s="212"/>
      <c r="M121" s="212"/>
      <c r="N121" s="212"/>
      <c r="O121" s="212"/>
      <c r="P121" s="212"/>
      <c r="Q121" s="212"/>
      <c r="R121" s="212"/>
      <c r="S121" s="212"/>
      <c r="T121" s="212"/>
      <c r="U121" s="212"/>
      <c r="V121" s="212"/>
      <c r="W121" s="212"/>
      <c r="X121" s="212"/>
      <c r="Y121" s="212"/>
      <c r="Z121" s="204"/>
      <c r="AA121" s="204"/>
      <c r="AB121" s="204"/>
      <c r="AC121" s="204"/>
      <c r="AD121" s="204"/>
      <c r="AE121" s="212"/>
      <c r="AF121" s="213"/>
      <c r="AG121" s="213"/>
      <c r="AH121" s="213"/>
      <c r="AI121" s="213"/>
      <c r="AJ121" s="213"/>
      <c r="AK121" s="213"/>
      <c r="AL121" s="213"/>
      <c r="AM121" s="213"/>
      <c r="AN121" s="213"/>
      <c r="AO121" s="213"/>
      <c r="AP121" s="213"/>
      <c r="AQ121" s="213"/>
      <c r="AR121" s="213"/>
      <c r="AS121" s="213"/>
      <c r="AT121" s="213"/>
      <c r="AU121" s="213"/>
      <c r="AV121" s="213"/>
      <c r="AW121" s="213"/>
      <c r="AX121" s="213"/>
      <c r="AY121" s="213"/>
      <c r="AZ121" s="213"/>
      <c r="BA121" s="213"/>
      <c r="BB121" s="213"/>
    </row>
    <row r="122">
      <c r="A122" s="229" t="s">
        <v>1955</v>
      </c>
      <c r="B122" s="12"/>
      <c r="C122" s="202"/>
      <c r="D122" s="199"/>
      <c r="E122" s="211"/>
      <c r="F122" s="201"/>
      <c r="G122" s="199"/>
      <c r="H122" s="199"/>
      <c r="I122" s="199"/>
      <c r="J122" s="212"/>
      <c r="K122" s="212"/>
      <c r="L122" s="212"/>
      <c r="M122" s="212"/>
      <c r="N122" s="212"/>
      <c r="O122" s="212"/>
      <c r="P122" s="212"/>
      <c r="Q122" s="212"/>
      <c r="R122" s="212"/>
      <c r="S122" s="212"/>
      <c r="T122" s="212"/>
      <c r="U122" s="212"/>
      <c r="V122" s="212"/>
      <c r="W122" s="212"/>
      <c r="X122" s="212"/>
      <c r="Y122" s="212"/>
      <c r="Z122" s="204"/>
      <c r="AA122" s="204"/>
      <c r="AB122" s="204"/>
      <c r="AC122" s="204"/>
      <c r="AD122" s="204"/>
      <c r="AE122" s="212"/>
      <c r="AF122" s="213"/>
      <c r="AG122" s="213"/>
      <c r="AH122" s="213"/>
      <c r="AI122" s="213"/>
      <c r="AJ122" s="213"/>
      <c r="AK122" s="213"/>
      <c r="AL122" s="213"/>
      <c r="AM122" s="213"/>
      <c r="AN122" s="213"/>
      <c r="AO122" s="213"/>
      <c r="AP122" s="213"/>
      <c r="AQ122" s="213"/>
      <c r="AR122" s="213"/>
      <c r="AS122" s="213"/>
      <c r="AT122" s="213"/>
      <c r="AU122" s="213"/>
      <c r="AV122" s="213"/>
      <c r="AW122" s="213"/>
      <c r="AX122" s="213"/>
      <c r="AY122" s="213"/>
      <c r="AZ122" s="213"/>
      <c r="BA122" s="213"/>
      <c r="BB122" s="213"/>
    </row>
    <row r="123">
      <c r="A123" s="229" t="s">
        <v>1977</v>
      </c>
      <c r="B123" s="12"/>
      <c r="C123" s="202"/>
      <c r="D123" s="199"/>
      <c r="E123" s="211"/>
      <c r="F123" s="201"/>
      <c r="G123" s="199"/>
      <c r="H123" s="199"/>
      <c r="I123" s="199"/>
      <c r="J123" s="212"/>
      <c r="K123" s="212"/>
      <c r="L123" s="212"/>
      <c r="M123" s="212"/>
      <c r="N123" s="212"/>
      <c r="O123" s="212"/>
      <c r="P123" s="212"/>
      <c r="Q123" s="212"/>
      <c r="R123" s="212"/>
      <c r="S123" s="212"/>
      <c r="T123" s="212"/>
      <c r="U123" s="212"/>
      <c r="V123" s="212"/>
      <c r="W123" s="212"/>
      <c r="X123" s="212"/>
      <c r="Y123" s="212"/>
      <c r="Z123" s="204"/>
      <c r="AA123" s="204"/>
      <c r="AB123" s="204"/>
      <c r="AC123" s="204"/>
      <c r="AD123" s="204"/>
      <c r="AE123" s="212"/>
      <c r="AF123" s="213"/>
      <c r="AG123" s="213"/>
      <c r="AH123" s="213"/>
      <c r="AI123" s="213"/>
      <c r="AJ123" s="213"/>
      <c r="AK123" s="213"/>
      <c r="AL123" s="213"/>
      <c r="AM123" s="213"/>
      <c r="AN123" s="213"/>
      <c r="AO123" s="213"/>
      <c r="AP123" s="213"/>
      <c r="AQ123" s="213"/>
      <c r="AR123" s="213"/>
      <c r="AS123" s="213"/>
      <c r="AT123" s="213"/>
      <c r="AU123" s="213"/>
      <c r="AV123" s="213"/>
      <c r="AW123" s="213"/>
      <c r="AX123" s="213"/>
      <c r="AY123" s="213"/>
      <c r="AZ123" s="213"/>
      <c r="BA123" s="213"/>
      <c r="BB123" s="213"/>
    </row>
    <row r="124">
      <c r="A124" s="229" t="s">
        <v>1986</v>
      </c>
      <c r="B124" s="12"/>
      <c r="C124" s="202"/>
      <c r="D124" s="199"/>
      <c r="E124" s="211"/>
      <c r="F124" s="201"/>
      <c r="G124" s="199"/>
      <c r="H124" s="199"/>
      <c r="I124" s="199"/>
      <c r="J124" s="212"/>
      <c r="K124" s="212"/>
      <c r="L124" s="212"/>
      <c r="M124" s="212"/>
      <c r="N124" s="212"/>
      <c r="O124" s="212"/>
      <c r="P124" s="212"/>
      <c r="Q124" s="212"/>
      <c r="R124" s="212"/>
      <c r="S124" s="212"/>
      <c r="T124" s="212"/>
      <c r="U124" s="212"/>
      <c r="V124" s="212"/>
      <c r="W124" s="212"/>
      <c r="X124" s="212"/>
      <c r="Y124" s="212"/>
      <c r="Z124" s="204"/>
      <c r="AA124" s="204"/>
      <c r="AB124" s="204"/>
      <c r="AC124" s="204"/>
      <c r="AD124" s="204"/>
      <c r="AE124" s="212"/>
      <c r="AF124" s="213"/>
      <c r="AG124" s="213"/>
      <c r="AH124" s="213"/>
      <c r="AI124" s="213"/>
      <c r="AJ124" s="213"/>
      <c r="AK124" s="213"/>
      <c r="AL124" s="213"/>
      <c r="AM124" s="213"/>
      <c r="AN124" s="213"/>
      <c r="AO124" s="213"/>
      <c r="AP124" s="213"/>
      <c r="AQ124" s="213"/>
      <c r="AR124" s="213"/>
      <c r="AS124" s="213"/>
      <c r="AT124" s="213"/>
      <c r="AU124" s="213"/>
      <c r="AV124" s="213"/>
      <c r="AW124" s="213"/>
      <c r="AX124" s="213"/>
      <c r="AY124" s="213"/>
      <c r="AZ124" s="213"/>
      <c r="BA124" s="213"/>
      <c r="BB124" s="213"/>
    </row>
    <row r="125">
      <c r="A125" s="229" t="s">
        <v>2002</v>
      </c>
      <c r="B125" s="12"/>
      <c r="C125" s="202"/>
      <c r="D125" s="199"/>
      <c r="E125" s="211"/>
      <c r="F125" s="201"/>
      <c r="G125" s="199"/>
      <c r="H125" s="199"/>
      <c r="I125" s="199"/>
      <c r="J125" s="212"/>
      <c r="K125" s="212"/>
      <c r="L125" s="212"/>
      <c r="M125" s="212"/>
      <c r="N125" s="212"/>
      <c r="O125" s="212"/>
      <c r="P125" s="212"/>
      <c r="Q125" s="212"/>
      <c r="R125" s="212"/>
      <c r="S125" s="212"/>
      <c r="T125" s="212"/>
      <c r="U125" s="212"/>
      <c r="V125" s="212"/>
      <c r="W125" s="212"/>
      <c r="X125" s="212"/>
      <c r="Y125" s="212"/>
      <c r="Z125" s="204"/>
      <c r="AA125" s="204"/>
      <c r="AB125" s="204"/>
      <c r="AC125" s="204"/>
      <c r="AD125" s="204"/>
      <c r="AE125" s="212"/>
      <c r="AF125" s="213"/>
      <c r="AG125" s="213"/>
      <c r="AH125" s="213"/>
      <c r="AI125" s="213"/>
      <c r="AJ125" s="213"/>
      <c r="AK125" s="213"/>
      <c r="AL125" s="213"/>
      <c r="AM125" s="213"/>
      <c r="AN125" s="213"/>
      <c r="AO125" s="213"/>
      <c r="AP125" s="213"/>
      <c r="AQ125" s="213"/>
      <c r="AR125" s="213"/>
      <c r="AS125" s="213"/>
      <c r="AT125" s="213"/>
      <c r="AU125" s="213"/>
      <c r="AV125" s="213"/>
      <c r="AW125" s="213"/>
      <c r="AX125" s="213"/>
      <c r="AY125" s="213"/>
      <c r="AZ125" s="213"/>
      <c r="BA125" s="213"/>
      <c r="BB125" s="213"/>
    </row>
    <row r="126">
      <c r="A126" s="229" t="s">
        <v>2049</v>
      </c>
      <c r="B126" s="12"/>
      <c r="C126" s="202"/>
      <c r="D126" s="199"/>
      <c r="E126" s="211"/>
      <c r="F126" s="201"/>
      <c r="G126" s="199"/>
      <c r="H126" s="199"/>
      <c r="I126" s="199"/>
      <c r="J126" s="212"/>
      <c r="K126" s="212"/>
      <c r="L126" s="212"/>
      <c r="M126" s="212"/>
      <c r="N126" s="212"/>
      <c r="O126" s="212"/>
      <c r="P126" s="212"/>
      <c r="Q126" s="212"/>
      <c r="R126" s="212"/>
      <c r="S126" s="212"/>
      <c r="T126" s="212"/>
      <c r="U126" s="212"/>
      <c r="V126" s="212"/>
      <c r="W126" s="212"/>
      <c r="X126" s="212"/>
      <c r="Y126" s="212"/>
      <c r="Z126" s="204"/>
      <c r="AA126" s="204"/>
      <c r="AB126" s="204"/>
      <c r="AC126" s="204"/>
      <c r="AD126" s="204"/>
      <c r="AE126" s="212"/>
      <c r="AF126" s="213"/>
      <c r="AG126" s="213"/>
      <c r="AH126" s="213"/>
      <c r="AI126" s="213"/>
      <c r="AJ126" s="213"/>
      <c r="AK126" s="213"/>
      <c r="AL126" s="213"/>
      <c r="AM126" s="213"/>
      <c r="AN126" s="213"/>
      <c r="AO126" s="213"/>
      <c r="AP126" s="213"/>
      <c r="AQ126" s="213"/>
      <c r="AR126" s="213"/>
      <c r="AS126" s="213"/>
      <c r="AT126" s="213"/>
      <c r="AU126" s="213"/>
      <c r="AV126" s="213"/>
      <c r="AW126" s="213"/>
      <c r="AX126" s="213"/>
      <c r="AY126" s="213"/>
      <c r="AZ126" s="213"/>
      <c r="BA126" s="213"/>
      <c r="BB126" s="213"/>
    </row>
    <row r="127">
      <c r="A127" s="229" t="s">
        <v>2080</v>
      </c>
      <c r="B127" s="12"/>
      <c r="C127" s="202"/>
      <c r="D127" s="199"/>
      <c r="E127" s="211"/>
      <c r="F127" s="201"/>
      <c r="G127" s="199"/>
      <c r="H127" s="199"/>
      <c r="I127" s="199"/>
      <c r="J127" s="212"/>
      <c r="K127" s="212"/>
      <c r="L127" s="212"/>
      <c r="M127" s="212"/>
      <c r="N127" s="212"/>
      <c r="O127" s="212"/>
      <c r="P127" s="212"/>
      <c r="Q127" s="212"/>
      <c r="R127" s="212"/>
      <c r="S127" s="212"/>
      <c r="T127" s="212"/>
      <c r="U127" s="212"/>
      <c r="V127" s="212"/>
      <c r="W127" s="212"/>
      <c r="X127" s="212"/>
      <c r="Y127" s="212"/>
      <c r="Z127" s="204"/>
      <c r="AA127" s="204"/>
      <c r="AB127" s="204"/>
      <c r="AC127" s="204"/>
      <c r="AD127" s="204"/>
      <c r="AE127" s="212"/>
      <c r="AF127" s="213"/>
      <c r="AG127" s="213"/>
      <c r="AH127" s="213"/>
      <c r="AI127" s="213"/>
      <c r="AJ127" s="213"/>
      <c r="AK127" s="213"/>
      <c r="AL127" s="213"/>
      <c r="AM127" s="213"/>
      <c r="AN127" s="213"/>
      <c r="AO127" s="213"/>
      <c r="AP127" s="213"/>
      <c r="AQ127" s="213"/>
      <c r="AR127" s="213"/>
      <c r="AS127" s="213"/>
      <c r="AT127" s="213"/>
      <c r="AU127" s="213"/>
      <c r="AV127" s="213"/>
      <c r="AW127" s="213"/>
      <c r="AX127" s="213"/>
      <c r="AY127" s="213"/>
      <c r="AZ127" s="213"/>
      <c r="BA127" s="213"/>
      <c r="BB127" s="213"/>
    </row>
    <row r="128">
      <c r="A128" s="229" t="s">
        <v>2097</v>
      </c>
      <c r="B128" s="12"/>
      <c r="C128" s="202"/>
      <c r="D128" s="199"/>
      <c r="E128" s="211"/>
      <c r="F128" s="201"/>
      <c r="G128" s="199"/>
      <c r="H128" s="199"/>
      <c r="I128" s="199"/>
      <c r="J128" s="212"/>
      <c r="K128" s="212"/>
      <c r="L128" s="212"/>
      <c r="M128" s="212"/>
      <c r="N128" s="212"/>
      <c r="O128" s="212"/>
      <c r="P128" s="212"/>
      <c r="Q128" s="212"/>
      <c r="R128" s="212"/>
      <c r="S128" s="212"/>
      <c r="T128" s="212"/>
      <c r="U128" s="212"/>
      <c r="V128" s="212"/>
      <c r="W128" s="212"/>
      <c r="X128" s="212"/>
      <c r="Y128" s="212"/>
      <c r="Z128" s="204"/>
      <c r="AA128" s="204"/>
      <c r="AB128" s="204"/>
      <c r="AC128" s="204"/>
      <c r="AD128" s="204"/>
      <c r="AE128" s="212"/>
      <c r="AF128" s="213"/>
      <c r="AG128" s="213"/>
      <c r="AH128" s="213"/>
      <c r="AI128" s="213"/>
      <c r="AJ128" s="213"/>
      <c r="AK128" s="213"/>
      <c r="AL128" s="213"/>
      <c r="AM128" s="213"/>
      <c r="AN128" s="213"/>
      <c r="AO128" s="213"/>
      <c r="AP128" s="213"/>
      <c r="AQ128" s="213"/>
      <c r="AR128" s="213"/>
      <c r="AS128" s="213"/>
      <c r="AT128" s="213"/>
      <c r="AU128" s="213"/>
      <c r="AV128" s="213"/>
      <c r="AW128" s="213"/>
      <c r="AX128" s="213"/>
      <c r="AY128" s="213"/>
      <c r="AZ128" s="213"/>
      <c r="BA128" s="213"/>
      <c r="BB128" s="213"/>
    </row>
    <row r="129">
      <c r="A129" s="229" t="s">
        <v>2141</v>
      </c>
      <c r="B129" s="12"/>
      <c r="C129" s="202"/>
      <c r="D129" s="199"/>
      <c r="E129" s="211"/>
      <c r="F129" s="201"/>
      <c r="G129" s="199"/>
      <c r="H129" s="199"/>
      <c r="I129" s="199"/>
      <c r="J129" s="212"/>
      <c r="K129" s="212"/>
      <c r="L129" s="212"/>
      <c r="M129" s="212"/>
      <c r="N129" s="212"/>
      <c r="O129" s="212"/>
      <c r="P129" s="212"/>
      <c r="Q129" s="212"/>
      <c r="R129" s="212"/>
      <c r="S129" s="212"/>
      <c r="T129" s="212"/>
      <c r="U129" s="212"/>
      <c r="V129" s="212"/>
      <c r="W129" s="212"/>
      <c r="X129" s="212"/>
      <c r="Y129" s="212"/>
      <c r="Z129" s="204"/>
      <c r="AA129" s="204"/>
      <c r="AB129" s="204"/>
      <c r="AC129" s="204"/>
      <c r="AD129" s="204"/>
      <c r="AE129" s="212"/>
      <c r="AF129" s="213"/>
      <c r="AG129" s="213"/>
      <c r="AH129" s="213"/>
      <c r="AI129" s="213"/>
      <c r="AJ129" s="213"/>
      <c r="AK129" s="213"/>
      <c r="AL129" s="213"/>
      <c r="AM129" s="213"/>
      <c r="AN129" s="213"/>
      <c r="AO129" s="213"/>
      <c r="AP129" s="213"/>
      <c r="AQ129" s="213"/>
      <c r="AR129" s="213"/>
      <c r="AS129" s="213"/>
      <c r="AT129" s="213"/>
      <c r="AU129" s="213"/>
      <c r="AV129" s="213"/>
      <c r="AW129" s="213"/>
      <c r="AX129" s="213"/>
      <c r="AY129" s="213"/>
      <c r="AZ129" s="213"/>
      <c r="BA129" s="213"/>
      <c r="BB129" s="213"/>
    </row>
    <row r="130">
      <c r="A130" s="229" t="s">
        <v>2146</v>
      </c>
      <c r="B130" s="12"/>
      <c r="C130" s="202"/>
      <c r="D130" s="199"/>
      <c r="E130" s="211"/>
      <c r="F130" s="201"/>
      <c r="G130" s="199"/>
      <c r="H130" s="199"/>
      <c r="I130" s="199"/>
      <c r="J130" s="212"/>
      <c r="K130" s="212"/>
      <c r="L130" s="212"/>
      <c r="M130" s="212"/>
      <c r="N130" s="212"/>
      <c r="O130" s="212"/>
      <c r="P130" s="212"/>
      <c r="Q130" s="212"/>
      <c r="R130" s="212"/>
      <c r="S130" s="212"/>
      <c r="T130" s="212"/>
      <c r="U130" s="212"/>
      <c r="V130" s="212"/>
      <c r="W130" s="212"/>
      <c r="X130" s="212"/>
      <c r="Y130" s="212"/>
      <c r="Z130" s="204"/>
      <c r="AA130" s="204"/>
      <c r="AB130" s="204"/>
      <c r="AC130" s="204"/>
      <c r="AD130" s="204"/>
      <c r="AE130" s="212"/>
      <c r="AF130" s="213"/>
      <c r="AG130" s="213"/>
      <c r="AH130" s="213"/>
      <c r="AI130" s="213"/>
      <c r="AJ130" s="213"/>
      <c r="AK130" s="213"/>
      <c r="AL130" s="213"/>
      <c r="AM130" s="213"/>
      <c r="AN130" s="213"/>
      <c r="AO130" s="213"/>
      <c r="AP130" s="213"/>
      <c r="AQ130" s="213"/>
      <c r="AR130" s="213"/>
      <c r="AS130" s="213"/>
      <c r="AT130" s="213"/>
      <c r="AU130" s="213"/>
      <c r="AV130" s="213"/>
      <c r="AW130" s="213"/>
      <c r="AX130" s="213"/>
      <c r="AY130" s="213"/>
      <c r="AZ130" s="213"/>
      <c r="BA130" s="213"/>
      <c r="BB130" s="213"/>
    </row>
    <row r="131">
      <c r="A131" s="229" t="s">
        <v>2148</v>
      </c>
      <c r="B131" s="12"/>
      <c r="C131" s="202"/>
      <c r="D131" s="199"/>
      <c r="E131" s="211"/>
      <c r="F131" s="201"/>
      <c r="G131" s="199"/>
      <c r="H131" s="199"/>
      <c r="I131" s="199"/>
      <c r="J131" s="212"/>
      <c r="K131" s="212"/>
      <c r="L131" s="212"/>
      <c r="M131" s="212"/>
      <c r="N131" s="212"/>
      <c r="O131" s="212"/>
      <c r="P131" s="212"/>
      <c r="Q131" s="212"/>
      <c r="R131" s="212"/>
      <c r="S131" s="212"/>
      <c r="T131" s="212"/>
      <c r="U131" s="212"/>
      <c r="V131" s="212"/>
      <c r="W131" s="212"/>
      <c r="X131" s="212"/>
      <c r="Y131" s="212"/>
      <c r="Z131" s="204"/>
      <c r="AA131" s="204"/>
      <c r="AB131" s="204"/>
      <c r="AC131" s="204"/>
      <c r="AD131" s="204"/>
      <c r="AE131" s="212"/>
      <c r="AF131" s="213"/>
      <c r="AG131" s="213"/>
      <c r="AH131" s="213"/>
      <c r="AI131" s="213"/>
      <c r="AJ131" s="213"/>
      <c r="AK131" s="213"/>
      <c r="AL131" s="213"/>
      <c r="AM131" s="213"/>
      <c r="AN131" s="213"/>
      <c r="AO131" s="213"/>
      <c r="AP131" s="213"/>
      <c r="AQ131" s="213"/>
      <c r="AR131" s="213"/>
      <c r="AS131" s="213"/>
      <c r="AT131" s="213"/>
      <c r="AU131" s="213"/>
      <c r="AV131" s="213"/>
      <c r="AW131" s="213"/>
      <c r="AX131" s="213"/>
      <c r="AY131" s="213"/>
      <c r="AZ131" s="213"/>
      <c r="BA131" s="213"/>
      <c r="BB131" s="213"/>
    </row>
    <row r="132">
      <c r="A132" s="229" t="s">
        <v>194</v>
      </c>
      <c r="B132" s="12"/>
      <c r="C132" s="202"/>
      <c r="D132" s="199"/>
      <c r="E132" s="211"/>
      <c r="F132" s="201"/>
      <c r="G132" s="199"/>
      <c r="H132" s="199"/>
      <c r="I132" s="199"/>
      <c r="J132" s="212"/>
      <c r="K132" s="212"/>
      <c r="L132" s="212"/>
      <c r="M132" s="212"/>
      <c r="N132" s="212"/>
      <c r="O132" s="212"/>
      <c r="P132" s="212"/>
      <c r="Q132" s="212"/>
      <c r="R132" s="212"/>
      <c r="S132" s="212"/>
      <c r="T132" s="212"/>
      <c r="U132" s="212"/>
      <c r="V132" s="212"/>
      <c r="W132" s="212"/>
      <c r="X132" s="212"/>
      <c r="Y132" s="212"/>
      <c r="Z132" s="204"/>
      <c r="AA132" s="204"/>
      <c r="AB132" s="204"/>
      <c r="AC132" s="204"/>
      <c r="AD132" s="204"/>
      <c r="AE132" s="212"/>
      <c r="AF132" s="213"/>
      <c r="AG132" s="213"/>
      <c r="AH132" s="213"/>
      <c r="AI132" s="213"/>
      <c r="AJ132" s="213"/>
      <c r="AK132" s="213"/>
      <c r="AL132" s="213"/>
      <c r="AM132" s="213"/>
      <c r="AN132" s="213"/>
      <c r="AO132" s="213"/>
      <c r="AP132" s="213"/>
      <c r="AQ132" s="213"/>
      <c r="AR132" s="213"/>
      <c r="AS132" s="213"/>
      <c r="AT132" s="213"/>
      <c r="AU132" s="213"/>
      <c r="AV132" s="213"/>
      <c r="AW132" s="213"/>
      <c r="AX132" s="213"/>
      <c r="AY132" s="213"/>
      <c r="AZ132" s="213"/>
      <c r="BA132" s="213"/>
      <c r="BB132" s="213"/>
    </row>
    <row r="133">
      <c r="A133" s="199" t="s">
        <v>2154</v>
      </c>
      <c r="B133" s="12"/>
      <c r="C133" s="202"/>
      <c r="D133" s="199"/>
      <c r="E133" s="211"/>
      <c r="F133" s="201"/>
      <c r="G133" s="199"/>
      <c r="H133" s="199"/>
      <c r="I133" s="199"/>
      <c r="J133" s="212"/>
      <c r="K133" s="212"/>
      <c r="L133" s="212"/>
      <c r="M133" s="212"/>
      <c r="N133" s="212"/>
      <c r="O133" s="212"/>
      <c r="P133" s="212"/>
      <c r="Q133" s="212"/>
      <c r="R133" s="212"/>
      <c r="S133" s="212"/>
      <c r="T133" s="212"/>
      <c r="U133" s="212"/>
      <c r="V133" s="212"/>
      <c r="W133" s="212"/>
      <c r="X133" s="212"/>
      <c r="Y133" s="212"/>
      <c r="Z133" s="204"/>
      <c r="AA133" s="204"/>
      <c r="AB133" s="204"/>
      <c r="AC133" s="204"/>
      <c r="AD133" s="204"/>
      <c r="AE133" s="212"/>
      <c r="AF133" s="213"/>
      <c r="AG133" s="213"/>
      <c r="AH133" s="213"/>
      <c r="AI133" s="213"/>
      <c r="AJ133" s="213"/>
      <c r="AK133" s="213"/>
      <c r="AL133" s="213"/>
      <c r="AM133" s="213"/>
      <c r="AN133" s="213"/>
      <c r="AO133" s="213"/>
      <c r="AP133" s="213"/>
      <c r="AQ133" s="213"/>
      <c r="AR133" s="213"/>
      <c r="AS133" s="213"/>
      <c r="AT133" s="213"/>
      <c r="AU133" s="213"/>
      <c r="AV133" s="213"/>
      <c r="AW133" s="213"/>
      <c r="AX133" s="213"/>
      <c r="AY133" s="213"/>
      <c r="AZ133" s="213"/>
      <c r="BA133" s="213"/>
      <c r="BB133" s="213"/>
    </row>
    <row r="134">
      <c r="A134" s="199" t="s">
        <v>2155</v>
      </c>
      <c r="B134" s="12"/>
      <c r="C134" s="202"/>
      <c r="D134" s="199"/>
      <c r="E134" s="211"/>
      <c r="F134" s="201"/>
      <c r="G134" s="199"/>
      <c r="H134" s="199"/>
      <c r="I134" s="199"/>
      <c r="J134" s="212"/>
      <c r="K134" s="212"/>
      <c r="L134" s="212"/>
      <c r="M134" s="212"/>
      <c r="N134" s="212"/>
      <c r="O134" s="212"/>
      <c r="P134" s="212"/>
      <c r="Q134" s="212"/>
      <c r="R134" s="212"/>
      <c r="S134" s="212"/>
      <c r="T134" s="212"/>
      <c r="U134" s="212"/>
      <c r="V134" s="212"/>
      <c r="W134" s="212"/>
      <c r="X134" s="212"/>
      <c r="Y134" s="212"/>
      <c r="Z134" s="204"/>
      <c r="AA134" s="204"/>
      <c r="AB134" s="204"/>
      <c r="AC134" s="204"/>
      <c r="AD134" s="204"/>
      <c r="AE134" s="212"/>
      <c r="AF134" s="213"/>
      <c r="AG134" s="213"/>
      <c r="AH134" s="213"/>
      <c r="AI134" s="213"/>
      <c r="AJ134" s="213"/>
      <c r="AK134" s="213"/>
      <c r="AL134" s="213"/>
      <c r="AM134" s="213"/>
      <c r="AN134" s="213"/>
      <c r="AO134" s="213"/>
      <c r="AP134" s="213"/>
      <c r="AQ134" s="213"/>
      <c r="AR134" s="213"/>
      <c r="AS134" s="213"/>
      <c r="AT134" s="213"/>
      <c r="AU134" s="213"/>
      <c r="AV134" s="213"/>
      <c r="AW134" s="213"/>
      <c r="AX134" s="213"/>
      <c r="AY134" s="213"/>
      <c r="AZ134" s="213"/>
      <c r="BA134" s="213"/>
      <c r="BB134" s="213"/>
    </row>
    <row r="135">
      <c r="A135" s="199" t="s">
        <v>2156</v>
      </c>
      <c r="B135" s="12"/>
      <c r="C135" s="202"/>
      <c r="D135" s="199"/>
      <c r="E135" s="211"/>
      <c r="F135" s="201"/>
      <c r="G135" s="199"/>
      <c r="H135" s="199"/>
      <c r="I135" s="199"/>
      <c r="J135" s="212"/>
      <c r="K135" s="212"/>
      <c r="L135" s="212"/>
      <c r="M135" s="212"/>
      <c r="N135" s="212"/>
      <c r="O135" s="212"/>
      <c r="P135" s="212"/>
      <c r="Q135" s="212"/>
      <c r="R135" s="212"/>
      <c r="S135" s="212"/>
      <c r="T135" s="212"/>
      <c r="U135" s="212"/>
      <c r="V135" s="212"/>
      <c r="W135" s="212"/>
      <c r="X135" s="212"/>
      <c r="Y135" s="212"/>
      <c r="Z135" s="204"/>
      <c r="AA135" s="204"/>
      <c r="AB135" s="204"/>
      <c r="AC135" s="204"/>
      <c r="AD135" s="204"/>
      <c r="AE135" s="212"/>
      <c r="AF135" s="213"/>
      <c r="AG135" s="213"/>
      <c r="AH135" s="213"/>
      <c r="AI135" s="213"/>
      <c r="AJ135" s="213"/>
      <c r="AK135" s="213"/>
      <c r="AL135" s="213"/>
      <c r="AM135" s="213"/>
      <c r="AN135" s="213"/>
      <c r="AO135" s="213"/>
      <c r="AP135" s="213"/>
      <c r="AQ135" s="213"/>
      <c r="AR135" s="213"/>
      <c r="AS135" s="213"/>
      <c r="AT135" s="213"/>
      <c r="AU135" s="213"/>
      <c r="AV135" s="213"/>
      <c r="AW135" s="213"/>
      <c r="AX135" s="213"/>
      <c r="AY135" s="213"/>
      <c r="AZ135" s="213"/>
      <c r="BA135" s="213"/>
      <c r="BB135" s="213"/>
    </row>
    <row r="136">
      <c r="A136" s="199" t="s">
        <v>2160</v>
      </c>
      <c r="B136" s="12"/>
      <c r="C136" s="202"/>
      <c r="D136" s="199"/>
      <c r="E136" s="211"/>
      <c r="F136" s="201"/>
      <c r="G136" s="199"/>
      <c r="H136" s="199"/>
      <c r="I136" s="199"/>
      <c r="J136" s="212"/>
      <c r="K136" s="212"/>
      <c r="L136" s="212"/>
      <c r="M136" s="212"/>
      <c r="N136" s="212"/>
      <c r="O136" s="212"/>
      <c r="P136" s="212"/>
      <c r="Q136" s="212"/>
      <c r="R136" s="212"/>
      <c r="S136" s="212"/>
      <c r="T136" s="212"/>
      <c r="U136" s="212"/>
      <c r="V136" s="212"/>
      <c r="W136" s="212"/>
      <c r="X136" s="212"/>
      <c r="Y136" s="212"/>
      <c r="Z136" s="204"/>
      <c r="AA136" s="204"/>
      <c r="AB136" s="204"/>
      <c r="AC136" s="204"/>
      <c r="AD136" s="204"/>
      <c r="AE136" s="212"/>
      <c r="AF136" s="213"/>
      <c r="AG136" s="213"/>
      <c r="AH136" s="213"/>
      <c r="AI136" s="213"/>
      <c r="AJ136" s="213"/>
      <c r="AK136" s="213"/>
      <c r="AL136" s="213"/>
      <c r="AM136" s="213"/>
      <c r="AN136" s="213"/>
      <c r="AO136" s="213"/>
      <c r="AP136" s="213"/>
      <c r="AQ136" s="213"/>
      <c r="AR136" s="213"/>
      <c r="AS136" s="213"/>
      <c r="AT136" s="213"/>
      <c r="AU136" s="213"/>
      <c r="AV136" s="213"/>
      <c r="AW136" s="213"/>
      <c r="AX136" s="213"/>
      <c r="AY136" s="213"/>
      <c r="AZ136" s="213"/>
      <c r="BA136" s="213"/>
      <c r="BB136" s="213"/>
    </row>
    <row r="137">
      <c r="A137" s="199" t="s">
        <v>2164</v>
      </c>
      <c r="B137" s="12"/>
      <c r="C137" s="202"/>
      <c r="D137" s="199"/>
      <c r="E137" s="211"/>
      <c r="F137" s="201"/>
      <c r="G137" s="199"/>
      <c r="H137" s="199"/>
      <c r="I137" s="199"/>
      <c r="J137" s="212"/>
      <c r="K137" s="212"/>
      <c r="L137" s="212"/>
      <c r="M137" s="212"/>
      <c r="N137" s="212"/>
      <c r="O137" s="212"/>
      <c r="P137" s="212"/>
      <c r="Q137" s="212"/>
      <c r="R137" s="212"/>
      <c r="S137" s="212"/>
      <c r="T137" s="212"/>
      <c r="U137" s="212"/>
      <c r="V137" s="212"/>
      <c r="W137" s="212"/>
      <c r="X137" s="212"/>
      <c r="Y137" s="212"/>
      <c r="Z137" s="204"/>
      <c r="AA137" s="204"/>
      <c r="AB137" s="204"/>
      <c r="AC137" s="204"/>
      <c r="AD137" s="204"/>
      <c r="AE137" s="212"/>
      <c r="AF137" s="213"/>
      <c r="AG137" s="213"/>
      <c r="AH137" s="213"/>
      <c r="AI137" s="213"/>
      <c r="AJ137" s="213"/>
      <c r="AK137" s="213"/>
      <c r="AL137" s="213"/>
      <c r="AM137" s="213"/>
      <c r="AN137" s="213"/>
      <c r="AO137" s="213"/>
      <c r="AP137" s="213"/>
      <c r="AQ137" s="213"/>
      <c r="AR137" s="213"/>
      <c r="AS137" s="213"/>
      <c r="AT137" s="213"/>
      <c r="AU137" s="213"/>
      <c r="AV137" s="213"/>
      <c r="AW137" s="213"/>
      <c r="AX137" s="213"/>
      <c r="AY137" s="213"/>
      <c r="AZ137" s="213"/>
      <c r="BA137" s="213"/>
      <c r="BB137" s="213"/>
    </row>
    <row r="138">
      <c r="A138" s="199" t="s">
        <v>2167</v>
      </c>
      <c r="B138" s="12"/>
      <c r="C138" s="202"/>
      <c r="D138" s="199"/>
      <c r="E138" s="211"/>
      <c r="F138" s="201"/>
      <c r="G138" s="199"/>
      <c r="H138" s="199"/>
      <c r="I138" s="199"/>
      <c r="J138" s="212"/>
      <c r="K138" s="212"/>
      <c r="L138" s="212"/>
      <c r="M138" s="212"/>
      <c r="N138" s="212"/>
      <c r="O138" s="212"/>
      <c r="P138" s="212"/>
      <c r="Q138" s="212"/>
      <c r="R138" s="212"/>
      <c r="S138" s="212"/>
      <c r="T138" s="212"/>
      <c r="U138" s="212"/>
      <c r="V138" s="212"/>
      <c r="W138" s="212"/>
      <c r="X138" s="212"/>
      <c r="Y138" s="212"/>
      <c r="Z138" s="204"/>
      <c r="AA138" s="204"/>
      <c r="AB138" s="204"/>
      <c r="AC138" s="204"/>
      <c r="AD138" s="204"/>
      <c r="AE138" s="212"/>
      <c r="AF138" s="213"/>
      <c r="AG138" s="213"/>
      <c r="AH138" s="213"/>
      <c r="AI138" s="213"/>
      <c r="AJ138" s="213"/>
      <c r="AK138" s="213"/>
      <c r="AL138" s="213"/>
      <c r="AM138" s="213"/>
      <c r="AN138" s="213"/>
      <c r="AO138" s="213"/>
      <c r="AP138" s="213"/>
      <c r="AQ138" s="213"/>
      <c r="AR138" s="213"/>
      <c r="AS138" s="213"/>
      <c r="AT138" s="213"/>
      <c r="AU138" s="213"/>
      <c r="AV138" s="213"/>
      <c r="AW138" s="213"/>
      <c r="AX138" s="213"/>
      <c r="AY138" s="213"/>
      <c r="AZ138" s="213"/>
      <c r="BA138" s="213"/>
      <c r="BB138" s="213"/>
    </row>
    <row r="139">
      <c r="A139" s="199" t="s">
        <v>2170</v>
      </c>
      <c r="B139" s="12"/>
      <c r="C139" s="202"/>
      <c r="D139" s="199"/>
      <c r="E139" s="211"/>
      <c r="F139" s="201"/>
      <c r="G139" s="199"/>
      <c r="H139" s="199"/>
      <c r="I139" s="199"/>
      <c r="J139" s="212"/>
      <c r="K139" s="212"/>
      <c r="L139" s="212"/>
      <c r="M139" s="212"/>
      <c r="N139" s="212"/>
      <c r="O139" s="212"/>
      <c r="P139" s="212"/>
      <c r="Q139" s="212"/>
      <c r="R139" s="212"/>
      <c r="S139" s="212"/>
      <c r="T139" s="212"/>
      <c r="U139" s="212"/>
      <c r="V139" s="212"/>
      <c r="W139" s="212"/>
      <c r="X139" s="212"/>
      <c r="Y139" s="212"/>
      <c r="Z139" s="204"/>
      <c r="AA139" s="204"/>
      <c r="AB139" s="204"/>
      <c r="AC139" s="204"/>
      <c r="AD139" s="204"/>
      <c r="AE139" s="212"/>
      <c r="AF139" s="213"/>
      <c r="AG139" s="213"/>
      <c r="AH139" s="213"/>
      <c r="AI139" s="213"/>
      <c r="AJ139" s="213"/>
      <c r="AK139" s="213"/>
      <c r="AL139" s="213"/>
      <c r="AM139" s="213"/>
      <c r="AN139" s="213"/>
      <c r="AO139" s="213"/>
      <c r="AP139" s="213"/>
      <c r="AQ139" s="213"/>
      <c r="AR139" s="213"/>
      <c r="AS139" s="213"/>
      <c r="AT139" s="213"/>
      <c r="AU139" s="213"/>
      <c r="AV139" s="213"/>
      <c r="AW139" s="213"/>
      <c r="AX139" s="213"/>
      <c r="AY139" s="213"/>
      <c r="AZ139" s="213"/>
      <c r="BA139" s="213"/>
      <c r="BB139" s="213"/>
    </row>
    <row r="140">
      <c r="A140" s="199" t="s">
        <v>2175</v>
      </c>
      <c r="B140" s="12"/>
      <c r="C140" s="202"/>
      <c r="D140" s="199"/>
      <c r="E140" s="211"/>
      <c r="F140" s="201"/>
      <c r="G140" s="199"/>
      <c r="H140" s="199"/>
      <c r="I140" s="199"/>
      <c r="J140" s="212"/>
      <c r="K140" s="212"/>
      <c r="L140" s="212"/>
      <c r="M140" s="212"/>
      <c r="N140" s="212"/>
      <c r="O140" s="212"/>
      <c r="P140" s="212"/>
      <c r="Q140" s="212"/>
      <c r="R140" s="212"/>
      <c r="S140" s="212"/>
      <c r="T140" s="212"/>
      <c r="U140" s="212"/>
      <c r="V140" s="212"/>
      <c r="W140" s="212"/>
      <c r="X140" s="212"/>
      <c r="Y140" s="212"/>
      <c r="Z140" s="204"/>
      <c r="AA140" s="204"/>
      <c r="AB140" s="204"/>
      <c r="AC140" s="204"/>
      <c r="AD140" s="204"/>
      <c r="AE140" s="212"/>
      <c r="AF140" s="213"/>
      <c r="AG140" s="213"/>
      <c r="AH140" s="213"/>
      <c r="AI140" s="213"/>
      <c r="AJ140" s="213"/>
      <c r="AK140" s="213"/>
      <c r="AL140" s="213"/>
      <c r="AM140" s="213"/>
      <c r="AN140" s="213"/>
      <c r="AO140" s="213"/>
      <c r="AP140" s="213"/>
      <c r="AQ140" s="213"/>
      <c r="AR140" s="213"/>
      <c r="AS140" s="213"/>
      <c r="AT140" s="213"/>
      <c r="AU140" s="213"/>
      <c r="AV140" s="213"/>
      <c r="AW140" s="213"/>
      <c r="AX140" s="213"/>
      <c r="AY140" s="213"/>
      <c r="AZ140" s="213"/>
      <c r="BA140" s="213"/>
      <c r="BB140" s="213"/>
    </row>
    <row r="141">
      <c r="A141" s="199" t="s">
        <v>2176</v>
      </c>
      <c r="B141" s="12"/>
      <c r="C141" s="202"/>
      <c r="D141" s="199"/>
      <c r="E141" s="211"/>
      <c r="F141" s="201"/>
      <c r="G141" s="199"/>
      <c r="H141" s="199"/>
      <c r="I141" s="199"/>
      <c r="J141" s="212"/>
      <c r="K141" s="212"/>
      <c r="L141" s="212"/>
      <c r="M141" s="212"/>
      <c r="N141" s="212"/>
      <c r="O141" s="212"/>
      <c r="P141" s="212"/>
      <c r="Q141" s="212"/>
      <c r="R141" s="212"/>
      <c r="S141" s="212"/>
      <c r="T141" s="212"/>
      <c r="U141" s="212"/>
      <c r="V141" s="212"/>
      <c r="W141" s="212"/>
      <c r="X141" s="212"/>
      <c r="Y141" s="212"/>
      <c r="Z141" s="204"/>
      <c r="AA141" s="204"/>
      <c r="AB141" s="204"/>
      <c r="AC141" s="204"/>
      <c r="AD141" s="204"/>
      <c r="AE141" s="212"/>
      <c r="AF141" s="213"/>
      <c r="AG141" s="213"/>
      <c r="AH141" s="213"/>
      <c r="AI141" s="213"/>
      <c r="AJ141" s="213"/>
      <c r="AK141" s="213"/>
      <c r="AL141" s="213"/>
      <c r="AM141" s="213"/>
      <c r="AN141" s="213"/>
      <c r="AO141" s="213"/>
      <c r="AP141" s="213"/>
      <c r="AQ141" s="213"/>
      <c r="AR141" s="213"/>
      <c r="AS141" s="213"/>
      <c r="AT141" s="213"/>
      <c r="AU141" s="213"/>
      <c r="AV141" s="213"/>
      <c r="AW141" s="213"/>
      <c r="AX141" s="213"/>
      <c r="AY141" s="213"/>
      <c r="AZ141" s="213"/>
      <c r="BA141" s="213"/>
      <c r="BB141" s="213"/>
    </row>
    <row r="142">
      <c r="A142" s="199" t="s">
        <v>2179</v>
      </c>
      <c r="B142" s="12"/>
      <c r="C142" s="202"/>
      <c r="D142" s="199"/>
      <c r="E142" s="211"/>
      <c r="F142" s="201"/>
      <c r="G142" s="199"/>
      <c r="H142" s="199"/>
      <c r="I142" s="199"/>
      <c r="J142" s="212"/>
      <c r="K142" s="212"/>
      <c r="L142" s="212"/>
      <c r="M142" s="212"/>
      <c r="N142" s="212"/>
      <c r="O142" s="212"/>
      <c r="P142" s="212"/>
      <c r="Q142" s="212"/>
      <c r="R142" s="212"/>
      <c r="S142" s="212"/>
      <c r="T142" s="212"/>
      <c r="U142" s="212"/>
      <c r="V142" s="212"/>
      <c r="W142" s="212"/>
      <c r="X142" s="212"/>
      <c r="Y142" s="212"/>
      <c r="Z142" s="204"/>
      <c r="AA142" s="204"/>
      <c r="AB142" s="204"/>
      <c r="AC142" s="204"/>
      <c r="AD142" s="204"/>
      <c r="AE142" s="212"/>
      <c r="AF142" s="213"/>
      <c r="AG142" s="213"/>
      <c r="AH142" s="213"/>
      <c r="AI142" s="213"/>
      <c r="AJ142" s="213"/>
      <c r="AK142" s="213"/>
      <c r="AL142" s="213"/>
      <c r="AM142" s="213"/>
      <c r="AN142" s="213"/>
      <c r="AO142" s="213"/>
      <c r="AP142" s="213"/>
      <c r="AQ142" s="213"/>
      <c r="AR142" s="213"/>
      <c r="AS142" s="213"/>
      <c r="AT142" s="213"/>
      <c r="AU142" s="213"/>
      <c r="AV142" s="213"/>
      <c r="AW142" s="213"/>
      <c r="AX142" s="213"/>
      <c r="AY142" s="213"/>
      <c r="AZ142" s="213"/>
      <c r="BA142" s="213"/>
      <c r="BB142" s="213"/>
    </row>
    <row r="143">
      <c r="A143" s="199" t="s">
        <v>2182</v>
      </c>
      <c r="B143" s="12"/>
      <c r="C143" s="202"/>
      <c r="D143" s="199"/>
      <c r="E143" s="211"/>
      <c r="F143" s="201"/>
      <c r="G143" s="199"/>
      <c r="H143" s="199"/>
      <c r="I143" s="199"/>
      <c r="J143" s="212"/>
      <c r="K143" s="212"/>
      <c r="L143" s="212"/>
      <c r="M143" s="212"/>
      <c r="N143" s="212"/>
      <c r="O143" s="212"/>
      <c r="P143" s="212"/>
      <c r="Q143" s="212"/>
      <c r="R143" s="212"/>
      <c r="S143" s="212"/>
      <c r="T143" s="212"/>
      <c r="U143" s="212"/>
      <c r="V143" s="212"/>
      <c r="W143" s="212"/>
      <c r="X143" s="212"/>
      <c r="Y143" s="212"/>
      <c r="Z143" s="204"/>
      <c r="AA143" s="204"/>
      <c r="AB143" s="204"/>
      <c r="AC143" s="204"/>
      <c r="AD143" s="204"/>
      <c r="AE143" s="212"/>
      <c r="AF143" s="213"/>
      <c r="AG143" s="213"/>
      <c r="AH143" s="213"/>
      <c r="AI143" s="213"/>
      <c r="AJ143" s="213"/>
      <c r="AK143" s="213"/>
      <c r="AL143" s="213"/>
      <c r="AM143" s="213"/>
      <c r="AN143" s="213"/>
      <c r="AO143" s="213"/>
      <c r="AP143" s="213"/>
      <c r="AQ143" s="213"/>
      <c r="AR143" s="213"/>
      <c r="AS143" s="213"/>
      <c r="AT143" s="213"/>
      <c r="AU143" s="213"/>
      <c r="AV143" s="213"/>
      <c r="AW143" s="213"/>
      <c r="AX143" s="213"/>
      <c r="AY143" s="213"/>
      <c r="AZ143" s="213"/>
      <c r="BA143" s="213"/>
      <c r="BB143" s="213"/>
    </row>
    <row r="144">
      <c r="A144" s="199" t="s">
        <v>2185</v>
      </c>
      <c r="B144" s="12"/>
      <c r="C144" s="202"/>
      <c r="D144" s="199"/>
      <c r="E144" s="211"/>
      <c r="F144" s="201"/>
      <c r="G144" s="199"/>
      <c r="H144" s="199"/>
      <c r="I144" s="199"/>
      <c r="J144" s="212"/>
      <c r="K144" s="212"/>
      <c r="L144" s="212"/>
      <c r="M144" s="212"/>
      <c r="N144" s="212"/>
      <c r="O144" s="212"/>
      <c r="P144" s="212"/>
      <c r="Q144" s="212"/>
      <c r="R144" s="212"/>
      <c r="S144" s="212"/>
      <c r="T144" s="212"/>
      <c r="U144" s="212"/>
      <c r="V144" s="212"/>
      <c r="W144" s="212"/>
      <c r="X144" s="212"/>
      <c r="Y144" s="212"/>
      <c r="Z144" s="204"/>
      <c r="AA144" s="204"/>
      <c r="AB144" s="204"/>
      <c r="AC144" s="204"/>
      <c r="AD144" s="204"/>
      <c r="AE144" s="212"/>
      <c r="AF144" s="213"/>
      <c r="AG144" s="213"/>
      <c r="AH144" s="213"/>
      <c r="AI144" s="213"/>
      <c r="AJ144" s="213"/>
      <c r="AK144" s="213"/>
      <c r="AL144" s="213"/>
      <c r="AM144" s="213"/>
      <c r="AN144" s="213"/>
      <c r="AO144" s="213"/>
      <c r="AP144" s="213"/>
      <c r="AQ144" s="213"/>
      <c r="AR144" s="213"/>
      <c r="AS144" s="213"/>
      <c r="AT144" s="213"/>
      <c r="AU144" s="213"/>
      <c r="AV144" s="213"/>
      <c r="AW144" s="213"/>
      <c r="AX144" s="213"/>
      <c r="AY144" s="213"/>
      <c r="AZ144" s="213"/>
      <c r="BA144" s="213"/>
      <c r="BB144" s="213"/>
    </row>
    <row r="145">
      <c r="A145" s="199" t="s">
        <v>2190</v>
      </c>
      <c r="B145" s="12"/>
      <c r="C145" s="202"/>
      <c r="D145" s="199"/>
      <c r="E145" s="211"/>
      <c r="F145" s="201"/>
      <c r="G145" s="199"/>
      <c r="H145" s="199"/>
      <c r="I145" s="199"/>
      <c r="J145" s="212"/>
      <c r="K145" s="212"/>
      <c r="L145" s="212"/>
      <c r="M145" s="212"/>
      <c r="N145" s="212"/>
      <c r="O145" s="212"/>
      <c r="P145" s="212"/>
      <c r="Q145" s="212"/>
      <c r="R145" s="212"/>
      <c r="S145" s="212"/>
      <c r="T145" s="212"/>
      <c r="U145" s="212"/>
      <c r="V145" s="212"/>
      <c r="W145" s="212"/>
      <c r="X145" s="212"/>
      <c r="Y145" s="212"/>
      <c r="Z145" s="204"/>
      <c r="AA145" s="204"/>
      <c r="AB145" s="204"/>
      <c r="AC145" s="204"/>
      <c r="AD145" s="204"/>
      <c r="AE145" s="212"/>
      <c r="AF145" s="213"/>
      <c r="AG145" s="213"/>
      <c r="AH145" s="213"/>
      <c r="AI145" s="213"/>
      <c r="AJ145" s="213"/>
      <c r="AK145" s="213"/>
      <c r="AL145" s="213"/>
      <c r="AM145" s="213"/>
      <c r="AN145" s="213"/>
      <c r="AO145" s="213"/>
      <c r="AP145" s="213"/>
      <c r="AQ145" s="213"/>
      <c r="AR145" s="213"/>
      <c r="AS145" s="213"/>
      <c r="AT145" s="213"/>
      <c r="AU145" s="213"/>
      <c r="AV145" s="213"/>
      <c r="AW145" s="213"/>
      <c r="AX145" s="213"/>
      <c r="AY145" s="213"/>
      <c r="AZ145" s="213"/>
      <c r="BA145" s="213"/>
      <c r="BB145" s="213"/>
    </row>
    <row r="146">
      <c r="A146" s="199" t="s">
        <v>2193</v>
      </c>
      <c r="B146" s="12"/>
      <c r="C146" s="202"/>
      <c r="D146" s="199"/>
      <c r="E146" s="211"/>
      <c r="F146" s="201"/>
      <c r="G146" s="199"/>
      <c r="H146" s="199"/>
      <c r="I146" s="199"/>
      <c r="J146" s="212"/>
      <c r="K146" s="212"/>
      <c r="L146" s="212"/>
      <c r="M146" s="212"/>
      <c r="N146" s="212"/>
      <c r="O146" s="212"/>
      <c r="P146" s="212"/>
      <c r="Q146" s="212"/>
      <c r="R146" s="212"/>
      <c r="S146" s="212"/>
      <c r="T146" s="212"/>
      <c r="U146" s="212"/>
      <c r="V146" s="212"/>
      <c r="W146" s="212"/>
      <c r="X146" s="212"/>
      <c r="Y146" s="212"/>
      <c r="Z146" s="204"/>
      <c r="AA146" s="204"/>
      <c r="AB146" s="204"/>
      <c r="AC146" s="204"/>
      <c r="AD146" s="204"/>
      <c r="AE146" s="212"/>
      <c r="AF146" s="213"/>
      <c r="AG146" s="213"/>
      <c r="AH146" s="213"/>
      <c r="AI146" s="213"/>
      <c r="AJ146" s="213"/>
      <c r="AK146" s="213"/>
      <c r="AL146" s="213"/>
      <c r="AM146" s="213"/>
      <c r="AN146" s="213"/>
      <c r="AO146" s="213"/>
      <c r="AP146" s="213"/>
      <c r="AQ146" s="213"/>
      <c r="AR146" s="213"/>
      <c r="AS146" s="213"/>
      <c r="AT146" s="213"/>
      <c r="AU146" s="213"/>
      <c r="AV146" s="213"/>
      <c r="AW146" s="213"/>
      <c r="AX146" s="213"/>
      <c r="AY146" s="213"/>
      <c r="AZ146" s="213"/>
      <c r="BA146" s="213"/>
      <c r="BB146" s="213"/>
    </row>
    <row r="147">
      <c r="A147" s="199" t="s">
        <v>2196</v>
      </c>
      <c r="B147" s="12"/>
      <c r="C147" s="202"/>
      <c r="D147" s="199"/>
      <c r="E147" s="211"/>
      <c r="F147" s="201"/>
      <c r="G147" s="199"/>
      <c r="H147" s="199"/>
      <c r="I147" s="199"/>
      <c r="J147" s="212"/>
      <c r="K147" s="212"/>
      <c r="L147" s="212"/>
      <c r="M147" s="212"/>
      <c r="N147" s="212"/>
      <c r="O147" s="212"/>
      <c r="P147" s="212"/>
      <c r="Q147" s="212"/>
      <c r="R147" s="212"/>
      <c r="S147" s="212"/>
      <c r="T147" s="212"/>
      <c r="U147" s="212"/>
      <c r="V147" s="212"/>
      <c r="W147" s="212"/>
      <c r="X147" s="212"/>
      <c r="Y147" s="212"/>
      <c r="Z147" s="204"/>
      <c r="AA147" s="204"/>
      <c r="AB147" s="204"/>
      <c r="AC147" s="204"/>
      <c r="AD147" s="204"/>
      <c r="AE147" s="212"/>
      <c r="AF147" s="213"/>
      <c r="AG147" s="213"/>
      <c r="AH147" s="213"/>
      <c r="AI147" s="213"/>
      <c r="AJ147" s="213"/>
      <c r="AK147" s="213"/>
      <c r="AL147" s="213"/>
      <c r="AM147" s="213"/>
      <c r="AN147" s="213"/>
      <c r="AO147" s="213"/>
      <c r="AP147" s="213"/>
      <c r="AQ147" s="213"/>
      <c r="AR147" s="213"/>
      <c r="AS147" s="213"/>
      <c r="AT147" s="213"/>
      <c r="AU147" s="213"/>
      <c r="AV147" s="213"/>
      <c r="AW147" s="213"/>
      <c r="AX147" s="213"/>
      <c r="AY147" s="213"/>
      <c r="AZ147" s="213"/>
      <c r="BA147" s="213"/>
      <c r="BB147" s="213"/>
    </row>
    <row r="148">
      <c r="A148" s="199" t="s">
        <v>2199</v>
      </c>
      <c r="B148" s="12"/>
      <c r="C148" s="202"/>
      <c r="D148" s="199"/>
      <c r="E148" s="211"/>
      <c r="F148" s="201"/>
      <c r="G148" s="199"/>
      <c r="H148" s="199"/>
      <c r="I148" s="199"/>
      <c r="J148" s="212"/>
      <c r="K148" s="212"/>
      <c r="L148" s="212"/>
      <c r="M148" s="212"/>
      <c r="N148" s="212"/>
      <c r="O148" s="212"/>
      <c r="P148" s="212"/>
      <c r="Q148" s="212"/>
      <c r="R148" s="212"/>
      <c r="S148" s="212"/>
      <c r="T148" s="212"/>
      <c r="U148" s="212"/>
      <c r="V148" s="212"/>
      <c r="W148" s="212"/>
      <c r="X148" s="212"/>
      <c r="Y148" s="212"/>
      <c r="Z148" s="204"/>
      <c r="AA148" s="204"/>
      <c r="AB148" s="204"/>
      <c r="AC148" s="204"/>
      <c r="AD148" s="204"/>
      <c r="AE148" s="212"/>
      <c r="AF148" s="213"/>
      <c r="AG148" s="213"/>
      <c r="AH148" s="213"/>
      <c r="AI148" s="213"/>
      <c r="AJ148" s="213"/>
      <c r="AK148" s="213"/>
      <c r="AL148" s="213"/>
      <c r="AM148" s="213"/>
      <c r="AN148" s="213"/>
      <c r="AO148" s="213"/>
      <c r="AP148" s="213"/>
      <c r="AQ148" s="213"/>
      <c r="AR148" s="213"/>
      <c r="AS148" s="213"/>
      <c r="AT148" s="213"/>
      <c r="AU148" s="213"/>
      <c r="AV148" s="213"/>
      <c r="AW148" s="213"/>
      <c r="AX148" s="213"/>
      <c r="AY148" s="213"/>
      <c r="AZ148" s="213"/>
      <c r="BA148" s="213"/>
      <c r="BB148" s="213"/>
    </row>
    <row r="149">
      <c r="A149" s="199" t="s">
        <v>2202</v>
      </c>
      <c r="B149" s="12"/>
      <c r="C149" s="202"/>
      <c r="D149" s="199"/>
      <c r="E149" s="211"/>
      <c r="F149" s="201"/>
      <c r="G149" s="199"/>
      <c r="H149" s="199"/>
      <c r="I149" s="199"/>
      <c r="J149" s="212"/>
      <c r="K149" s="212"/>
      <c r="L149" s="212"/>
      <c r="M149" s="212"/>
      <c r="N149" s="212"/>
      <c r="O149" s="212"/>
      <c r="P149" s="212"/>
      <c r="Q149" s="212"/>
      <c r="R149" s="212"/>
      <c r="S149" s="212"/>
      <c r="T149" s="212"/>
      <c r="U149" s="212"/>
      <c r="V149" s="212"/>
      <c r="W149" s="212"/>
      <c r="X149" s="212"/>
      <c r="Y149" s="212"/>
      <c r="Z149" s="204"/>
      <c r="AA149" s="204"/>
      <c r="AB149" s="204"/>
      <c r="AC149" s="204"/>
      <c r="AD149" s="204"/>
      <c r="AE149" s="212"/>
      <c r="AF149" s="213"/>
      <c r="AG149" s="213"/>
      <c r="AH149" s="213"/>
      <c r="AI149" s="213"/>
      <c r="AJ149" s="213"/>
      <c r="AK149" s="213"/>
      <c r="AL149" s="213"/>
      <c r="AM149" s="213"/>
      <c r="AN149" s="213"/>
      <c r="AO149" s="213"/>
      <c r="AP149" s="213"/>
      <c r="AQ149" s="213"/>
      <c r="AR149" s="213"/>
      <c r="AS149" s="213"/>
      <c r="AT149" s="213"/>
      <c r="AU149" s="213"/>
      <c r="AV149" s="213"/>
      <c r="AW149" s="213"/>
      <c r="AX149" s="213"/>
      <c r="AY149" s="213"/>
      <c r="AZ149" s="213"/>
      <c r="BA149" s="213"/>
      <c r="BB149" s="213"/>
    </row>
    <row r="150">
      <c r="A150" s="199"/>
      <c r="B150" s="12"/>
      <c r="C150" s="202"/>
      <c r="D150" s="199"/>
      <c r="E150" s="211"/>
      <c r="F150" s="201"/>
      <c r="G150" s="199"/>
      <c r="H150" s="199"/>
      <c r="I150" s="199"/>
      <c r="J150" s="212"/>
      <c r="K150" s="212"/>
      <c r="L150" s="212"/>
      <c r="M150" s="212"/>
      <c r="N150" s="212"/>
      <c r="O150" s="212"/>
      <c r="P150" s="212"/>
      <c r="Q150" s="212"/>
      <c r="R150" s="212"/>
      <c r="S150" s="212"/>
      <c r="T150" s="212"/>
      <c r="U150" s="212"/>
      <c r="V150" s="212"/>
      <c r="W150" s="212"/>
      <c r="X150" s="212"/>
      <c r="Y150" s="212"/>
      <c r="Z150" s="204"/>
      <c r="AA150" s="204"/>
      <c r="AB150" s="204"/>
      <c r="AC150" s="204"/>
      <c r="AD150" s="204"/>
      <c r="AE150" s="212"/>
      <c r="AF150" s="213"/>
      <c r="AG150" s="213"/>
      <c r="AH150" s="213"/>
      <c r="AI150" s="213"/>
      <c r="AJ150" s="213"/>
      <c r="AK150" s="213"/>
      <c r="AL150" s="213"/>
      <c r="AM150" s="213"/>
      <c r="AN150" s="213"/>
      <c r="AO150" s="213"/>
      <c r="AP150" s="213"/>
      <c r="AQ150" s="213"/>
      <c r="AR150" s="213"/>
      <c r="AS150" s="213"/>
      <c r="AT150" s="213"/>
      <c r="AU150" s="213"/>
      <c r="AV150" s="213"/>
      <c r="AW150" s="213"/>
      <c r="AX150" s="213"/>
      <c r="AY150" s="213"/>
      <c r="AZ150" s="213"/>
      <c r="BA150" s="213"/>
      <c r="BB150" s="213"/>
    </row>
    <row r="151">
      <c r="A151" s="199"/>
      <c r="B151" s="12"/>
      <c r="C151" s="202"/>
      <c r="D151" s="199"/>
      <c r="E151" s="211"/>
      <c r="F151" s="201"/>
      <c r="G151" s="199"/>
      <c r="H151" s="199"/>
      <c r="I151" s="199"/>
      <c r="J151" s="212"/>
      <c r="K151" s="212"/>
      <c r="L151" s="212"/>
      <c r="M151" s="212"/>
      <c r="N151" s="212"/>
      <c r="O151" s="212"/>
      <c r="P151" s="212"/>
      <c r="Q151" s="212"/>
      <c r="R151" s="212"/>
      <c r="S151" s="212"/>
      <c r="T151" s="212"/>
      <c r="U151" s="212"/>
      <c r="V151" s="212"/>
      <c r="W151" s="212"/>
      <c r="X151" s="212"/>
      <c r="Y151" s="212"/>
      <c r="Z151" s="204"/>
      <c r="AA151" s="204"/>
      <c r="AB151" s="204"/>
      <c r="AC151" s="204"/>
      <c r="AD151" s="204"/>
      <c r="AE151" s="212"/>
      <c r="AF151" s="213"/>
      <c r="AG151" s="213"/>
      <c r="AH151" s="213"/>
      <c r="AI151" s="213"/>
      <c r="AJ151" s="213"/>
      <c r="AK151" s="213"/>
      <c r="AL151" s="213"/>
      <c r="AM151" s="213"/>
      <c r="AN151" s="213"/>
      <c r="AO151" s="213"/>
      <c r="AP151" s="213"/>
      <c r="AQ151" s="213"/>
      <c r="AR151" s="213"/>
      <c r="AS151" s="213"/>
      <c r="AT151" s="213"/>
      <c r="AU151" s="213"/>
      <c r="AV151" s="213"/>
      <c r="AW151" s="213"/>
      <c r="AX151" s="213"/>
      <c r="AY151" s="213"/>
      <c r="AZ151" s="213"/>
      <c r="BA151" s="213"/>
      <c r="BB151" s="213"/>
    </row>
    <row r="152">
      <c r="A152" s="199"/>
      <c r="B152" s="12"/>
      <c r="C152" s="202"/>
      <c r="D152" s="199"/>
      <c r="E152" s="211"/>
      <c r="F152" s="201"/>
      <c r="G152" s="199"/>
      <c r="H152" s="199"/>
      <c r="I152" s="199"/>
      <c r="J152" s="212"/>
      <c r="K152" s="212"/>
      <c r="L152" s="212"/>
      <c r="M152" s="212"/>
      <c r="N152" s="212"/>
      <c r="O152" s="212"/>
      <c r="P152" s="212"/>
      <c r="Q152" s="212"/>
      <c r="R152" s="212"/>
      <c r="S152" s="212"/>
      <c r="T152" s="212"/>
      <c r="U152" s="212"/>
      <c r="V152" s="212"/>
      <c r="W152" s="212"/>
      <c r="X152" s="212"/>
      <c r="Y152" s="212"/>
      <c r="Z152" s="204"/>
      <c r="AA152" s="204"/>
      <c r="AB152" s="204"/>
      <c r="AC152" s="204"/>
      <c r="AD152" s="204"/>
      <c r="AE152" s="212"/>
      <c r="AF152" s="213"/>
      <c r="AG152" s="213"/>
      <c r="AH152" s="213"/>
      <c r="AI152" s="213"/>
      <c r="AJ152" s="213"/>
      <c r="AK152" s="213"/>
      <c r="AL152" s="213"/>
      <c r="AM152" s="213"/>
      <c r="AN152" s="213"/>
      <c r="AO152" s="213"/>
      <c r="AP152" s="213"/>
      <c r="AQ152" s="213"/>
      <c r="AR152" s="213"/>
      <c r="AS152" s="213"/>
      <c r="AT152" s="213"/>
      <c r="AU152" s="213"/>
      <c r="AV152" s="213"/>
      <c r="AW152" s="213"/>
      <c r="AX152" s="213"/>
      <c r="AY152" s="213"/>
      <c r="AZ152" s="213"/>
      <c r="BA152" s="213"/>
      <c r="BB152" s="213"/>
    </row>
    <row r="153">
      <c r="A153" s="199"/>
      <c r="B153" s="12"/>
      <c r="C153" s="202"/>
      <c r="D153" s="199"/>
      <c r="E153" s="211"/>
      <c r="F153" s="201"/>
      <c r="G153" s="199"/>
      <c r="H153" s="199"/>
      <c r="I153" s="199"/>
      <c r="J153" s="212"/>
      <c r="K153" s="212"/>
      <c r="L153" s="212"/>
      <c r="M153" s="212"/>
      <c r="N153" s="212"/>
      <c r="O153" s="212"/>
      <c r="P153" s="212"/>
      <c r="Q153" s="212"/>
      <c r="R153" s="212"/>
      <c r="S153" s="212"/>
      <c r="T153" s="212"/>
      <c r="U153" s="212"/>
      <c r="V153" s="212"/>
      <c r="W153" s="212"/>
      <c r="X153" s="212"/>
      <c r="Y153" s="212"/>
      <c r="Z153" s="204"/>
      <c r="AA153" s="204"/>
      <c r="AB153" s="204"/>
      <c r="AC153" s="204"/>
      <c r="AD153" s="204"/>
      <c r="AE153" s="212"/>
      <c r="AF153" s="213"/>
      <c r="AG153" s="213"/>
      <c r="AH153" s="213"/>
      <c r="AI153" s="213"/>
      <c r="AJ153" s="213"/>
      <c r="AK153" s="213"/>
      <c r="AL153" s="213"/>
      <c r="AM153" s="213"/>
      <c r="AN153" s="213"/>
      <c r="AO153" s="213"/>
      <c r="AP153" s="213"/>
      <c r="AQ153" s="213"/>
      <c r="AR153" s="213"/>
      <c r="AS153" s="213"/>
      <c r="AT153" s="213"/>
      <c r="AU153" s="213"/>
      <c r="AV153" s="213"/>
      <c r="AW153" s="213"/>
      <c r="AX153" s="213"/>
      <c r="AY153" s="213"/>
      <c r="AZ153" s="213"/>
      <c r="BA153" s="213"/>
      <c r="BB153" s="213"/>
    </row>
    <row r="154">
      <c r="A154" s="199"/>
      <c r="B154" s="12"/>
      <c r="C154" s="202"/>
      <c r="D154" s="199"/>
      <c r="E154" s="211"/>
      <c r="F154" s="201"/>
      <c r="G154" s="199"/>
      <c r="H154" s="199"/>
      <c r="I154" s="199"/>
      <c r="J154" s="212"/>
      <c r="K154" s="212"/>
      <c r="L154" s="212"/>
      <c r="M154" s="212"/>
      <c r="N154" s="212"/>
      <c r="O154" s="212"/>
      <c r="P154" s="212"/>
      <c r="Q154" s="212"/>
      <c r="R154" s="212"/>
      <c r="S154" s="212"/>
      <c r="T154" s="212"/>
      <c r="U154" s="212"/>
      <c r="V154" s="212"/>
      <c r="W154" s="212"/>
      <c r="X154" s="212"/>
      <c r="Y154" s="212"/>
      <c r="Z154" s="204"/>
      <c r="AA154" s="204"/>
      <c r="AB154" s="204"/>
      <c r="AC154" s="204"/>
      <c r="AD154" s="204"/>
      <c r="AE154" s="212"/>
      <c r="AF154" s="213"/>
      <c r="AG154" s="213"/>
      <c r="AH154" s="213"/>
      <c r="AI154" s="213"/>
      <c r="AJ154" s="213"/>
      <c r="AK154" s="213"/>
      <c r="AL154" s="213"/>
      <c r="AM154" s="213"/>
      <c r="AN154" s="213"/>
      <c r="AO154" s="213"/>
      <c r="AP154" s="213"/>
      <c r="AQ154" s="213"/>
      <c r="AR154" s="213"/>
      <c r="AS154" s="213"/>
      <c r="AT154" s="213"/>
      <c r="AU154" s="213"/>
      <c r="AV154" s="213"/>
      <c r="AW154" s="213"/>
      <c r="AX154" s="213"/>
      <c r="AY154" s="213"/>
      <c r="AZ154" s="213"/>
      <c r="BA154" s="213"/>
      <c r="BB154" s="213"/>
    </row>
    <row r="155">
      <c r="A155" s="199"/>
      <c r="B155" s="12"/>
      <c r="C155" s="202"/>
      <c r="D155" s="199"/>
      <c r="E155" s="211"/>
      <c r="F155" s="201"/>
      <c r="G155" s="199"/>
      <c r="H155" s="199"/>
      <c r="I155" s="199"/>
      <c r="J155" s="212"/>
      <c r="K155" s="212"/>
      <c r="L155" s="212"/>
      <c r="M155" s="212"/>
      <c r="N155" s="212"/>
      <c r="O155" s="212"/>
      <c r="P155" s="212"/>
      <c r="Q155" s="212"/>
      <c r="R155" s="212"/>
      <c r="S155" s="212"/>
      <c r="T155" s="212"/>
      <c r="U155" s="212"/>
      <c r="V155" s="212"/>
      <c r="W155" s="212"/>
      <c r="X155" s="212"/>
      <c r="Y155" s="212"/>
      <c r="Z155" s="204"/>
      <c r="AA155" s="204"/>
      <c r="AB155" s="204"/>
      <c r="AC155" s="204"/>
      <c r="AD155" s="204"/>
      <c r="AE155" s="212"/>
      <c r="AF155" s="213"/>
      <c r="AG155" s="213"/>
      <c r="AH155" s="213"/>
      <c r="AI155" s="213"/>
      <c r="AJ155" s="213"/>
      <c r="AK155" s="213"/>
      <c r="AL155" s="213"/>
      <c r="AM155" s="213"/>
      <c r="AN155" s="213"/>
      <c r="AO155" s="213"/>
      <c r="AP155" s="213"/>
      <c r="AQ155" s="213"/>
      <c r="AR155" s="213"/>
      <c r="AS155" s="213"/>
      <c r="AT155" s="213"/>
      <c r="AU155" s="213"/>
      <c r="AV155" s="213"/>
      <c r="AW155" s="213"/>
      <c r="AX155" s="213"/>
      <c r="AY155" s="213"/>
      <c r="AZ155" s="213"/>
      <c r="BA155" s="213"/>
      <c r="BB155" s="213"/>
    </row>
    <row r="156">
      <c r="A156" s="199"/>
      <c r="B156" s="12"/>
      <c r="C156" s="202"/>
      <c r="D156" s="199"/>
      <c r="E156" s="211"/>
      <c r="F156" s="201"/>
      <c r="G156" s="199"/>
      <c r="H156" s="199"/>
      <c r="I156" s="199"/>
      <c r="J156" s="212"/>
      <c r="K156" s="212"/>
      <c r="L156" s="212"/>
      <c r="M156" s="212"/>
      <c r="N156" s="212"/>
      <c r="O156" s="212"/>
      <c r="P156" s="212"/>
      <c r="Q156" s="212"/>
      <c r="R156" s="212"/>
      <c r="S156" s="212"/>
      <c r="T156" s="212"/>
      <c r="U156" s="212"/>
      <c r="V156" s="212"/>
      <c r="W156" s="212"/>
      <c r="X156" s="212"/>
      <c r="Y156" s="212"/>
      <c r="Z156" s="204"/>
      <c r="AA156" s="204"/>
      <c r="AB156" s="204"/>
      <c r="AC156" s="204"/>
      <c r="AD156" s="204"/>
      <c r="AE156" s="212"/>
      <c r="AF156" s="213"/>
      <c r="AG156" s="213"/>
      <c r="AH156" s="213"/>
      <c r="AI156" s="213"/>
      <c r="AJ156" s="213"/>
      <c r="AK156" s="213"/>
      <c r="AL156" s="213"/>
      <c r="AM156" s="213"/>
      <c r="AN156" s="213"/>
      <c r="AO156" s="213"/>
      <c r="AP156" s="213"/>
      <c r="AQ156" s="213"/>
      <c r="AR156" s="213"/>
      <c r="AS156" s="213"/>
      <c r="AT156" s="213"/>
      <c r="AU156" s="213"/>
      <c r="AV156" s="213"/>
      <c r="AW156" s="213"/>
      <c r="AX156" s="213"/>
      <c r="AY156" s="213"/>
      <c r="AZ156" s="213"/>
      <c r="BA156" s="213"/>
      <c r="BB156" s="213"/>
    </row>
    <row r="157">
      <c r="A157" s="199"/>
      <c r="B157" s="12"/>
      <c r="C157" s="202"/>
      <c r="D157" s="199"/>
      <c r="E157" s="211"/>
      <c r="F157" s="201"/>
      <c r="G157" s="199"/>
      <c r="H157" s="199"/>
      <c r="I157" s="199"/>
      <c r="J157" s="212"/>
      <c r="K157" s="212"/>
      <c r="L157" s="212"/>
      <c r="M157" s="212"/>
      <c r="N157" s="212"/>
      <c r="O157" s="212"/>
      <c r="P157" s="212"/>
      <c r="Q157" s="212"/>
      <c r="R157" s="212"/>
      <c r="S157" s="212"/>
      <c r="T157" s="212"/>
      <c r="U157" s="212"/>
      <c r="V157" s="212"/>
      <c r="W157" s="212"/>
      <c r="X157" s="212"/>
      <c r="Y157" s="212"/>
      <c r="Z157" s="204"/>
      <c r="AA157" s="204"/>
      <c r="AB157" s="204"/>
      <c r="AC157" s="204"/>
      <c r="AD157" s="204"/>
      <c r="AE157" s="212"/>
      <c r="AF157" s="213"/>
      <c r="AG157" s="213"/>
      <c r="AH157" s="213"/>
      <c r="AI157" s="213"/>
      <c r="AJ157" s="213"/>
      <c r="AK157" s="213"/>
      <c r="AL157" s="213"/>
      <c r="AM157" s="213"/>
      <c r="AN157" s="213"/>
      <c r="AO157" s="213"/>
      <c r="AP157" s="213"/>
      <c r="AQ157" s="213"/>
      <c r="AR157" s="213"/>
      <c r="AS157" s="213"/>
      <c r="AT157" s="213"/>
      <c r="AU157" s="213"/>
      <c r="AV157" s="213"/>
      <c r="AW157" s="213"/>
      <c r="AX157" s="213"/>
      <c r="AY157" s="213"/>
      <c r="AZ157" s="213"/>
      <c r="BA157" s="213"/>
      <c r="BB157" s="213"/>
    </row>
    <row r="158">
      <c r="A158" s="199"/>
      <c r="B158" s="12"/>
      <c r="C158" s="202"/>
      <c r="D158" s="199"/>
      <c r="E158" s="211"/>
      <c r="F158" s="201"/>
      <c r="G158" s="199"/>
      <c r="H158" s="199"/>
      <c r="I158" s="199"/>
      <c r="J158" s="212"/>
      <c r="K158" s="212"/>
      <c r="L158" s="212"/>
      <c r="M158" s="212"/>
      <c r="N158" s="212"/>
      <c r="O158" s="212"/>
      <c r="P158" s="212"/>
      <c r="Q158" s="212"/>
      <c r="R158" s="212"/>
      <c r="S158" s="212"/>
      <c r="T158" s="212"/>
      <c r="U158" s="212"/>
      <c r="V158" s="212"/>
      <c r="W158" s="212"/>
      <c r="X158" s="212"/>
      <c r="Y158" s="212"/>
      <c r="Z158" s="204"/>
      <c r="AA158" s="204"/>
      <c r="AB158" s="204"/>
      <c r="AC158" s="204"/>
      <c r="AD158" s="204"/>
      <c r="AE158" s="212"/>
      <c r="AF158" s="213"/>
      <c r="AG158" s="213"/>
      <c r="AH158" s="213"/>
      <c r="AI158" s="213"/>
      <c r="AJ158" s="213"/>
      <c r="AK158" s="213"/>
      <c r="AL158" s="213"/>
      <c r="AM158" s="213"/>
      <c r="AN158" s="213"/>
      <c r="AO158" s="213"/>
      <c r="AP158" s="213"/>
      <c r="AQ158" s="213"/>
      <c r="AR158" s="213"/>
      <c r="AS158" s="213"/>
      <c r="AT158" s="213"/>
      <c r="AU158" s="213"/>
      <c r="AV158" s="213"/>
      <c r="AW158" s="213"/>
      <c r="AX158" s="213"/>
      <c r="AY158" s="213"/>
      <c r="AZ158" s="213"/>
      <c r="BA158" s="213"/>
      <c r="BB158" s="213"/>
    </row>
    <row r="159">
      <c r="A159" s="199"/>
      <c r="B159" s="12"/>
      <c r="C159" s="202"/>
      <c r="D159" s="199"/>
      <c r="E159" s="211"/>
      <c r="F159" s="201"/>
      <c r="G159" s="199"/>
      <c r="H159" s="199"/>
      <c r="I159" s="199"/>
      <c r="J159" s="212"/>
      <c r="K159" s="212"/>
      <c r="L159" s="212"/>
      <c r="M159" s="212"/>
      <c r="N159" s="212"/>
      <c r="O159" s="212"/>
      <c r="P159" s="212"/>
      <c r="Q159" s="212"/>
      <c r="R159" s="212"/>
      <c r="S159" s="212"/>
      <c r="T159" s="212"/>
      <c r="U159" s="212"/>
      <c r="V159" s="212"/>
      <c r="W159" s="212"/>
      <c r="X159" s="212"/>
      <c r="Y159" s="212"/>
      <c r="Z159" s="204"/>
      <c r="AA159" s="204"/>
      <c r="AB159" s="204"/>
      <c r="AC159" s="204"/>
      <c r="AD159" s="204"/>
      <c r="AE159" s="212"/>
      <c r="AF159" s="213"/>
      <c r="AG159" s="213"/>
      <c r="AH159" s="213"/>
      <c r="AI159" s="213"/>
      <c r="AJ159" s="213"/>
      <c r="AK159" s="213"/>
      <c r="AL159" s="213"/>
      <c r="AM159" s="213"/>
      <c r="AN159" s="213"/>
      <c r="AO159" s="213"/>
      <c r="AP159" s="213"/>
      <c r="AQ159" s="213"/>
      <c r="AR159" s="213"/>
      <c r="AS159" s="213"/>
      <c r="AT159" s="213"/>
      <c r="AU159" s="213"/>
      <c r="AV159" s="213"/>
      <c r="AW159" s="213"/>
      <c r="AX159" s="213"/>
      <c r="AY159" s="213"/>
      <c r="AZ159" s="213"/>
      <c r="BA159" s="213"/>
      <c r="BB159" s="213"/>
    </row>
    <row r="160">
      <c r="A160" s="199"/>
      <c r="B160" s="12"/>
      <c r="C160" s="202"/>
      <c r="D160" s="199"/>
      <c r="E160" s="211"/>
      <c r="F160" s="201"/>
      <c r="G160" s="199"/>
      <c r="H160" s="199"/>
      <c r="I160" s="199"/>
      <c r="J160" s="212"/>
      <c r="K160" s="212"/>
      <c r="L160" s="212"/>
      <c r="M160" s="212"/>
      <c r="N160" s="212"/>
      <c r="O160" s="212"/>
      <c r="P160" s="212"/>
      <c r="Q160" s="212"/>
      <c r="R160" s="212"/>
      <c r="S160" s="212"/>
      <c r="T160" s="212"/>
      <c r="U160" s="212"/>
      <c r="V160" s="212"/>
      <c r="W160" s="212"/>
      <c r="X160" s="212"/>
      <c r="Y160" s="212"/>
      <c r="Z160" s="204"/>
      <c r="AA160" s="204"/>
      <c r="AB160" s="204"/>
      <c r="AC160" s="204"/>
      <c r="AD160" s="204"/>
      <c r="AE160" s="212"/>
      <c r="AF160" s="213"/>
      <c r="AG160" s="213"/>
      <c r="AH160" s="213"/>
      <c r="AI160" s="213"/>
      <c r="AJ160" s="213"/>
      <c r="AK160" s="213"/>
      <c r="AL160" s="213"/>
      <c r="AM160" s="213"/>
      <c r="AN160" s="213"/>
      <c r="AO160" s="213"/>
      <c r="AP160" s="213"/>
      <c r="AQ160" s="213"/>
      <c r="AR160" s="213"/>
      <c r="AS160" s="213"/>
      <c r="AT160" s="213"/>
      <c r="AU160" s="213"/>
      <c r="AV160" s="213"/>
      <c r="AW160" s="213"/>
      <c r="AX160" s="213"/>
      <c r="AY160" s="213"/>
      <c r="AZ160" s="213"/>
      <c r="BA160" s="213"/>
      <c r="BB160" s="213"/>
    </row>
    <row r="161">
      <c r="A161" s="199"/>
      <c r="B161" s="12"/>
      <c r="C161" s="202"/>
      <c r="D161" s="199"/>
      <c r="E161" s="211"/>
      <c r="F161" s="201"/>
      <c r="G161" s="199"/>
      <c r="H161" s="199"/>
      <c r="I161" s="199"/>
      <c r="J161" s="212"/>
      <c r="K161" s="212"/>
      <c r="L161" s="212"/>
      <c r="M161" s="212"/>
      <c r="N161" s="212"/>
      <c r="O161" s="212"/>
      <c r="P161" s="212"/>
      <c r="Q161" s="212"/>
      <c r="R161" s="212"/>
      <c r="S161" s="212"/>
      <c r="T161" s="212"/>
      <c r="U161" s="212"/>
      <c r="V161" s="212"/>
      <c r="W161" s="212"/>
      <c r="X161" s="212"/>
      <c r="Y161" s="212"/>
      <c r="Z161" s="204"/>
      <c r="AA161" s="204"/>
      <c r="AB161" s="204"/>
      <c r="AC161" s="204"/>
      <c r="AD161" s="204"/>
      <c r="AE161" s="212"/>
      <c r="AF161" s="213"/>
      <c r="AG161" s="213"/>
      <c r="AH161" s="213"/>
      <c r="AI161" s="213"/>
      <c r="AJ161" s="213"/>
      <c r="AK161" s="213"/>
      <c r="AL161" s="213"/>
      <c r="AM161" s="213"/>
      <c r="AN161" s="213"/>
      <c r="AO161" s="213"/>
      <c r="AP161" s="213"/>
      <c r="AQ161" s="213"/>
      <c r="AR161" s="213"/>
      <c r="AS161" s="213"/>
      <c r="AT161" s="213"/>
      <c r="AU161" s="213"/>
      <c r="AV161" s="213"/>
      <c r="AW161" s="213"/>
      <c r="AX161" s="213"/>
      <c r="AY161" s="213"/>
      <c r="AZ161" s="213"/>
      <c r="BA161" s="213"/>
      <c r="BB161" s="213"/>
    </row>
    <row r="162">
      <c r="A162" s="199"/>
      <c r="B162" s="12"/>
      <c r="C162" s="202"/>
      <c r="D162" s="199"/>
      <c r="E162" s="211"/>
      <c r="F162" s="201"/>
      <c r="G162" s="199"/>
      <c r="H162" s="199"/>
      <c r="I162" s="199"/>
      <c r="J162" s="212"/>
      <c r="K162" s="212"/>
      <c r="L162" s="212"/>
      <c r="M162" s="212"/>
      <c r="N162" s="212"/>
      <c r="O162" s="212"/>
      <c r="P162" s="212"/>
      <c r="Q162" s="212"/>
      <c r="R162" s="212"/>
      <c r="S162" s="212"/>
      <c r="T162" s="212"/>
      <c r="U162" s="212"/>
      <c r="V162" s="212"/>
      <c r="W162" s="212"/>
      <c r="X162" s="212"/>
      <c r="Y162" s="212"/>
      <c r="Z162" s="204"/>
      <c r="AA162" s="204"/>
      <c r="AB162" s="204"/>
      <c r="AC162" s="204"/>
      <c r="AD162" s="204"/>
      <c r="AE162" s="212"/>
      <c r="AF162" s="213"/>
      <c r="AG162" s="213"/>
      <c r="AH162" s="213"/>
      <c r="AI162" s="213"/>
      <c r="AJ162" s="213"/>
      <c r="AK162" s="213"/>
      <c r="AL162" s="213"/>
      <c r="AM162" s="213"/>
      <c r="AN162" s="213"/>
      <c r="AO162" s="213"/>
      <c r="AP162" s="213"/>
      <c r="AQ162" s="213"/>
      <c r="AR162" s="213"/>
      <c r="AS162" s="213"/>
      <c r="AT162" s="213"/>
      <c r="AU162" s="213"/>
      <c r="AV162" s="213"/>
      <c r="AW162" s="213"/>
      <c r="AX162" s="213"/>
      <c r="AY162" s="213"/>
      <c r="AZ162" s="213"/>
      <c r="BA162" s="213"/>
      <c r="BB162" s="213"/>
    </row>
    <row r="163">
      <c r="A163" s="199"/>
      <c r="B163" s="12"/>
      <c r="C163" s="202"/>
      <c r="D163" s="199"/>
      <c r="E163" s="211"/>
      <c r="F163" s="201"/>
      <c r="G163" s="199"/>
      <c r="H163" s="199"/>
      <c r="I163" s="199"/>
      <c r="J163" s="212"/>
      <c r="K163" s="212"/>
      <c r="L163" s="212"/>
      <c r="M163" s="212"/>
      <c r="N163" s="212"/>
      <c r="O163" s="212"/>
      <c r="P163" s="212"/>
      <c r="Q163" s="212"/>
      <c r="R163" s="212"/>
      <c r="S163" s="212"/>
      <c r="T163" s="212"/>
      <c r="U163" s="212"/>
      <c r="V163" s="212"/>
      <c r="W163" s="212"/>
      <c r="X163" s="212"/>
      <c r="Y163" s="212"/>
      <c r="Z163" s="204"/>
      <c r="AA163" s="204"/>
      <c r="AB163" s="204"/>
      <c r="AC163" s="204"/>
      <c r="AD163" s="204"/>
      <c r="AE163" s="212"/>
      <c r="AF163" s="213"/>
      <c r="AG163" s="213"/>
      <c r="AH163" s="213"/>
      <c r="AI163" s="213"/>
      <c r="AJ163" s="213"/>
      <c r="AK163" s="213"/>
      <c r="AL163" s="213"/>
      <c r="AM163" s="213"/>
      <c r="AN163" s="213"/>
      <c r="AO163" s="213"/>
      <c r="AP163" s="213"/>
      <c r="AQ163" s="213"/>
      <c r="AR163" s="213"/>
      <c r="AS163" s="213"/>
      <c r="AT163" s="213"/>
      <c r="AU163" s="213"/>
      <c r="AV163" s="213"/>
      <c r="AW163" s="213"/>
      <c r="AX163" s="213"/>
      <c r="AY163" s="213"/>
      <c r="AZ163" s="213"/>
      <c r="BA163" s="213"/>
      <c r="BB163" s="213"/>
    </row>
    <row r="164">
      <c r="A164" s="199"/>
      <c r="B164" s="12"/>
      <c r="C164" s="202"/>
      <c r="D164" s="199"/>
      <c r="E164" s="211"/>
      <c r="F164" s="201"/>
      <c r="G164" s="199"/>
      <c r="H164" s="199"/>
      <c r="I164" s="199"/>
      <c r="J164" s="212"/>
      <c r="K164" s="212"/>
      <c r="L164" s="212"/>
      <c r="M164" s="212"/>
      <c r="N164" s="212"/>
      <c r="O164" s="212"/>
      <c r="P164" s="212"/>
      <c r="Q164" s="212"/>
      <c r="R164" s="212"/>
      <c r="S164" s="212"/>
      <c r="T164" s="212"/>
      <c r="U164" s="212"/>
      <c r="V164" s="212"/>
      <c r="W164" s="212"/>
      <c r="X164" s="212"/>
      <c r="Y164" s="212"/>
      <c r="Z164" s="204"/>
      <c r="AA164" s="204"/>
      <c r="AB164" s="204"/>
      <c r="AC164" s="204"/>
      <c r="AD164" s="204"/>
      <c r="AE164" s="212"/>
      <c r="AF164" s="213"/>
      <c r="AG164" s="213"/>
      <c r="AH164" s="213"/>
      <c r="AI164" s="213"/>
      <c r="AJ164" s="213"/>
      <c r="AK164" s="213"/>
      <c r="AL164" s="213"/>
      <c r="AM164" s="213"/>
      <c r="AN164" s="213"/>
      <c r="AO164" s="213"/>
      <c r="AP164" s="213"/>
      <c r="AQ164" s="213"/>
      <c r="AR164" s="213"/>
      <c r="AS164" s="213"/>
      <c r="AT164" s="213"/>
      <c r="AU164" s="213"/>
      <c r="AV164" s="213"/>
      <c r="AW164" s="213"/>
      <c r="AX164" s="213"/>
      <c r="AY164" s="213"/>
      <c r="AZ164" s="213"/>
      <c r="BA164" s="213"/>
      <c r="BB164" s="213"/>
    </row>
    <row r="165">
      <c r="A165" s="199"/>
      <c r="B165" s="12"/>
      <c r="C165" s="202"/>
      <c r="D165" s="199"/>
      <c r="E165" s="211"/>
      <c r="F165" s="201"/>
      <c r="G165" s="199"/>
      <c r="H165" s="199"/>
      <c r="I165" s="199"/>
      <c r="J165" s="212"/>
      <c r="K165" s="212"/>
      <c r="L165" s="212"/>
      <c r="M165" s="212"/>
      <c r="N165" s="212"/>
      <c r="O165" s="212"/>
      <c r="P165" s="212"/>
      <c r="Q165" s="212"/>
      <c r="R165" s="212"/>
      <c r="S165" s="212"/>
      <c r="T165" s="212"/>
      <c r="U165" s="212"/>
      <c r="V165" s="212"/>
      <c r="W165" s="212"/>
      <c r="X165" s="212"/>
      <c r="Y165" s="212"/>
      <c r="Z165" s="204"/>
      <c r="AA165" s="204"/>
      <c r="AB165" s="204"/>
      <c r="AC165" s="204"/>
      <c r="AD165" s="204"/>
      <c r="AE165" s="212"/>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row>
    <row r="166">
      <c r="A166" s="199"/>
      <c r="B166" s="12"/>
      <c r="C166" s="202"/>
      <c r="D166" s="199"/>
      <c r="E166" s="211"/>
      <c r="F166" s="201"/>
      <c r="G166" s="199"/>
      <c r="H166" s="199"/>
      <c r="I166" s="199"/>
      <c r="J166" s="212"/>
      <c r="K166" s="212"/>
      <c r="L166" s="212"/>
      <c r="M166" s="212"/>
      <c r="N166" s="212"/>
      <c r="O166" s="212"/>
      <c r="P166" s="212"/>
      <c r="Q166" s="212"/>
      <c r="R166" s="212"/>
      <c r="S166" s="212"/>
      <c r="T166" s="212"/>
      <c r="U166" s="212"/>
      <c r="V166" s="212"/>
      <c r="W166" s="212"/>
      <c r="X166" s="212"/>
      <c r="Y166" s="212"/>
      <c r="Z166" s="204"/>
      <c r="AA166" s="204"/>
      <c r="AB166" s="204"/>
      <c r="AC166" s="204"/>
      <c r="AD166" s="204"/>
      <c r="AE166" s="212"/>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row>
    <row r="167">
      <c r="A167" s="199"/>
      <c r="B167" s="12"/>
      <c r="C167" s="202"/>
      <c r="D167" s="199"/>
      <c r="E167" s="211"/>
      <c r="F167" s="201"/>
      <c r="G167" s="199"/>
      <c r="H167" s="199"/>
      <c r="I167" s="199"/>
      <c r="J167" s="212"/>
      <c r="K167" s="212"/>
      <c r="L167" s="212"/>
      <c r="M167" s="212"/>
      <c r="N167" s="212"/>
      <c r="O167" s="212"/>
      <c r="P167" s="212"/>
      <c r="Q167" s="212"/>
      <c r="R167" s="212"/>
      <c r="S167" s="212"/>
      <c r="T167" s="212"/>
      <c r="U167" s="212"/>
      <c r="V167" s="212"/>
      <c r="W167" s="212"/>
      <c r="X167" s="212"/>
      <c r="Y167" s="212"/>
      <c r="Z167" s="204"/>
      <c r="AA167" s="204"/>
      <c r="AB167" s="204"/>
      <c r="AC167" s="204"/>
      <c r="AD167" s="204"/>
      <c r="AE167" s="212"/>
      <c r="AF167" s="213"/>
      <c r="AG167" s="213"/>
      <c r="AH167" s="213"/>
      <c r="AI167" s="213"/>
      <c r="AJ167" s="213"/>
      <c r="AK167" s="213"/>
      <c r="AL167" s="213"/>
      <c r="AM167" s="213"/>
      <c r="AN167" s="213"/>
      <c r="AO167" s="213"/>
      <c r="AP167" s="213"/>
      <c r="AQ167" s="213"/>
      <c r="AR167" s="213"/>
      <c r="AS167" s="213"/>
      <c r="AT167" s="213"/>
      <c r="AU167" s="213"/>
      <c r="AV167" s="213"/>
      <c r="AW167" s="213"/>
      <c r="AX167" s="213"/>
      <c r="AY167" s="213"/>
      <c r="AZ167" s="213"/>
      <c r="BA167" s="213"/>
      <c r="BB167" s="213"/>
    </row>
    <row r="168">
      <c r="A168" s="199"/>
      <c r="B168" s="12"/>
      <c r="C168" s="202"/>
      <c r="D168" s="199"/>
      <c r="E168" s="211"/>
      <c r="F168" s="201"/>
      <c r="G168" s="199"/>
      <c r="H168" s="199"/>
      <c r="I168" s="199"/>
      <c r="J168" s="212"/>
      <c r="K168" s="212"/>
      <c r="L168" s="212"/>
      <c r="M168" s="212"/>
      <c r="N168" s="212"/>
      <c r="O168" s="212"/>
      <c r="P168" s="212"/>
      <c r="Q168" s="212"/>
      <c r="R168" s="212"/>
      <c r="S168" s="212"/>
      <c r="T168" s="212"/>
      <c r="U168" s="212"/>
      <c r="V168" s="212"/>
      <c r="W168" s="212"/>
      <c r="X168" s="212"/>
      <c r="Y168" s="212"/>
      <c r="Z168" s="204"/>
      <c r="AA168" s="204"/>
      <c r="AB168" s="204"/>
      <c r="AC168" s="204"/>
      <c r="AD168" s="204"/>
      <c r="AE168" s="212"/>
      <c r="AF168" s="213"/>
      <c r="AG168" s="213"/>
      <c r="AH168" s="213"/>
      <c r="AI168" s="213"/>
      <c r="AJ168" s="213"/>
      <c r="AK168" s="213"/>
      <c r="AL168" s="213"/>
      <c r="AM168" s="213"/>
      <c r="AN168" s="213"/>
      <c r="AO168" s="213"/>
      <c r="AP168" s="213"/>
      <c r="AQ168" s="213"/>
      <c r="AR168" s="213"/>
      <c r="AS168" s="213"/>
      <c r="AT168" s="213"/>
      <c r="AU168" s="213"/>
      <c r="AV168" s="213"/>
      <c r="AW168" s="213"/>
      <c r="AX168" s="213"/>
      <c r="AY168" s="213"/>
      <c r="AZ168" s="213"/>
      <c r="BA168" s="213"/>
      <c r="BB168" s="213"/>
    </row>
    <row r="169">
      <c r="A169" s="199"/>
      <c r="B169" s="12"/>
      <c r="C169" s="202"/>
      <c r="D169" s="199"/>
      <c r="E169" s="211"/>
      <c r="F169" s="201"/>
      <c r="G169" s="199"/>
      <c r="H169" s="199"/>
      <c r="I169" s="199"/>
      <c r="J169" s="212"/>
      <c r="K169" s="212"/>
      <c r="L169" s="212"/>
      <c r="M169" s="212"/>
      <c r="N169" s="212"/>
      <c r="O169" s="212"/>
      <c r="P169" s="212"/>
      <c r="Q169" s="212"/>
      <c r="R169" s="212"/>
      <c r="S169" s="212"/>
      <c r="T169" s="212"/>
      <c r="U169" s="212"/>
      <c r="V169" s="212"/>
      <c r="W169" s="212"/>
      <c r="X169" s="212"/>
      <c r="Y169" s="212"/>
      <c r="Z169" s="204"/>
      <c r="AA169" s="204"/>
      <c r="AB169" s="204"/>
      <c r="AC169" s="204"/>
      <c r="AD169" s="204"/>
      <c r="AE169" s="212"/>
      <c r="AF169" s="213"/>
      <c r="AG169" s="213"/>
      <c r="AH169" s="213"/>
      <c r="AI169" s="213"/>
      <c r="AJ169" s="213"/>
      <c r="AK169" s="213"/>
      <c r="AL169" s="213"/>
      <c r="AM169" s="213"/>
      <c r="AN169" s="213"/>
      <c r="AO169" s="213"/>
      <c r="AP169" s="213"/>
      <c r="AQ169" s="213"/>
      <c r="AR169" s="213"/>
      <c r="AS169" s="213"/>
      <c r="AT169" s="213"/>
      <c r="AU169" s="213"/>
      <c r="AV169" s="213"/>
      <c r="AW169" s="213"/>
      <c r="AX169" s="213"/>
      <c r="AY169" s="213"/>
      <c r="AZ169" s="213"/>
      <c r="BA169" s="213"/>
      <c r="BB169" s="213"/>
    </row>
    <row r="170">
      <c r="A170" s="199"/>
      <c r="B170" s="12"/>
      <c r="C170" s="202"/>
      <c r="D170" s="199"/>
      <c r="E170" s="211"/>
      <c r="F170" s="201"/>
      <c r="G170" s="199"/>
      <c r="H170" s="199"/>
      <c r="I170" s="199"/>
      <c r="J170" s="212"/>
      <c r="K170" s="212"/>
      <c r="L170" s="212"/>
      <c r="M170" s="212"/>
      <c r="N170" s="212"/>
      <c r="O170" s="212"/>
      <c r="P170" s="212"/>
      <c r="Q170" s="212"/>
      <c r="R170" s="212"/>
      <c r="S170" s="212"/>
      <c r="T170" s="212"/>
      <c r="U170" s="212"/>
      <c r="V170" s="212"/>
      <c r="W170" s="212"/>
      <c r="X170" s="212"/>
      <c r="Y170" s="212"/>
      <c r="Z170" s="204"/>
      <c r="AA170" s="204"/>
      <c r="AB170" s="204"/>
      <c r="AC170" s="204"/>
      <c r="AD170" s="204"/>
      <c r="AE170" s="212"/>
      <c r="AF170" s="213"/>
      <c r="AG170" s="213"/>
      <c r="AH170" s="213"/>
      <c r="AI170" s="213"/>
      <c r="AJ170" s="213"/>
      <c r="AK170" s="213"/>
      <c r="AL170" s="213"/>
      <c r="AM170" s="213"/>
      <c r="AN170" s="213"/>
      <c r="AO170" s="213"/>
      <c r="AP170" s="213"/>
      <c r="AQ170" s="213"/>
      <c r="AR170" s="213"/>
      <c r="AS170" s="213"/>
      <c r="AT170" s="213"/>
      <c r="AU170" s="213"/>
      <c r="AV170" s="213"/>
      <c r="AW170" s="213"/>
      <c r="AX170" s="213"/>
      <c r="AY170" s="213"/>
      <c r="AZ170" s="213"/>
      <c r="BA170" s="213"/>
      <c r="BB170" s="213"/>
    </row>
    <row r="171">
      <c r="A171" s="199"/>
      <c r="B171" s="12"/>
      <c r="C171" s="202"/>
      <c r="D171" s="199"/>
      <c r="E171" s="211"/>
      <c r="F171" s="201"/>
      <c r="G171" s="199"/>
      <c r="H171" s="199"/>
      <c r="I171" s="199"/>
      <c r="J171" s="212"/>
      <c r="K171" s="212"/>
      <c r="L171" s="212"/>
      <c r="M171" s="212"/>
      <c r="N171" s="212"/>
      <c r="O171" s="212"/>
      <c r="P171" s="212"/>
      <c r="Q171" s="212"/>
      <c r="R171" s="212"/>
      <c r="S171" s="212"/>
      <c r="T171" s="212"/>
      <c r="U171" s="212"/>
      <c r="V171" s="212"/>
      <c r="W171" s="212"/>
      <c r="X171" s="212"/>
      <c r="Y171" s="212"/>
      <c r="Z171" s="204"/>
      <c r="AA171" s="204"/>
      <c r="AB171" s="204"/>
      <c r="AC171" s="204"/>
      <c r="AD171" s="204"/>
      <c r="AE171" s="212"/>
      <c r="AF171" s="213"/>
      <c r="AG171" s="213"/>
      <c r="AH171" s="213"/>
      <c r="AI171" s="213"/>
      <c r="AJ171" s="213"/>
      <c r="AK171" s="213"/>
      <c r="AL171" s="213"/>
      <c r="AM171" s="213"/>
      <c r="AN171" s="213"/>
      <c r="AO171" s="213"/>
      <c r="AP171" s="213"/>
      <c r="AQ171" s="213"/>
      <c r="AR171" s="213"/>
      <c r="AS171" s="213"/>
      <c r="AT171" s="213"/>
      <c r="AU171" s="213"/>
      <c r="AV171" s="213"/>
      <c r="AW171" s="213"/>
      <c r="AX171" s="213"/>
      <c r="AY171" s="213"/>
      <c r="AZ171" s="213"/>
      <c r="BA171" s="213"/>
      <c r="BB171" s="213"/>
    </row>
    <row r="172">
      <c r="A172" s="199"/>
      <c r="B172" s="12"/>
      <c r="C172" s="202"/>
      <c r="D172" s="199"/>
      <c r="E172" s="211"/>
      <c r="F172" s="201"/>
      <c r="G172" s="199"/>
      <c r="H172" s="199"/>
      <c r="I172" s="199"/>
      <c r="J172" s="212"/>
      <c r="K172" s="212"/>
      <c r="L172" s="212"/>
      <c r="M172" s="212"/>
      <c r="N172" s="212"/>
      <c r="O172" s="212"/>
      <c r="P172" s="212"/>
      <c r="Q172" s="212"/>
      <c r="R172" s="212"/>
      <c r="S172" s="212"/>
      <c r="T172" s="212"/>
      <c r="U172" s="212"/>
      <c r="V172" s="212"/>
      <c r="W172" s="212"/>
      <c r="X172" s="212"/>
      <c r="Y172" s="212"/>
      <c r="Z172" s="204"/>
      <c r="AA172" s="204"/>
      <c r="AB172" s="204"/>
      <c r="AC172" s="204"/>
      <c r="AD172" s="204"/>
      <c r="AE172" s="212"/>
      <c r="AF172" s="213"/>
      <c r="AG172" s="213"/>
      <c r="AH172" s="213"/>
      <c r="AI172" s="213"/>
      <c r="AJ172" s="213"/>
      <c r="AK172" s="213"/>
      <c r="AL172" s="213"/>
      <c r="AM172" s="213"/>
      <c r="AN172" s="213"/>
      <c r="AO172" s="213"/>
      <c r="AP172" s="213"/>
      <c r="AQ172" s="213"/>
      <c r="AR172" s="213"/>
      <c r="AS172" s="213"/>
      <c r="AT172" s="213"/>
      <c r="AU172" s="213"/>
      <c r="AV172" s="213"/>
      <c r="AW172" s="213"/>
      <c r="AX172" s="213"/>
      <c r="AY172" s="213"/>
      <c r="AZ172" s="213"/>
      <c r="BA172" s="213"/>
      <c r="BB172" s="213"/>
    </row>
    <row r="173">
      <c r="A173" s="199"/>
      <c r="B173" s="12"/>
      <c r="C173" s="202"/>
      <c r="D173" s="199"/>
      <c r="E173" s="211"/>
      <c r="F173" s="201"/>
      <c r="G173" s="199"/>
      <c r="H173" s="199"/>
      <c r="I173" s="199"/>
      <c r="J173" s="212"/>
      <c r="K173" s="212"/>
      <c r="L173" s="212"/>
      <c r="M173" s="212"/>
      <c r="N173" s="212"/>
      <c r="O173" s="212"/>
      <c r="P173" s="212"/>
      <c r="Q173" s="212"/>
      <c r="R173" s="212"/>
      <c r="S173" s="212"/>
      <c r="T173" s="212"/>
      <c r="U173" s="212"/>
      <c r="V173" s="212"/>
      <c r="W173" s="212"/>
      <c r="X173" s="212"/>
      <c r="Y173" s="212"/>
      <c r="Z173" s="204"/>
      <c r="AA173" s="204"/>
      <c r="AB173" s="204"/>
      <c r="AC173" s="204"/>
      <c r="AD173" s="204"/>
      <c r="AE173" s="212"/>
      <c r="AF173" s="213"/>
      <c r="AG173" s="213"/>
      <c r="AH173" s="213"/>
      <c r="AI173" s="213"/>
      <c r="AJ173" s="213"/>
      <c r="AK173" s="213"/>
      <c r="AL173" s="213"/>
      <c r="AM173" s="213"/>
      <c r="AN173" s="213"/>
      <c r="AO173" s="213"/>
      <c r="AP173" s="213"/>
      <c r="AQ173" s="213"/>
      <c r="AR173" s="213"/>
      <c r="AS173" s="213"/>
      <c r="AT173" s="213"/>
      <c r="AU173" s="213"/>
      <c r="AV173" s="213"/>
      <c r="AW173" s="213"/>
      <c r="AX173" s="213"/>
      <c r="AY173" s="213"/>
      <c r="AZ173" s="213"/>
      <c r="BA173" s="213"/>
      <c r="BB173" s="213"/>
    </row>
    <row r="174">
      <c r="A174" s="199"/>
      <c r="B174" s="12"/>
      <c r="C174" s="202"/>
      <c r="D174" s="199"/>
      <c r="E174" s="211"/>
      <c r="F174" s="201"/>
      <c r="G174" s="199"/>
      <c r="H174" s="199"/>
      <c r="I174" s="199"/>
      <c r="J174" s="212"/>
      <c r="K174" s="212"/>
      <c r="L174" s="212"/>
      <c r="M174" s="212"/>
      <c r="N174" s="212"/>
      <c r="O174" s="212"/>
      <c r="P174" s="212"/>
      <c r="Q174" s="212"/>
      <c r="R174" s="212"/>
      <c r="S174" s="212"/>
      <c r="T174" s="212"/>
      <c r="U174" s="212"/>
      <c r="V174" s="212"/>
      <c r="W174" s="212"/>
      <c r="X174" s="212"/>
      <c r="Y174" s="212"/>
      <c r="Z174" s="204"/>
      <c r="AA174" s="204"/>
      <c r="AB174" s="204"/>
      <c r="AC174" s="204"/>
      <c r="AD174" s="204"/>
      <c r="AE174" s="212"/>
      <c r="AF174" s="213"/>
      <c r="AG174" s="213"/>
      <c r="AH174" s="213"/>
      <c r="AI174" s="213"/>
      <c r="AJ174" s="213"/>
      <c r="AK174" s="213"/>
      <c r="AL174" s="213"/>
      <c r="AM174" s="213"/>
      <c r="AN174" s="213"/>
      <c r="AO174" s="213"/>
      <c r="AP174" s="213"/>
      <c r="AQ174" s="213"/>
      <c r="AR174" s="213"/>
      <c r="AS174" s="213"/>
      <c r="AT174" s="213"/>
      <c r="AU174" s="213"/>
      <c r="AV174" s="213"/>
      <c r="AW174" s="213"/>
      <c r="AX174" s="213"/>
      <c r="AY174" s="213"/>
      <c r="AZ174" s="213"/>
      <c r="BA174" s="213"/>
      <c r="BB174" s="213"/>
    </row>
    <row r="175">
      <c r="A175" s="199"/>
      <c r="B175" s="12"/>
      <c r="C175" s="202"/>
      <c r="D175" s="199"/>
      <c r="E175" s="211"/>
      <c r="F175" s="201"/>
      <c r="G175" s="199"/>
      <c r="H175" s="199"/>
      <c r="I175" s="199"/>
      <c r="J175" s="212"/>
      <c r="K175" s="212"/>
      <c r="L175" s="212"/>
      <c r="M175" s="212"/>
      <c r="N175" s="212"/>
      <c r="O175" s="212"/>
      <c r="P175" s="212"/>
      <c r="Q175" s="212"/>
      <c r="R175" s="212"/>
      <c r="S175" s="212"/>
      <c r="T175" s="212"/>
      <c r="U175" s="212"/>
      <c r="V175" s="212"/>
      <c r="W175" s="212"/>
      <c r="X175" s="212"/>
      <c r="Y175" s="212"/>
      <c r="Z175" s="204"/>
      <c r="AA175" s="204"/>
      <c r="AB175" s="204"/>
      <c r="AC175" s="204"/>
      <c r="AD175" s="204"/>
      <c r="AE175" s="212"/>
      <c r="AF175" s="213"/>
      <c r="AG175" s="213"/>
      <c r="AH175" s="213"/>
      <c r="AI175" s="213"/>
      <c r="AJ175" s="213"/>
      <c r="AK175" s="213"/>
      <c r="AL175" s="213"/>
      <c r="AM175" s="213"/>
      <c r="AN175" s="213"/>
      <c r="AO175" s="213"/>
      <c r="AP175" s="213"/>
      <c r="AQ175" s="213"/>
      <c r="AR175" s="213"/>
      <c r="AS175" s="213"/>
      <c r="AT175" s="213"/>
      <c r="AU175" s="213"/>
      <c r="AV175" s="213"/>
      <c r="AW175" s="213"/>
      <c r="AX175" s="213"/>
      <c r="AY175" s="213"/>
      <c r="AZ175" s="213"/>
      <c r="BA175" s="213"/>
      <c r="BB175" s="213"/>
    </row>
    <row r="176">
      <c r="A176" s="199"/>
      <c r="B176" s="12"/>
      <c r="C176" s="202"/>
      <c r="D176" s="199"/>
      <c r="E176" s="211"/>
      <c r="F176" s="201"/>
      <c r="G176" s="199"/>
      <c r="H176" s="199"/>
      <c r="I176" s="199"/>
      <c r="J176" s="212"/>
      <c r="K176" s="212"/>
      <c r="L176" s="212"/>
      <c r="M176" s="212"/>
      <c r="N176" s="212"/>
      <c r="O176" s="212"/>
      <c r="P176" s="212"/>
      <c r="Q176" s="212"/>
      <c r="R176" s="212"/>
      <c r="S176" s="212"/>
      <c r="T176" s="212"/>
      <c r="U176" s="212"/>
      <c r="V176" s="212"/>
      <c r="W176" s="212"/>
      <c r="X176" s="212"/>
      <c r="Y176" s="212"/>
      <c r="Z176" s="204"/>
      <c r="AA176" s="204"/>
      <c r="AB176" s="204"/>
      <c r="AC176" s="204"/>
      <c r="AD176" s="204"/>
      <c r="AE176" s="212"/>
      <c r="AF176" s="213"/>
      <c r="AG176" s="213"/>
      <c r="AH176" s="213"/>
      <c r="AI176" s="213"/>
      <c r="AJ176" s="213"/>
      <c r="AK176" s="213"/>
      <c r="AL176" s="213"/>
      <c r="AM176" s="213"/>
      <c r="AN176" s="213"/>
      <c r="AO176" s="213"/>
      <c r="AP176" s="213"/>
      <c r="AQ176" s="213"/>
      <c r="AR176" s="213"/>
      <c r="AS176" s="213"/>
      <c r="AT176" s="213"/>
      <c r="AU176" s="213"/>
      <c r="AV176" s="213"/>
      <c r="AW176" s="213"/>
      <c r="AX176" s="213"/>
      <c r="AY176" s="213"/>
      <c r="AZ176" s="213"/>
      <c r="BA176" s="213"/>
      <c r="BB176" s="213"/>
    </row>
    <row r="177">
      <c r="A177" s="199"/>
      <c r="B177" s="12"/>
      <c r="C177" s="202"/>
      <c r="D177" s="199"/>
      <c r="E177" s="211"/>
      <c r="F177" s="201"/>
      <c r="G177" s="199"/>
      <c r="H177" s="199"/>
      <c r="I177" s="199"/>
      <c r="J177" s="212"/>
      <c r="K177" s="212"/>
      <c r="L177" s="212"/>
      <c r="M177" s="212"/>
      <c r="N177" s="212"/>
      <c r="O177" s="212"/>
      <c r="P177" s="212"/>
      <c r="Q177" s="212"/>
      <c r="R177" s="212"/>
      <c r="S177" s="212"/>
      <c r="T177" s="212"/>
      <c r="U177" s="212"/>
      <c r="V177" s="212"/>
      <c r="W177" s="212"/>
      <c r="X177" s="212"/>
      <c r="Y177" s="212"/>
      <c r="Z177" s="204"/>
      <c r="AA177" s="204"/>
      <c r="AB177" s="204"/>
      <c r="AC177" s="204"/>
      <c r="AD177" s="204"/>
      <c r="AE177" s="212"/>
      <c r="AF177" s="213"/>
      <c r="AG177" s="213"/>
      <c r="AH177" s="213"/>
      <c r="AI177" s="213"/>
      <c r="AJ177" s="213"/>
      <c r="AK177" s="213"/>
      <c r="AL177" s="213"/>
      <c r="AM177" s="213"/>
      <c r="AN177" s="213"/>
      <c r="AO177" s="213"/>
      <c r="AP177" s="213"/>
      <c r="AQ177" s="213"/>
      <c r="AR177" s="213"/>
      <c r="AS177" s="213"/>
      <c r="AT177" s="213"/>
      <c r="AU177" s="213"/>
      <c r="AV177" s="213"/>
      <c r="AW177" s="213"/>
      <c r="AX177" s="213"/>
      <c r="AY177" s="213"/>
      <c r="AZ177" s="213"/>
      <c r="BA177" s="213"/>
      <c r="BB177" s="213"/>
    </row>
    <row r="178">
      <c r="A178" s="199"/>
      <c r="B178" s="12"/>
      <c r="C178" s="202"/>
      <c r="D178" s="199"/>
      <c r="E178" s="211"/>
      <c r="F178" s="201"/>
      <c r="G178" s="199"/>
      <c r="H178" s="199"/>
      <c r="I178" s="199"/>
      <c r="J178" s="212"/>
      <c r="K178" s="212"/>
      <c r="L178" s="212"/>
      <c r="M178" s="212"/>
      <c r="N178" s="212"/>
      <c r="O178" s="212"/>
      <c r="P178" s="212"/>
      <c r="Q178" s="212"/>
      <c r="R178" s="212"/>
      <c r="S178" s="212"/>
      <c r="T178" s="212"/>
      <c r="U178" s="212"/>
      <c r="V178" s="212"/>
      <c r="W178" s="212"/>
      <c r="X178" s="212"/>
      <c r="Y178" s="212"/>
      <c r="Z178" s="204"/>
      <c r="AA178" s="204"/>
      <c r="AB178" s="204"/>
      <c r="AC178" s="204"/>
      <c r="AD178" s="204"/>
      <c r="AE178" s="212"/>
      <c r="AF178" s="213"/>
      <c r="AG178" s="213"/>
      <c r="AH178" s="213"/>
      <c r="AI178" s="213"/>
      <c r="AJ178" s="213"/>
      <c r="AK178" s="213"/>
      <c r="AL178" s="213"/>
      <c r="AM178" s="213"/>
      <c r="AN178" s="213"/>
      <c r="AO178" s="213"/>
      <c r="AP178" s="213"/>
      <c r="AQ178" s="213"/>
      <c r="AR178" s="213"/>
      <c r="AS178" s="213"/>
      <c r="AT178" s="213"/>
      <c r="AU178" s="213"/>
      <c r="AV178" s="213"/>
      <c r="AW178" s="213"/>
      <c r="AX178" s="213"/>
      <c r="AY178" s="213"/>
      <c r="AZ178" s="213"/>
      <c r="BA178" s="213"/>
      <c r="BB178" s="213"/>
    </row>
    <row r="179">
      <c r="A179" s="199"/>
      <c r="B179" s="12"/>
      <c r="C179" s="202"/>
      <c r="D179" s="199"/>
      <c r="E179" s="211"/>
      <c r="F179" s="201"/>
      <c r="G179" s="199"/>
      <c r="H179" s="199"/>
      <c r="I179" s="199"/>
      <c r="J179" s="212"/>
      <c r="K179" s="212"/>
      <c r="L179" s="212"/>
      <c r="M179" s="212"/>
      <c r="N179" s="212"/>
      <c r="O179" s="212"/>
      <c r="P179" s="212"/>
      <c r="Q179" s="212"/>
      <c r="R179" s="212"/>
      <c r="S179" s="212"/>
      <c r="T179" s="212"/>
      <c r="U179" s="212"/>
      <c r="V179" s="212"/>
      <c r="W179" s="212"/>
      <c r="X179" s="212"/>
      <c r="Y179" s="212"/>
      <c r="Z179" s="204"/>
      <c r="AA179" s="204"/>
      <c r="AB179" s="204"/>
      <c r="AC179" s="204"/>
      <c r="AD179" s="204"/>
      <c r="AE179" s="212"/>
      <c r="AF179" s="213"/>
      <c r="AG179" s="213"/>
      <c r="AH179" s="213"/>
      <c r="AI179" s="213"/>
      <c r="AJ179" s="213"/>
      <c r="AK179" s="213"/>
      <c r="AL179" s="213"/>
      <c r="AM179" s="213"/>
      <c r="AN179" s="213"/>
      <c r="AO179" s="213"/>
      <c r="AP179" s="213"/>
      <c r="AQ179" s="213"/>
      <c r="AR179" s="213"/>
      <c r="AS179" s="213"/>
      <c r="AT179" s="213"/>
      <c r="AU179" s="213"/>
      <c r="AV179" s="213"/>
      <c r="AW179" s="213"/>
      <c r="AX179" s="213"/>
      <c r="AY179" s="213"/>
      <c r="AZ179" s="213"/>
      <c r="BA179" s="213"/>
      <c r="BB179" s="213"/>
    </row>
    <row r="180">
      <c r="A180" s="199"/>
      <c r="B180" s="12"/>
      <c r="C180" s="202"/>
      <c r="D180" s="199"/>
      <c r="E180" s="211"/>
      <c r="F180" s="201"/>
      <c r="G180" s="199"/>
      <c r="H180" s="199"/>
      <c r="I180" s="199"/>
      <c r="J180" s="212"/>
      <c r="K180" s="212"/>
      <c r="L180" s="212"/>
      <c r="M180" s="212"/>
      <c r="N180" s="212"/>
      <c r="O180" s="212"/>
      <c r="P180" s="212"/>
      <c r="Q180" s="212"/>
      <c r="R180" s="212"/>
      <c r="S180" s="212"/>
      <c r="T180" s="212"/>
      <c r="U180" s="212"/>
      <c r="V180" s="212"/>
      <c r="W180" s="212"/>
      <c r="X180" s="212"/>
      <c r="Y180" s="212"/>
      <c r="Z180" s="204"/>
      <c r="AA180" s="204"/>
      <c r="AB180" s="204"/>
      <c r="AC180" s="204"/>
      <c r="AD180" s="204"/>
      <c r="AE180" s="212"/>
      <c r="AF180" s="213"/>
      <c r="AG180" s="213"/>
      <c r="AH180" s="213"/>
      <c r="AI180" s="213"/>
      <c r="AJ180" s="213"/>
      <c r="AK180" s="213"/>
      <c r="AL180" s="213"/>
      <c r="AM180" s="213"/>
      <c r="AN180" s="213"/>
      <c r="AO180" s="213"/>
      <c r="AP180" s="213"/>
      <c r="AQ180" s="213"/>
      <c r="AR180" s="213"/>
      <c r="AS180" s="213"/>
      <c r="AT180" s="213"/>
      <c r="AU180" s="213"/>
      <c r="AV180" s="213"/>
      <c r="AW180" s="213"/>
      <c r="AX180" s="213"/>
      <c r="AY180" s="213"/>
      <c r="AZ180" s="213"/>
      <c r="BA180" s="213"/>
      <c r="BB180" s="213"/>
    </row>
    <row r="181">
      <c r="A181" s="199"/>
      <c r="B181" s="12"/>
      <c r="C181" s="202"/>
      <c r="D181" s="199"/>
      <c r="E181" s="211"/>
      <c r="F181" s="201"/>
      <c r="G181" s="199"/>
      <c r="H181" s="199"/>
      <c r="I181" s="199"/>
      <c r="J181" s="212"/>
      <c r="K181" s="212"/>
      <c r="L181" s="212"/>
      <c r="M181" s="212"/>
      <c r="N181" s="212"/>
      <c r="O181" s="212"/>
      <c r="P181" s="212"/>
      <c r="Q181" s="212"/>
      <c r="R181" s="212"/>
      <c r="S181" s="212"/>
      <c r="T181" s="212"/>
      <c r="U181" s="212"/>
      <c r="V181" s="212"/>
      <c r="W181" s="212"/>
      <c r="X181" s="212"/>
      <c r="Y181" s="212"/>
      <c r="Z181" s="204"/>
      <c r="AA181" s="204"/>
      <c r="AB181" s="204"/>
      <c r="AC181" s="204"/>
      <c r="AD181" s="204"/>
      <c r="AE181" s="212"/>
      <c r="AF181" s="213"/>
      <c r="AG181" s="213"/>
      <c r="AH181" s="213"/>
      <c r="AI181" s="213"/>
      <c r="AJ181" s="213"/>
      <c r="AK181" s="213"/>
      <c r="AL181" s="213"/>
      <c r="AM181" s="213"/>
      <c r="AN181" s="213"/>
      <c r="AO181" s="213"/>
      <c r="AP181" s="213"/>
      <c r="AQ181" s="213"/>
      <c r="AR181" s="213"/>
      <c r="AS181" s="213"/>
      <c r="AT181" s="213"/>
      <c r="AU181" s="213"/>
      <c r="AV181" s="213"/>
      <c r="AW181" s="213"/>
      <c r="AX181" s="213"/>
      <c r="AY181" s="213"/>
      <c r="AZ181" s="213"/>
      <c r="BA181" s="213"/>
      <c r="BB181" s="213"/>
    </row>
    <row r="182">
      <c r="A182" s="199"/>
      <c r="B182" s="12"/>
      <c r="C182" s="202"/>
      <c r="D182" s="199"/>
      <c r="E182" s="211"/>
      <c r="F182" s="201"/>
      <c r="G182" s="199"/>
      <c r="H182" s="199"/>
      <c r="I182" s="199"/>
      <c r="J182" s="212"/>
      <c r="K182" s="212"/>
      <c r="L182" s="212"/>
      <c r="M182" s="212"/>
      <c r="N182" s="212"/>
      <c r="O182" s="212"/>
      <c r="P182" s="212"/>
      <c r="Q182" s="212"/>
      <c r="R182" s="212"/>
      <c r="S182" s="212"/>
      <c r="T182" s="212"/>
      <c r="U182" s="212"/>
      <c r="V182" s="212"/>
      <c r="W182" s="212"/>
      <c r="X182" s="212"/>
      <c r="Y182" s="212"/>
      <c r="Z182" s="204"/>
      <c r="AA182" s="204"/>
      <c r="AB182" s="204"/>
      <c r="AC182" s="204"/>
      <c r="AD182" s="204"/>
      <c r="AE182" s="212"/>
      <c r="AF182" s="213"/>
      <c r="AG182" s="213"/>
      <c r="AH182" s="213"/>
      <c r="AI182" s="213"/>
      <c r="AJ182" s="213"/>
      <c r="AK182" s="213"/>
      <c r="AL182" s="213"/>
      <c r="AM182" s="213"/>
      <c r="AN182" s="213"/>
      <c r="AO182" s="213"/>
      <c r="AP182" s="213"/>
      <c r="AQ182" s="213"/>
      <c r="AR182" s="213"/>
      <c r="AS182" s="213"/>
      <c r="AT182" s="213"/>
      <c r="AU182" s="213"/>
      <c r="AV182" s="213"/>
      <c r="AW182" s="213"/>
      <c r="AX182" s="213"/>
      <c r="AY182" s="213"/>
      <c r="AZ182" s="213"/>
      <c r="BA182" s="213"/>
      <c r="BB182" s="213"/>
    </row>
    <row r="183">
      <c r="A183" s="199"/>
      <c r="B183" s="12"/>
      <c r="C183" s="202"/>
      <c r="D183" s="199"/>
      <c r="E183" s="211"/>
      <c r="F183" s="201"/>
      <c r="G183" s="199"/>
      <c r="H183" s="199"/>
      <c r="I183" s="199"/>
      <c r="J183" s="212"/>
      <c r="K183" s="212"/>
      <c r="L183" s="212"/>
      <c r="M183" s="212"/>
      <c r="N183" s="212"/>
      <c r="O183" s="212"/>
      <c r="P183" s="212"/>
      <c r="Q183" s="212"/>
      <c r="R183" s="212"/>
      <c r="S183" s="212"/>
      <c r="T183" s="212"/>
      <c r="U183" s="212"/>
      <c r="V183" s="212"/>
      <c r="W183" s="212"/>
      <c r="X183" s="212"/>
      <c r="Y183" s="212"/>
      <c r="Z183" s="204"/>
      <c r="AA183" s="204"/>
      <c r="AB183" s="204"/>
      <c r="AC183" s="204"/>
      <c r="AD183" s="204"/>
      <c r="AE183" s="212"/>
      <c r="AF183" s="213"/>
      <c r="AG183" s="213"/>
      <c r="AH183" s="213"/>
      <c r="AI183" s="213"/>
      <c r="AJ183" s="213"/>
      <c r="AK183" s="213"/>
      <c r="AL183" s="213"/>
      <c r="AM183" s="213"/>
      <c r="AN183" s="213"/>
      <c r="AO183" s="213"/>
      <c r="AP183" s="213"/>
      <c r="AQ183" s="213"/>
      <c r="AR183" s="213"/>
      <c r="AS183" s="213"/>
      <c r="AT183" s="213"/>
      <c r="AU183" s="213"/>
      <c r="AV183" s="213"/>
      <c r="AW183" s="213"/>
      <c r="AX183" s="213"/>
      <c r="AY183" s="213"/>
      <c r="AZ183" s="213"/>
      <c r="BA183" s="213"/>
      <c r="BB183" s="213"/>
    </row>
    <row r="184">
      <c r="A184" s="199"/>
      <c r="B184" s="12"/>
      <c r="C184" s="202"/>
      <c r="D184" s="199"/>
      <c r="E184" s="211"/>
      <c r="F184" s="201"/>
      <c r="G184" s="199"/>
      <c r="H184" s="199"/>
      <c r="I184" s="199"/>
      <c r="J184" s="212"/>
      <c r="K184" s="212"/>
      <c r="L184" s="212"/>
      <c r="M184" s="212"/>
      <c r="N184" s="212"/>
      <c r="O184" s="212"/>
      <c r="P184" s="212"/>
      <c r="Q184" s="212"/>
      <c r="R184" s="212"/>
      <c r="S184" s="212"/>
      <c r="T184" s="212"/>
      <c r="U184" s="212"/>
      <c r="V184" s="212"/>
      <c r="W184" s="212"/>
      <c r="X184" s="212"/>
      <c r="Y184" s="212"/>
      <c r="Z184" s="204"/>
      <c r="AA184" s="204"/>
      <c r="AB184" s="204"/>
      <c r="AC184" s="204"/>
      <c r="AD184" s="204"/>
      <c r="AE184" s="212"/>
      <c r="AF184" s="213"/>
      <c r="AG184" s="213"/>
      <c r="AH184" s="213"/>
      <c r="AI184" s="213"/>
      <c r="AJ184" s="213"/>
      <c r="AK184" s="213"/>
      <c r="AL184" s="213"/>
      <c r="AM184" s="213"/>
      <c r="AN184" s="213"/>
      <c r="AO184" s="213"/>
      <c r="AP184" s="213"/>
      <c r="AQ184" s="213"/>
      <c r="AR184" s="213"/>
      <c r="AS184" s="213"/>
      <c r="AT184" s="213"/>
      <c r="AU184" s="213"/>
      <c r="AV184" s="213"/>
      <c r="AW184" s="213"/>
      <c r="AX184" s="213"/>
      <c r="AY184" s="213"/>
      <c r="AZ184" s="213"/>
      <c r="BA184" s="213"/>
      <c r="BB184" s="213"/>
    </row>
    <row r="185">
      <c r="A185" s="199"/>
      <c r="B185" s="12"/>
      <c r="C185" s="202"/>
      <c r="D185" s="199"/>
      <c r="E185" s="211"/>
      <c r="F185" s="201"/>
      <c r="G185" s="199"/>
      <c r="H185" s="199"/>
      <c r="I185" s="199"/>
      <c r="J185" s="212"/>
      <c r="K185" s="212"/>
      <c r="L185" s="212"/>
      <c r="M185" s="212"/>
      <c r="N185" s="212"/>
      <c r="O185" s="212"/>
      <c r="P185" s="212"/>
      <c r="Q185" s="212"/>
      <c r="R185" s="212"/>
      <c r="S185" s="212"/>
      <c r="T185" s="212"/>
      <c r="U185" s="212"/>
      <c r="V185" s="212"/>
      <c r="W185" s="212"/>
      <c r="X185" s="212"/>
      <c r="Y185" s="212"/>
      <c r="Z185" s="204"/>
      <c r="AA185" s="204"/>
      <c r="AB185" s="204"/>
      <c r="AC185" s="204"/>
      <c r="AD185" s="204"/>
      <c r="AE185" s="212"/>
      <c r="AF185" s="213"/>
      <c r="AG185" s="213"/>
      <c r="AH185" s="213"/>
      <c r="AI185" s="213"/>
      <c r="AJ185" s="213"/>
      <c r="AK185" s="213"/>
      <c r="AL185" s="213"/>
      <c r="AM185" s="213"/>
      <c r="AN185" s="213"/>
      <c r="AO185" s="213"/>
      <c r="AP185" s="213"/>
      <c r="AQ185" s="213"/>
      <c r="AR185" s="213"/>
      <c r="AS185" s="213"/>
      <c r="AT185" s="213"/>
      <c r="AU185" s="213"/>
      <c r="AV185" s="213"/>
      <c r="AW185" s="213"/>
      <c r="AX185" s="213"/>
      <c r="AY185" s="213"/>
      <c r="AZ185" s="213"/>
      <c r="BA185" s="213"/>
      <c r="BB185" s="213"/>
    </row>
    <row r="186">
      <c r="A186" s="199"/>
      <c r="B186" s="12"/>
      <c r="C186" s="202"/>
      <c r="D186" s="199"/>
      <c r="E186" s="211"/>
      <c r="F186" s="201"/>
      <c r="G186" s="199"/>
      <c r="H186" s="199"/>
      <c r="I186" s="199"/>
      <c r="J186" s="212"/>
      <c r="K186" s="212"/>
      <c r="L186" s="212"/>
      <c r="M186" s="212"/>
      <c r="N186" s="212"/>
      <c r="O186" s="212"/>
      <c r="P186" s="212"/>
      <c r="Q186" s="212"/>
      <c r="R186" s="212"/>
      <c r="S186" s="212"/>
      <c r="T186" s="212"/>
      <c r="U186" s="212"/>
      <c r="V186" s="212"/>
      <c r="W186" s="212"/>
      <c r="X186" s="212"/>
      <c r="Y186" s="212"/>
      <c r="Z186" s="204"/>
      <c r="AA186" s="204"/>
      <c r="AB186" s="204"/>
      <c r="AC186" s="204"/>
      <c r="AD186" s="204"/>
      <c r="AE186" s="212"/>
      <c r="AF186" s="213"/>
      <c r="AG186" s="213"/>
      <c r="AH186" s="213"/>
      <c r="AI186" s="213"/>
      <c r="AJ186" s="213"/>
      <c r="AK186" s="213"/>
      <c r="AL186" s="213"/>
      <c r="AM186" s="213"/>
      <c r="AN186" s="213"/>
      <c r="AO186" s="213"/>
      <c r="AP186" s="213"/>
      <c r="AQ186" s="213"/>
      <c r="AR186" s="213"/>
      <c r="AS186" s="213"/>
      <c r="AT186" s="213"/>
      <c r="AU186" s="213"/>
      <c r="AV186" s="213"/>
      <c r="AW186" s="213"/>
      <c r="AX186" s="213"/>
      <c r="AY186" s="213"/>
      <c r="AZ186" s="213"/>
      <c r="BA186" s="213"/>
      <c r="BB186" s="213"/>
    </row>
    <row r="187">
      <c r="A187" s="199"/>
      <c r="B187" s="12"/>
      <c r="C187" s="202"/>
      <c r="D187" s="199"/>
      <c r="E187" s="211"/>
      <c r="F187" s="201"/>
      <c r="G187" s="199"/>
      <c r="H187" s="199"/>
      <c r="I187" s="199"/>
      <c r="J187" s="212"/>
      <c r="K187" s="212"/>
      <c r="L187" s="212"/>
      <c r="M187" s="212"/>
      <c r="N187" s="212"/>
      <c r="O187" s="212"/>
      <c r="P187" s="212"/>
      <c r="Q187" s="212"/>
      <c r="R187" s="212"/>
      <c r="S187" s="212"/>
      <c r="T187" s="212"/>
      <c r="U187" s="212"/>
      <c r="V187" s="212"/>
      <c r="W187" s="212"/>
      <c r="X187" s="212"/>
      <c r="Y187" s="212"/>
      <c r="Z187" s="204"/>
      <c r="AA187" s="204"/>
      <c r="AB187" s="204"/>
      <c r="AC187" s="204"/>
      <c r="AD187" s="204"/>
      <c r="AE187" s="212"/>
      <c r="AF187" s="213"/>
      <c r="AG187" s="213"/>
      <c r="AH187" s="213"/>
      <c r="AI187" s="213"/>
      <c r="AJ187" s="213"/>
      <c r="AK187" s="213"/>
      <c r="AL187" s="213"/>
      <c r="AM187" s="213"/>
      <c r="AN187" s="213"/>
      <c r="AO187" s="213"/>
      <c r="AP187" s="213"/>
      <c r="AQ187" s="213"/>
      <c r="AR187" s="213"/>
      <c r="AS187" s="213"/>
      <c r="AT187" s="213"/>
      <c r="AU187" s="213"/>
      <c r="AV187" s="213"/>
      <c r="AW187" s="213"/>
      <c r="AX187" s="213"/>
      <c r="AY187" s="213"/>
      <c r="AZ187" s="213"/>
      <c r="BA187" s="213"/>
      <c r="BB187" s="213"/>
    </row>
    <row r="188">
      <c r="A188" s="199"/>
      <c r="B188" s="12"/>
      <c r="C188" s="202"/>
      <c r="D188" s="199"/>
      <c r="E188" s="211"/>
      <c r="F188" s="201"/>
      <c r="G188" s="199"/>
      <c r="H188" s="199"/>
      <c r="I188" s="199"/>
      <c r="J188" s="212"/>
      <c r="K188" s="212"/>
      <c r="L188" s="212"/>
      <c r="M188" s="212"/>
      <c r="N188" s="212"/>
      <c r="O188" s="212"/>
      <c r="P188" s="212"/>
      <c r="Q188" s="212"/>
      <c r="R188" s="212"/>
      <c r="S188" s="212"/>
      <c r="T188" s="212"/>
      <c r="U188" s="212"/>
      <c r="V188" s="212"/>
      <c r="W188" s="212"/>
      <c r="X188" s="212"/>
      <c r="Y188" s="212"/>
      <c r="Z188" s="204"/>
      <c r="AA188" s="204"/>
      <c r="AB188" s="204"/>
      <c r="AC188" s="204"/>
      <c r="AD188" s="204"/>
      <c r="AE188" s="212"/>
      <c r="AF188" s="213"/>
      <c r="AG188" s="213"/>
      <c r="AH188" s="213"/>
      <c r="AI188" s="213"/>
      <c r="AJ188" s="213"/>
      <c r="AK188" s="213"/>
      <c r="AL188" s="213"/>
      <c r="AM188" s="213"/>
      <c r="AN188" s="213"/>
      <c r="AO188" s="213"/>
      <c r="AP188" s="213"/>
      <c r="AQ188" s="213"/>
      <c r="AR188" s="213"/>
      <c r="AS188" s="213"/>
      <c r="AT188" s="213"/>
      <c r="AU188" s="213"/>
      <c r="AV188" s="213"/>
      <c r="AW188" s="213"/>
      <c r="AX188" s="213"/>
      <c r="AY188" s="213"/>
      <c r="AZ188" s="213"/>
      <c r="BA188" s="213"/>
      <c r="BB188" s="213"/>
    </row>
    <row r="189">
      <c r="A189" s="199"/>
      <c r="B189" s="12"/>
      <c r="C189" s="202"/>
      <c r="D189" s="199"/>
      <c r="E189" s="211"/>
      <c r="F189" s="201"/>
      <c r="G189" s="199"/>
      <c r="H189" s="199"/>
      <c r="I189" s="199"/>
      <c r="J189" s="212"/>
      <c r="K189" s="212"/>
      <c r="L189" s="212"/>
      <c r="M189" s="212"/>
      <c r="N189" s="212"/>
      <c r="O189" s="212"/>
      <c r="P189" s="212"/>
      <c r="Q189" s="212"/>
      <c r="R189" s="212"/>
      <c r="S189" s="212"/>
      <c r="T189" s="212"/>
      <c r="U189" s="212"/>
      <c r="V189" s="212"/>
      <c r="W189" s="212"/>
      <c r="X189" s="212"/>
      <c r="Y189" s="212"/>
      <c r="Z189" s="204"/>
      <c r="AA189" s="204"/>
      <c r="AB189" s="204"/>
      <c r="AC189" s="204"/>
      <c r="AD189" s="204"/>
      <c r="AE189" s="212"/>
      <c r="AF189" s="213"/>
      <c r="AG189" s="213"/>
      <c r="AH189" s="213"/>
      <c r="AI189" s="213"/>
      <c r="AJ189" s="213"/>
      <c r="AK189" s="213"/>
      <c r="AL189" s="213"/>
      <c r="AM189" s="213"/>
      <c r="AN189" s="213"/>
      <c r="AO189" s="213"/>
      <c r="AP189" s="213"/>
      <c r="AQ189" s="213"/>
      <c r="AR189" s="213"/>
      <c r="AS189" s="213"/>
      <c r="AT189" s="213"/>
      <c r="AU189" s="213"/>
      <c r="AV189" s="213"/>
      <c r="AW189" s="213"/>
      <c r="AX189" s="213"/>
      <c r="AY189" s="213"/>
      <c r="AZ189" s="213"/>
      <c r="BA189" s="213"/>
      <c r="BB189" s="213"/>
    </row>
    <row r="190">
      <c r="A190" s="199"/>
      <c r="B190" s="12"/>
      <c r="C190" s="202"/>
      <c r="D190" s="199"/>
      <c r="E190" s="211"/>
      <c r="F190" s="201"/>
      <c r="G190" s="199"/>
      <c r="H190" s="199"/>
      <c r="I190" s="199"/>
      <c r="J190" s="212"/>
      <c r="K190" s="212"/>
      <c r="L190" s="212"/>
      <c r="M190" s="212"/>
      <c r="N190" s="212"/>
      <c r="O190" s="212"/>
      <c r="P190" s="212"/>
      <c r="Q190" s="212"/>
      <c r="R190" s="212"/>
      <c r="S190" s="212"/>
      <c r="T190" s="212"/>
      <c r="U190" s="212"/>
      <c r="V190" s="212"/>
      <c r="W190" s="212"/>
      <c r="X190" s="212"/>
      <c r="Y190" s="212"/>
      <c r="Z190" s="204"/>
      <c r="AA190" s="204"/>
      <c r="AB190" s="204"/>
      <c r="AC190" s="204"/>
      <c r="AD190" s="204"/>
      <c r="AE190" s="212"/>
      <c r="AF190" s="213"/>
      <c r="AG190" s="213"/>
      <c r="AH190" s="213"/>
      <c r="AI190" s="213"/>
      <c r="AJ190" s="213"/>
      <c r="AK190" s="213"/>
      <c r="AL190" s="213"/>
      <c r="AM190" s="213"/>
      <c r="AN190" s="213"/>
      <c r="AO190" s="213"/>
      <c r="AP190" s="213"/>
      <c r="AQ190" s="213"/>
      <c r="AR190" s="213"/>
      <c r="AS190" s="213"/>
      <c r="AT190" s="213"/>
      <c r="AU190" s="213"/>
      <c r="AV190" s="213"/>
      <c r="AW190" s="213"/>
      <c r="AX190" s="213"/>
      <c r="AY190" s="213"/>
      <c r="AZ190" s="213"/>
      <c r="BA190" s="213"/>
      <c r="BB190" s="213"/>
    </row>
    <row r="191">
      <c r="A191" s="199"/>
      <c r="B191" s="12"/>
      <c r="C191" s="202"/>
      <c r="D191" s="199"/>
      <c r="E191" s="211"/>
      <c r="F191" s="201"/>
      <c r="G191" s="199"/>
      <c r="H191" s="199"/>
      <c r="I191" s="199"/>
      <c r="J191" s="212"/>
      <c r="K191" s="212"/>
      <c r="L191" s="212"/>
      <c r="M191" s="212"/>
      <c r="N191" s="212"/>
      <c r="O191" s="212"/>
      <c r="P191" s="212"/>
      <c r="Q191" s="212"/>
      <c r="R191" s="212"/>
      <c r="S191" s="212"/>
      <c r="T191" s="212"/>
      <c r="U191" s="212"/>
      <c r="V191" s="212"/>
      <c r="W191" s="212"/>
      <c r="X191" s="212"/>
      <c r="Y191" s="212"/>
      <c r="Z191" s="204"/>
      <c r="AA191" s="204"/>
      <c r="AB191" s="204"/>
      <c r="AC191" s="204"/>
      <c r="AD191" s="204"/>
      <c r="AE191" s="212"/>
      <c r="AF191" s="213"/>
      <c r="AG191" s="213"/>
      <c r="AH191" s="213"/>
      <c r="AI191" s="213"/>
      <c r="AJ191" s="213"/>
      <c r="AK191" s="213"/>
      <c r="AL191" s="213"/>
      <c r="AM191" s="213"/>
      <c r="AN191" s="213"/>
      <c r="AO191" s="213"/>
      <c r="AP191" s="213"/>
      <c r="AQ191" s="213"/>
      <c r="AR191" s="213"/>
      <c r="AS191" s="213"/>
      <c r="AT191" s="213"/>
      <c r="AU191" s="213"/>
      <c r="AV191" s="213"/>
      <c r="AW191" s="213"/>
      <c r="AX191" s="213"/>
      <c r="AY191" s="213"/>
      <c r="AZ191" s="213"/>
      <c r="BA191" s="213"/>
      <c r="BB191" s="213"/>
    </row>
    <row r="192">
      <c r="A192" s="199"/>
      <c r="B192" s="12"/>
      <c r="C192" s="202"/>
      <c r="D192" s="199"/>
      <c r="E192" s="211"/>
      <c r="F192" s="201"/>
      <c r="G192" s="199"/>
      <c r="H192" s="199"/>
      <c r="I192" s="199"/>
      <c r="J192" s="212"/>
      <c r="K192" s="212"/>
      <c r="L192" s="212"/>
      <c r="M192" s="212"/>
      <c r="N192" s="212"/>
      <c r="O192" s="212"/>
      <c r="P192" s="212"/>
      <c r="Q192" s="212"/>
      <c r="R192" s="212"/>
      <c r="S192" s="212"/>
      <c r="T192" s="212"/>
      <c r="U192" s="212"/>
      <c r="V192" s="212"/>
      <c r="W192" s="212"/>
      <c r="X192" s="212"/>
      <c r="Y192" s="212"/>
      <c r="Z192" s="204"/>
      <c r="AA192" s="204"/>
      <c r="AB192" s="204"/>
      <c r="AC192" s="204"/>
      <c r="AD192" s="204"/>
      <c r="AE192" s="212"/>
      <c r="AF192" s="213"/>
      <c r="AG192" s="213"/>
      <c r="AH192" s="213"/>
      <c r="AI192" s="213"/>
      <c r="AJ192" s="213"/>
      <c r="AK192" s="213"/>
      <c r="AL192" s="213"/>
      <c r="AM192" s="213"/>
      <c r="AN192" s="213"/>
      <c r="AO192" s="213"/>
      <c r="AP192" s="213"/>
      <c r="AQ192" s="213"/>
      <c r="AR192" s="213"/>
      <c r="AS192" s="213"/>
      <c r="AT192" s="213"/>
      <c r="AU192" s="213"/>
      <c r="AV192" s="213"/>
      <c r="AW192" s="213"/>
      <c r="AX192" s="213"/>
      <c r="AY192" s="213"/>
      <c r="AZ192" s="213"/>
      <c r="BA192" s="213"/>
      <c r="BB192" s="213"/>
    </row>
    <row r="193">
      <c r="A193" s="199"/>
      <c r="B193" s="12"/>
      <c r="C193" s="202"/>
      <c r="D193" s="199"/>
      <c r="E193" s="211"/>
      <c r="F193" s="201"/>
      <c r="G193" s="199"/>
      <c r="H193" s="199"/>
      <c r="I193" s="199"/>
      <c r="J193" s="212"/>
      <c r="K193" s="212"/>
      <c r="L193" s="212"/>
      <c r="M193" s="212"/>
      <c r="N193" s="212"/>
      <c r="O193" s="212"/>
      <c r="P193" s="212"/>
      <c r="Q193" s="212"/>
      <c r="R193" s="212"/>
      <c r="S193" s="212"/>
      <c r="T193" s="212"/>
      <c r="U193" s="212"/>
      <c r="V193" s="212"/>
      <c r="W193" s="212"/>
      <c r="X193" s="212"/>
      <c r="Y193" s="212"/>
      <c r="Z193" s="204"/>
      <c r="AA193" s="204"/>
      <c r="AB193" s="204"/>
      <c r="AC193" s="204"/>
      <c r="AD193" s="204"/>
      <c r="AE193" s="212"/>
      <c r="AF193" s="213"/>
      <c r="AG193" s="213"/>
      <c r="AH193" s="213"/>
      <c r="AI193" s="213"/>
      <c r="AJ193" s="213"/>
      <c r="AK193" s="213"/>
      <c r="AL193" s="213"/>
      <c r="AM193" s="213"/>
      <c r="AN193" s="213"/>
      <c r="AO193" s="213"/>
      <c r="AP193" s="213"/>
      <c r="AQ193" s="213"/>
      <c r="AR193" s="213"/>
      <c r="AS193" s="213"/>
      <c r="AT193" s="213"/>
      <c r="AU193" s="213"/>
      <c r="AV193" s="213"/>
      <c r="AW193" s="213"/>
      <c r="AX193" s="213"/>
      <c r="AY193" s="213"/>
      <c r="AZ193" s="213"/>
      <c r="BA193" s="213"/>
      <c r="BB193" s="213"/>
    </row>
    <row r="194">
      <c r="A194" s="199"/>
      <c r="B194" s="12"/>
      <c r="C194" s="202"/>
      <c r="D194" s="199"/>
      <c r="E194" s="211"/>
      <c r="F194" s="201"/>
      <c r="G194" s="199"/>
      <c r="H194" s="199"/>
      <c r="I194" s="199"/>
      <c r="J194" s="212"/>
      <c r="K194" s="212"/>
      <c r="L194" s="212"/>
      <c r="M194" s="212"/>
      <c r="N194" s="212"/>
      <c r="O194" s="212"/>
      <c r="P194" s="212"/>
      <c r="Q194" s="212"/>
      <c r="R194" s="212"/>
      <c r="S194" s="212"/>
      <c r="T194" s="212"/>
      <c r="U194" s="212"/>
      <c r="V194" s="212"/>
      <c r="W194" s="212"/>
      <c r="X194" s="212"/>
      <c r="Y194" s="212"/>
      <c r="Z194" s="204"/>
      <c r="AA194" s="204"/>
      <c r="AB194" s="204"/>
      <c r="AC194" s="204"/>
      <c r="AD194" s="204"/>
      <c r="AE194" s="212"/>
      <c r="AF194" s="213"/>
      <c r="AG194" s="213"/>
      <c r="AH194" s="213"/>
      <c r="AI194" s="213"/>
      <c r="AJ194" s="213"/>
      <c r="AK194" s="213"/>
      <c r="AL194" s="213"/>
      <c r="AM194" s="213"/>
      <c r="AN194" s="213"/>
      <c r="AO194" s="213"/>
      <c r="AP194" s="213"/>
      <c r="AQ194" s="213"/>
      <c r="AR194" s="213"/>
      <c r="AS194" s="213"/>
      <c r="AT194" s="213"/>
      <c r="AU194" s="213"/>
      <c r="AV194" s="213"/>
      <c r="AW194" s="213"/>
      <c r="AX194" s="213"/>
      <c r="AY194" s="213"/>
      <c r="AZ194" s="213"/>
      <c r="BA194" s="213"/>
      <c r="BB194" s="213"/>
    </row>
    <row r="195">
      <c r="A195" s="199"/>
      <c r="B195" s="12"/>
      <c r="C195" s="202"/>
      <c r="D195" s="199"/>
      <c r="E195" s="211"/>
      <c r="F195" s="201"/>
      <c r="G195" s="199"/>
      <c r="H195" s="199"/>
      <c r="I195" s="199"/>
      <c r="J195" s="212"/>
      <c r="K195" s="212"/>
      <c r="L195" s="212"/>
      <c r="M195" s="212"/>
      <c r="N195" s="212"/>
      <c r="O195" s="212"/>
      <c r="P195" s="212"/>
      <c r="Q195" s="212"/>
      <c r="R195" s="212"/>
      <c r="S195" s="212"/>
      <c r="T195" s="212"/>
      <c r="U195" s="212"/>
      <c r="V195" s="212"/>
      <c r="W195" s="212"/>
      <c r="X195" s="212"/>
      <c r="Y195" s="212"/>
      <c r="Z195" s="204"/>
      <c r="AA195" s="204"/>
      <c r="AB195" s="204"/>
      <c r="AC195" s="204"/>
      <c r="AD195" s="204"/>
      <c r="AE195" s="212"/>
      <c r="AF195" s="213"/>
      <c r="AG195" s="213"/>
      <c r="AH195" s="213"/>
      <c r="AI195" s="213"/>
      <c r="AJ195" s="213"/>
      <c r="AK195" s="213"/>
      <c r="AL195" s="213"/>
      <c r="AM195" s="213"/>
      <c r="AN195" s="213"/>
      <c r="AO195" s="213"/>
      <c r="AP195" s="213"/>
      <c r="AQ195" s="213"/>
      <c r="AR195" s="213"/>
      <c r="AS195" s="213"/>
      <c r="AT195" s="213"/>
      <c r="AU195" s="213"/>
      <c r="AV195" s="213"/>
      <c r="AW195" s="213"/>
      <c r="AX195" s="213"/>
      <c r="AY195" s="213"/>
      <c r="AZ195" s="213"/>
      <c r="BA195" s="213"/>
      <c r="BB195" s="213"/>
    </row>
    <row r="196">
      <c r="A196" s="199"/>
      <c r="B196" s="12"/>
      <c r="C196" s="202"/>
      <c r="D196" s="199"/>
      <c r="E196" s="211"/>
      <c r="F196" s="201"/>
      <c r="G196" s="199"/>
      <c r="H196" s="199"/>
      <c r="I196" s="199"/>
      <c r="J196" s="212"/>
      <c r="K196" s="212"/>
      <c r="L196" s="212"/>
      <c r="M196" s="212"/>
      <c r="N196" s="212"/>
      <c r="O196" s="212"/>
      <c r="P196" s="212"/>
      <c r="Q196" s="212"/>
      <c r="R196" s="212"/>
      <c r="S196" s="212"/>
      <c r="T196" s="212"/>
      <c r="U196" s="212"/>
      <c r="V196" s="212"/>
      <c r="W196" s="212"/>
      <c r="X196" s="212"/>
      <c r="Y196" s="212"/>
      <c r="Z196" s="204"/>
      <c r="AA196" s="204"/>
      <c r="AB196" s="204"/>
      <c r="AC196" s="204"/>
      <c r="AD196" s="204"/>
      <c r="AE196" s="212"/>
      <c r="AF196" s="213"/>
      <c r="AG196" s="213"/>
      <c r="AH196" s="213"/>
      <c r="AI196" s="213"/>
      <c r="AJ196" s="213"/>
      <c r="AK196" s="213"/>
      <c r="AL196" s="213"/>
      <c r="AM196" s="213"/>
      <c r="AN196" s="213"/>
      <c r="AO196" s="213"/>
      <c r="AP196" s="213"/>
      <c r="AQ196" s="213"/>
      <c r="AR196" s="213"/>
      <c r="AS196" s="213"/>
      <c r="AT196" s="213"/>
      <c r="AU196" s="213"/>
      <c r="AV196" s="213"/>
      <c r="AW196" s="213"/>
      <c r="AX196" s="213"/>
      <c r="AY196" s="213"/>
      <c r="AZ196" s="213"/>
      <c r="BA196" s="213"/>
      <c r="BB196" s="213"/>
    </row>
    <row r="197">
      <c r="A197" s="199"/>
      <c r="B197" s="12"/>
      <c r="C197" s="202"/>
      <c r="D197" s="199"/>
      <c r="E197" s="211"/>
      <c r="F197" s="201"/>
      <c r="G197" s="199"/>
      <c r="H197" s="199"/>
      <c r="I197" s="199"/>
      <c r="J197" s="212"/>
      <c r="K197" s="212"/>
      <c r="L197" s="212"/>
      <c r="M197" s="212"/>
      <c r="N197" s="212"/>
      <c r="O197" s="212"/>
      <c r="P197" s="212"/>
      <c r="Q197" s="212"/>
      <c r="R197" s="212"/>
      <c r="S197" s="212"/>
      <c r="T197" s="212"/>
      <c r="U197" s="212"/>
      <c r="V197" s="212"/>
      <c r="W197" s="212"/>
      <c r="X197" s="212"/>
      <c r="Y197" s="212"/>
      <c r="Z197" s="204"/>
      <c r="AA197" s="204"/>
      <c r="AB197" s="204"/>
      <c r="AC197" s="204"/>
      <c r="AD197" s="204"/>
      <c r="AE197" s="212"/>
      <c r="AF197" s="213"/>
      <c r="AG197" s="213"/>
      <c r="AH197" s="213"/>
      <c r="AI197" s="213"/>
      <c r="AJ197" s="213"/>
      <c r="AK197" s="213"/>
      <c r="AL197" s="213"/>
      <c r="AM197" s="213"/>
      <c r="AN197" s="213"/>
      <c r="AO197" s="213"/>
      <c r="AP197" s="213"/>
      <c r="AQ197" s="213"/>
      <c r="AR197" s="213"/>
      <c r="AS197" s="213"/>
      <c r="AT197" s="213"/>
      <c r="AU197" s="213"/>
      <c r="AV197" s="213"/>
      <c r="AW197" s="213"/>
      <c r="AX197" s="213"/>
      <c r="AY197" s="213"/>
      <c r="AZ197" s="213"/>
      <c r="BA197" s="213"/>
      <c r="BB197" s="213"/>
    </row>
    <row r="198">
      <c r="A198" s="199"/>
      <c r="B198" s="12"/>
      <c r="C198" s="202"/>
      <c r="D198" s="199"/>
      <c r="E198" s="211"/>
      <c r="F198" s="201"/>
      <c r="G198" s="199"/>
      <c r="H198" s="199"/>
      <c r="I198" s="199"/>
      <c r="J198" s="212"/>
      <c r="K198" s="212"/>
      <c r="L198" s="212"/>
      <c r="M198" s="212"/>
      <c r="N198" s="212"/>
      <c r="O198" s="212"/>
      <c r="P198" s="212"/>
      <c r="Q198" s="212"/>
      <c r="R198" s="212"/>
      <c r="S198" s="212"/>
      <c r="T198" s="212"/>
      <c r="U198" s="212"/>
      <c r="V198" s="212"/>
      <c r="W198" s="212"/>
      <c r="X198" s="212"/>
      <c r="Y198" s="212"/>
      <c r="Z198" s="204"/>
      <c r="AA198" s="204"/>
      <c r="AB198" s="204"/>
      <c r="AC198" s="204"/>
      <c r="AD198" s="204"/>
      <c r="AE198" s="212"/>
      <c r="AF198" s="213"/>
      <c r="AG198" s="213"/>
      <c r="AH198" s="213"/>
      <c r="AI198" s="213"/>
      <c r="AJ198" s="213"/>
      <c r="AK198" s="213"/>
      <c r="AL198" s="213"/>
      <c r="AM198" s="213"/>
      <c r="AN198" s="213"/>
      <c r="AO198" s="213"/>
      <c r="AP198" s="213"/>
      <c r="AQ198" s="213"/>
      <c r="AR198" s="213"/>
      <c r="AS198" s="213"/>
      <c r="AT198" s="213"/>
      <c r="AU198" s="213"/>
      <c r="AV198" s="213"/>
      <c r="AW198" s="213"/>
      <c r="AX198" s="213"/>
      <c r="AY198" s="213"/>
      <c r="AZ198" s="213"/>
      <c r="BA198" s="213"/>
      <c r="BB198" s="213"/>
    </row>
    <row r="199">
      <c r="A199" s="199"/>
      <c r="B199" s="12"/>
      <c r="C199" s="202"/>
      <c r="D199" s="199"/>
      <c r="E199" s="211"/>
      <c r="F199" s="201"/>
      <c r="G199" s="199"/>
      <c r="H199" s="199"/>
      <c r="I199" s="199"/>
      <c r="J199" s="212"/>
      <c r="K199" s="212"/>
      <c r="L199" s="212"/>
      <c r="M199" s="212"/>
      <c r="N199" s="212"/>
      <c r="O199" s="212"/>
      <c r="P199" s="212"/>
      <c r="Q199" s="212"/>
      <c r="R199" s="212"/>
      <c r="S199" s="212"/>
      <c r="T199" s="212"/>
      <c r="U199" s="212"/>
      <c r="V199" s="212"/>
      <c r="W199" s="212"/>
      <c r="X199" s="212"/>
      <c r="Y199" s="212"/>
      <c r="Z199" s="204"/>
      <c r="AA199" s="204"/>
      <c r="AB199" s="204"/>
      <c r="AC199" s="204"/>
      <c r="AD199" s="204"/>
      <c r="AE199" s="212"/>
      <c r="AF199" s="213"/>
      <c r="AG199" s="213"/>
      <c r="AH199" s="213"/>
      <c r="AI199" s="213"/>
      <c r="AJ199" s="213"/>
      <c r="AK199" s="213"/>
      <c r="AL199" s="213"/>
      <c r="AM199" s="213"/>
      <c r="AN199" s="213"/>
      <c r="AO199" s="213"/>
      <c r="AP199" s="213"/>
      <c r="AQ199" s="213"/>
      <c r="AR199" s="213"/>
      <c r="AS199" s="213"/>
      <c r="AT199" s="213"/>
      <c r="AU199" s="213"/>
      <c r="AV199" s="213"/>
      <c r="AW199" s="213"/>
      <c r="AX199" s="213"/>
      <c r="AY199" s="213"/>
      <c r="AZ199" s="213"/>
      <c r="BA199" s="213"/>
      <c r="BB199" s="213"/>
    </row>
    <row r="200">
      <c r="A200" s="199"/>
      <c r="B200" s="12"/>
      <c r="C200" s="202"/>
      <c r="D200" s="199"/>
      <c r="E200" s="211"/>
      <c r="F200" s="201"/>
      <c r="G200" s="199"/>
      <c r="H200" s="199"/>
      <c r="I200" s="199"/>
      <c r="J200" s="212"/>
      <c r="K200" s="212"/>
      <c r="L200" s="212"/>
      <c r="M200" s="212"/>
      <c r="N200" s="212"/>
      <c r="O200" s="212"/>
      <c r="P200" s="212"/>
      <c r="Q200" s="212"/>
      <c r="R200" s="212"/>
      <c r="S200" s="212"/>
      <c r="T200" s="212"/>
      <c r="U200" s="212"/>
      <c r="V200" s="212"/>
      <c r="W200" s="212"/>
      <c r="X200" s="212"/>
      <c r="Y200" s="212"/>
      <c r="Z200" s="204"/>
      <c r="AA200" s="204"/>
      <c r="AB200" s="204"/>
      <c r="AC200" s="204"/>
      <c r="AD200" s="204"/>
      <c r="AE200" s="212"/>
      <c r="AF200" s="213"/>
      <c r="AG200" s="213"/>
      <c r="AH200" s="213"/>
      <c r="AI200" s="213"/>
      <c r="AJ200" s="213"/>
      <c r="AK200" s="213"/>
      <c r="AL200" s="213"/>
      <c r="AM200" s="213"/>
      <c r="AN200" s="213"/>
      <c r="AO200" s="213"/>
      <c r="AP200" s="213"/>
      <c r="AQ200" s="213"/>
      <c r="AR200" s="213"/>
      <c r="AS200" s="213"/>
      <c r="AT200" s="213"/>
      <c r="AU200" s="213"/>
      <c r="AV200" s="213"/>
      <c r="AW200" s="213"/>
      <c r="AX200" s="213"/>
      <c r="AY200" s="213"/>
      <c r="AZ200" s="213"/>
      <c r="BA200" s="213"/>
      <c r="BB200" s="213"/>
    </row>
    <row r="201">
      <c r="A201" s="199"/>
      <c r="B201" s="12"/>
      <c r="C201" s="202"/>
      <c r="D201" s="199"/>
      <c r="E201" s="211"/>
      <c r="F201" s="201"/>
      <c r="G201" s="199"/>
      <c r="H201" s="199"/>
      <c r="I201" s="199"/>
      <c r="J201" s="212"/>
      <c r="K201" s="212"/>
      <c r="L201" s="212"/>
      <c r="M201" s="212"/>
      <c r="N201" s="212"/>
      <c r="O201" s="212"/>
      <c r="P201" s="212"/>
      <c r="Q201" s="212"/>
      <c r="R201" s="212"/>
      <c r="S201" s="212"/>
      <c r="T201" s="212"/>
      <c r="U201" s="212"/>
      <c r="V201" s="212"/>
      <c r="W201" s="212"/>
      <c r="X201" s="212"/>
      <c r="Y201" s="212"/>
      <c r="Z201" s="204"/>
      <c r="AA201" s="204"/>
      <c r="AB201" s="204"/>
      <c r="AC201" s="204"/>
      <c r="AD201" s="204"/>
      <c r="AE201" s="212"/>
      <c r="AF201" s="213"/>
      <c r="AG201" s="213"/>
      <c r="AH201" s="213"/>
      <c r="AI201" s="213"/>
      <c r="AJ201" s="213"/>
      <c r="AK201" s="213"/>
      <c r="AL201" s="213"/>
      <c r="AM201" s="213"/>
      <c r="AN201" s="213"/>
      <c r="AO201" s="213"/>
      <c r="AP201" s="213"/>
      <c r="AQ201" s="213"/>
      <c r="AR201" s="213"/>
      <c r="AS201" s="213"/>
      <c r="AT201" s="213"/>
      <c r="AU201" s="213"/>
      <c r="AV201" s="213"/>
      <c r="AW201" s="213"/>
      <c r="AX201" s="213"/>
      <c r="AY201" s="213"/>
      <c r="AZ201" s="213"/>
      <c r="BA201" s="213"/>
      <c r="BB201" s="213"/>
    </row>
    <row r="202">
      <c r="A202" s="199"/>
      <c r="B202" s="12"/>
      <c r="C202" s="202"/>
      <c r="D202" s="199"/>
      <c r="E202" s="211"/>
      <c r="F202" s="201"/>
      <c r="G202" s="199"/>
      <c r="H202" s="199"/>
      <c r="I202" s="199"/>
      <c r="J202" s="212"/>
      <c r="K202" s="212"/>
      <c r="L202" s="212"/>
      <c r="M202" s="212"/>
      <c r="N202" s="212"/>
      <c r="O202" s="212"/>
      <c r="P202" s="212"/>
      <c r="Q202" s="212"/>
      <c r="R202" s="212"/>
      <c r="S202" s="212"/>
      <c r="T202" s="212"/>
      <c r="U202" s="212"/>
      <c r="V202" s="212"/>
      <c r="W202" s="212"/>
      <c r="X202" s="212"/>
      <c r="Y202" s="212"/>
      <c r="Z202" s="204"/>
      <c r="AA202" s="204"/>
      <c r="AB202" s="204"/>
      <c r="AC202" s="204"/>
      <c r="AD202" s="204"/>
      <c r="AE202" s="212"/>
      <c r="AF202" s="213"/>
      <c r="AG202" s="213"/>
      <c r="AH202" s="213"/>
      <c r="AI202" s="213"/>
      <c r="AJ202" s="213"/>
      <c r="AK202" s="213"/>
      <c r="AL202" s="213"/>
      <c r="AM202" s="213"/>
      <c r="AN202" s="213"/>
      <c r="AO202" s="213"/>
      <c r="AP202" s="213"/>
      <c r="AQ202" s="213"/>
      <c r="AR202" s="213"/>
      <c r="AS202" s="213"/>
      <c r="AT202" s="213"/>
      <c r="AU202" s="213"/>
      <c r="AV202" s="213"/>
      <c r="AW202" s="213"/>
      <c r="AX202" s="213"/>
      <c r="AY202" s="213"/>
      <c r="AZ202" s="213"/>
      <c r="BA202" s="213"/>
      <c r="BB202" s="213"/>
    </row>
    <row r="203">
      <c r="A203" s="199"/>
      <c r="B203" s="12"/>
      <c r="C203" s="202"/>
      <c r="D203" s="199"/>
      <c r="E203" s="211"/>
      <c r="F203" s="201"/>
      <c r="G203" s="199"/>
      <c r="H203" s="199"/>
      <c r="I203" s="199"/>
      <c r="J203" s="212"/>
      <c r="K203" s="212"/>
      <c r="L203" s="212"/>
      <c r="M203" s="212"/>
      <c r="N203" s="212"/>
      <c r="O203" s="212"/>
      <c r="P203" s="212"/>
      <c r="Q203" s="212"/>
      <c r="R203" s="212"/>
      <c r="S203" s="212"/>
      <c r="T203" s="212"/>
      <c r="U203" s="212"/>
      <c r="V203" s="212"/>
      <c r="W203" s="212"/>
      <c r="X203" s="212"/>
      <c r="Y203" s="212"/>
      <c r="Z203" s="204"/>
      <c r="AA203" s="204"/>
      <c r="AB203" s="204"/>
      <c r="AC203" s="204"/>
      <c r="AD203" s="204"/>
      <c r="AE203" s="212"/>
      <c r="AF203" s="213"/>
      <c r="AG203" s="213"/>
      <c r="AH203" s="213"/>
      <c r="AI203" s="213"/>
      <c r="AJ203" s="213"/>
      <c r="AK203" s="213"/>
      <c r="AL203" s="213"/>
      <c r="AM203" s="213"/>
      <c r="AN203" s="213"/>
      <c r="AO203" s="213"/>
      <c r="AP203" s="213"/>
      <c r="AQ203" s="213"/>
      <c r="AR203" s="213"/>
      <c r="AS203" s="213"/>
      <c r="AT203" s="213"/>
      <c r="AU203" s="213"/>
      <c r="AV203" s="213"/>
      <c r="AW203" s="213"/>
      <c r="AX203" s="213"/>
      <c r="AY203" s="213"/>
      <c r="AZ203" s="213"/>
      <c r="BA203" s="213"/>
      <c r="BB203" s="213"/>
    </row>
    <row r="204">
      <c r="A204" s="199"/>
      <c r="B204" s="12"/>
      <c r="C204" s="202"/>
      <c r="D204" s="199"/>
      <c r="E204" s="211"/>
      <c r="F204" s="201"/>
      <c r="G204" s="199"/>
      <c r="H204" s="199"/>
      <c r="I204" s="199"/>
      <c r="J204" s="212"/>
      <c r="K204" s="212"/>
      <c r="L204" s="212"/>
      <c r="M204" s="212"/>
      <c r="N204" s="212"/>
      <c r="O204" s="212"/>
      <c r="P204" s="212"/>
      <c r="Q204" s="212"/>
      <c r="R204" s="212"/>
      <c r="S204" s="212"/>
      <c r="T204" s="212"/>
      <c r="U204" s="212"/>
      <c r="V204" s="212"/>
      <c r="W204" s="212"/>
      <c r="X204" s="212"/>
      <c r="Y204" s="212"/>
      <c r="Z204" s="204"/>
      <c r="AA204" s="204"/>
      <c r="AB204" s="204"/>
      <c r="AC204" s="204"/>
      <c r="AD204" s="204"/>
      <c r="AE204" s="212"/>
      <c r="AF204" s="213"/>
      <c r="AG204" s="213"/>
      <c r="AH204" s="213"/>
      <c r="AI204" s="213"/>
      <c r="AJ204" s="213"/>
      <c r="AK204" s="213"/>
      <c r="AL204" s="213"/>
      <c r="AM204" s="213"/>
      <c r="AN204" s="213"/>
      <c r="AO204" s="213"/>
      <c r="AP204" s="213"/>
      <c r="AQ204" s="213"/>
      <c r="AR204" s="213"/>
      <c r="AS204" s="213"/>
      <c r="AT204" s="213"/>
      <c r="AU204" s="213"/>
      <c r="AV204" s="213"/>
      <c r="AW204" s="213"/>
      <c r="AX204" s="213"/>
      <c r="AY204" s="213"/>
      <c r="AZ204" s="213"/>
      <c r="BA204" s="213"/>
      <c r="BB204" s="213"/>
    </row>
    <row r="205">
      <c r="A205" s="199"/>
      <c r="B205" s="12"/>
      <c r="C205" s="202"/>
      <c r="D205" s="199"/>
      <c r="E205" s="211"/>
      <c r="F205" s="201"/>
      <c r="G205" s="199"/>
      <c r="H205" s="199"/>
      <c r="I205" s="199"/>
      <c r="J205" s="212"/>
      <c r="K205" s="212"/>
      <c r="L205" s="212"/>
      <c r="M205" s="212"/>
      <c r="N205" s="212"/>
      <c r="O205" s="212"/>
      <c r="P205" s="212"/>
      <c r="Q205" s="212"/>
      <c r="R205" s="212"/>
      <c r="S205" s="212"/>
      <c r="T205" s="212"/>
      <c r="U205" s="212"/>
      <c r="V205" s="212"/>
      <c r="W205" s="212"/>
      <c r="X205" s="212"/>
      <c r="Y205" s="212"/>
      <c r="Z205" s="204"/>
      <c r="AA205" s="204"/>
      <c r="AB205" s="204"/>
      <c r="AC205" s="204"/>
      <c r="AD205" s="204"/>
      <c r="AE205" s="212"/>
      <c r="AF205" s="213"/>
      <c r="AG205" s="213"/>
      <c r="AH205" s="213"/>
      <c r="AI205" s="213"/>
      <c r="AJ205" s="213"/>
      <c r="AK205" s="213"/>
      <c r="AL205" s="213"/>
      <c r="AM205" s="213"/>
      <c r="AN205" s="213"/>
      <c r="AO205" s="213"/>
      <c r="AP205" s="213"/>
      <c r="AQ205" s="213"/>
      <c r="AR205" s="213"/>
      <c r="AS205" s="213"/>
      <c r="AT205" s="213"/>
      <c r="AU205" s="213"/>
      <c r="AV205" s="213"/>
      <c r="AW205" s="213"/>
      <c r="AX205" s="213"/>
      <c r="AY205" s="213"/>
      <c r="AZ205" s="213"/>
      <c r="BA205" s="213"/>
      <c r="BB205" s="213"/>
    </row>
    <row r="206">
      <c r="A206" s="199"/>
      <c r="B206" s="12"/>
      <c r="C206" s="202"/>
      <c r="D206" s="199"/>
      <c r="E206" s="211"/>
      <c r="F206" s="201"/>
      <c r="G206" s="199"/>
      <c r="H206" s="199"/>
      <c r="I206" s="199"/>
      <c r="J206" s="212"/>
      <c r="K206" s="212"/>
      <c r="L206" s="212"/>
      <c r="M206" s="212"/>
      <c r="N206" s="212"/>
      <c r="O206" s="212"/>
      <c r="P206" s="212"/>
      <c r="Q206" s="212"/>
      <c r="R206" s="212"/>
      <c r="S206" s="212"/>
      <c r="T206" s="212"/>
      <c r="U206" s="212"/>
      <c r="V206" s="212"/>
      <c r="W206" s="212"/>
      <c r="X206" s="212"/>
      <c r="Y206" s="212"/>
      <c r="Z206" s="204"/>
      <c r="AA206" s="204"/>
      <c r="AB206" s="204"/>
      <c r="AC206" s="204"/>
      <c r="AD206" s="204"/>
      <c r="AE206" s="212"/>
      <c r="AF206" s="213"/>
      <c r="AG206" s="213"/>
      <c r="AH206" s="213"/>
      <c r="AI206" s="213"/>
      <c r="AJ206" s="213"/>
      <c r="AK206" s="213"/>
      <c r="AL206" s="213"/>
      <c r="AM206" s="213"/>
      <c r="AN206" s="213"/>
      <c r="AO206" s="213"/>
      <c r="AP206" s="213"/>
      <c r="AQ206" s="213"/>
      <c r="AR206" s="213"/>
      <c r="AS206" s="213"/>
      <c r="AT206" s="213"/>
      <c r="AU206" s="213"/>
      <c r="AV206" s="213"/>
      <c r="AW206" s="213"/>
      <c r="AX206" s="213"/>
      <c r="AY206" s="213"/>
      <c r="AZ206" s="213"/>
      <c r="BA206" s="213"/>
      <c r="BB206" s="213"/>
    </row>
    <row r="207">
      <c r="A207" s="199"/>
      <c r="B207" s="12"/>
      <c r="C207" s="202"/>
      <c r="D207" s="199"/>
      <c r="E207" s="211"/>
      <c r="F207" s="201"/>
      <c r="G207" s="199"/>
      <c r="H207" s="199"/>
      <c r="I207" s="199"/>
      <c r="J207" s="212"/>
      <c r="K207" s="212"/>
      <c r="L207" s="212"/>
      <c r="M207" s="212"/>
      <c r="N207" s="212"/>
      <c r="O207" s="212"/>
      <c r="P207" s="212"/>
      <c r="Q207" s="212"/>
      <c r="R207" s="212"/>
      <c r="S207" s="212"/>
      <c r="T207" s="212"/>
      <c r="U207" s="212"/>
      <c r="V207" s="212"/>
      <c r="W207" s="212"/>
      <c r="X207" s="212"/>
      <c r="Y207" s="212"/>
      <c r="Z207" s="204"/>
      <c r="AA207" s="204"/>
      <c r="AB207" s="204"/>
      <c r="AC207" s="204"/>
      <c r="AD207" s="204"/>
      <c r="AE207" s="212"/>
      <c r="AF207" s="213"/>
      <c r="AG207" s="213"/>
      <c r="AH207" s="213"/>
      <c r="AI207" s="213"/>
      <c r="AJ207" s="213"/>
      <c r="AK207" s="213"/>
      <c r="AL207" s="213"/>
      <c r="AM207" s="213"/>
      <c r="AN207" s="213"/>
      <c r="AO207" s="213"/>
      <c r="AP207" s="213"/>
      <c r="AQ207" s="213"/>
      <c r="AR207" s="213"/>
      <c r="AS207" s="213"/>
      <c r="AT207" s="213"/>
      <c r="AU207" s="213"/>
      <c r="AV207" s="213"/>
      <c r="AW207" s="213"/>
      <c r="AX207" s="213"/>
      <c r="AY207" s="213"/>
      <c r="AZ207" s="213"/>
      <c r="BA207" s="213"/>
      <c r="BB207" s="213"/>
    </row>
    <row r="208">
      <c r="A208" s="199"/>
      <c r="B208" s="12"/>
      <c r="C208" s="202"/>
      <c r="D208" s="199"/>
      <c r="E208" s="211"/>
      <c r="F208" s="201"/>
      <c r="G208" s="199"/>
      <c r="H208" s="199"/>
      <c r="I208" s="199"/>
      <c r="J208" s="212"/>
      <c r="K208" s="212"/>
      <c r="L208" s="212"/>
      <c r="M208" s="212"/>
      <c r="N208" s="212"/>
      <c r="O208" s="212"/>
      <c r="P208" s="212"/>
      <c r="Q208" s="212"/>
      <c r="R208" s="212"/>
      <c r="S208" s="212"/>
      <c r="T208" s="212"/>
      <c r="U208" s="212"/>
      <c r="V208" s="212"/>
      <c r="W208" s="212"/>
      <c r="X208" s="212"/>
      <c r="Y208" s="212"/>
      <c r="Z208" s="204"/>
      <c r="AA208" s="204"/>
      <c r="AB208" s="204"/>
      <c r="AC208" s="204"/>
      <c r="AD208" s="204"/>
      <c r="AE208" s="212"/>
      <c r="AF208" s="213"/>
      <c r="AG208" s="213"/>
      <c r="AH208" s="213"/>
      <c r="AI208" s="213"/>
      <c r="AJ208" s="213"/>
      <c r="AK208" s="213"/>
      <c r="AL208" s="213"/>
      <c r="AM208" s="213"/>
      <c r="AN208" s="213"/>
      <c r="AO208" s="213"/>
      <c r="AP208" s="213"/>
      <c r="AQ208" s="213"/>
      <c r="AR208" s="213"/>
      <c r="AS208" s="213"/>
      <c r="AT208" s="213"/>
      <c r="AU208" s="213"/>
      <c r="AV208" s="213"/>
      <c r="AW208" s="213"/>
      <c r="AX208" s="213"/>
      <c r="AY208" s="213"/>
      <c r="AZ208" s="213"/>
      <c r="BA208" s="213"/>
      <c r="BB208" s="213"/>
    </row>
    <row r="209">
      <c r="A209" s="199"/>
      <c r="B209" s="12"/>
      <c r="C209" s="202"/>
      <c r="D209" s="199"/>
      <c r="E209" s="211"/>
      <c r="F209" s="201"/>
      <c r="G209" s="199"/>
      <c r="H209" s="199"/>
      <c r="I209" s="199"/>
      <c r="J209" s="212"/>
      <c r="K209" s="212"/>
      <c r="L209" s="212"/>
      <c r="M209" s="212"/>
      <c r="N209" s="212"/>
      <c r="O209" s="212"/>
      <c r="P209" s="212"/>
      <c r="Q209" s="212"/>
      <c r="R209" s="212"/>
      <c r="S209" s="212"/>
      <c r="T209" s="212"/>
      <c r="U209" s="212"/>
      <c r="V209" s="212"/>
      <c r="W209" s="212"/>
      <c r="X209" s="212"/>
      <c r="Y209" s="212"/>
      <c r="Z209" s="204"/>
      <c r="AA209" s="204"/>
      <c r="AB209" s="204"/>
      <c r="AC209" s="204"/>
      <c r="AD209" s="204"/>
      <c r="AE209" s="212"/>
      <c r="AF209" s="213"/>
      <c r="AG209" s="213"/>
      <c r="AH209" s="213"/>
      <c r="AI209" s="213"/>
      <c r="AJ209" s="213"/>
      <c r="AK209" s="213"/>
      <c r="AL209" s="213"/>
      <c r="AM209" s="213"/>
      <c r="AN209" s="213"/>
      <c r="AO209" s="213"/>
      <c r="AP209" s="213"/>
      <c r="AQ209" s="213"/>
      <c r="AR209" s="213"/>
      <c r="AS209" s="213"/>
      <c r="AT209" s="213"/>
      <c r="AU209" s="213"/>
      <c r="AV209" s="213"/>
      <c r="AW209" s="213"/>
      <c r="AX209" s="213"/>
      <c r="AY209" s="213"/>
      <c r="AZ209" s="213"/>
      <c r="BA209" s="213"/>
      <c r="BB209" s="213"/>
    </row>
    <row r="210">
      <c r="A210" s="199"/>
      <c r="B210" s="12"/>
      <c r="C210" s="202"/>
      <c r="D210" s="199"/>
      <c r="E210" s="211"/>
      <c r="F210" s="201"/>
      <c r="G210" s="199"/>
      <c r="H210" s="199"/>
      <c r="I210" s="199"/>
      <c r="J210" s="212"/>
      <c r="K210" s="212"/>
      <c r="L210" s="212"/>
      <c r="M210" s="212"/>
      <c r="N210" s="212"/>
      <c r="O210" s="212"/>
      <c r="P210" s="212"/>
      <c r="Q210" s="212"/>
      <c r="R210" s="212"/>
      <c r="S210" s="212"/>
      <c r="T210" s="212"/>
      <c r="U210" s="212"/>
      <c r="V210" s="212"/>
      <c r="W210" s="212"/>
      <c r="X210" s="212"/>
      <c r="Y210" s="212"/>
      <c r="Z210" s="204"/>
      <c r="AA210" s="204"/>
      <c r="AB210" s="204"/>
      <c r="AC210" s="204"/>
      <c r="AD210" s="204"/>
      <c r="AE210" s="212"/>
      <c r="AF210" s="213"/>
      <c r="AG210" s="213"/>
      <c r="AH210" s="213"/>
      <c r="AI210" s="213"/>
      <c r="AJ210" s="213"/>
      <c r="AK210" s="213"/>
      <c r="AL210" s="213"/>
      <c r="AM210" s="213"/>
      <c r="AN210" s="213"/>
      <c r="AO210" s="213"/>
      <c r="AP210" s="213"/>
      <c r="AQ210" s="213"/>
      <c r="AR210" s="213"/>
      <c r="AS210" s="213"/>
      <c r="AT210" s="213"/>
      <c r="AU210" s="213"/>
      <c r="AV210" s="213"/>
      <c r="AW210" s="213"/>
      <c r="AX210" s="213"/>
      <c r="AY210" s="213"/>
      <c r="AZ210" s="213"/>
      <c r="BA210" s="213"/>
      <c r="BB210" s="213"/>
    </row>
    <row r="211">
      <c r="A211" s="199"/>
      <c r="B211" s="12"/>
      <c r="C211" s="202"/>
      <c r="D211" s="199"/>
      <c r="E211" s="211"/>
      <c r="F211" s="201"/>
      <c r="G211" s="199"/>
      <c r="H211" s="199"/>
      <c r="I211" s="199"/>
      <c r="J211" s="212"/>
      <c r="K211" s="212"/>
      <c r="L211" s="212"/>
      <c r="M211" s="212"/>
      <c r="N211" s="212"/>
      <c r="O211" s="212"/>
      <c r="P211" s="212"/>
      <c r="Q211" s="212"/>
      <c r="R211" s="212"/>
      <c r="S211" s="212"/>
      <c r="T211" s="212"/>
      <c r="U211" s="212"/>
      <c r="V211" s="212"/>
      <c r="W211" s="212"/>
      <c r="X211" s="212"/>
      <c r="Y211" s="212"/>
      <c r="Z211" s="204"/>
      <c r="AA211" s="204"/>
      <c r="AB211" s="204"/>
      <c r="AC211" s="204"/>
      <c r="AD211" s="204"/>
      <c r="AE211" s="212"/>
      <c r="AF211" s="213"/>
      <c r="AG211" s="213"/>
      <c r="AH211" s="213"/>
      <c r="AI211" s="213"/>
      <c r="AJ211" s="213"/>
      <c r="AK211" s="213"/>
      <c r="AL211" s="213"/>
      <c r="AM211" s="213"/>
      <c r="AN211" s="213"/>
      <c r="AO211" s="213"/>
      <c r="AP211" s="213"/>
      <c r="AQ211" s="213"/>
      <c r="AR211" s="213"/>
      <c r="AS211" s="213"/>
      <c r="AT211" s="213"/>
      <c r="AU211" s="213"/>
      <c r="AV211" s="213"/>
      <c r="AW211" s="213"/>
      <c r="AX211" s="213"/>
      <c r="AY211" s="213"/>
      <c r="AZ211" s="213"/>
      <c r="BA211" s="213"/>
      <c r="BB211" s="213"/>
    </row>
    <row r="212">
      <c r="A212" s="199"/>
      <c r="B212" s="12"/>
      <c r="C212" s="202"/>
      <c r="D212" s="199"/>
      <c r="E212" s="211"/>
      <c r="F212" s="201"/>
      <c r="G212" s="199"/>
      <c r="H212" s="199"/>
      <c r="I212" s="199"/>
      <c r="J212" s="212"/>
      <c r="K212" s="212"/>
      <c r="L212" s="212"/>
      <c r="M212" s="212"/>
      <c r="N212" s="212"/>
      <c r="O212" s="212"/>
      <c r="P212" s="212"/>
      <c r="Q212" s="212"/>
      <c r="R212" s="212"/>
      <c r="S212" s="212"/>
      <c r="T212" s="212"/>
      <c r="U212" s="212"/>
      <c r="V212" s="212"/>
      <c r="W212" s="212"/>
      <c r="X212" s="212"/>
      <c r="Y212" s="212"/>
      <c r="Z212" s="204"/>
      <c r="AA212" s="204"/>
      <c r="AB212" s="204"/>
      <c r="AC212" s="204"/>
      <c r="AD212" s="204"/>
      <c r="AE212" s="212"/>
      <c r="AF212" s="213"/>
      <c r="AG212" s="213"/>
      <c r="AH212" s="213"/>
      <c r="AI212" s="213"/>
      <c r="AJ212" s="213"/>
      <c r="AK212" s="213"/>
      <c r="AL212" s="213"/>
      <c r="AM212" s="213"/>
      <c r="AN212" s="213"/>
      <c r="AO212" s="213"/>
      <c r="AP212" s="213"/>
      <c r="AQ212" s="213"/>
      <c r="AR212" s="213"/>
      <c r="AS212" s="213"/>
      <c r="AT212" s="213"/>
      <c r="AU212" s="213"/>
      <c r="AV212" s="213"/>
      <c r="AW212" s="213"/>
      <c r="AX212" s="213"/>
      <c r="AY212" s="213"/>
      <c r="AZ212" s="213"/>
      <c r="BA212" s="213"/>
      <c r="BB212" s="213"/>
    </row>
    <row r="213">
      <c r="A213" s="199"/>
      <c r="B213" s="12"/>
      <c r="C213" s="202"/>
      <c r="D213" s="199"/>
      <c r="E213" s="211"/>
      <c r="F213" s="201"/>
      <c r="G213" s="199"/>
      <c r="H213" s="199"/>
      <c r="I213" s="199"/>
      <c r="J213" s="212"/>
      <c r="K213" s="212"/>
      <c r="L213" s="212"/>
      <c r="M213" s="212"/>
      <c r="N213" s="212"/>
      <c r="O213" s="212"/>
      <c r="P213" s="212"/>
      <c r="Q213" s="212"/>
      <c r="R213" s="212"/>
      <c r="S213" s="212"/>
      <c r="T213" s="212"/>
      <c r="U213" s="212"/>
      <c r="V213" s="212"/>
      <c r="W213" s="212"/>
      <c r="X213" s="212"/>
      <c r="Y213" s="212"/>
      <c r="Z213" s="204"/>
      <c r="AA213" s="204"/>
      <c r="AB213" s="204"/>
      <c r="AC213" s="204"/>
      <c r="AD213" s="204"/>
      <c r="AE213" s="212"/>
      <c r="AF213" s="213"/>
      <c r="AG213" s="213"/>
      <c r="AH213" s="213"/>
      <c r="AI213" s="213"/>
      <c r="AJ213" s="213"/>
      <c r="AK213" s="213"/>
      <c r="AL213" s="213"/>
      <c r="AM213" s="213"/>
      <c r="AN213" s="213"/>
      <c r="AO213" s="213"/>
      <c r="AP213" s="213"/>
      <c r="AQ213" s="213"/>
      <c r="AR213" s="213"/>
      <c r="AS213" s="213"/>
      <c r="AT213" s="213"/>
      <c r="AU213" s="213"/>
      <c r="AV213" s="213"/>
      <c r="AW213" s="213"/>
      <c r="AX213" s="213"/>
      <c r="AY213" s="213"/>
      <c r="AZ213" s="213"/>
      <c r="BA213" s="213"/>
      <c r="BB213" s="213"/>
    </row>
    <row r="214">
      <c r="A214" s="199"/>
      <c r="B214" s="12"/>
      <c r="C214" s="202"/>
      <c r="D214" s="199"/>
      <c r="E214" s="211"/>
      <c r="F214" s="201"/>
      <c r="G214" s="199"/>
      <c r="H214" s="199"/>
      <c r="I214" s="199"/>
      <c r="J214" s="212"/>
      <c r="K214" s="212"/>
      <c r="L214" s="212"/>
      <c r="M214" s="212"/>
      <c r="N214" s="212"/>
      <c r="O214" s="212"/>
      <c r="P214" s="212"/>
      <c r="Q214" s="212"/>
      <c r="R214" s="212"/>
      <c r="S214" s="212"/>
      <c r="T214" s="212"/>
      <c r="U214" s="212"/>
      <c r="V214" s="212"/>
      <c r="W214" s="212"/>
      <c r="X214" s="212"/>
      <c r="Y214" s="212"/>
      <c r="Z214" s="204"/>
      <c r="AA214" s="204"/>
      <c r="AB214" s="204"/>
      <c r="AC214" s="204"/>
      <c r="AD214" s="204"/>
      <c r="AE214" s="212"/>
      <c r="AF214" s="213"/>
      <c r="AG214" s="213"/>
      <c r="AH214" s="213"/>
      <c r="AI214" s="213"/>
      <c r="AJ214" s="213"/>
      <c r="AK214" s="213"/>
      <c r="AL214" s="213"/>
      <c r="AM214" s="213"/>
      <c r="AN214" s="213"/>
      <c r="AO214" s="213"/>
      <c r="AP214" s="213"/>
      <c r="AQ214" s="213"/>
      <c r="AR214" s="213"/>
      <c r="AS214" s="213"/>
      <c r="AT214" s="213"/>
      <c r="AU214" s="213"/>
      <c r="AV214" s="213"/>
      <c r="AW214" s="213"/>
      <c r="AX214" s="213"/>
      <c r="AY214" s="213"/>
      <c r="AZ214" s="213"/>
      <c r="BA214" s="213"/>
      <c r="BB214" s="213"/>
    </row>
    <row r="215">
      <c r="A215" s="199"/>
      <c r="B215" s="12"/>
      <c r="C215" s="202"/>
      <c r="D215" s="199"/>
      <c r="E215" s="211"/>
      <c r="F215" s="201"/>
      <c r="G215" s="199"/>
      <c r="H215" s="199"/>
      <c r="I215" s="199"/>
      <c r="J215" s="212"/>
      <c r="K215" s="212"/>
      <c r="L215" s="212"/>
      <c r="M215" s="212"/>
      <c r="N215" s="212"/>
      <c r="O215" s="212"/>
      <c r="P215" s="212"/>
      <c r="Q215" s="212"/>
      <c r="R215" s="212"/>
      <c r="S215" s="212"/>
      <c r="T215" s="212"/>
      <c r="U215" s="212"/>
      <c r="V215" s="212"/>
      <c r="W215" s="212"/>
      <c r="X215" s="212"/>
      <c r="Y215" s="212"/>
      <c r="Z215" s="204"/>
      <c r="AA215" s="204"/>
      <c r="AB215" s="204"/>
      <c r="AC215" s="204"/>
      <c r="AD215" s="204"/>
      <c r="AE215" s="212"/>
      <c r="AF215" s="213"/>
      <c r="AG215" s="213"/>
      <c r="AH215" s="213"/>
      <c r="AI215" s="213"/>
      <c r="AJ215" s="213"/>
      <c r="AK215" s="213"/>
      <c r="AL215" s="213"/>
      <c r="AM215" s="213"/>
      <c r="AN215" s="213"/>
      <c r="AO215" s="213"/>
      <c r="AP215" s="213"/>
      <c r="AQ215" s="213"/>
      <c r="AR215" s="213"/>
      <c r="AS215" s="213"/>
      <c r="AT215" s="213"/>
      <c r="AU215" s="213"/>
      <c r="AV215" s="213"/>
      <c r="AW215" s="213"/>
      <c r="AX215" s="213"/>
      <c r="AY215" s="213"/>
      <c r="AZ215" s="213"/>
      <c r="BA215" s="213"/>
      <c r="BB215" s="213"/>
    </row>
    <row r="216">
      <c r="A216" s="199"/>
      <c r="B216" s="12"/>
      <c r="C216" s="202"/>
      <c r="D216" s="199"/>
      <c r="E216" s="211"/>
      <c r="F216" s="201"/>
      <c r="G216" s="199"/>
      <c r="H216" s="199"/>
      <c r="I216" s="199"/>
      <c r="J216" s="212"/>
      <c r="K216" s="212"/>
      <c r="L216" s="212"/>
      <c r="M216" s="212"/>
      <c r="N216" s="212"/>
      <c r="O216" s="212"/>
      <c r="P216" s="212"/>
      <c r="Q216" s="212"/>
      <c r="R216" s="212"/>
      <c r="S216" s="212"/>
      <c r="T216" s="212"/>
      <c r="U216" s="212"/>
      <c r="V216" s="212"/>
      <c r="W216" s="212"/>
      <c r="X216" s="212"/>
      <c r="Y216" s="212"/>
      <c r="Z216" s="204"/>
      <c r="AA216" s="204"/>
      <c r="AB216" s="204"/>
      <c r="AC216" s="204"/>
      <c r="AD216" s="204"/>
      <c r="AE216" s="212"/>
      <c r="AF216" s="213"/>
      <c r="AG216" s="213"/>
      <c r="AH216" s="213"/>
      <c r="AI216" s="213"/>
      <c r="AJ216" s="213"/>
      <c r="AK216" s="213"/>
      <c r="AL216" s="213"/>
      <c r="AM216" s="213"/>
      <c r="AN216" s="213"/>
      <c r="AO216" s="213"/>
      <c r="AP216" s="213"/>
      <c r="AQ216" s="213"/>
      <c r="AR216" s="213"/>
      <c r="AS216" s="213"/>
      <c r="AT216" s="213"/>
      <c r="AU216" s="213"/>
      <c r="AV216" s="213"/>
      <c r="AW216" s="213"/>
      <c r="AX216" s="213"/>
      <c r="AY216" s="213"/>
      <c r="AZ216" s="213"/>
      <c r="BA216" s="213"/>
      <c r="BB216" s="213"/>
    </row>
    <row r="217">
      <c r="A217" s="199"/>
      <c r="B217" s="12"/>
      <c r="C217" s="202"/>
      <c r="D217" s="199"/>
      <c r="E217" s="211"/>
      <c r="F217" s="201"/>
      <c r="G217" s="199"/>
      <c r="H217" s="199"/>
      <c r="I217" s="199"/>
      <c r="J217" s="212"/>
      <c r="K217" s="212"/>
      <c r="L217" s="212"/>
      <c r="M217" s="212"/>
      <c r="N217" s="212"/>
      <c r="O217" s="212"/>
      <c r="P217" s="212"/>
      <c r="Q217" s="212"/>
      <c r="R217" s="212"/>
      <c r="S217" s="212"/>
      <c r="T217" s="212"/>
      <c r="U217" s="212"/>
      <c r="V217" s="212"/>
      <c r="W217" s="212"/>
      <c r="X217" s="212"/>
      <c r="Y217" s="212"/>
      <c r="Z217" s="204"/>
      <c r="AA217" s="204"/>
      <c r="AB217" s="204"/>
      <c r="AC217" s="204"/>
      <c r="AD217" s="204"/>
      <c r="AE217" s="212"/>
      <c r="AF217" s="213"/>
      <c r="AG217" s="213"/>
      <c r="AH217" s="213"/>
      <c r="AI217" s="213"/>
      <c r="AJ217" s="213"/>
      <c r="AK217" s="213"/>
      <c r="AL217" s="213"/>
      <c r="AM217" s="213"/>
      <c r="AN217" s="213"/>
      <c r="AO217" s="213"/>
      <c r="AP217" s="213"/>
      <c r="AQ217" s="213"/>
      <c r="AR217" s="213"/>
      <c r="AS217" s="213"/>
      <c r="AT217" s="213"/>
      <c r="AU217" s="213"/>
      <c r="AV217" s="213"/>
      <c r="AW217" s="213"/>
      <c r="AX217" s="213"/>
      <c r="AY217" s="213"/>
      <c r="AZ217" s="213"/>
      <c r="BA217" s="213"/>
      <c r="BB217" s="213"/>
    </row>
    <row r="218">
      <c r="A218" s="199"/>
      <c r="B218" s="12"/>
      <c r="C218" s="202"/>
      <c r="D218" s="199"/>
      <c r="E218" s="211"/>
      <c r="F218" s="201"/>
      <c r="G218" s="199"/>
      <c r="H218" s="199"/>
      <c r="I218" s="199"/>
      <c r="J218" s="212"/>
      <c r="K218" s="212"/>
      <c r="L218" s="212"/>
      <c r="M218" s="212"/>
      <c r="N218" s="212"/>
      <c r="O218" s="212"/>
      <c r="P218" s="212"/>
      <c r="Q218" s="212"/>
      <c r="R218" s="212"/>
      <c r="S218" s="212"/>
      <c r="T218" s="212"/>
      <c r="U218" s="212"/>
      <c r="V218" s="212"/>
      <c r="W218" s="212"/>
      <c r="X218" s="212"/>
      <c r="Y218" s="212"/>
      <c r="Z218" s="204"/>
      <c r="AA218" s="204"/>
      <c r="AB218" s="204"/>
      <c r="AC218" s="204"/>
      <c r="AD218" s="204"/>
      <c r="AE218" s="212"/>
      <c r="AF218" s="213"/>
      <c r="AG218" s="213"/>
      <c r="AH218" s="213"/>
      <c r="AI218" s="213"/>
      <c r="AJ218" s="213"/>
      <c r="AK218" s="213"/>
      <c r="AL218" s="213"/>
      <c r="AM218" s="213"/>
      <c r="AN218" s="213"/>
      <c r="AO218" s="213"/>
      <c r="AP218" s="213"/>
      <c r="AQ218" s="213"/>
      <c r="AR218" s="213"/>
      <c r="AS218" s="213"/>
      <c r="AT218" s="213"/>
      <c r="AU218" s="213"/>
      <c r="AV218" s="213"/>
      <c r="AW218" s="213"/>
      <c r="AX218" s="213"/>
      <c r="AY218" s="213"/>
      <c r="AZ218" s="213"/>
      <c r="BA218" s="213"/>
      <c r="BB218" s="213"/>
    </row>
    <row r="219">
      <c r="A219" s="199"/>
      <c r="B219" s="12"/>
      <c r="C219" s="202"/>
      <c r="D219" s="199"/>
      <c r="E219" s="211"/>
      <c r="F219" s="201"/>
      <c r="G219" s="199"/>
      <c r="H219" s="199"/>
      <c r="I219" s="199"/>
      <c r="J219" s="212"/>
      <c r="K219" s="212"/>
      <c r="L219" s="212"/>
      <c r="M219" s="212"/>
      <c r="N219" s="212"/>
      <c r="O219" s="212"/>
      <c r="P219" s="212"/>
      <c r="Q219" s="212"/>
      <c r="R219" s="212"/>
      <c r="S219" s="212"/>
      <c r="T219" s="212"/>
      <c r="U219" s="212"/>
      <c r="V219" s="212"/>
      <c r="W219" s="212"/>
      <c r="X219" s="212"/>
      <c r="Y219" s="212"/>
      <c r="Z219" s="204"/>
      <c r="AA219" s="204"/>
      <c r="AB219" s="204"/>
      <c r="AC219" s="204"/>
      <c r="AD219" s="204"/>
      <c r="AE219" s="212"/>
      <c r="AF219" s="213"/>
      <c r="AG219" s="213"/>
      <c r="AH219" s="213"/>
      <c r="AI219" s="213"/>
      <c r="AJ219" s="213"/>
      <c r="AK219" s="213"/>
      <c r="AL219" s="213"/>
      <c r="AM219" s="213"/>
      <c r="AN219" s="213"/>
      <c r="AO219" s="213"/>
      <c r="AP219" s="213"/>
      <c r="AQ219" s="213"/>
      <c r="AR219" s="213"/>
      <c r="AS219" s="213"/>
      <c r="AT219" s="213"/>
      <c r="AU219" s="213"/>
      <c r="AV219" s="213"/>
      <c r="AW219" s="213"/>
      <c r="AX219" s="213"/>
      <c r="AY219" s="213"/>
      <c r="AZ219" s="213"/>
      <c r="BA219" s="213"/>
      <c r="BB219" s="213"/>
    </row>
    <row r="220">
      <c r="A220" s="199"/>
      <c r="B220" s="12"/>
      <c r="C220" s="202"/>
      <c r="D220" s="199"/>
      <c r="E220" s="211"/>
      <c r="F220" s="201"/>
      <c r="G220" s="199"/>
      <c r="H220" s="199"/>
      <c r="I220" s="199"/>
      <c r="J220" s="212"/>
      <c r="K220" s="212"/>
      <c r="L220" s="212"/>
      <c r="M220" s="212"/>
      <c r="N220" s="212"/>
      <c r="O220" s="212"/>
      <c r="P220" s="212"/>
      <c r="Q220" s="212"/>
      <c r="R220" s="212"/>
      <c r="S220" s="212"/>
      <c r="T220" s="212"/>
      <c r="U220" s="212"/>
      <c r="V220" s="212"/>
      <c r="W220" s="212"/>
      <c r="X220" s="212"/>
      <c r="Y220" s="212"/>
      <c r="Z220" s="204"/>
      <c r="AA220" s="204"/>
      <c r="AB220" s="204"/>
      <c r="AC220" s="204"/>
      <c r="AD220" s="204"/>
      <c r="AE220" s="212"/>
      <c r="AF220" s="213"/>
      <c r="AG220" s="213"/>
      <c r="AH220" s="213"/>
      <c r="AI220" s="213"/>
      <c r="AJ220" s="213"/>
      <c r="AK220" s="213"/>
      <c r="AL220" s="213"/>
      <c r="AM220" s="213"/>
      <c r="AN220" s="213"/>
      <c r="AO220" s="213"/>
      <c r="AP220" s="213"/>
      <c r="AQ220" s="213"/>
      <c r="AR220" s="213"/>
      <c r="AS220" s="213"/>
      <c r="AT220" s="213"/>
      <c r="AU220" s="213"/>
      <c r="AV220" s="213"/>
      <c r="AW220" s="213"/>
      <c r="AX220" s="213"/>
      <c r="AY220" s="213"/>
      <c r="AZ220" s="213"/>
      <c r="BA220" s="213"/>
      <c r="BB220" s="213"/>
    </row>
    <row r="221">
      <c r="A221" s="199"/>
      <c r="B221" s="12"/>
      <c r="C221" s="202"/>
      <c r="D221" s="199"/>
      <c r="E221" s="211"/>
      <c r="F221" s="201"/>
      <c r="G221" s="199"/>
      <c r="H221" s="199"/>
      <c r="I221" s="199"/>
      <c r="J221" s="212"/>
      <c r="K221" s="212"/>
      <c r="L221" s="212"/>
      <c r="M221" s="212"/>
      <c r="N221" s="212"/>
      <c r="O221" s="212"/>
      <c r="P221" s="212"/>
      <c r="Q221" s="212"/>
      <c r="R221" s="212"/>
      <c r="S221" s="212"/>
      <c r="T221" s="212"/>
      <c r="U221" s="212"/>
      <c r="V221" s="212"/>
      <c r="W221" s="212"/>
      <c r="X221" s="212"/>
      <c r="Y221" s="212"/>
      <c r="Z221" s="204"/>
      <c r="AA221" s="204"/>
      <c r="AB221" s="204"/>
      <c r="AC221" s="204"/>
      <c r="AD221" s="204"/>
      <c r="AE221" s="212"/>
      <c r="AF221" s="213"/>
      <c r="AG221" s="213"/>
      <c r="AH221" s="213"/>
      <c r="AI221" s="213"/>
      <c r="AJ221" s="213"/>
      <c r="AK221" s="213"/>
      <c r="AL221" s="213"/>
      <c r="AM221" s="213"/>
      <c r="AN221" s="213"/>
      <c r="AO221" s="213"/>
      <c r="AP221" s="213"/>
      <c r="AQ221" s="213"/>
      <c r="AR221" s="213"/>
      <c r="AS221" s="213"/>
      <c r="AT221" s="213"/>
      <c r="AU221" s="213"/>
      <c r="AV221" s="213"/>
      <c r="AW221" s="213"/>
      <c r="AX221" s="213"/>
      <c r="AY221" s="213"/>
      <c r="AZ221" s="213"/>
      <c r="BA221" s="213"/>
      <c r="BB221" s="213"/>
    </row>
    <row r="222">
      <c r="A222" s="199"/>
      <c r="B222" s="12"/>
      <c r="C222" s="202"/>
      <c r="D222" s="199"/>
      <c r="E222" s="211"/>
      <c r="F222" s="201"/>
      <c r="G222" s="199"/>
      <c r="H222" s="199"/>
      <c r="I222" s="199"/>
      <c r="J222" s="212"/>
      <c r="K222" s="212"/>
      <c r="L222" s="212"/>
      <c r="M222" s="212"/>
      <c r="N222" s="212"/>
      <c r="O222" s="212"/>
      <c r="P222" s="212"/>
      <c r="Q222" s="212"/>
      <c r="R222" s="212"/>
      <c r="S222" s="212"/>
      <c r="T222" s="212"/>
      <c r="U222" s="212"/>
      <c r="V222" s="212"/>
      <c r="W222" s="212"/>
      <c r="X222" s="212"/>
      <c r="Y222" s="212"/>
      <c r="Z222" s="204"/>
      <c r="AA222" s="204"/>
      <c r="AB222" s="204"/>
      <c r="AC222" s="204"/>
      <c r="AD222" s="204"/>
      <c r="AE222" s="212"/>
      <c r="AF222" s="213"/>
      <c r="AG222" s="213"/>
      <c r="AH222" s="213"/>
      <c r="AI222" s="213"/>
      <c r="AJ222" s="213"/>
      <c r="AK222" s="213"/>
      <c r="AL222" s="213"/>
      <c r="AM222" s="213"/>
      <c r="AN222" s="213"/>
      <c r="AO222" s="213"/>
      <c r="AP222" s="213"/>
      <c r="AQ222" s="213"/>
      <c r="AR222" s="213"/>
      <c r="AS222" s="213"/>
      <c r="AT222" s="213"/>
      <c r="AU222" s="213"/>
      <c r="AV222" s="213"/>
      <c r="AW222" s="213"/>
      <c r="AX222" s="213"/>
      <c r="AY222" s="213"/>
      <c r="AZ222" s="213"/>
      <c r="BA222" s="213"/>
      <c r="BB222" s="213"/>
    </row>
    <row r="223">
      <c r="A223" s="199"/>
      <c r="B223" s="12"/>
      <c r="C223" s="202"/>
      <c r="D223" s="199"/>
      <c r="E223" s="211"/>
      <c r="F223" s="201"/>
      <c r="G223" s="199"/>
      <c r="H223" s="199"/>
      <c r="I223" s="199"/>
      <c r="J223" s="212"/>
      <c r="K223" s="212"/>
      <c r="L223" s="212"/>
      <c r="M223" s="212"/>
      <c r="N223" s="212"/>
      <c r="O223" s="212"/>
      <c r="P223" s="212"/>
      <c r="Q223" s="212"/>
      <c r="R223" s="212"/>
      <c r="S223" s="212"/>
      <c r="T223" s="212"/>
      <c r="U223" s="212"/>
      <c r="V223" s="212"/>
      <c r="W223" s="212"/>
      <c r="X223" s="212"/>
      <c r="Y223" s="212"/>
      <c r="Z223" s="204"/>
      <c r="AA223" s="204"/>
      <c r="AB223" s="204"/>
      <c r="AC223" s="204"/>
      <c r="AD223" s="204"/>
      <c r="AE223" s="212"/>
      <c r="AF223" s="213"/>
      <c r="AG223" s="213"/>
      <c r="AH223" s="213"/>
      <c r="AI223" s="213"/>
      <c r="AJ223" s="213"/>
      <c r="AK223" s="213"/>
      <c r="AL223" s="213"/>
      <c r="AM223" s="213"/>
      <c r="AN223" s="213"/>
      <c r="AO223" s="213"/>
      <c r="AP223" s="213"/>
      <c r="AQ223" s="213"/>
      <c r="AR223" s="213"/>
      <c r="AS223" s="213"/>
      <c r="AT223" s="213"/>
      <c r="AU223" s="213"/>
      <c r="AV223" s="213"/>
      <c r="AW223" s="213"/>
      <c r="AX223" s="213"/>
      <c r="AY223" s="213"/>
      <c r="AZ223" s="213"/>
      <c r="BA223" s="213"/>
      <c r="BB223" s="213"/>
    </row>
    <row r="224">
      <c r="A224" s="199"/>
      <c r="B224" s="12"/>
      <c r="C224" s="202"/>
      <c r="D224" s="199"/>
      <c r="E224" s="211"/>
      <c r="F224" s="201"/>
      <c r="G224" s="199"/>
      <c r="H224" s="199"/>
      <c r="I224" s="199"/>
      <c r="J224" s="212"/>
      <c r="K224" s="212"/>
      <c r="L224" s="212"/>
      <c r="M224" s="212"/>
      <c r="N224" s="212"/>
      <c r="O224" s="212"/>
      <c r="P224" s="212"/>
      <c r="Q224" s="212"/>
      <c r="R224" s="212"/>
      <c r="S224" s="212"/>
      <c r="T224" s="212"/>
      <c r="U224" s="212"/>
      <c r="V224" s="212"/>
      <c r="W224" s="212"/>
      <c r="X224" s="212"/>
      <c r="Y224" s="212"/>
      <c r="Z224" s="204"/>
      <c r="AA224" s="204"/>
      <c r="AB224" s="204"/>
      <c r="AC224" s="204"/>
      <c r="AD224" s="204"/>
      <c r="AE224" s="212"/>
      <c r="AF224" s="213"/>
      <c r="AG224" s="213"/>
      <c r="AH224" s="213"/>
      <c r="AI224" s="213"/>
      <c r="AJ224" s="213"/>
      <c r="AK224" s="213"/>
      <c r="AL224" s="213"/>
      <c r="AM224" s="213"/>
      <c r="AN224" s="213"/>
      <c r="AO224" s="213"/>
      <c r="AP224" s="213"/>
      <c r="AQ224" s="213"/>
      <c r="AR224" s="213"/>
      <c r="AS224" s="213"/>
      <c r="AT224" s="213"/>
      <c r="AU224" s="213"/>
      <c r="AV224" s="213"/>
      <c r="AW224" s="213"/>
      <c r="AX224" s="213"/>
      <c r="AY224" s="213"/>
      <c r="AZ224" s="213"/>
      <c r="BA224" s="213"/>
      <c r="BB224" s="213"/>
    </row>
    <row r="225">
      <c r="A225" s="199"/>
      <c r="B225" s="12"/>
      <c r="C225" s="202"/>
      <c r="D225" s="199"/>
      <c r="E225" s="211"/>
      <c r="F225" s="201"/>
      <c r="G225" s="199"/>
      <c r="H225" s="199"/>
      <c r="I225" s="199"/>
      <c r="J225" s="212"/>
      <c r="K225" s="212"/>
      <c r="L225" s="212"/>
      <c r="M225" s="212"/>
      <c r="N225" s="212"/>
      <c r="O225" s="212"/>
      <c r="P225" s="212"/>
      <c r="Q225" s="212"/>
      <c r="R225" s="212"/>
      <c r="S225" s="212"/>
      <c r="T225" s="212"/>
      <c r="U225" s="212"/>
      <c r="V225" s="212"/>
      <c r="W225" s="212"/>
      <c r="X225" s="212"/>
      <c r="Y225" s="212"/>
      <c r="Z225" s="204"/>
      <c r="AA225" s="204"/>
      <c r="AB225" s="204"/>
      <c r="AC225" s="204"/>
      <c r="AD225" s="204"/>
      <c r="AE225" s="212"/>
      <c r="AF225" s="213"/>
      <c r="AG225" s="213"/>
      <c r="AH225" s="213"/>
      <c r="AI225" s="213"/>
      <c r="AJ225" s="213"/>
      <c r="AK225" s="213"/>
      <c r="AL225" s="213"/>
      <c r="AM225" s="213"/>
      <c r="AN225" s="213"/>
      <c r="AO225" s="213"/>
      <c r="AP225" s="213"/>
      <c r="AQ225" s="213"/>
      <c r="AR225" s="213"/>
      <c r="AS225" s="213"/>
      <c r="AT225" s="213"/>
      <c r="AU225" s="213"/>
      <c r="AV225" s="213"/>
      <c r="AW225" s="213"/>
      <c r="AX225" s="213"/>
      <c r="AY225" s="213"/>
      <c r="AZ225" s="213"/>
      <c r="BA225" s="213"/>
      <c r="BB225" s="213"/>
    </row>
    <row r="226">
      <c r="A226" s="199"/>
      <c r="B226" s="12"/>
      <c r="C226" s="202"/>
      <c r="D226" s="199"/>
      <c r="E226" s="211"/>
      <c r="F226" s="201"/>
      <c r="G226" s="199"/>
      <c r="H226" s="199"/>
      <c r="I226" s="199"/>
      <c r="J226" s="212"/>
      <c r="K226" s="212"/>
      <c r="L226" s="212"/>
      <c r="M226" s="212"/>
      <c r="N226" s="212"/>
      <c r="O226" s="212"/>
      <c r="P226" s="212"/>
      <c r="Q226" s="212"/>
      <c r="R226" s="212"/>
      <c r="S226" s="212"/>
      <c r="T226" s="212"/>
      <c r="U226" s="212"/>
      <c r="V226" s="212"/>
      <c r="W226" s="212"/>
      <c r="X226" s="212"/>
      <c r="Y226" s="212"/>
      <c r="Z226" s="204"/>
      <c r="AA226" s="204"/>
      <c r="AB226" s="204"/>
      <c r="AC226" s="204"/>
      <c r="AD226" s="204"/>
      <c r="AE226" s="212"/>
      <c r="AF226" s="213"/>
      <c r="AG226" s="213"/>
      <c r="AH226" s="213"/>
      <c r="AI226" s="213"/>
      <c r="AJ226" s="213"/>
      <c r="AK226" s="213"/>
      <c r="AL226" s="213"/>
      <c r="AM226" s="213"/>
      <c r="AN226" s="213"/>
      <c r="AO226" s="213"/>
      <c r="AP226" s="213"/>
      <c r="AQ226" s="213"/>
      <c r="AR226" s="213"/>
      <c r="AS226" s="213"/>
      <c r="AT226" s="213"/>
      <c r="AU226" s="213"/>
      <c r="AV226" s="213"/>
      <c r="AW226" s="213"/>
      <c r="AX226" s="213"/>
      <c r="AY226" s="213"/>
      <c r="AZ226" s="213"/>
      <c r="BA226" s="213"/>
      <c r="BB226" s="213"/>
    </row>
    <row r="227">
      <c r="A227" s="199"/>
      <c r="B227" s="12"/>
      <c r="C227" s="202"/>
      <c r="D227" s="199"/>
      <c r="E227" s="211"/>
      <c r="F227" s="201"/>
      <c r="G227" s="199"/>
      <c r="H227" s="199"/>
      <c r="I227" s="199"/>
      <c r="J227" s="212"/>
      <c r="K227" s="212"/>
      <c r="L227" s="212"/>
      <c r="M227" s="212"/>
      <c r="N227" s="212"/>
      <c r="O227" s="212"/>
      <c r="P227" s="212"/>
      <c r="Q227" s="212"/>
      <c r="R227" s="212"/>
      <c r="S227" s="212"/>
      <c r="T227" s="212"/>
      <c r="U227" s="212"/>
      <c r="V227" s="212"/>
      <c r="W227" s="212"/>
      <c r="X227" s="212"/>
      <c r="Y227" s="212"/>
      <c r="Z227" s="204"/>
      <c r="AA227" s="204"/>
      <c r="AB227" s="204"/>
      <c r="AC227" s="204"/>
      <c r="AD227" s="204"/>
      <c r="AE227" s="212"/>
      <c r="AF227" s="213"/>
      <c r="AG227" s="213"/>
      <c r="AH227" s="213"/>
      <c r="AI227" s="213"/>
      <c r="AJ227" s="213"/>
      <c r="AK227" s="213"/>
      <c r="AL227" s="213"/>
      <c r="AM227" s="213"/>
      <c r="AN227" s="213"/>
      <c r="AO227" s="213"/>
      <c r="AP227" s="213"/>
      <c r="AQ227" s="213"/>
      <c r="AR227" s="213"/>
      <c r="AS227" s="213"/>
      <c r="AT227" s="213"/>
      <c r="AU227" s="213"/>
      <c r="AV227" s="213"/>
      <c r="AW227" s="213"/>
      <c r="AX227" s="213"/>
      <c r="AY227" s="213"/>
      <c r="AZ227" s="213"/>
      <c r="BA227" s="213"/>
      <c r="BB227" s="213"/>
    </row>
    <row r="228">
      <c r="A228" s="199"/>
      <c r="B228" s="12"/>
      <c r="C228" s="202"/>
      <c r="D228" s="199"/>
      <c r="E228" s="211"/>
      <c r="F228" s="201"/>
      <c r="G228" s="199"/>
      <c r="H228" s="199"/>
      <c r="I228" s="199"/>
      <c r="J228" s="212"/>
      <c r="K228" s="212"/>
      <c r="L228" s="212"/>
      <c r="M228" s="212"/>
      <c r="N228" s="212"/>
      <c r="O228" s="212"/>
      <c r="P228" s="212"/>
      <c r="Q228" s="212"/>
      <c r="R228" s="212"/>
      <c r="S228" s="212"/>
      <c r="T228" s="212"/>
      <c r="U228" s="212"/>
      <c r="V228" s="212"/>
      <c r="W228" s="212"/>
      <c r="X228" s="212"/>
      <c r="Y228" s="212"/>
      <c r="Z228" s="204"/>
      <c r="AA228" s="204"/>
      <c r="AB228" s="204"/>
      <c r="AC228" s="204"/>
      <c r="AD228" s="204"/>
      <c r="AE228" s="212"/>
      <c r="AF228" s="213"/>
      <c r="AG228" s="213"/>
      <c r="AH228" s="213"/>
      <c r="AI228" s="213"/>
      <c r="AJ228" s="213"/>
      <c r="AK228" s="213"/>
      <c r="AL228" s="213"/>
      <c r="AM228" s="213"/>
      <c r="AN228" s="213"/>
      <c r="AO228" s="213"/>
      <c r="AP228" s="213"/>
      <c r="AQ228" s="213"/>
      <c r="AR228" s="213"/>
      <c r="AS228" s="213"/>
      <c r="AT228" s="213"/>
      <c r="AU228" s="213"/>
      <c r="AV228" s="213"/>
      <c r="AW228" s="213"/>
      <c r="AX228" s="213"/>
      <c r="AY228" s="213"/>
      <c r="AZ228" s="213"/>
      <c r="BA228" s="213"/>
      <c r="BB228" s="213"/>
    </row>
    <row r="229">
      <c r="A229" s="199"/>
      <c r="B229" s="12"/>
      <c r="C229" s="202"/>
      <c r="D229" s="199"/>
      <c r="E229" s="211"/>
      <c r="F229" s="201"/>
      <c r="G229" s="199"/>
      <c r="H229" s="199"/>
      <c r="I229" s="199"/>
      <c r="J229" s="212"/>
      <c r="K229" s="212"/>
      <c r="L229" s="212"/>
      <c r="M229" s="212"/>
      <c r="N229" s="212"/>
      <c r="O229" s="212"/>
      <c r="P229" s="212"/>
      <c r="Q229" s="212"/>
      <c r="R229" s="212"/>
      <c r="S229" s="212"/>
      <c r="T229" s="212"/>
      <c r="U229" s="212"/>
      <c r="V229" s="212"/>
      <c r="W229" s="212"/>
      <c r="X229" s="212"/>
      <c r="Y229" s="212"/>
      <c r="Z229" s="204"/>
      <c r="AA229" s="204"/>
      <c r="AB229" s="204"/>
      <c r="AC229" s="204"/>
      <c r="AD229" s="204"/>
      <c r="AE229" s="212"/>
      <c r="AF229" s="213"/>
      <c r="AG229" s="213"/>
      <c r="AH229" s="213"/>
      <c r="AI229" s="213"/>
      <c r="AJ229" s="213"/>
      <c r="AK229" s="213"/>
      <c r="AL229" s="213"/>
      <c r="AM229" s="213"/>
      <c r="AN229" s="213"/>
      <c r="AO229" s="213"/>
      <c r="AP229" s="213"/>
      <c r="AQ229" s="213"/>
      <c r="AR229" s="213"/>
      <c r="AS229" s="213"/>
      <c r="AT229" s="213"/>
      <c r="AU229" s="213"/>
      <c r="AV229" s="213"/>
      <c r="AW229" s="213"/>
      <c r="AX229" s="213"/>
      <c r="AY229" s="213"/>
      <c r="AZ229" s="213"/>
      <c r="BA229" s="213"/>
      <c r="BB229" s="213"/>
    </row>
    <row r="230">
      <c r="A230" s="199"/>
      <c r="B230" s="12"/>
      <c r="C230" s="202"/>
      <c r="D230" s="199"/>
      <c r="E230" s="211"/>
      <c r="F230" s="201"/>
      <c r="G230" s="199"/>
      <c r="H230" s="199"/>
      <c r="I230" s="199"/>
      <c r="J230" s="212"/>
      <c r="K230" s="212"/>
      <c r="L230" s="212"/>
      <c r="M230" s="212"/>
      <c r="N230" s="212"/>
      <c r="O230" s="212"/>
      <c r="P230" s="212"/>
      <c r="Q230" s="212"/>
      <c r="R230" s="212"/>
      <c r="S230" s="212"/>
      <c r="T230" s="212"/>
      <c r="U230" s="212"/>
      <c r="V230" s="212"/>
      <c r="W230" s="212"/>
      <c r="X230" s="212"/>
      <c r="Y230" s="212"/>
      <c r="Z230" s="204"/>
      <c r="AA230" s="204"/>
      <c r="AB230" s="204"/>
      <c r="AC230" s="204"/>
      <c r="AD230" s="204"/>
      <c r="AE230" s="212"/>
      <c r="AF230" s="213"/>
      <c r="AG230" s="213"/>
      <c r="AH230" s="213"/>
      <c r="AI230" s="213"/>
      <c r="AJ230" s="213"/>
      <c r="AK230" s="213"/>
      <c r="AL230" s="213"/>
      <c r="AM230" s="213"/>
      <c r="AN230" s="213"/>
      <c r="AO230" s="213"/>
      <c r="AP230" s="213"/>
      <c r="AQ230" s="213"/>
      <c r="AR230" s="213"/>
      <c r="AS230" s="213"/>
      <c r="AT230" s="213"/>
      <c r="AU230" s="213"/>
      <c r="AV230" s="213"/>
      <c r="AW230" s="213"/>
      <c r="AX230" s="213"/>
      <c r="AY230" s="213"/>
      <c r="AZ230" s="213"/>
      <c r="BA230" s="213"/>
      <c r="BB230" s="213"/>
    </row>
    <row r="231">
      <c r="A231" s="199"/>
      <c r="B231" s="12"/>
      <c r="C231" s="202"/>
      <c r="D231" s="199"/>
      <c r="E231" s="211"/>
      <c r="F231" s="201"/>
      <c r="G231" s="199"/>
      <c r="H231" s="199"/>
      <c r="I231" s="199"/>
      <c r="J231" s="212"/>
      <c r="K231" s="212"/>
      <c r="L231" s="212"/>
      <c r="M231" s="212"/>
      <c r="N231" s="212"/>
      <c r="O231" s="212"/>
      <c r="P231" s="212"/>
      <c r="Q231" s="212"/>
      <c r="R231" s="212"/>
      <c r="S231" s="212"/>
      <c r="T231" s="212"/>
      <c r="U231" s="212"/>
      <c r="V231" s="212"/>
      <c r="W231" s="212"/>
      <c r="X231" s="212"/>
      <c r="Y231" s="212"/>
      <c r="Z231" s="204"/>
      <c r="AA231" s="204"/>
      <c r="AB231" s="204"/>
      <c r="AC231" s="204"/>
      <c r="AD231" s="204"/>
      <c r="AE231" s="212"/>
      <c r="AF231" s="213"/>
      <c r="AG231" s="213"/>
      <c r="AH231" s="213"/>
      <c r="AI231" s="213"/>
      <c r="AJ231" s="213"/>
      <c r="AK231" s="213"/>
      <c r="AL231" s="213"/>
      <c r="AM231" s="213"/>
      <c r="AN231" s="213"/>
      <c r="AO231" s="213"/>
      <c r="AP231" s="213"/>
      <c r="AQ231" s="213"/>
      <c r="AR231" s="213"/>
      <c r="AS231" s="213"/>
      <c r="AT231" s="213"/>
      <c r="AU231" s="213"/>
      <c r="AV231" s="213"/>
      <c r="AW231" s="213"/>
      <c r="AX231" s="213"/>
      <c r="AY231" s="213"/>
      <c r="AZ231" s="213"/>
      <c r="BA231" s="213"/>
      <c r="BB231" s="213"/>
    </row>
    <row r="232">
      <c r="A232" s="199"/>
      <c r="B232" s="12"/>
      <c r="C232" s="202"/>
      <c r="D232" s="199"/>
      <c r="E232" s="211"/>
      <c r="F232" s="201"/>
      <c r="G232" s="199"/>
      <c r="H232" s="199"/>
      <c r="I232" s="199"/>
      <c r="J232" s="212"/>
      <c r="K232" s="212"/>
      <c r="L232" s="212"/>
      <c r="M232" s="212"/>
      <c r="N232" s="212"/>
      <c r="O232" s="212"/>
      <c r="P232" s="212"/>
      <c r="Q232" s="212"/>
      <c r="R232" s="212"/>
      <c r="S232" s="212"/>
      <c r="T232" s="212"/>
      <c r="U232" s="212"/>
      <c r="V232" s="212"/>
      <c r="W232" s="212"/>
      <c r="X232" s="212"/>
      <c r="Y232" s="212"/>
      <c r="Z232" s="204"/>
      <c r="AA232" s="204"/>
      <c r="AB232" s="204"/>
      <c r="AC232" s="204"/>
      <c r="AD232" s="204"/>
      <c r="AE232" s="212"/>
      <c r="AF232" s="213"/>
      <c r="AG232" s="213"/>
      <c r="AH232" s="213"/>
      <c r="AI232" s="213"/>
      <c r="AJ232" s="213"/>
      <c r="AK232" s="213"/>
      <c r="AL232" s="213"/>
      <c r="AM232" s="213"/>
      <c r="AN232" s="213"/>
      <c r="AO232" s="213"/>
      <c r="AP232" s="213"/>
      <c r="AQ232" s="213"/>
      <c r="AR232" s="213"/>
      <c r="AS232" s="213"/>
      <c r="AT232" s="213"/>
      <c r="AU232" s="213"/>
      <c r="AV232" s="213"/>
      <c r="AW232" s="213"/>
      <c r="AX232" s="213"/>
      <c r="AY232" s="213"/>
      <c r="AZ232" s="213"/>
      <c r="BA232" s="213"/>
      <c r="BB232" s="213"/>
    </row>
    <row r="233">
      <c r="A233" s="199"/>
      <c r="B233" s="12"/>
      <c r="C233" s="202"/>
      <c r="D233" s="199"/>
      <c r="E233" s="211"/>
      <c r="F233" s="201"/>
      <c r="G233" s="199"/>
      <c r="H233" s="199"/>
      <c r="I233" s="199"/>
      <c r="J233" s="212"/>
      <c r="K233" s="212"/>
      <c r="L233" s="212"/>
      <c r="M233" s="212"/>
      <c r="N233" s="212"/>
      <c r="O233" s="212"/>
      <c r="P233" s="212"/>
      <c r="Q233" s="212"/>
      <c r="R233" s="212"/>
      <c r="S233" s="212"/>
      <c r="T233" s="212"/>
      <c r="U233" s="212"/>
      <c r="V233" s="212"/>
      <c r="W233" s="212"/>
      <c r="X233" s="212"/>
      <c r="Y233" s="212"/>
      <c r="Z233" s="204"/>
      <c r="AA233" s="204"/>
      <c r="AB233" s="204"/>
      <c r="AC233" s="204"/>
      <c r="AD233" s="204"/>
      <c r="AE233" s="212"/>
      <c r="AF233" s="213"/>
      <c r="AG233" s="213"/>
      <c r="AH233" s="213"/>
      <c r="AI233" s="213"/>
      <c r="AJ233" s="213"/>
      <c r="AK233" s="213"/>
      <c r="AL233" s="213"/>
      <c r="AM233" s="213"/>
      <c r="AN233" s="213"/>
      <c r="AO233" s="213"/>
      <c r="AP233" s="213"/>
      <c r="AQ233" s="213"/>
      <c r="AR233" s="213"/>
      <c r="AS233" s="213"/>
      <c r="AT233" s="213"/>
      <c r="AU233" s="213"/>
      <c r="AV233" s="213"/>
      <c r="AW233" s="213"/>
      <c r="AX233" s="213"/>
      <c r="AY233" s="213"/>
      <c r="AZ233" s="213"/>
      <c r="BA233" s="213"/>
      <c r="BB233" s="213"/>
    </row>
    <row r="234">
      <c r="A234" s="199"/>
      <c r="B234" s="12"/>
      <c r="C234" s="202"/>
      <c r="D234" s="199"/>
      <c r="E234" s="211"/>
      <c r="F234" s="201"/>
      <c r="G234" s="199"/>
      <c r="H234" s="199"/>
      <c r="I234" s="199"/>
      <c r="J234" s="212"/>
      <c r="K234" s="212"/>
      <c r="L234" s="212"/>
      <c r="M234" s="212"/>
      <c r="N234" s="212"/>
      <c r="O234" s="212"/>
      <c r="P234" s="212"/>
      <c r="Q234" s="212"/>
      <c r="R234" s="212"/>
      <c r="S234" s="212"/>
      <c r="T234" s="212"/>
      <c r="U234" s="212"/>
      <c r="V234" s="212"/>
      <c r="W234" s="212"/>
      <c r="X234" s="212"/>
      <c r="Y234" s="212"/>
      <c r="Z234" s="204"/>
      <c r="AA234" s="204"/>
      <c r="AB234" s="204"/>
      <c r="AC234" s="204"/>
      <c r="AD234" s="204"/>
      <c r="AE234" s="212"/>
      <c r="AF234" s="213"/>
      <c r="AG234" s="213"/>
      <c r="AH234" s="213"/>
      <c r="AI234" s="213"/>
      <c r="AJ234" s="213"/>
      <c r="AK234" s="213"/>
      <c r="AL234" s="213"/>
      <c r="AM234" s="213"/>
      <c r="AN234" s="213"/>
      <c r="AO234" s="213"/>
      <c r="AP234" s="213"/>
      <c r="AQ234" s="213"/>
      <c r="AR234" s="213"/>
      <c r="AS234" s="213"/>
      <c r="AT234" s="213"/>
      <c r="AU234" s="213"/>
      <c r="AV234" s="213"/>
      <c r="AW234" s="213"/>
      <c r="AX234" s="213"/>
      <c r="AY234" s="213"/>
      <c r="AZ234" s="213"/>
      <c r="BA234" s="213"/>
      <c r="BB234" s="213"/>
    </row>
    <row r="235">
      <c r="A235" s="199"/>
      <c r="B235" s="12"/>
      <c r="C235" s="202"/>
      <c r="D235" s="199"/>
      <c r="E235" s="211"/>
      <c r="F235" s="201"/>
      <c r="G235" s="199"/>
      <c r="H235" s="199"/>
      <c r="I235" s="199"/>
      <c r="J235" s="212"/>
      <c r="K235" s="212"/>
      <c r="L235" s="212"/>
      <c r="M235" s="212"/>
      <c r="N235" s="212"/>
      <c r="O235" s="212"/>
      <c r="P235" s="212"/>
      <c r="Q235" s="212"/>
      <c r="R235" s="212"/>
      <c r="S235" s="212"/>
      <c r="T235" s="212"/>
      <c r="U235" s="212"/>
      <c r="V235" s="212"/>
      <c r="W235" s="212"/>
      <c r="X235" s="212"/>
      <c r="Y235" s="212"/>
      <c r="Z235" s="204"/>
      <c r="AA235" s="204"/>
      <c r="AB235" s="204"/>
      <c r="AC235" s="204"/>
      <c r="AD235" s="204"/>
      <c r="AE235" s="212"/>
      <c r="AF235" s="213"/>
      <c r="AG235" s="213"/>
      <c r="AH235" s="213"/>
      <c r="AI235" s="213"/>
      <c r="AJ235" s="213"/>
      <c r="AK235" s="213"/>
      <c r="AL235" s="213"/>
      <c r="AM235" s="213"/>
      <c r="AN235" s="213"/>
      <c r="AO235" s="213"/>
      <c r="AP235" s="213"/>
      <c r="AQ235" s="213"/>
      <c r="AR235" s="213"/>
      <c r="AS235" s="213"/>
      <c r="AT235" s="213"/>
      <c r="AU235" s="213"/>
      <c r="AV235" s="213"/>
      <c r="AW235" s="213"/>
      <c r="AX235" s="213"/>
      <c r="AY235" s="213"/>
      <c r="AZ235" s="213"/>
      <c r="BA235" s="213"/>
      <c r="BB235" s="213"/>
    </row>
    <row r="236">
      <c r="A236" s="199"/>
      <c r="B236" s="12"/>
      <c r="C236" s="202"/>
      <c r="D236" s="199"/>
      <c r="E236" s="211"/>
      <c r="F236" s="201"/>
      <c r="G236" s="199"/>
      <c r="H236" s="199"/>
      <c r="I236" s="199"/>
      <c r="J236" s="212"/>
      <c r="K236" s="212"/>
      <c r="L236" s="212"/>
      <c r="M236" s="212"/>
      <c r="N236" s="212"/>
      <c r="O236" s="212"/>
      <c r="P236" s="212"/>
      <c r="Q236" s="212"/>
      <c r="R236" s="212"/>
      <c r="S236" s="212"/>
      <c r="T236" s="212"/>
      <c r="U236" s="212"/>
      <c r="V236" s="212"/>
      <c r="W236" s="212"/>
      <c r="X236" s="212"/>
      <c r="Y236" s="212"/>
      <c r="Z236" s="204"/>
      <c r="AA236" s="204"/>
      <c r="AB236" s="204"/>
      <c r="AC236" s="204"/>
      <c r="AD236" s="204"/>
      <c r="AE236" s="212"/>
      <c r="AF236" s="213"/>
      <c r="AG236" s="213"/>
      <c r="AH236" s="213"/>
      <c r="AI236" s="213"/>
      <c r="AJ236" s="213"/>
      <c r="AK236" s="213"/>
      <c r="AL236" s="213"/>
      <c r="AM236" s="213"/>
      <c r="AN236" s="213"/>
      <c r="AO236" s="213"/>
      <c r="AP236" s="213"/>
      <c r="AQ236" s="213"/>
      <c r="AR236" s="213"/>
      <c r="AS236" s="213"/>
      <c r="AT236" s="213"/>
      <c r="AU236" s="213"/>
      <c r="AV236" s="213"/>
      <c r="AW236" s="213"/>
      <c r="AX236" s="213"/>
      <c r="AY236" s="213"/>
      <c r="AZ236" s="213"/>
      <c r="BA236" s="213"/>
      <c r="BB236" s="213"/>
    </row>
    <row r="237">
      <c r="A237" s="199"/>
      <c r="B237" s="12"/>
      <c r="C237" s="202"/>
      <c r="D237" s="199"/>
      <c r="E237" s="211"/>
      <c r="F237" s="201"/>
      <c r="G237" s="199"/>
      <c r="H237" s="199"/>
      <c r="I237" s="199"/>
      <c r="J237" s="212"/>
      <c r="K237" s="212"/>
      <c r="L237" s="212"/>
      <c r="M237" s="212"/>
      <c r="N237" s="212"/>
      <c r="O237" s="212"/>
      <c r="P237" s="212"/>
      <c r="Q237" s="212"/>
      <c r="R237" s="212"/>
      <c r="S237" s="212"/>
      <c r="T237" s="212"/>
      <c r="U237" s="212"/>
      <c r="V237" s="212"/>
      <c r="W237" s="212"/>
      <c r="X237" s="212"/>
      <c r="Y237" s="212"/>
      <c r="Z237" s="204"/>
      <c r="AA237" s="204"/>
      <c r="AB237" s="204"/>
      <c r="AC237" s="204"/>
      <c r="AD237" s="204"/>
      <c r="AE237" s="212"/>
      <c r="AF237" s="213"/>
      <c r="AG237" s="213"/>
      <c r="AH237" s="213"/>
      <c r="AI237" s="213"/>
      <c r="AJ237" s="213"/>
      <c r="AK237" s="213"/>
      <c r="AL237" s="213"/>
      <c r="AM237" s="213"/>
      <c r="AN237" s="213"/>
      <c r="AO237" s="213"/>
      <c r="AP237" s="213"/>
      <c r="AQ237" s="213"/>
      <c r="AR237" s="213"/>
      <c r="AS237" s="213"/>
      <c r="AT237" s="213"/>
      <c r="AU237" s="213"/>
      <c r="AV237" s="213"/>
      <c r="AW237" s="213"/>
      <c r="AX237" s="213"/>
      <c r="AY237" s="213"/>
      <c r="AZ237" s="213"/>
      <c r="BA237" s="213"/>
      <c r="BB237" s="213"/>
    </row>
    <row r="238">
      <c r="A238" s="199"/>
      <c r="B238" s="12"/>
      <c r="C238" s="202"/>
      <c r="D238" s="199"/>
      <c r="E238" s="211"/>
      <c r="F238" s="201"/>
      <c r="G238" s="199"/>
      <c r="H238" s="199"/>
      <c r="I238" s="199"/>
      <c r="J238" s="212"/>
      <c r="K238" s="212"/>
      <c r="L238" s="212"/>
      <c r="M238" s="212"/>
      <c r="N238" s="212"/>
      <c r="O238" s="212"/>
      <c r="P238" s="212"/>
      <c r="Q238" s="212"/>
      <c r="R238" s="212"/>
      <c r="S238" s="212"/>
      <c r="T238" s="212"/>
      <c r="U238" s="212"/>
      <c r="V238" s="212"/>
      <c r="W238" s="212"/>
      <c r="X238" s="212"/>
      <c r="Y238" s="212"/>
      <c r="Z238" s="204"/>
      <c r="AA238" s="204"/>
      <c r="AB238" s="204"/>
      <c r="AC238" s="204"/>
      <c r="AD238" s="204"/>
      <c r="AE238" s="212"/>
      <c r="AF238" s="213"/>
      <c r="AG238" s="213"/>
      <c r="AH238" s="213"/>
      <c r="AI238" s="213"/>
      <c r="AJ238" s="213"/>
      <c r="AK238" s="213"/>
      <c r="AL238" s="213"/>
      <c r="AM238" s="213"/>
      <c r="AN238" s="213"/>
      <c r="AO238" s="213"/>
      <c r="AP238" s="213"/>
      <c r="AQ238" s="213"/>
      <c r="AR238" s="213"/>
      <c r="AS238" s="213"/>
      <c r="AT238" s="213"/>
      <c r="AU238" s="213"/>
      <c r="AV238" s="213"/>
      <c r="AW238" s="213"/>
      <c r="AX238" s="213"/>
      <c r="AY238" s="213"/>
      <c r="AZ238" s="213"/>
      <c r="BA238" s="213"/>
      <c r="BB238" s="213"/>
    </row>
    <row r="239">
      <c r="A239" s="199"/>
      <c r="B239" s="12"/>
      <c r="C239" s="202"/>
      <c r="D239" s="199"/>
      <c r="E239" s="211"/>
      <c r="F239" s="201"/>
      <c r="G239" s="199"/>
      <c r="H239" s="199"/>
      <c r="I239" s="199"/>
      <c r="J239" s="212"/>
      <c r="K239" s="212"/>
      <c r="L239" s="212"/>
      <c r="M239" s="212"/>
      <c r="N239" s="212"/>
      <c r="O239" s="212"/>
      <c r="P239" s="212"/>
      <c r="Q239" s="212"/>
      <c r="R239" s="212"/>
      <c r="S239" s="212"/>
      <c r="T239" s="212"/>
      <c r="U239" s="212"/>
      <c r="V239" s="212"/>
      <c r="W239" s="212"/>
      <c r="X239" s="212"/>
      <c r="Y239" s="212"/>
      <c r="Z239" s="204"/>
      <c r="AA239" s="204"/>
      <c r="AB239" s="204"/>
      <c r="AC239" s="204"/>
      <c r="AD239" s="204"/>
      <c r="AE239" s="212"/>
      <c r="AF239" s="213"/>
      <c r="AG239" s="213"/>
      <c r="AH239" s="213"/>
      <c r="AI239" s="213"/>
      <c r="AJ239" s="213"/>
      <c r="AK239" s="213"/>
      <c r="AL239" s="213"/>
      <c r="AM239" s="213"/>
      <c r="AN239" s="213"/>
      <c r="AO239" s="213"/>
      <c r="AP239" s="213"/>
      <c r="AQ239" s="213"/>
      <c r="AR239" s="213"/>
      <c r="AS239" s="213"/>
      <c r="AT239" s="213"/>
      <c r="AU239" s="213"/>
      <c r="AV239" s="213"/>
      <c r="AW239" s="213"/>
      <c r="AX239" s="213"/>
      <c r="AY239" s="213"/>
      <c r="AZ239" s="213"/>
      <c r="BA239" s="213"/>
      <c r="BB239" s="213"/>
    </row>
    <row r="240">
      <c r="A240" s="199"/>
      <c r="B240" s="12"/>
      <c r="C240" s="202"/>
      <c r="D240" s="199"/>
      <c r="E240" s="211"/>
      <c r="F240" s="201"/>
      <c r="G240" s="199"/>
      <c r="H240" s="199"/>
      <c r="I240" s="199"/>
      <c r="J240" s="212"/>
      <c r="K240" s="212"/>
      <c r="L240" s="212"/>
      <c r="M240" s="212"/>
      <c r="N240" s="212"/>
      <c r="O240" s="212"/>
      <c r="P240" s="212"/>
      <c r="Q240" s="212"/>
      <c r="R240" s="212"/>
      <c r="S240" s="212"/>
      <c r="T240" s="212"/>
      <c r="U240" s="212"/>
      <c r="V240" s="212"/>
      <c r="W240" s="212"/>
      <c r="X240" s="212"/>
      <c r="Y240" s="212"/>
      <c r="Z240" s="204"/>
      <c r="AA240" s="204"/>
      <c r="AB240" s="204"/>
      <c r="AC240" s="204"/>
      <c r="AD240" s="204"/>
      <c r="AE240" s="212"/>
      <c r="AF240" s="213"/>
      <c r="AG240" s="213"/>
      <c r="AH240" s="213"/>
      <c r="AI240" s="213"/>
      <c r="AJ240" s="213"/>
      <c r="AK240" s="213"/>
      <c r="AL240" s="213"/>
      <c r="AM240" s="213"/>
      <c r="AN240" s="213"/>
      <c r="AO240" s="213"/>
      <c r="AP240" s="213"/>
      <c r="AQ240" s="213"/>
      <c r="AR240" s="213"/>
      <c r="AS240" s="213"/>
      <c r="AT240" s="213"/>
      <c r="AU240" s="213"/>
      <c r="AV240" s="213"/>
      <c r="AW240" s="213"/>
      <c r="AX240" s="213"/>
      <c r="AY240" s="213"/>
      <c r="AZ240" s="213"/>
      <c r="BA240" s="213"/>
      <c r="BB240" s="213"/>
    </row>
    <row r="241">
      <c r="A241" s="199"/>
      <c r="B241" s="12"/>
      <c r="C241" s="202"/>
      <c r="D241" s="199"/>
      <c r="E241" s="211"/>
      <c r="F241" s="201"/>
      <c r="G241" s="199"/>
      <c r="H241" s="199"/>
      <c r="I241" s="199"/>
      <c r="J241" s="212"/>
      <c r="K241" s="212"/>
      <c r="L241" s="212"/>
      <c r="M241" s="212"/>
      <c r="N241" s="212"/>
      <c r="O241" s="212"/>
      <c r="P241" s="212"/>
      <c r="Q241" s="212"/>
      <c r="R241" s="212"/>
      <c r="S241" s="212"/>
      <c r="T241" s="212"/>
      <c r="U241" s="212"/>
      <c r="V241" s="212"/>
      <c r="W241" s="212"/>
      <c r="X241" s="212"/>
      <c r="Y241" s="212"/>
      <c r="Z241" s="204"/>
      <c r="AA241" s="204"/>
      <c r="AB241" s="204"/>
      <c r="AC241" s="204"/>
      <c r="AD241" s="204"/>
      <c r="AE241" s="212"/>
      <c r="AF241" s="213"/>
      <c r="AG241" s="213"/>
      <c r="AH241" s="213"/>
      <c r="AI241" s="213"/>
      <c r="AJ241" s="213"/>
      <c r="AK241" s="213"/>
      <c r="AL241" s="213"/>
      <c r="AM241" s="213"/>
      <c r="AN241" s="213"/>
      <c r="AO241" s="213"/>
      <c r="AP241" s="213"/>
      <c r="AQ241" s="213"/>
      <c r="AR241" s="213"/>
      <c r="AS241" s="213"/>
      <c r="AT241" s="213"/>
      <c r="AU241" s="213"/>
      <c r="AV241" s="213"/>
      <c r="AW241" s="213"/>
      <c r="AX241" s="213"/>
      <c r="AY241" s="213"/>
      <c r="AZ241" s="213"/>
      <c r="BA241" s="213"/>
      <c r="BB241" s="213"/>
    </row>
    <row r="242">
      <c r="A242" s="199"/>
      <c r="B242" s="12"/>
      <c r="C242" s="202"/>
      <c r="D242" s="199"/>
      <c r="E242" s="211"/>
      <c r="F242" s="201"/>
      <c r="G242" s="199"/>
      <c r="H242" s="199"/>
      <c r="I242" s="199"/>
      <c r="J242" s="212"/>
      <c r="K242" s="212"/>
      <c r="L242" s="212"/>
      <c r="M242" s="212"/>
      <c r="N242" s="212"/>
      <c r="O242" s="212"/>
      <c r="P242" s="212"/>
      <c r="Q242" s="212"/>
      <c r="R242" s="212"/>
      <c r="S242" s="212"/>
      <c r="T242" s="212"/>
      <c r="U242" s="212"/>
      <c r="V242" s="212"/>
      <c r="W242" s="212"/>
      <c r="X242" s="212"/>
      <c r="Y242" s="212"/>
      <c r="Z242" s="204"/>
      <c r="AA242" s="204"/>
      <c r="AB242" s="204"/>
      <c r="AC242" s="204"/>
      <c r="AD242" s="204"/>
      <c r="AE242" s="212"/>
      <c r="AF242" s="213"/>
      <c r="AG242" s="213"/>
      <c r="AH242" s="213"/>
      <c r="AI242" s="213"/>
      <c r="AJ242" s="213"/>
      <c r="AK242" s="213"/>
      <c r="AL242" s="213"/>
      <c r="AM242" s="213"/>
      <c r="AN242" s="213"/>
      <c r="AO242" s="213"/>
      <c r="AP242" s="213"/>
      <c r="AQ242" s="213"/>
      <c r="AR242" s="213"/>
      <c r="AS242" s="213"/>
      <c r="AT242" s="213"/>
      <c r="AU242" s="213"/>
      <c r="AV242" s="213"/>
      <c r="AW242" s="213"/>
      <c r="AX242" s="213"/>
      <c r="AY242" s="213"/>
      <c r="AZ242" s="213"/>
      <c r="BA242" s="213"/>
      <c r="BB242" s="213"/>
    </row>
    <row r="243">
      <c r="A243" s="199"/>
      <c r="B243" s="12"/>
      <c r="C243" s="202"/>
      <c r="D243" s="199"/>
      <c r="E243" s="211"/>
      <c r="F243" s="201"/>
      <c r="G243" s="199"/>
      <c r="H243" s="199"/>
      <c r="I243" s="199"/>
      <c r="J243" s="212"/>
      <c r="K243" s="212"/>
      <c r="L243" s="212"/>
      <c r="M243" s="212"/>
      <c r="N243" s="212"/>
      <c r="O243" s="212"/>
      <c r="P243" s="212"/>
      <c r="Q243" s="212"/>
      <c r="R243" s="212"/>
      <c r="S243" s="212"/>
      <c r="T243" s="212"/>
      <c r="U243" s="212"/>
      <c r="V243" s="212"/>
      <c r="W243" s="212"/>
      <c r="X243" s="212"/>
      <c r="Y243" s="212"/>
      <c r="Z243" s="204"/>
      <c r="AA243" s="204"/>
      <c r="AB243" s="204"/>
      <c r="AC243" s="204"/>
      <c r="AD243" s="204"/>
      <c r="AE243" s="212"/>
      <c r="AF243" s="213"/>
      <c r="AG243" s="213"/>
      <c r="AH243" s="213"/>
      <c r="AI243" s="213"/>
      <c r="AJ243" s="213"/>
      <c r="AK243" s="213"/>
      <c r="AL243" s="213"/>
      <c r="AM243" s="213"/>
      <c r="AN243" s="213"/>
      <c r="AO243" s="213"/>
      <c r="AP243" s="213"/>
      <c r="AQ243" s="213"/>
      <c r="AR243" s="213"/>
      <c r="AS243" s="213"/>
      <c r="AT243" s="213"/>
      <c r="AU243" s="213"/>
      <c r="AV243" s="213"/>
      <c r="AW243" s="213"/>
      <c r="AX243" s="213"/>
      <c r="AY243" s="213"/>
      <c r="AZ243" s="213"/>
      <c r="BA243" s="213"/>
      <c r="BB243" s="213"/>
    </row>
    <row r="244">
      <c r="A244" s="199"/>
      <c r="B244" s="12"/>
      <c r="C244" s="202"/>
      <c r="D244" s="199"/>
      <c r="E244" s="211"/>
      <c r="F244" s="201"/>
      <c r="G244" s="199"/>
      <c r="H244" s="199"/>
      <c r="I244" s="199"/>
      <c r="J244" s="212"/>
      <c r="K244" s="212"/>
      <c r="L244" s="212"/>
      <c r="M244" s="212"/>
      <c r="N244" s="212"/>
      <c r="O244" s="212"/>
      <c r="P244" s="212"/>
      <c r="Q244" s="212"/>
      <c r="R244" s="212"/>
      <c r="S244" s="212"/>
      <c r="T244" s="212"/>
      <c r="U244" s="212"/>
      <c r="V244" s="212"/>
      <c r="W244" s="212"/>
      <c r="X244" s="212"/>
      <c r="Y244" s="212"/>
      <c r="Z244" s="204"/>
      <c r="AA244" s="204"/>
      <c r="AB244" s="204"/>
      <c r="AC244" s="204"/>
      <c r="AD244" s="204"/>
      <c r="AE244" s="212"/>
      <c r="AF244" s="213"/>
      <c r="AG244" s="213"/>
      <c r="AH244" s="213"/>
      <c r="AI244" s="213"/>
      <c r="AJ244" s="213"/>
      <c r="AK244" s="213"/>
      <c r="AL244" s="213"/>
      <c r="AM244" s="213"/>
      <c r="AN244" s="213"/>
      <c r="AO244" s="213"/>
      <c r="AP244" s="213"/>
      <c r="AQ244" s="213"/>
      <c r="AR244" s="213"/>
      <c r="AS244" s="213"/>
      <c r="AT244" s="213"/>
      <c r="AU244" s="213"/>
      <c r="AV244" s="213"/>
      <c r="AW244" s="213"/>
      <c r="AX244" s="213"/>
      <c r="AY244" s="213"/>
      <c r="AZ244" s="213"/>
      <c r="BA244" s="213"/>
      <c r="BB244" s="213"/>
    </row>
    <row r="245">
      <c r="A245" s="199"/>
      <c r="B245" s="12"/>
      <c r="C245" s="202"/>
      <c r="D245" s="199"/>
      <c r="E245" s="211"/>
      <c r="F245" s="201"/>
      <c r="G245" s="199"/>
      <c r="H245" s="199"/>
      <c r="I245" s="199"/>
      <c r="J245" s="212"/>
      <c r="K245" s="212"/>
      <c r="L245" s="212"/>
      <c r="M245" s="212"/>
      <c r="N245" s="212"/>
      <c r="O245" s="212"/>
      <c r="P245" s="212"/>
      <c r="Q245" s="212"/>
      <c r="R245" s="212"/>
      <c r="S245" s="212"/>
      <c r="T245" s="212"/>
      <c r="U245" s="212"/>
      <c r="V245" s="212"/>
      <c r="W245" s="212"/>
      <c r="X245" s="212"/>
      <c r="Y245" s="212"/>
      <c r="Z245" s="204"/>
      <c r="AA245" s="204"/>
      <c r="AB245" s="204"/>
      <c r="AC245" s="204"/>
      <c r="AD245" s="204"/>
      <c r="AE245" s="212"/>
      <c r="AF245" s="213"/>
      <c r="AG245" s="213"/>
      <c r="AH245" s="213"/>
      <c r="AI245" s="213"/>
      <c r="AJ245" s="213"/>
      <c r="AK245" s="213"/>
      <c r="AL245" s="213"/>
      <c r="AM245" s="213"/>
      <c r="AN245" s="213"/>
      <c r="AO245" s="213"/>
      <c r="AP245" s="213"/>
      <c r="AQ245" s="213"/>
      <c r="AR245" s="213"/>
      <c r="AS245" s="213"/>
      <c r="AT245" s="213"/>
      <c r="AU245" s="213"/>
      <c r="AV245" s="213"/>
      <c r="AW245" s="213"/>
      <c r="AX245" s="213"/>
      <c r="AY245" s="213"/>
      <c r="AZ245" s="213"/>
      <c r="BA245" s="213"/>
      <c r="BB245" s="213"/>
    </row>
    <row r="246">
      <c r="A246" s="199"/>
      <c r="B246" s="12"/>
      <c r="C246" s="202"/>
      <c r="D246" s="199"/>
      <c r="E246" s="211"/>
      <c r="F246" s="201"/>
      <c r="G246" s="199"/>
      <c r="H246" s="199"/>
      <c r="I246" s="199"/>
      <c r="J246" s="212"/>
      <c r="K246" s="212"/>
      <c r="L246" s="212"/>
      <c r="M246" s="212"/>
      <c r="N246" s="212"/>
      <c r="O246" s="212"/>
      <c r="P246" s="212"/>
      <c r="Q246" s="212"/>
      <c r="R246" s="212"/>
      <c r="S246" s="212"/>
      <c r="T246" s="212"/>
      <c r="U246" s="212"/>
      <c r="V246" s="212"/>
      <c r="W246" s="212"/>
      <c r="X246" s="212"/>
      <c r="Y246" s="212"/>
      <c r="Z246" s="204"/>
      <c r="AA246" s="204"/>
      <c r="AB246" s="204"/>
      <c r="AC246" s="204"/>
      <c r="AD246" s="204"/>
      <c r="AE246" s="212"/>
      <c r="AF246" s="213"/>
      <c r="AG246" s="213"/>
      <c r="AH246" s="213"/>
      <c r="AI246" s="213"/>
      <c r="AJ246" s="213"/>
      <c r="AK246" s="213"/>
      <c r="AL246" s="213"/>
      <c r="AM246" s="213"/>
      <c r="AN246" s="213"/>
      <c r="AO246" s="213"/>
      <c r="AP246" s="213"/>
      <c r="AQ246" s="213"/>
      <c r="AR246" s="213"/>
      <c r="AS246" s="213"/>
      <c r="AT246" s="213"/>
      <c r="AU246" s="213"/>
      <c r="AV246" s="213"/>
      <c r="AW246" s="213"/>
      <c r="AX246" s="213"/>
      <c r="AY246" s="213"/>
      <c r="AZ246" s="213"/>
      <c r="BA246" s="213"/>
      <c r="BB246" s="213"/>
    </row>
    <row r="247">
      <c r="A247" s="199"/>
      <c r="B247" s="12"/>
      <c r="C247" s="202"/>
      <c r="D247" s="199"/>
      <c r="E247" s="211"/>
      <c r="F247" s="201"/>
      <c r="G247" s="199"/>
      <c r="H247" s="199"/>
      <c r="I247" s="199"/>
      <c r="J247" s="212"/>
      <c r="K247" s="212"/>
      <c r="L247" s="212"/>
      <c r="M247" s="212"/>
      <c r="N247" s="212"/>
      <c r="O247" s="212"/>
      <c r="P247" s="212"/>
      <c r="Q247" s="212"/>
      <c r="R247" s="212"/>
      <c r="S247" s="212"/>
      <c r="T247" s="212"/>
      <c r="U247" s="212"/>
      <c r="V247" s="212"/>
      <c r="W247" s="212"/>
      <c r="X247" s="212"/>
      <c r="Y247" s="212"/>
      <c r="Z247" s="204"/>
      <c r="AA247" s="204"/>
      <c r="AB247" s="204"/>
      <c r="AC247" s="204"/>
      <c r="AD247" s="204"/>
      <c r="AE247" s="212"/>
      <c r="AF247" s="213"/>
      <c r="AG247" s="213"/>
      <c r="AH247" s="213"/>
      <c r="AI247" s="213"/>
      <c r="AJ247" s="213"/>
      <c r="AK247" s="213"/>
      <c r="AL247" s="213"/>
      <c r="AM247" s="213"/>
      <c r="AN247" s="213"/>
      <c r="AO247" s="213"/>
      <c r="AP247" s="213"/>
      <c r="AQ247" s="213"/>
      <c r="AR247" s="213"/>
      <c r="AS247" s="213"/>
      <c r="AT247" s="213"/>
      <c r="AU247" s="213"/>
      <c r="AV247" s="213"/>
      <c r="AW247" s="213"/>
      <c r="AX247" s="213"/>
      <c r="AY247" s="213"/>
      <c r="AZ247" s="213"/>
      <c r="BA247" s="213"/>
      <c r="BB247" s="213"/>
    </row>
    <row r="248">
      <c r="A248" s="199"/>
      <c r="B248" s="12"/>
      <c r="C248" s="202"/>
      <c r="D248" s="199"/>
      <c r="E248" s="211"/>
      <c r="F248" s="201"/>
      <c r="G248" s="199"/>
      <c r="H248" s="199"/>
      <c r="I248" s="199"/>
      <c r="J248" s="212"/>
      <c r="K248" s="212"/>
      <c r="L248" s="212"/>
      <c r="M248" s="212"/>
      <c r="N248" s="212"/>
      <c r="O248" s="212"/>
      <c r="P248" s="212"/>
      <c r="Q248" s="212"/>
      <c r="R248" s="212"/>
      <c r="S248" s="212"/>
      <c r="T248" s="212"/>
      <c r="U248" s="212"/>
      <c r="V248" s="212"/>
      <c r="W248" s="212"/>
      <c r="X248" s="212"/>
      <c r="Y248" s="212"/>
      <c r="Z248" s="204"/>
      <c r="AA248" s="204"/>
      <c r="AB248" s="204"/>
      <c r="AC248" s="204"/>
      <c r="AD248" s="204"/>
      <c r="AE248" s="212"/>
      <c r="AF248" s="213"/>
      <c r="AG248" s="213"/>
      <c r="AH248" s="213"/>
      <c r="AI248" s="213"/>
      <c r="AJ248" s="213"/>
      <c r="AK248" s="213"/>
      <c r="AL248" s="213"/>
      <c r="AM248" s="213"/>
      <c r="AN248" s="213"/>
      <c r="AO248" s="213"/>
      <c r="AP248" s="213"/>
      <c r="AQ248" s="213"/>
      <c r="AR248" s="213"/>
      <c r="AS248" s="213"/>
      <c r="AT248" s="213"/>
      <c r="AU248" s="213"/>
      <c r="AV248" s="213"/>
      <c r="AW248" s="213"/>
      <c r="AX248" s="213"/>
      <c r="AY248" s="213"/>
      <c r="AZ248" s="213"/>
      <c r="BA248" s="213"/>
      <c r="BB248" s="213"/>
    </row>
    <row r="249">
      <c r="A249" s="199"/>
      <c r="B249" s="12"/>
      <c r="C249" s="202"/>
      <c r="D249" s="199"/>
      <c r="E249" s="211"/>
      <c r="F249" s="201"/>
      <c r="G249" s="199"/>
      <c r="H249" s="199"/>
      <c r="I249" s="199"/>
      <c r="J249" s="212"/>
      <c r="K249" s="212"/>
      <c r="L249" s="212"/>
      <c r="M249" s="212"/>
      <c r="N249" s="212"/>
      <c r="O249" s="212"/>
      <c r="P249" s="212"/>
      <c r="Q249" s="212"/>
      <c r="R249" s="212"/>
      <c r="S249" s="212"/>
      <c r="T249" s="212"/>
      <c r="U249" s="212"/>
      <c r="V249" s="212"/>
      <c r="W249" s="212"/>
      <c r="X249" s="212"/>
      <c r="Y249" s="212"/>
      <c r="Z249" s="204"/>
      <c r="AA249" s="204"/>
      <c r="AB249" s="204"/>
      <c r="AC249" s="204"/>
      <c r="AD249" s="204"/>
      <c r="AE249" s="212"/>
      <c r="AF249" s="213"/>
      <c r="AG249" s="213"/>
      <c r="AH249" s="213"/>
      <c r="AI249" s="213"/>
      <c r="AJ249" s="213"/>
      <c r="AK249" s="213"/>
      <c r="AL249" s="213"/>
      <c r="AM249" s="213"/>
      <c r="AN249" s="213"/>
      <c r="AO249" s="213"/>
      <c r="AP249" s="213"/>
      <c r="AQ249" s="213"/>
      <c r="AR249" s="213"/>
      <c r="AS249" s="213"/>
      <c r="AT249" s="213"/>
      <c r="AU249" s="213"/>
      <c r="AV249" s="213"/>
      <c r="AW249" s="213"/>
      <c r="AX249" s="213"/>
      <c r="AY249" s="213"/>
      <c r="AZ249" s="213"/>
      <c r="BA249" s="213"/>
      <c r="BB249" s="213"/>
    </row>
    <row r="250">
      <c r="A250" s="199"/>
      <c r="B250" s="12"/>
      <c r="C250" s="202"/>
      <c r="D250" s="199"/>
      <c r="E250" s="211"/>
      <c r="F250" s="201"/>
      <c r="G250" s="199"/>
      <c r="H250" s="199"/>
      <c r="I250" s="199"/>
      <c r="J250" s="212"/>
      <c r="K250" s="212"/>
      <c r="L250" s="212"/>
      <c r="M250" s="212"/>
      <c r="N250" s="212"/>
      <c r="O250" s="212"/>
      <c r="P250" s="212"/>
      <c r="Q250" s="212"/>
      <c r="R250" s="212"/>
      <c r="S250" s="212"/>
      <c r="T250" s="212"/>
      <c r="U250" s="212"/>
      <c r="V250" s="212"/>
      <c r="W250" s="212"/>
      <c r="X250" s="212"/>
      <c r="Y250" s="212"/>
      <c r="Z250" s="204"/>
      <c r="AA250" s="204"/>
      <c r="AB250" s="204"/>
      <c r="AC250" s="204"/>
      <c r="AD250" s="204"/>
      <c r="AE250" s="212"/>
      <c r="AF250" s="213"/>
      <c r="AG250" s="213"/>
      <c r="AH250" s="213"/>
      <c r="AI250" s="213"/>
      <c r="AJ250" s="213"/>
      <c r="AK250" s="213"/>
      <c r="AL250" s="213"/>
      <c r="AM250" s="213"/>
      <c r="AN250" s="213"/>
      <c r="AO250" s="213"/>
      <c r="AP250" s="213"/>
      <c r="AQ250" s="213"/>
      <c r="AR250" s="213"/>
      <c r="AS250" s="213"/>
      <c r="AT250" s="213"/>
      <c r="AU250" s="213"/>
      <c r="AV250" s="213"/>
      <c r="AW250" s="213"/>
      <c r="AX250" s="213"/>
      <c r="AY250" s="213"/>
      <c r="AZ250" s="213"/>
      <c r="BA250" s="213"/>
      <c r="BB250" s="213"/>
    </row>
    <row r="251">
      <c r="A251" s="199"/>
      <c r="B251" s="12"/>
      <c r="C251" s="202"/>
      <c r="D251" s="199"/>
      <c r="E251" s="211"/>
      <c r="F251" s="201"/>
      <c r="G251" s="199"/>
      <c r="H251" s="199"/>
      <c r="I251" s="199"/>
      <c r="J251" s="212"/>
      <c r="K251" s="212"/>
      <c r="L251" s="212"/>
      <c r="M251" s="212"/>
      <c r="N251" s="212"/>
      <c r="O251" s="212"/>
      <c r="P251" s="212"/>
      <c r="Q251" s="212"/>
      <c r="R251" s="212"/>
      <c r="S251" s="212"/>
      <c r="T251" s="212"/>
      <c r="U251" s="212"/>
      <c r="V251" s="212"/>
      <c r="W251" s="212"/>
      <c r="X251" s="212"/>
      <c r="Y251" s="212"/>
      <c r="Z251" s="204"/>
      <c r="AA251" s="204"/>
      <c r="AB251" s="204"/>
      <c r="AC251" s="204"/>
      <c r="AD251" s="204"/>
      <c r="AE251" s="212"/>
      <c r="AF251" s="213"/>
      <c r="AG251" s="213"/>
      <c r="AH251" s="213"/>
      <c r="AI251" s="213"/>
      <c r="AJ251" s="213"/>
      <c r="AK251" s="213"/>
      <c r="AL251" s="213"/>
      <c r="AM251" s="213"/>
      <c r="AN251" s="213"/>
      <c r="AO251" s="213"/>
      <c r="AP251" s="213"/>
      <c r="AQ251" s="213"/>
      <c r="AR251" s="213"/>
      <c r="AS251" s="213"/>
      <c r="AT251" s="213"/>
      <c r="AU251" s="213"/>
      <c r="AV251" s="213"/>
      <c r="AW251" s="213"/>
      <c r="AX251" s="213"/>
      <c r="AY251" s="213"/>
      <c r="AZ251" s="213"/>
      <c r="BA251" s="213"/>
      <c r="BB251" s="213"/>
    </row>
    <row r="252">
      <c r="A252" s="199"/>
      <c r="B252" s="12"/>
      <c r="C252" s="202"/>
      <c r="D252" s="199"/>
      <c r="E252" s="211"/>
      <c r="F252" s="201"/>
      <c r="G252" s="199"/>
      <c r="H252" s="199"/>
      <c r="I252" s="199"/>
      <c r="J252" s="212"/>
      <c r="K252" s="212"/>
      <c r="L252" s="212"/>
      <c r="M252" s="212"/>
      <c r="N252" s="212"/>
      <c r="O252" s="212"/>
      <c r="P252" s="212"/>
      <c r="Q252" s="212"/>
      <c r="R252" s="212"/>
      <c r="S252" s="212"/>
      <c r="T252" s="212"/>
      <c r="U252" s="212"/>
      <c r="V252" s="212"/>
      <c r="W252" s="212"/>
      <c r="X252" s="212"/>
      <c r="Y252" s="212"/>
      <c r="Z252" s="204"/>
      <c r="AA252" s="204"/>
      <c r="AB252" s="204"/>
      <c r="AC252" s="204"/>
      <c r="AD252" s="204"/>
      <c r="AE252" s="212"/>
      <c r="AF252" s="213"/>
      <c r="AG252" s="213"/>
      <c r="AH252" s="213"/>
      <c r="AI252" s="213"/>
      <c r="AJ252" s="213"/>
      <c r="AK252" s="213"/>
      <c r="AL252" s="213"/>
      <c r="AM252" s="213"/>
      <c r="AN252" s="213"/>
      <c r="AO252" s="213"/>
      <c r="AP252" s="213"/>
      <c r="AQ252" s="213"/>
      <c r="AR252" s="213"/>
      <c r="AS252" s="213"/>
      <c r="AT252" s="213"/>
      <c r="AU252" s="213"/>
      <c r="AV252" s="213"/>
      <c r="AW252" s="213"/>
      <c r="AX252" s="213"/>
      <c r="AY252" s="213"/>
      <c r="AZ252" s="213"/>
      <c r="BA252" s="213"/>
      <c r="BB252" s="213"/>
    </row>
    <row r="253">
      <c r="A253" s="199"/>
      <c r="B253" s="12"/>
      <c r="C253" s="202"/>
      <c r="D253" s="199"/>
      <c r="E253" s="211"/>
      <c r="F253" s="201"/>
      <c r="G253" s="199"/>
      <c r="H253" s="199"/>
      <c r="I253" s="199"/>
      <c r="J253" s="212"/>
      <c r="K253" s="212"/>
      <c r="L253" s="212"/>
      <c r="M253" s="212"/>
      <c r="N253" s="212"/>
      <c r="O253" s="212"/>
      <c r="P253" s="212"/>
      <c r="Q253" s="212"/>
      <c r="R253" s="212"/>
      <c r="S253" s="212"/>
      <c r="T253" s="212"/>
      <c r="U253" s="212"/>
      <c r="V253" s="212"/>
      <c r="W253" s="212"/>
      <c r="X253" s="212"/>
      <c r="Y253" s="212"/>
      <c r="Z253" s="204"/>
      <c r="AA253" s="204"/>
      <c r="AB253" s="204"/>
      <c r="AC253" s="204"/>
      <c r="AD253" s="204"/>
      <c r="AE253" s="212"/>
      <c r="AF253" s="213"/>
      <c r="AG253" s="213"/>
      <c r="AH253" s="213"/>
      <c r="AI253" s="213"/>
      <c r="AJ253" s="213"/>
      <c r="AK253" s="213"/>
      <c r="AL253" s="213"/>
      <c r="AM253" s="213"/>
      <c r="AN253" s="213"/>
      <c r="AO253" s="213"/>
      <c r="AP253" s="213"/>
      <c r="AQ253" s="213"/>
      <c r="AR253" s="213"/>
      <c r="AS253" s="213"/>
      <c r="AT253" s="213"/>
      <c r="AU253" s="213"/>
      <c r="AV253" s="213"/>
      <c r="AW253" s="213"/>
      <c r="AX253" s="213"/>
      <c r="AY253" s="213"/>
      <c r="AZ253" s="213"/>
      <c r="BA253" s="213"/>
      <c r="BB253" s="213"/>
    </row>
    <row r="254">
      <c r="A254" s="199"/>
      <c r="B254" s="12"/>
      <c r="C254" s="202"/>
      <c r="D254" s="199"/>
      <c r="E254" s="211"/>
      <c r="F254" s="201"/>
      <c r="G254" s="199"/>
      <c r="H254" s="199"/>
      <c r="I254" s="199"/>
      <c r="J254" s="212"/>
      <c r="K254" s="212"/>
      <c r="L254" s="212"/>
      <c r="M254" s="212"/>
      <c r="N254" s="212"/>
      <c r="O254" s="212"/>
      <c r="P254" s="212"/>
      <c r="Q254" s="212"/>
      <c r="R254" s="212"/>
      <c r="S254" s="212"/>
      <c r="T254" s="212"/>
      <c r="U254" s="212"/>
      <c r="V254" s="212"/>
      <c r="W254" s="212"/>
      <c r="X254" s="212"/>
      <c r="Y254" s="212"/>
      <c r="Z254" s="204"/>
      <c r="AA254" s="204"/>
      <c r="AB254" s="204"/>
      <c r="AC254" s="204"/>
      <c r="AD254" s="204"/>
      <c r="AE254" s="212"/>
      <c r="AF254" s="213"/>
      <c r="AG254" s="213"/>
      <c r="AH254" s="213"/>
      <c r="AI254" s="213"/>
      <c r="AJ254" s="213"/>
      <c r="AK254" s="213"/>
      <c r="AL254" s="213"/>
      <c r="AM254" s="213"/>
      <c r="AN254" s="213"/>
      <c r="AO254" s="213"/>
      <c r="AP254" s="213"/>
      <c r="AQ254" s="213"/>
      <c r="AR254" s="213"/>
      <c r="AS254" s="213"/>
      <c r="AT254" s="213"/>
      <c r="AU254" s="213"/>
      <c r="AV254" s="213"/>
      <c r="AW254" s="213"/>
      <c r="AX254" s="213"/>
      <c r="AY254" s="213"/>
      <c r="AZ254" s="213"/>
      <c r="BA254" s="213"/>
      <c r="BB254" s="213"/>
    </row>
    <row r="255">
      <c r="A255" s="199"/>
      <c r="B255" s="12"/>
      <c r="C255" s="202"/>
      <c r="D255" s="199"/>
      <c r="E255" s="211"/>
      <c r="F255" s="201"/>
      <c r="G255" s="199"/>
      <c r="H255" s="199"/>
      <c r="I255" s="199"/>
      <c r="J255" s="212"/>
      <c r="K255" s="212"/>
      <c r="L255" s="212"/>
      <c r="M255" s="212"/>
      <c r="N255" s="212"/>
      <c r="O255" s="212"/>
      <c r="P255" s="212"/>
      <c r="Q255" s="212"/>
      <c r="R255" s="212"/>
      <c r="S255" s="212"/>
      <c r="T255" s="212"/>
      <c r="U255" s="212"/>
      <c r="V255" s="212"/>
      <c r="W255" s="212"/>
      <c r="X255" s="212"/>
      <c r="Y255" s="212"/>
      <c r="Z255" s="204"/>
      <c r="AA255" s="204"/>
      <c r="AB255" s="204"/>
      <c r="AC255" s="204"/>
      <c r="AD255" s="204"/>
      <c r="AE255" s="212"/>
      <c r="AF255" s="213"/>
      <c r="AG255" s="213"/>
      <c r="AH255" s="213"/>
      <c r="AI255" s="213"/>
      <c r="AJ255" s="213"/>
      <c r="AK255" s="213"/>
      <c r="AL255" s="213"/>
      <c r="AM255" s="213"/>
      <c r="AN255" s="213"/>
      <c r="AO255" s="213"/>
      <c r="AP255" s="213"/>
      <c r="AQ255" s="213"/>
      <c r="AR255" s="213"/>
      <c r="AS255" s="213"/>
      <c r="AT255" s="213"/>
      <c r="AU255" s="213"/>
      <c r="AV255" s="213"/>
      <c r="AW255" s="213"/>
      <c r="AX255" s="213"/>
      <c r="AY255" s="213"/>
      <c r="AZ255" s="213"/>
      <c r="BA255" s="213"/>
      <c r="BB255" s="213"/>
    </row>
    <row r="256">
      <c r="A256" s="199"/>
      <c r="B256" s="12"/>
      <c r="C256" s="202"/>
      <c r="D256" s="199"/>
      <c r="E256" s="211"/>
      <c r="F256" s="201"/>
      <c r="G256" s="199"/>
      <c r="H256" s="199"/>
      <c r="I256" s="199"/>
      <c r="J256" s="212"/>
      <c r="K256" s="212"/>
      <c r="L256" s="212"/>
      <c r="M256" s="212"/>
      <c r="N256" s="212"/>
      <c r="O256" s="212"/>
      <c r="P256" s="212"/>
      <c r="Q256" s="212"/>
      <c r="R256" s="212"/>
      <c r="S256" s="212"/>
      <c r="T256" s="212"/>
      <c r="U256" s="212"/>
      <c r="V256" s="212"/>
      <c r="W256" s="212"/>
      <c r="X256" s="212"/>
      <c r="Y256" s="212"/>
      <c r="Z256" s="204"/>
      <c r="AA256" s="204"/>
      <c r="AB256" s="204"/>
      <c r="AC256" s="204"/>
      <c r="AD256" s="204"/>
      <c r="AE256" s="212"/>
      <c r="AF256" s="213"/>
      <c r="AG256" s="213"/>
      <c r="AH256" s="213"/>
      <c r="AI256" s="213"/>
      <c r="AJ256" s="213"/>
      <c r="AK256" s="213"/>
      <c r="AL256" s="213"/>
      <c r="AM256" s="213"/>
      <c r="AN256" s="213"/>
      <c r="AO256" s="213"/>
      <c r="AP256" s="213"/>
      <c r="AQ256" s="213"/>
      <c r="AR256" s="213"/>
      <c r="AS256" s="213"/>
      <c r="AT256" s="213"/>
      <c r="AU256" s="213"/>
      <c r="AV256" s="213"/>
      <c r="AW256" s="213"/>
      <c r="AX256" s="213"/>
      <c r="AY256" s="213"/>
      <c r="AZ256" s="213"/>
      <c r="BA256" s="213"/>
      <c r="BB256" s="213"/>
    </row>
    <row r="257">
      <c r="A257" s="199"/>
      <c r="B257" s="12"/>
      <c r="C257" s="202"/>
      <c r="D257" s="199"/>
      <c r="E257" s="211"/>
      <c r="F257" s="201"/>
      <c r="G257" s="199"/>
      <c r="H257" s="199"/>
      <c r="I257" s="199"/>
      <c r="J257" s="212"/>
      <c r="K257" s="212"/>
      <c r="L257" s="212"/>
      <c r="M257" s="212"/>
      <c r="N257" s="212"/>
      <c r="O257" s="212"/>
      <c r="P257" s="212"/>
      <c r="Q257" s="212"/>
      <c r="R257" s="212"/>
      <c r="S257" s="212"/>
      <c r="T257" s="212"/>
      <c r="U257" s="212"/>
      <c r="V257" s="212"/>
      <c r="W257" s="212"/>
      <c r="X257" s="212"/>
      <c r="Y257" s="212"/>
      <c r="Z257" s="204"/>
      <c r="AA257" s="204"/>
      <c r="AB257" s="204"/>
      <c r="AC257" s="204"/>
      <c r="AD257" s="204"/>
      <c r="AE257" s="212"/>
      <c r="AF257" s="213"/>
      <c r="AG257" s="213"/>
      <c r="AH257" s="213"/>
      <c r="AI257" s="213"/>
      <c r="AJ257" s="213"/>
      <c r="AK257" s="213"/>
      <c r="AL257" s="213"/>
      <c r="AM257" s="213"/>
      <c r="AN257" s="213"/>
      <c r="AO257" s="213"/>
      <c r="AP257" s="213"/>
      <c r="AQ257" s="213"/>
      <c r="AR257" s="213"/>
      <c r="AS257" s="213"/>
      <c r="AT257" s="213"/>
      <c r="AU257" s="213"/>
      <c r="AV257" s="213"/>
      <c r="AW257" s="213"/>
      <c r="AX257" s="213"/>
      <c r="AY257" s="213"/>
      <c r="AZ257" s="213"/>
      <c r="BA257" s="213"/>
      <c r="BB257" s="213"/>
    </row>
    <row r="258">
      <c r="A258" s="199"/>
      <c r="B258" s="12"/>
      <c r="C258" s="202"/>
      <c r="D258" s="199"/>
      <c r="E258" s="211"/>
      <c r="F258" s="201"/>
      <c r="G258" s="199"/>
      <c r="H258" s="199"/>
      <c r="I258" s="199"/>
      <c r="J258" s="212"/>
      <c r="K258" s="212"/>
      <c r="L258" s="212"/>
      <c r="M258" s="212"/>
      <c r="N258" s="212"/>
      <c r="O258" s="212"/>
      <c r="P258" s="212"/>
      <c r="Q258" s="212"/>
      <c r="R258" s="212"/>
      <c r="S258" s="212"/>
      <c r="T258" s="212"/>
      <c r="U258" s="212"/>
      <c r="V258" s="212"/>
      <c r="W258" s="212"/>
      <c r="X258" s="212"/>
      <c r="Y258" s="212"/>
      <c r="Z258" s="204"/>
      <c r="AA258" s="204"/>
      <c r="AB258" s="204"/>
      <c r="AC258" s="204"/>
      <c r="AD258" s="204"/>
      <c r="AE258" s="212"/>
      <c r="AF258" s="213"/>
      <c r="AG258" s="213"/>
      <c r="AH258" s="213"/>
      <c r="AI258" s="213"/>
      <c r="AJ258" s="213"/>
      <c r="AK258" s="213"/>
      <c r="AL258" s="213"/>
      <c r="AM258" s="213"/>
      <c r="AN258" s="213"/>
      <c r="AO258" s="213"/>
      <c r="AP258" s="213"/>
      <c r="AQ258" s="213"/>
      <c r="AR258" s="213"/>
      <c r="AS258" s="213"/>
      <c r="AT258" s="213"/>
      <c r="AU258" s="213"/>
      <c r="AV258" s="213"/>
      <c r="AW258" s="213"/>
      <c r="AX258" s="213"/>
      <c r="AY258" s="213"/>
      <c r="AZ258" s="213"/>
      <c r="BA258" s="213"/>
      <c r="BB258" s="213"/>
    </row>
    <row r="259">
      <c r="A259" s="199"/>
      <c r="B259" s="12"/>
      <c r="C259" s="202"/>
      <c r="D259" s="199"/>
      <c r="E259" s="211"/>
      <c r="F259" s="201"/>
      <c r="G259" s="199"/>
      <c r="H259" s="199"/>
      <c r="I259" s="199"/>
      <c r="J259" s="212"/>
      <c r="K259" s="212"/>
      <c r="L259" s="212"/>
      <c r="M259" s="212"/>
      <c r="N259" s="212"/>
      <c r="O259" s="212"/>
      <c r="P259" s="212"/>
      <c r="Q259" s="212"/>
      <c r="R259" s="212"/>
      <c r="S259" s="212"/>
      <c r="T259" s="212"/>
      <c r="U259" s="212"/>
      <c r="V259" s="212"/>
      <c r="W259" s="212"/>
      <c r="X259" s="212"/>
      <c r="Y259" s="212"/>
      <c r="Z259" s="204"/>
      <c r="AA259" s="204"/>
      <c r="AB259" s="204"/>
      <c r="AC259" s="204"/>
      <c r="AD259" s="204"/>
      <c r="AE259" s="212"/>
      <c r="AF259" s="213"/>
      <c r="AG259" s="213"/>
      <c r="AH259" s="213"/>
      <c r="AI259" s="213"/>
      <c r="AJ259" s="213"/>
      <c r="AK259" s="213"/>
      <c r="AL259" s="213"/>
      <c r="AM259" s="213"/>
      <c r="AN259" s="213"/>
      <c r="AO259" s="213"/>
      <c r="AP259" s="213"/>
      <c r="AQ259" s="213"/>
      <c r="AR259" s="213"/>
      <c r="AS259" s="213"/>
      <c r="AT259" s="213"/>
      <c r="AU259" s="213"/>
      <c r="AV259" s="213"/>
      <c r="AW259" s="213"/>
      <c r="AX259" s="213"/>
      <c r="AY259" s="213"/>
      <c r="AZ259" s="213"/>
      <c r="BA259" s="213"/>
      <c r="BB259" s="213"/>
    </row>
    <row r="260">
      <c r="A260" s="199"/>
      <c r="B260" s="12"/>
      <c r="C260" s="202"/>
      <c r="D260" s="199"/>
      <c r="E260" s="211"/>
      <c r="F260" s="201"/>
      <c r="G260" s="199"/>
      <c r="H260" s="199"/>
      <c r="I260" s="199"/>
      <c r="J260" s="212"/>
      <c r="K260" s="212"/>
      <c r="L260" s="212"/>
      <c r="M260" s="212"/>
      <c r="N260" s="212"/>
      <c r="O260" s="212"/>
      <c r="P260" s="212"/>
      <c r="Q260" s="212"/>
      <c r="R260" s="212"/>
      <c r="S260" s="212"/>
      <c r="T260" s="212"/>
      <c r="U260" s="212"/>
      <c r="V260" s="212"/>
      <c r="W260" s="212"/>
      <c r="X260" s="212"/>
      <c r="Y260" s="212"/>
      <c r="Z260" s="204"/>
      <c r="AA260" s="204"/>
      <c r="AB260" s="204"/>
      <c r="AC260" s="204"/>
      <c r="AD260" s="204"/>
      <c r="AE260" s="212"/>
      <c r="AF260" s="213"/>
      <c r="AG260" s="213"/>
      <c r="AH260" s="213"/>
      <c r="AI260" s="213"/>
      <c r="AJ260" s="213"/>
      <c r="AK260" s="213"/>
      <c r="AL260" s="213"/>
      <c r="AM260" s="213"/>
      <c r="AN260" s="213"/>
      <c r="AO260" s="213"/>
      <c r="AP260" s="213"/>
      <c r="AQ260" s="213"/>
      <c r="AR260" s="213"/>
      <c r="AS260" s="213"/>
      <c r="AT260" s="213"/>
      <c r="AU260" s="213"/>
      <c r="AV260" s="213"/>
      <c r="AW260" s="213"/>
      <c r="AX260" s="213"/>
      <c r="AY260" s="213"/>
      <c r="AZ260" s="213"/>
      <c r="BA260" s="213"/>
      <c r="BB260" s="213"/>
    </row>
    <row r="261">
      <c r="A261" s="199"/>
      <c r="B261" s="12"/>
      <c r="C261" s="202"/>
      <c r="D261" s="199"/>
      <c r="E261" s="211"/>
      <c r="F261" s="201"/>
      <c r="G261" s="199"/>
      <c r="H261" s="199"/>
      <c r="I261" s="199"/>
      <c r="J261" s="212"/>
      <c r="K261" s="212"/>
      <c r="L261" s="212"/>
      <c r="M261" s="212"/>
      <c r="N261" s="212"/>
      <c r="O261" s="212"/>
      <c r="P261" s="212"/>
      <c r="Q261" s="212"/>
      <c r="R261" s="212"/>
      <c r="S261" s="212"/>
      <c r="T261" s="212"/>
      <c r="U261" s="212"/>
      <c r="V261" s="212"/>
      <c r="W261" s="212"/>
      <c r="X261" s="212"/>
      <c r="Y261" s="212"/>
      <c r="Z261" s="204"/>
      <c r="AA261" s="204"/>
      <c r="AB261" s="204"/>
      <c r="AC261" s="204"/>
      <c r="AD261" s="204"/>
      <c r="AE261" s="212"/>
      <c r="AF261" s="213"/>
      <c r="AG261" s="213"/>
      <c r="AH261" s="213"/>
      <c r="AI261" s="213"/>
      <c r="AJ261" s="213"/>
      <c r="AK261" s="213"/>
      <c r="AL261" s="213"/>
      <c r="AM261" s="213"/>
      <c r="AN261" s="213"/>
      <c r="AO261" s="213"/>
      <c r="AP261" s="213"/>
      <c r="AQ261" s="213"/>
      <c r="AR261" s="213"/>
      <c r="AS261" s="213"/>
      <c r="AT261" s="213"/>
      <c r="AU261" s="213"/>
      <c r="AV261" s="213"/>
      <c r="AW261" s="213"/>
      <c r="AX261" s="213"/>
      <c r="AY261" s="213"/>
      <c r="AZ261" s="213"/>
      <c r="BA261" s="213"/>
      <c r="BB261" s="213"/>
    </row>
    <row r="262">
      <c r="A262" s="199"/>
      <c r="B262" s="12"/>
      <c r="C262" s="202"/>
      <c r="D262" s="199"/>
      <c r="E262" s="211"/>
      <c r="F262" s="201"/>
      <c r="G262" s="199"/>
      <c r="H262" s="199"/>
      <c r="I262" s="199"/>
      <c r="J262" s="212"/>
      <c r="K262" s="212"/>
      <c r="L262" s="212"/>
      <c r="M262" s="212"/>
      <c r="N262" s="212"/>
      <c r="O262" s="212"/>
      <c r="P262" s="212"/>
      <c r="Q262" s="212"/>
      <c r="R262" s="212"/>
      <c r="S262" s="212"/>
      <c r="T262" s="212"/>
      <c r="U262" s="212"/>
      <c r="V262" s="212"/>
      <c r="W262" s="212"/>
      <c r="X262" s="212"/>
      <c r="Y262" s="212"/>
      <c r="Z262" s="204"/>
      <c r="AA262" s="204"/>
      <c r="AB262" s="204"/>
      <c r="AC262" s="204"/>
      <c r="AD262" s="204"/>
      <c r="AE262" s="212"/>
      <c r="AF262" s="213"/>
      <c r="AG262" s="213"/>
      <c r="AH262" s="213"/>
      <c r="AI262" s="213"/>
      <c r="AJ262" s="213"/>
      <c r="AK262" s="213"/>
      <c r="AL262" s="213"/>
      <c r="AM262" s="213"/>
      <c r="AN262" s="213"/>
      <c r="AO262" s="213"/>
      <c r="AP262" s="213"/>
      <c r="AQ262" s="213"/>
      <c r="AR262" s="213"/>
      <c r="AS262" s="213"/>
      <c r="AT262" s="213"/>
      <c r="AU262" s="213"/>
      <c r="AV262" s="213"/>
      <c r="AW262" s="213"/>
      <c r="AX262" s="213"/>
      <c r="AY262" s="213"/>
      <c r="AZ262" s="213"/>
      <c r="BA262" s="213"/>
      <c r="BB262" s="213"/>
    </row>
    <row r="263">
      <c r="A263" s="199"/>
      <c r="B263" s="12"/>
      <c r="C263" s="202"/>
      <c r="D263" s="199"/>
      <c r="E263" s="211"/>
      <c r="F263" s="201"/>
      <c r="G263" s="199"/>
      <c r="H263" s="199"/>
      <c r="I263" s="199"/>
      <c r="J263" s="212"/>
      <c r="K263" s="212"/>
      <c r="L263" s="212"/>
      <c r="M263" s="212"/>
      <c r="N263" s="212"/>
      <c r="O263" s="212"/>
      <c r="P263" s="212"/>
      <c r="Q263" s="212"/>
      <c r="R263" s="212"/>
      <c r="S263" s="212"/>
      <c r="T263" s="212"/>
      <c r="U263" s="212"/>
      <c r="V263" s="212"/>
      <c r="W263" s="212"/>
      <c r="X263" s="212"/>
      <c r="Y263" s="212"/>
      <c r="Z263" s="204"/>
      <c r="AA263" s="204"/>
      <c r="AB263" s="204"/>
      <c r="AC263" s="204"/>
      <c r="AD263" s="204"/>
      <c r="AE263" s="212"/>
      <c r="AF263" s="213"/>
      <c r="AG263" s="213"/>
      <c r="AH263" s="213"/>
      <c r="AI263" s="213"/>
      <c r="AJ263" s="213"/>
      <c r="AK263" s="213"/>
      <c r="AL263" s="213"/>
      <c r="AM263" s="213"/>
      <c r="AN263" s="213"/>
      <c r="AO263" s="213"/>
      <c r="AP263" s="213"/>
      <c r="AQ263" s="213"/>
      <c r="AR263" s="213"/>
      <c r="AS263" s="213"/>
      <c r="AT263" s="213"/>
      <c r="AU263" s="213"/>
      <c r="AV263" s="213"/>
      <c r="AW263" s="213"/>
      <c r="AX263" s="213"/>
      <c r="AY263" s="213"/>
      <c r="AZ263" s="213"/>
      <c r="BA263" s="213"/>
      <c r="BB263" s="213"/>
    </row>
    <row r="264">
      <c r="A264" s="199"/>
      <c r="B264" s="12"/>
      <c r="C264" s="202"/>
      <c r="D264" s="199"/>
      <c r="E264" s="211"/>
      <c r="F264" s="201"/>
      <c r="G264" s="199"/>
      <c r="H264" s="199"/>
      <c r="I264" s="199"/>
      <c r="J264" s="212"/>
      <c r="K264" s="212"/>
      <c r="L264" s="212"/>
      <c r="M264" s="212"/>
      <c r="N264" s="212"/>
      <c r="O264" s="212"/>
      <c r="P264" s="212"/>
      <c r="Q264" s="212"/>
      <c r="R264" s="212"/>
      <c r="S264" s="212"/>
      <c r="T264" s="212"/>
      <c r="U264" s="212"/>
      <c r="V264" s="212"/>
      <c r="W264" s="212"/>
      <c r="X264" s="212"/>
      <c r="Y264" s="212"/>
      <c r="Z264" s="204"/>
      <c r="AA264" s="204"/>
      <c r="AB264" s="204"/>
      <c r="AC264" s="204"/>
      <c r="AD264" s="204"/>
      <c r="AE264" s="212"/>
      <c r="AF264" s="213"/>
      <c r="AG264" s="213"/>
      <c r="AH264" s="213"/>
      <c r="AI264" s="213"/>
      <c r="AJ264" s="213"/>
      <c r="AK264" s="213"/>
      <c r="AL264" s="213"/>
      <c r="AM264" s="213"/>
      <c r="AN264" s="213"/>
      <c r="AO264" s="213"/>
      <c r="AP264" s="213"/>
      <c r="AQ264" s="213"/>
      <c r="AR264" s="213"/>
      <c r="AS264" s="213"/>
      <c r="AT264" s="213"/>
      <c r="AU264" s="213"/>
      <c r="AV264" s="213"/>
      <c r="AW264" s="213"/>
      <c r="AX264" s="213"/>
      <c r="AY264" s="213"/>
      <c r="AZ264" s="213"/>
      <c r="BA264" s="213"/>
      <c r="BB264" s="213"/>
    </row>
    <row r="265">
      <c r="A265" s="199"/>
      <c r="B265" s="12"/>
      <c r="C265" s="202"/>
      <c r="D265" s="199"/>
      <c r="E265" s="211"/>
      <c r="F265" s="201"/>
      <c r="G265" s="199"/>
      <c r="H265" s="199"/>
      <c r="I265" s="199"/>
      <c r="J265" s="212"/>
      <c r="K265" s="212"/>
      <c r="L265" s="212"/>
      <c r="M265" s="212"/>
      <c r="N265" s="212"/>
      <c r="O265" s="212"/>
      <c r="P265" s="212"/>
      <c r="Q265" s="212"/>
      <c r="R265" s="212"/>
      <c r="S265" s="212"/>
      <c r="T265" s="212"/>
      <c r="U265" s="212"/>
      <c r="V265" s="212"/>
      <c r="W265" s="212"/>
      <c r="X265" s="212"/>
      <c r="Y265" s="212"/>
      <c r="Z265" s="204"/>
      <c r="AA265" s="204"/>
      <c r="AB265" s="204"/>
      <c r="AC265" s="204"/>
      <c r="AD265" s="204"/>
      <c r="AE265" s="212"/>
      <c r="AF265" s="213"/>
      <c r="AG265" s="213"/>
      <c r="AH265" s="213"/>
      <c r="AI265" s="213"/>
      <c r="AJ265" s="213"/>
      <c r="AK265" s="213"/>
      <c r="AL265" s="213"/>
      <c r="AM265" s="213"/>
      <c r="AN265" s="213"/>
      <c r="AO265" s="213"/>
      <c r="AP265" s="213"/>
      <c r="AQ265" s="213"/>
      <c r="AR265" s="213"/>
      <c r="AS265" s="213"/>
      <c r="AT265" s="213"/>
      <c r="AU265" s="213"/>
      <c r="AV265" s="213"/>
      <c r="AW265" s="213"/>
      <c r="AX265" s="213"/>
      <c r="AY265" s="213"/>
      <c r="AZ265" s="213"/>
      <c r="BA265" s="213"/>
      <c r="BB265" s="213"/>
    </row>
    <row r="266">
      <c r="A266" s="199"/>
      <c r="B266" s="12"/>
      <c r="C266" s="202"/>
      <c r="D266" s="199"/>
      <c r="E266" s="211"/>
      <c r="F266" s="201"/>
      <c r="G266" s="199"/>
      <c r="H266" s="199"/>
      <c r="I266" s="199"/>
      <c r="J266" s="212"/>
      <c r="K266" s="212"/>
      <c r="L266" s="212"/>
      <c r="M266" s="212"/>
      <c r="N266" s="212"/>
      <c r="O266" s="212"/>
      <c r="P266" s="212"/>
      <c r="Q266" s="212"/>
      <c r="R266" s="212"/>
      <c r="S266" s="212"/>
      <c r="T266" s="212"/>
      <c r="U266" s="212"/>
      <c r="V266" s="212"/>
      <c r="W266" s="212"/>
      <c r="X266" s="212"/>
      <c r="Y266" s="212"/>
      <c r="Z266" s="204"/>
      <c r="AA266" s="204"/>
      <c r="AB266" s="204"/>
      <c r="AC266" s="204"/>
      <c r="AD266" s="204"/>
      <c r="AE266" s="212"/>
      <c r="AF266" s="213"/>
      <c r="AG266" s="213"/>
      <c r="AH266" s="213"/>
      <c r="AI266" s="213"/>
      <c r="AJ266" s="213"/>
      <c r="AK266" s="213"/>
      <c r="AL266" s="213"/>
      <c r="AM266" s="213"/>
      <c r="AN266" s="213"/>
      <c r="AO266" s="213"/>
      <c r="AP266" s="213"/>
      <c r="AQ266" s="213"/>
      <c r="AR266" s="213"/>
      <c r="AS266" s="213"/>
      <c r="AT266" s="213"/>
      <c r="AU266" s="213"/>
      <c r="AV266" s="213"/>
      <c r="AW266" s="213"/>
      <c r="AX266" s="213"/>
      <c r="AY266" s="213"/>
      <c r="AZ266" s="213"/>
      <c r="BA266" s="213"/>
      <c r="BB266" s="213"/>
    </row>
    <row r="267">
      <c r="A267" s="199"/>
      <c r="B267" s="12"/>
      <c r="C267" s="202"/>
      <c r="D267" s="199"/>
      <c r="E267" s="211"/>
      <c r="F267" s="201"/>
      <c r="G267" s="199"/>
      <c r="H267" s="199"/>
      <c r="I267" s="199"/>
      <c r="J267" s="212"/>
      <c r="K267" s="212"/>
      <c r="L267" s="212"/>
      <c r="M267" s="212"/>
      <c r="N267" s="212"/>
      <c r="O267" s="212"/>
      <c r="P267" s="212"/>
      <c r="Q267" s="212"/>
      <c r="R267" s="212"/>
      <c r="S267" s="212"/>
      <c r="T267" s="212"/>
      <c r="U267" s="212"/>
      <c r="V267" s="212"/>
      <c r="W267" s="212"/>
      <c r="X267" s="212"/>
      <c r="Y267" s="212"/>
      <c r="Z267" s="204"/>
      <c r="AA267" s="204"/>
      <c r="AB267" s="204"/>
      <c r="AC267" s="204"/>
      <c r="AD267" s="204"/>
      <c r="AE267" s="212"/>
      <c r="AF267" s="213"/>
      <c r="AG267" s="213"/>
      <c r="AH267" s="213"/>
      <c r="AI267" s="213"/>
      <c r="AJ267" s="213"/>
      <c r="AK267" s="213"/>
      <c r="AL267" s="213"/>
      <c r="AM267" s="213"/>
      <c r="AN267" s="213"/>
      <c r="AO267" s="213"/>
      <c r="AP267" s="213"/>
      <c r="AQ267" s="213"/>
      <c r="AR267" s="213"/>
      <c r="AS267" s="213"/>
      <c r="AT267" s="213"/>
      <c r="AU267" s="213"/>
      <c r="AV267" s="213"/>
      <c r="AW267" s="213"/>
      <c r="AX267" s="213"/>
      <c r="AY267" s="213"/>
      <c r="AZ267" s="213"/>
      <c r="BA267" s="213"/>
      <c r="BB267" s="213"/>
    </row>
    <row r="268">
      <c r="A268" s="199"/>
      <c r="B268" s="12"/>
      <c r="C268" s="202"/>
      <c r="D268" s="199"/>
      <c r="E268" s="211"/>
      <c r="F268" s="201"/>
      <c r="G268" s="199"/>
      <c r="H268" s="199"/>
      <c r="I268" s="199"/>
      <c r="J268" s="212"/>
      <c r="K268" s="212"/>
      <c r="L268" s="212"/>
      <c r="M268" s="212"/>
      <c r="N268" s="212"/>
      <c r="O268" s="212"/>
      <c r="P268" s="212"/>
      <c r="Q268" s="212"/>
      <c r="R268" s="212"/>
      <c r="S268" s="212"/>
      <c r="T268" s="212"/>
      <c r="U268" s="212"/>
      <c r="V268" s="212"/>
      <c r="W268" s="212"/>
      <c r="X268" s="212"/>
      <c r="Y268" s="212"/>
      <c r="Z268" s="204"/>
      <c r="AA268" s="204"/>
      <c r="AB268" s="204"/>
      <c r="AC268" s="204"/>
      <c r="AD268" s="204"/>
      <c r="AE268" s="212"/>
      <c r="AF268" s="213"/>
      <c r="AG268" s="213"/>
      <c r="AH268" s="213"/>
      <c r="AI268" s="213"/>
      <c r="AJ268" s="213"/>
      <c r="AK268" s="213"/>
      <c r="AL268" s="213"/>
      <c r="AM268" s="213"/>
      <c r="AN268" s="213"/>
      <c r="AO268" s="213"/>
      <c r="AP268" s="213"/>
      <c r="AQ268" s="213"/>
      <c r="AR268" s="213"/>
      <c r="AS268" s="213"/>
      <c r="AT268" s="213"/>
      <c r="AU268" s="213"/>
      <c r="AV268" s="213"/>
      <c r="AW268" s="213"/>
      <c r="AX268" s="213"/>
      <c r="AY268" s="213"/>
      <c r="AZ268" s="213"/>
      <c r="BA268" s="213"/>
      <c r="BB268" s="213"/>
    </row>
    <row r="269">
      <c r="A269" s="199"/>
      <c r="B269" s="12"/>
      <c r="C269" s="202"/>
      <c r="D269" s="199"/>
      <c r="E269" s="211"/>
      <c r="F269" s="201"/>
      <c r="G269" s="199"/>
      <c r="H269" s="199"/>
      <c r="I269" s="199"/>
      <c r="J269" s="212"/>
      <c r="K269" s="212"/>
      <c r="L269" s="212"/>
      <c r="M269" s="212"/>
      <c r="N269" s="212"/>
      <c r="O269" s="212"/>
      <c r="P269" s="212"/>
      <c r="Q269" s="212"/>
      <c r="R269" s="212"/>
      <c r="S269" s="212"/>
      <c r="T269" s="212"/>
      <c r="U269" s="212"/>
      <c r="V269" s="212"/>
      <c r="W269" s="212"/>
      <c r="X269" s="212"/>
      <c r="Y269" s="212"/>
      <c r="Z269" s="204"/>
      <c r="AA269" s="204"/>
      <c r="AB269" s="204"/>
      <c r="AC269" s="204"/>
      <c r="AD269" s="204"/>
      <c r="AE269" s="212"/>
      <c r="AF269" s="213"/>
      <c r="AG269" s="213"/>
      <c r="AH269" s="213"/>
      <c r="AI269" s="213"/>
      <c r="AJ269" s="213"/>
      <c r="AK269" s="213"/>
      <c r="AL269" s="213"/>
      <c r="AM269" s="213"/>
      <c r="AN269" s="213"/>
      <c r="AO269" s="213"/>
      <c r="AP269" s="213"/>
      <c r="AQ269" s="213"/>
      <c r="AR269" s="213"/>
      <c r="AS269" s="213"/>
      <c r="AT269" s="213"/>
      <c r="AU269" s="213"/>
      <c r="AV269" s="213"/>
      <c r="AW269" s="213"/>
      <c r="AX269" s="213"/>
      <c r="AY269" s="213"/>
      <c r="AZ269" s="213"/>
      <c r="BA269" s="213"/>
      <c r="BB269" s="213"/>
    </row>
    <row r="270">
      <c r="A270" s="199"/>
      <c r="B270" s="12"/>
      <c r="C270" s="202"/>
      <c r="D270" s="199"/>
      <c r="E270" s="211"/>
      <c r="F270" s="201"/>
      <c r="G270" s="199"/>
      <c r="H270" s="199"/>
      <c r="I270" s="199"/>
      <c r="J270" s="212"/>
      <c r="K270" s="212"/>
      <c r="L270" s="212"/>
      <c r="M270" s="212"/>
      <c r="N270" s="212"/>
      <c r="O270" s="212"/>
      <c r="P270" s="212"/>
      <c r="Q270" s="212"/>
      <c r="R270" s="212"/>
      <c r="S270" s="212"/>
      <c r="T270" s="212"/>
      <c r="U270" s="212"/>
      <c r="V270" s="212"/>
      <c r="W270" s="212"/>
      <c r="X270" s="212"/>
      <c r="Y270" s="212"/>
      <c r="Z270" s="204"/>
      <c r="AA270" s="204"/>
      <c r="AB270" s="204"/>
      <c r="AC270" s="204"/>
      <c r="AD270" s="204"/>
      <c r="AE270" s="212"/>
      <c r="AF270" s="213"/>
      <c r="AG270" s="213"/>
      <c r="AH270" s="213"/>
      <c r="AI270" s="213"/>
      <c r="AJ270" s="213"/>
      <c r="AK270" s="213"/>
      <c r="AL270" s="213"/>
      <c r="AM270" s="213"/>
      <c r="AN270" s="213"/>
      <c r="AO270" s="213"/>
      <c r="AP270" s="213"/>
      <c r="AQ270" s="213"/>
      <c r="AR270" s="213"/>
      <c r="AS270" s="213"/>
      <c r="AT270" s="213"/>
      <c r="AU270" s="213"/>
      <c r="AV270" s="213"/>
      <c r="AW270" s="213"/>
      <c r="AX270" s="213"/>
      <c r="AY270" s="213"/>
      <c r="AZ270" s="213"/>
      <c r="BA270" s="213"/>
      <c r="BB270" s="213"/>
    </row>
    <row r="271">
      <c r="A271" s="199"/>
      <c r="B271" s="12"/>
      <c r="C271" s="202"/>
      <c r="D271" s="199"/>
      <c r="E271" s="211"/>
      <c r="F271" s="201"/>
      <c r="G271" s="199"/>
      <c r="H271" s="199"/>
      <c r="I271" s="199"/>
      <c r="J271" s="212"/>
      <c r="K271" s="212"/>
      <c r="L271" s="212"/>
      <c r="M271" s="212"/>
      <c r="N271" s="212"/>
      <c r="O271" s="212"/>
      <c r="P271" s="212"/>
      <c r="Q271" s="212"/>
      <c r="R271" s="212"/>
      <c r="S271" s="212"/>
      <c r="T271" s="212"/>
      <c r="U271" s="212"/>
      <c r="V271" s="212"/>
      <c r="W271" s="212"/>
      <c r="X271" s="212"/>
      <c r="Y271" s="212"/>
      <c r="Z271" s="204"/>
      <c r="AA271" s="204"/>
      <c r="AB271" s="204"/>
      <c r="AC271" s="204"/>
      <c r="AD271" s="204"/>
      <c r="AE271" s="212"/>
      <c r="AF271" s="213"/>
      <c r="AG271" s="213"/>
      <c r="AH271" s="213"/>
      <c r="AI271" s="213"/>
      <c r="AJ271" s="213"/>
      <c r="AK271" s="213"/>
      <c r="AL271" s="213"/>
      <c r="AM271" s="213"/>
      <c r="AN271" s="213"/>
      <c r="AO271" s="213"/>
      <c r="AP271" s="213"/>
      <c r="AQ271" s="213"/>
      <c r="AR271" s="213"/>
      <c r="AS271" s="213"/>
      <c r="AT271" s="213"/>
      <c r="AU271" s="213"/>
      <c r="AV271" s="213"/>
      <c r="AW271" s="213"/>
      <c r="AX271" s="213"/>
      <c r="AY271" s="213"/>
      <c r="AZ271" s="213"/>
      <c r="BA271" s="213"/>
      <c r="BB271" s="213"/>
    </row>
    <row r="272">
      <c r="A272" s="199"/>
      <c r="B272" s="12"/>
      <c r="C272" s="202"/>
      <c r="D272" s="199"/>
      <c r="E272" s="211"/>
      <c r="F272" s="201"/>
      <c r="G272" s="199"/>
      <c r="H272" s="199"/>
      <c r="I272" s="199"/>
      <c r="J272" s="212"/>
      <c r="K272" s="212"/>
      <c r="L272" s="212"/>
      <c r="M272" s="212"/>
      <c r="N272" s="212"/>
      <c r="O272" s="212"/>
      <c r="P272" s="212"/>
      <c r="Q272" s="212"/>
      <c r="R272" s="212"/>
      <c r="S272" s="212"/>
      <c r="T272" s="212"/>
      <c r="U272" s="212"/>
      <c r="V272" s="212"/>
      <c r="W272" s="212"/>
      <c r="X272" s="212"/>
      <c r="Y272" s="212"/>
      <c r="Z272" s="204"/>
      <c r="AA272" s="204"/>
      <c r="AB272" s="204"/>
      <c r="AC272" s="204"/>
      <c r="AD272" s="204"/>
      <c r="AE272" s="212"/>
      <c r="AF272" s="213"/>
      <c r="AG272" s="213"/>
      <c r="AH272" s="213"/>
      <c r="AI272" s="213"/>
      <c r="AJ272" s="213"/>
      <c r="AK272" s="213"/>
      <c r="AL272" s="213"/>
      <c r="AM272" s="213"/>
      <c r="AN272" s="213"/>
      <c r="AO272" s="213"/>
      <c r="AP272" s="213"/>
      <c r="AQ272" s="213"/>
      <c r="AR272" s="213"/>
      <c r="AS272" s="213"/>
      <c r="AT272" s="213"/>
      <c r="AU272" s="213"/>
      <c r="AV272" s="213"/>
      <c r="AW272" s="213"/>
      <c r="AX272" s="213"/>
      <c r="AY272" s="213"/>
      <c r="AZ272" s="213"/>
      <c r="BA272" s="213"/>
      <c r="BB272" s="213"/>
    </row>
    <row r="273">
      <c r="A273" s="199"/>
      <c r="B273" s="12"/>
      <c r="C273" s="202"/>
      <c r="D273" s="199"/>
      <c r="E273" s="211"/>
      <c r="F273" s="201"/>
      <c r="G273" s="199"/>
      <c r="H273" s="199"/>
      <c r="I273" s="199"/>
      <c r="J273" s="212"/>
      <c r="K273" s="212"/>
      <c r="L273" s="212"/>
      <c r="M273" s="212"/>
      <c r="N273" s="212"/>
      <c r="O273" s="212"/>
      <c r="P273" s="212"/>
      <c r="Q273" s="212"/>
      <c r="R273" s="212"/>
      <c r="S273" s="212"/>
      <c r="T273" s="212"/>
      <c r="U273" s="212"/>
      <c r="V273" s="212"/>
      <c r="W273" s="212"/>
      <c r="X273" s="212"/>
      <c r="Y273" s="212"/>
      <c r="Z273" s="204"/>
      <c r="AA273" s="204"/>
      <c r="AB273" s="204"/>
      <c r="AC273" s="204"/>
      <c r="AD273" s="204"/>
      <c r="AE273" s="212"/>
      <c r="AF273" s="213"/>
      <c r="AG273" s="213"/>
      <c r="AH273" s="213"/>
      <c r="AI273" s="213"/>
      <c r="AJ273" s="213"/>
      <c r="AK273" s="213"/>
      <c r="AL273" s="213"/>
      <c r="AM273" s="213"/>
      <c r="AN273" s="213"/>
      <c r="AO273" s="213"/>
      <c r="AP273" s="213"/>
      <c r="AQ273" s="213"/>
      <c r="AR273" s="213"/>
      <c r="AS273" s="213"/>
      <c r="AT273" s="213"/>
      <c r="AU273" s="213"/>
      <c r="AV273" s="213"/>
      <c r="AW273" s="213"/>
      <c r="AX273" s="213"/>
      <c r="AY273" s="213"/>
      <c r="AZ273" s="213"/>
      <c r="BA273" s="213"/>
      <c r="BB273" s="213"/>
    </row>
    <row r="274">
      <c r="A274" s="199"/>
      <c r="B274" s="12"/>
      <c r="C274" s="202"/>
      <c r="D274" s="199"/>
      <c r="E274" s="211"/>
      <c r="F274" s="201"/>
      <c r="G274" s="199"/>
      <c r="H274" s="199"/>
      <c r="I274" s="199"/>
      <c r="J274" s="212"/>
      <c r="K274" s="212"/>
      <c r="L274" s="212"/>
      <c r="M274" s="212"/>
      <c r="N274" s="212"/>
      <c r="O274" s="212"/>
      <c r="P274" s="212"/>
      <c r="Q274" s="212"/>
      <c r="R274" s="212"/>
      <c r="S274" s="212"/>
      <c r="T274" s="212"/>
      <c r="U274" s="212"/>
      <c r="V274" s="212"/>
      <c r="W274" s="212"/>
      <c r="X274" s="212"/>
      <c r="Y274" s="212"/>
      <c r="Z274" s="204"/>
      <c r="AA274" s="204"/>
      <c r="AB274" s="204"/>
      <c r="AC274" s="204"/>
      <c r="AD274" s="204"/>
      <c r="AE274" s="212"/>
      <c r="AF274" s="213"/>
      <c r="AG274" s="213"/>
      <c r="AH274" s="213"/>
      <c r="AI274" s="213"/>
      <c r="AJ274" s="213"/>
      <c r="AK274" s="213"/>
      <c r="AL274" s="213"/>
      <c r="AM274" s="213"/>
      <c r="AN274" s="213"/>
      <c r="AO274" s="213"/>
      <c r="AP274" s="213"/>
      <c r="AQ274" s="213"/>
      <c r="AR274" s="213"/>
      <c r="AS274" s="213"/>
      <c r="AT274" s="213"/>
      <c r="AU274" s="213"/>
      <c r="AV274" s="213"/>
      <c r="AW274" s="213"/>
      <c r="AX274" s="213"/>
      <c r="AY274" s="213"/>
      <c r="AZ274" s="213"/>
      <c r="BA274" s="213"/>
      <c r="BB274" s="213"/>
    </row>
    <row r="275">
      <c r="A275" s="199"/>
      <c r="B275" s="12"/>
      <c r="C275" s="202"/>
      <c r="D275" s="199"/>
      <c r="E275" s="211"/>
      <c r="F275" s="201"/>
      <c r="G275" s="199"/>
      <c r="H275" s="199"/>
      <c r="I275" s="199"/>
      <c r="J275" s="212"/>
      <c r="K275" s="212"/>
      <c r="L275" s="212"/>
      <c r="M275" s="212"/>
      <c r="N275" s="212"/>
      <c r="O275" s="212"/>
      <c r="P275" s="212"/>
      <c r="Q275" s="212"/>
      <c r="R275" s="212"/>
      <c r="S275" s="212"/>
      <c r="T275" s="212"/>
      <c r="U275" s="212"/>
      <c r="V275" s="212"/>
      <c r="W275" s="212"/>
      <c r="X275" s="212"/>
      <c r="Y275" s="212"/>
      <c r="Z275" s="204"/>
      <c r="AA275" s="204"/>
      <c r="AB275" s="204"/>
      <c r="AC275" s="204"/>
      <c r="AD275" s="204"/>
      <c r="AE275" s="212"/>
      <c r="AF275" s="213"/>
      <c r="AG275" s="213"/>
      <c r="AH275" s="213"/>
      <c r="AI275" s="213"/>
      <c r="AJ275" s="213"/>
      <c r="AK275" s="213"/>
      <c r="AL275" s="213"/>
      <c r="AM275" s="213"/>
      <c r="AN275" s="213"/>
      <c r="AO275" s="213"/>
      <c r="AP275" s="213"/>
      <c r="AQ275" s="213"/>
      <c r="AR275" s="213"/>
      <c r="AS275" s="213"/>
      <c r="AT275" s="213"/>
      <c r="AU275" s="213"/>
      <c r="AV275" s="213"/>
      <c r="AW275" s="213"/>
      <c r="AX275" s="213"/>
      <c r="AY275" s="213"/>
      <c r="AZ275" s="213"/>
      <c r="BA275" s="213"/>
      <c r="BB275" s="213"/>
    </row>
    <row r="276">
      <c r="A276" s="199"/>
      <c r="B276" s="12"/>
      <c r="C276" s="202"/>
      <c r="D276" s="199"/>
      <c r="E276" s="211"/>
      <c r="F276" s="201"/>
      <c r="G276" s="199"/>
      <c r="H276" s="199"/>
      <c r="I276" s="199"/>
      <c r="J276" s="212"/>
      <c r="K276" s="212"/>
      <c r="L276" s="212"/>
      <c r="M276" s="212"/>
      <c r="N276" s="212"/>
      <c r="O276" s="212"/>
      <c r="P276" s="212"/>
      <c r="Q276" s="212"/>
      <c r="R276" s="212"/>
      <c r="S276" s="212"/>
      <c r="T276" s="212"/>
      <c r="U276" s="212"/>
      <c r="V276" s="212"/>
      <c r="W276" s="212"/>
      <c r="X276" s="212"/>
      <c r="Y276" s="212"/>
      <c r="Z276" s="204"/>
      <c r="AA276" s="204"/>
      <c r="AB276" s="204"/>
      <c r="AC276" s="204"/>
      <c r="AD276" s="204"/>
      <c r="AE276" s="212"/>
      <c r="AF276" s="213"/>
      <c r="AG276" s="213"/>
      <c r="AH276" s="213"/>
      <c r="AI276" s="213"/>
      <c r="AJ276" s="213"/>
      <c r="AK276" s="213"/>
      <c r="AL276" s="213"/>
      <c r="AM276" s="213"/>
      <c r="AN276" s="213"/>
      <c r="AO276" s="213"/>
      <c r="AP276" s="213"/>
      <c r="AQ276" s="213"/>
      <c r="AR276" s="213"/>
      <c r="AS276" s="213"/>
      <c r="AT276" s="213"/>
      <c r="AU276" s="213"/>
      <c r="AV276" s="213"/>
      <c r="AW276" s="213"/>
      <c r="AX276" s="213"/>
      <c r="AY276" s="213"/>
      <c r="AZ276" s="213"/>
      <c r="BA276" s="213"/>
      <c r="BB276" s="213"/>
    </row>
    <row r="277">
      <c r="A277" s="199"/>
      <c r="B277" s="12"/>
      <c r="C277" s="202"/>
      <c r="D277" s="199"/>
      <c r="E277" s="211"/>
      <c r="F277" s="201"/>
      <c r="G277" s="199"/>
      <c r="H277" s="199"/>
      <c r="I277" s="199"/>
      <c r="J277" s="212"/>
      <c r="K277" s="212"/>
      <c r="L277" s="212"/>
      <c r="M277" s="212"/>
      <c r="N277" s="212"/>
      <c r="O277" s="212"/>
      <c r="P277" s="212"/>
      <c r="Q277" s="212"/>
      <c r="R277" s="212"/>
      <c r="S277" s="212"/>
      <c r="T277" s="212"/>
      <c r="U277" s="212"/>
      <c r="V277" s="212"/>
      <c r="W277" s="212"/>
      <c r="X277" s="212"/>
      <c r="Y277" s="212"/>
      <c r="Z277" s="204"/>
      <c r="AA277" s="204"/>
      <c r="AB277" s="204"/>
      <c r="AC277" s="204"/>
      <c r="AD277" s="204"/>
      <c r="AE277" s="212"/>
      <c r="AF277" s="213"/>
      <c r="AG277" s="213"/>
      <c r="AH277" s="213"/>
      <c r="AI277" s="213"/>
      <c r="AJ277" s="213"/>
      <c r="AK277" s="213"/>
      <c r="AL277" s="213"/>
      <c r="AM277" s="213"/>
      <c r="AN277" s="213"/>
      <c r="AO277" s="213"/>
      <c r="AP277" s="213"/>
      <c r="AQ277" s="213"/>
      <c r="AR277" s="213"/>
      <c r="AS277" s="213"/>
      <c r="AT277" s="213"/>
      <c r="AU277" s="213"/>
      <c r="AV277" s="213"/>
      <c r="AW277" s="213"/>
      <c r="AX277" s="213"/>
      <c r="AY277" s="213"/>
      <c r="AZ277" s="213"/>
      <c r="BA277" s="213"/>
      <c r="BB277" s="213"/>
    </row>
    <row r="278">
      <c r="A278" s="199"/>
      <c r="B278" s="12"/>
      <c r="C278" s="202"/>
      <c r="D278" s="199"/>
      <c r="E278" s="211"/>
      <c r="F278" s="201"/>
      <c r="G278" s="199"/>
      <c r="H278" s="199"/>
      <c r="I278" s="199"/>
      <c r="J278" s="212"/>
      <c r="K278" s="212"/>
      <c r="L278" s="212"/>
      <c r="M278" s="212"/>
      <c r="N278" s="212"/>
      <c r="O278" s="212"/>
      <c r="P278" s="212"/>
      <c r="Q278" s="212"/>
      <c r="R278" s="212"/>
      <c r="S278" s="212"/>
      <c r="T278" s="212"/>
      <c r="U278" s="212"/>
      <c r="V278" s="212"/>
      <c r="W278" s="212"/>
      <c r="X278" s="212"/>
      <c r="Y278" s="212"/>
      <c r="Z278" s="204"/>
      <c r="AA278" s="204"/>
      <c r="AB278" s="204"/>
      <c r="AC278" s="204"/>
      <c r="AD278" s="204"/>
      <c r="AE278" s="212"/>
      <c r="AF278" s="213"/>
      <c r="AG278" s="213"/>
      <c r="AH278" s="213"/>
      <c r="AI278" s="213"/>
      <c r="AJ278" s="213"/>
      <c r="AK278" s="213"/>
      <c r="AL278" s="213"/>
      <c r="AM278" s="213"/>
      <c r="AN278" s="213"/>
      <c r="AO278" s="213"/>
      <c r="AP278" s="213"/>
      <c r="AQ278" s="213"/>
      <c r="AR278" s="213"/>
      <c r="AS278" s="213"/>
      <c r="AT278" s="213"/>
      <c r="AU278" s="213"/>
      <c r="AV278" s="213"/>
      <c r="AW278" s="213"/>
      <c r="AX278" s="213"/>
      <c r="AY278" s="213"/>
      <c r="AZ278" s="213"/>
      <c r="BA278" s="213"/>
      <c r="BB278" s="213"/>
    </row>
    <row r="279">
      <c r="A279" s="199"/>
      <c r="B279" s="12"/>
      <c r="C279" s="202"/>
      <c r="D279" s="199"/>
      <c r="E279" s="211"/>
      <c r="F279" s="201"/>
      <c r="G279" s="199"/>
      <c r="H279" s="199"/>
      <c r="I279" s="199"/>
      <c r="J279" s="212"/>
      <c r="K279" s="212"/>
      <c r="L279" s="212"/>
      <c r="M279" s="212"/>
      <c r="N279" s="212"/>
      <c r="O279" s="212"/>
      <c r="P279" s="212"/>
      <c r="Q279" s="212"/>
      <c r="R279" s="212"/>
      <c r="S279" s="212"/>
      <c r="T279" s="212"/>
      <c r="U279" s="212"/>
      <c r="V279" s="212"/>
      <c r="W279" s="212"/>
      <c r="X279" s="212"/>
      <c r="Y279" s="212"/>
      <c r="Z279" s="204"/>
      <c r="AA279" s="204"/>
      <c r="AB279" s="204"/>
      <c r="AC279" s="204"/>
      <c r="AD279" s="204"/>
      <c r="AE279" s="212"/>
      <c r="AF279" s="213"/>
      <c r="AG279" s="213"/>
      <c r="AH279" s="213"/>
      <c r="AI279" s="213"/>
      <c r="AJ279" s="213"/>
      <c r="AK279" s="213"/>
      <c r="AL279" s="213"/>
      <c r="AM279" s="213"/>
      <c r="AN279" s="213"/>
      <c r="AO279" s="213"/>
      <c r="AP279" s="213"/>
      <c r="AQ279" s="213"/>
      <c r="AR279" s="213"/>
      <c r="AS279" s="213"/>
      <c r="AT279" s="213"/>
      <c r="AU279" s="213"/>
      <c r="AV279" s="213"/>
      <c r="AW279" s="213"/>
      <c r="AX279" s="213"/>
      <c r="AY279" s="213"/>
      <c r="AZ279" s="213"/>
      <c r="BA279" s="213"/>
      <c r="BB279" s="213"/>
    </row>
    <row r="280">
      <c r="A280" s="199"/>
      <c r="B280" s="12"/>
      <c r="C280" s="202"/>
      <c r="D280" s="199"/>
      <c r="E280" s="211"/>
      <c r="F280" s="201"/>
      <c r="G280" s="199"/>
      <c r="H280" s="199"/>
      <c r="I280" s="199"/>
      <c r="J280" s="212"/>
      <c r="K280" s="212"/>
      <c r="L280" s="212"/>
      <c r="M280" s="212"/>
      <c r="N280" s="212"/>
      <c r="O280" s="212"/>
      <c r="P280" s="212"/>
      <c r="Q280" s="212"/>
      <c r="R280" s="212"/>
      <c r="S280" s="212"/>
      <c r="T280" s="212"/>
      <c r="U280" s="212"/>
      <c r="V280" s="212"/>
      <c r="W280" s="212"/>
      <c r="X280" s="212"/>
      <c r="Y280" s="212"/>
      <c r="Z280" s="204"/>
      <c r="AA280" s="204"/>
      <c r="AB280" s="204"/>
      <c r="AC280" s="204"/>
      <c r="AD280" s="204"/>
      <c r="AE280" s="212"/>
      <c r="AF280" s="213"/>
      <c r="AG280" s="213"/>
      <c r="AH280" s="213"/>
      <c r="AI280" s="213"/>
      <c r="AJ280" s="213"/>
      <c r="AK280" s="213"/>
      <c r="AL280" s="213"/>
      <c r="AM280" s="213"/>
      <c r="AN280" s="213"/>
      <c r="AO280" s="213"/>
      <c r="AP280" s="213"/>
      <c r="AQ280" s="213"/>
      <c r="AR280" s="213"/>
      <c r="AS280" s="213"/>
      <c r="AT280" s="213"/>
      <c r="AU280" s="213"/>
      <c r="AV280" s="213"/>
      <c r="AW280" s="213"/>
      <c r="AX280" s="213"/>
      <c r="AY280" s="213"/>
      <c r="AZ280" s="213"/>
      <c r="BA280" s="213"/>
      <c r="BB280" s="213"/>
    </row>
    <row r="281">
      <c r="A281" s="199"/>
      <c r="B281" s="12"/>
      <c r="C281" s="202"/>
      <c r="D281" s="199"/>
      <c r="E281" s="211"/>
      <c r="F281" s="201"/>
      <c r="G281" s="199"/>
      <c r="H281" s="199"/>
      <c r="I281" s="199"/>
      <c r="J281" s="212"/>
      <c r="K281" s="212"/>
      <c r="L281" s="212"/>
      <c r="M281" s="212"/>
      <c r="N281" s="212"/>
      <c r="O281" s="212"/>
      <c r="P281" s="212"/>
      <c r="Q281" s="212"/>
      <c r="R281" s="212"/>
      <c r="S281" s="212"/>
      <c r="T281" s="212"/>
      <c r="U281" s="212"/>
      <c r="V281" s="212"/>
      <c r="W281" s="212"/>
      <c r="X281" s="212"/>
      <c r="Y281" s="212"/>
      <c r="Z281" s="204"/>
      <c r="AA281" s="204"/>
      <c r="AB281" s="204"/>
      <c r="AC281" s="204"/>
      <c r="AD281" s="204"/>
      <c r="AE281" s="212"/>
      <c r="AF281" s="213"/>
      <c r="AG281" s="213"/>
      <c r="AH281" s="213"/>
      <c r="AI281" s="213"/>
      <c r="AJ281" s="213"/>
      <c r="AK281" s="213"/>
      <c r="AL281" s="213"/>
      <c r="AM281" s="213"/>
      <c r="AN281" s="213"/>
      <c r="AO281" s="213"/>
      <c r="AP281" s="213"/>
      <c r="AQ281" s="213"/>
      <c r="AR281" s="213"/>
      <c r="AS281" s="213"/>
      <c r="AT281" s="213"/>
      <c r="AU281" s="213"/>
      <c r="AV281" s="213"/>
      <c r="AW281" s="213"/>
      <c r="AX281" s="213"/>
      <c r="AY281" s="213"/>
      <c r="AZ281" s="213"/>
      <c r="BA281" s="213"/>
      <c r="BB281" s="213"/>
    </row>
    <row r="282">
      <c r="A282" s="199"/>
      <c r="B282" s="12"/>
      <c r="C282" s="202"/>
      <c r="D282" s="199"/>
      <c r="E282" s="211"/>
      <c r="F282" s="201"/>
      <c r="G282" s="199"/>
      <c r="H282" s="199"/>
      <c r="I282" s="199"/>
      <c r="J282" s="212"/>
      <c r="K282" s="212"/>
      <c r="L282" s="212"/>
      <c r="M282" s="212"/>
      <c r="N282" s="212"/>
      <c r="O282" s="212"/>
      <c r="P282" s="212"/>
      <c r="Q282" s="212"/>
      <c r="R282" s="212"/>
      <c r="S282" s="212"/>
      <c r="T282" s="212"/>
      <c r="U282" s="212"/>
      <c r="V282" s="212"/>
      <c r="W282" s="212"/>
      <c r="X282" s="212"/>
      <c r="Y282" s="212"/>
      <c r="Z282" s="204"/>
      <c r="AA282" s="204"/>
      <c r="AB282" s="204"/>
      <c r="AC282" s="204"/>
      <c r="AD282" s="204"/>
      <c r="AE282" s="212"/>
      <c r="AF282" s="213"/>
      <c r="AG282" s="213"/>
      <c r="AH282" s="213"/>
      <c r="AI282" s="213"/>
      <c r="AJ282" s="213"/>
      <c r="AK282" s="213"/>
      <c r="AL282" s="213"/>
      <c r="AM282" s="213"/>
      <c r="AN282" s="213"/>
      <c r="AO282" s="213"/>
      <c r="AP282" s="213"/>
      <c r="AQ282" s="213"/>
      <c r="AR282" s="213"/>
      <c r="AS282" s="213"/>
      <c r="AT282" s="213"/>
      <c r="AU282" s="213"/>
      <c r="AV282" s="213"/>
      <c r="AW282" s="213"/>
      <c r="AX282" s="213"/>
      <c r="AY282" s="213"/>
      <c r="AZ282" s="213"/>
      <c r="BA282" s="213"/>
      <c r="BB282" s="213"/>
    </row>
    <row r="283">
      <c r="A283" s="199"/>
      <c r="B283" s="12"/>
      <c r="C283" s="202"/>
      <c r="D283" s="199"/>
      <c r="E283" s="211"/>
      <c r="F283" s="201"/>
      <c r="G283" s="199"/>
      <c r="H283" s="199"/>
      <c r="I283" s="199"/>
      <c r="J283" s="212"/>
      <c r="K283" s="212"/>
      <c r="L283" s="212"/>
      <c r="M283" s="212"/>
      <c r="N283" s="212"/>
      <c r="O283" s="212"/>
      <c r="P283" s="212"/>
      <c r="Q283" s="212"/>
      <c r="R283" s="212"/>
      <c r="S283" s="212"/>
      <c r="T283" s="212"/>
      <c r="U283" s="212"/>
      <c r="V283" s="212"/>
      <c r="W283" s="212"/>
      <c r="X283" s="212"/>
      <c r="Y283" s="212"/>
      <c r="Z283" s="204"/>
      <c r="AA283" s="204"/>
      <c r="AB283" s="204"/>
      <c r="AC283" s="204"/>
      <c r="AD283" s="204"/>
      <c r="AE283" s="212"/>
      <c r="AF283" s="213"/>
      <c r="AG283" s="213"/>
      <c r="AH283" s="213"/>
      <c r="AI283" s="213"/>
      <c r="AJ283" s="213"/>
      <c r="AK283" s="213"/>
      <c r="AL283" s="213"/>
      <c r="AM283" s="213"/>
      <c r="AN283" s="213"/>
      <c r="AO283" s="213"/>
      <c r="AP283" s="213"/>
      <c r="AQ283" s="213"/>
      <c r="AR283" s="213"/>
      <c r="AS283" s="213"/>
      <c r="AT283" s="213"/>
      <c r="AU283" s="213"/>
      <c r="AV283" s="213"/>
      <c r="AW283" s="213"/>
      <c r="AX283" s="213"/>
      <c r="AY283" s="213"/>
      <c r="AZ283" s="213"/>
      <c r="BA283" s="213"/>
      <c r="BB283" s="213"/>
    </row>
    <row r="284">
      <c r="A284" s="199"/>
      <c r="B284" s="12"/>
      <c r="C284" s="202"/>
      <c r="D284" s="199"/>
      <c r="E284" s="211"/>
      <c r="F284" s="201"/>
      <c r="G284" s="199"/>
      <c r="H284" s="199"/>
      <c r="I284" s="199"/>
      <c r="J284" s="212"/>
      <c r="K284" s="212"/>
      <c r="L284" s="212"/>
      <c r="M284" s="212"/>
      <c r="N284" s="212"/>
      <c r="O284" s="212"/>
      <c r="P284" s="212"/>
      <c r="Q284" s="212"/>
      <c r="R284" s="212"/>
      <c r="S284" s="212"/>
      <c r="T284" s="212"/>
      <c r="U284" s="212"/>
      <c r="V284" s="212"/>
      <c r="W284" s="212"/>
      <c r="X284" s="212"/>
      <c r="Y284" s="212"/>
      <c r="Z284" s="204"/>
      <c r="AA284" s="204"/>
      <c r="AB284" s="204"/>
      <c r="AC284" s="204"/>
      <c r="AD284" s="204"/>
      <c r="AE284" s="212"/>
      <c r="AF284" s="213"/>
      <c r="AG284" s="213"/>
      <c r="AH284" s="213"/>
      <c r="AI284" s="213"/>
      <c r="AJ284" s="213"/>
      <c r="AK284" s="213"/>
      <c r="AL284" s="213"/>
      <c r="AM284" s="213"/>
      <c r="AN284" s="213"/>
      <c r="AO284" s="213"/>
      <c r="AP284" s="213"/>
      <c r="AQ284" s="213"/>
      <c r="AR284" s="213"/>
      <c r="AS284" s="213"/>
      <c r="AT284" s="213"/>
      <c r="AU284" s="213"/>
      <c r="AV284" s="213"/>
      <c r="AW284" s="213"/>
      <c r="AX284" s="213"/>
      <c r="AY284" s="213"/>
      <c r="AZ284" s="213"/>
      <c r="BA284" s="213"/>
      <c r="BB284" s="213"/>
    </row>
    <row r="285">
      <c r="A285" s="199"/>
      <c r="B285" s="12"/>
      <c r="C285" s="202"/>
      <c r="D285" s="199"/>
      <c r="E285" s="211"/>
      <c r="F285" s="201"/>
      <c r="G285" s="199"/>
      <c r="H285" s="199"/>
      <c r="I285" s="199"/>
      <c r="J285" s="212"/>
      <c r="K285" s="212"/>
      <c r="L285" s="212"/>
      <c r="M285" s="212"/>
      <c r="N285" s="212"/>
      <c r="O285" s="212"/>
      <c r="P285" s="212"/>
      <c r="Q285" s="212"/>
      <c r="R285" s="212"/>
      <c r="S285" s="212"/>
      <c r="T285" s="212"/>
      <c r="U285" s="212"/>
      <c r="V285" s="212"/>
      <c r="W285" s="212"/>
      <c r="X285" s="212"/>
      <c r="Y285" s="212"/>
      <c r="Z285" s="204"/>
      <c r="AA285" s="204"/>
      <c r="AB285" s="204"/>
      <c r="AC285" s="204"/>
      <c r="AD285" s="204"/>
      <c r="AE285" s="212"/>
      <c r="AF285" s="213"/>
      <c r="AG285" s="213"/>
      <c r="AH285" s="213"/>
      <c r="AI285" s="213"/>
      <c r="AJ285" s="213"/>
      <c r="AK285" s="213"/>
      <c r="AL285" s="213"/>
      <c r="AM285" s="213"/>
      <c r="AN285" s="213"/>
      <c r="AO285" s="213"/>
      <c r="AP285" s="213"/>
      <c r="AQ285" s="213"/>
      <c r="AR285" s="213"/>
      <c r="AS285" s="213"/>
      <c r="AT285" s="213"/>
      <c r="AU285" s="213"/>
      <c r="AV285" s="213"/>
      <c r="AW285" s="213"/>
      <c r="AX285" s="213"/>
      <c r="AY285" s="213"/>
      <c r="AZ285" s="213"/>
      <c r="BA285" s="213"/>
      <c r="BB285" s="213"/>
    </row>
    <row r="286">
      <c r="A286" s="199"/>
      <c r="B286" s="12"/>
      <c r="C286" s="202"/>
      <c r="D286" s="199"/>
      <c r="E286" s="211"/>
      <c r="F286" s="201"/>
      <c r="G286" s="199"/>
      <c r="H286" s="199"/>
      <c r="I286" s="199"/>
      <c r="J286" s="212"/>
      <c r="K286" s="212"/>
      <c r="L286" s="212"/>
      <c r="M286" s="212"/>
      <c r="N286" s="212"/>
      <c r="O286" s="212"/>
      <c r="P286" s="212"/>
      <c r="Q286" s="212"/>
      <c r="R286" s="212"/>
      <c r="S286" s="212"/>
      <c r="T286" s="212"/>
      <c r="U286" s="212"/>
      <c r="V286" s="212"/>
      <c r="W286" s="212"/>
      <c r="X286" s="212"/>
      <c r="Y286" s="212"/>
      <c r="Z286" s="204"/>
      <c r="AA286" s="204"/>
      <c r="AB286" s="204"/>
      <c r="AC286" s="204"/>
      <c r="AD286" s="204"/>
      <c r="AE286" s="212"/>
      <c r="AF286" s="213"/>
      <c r="AG286" s="213"/>
      <c r="AH286" s="213"/>
      <c r="AI286" s="213"/>
      <c r="AJ286" s="213"/>
      <c r="AK286" s="213"/>
      <c r="AL286" s="213"/>
      <c r="AM286" s="213"/>
      <c r="AN286" s="213"/>
      <c r="AO286" s="213"/>
      <c r="AP286" s="213"/>
      <c r="AQ286" s="213"/>
      <c r="AR286" s="213"/>
      <c r="AS286" s="213"/>
      <c r="AT286" s="213"/>
      <c r="AU286" s="213"/>
      <c r="AV286" s="213"/>
      <c r="AW286" s="213"/>
      <c r="AX286" s="213"/>
      <c r="AY286" s="213"/>
      <c r="AZ286" s="213"/>
      <c r="BA286" s="213"/>
      <c r="BB286" s="213"/>
    </row>
    <row r="287">
      <c r="A287" s="199"/>
      <c r="B287" s="12"/>
      <c r="C287" s="202"/>
      <c r="D287" s="199"/>
      <c r="E287" s="211"/>
      <c r="F287" s="201"/>
      <c r="G287" s="199"/>
      <c r="H287" s="199"/>
      <c r="I287" s="199"/>
      <c r="J287" s="212"/>
      <c r="K287" s="212"/>
      <c r="L287" s="212"/>
      <c r="M287" s="212"/>
      <c r="N287" s="212"/>
      <c r="O287" s="212"/>
      <c r="P287" s="212"/>
      <c r="Q287" s="212"/>
      <c r="R287" s="212"/>
      <c r="S287" s="212"/>
      <c r="T287" s="212"/>
      <c r="U287" s="212"/>
      <c r="V287" s="212"/>
      <c r="W287" s="212"/>
      <c r="X287" s="212"/>
      <c r="Y287" s="212"/>
      <c r="Z287" s="204"/>
      <c r="AA287" s="204"/>
      <c r="AB287" s="204"/>
      <c r="AC287" s="204"/>
      <c r="AD287" s="204"/>
      <c r="AE287" s="212"/>
      <c r="AF287" s="213"/>
      <c r="AG287" s="213"/>
      <c r="AH287" s="213"/>
      <c r="AI287" s="213"/>
      <c r="AJ287" s="213"/>
      <c r="AK287" s="213"/>
      <c r="AL287" s="213"/>
      <c r="AM287" s="213"/>
      <c r="AN287" s="213"/>
      <c r="AO287" s="213"/>
      <c r="AP287" s="213"/>
      <c r="AQ287" s="213"/>
      <c r="AR287" s="213"/>
      <c r="AS287" s="213"/>
      <c r="AT287" s="213"/>
      <c r="AU287" s="213"/>
      <c r="AV287" s="213"/>
      <c r="AW287" s="213"/>
      <c r="AX287" s="213"/>
      <c r="AY287" s="213"/>
      <c r="AZ287" s="213"/>
      <c r="BA287" s="213"/>
      <c r="BB287" s="213"/>
    </row>
    <row r="288">
      <c r="A288" s="199"/>
      <c r="B288" s="12"/>
      <c r="C288" s="202"/>
      <c r="D288" s="199"/>
      <c r="E288" s="211"/>
      <c r="F288" s="201"/>
      <c r="G288" s="199"/>
      <c r="H288" s="199"/>
      <c r="I288" s="199"/>
      <c r="J288" s="212"/>
      <c r="K288" s="212"/>
      <c r="L288" s="212"/>
      <c r="M288" s="212"/>
      <c r="N288" s="212"/>
      <c r="O288" s="212"/>
      <c r="P288" s="212"/>
      <c r="Q288" s="212"/>
      <c r="R288" s="212"/>
      <c r="S288" s="212"/>
      <c r="T288" s="212"/>
      <c r="U288" s="212"/>
      <c r="V288" s="212"/>
      <c r="W288" s="212"/>
      <c r="X288" s="212"/>
      <c r="Y288" s="212"/>
      <c r="Z288" s="204"/>
      <c r="AA288" s="204"/>
      <c r="AB288" s="204"/>
      <c r="AC288" s="204"/>
      <c r="AD288" s="204"/>
      <c r="AE288" s="212"/>
      <c r="AF288" s="213"/>
      <c r="AG288" s="213"/>
      <c r="AH288" s="213"/>
      <c r="AI288" s="213"/>
      <c r="AJ288" s="213"/>
      <c r="AK288" s="213"/>
      <c r="AL288" s="213"/>
      <c r="AM288" s="213"/>
      <c r="AN288" s="213"/>
      <c r="AO288" s="213"/>
      <c r="AP288" s="213"/>
      <c r="AQ288" s="213"/>
      <c r="AR288" s="213"/>
      <c r="AS288" s="213"/>
      <c r="AT288" s="213"/>
      <c r="AU288" s="213"/>
      <c r="AV288" s="213"/>
      <c r="AW288" s="213"/>
      <c r="AX288" s="213"/>
      <c r="AY288" s="213"/>
      <c r="AZ288" s="213"/>
      <c r="BA288" s="213"/>
      <c r="BB288" s="213"/>
    </row>
    <row r="289">
      <c r="A289" s="199"/>
      <c r="B289" s="12"/>
      <c r="C289" s="202"/>
      <c r="D289" s="199"/>
      <c r="E289" s="211"/>
      <c r="F289" s="201"/>
      <c r="G289" s="199"/>
      <c r="H289" s="199"/>
      <c r="I289" s="199"/>
      <c r="J289" s="212"/>
      <c r="K289" s="212"/>
      <c r="L289" s="212"/>
      <c r="M289" s="212"/>
      <c r="N289" s="212"/>
      <c r="O289" s="212"/>
      <c r="P289" s="212"/>
      <c r="Q289" s="212"/>
      <c r="R289" s="212"/>
      <c r="S289" s="212"/>
      <c r="T289" s="212"/>
      <c r="U289" s="212"/>
      <c r="V289" s="212"/>
      <c r="W289" s="212"/>
      <c r="X289" s="212"/>
      <c r="Y289" s="212"/>
      <c r="Z289" s="204"/>
      <c r="AA289" s="204"/>
      <c r="AB289" s="204"/>
      <c r="AC289" s="204"/>
      <c r="AD289" s="204"/>
      <c r="AE289" s="212"/>
      <c r="AF289" s="213"/>
      <c r="AG289" s="213"/>
      <c r="AH289" s="213"/>
      <c r="AI289" s="213"/>
      <c r="AJ289" s="213"/>
      <c r="AK289" s="213"/>
      <c r="AL289" s="213"/>
      <c r="AM289" s="213"/>
      <c r="AN289" s="213"/>
      <c r="AO289" s="213"/>
      <c r="AP289" s="213"/>
      <c r="AQ289" s="213"/>
      <c r="AR289" s="213"/>
      <c r="AS289" s="213"/>
      <c r="AT289" s="213"/>
      <c r="AU289" s="213"/>
      <c r="AV289" s="213"/>
      <c r="AW289" s="213"/>
      <c r="AX289" s="213"/>
      <c r="AY289" s="213"/>
      <c r="AZ289" s="213"/>
      <c r="BA289" s="213"/>
      <c r="BB289" s="213"/>
    </row>
    <row r="290">
      <c r="A290" s="199"/>
      <c r="B290" s="12"/>
      <c r="C290" s="202"/>
      <c r="D290" s="199"/>
      <c r="E290" s="211"/>
      <c r="F290" s="201"/>
      <c r="G290" s="199"/>
      <c r="H290" s="199"/>
      <c r="I290" s="199"/>
      <c r="J290" s="212"/>
      <c r="K290" s="212"/>
      <c r="L290" s="212"/>
      <c r="M290" s="212"/>
      <c r="N290" s="212"/>
      <c r="O290" s="212"/>
      <c r="P290" s="212"/>
      <c r="Q290" s="212"/>
      <c r="R290" s="212"/>
      <c r="S290" s="212"/>
      <c r="T290" s="212"/>
      <c r="U290" s="212"/>
      <c r="V290" s="212"/>
      <c r="W290" s="212"/>
      <c r="X290" s="212"/>
      <c r="Y290" s="212"/>
      <c r="Z290" s="204"/>
      <c r="AA290" s="204"/>
      <c r="AB290" s="204"/>
      <c r="AC290" s="204"/>
      <c r="AD290" s="204"/>
      <c r="AE290" s="212"/>
      <c r="AF290" s="213"/>
      <c r="AG290" s="213"/>
      <c r="AH290" s="213"/>
      <c r="AI290" s="213"/>
      <c r="AJ290" s="213"/>
      <c r="AK290" s="213"/>
      <c r="AL290" s="213"/>
      <c r="AM290" s="213"/>
      <c r="AN290" s="213"/>
      <c r="AO290" s="213"/>
      <c r="AP290" s="213"/>
      <c r="AQ290" s="213"/>
      <c r="AR290" s="213"/>
      <c r="AS290" s="213"/>
      <c r="AT290" s="213"/>
      <c r="AU290" s="213"/>
      <c r="AV290" s="213"/>
      <c r="AW290" s="213"/>
      <c r="AX290" s="213"/>
      <c r="AY290" s="213"/>
      <c r="AZ290" s="213"/>
      <c r="BA290" s="213"/>
      <c r="BB290" s="213"/>
    </row>
    <row r="291">
      <c r="A291" s="199"/>
      <c r="B291" s="12"/>
      <c r="C291" s="202"/>
      <c r="D291" s="199"/>
      <c r="E291" s="211"/>
      <c r="F291" s="201"/>
      <c r="G291" s="199"/>
      <c r="H291" s="199"/>
      <c r="I291" s="199"/>
      <c r="J291" s="212"/>
      <c r="K291" s="212"/>
      <c r="L291" s="212"/>
      <c r="M291" s="212"/>
      <c r="N291" s="212"/>
      <c r="O291" s="212"/>
      <c r="P291" s="212"/>
      <c r="Q291" s="212"/>
      <c r="R291" s="212"/>
      <c r="S291" s="212"/>
      <c r="T291" s="212"/>
      <c r="U291" s="212"/>
      <c r="V291" s="212"/>
      <c r="W291" s="212"/>
      <c r="X291" s="212"/>
      <c r="Y291" s="212"/>
      <c r="Z291" s="204"/>
      <c r="AA291" s="204"/>
      <c r="AB291" s="204"/>
      <c r="AC291" s="204"/>
      <c r="AD291" s="204"/>
      <c r="AE291" s="212"/>
      <c r="AF291" s="213"/>
      <c r="AG291" s="213"/>
      <c r="AH291" s="213"/>
      <c r="AI291" s="213"/>
      <c r="AJ291" s="213"/>
      <c r="AK291" s="213"/>
      <c r="AL291" s="213"/>
      <c r="AM291" s="213"/>
      <c r="AN291" s="213"/>
      <c r="AO291" s="213"/>
      <c r="AP291" s="213"/>
      <c r="AQ291" s="213"/>
      <c r="AR291" s="213"/>
      <c r="AS291" s="213"/>
      <c r="AT291" s="213"/>
      <c r="AU291" s="213"/>
      <c r="AV291" s="213"/>
      <c r="AW291" s="213"/>
      <c r="AX291" s="213"/>
      <c r="AY291" s="213"/>
      <c r="AZ291" s="213"/>
      <c r="BA291" s="213"/>
      <c r="BB291" s="213"/>
    </row>
    <row r="292">
      <c r="A292" s="199"/>
      <c r="B292" s="12"/>
      <c r="C292" s="202"/>
      <c r="D292" s="199"/>
      <c r="E292" s="211"/>
      <c r="F292" s="201"/>
      <c r="G292" s="199"/>
      <c r="H292" s="199"/>
      <c r="I292" s="199"/>
      <c r="J292" s="212"/>
      <c r="K292" s="212"/>
      <c r="L292" s="212"/>
      <c r="M292" s="212"/>
      <c r="N292" s="212"/>
      <c r="O292" s="212"/>
      <c r="P292" s="212"/>
      <c r="Q292" s="212"/>
      <c r="R292" s="212"/>
      <c r="S292" s="212"/>
      <c r="T292" s="212"/>
      <c r="U292" s="212"/>
      <c r="V292" s="212"/>
      <c r="W292" s="212"/>
      <c r="X292" s="212"/>
      <c r="Y292" s="212"/>
      <c r="Z292" s="204"/>
      <c r="AA292" s="204"/>
      <c r="AB292" s="204"/>
      <c r="AC292" s="204"/>
      <c r="AD292" s="204"/>
      <c r="AE292" s="212"/>
      <c r="AF292" s="213"/>
      <c r="AG292" s="213"/>
      <c r="AH292" s="213"/>
      <c r="AI292" s="213"/>
      <c r="AJ292" s="213"/>
      <c r="AK292" s="213"/>
      <c r="AL292" s="213"/>
      <c r="AM292" s="213"/>
      <c r="AN292" s="213"/>
      <c r="AO292" s="213"/>
      <c r="AP292" s="213"/>
      <c r="AQ292" s="213"/>
      <c r="AR292" s="213"/>
      <c r="AS292" s="213"/>
      <c r="AT292" s="213"/>
      <c r="AU292" s="213"/>
      <c r="AV292" s="213"/>
      <c r="AW292" s="213"/>
      <c r="AX292" s="213"/>
      <c r="AY292" s="213"/>
      <c r="AZ292" s="213"/>
      <c r="BA292" s="213"/>
      <c r="BB292" s="213"/>
    </row>
    <row r="293">
      <c r="A293" s="199"/>
      <c r="B293" s="12"/>
      <c r="C293" s="202"/>
      <c r="D293" s="199"/>
      <c r="E293" s="211"/>
      <c r="F293" s="201"/>
      <c r="G293" s="199"/>
      <c r="H293" s="199"/>
      <c r="I293" s="199"/>
      <c r="J293" s="212"/>
      <c r="K293" s="212"/>
      <c r="L293" s="212"/>
      <c r="M293" s="212"/>
      <c r="N293" s="212"/>
      <c r="O293" s="212"/>
      <c r="P293" s="212"/>
      <c r="Q293" s="212"/>
      <c r="R293" s="212"/>
      <c r="S293" s="212"/>
      <c r="T293" s="212"/>
      <c r="U293" s="212"/>
      <c r="V293" s="212"/>
      <c r="W293" s="212"/>
      <c r="X293" s="212"/>
      <c r="Y293" s="212"/>
      <c r="Z293" s="204"/>
      <c r="AA293" s="204"/>
      <c r="AB293" s="204"/>
      <c r="AC293" s="204"/>
      <c r="AD293" s="204"/>
      <c r="AE293" s="212"/>
      <c r="AF293" s="213"/>
      <c r="AG293" s="213"/>
      <c r="AH293" s="213"/>
      <c r="AI293" s="213"/>
      <c r="AJ293" s="213"/>
      <c r="AK293" s="213"/>
      <c r="AL293" s="213"/>
      <c r="AM293" s="213"/>
      <c r="AN293" s="213"/>
      <c r="AO293" s="213"/>
      <c r="AP293" s="213"/>
      <c r="AQ293" s="213"/>
      <c r="AR293" s="213"/>
      <c r="AS293" s="213"/>
      <c r="AT293" s="213"/>
      <c r="AU293" s="213"/>
      <c r="AV293" s="213"/>
      <c r="AW293" s="213"/>
      <c r="AX293" s="213"/>
      <c r="AY293" s="213"/>
      <c r="AZ293" s="213"/>
      <c r="BA293" s="213"/>
      <c r="BB293" s="213"/>
    </row>
    <row r="294">
      <c r="A294" s="199"/>
      <c r="B294" s="12"/>
      <c r="C294" s="202"/>
      <c r="D294" s="199"/>
      <c r="E294" s="211"/>
      <c r="F294" s="201"/>
      <c r="G294" s="199"/>
      <c r="H294" s="199"/>
      <c r="I294" s="199"/>
      <c r="J294" s="212"/>
      <c r="K294" s="212"/>
      <c r="L294" s="212"/>
      <c r="M294" s="212"/>
      <c r="N294" s="212"/>
      <c r="O294" s="212"/>
      <c r="P294" s="212"/>
      <c r="Q294" s="212"/>
      <c r="R294" s="212"/>
      <c r="S294" s="212"/>
      <c r="T294" s="212"/>
      <c r="U294" s="212"/>
      <c r="V294" s="212"/>
      <c r="W294" s="212"/>
      <c r="X294" s="212"/>
      <c r="Y294" s="212"/>
      <c r="Z294" s="204"/>
      <c r="AA294" s="204"/>
      <c r="AB294" s="204"/>
      <c r="AC294" s="204"/>
      <c r="AD294" s="204"/>
      <c r="AE294" s="212"/>
      <c r="AF294" s="213"/>
      <c r="AG294" s="213"/>
      <c r="AH294" s="213"/>
      <c r="AI294" s="213"/>
      <c r="AJ294" s="213"/>
      <c r="AK294" s="213"/>
      <c r="AL294" s="213"/>
      <c r="AM294" s="213"/>
      <c r="AN294" s="213"/>
      <c r="AO294" s="213"/>
      <c r="AP294" s="213"/>
      <c r="AQ294" s="213"/>
      <c r="AR294" s="213"/>
      <c r="AS294" s="213"/>
      <c r="AT294" s="213"/>
      <c r="AU294" s="213"/>
      <c r="AV294" s="213"/>
      <c r="AW294" s="213"/>
      <c r="AX294" s="213"/>
      <c r="AY294" s="213"/>
      <c r="AZ294" s="213"/>
      <c r="BA294" s="213"/>
      <c r="BB294" s="213"/>
    </row>
    <row r="295">
      <c r="A295" s="199"/>
      <c r="B295" s="12"/>
      <c r="C295" s="202"/>
      <c r="D295" s="199"/>
      <c r="E295" s="211"/>
      <c r="F295" s="201"/>
      <c r="G295" s="199"/>
      <c r="H295" s="199"/>
      <c r="I295" s="199"/>
      <c r="J295" s="212"/>
      <c r="K295" s="212"/>
      <c r="L295" s="212"/>
      <c r="M295" s="212"/>
      <c r="N295" s="212"/>
      <c r="O295" s="212"/>
      <c r="P295" s="212"/>
      <c r="Q295" s="212"/>
      <c r="R295" s="212"/>
      <c r="S295" s="212"/>
      <c r="T295" s="212"/>
      <c r="U295" s="212"/>
      <c r="V295" s="212"/>
      <c r="W295" s="212"/>
      <c r="X295" s="212"/>
      <c r="Y295" s="212"/>
      <c r="Z295" s="204"/>
      <c r="AA295" s="204"/>
      <c r="AB295" s="204"/>
      <c r="AC295" s="204"/>
      <c r="AD295" s="204"/>
      <c r="AE295" s="212"/>
      <c r="AF295" s="213"/>
      <c r="AG295" s="213"/>
      <c r="AH295" s="213"/>
      <c r="AI295" s="213"/>
      <c r="AJ295" s="213"/>
      <c r="AK295" s="213"/>
      <c r="AL295" s="213"/>
      <c r="AM295" s="213"/>
      <c r="AN295" s="213"/>
      <c r="AO295" s="213"/>
      <c r="AP295" s="213"/>
      <c r="AQ295" s="213"/>
      <c r="AR295" s="213"/>
      <c r="AS295" s="213"/>
      <c r="AT295" s="213"/>
      <c r="AU295" s="213"/>
      <c r="AV295" s="213"/>
      <c r="AW295" s="213"/>
      <c r="AX295" s="213"/>
      <c r="AY295" s="213"/>
      <c r="AZ295" s="213"/>
      <c r="BA295" s="213"/>
      <c r="BB295" s="213"/>
    </row>
    <row r="296">
      <c r="A296" s="199"/>
      <c r="B296" s="12"/>
      <c r="C296" s="202"/>
      <c r="D296" s="199"/>
      <c r="E296" s="211"/>
      <c r="F296" s="201"/>
      <c r="G296" s="199"/>
      <c r="H296" s="199"/>
      <c r="I296" s="199"/>
      <c r="J296" s="212"/>
      <c r="K296" s="212"/>
      <c r="L296" s="212"/>
      <c r="M296" s="212"/>
      <c r="N296" s="212"/>
      <c r="O296" s="212"/>
      <c r="P296" s="212"/>
      <c r="Q296" s="212"/>
      <c r="R296" s="212"/>
      <c r="S296" s="212"/>
      <c r="T296" s="212"/>
      <c r="U296" s="212"/>
      <c r="V296" s="212"/>
      <c r="W296" s="212"/>
      <c r="X296" s="212"/>
      <c r="Y296" s="212"/>
      <c r="Z296" s="204"/>
      <c r="AA296" s="204"/>
      <c r="AB296" s="204"/>
      <c r="AC296" s="204"/>
      <c r="AD296" s="204"/>
      <c r="AE296" s="212"/>
      <c r="AF296" s="213"/>
      <c r="AG296" s="213"/>
      <c r="AH296" s="213"/>
      <c r="AI296" s="213"/>
      <c r="AJ296" s="213"/>
      <c r="AK296" s="213"/>
      <c r="AL296" s="213"/>
      <c r="AM296" s="213"/>
      <c r="AN296" s="213"/>
      <c r="AO296" s="213"/>
      <c r="AP296" s="213"/>
      <c r="AQ296" s="213"/>
      <c r="AR296" s="213"/>
      <c r="AS296" s="213"/>
      <c r="AT296" s="213"/>
      <c r="AU296" s="213"/>
      <c r="AV296" s="213"/>
      <c r="AW296" s="213"/>
      <c r="AX296" s="213"/>
      <c r="AY296" s="213"/>
      <c r="AZ296" s="213"/>
      <c r="BA296" s="213"/>
      <c r="BB296" s="213"/>
    </row>
    <row r="297">
      <c r="A297" s="199"/>
      <c r="B297" s="12"/>
      <c r="C297" s="202"/>
      <c r="D297" s="199"/>
      <c r="E297" s="211"/>
      <c r="F297" s="201"/>
      <c r="G297" s="199"/>
      <c r="H297" s="199"/>
      <c r="I297" s="199"/>
      <c r="J297" s="212"/>
      <c r="K297" s="212"/>
      <c r="L297" s="212"/>
      <c r="M297" s="212"/>
      <c r="N297" s="212"/>
      <c r="O297" s="212"/>
      <c r="P297" s="212"/>
      <c r="Q297" s="212"/>
      <c r="R297" s="212"/>
      <c r="S297" s="212"/>
      <c r="T297" s="212"/>
      <c r="U297" s="212"/>
      <c r="V297" s="212"/>
      <c r="W297" s="212"/>
      <c r="X297" s="212"/>
      <c r="Y297" s="212"/>
      <c r="Z297" s="204"/>
      <c r="AA297" s="204"/>
      <c r="AB297" s="204"/>
      <c r="AC297" s="204"/>
      <c r="AD297" s="204"/>
      <c r="AE297" s="212"/>
      <c r="AF297" s="213"/>
      <c r="AG297" s="213"/>
      <c r="AH297" s="213"/>
      <c r="AI297" s="213"/>
      <c r="AJ297" s="213"/>
      <c r="AK297" s="213"/>
      <c r="AL297" s="213"/>
      <c r="AM297" s="213"/>
      <c r="AN297" s="213"/>
      <c r="AO297" s="213"/>
      <c r="AP297" s="213"/>
      <c r="AQ297" s="213"/>
      <c r="AR297" s="213"/>
      <c r="AS297" s="213"/>
      <c r="AT297" s="213"/>
      <c r="AU297" s="213"/>
      <c r="AV297" s="213"/>
      <c r="AW297" s="213"/>
      <c r="AX297" s="213"/>
      <c r="AY297" s="213"/>
      <c r="AZ297" s="213"/>
      <c r="BA297" s="213"/>
      <c r="BB297" s="213"/>
    </row>
    <row r="298">
      <c r="A298" s="199"/>
      <c r="B298" s="12"/>
      <c r="C298" s="202"/>
      <c r="D298" s="199"/>
      <c r="E298" s="211"/>
      <c r="F298" s="201"/>
      <c r="G298" s="199"/>
      <c r="H298" s="199"/>
      <c r="I298" s="199"/>
      <c r="J298" s="212"/>
      <c r="K298" s="212"/>
      <c r="L298" s="212"/>
      <c r="M298" s="212"/>
      <c r="N298" s="212"/>
      <c r="O298" s="212"/>
      <c r="P298" s="212"/>
      <c r="Q298" s="212"/>
      <c r="R298" s="212"/>
      <c r="S298" s="212"/>
      <c r="T298" s="212"/>
      <c r="U298" s="212"/>
      <c r="V298" s="212"/>
      <c r="W298" s="212"/>
      <c r="X298" s="212"/>
      <c r="Y298" s="212"/>
      <c r="Z298" s="204"/>
      <c r="AA298" s="204"/>
      <c r="AB298" s="204"/>
      <c r="AC298" s="204"/>
      <c r="AD298" s="204"/>
      <c r="AE298" s="212"/>
      <c r="AF298" s="213"/>
      <c r="AG298" s="213"/>
      <c r="AH298" s="213"/>
      <c r="AI298" s="213"/>
      <c r="AJ298" s="213"/>
      <c r="AK298" s="213"/>
      <c r="AL298" s="213"/>
      <c r="AM298" s="213"/>
      <c r="AN298" s="213"/>
      <c r="AO298" s="213"/>
      <c r="AP298" s="213"/>
      <c r="AQ298" s="213"/>
      <c r="AR298" s="213"/>
      <c r="AS298" s="213"/>
      <c r="AT298" s="213"/>
      <c r="AU298" s="213"/>
      <c r="AV298" s="213"/>
      <c r="AW298" s="213"/>
      <c r="AX298" s="213"/>
      <c r="AY298" s="213"/>
      <c r="AZ298" s="213"/>
      <c r="BA298" s="213"/>
      <c r="BB298" s="213"/>
    </row>
    <row r="299">
      <c r="A299" s="199"/>
      <c r="B299" s="12"/>
      <c r="C299" s="202"/>
      <c r="D299" s="199"/>
      <c r="E299" s="211"/>
      <c r="F299" s="201"/>
      <c r="G299" s="199"/>
      <c r="H299" s="199"/>
      <c r="I299" s="199"/>
      <c r="J299" s="212"/>
      <c r="K299" s="212"/>
      <c r="L299" s="212"/>
      <c r="M299" s="212"/>
      <c r="N299" s="212"/>
      <c r="O299" s="212"/>
      <c r="P299" s="212"/>
      <c r="Q299" s="212"/>
      <c r="R299" s="212"/>
      <c r="S299" s="212"/>
      <c r="T299" s="212"/>
      <c r="U299" s="212"/>
      <c r="V299" s="212"/>
      <c r="W299" s="212"/>
      <c r="X299" s="212"/>
      <c r="Y299" s="212"/>
      <c r="Z299" s="204"/>
      <c r="AA299" s="204"/>
      <c r="AB299" s="204"/>
      <c r="AC299" s="204"/>
      <c r="AD299" s="204"/>
      <c r="AE299" s="212"/>
      <c r="AF299" s="213"/>
      <c r="AG299" s="213"/>
      <c r="AH299" s="213"/>
      <c r="AI299" s="213"/>
      <c r="AJ299" s="213"/>
      <c r="AK299" s="213"/>
      <c r="AL299" s="213"/>
      <c r="AM299" s="213"/>
      <c r="AN299" s="213"/>
      <c r="AO299" s="213"/>
      <c r="AP299" s="213"/>
      <c r="AQ299" s="213"/>
      <c r="AR299" s="213"/>
      <c r="AS299" s="213"/>
      <c r="AT299" s="213"/>
      <c r="AU299" s="213"/>
      <c r="AV299" s="213"/>
      <c r="AW299" s="213"/>
      <c r="AX299" s="213"/>
      <c r="AY299" s="213"/>
      <c r="AZ299" s="213"/>
      <c r="BA299" s="213"/>
      <c r="BB299" s="213"/>
    </row>
    <row r="300">
      <c r="A300" s="199"/>
      <c r="B300" s="12"/>
      <c r="C300" s="202"/>
      <c r="D300" s="199"/>
      <c r="E300" s="211"/>
      <c r="F300" s="201"/>
      <c r="G300" s="199"/>
      <c r="H300" s="199"/>
      <c r="I300" s="199"/>
      <c r="J300" s="212"/>
      <c r="K300" s="212"/>
      <c r="L300" s="212"/>
      <c r="M300" s="212"/>
      <c r="N300" s="212"/>
      <c r="O300" s="212"/>
      <c r="P300" s="212"/>
      <c r="Q300" s="212"/>
      <c r="R300" s="212"/>
      <c r="S300" s="212"/>
      <c r="T300" s="212"/>
      <c r="U300" s="212"/>
      <c r="V300" s="212"/>
      <c r="W300" s="212"/>
      <c r="X300" s="212"/>
      <c r="Y300" s="212"/>
      <c r="Z300" s="204"/>
      <c r="AA300" s="204"/>
      <c r="AB300" s="204"/>
      <c r="AC300" s="204"/>
      <c r="AD300" s="204"/>
      <c r="AE300" s="212"/>
      <c r="AF300" s="213"/>
      <c r="AG300" s="213"/>
      <c r="AH300" s="213"/>
      <c r="AI300" s="213"/>
      <c r="AJ300" s="213"/>
      <c r="AK300" s="213"/>
      <c r="AL300" s="213"/>
      <c r="AM300" s="213"/>
      <c r="AN300" s="213"/>
      <c r="AO300" s="213"/>
      <c r="AP300" s="213"/>
      <c r="AQ300" s="213"/>
      <c r="AR300" s="213"/>
      <c r="AS300" s="213"/>
      <c r="AT300" s="213"/>
      <c r="AU300" s="213"/>
      <c r="AV300" s="213"/>
      <c r="AW300" s="213"/>
      <c r="AX300" s="213"/>
      <c r="AY300" s="213"/>
      <c r="AZ300" s="213"/>
      <c r="BA300" s="213"/>
      <c r="BB300" s="213"/>
    </row>
    <row r="301">
      <c r="A301" s="199"/>
      <c r="B301" s="12"/>
      <c r="C301" s="202"/>
      <c r="D301" s="199"/>
      <c r="E301" s="211"/>
      <c r="F301" s="201"/>
      <c r="G301" s="199"/>
      <c r="H301" s="199"/>
      <c r="I301" s="199"/>
      <c r="J301" s="212"/>
      <c r="K301" s="212"/>
      <c r="L301" s="212"/>
      <c r="M301" s="212"/>
      <c r="N301" s="212"/>
      <c r="O301" s="212"/>
      <c r="P301" s="212"/>
      <c r="Q301" s="212"/>
      <c r="R301" s="212"/>
      <c r="S301" s="212"/>
      <c r="T301" s="212"/>
      <c r="U301" s="212"/>
      <c r="V301" s="212"/>
      <c r="W301" s="212"/>
      <c r="X301" s="212"/>
      <c r="Y301" s="212"/>
      <c r="Z301" s="204"/>
      <c r="AA301" s="204"/>
      <c r="AB301" s="204"/>
      <c r="AC301" s="204"/>
      <c r="AD301" s="204"/>
      <c r="AE301" s="212"/>
      <c r="AF301" s="213"/>
      <c r="AG301" s="213"/>
      <c r="AH301" s="213"/>
      <c r="AI301" s="213"/>
      <c r="AJ301" s="213"/>
      <c r="AK301" s="213"/>
      <c r="AL301" s="213"/>
      <c r="AM301" s="213"/>
      <c r="AN301" s="213"/>
      <c r="AO301" s="213"/>
      <c r="AP301" s="213"/>
      <c r="AQ301" s="213"/>
      <c r="AR301" s="213"/>
      <c r="AS301" s="213"/>
      <c r="AT301" s="213"/>
      <c r="AU301" s="213"/>
      <c r="AV301" s="213"/>
      <c r="AW301" s="213"/>
      <c r="AX301" s="213"/>
      <c r="AY301" s="213"/>
      <c r="AZ301" s="213"/>
      <c r="BA301" s="213"/>
      <c r="BB301" s="213"/>
    </row>
    <row r="302">
      <c r="A302" s="199"/>
      <c r="B302" s="12"/>
      <c r="C302" s="202"/>
      <c r="D302" s="199"/>
      <c r="E302" s="211"/>
      <c r="F302" s="201"/>
      <c r="G302" s="199"/>
      <c r="H302" s="199"/>
      <c r="I302" s="199"/>
      <c r="J302" s="212"/>
      <c r="K302" s="212"/>
      <c r="L302" s="212"/>
      <c r="M302" s="212"/>
      <c r="N302" s="212"/>
      <c r="O302" s="212"/>
      <c r="P302" s="212"/>
      <c r="Q302" s="212"/>
      <c r="R302" s="212"/>
      <c r="S302" s="212"/>
      <c r="T302" s="212"/>
      <c r="U302" s="212"/>
      <c r="V302" s="212"/>
      <c r="W302" s="212"/>
      <c r="X302" s="212"/>
      <c r="Y302" s="212"/>
      <c r="Z302" s="204"/>
      <c r="AA302" s="204"/>
      <c r="AB302" s="204"/>
      <c r="AC302" s="204"/>
      <c r="AD302" s="204"/>
      <c r="AE302" s="212"/>
      <c r="AF302" s="213"/>
      <c r="AG302" s="213"/>
      <c r="AH302" s="213"/>
      <c r="AI302" s="213"/>
      <c r="AJ302" s="213"/>
      <c r="AK302" s="213"/>
      <c r="AL302" s="213"/>
      <c r="AM302" s="213"/>
      <c r="AN302" s="213"/>
      <c r="AO302" s="213"/>
      <c r="AP302" s="213"/>
      <c r="AQ302" s="213"/>
      <c r="AR302" s="213"/>
      <c r="AS302" s="213"/>
      <c r="AT302" s="213"/>
      <c r="AU302" s="213"/>
      <c r="AV302" s="213"/>
      <c r="AW302" s="213"/>
      <c r="AX302" s="213"/>
      <c r="AY302" s="213"/>
      <c r="AZ302" s="213"/>
      <c r="BA302" s="213"/>
      <c r="BB302" s="213"/>
    </row>
    <row r="303">
      <c r="A303" s="199"/>
      <c r="B303" s="12"/>
      <c r="C303" s="202"/>
      <c r="D303" s="199"/>
      <c r="E303" s="211"/>
      <c r="F303" s="201"/>
      <c r="G303" s="199"/>
      <c r="H303" s="199"/>
      <c r="I303" s="199"/>
      <c r="J303" s="212"/>
      <c r="K303" s="212"/>
      <c r="L303" s="212"/>
      <c r="M303" s="212"/>
      <c r="N303" s="212"/>
      <c r="O303" s="212"/>
      <c r="P303" s="212"/>
      <c r="Q303" s="212"/>
      <c r="R303" s="212"/>
      <c r="S303" s="212"/>
      <c r="T303" s="212"/>
      <c r="U303" s="212"/>
      <c r="V303" s="212"/>
      <c r="W303" s="212"/>
      <c r="X303" s="212"/>
      <c r="Y303" s="212"/>
      <c r="Z303" s="204"/>
      <c r="AA303" s="204"/>
      <c r="AB303" s="204"/>
      <c r="AC303" s="204"/>
      <c r="AD303" s="204"/>
      <c r="AE303" s="212"/>
      <c r="AF303" s="213"/>
      <c r="AG303" s="213"/>
      <c r="AH303" s="213"/>
      <c r="AI303" s="213"/>
      <c r="AJ303" s="213"/>
      <c r="AK303" s="213"/>
      <c r="AL303" s="213"/>
      <c r="AM303" s="213"/>
      <c r="AN303" s="213"/>
      <c r="AO303" s="213"/>
      <c r="AP303" s="213"/>
      <c r="AQ303" s="213"/>
      <c r="AR303" s="213"/>
      <c r="AS303" s="213"/>
      <c r="AT303" s="213"/>
      <c r="AU303" s="213"/>
      <c r="AV303" s="213"/>
      <c r="AW303" s="213"/>
      <c r="AX303" s="213"/>
      <c r="AY303" s="213"/>
      <c r="AZ303" s="213"/>
      <c r="BA303" s="213"/>
      <c r="BB303" s="213"/>
    </row>
    <row r="304">
      <c r="A304" s="199"/>
      <c r="B304" s="12"/>
      <c r="C304" s="202"/>
      <c r="D304" s="199"/>
      <c r="E304" s="211"/>
      <c r="F304" s="201"/>
      <c r="G304" s="199"/>
      <c r="H304" s="199"/>
      <c r="I304" s="199"/>
      <c r="J304" s="212"/>
      <c r="K304" s="212"/>
      <c r="L304" s="212"/>
      <c r="M304" s="212"/>
      <c r="N304" s="212"/>
      <c r="O304" s="212"/>
      <c r="P304" s="212"/>
      <c r="Q304" s="212"/>
      <c r="R304" s="212"/>
      <c r="S304" s="212"/>
      <c r="T304" s="212"/>
      <c r="U304" s="212"/>
      <c r="V304" s="212"/>
      <c r="W304" s="212"/>
      <c r="X304" s="212"/>
      <c r="Y304" s="212"/>
      <c r="Z304" s="204"/>
      <c r="AA304" s="204"/>
      <c r="AB304" s="204"/>
      <c r="AC304" s="204"/>
      <c r="AD304" s="204"/>
      <c r="AE304" s="212"/>
      <c r="AF304" s="213"/>
      <c r="AG304" s="213"/>
      <c r="AH304" s="213"/>
      <c r="AI304" s="213"/>
      <c r="AJ304" s="213"/>
      <c r="AK304" s="213"/>
      <c r="AL304" s="213"/>
      <c r="AM304" s="213"/>
      <c r="AN304" s="213"/>
      <c r="AO304" s="213"/>
      <c r="AP304" s="213"/>
      <c r="AQ304" s="213"/>
      <c r="AR304" s="213"/>
      <c r="AS304" s="213"/>
      <c r="AT304" s="213"/>
      <c r="AU304" s="213"/>
      <c r="AV304" s="213"/>
      <c r="AW304" s="213"/>
      <c r="AX304" s="213"/>
      <c r="AY304" s="213"/>
      <c r="AZ304" s="213"/>
      <c r="BA304" s="213"/>
      <c r="BB304" s="213"/>
    </row>
    <row r="305">
      <c r="A305" s="199"/>
      <c r="B305" s="12"/>
      <c r="C305" s="202"/>
      <c r="D305" s="199"/>
      <c r="E305" s="211"/>
      <c r="F305" s="201"/>
      <c r="G305" s="199"/>
      <c r="H305" s="199"/>
      <c r="I305" s="199"/>
      <c r="J305" s="212"/>
      <c r="K305" s="212"/>
      <c r="L305" s="212"/>
      <c r="M305" s="212"/>
      <c r="N305" s="212"/>
      <c r="O305" s="212"/>
      <c r="P305" s="212"/>
      <c r="Q305" s="212"/>
      <c r="R305" s="212"/>
      <c r="S305" s="212"/>
      <c r="T305" s="212"/>
      <c r="U305" s="212"/>
      <c r="V305" s="212"/>
      <c r="W305" s="212"/>
      <c r="X305" s="212"/>
      <c r="Y305" s="212"/>
      <c r="Z305" s="204"/>
      <c r="AA305" s="204"/>
      <c r="AB305" s="204"/>
      <c r="AC305" s="204"/>
      <c r="AD305" s="204"/>
      <c r="AE305" s="212"/>
      <c r="AF305" s="213"/>
      <c r="AG305" s="213"/>
      <c r="AH305" s="213"/>
      <c r="AI305" s="213"/>
      <c r="AJ305" s="213"/>
      <c r="AK305" s="213"/>
      <c r="AL305" s="213"/>
      <c r="AM305" s="213"/>
      <c r="AN305" s="213"/>
      <c r="AO305" s="213"/>
      <c r="AP305" s="213"/>
      <c r="AQ305" s="213"/>
      <c r="AR305" s="213"/>
      <c r="AS305" s="213"/>
      <c r="AT305" s="213"/>
      <c r="AU305" s="213"/>
      <c r="AV305" s="213"/>
      <c r="AW305" s="213"/>
      <c r="AX305" s="213"/>
      <c r="AY305" s="213"/>
      <c r="AZ305" s="213"/>
      <c r="BA305" s="213"/>
      <c r="BB305" s="213"/>
    </row>
    <row r="306">
      <c r="A306" s="199"/>
      <c r="B306" s="12"/>
      <c r="C306" s="202"/>
      <c r="D306" s="199"/>
      <c r="E306" s="211"/>
      <c r="F306" s="201"/>
      <c r="G306" s="199"/>
      <c r="H306" s="199"/>
      <c r="I306" s="199"/>
      <c r="J306" s="212"/>
      <c r="K306" s="212"/>
      <c r="L306" s="212"/>
      <c r="M306" s="212"/>
      <c r="N306" s="212"/>
      <c r="O306" s="212"/>
      <c r="P306" s="212"/>
      <c r="Q306" s="212"/>
      <c r="R306" s="212"/>
      <c r="S306" s="212"/>
      <c r="T306" s="212"/>
      <c r="U306" s="212"/>
      <c r="V306" s="212"/>
      <c r="W306" s="212"/>
      <c r="X306" s="212"/>
      <c r="Y306" s="212"/>
      <c r="Z306" s="204"/>
      <c r="AA306" s="204"/>
      <c r="AB306" s="204"/>
      <c r="AC306" s="204"/>
      <c r="AD306" s="204"/>
      <c r="AE306" s="212"/>
      <c r="AF306" s="213"/>
      <c r="AG306" s="213"/>
      <c r="AH306" s="213"/>
      <c r="AI306" s="213"/>
      <c r="AJ306" s="213"/>
      <c r="AK306" s="213"/>
      <c r="AL306" s="213"/>
      <c r="AM306" s="213"/>
      <c r="AN306" s="213"/>
      <c r="AO306" s="213"/>
      <c r="AP306" s="213"/>
      <c r="AQ306" s="213"/>
      <c r="AR306" s="213"/>
      <c r="AS306" s="213"/>
      <c r="AT306" s="213"/>
      <c r="AU306" s="213"/>
      <c r="AV306" s="213"/>
      <c r="AW306" s="213"/>
      <c r="AX306" s="213"/>
      <c r="AY306" s="213"/>
      <c r="AZ306" s="213"/>
      <c r="BA306" s="213"/>
      <c r="BB306" s="213"/>
    </row>
    <row r="307">
      <c r="A307" s="199"/>
      <c r="B307" s="12"/>
      <c r="C307" s="202"/>
      <c r="D307" s="199"/>
      <c r="E307" s="211"/>
      <c r="F307" s="201"/>
      <c r="G307" s="199"/>
      <c r="H307" s="199"/>
      <c r="I307" s="199"/>
      <c r="J307" s="212"/>
      <c r="K307" s="212"/>
      <c r="L307" s="212"/>
      <c r="M307" s="212"/>
      <c r="N307" s="212"/>
      <c r="O307" s="212"/>
      <c r="P307" s="212"/>
      <c r="Q307" s="212"/>
      <c r="R307" s="212"/>
      <c r="S307" s="212"/>
      <c r="T307" s="212"/>
      <c r="U307" s="212"/>
      <c r="V307" s="212"/>
      <c r="W307" s="212"/>
      <c r="X307" s="212"/>
      <c r="Y307" s="212"/>
      <c r="Z307" s="204"/>
      <c r="AA307" s="204"/>
      <c r="AB307" s="204"/>
      <c r="AC307" s="204"/>
      <c r="AD307" s="204"/>
      <c r="AE307" s="212"/>
      <c r="AF307" s="213"/>
      <c r="AG307" s="213"/>
      <c r="AH307" s="213"/>
      <c r="AI307" s="213"/>
      <c r="AJ307" s="213"/>
      <c r="AK307" s="213"/>
      <c r="AL307" s="213"/>
      <c r="AM307" s="213"/>
      <c r="AN307" s="213"/>
      <c r="AO307" s="213"/>
      <c r="AP307" s="213"/>
      <c r="AQ307" s="213"/>
      <c r="AR307" s="213"/>
      <c r="AS307" s="213"/>
      <c r="AT307" s="213"/>
      <c r="AU307" s="213"/>
      <c r="AV307" s="213"/>
      <c r="AW307" s="213"/>
      <c r="AX307" s="213"/>
      <c r="AY307" s="213"/>
      <c r="AZ307" s="213"/>
      <c r="BA307" s="213"/>
      <c r="BB307" s="213"/>
    </row>
    <row r="308">
      <c r="A308" s="199"/>
      <c r="B308" s="12"/>
      <c r="C308" s="202"/>
      <c r="D308" s="199"/>
      <c r="E308" s="211"/>
      <c r="F308" s="201"/>
      <c r="G308" s="199"/>
      <c r="H308" s="199"/>
      <c r="I308" s="199"/>
      <c r="J308" s="212"/>
      <c r="K308" s="212"/>
      <c r="L308" s="212"/>
      <c r="M308" s="212"/>
      <c r="N308" s="212"/>
      <c r="O308" s="212"/>
      <c r="P308" s="212"/>
      <c r="Q308" s="212"/>
      <c r="R308" s="212"/>
      <c r="S308" s="212"/>
      <c r="T308" s="212"/>
      <c r="U308" s="212"/>
      <c r="V308" s="212"/>
      <c r="W308" s="212"/>
      <c r="X308" s="212"/>
      <c r="Y308" s="212"/>
      <c r="Z308" s="204"/>
      <c r="AA308" s="204"/>
      <c r="AB308" s="204"/>
      <c r="AC308" s="204"/>
      <c r="AD308" s="204"/>
      <c r="AE308" s="212"/>
      <c r="AF308" s="213"/>
      <c r="AG308" s="213"/>
      <c r="AH308" s="213"/>
      <c r="AI308" s="213"/>
      <c r="AJ308" s="213"/>
      <c r="AK308" s="213"/>
      <c r="AL308" s="213"/>
      <c r="AM308" s="213"/>
      <c r="AN308" s="213"/>
      <c r="AO308" s="213"/>
      <c r="AP308" s="213"/>
      <c r="AQ308" s="213"/>
      <c r="AR308" s="213"/>
      <c r="AS308" s="213"/>
      <c r="AT308" s="213"/>
      <c r="AU308" s="213"/>
      <c r="AV308" s="213"/>
      <c r="AW308" s="213"/>
      <c r="AX308" s="213"/>
      <c r="AY308" s="213"/>
      <c r="AZ308" s="213"/>
      <c r="BA308" s="213"/>
      <c r="BB308" s="213"/>
    </row>
    <row r="309">
      <c r="A309" s="199"/>
      <c r="B309" s="12"/>
      <c r="C309" s="202"/>
      <c r="D309" s="199"/>
      <c r="E309" s="211"/>
      <c r="F309" s="201"/>
      <c r="G309" s="199"/>
      <c r="H309" s="199"/>
      <c r="I309" s="199"/>
      <c r="J309" s="212"/>
      <c r="K309" s="212"/>
      <c r="L309" s="212"/>
      <c r="M309" s="212"/>
      <c r="N309" s="212"/>
      <c r="O309" s="212"/>
      <c r="P309" s="212"/>
      <c r="Q309" s="212"/>
      <c r="R309" s="212"/>
      <c r="S309" s="212"/>
      <c r="T309" s="212"/>
      <c r="U309" s="212"/>
      <c r="V309" s="212"/>
      <c r="W309" s="212"/>
      <c r="X309" s="212"/>
      <c r="Y309" s="212"/>
      <c r="Z309" s="204"/>
      <c r="AA309" s="204"/>
      <c r="AB309" s="204"/>
      <c r="AC309" s="204"/>
      <c r="AD309" s="204"/>
      <c r="AE309" s="212"/>
      <c r="AF309" s="213"/>
      <c r="AG309" s="213"/>
      <c r="AH309" s="213"/>
      <c r="AI309" s="213"/>
      <c r="AJ309" s="213"/>
      <c r="AK309" s="213"/>
      <c r="AL309" s="213"/>
      <c r="AM309" s="213"/>
      <c r="AN309" s="213"/>
      <c r="AO309" s="213"/>
      <c r="AP309" s="213"/>
      <c r="AQ309" s="213"/>
      <c r="AR309" s="213"/>
      <c r="AS309" s="213"/>
      <c r="AT309" s="213"/>
      <c r="AU309" s="213"/>
      <c r="AV309" s="213"/>
      <c r="AW309" s="213"/>
      <c r="AX309" s="213"/>
      <c r="AY309" s="213"/>
      <c r="AZ309" s="213"/>
      <c r="BA309" s="213"/>
      <c r="BB309" s="213"/>
    </row>
    <row r="310">
      <c r="A310" s="199"/>
      <c r="B310" s="12"/>
      <c r="C310" s="202"/>
      <c r="D310" s="199"/>
      <c r="E310" s="211"/>
      <c r="F310" s="201"/>
      <c r="G310" s="199"/>
      <c r="H310" s="199"/>
      <c r="I310" s="199"/>
      <c r="J310" s="212"/>
      <c r="K310" s="212"/>
      <c r="L310" s="212"/>
      <c r="M310" s="212"/>
      <c r="N310" s="212"/>
      <c r="O310" s="212"/>
      <c r="P310" s="212"/>
      <c r="Q310" s="212"/>
      <c r="R310" s="212"/>
      <c r="S310" s="212"/>
      <c r="T310" s="212"/>
      <c r="U310" s="212"/>
      <c r="V310" s="212"/>
      <c r="W310" s="212"/>
      <c r="X310" s="212"/>
      <c r="Y310" s="212"/>
      <c r="Z310" s="204"/>
      <c r="AA310" s="204"/>
      <c r="AB310" s="204"/>
      <c r="AC310" s="204"/>
      <c r="AD310" s="204"/>
      <c r="AE310" s="212"/>
      <c r="AF310" s="213"/>
      <c r="AG310" s="213"/>
      <c r="AH310" s="213"/>
      <c r="AI310" s="213"/>
      <c r="AJ310" s="213"/>
      <c r="AK310" s="213"/>
      <c r="AL310" s="213"/>
      <c r="AM310" s="213"/>
      <c r="AN310" s="213"/>
      <c r="AO310" s="213"/>
      <c r="AP310" s="213"/>
      <c r="AQ310" s="213"/>
      <c r="AR310" s="213"/>
      <c r="AS310" s="213"/>
      <c r="AT310" s="213"/>
      <c r="AU310" s="213"/>
      <c r="AV310" s="213"/>
      <c r="AW310" s="213"/>
      <c r="AX310" s="213"/>
      <c r="AY310" s="213"/>
      <c r="AZ310" s="213"/>
      <c r="BA310" s="213"/>
      <c r="BB310" s="213"/>
    </row>
    <row r="311">
      <c r="A311" s="199"/>
      <c r="B311" s="12"/>
      <c r="C311" s="202"/>
      <c r="D311" s="199"/>
      <c r="E311" s="211"/>
      <c r="F311" s="201"/>
      <c r="G311" s="199"/>
      <c r="H311" s="199"/>
      <c r="I311" s="199"/>
      <c r="J311" s="212"/>
      <c r="K311" s="212"/>
      <c r="L311" s="212"/>
      <c r="M311" s="212"/>
      <c r="N311" s="212"/>
      <c r="O311" s="212"/>
      <c r="P311" s="212"/>
      <c r="Q311" s="212"/>
      <c r="R311" s="212"/>
      <c r="S311" s="212"/>
      <c r="T311" s="212"/>
      <c r="U311" s="212"/>
      <c r="V311" s="212"/>
      <c r="W311" s="212"/>
      <c r="X311" s="212"/>
      <c r="Y311" s="212"/>
      <c r="Z311" s="204"/>
      <c r="AA311" s="204"/>
      <c r="AB311" s="204"/>
      <c r="AC311" s="204"/>
      <c r="AD311" s="204"/>
      <c r="AE311" s="212"/>
      <c r="AF311" s="213"/>
      <c r="AG311" s="213"/>
      <c r="AH311" s="213"/>
      <c r="AI311" s="213"/>
      <c r="AJ311" s="213"/>
      <c r="AK311" s="213"/>
      <c r="AL311" s="213"/>
      <c r="AM311" s="213"/>
      <c r="AN311" s="213"/>
      <c r="AO311" s="213"/>
      <c r="AP311" s="213"/>
      <c r="AQ311" s="213"/>
      <c r="AR311" s="213"/>
      <c r="AS311" s="213"/>
      <c r="AT311" s="213"/>
      <c r="AU311" s="213"/>
      <c r="AV311" s="213"/>
      <c r="AW311" s="213"/>
      <c r="AX311" s="213"/>
      <c r="AY311" s="213"/>
      <c r="AZ311" s="213"/>
      <c r="BA311" s="213"/>
      <c r="BB311" s="213"/>
    </row>
    <row r="312">
      <c r="A312" s="199"/>
      <c r="B312" s="12"/>
      <c r="C312" s="202"/>
      <c r="D312" s="199"/>
      <c r="E312" s="211"/>
      <c r="F312" s="201"/>
      <c r="G312" s="199"/>
      <c r="H312" s="199"/>
      <c r="I312" s="199"/>
      <c r="J312" s="212"/>
      <c r="K312" s="212"/>
      <c r="L312" s="212"/>
      <c r="M312" s="212"/>
      <c r="N312" s="212"/>
      <c r="O312" s="212"/>
      <c r="P312" s="212"/>
      <c r="Q312" s="212"/>
      <c r="R312" s="212"/>
      <c r="S312" s="212"/>
      <c r="T312" s="212"/>
      <c r="U312" s="212"/>
      <c r="V312" s="212"/>
      <c r="W312" s="212"/>
      <c r="X312" s="212"/>
      <c r="Y312" s="212"/>
      <c r="Z312" s="204"/>
      <c r="AA312" s="204"/>
      <c r="AB312" s="204"/>
      <c r="AC312" s="204"/>
      <c r="AD312" s="204"/>
      <c r="AE312" s="212"/>
      <c r="AF312" s="213"/>
      <c r="AG312" s="213"/>
      <c r="AH312" s="213"/>
      <c r="AI312" s="213"/>
      <c r="AJ312" s="213"/>
      <c r="AK312" s="213"/>
      <c r="AL312" s="213"/>
      <c r="AM312" s="213"/>
      <c r="AN312" s="213"/>
      <c r="AO312" s="213"/>
      <c r="AP312" s="213"/>
      <c r="AQ312" s="213"/>
      <c r="AR312" s="213"/>
      <c r="AS312" s="213"/>
      <c r="AT312" s="213"/>
      <c r="AU312" s="213"/>
      <c r="AV312" s="213"/>
      <c r="AW312" s="213"/>
      <c r="AX312" s="213"/>
      <c r="AY312" s="213"/>
      <c r="AZ312" s="213"/>
      <c r="BA312" s="213"/>
      <c r="BB312" s="213"/>
    </row>
    <row r="313">
      <c r="A313" s="199"/>
      <c r="B313" s="12"/>
      <c r="C313" s="202"/>
      <c r="D313" s="199"/>
      <c r="E313" s="211"/>
      <c r="F313" s="201"/>
      <c r="G313" s="199"/>
      <c r="H313" s="199"/>
      <c r="I313" s="199"/>
      <c r="J313" s="212"/>
      <c r="K313" s="212"/>
      <c r="L313" s="212"/>
      <c r="M313" s="212"/>
      <c r="N313" s="212"/>
      <c r="O313" s="212"/>
      <c r="P313" s="212"/>
      <c r="Q313" s="212"/>
      <c r="R313" s="212"/>
      <c r="S313" s="212"/>
      <c r="T313" s="212"/>
      <c r="U313" s="212"/>
      <c r="V313" s="212"/>
      <c r="W313" s="212"/>
      <c r="X313" s="212"/>
      <c r="Y313" s="212"/>
      <c r="Z313" s="204"/>
      <c r="AA313" s="204"/>
      <c r="AB313" s="204"/>
      <c r="AC313" s="204"/>
      <c r="AD313" s="204"/>
      <c r="AE313" s="212"/>
      <c r="AF313" s="213"/>
      <c r="AG313" s="213"/>
      <c r="AH313" s="213"/>
      <c r="AI313" s="213"/>
      <c r="AJ313" s="213"/>
      <c r="AK313" s="213"/>
      <c r="AL313" s="213"/>
      <c r="AM313" s="213"/>
      <c r="AN313" s="213"/>
      <c r="AO313" s="213"/>
      <c r="AP313" s="213"/>
      <c r="AQ313" s="213"/>
      <c r="AR313" s="213"/>
      <c r="AS313" s="213"/>
      <c r="AT313" s="213"/>
      <c r="AU313" s="213"/>
      <c r="AV313" s="213"/>
      <c r="AW313" s="213"/>
      <c r="AX313" s="213"/>
      <c r="AY313" s="213"/>
      <c r="AZ313" s="213"/>
      <c r="BA313" s="213"/>
      <c r="BB313" s="213"/>
    </row>
    <row r="314">
      <c r="A314" s="199"/>
      <c r="B314" s="12"/>
      <c r="C314" s="202"/>
      <c r="D314" s="199"/>
      <c r="E314" s="211"/>
      <c r="F314" s="201"/>
      <c r="G314" s="199"/>
      <c r="H314" s="199"/>
      <c r="I314" s="199"/>
      <c r="J314" s="212"/>
      <c r="K314" s="212"/>
      <c r="L314" s="212"/>
      <c r="M314" s="212"/>
      <c r="N314" s="212"/>
      <c r="O314" s="212"/>
      <c r="P314" s="212"/>
      <c r="Q314" s="212"/>
      <c r="R314" s="212"/>
      <c r="S314" s="212"/>
      <c r="T314" s="212"/>
      <c r="U314" s="212"/>
      <c r="V314" s="212"/>
      <c r="W314" s="212"/>
      <c r="X314" s="212"/>
      <c r="Y314" s="212"/>
      <c r="Z314" s="204"/>
      <c r="AA314" s="204"/>
      <c r="AB314" s="204"/>
      <c r="AC314" s="204"/>
      <c r="AD314" s="204"/>
      <c r="AE314" s="212"/>
      <c r="AF314" s="213"/>
      <c r="AG314" s="213"/>
      <c r="AH314" s="213"/>
      <c r="AI314" s="213"/>
      <c r="AJ314" s="213"/>
      <c r="AK314" s="213"/>
      <c r="AL314" s="213"/>
      <c r="AM314" s="213"/>
      <c r="AN314" s="213"/>
      <c r="AO314" s="213"/>
      <c r="AP314" s="213"/>
      <c r="AQ314" s="213"/>
      <c r="AR314" s="213"/>
      <c r="AS314" s="213"/>
      <c r="AT314" s="213"/>
      <c r="AU314" s="213"/>
      <c r="AV314" s="213"/>
      <c r="AW314" s="213"/>
      <c r="AX314" s="213"/>
      <c r="AY314" s="213"/>
      <c r="AZ314" s="213"/>
      <c r="BA314" s="213"/>
      <c r="BB314" s="213"/>
    </row>
    <row r="315">
      <c r="A315" s="199"/>
      <c r="B315" s="12"/>
      <c r="C315" s="202"/>
      <c r="D315" s="199"/>
      <c r="E315" s="211"/>
      <c r="F315" s="201"/>
      <c r="G315" s="199"/>
      <c r="H315" s="199"/>
      <c r="I315" s="199"/>
      <c r="J315" s="212"/>
      <c r="K315" s="212"/>
      <c r="L315" s="212"/>
      <c r="M315" s="212"/>
      <c r="N315" s="212"/>
      <c r="O315" s="212"/>
      <c r="P315" s="212"/>
      <c r="Q315" s="212"/>
      <c r="R315" s="212"/>
      <c r="S315" s="212"/>
      <c r="T315" s="212"/>
      <c r="U315" s="212"/>
      <c r="V315" s="212"/>
      <c r="W315" s="212"/>
      <c r="X315" s="212"/>
      <c r="Y315" s="212"/>
      <c r="Z315" s="204"/>
      <c r="AA315" s="204"/>
      <c r="AB315" s="204"/>
      <c r="AC315" s="204"/>
      <c r="AD315" s="204"/>
      <c r="AE315" s="212"/>
      <c r="AF315" s="213"/>
      <c r="AG315" s="213"/>
      <c r="AH315" s="213"/>
      <c r="AI315" s="213"/>
      <c r="AJ315" s="213"/>
      <c r="AK315" s="213"/>
      <c r="AL315" s="213"/>
      <c r="AM315" s="213"/>
      <c r="AN315" s="213"/>
      <c r="AO315" s="213"/>
      <c r="AP315" s="213"/>
      <c r="AQ315" s="213"/>
      <c r="AR315" s="213"/>
      <c r="AS315" s="213"/>
      <c r="AT315" s="213"/>
      <c r="AU315" s="213"/>
      <c r="AV315" s="213"/>
      <c r="AW315" s="213"/>
      <c r="AX315" s="213"/>
      <c r="AY315" s="213"/>
      <c r="AZ315" s="213"/>
      <c r="BA315" s="213"/>
      <c r="BB315" s="213"/>
    </row>
    <row r="316">
      <c r="A316" s="199"/>
      <c r="B316" s="12"/>
      <c r="C316" s="202"/>
      <c r="D316" s="199"/>
      <c r="E316" s="211"/>
      <c r="F316" s="201"/>
      <c r="G316" s="199"/>
      <c r="H316" s="199"/>
      <c r="I316" s="199"/>
      <c r="J316" s="212"/>
      <c r="K316" s="212"/>
      <c r="L316" s="212"/>
      <c r="M316" s="212"/>
      <c r="N316" s="212"/>
      <c r="O316" s="212"/>
      <c r="P316" s="212"/>
      <c r="Q316" s="212"/>
      <c r="R316" s="212"/>
      <c r="S316" s="212"/>
      <c r="T316" s="212"/>
      <c r="U316" s="212"/>
      <c r="V316" s="212"/>
      <c r="W316" s="212"/>
      <c r="X316" s="212"/>
      <c r="Y316" s="212"/>
      <c r="Z316" s="204"/>
      <c r="AA316" s="204"/>
      <c r="AB316" s="204"/>
      <c r="AC316" s="204"/>
      <c r="AD316" s="204"/>
      <c r="AE316" s="212"/>
      <c r="AF316" s="213"/>
      <c r="AG316" s="213"/>
      <c r="AH316" s="213"/>
      <c r="AI316" s="213"/>
      <c r="AJ316" s="213"/>
      <c r="AK316" s="213"/>
      <c r="AL316" s="213"/>
      <c r="AM316" s="213"/>
      <c r="AN316" s="213"/>
      <c r="AO316" s="213"/>
      <c r="AP316" s="213"/>
      <c r="AQ316" s="213"/>
      <c r="AR316" s="213"/>
      <c r="AS316" s="213"/>
      <c r="AT316" s="213"/>
      <c r="AU316" s="213"/>
      <c r="AV316" s="213"/>
      <c r="AW316" s="213"/>
      <c r="AX316" s="213"/>
      <c r="AY316" s="213"/>
      <c r="AZ316" s="213"/>
      <c r="BA316" s="213"/>
      <c r="BB316" s="213"/>
    </row>
    <row r="317">
      <c r="A317" s="199"/>
      <c r="B317" s="12"/>
      <c r="C317" s="202"/>
      <c r="D317" s="199"/>
      <c r="E317" s="211"/>
      <c r="F317" s="201"/>
      <c r="G317" s="199"/>
      <c r="H317" s="199"/>
      <c r="I317" s="199"/>
      <c r="J317" s="212"/>
      <c r="K317" s="212"/>
      <c r="L317" s="212"/>
      <c r="M317" s="212"/>
      <c r="N317" s="212"/>
      <c r="O317" s="212"/>
      <c r="P317" s="212"/>
      <c r="Q317" s="212"/>
      <c r="R317" s="212"/>
      <c r="S317" s="212"/>
      <c r="T317" s="212"/>
      <c r="U317" s="212"/>
      <c r="V317" s="212"/>
      <c r="W317" s="212"/>
      <c r="X317" s="212"/>
      <c r="Y317" s="212"/>
      <c r="Z317" s="204"/>
      <c r="AA317" s="204"/>
      <c r="AB317" s="204"/>
      <c r="AC317" s="204"/>
      <c r="AD317" s="204"/>
      <c r="AE317" s="212"/>
      <c r="AF317" s="213"/>
      <c r="AG317" s="213"/>
      <c r="AH317" s="213"/>
      <c r="AI317" s="213"/>
      <c r="AJ317" s="213"/>
      <c r="AK317" s="213"/>
      <c r="AL317" s="213"/>
      <c r="AM317" s="213"/>
      <c r="AN317" s="213"/>
      <c r="AO317" s="213"/>
      <c r="AP317" s="213"/>
      <c r="AQ317" s="213"/>
      <c r="AR317" s="213"/>
      <c r="AS317" s="213"/>
      <c r="AT317" s="213"/>
      <c r="AU317" s="213"/>
      <c r="AV317" s="213"/>
      <c r="AW317" s="213"/>
      <c r="AX317" s="213"/>
      <c r="AY317" s="213"/>
      <c r="AZ317" s="213"/>
      <c r="BA317" s="213"/>
      <c r="BB317" s="213"/>
    </row>
    <row r="318">
      <c r="A318" s="199"/>
      <c r="B318" s="12"/>
      <c r="C318" s="202"/>
      <c r="D318" s="199"/>
      <c r="E318" s="211"/>
      <c r="F318" s="201"/>
      <c r="G318" s="199"/>
      <c r="H318" s="199"/>
      <c r="I318" s="199"/>
      <c r="J318" s="212"/>
      <c r="K318" s="212"/>
      <c r="L318" s="212"/>
      <c r="M318" s="212"/>
      <c r="N318" s="212"/>
      <c r="O318" s="212"/>
      <c r="P318" s="212"/>
      <c r="Q318" s="212"/>
      <c r="R318" s="212"/>
      <c r="S318" s="212"/>
      <c r="T318" s="212"/>
      <c r="U318" s="212"/>
      <c r="V318" s="212"/>
      <c r="W318" s="212"/>
      <c r="X318" s="212"/>
      <c r="Y318" s="212"/>
      <c r="Z318" s="204"/>
      <c r="AA318" s="204"/>
      <c r="AB318" s="204"/>
      <c r="AC318" s="204"/>
      <c r="AD318" s="204"/>
      <c r="AE318" s="212"/>
      <c r="AF318" s="213"/>
      <c r="AG318" s="213"/>
      <c r="AH318" s="213"/>
      <c r="AI318" s="213"/>
      <c r="AJ318" s="213"/>
      <c r="AK318" s="213"/>
      <c r="AL318" s="213"/>
      <c r="AM318" s="213"/>
      <c r="AN318" s="213"/>
      <c r="AO318" s="213"/>
      <c r="AP318" s="213"/>
      <c r="AQ318" s="213"/>
      <c r="AR318" s="213"/>
      <c r="AS318" s="213"/>
      <c r="AT318" s="213"/>
      <c r="AU318" s="213"/>
      <c r="AV318" s="213"/>
      <c r="AW318" s="213"/>
      <c r="AX318" s="213"/>
      <c r="AY318" s="213"/>
      <c r="AZ318" s="213"/>
      <c r="BA318" s="213"/>
      <c r="BB318" s="213"/>
    </row>
    <row r="319">
      <c r="A319" s="199"/>
      <c r="B319" s="12"/>
      <c r="C319" s="202"/>
      <c r="D319" s="199"/>
      <c r="E319" s="211"/>
      <c r="F319" s="201"/>
      <c r="G319" s="199"/>
      <c r="H319" s="199"/>
      <c r="I319" s="199"/>
      <c r="J319" s="212"/>
      <c r="K319" s="212"/>
      <c r="L319" s="212"/>
      <c r="M319" s="212"/>
      <c r="N319" s="212"/>
      <c r="O319" s="212"/>
      <c r="P319" s="212"/>
      <c r="Q319" s="212"/>
      <c r="R319" s="212"/>
      <c r="S319" s="212"/>
      <c r="T319" s="212"/>
      <c r="U319" s="212"/>
      <c r="V319" s="212"/>
      <c r="W319" s="212"/>
      <c r="X319" s="212"/>
      <c r="Y319" s="212"/>
      <c r="Z319" s="204"/>
      <c r="AA319" s="204"/>
      <c r="AB319" s="204"/>
      <c r="AC319" s="204"/>
      <c r="AD319" s="204"/>
      <c r="AE319" s="212"/>
      <c r="AF319" s="213"/>
      <c r="AG319" s="213"/>
      <c r="AH319" s="213"/>
      <c r="AI319" s="213"/>
      <c r="AJ319" s="213"/>
      <c r="AK319" s="213"/>
      <c r="AL319" s="213"/>
      <c r="AM319" s="213"/>
      <c r="AN319" s="213"/>
      <c r="AO319" s="213"/>
      <c r="AP319" s="213"/>
      <c r="AQ319" s="213"/>
      <c r="AR319" s="213"/>
      <c r="AS319" s="213"/>
      <c r="AT319" s="213"/>
      <c r="AU319" s="213"/>
      <c r="AV319" s="213"/>
      <c r="AW319" s="213"/>
      <c r="AX319" s="213"/>
      <c r="AY319" s="213"/>
      <c r="AZ319" s="213"/>
      <c r="BA319" s="213"/>
      <c r="BB319" s="213"/>
    </row>
    <row r="320">
      <c r="A320" s="199"/>
      <c r="B320" s="12"/>
      <c r="C320" s="202"/>
      <c r="D320" s="199"/>
      <c r="E320" s="211"/>
      <c r="F320" s="201"/>
      <c r="G320" s="199"/>
      <c r="H320" s="199"/>
      <c r="I320" s="199"/>
      <c r="J320" s="212"/>
      <c r="K320" s="212"/>
      <c r="L320" s="212"/>
      <c r="M320" s="212"/>
      <c r="N320" s="212"/>
      <c r="O320" s="212"/>
      <c r="P320" s="212"/>
      <c r="Q320" s="212"/>
      <c r="R320" s="212"/>
      <c r="S320" s="212"/>
      <c r="T320" s="212"/>
      <c r="U320" s="212"/>
      <c r="V320" s="212"/>
      <c r="W320" s="212"/>
      <c r="X320" s="212"/>
      <c r="Y320" s="212"/>
      <c r="Z320" s="204"/>
      <c r="AA320" s="204"/>
      <c r="AB320" s="204"/>
      <c r="AC320" s="204"/>
      <c r="AD320" s="204"/>
      <c r="AE320" s="212"/>
      <c r="AF320" s="213"/>
      <c r="AG320" s="213"/>
      <c r="AH320" s="213"/>
      <c r="AI320" s="213"/>
      <c r="AJ320" s="213"/>
      <c r="AK320" s="213"/>
      <c r="AL320" s="213"/>
      <c r="AM320" s="213"/>
      <c r="AN320" s="213"/>
      <c r="AO320" s="213"/>
      <c r="AP320" s="213"/>
      <c r="AQ320" s="213"/>
      <c r="AR320" s="213"/>
      <c r="AS320" s="213"/>
      <c r="AT320" s="213"/>
      <c r="AU320" s="213"/>
      <c r="AV320" s="213"/>
      <c r="AW320" s="213"/>
      <c r="AX320" s="213"/>
      <c r="AY320" s="213"/>
      <c r="AZ320" s="213"/>
      <c r="BA320" s="213"/>
      <c r="BB320" s="213"/>
    </row>
    <row r="321">
      <c r="A321" s="199"/>
      <c r="B321" s="12"/>
      <c r="C321" s="202"/>
      <c r="D321" s="199"/>
      <c r="E321" s="211"/>
      <c r="F321" s="201"/>
      <c r="G321" s="199"/>
      <c r="H321" s="199"/>
      <c r="I321" s="199"/>
      <c r="J321" s="212"/>
      <c r="K321" s="212"/>
      <c r="L321" s="212"/>
      <c r="M321" s="212"/>
      <c r="N321" s="212"/>
      <c r="O321" s="212"/>
      <c r="P321" s="212"/>
      <c r="Q321" s="212"/>
      <c r="R321" s="212"/>
      <c r="S321" s="212"/>
      <c r="T321" s="212"/>
      <c r="U321" s="212"/>
      <c r="V321" s="212"/>
      <c r="W321" s="212"/>
      <c r="X321" s="212"/>
      <c r="Y321" s="212"/>
      <c r="Z321" s="204"/>
      <c r="AA321" s="204"/>
      <c r="AB321" s="204"/>
      <c r="AC321" s="204"/>
      <c r="AD321" s="204"/>
      <c r="AE321" s="212"/>
      <c r="AF321" s="213"/>
      <c r="AG321" s="213"/>
      <c r="AH321" s="213"/>
      <c r="AI321" s="213"/>
      <c r="AJ321" s="213"/>
      <c r="AK321" s="213"/>
      <c r="AL321" s="213"/>
      <c r="AM321" s="213"/>
      <c r="AN321" s="213"/>
      <c r="AO321" s="213"/>
      <c r="AP321" s="213"/>
      <c r="AQ321" s="213"/>
      <c r="AR321" s="213"/>
      <c r="AS321" s="213"/>
      <c r="AT321" s="213"/>
      <c r="AU321" s="213"/>
      <c r="AV321" s="213"/>
      <c r="AW321" s="213"/>
      <c r="AX321" s="213"/>
      <c r="AY321" s="213"/>
      <c r="AZ321" s="213"/>
      <c r="BA321" s="213"/>
      <c r="BB321" s="213"/>
    </row>
    <row r="322">
      <c r="A322" s="199"/>
      <c r="B322" s="12"/>
      <c r="C322" s="202"/>
      <c r="D322" s="199"/>
      <c r="E322" s="211"/>
      <c r="F322" s="201"/>
      <c r="G322" s="199"/>
      <c r="H322" s="199"/>
      <c r="I322" s="199"/>
      <c r="J322" s="212"/>
      <c r="K322" s="212"/>
      <c r="L322" s="212"/>
      <c r="M322" s="212"/>
      <c r="N322" s="212"/>
      <c r="O322" s="212"/>
      <c r="P322" s="212"/>
      <c r="Q322" s="212"/>
      <c r="R322" s="212"/>
      <c r="S322" s="212"/>
      <c r="T322" s="212"/>
      <c r="U322" s="212"/>
      <c r="V322" s="212"/>
      <c r="W322" s="212"/>
      <c r="X322" s="212"/>
      <c r="Y322" s="212"/>
      <c r="Z322" s="204"/>
      <c r="AA322" s="204"/>
      <c r="AB322" s="204"/>
      <c r="AC322" s="204"/>
      <c r="AD322" s="204"/>
      <c r="AE322" s="212"/>
      <c r="AF322" s="213"/>
      <c r="AG322" s="213"/>
      <c r="AH322" s="213"/>
      <c r="AI322" s="213"/>
      <c r="AJ322" s="213"/>
      <c r="AK322" s="213"/>
      <c r="AL322" s="213"/>
      <c r="AM322" s="213"/>
      <c r="AN322" s="213"/>
      <c r="AO322" s="213"/>
      <c r="AP322" s="213"/>
      <c r="AQ322" s="213"/>
      <c r="AR322" s="213"/>
      <c r="AS322" s="213"/>
      <c r="AT322" s="213"/>
      <c r="AU322" s="213"/>
      <c r="AV322" s="213"/>
      <c r="AW322" s="213"/>
      <c r="AX322" s="213"/>
      <c r="AY322" s="213"/>
      <c r="AZ322" s="213"/>
      <c r="BA322" s="213"/>
      <c r="BB322" s="213"/>
    </row>
    <row r="323">
      <c r="A323" s="199"/>
      <c r="B323" s="12"/>
      <c r="C323" s="202"/>
      <c r="D323" s="199"/>
      <c r="E323" s="211"/>
      <c r="F323" s="201"/>
      <c r="G323" s="199"/>
      <c r="H323" s="199"/>
      <c r="I323" s="199"/>
      <c r="J323" s="212"/>
      <c r="K323" s="212"/>
      <c r="L323" s="212"/>
      <c r="M323" s="212"/>
      <c r="N323" s="212"/>
      <c r="O323" s="212"/>
      <c r="P323" s="212"/>
      <c r="Q323" s="212"/>
      <c r="R323" s="212"/>
      <c r="S323" s="212"/>
      <c r="T323" s="212"/>
      <c r="U323" s="212"/>
      <c r="V323" s="212"/>
      <c r="W323" s="212"/>
      <c r="X323" s="212"/>
      <c r="Y323" s="212"/>
      <c r="Z323" s="204"/>
      <c r="AA323" s="204"/>
      <c r="AB323" s="204"/>
      <c r="AC323" s="204"/>
      <c r="AD323" s="204"/>
      <c r="AE323" s="212"/>
      <c r="AF323" s="213"/>
      <c r="AG323" s="213"/>
      <c r="AH323" s="213"/>
      <c r="AI323" s="213"/>
      <c r="AJ323" s="213"/>
      <c r="AK323" s="213"/>
      <c r="AL323" s="213"/>
      <c r="AM323" s="213"/>
      <c r="AN323" s="213"/>
      <c r="AO323" s="213"/>
      <c r="AP323" s="213"/>
      <c r="AQ323" s="213"/>
      <c r="AR323" s="213"/>
      <c r="AS323" s="213"/>
      <c r="AT323" s="213"/>
      <c r="AU323" s="213"/>
      <c r="AV323" s="213"/>
      <c r="AW323" s="213"/>
      <c r="AX323" s="213"/>
      <c r="AY323" s="213"/>
      <c r="AZ323" s="213"/>
      <c r="BA323" s="213"/>
      <c r="BB323" s="213"/>
    </row>
    <row r="324">
      <c r="A324" s="199"/>
      <c r="B324" s="12"/>
      <c r="C324" s="202"/>
      <c r="D324" s="199"/>
      <c r="E324" s="211"/>
      <c r="F324" s="201"/>
      <c r="G324" s="199"/>
      <c r="H324" s="199"/>
      <c r="I324" s="199"/>
      <c r="J324" s="212"/>
      <c r="K324" s="212"/>
      <c r="L324" s="212"/>
      <c r="M324" s="212"/>
      <c r="N324" s="212"/>
      <c r="O324" s="212"/>
      <c r="P324" s="212"/>
      <c r="Q324" s="212"/>
      <c r="R324" s="212"/>
      <c r="S324" s="212"/>
      <c r="T324" s="212"/>
      <c r="U324" s="212"/>
      <c r="V324" s="212"/>
      <c r="W324" s="212"/>
      <c r="X324" s="212"/>
      <c r="Y324" s="212"/>
      <c r="Z324" s="204"/>
      <c r="AA324" s="204"/>
      <c r="AB324" s="204"/>
      <c r="AC324" s="204"/>
      <c r="AD324" s="204"/>
      <c r="AE324" s="212"/>
      <c r="AF324" s="213"/>
      <c r="AG324" s="213"/>
      <c r="AH324" s="213"/>
      <c r="AI324" s="213"/>
      <c r="AJ324" s="213"/>
      <c r="AK324" s="213"/>
      <c r="AL324" s="213"/>
      <c r="AM324" s="213"/>
      <c r="AN324" s="213"/>
      <c r="AO324" s="213"/>
      <c r="AP324" s="213"/>
      <c r="AQ324" s="213"/>
      <c r="AR324" s="213"/>
      <c r="AS324" s="213"/>
      <c r="AT324" s="213"/>
      <c r="AU324" s="213"/>
      <c r="AV324" s="213"/>
      <c r="AW324" s="213"/>
      <c r="AX324" s="213"/>
      <c r="AY324" s="213"/>
      <c r="AZ324" s="213"/>
      <c r="BA324" s="213"/>
      <c r="BB324" s="213"/>
    </row>
    <row r="325">
      <c r="A325" s="199"/>
      <c r="B325" s="12"/>
      <c r="C325" s="202"/>
      <c r="D325" s="199"/>
      <c r="E325" s="211"/>
      <c r="F325" s="201"/>
      <c r="G325" s="199"/>
      <c r="H325" s="199"/>
      <c r="I325" s="199"/>
      <c r="J325" s="212"/>
      <c r="K325" s="212"/>
      <c r="L325" s="212"/>
      <c r="M325" s="212"/>
      <c r="N325" s="212"/>
      <c r="O325" s="212"/>
      <c r="P325" s="212"/>
      <c r="Q325" s="212"/>
      <c r="R325" s="212"/>
      <c r="S325" s="212"/>
      <c r="T325" s="212"/>
      <c r="U325" s="212"/>
      <c r="V325" s="212"/>
      <c r="W325" s="212"/>
      <c r="X325" s="212"/>
      <c r="Y325" s="212"/>
      <c r="Z325" s="204"/>
      <c r="AA325" s="204"/>
      <c r="AB325" s="204"/>
      <c r="AC325" s="204"/>
      <c r="AD325" s="204"/>
      <c r="AE325" s="212"/>
      <c r="AF325" s="213"/>
      <c r="AG325" s="213"/>
      <c r="AH325" s="213"/>
      <c r="AI325" s="213"/>
      <c r="AJ325" s="213"/>
      <c r="AK325" s="213"/>
      <c r="AL325" s="213"/>
      <c r="AM325" s="213"/>
      <c r="AN325" s="213"/>
      <c r="AO325" s="213"/>
      <c r="AP325" s="213"/>
      <c r="AQ325" s="213"/>
      <c r="AR325" s="213"/>
      <c r="AS325" s="213"/>
      <c r="AT325" s="213"/>
      <c r="AU325" s="213"/>
      <c r="AV325" s="213"/>
      <c r="AW325" s="213"/>
      <c r="AX325" s="213"/>
      <c r="AY325" s="213"/>
      <c r="AZ325" s="213"/>
      <c r="BA325" s="213"/>
      <c r="BB325" s="213"/>
    </row>
    <row r="326">
      <c r="A326" s="199"/>
      <c r="B326" s="12"/>
      <c r="C326" s="202"/>
      <c r="D326" s="199"/>
      <c r="E326" s="211"/>
      <c r="F326" s="201"/>
      <c r="G326" s="199"/>
      <c r="H326" s="199"/>
      <c r="I326" s="199"/>
      <c r="J326" s="212"/>
      <c r="K326" s="212"/>
      <c r="L326" s="212"/>
      <c r="M326" s="212"/>
      <c r="N326" s="212"/>
      <c r="O326" s="212"/>
      <c r="P326" s="212"/>
      <c r="Q326" s="212"/>
      <c r="R326" s="212"/>
      <c r="S326" s="212"/>
      <c r="T326" s="212"/>
      <c r="U326" s="212"/>
      <c r="V326" s="212"/>
      <c r="W326" s="212"/>
      <c r="X326" s="212"/>
      <c r="Y326" s="212"/>
      <c r="Z326" s="204"/>
      <c r="AA326" s="204"/>
      <c r="AB326" s="204"/>
      <c r="AC326" s="204"/>
      <c r="AD326" s="204"/>
      <c r="AE326" s="212"/>
      <c r="AF326" s="213"/>
      <c r="AG326" s="213"/>
      <c r="AH326" s="213"/>
      <c r="AI326" s="213"/>
      <c r="AJ326" s="213"/>
      <c r="AK326" s="213"/>
      <c r="AL326" s="213"/>
      <c r="AM326" s="213"/>
      <c r="AN326" s="213"/>
      <c r="AO326" s="213"/>
      <c r="AP326" s="213"/>
      <c r="AQ326" s="213"/>
      <c r="AR326" s="213"/>
      <c r="AS326" s="213"/>
      <c r="AT326" s="213"/>
      <c r="AU326" s="213"/>
      <c r="AV326" s="213"/>
      <c r="AW326" s="213"/>
      <c r="AX326" s="213"/>
      <c r="AY326" s="213"/>
      <c r="AZ326" s="213"/>
      <c r="BA326" s="213"/>
      <c r="BB326" s="213"/>
    </row>
    <row r="327">
      <c r="A327" s="199"/>
      <c r="B327" s="12"/>
      <c r="C327" s="202"/>
      <c r="D327" s="199"/>
      <c r="E327" s="211"/>
      <c r="F327" s="201"/>
      <c r="G327" s="199"/>
      <c r="H327" s="199"/>
      <c r="I327" s="199"/>
      <c r="J327" s="212"/>
      <c r="K327" s="212"/>
      <c r="L327" s="212"/>
      <c r="M327" s="212"/>
      <c r="N327" s="212"/>
      <c r="O327" s="212"/>
      <c r="P327" s="212"/>
      <c r="Q327" s="212"/>
      <c r="R327" s="212"/>
      <c r="S327" s="212"/>
      <c r="T327" s="212"/>
      <c r="U327" s="212"/>
      <c r="V327" s="212"/>
      <c r="W327" s="212"/>
      <c r="X327" s="212"/>
      <c r="Y327" s="212"/>
      <c r="Z327" s="204"/>
      <c r="AA327" s="204"/>
      <c r="AB327" s="204"/>
      <c r="AC327" s="204"/>
      <c r="AD327" s="204"/>
      <c r="AE327" s="212"/>
      <c r="AF327" s="213"/>
      <c r="AG327" s="213"/>
      <c r="AH327" s="213"/>
      <c r="AI327" s="213"/>
      <c r="AJ327" s="213"/>
      <c r="AK327" s="213"/>
      <c r="AL327" s="213"/>
      <c r="AM327" s="213"/>
      <c r="AN327" s="213"/>
      <c r="AO327" s="213"/>
      <c r="AP327" s="213"/>
      <c r="AQ327" s="213"/>
      <c r="AR327" s="213"/>
      <c r="AS327" s="213"/>
      <c r="AT327" s="213"/>
      <c r="AU327" s="213"/>
      <c r="AV327" s="213"/>
      <c r="AW327" s="213"/>
      <c r="AX327" s="213"/>
      <c r="AY327" s="213"/>
      <c r="AZ327" s="213"/>
      <c r="BA327" s="213"/>
      <c r="BB327" s="213"/>
    </row>
    <row r="328">
      <c r="A328" s="199"/>
      <c r="B328" s="12"/>
      <c r="C328" s="202"/>
      <c r="D328" s="199"/>
      <c r="E328" s="211"/>
      <c r="F328" s="201"/>
      <c r="G328" s="199"/>
      <c r="H328" s="199"/>
      <c r="I328" s="199"/>
      <c r="J328" s="212"/>
      <c r="K328" s="212"/>
      <c r="L328" s="212"/>
      <c r="M328" s="212"/>
      <c r="N328" s="212"/>
      <c r="O328" s="212"/>
      <c r="P328" s="212"/>
      <c r="Q328" s="212"/>
      <c r="R328" s="212"/>
      <c r="S328" s="212"/>
      <c r="T328" s="212"/>
      <c r="U328" s="212"/>
      <c r="V328" s="212"/>
      <c r="W328" s="212"/>
      <c r="X328" s="212"/>
      <c r="Y328" s="212"/>
      <c r="Z328" s="204"/>
      <c r="AA328" s="204"/>
      <c r="AB328" s="204"/>
      <c r="AC328" s="204"/>
      <c r="AD328" s="204"/>
      <c r="AE328" s="212"/>
      <c r="AF328" s="213"/>
      <c r="AG328" s="213"/>
      <c r="AH328" s="213"/>
      <c r="AI328" s="213"/>
      <c r="AJ328" s="213"/>
      <c r="AK328" s="213"/>
      <c r="AL328" s="213"/>
      <c r="AM328" s="213"/>
      <c r="AN328" s="213"/>
      <c r="AO328" s="213"/>
      <c r="AP328" s="213"/>
      <c r="AQ328" s="213"/>
      <c r="AR328" s="213"/>
      <c r="AS328" s="213"/>
      <c r="AT328" s="213"/>
      <c r="AU328" s="213"/>
      <c r="AV328" s="213"/>
      <c r="AW328" s="213"/>
      <c r="AX328" s="213"/>
      <c r="AY328" s="213"/>
      <c r="AZ328" s="213"/>
      <c r="BA328" s="213"/>
      <c r="BB328" s="213"/>
    </row>
    <row r="329">
      <c r="A329" s="199"/>
      <c r="B329" s="12"/>
      <c r="C329" s="202"/>
      <c r="D329" s="199"/>
      <c r="E329" s="211"/>
      <c r="F329" s="201"/>
      <c r="G329" s="199"/>
      <c r="H329" s="199"/>
      <c r="I329" s="199"/>
      <c r="J329" s="212"/>
      <c r="K329" s="212"/>
      <c r="L329" s="212"/>
      <c r="M329" s="212"/>
      <c r="N329" s="212"/>
      <c r="O329" s="212"/>
      <c r="P329" s="212"/>
      <c r="Q329" s="212"/>
      <c r="R329" s="212"/>
      <c r="S329" s="212"/>
      <c r="T329" s="212"/>
      <c r="U329" s="212"/>
      <c r="V329" s="212"/>
      <c r="W329" s="212"/>
      <c r="X329" s="212"/>
      <c r="Y329" s="212"/>
      <c r="Z329" s="204"/>
      <c r="AA329" s="204"/>
      <c r="AB329" s="204"/>
      <c r="AC329" s="204"/>
      <c r="AD329" s="204"/>
      <c r="AE329" s="212"/>
      <c r="AF329" s="213"/>
      <c r="AG329" s="213"/>
      <c r="AH329" s="213"/>
      <c r="AI329" s="213"/>
      <c r="AJ329" s="213"/>
      <c r="AK329" s="213"/>
      <c r="AL329" s="213"/>
      <c r="AM329" s="213"/>
      <c r="AN329" s="213"/>
      <c r="AO329" s="213"/>
      <c r="AP329" s="213"/>
      <c r="AQ329" s="213"/>
      <c r="AR329" s="213"/>
      <c r="AS329" s="213"/>
      <c r="AT329" s="213"/>
      <c r="AU329" s="213"/>
      <c r="AV329" s="213"/>
      <c r="AW329" s="213"/>
      <c r="AX329" s="213"/>
      <c r="AY329" s="213"/>
      <c r="AZ329" s="213"/>
      <c r="BA329" s="213"/>
      <c r="BB329" s="213"/>
    </row>
    <row r="330">
      <c r="A330" s="199"/>
      <c r="B330" s="12"/>
      <c r="C330" s="202"/>
      <c r="D330" s="199"/>
      <c r="E330" s="211"/>
      <c r="F330" s="201"/>
      <c r="G330" s="199"/>
      <c r="H330" s="199"/>
      <c r="I330" s="199"/>
      <c r="J330" s="212"/>
      <c r="K330" s="212"/>
      <c r="L330" s="212"/>
      <c r="M330" s="212"/>
      <c r="N330" s="212"/>
      <c r="O330" s="212"/>
      <c r="P330" s="212"/>
      <c r="Q330" s="212"/>
      <c r="R330" s="212"/>
      <c r="S330" s="212"/>
      <c r="T330" s="212"/>
      <c r="U330" s="212"/>
      <c r="V330" s="212"/>
      <c r="W330" s="212"/>
      <c r="X330" s="212"/>
      <c r="Y330" s="212"/>
      <c r="Z330" s="204"/>
      <c r="AA330" s="204"/>
      <c r="AB330" s="204"/>
      <c r="AC330" s="204"/>
      <c r="AD330" s="204"/>
      <c r="AE330" s="212"/>
      <c r="AF330" s="213"/>
      <c r="AG330" s="213"/>
      <c r="AH330" s="213"/>
      <c r="AI330" s="213"/>
      <c r="AJ330" s="213"/>
      <c r="AK330" s="213"/>
      <c r="AL330" s="213"/>
      <c r="AM330" s="213"/>
      <c r="AN330" s="213"/>
      <c r="AO330" s="213"/>
      <c r="AP330" s="213"/>
      <c r="AQ330" s="213"/>
      <c r="AR330" s="213"/>
      <c r="AS330" s="213"/>
      <c r="AT330" s="213"/>
      <c r="AU330" s="213"/>
      <c r="AV330" s="213"/>
      <c r="AW330" s="213"/>
      <c r="AX330" s="213"/>
      <c r="AY330" s="213"/>
      <c r="AZ330" s="213"/>
      <c r="BA330" s="213"/>
      <c r="BB330" s="213"/>
    </row>
    <row r="331">
      <c r="A331" s="199"/>
      <c r="B331" s="12"/>
      <c r="C331" s="202"/>
      <c r="D331" s="199"/>
      <c r="E331" s="211"/>
      <c r="F331" s="201"/>
      <c r="G331" s="199"/>
      <c r="H331" s="199"/>
      <c r="I331" s="199"/>
      <c r="J331" s="212"/>
      <c r="K331" s="212"/>
      <c r="L331" s="212"/>
      <c r="M331" s="212"/>
      <c r="N331" s="212"/>
      <c r="O331" s="212"/>
      <c r="P331" s="212"/>
      <c r="Q331" s="212"/>
      <c r="R331" s="212"/>
      <c r="S331" s="212"/>
      <c r="T331" s="212"/>
      <c r="U331" s="212"/>
      <c r="V331" s="212"/>
      <c r="W331" s="212"/>
      <c r="X331" s="212"/>
      <c r="Y331" s="212"/>
      <c r="Z331" s="204"/>
      <c r="AA331" s="204"/>
      <c r="AB331" s="204"/>
      <c r="AC331" s="204"/>
      <c r="AD331" s="204"/>
      <c r="AE331" s="212"/>
      <c r="AF331" s="213"/>
      <c r="AG331" s="213"/>
      <c r="AH331" s="213"/>
      <c r="AI331" s="213"/>
      <c r="AJ331" s="213"/>
      <c r="AK331" s="213"/>
      <c r="AL331" s="213"/>
      <c r="AM331" s="213"/>
      <c r="AN331" s="213"/>
      <c r="AO331" s="213"/>
      <c r="AP331" s="213"/>
      <c r="AQ331" s="213"/>
      <c r="AR331" s="213"/>
      <c r="AS331" s="213"/>
      <c r="AT331" s="213"/>
      <c r="AU331" s="213"/>
      <c r="AV331" s="213"/>
      <c r="AW331" s="213"/>
      <c r="AX331" s="213"/>
      <c r="AY331" s="213"/>
      <c r="AZ331" s="213"/>
      <c r="BA331" s="213"/>
      <c r="BB331" s="213"/>
    </row>
    <row r="332">
      <c r="A332" s="199"/>
      <c r="B332" s="12"/>
      <c r="C332" s="202"/>
      <c r="D332" s="199"/>
      <c r="E332" s="211"/>
      <c r="F332" s="201"/>
      <c r="G332" s="199"/>
      <c r="H332" s="199"/>
      <c r="I332" s="199"/>
      <c r="J332" s="212"/>
      <c r="K332" s="212"/>
      <c r="L332" s="212"/>
      <c r="M332" s="212"/>
      <c r="N332" s="212"/>
      <c r="O332" s="212"/>
      <c r="P332" s="212"/>
      <c r="Q332" s="212"/>
      <c r="R332" s="212"/>
      <c r="S332" s="212"/>
      <c r="T332" s="212"/>
      <c r="U332" s="212"/>
      <c r="V332" s="212"/>
      <c r="W332" s="212"/>
      <c r="X332" s="212"/>
      <c r="Y332" s="212"/>
      <c r="Z332" s="204"/>
      <c r="AA332" s="204"/>
      <c r="AB332" s="204"/>
      <c r="AC332" s="204"/>
      <c r="AD332" s="204"/>
      <c r="AE332" s="212"/>
      <c r="AF332" s="213"/>
      <c r="AG332" s="213"/>
      <c r="AH332" s="213"/>
      <c r="AI332" s="213"/>
      <c r="AJ332" s="213"/>
      <c r="AK332" s="213"/>
      <c r="AL332" s="213"/>
      <c r="AM332" s="213"/>
      <c r="AN332" s="213"/>
      <c r="AO332" s="213"/>
      <c r="AP332" s="213"/>
      <c r="AQ332" s="213"/>
      <c r="AR332" s="213"/>
      <c r="AS332" s="213"/>
      <c r="AT332" s="213"/>
      <c r="AU332" s="213"/>
      <c r="AV332" s="213"/>
      <c r="AW332" s="213"/>
      <c r="AX332" s="213"/>
      <c r="AY332" s="213"/>
      <c r="AZ332" s="213"/>
      <c r="BA332" s="213"/>
      <c r="BB332" s="213"/>
    </row>
    <row r="333">
      <c r="A333" s="199"/>
      <c r="B333" s="12"/>
      <c r="C333" s="202"/>
      <c r="D333" s="199"/>
      <c r="E333" s="211"/>
      <c r="F333" s="201"/>
      <c r="G333" s="199"/>
      <c r="H333" s="199"/>
      <c r="I333" s="199"/>
      <c r="J333" s="212"/>
      <c r="K333" s="212"/>
      <c r="L333" s="212"/>
      <c r="M333" s="212"/>
      <c r="N333" s="212"/>
      <c r="O333" s="212"/>
      <c r="P333" s="212"/>
      <c r="Q333" s="212"/>
      <c r="R333" s="212"/>
      <c r="S333" s="212"/>
      <c r="T333" s="212"/>
      <c r="U333" s="212"/>
      <c r="V333" s="212"/>
      <c r="W333" s="212"/>
      <c r="X333" s="212"/>
      <c r="Y333" s="212"/>
      <c r="Z333" s="204"/>
      <c r="AA333" s="204"/>
      <c r="AB333" s="204"/>
      <c r="AC333" s="204"/>
      <c r="AD333" s="204"/>
      <c r="AE333" s="212"/>
      <c r="AF333" s="213"/>
      <c r="AG333" s="213"/>
      <c r="AH333" s="213"/>
      <c r="AI333" s="213"/>
      <c r="AJ333" s="213"/>
      <c r="AK333" s="213"/>
      <c r="AL333" s="213"/>
      <c r="AM333" s="213"/>
      <c r="AN333" s="213"/>
      <c r="AO333" s="213"/>
      <c r="AP333" s="213"/>
      <c r="AQ333" s="213"/>
      <c r="AR333" s="213"/>
      <c r="AS333" s="213"/>
      <c r="AT333" s="213"/>
      <c r="AU333" s="213"/>
      <c r="AV333" s="213"/>
      <c r="AW333" s="213"/>
      <c r="AX333" s="213"/>
      <c r="AY333" s="213"/>
      <c r="AZ333" s="213"/>
      <c r="BA333" s="213"/>
      <c r="BB333" s="213"/>
    </row>
    <row r="334">
      <c r="A334" s="199"/>
      <c r="B334" s="12"/>
      <c r="C334" s="202"/>
      <c r="D334" s="199"/>
      <c r="E334" s="211"/>
      <c r="F334" s="201"/>
      <c r="G334" s="199"/>
      <c r="H334" s="199"/>
      <c r="I334" s="199"/>
      <c r="J334" s="212"/>
      <c r="K334" s="212"/>
      <c r="L334" s="212"/>
      <c r="M334" s="212"/>
      <c r="N334" s="212"/>
      <c r="O334" s="212"/>
      <c r="P334" s="212"/>
      <c r="Q334" s="212"/>
      <c r="R334" s="212"/>
      <c r="S334" s="212"/>
      <c r="T334" s="212"/>
      <c r="U334" s="212"/>
      <c r="V334" s="212"/>
      <c r="W334" s="212"/>
      <c r="X334" s="212"/>
      <c r="Y334" s="212"/>
      <c r="Z334" s="204"/>
      <c r="AA334" s="204"/>
      <c r="AB334" s="204"/>
      <c r="AC334" s="204"/>
      <c r="AD334" s="204"/>
      <c r="AE334" s="212"/>
      <c r="AF334" s="213"/>
      <c r="AG334" s="213"/>
      <c r="AH334" s="213"/>
      <c r="AI334" s="213"/>
      <c r="AJ334" s="213"/>
      <c r="AK334" s="213"/>
      <c r="AL334" s="213"/>
      <c r="AM334" s="213"/>
      <c r="AN334" s="213"/>
      <c r="AO334" s="213"/>
      <c r="AP334" s="213"/>
      <c r="AQ334" s="213"/>
      <c r="AR334" s="213"/>
      <c r="AS334" s="213"/>
      <c r="AT334" s="213"/>
      <c r="AU334" s="213"/>
      <c r="AV334" s="213"/>
      <c r="AW334" s="213"/>
      <c r="AX334" s="213"/>
      <c r="AY334" s="213"/>
      <c r="AZ334" s="213"/>
      <c r="BA334" s="213"/>
      <c r="BB334" s="213"/>
    </row>
    <row r="335">
      <c r="A335" s="199"/>
      <c r="B335" s="12"/>
      <c r="C335" s="202"/>
      <c r="D335" s="199"/>
      <c r="E335" s="211"/>
      <c r="F335" s="201"/>
      <c r="G335" s="199"/>
      <c r="H335" s="199"/>
      <c r="I335" s="199"/>
      <c r="J335" s="212"/>
      <c r="K335" s="212"/>
      <c r="L335" s="212"/>
      <c r="M335" s="212"/>
      <c r="N335" s="212"/>
      <c r="O335" s="212"/>
      <c r="P335" s="212"/>
      <c r="Q335" s="212"/>
      <c r="R335" s="212"/>
      <c r="S335" s="212"/>
      <c r="T335" s="212"/>
      <c r="U335" s="212"/>
      <c r="V335" s="212"/>
      <c r="W335" s="212"/>
      <c r="X335" s="212"/>
      <c r="Y335" s="212"/>
      <c r="Z335" s="204"/>
      <c r="AA335" s="204"/>
      <c r="AB335" s="204"/>
      <c r="AC335" s="204"/>
      <c r="AD335" s="204"/>
      <c r="AE335" s="212"/>
      <c r="AF335" s="213"/>
      <c r="AG335" s="213"/>
      <c r="AH335" s="213"/>
      <c r="AI335" s="213"/>
      <c r="AJ335" s="213"/>
      <c r="AK335" s="213"/>
      <c r="AL335" s="213"/>
      <c r="AM335" s="213"/>
      <c r="AN335" s="213"/>
      <c r="AO335" s="213"/>
      <c r="AP335" s="213"/>
      <c r="AQ335" s="213"/>
      <c r="AR335" s="213"/>
      <c r="AS335" s="213"/>
      <c r="AT335" s="213"/>
      <c r="AU335" s="213"/>
      <c r="AV335" s="213"/>
      <c r="AW335" s="213"/>
      <c r="AX335" s="213"/>
      <c r="AY335" s="213"/>
      <c r="AZ335" s="213"/>
      <c r="BA335" s="213"/>
      <c r="BB335" s="213"/>
    </row>
    <row r="336">
      <c r="A336" s="199"/>
      <c r="B336" s="12"/>
      <c r="C336" s="202"/>
      <c r="D336" s="199"/>
      <c r="E336" s="211"/>
      <c r="F336" s="201"/>
      <c r="G336" s="199"/>
      <c r="H336" s="199"/>
      <c r="I336" s="199"/>
      <c r="J336" s="212"/>
      <c r="K336" s="212"/>
      <c r="L336" s="212"/>
      <c r="M336" s="212"/>
      <c r="N336" s="212"/>
      <c r="O336" s="212"/>
      <c r="P336" s="212"/>
      <c r="Q336" s="212"/>
      <c r="R336" s="212"/>
      <c r="S336" s="212"/>
      <c r="T336" s="212"/>
      <c r="U336" s="212"/>
      <c r="V336" s="212"/>
      <c r="W336" s="212"/>
      <c r="X336" s="212"/>
      <c r="Y336" s="212"/>
      <c r="Z336" s="204"/>
      <c r="AA336" s="204"/>
      <c r="AB336" s="204"/>
      <c r="AC336" s="204"/>
      <c r="AD336" s="204"/>
      <c r="AE336" s="212"/>
      <c r="AF336" s="213"/>
      <c r="AG336" s="213"/>
      <c r="AH336" s="213"/>
      <c r="AI336" s="213"/>
      <c r="AJ336" s="213"/>
      <c r="AK336" s="213"/>
      <c r="AL336" s="213"/>
      <c r="AM336" s="213"/>
      <c r="AN336" s="213"/>
      <c r="AO336" s="213"/>
      <c r="AP336" s="213"/>
      <c r="AQ336" s="213"/>
      <c r="AR336" s="213"/>
      <c r="AS336" s="213"/>
      <c r="AT336" s="213"/>
      <c r="AU336" s="213"/>
      <c r="AV336" s="213"/>
      <c r="AW336" s="213"/>
      <c r="AX336" s="213"/>
      <c r="AY336" s="213"/>
      <c r="AZ336" s="213"/>
      <c r="BA336" s="213"/>
      <c r="BB336" s="213"/>
    </row>
    <row r="337">
      <c r="A337" s="199"/>
      <c r="B337" s="12"/>
      <c r="C337" s="202"/>
      <c r="D337" s="199"/>
      <c r="E337" s="211"/>
      <c r="F337" s="201"/>
      <c r="G337" s="199"/>
      <c r="H337" s="199"/>
      <c r="I337" s="199"/>
      <c r="J337" s="212"/>
      <c r="K337" s="212"/>
      <c r="L337" s="212"/>
      <c r="M337" s="212"/>
      <c r="N337" s="212"/>
      <c r="O337" s="212"/>
      <c r="P337" s="212"/>
      <c r="Q337" s="212"/>
      <c r="R337" s="212"/>
      <c r="S337" s="212"/>
      <c r="T337" s="212"/>
      <c r="U337" s="212"/>
      <c r="V337" s="212"/>
      <c r="W337" s="212"/>
      <c r="X337" s="212"/>
      <c r="Y337" s="212"/>
      <c r="Z337" s="204"/>
      <c r="AA337" s="204"/>
      <c r="AB337" s="204"/>
      <c r="AC337" s="204"/>
      <c r="AD337" s="204"/>
      <c r="AE337" s="212"/>
      <c r="AF337" s="213"/>
      <c r="AG337" s="213"/>
      <c r="AH337" s="213"/>
      <c r="AI337" s="213"/>
      <c r="AJ337" s="213"/>
      <c r="AK337" s="213"/>
      <c r="AL337" s="213"/>
      <c r="AM337" s="213"/>
      <c r="AN337" s="213"/>
      <c r="AO337" s="213"/>
      <c r="AP337" s="213"/>
      <c r="AQ337" s="213"/>
      <c r="AR337" s="213"/>
      <c r="AS337" s="213"/>
      <c r="AT337" s="213"/>
      <c r="AU337" s="213"/>
      <c r="AV337" s="213"/>
      <c r="AW337" s="213"/>
      <c r="AX337" s="213"/>
      <c r="AY337" s="213"/>
      <c r="AZ337" s="213"/>
      <c r="BA337" s="213"/>
      <c r="BB337" s="213"/>
    </row>
    <row r="338">
      <c r="A338" s="199"/>
      <c r="B338" s="12"/>
      <c r="C338" s="202"/>
      <c r="D338" s="199"/>
      <c r="E338" s="211"/>
      <c r="F338" s="201"/>
      <c r="G338" s="199"/>
      <c r="H338" s="199"/>
      <c r="I338" s="199"/>
      <c r="J338" s="212"/>
      <c r="K338" s="212"/>
      <c r="L338" s="212"/>
      <c r="M338" s="212"/>
      <c r="N338" s="212"/>
      <c r="O338" s="212"/>
      <c r="P338" s="212"/>
      <c r="Q338" s="212"/>
      <c r="R338" s="212"/>
      <c r="S338" s="212"/>
      <c r="T338" s="212"/>
      <c r="U338" s="212"/>
      <c r="V338" s="212"/>
      <c r="W338" s="212"/>
      <c r="X338" s="212"/>
      <c r="Y338" s="212"/>
      <c r="Z338" s="204"/>
      <c r="AA338" s="204"/>
      <c r="AB338" s="204"/>
      <c r="AC338" s="204"/>
      <c r="AD338" s="204"/>
      <c r="AE338" s="212"/>
      <c r="AF338" s="213"/>
      <c r="AG338" s="213"/>
      <c r="AH338" s="213"/>
      <c r="AI338" s="213"/>
      <c r="AJ338" s="213"/>
      <c r="AK338" s="213"/>
      <c r="AL338" s="213"/>
      <c r="AM338" s="213"/>
      <c r="AN338" s="213"/>
      <c r="AO338" s="213"/>
      <c r="AP338" s="213"/>
      <c r="AQ338" s="213"/>
      <c r="AR338" s="213"/>
      <c r="AS338" s="213"/>
      <c r="AT338" s="213"/>
      <c r="AU338" s="213"/>
      <c r="AV338" s="213"/>
      <c r="AW338" s="213"/>
      <c r="AX338" s="213"/>
      <c r="AY338" s="213"/>
      <c r="AZ338" s="213"/>
      <c r="BA338" s="213"/>
      <c r="BB338" s="213"/>
    </row>
    <row r="339">
      <c r="A339" s="199"/>
      <c r="B339" s="12"/>
      <c r="C339" s="202"/>
      <c r="D339" s="199"/>
      <c r="E339" s="211"/>
      <c r="F339" s="201"/>
      <c r="G339" s="199"/>
      <c r="H339" s="199"/>
      <c r="I339" s="199"/>
      <c r="J339" s="212"/>
      <c r="K339" s="212"/>
      <c r="L339" s="212"/>
      <c r="M339" s="212"/>
      <c r="N339" s="212"/>
      <c r="O339" s="212"/>
      <c r="P339" s="212"/>
      <c r="Q339" s="212"/>
      <c r="R339" s="212"/>
      <c r="S339" s="212"/>
      <c r="T339" s="212"/>
      <c r="U339" s="212"/>
      <c r="V339" s="212"/>
      <c r="W339" s="212"/>
      <c r="X339" s="212"/>
      <c r="Y339" s="212"/>
      <c r="Z339" s="204"/>
      <c r="AA339" s="204"/>
      <c r="AB339" s="204"/>
      <c r="AC339" s="204"/>
      <c r="AD339" s="204"/>
      <c r="AE339" s="212"/>
      <c r="AF339" s="213"/>
      <c r="AG339" s="213"/>
      <c r="AH339" s="213"/>
      <c r="AI339" s="213"/>
      <c r="AJ339" s="213"/>
      <c r="AK339" s="213"/>
      <c r="AL339" s="213"/>
      <c r="AM339" s="213"/>
      <c r="AN339" s="213"/>
      <c r="AO339" s="213"/>
      <c r="AP339" s="213"/>
      <c r="AQ339" s="213"/>
      <c r="AR339" s="213"/>
      <c r="AS339" s="213"/>
      <c r="AT339" s="213"/>
      <c r="AU339" s="213"/>
      <c r="AV339" s="213"/>
      <c r="AW339" s="213"/>
      <c r="AX339" s="213"/>
      <c r="AY339" s="213"/>
      <c r="AZ339" s="213"/>
      <c r="BA339" s="213"/>
      <c r="BB339" s="213"/>
    </row>
    <row r="340">
      <c r="A340" s="199"/>
      <c r="B340" s="12"/>
      <c r="C340" s="202"/>
      <c r="D340" s="199"/>
      <c r="E340" s="211"/>
      <c r="F340" s="201"/>
      <c r="G340" s="199"/>
      <c r="H340" s="199"/>
      <c r="I340" s="199"/>
      <c r="J340" s="212"/>
      <c r="K340" s="212"/>
      <c r="L340" s="212"/>
      <c r="M340" s="212"/>
      <c r="N340" s="212"/>
      <c r="O340" s="212"/>
      <c r="P340" s="212"/>
      <c r="Q340" s="212"/>
      <c r="R340" s="212"/>
      <c r="S340" s="212"/>
      <c r="T340" s="212"/>
      <c r="U340" s="212"/>
      <c r="V340" s="212"/>
      <c r="W340" s="212"/>
      <c r="X340" s="212"/>
      <c r="Y340" s="212"/>
      <c r="Z340" s="204"/>
      <c r="AA340" s="204"/>
      <c r="AB340" s="204"/>
      <c r="AC340" s="204"/>
      <c r="AD340" s="204"/>
      <c r="AE340" s="212"/>
      <c r="AF340" s="213"/>
      <c r="AG340" s="213"/>
      <c r="AH340" s="213"/>
      <c r="AI340" s="213"/>
      <c r="AJ340" s="213"/>
      <c r="AK340" s="213"/>
      <c r="AL340" s="213"/>
      <c r="AM340" s="213"/>
      <c r="AN340" s="213"/>
      <c r="AO340" s="213"/>
      <c r="AP340" s="213"/>
      <c r="AQ340" s="213"/>
      <c r="AR340" s="213"/>
      <c r="AS340" s="213"/>
      <c r="AT340" s="213"/>
      <c r="AU340" s="213"/>
      <c r="AV340" s="213"/>
      <c r="AW340" s="213"/>
      <c r="AX340" s="213"/>
      <c r="AY340" s="213"/>
      <c r="AZ340" s="213"/>
      <c r="BA340" s="213"/>
      <c r="BB340" s="213"/>
    </row>
    <row r="341">
      <c r="A341" s="199"/>
      <c r="B341" s="12"/>
      <c r="C341" s="202"/>
      <c r="D341" s="199"/>
      <c r="E341" s="211"/>
      <c r="F341" s="201"/>
      <c r="G341" s="199"/>
      <c r="H341" s="199"/>
      <c r="I341" s="199"/>
      <c r="J341" s="212"/>
      <c r="K341" s="212"/>
      <c r="L341" s="212"/>
      <c r="M341" s="212"/>
      <c r="N341" s="212"/>
      <c r="O341" s="212"/>
      <c r="P341" s="212"/>
      <c r="Q341" s="212"/>
      <c r="R341" s="212"/>
      <c r="S341" s="212"/>
      <c r="T341" s="212"/>
      <c r="U341" s="212"/>
      <c r="V341" s="212"/>
      <c r="W341" s="212"/>
      <c r="X341" s="212"/>
      <c r="Y341" s="212"/>
      <c r="Z341" s="204"/>
      <c r="AA341" s="204"/>
      <c r="AB341" s="204"/>
      <c r="AC341" s="204"/>
      <c r="AD341" s="204"/>
      <c r="AE341" s="212"/>
      <c r="AF341" s="213"/>
      <c r="AG341" s="213"/>
      <c r="AH341" s="213"/>
      <c r="AI341" s="213"/>
      <c r="AJ341" s="213"/>
      <c r="AK341" s="213"/>
      <c r="AL341" s="213"/>
      <c r="AM341" s="213"/>
      <c r="AN341" s="213"/>
      <c r="AO341" s="213"/>
      <c r="AP341" s="213"/>
      <c r="AQ341" s="213"/>
      <c r="AR341" s="213"/>
      <c r="AS341" s="213"/>
      <c r="AT341" s="213"/>
      <c r="AU341" s="213"/>
      <c r="AV341" s="213"/>
      <c r="AW341" s="213"/>
      <c r="AX341" s="213"/>
      <c r="AY341" s="213"/>
      <c r="AZ341" s="213"/>
      <c r="BA341" s="213"/>
      <c r="BB341" s="213"/>
    </row>
    <row r="342">
      <c r="A342" s="199"/>
      <c r="B342" s="12"/>
      <c r="C342" s="202"/>
      <c r="D342" s="199"/>
      <c r="E342" s="211"/>
      <c r="F342" s="201"/>
      <c r="G342" s="199"/>
      <c r="H342" s="199"/>
      <c r="I342" s="199"/>
      <c r="J342" s="212"/>
      <c r="K342" s="212"/>
      <c r="L342" s="212"/>
      <c r="M342" s="212"/>
      <c r="N342" s="212"/>
      <c r="O342" s="212"/>
      <c r="P342" s="212"/>
      <c r="Q342" s="212"/>
      <c r="R342" s="212"/>
      <c r="S342" s="212"/>
      <c r="T342" s="212"/>
      <c r="U342" s="212"/>
      <c r="V342" s="212"/>
      <c r="W342" s="212"/>
      <c r="X342" s="212"/>
      <c r="Y342" s="212"/>
      <c r="Z342" s="204"/>
      <c r="AA342" s="204"/>
      <c r="AB342" s="204"/>
      <c r="AC342" s="204"/>
      <c r="AD342" s="204"/>
      <c r="AE342" s="212"/>
      <c r="AF342" s="213"/>
      <c r="AG342" s="213"/>
      <c r="AH342" s="213"/>
      <c r="AI342" s="213"/>
      <c r="AJ342" s="213"/>
      <c r="AK342" s="213"/>
      <c r="AL342" s="213"/>
      <c r="AM342" s="213"/>
      <c r="AN342" s="213"/>
      <c r="AO342" s="213"/>
      <c r="AP342" s="213"/>
      <c r="AQ342" s="213"/>
      <c r="AR342" s="213"/>
      <c r="AS342" s="213"/>
      <c r="AT342" s="213"/>
      <c r="AU342" s="213"/>
      <c r="AV342" s="213"/>
      <c r="AW342" s="213"/>
      <c r="AX342" s="213"/>
      <c r="AY342" s="213"/>
      <c r="AZ342" s="213"/>
      <c r="BA342" s="213"/>
      <c r="BB342" s="213"/>
    </row>
    <row r="343">
      <c r="A343" s="199"/>
      <c r="B343" s="12"/>
      <c r="C343" s="202"/>
      <c r="D343" s="199"/>
      <c r="E343" s="211"/>
      <c r="F343" s="201"/>
      <c r="G343" s="199"/>
      <c r="H343" s="199"/>
      <c r="I343" s="199"/>
      <c r="J343" s="212"/>
      <c r="K343" s="212"/>
      <c r="L343" s="212"/>
      <c r="M343" s="212"/>
      <c r="N343" s="212"/>
      <c r="O343" s="212"/>
      <c r="P343" s="212"/>
      <c r="Q343" s="212"/>
      <c r="R343" s="212"/>
      <c r="S343" s="212"/>
      <c r="T343" s="212"/>
      <c r="U343" s="212"/>
      <c r="V343" s="212"/>
      <c r="W343" s="212"/>
      <c r="X343" s="212"/>
      <c r="Y343" s="212"/>
      <c r="Z343" s="204"/>
      <c r="AA343" s="204"/>
      <c r="AB343" s="204"/>
      <c r="AC343" s="204"/>
      <c r="AD343" s="204"/>
      <c r="AE343" s="212"/>
      <c r="AF343" s="213"/>
      <c r="AG343" s="213"/>
      <c r="AH343" s="213"/>
      <c r="AI343" s="213"/>
      <c r="AJ343" s="213"/>
      <c r="AK343" s="213"/>
      <c r="AL343" s="213"/>
      <c r="AM343" s="213"/>
      <c r="AN343" s="213"/>
      <c r="AO343" s="213"/>
      <c r="AP343" s="213"/>
      <c r="AQ343" s="213"/>
      <c r="AR343" s="213"/>
      <c r="AS343" s="213"/>
      <c r="AT343" s="213"/>
      <c r="AU343" s="213"/>
      <c r="AV343" s="213"/>
      <c r="AW343" s="213"/>
      <c r="AX343" s="213"/>
      <c r="AY343" s="213"/>
      <c r="AZ343" s="213"/>
      <c r="BA343" s="213"/>
      <c r="BB343" s="213"/>
    </row>
    <row r="344">
      <c r="A344" s="199"/>
      <c r="B344" s="12"/>
      <c r="C344" s="202"/>
      <c r="D344" s="199"/>
      <c r="E344" s="211"/>
      <c r="F344" s="201"/>
      <c r="G344" s="199"/>
      <c r="H344" s="199"/>
      <c r="I344" s="199"/>
      <c r="J344" s="212"/>
      <c r="K344" s="212"/>
      <c r="L344" s="212"/>
      <c r="M344" s="212"/>
      <c r="N344" s="212"/>
      <c r="O344" s="212"/>
      <c r="P344" s="212"/>
      <c r="Q344" s="212"/>
      <c r="R344" s="212"/>
      <c r="S344" s="212"/>
      <c r="T344" s="212"/>
      <c r="U344" s="212"/>
      <c r="V344" s="212"/>
      <c r="W344" s="212"/>
      <c r="X344" s="212"/>
      <c r="Y344" s="212"/>
      <c r="Z344" s="204"/>
      <c r="AA344" s="204"/>
      <c r="AB344" s="204"/>
      <c r="AC344" s="204"/>
      <c r="AD344" s="204"/>
      <c r="AE344" s="212"/>
      <c r="AF344" s="213"/>
      <c r="AG344" s="213"/>
      <c r="AH344" s="213"/>
      <c r="AI344" s="213"/>
      <c r="AJ344" s="213"/>
      <c r="AK344" s="213"/>
      <c r="AL344" s="213"/>
      <c r="AM344" s="213"/>
      <c r="AN344" s="213"/>
      <c r="AO344" s="213"/>
      <c r="AP344" s="213"/>
      <c r="AQ344" s="213"/>
      <c r="AR344" s="213"/>
      <c r="AS344" s="213"/>
      <c r="AT344" s="213"/>
      <c r="AU344" s="213"/>
      <c r="AV344" s="213"/>
      <c r="AW344" s="213"/>
      <c r="AX344" s="213"/>
      <c r="AY344" s="213"/>
      <c r="AZ344" s="213"/>
      <c r="BA344" s="213"/>
      <c r="BB344" s="213"/>
    </row>
    <row r="345">
      <c r="A345" s="199"/>
      <c r="B345" s="12"/>
      <c r="C345" s="202"/>
      <c r="D345" s="199"/>
      <c r="E345" s="211"/>
      <c r="F345" s="201"/>
      <c r="G345" s="199"/>
      <c r="H345" s="199"/>
      <c r="I345" s="199"/>
      <c r="J345" s="212"/>
      <c r="K345" s="212"/>
      <c r="L345" s="212"/>
      <c r="M345" s="212"/>
      <c r="N345" s="212"/>
      <c r="O345" s="212"/>
      <c r="P345" s="212"/>
      <c r="Q345" s="212"/>
      <c r="R345" s="212"/>
      <c r="S345" s="212"/>
      <c r="T345" s="212"/>
      <c r="U345" s="212"/>
      <c r="V345" s="212"/>
      <c r="W345" s="212"/>
      <c r="X345" s="212"/>
      <c r="Y345" s="212"/>
      <c r="Z345" s="204"/>
      <c r="AA345" s="204"/>
      <c r="AB345" s="204"/>
      <c r="AC345" s="204"/>
      <c r="AD345" s="204"/>
      <c r="AE345" s="212"/>
      <c r="AF345" s="213"/>
      <c r="AG345" s="213"/>
      <c r="AH345" s="213"/>
      <c r="AI345" s="213"/>
      <c r="AJ345" s="213"/>
      <c r="AK345" s="213"/>
      <c r="AL345" s="213"/>
      <c r="AM345" s="213"/>
      <c r="AN345" s="213"/>
      <c r="AO345" s="213"/>
      <c r="AP345" s="213"/>
      <c r="AQ345" s="213"/>
      <c r="AR345" s="213"/>
      <c r="AS345" s="213"/>
      <c r="AT345" s="213"/>
      <c r="AU345" s="213"/>
      <c r="AV345" s="213"/>
      <c r="AW345" s="213"/>
      <c r="AX345" s="213"/>
      <c r="AY345" s="213"/>
      <c r="AZ345" s="213"/>
      <c r="BA345" s="213"/>
      <c r="BB345" s="213"/>
    </row>
    <row r="346">
      <c r="A346" s="199"/>
      <c r="B346" s="12"/>
      <c r="C346" s="202"/>
      <c r="D346" s="199"/>
      <c r="E346" s="211"/>
      <c r="F346" s="201"/>
      <c r="G346" s="199"/>
      <c r="H346" s="199"/>
      <c r="I346" s="199"/>
      <c r="J346" s="212"/>
      <c r="K346" s="212"/>
      <c r="L346" s="212"/>
      <c r="M346" s="212"/>
      <c r="N346" s="212"/>
      <c r="O346" s="212"/>
      <c r="P346" s="212"/>
      <c r="Q346" s="212"/>
      <c r="R346" s="212"/>
      <c r="S346" s="212"/>
      <c r="T346" s="212"/>
      <c r="U346" s="212"/>
      <c r="V346" s="212"/>
      <c r="W346" s="212"/>
      <c r="X346" s="212"/>
      <c r="Y346" s="212"/>
      <c r="Z346" s="204"/>
      <c r="AA346" s="204"/>
      <c r="AB346" s="204"/>
      <c r="AC346" s="204"/>
      <c r="AD346" s="204"/>
      <c r="AE346" s="212"/>
      <c r="AF346" s="213"/>
      <c r="AG346" s="213"/>
      <c r="AH346" s="213"/>
      <c r="AI346" s="213"/>
      <c r="AJ346" s="213"/>
      <c r="AK346" s="213"/>
      <c r="AL346" s="213"/>
      <c r="AM346" s="213"/>
      <c r="AN346" s="213"/>
      <c r="AO346" s="213"/>
      <c r="AP346" s="213"/>
      <c r="AQ346" s="213"/>
      <c r="AR346" s="213"/>
      <c r="AS346" s="213"/>
      <c r="AT346" s="213"/>
      <c r="AU346" s="213"/>
      <c r="AV346" s="213"/>
      <c r="AW346" s="213"/>
      <c r="AX346" s="213"/>
      <c r="AY346" s="213"/>
      <c r="AZ346" s="213"/>
      <c r="BA346" s="213"/>
      <c r="BB346" s="213"/>
    </row>
    <row r="347">
      <c r="A347" s="199"/>
      <c r="B347" s="12"/>
      <c r="C347" s="202"/>
      <c r="D347" s="199"/>
      <c r="E347" s="211"/>
      <c r="F347" s="201"/>
      <c r="G347" s="199"/>
      <c r="H347" s="199"/>
      <c r="I347" s="199"/>
      <c r="J347" s="212"/>
      <c r="K347" s="212"/>
      <c r="L347" s="212"/>
      <c r="M347" s="212"/>
      <c r="N347" s="212"/>
      <c r="O347" s="212"/>
      <c r="P347" s="212"/>
      <c r="Q347" s="212"/>
      <c r="R347" s="212"/>
      <c r="S347" s="212"/>
      <c r="T347" s="212"/>
      <c r="U347" s="212"/>
      <c r="V347" s="212"/>
      <c r="W347" s="212"/>
      <c r="X347" s="212"/>
      <c r="Y347" s="212"/>
      <c r="Z347" s="204"/>
      <c r="AA347" s="204"/>
      <c r="AB347" s="204"/>
      <c r="AC347" s="204"/>
      <c r="AD347" s="204"/>
      <c r="AE347" s="212"/>
      <c r="AF347" s="213"/>
      <c r="AG347" s="213"/>
      <c r="AH347" s="213"/>
      <c r="AI347" s="213"/>
      <c r="AJ347" s="213"/>
      <c r="AK347" s="213"/>
      <c r="AL347" s="213"/>
      <c r="AM347" s="213"/>
      <c r="AN347" s="213"/>
      <c r="AO347" s="213"/>
      <c r="AP347" s="213"/>
      <c r="AQ347" s="213"/>
      <c r="AR347" s="213"/>
      <c r="AS347" s="213"/>
      <c r="AT347" s="213"/>
      <c r="AU347" s="213"/>
      <c r="AV347" s="213"/>
      <c r="AW347" s="213"/>
      <c r="AX347" s="213"/>
      <c r="AY347" s="213"/>
      <c r="AZ347" s="213"/>
      <c r="BA347" s="213"/>
      <c r="BB347" s="213"/>
    </row>
    <row r="348">
      <c r="A348" s="199"/>
      <c r="B348" s="12"/>
      <c r="C348" s="202"/>
      <c r="D348" s="199"/>
      <c r="E348" s="211"/>
      <c r="F348" s="201"/>
      <c r="G348" s="199"/>
      <c r="H348" s="199"/>
      <c r="I348" s="199"/>
      <c r="J348" s="212"/>
      <c r="K348" s="212"/>
      <c r="L348" s="212"/>
      <c r="M348" s="212"/>
      <c r="N348" s="212"/>
      <c r="O348" s="212"/>
      <c r="P348" s="212"/>
      <c r="Q348" s="212"/>
      <c r="R348" s="212"/>
      <c r="S348" s="212"/>
      <c r="T348" s="212"/>
      <c r="U348" s="212"/>
      <c r="V348" s="212"/>
      <c r="W348" s="212"/>
      <c r="X348" s="212"/>
      <c r="Y348" s="212"/>
      <c r="Z348" s="204"/>
      <c r="AA348" s="204"/>
      <c r="AB348" s="204"/>
      <c r="AC348" s="204"/>
      <c r="AD348" s="204"/>
      <c r="AE348" s="212"/>
      <c r="AF348" s="213"/>
      <c r="AG348" s="213"/>
      <c r="AH348" s="213"/>
      <c r="AI348" s="213"/>
      <c r="AJ348" s="213"/>
      <c r="AK348" s="213"/>
      <c r="AL348" s="213"/>
      <c r="AM348" s="213"/>
      <c r="AN348" s="213"/>
      <c r="AO348" s="213"/>
      <c r="AP348" s="213"/>
      <c r="AQ348" s="213"/>
      <c r="AR348" s="213"/>
      <c r="AS348" s="213"/>
      <c r="AT348" s="213"/>
      <c r="AU348" s="213"/>
      <c r="AV348" s="213"/>
      <c r="AW348" s="213"/>
      <c r="AX348" s="213"/>
      <c r="AY348" s="213"/>
      <c r="AZ348" s="213"/>
      <c r="BA348" s="213"/>
      <c r="BB348" s="213"/>
    </row>
    <row r="349">
      <c r="A349" s="199"/>
      <c r="B349" s="12"/>
      <c r="C349" s="202"/>
      <c r="D349" s="199"/>
      <c r="E349" s="211"/>
      <c r="F349" s="201"/>
      <c r="G349" s="199"/>
      <c r="H349" s="199"/>
      <c r="I349" s="199"/>
      <c r="J349" s="212"/>
      <c r="K349" s="212"/>
      <c r="L349" s="212"/>
      <c r="M349" s="212"/>
      <c r="N349" s="212"/>
      <c r="O349" s="212"/>
      <c r="P349" s="212"/>
      <c r="Q349" s="212"/>
      <c r="R349" s="212"/>
      <c r="S349" s="212"/>
      <c r="T349" s="212"/>
      <c r="U349" s="212"/>
      <c r="V349" s="212"/>
      <c r="W349" s="212"/>
      <c r="X349" s="212"/>
      <c r="Y349" s="212"/>
      <c r="Z349" s="204"/>
      <c r="AA349" s="204"/>
      <c r="AB349" s="204"/>
      <c r="AC349" s="204"/>
      <c r="AD349" s="204"/>
      <c r="AE349" s="212"/>
      <c r="AF349" s="213"/>
      <c r="AG349" s="213"/>
      <c r="AH349" s="213"/>
      <c r="AI349" s="213"/>
      <c r="AJ349" s="213"/>
      <c r="AK349" s="213"/>
      <c r="AL349" s="213"/>
      <c r="AM349" s="213"/>
      <c r="AN349" s="213"/>
      <c r="AO349" s="213"/>
      <c r="AP349" s="213"/>
      <c r="AQ349" s="213"/>
      <c r="AR349" s="213"/>
      <c r="AS349" s="213"/>
      <c r="AT349" s="213"/>
      <c r="AU349" s="213"/>
      <c r="AV349" s="213"/>
      <c r="AW349" s="213"/>
      <c r="AX349" s="213"/>
      <c r="AY349" s="213"/>
      <c r="AZ349" s="213"/>
      <c r="BA349" s="213"/>
      <c r="BB349" s="213"/>
    </row>
    <row r="350">
      <c r="A350" s="199"/>
      <c r="B350" s="12"/>
      <c r="C350" s="202"/>
      <c r="D350" s="199"/>
      <c r="E350" s="211"/>
      <c r="F350" s="201"/>
      <c r="G350" s="199"/>
      <c r="H350" s="199"/>
      <c r="I350" s="199"/>
      <c r="J350" s="212"/>
      <c r="K350" s="212"/>
      <c r="L350" s="212"/>
      <c r="M350" s="212"/>
      <c r="N350" s="212"/>
      <c r="O350" s="212"/>
      <c r="P350" s="212"/>
      <c r="Q350" s="212"/>
      <c r="R350" s="212"/>
      <c r="S350" s="212"/>
      <c r="T350" s="212"/>
      <c r="U350" s="212"/>
      <c r="V350" s="212"/>
      <c r="W350" s="212"/>
      <c r="X350" s="212"/>
      <c r="Y350" s="212"/>
      <c r="Z350" s="204"/>
      <c r="AA350" s="204"/>
      <c r="AB350" s="204"/>
      <c r="AC350" s="204"/>
      <c r="AD350" s="204"/>
      <c r="AE350" s="212"/>
      <c r="AF350" s="213"/>
      <c r="AG350" s="213"/>
      <c r="AH350" s="213"/>
      <c r="AI350" s="213"/>
      <c r="AJ350" s="213"/>
      <c r="AK350" s="213"/>
      <c r="AL350" s="213"/>
      <c r="AM350" s="213"/>
      <c r="AN350" s="213"/>
      <c r="AO350" s="213"/>
      <c r="AP350" s="213"/>
      <c r="AQ350" s="213"/>
      <c r="AR350" s="213"/>
      <c r="AS350" s="213"/>
      <c r="AT350" s="213"/>
      <c r="AU350" s="213"/>
      <c r="AV350" s="213"/>
      <c r="AW350" s="213"/>
      <c r="AX350" s="213"/>
      <c r="AY350" s="213"/>
      <c r="AZ350" s="213"/>
      <c r="BA350" s="213"/>
      <c r="BB350" s="213"/>
    </row>
    <row r="351">
      <c r="A351" s="199"/>
      <c r="B351" s="12"/>
      <c r="C351" s="202"/>
      <c r="D351" s="199"/>
      <c r="E351" s="211"/>
      <c r="F351" s="201"/>
      <c r="G351" s="199"/>
      <c r="H351" s="199"/>
      <c r="I351" s="199"/>
      <c r="J351" s="212"/>
      <c r="K351" s="212"/>
      <c r="L351" s="212"/>
      <c r="M351" s="212"/>
      <c r="N351" s="212"/>
      <c r="O351" s="212"/>
      <c r="P351" s="212"/>
      <c r="Q351" s="212"/>
      <c r="R351" s="212"/>
      <c r="S351" s="212"/>
      <c r="T351" s="212"/>
      <c r="U351" s="212"/>
      <c r="V351" s="212"/>
      <c r="W351" s="212"/>
      <c r="X351" s="212"/>
      <c r="Y351" s="212"/>
      <c r="Z351" s="204"/>
      <c r="AA351" s="204"/>
      <c r="AB351" s="204"/>
      <c r="AC351" s="204"/>
      <c r="AD351" s="204"/>
      <c r="AE351" s="212"/>
      <c r="AF351" s="213"/>
      <c r="AG351" s="213"/>
      <c r="AH351" s="213"/>
      <c r="AI351" s="213"/>
      <c r="AJ351" s="213"/>
      <c r="AK351" s="213"/>
      <c r="AL351" s="213"/>
      <c r="AM351" s="213"/>
      <c r="AN351" s="213"/>
      <c r="AO351" s="213"/>
      <c r="AP351" s="213"/>
      <c r="AQ351" s="213"/>
      <c r="AR351" s="213"/>
      <c r="AS351" s="213"/>
      <c r="AT351" s="213"/>
      <c r="AU351" s="213"/>
      <c r="AV351" s="213"/>
      <c r="AW351" s="213"/>
      <c r="AX351" s="213"/>
      <c r="AY351" s="213"/>
      <c r="AZ351" s="213"/>
      <c r="BA351" s="213"/>
      <c r="BB351" s="213"/>
    </row>
    <row r="352">
      <c r="A352" s="199"/>
      <c r="B352" s="12"/>
      <c r="C352" s="202"/>
      <c r="D352" s="199"/>
      <c r="E352" s="211"/>
      <c r="F352" s="201"/>
      <c r="G352" s="199"/>
      <c r="H352" s="199"/>
      <c r="I352" s="199"/>
      <c r="J352" s="212"/>
      <c r="K352" s="212"/>
      <c r="L352" s="212"/>
      <c r="M352" s="212"/>
      <c r="N352" s="212"/>
      <c r="O352" s="212"/>
      <c r="P352" s="212"/>
      <c r="Q352" s="212"/>
      <c r="R352" s="212"/>
      <c r="S352" s="212"/>
      <c r="T352" s="212"/>
      <c r="U352" s="212"/>
      <c r="V352" s="212"/>
      <c r="W352" s="212"/>
      <c r="X352" s="212"/>
      <c r="Y352" s="212"/>
      <c r="Z352" s="204"/>
      <c r="AA352" s="204"/>
      <c r="AB352" s="204"/>
      <c r="AC352" s="204"/>
      <c r="AD352" s="204"/>
      <c r="AE352" s="212"/>
      <c r="AF352" s="213"/>
      <c r="AG352" s="213"/>
      <c r="AH352" s="213"/>
      <c r="AI352" s="213"/>
      <c r="AJ352" s="213"/>
      <c r="AK352" s="213"/>
      <c r="AL352" s="213"/>
      <c r="AM352" s="213"/>
      <c r="AN352" s="213"/>
      <c r="AO352" s="213"/>
      <c r="AP352" s="213"/>
      <c r="AQ352" s="213"/>
      <c r="AR352" s="213"/>
      <c r="AS352" s="213"/>
      <c r="AT352" s="213"/>
      <c r="AU352" s="213"/>
      <c r="AV352" s="213"/>
      <c r="AW352" s="213"/>
      <c r="AX352" s="213"/>
      <c r="AY352" s="213"/>
      <c r="AZ352" s="213"/>
      <c r="BA352" s="213"/>
      <c r="BB352" s="213"/>
    </row>
    <row r="353">
      <c r="A353" s="199"/>
      <c r="B353" s="12"/>
      <c r="C353" s="202"/>
      <c r="D353" s="199"/>
      <c r="E353" s="211"/>
      <c r="F353" s="201"/>
      <c r="G353" s="199"/>
      <c r="H353" s="199"/>
      <c r="I353" s="199"/>
      <c r="J353" s="212"/>
      <c r="K353" s="212"/>
      <c r="L353" s="212"/>
      <c r="M353" s="212"/>
      <c r="N353" s="212"/>
      <c r="O353" s="212"/>
      <c r="P353" s="212"/>
      <c r="Q353" s="212"/>
      <c r="R353" s="212"/>
      <c r="S353" s="212"/>
      <c r="T353" s="212"/>
      <c r="U353" s="212"/>
      <c r="V353" s="212"/>
      <c r="W353" s="212"/>
      <c r="X353" s="212"/>
      <c r="Y353" s="212"/>
      <c r="Z353" s="204"/>
      <c r="AA353" s="204"/>
      <c r="AB353" s="204"/>
      <c r="AC353" s="204"/>
      <c r="AD353" s="204"/>
      <c r="AE353" s="212"/>
      <c r="AF353" s="213"/>
      <c r="AG353" s="213"/>
      <c r="AH353" s="213"/>
      <c r="AI353" s="213"/>
      <c r="AJ353" s="213"/>
      <c r="AK353" s="213"/>
      <c r="AL353" s="213"/>
      <c r="AM353" s="213"/>
      <c r="AN353" s="213"/>
      <c r="AO353" s="213"/>
      <c r="AP353" s="213"/>
      <c r="AQ353" s="213"/>
      <c r="AR353" s="213"/>
      <c r="AS353" s="213"/>
      <c r="AT353" s="213"/>
      <c r="AU353" s="213"/>
      <c r="AV353" s="213"/>
      <c r="AW353" s="213"/>
      <c r="AX353" s="213"/>
      <c r="AY353" s="213"/>
      <c r="AZ353" s="213"/>
      <c r="BA353" s="213"/>
      <c r="BB353" s="213"/>
    </row>
    <row r="354">
      <c r="A354" s="199"/>
      <c r="B354" s="12"/>
      <c r="C354" s="202"/>
      <c r="D354" s="199"/>
      <c r="E354" s="211"/>
      <c r="F354" s="201"/>
      <c r="G354" s="199"/>
      <c r="H354" s="199"/>
      <c r="I354" s="199"/>
      <c r="J354" s="212"/>
      <c r="K354" s="212"/>
      <c r="L354" s="212"/>
      <c r="M354" s="212"/>
      <c r="N354" s="212"/>
      <c r="O354" s="212"/>
      <c r="P354" s="212"/>
      <c r="Q354" s="212"/>
      <c r="R354" s="212"/>
      <c r="S354" s="212"/>
      <c r="T354" s="212"/>
      <c r="U354" s="212"/>
      <c r="V354" s="212"/>
      <c r="W354" s="212"/>
      <c r="X354" s="212"/>
      <c r="Y354" s="212"/>
      <c r="Z354" s="204"/>
      <c r="AA354" s="204"/>
      <c r="AB354" s="204"/>
      <c r="AC354" s="204"/>
      <c r="AD354" s="204"/>
      <c r="AE354" s="212"/>
      <c r="AF354" s="213"/>
      <c r="AG354" s="213"/>
      <c r="AH354" s="213"/>
      <c r="AI354" s="213"/>
      <c r="AJ354" s="213"/>
      <c r="AK354" s="213"/>
      <c r="AL354" s="213"/>
      <c r="AM354" s="213"/>
      <c r="AN354" s="213"/>
      <c r="AO354" s="213"/>
      <c r="AP354" s="213"/>
      <c r="AQ354" s="213"/>
      <c r="AR354" s="213"/>
      <c r="AS354" s="213"/>
      <c r="AT354" s="213"/>
      <c r="AU354" s="213"/>
      <c r="AV354" s="213"/>
      <c r="AW354" s="213"/>
      <c r="AX354" s="213"/>
      <c r="AY354" s="213"/>
      <c r="AZ354" s="213"/>
      <c r="BA354" s="213"/>
      <c r="BB354" s="213"/>
    </row>
    <row r="355">
      <c r="A355" s="199"/>
      <c r="B355" s="12"/>
      <c r="C355" s="202"/>
      <c r="D355" s="199"/>
      <c r="E355" s="211"/>
      <c r="F355" s="201"/>
      <c r="G355" s="199"/>
      <c r="H355" s="199"/>
      <c r="I355" s="199"/>
      <c r="J355" s="212"/>
      <c r="K355" s="212"/>
      <c r="L355" s="212"/>
      <c r="M355" s="212"/>
      <c r="N355" s="212"/>
      <c r="O355" s="212"/>
      <c r="P355" s="212"/>
      <c r="Q355" s="212"/>
      <c r="R355" s="212"/>
      <c r="S355" s="212"/>
      <c r="T355" s="212"/>
      <c r="U355" s="212"/>
      <c r="V355" s="212"/>
      <c r="W355" s="212"/>
      <c r="X355" s="212"/>
      <c r="Y355" s="212"/>
      <c r="Z355" s="204"/>
      <c r="AA355" s="204"/>
      <c r="AB355" s="204"/>
      <c r="AC355" s="204"/>
      <c r="AD355" s="204"/>
      <c r="AE355" s="212"/>
      <c r="AF355" s="213"/>
      <c r="AG355" s="213"/>
      <c r="AH355" s="213"/>
      <c r="AI355" s="213"/>
      <c r="AJ355" s="213"/>
      <c r="AK355" s="213"/>
      <c r="AL355" s="213"/>
      <c r="AM355" s="213"/>
      <c r="AN355" s="213"/>
      <c r="AO355" s="213"/>
      <c r="AP355" s="213"/>
      <c r="AQ355" s="213"/>
      <c r="AR355" s="213"/>
      <c r="AS355" s="213"/>
      <c r="AT355" s="213"/>
      <c r="AU355" s="213"/>
      <c r="AV355" s="213"/>
      <c r="AW355" s="213"/>
      <c r="AX355" s="213"/>
      <c r="AY355" s="213"/>
      <c r="AZ355" s="213"/>
      <c r="BA355" s="213"/>
      <c r="BB355" s="213"/>
    </row>
    <row r="356">
      <c r="A356" s="199"/>
      <c r="B356" s="12"/>
      <c r="C356" s="202"/>
      <c r="D356" s="199"/>
      <c r="E356" s="211"/>
      <c r="F356" s="201"/>
      <c r="G356" s="199"/>
      <c r="H356" s="199"/>
      <c r="I356" s="199"/>
      <c r="J356" s="212"/>
      <c r="K356" s="212"/>
      <c r="L356" s="212"/>
      <c r="M356" s="212"/>
      <c r="N356" s="212"/>
      <c r="O356" s="212"/>
      <c r="P356" s="212"/>
      <c r="Q356" s="212"/>
      <c r="R356" s="212"/>
      <c r="S356" s="212"/>
      <c r="T356" s="212"/>
      <c r="U356" s="212"/>
      <c r="V356" s="212"/>
      <c r="W356" s="212"/>
      <c r="X356" s="212"/>
      <c r="Y356" s="212"/>
      <c r="Z356" s="204"/>
      <c r="AA356" s="204"/>
      <c r="AB356" s="204"/>
      <c r="AC356" s="204"/>
      <c r="AD356" s="204"/>
      <c r="AE356" s="212"/>
      <c r="AF356" s="213"/>
      <c r="AG356" s="213"/>
      <c r="AH356" s="213"/>
      <c r="AI356" s="213"/>
      <c r="AJ356" s="213"/>
      <c r="AK356" s="213"/>
      <c r="AL356" s="213"/>
      <c r="AM356" s="213"/>
      <c r="AN356" s="213"/>
      <c r="AO356" s="213"/>
      <c r="AP356" s="213"/>
      <c r="AQ356" s="213"/>
      <c r="AR356" s="213"/>
      <c r="AS356" s="213"/>
      <c r="AT356" s="213"/>
      <c r="AU356" s="213"/>
      <c r="AV356" s="213"/>
      <c r="AW356" s="213"/>
      <c r="AX356" s="213"/>
      <c r="AY356" s="213"/>
      <c r="AZ356" s="213"/>
      <c r="BA356" s="213"/>
      <c r="BB356" s="213"/>
    </row>
    <row r="357">
      <c r="A357" s="199"/>
      <c r="B357" s="12"/>
      <c r="C357" s="202"/>
      <c r="D357" s="199"/>
      <c r="E357" s="211"/>
      <c r="F357" s="201"/>
      <c r="G357" s="199"/>
      <c r="H357" s="199"/>
      <c r="I357" s="199"/>
      <c r="J357" s="212"/>
      <c r="K357" s="212"/>
      <c r="L357" s="212"/>
      <c r="M357" s="212"/>
      <c r="N357" s="212"/>
      <c r="O357" s="212"/>
      <c r="P357" s="212"/>
      <c r="Q357" s="212"/>
      <c r="R357" s="212"/>
      <c r="S357" s="212"/>
      <c r="T357" s="212"/>
      <c r="U357" s="212"/>
      <c r="V357" s="212"/>
      <c r="W357" s="212"/>
      <c r="X357" s="212"/>
      <c r="Y357" s="212"/>
      <c r="Z357" s="204"/>
      <c r="AA357" s="204"/>
      <c r="AB357" s="204"/>
      <c r="AC357" s="204"/>
      <c r="AD357" s="204"/>
      <c r="AE357" s="212"/>
      <c r="AF357" s="213"/>
      <c r="AG357" s="213"/>
      <c r="AH357" s="213"/>
      <c r="AI357" s="213"/>
      <c r="AJ357" s="213"/>
      <c r="AK357" s="213"/>
      <c r="AL357" s="213"/>
      <c r="AM357" s="213"/>
      <c r="AN357" s="213"/>
      <c r="AO357" s="213"/>
      <c r="AP357" s="213"/>
      <c r="AQ357" s="213"/>
      <c r="AR357" s="213"/>
      <c r="AS357" s="213"/>
      <c r="AT357" s="213"/>
      <c r="AU357" s="213"/>
      <c r="AV357" s="213"/>
      <c r="AW357" s="213"/>
      <c r="AX357" s="213"/>
      <c r="AY357" s="213"/>
      <c r="AZ357" s="213"/>
      <c r="BA357" s="213"/>
      <c r="BB357" s="213"/>
    </row>
    <row r="358">
      <c r="A358" s="199"/>
      <c r="B358" s="12"/>
      <c r="C358" s="202"/>
      <c r="D358" s="199"/>
      <c r="E358" s="211"/>
      <c r="F358" s="201"/>
      <c r="G358" s="199"/>
      <c r="H358" s="199"/>
      <c r="I358" s="199"/>
      <c r="J358" s="212"/>
      <c r="K358" s="212"/>
      <c r="L358" s="212"/>
      <c r="M358" s="212"/>
      <c r="N358" s="212"/>
      <c r="O358" s="212"/>
      <c r="P358" s="212"/>
      <c r="Q358" s="212"/>
      <c r="R358" s="212"/>
      <c r="S358" s="212"/>
      <c r="T358" s="212"/>
      <c r="U358" s="212"/>
      <c r="V358" s="212"/>
      <c r="W358" s="212"/>
      <c r="X358" s="212"/>
      <c r="Y358" s="212"/>
      <c r="Z358" s="204"/>
      <c r="AA358" s="204"/>
      <c r="AB358" s="204"/>
      <c r="AC358" s="204"/>
      <c r="AD358" s="204"/>
      <c r="AE358" s="212"/>
      <c r="AF358" s="213"/>
      <c r="AG358" s="213"/>
      <c r="AH358" s="213"/>
      <c r="AI358" s="213"/>
      <c r="AJ358" s="213"/>
      <c r="AK358" s="213"/>
      <c r="AL358" s="213"/>
      <c r="AM358" s="213"/>
      <c r="AN358" s="213"/>
      <c r="AO358" s="213"/>
      <c r="AP358" s="213"/>
      <c r="AQ358" s="213"/>
      <c r="AR358" s="213"/>
      <c r="AS358" s="213"/>
      <c r="AT358" s="213"/>
      <c r="AU358" s="213"/>
      <c r="AV358" s="213"/>
      <c r="AW358" s="213"/>
      <c r="AX358" s="213"/>
      <c r="AY358" s="213"/>
      <c r="AZ358" s="213"/>
      <c r="BA358" s="213"/>
      <c r="BB358" s="213"/>
    </row>
    <row r="359">
      <c r="A359" s="199"/>
      <c r="B359" s="12"/>
      <c r="C359" s="202"/>
      <c r="D359" s="199"/>
      <c r="E359" s="211"/>
      <c r="F359" s="201"/>
      <c r="G359" s="199"/>
      <c r="H359" s="199"/>
      <c r="I359" s="199"/>
      <c r="J359" s="212"/>
      <c r="K359" s="212"/>
      <c r="L359" s="212"/>
      <c r="M359" s="212"/>
      <c r="N359" s="212"/>
      <c r="O359" s="212"/>
      <c r="P359" s="212"/>
      <c r="Q359" s="212"/>
      <c r="R359" s="212"/>
      <c r="S359" s="212"/>
      <c r="T359" s="212"/>
      <c r="U359" s="212"/>
      <c r="V359" s="212"/>
      <c r="W359" s="212"/>
      <c r="X359" s="212"/>
      <c r="Y359" s="212"/>
      <c r="Z359" s="204"/>
      <c r="AA359" s="204"/>
      <c r="AB359" s="204"/>
      <c r="AC359" s="204"/>
      <c r="AD359" s="204"/>
      <c r="AE359" s="212"/>
      <c r="AF359" s="213"/>
      <c r="AG359" s="213"/>
      <c r="AH359" s="213"/>
      <c r="AI359" s="213"/>
      <c r="AJ359" s="213"/>
      <c r="AK359" s="213"/>
      <c r="AL359" s="213"/>
      <c r="AM359" s="213"/>
      <c r="AN359" s="213"/>
      <c r="AO359" s="213"/>
      <c r="AP359" s="213"/>
      <c r="AQ359" s="213"/>
      <c r="AR359" s="213"/>
      <c r="AS359" s="213"/>
      <c r="AT359" s="213"/>
      <c r="AU359" s="213"/>
      <c r="AV359" s="213"/>
      <c r="AW359" s="213"/>
      <c r="AX359" s="213"/>
      <c r="AY359" s="213"/>
      <c r="AZ359" s="213"/>
      <c r="BA359" s="213"/>
      <c r="BB359" s="213"/>
    </row>
    <row r="360">
      <c r="A360" s="199"/>
      <c r="B360" s="12"/>
      <c r="C360" s="202"/>
      <c r="D360" s="199"/>
      <c r="E360" s="211"/>
      <c r="F360" s="201"/>
      <c r="G360" s="199"/>
      <c r="H360" s="199"/>
      <c r="I360" s="199"/>
      <c r="J360" s="212"/>
      <c r="K360" s="212"/>
      <c r="L360" s="212"/>
      <c r="M360" s="212"/>
      <c r="N360" s="212"/>
      <c r="O360" s="212"/>
      <c r="P360" s="212"/>
      <c r="Q360" s="212"/>
      <c r="R360" s="212"/>
      <c r="S360" s="212"/>
      <c r="T360" s="212"/>
      <c r="U360" s="212"/>
      <c r="V360" s="212"/>
      <c r="W360" s="212"/>
      <c r="X360" s="212"/>
      <c r="Y360" s="212"/>
      <c r="Z360" s="204"/>
      <c r="AA360" s="204"/>
      <c r="AB360" s="204"/>
      <c r="AC360" s="204"/>
      <c r="AD360" s="204"/>
      <c r="AE360" s="212"/>
      <c r="AF360" s="213"/>
      <c r="AG360" s="213"/>
      <c r="AH360" s="213"/>
      <c r="AI360" s="213"/>
      <c r="AJ360" s="213"/>
      <c r="AK360" s="213"/>
      <c r="AL360" s="213"/>
      <c r="AM360" s="213"/>
      <c r="AN360" s="213"/>
      <c r="AO360" s="213"/>
      <c r="AP360" s="213"/>
      <c r="AQ360" s="213"/>
      <c r="AR360" s="213"/>
      <c r="AS360" s="213"/>
      <c r="AT360" s="213"/>
      <c r="AU360" s="213"/>
      <c r="AV360" s="213"/>
      <c r="AW360" s="213"/>
      <c r="AX360" s="213"/>
      <c r="AY360" s="213"/>
      <c r="AZ360" s="213"/>
      <c r="BA360" s="213"/>
      <c r="BB360" s="213"/>
    </row>
    <row r="361">
      <c r="A361" s="199"/>
      <c r="B361" s="12"/>
      <c r="C361" s="202"/>
      <c r="D361" s="199"/>
      <c r="E361" s="211"/>
      <c r="F361" s="201"/>
      <c r="G361" s="199"/>
      <c r="H361" s="199"/>
      <c r="I361" s="199"/>
      <c r="J361" s="212"/>
      <c r="K361" s="212"/>
      <c r="L361" s="212"/>
      <c r="M361" s="212"/>
      <c r="N361" s="212"/>
      <c r="O361" s="212"/>
      <c r="P361" s="212"/>
      <c r="Q361" s="212"/>
      <c r="R361" s="212"/>
      <c r="S361" s="212"/>
      <c r="T361" s="212"/>
      <c r="U361" s="212"/>
      <c r="V361" s="212"/>
      <c r="W361" s="212"/>
      <c r="X361" s="212"/>
      <c r="Y361" s="212"/>
      <c r="Z361" s="204"/>
      <c r="AA361" s="204"/>
      <c r="AB361" s="204"/>
      <c r="AC361" s="204"/>
      <c r="AD361" s="204"/>
      <c r="AE361" s="212"/>
      <c r="AF361" s="213"/>
      <c r="AG361" s="213"/>
      <c r="AH361" s="213"/>
      <c r="AI361" s="213"/>
      <c r="AJ361" s="213"/>
      <c r="AK361" s="213"/>
      <c r="AL361" s="213"/>
      <c r="AM361" s="213"/>
      <c r="AN361" s="213"/>
      <c r="AO361" s="213"/>
      <c r="AP361" s="213"/>
      <c r="AQ361" s="213"/>
      <c r="AR361" s="213"/>
      <c r="AS361" s="213"/>
      <c r="AT361" s="213"/>
      <c r="AU361" s="213"/>
      <c r="AV361" s="213"/>
      <c r="AW361" s="213"/>
      <c r="AX361" s="213"/>
      <c r="AY361" s="213"/>
      <c r="AZ361" s="213"/>
      <c r="BA361" s="213"/>
      <c r="BB361" s="213"/>
    </row>
    <row r="362">
      <c r="A362" s="199"/>
      <c r="B362" s="12"/>
      <c r="C362" s="202"/>
      <c r="D362" s="199"/>
      <c r="E362" s="211"/>
      <c r="F362" s="201"/>
      <c r="G362" s="199"/>
      <c r="H362" s="199"/>
      <c r="I362" s="199"/>
      <c r="J362" s="212"/>
      <c r="K362" s="212"/>
      <c r="L362" s="212"/>
      <c r="M362" s="212"/>
      <c r="N362" s="212"/>
      <c r="O362" s="212"/>
      <c r="P362" s="212"/>
      <c r="Q362" s="212"/>
      <c r="R362" s="212"/>
      <c r="S362" s="212"/>
      <c r="T362" s="212"/>
      <c r="U362" s="212"/>
      <c r="V362" s="212"/>
      <c r="W362" s="212"/>
      <c r="X362" s="212"/>
      <c r="Y362" s="212"/>
      <c r="Z362" s="204"/>
      <c r="AA362" s="204"/>
      <c r="AB362" s="204"/>
      <c r="AC362" s="204"/>
      <c r="AD362" s="204"/>
      <c r="AE362" s="212"/>
      <c r="AF362" s="213"/>
      <c r="AG362" s="213"/>
      <c r="AH362" s="213"/>
      <c r="AI362" s="213"/>
      <c r="AJ362" s="213"/>
      <c r="AK362" s="213"/>
      <c r="AL362" s="213"/>
      <c r="AM362" s="213"/>
      <c r="AN362" s="213"/>
      <c r="AO362" s="213"/>
      <c r="AP362" s="213"/>
      <c r="AQ362" s="213"/>
      <c r="AR362" s="213"/>
      <c r="AS362" s="213"/>
      <c r="AT362" s="213"/>
      <c r="AU362" s="213"/>
      <c r="AV362" s="213"/>
      <c r="AW362" s="213"/>
      <c r="AX362" s="213"/>
      <c r="AY362" s="213"/>
      <c r="AZ362" s="213"/>
      <c r="BA362" s="213"/>
      <c r="BB362" s="213"/>
    </row>
    <row r="363">
      <c r="A363" s="199"/>
      <c r="B363" s="12"/>
      <c r="C363" s="202"/>
      <c r="D363" s="199"/>
      <c r="E363" s="211"/>
      <c r="F363" s="201"/>
      <c r="G363" s="199"/>
      <c r="H363" s="199"/>
      <c r="I363" s="199"/>
      <c r="J363" s="212"/>
      <c r="K363" s="212"/>
      <c r="L363" s="212"/>
      <c r="M363" s="212"/>
      <c r="N363" s="212"/>
      <c r="O363" s="212"/>
      <c r="P363" s="212"/>
      <c r="Q363" s="212"/>
      <c r="R363" s="212"/>
      <c r="S363" s="212"/>
      <c r="T363" s="212"/>
      <c r="U363" s="212"/>
      <c r="V363" s="212"/>
      <c r="W363" s="212"/>
      <c r="X363" s="212"/>
      <c r="Y363" s="212"/>
      <c r="Z363" s="204"/>
      <c r="AA363" s="204"/>
      <c r="AB363" s="204"/>
      <c r="AC363" s="204"/>
      <c r="AD363" s="204"/>
      <c r="AE363" s="212"/>
      <c r="AF363" s="213"/>
      <c r="AG363" s="213"/>
      <c r="AH363" s="213"/>
      <c r="AI363" s="213"/>
      <c r="AJ363" s="213"/>
      <c r="AK363" s="213"/>
      <c r="AL363" s="213"/>
      <c r="AM363" s="213"/>
      <c r="AN363" s="213"/>
      <c r="AO363" s="213"/>
      <c r="AP363" s="213"/>
      <c r="AQ363" s="213"/>
      <c r="AR363" s="213"/>
      <c r="AS363" s="213"/>
      <c r="AT363" s="213"/>
      <c r="AU363" s="213"/>
      <c r="AV363" s="213"/>
      <c r="AW363" s="213"/>
      <c r="AX363" s="213"/>
      <c r="AY363" s="213"/>
      <c r="AZ363" s="213"/>
      <c r="BA363" s="213"/>
      <c r="BB363" s="213"/>
    </row>
    <row r="364">
      <c r="A364" s="199"/>
      <c r="B364" s="12"/>
      <c r="C364" s="202"/>
      <c r="D364" s="199"/>
      <c r="E364" s="211"/>
      <c r="F364" s="201"/>
      <c r="G364" s="199"/>
      <c r="H364" s="199"/>
      <c r="I364" s="199"/>
      <c r="J364" s="212"/>
      <c r="K364" s="212"/>
      <c r="L364" s="212"/>
      <c r="M364" s="212"/>
      <c r="N364" s="212"/>
      <c r="O364" s="212"/>
      <c r="P364" s="212"/>
      <c r="Q364" s="212"/>
      <c r="R364" s="212"/>
      <c r="S364" s="212"/>
      <c r="T364" s="212"/>
      <c r="U364" s="212"/>
      <c r="V364" s="212"/>
      <c r="W364" s="212"/>
      <c r="X364" s="212"/>
      <c r="Y364" s="212"/>
      <c r="Z364" s="204"/>
      <c r="AA364" s="204"/>
      <c r="AB364" s="204"/>
      <c r="AC364" s="204"/>
      <c r="AD364" s="204"/>
      <c r="AE364" s="212"/>
      <c r="AF364" s="213"/>
      <c r="AG364" s="213"/>
      <c r="AH364" s="213"/>
      <c r="AI364" s="213"/>
      <c r="AJ364" s="213"/>
      <c r="AK364" s="213"/>
      <c r="AL364" s="213"/>
      <c r="AM364" s="213"/>
      <c r="AN364" s="213"/>
      <c r="AO364" s="213"/>
      <c r="AP364" s="213"/>
      <c r="AQ364" s="213"/>
      <c r="AR364" s="213"/>
      <c r="AS364" s="213"/>
      <c r="AT364" s="213"/>
      <c r="AU364" s="213"/>
      <c r="AV364" s="213"/>
      <c r="AW364" s="213"/>
      <c r="AX364" s="213"/>
      <c r="AY364" s="213"/>
      <c r="AZ364" s="213"/>
      <c r="BA364" s="213"/>
      <c r="BB364" s="213"/>
    </row>
    <row r="365">
      <c r="A365" s="199"/>
      <c r="B365" s="12"/>
      <c r="C365" s="202"/>
      <c r="D365" s="199"/>
      <c r="E365" s="211"/>
      <c r="F365" s="201"/>
      <c r="G365" s="199"/>
      <c r="H365" s="199"/>
      <c r="I365" s="199"/>
      <c r="J365" s="212"/>
      <c r="K365" s="212"/>
      <c r="L365" s="212"/>
      <c r="M365" s="212"/>
      <c r="N365" s="212"/>
      <c r="O365" s="212"/>
      <c r="P365" s="212"/>
      <c r="Q365" s="212"/>
      <c r="R365" s="212"/>
      <c r="S365" s="212"/>
      <c r="T365" s="212"/>
      <c r="U365" s="212"/>
      <c r="V365" s="212"/>
      <c r="W365" s="212"/>
      <c r="X365" s="212"/>
      <c r="Y365" s="212"/>
      <c r="Z365" s="204"/>
      <c r="AA365" s="204"/>
      <c r="AB365" s="204"/>
      <c r="AC365" s="204"/>
      <c r="AD365" s="204"/>
      <c r="AE365" s="212"/>
      <c r="AF365" s="213"/>
      <c r="AG365" s="213"/>
      <c r="AH365" s="213"/>
      <c r="AI365" s="213"/>
      <c r="AJ365" s="213"/>
      <c r="AK365" s="213"/>
      <c r="AL365" s="213"/>
      <c r="AM365" s="213"/>
      <c r="AN365" s="213"/>
      <c r="AO365" s="213"/>
      <c r="AP365" s="213"/>
      <c r="AQ365" s="213"/>
      <c r="AR365" s="213"/>
      <c r="AS365" s="213"/>
      <c r="AT365" s="213"/>
      <c r="AU365" s="213"/>
      <c r="AV365" s="213"/>
      <c r="AW365" s="213"/>
      <c r="AX365" s="213"/>
      <c r="AY365" s="213"/>
      <c r="AZ365" s="213"/>
      <c r="BA365" s="213"/>
      <c r="BB365" s="213"/>
    </row>
    <row r="366">
      <c r="A366" s="199"/>
      <c r="B366" s="12"/>
      <c r="C366" s="202"/>
      <c r="D366" s="199"/>
      <c r="E366" s="211"/>
      <c r="F366" s="201"/>
      <c r="G366" s="199"/>
      <c r="H366" s="199"/>
      <c r="I366" s="199"/>
      <c r="J366" s="212"/>
      <c r="K366" s="212"/>
      <c r="L366" s="212"/>
      <c r="M366" s="212"/>
      <c r="N366" s="212"/>
      <c r="O366" s="212"/>
      <c r="P366" s="212"/>
      <c r="Q366" s="212"/>
      <c r="R366" s="212"/>
      <c r="S366" s="212"/>
      <c r="T366" s="212"/>
      <c r="U366" s="212"/>
      <c r="V366" s="212"/>
      <c r="W366" s="212"/>
      <c r="X366" s="212"/>
      <c r="Y366" s="212"/>
      <c r="Z366" s="204"/>
      <c r="AA366" s="204"/>
      <c r="AB366" s="204"/>
      <c r="AC366" s="204"/>
      <c r="AD366" s="204"/>
      <c r="AE366" s="212"/>
      <c r="AF366" s="213"/>
      <c r="AG366" s="213"/>
      <c r="AH366" s="213"/>
      <c r="AI366" s="213"/>
      <c r="AJ366" s="213"/>
      <c r="AK366" s="213"/>
      <c r="AL366" s="213"/>
      <c r="AM366" s="213"/>
      <c r="AN366" s="213"/>
      <c r="AO366" s="213"/>
      <c r="AP366" s="213"/>
      <c r="AQ366" s="213"/>
      <c r="AR366" s="213"/>
      <c r="AS366" s="213"/>
      <c r="AT366" s="213"/>
      <c r="AU366" s="213"/>
      <c r="AV366" s="213"/>
      <c r="AW366" s="213"/>
      <c r="AX366" s="213"/>
      <c r="AY366" s="213"/>
      <c r="AZ366" s="213"/>
      <c r="BA366" s="213"/>
      <c r="BB366" s="213"/>
    </row>
    <row r="367">
      <c r="A367" s="199"/>
      <c r="B367" s="12"/>
      <c r="C367" s="202"/>
      <c r="D367" s="199"/>
      <c r="E367" s="211"/>
      <c r="F367" s="201"/>
      <c r="G367" s="199"/>
      <c r="H367" s="199"/>
      <c r="I367" s="199"/>
      <c r="J367" s="212"/>
      <c r="K367" s="212"/>
      <c r="L367" s="212"/>
      <c r="M367" s="212"/>
      <c r="N367" s="212"/>
      <c r="O367" s="212"/>
      <c r="P367" s="212"/>
      <c r="Q367" s="212"/>
      <c r="R367" s="212"/>
      <c r="S367" s="212"/>
      <c r="T367" s="212"/>
      <c r="U367" s="212"/>
      <c r="V367" s="212"/>
      <c r="W367" s="212"/>
      <c r="X367" s="212"/>
      <c r="Y367" s="212"/>
      <c r="Z367" s="204"/>
      <c r="AA367" s="204"/>
      <c r="AB367" s="204"/>
      <c r="AC367" s="204"/>
      <c r="AD367" s="204"/>
      <c r="AE367" s="212"/>
      <c r="AF367" s="213"/>
      <c r="AG367" s="213"/>
      <c r="AH367" s="213"/>
      <c r="AI367" s="213"/>
      <c r="AJ367" s="213"/>
      <c r="AK367" s="213"/>
      <c r="AL367" s="213"/>
      <c r="AM367" s="213"/>
      <c r="AN367" s="213"/>
      <c r="AO367" s="213"/>
      <c r="AP367" s="213"/>
      <c r="AQ367" s="213"/>
      <c r="AR367" s="213"/>
      <c r="AS367" s="213"/>
      <c r="AT367" s="213"/>
      <c r="AU367" s="213"/>
      <c r="AV367" s="213"/>
      <c r="AW367" s="213"/>
      <c r="AX367" s="213"/>
      <c r="AY367" s="213"/>
      <c r="AZ367" s="213"/>
      <c r="BA367" s="213"/>
      <c r="BB367" s="213"/>
    </row>
    <row r="368">
      <c r="A368" s="199"/>
      <c r="B368" s="12"/>
      <c r="C368" s="202"/>
      <c r="D368" s="199"/>
      <c r="E368" s="211"/>
      <c r="F368" s="201"/>
      <c r="G368" s="199"/>
      <c r="H368" s="199"/>
      <c r="I368" s="199"/>
      <c r="J368" s="212"/>
      <c r="K368" s="212"/>
      <c r="L368" s="212"/>
      <c r="M368" s="212"/>
      <c r="N368" s="212"/>
      <c r="O368" s="212"/>
      <c r="P368" s="212"/>
      <c r="Q368" s="212"/>
      <c r="R368" s="212"/>
      <c r="S368" s="212"/>
      <c r="T368" s="212"/>
      <c r="U368" s="212"/>
      <c r="V368" s="212"/>
      <c r="W368" s="212"/>
      <c r="X368" s="212"/>
      <c r="Y368" s="212"/>
      <c r="Z368" s="204"/>
      <c r="AA368" s="204"/>
      <c r="AB368" s="204"/>
      <c r="AC368" s="204"/>
      <c r="AD368" s="204"/>
      <c r="AE368" s="212"/>
      <c r="AF368" s="213"/>
      <c r="AG368" s="213"/>
      <c r="AH368" s="213"/>
      <c r="AI368" s="213"/>
      <c r="AJ368" s="213"/>
      <c r="AK368" s="213"/>
      <c r="AL368" s="213"/>
      <c r="AM368" s="213"/>
      <c r="AN368" s="213"/>
      <c r="AO368" s="213"/>
      <c r="AP368" s="213"/>
      <c r="AQ368" s="213"/>
      <c r="AR368" s="213"/>
      <c r="AS368" s="213"/>
      <c r="AT368" s="213"/>
      <c r="AU368" s="213"/>
      <c r="AV368" s="213"/>
      <c r="AW368" s="213"/>
      <c r="AX368" s="213"/>
      <c r="AY368" s="213"/>
      <c r="AZ368" s="213"/>
      <c r="BA368" s="213"/>
      <c r="BB368" s="213"/>
    </row>
    <row r="369">
      <c r="A369" s="199"/>
      <c r="B369" s="12"/>
      <c r="C369" s="202"/>
      <c r="D369" s="199"/>
      <c r="E369" s="211"/>
      <c r="F369" s="201"/>
      <c r="G369" s="199"/>
      <c r="H369" s="199"/>
      <c r="I369" s="199"/>
      <c r="J369" s="212"/>
      <c r="K369" s="212"/>
      <c r="L369" s="212"/>
      <c r="M369" s="212"/>
      <c r="N369" s="212"/>
      <c r="O369" s="212"/>
      <c r="P369" s="212"/>
      <c r="Q369" s="212"/>
      <c r="R369" s="212"/>
      <c r="S369" s="212"/>
      <c r="T369" s="212"/>
      <c r="U369" s="212"/>
      <c r="V369" s="212"/>
      <c r="W369" s="212"/>
      <c r="X369" s="212"/>
      <c r="Y369" s="212"/>
      <c r="Z369" s="204"/>
      <c r="AA369" s="204"/>
      <c r="AB369" s="204"/>
      <c r="AC369" s="204"/>
      <c r="AD369" s="204"/>
      <c r="AE369" s="212"/>
      <c r="AF369" s="213"/>
      <c r="AG369" s="213"/>
      <c r="AH369" s="213"/>
      <c r="AI369" s="213"/>
      <c r="AJ369" s="213"/>
      <c r="AK369" s="213"/>
      <c r="AL369" s="213"/>
      <c r="AM369" s="213"/>
      <c r="AN369" s="213"/>
      <c r="AO369" s="213"/>
      <c r="AP369" s="213"/>
      <c r="AQ369" s="213"/>
      <c r="AR369" s="213"/>
      <c r="AS369" s="213"/>
      <c r="AT369" s="213"/>
      <c r="AU369" s="213"/>
      <c r="AV369" s="213"/>
      <c r="AW369" s="213"/>
      <c r="AX369" s="213"/>
      <c r="AY369" s="213"/>
      <c r="AZ369" s="213"/>
      <c r="BA369" s="213"/>
      <c r="BB369" s="213"/>
    </row>
    <row r="370">
      <c r="A370" s="199"/>
      <c r="B370" s="12"/>
      <c r="C370" s="202"/>
      <c r="D370" s="199"/>
      <c r="E370" s="211"/>
      <c r="F370" s="201"/>
      <c r="G370" s="199"/>
      <c r="H370" s="199"/>
      <c r="I370" s="199"/>
      <c r="J370" s="212"/>
      <c r="K370" s="212"/>
      <c r="L370" s="212"/>
      <c r="M370" s="212"/>
      <c r="N370" s="212"/>
      <c r="O370" s="212"/>
      <c r="P370" s="212"/>
      <c r="Q370" s="212"/>
      <c r="R370" s="212"/>
      <c r="S370" s="212"/>
      <c r="T370" s="212"/>
      <c r="U370" s="212"/>
      <c r="V370" s="212"/>
      <c r="W370" s="212"/>
      <c r="X370" s="212"/>
      <c r="Y370" s="212"/>
      <c r="Z370" s="204"/>
      <c r="AA370" s="204"/>
      <c r="AB370" s="204"/>
      <c r="AC370" s="204"/>
      <c r="AD370" s="204"/>
      <c r="AE370" s="212"/>
      <c r="AF370" s="213"/>
      <c r="AG370" s="213"/>
      <c r="AH370" s="213"/>
      <c r="AI370" s="213"/>
      <c r="AJ370" s="213"/>
      <c r="AK370" s="213"/>
      <c r="AL370" s="213"/>
      <c r="AM370" s="213"/>
      <c r="AN370" s="213"/>
      <c r="AO370" s="213"/>
      <c r="AP370" s="213"/>
      <c r="AQ370" s="213"/>
      <c r="AR370" s="213"/>
      <c r="AS370" s="213"/>
      <c r="AT370" s="213"/>
      <c r="AU370" s="213"/>
      <c r="AV370" s="213"/>
      <c r="AW370" s="213"/>
      <c r="AX370" s="213"/>
      <c r="AY370" s="213"/>
      <c r="AZ370" s="213"/>
      <c r="BA370" s="213"/>
      <c r="BB370" s="213"/>
    </row>
    <row r="371">
      <c r="A371" s="199"/>
      <c r="B371" s="12"/>
      <c r="C371" s="202"/>
      <c r="D371" s="199"/>
      <c r="E371" s="211"/>
      <c r="F371" s="201"/>
      <c r="G371" s="199"/>
      <c r="H371" s="199"/>
      <c r="I371" s="199"/>
      <c r="J371" s="212"/>
      <c r="K371" s="212"/>
      <c r="L371" s="212"/>
      <c r="M371" s="212"/>
      <c r="N371" s="212"/>
      <c r="O371" s="212"/>
      <c r="P371" s="212"/>
      <c r="Q371" s="212"/>
      <c r="R371" s="212"/>
      <c r="S371" s="212"/>
      <c r="T371" s="212"/>
      <c r="U371" s="212"/>
      <c r="V371" s="212"/>
      <c r="W371" s="212"/>
      <c r="X371" s="212"/>
      <c r="Y371" s="212"/>
      <c r="Z371" s="204"/>
      <c r="AA371" s="204"/>
      <c r="AB371" s="204"/>
      <c r="AC371" s="204"/>
      <c r="AD371" s="204"/>
      <c r="AE371" s="212"/>
      <c r="AF371" s="213"/>
      <c r="AG371" s="213"/>
      <c r="AH371" s="213"/>
      <c r="AI371" s="213"/>
      <c r="AJ371" s="213"/>
      <c r="AK371" s="213"/>
      <c r="AL371" s="213"/>
      <c r="AM371" s="213"/>
      <c r="AN371" s="213"/>
      <c r="AO371" s="213"/>
      <c r="AP371" s="213"/>
      <c r="AQ371" s="213"/>
      <c r="AR371" s="213"/>
      <c r="AS371" s="213"/>
      <c r="AT371" s="213"/>
      <c r="AU371" s="213"/>
      <c r="AV371" s="213"/>
      <c r="AW371" s="213"/>
      <c r="AX371" s="213"/>
      <c r="AY371" s="213"/>
      <c r="AZ371" s="213"/>
      <c r="BA371" s="213"/>
      <c r="BB371" s="213"/>
    </row>
    <row r="372">
      <c r="A372" s="199"/>
      <c r="B372" s="12"/>
      <c r="C372" s="202"/>
      <c r="D372" s="199"/>
      <c r="E372" s="211"/>
      <c r="F372" s="201"/>
      <c r="G372" s="199"/>
      <c r="H372" s="199"/>
      <c r="I372" s="199"/>
      <c r="J372" s="212"/>
      <c r="K372" s="212"/>
      <c r="L372" s="212"/>
      <c r="M372" s="212"/>
      <c r="N372" s="212"/>
      <c r="O372" s="212"/>
      <c r="P372" s="212"/>
      <c r="Q372" s="212"/>
      <c r="R372" s="212"/>
      <c r="S372" s="212"/>
      <c r="T372" s="212"/>
      <c r="U372" s="212"/>
      <c r="V372" s="212"/>
      <c r="W372" s="212"/>
      <c r="X372" s="212"/>
      <c r="Y372" s="212"/>
      <c r="Z372" s="204"/>
      <c r="AA372" s="204"/>
      <c r="AB372" s="204"/>
      <c r="AC372" s="204"/>
      <c r="AD372" s="204"/>
      <c r="AE372" s="212"/>
      <c r="AF372" s="213"/>
      <c r="AG372" s="213"/>
      <c r="AH372" s="213"/>
      <c r="AI372" s="213"/>
      <c r="AJ372" s="213"/>
      <c r="AK372" s="213"/>
      <c r="AL372" s="213"/>
      <c r="AM372" s="213"/>
      <c r="AN372" s="213"/>
      <c r="AO372" s="213"/>
      <c r="AP372" s="213"/>
      <c r="AQ372" s="213"/>
      <c r="AR372" s="213"/>
      <c r="AS372" s="213"/>
      <c r="AT372" s="213"/>
      <c r="AU372" s="213"/>
      <c r="AV372" s="213"/>
      <c r="AW372" s="213"/>
      <c r="AX372" s="213"/>
      <c r="AY372" s="213"/>
      <c r="AZ372" s="213"/>
      <c r="BA372" s="213"/>
      <c r="BB372" s="213"/>
    </row>
    <row r="373">
      <c r="A373" s="199"/>
      <c r="B373" s="12"/>
      <c r="C373" s="202"/>
      <c r="D373" s="199"/>
      <c r="E373" s="211"/>
      <c r="F373" s="201"/>
      <c r="G373" s="199"/>
      <c r="H373" s="199"/>
      <c r="I373" s="199"/>
      <c r="J373" s="212"/>
      <c r="K373" s="212"/>
      <c r="L373" s="212"/>
      <c r="M373" s="212"/>
      <c r="N373" s="212"/>
      <c r="O373" s="212"/>
      <c r="P373" s="212"/>
      <c r="Q373" s="212"/>
      <c r="R373" s="212"/>
      <c r="S373" s="212"/>
      <c r="T373" s="212"/>
      <c r="U373" s="212"/>
      <c r="V373" s="212"/>
      <c r="W373" s="212"/>
      <c r="X373" s="212"/>
      <c r="Y373" s="212"/>
      <c r="Z373" s="204"/>
      <c r="AA373" s="204"/>
      <c r="AB373" s="204"/>
      <c r="AC373" s="204"/>
      <c r="AD373" s="204"/>
      <c r="AE373" s="212"/>
      <c r="AF373" s="213"/>
      <c r="AG373" s="213"/>
      <c r="AH373" s="213"/>
      <c r="AI373" s="213"/>
      <c r="AJ373" s="213"/>
      <c r="AK373" s="213"/>
      <c r="AL373" s="213"/>
      <c r="AM373" s="213"/>
      <c r="AN373" s="213"/>
      <c r="AO373" s="213"/>
      <c r="AP373" s="213"/>
      <c r="AQ373" s="213"/>
      <c r="AR373" s="213"/>
      <c r="AS373" s="213"/>
      <c r="AT373" s="213"/>
      <c r="AU373" s="213"/>
      <c r="AV373" s="213"/>
      <c r="AW373" s="213"/>
      <c r="AX373" s="213"/>
      <c r="AY373" s="213"/>
      <c r="AZ373" s="213"/>
      <c r="BA373" s="213"/>
      <c r="BB373" s="213"/>
    </row>
    <row r="374">
      <c r="A374" s="199"/>
      <c r="B374" s="12"/>
      <c r="C374" s="202"/>
      <c r="D374" s="199"/>
      <c r="E374" s="211"/>
      <c r="F374" s="201"/>
      <c r="G374" s="199"/>
      <c r="H374" s="199"/>
      <c r="I374" s="199"/>
      <c r="J374" s="212"/>
      <c r="K374" s="212"/>
      <c r="L374" s="212"/>
      <c r="M374" s="212"/>
      <c r="N374" s="212"/>
      <c r="O374" s="212"/>
      <c r="P374" s="212"/>
      <c r="Q374" s="212"/>
      <c r="R374" s="212"/>
      <c r="S374" s="212"/>
      <c r="T374" s="212"/>
      <c r="U374" s="212"/>
      <c r="V374" s="212"/>
      <c r="W374" s="212"/>
      <c r="X374" s="212"/>
      <c r="Y374" s="212"/>
      <c r="Z374" s="204"/>
      <c r="AA374" s="204"/>
      <c r="AB374" s="204"/>
      <c r="AC374" s="204"/>
      <c r="AD374" s="204"/>
      <c r="AE374" s="212"/>
      <c r="AF374" s="213"/>
      <c r="AG374" s="213"/>
      <c r="AH374" s="213"/>
      <c r="AI374" s="213"/>
      <c r="AJ374" s="213"/>
      <c r="AK374" s="213"/>
      <c r="AL374" s="213"/>
      <c r="AM374" s="213"/>
      <c r="AN374" s="213"/>
      <c r="AO374" s="213"/>
      <c r="AP374" s="213"/>
      <c r="AQ374" s="213"/>
      <c r="AR374" s="213"/>
      <c r="AS374" s="213"/>
      <c r="AT374" s="213"/>
      <c r="AU374" s="213"/>
      <c r="AV374" s="213"/>
      <c r="AW374" s="213"/>
      <c r="AX374" s="213"/>
      <c r="AY374" s="213"/>
      <c r="AZ374" s="213"/>
      <c r="BA374" s="213"/>
      <c r="BB374" s="213"/>
    </row>
    <row r="375">
      <c r="A375" s="199"/>
      <c r="B375" s="12"/>
      <c r="C375" s="202"/>
      <c r="D375" s="199"/>
      <c r="E375" s="211"/>
      <c r="F375" s="201"/>
      <c r="G375" s="199"/>
      <c r="H375" s="199"/>
      <c r="I375" s="199"/>
      <c r="J375" s="212"/>
      <c r="K375" s="212"/>
      <c r="L375" s="212"/>
      <c r="M375" s="212"/>
      <c r="N375" s="212"/>
      <c r="O375" s="212"/>
      <c r="P375" s="212"/>
      <c r="Q375" s="212"/>
      <c r="R375" s="212"/>
      <c r="S375" s="212"/>
      <c r="T375" s="212"/>
      <c r="U375" s="212"/>
      <c r="V375" s="212"/>
      <c r="W375" s="212"/>
      <c r="X375" s="212"/>
      <c r="Y375" s="212"/>
      <c r="Z375" s="204"/>
      <c r="AA375" s="204"/>
      <c r="AB375" s="204"/>
      <c r="AC375" s="204"/>
      <c r="AD375" s="204"/>
      <c r="AE375" s="212"/>
      <c r="AF375" s="213"/>
      <c r="AG375" s="213"/>
      <c r="AH375" s="213"/>
      <c r="AI375" s="213"/>
      <c r="AJ375" s="213"/>
      <c r="AK375" s="213"/>
      <c r="AL375" s="213"/>
      <c r="AM375" s="213"/>
      <c r="AN375" s="213"/>
      <c r="AO375" s="213"/>
      <c r="AP375" s="213"/>
      <c r="AQ375" s="213"/>
      <c r="AR375" s="213"/>
      <c r="AS375" s="213"/>
      <c r="AT375" s="213"/>
      <c r="AU375" s="213"/>
      <c r="AV375" s="213"/>
      <c r="AW375" s="213"/>
      <c r="AX375" s="213"/>
      <c r="AY375" s="213"/>
      <c r="AZ375" s="213"/>
      <c r="BA375" s="213"/>
      <c r="BB375" s="213"/>
    </row>
    <row r="376">
      <c r="A376" s="199"/>
      <c r="B376" s="12"/>
      <c r="C376" s="202"/>
      <c r="D376" s="199"/>
      <c r="E376" s="211"/>
      <c r="F376" s="201"/>
      <c r="G376" s="199"/>
      <c r="H376" s="199"/>
      <c r="I376" s="199"/>
      <c r="J376" s="212"/>
      <c r="K376" s="212"/>
      <c r="L376" s="212"/>
      <c r="M376" s="212"/>
      <c r="N376" s="212"/>
      <c r="O376" s="212"/>
      <c r="P376" s="212"/>
      <c r="Q376" s="212"/>
      <c r="R376" s="212"/>
      <c r="S376" s="212"/>
      <c r="T376" s="212"/>
      <c r="U376" s="212"/>
      <c r="V376" s="212"/>
      <c r="W376" s="212"/>
      <c r="X376" s="212"/>
      <c r="Y376" s="212"/>
      <c r="Z376" s="204"/>
      <c r="AA376" s="204"/>
      <c r="AB376" s="204"/>
      <c r="AC376" s="204"/>
      <c r="AD376" s="204"/>
      <c r="AE376" s="212"/>
      <c r="AF376" s="213"/>
      <c r="AG376" s="213"/>
      <c r="AH376" s="213"/>
      <c r="AI376" s="213"/>
      <c r="AJ376" s="213"/>
      <c r="AK376" s="213"/>
      <c r="AL376" s="213"/>
      <c r="AM376" s="213"/>
      <c r="AN376" s="213"/>
      <c r="AO376" s="213"/>
      <c r="AP376" s="213"/>
      <c r="AQ376" s="213"/>
      <c r="AR376" s="213"/>
      <c r="AS376" s="213"/>
      <c r="AT376" s="213"/>
      <c r="AU376" s="213"/>
      <c r="AV376" s="213"/>
      <c r="AW376" s="213"/>
      <c r="AX376" s="213"/>
      <c r="AY376" s="213"/>
      <c r="AZ376" s="213"/>
      <c r="BA376" s="213"/>
      <c r="BB376" s="213"/>
    </row>
    <row r="377">
      <c r="A377" s="199"/>
      <c r="B377" s="12"/>
      <c r="C377" s="202"/>
      <c r="D377" s="199"/>
      <c r="E377" s="211"/>
      <c r="F377" s="201"/>
      <c r="G377" s="199"/>
      <c r="H377" s="199"/>
      <c r="I377" s="199"/>
      <c r="J377" s="212"/>
      <c r="K377" s="212"/>
      <c r="L377" s="212"/>
      <c r="M377" s="212"/>
      <c r="N377" s="212"/>
      <c r="O377" s="212"/>
      <c r="P377" s="212"/>
      <c r="Q377" s="212"/>
      <c r="R377" s="212"/>
      <c r="S377" s="212"/>
      <c r="T377" s="212"/>
      <c r="U377" s="212"/>
      <c r="V377" s="212"/>
      <c r="W377" s="212"/>
      <c r="X377" s="212"/>
      <c r="Y377" s="212"/>
      <c r="Z377" s="204"/>
      <c r="AA377" s="204"/>
      <c r="AB377" s="204"/>
      <c r="AC377" s="204"/>
      <c r="AD377" s="204"/>
      <c r="AE377" s="212"/>
      <c r="AF377" s="213"/>
      <c r="AG377" s="213"/>
      <c r="AH377" s="213"/>
      <c r="AI377" s="213"/>
      <c r="AJ377" s="213"/>
      <c r="AK377" s="213"/>
      <c r="AL377" s="213"/>
      <c r="AM377" s="213"/>
      <c r="AN377" s="213"/>
      <c r="AO377" s="213"/>
      <c r="AP377" s="213"/>
      <c r="AQ377" s="213"/>
      <c r="AR377" s="213"/>
      <c r="AS377" s="213"/>
      <c r="AT377" s="213"/>
      <c r="AU377" s="213"/>
      <c r="AV377" s="213"/>
      <c r="AW377" s="213"/>
      <c r="AX377" s="213"/>
      <c r="AY377" s="213"/>
      <c r="AZ377" s="213"/>
      <c r="BA377" s="213"/>
      <c r="BB377" s="213"/>
    </row>
    <row r="378">
      <c r="A378" s="199"/>
      <c r="B378" s="12"/>
      <c r="C378" s="202"/>
      <c r="D378" s="199"/>
      <c r="E378" s="211"/>
      <c r="F378" s="201"/>
      <c r="G378" s="199"/>
      <c r="H378" s="199"/>
      <c r="I378" s="199"/>
      <c r="J378" s="212"/>
      <c r="K378" s="212"/>
      <c r="L378" s="212"/>
      <c r="M378" s="212"/>
      <c r="N378" s="212"/>
      <c r="O378" s="212"/>
      <c r="P378" s="212"/>
      <c r="Q378" s="212"/>
      <c r="R378" s="212"/>
      <c r="S378" s="212"/>
      <c r="T378" s="212"/>
      <c r="U378" s="212"/>
      <c r="V378" s="212"/>
      <c r="W378" s="212"/>
      <c r="X378" s="212"/>
      <c r="Y378" s="212"/>
      <c r="Z378" s="204"/>
      <c r="AA378" s="204"/>
      <c r="AB378" s="204"/>
      <c r="AC378" s="204"/>
      <c r="AD378" s="204"/>
      <c r="AE378" s="212"/>
      <c r="AF378" s="213"/>
      <c r="AG378" s="213"/>
      <c r="AH378" s="213"/>
      <c r="AI378" s="213"/>
      <c r="AJ378" s="213"/>
      <c r="AK378" s="213"/>
      <c r="AL378" s="213"/>
      <c r="AM378" s="213"/>
      <c r="AN378" s="213"/>
      <c r="AO378" s="213"/>
      <c r="AP378" s="213"/>
      <c r="AQ378" s="213"/>
      <c r="AR378" s="213"/>
      <c r="AS378" s="213"/>
      <c r="AT378" s="213"/>
      <c r="AU378" s="213"/>
      <c r="AV378" s="213"/>
      <c r="AW378" s="213"/>
      <c r="AX378" s="213"/>
      <c r="AY378" s="213"/>
      <c r="AZ378" s="213"/>
      <c r="BA378" s="213"/>
      <c r="BB378" s="213"/>
    </row>
    <row r="379">
      <c r="A379" s="199"/>
      <c r="B379" s="12"/>
      <c r="C379" s="202"/>
      <c r="D379" s="199"/>
      <c r="E379" s="211"/>
      <c r="F379" s="201"/>
      <c r="G379" s="199"/>
      <c r="H379" s="199"/>
      <c r="I379" s="199"/>
      <c r="J379" s="212"/>
      <c r="K379" s="212"/>
      <c r="L379" s="212"/>
      <c r="M379" s="212"/>
      <c r="N379" s="212"/>
      <c r="O379" s="212"/>
      <c r="P379" s="212"/>
      <c r="Q379" s="212"/>
      <c r="R379" s="212"/>
      <c r="S379" s="212"/>
      <c r="T379" s="212"/>
      <c r="U379" s="212"/>
      <c r="V379" s="212"/>
      <c r="W379" s="212"/>
      <c r="X379" s="212"/>
      <c r="Y379" s="212"/>
      <c r="Z379" s="204"/>
      <c r="AA379" s="204"/>
      <c r="AB379" s="204"/>
      <c r="AC379" s="204"/>
      <c r="AD379" s="204"/>
      <c r="AE379" s="212"/>
      <c r="AF379" s="213"/>
      <c r="AG379" s="213"/>
      <c r="AH379" s="213"/>
      <c r="AI379" s="213"/>
      <c r="AJ379" s="213"/>
      <c r="AK379" s="213"/>
      <c r="AL379" s="213"/>
      <c r="AM379" s="213"/>
      <c r="AN379" s="213"/>
      <c r="AO379" s="213"/>
      <c r="AP379" s="213"/>
      <c r="AQ379" s="213"/>
      <c r="AR379" s="213"/>
      <c r="AS379" s="213"/>
      <c r="AT379" s="213"/>
      <c r="AU379" s="213"/>
      <c r="AV379" s="213"/>
      <c r="AW379" s="213"/>
      <c r="AX379" s="213"/>
      <c r="AY379" s="213"/>
      <c r="AZ379" s="213"/>
      <c r="BA379" s="213"/>
      <c r="BB379" s="213"/>
    </row>
    <row r="380">
      <c r="A380" s="199"/>
      <c r="B380" s="12"/>
      <c r="C380" s="202"/>
      <c r="D380" s="199"/>
      <c r="E380" s="211"/>
      <c r="F380" s="201"/>
      <c r="G380" s="199"/>
      <c r="H380" s="199"/>
      <c r="I380" s="199"/>
      <c r="J380" s="212"/>
      <c r="K380" s="212"/>
      <c r="L380" s="212"/>
      <c r="M380" s="212"/>
      <c r="N380" s="212"/>
      <c r="O380" s="212"/>
      <c r="P380" s="212"/>
      <c r="Q380" s="212"/>
      <c r="R380" s="212"/>
      <c r="S380" s="212"/>
      <c r="T380" s="212"/>
      <c r="U380" s="212"/>
      <c r="V380" s="212"/>
      <c r="W380" s="212"/>
      <c r="X380" s="212"/>
      <c r="Y380" s="212"/>
      <c r="Z380" s="204"/>
      <c r="AA380" s="204"/>
      <c r="AB380" s="204"/>
      <c r="AC380" s="204"/>
      <c r="AD380" s="204"/>
      <c r="AE380" s="212"/>
      <c r="AF380" s="213"/>
      <c r="AG380" s="213"/>
      <c r="AH380" s="213"/>
      <c r="AI380" s="213"/>
      <c r="AJ380" s="213"/>
      <c r="AK380" s="213"/>
      <c r="AL380" s="213"/>
      <c r="AM380" s="213"/>
      <c r="AN380" s="213"/>
      <c r="AO380" s="213"/>
      <c r="AP380" s="213"/>
      <c r="AQ380" s="213"/>
      <c r="AR380" s="213"/>
      <c r="AS380" s="213"/>
      <c r="AT380" s="213"/>
      <c r="AU380" s="213"/>
      <c r="AV380" s="213"/>
      <c r="AW380" s="213"/>
      <c r="AX380" s="213"/>
      <c r="AY380" s="213"/>
      <c r="AZ380" s="213"/>
      <c r="BA380" s="213"/>
      <c r="BB380" s="213"/>
    </row>
    <row r="381">
      <c r="A381" s="199"/>
      <c r="B381" s="12"/>
      <c r="C381" s="202"/>
      <c r="D381" s="199"/>
      <c r="E381" s="211"/>
      <c r="F381" s="201"/>
      <c r="G381" s="199"/>
      <c r="H381" s="199"/>
      <c r="I381" s="199"/>
      <c r="J381" s="212"/>
      <c r="K381" s="212"/>
      <c r="L381" s="212"/>
      <c r="M381" s="212"/>
      <c r="N381" s="212"/>
      <c r="O381" s="212"/>
      <c r="P381" s="212"/>
      <c r="Q381" s="212"/>
      <c r="R381" s="212"/>
      <c r="S381" s="212"/>
      <c r="T381" s="212"/>
      <c r="U381" s="212"/>
      <c r="V381" s="212"/>
      <c r="W381" s="212"/>
      <c r="X381" s="212"/>
      <c r="Y381" s="212"/>
      <c r="Z381" s="204"/>
      <c r="AA381" s="204"/>
      <c r="AB381" s="204"/>
      <c r="AC381" s="204"/>
      <c r="AD381" s="204"/>
      <c r="AE381" s="212"/>
      <c r="AF381" s="213"/>
      <c r="AG381" s="213"/>
      <c r="AH381" s="213"/>
      <c r="AI381" s="213"/>
      <c r="AJ381" s="213"/>
      <c r="AK381" s="213"/>
      <c r="AL381" s="213"/>
      <c r="AM381" s="213"/>
      <c r="AN381" s="213"/>
      <c r="AO381" s="213"/>
      <c r="AP381" s="213"/>
      <c r="AQ381" s="213"/>
      <c r="AR381" s="213"/>
      <c r="AS381" s="213"/>
      <c r="AT381" s="213"/>
      <c r="AU381" s="213"/>
      <c r="AV381" s="213"/>
      <c r="AW381" s="213"/>
      <c r="AX381" s="213"/>
      <c r="AY381" s="213"/>
      <c r="AZ381" s="213"/>
      <c r="BA381" s="213"/>
      <c r="BB381" s="213"/>
    </row>
    <row r="382">
      <c r="A382" s="199"/>
      <c r="B382" s="12"/>
      <c r="C382" s="202"/>
      <c r="D382" s="199"/>
      <c r="E382" s="211"/>
      <c r="F382" s="201"/>
      <c r="G382" s="199"/>
      <c r="H382" s="199"/>
      <c r="I382" s="199"/>
      <c r="J382" s="212"/>
      <c r="K382" s="212"/>
      <c r="L382" s="212"/>
      <c r="M382" s="212"/>
      <c r="N382" s="212"/>
      <c r="O382" s="212"/>
      <c r="P382" s="212"/>
      <c r="Q382" s="212"/>
      <c r="R382" s="212"/>
      <c r="S382" s="212"/>
      <c r="T382" s="212"/>
      <c r="U382" s="212"/>
      <c r="V382" s="212"/>
      <c r="W382" s="212"/>
      <c r="X382" s="212"/>
      <c r="Y382" s="212"/>
      <c r="Z382" s="204"/>
      <c r="AA382" s="204"/>
      <c r="AB382" s="204"/>
      <c r="AC382" s="204"/>
      <c r="AD382" s="204"/>
      <c r="AE382" s="212"/>
      <c r="AF382" s="213"/>
      <c r="AG382" s="213"/>
      <c r="AH382" s="213"/>
      <c r="AI382" s="213"/>
      <c r="AJ382" s="213"/>
      <c r="AK382" s="213"/>
      <c r="AL382" s="213"/>
      <c r="AM382" s="213"/>
      <c r="AN382" s="213"/>
      <c r="AO382" s="213"/>
      <c r="AP382" s="213"/>
      <c r="AQ382" s="213"/>
      <c r="AR382" s="213"/>
      <c r="AS382" s="213"/>
      <c r="AT382" s="213"/>
      <c r="AU382" s="213"/>
      <c r="AV382" s="213"/>
      <c r="AW382" s="213"/>
      <c r="AX382" s="213"/>
      <c r="AY382" s="213"/>
      <c r="AZ382" s="213"/>
      <c r="BA382" s="213"/>
      <c r="BB382" s="213"/>
    </row>
    <row r="383">
      <c r="A383" s="199"/>
      <c r="B383" s="12"/>
      <c r="C383" s="202"/>
      <c r="D383" s="199"/>
      <c r="E383" s="211"/>
      <c r="F383" s="201"/>
      <c r="G383" s="199"/>
      <c r="H383" s="199"/>
      <c r="I383" s="199"/>
      <c r="J383" s="212"/>
      <c r="K383" s="212"/>
      <c r="L383" s="212"/>
      <c r="M383" s="212"/>
      <c r="N383" s="212"/>
      <c r="O383" s="212"/>
      <c r="P383" s="212"/>
      <c r="Q383" s="212"/>
      <c r="R383" s="212"/>
      <c r="S383" s="212"/>
      <c r="T383" s="212"/>
      <c r="U383" s="212"/>
      <c r="V383" s="212"/>
      <c r="W383" s="212"/>
      <c r="X383" s="212"/>
      <c r="Y383" s="212"/>
      <c r="Z383" s="204"/>
      <c r="AA383" s="204"/>
      <c r="AB383" s="204"/>
      <c r="AC383" s="204"/>
      <c r="AD383" s="204"/>
      <c r="AE383" s="212"/>
      <c r="AF383" s="213"/>
      <c r="AG383" s="213"/>
      <c r="AH383" s="213"/>
      <c r="AI383" s="213"/>
      <c r="AJ383" s="213"/>
      <c r="AK383" s="213"/>
      <c r="AL383" s="213"/>
      <c r="AM383" s="213"/>
      <c r="AN383" s="213"/>
      <c r="AO383" s="213"/>
      <c r="AP383" s="213"/>
      <c r="AQ383" s="213"/>
      <c r="AR383" s="213"/>
      <c r="AS383" s="213"/>
      <c r="AT383" s="213"/>
      <c r="AU383" s="213"/>
      <c r="AV383" s="213"/>
      <c r="AW383" s="213"/>
      <c r="AX383" s="213"/>
      <c r="AY383" s="213"/>
      <c r="AZ383" s="213"/>
      <c r="BA383" s="213"/>
      <c r="BB383" s="213"/>
    </row>
    <row r="384">
      <c r="A384" s="199"/>
      <c r="B384" s="12"/>
      <c r="C384" s="202"/>
      <c r="D384" s="199"/>
      <c r="E384" s="211"/>
      <c r="F384" s="201"/>
      <c r="G384" s="199"/>
      <c r="H384" s="199"/>
      <c r="I384" s="199"/>
      <c r="J384" s="212"/>
      <c r="K384" s="212"/>
      <c r="L384" s="212"/>
      <c r="M384" s="212"/>
      <c r="N384" s="212"/>
      <c r="O384" s="212"/>
      <c r="P384" s="212"/>
      <c r="Q384" s="212"/>
      <c r="R384" s="212"/>
      <c r="S384" s="212"/>
      <c r="T384" s="212"/>
      <c r="U384" s="212"/>
      <c r="V384" s="212"/>
      <c r="W384" s="212"/>
      <c r="X384" s="212"/>
      <c r="Y384" s="212"/>
      <c r="Z384" s="204"/>
      <c r="AA384" s="204"/>
      <c r="AB384" s="204"/>
      <c r="AC384" s="204"/>
      <c r="AD384" s="204"/>
      <c r="AE384" s="212"/>
      <c r="AF384" s="213"/>
      <c r="AG384" s="213"/>
      <c r="AH384" s="213"/>
      <c r="AI384" s="213"/>
      <c r="AJ384" s="213"/>
      <c r="AK384" s="213"/>
      <c r="AL384" s="213"/>
      <c r="AM384" s="213"/>
      <c r="AN384" s="213"/>
      <c r="AO384" s="213"/>
      <c r="AP384" s="213"/>
      <c r="AQ384" s="213"/>
      <c r="AR384" s="213"/>
      <c r="AS384" s="213"/>
      <c r="AT384" s="213"/>
      <c r="AU384" s="213"/>
      <c r="AV384" s="213"/>
      <c r="AW384" s="213"/>
      <c r="AX384" s="213"/>
      <c r="AY384" s="213"/>
      <c r="AZ384" s="213"/>
      <c r="BA384" s="213"/>
      <c r="BB384" s="213"/>
    </row>
    <row r="385">
      <c r="A385" s="199"/>
      <c r="B385" s="12"/>
      <c r="C385" s="202"/>
      <c r="D385" s="199"/>
      <c r="E385" s="211"/>
      <c r="F385" s="201"/>
      <c r="G385" s="199"/>
      <c r="H385" s="199"/>
      <c r="I385" s="199"/>
      <c r="J385" s="212"/>
      <c r="K385" s="212"/>
      <c r="L385" s="212"/>
      <c r="M385" s="212"/>
      <c r="N385" s="212"/>
      <c r="O385" s="212"/>
      <c r="P385" s="212"/>
      <c r="Q385" s="212"/>
      <c r="R385" s="212"/>
      <c r="S385" s="212"/>
      <c r="T385" s="212"/>
      <c r="U385" s="212"/>
      <c r="V385" s="212"/>
      <c r="W385" s="212"/>
      <c r="X385" s="212"/>
      <c r="Y385" s="212"/>
      <c r="Z385" s="204"/>
      <c r="AA385" s="204"/>
      <c r="AB385" s="204"/>
      <c r="AC385" s="204"/>
      <c r="AD385" s="204"/>
      <c r="AE385" s="212"/>
      <c r="AF385" s="213"/>
      <c r="AG385" s="213"/>
      <c r="AH385" s="213"/>
      <c r="AI385" s="213"/>
      <c r="AJ385" s="213"/>
      <c r="AK385" s="213"/>
      <c r="AL385" s="213"/>
      <c r="AM385" s="213"/>
      <c r="AN385" s="213"/>
      <c r="AO385" s="213"/>
      <c r="AP385" s="213"/>
      <c r="AQ385" s="213"/>
      <c r="AR385" s="213"/>
      <c r="AS385" s="213"/>
      <c r="AT385" s="213"/>
      <c r="AU385" s="213"/>
      <c r="AV385" s="213"/>
      <c r="AW385" s="213"/>
      <c r="AX385" s="213"/>
      <c r="AY385" s="213"/>
      <c r="AZ385" s="213"/>
      <c r="BA385" s="213"/>
      <c r="BB385" s="213"/>
    </row>
    <row r="386">
      <c r="A386" s="199"/>
      <c r="B386" s="12"/>
      <c r="C386" s="202"/>
      <c r="D386" s="199"/>
      <c r="E386" s="211"/>
      <c r="F386" s="201"/>
      <c r="G386" s="199"/>
      <c r="H386" s="199"/>
      <c r="I386" s="199"/>
      <c r="J386" s="212"/>
      <c r="K386" s="212"/>
      <c r="L386" s="212"/>
      <c r="M386" s="212"/>
      <c r="N386" s="212"/>
      <c r="O386" s="212"/>
      <c r="P386" s="212"/>
      <c r="Q386" s="212"/>
      <c r="R386" s="212"/>
      <c r="S386" s="212"/>
      <c r="T386" s="212"/>
      <c r="U386" s="212"/>
      <c r="V386" s="212"/>
      <c r="W386" s="212"/>
      <c r="X386" s="212"/>
      <c r="Y386" s="212"/>
      <c r="Z386" s="204"/>
      <c r="AA386" s="204"/>
      <c r="AB386" s="204"/>
      <c r="AC386" s="204"/>
      <c r="AD386" s="204"/>
      <c r="AE386" s="212"/>
      <c r="AF386" s="213"/>
      <c r="AG386" s="213"/>
      <c r="AH386" s="213"/>
      <c r="AI386" s="213"/>
      <c r="AJ386" s="213"/>
      <c r="AK386" s="213"/>
      <c r="AL386" s="213"/>
      <c r="AM386" s="213"/>
      <c r="AN386" s="213"/>
      <c r="AO386" s="213"/>
      <c r="AP386" s="213"/>
      <c r="AQ386" s="213"/>
      <c r="AR386" s="213"/>
      <c r="AS386" s="213"/>
      <c r="AT386" s="213"/>
      <c r="AU386" s="213"/>
      <c r="AV386" s="213"/>
      <c r="AW386" s="213"/>
      <c r="AX386" s="213"/>
      <c r="AY386" s="213"/>
      <c r="AZ386" s="213"/>
      <c r="BA386" s="213"/>
      <c r="BB386" s="213"/>
    </row>
    <row r="387">
      <c r="A387" s="199"/>
      <c r="B387" s="12"/>
      <c r="C387" s="202"/>
      <c r="D387" s="199"/>
      <c r="E387" s="211"/>
      <c r="F387" s="201"/>
      <c r="G387" s="199"/>
      <c r="H387" s="199"/>
      <c r="I387" s="199"/>
      <c r="J387" s="212"/>
      <c r="K387" s="212"/>
      <c r="L387" s="212"/>
      <c r="M387" s="212"/>
      <c r="N387" s="212"/>
      <c r="O387" s="212"/>
      <c r="P387" s="212"/>
      <c r="Q387" s="212"/>
      <c r="R387" s="212"/>
      <c r="S387" s="212"/>
      <c r="T387" s="212"/>
      <c r="U387" s="212"/>
      <c r="V387" s="212"/>
      <c r="W387" s="212"/>
      <c r="X387" s="212"/>
      <c r="Y387" s="212"/>
      <c r="Z387" s="204"/>
      <c r="AA387" s="204"/>
      <c r="AB387" s="204"/>
      <c r="AC387" s="204"/>
      <c r="AD387" s="204"/>
      <c r="AE387" s="212"/>
      <c r="AF387" s="213"/>
      <c r="AG387" s="213"/>
      <c r="AH387" s="213"/>
      <c r="AI387" s="213"/>
      <c r="AJ387" s="213"/>
      <c r="AK387" s="213"/>
      <c r="AL387" s="213"/>
      <c r="AM387" s="213"/>
      <c r="AN387" s="213"/>
      <c r="AO387" s="213"/>
      <c r="AP387" s="213"/>
      <c r="AQ387" s="213"/>
      <c r="AR387" s="213"/>
      <c r="AS387" s="213"/>
      <c r="AT387" s="213"/>
      <c r="AU387" s="213"/>
      <c r="AV387" s="213"/>
      <c r="AW387" s="213"/>
      <c r="AX387" s="213"/>
      <c r="AY387" s="213"/>
      <c r="AZ387" s="213"/>
      <c r="BA387" s="213"/>
      <c r="BB387" s="213"/>
    </row>
    <row r="388">
      <c r="A388" s="199"/>
      <c r="B388" s="12"/>
      <c r="C388" s="202"/>
      <c r="D388" s="199"/>
      <c r="E388" s="211"/>
      <c r="F388" s="201"/>
      <c r="G388" s="199"/>
      <c r="H388" s="199"/>
      <c r="I388" s="199"/>
      <c r="J388" s="212"/>
      <c r="K388" s="212"/>
      <c r="L388" s="212"/>
      <c r="M388" s="212"/>
      <c r="N388" s="212"/>
      <c r="O388" s="212"/>
      <c r="P388" s="212"/>
      <c r="Q388" s="212"/>
      <c r="R388" s="212"/>
      <c r="S388" s="212"/>
      <c r="T388" s="212"/>
      <c r="U388" s="212"/>
      <c r="V388" s="212"/>
      <c r="W388" s="212"/>
      <c r="X388" s="212"/>
      <c r="Y388" s="212"/>
      <c r="Z388" s="204"/>
      <c r="AA388" s="204"/>
      <c r="AB388" s="204"/>
      <c r="AC388" s="204"/>
      <c r="AD388" s="204"/>
      <c r="AE388" s="212"/>
      <c r="AF388" s="213"/>
      <c r="AG388" s="213"/>
      <c r="AH388" s="213"/>
      <c r="AI388" s="213"/>
      <c r="AJ388" s="213"/>
      <c r="AK388" s="213"/>
      <c r="AL388" s="213"/>
      <c r="AM388" s="213"/>
      <c r="AN388" s="213"/>
      <c r="AO388" s="213"/>
      <c r="AP388" s="213"/>
      <c r="AQ388" s="213"/>
      <c r="AR388" s="213"/>
      <c r="AS388" s="213"/>
      <c r="AT388" s="213"/>
      <c r="AU388" s="213"/>
      <c r="AV388" s="213"/>
      <c r="AW388" s="213"/>
      <c r="AX388" s="213"/>
      <c r="AY388" s="213"/>
      <c r="AZ388" s="213"/>
      <c r="BA388" s="213"/>
      <c r="BB388" s="213"/>
    </row>
    <row r="389">
      <c r="A389" s="199"/>
      <c r="B389" s="12"/>
      <c r="C389" s="202"/>
      <c r="D389" s="199"/>
      <c r="E389" s="211"/>
      <c r="F389" s="201"/>
      <c r="G389" s="199"/>
      <c r="H389" s="199"/>
      <c r="I389" s="199"/>
      <c r="J389" s="212"/>
      <c r="K389" s="212"/>
      <c r="L389" s="212"/>
      <c r="M389" s="212"/>
      <c r="N389" s="212"/>
      <c r="O389" s="212"/>
      <c r="P389" s="212"/>
      <c r="Q389" s="212"/>
      <c r="R389" s="212"/>
      <c r="S389" s="212"/>
      <c r="T389" s="212"/>
      <c r="U389" s="212"/>
      <c r="V389" s="212"/>
      <c r="W389" s="212"/>
      <c r="X389" s="212"/>
      <c r="Y389" s="212"/>
      <c r="Z389" s="204"/>
      <c r="AA389" s="204"/>
      <c r="AB389" s="204"/>
      <c r="AC389" s="204"/>
      <c r="AD389" s="204"/>
      <c r="AE389" s="212"/>
      <c r="AF389" s="213"/>
      <c r="AG389" s="213"/>
      <c r="AH389" s="213"/>
      <c r="AI389" s="213"/>
      <c r="AJ389" s="213"/>
      <c r="AK389" s="213"/>
      <c r="AL389" s="213"/>
      <c r="AM389" s="213"/>
      <c r="AN389" s="213"/>
      <c r="AO389" s="213"/>
      <c r="AP389" s="213"/>
      <c r="AQ389" s="213"/>
      <c r="AR389" s="213"/>
      <c r="AS389" s="213"/>
      <c r="AT389" s="213"/>
      <c r="AU389" s="213"/>
      <c r="AV389" s="213"/>
      <c r="AW389" s="213"/>
      <c r="AX389" s="213"/>
      <c r="AY389" s="213"/>
      <c r="AZ389" s="213"/>
      <c r="BA389" s="213"/>
      <c r="BB389" s="213"/>
    </row>
    <row r="390">
      <c r="A390" s="199"/>
      <c r="B390" s="12"/>
      <c r="C390" s="202"/>
      <c r="D390" s="199"/>
      <c r="E390" s="211"/>
      <c r="F390" s="201"/>
      <c r="G390" s="199"/>
      <c r="H390" s="199"/>
      <c r="I390" s="199"/>
      <c r="J390" s="212"/>
      <c r="K390" s="212"/>
      <c r="L390" s="212"/>
      <c r="M390" s="212"/>
      <c r="N390" s="212"/>
      <c r="O390" s="212"/>
      <c r="P390" s="212"/>
      <c r="Q390" s="212"/>
      <c r="R390" s="212"/>
      <c r="S390" s="212"/>
      <c r="T390" s="212"/>
      <c r="U390" s="212"/>
      <c r="V390" s="212"/>
      <c r="W390" s="212"/>
      <c r="X390" s="212"/>
      <c r="Y390" s="212"/>
      <c r="Z390" s="204"/>
      <c r="AA390" s="204"/>
      <c r="AB390" s="204"/>
      <c r="AC390" s="204"/>
      <c r="AD390" s="204"/>
      <c r="AE390" s="212"/>
      <c r="AF390" s="213"/>
      <c r="AG390" s="213"/>
      <c r="AH390" s="213"/>
      <c r="AI390" s="213"/>
      <c r="AJ390" s="213"/>
      <c r="AK390" s="213"/>
      <c r="AL390" s="213"/>
      <c r="AM390" s="213"/>
      <c r="AN390" s="213"/>
      <c r="AO390" s="213"/>
      <c r="AP390" s="213"/>
      <c r="AQ390" s="213"/>
      <c r="AR390" s="213"/>
      <c r="AS390" s="213"/>
      <c r="AT390" s="213"/>
      <c r="AU390" s="213"/>
      <c r="AV390" s="213"/>
      <c r="AW390" s="213"/>
      <c r="AX390" s="213"/>
      <c r="AY390" s="213"/>
      <c r="AZ390" s="213"/>
      <c r="BA390" s="213"/>
      <c r="BB390" s="213"/>
    </row>
    <row r="391">
      <c r="A391" s="199"/>
      <c r="B391" s="12"/>
      <c r="C391" s="202"/>
      <c r="D391" s="199"/>
      <c r="E391" s="211"/>
      <c r="F391" s="201"/>
      <c r="G391" s="199"/>
      <c r="H391" s="199"/>
      <c r="I391" s="199"/>
      <c r="J391" s="212"/>
      <c r="K391" s="212"/>
      <c r="L391" s="212"/>
      <c r="M391" s="212"/>
      <c r="N391" s="212"/>
      <c r="O391" s="212"/>
      <c r="P391" s="212"/>
      <c r="Q391" s="212"/>
      <c r="R391" s="212"/>
      <c r="S391" s="212"/>
      <c r="T391" s="212"/>
      <c r="U391" s="212"/>
      <c r="V391" s="212"/>
      <c r="W391" s="212"/>
      <c r="X391" s="212"/>
      <c r="Y391" s="212"/>
      <c r="Z391" s="204"/>
      <c r="AA391" s="204"/>
      <c r="AB391" s="204"/>
      <c r="AC391" s="204"/>
      <c r="AD391" s="204"/>
      <c r="AE391" s="212"/>
      <c r="AF391" s="213"/>
      <c r="AG391" s="213"/>
      <c r="AH391" s="213"/>
      <c r="AI391" s="213"/>
      <c r="AJ391" s="213"/>
      <c r="AK391" s="213"/>
      <c r="AL391" s="213"/>
      <c r="AM391" s="213"/>
      <c r="AN391" s="213"/>
      <c r="AO391" s="213"/>
      <c r="AP391" s="213"/>
      <c r="AQ391" s="213"/>
      <c r="AR391" s="213"/>
      <c r="AS391" s="213"/>
      <c r="AT391" s="213"/>
      <c r="AU391" s="213"/>
      <c r="AV391" s="213"/>
      <c r="AW391" s="213"/>
      <c r="AX391" s="213"/>
      <c r="AY391" s="213"/>
      <c r="AZ391" s="213"/>
      <c r="BA391" s="213"/>
      <c r="BB391" s="213"/>
    </row>
    <row r="392">
      <c r="A392" s="199"/>
      <c r="B392" s="12"/>
      <c r="C392" s="202"/>
      <c r="D392" s="199"/>
      <c r="E392" s="211"/>
      <c r="F392" s="201"/>
      <c r="G392" s="199"/>
      <c r="H392" s="199"/>
      <c r="I392" s="199"/>
      <c r="J392" s="212"/>
      <c r="K392" s="212"/>
      <c r="L392" s="212"/>
      <c r="M392" s="212"/>
      <c r="N392" s="212"/>
      <c r="O392" s="212"/>
      <c r="P392" s="212"/>
      <c r="Q392" s="212"/>
      <c r="R392" s="212"/>
      <c r="S392" s="212"/>
      <c r="T392" s="212"/>
      <c r="U392" s="212"/>
      <c r="V392" s="212"/>
      <c r="W392" s="212"/>
      <c r="X392" s="212"/>
      <c r="Y392" s="212"/>
      <c r="Z392" s="204"/>
      <c r="AA392" s="204"/>
      <c r="AB392" s="204"/>
      <c r="AC392" s="204"/>
      <c r="AD392" s="204"/>
      <c r="AE392" s="212"/>
      <c r="AF392" s="213"/>
      <c r="AG392" s="213"/>
      <c r="AH392" s="213"/>
      <c r="AI392" s="213"/>
      <c r="AJ392" s="213"/>
      <c r="AK392" s="213"/>
      <c r="AL392" s="213"/>
      <c r="AM392" s="213"/>
      <c r="AN392" s="213"/>
      <c r="AO392" s="213"/>
      <c r="AP392" s="213"/>
      <c r="AQ392" s="213"/>
      <c r="AR392" s="213"/>
      <c r="AS392" s="213"/>
      <c r="AT392" s="213"/>
      <c r="AU392" s="213"/>
      <c r="AV392" s="213"/>
      <c r="AW392" s="213"/>
      <c r="AX392" s="213"/>
      <c r="AY392" s="213"/>
      <c r="AZ392" s="213"/>
      <c r="BA392" s="213"/>
      <c r="BB392" s="213"/>
    </row>
    <row r="393">
      <c r="A393" s="199"/>
      <c r="B393" s="12"/>
      <c r="C393" s="202"/>
      <c r="D393" s="199"/>
      <c r="E393" s="211"/>
      <c r="F393" s="201"/>
      <c r="G393" s="199"/>
      <c r="H393" s="199"/>
      <c r="I393" s="199"/>
      <c r="J393" s="212"/>
      <c r="K393" s="212"/>
      <c r="L393" s="212"/>
      <c r="M393" s="212"/>
      <c r="N393" s="212"/>
      <c r="O393" s="212"/>
      <c r="P393" s="212"/>
      <c r="Q393" s="212"/>
      <c r="R393" s="212"/>
      <c r="S393" s="212"/>
      <c r="T393" s="212"/>
      <c r="U393" s="212"/>
      <c r="V393" s="212"/>
      <c r="W393" s="212"/>
      <c r="X393" s="212"/>
      <c r="Y393" s="212"/>
      <c r="Z393" s="204"/>
      <c r="AA393" s="204"/>
      <c r="AB393" s="204"/>
      <c r="AC393" s="204"/>
      <c r="AD393" s="204"/>
      <c r="AE393" s="212"/>
      <c r="AF393" s="213"/>
      <c r="AG393" s="213"/>
      <c r="AH393" s="213"/>
      <c r="AI393" s="213"/>
      <c r="AJ393" s="213"/>
      <c r="AK393" s="213"/>
      <c r="AL393" s="213"/>
      <c r="AM393" s="213"/>
      <c r="AN393" s="213"/>
      <c r="AO393" s="213"/>
      <c r="AP393" s="213"/>
      <c r="AQ393" s="213"/>
      <c r="AR393" s="213"/>
      <c r="AS393" s="213"/>
      <c r="AT393" s="213"/>
      <c r="AU393" s="213"/>
      <c r="AV393" s="213"/>
      <c r="AW393" s="213"/>
      <c r="AX393" s="213"/>
      <c r="AY393" s="213"/>
      <c r="AZ393" s="213"/>
      <c r="BA393" s="213"/>
      <c r="BB393" s="213"/>
    </row>
    <row r="394">
      <c r="A394" s="199"/>
      <c r="B394" s="12"/>
      <c r="C394" s="202"/>
      <c r="D394" s="199"/>
      <c r="E394" s="211"/>
      <c r="F394" s="201"/>
      <c r="G394" s="199"/>
      <c r="H394" s="199"/>
      <c r="I394" s="199"/>
      <c r="J394" s="212"/>
      <c r="K394" s="212"/>
      <c r="L394" s="212"/>
      <c r="M394" s="212"/>
      <c r="N394" s="212"/>
      <c r="O394" s="212"/>
      <c r="P394" s="212"/>
      <c r="Q394" s="212"/>
      <c r="R394" s="212"/>
      <c r="S394" s="212"/>
      <c r="T394" s="212"/>
      <c r="U394" s="212"/>
      <c r="V394" s="212"/>
      <c r="W394" s="212"/>
      <c r="X394" s="212"/>
      <c r="Y394" s="212"/>
      <c r="Z394" s="204"/>
      <c r="AA394" s="204"/>
      <c r="AB394" s="204"/>
      <c r="AC394" s="204"/>
      <c r="AD394" s="204"/>
      <c r="AE394" s="212"/>
      <c r="AF394" s="213"/>
      <c r="AG394" s="213"/>
      <c r="AH394" s="213"/>
      <c r="AI394" s="213"/>
      <c r="AJ394" s="213"/>
      <c r="AK394" s="213"/>
      <c r="AL394" s="213"/>
      <c r="AM394" s="213"/>
      <c r="AN394" s="213"/>
      <c r="AO394" s="213"/>
      <c r="AP394" s="213"/>
      <c r="AQ394" s="213"/>
      <c r="AR394" s="213"/>
      <c r="AS394" s="213"/>
      <c r="AT394" s="213"/>
      <c r="AU394" s="213"/>
      <c r="AV394" s="213"/>
      <c r="AW394" s="213"/>
      <c r="AX394" s="213"/>
      <c r="AY394" s="213"/>
      <c r="AZ394" s="213"/>
      <c r="BA394" s="213"/>
      <c r="BB394" s="213"/>
    </row>
    <row r="395">
      <c r="A395" s="199"/>
      <c r="B395" s="12"/>
      <c r="C395" s="202"/>
      <c r="D395" s="199"/>
      <c r="E395" s="211"/>
      <c r="F395" s="201"/>
      <c r="G395" s="199"/>
      <c r="H395" s="199"/>
      <c r="I395" s="199"/>
      <c r="J395" s="212"/>
      <c r="K395" s="212"/>
      <c r="L395" s="212"/>
      <c r="M395" s="212"/>
      <c r="N395" s="212"/>
      <c r="O395" s="212"/>
      <c r="P395" s="212"/>
      <c r="Q395" s="212"/>
      <c r="R395" s="212"/>
      <c r="S395" s="212"/>
      <c r="T395" s="212"/>
      <c r="U395" s="212"/>
      <c r="V395" s="212"/>
      <c r="W395" s="212"/>
      <c r="X395" s="212"/>
      <c r="Y395" s="212"/>
      <c r="Z395" s="204"/>
      <c r="AA395" s="204"/>
      <c r="AB395" s="204"/>
      <c r="AC395" s="204"/>
      <c r="AD395" s="204"/>
      <c r="AE395" s="212"/>
      <c r="AF395" s="213"/>
      <c r="AG395" s="213"/>
      <c r="AH395" s="213"/>
      <c r="AI395" s="213"/>
      <c r="AJ395" s="213"/>
      <c r="AK395" s="213"/>
      <c r="AL395" s="213"/>
      <c r="AM395" s="213"/>
      <c r="AN395" s="213"/>
      <c r="AO395" s="213"/>
      <c r="AP395" s="213"/>
      <c r="AQ395" s="213"/>
      <c r="AR395" s="213"/>
      <c r="AS395" s="213"/>
      <c r="AT395" s="213"/>
      <c r="AU395" s="213"/>
      <c r="AV395" s="213"/>
      <c r="AW395" s="213"/>
      <c r="AX395" s="213"/>
      <c r="AY395" s="213"/>
      <c r="AZ395" s="213"/>
      <c r="BA395" s="213"/>
      <c r="BB395" s="213"/>
    </row>
    <row r="396">
      <c r="A396" s="199"/>
      <c r="B396" s="12"/>
      <c r="C396" s="202"/>
      <c r="D396" s="199"/>
      <c r="E396" s="211"/>
      <c r="F396" s="201"/>
      <c r="G396" s="199"/>
      <c r="H396" s="199"/>
      <c r="I396" s="199"/>
      <c r="J396" s="212"/>
      <c r="K396" s="212"/>
      <c r="L396" s="212"/>
      <c r="M396" s="212"/>
      <c r="N396" s="212"/>
      <c r="O396" s="212"/>
      <c r="P396" s="212"/>
      <c r="Q396" s="212"/>
      <c r="R396" s="212"/>
      <c r="S396" s="212"/>
      <c r="T396" s="212"/>
      <c r="U396" s="212"/>
      <c r="V396" s="212"/>
      <c r="W396" s="212"/>
      <c r="X396" s="212"/>
      <c r="Y396" s="212"/>
      <c r="Z396" s="204"/>
      <c r="AA396" s="204"/>
      <c r="AB396" s="204"/>
      <c r="AC396" s="204"/>
      <c r="AD396" s="204"/>
      <c r="AE396" s="212"/>
      <c r="AF396" s="213"/>
      <c r="AG396" s="213"/>
      <c r="AH396" s="213"/>
      <c r="AI396" s="213"/>
      <c r="AJ396" s="213"/>
      <c r="AK396" s="213"/>
      <c r="AL396" s="213"/>
      <c r="AM396" s="213"/>
      <c r="AN396" s="213"/>
      <c r="AO396" s="213"/>
      <c r="AP396" s="213"/>
      <c r="AQ396" s="213"/>
      <c r="AR396" s="213"/>
      <c r="AS396" s="213"/>
      <c r="AT396" s="213"/>
      <c r="AU396" s="213"/>
      <c r="AV396" s="213"/>
      <c r="AW396" s="213"/>
      <c r="AX396" s="213"/>
      <c r="AY396" s="213"/>
      <c r="AZ396" s="213"/>
      <c r="BA396" s="213"/>
      <c r="BB396" s="213"/>
    </row>
    <row r="397">
      <c r="A397" s="199"/>
      <c r="B397" s="12"/>
      <c r="C397" s="202"/>
      <c r="D397" s="199"/>
      <c r="E397" s="211"/>
      <c r="F397" s="201"/>
      <c r="G397" s="199"/>
      <c r="H397" s="199"/>
      <c r="I397" s="199"/>
      <c r="J397" s="212"/>
      <c r="K397" s="212"/>
      <c r="L397" s="212"/>
      <c r="M397" s="212"/>
      <c r="N397" s="212"/>
      <c r="O397" s="212"/>
      <c r="P397" s="212"/>
      <c r="Q397" s="212"/>
      <c r="R397" s="212"/>
      <c r="S397" s="212"/>
      <c r="T397" s="212"/>
      <c r="U397" s="212"/>
      <c r="V397" s="212"/>
      <c r="W397" s="212"/>
      <c r="X397" s="212"/>
      <c r="Y397" s="212"/>
      <c r="Z397" s="204"/>
      <c r="AA397" s="204"/>
      <c r="AB397" s="204"/>
      <c r="AC397" s="204"/>
      <c r="AD397" s="204"/>
      <c r="AE397" s="212"/>
      <c r="AF397" s="213"/>
      <c r="AG397" s="213"/>
      <c r="AH397" s="213"/>
      <c r="AI397" s="213"/>
      <c r="AJ397" s="213"/>
      <c r="AK397" s="213"/>
      <c r="AL397" s="213"/>
      <c r="AM397" s="213"/>
      <c r="AN397" s="213"/>
      <c r="AO397" s="213"/>
      <c r="AP397" s="213"/>
      <c r="AQ397" s="213"/>
      <c r="AR397" s="213"/>
      <c r="AS397" s="213"/>
      <c r="AT397" s="213"/>
      <c r="AU397" s="213"/>
      <c r="AV397" s="213"/>
      <c r="AW397" s="213"/>
      <c r="AX397" s="213"/>
      <c r="AY397" s="213"/>
      <c r="AZ397" s="213"/>
      <c r="BA397" s="213"/>
      <c r="BB397" s="213"/>
    </row>
    <row r="398">
      <c r="A398" s="199"/>
      <c r="B398" s="12"/>
      <c r="C398" s="202"/>
      <c r="D398" s="199"/>
      <c r="E398" s="211"/>
      <c r="F398" s="201"/>
      <c r="G398" s="199"/>
      <c r="H398" s="199"/>
      <c r="I398" s="199"/>
      <c r="J398" s="212"/>
      <c r="K398" s="212"/>
      <c r="L398" s="212"/>
      <c r="M398" s="212"/>
      <c r="N398" s="212"/>
      <c r="O398" s="212"/>
      <c r="P398" s="212"/>
      <c r="Q398" s="212"/>
      <c r="R398" s="212"/>
      <c r="S398" s="212"/>
      <c r="T398" s="212"/>
      <c r="U398" s="212"/>
      <c r="V398" s="212"/>
      <c r="W398" s="212"/>
      <c r="X398" s="212"/>
      <c r="Y398" s="212"/>
      <c r="Z398" s="204"/>
      <c r="AA398" s="204"/>
      <c r="AB398" s="204"/>
      <c r="AC398" s="204"/>
      <c r="AD398" s="204"/>
      <c r="AE398" s="212"/>
      <c r="AF398" s="213"/>
      <c r="AG398" s="213"/>
      <c r="AH398" s="213"/>
      <c r="AI398" s="213"/>
      <c r="AJ398" s="213"/>
      <c r="AK398" s="213"/>
      <c r="AL398" s="213"/>
      <c r="AM398" s="213"/>
      <c r="AN398" s="213"/>
      <c r="AO398" s="213"/>
      <c r="AP398" s="213"/>
      <c r="AQ398" s="213"/>
      <c r="AR398" s="213"/>
      <c r="AS398" s="213"/>
      <c r="AT398" s="213"/>
      <c r="AU398" s="213"/>
      <c r="AV398" s="213"/>
      <c r="AW398" s="213"/>
      <c r="AX398" s="213"/>
      <c r="AY398" s="213"/>
      <c r="AZ398" s="213"/>
      <c r="BA398" s="213"/>
      <c r="BB398" s="213"/>
    </row>
    <row r="399">
      <c r="A399" s="199"/>
      <c r="B399" s="12"/>
      <c r="C399" s="202"/>
      <c r="D399" s="199"/>
      <c r="E399" s="211"/>
      <c r="F399" s="201"/>
      <c r="G399" s="199"/>
      <c r="H399" s="199"/>
      <c r="I399" s="199"/>
      <c r="J399" s="212"/>
      <c r="K399" s="212"/>
      <c r="L399" s="212"/>
      <c r="M399" s="212"/>
      <c r="N399" s="212"/>
      <c r="O399" s="212"/>
      <c r="P399" s="212"/>
      <c r="Q399" s="212"/>
      <c r="R399" s="212"/>
      <c r="S399" s="212"/>
      <c r="T399" s="212"/>
      <c r="U399" s="212"/>
      <c r="V399" s="212"/>
      <c r="W399" s="212"/>
      <c r="X399" s="212"/>
      <c r="Y399" s="212"/>
      <c r="Z399" s="204"/>
      <c r="AA399" s="204"/>
      <c r="AB399" s="204"/>
      <c r="AC399" s="204"/>
      <c r="AD399" s="204"/>
      <c r="AE399" s="212"/>
      <c r="AF399" s="213"/>
      <c r="AG399" s="213"/>
      <c r="AH399" s="213"/>
      <c r="AI399" s="213"/>
      <c r="AJ399" s="213"/>
      <c r="AK399" s="213"/>
      <c r="AL399" s="213"/>
      <c r="AM399" s="213"/>
      <c r="AN399" s="213"/>
      <c r="AO399" s="213"/>
      <c r="AP399" s="213"/>
      <c r="AQ399" s="213"/>
      <c r="AR399" s="213"/>
      <c r="AS399" s="213"/>
      <c r="AT399" s="213"/>
      <c r="AU399" s="213"/>
      <c r="AV399" s="213"/>
      <c r="AW399" s="213"/>
      <c r="AX399" s="213"/>
      <c r="AY399" s="213"/>
      <c r="AZ399" s="213"/>
      <c r="BA399" s="213"/>
      <c r="BB399" s="213"/>
    </row>
    <row r="400">
      <c r="A400" s="199"/>
      <c r="B400" s="12"/>
      <c r="C400" s="202"/>
      <c r="D400" s="199"/>
      <c r="E400" s="211"/>
      <c r="F400" s="201"/>
      <c r="G400" s="199"/>
      <c r="H400" s="199"/>
      <c r="I400" s="199"/>
      <c r="J400" s="212"/>
      <c r="K400" s="212"/>
      <c r="L400" s="212"/>
      <c r="M400" s="212"/>
      <c r="N400" s="212"/>
      <c r="O400" s="212"/>
      <c r="P400" s="212"/>
      <c r="Q400" s="212"/>
      <c r="R400" s="212"/>
      <c r="S400" s="212"/>
      <c r="T400" s="212"/>
      <c r="U400" s="212"/>
      <c r="V400" s="212"/>
      <c r="W400" s="212"/>
      <c r="X400" s="212"/>
      <c r="Y400" s="212"/>
      <c r="Z400" s="204"/>
      <c r="AA400" s="204"/>
      <c r="AB400" s="204"/>
      <c r="AC400" s="204"/>
      <c r="AD400" s="204"/>
      <c r="AE400" s="212"/>
      <c r="AF400" s="213"/>
      <c r="AG400" s="213"/>
      <c r="AH400" s="213"/>
      <c r="AI400" s="213"/>
      <c r="AJ400" s="213"/>
      <c r="AK400" s="213"/>
      <c r="AL400" s="213"/>
      <c r="AM400" s="213"/>
      <c r="AN400" s="213"/>
      <c r="AO400" s="213"/>
      <c r="AP400" s="213"/>
      <c r="AQ400" s="213"/>
      <c r="AR400" s="213"/>
      <c r="AS400" s="213"/>
      <c r="AT400" s="213"/>
      <c r="AU400" s="213"/>
      <c r="AV400" s="213"/>
      <c r="AW400" s="213"/>
      <c r="AX400" s="213"/>
      <c r="AY400" s="213"/>
      <c r="AZ400" s="213"/>
      <c r="BA400" s="213"/>
      <c r="BB400" s="213"/>
    </row>
    <row r="401">
      <c r="A401" s="199"/>
      <c r="B401" s="12"/>
      <c r="C401" s="202"/>
      <c r="D401" s="199"/>
      <c r="E401" s="211"/>
      <c r="F401" s="201"/>
      <c r="G401" s="199"/>
      <c r="H401" s="199"/>
      <c r="I401" s="199"/>
      <c r="J401" s="212"/>
      <c r="K401" s="212"/>
      <c r="L401" s="212"/>
      <c r="M401" s="212"/>
      <c r="N401" s="212"/>
      <c r="O401" s="212"/>
      <c r="P401" s="212"/>
      <c r="Q401" s="212"/>
      <c r="R401" s="212"/>
      <c r="S401" s="212"/>
      <c r="T401" s="212"/>
      <c r="U401" s="212"/>
      <c r="V401" s="212"/>
      <c r="W401" s="212"/>
      <c r="X401" s="212"/>
      <c r="Y401" s="212"/>
      <c r="Z401" s="204"/>
      <c r="AA401" s="204"/>
      <c r="AB401" s="204"/>
      <c r="AC401" s="204"/>
      <c r="AD401" s="204"/>
      <c r="AE401" s="212"/>
      <c r="AF401" s="213"/>
      <c r="AG401" s="213"/>
      <c r="AH401" s="213"/>
      <c r="AI401" s="213"/>
      <c r="AJ401" s="213"/>
      <c r="AK401" s="213"/>
      <c r="AL401" s="213"/>
      <c r="AM401" s="213"/>
      <c r="AN401" s="213"/>
      <c r="AO401" s="213"/>
      <c r="AP401" s="213"/>
      <c r="AQ401" s="213"/>
      <c r="AR401" s="213"/>
      <c r="AS401" s="213"/>
      <c r="AT401" s="213"/>
      <c r="AU401" s="213"/>
      <c r="AV401" s="213"/>
      <c r="AW401" s="213"/>
      <c r="AX401" s="213"/>
      <c r="AY401" s="213"/>
      <c r="AZ401" s="213"/>
      <c r="BA401" s="213"/>
      <c r="BB401" s="213"/>
    </row>
    <row r="402">
      <c r="A402" s="199"/>
      <c r="B402" s="12"/>
      <c r="C402" s="202"/>
      <c r="D402" s="199"/>
      <c r="E402" s="211"/>
      <c r="F402" s="201"/>
      <c r="G402" s="199"/>
      <c r="H402" s="199"/>
      <c r="I402" s="199"/>
      <c r="J402" s="212"/>
      <c r="K402" s="212"/>
      <c r="L402" s="212"/>
      <c r="M402" s="212"/>
      <c r="N402" s="212"/>
      <c r="O402" s="212"/>
      <c r="P402" s="212"/>
      <c r="Q402" s="212"/>
      <c r="R402" s="212"/>
      <c r="S402" s="212"/>
      <c r="T402" s="212"/>
      <c r="U402" s="212"/>
      <c r="V402" s="212"/>
      <c r="W402" s="212"/>
      <c r="X402" s="212"/>
      <c r="Y402" s="212"/>
      <c r="Z402" s="204"/>
      <c r="AA402" s="204"/>
      <c r="AB402" s="204"/>
      <c r="AC402" s="204"/>
      <c r="AD402" s="204"/>
      <c r="AE402" s="212"/>
      <c r="AF402" s="213"/>
      <c r="AG402" s="213"/>
      <c r="AH402" s="213"/>
      <c r="AI402" s="213"/>
      <c r="AJ402" s="213"/>
      <c r="AK402" s="213"/>
      <c r="AL402" s="213"/>
      <c r="AM402" s="213"/>
      <c r="AN402" s="213"/>
      <c r="AO402" s="213"/>
      <c r="AP402" s="213"/>
      <c r="AQ402" s="213"/>
      <c r="AR402" s="213"/>
      <c r="AS402" s="213"/>
      <c r="AT402" s="213"/>
      <c r="AU402" s="213"/>
      <c r="AV402" s="213"/>
      <c r="AW402" s="213"/>
      <c r="AX402" s="213"/>
      <c r="AY402" s="213"/>
      <c r="AZ402" s="213"/>
      <c r="BA402" s="213"/>
      <c r="BB402" s="213"/>
    </row>
    <row r="403">
      <c r="A403" s="199"/>
      <c r="B403" s="12"/>
      <c r="C403" s="202"/>
      <c r="D403" s="199"/>
      <c r="E403" s="211"/>
      <c r="F403" s="201"/>
      <c r="G403" s="199"/>
      <c r="H403" s="199"/>
      <c r="I403" s="199"/>
      <c r="J403" s="212"/>
      <c r="K403" s="212"/>
      <c r="L403" s="212"/>
      <c r="M403" s="212"/>
      <c r="N403" s="212"/>
      <c r="O403" s="212"/>
      <c r="P403" s="212"/>
      <c r="Q403" s="212"/>
      <c r="R403" s="212"/>
      <c r="S403" s="212"/>
      <c r="T403" s="212"/>
      <c r="U403" s="212"/>
      <c r="V403" s="212"/>
      <c r="W403" s="212"/>
      <c r="X403" s="212"/>
      <c r="Y403" s="212"/>
      <c r="Z403" s="204"/>
      <c r="AA403" s="204"/>
      <c r="AB403" s="204"/>
      <c r="AC403" s="204"/>
      <c r="AD403" s="204"/>
      <c r="AE403" s="212"/>
      <c r="AF403" s="213"/>
      <c r="AG403" s="213"/>
      <c r="AH403" s="213"/>
      <c r="AI403" s="213"/>
      <c r="AJ403" s="213"/>
      <c r="AK403" s="213"/>
      <c r="AL403" s="213"/>
      <c r="AM403" s="213"/>
      <c r="AN403" s="213"/>
      <c r="AO403" s="213"/>
      <c r="AP403" s="213"/>
      <c r="AQ403" s="213"/>
      <c r="AR403" s="213"/>
      <c r="AS403" s="213"/>
      <c r="AT403" s="213"/>
      <c r="AU403" s="213"/>
      <c r="AV403" s="213"/>
      <c r="AW403" s="213"/>
      <c r="AX403" s="213"/>
      <c r="AY403" s="213"/>
      <c r="AZ403" s="213"/>
      <c r="BA403" s="213"/>
      <c r="BB403" s="213"/>
    </row>
    <row r="404">
      <c r="A404" s="199"/>
      <c r="B404" s="12"/>
      <c r="C404" s="202"/>
      <c r="D404" s="199"/>
      <c r="E404" s="211"/>
      <c r="F404" s="201"/>
      <c r="G404" s="199"/>
      <c r="H404" s="199"/>
      <c r="I404" s="199"/>
      <c r="J404" s="212"/>
      <c r="K404" s="212"/>
      <c r="L404" s="212"/>
      <c r="M404" s="212"/>
      <c r="N404" s="212"/>
      <c r="O404" s="212"/>
      <c r="P404" s="212"/>
      <c r="Q404" s="212"/>
      <c r="R404" s="212"/>
      <c r="S404" s="212"/>
      <c r="T404" s="212"/>
      <c r="U404" s="212"/>
      <c r="V404" s="212"/>
      <c r="W404" s="212"/>
      <c r="X404" s="212"/>
      <c r="Y404" s="212"/>
      <c r="Z404" s="204"/>
      <c r="AA404" s="204"/>
      <c r="AB404" s="204"/>
      <c r="AC404" s="204"/>
      <c r="AD404" s="204"/>
      <c r="AE404" s="212"/>
      <c r="AF404" s="213"/>
      <c r="AG404" s="213"/>
      <c r="AH404" s="213"/>
      <c r="AI404" s="213"/>
      <c r="AJ404" s="213"/>
      <c r="AK404" s="213"/>
      <c r="AL404" s="213"/>
      <c r="AM404" s="213"/>
      <c r="AN404" s="213"/>
      <c r="AO404" s="213"/>
      <c r="AP404" s="213"/>
      <c r="AQ404" s="213"/>
      <c r="AR404" s="213"/>
      <c r="AS404" s="213"/>
      <c r="AT404" s="213"/>
      <c r="AU404" s="213"/>
      <c r="AV404" s="213"/>
      <c r="AW404" s="213"/>
      <c r="AX404" s="213"/>
      <c r="AY404" s="213"/>
      <c r="AZ404" s="213"/>
      <c r="BA404" s="213"/>
      <c r="BB404" s="213"/>
    </row>
    <row r="405">
      <c r="A405" s="199"/>
      <c r="B405" s="12"/>
      <c r="C405" s="202"/>
      <c r="D405" s="199"/>
      <c r="E405" s="211"/>
      <c r="F405" s="201"/>
      <c r="G405" s="199"/>
      <c r="H405" s="199"/>
      <c r="I405" s="199"/>
      <c r="J405" s="212"/>
      <c r="K405" s="212"/>
      <c r="L405" s="212"/>
      <c r="M405" s="212"/>
      <c r="N405" s="212"/>
      <c r="O405" s="212"/>
      <c r="P405" s="212"/>
      <c r="Q405" s="212"/>
      <c r="R405" s="212"/>
      <c r="S405" s="212"/>
      <c r="T405" s="212"/>
      <c r="U405" s="212"/>
      <c r="V405" s="212"/>
      <c r="W405" s="212"/>
      <c r="X405" s="212"/>
      <c r="Y405" s="212"/>
      <c r="Z405" s="204"/>
      <c r="AA405" s="204"/>
      <c r="AB405" s="204"/>
      <c r="AC405" s="204"/>
      <c r="AD405" s="204"/>
      <c r="AE405" s="212"/>
      <c r="AF405" s="213"/>
      <c r="AG405" s="213"/>
      <c r="AH405" s="213"/>
      <c r="AI405" s="213"/>
      <c r="AJ405" s="213"/>
      <c r="AK405" s="213"/>
      <c r="AL405" s="213"/>
      <c r="AM405" s="213"/>
      <c r="AN405" s="213"/>
      <c r="AO405" s="213"/>
      <c r="AP405" s="213"/>
      <c r="AQ405" s="213"/>
      <c r="AR405" s="213"/>
      <c r="AS405" s="213"/>
      <c r="AT405" s="213"/>
      <c r="AU405" s="213"/>
      <c r="AV405" s="213"/>
      <c r="AW405" s="213"/>
      <c r="AX405" s="213"/>
      <c r="AY405" s="213"/>
      <c r="AZ405" s="213"/>
      <c r="BA405" s="213"/>
      <c r="BB405" s="213"/>
    </row>
    <row r="406">
      <c r="A406" s="199"/>
      <c r="B406" s="12"/>
      <c r="C406" s="202"/>
      <c r="D406" s="199"/>
      <c r="E406" s="211"/>
      <c r="F406" s="201"/>
      <c r="G406" s="199"/>
      <c r="H406" s="199"/>
      <c r="I406" s="199"/>
      <c r="J406" s="212"/>
      <c r="K406" s="212"/>
      <c r="L406" s="212"/>
      <c r="M406" s="212"/>
      <c r="N406" s="212"/>
      <c r="O406" s="212"/>
      <c r="P406" s="212"/>
      <c r="Q406" s="212"/>
      <c r="R406" s="212"/>
      <c r="S406" s="212"/>
      <c r="T406" s="212"/>
      <c r="U406" s="212"/>
      <c r="V406" s="212"/>
      <c r="W406" s="212"/>
      <c r="X406" s="212"/>
      <c r="Y406" s="212"/>
      <c r="Z406" s="204"/>
      <c r="AA406" s="204"/>
      <c r="AB406" s="204"/>
      <c r="AC406" s="204"/>
      <c r="AD406" s="204"/>
      <c r="AE406" s="212"/>
      <c r="AF406" s="213"/>
      <c r="AG406" s="213"/>
      <c r="AH406" s="213"/>
      <c r="AI406" s="213"/>
      <c r="AJ406" s="213"/>
      <c r="AK406" s="213"/>
      <c r="AL406" s="213"/>
      <c r="AM406" s="213"/>
      <c r="AN406" s="213"/>
      <c r="AO406" s="213"/>
      <c r="AP406" s="213"/>
      <c r="AQ406" s="213"/>
      <c r="AR406" s="213"/>
      <c r="AS406" s="213"/>
      <c r="AT406" s="213"/>
      <c r="AU406" s="213"/>
      <c r="AV406" s="213"/>
      <c r="AW406" s="213"/>
      <c r="AX406" s="213"/>
      <c r="AY406" s="213"/>
      <c r="AZ406" s="213"/>
      <c r="BA406" s="213"/>
      <c r="BB406" s="213"/>
    </row>
    <row r="407">
      <c r="A407" s="199"/>
      <c r="B407" s="12"/>
      <c r="C407" s="202"/>
      <c r="D407" s="199"/>
      <c r="E407" s="211"/>
      <c r="F407" s="201"/>
      <c r="G407" s="199"/>
      <c r="H407" s="199"/>
      <c r="I407" s="199"/>
      <c r="J407" s="212"/>
      <c r="K407" s="212"/>
      <c r="L407" s="212"/>
      <c r="M407" s="212"/>
      <c r="N407" s="212"/>
      <c r="O407" s="212"/>
      <c r="P407" s="212"/>
      <c r="Q407" s="212"/>
      <c r="R407" s="212"/>
      <c r="S407" s="212"/>
      <c r="T407" s="212"/>
      <c r="U407" s="212"/>
      <c r="V407" s="212"/>
      <c r="W407" s="212"/>
      <c r="X407" s="212"/>
      <c r="Y407" s="212"/>
      <c r="Z407" s="204"/>
      <c r="AA407" s="204"/>
      <c r="AB407" s="204"/>
      <c r="AC407" s="204"/>
      <c r="AD407" s="204"/>
      <c r="AE407" s="212"/>
      <c r="AF407" s="213"/>
      <c r="AG407" s="213"/>
      <c r="AH407" s="213"/>
      <c r="AI407" s="213"/>
      <c r="AJ407" s="213"/>
      <c r="AK407" s="213"/>
      <c r="AL407" s="213"/>
      <c r="AM407" s="213"/>
      <c r="AN407" s="213"/>
      <c r="AO407" s="213"/>
      <c r="AP407" s="213"/>
      <c r="AQ407" s="213"/>
      <c r="AR407" s="213"/>
      <c r="AS407" s="213"/>
      <c r="AT407" s="213"/>
      <c r="AU407" s="213"/>
      <c r="AV407" s="213"/>
      <c r="AW407" s="213"/>
      <c r="AX407" s="213"/>
      <c r="AY407" s="213"/>
      <c r="AZ407" s="213"/>
      <c r="BA407" s="213"/>
      <c r="BB407" s="213"/>
    </row>
    <row r="408">
      <c r="A408" s="199"/>
      <c r="B408" s="12"/>
      <c r="C408" s="202"/>
      <c r="D408" s="199"/>
      <c r="E408" s="211"/>
      <c r="F408" s="201"/>
      <c r="G408" s="199"/>
      <c r="H408" s="199"/>
      <c r="I408" s="199"/>
      <c r="J408" s="212"/>
      <c r="K408" s="212"/>
      <c r="L408" s="212"/>
      <c r="M408" s="212"/>
      <c r="N408" s="212"/>
      <c r="O408" s="212"/>
      <c r="P408" s="212"/>
      <c r="Q408" s="212"/>
      <c r="R408" s="212"/>
      <c r="S408" s="212"/>
      <c r="T408" s="212"/>
      <c r="U408" s="212"/>
      <c r="V408" s="212"/>
      <c r="W408" s="212"/>
      <c r="X408" s="212"/>
      <c r="Y408" s="212"/>
      <c r="Z408" s="204"/>
      <c r="AA408" s="204"/>
      <c r="AB408" s="204"/>
      <c r="AC408" s="204"/>
      <c r="AD408" s="204"/>
      <c r="AE408" s="212"/>
      <c r="AF408" s="213"/>
      <c r="AG408" s="213"/>
      <c r="AH408" s="213"/>
      <c r="AI408" s="213"/>
      <c r="AJ408" s="213"/>
      <c r="AK408" s="213"/>
      <c r="AL408" s="213"/>
      <c r="AM408" s="213"/>
      <c r="AN408" s="213"/>
      <c r="AO408" s="213"/>
      <c r="AP408" s="213"/>
      <c r="AQ408" s="213"/>
      <c r="AR408" s="213"/>
      <c r="AS408" s="213"/>
      <c r="AT408" s="213"/>
      <c r="AU408" s="213"/>
      <c r="AV408" s="213"/>
      <c r="AW408" s="213"/>
      <c r="AX408" s="213"/>
      <c r="AY408" s="213"/>
      <c r="AZ408" s="213"/>
      <c r="BA408" s="213"/>
      <c r="BB408" s="213"/>
    </row>
    <row r="409">
      <c r="A409" s="199"/>
      <c r="B409" s="12"/>
      <c r="C409" s="202"/>
      <c r="D409" s="199"/>
      <c r="E409" s="211"/>
      <c r="F409" s="201"/>
      <c r="G409" s="199"/>
      <c r="H409" s="199"/>
      <c r="I409" s="199"/>
      <c r="J409" s="212"/>
      <c r="K409" s="212"/>
      <c r="L409" s="212"/>
      <c r="M409" s="212"/>
      <c r="N409" s="212"/>
      <c r="O409" s="212"/>
      <c r="P409" s="212"/>
      <c r="Q409" s="212"/>
      <c r="R409" s="212"/>
      <c r="S409" s="212"/>
      <c r="T409" s="212"/>
      <c r="U409" s="212"/>
      <c r="V409" s="212"/>
      <c r="W409" s="212"/>
      <c r="X409" s="212"/>
      <c r="Y409" s="212"/>
      <c r="Z409" s="204"/>
      <c r="AA409" s="204"/>
      <c r="AB409" s="204"/>
      <c r="AC409" s="204"/>
      <c r="AD409" s="204"/>
      <c r="AE409" s="212"/>
      <c r="AF409" s="213"/>
      <c r="AG409" s="213"/>
      <c r="AH409" s="213"/>
      <c r="AI409" s="213"/>
      <c r="AJ409" s="213"/>
      <c r="AK409" s="213"/>
      <c r="AL409" s="213"/>
      <c r="AM409" s="213"/>
      <c r="AN409" s="213"/>
      <c r="AO409" s="213"/>
      <c r="AP409" s="213"/>
      <c r="AQ409" s="213"/>
      <c r="AR409" s="213"/>
      <c r="AS409" s="213"/>
      <c r="AT409" s="213"/>
      <c r="AU409" s="213"/>
      <c r="AV409" s="213"/>
      <c r="AW409" s="213"/>
      <c r="AX409" s="213"/>
      <c r="AY409" s="213"/>
      <c r="AZ409" s="213"/>
      <c r="BA409" s="213"/>
      <c r="BB409" s="213"/>
    </row>
    <row r="410">
      <c r="A410" s="199"/>
      <c r="B410" s="12"/>
      <c r="C410" s="202"/>
      <c r="D410" s="199"/>
      <c r="E410" s="211"/>
      <c r="F410" s="201"/>
      <c r="G410" s="199"/>
      <c r="H410" s="199"/>
      <c r="I410" s="199"/>
      <c r="J410" s="212"/>
      <c r="K410" s="212"/>
      <c r="L410" s="212"/>
      <c r="M410" s="212"/>
      <c r="N410" s="212"/>
      <c r="O410" s="212"/>
      <c r="P410" s="212"/>
      <c r="Q410" s="212"/>
      <c r="R410" s="212"/>
      <c r="S410" s="212"/>
      <c r="T410" s="212"/>
      <c r="U410" s="212"/>
      <c r="V410" s="212"/>
      <c r="W410" s="212"/>
      <c r="X410" s="212"/>
      <c r="Y410" s="212"/>
      <c r="Z410" s="204"/>
      <c r="AA410" s="204"/>
      <c r="AB410" s="204"/>
      <c r="AC410" s="204"/>
      <c r="AD410" s="204"/>
      <c r="AE410" s="212"/>
      <c r="AF410" s="213"/>
      <c r="AG410" s="213"/>
      <c r="AH410" s="213"/>
      <c r="AI410" s="213"/>
      <c r="AJ410" s="213"/>
      <c r="AK410" s="213"/>
      <c r="AL410" s="213"/>
      <c r="AM410" s="213"/>
      <c r="AN410" s="213"/>
      <c r="AO410" s="213"/>
      <c r="AP410" s="213"/>
      <c r="AQ410" s="213"/>
      <c r="AR410" s="213"/>
      <c r="AS410" s="213"/>
      <c r="AT410" s="213"/>
      <c r="AU410" s="213"/>
      <c r="AV410" s="213"/>
      <c r="AW410" s="213"/>
      <c r="AX410" s="213"/>
      <c r="AY410" s="213"/>
      <c r="AZ410" s="213"/>
      <c r="BA410" s="213"/>
      <c r="BB410" s="213"/>
    </row>
    <row r="411">
      <c r="A411" s="199"/>
      <c r="B411" s="12"/>
      <c r="C411" s="202"/>
      <c r="D411" s="199"/>
      <c r="E411" s="211"/>
      <c r="F411" s="201"/>
      <c r="G411" s="199"/>
      <c r="H411" s="199"/>
      <c r="I411" s="199"/>
      <c r="J411" s="212"/>
      <c r="K411" s="212"/>
      <c r="L411" s="212"/>
      <c r="M411" s="212"/>
      <c r="N411" s="212"/>
      <c r="O411" s="212"/>
      <c r="P411" s="212"/>
      <c r="Q411" s="212"/>
      <c r="R411" s="212"/>
      <c r="S411" s="212"/>
      <c r="T411" s="212"/>
      <c r="U411" s="212"/>
      <c r="V411" s="212"/>
      <c r="W411" s="212"/>
      <c r="X411" s="212"/>
      <c r="Y411" s="212"/>
      <c r="Z411" s="204"/>
      <c r="AA411" s="204"/>
      <c r="AB411" s="204"/>
      <c r="AC411" s="204"/>
      <c r="AD411" s="204"/>
      <c r="AE411" s="212"/>
      <c r="AF411" s="213"/>
      <c r="AG411" s="213"/>
      <c r="AH411" s="213"/>
      <c r="AI411" s="213"/>
      <c r="AJ411" s="213"/>
      <c r="AK411" s="213"/>
      <c r="AL411" s="213"/>
      <c r="AM411" s="213"/>
      <c r="AN411" s="213"/>
      <c r="AO411" s="213"/>
      <c r="AP411" s="213"/>
      <c r="AQ411" s="213"/>
      <c r="AR411" s="213"/>
      <c r="AS411" s="213"/>
      <c r="AT411" s="213"/>
      <c r="AU411" s="213"/>
      <c r="AV411" s="213"/>
      <c r="AW411" s="213"/>
      <c r="AX411" s="213"/>
      <c r="AY411" s="213"/>
      <c r="AZ411" s="213"/>
      <c r="BA411" s="213"/>
      <c r="BB411" s="213"/>
    </row>
    <row r="412">
      <c r="A412" s="199"/>
      <c r="B412" s="12"/>
      <c r="C412" s="202"/>
      <c r="D412" s="199"/>
      <c r="E412" s="211"/>
      <c r="F412" s="201"/>
      <c r="G412" s="199"/>
      <c r="H412" s="199"/>
      <c r="I412" s="199"/>
      <c r="J412" s="212"/>
      <c r="K412" s="212"/>
      <c r="L412" s="212"/>
      <c r="M412" s="212"/>
      <c r="N412" s="212"/>
      <c r="O412" s="212"/>
      <c r="P412" s="212"/>
      <c r="Q412" s="212"/>
      <c r="R412" s="212"/>
      <c r="S412" s="212"/>
      <c r="T412" s="212"/>
      <c r="U412" s="212"/>
      <c r="V412" s="212"/>
      <c r="W412" s="212"/>
      <c r="X412" s="212"/>
      <c r="Y412" s="212"/>
      <c r="Z412" s="204"/>
      <c r="AA412" s="204"/>
      <c r="AB412" s="204"/>
      <c r="AC412" s="204"/>
      <c r="AD412" s="204"/>
      <c r="AE412" s="212"/>
      <c r="AF412" s="213"/>
      <c r="AG412" s="213"/>
      <c r="AH412" s="213"/>
      <c r="AI412" s="213"/>
      <c r="AJ412" s="213"/>
      <c r="AK412" s="213"/>
      <c r="AL412" s="213"/>
      <c r="AM412" s="213"/>
      <c r="AN412" s="213"/>
      <c r="AO412" s="213"/>
      <c r="AP412" s="213"/>
      <c r="AQ412" s="213"/>
      <c r="AR412" s="213"/>
      <c r="AS412" s="213"/>
      <c r="AT412" s="213"/>
      <c r="AU412" s="213"/>
      <c r="AV412" s="213"/>
      <c r="AW412" s="213"/>
      <c r="AX412" s="213"/>
      <c r="AY412" s="213"/>
      <c r="AZ412" s="213"/>
      <c r="BA412" s="213"/>
      <c r="BB412" s="213"/>
    </row>
    <row r="413">
      <c r="A413" s="199"/>
      <c r="B413" s="12"/>
      <c r="C413" s="202"/>
      <c r="D413" s="199"/>
      <c r="E413" s="211"/>
      <c r="F413" s="201"/>
      <c r="G413" s="199"/>
      <c r="H413" s="199"/>
      <c r="I413" s="199"/>
      <c r="J413" s="212"/>
      <c r="K413" s="212"/>
      <c r="L413" s="212"/>
      <c r="M413" s="212"/>
      <c r="N413" s="212"/>
      <c r="O413" s="212"/>
      <c r="P413" s="212"/>
      <c r="Q413" s="212"/>
      <c r="R413" s="212"/>
      <c r="S413" s="212"/>
      <c r="T413" s="212"/>
      <c r="U413" s="212"/>
      <c r="V413" s="212"/>
      <c r="W413" s="212"/>
      <c r="X413" s="212"/>
      <c r="Y413" s="212"/>
      <c r="Z413" s="204"/>
      <c r="AA413" s="204"/>
      <c r="AB413" s="204"/>
      <c r="AC413" s="204"/>
      <c r="AD413" s="204"/>
      <c r="AE413" s="212"/>
      <c r="AF413" s="213"/>
      <c r="AG413" s="213"/>
      <c r="AH413" s="213"/>
      <c r="AI413" s="213"/>
      <c r="AJ413" s="213"/>
      <c r="AK413" s="213"/>
      <c r="AL413" s="213"/>
      <c r="AM413" s="213"/>
      <c r="AN413" s="213"/>
      <c r="AO413" s="213"/>
      <c r="AP413" s="213"/>
      <c r="AQ413" s="213"/>
      <c r="AR413" s="213"/>
      <c r="AS413" s="213"/>
      <c r="AT413" s="213"/>
      <c r="AU413" s="213"/>
      <c r="AV413" s="213"/>
      <c r="AW413" s="213"/>
      <c r="AX413" s="213"/>
      <c r="AY413" s="213"/>
      <c r="AZ413" s="213"/>
      <c r="BA413" s="213"/>
      <c r="BB413" s="213"/>
    </row>
    <row r="414">
      <c r="A414" s="199"/>
      <c r="B414" s="12"/>
      <c r="C414" s="202"/>
      <c r="D414" s="199"/>
      <c r="E414" s="211"/>
      <c r="F414" s="201"/>
      <c r="G414" s="199"/>
      <c r="H414" s="199"/>
      <c r="I414" s="199"/>
      <c r="J414" s="212"/>
      <c r="K414" s="212"/>
      <c r="L414" s="212"/>
      <c r="M414" s="212"/>
      <c r="N414" s="212"/>
      <c r="O414" s="212"/>
      <c r="P414" s="212"/>
      <c r="Q414" s="212"/>
      <c r="R414" s="212"/>
      <c r="S414" s="212"/>
      <c r="T414" s="212"/>
      <c r="U414" s="212"/>
      <c r="V414" s="212"/>
      <c r="W414" s="212"/>
      <c r="X414" s="212"/>
      <c r="Y414" s="212"/>
      <c r="Z414" s="204"/>
      <c r="AA414" s="204"/>
      <c r="AB414" s="204"/>
      <c r="AC414" s="204"/>
      <c r="AD414" s="204"/>
      <c r="AE414" s="212"/>
      <c r="AF414" s="213"/>
      <c r="AG414" s="213"/>
      <c r="AH414" s="213"/>
      <c r="AI414" s="213"/>
      <c r="AJ414" s="213"/>
      <c r="AK414" s="213"/>
      <c r="AL414" s="213"/>
      <c r="AM414" s="213"/>
      <c r="AN414" s="213"/>
      <c r="AO414" s="213"/>
      <c r="AP414" s="213"/>
      <c r="AQ414" s="213"/>
      <c r="AR414" s="213"/>
      <c r="AS414" s="213"/>
      <c r="AT414" s="213"/>
      <c r="AU414" s="213"/>
      <c r="AV414" s="213"/>
      <c r="AW414" s="213"/>
      <c r="AX414" s="213"/>
      <c r="AY414" s="213"/>
      <c r="AZ414" s="213"/>
      <c r="BA414" s="213"/>
      <c r="BB414" s="213"/>
    </row>
    <row r="415">
      <c r="A415" s="199"/>
      <c r="B415" s="12"/>
      <c r="C415" s="202"/>
      <c r="D415" s="199"/>
      <c r="E415" s="211"/>
      <c r="F415" s="201"/>
      <c r="G415" s="199"/>
      <c r="H415" s="199"/>
      <c r="I415" s="199"/>
      <c r="J415" s="212"/>
      <c r="K415" s="212"/>
      <c r="L415" s="212"/>
      <c r="M415" s="212"/>
      <c r="N415" s="212"/>
      <c r="O415" s="212"/>
      <c r="P415" s="212"/>
      <c r="Q415" s="212"/>
      <c r="R415" s="212"/>
      <c r="S415" s="212"/>
      <c r="T415" s="212"/>
      <c r="U415" s="212"/>
      <c r="V415" s="212"/>
      <c r="W415" s="212"/>
      <c r="X415" s="212"/>
      <c r="Y415" s="212"/>
      <c r="Z415" s="204"/>
      <c r="AA415" s="204"/>
      <c r="AB415" s="204"/>
      <c r="AC415" s="204"/>
      <c r="AD415" s="204"/>
      <c r="AE415" s="212"/>
      <c r="AF415" s="213"/>
      <c r="AG415" s="213"/>
      <c r="AH415" s="213"/>
      <c r="AI415" s="213"/>
      <c r="AJ415" s="213"/>
      <c r="AK415" s="213"/>
      <c r="AL415" s="213"/>
      <c r="AM415" s="213"/>
      <c r="AN415" s="213"/>
      <c r="AO415" s="213"/>
      <c r="AP415" s="213"/>
      <c r="AQ415" s="213"/>
      <c r="AR415" s="213"/>
      <c r="AS415" s="213"/>
      <c r="AT415" s="213"/>
      <c r="AU415" s="213"/>
      <c r="AV415" s="213"/>
      <c r="AW415" s="213"/>
      <c r="AX415" s="213"/>
      <c r="AY415" s="213"/>
      <c r="AZ415" s="213"/>
      <c r="BA415" s="213"/>
      <c r="BB415" s="213"/>
    </row>
    <row r="416">
      <c r="A416" s="199"/>
      <c r="B416" s="12"/>
      <c r="C416" s="202"/>
      <c r="D416" s="199"/>
      <c r="E416" s="211"/>
      <c r="F416" s="201"/>
      <c r="G416" s="199"/>
      <c r="H416" s="199"/>
      <c r="I416" s="199"/>
      <c r="J416" s="212"/>
      <c r="K416" s="212"/>
      <c r="L416" s="212"/>
      <c r="M416" s="212"/>
      <c r="N416" s="212"/>
      <c r="O416" s="212"/>
      <c r="P416" s="212"/>
      <c r="Q416" s="212"/>
      <c r="R416" s="212"/>
      <c r="S416" s="212"/>
      <c r="T416" s="212"/>
      <c r="U416" s="212"/>
      <c r="V416" s="212"/>
      <c r="W416" s="212"/>
      <c r="X416" s="212"/>
      <c r="Y416" s="212"/>
      <c r="Z416" s="204"/>
      <c r="AA416" s="204"/>
      <c r="AB416" s="204"/>
      <c r="AC416" s="204"/>
      <c r="AD416" s="204"/>
      <c r="AE416" s="212"/>
      <c r="AF416" s="213"/>
      <c r="AG416" s="213"/>
      <c r="AH416" s="213"/>
      <c r="AI416" s="213"/>
      <c r="AJ416" s="213"/>
      <c r="AK416" s="213"/>
      <c r="AL416" s="213"/>
      <c r="AM416" s="213"/>
      <c r="AN416" s="213"/>
      <c r="AO416" s="213"/>
      <c r="AP416" s="213"/>
      <c r="AQ416" s="213"/>
      <c r="AR416" s="213"/>
      <c r="AS416" s="213"/>
      <c r="AT416" s="213"/>
      <c r="AU416" s="213"/>
      <c r="AV416" s="213"/>
      <c r="AW416" s="213"/>
      <c r="AX416" s="213"/>
      <c r="AY416" s="213"/>
      <c r="AZ416" s="213"/>
      <c r="BA416" s="213"/>
      <c r="BB416" s="213"/>
    </row>
    <row r="417">
      <c r="A417" s="199"/>
      <c r="B417" s="12"/>
      <c r="C417" s="202"/>
      <c r="D417" s="199"/>
      <c r="E417" s="211"/>
      <c r="F417" s="201"/>
      <c r="G417" s="199"/>
      <c r="H417" s="199"/>
      <c r="I417" s="199"/>
      <c r="J417" s="212"/>
      <c r="K417" s="212"/>
      <c r="L417" s="212"/>
      <c r="M417" s="212"/>
      <c r="N417" s="212"/>
      <c r="O417" s="212"/>
      <c r="P417" s="212"/>
      <c r="Q417" s="212"/>
      <c r="R417" s="212"/>
      <c r="S417" s="212"/>
      <c r="T417" s="212"/>
      <c r="U417" s="212"/>
      <c r="V417" s="212"/>
      <c r="W417" s="212"/>
      <c r="X417" s="212"/>
      <c r="Y417" s="212"/>
      <c r="Z417" s="204"/>
      <c r="AA417" s="204"/>
      <c r="AB417" s="204"/>
      <c r="AC417" s="204"/>
      <c r="AD417" s="204"/>
      <c r="AE417" s="212"/>
      <c r="AF417" s="213"/>
      <c r="AG417" s="213"/>
      <c r="AH417" s="213"/>
      <c r="AI417" s="213"/>
      <c r="AJ417" s="213"/>
      <c r="AK417" s="213"/>
      <c r="AL417" s="213"/>
      <c r="AM417" s="213"/>
      <c r="AN417" s="213"/>
      <c r="AO417" s="213"/>
      <c r="AP417" s="213"/>
      <c r="AQ417" s="213"/>
      <c r="AR417" s="213"/>
      <c r="AS417" s="213"/>
      <c r="AT417" s="213"/>
      <c r="AU417" s="213"/>
      <c r="AV417" s="213"/>
      <c r="AW417" s="213"/>
      <c r="AX417" s="213"/>
      <c r="AY417" s="213"/>
      <c r="AZ417" s="213"/>
      <c r="BA417" s="213"/>
      <c r="BB417" s="213"/>
    </row>
    <row r="418">
      <c r="A418" s="199"/>
      <c r="B418" s="12"/>
      <c r="C418" s="202"/>
      <c r="D418" s="199"/>
      <c r="E418" s="211"/>
      <c r="F418" s="201"/>
      <c r="G418" s="199"/>
      <c r="H418" s="199"/>
      <c r="I418" s="199"/>
      <c r="J418" s="212"/>
      <c r="K418" s="212"/>
      <c r="L418" s="212"/>
      <c r="M418" s="212"/>
      <c r="N418" s="212"/>
      <c r="O418" s="212"/>
      <c r="P418" s="212"/>
      <c r="Q418" s="212"/>
      <c r="R418" s="212"/>
      <c r="S418" s="212"/>
      <c r="T418" s="212"/>
      <c r="U418" s="212"/>
      <c r="V418" s="212"/>
      <c r="W418" s="212"/>
      <c r="X418" s="212"/>
      <c r="Y418" s="212"/>
      <c r="Z418" s="204"/>
      <c r="AA418" s="204"/>
      <c r="AB418" s="204"/>
      <c r="AC418" s="204"/>
      <c r="AD418" s="204"/>
      <c r="AE418" s="212"/>
      <c r="AF418" s="213"/>
      <c r="AG418" s="213"/>
      <c r="AH418" s="213"/>
      <c r="AI418" s="213"/>
      <c r="AJ418" s="213"/>
      <c r="AK418" s="213"/>
      <c r="AL418" s="213"/>
      <c r="AM418" s="213"/>
      <c r="AN418" s="213"/>
      <c r="AO418" s="213"/>
      <c r="AP418" s="213"/>
      <c r="AQ418" s="213"/>
      <c r="AR418" s="213"/>
      <c r="AS418" s="213"/>
      <c r="AT418" s="213"/>
      <c r="AU418" s="213"/>
      <c r="AV418" s="213"/>
      <c r="AW418" s="213"/>
      <c r="AX418" s="213"/>
      <c r="AY418" s="213"/>
      <c r="AZ418" s="213"/>
      <c r="BA418" s="213"/>
      <c r="BB418" s="213"/>
    </row>
    <row r="419">
      <c r="A419" s="199"/>
      <c r="B419" s="12"/>
      <c r="C419" s="202"/>
      <c r="D419" s="199"/>
      <c r="E419" s="211"/>
      <c r="F419" s="201"/>
      <c r="G419" s="199"/>
      <c r="H419" s="199"/>
      <c r="I419" s="199"/>
      <c r="J419" s="212"/>
      <c r="K419" s="212"/>
      <c r="L419" s="212"/>
      <c r="M419" s="212"/>
      <c r="N419" s="212"/>
      <c r="O419" s="212"/>
      <c r="P419" s="212"/>
      <c r="Q419" s="212"/>
      <c r="R419" s="212"/>
      <c r="S419" s="212"/>
      <c r="T419" s="212"/>
      <c r="U419" s="212"/>
      <c r="V419" s="212"/>
      <c r="W419" s="212"/>
      <c r="X419" s="212"/>
      <c r="Y419" s="212"/>
      <c r="Z419" s="204"/>
      <c r="AA419" s="204"/>
      <c r="AB419" s="204"/>
      <c r="AC419" s="204"/>
      <c r="AD419" s="204"/>
      <c r="AE419" s="212"/>
      <c r="AF419" s="213"/>
      <c r="AG419" s="213"/>
      <c r="AH419" s="213"/>
      <c r="AI419" s="213"/>
      <c r="AJ419" s="213"/>
      <c r="AK419" s="213"/>
      <c r="AL419" s="213"/>
      <c r="AM419" s="213"/>
      <c r="AN419" s="213"/>
      <c r="AO419" s="213"/>
      <c r="AP419" s="213"/>
      <c r="AQ419" s="213"/>
      <c r="AR419" s="213"/>
      <c r="AS419" s="213"/>
      <c r="AT419" s="213"/>
      <c r="AU419" s="213"/>
      <c r="AV419" s="213"/>
      <c r="AW419" s="213"/>
      <c r="AX419" s="213"/>
      <c r="AY419" s="213"/>
      <c r="AZ419" s="213"/>
      <c r="BA419" s="213"/>
      <c r="BB419" s="213"/>
    </row>
    <row r="420">
      <c r="A420" s="199"/>
      <c r="B420" s="12"/>
      <c r="C420" s="202"/>
      <c r="D420" s="199"/>
      <c r="E420" s="211"/>
      <c r="F420" s="201"/>
      <c r="G420" s="199"/>
      <c r="H420" s="199"/>
      <c r="I420" s="199"/>
      <c r="J420" s="212"/>
      <c r="K420" s="212"/>
      <c r="L420" s="212"/>
      <c r="M420" s="212"/>
      <c r="N420" s="212"/>
      <c r="O420" s="212"/>
      <c r="P420" s="212"/>
      <c r="Q420" s="212"/>
      <c r="R420" s="212"/>
      <c r="S420" s="212"/>
      <c r="T420" s="212"/>
      <c r="U420" s="212"/>
      <c r="V420" s="212"/>
      <c r="W420" s="212"/>
      <c r="X420" s="212"/>
      <c r="Y420" s="212"/>
      <c r="Z420" s="204"/>
      <c r="AA420" s="204"/>
      <c r="AB420" s="204"/>
      <c r="AC420" s="204"/>
      <c r="AD420" s="204"/>
      <c r="AE420" s="212"/>
      <c r="AF420" s="213"/>
      <c r="AG420" s="213"/>
      <c r="AH420" s="213"/>
      <c r="AI420" s="213"/>
      <c r="AJ420" s="213"/>
      <c r="AK420" s="213"/>
      <c r="AL420" s="213"/>
      <c r="AM420" s="213"/>
      <c r="AN420" s="213"/>
      <c r="AO420" s="213"/>
      <c r="AP420" s="213"/>
      <c r="AQ420" s="213"/>
      <c r="AR420" s="213"/>
      <c r="AS420" s="213"/>
      <c r="AT420" s="213"/>
      <c r="AU420" s="213"/>
      <c r="AV420" s="213"/>
      <c r="AW420" s="213"/>
      <c r="AX420" s="213"/>
      <c r="AY420" s="213"/>
      <c r="AZ420" s="213"/>
      <c r="BA420" s="213"/>
      <c r="BB420" s="213"/>
    </row>
    <row r="421">
      <c r="A421" s="199"/>
      <c r="B421" s="12"/>
      <c r="C421" s="202"/>
      <c r="D421" s="199"/>
      <c r="E421" s="211"/>
      <c r="F421" s="201"/>
      <c r="G421" s="199"/>
      <c r="H421" s="199"/>
      <c r="I421" s="199"/>
      <c r="J421" s="212"/>
      <c r="K421" s="212"/>
      <c r="L421" s="212"/>
      <c r="M421" s="212"/>
      <c r="N421" s="212"/>
      <c r="O421" s="212"/>
      <c r="P421" s="212"/>
      <c r="Q421" s="212"/>
      <c r="R421" s="212"/>
      <c r="S421" s="212"/>
      <c r="T421" s="212"/>
      <c r="U421" s="212"/>
      <c r="V421" s="212"/>
      <c r="W421" s="212"/>
      <c r="X421" s="212"/>
      <c r="Y421" s="212"/>
      <c r="Z421" s="204"/>
      <c r="AA421" s="204"/>
      <c r="AB421" s="204"/>
      <c r="AC421" s="204"/>
      <c r="AD421" s="204"/>
      <c r="AE421" s="212"/>
      <c r="AF421" s="213"/>
      <c r="AG421" s="213"/>
      <c r="AH421" s="213"/>
      <c r="AI421" s="213"/>
      <c r="AJ421" s="213"/>
      <c r="AK421" s="213"/>
      <c r="AL421" s="213"/>
      <c r="AM421" s="213"/>
      <c r="AN421" s="213"/>
      <c r="AO421" s="213"/>
      <c r="AP421" s="213"/>
      <c r="AQ421" s="213"/>
      <c r="AR421" s="213"/>
      <c r="AS421" s="213"/>
      <c r="AT421" s="213"/>
      <c r="AU421" s="213"/>
      <c r="AV421" s="213"/>
      <c r="AW421" s="213"/>
      <c r="AX421" s="213"/>
      <c r="AY421" s="213"/>
      <c r="AZ421" s="213"/>
      <c r="BA421" s="213"/>
      <c r="BB421" s="213"/>
    </row>
    <row r="422">
      <c r="A422" s="199"/>
      <c r="B422" s="12"/>
      <c r="C422" s="202"/>
      <c r="D422" s="199"/>
      <c r="E422" s="211"/>
      <c r="F422" s="201"/>
      <c r="G422" s="199"/>
      <c r="H422" s="199"/>
      <c r="I422" s="199"/>
      <c r="J422" s="212"/>
      <c r="K422" s="212"/>
      <c r="L422" s="212"/>
      <c r="M422" s="212"/>
      <c r="N422" s="212"/>
      <c r="O422" s="212"/>
      <c r="P422" s="212"/>
      <c r="Q422" s="212"/>
      <c r="R422" s="212"/>
      <c r="S422" s="212"/>
      <c r="T422" s="212"/>
      <c r="U422" s="212"/>
      <c r="V422" s="212"/>
      <c r="W422" s="212"/>
      <c r="X422" s="212"/>
      <c r="Y422" s="212"/>
      <c r="Z422" s="204"/>
      <c r="AA422" s="204"/>
      <c r="AB422" s="204"/>
      <c r="AC422" s="204"/>
      <c r="AD422" s="204"/>
      <c r="AE422" s="212"/>
      <c r="AF422" s="213"/>
      <c r="AG422" s="213"/>
      <c r="AH422" s="213"/>
      <c r="AI422" s="213"/>
      <c r="AJ422" s="213"/>
      <c r="AK422" s="213"/>
      <c r="AL422" s="213"/>
      <c r="AM422" s="213"/>
      <c r="AN422" s="213"/>
      <c r="AO422" s="213"/>
      <c r="AP422" s="213"/>
      <c r="AQ422" s="213"/>
      <c r="AR422" s="213"/>
      <c r="AS422" s="213"/>
      <c r="AT422" s="213"/>
      <c r="AU422" s="213"/>
      <c r="AV422" s="213"/>
      <c r="AW422" s="213"/>
      <c r="AX422" s="213"/>
      <c r="AY422" s="213"/>
      <c r="AZ422" s="213"/>
      <c r="BA422" s="213"/>
      <c r="BB422" s="213"/>
    </row>
    <row r="423">
      <c r="A423" s="199"/>
      <c r="B423" s="12"/>
      <c r="C423" s="202"/>
      <c r="D423" s="199"/>
      <c r="E423" s="211"/>
      <c r="F423" s="201"/>
      <c r="G423" s="199"/>
      <c r="H423" s="199"/>
      <c r="I423" s="199"/>
      <c r="J423" s="212"/>
      <c r="K423" s="212"/>
      <c r="L423" s="212"/>
      <c r="M423" s="212"/>
      <c r="N423" s="212"/>
      <c r="O423" s="212"/>
      <c r="P423" s="212"/>
      <c r="Q423" s="212"/>
      <c r="R423" s="212"/>
      <c r="S423" s="212"/>
      <c r="T423" s="212"/>
      <c r="U423" s="212"/>
      <c r="V423" s="212"/>
      <c r="W423" s="212"/>
      <c r="X423" s="212"/>
      <c r="Y423" s="212"/>
      <c r="Z423" s="204"/>
      <c r="AA423" s="204"/>
      <c r="AB423" s="204"/>
      <c r="AC423" s="204"/>
      <c r="AD423" s="204"/>
      <c r="AE423" s="212"/>
      <c r="AF423" s="213"/>
      <c r="AG423" s="213"/>
      <c r="AH423" s="213"/>
      <c r="AI423" s="213"/>
      <c r="AJ423" s="213"/>
      <c r="AK423" s="213"/>
      <c r="AL423" s="213"/>
      <c r="AM423" s="213"/>
      <c r="AN423" s="213"/>
      <c r="AO423" s="213"/>
      <c r="AP423" s="213"/>
      <c r="AQ423" s="213"/>
      <c r="AR423" s="213"/>
      <c r="AS423" s="213"/>
      <c r="AT423" s="213"/>
      <c r="AU423" s="213"/>
      <c r="AV423" s="213"/>
      <c r="AW423" s="213"/>
      <c r="AX423" s="213"/>
      <c r="AY423" s="213"/>
      <c r="AZ423" s="213"/>
      <c r="BA423" s="213"/>
      <c r="BB423" s="213"/>
    </row>
    <row r="424">
      <c r="A424" s="199"/>
      <c r="B424" s="12"/>
      <c r="C424" s="202"/>
      <c r="D424" s="199"/>
      <c r="E424" s="211"/>
      <c r="F424" s="201"/>
      <c r="G424" s="199"/>
      <c r="H424" s="199"/>
      <c r="I424" s="199"/>
      <c r="J424" s="212"/>
      <c r="K424" s="212"/>
      <c r="L424" s="212"/>
      <c r="M424" s="212"/>
      <c r="N424" s="212"/>
      <c r="O424" s="212"/>
      <c r="P424" s="212"/>
      <c r="Q424" s="212"/>
      <c r="R424" s="212"/>
      <c r="S424" s="212"/>
      <c r="T424" s="212"/>
      <c r="U424" s="212"/>
      <c r="V424" s="212"/>
      <c r="W424" s="212"/>
      <c r="X424" s="212"/>
      <c r="Y424" s="212"/>
      <c r="Z424" s="204"/>
      <c r="AA424" s="204"/>
      <c r="AB424" s="204"/>
      <c r="AC424" s="204"/>
      <c r="AD424" s="204"/>
      <c r="AE424" s="212"/>
      <c r="AF424" s="213"/>
      <c r="AG424" s="213"/>
      <c r="AH424" s="213"/>
      <c r="AI424" s="213"/>
      <c r="AJ424" s="213"/>
      <c r="AK424" s="213"/>
      <c r="AL424" s="213"/>
      <c r="AM424" s="213"/>
      <c r="AN424" s="213"/>
      <c r="AO424" s="213"/>
      <c r="AP424" s="213"/>
      <c r="AQ424" s="213"/>
      <c r="AR424" s="213"/>
      <c r="AS424" s="213"/>
      <c r="AT424" s="213"/>
      <c r="AU424" s="213"/>
      <c r="AV424" s="213"/>
      <c r="AW424" s="213"/>
      <c r="AX424" s="213"/>
      <c r="AY424" s="213"/>
      <c r="AZ424" s="213"/>
      <c r="BA424" s="213"/>
      <c r="BB424" s="213"/>
    </row>
    <row r="425">
      <c r="A425" s="199"/>
      <c r="B425" s="12"/>
      <c r="C425" s="202"/>
      <c r="D425" s="199"/>
      <c r="E425" s="211"/>
      <c r="F425" s="201"/>
      <c r="G425" s="199"/>
      <c r="H425" s="199"/>
      <c r="I425" s="199"/>
      <c r="J425" s="212"/>
      <c r="K425" s="212"/>
      <c r="L425" s="212"/>
      <c r="M425" s="212"/>
      <c r="N425" s="212"/>
      <c r="O425" s="212"/>
      <c r="P425" s="212"/>
      <c r="Q425" s="212"/>
      <c r="R425" s="212"/>
      <c r="S425" s="212"/>
      <c r="T425" s="212"/>
      <c r="U425" s="212"/>
      <c r="V425" s="212"/>
      <c r="W425" s="212"/>
      <c r="X425" s="212"/>
      <c r="Y425" s="212"/>
      <c r="Z425" s="204"/>
      <c r="AA425" s="204"/>
      <c r="AB425" s="204"/>
      <c r="AC425" s="204"/>
      <c r="AD425" s="204"/>
      <c r="AE425" s="212"/>
      <c r="AF425" s="213"/>
      <c r="AG425" s="213"/>
      <c r="AH425" s="213"/>
      <c r="AI425" s="213"/>
      <c r="AJ425" s="213"/>
      <c r="AK425" s="213"/>
      <c r="AL425" s="213"/>
      <c r="AM425" s="213"/>
      <c r="AN425" s="213"/>
      <c r="AO425" s="213"/>
      <c r="AP425" s="213"/>
      <c r="AQ425" s="213"/>
      <c r="AR425" s="213"/>
      <c r="AS425" s="213"/>
      <c r="AT425" s="213"/>
      <c r="AU425" s="213"/>
      <c r="AV425" s="213"/>
      <c r="AW425" s="213"/>
      <c r="AX425" s="213"/>
      <c r="AY425" s="213"/>
      <c r="AZ425" s="213"/>
      <c r="BA425" s="213"/>
      <c r="BB425" s="213"/>
    </row>
    <row r="426">
      <c r="A426" s="199"/>
      <c r="B426" s="12"/>
      <c r="C426" s="202"/>
      <c r="D426" s="199"/>
      <c r="E426" s="211"/>
      <c r="F426" s="201"/>
      <c r="G426" s="199"/>
      <c r="H426" s="199"/>
      <c r="I426" s="199"/>
      <c r="J426" s="212"/>
      <c r="K426" s="212"/>
      <c r="L426" s="212"/>
      <c r="M426" s="212"/>
      <c r="N426" s="212"/>
      <c r="O426" s="212"/>
      <c r="P426" s="212"/>
      <c r="Q426" s="212"/>
      <c r="R426" s="212"/>
      <c r="S426" s="212"/>
      <c r="T426" s="212"/>
      <c r="U426" s="212"/>
      <c r="V426" s="212"/>
      <c r="W426" s="212"/>
      <c r="X426" s="212"/>
      <c r="Y426" s="212"/>
      <c r="Z426" s="204"/>
      <c r="AA426" s="204"/>
      <c r="AB426" s="204"/>
      <c r="AC426" s="204"/>
      <c r="AD426" s="204"/>
      <c r="AE426" s="212"/>
      <c r="AF426" s="213"/>
      <c r="AG426" s="213"/>
      <c r="AH426" s="213"/>
      <c r="AI426" s="213"/>
      <c r="AJ426" s="213"/>
      <c r="AK426" s="213"/>
      <c r="AL426" s="213"/>
      <c r="AM426" s="213"/>
      <c r="AN426" s="213"/>
      <c r="AO426" s="213"/>
      <c r="AP426" s="213"/>
      <c r="AQ426" s="213"/>
      <c r="AR426" s="213"/>
      <c r="AS426" s="213"/>
      <c r="AT426" s="213"/>
      <c r="AU426" s="213"/>
      <c r="AV426" s="213"/>
      <c r="AW426" s="213"/>
      <c r="AX426" s="213"/>
      <c r="AY426" s="213"/>
      <c r="AZ426" s="213"/>
      <c r="BA426" s="213"/>
      <c r="BB426" s="213"/>
    </row>
    <row r="427">
      <c r="A427" s="199"/>
      <c r="B427" s="12"/>
      <c r="C427" s="202"/>
      <c r="D427" s="199"/>
      <c r="E427" s="211"/>
      <c r="F427" s="201"/>
      <c r="G427" s="199"/>
      <c r="H427" s="199"/>
      <c r="I427" s="199"/>
      <c r="J427" s="212"/>
      <c r="K427" s="212"/>
      <c r="L427" s="212"/>
      <c r="M427" s="212"/>
      <c r="N427" s="212"/>
      <c r="O427" s="212"/>
      <c r="P427" s="212"/>
      <c r="Q427" s="212"/>
      <c r="R427" s="212"/>
      <c r="S427" s="212"/>
      <c r="T427" s="212"/>
      <c r="U427" s="212"/>
      <c r="V427" s="212"/>
      <c r="W427" s="212"/>
      <c r="X427" s="212"/>
      <c r="Y427" s="212"/>
      <c r="Z427" s="204"/>
      <c r="AA427" s="204"/>
      <c r="AB427" s="204"/>
      <c r="AC427" s="204"/>
      <c r="AD427" s="204"/>
      <c r="AE427" s="212"/>
      <c r="AF427" s="213"/>
      <c r="AG427" s="213"/>
      <c r="AH427" s="213"/>
      <c r="AI427" s="213"/>
      <c r="AJ427" s="213"/>
      <c r="AK427" s="213"/>
      <c r="AL427" s="213"/>
      <c r="AM427" s="213"/>
      <c r="AN427" s="213"/>
      <c r="AO427" s="213"/>
      <c r="AP427" s="213"/>
      <c r="AQ427" s="213"/>
      <c r="AR427" s="213"/>
      <c r="AS427" s="213"/>
      <c r="AT427" s="213"/>
      <c r="AU427" s="213"/>
      <c r="AV427" s="213"/>
      <c r="AW427" s="213"/>
      <c r="AX427" s="213"/>
      <c r="AY427" s="213"/>
      <c r="AZ427" s="213"/>
      <c r="BA427" s="213"/>
      <c r="BB427" s="213"/>
    </row>
    <row r="428">
      <c r="A428" s="199"/>
      <c r="B428" s="12"/>
      <c r="C428" s="202"/>
      <c r="D428" s="199"/>
      <c r="E428" s="211"/>
      <c r="F428" s="201"/>
      <c r="G428" s="199"/>
      <c r="H428" s="199"/>
      <c r="I428" s="199"/>
      <c r="J428" s="212"/>
      <c r="K428" s="212"/>
      <c r="L428" s="212"/>
      <c r="M428" s="212"/>
      <c r="N428" s="212"/>
      <c r="O428" s="212"/>
      <c r="P428" s="212"/>
      <c r="Q428" s="212"/>
      <c r="R428" s="212"/>
      <c r="S428" s="212"/>
      <c r="T428" s="212"/>
      <c r="U428" s="212"/>
      <c r="V428" s="212"/>
      <c r="W428" s="212"/>
      <c r="X428" s="212"/>
      <c r="Y428" s="212"/>
      <c r="Z428" s="204"/>
      <c r="AA428" s="204"/>
      <c r="AB428" s="204"/>
      <c r="AC428" s="204"/>
      <c r="AD428" s="204"/>
      <c r="AE428" s="212"/>
      <c r="AF428" s="213"/>
      <c r="AG428" s="213"/>
      <c r="AH428" s="213"/>
      <c r="AI428" s="213"/>
      <c r="AJ428" s="213"/>
      <c r="AK428" s="213"/>
      <c r="AL428" s="213"/>
      <c r="AM428" s="213"/>
      <c r="AN428" s="213"/>
      <c r="AO428" s="213"/>
      <c r="AP428" s="213"/>
      <c r="AQ428" s="213"/>
      <c r="AR428" s="213"/>
      <c r="AS428" s="213"/>
      <c r="AT428" s="213"/>
      <c r="AU428" s="213"/>
      <c r="AV428" s="213"/>
      <c r="AW428" s="213"/>
      <c r="AX428" s="213"/>
      <c r="AY428" s="213"/>
      <c r="AZ428" s="213"/>
      <c r="BA428" s="213"/>
      <c r="BB428" s="213"/>
    </row>
    <row r="429">
      <c r="A429" s="199"/>
      <c r="B429" s="12"/>
      <c r="C429" s="202"/>
      <c r="D429" s="199"/>
      <c r="E429" s="211"/>
      <c r="F429" s="201"/>
      <c r="G429" s="199"/>
      <c r="H429" s="199"/>
      <c r="I429" s="199"/>
      <c r="J429" s="212"/>
      <c r="K429" s="212"/>
      <c r="L429" s="212"/>
      <c r="M429" s="212"/>
      <c r="N429" s="212"/>
      <c r="O429" s="212"/>
      <c r="P429" s="212"/>
      <c r="Q429" s="212"/>
      <c r="R429" s="212"/>
      <c r="S429" s="212"/>
      <c r="T429" s="212"/>
      <c r="U429" s="212"/>
      <c r="V429" s="212"/>
      <c r="W429" s="212"/>
      <c r="X429" s="212"/>
      <c r="Y429" s="212"/>
      <c r="Z429" s="204"/>
      <c r="AA429" s="204"/>
      <c r="AB429" s="204"/>
      <c r="AC429" s="204"/>
      <c r="AD429" s="204"/>
      <c r="AE429" s="212"/>
      <c r="AF429" s="213"/>
      <c r="AG429" s="213"/>
      <c r="AH429" s="213"/>
      <c r="AI429" s="213"/>
      <c r="AJ429" s="213"/>
      <c r="AK429" s="213"/>
      <c r="AL429" s="213"/>
      <c r="AM429" s="213"/>
      <c r="AN429" s="213"/>
      <c r="AO429" s="213"/>
      <c r="AP429" s="213"/>
      <c r="AQ429" s="213"/>
      <c r="AR429" s="213"/>
      <c r="AS429" s="213"/>
      <c r="AT429" s="213"/>
      <c r="AU429" s="213"/>
      <c r="AV429" s="213"/>
      <c r="AW429" s="213"/>
      <c r="AX429" s="213"/>
      <c r="AY429" s="213"/>
      <c r="AZ429" s="213"/>
      <c r="BA429" s="213"/>
      <c r="BB429" s="213"/>
    </row>
    <row r="430">
      <c r="A430" s="199"/>
      <c r="B430" s="12"/>
      <c r="C430" s="202"/>
      <c r="D430" s="199"/>
      <c r="E430" s="211"/>
      <c r="F430" s="201"/>
      <c r="G430" s="199"/>
      <c r="H430" s="199"/>
      <c r="I430" s="199"/>
      <c r="J430" s="212"/>
      <c r="K430" s="212"/>
      <c r="L430" s="212"/>
      <c r="M430" s="212"/>
      <c r="N430" s="212"/>
      <c r="O430" s="212"/>
      <c r="P430" s="212"/>
      <c r="Q430" s="212"/>
      <c r="R430" s="212"/>
      <c r="S430" s="212"/>
      <c r="T430" s="212"/>
      <c r="U430" s="212"/>
      <c r="V430" s="212"/>
      <c r="W430" s="212"/>
      <c r="X430" s="212"/>
      <c r="Y430" s="212"/>
      <c r="Z430" s="204"/>
      <c r="AA430" s="204"/>
      <c r="AB430" s="204"/>
      <c r="AC430" s="204"/>
      <c r="AD430" s="204"/>
      <c r="AE430" s="212"/>
      <c r="AF430" s="213"/>
      <c r="AG430" s="213"/>
      <c r="AH430" s="213"/>
      <c r="AI430" s="213"/>
      <c r="AJ430" s="213"/>
      <c r="AK430" s="213"/>
      <c r="AL430" s="213"/>
      <c r="AM430" s="213"/>
      <c r="AN430" s="213"/>
      <c r="AO430" s="213"/>
      <c r="AP430" s="213"/>
      <c r="AQ430" s="213"/>
      <c r="AR430" s="213"/>
      <c r="AS430" s="213"/>
      <c r="AT430" s="213"/>
      <c r="AU430" s="213"/>
      <c r="AV430" s="213"/>
      <c r="AW430" s="213"/>
      <c r="AX430" s="213"/>
      <c r="AY430" s="213"/>
      <c r="AZ430" s="213"/>
      <c r="BA430" s="213"/>
      <c r="BB430" s="213"/>
    </row>
    <row r="431">
      <c r="A431" s="199"/>
      <c r="B431" s="12"/>
      <c r="C431" s="202"/>
      <c r="D431" s="199"/>
      <c r="E431" s="211"/>
      <c r="F431" s="201"/>
      <c r="G431" s="199"/>
      <c r="H431" s="199"/>
      <c r="I431" s="199"/>
      <c r="J431" s="212"/>
      <c r="K431" s="212"/>
      <c r="L431" s="212"/>
      <c r="M431" s="212"/>
      <c r="N431" s="212"/>
      <c r="O431" s="212"/>
      <c r="P431" s="212"/>
      <c r="Q431" s="212"/>
      <c r="R431" s="212"/>
      <c r="S431" s="212"/>
      <c r="T431" s="212"/>
      <c r="U431" s="212"/>
      <c r="V431" s="212"/>
      <c r="W431" s="212"/>
      <c r="X431" s="212"/>
      <c r="Y431" s="212"/>
      <c r="Z431" s="204"/>
      <c r="AA431" s="204"/>
      <c r="AB431" s="204"/>
      <c r="AC431" s="204"/>
      <c r="AD431" s="204"/>
      <c r="AE431" s="212"/>
      <c r="AF431" s="213"/>
      <c r="AG431" s="213"/>
      <c r="AH431" s="213"/>
      <c r="AI431" s="213"/>
      <c r="AJ431" s="213"/>
      <c r="AK431" s="213"/>
      <c r="AL431" s="213"/>
      <c r="AM431" s="213"/>
      <c r="AN431" s="213"/>
      <c r="AO431" s="213"/>
      <c r="AP431" s="213"/>
      <c r="AQ431" s="213"/>
      <c r="AR431" s="213"/>
      <c r="AS431" s="213"/>
      <c r="AT431" s="213"/>
      <c r="AU431" s="213"/>
      <c r="AV431" s="213"/>
      <c r="AW431" s="213"/>
      <c r="AX431" s="213"/>
      <c r="AY431" s="213"/>
      <c r="AZ431" s="213"/>
      <c r="BA431" s="213"/>
      <c r="BB431" s="213"/>
    </row>
    <row r="432">
      <c r="A432" s="199"/>
      <c r="B432" s="12"/>
      <c r="C432" s="202"/>
      <c r="D432" s="199"/>
      <c r="E432" s="211"/>
      <c r="F432" s="201"/>
      <c r="G432" s="199"/>
      <c r="H432" s="199"/>
      <c r="I432" s="199"/>
      <c r="J432" s="212"/>
      <c r="K432" s="212"/>
      <c r="L432" s="212"/>
      <c r="M432" s="212"/>
      <c r="N432" s="212"/>
      <c r="O432" s="212"/>
      <c r="P432" s="212"/>
      <c r="Q432" s="212"/>
      <c r="R432" s="212"/>
      <c r="S432" s="212"/>
      <c r="T432" s="212"/>
      <c r="U432" s="212"/>
      <c r="V432" s="212"/>
      <c r="W432" s="212"/>
      <c r="X432" s="212"/>
      <c r="Y432" s="212"/>
      <c r="Z432" s="204"/>
      <c r="AA432" s="204"/>
      <c r="AB432" s="204"/>
      <c r="AC432" s="204"/>
      <c r="AD432" s="204"/>
      <c r="AE432" s="212"/>
      <c r="AF432" s="213"/>
      <c r="AG432" s="213"/>
      <c r="AH432" s="213"/>
      <c r="AI432" s="213"/>
      <c r="AJ432" s="213"/>
      <c r="AK432" s="213"/>
      <c r="AL432" s="213"/>
      <c r="AM432" s="213"/>
      <c r="AN432" s="213"/>
      <c r="AO432" s="213"/>
      <c r="AP432" s="213"/>
      <c r="AQ432" s="213"/>
      <c r="AR432" s="213"/>
      <c r="AS432" s="213"/>
      <c r="AT432" s="213"/>
      <c r="AU432" s="213"/>
      <c r="AV432" s="213"/>
      <c r="AW432" s="213"/>
      <c r="AX432" s="213"/>
      <c r="AY432" s="213"/>
      <c r="AZ432" s="213"/>
      <c r="BA432" s="213"/>
      <c r="BB432" s="213"/>
    </row>
    <row r="433">
      <c r="A433" s="199"/>
      <c r="B433" s="12"/>
      <c r="C433" s="202"/>
      <c r="D433" s="199"/>
      <c r="E433" s="211"/>
      <c r="F433" s="201"/>
      <c r="G433" s="199"/>
      <c r="H433" s="199"/>
      <c r="I433" s="199"/>
      <c r="J433" s="212"/>
      <c r="K433" s="212"/>
      <c r="L433" s="212"/>
      <c r="M433" s="212"/>
      <c r="N433" s="212"/>
      <c r="O433" s="212"/>
      <c r="P433" s="212"/>
      <c r="Q433" s="212"/>
      <c r="R433" s="212"/>
      <c r="S433" s="212"/>
      <c r="T433" s="212"/>
      <c r="U433" s="212"/>
      <c r="V433" s="212"/>
      <c r="W433" s="212"/>
      <c r="X433" s="212"/>
      <c r="Y433" s="212"/>
      <c r="Z433" s="204"/>
      <c r="AA433" s="204"/>
      <c r="AB433" s="204"/>
      <c r="AC433" s="204"/>
      <c r="AD433" s="204"/>
      <c r="AE433" s="212"/>
      <c r="AF433" s="213"/>
      <c r="AG433" s="213"/>
      <c r="AH433" s="213"/>
      <c r="AI433" s="213"/>
      <c r="AJ433" s="213"/>
      <c r="AK433" s="213"/>
      <c r="AL433" s="213"/>
      <c r="AM433" s="213"/>
      <c r="AN433" s="213"/>
      <c r="AO433" s="213"/>
      <c r="AP433" s="213"/>
      <c r="AQ433" s="213"/>
      <c r="AR433" s="213"/>
      <c r="AS433" s="213"/>
      <c r="AT433" s="213"/>
      <c r="AU433" s="213"/>
      <c r="AV433" s="213"/>
      <c r="AW433" s="213"/>
      <c r="AX433" s="213"/>
      <c r="AY433" s="213"/>
      <c r="AZ433" s="213"/>
      <c r="BA433" s="213"/>
      <c r="BB433" s="213"/>
    </row>
    <row r="434">
      <c r="A434" s="199"/>
      <c r="B434" s="12"/>
      <c r="C434" s="202"/>
      <c r="D434" s="199"/>
      <c r="E434" s="211"/>
      <c r="F434" s="201"/>
      <c r="G434" s="199"/>
      <c r="H434" s="199"/>
      <c r="I434" s="199"/>
      <c r="J434" s="212"/>
      <c r="K434" s="212"/>
      <c r="L434" s="212"/>
      <c r="M434" s="212"/>
      <c r="N434" s="212"/>
      <c r="O434" s="212"/>
      <c r="P434" s="212"/>
      <c r="Q434" s="212"/>
      <c r="R434" s="212"/>
      <c r="S434" s="212"/>
      <c r="T434" s="212"/>
      <c r="U434" s="212"/>
      <c r="V434" s="212"/>
      <c r="W434" s="212"/>
      <c r="X434" s="212"/>
      <c r="Y434" s="212"/>
      <c r="Z434" s="204"/>
      <c r="AA434" s="204"/>
      <c r="AB434" s="204"/>
      <c r="AC434" s="204"/>
      <c r="AD434" s="204"/>
      <c r="AE434" s="212"/>
      <c r="AF434" s="213"/>
      <c r="AG434" s="213"/>
      <c r="AH434" s="213"/>
      <c r="AI434" s="213"/>
      <c r="AJ434" s="213"/>
      <c r="AK434" s="213"/>
      <c r="AL434" s="213"/>
      <c r="AM434" s="213"/>
      <c r="AN434" s="213"/>
      <c r="AO434" s="213"/>
      <c r="AP434" s="213"/>
      <c r="AQ434" s="213"/>
      <c r="AR434" s="213"/>
      <c r="AS434" s="213"/>
      <c r="AT434" s="213"/>
      <c r="AU434" s="213"/>
      <c r="AV434" s="213"/>
      <c r="AW434" s="213"/>
      <c r="AX434" s="213"/>
      <c r="AY434" s="213"/>
      <c r="AZ434" s="213"/>
      <c r="BA434" s="213"/>
      <c r="BB434" s="213"/>
    </row>
    <row r="435">
      <c r="A435" s="199"/>
      <c r="B435" s="12"/>
      <c r="C435" s="202"/>
      <c r="D435" s="199"/>
      <c r="E435" s="211"/>
      <c r="F435" s="201"/>
      <c r="G435" s="199"/>
      <c r="H435" s="199"/>
      <c r="I435" s="199"/>
      <c r="J435" s="212"/>
      <c r="K435" s="212"/>
      <c r="L435" s="212"/>
      <c r="M435" s="212"/>
      <c r="N435" s="212"/>
      <c r="O435" s="212"/>
      <c r="P435" s="212"/>
      <c r="Q435" s="212"/>
      <c r="R435" s="212"/>
      <c r="S435" s="212"/>
      <c r="T435" s="212"/>
      <c r="U435" s="212"/>
      <c r="V435" s="212"/>
      <c r="W435" s="212"/>
      <c r="X435" s="212"/>
      <c r="Y435" s="212"/>
      <c r="Z435" s="204"/>
      <c r="AA435" s="204"/>
      <c r="AB435" s="204"/>
      <c r="AC435" s="204"/>
      <c r="AD435" s="204"/>
      <c r="AE435" s="212"/>
      <c r="AF435" s="213"/>
      <c r="AG435" s="213"/>
      <c r="AH435" s="213"/>
      <c r="AI435" s="213"/>
      <c r="AJ435" s="213"/>
      <c r="AK435" s="213"/>
      <c r="AL435" s="213"/>
      <c r="AM435" s="213"/>
      <c r="AN435" s="213"/>
      <c r="AO435" s="213"/>
      <c r="AP435" s="213"/>
      <c r="AQ435" s="213"/>
      <c r="AR435" s="213"/>
      <c r="AS435" s="213"/>
      <c r="AT435" s="213"/>
      <c r="AU435" s="213"/>
      <c r="AV435" s="213"/>
      <c r="AW435" s="213"/>
      <c r="AX435" s="213"/>
      <c r="AY435" s="213"/>
      <c r="AZ435" s="213"/>
      <c r="BA435" s="213"/>
      <c r="BB435" s="213"/>
    </row>
    <row r="436">
      <c r="A436" s="199"/>
      <c r="B436" s="12"/>
      <c r="C436" s="202"/>
      <c r="D436" s="199"/>
      <c r="E436" s="211"/>
      <c r="F436" s="201"/>
      <c r="G436" s="199"/>
      <c r="H436" s="199"/>
      <c r="I436" s="199"/>
      <c r="J436" s="212"/>
      <c r="K436" s="212"/>
      <c r="L436" s="212"/>
      <c r="M436" s="212"/>
      <c r="N436" s="212"/>
      <c r="O436" s="212"/>
      <c r="P436" s="212"/>
      <c r="Q436" s="212"/>
      <c r="R436" s="212"/>
      <c r="S436" s="212"/>
      <c r="T436" s="212"/>
      <c r="U436" s="212"/>
      <c r="V436" s="212"/>
      <c r="W436" s="212"/>
      <c r="X436" s="212"/>
      <c r="Y436" s="212"/>
      <c r="Z436" s="204"/>
      <c r="AA436" s="204"/>
      <c r="AB436" s="204"/>
      <c r="AC436" s="204"/>
      <c r="AD436" s="204"/>
      <c r="AE436" s="212"/>
      <c r="AF436" s="213"/>
      <c r="AG436" s="213"/>
      <c r="AH436" s="213"/>
      <c r="AI436" s="213"/>
      <c r="AJ436" s="213"/>
      <c r="AK436" s="213"/>
      <c r="AL436" s="213"/>
      <c r="AM436" s="213"/>
      <c r="AN436" s="213"/>
      <c r="AO436" s="213"/>
      <c r="AP436" s="213"/>
      <c r="AQ436" s="213"/>
      <c r="AR436" s="213"/>
      <c r="AS436" s="213"/>
      <c r="AT436" s="213"/>
      <c r="AU436" s="213"/>
      <c r="AV436" s="213"/>
      <c r="AW436" s="213"/>
      <c r="AX436" s="213"/>
      <c r="AY436" s="213"/>
      <c r="AZ436" s="213"/>
      <c r="BA436" s="213"/>
      <c r="BB436" s="213"/>
    </row>
    <row r="437">
      <c r="A437" s="199"/>
      <c r="B437" s="12"/>
      <c r="C437" s="202"/>
      <c r="D437" s="199"/>
      <c r="E437" s="211"/>
      <c r="F437" s="201"/>
      <c r="G437" s="199"/>
      <c r="H437" s="199"/>
      <c r="I437" s="199"/>
      <c r="J437" s="212"/>
      <c r="K437" s="212"/>
      <c r="L437" s="212"/>
      <c r="M437" s="212"/>
      <c r="N437" s="212"/>
      <c r="O437" s="212"/>
      <c r="P437" s="212"/>
      <c r="Q437" s="212"/>
      <c r="R437" s="212"/>
      <c r="S437" s="212"/>
      <c r="T437" s="212"/>
      <c r="U437" s="212"/>
      <c r="V437" s="212"/>
      <c r="W437" s="212"/>
      <c r="X437" s="212"/>
      <c r="Y437" s="212"/>
      <c r="Z437" s="204"/>
      <c r="AA437" s="204"/>
      <c r="AB437" s="204"/>
      <c r="AC437" s="204"/>
      <c r="AD437" s="204"/>
      <c r="AE437" s="212"/>
      <c r="AF437" s="213"/>
      <c r="AG437" s="213"/>
      <c r="AH437" s="213"/>
      <c r="AI437" s="213"/>
      <c r="AJ437" s="213"/>
      <c r="AK437" s="213"/>
      <c r="AL437" s="213"/>
      <c r="AM437" s="213"/>
      <c r="AN437" s="213"/>
      <c r="AO437" s="213"/>
      <c r="AP437" s="213"/>
      <c r="AQ437" s="213"/>
      <c r="AR437" s="213"/>
      <c r="AS437" s="213"/>
      <c r="AT437" s="213"/>
      <c r="AU437" s="213"/>
      <c r="AV437" s="213"/>
      <c r="AW437" s="213"/>
      <c r="AX437" s="213"/>
      <c r="AY437" s="213"/>
      <c r="AZ437" s="213"/>
      <c r="BA437" s="213"/>
      <c r="BB437" s="213"/>
    </row>
    <row r="438">
      <c r="A438" s="199"/>
      <c r="B438" s="12"/>
      <c r="C438" s="202"/>
      <c r="D438" s="199"/>
      <c r="E438" s="211"/>
      <c r="F438" s="201"/>
      <c r="G438" s="199"/>
      <c r="H438" s="199"/>
      <c r="I438" s="199"/>
      <c r="J438" s="212"/>
      <c r="K438" s="212"/>
      <c r="L438" s="212"/>
      <c r="M438" s="212"/>
      <c r="N438" s="212"/>
      <c r="O438" s="212"/>
      <c r="P438" s="212"/>
      <c r="Q438" s="212"/>
      <c r="R438" s="212"/>
      <c r="S438" s="212"/>
      <c r="T438" s="212"/>
      <c r="U438" s="212"/>
      <c r="V438" s="212"/>
      <c r="W438" s="212"/>
      <c r="X438" s="212"/>
      <c r="Y438" s="212"/>
      <c r="Z438" s="204"/>
      <c r="AA438" s="204"/>
      <c r="AB438" s="204"/>
      <c r="AC438" s="204"/>
      <c r="AD438" s="204"/>
      <c r="AE438" s="212"/>
      <c r="AF438" s="213"/>
      <c r="AG438" s="213"/>
      <c r="AH438" s="213"/>
      <c r="AI438" s="213"/>
      <c r="AJ438" s="213"/>
      <c r="AK438" s="213"/>
      <c r="AL438" s="213"/>
      <c r="AM438" s="213"/>
      <c r="AN438" s="213"/>
      <c r="AO438" s="213"/>
      <c r="AP438" s="213"/>
      <c r="AQ438" s="213"/>
      <c r="AR438" s="213"/>
      <c r="AS438" s="213"/>
      <c r="AT438" s="213"/>
      <c r="AU438" s="213"/>
      <c r="AV438" s="213"/>
      <c r="AW438" s="213"/>
      <c r="AX438" s="213"/>
      <c r="AY438" s="213"/>
      <c r="AZ438" s="213"/>
      <c r="BA438" s="213"/>
      <c r="BB438" s="213"/>
    </row>
    <row r="439">
      <c r="A439" s="199"/>
      <c r="B439" s="12"/>
      <c r="C439" s="202"/>
      <c r="D439" s="199"/>
      <c r="E439" s="211"/>
      <c r="F439" s="201"/>
      <c r="G439" s="199"/>
      <c r="H439" s="199"/>
      <c r="I439" s="199"/>
      <c r="J439" s="212"/>
      <c r="K439" s="212"/>
      <c r="L439" s="212"/>
      <c r="M439" s="212"/>
      <c r="N439" s="212"/>
      <c r="O439" s="212"/>
      <c r="P439" s="212"/>
      <c r="Q439" s="212"/>
      <c r="R439" s="212"/>
      <c r="S439" s="212"/>
      <c r="T439" s="212"/>
      <c r="U439" s="212"/>
      <c r="V439" s="212"/>
      <c r="W439" s="212"/>
      <c r="X439" s="212"/>
      <c r="Y439" s="212"/>
      <c r="Z439" s="204"/>
      <c r="AA439" s="204"/>
      <c r="AB439" s="204"/>
      <c r="AC439" s="204"/>
      <c r="AD439" s="204"/>
      <c r="AE439" s="212"/>
      <c r="AF439" s="213"/>
      <c r="AG439" s="213"/>
      <c r="AH439" s="213"/>
      <c r="AI439" s="213"/>
      <c r="AJ439" s="213"/>
      <c r="AK439" s="213"/>
      <c r="AL439" s="213"/>
      <c r="AM439" s="213"/>
      <c r="AN439" s="213"/>
      <c r="AO439" s="213"/>
      <c r="AP439" s="213"/>
      <c r="AQ439" s="213"/>
      <c r="AR439" s="213"/>
      <c r="AS439" s="213"/>
      <c r="AT439" s="213"/>
      <c r="AU439" s="213"/>
      <c r="AV439" s="213"/>
      <c r="AW439" s="213"/>
      <c r="AX439" s="213"/>
      <c r="AY439" s="213"/>
      <c r="AZ439" s="213"/>
      <c r="BA439" s="213"/>
      <c r="BB439" s="213"/>
    </row>
    <row r="440">
      <c r="A440" s="199"/>
      <c r="B440" s="12"/>
      <c r="C440" s="202"/>
      <c r="D440" s="199"/>
      <c r="E440" s="211"/>
      <c r="F440" s="201"/>
      <c r="G440" s="199"/>
      <c r="H440" s="199"/>
      <c r="I440" s="199"/>
      <c r="J440" s="212"/>
      <c r="K440" s="212"/>
      <c r="L440" s="212"/>
      <c r="M440" s="212"/>
      <c r="N440" s="212"/>
      <c r="O440" s="212"/>
      <c r="P440" s="212"/>
      <c r="Q440" s="212"/>
      <c r="R440" s="212"/>
      <c r="S440" s="212"/>
      <c r="T440" s="212"/>
      <c r="U440" s="212"/>
      <c r="V440" s="212"/>
      <c r="W440" s="212"/>
      <c r="X440" s="212"/>
      <c r="Y440" s="212"/>
      <c r="Z440" s="204"/>
      <c r="AA440" s="204"/>
      <c r="AB440" s="204"/>
      <c r="AC440" s="204"/>
      <c r="AD440" s="204"/>
      <c r="AE440" s="212"/>
      <c r="AF440" s="213"/>
      <c r="AG440" s="213"/>
      <c r="AH440" s="213"/>
      <c r="AI440" s="213"/>
      <c r="AJ440" s="213"/>
      <c r="AK440" s="213"/>
      <c r="AL440" s="213"/>
      <c r="AM440" s="213"/>
      <c r="AN440" s="213"/>
      <c r="AO440" s="213"/>
      <c r="AP440" s="213"/>
      <c r="AQ440" s="213"/>
      <c r="AR440" s="213"/>
      <c r="AS440" s="213"/>
      <c r="AT440" s="213"/>
      <c r="AU440" s="213"/>
      <c r="AV440" s="213"/>
      <c r="AW440" s="213"/>
      <c r="AX440" s="213"/>
      <c r="AY440" s="213"/>
      <c r="AZ440" s="213"/>
      <c r="BA440" s="213"/>
      <c r="BB440" s="213"/>
    </row>
    <row r="441">
      <c r="A441" s="199"/>
      <c r="B441" s="12"/>
      <c r="C441" s="202"/>
      <c r="D441" s="199"/>
      <c r="E441" s="211"/>
      <c r="F441" s="201"/>
      <c r="G441" s="199"/>
      <c r="H441" s="199"/>
      <c r="I441" s="199"/>
      <c r="J441" s="212"/>
      <c r="K441" s="212"/>
      <c r="L441" s="212"/>
      <c r="M441" s="212"/>
      <c r="N441" s="212"/>
      <c r="O441" s="212"/>
      <c r="P441" s="212"/>
      <c r="Q441" s="212"/>
      <c r="R441" s="212"/>
      <c r="S441" s="212"/>
      <c r="T441" s="212"/>
      <c r="U441" s="212"/>
      <c r="V441" s="212"/>
      <c r="W441" s="212"/>
      <c r="X441" s="212"/>
      <c r="Y441" s="212"/>
      <c r="Z441" s="204"/>
      <c r="AA441" s="204"/>
      <c r="AB441" s="204"/>
      <c r="AC441" s="204"/>
      <c r="AD441" s="204"/>
      <c r="AE441" s="212"/>
      <c r="AF441" s="213"/>
      <c r="AG441" s="213"/>
      <c r="AH441" s="213"/>
      <c r="AI441" s="213"/>
      <c r="AJ441" s="213"/>
      <c r="AK441" s="213"/>
      <c r="AL441" s="213"/>
      <c r="AM441" s="213"/>
      <c r="AN441" s="213"/>
      <c r="AO441" s="213"/>
      <c r="AP441" s="213"/>
      <c r="AQ441" s="213"/>
      <c r="AR441" s="213"/>
      <c r="AS441" s="213"/>
      <c r="AT441" s="213"/>
      <c r="AU441" s="213"/>
      <c r="AV441" s="213"/>
      <c r="AW441" s="213"/>
      <c r="AX441" s="213"/>
      <c r="AY441" s="213"/>
      <c r="AZ441" s="213"/>
      <c r="BA441" s="213"/>
      <c r="BB441" s="213"/>
    </row>
    <row r="442">
      <c r="A442" s="199"/>
      <c r="B442" s="12"/>
      <c r="C442" s="202"/>
      <c r="D442" s="199"/>
      <c r="E442" s="211"/>
      <c r="F442" s="201"/>
      <c r="G442" s="199"/>
      <c r="H442" s="199"/>
      <c r="I442" s="199"/>
      <c r="J442" s="212"/>
      <c r="K442" s="212"/>
      <c r="L442" s="212"/>
      <c r="M442" s="212"/>
      <c r="N442" s="212"/>
      <c r="O442" s="212"/>
      <c r="P442" s="212"/>
      <c r="Q442" s="212"/>
      <c r="R442" s="212"/>
      <c r="S442" s="212"/>
      <c r="T442" s="212"/>
      <c r="U442" s="212"/>
      <c r="V442" s="212"/>
      <c r="W442" s="212"/>
      <c r="X442" s="212"/>
      <c r="Y442" s="212"/>
      <c r="Z442" s="204"/>
      <c r="AA442" s="204"/>
      <c r="AB442" s="204"/>
      <c r="AC442" s="204"/>
      <c r="AD442" s="204"/>
      <c r="AE442" s="212"/>
      <c r="AF442" s="213"/>
      <c r="AG442" s="213"/>
      <c r="AH442" s="213"/>
      <c r="AI442" s="213"/>
      <c r="AJ442" s="213"/>
      <c r="AK442" s="213"/>
      <c r="AL442" s="213"/>
      <c r="AM442" s="213"/>
      <c r="AN442" s="213"/>
      <c r="AO442" s="213"/>
      <c r="AP442" s="213"/>
      <c r="AQ442" s="213"/>
      <c r="AR442" s="213"/>
      <c r="AS442" s="213"/>
      <c r="AT442" s="213"/>
      <c r="AU442" s="213"/>
      <c r="AV442" s="213"/>
      <c r="AW442" s="213"/>
      <c r="AX442" s="213"/>
      <c r="AY442" s="213"/>
      <c r="AZ442" s="213"/>
      <c r="BA442" s="213"/>
      <c r="BB442" s="213"/>
    </row>
    <row r="443">
      <c r="A443" s="199"/>
      <c r="B443" s="12"/>
      <c r="C443" s="202"/>
      <c r="D443" s="199"/>
      <c r="E443" s="211"/>
      <c r="F443" s="201"/>
      <c r="G443" s="199"/>
      <c r="H443" s="199"/>
      <c r="I443" s="199"/>
      <c r="J443" s="212"/>
      <c r="K443" s="212"/>
      <c r="L443" s="212"/>
      <c r="M443" s="212"/>
      <c r="N443" s="212"/>
      <c r="O443" s="212"/>
      <c r="P443" s="212"/>
      <c r="Q443" s="212"/>
      <c r="R443" s="212"/>
      <c r="S443" s="212"/>
      <c r="T443" s="212"/>
      <c r="U443" s="212"/>
      <c r="V443" s="212"/>
      <c r="W443" s="212"/>
      <c r="X443" s="212"/>
      <c r="Y443" s="212"/>
      <c r="Z443" s="204"/>
      <c r="AA443" s="204"/>
      <c r="AB443" s="204"/>
      <c r="AC443" s="204"/>
      <c r="AD443" s="204"/>
      <c r="AE443" s="212"/>
      <c r="AF443" s="213"/>
      <c r="AG443" s="213"/>
      <c r="AH443" s="213"/>
      <c r="AI443" s="213"/>
      <c r="AJ443" s="213"/>
      <c r="AK443" s="213"/>
      <c r="AL443" s="213"/>
      <c r="AM443" s="213"/>
      <c r="AN443" s="213"/>
      <c r="AO443" s="213"/>
      <c r="AP443" s="213"/>
      <c r="AQ443" s="213"/>
      <c r="AR443" s="213"/>
      <c r="AS443" s="213"/>
      <c r="AT443" s="213"/>
      <c r="AU443" s="213"/>
      <c r="AV443" s="213"/>
      <c r="AW443" s="213"/>
      <c r="AX443" s="213"/>
      <c r="AY443" s="213"/>
      <c r="AZ443" s="213"/>
      <c r="BA443" s="213"/>
      <c r="BB443" s="213"/>
    </row>
    <row r="444">
      <c r="A444" s="199"/>
      <c r="B444" s="12"/>
      <c r="C444" s="202"/>
      <c r="D444" s="199"/>
      <c r="E444" s="211"/>
      <c r="F444" s="201"/>
      <c r="G444" s="199"/>
      <c r="H444" s="199"/>
      <c r="I444" s="199"/>
      <c r="J444" s="212"/>
      <c r="K444" s="212"/>
      <c r="L444" s="212"/>
      <c r="M444" s="212"/>
      <c r="N444" s="212"/>
      <c r="O444" s="212"/>
      <c r="P444" s="212"/>
      <c r="Q444" s="212"/>
      <c r="R444" s="212"/>
      <c r="S444" s="212"/>
      <c r="T444" s="212"/>
      <c r="U444" s="212"/>
      <c r="V444" s="212"/>
      <c r="W444" s="212"/>
      <c r="X444" s="212"/>
      <c r="Y444" s="212"/>
      <c r="Z444" s="204"/>
      <c r="AA444" s="204"/>
      <c r="AB444" s="204"/>
      <c r="AC444" s="204"/>
      <c r="AD444" s="204"/>
      <c r="AE444" s="212"/>
      <c r="AF444" s="213"/>
      <c r="AG444" s="213"/>
      <c r="AH444" s="213"/>
      <c r="AI444" s="213"/>
      <c r="AJ444" s="213"/>
      <c r="AK444" s="213"/>
      <c r="AL444" s="213"/>
      <c r="AM444" s="213"/>
      <c r="AN444" s="213"/>
      <c r="AO444" s="213"/>
      <c r="AP444" s="213"/>
      <c r="AQ444" s="213"/>
      <c r="AR444" s="213"/>
      <c r="AS444" s="213"/>
      <c r="AT444" s="213"/>
      <c r="AU444" s="213"/>
      <c r="AV444" s="213"/>
      <c r="AW444" s="213"/>
      <c r="AX444" s="213"/>
      <c r="AY444" s="213"/>
      <c r="AZ444" s="213"/>
      <c r="BA444" s="213"/>
      <c r="BB444" s="213"/>
    </row>
    <row r="445">
      <c r="A445" s="199"/>
      <c r="B445" s="12"/>
      <c r="C445" s="202"/>
      <c r="D445" s="199"/>
      <c r="E445" s="211"/>
      <c r="F445" s="201"/>
      <c r="G445" s="199"/>
      <c r="H445" s="199"/>
      <c r="I445" s="199"/>
      <c r="J445" s="212"/>
      <c r="K445" s="212"/>
      <c r="L445" s="212"/>
      <c r="M445" s="212"/>
      <c r="N445" s="212"/>
      <c r="O445" s="212"/>
      <c r="P445" s="212"/>
      <c r="Q445" s="212"/>
      <c r="R445" s="212"/>
      <c r="S445" s="212"/>
      <c r="T445" s="212"/>
      <c r="U445" s="212"/>
      <c r="V445" s="212"/>
      <c r="W445" s="212"/>
      <c r="X445" s="212"/>
      <c r="Y445" s="212"/>
      <c r="Z445" s="204"/>
      <c r="AA445" s="204"/>
      <c r="AB445" s="204"/>
      <c r="AC445" s="204"/>
      <c r="AD445" s="204"/>
      <c r="AE445" s="212"/>
      <c r="AF445" s="213"/>
      <c r="AG445" s="213"/>
      <c r="AH445" s="213"/>
      <c r="AI445" s="213"/>
      <c r="AJ445" s="213"/>
      <c r="AK445" s="213"/>
      <c r="AL445" s="213"/>
      <c r="AM445" s="213"/>
      <c r="AN445" s="213"/>
      <c r="AO445" s="213"/>
      <c r="AP445" s="213"/>
      <c r="AQ445" s="213"/>
      <c r="AR445" s="213"/>
      <c r="AS445" s="213"/>
      <c r="AT445" s="213"/>
      <c r="AU445" s="213"/>
      <c r="AV445" s="213"/>
      <c r="AW445" s="213"/>
      <c r="AX445" s="213"/>
      <c r="AY445" s="213"/>
      <c r="AZ445" s="213"/>
      <c r="BA445" s="213"/>
      <c r="BB445" s="213"/>
    </row>
    <row r="446">
      <c r="A446" s="199"/>
      <c r="B446" s="12"/>
      <c r="C446" s="202"/>
      <c r="D446" s="199"/>
      <c r="E446" s="211"/>
      <c r="F446" s="201"/>
      <c r="G446" s="199"/>
      <c r="H446" s="199"/>
      <c r="I446" s="199"/>
      <c r="J446" s="212"/>
      <c r="K446" s="212"/>
      <c r="L446" s="212"/>
      <c r="M446" s="212"/>
      <c r="N446" s="212"/>
      <c r="O446" s="212"/>
      <c r="P446" s="212"/>
      <c r="Q446" s="212"/>
      <c r="R446" s="212"/>
      <c r="S446" s="212"/>
      <c r="T446" s="212"/>
      <c r="U446" s="212"/>
      <c r="V446" s="212"/>
      <c r="W446" s="212"/>
      <c r="X446" s="212"/>
      <c r="Y446" s="212"/>
      <c r="Z446" s="204"/>
      <c r="AA446" s="204"/>
      <c r="AB446" s="204"/>
      <c r="AC446" s="204"/>
      <c r="AD446" s="204"/>
      <c r="AE446" s="212"/>
      <c r="AF446" s="213"/>
      <c r="AG446" s="213"/>
      <c r="AH446" s="213"/>
      <c r="AI446" s="213"/>
      <c r="AJ446" s="213"/>
      <c r="AK446" s="213"/>
      <c r="AL446" s="213"/>
      <c r="AM446" s="213"/>
      <c r="AN446" s="213"/>
      <c r="AO446" s="213"/>
      <c r="AP446" s="213"/>
      <c r="AQ446" s="213"/>
      <c r="AR446" s="213"/>
      <c r="AS446" s="213"/>
      <c r="AT446" s="213"/>
      <c r="AU446" s="213"/>
      <c r="AV446" s="213"/>
      <c r="AW446" s="213"/>
      <c r="AX446" s="213"/>
      <c r="AY446" s="213"/>
      <c r="AZ446" s="213"/>
      <c r="BA446" s="213"/>
      <c r="BB446" s="213"/>
    </row>
    <row r="447">
      <c r="A447" s="199"/>
      <c r="B447" s="12"/>
      <c r="C447" s="202"/>
      <c r="D447" s="199"/>
      <c r="E447" s="211"/>
      <c r="F447" s="201"/>
      <c r="G447" s="199"/>
      <c r="H447" s="199"/>
      <c r="I447" s="199"/>
      <c r="J447" s="212"/>
      <c r="K447" s="212"/>
      <c r="L447" s="212"/>
      <c r="M447" s="212"/>
      <c r="N447" s="212"/>
      <c r="O447" s="212"/>
      <c r="P447" s="212"/>
      <c r="Q447" s="212"/>
      <c r="R447" s="212"/>
      <c r="S447" s="212"/>
      <c r="T447" s="212"/>
      <c r="U447" s="212"/>
      <c r="V447" s="212"/>
      <c r="W447" s="212"/>
      <c r="X447" s="212"/>
      <c r="Y447" s="212"/>
      <c r="Z447" s="204"/>
      <c r="AA447" s="204"/>
      <c r="AB447" s="204"/>
      <c r="AC447" s="204"/>
      <c r="AD447" s="204"/>
      <c r="AE447" s="212"/>
      <c r="AF447" s="213"/>
      <c r="AG447" s="213"/>
      <c r="AH447" s="213"/>
      <c r="AI447" s="213"/>
      <c r="AJ447" s="213"/>
      <c r="AK447" s="213"/>
      <c r="AL447" s="213"/>
      <c r="AM447" s="213"/>
      <c r="AN447" s="213"/>
      <c r="AO447" s="213"/>
      <c r="AP447" s="213"/>
      <c r="AQ447" s="213"/>
      <c r="AR447" s="213"/>
      <c r="AS447" s="213"/>
      <c r="AT447" s="213"/>
      <c r="AU447" s="213"/>
      <c r="AV447" s="213"/>
      <c r="AW447" s="213"/>
      <c r="AX447" s="213"/>
      <c r="AY447" s="213"/>
      <c r="AZ447" s="213"/>
      <c r="BA447" s="213"/>
      <c r="BB447" s="213"/>
    </row>
    <row r="448">
      <c r="A448" s="199"/>
      <c r="B448" s="12"/>
      <c r="C448" s="202"/>
      <c r="D448" s="199"/>
      <c r="E448" s="211"/>
      <c r="F448" s="201"/>
      <c r="G448" s="199"/>
      <c r="H448" s="199"/>
      <c r="I448" s="199"/>
      <c r="J448" s="212"/>
      <c r="K448" s="212"/>
      <c r="L448" s="212"/>
      <c r="M448" s="212"/>
      <c r="N448" s="212"/>
      <c r="O448" s="212"/>
      <c r="P448" s="212"/>
      <c r="Q448" s="212"/>
      <c r="R448" s="212"/>
      <c r="S448" s="212"/>
      <c r="T448" s="212"/>
      <c r="U448" s="212"/>
      <c r="V448" s="212"/>
      <c r="W448" s="212"/>
      <c r="X448" s="212"/>
      <c r="Y448" s="212"/>
      <c r="Z448" s="204"/>
      <c r="AA448" s="204"/>
      <c r="AB448" s="204"/>
      <c r="AC448" s="204"/>
      <c r="AD448" s="204"/>
      <c r="AE448" s="212"/>
      <c r="AF448" s="213"/>
      <c r="AG448" s="213"/>
      <c r="AH448" s="213"/>
      <c r="AI448" s="213"/>
      <c r="AJ448" s="213"/>
      <c r="AK448" s="213"/>
      <c r="AL448" s="213"/>
      <c r="AM448" s="213"/>
      <c r="AN448" s="213"/>
      <c r="AO448" s="213"/>
      <c r="AP448" s="213"/>
      <c r="AQ448" s="213"/>
      <c r="AR448" s="213"/>
      <c r="AS448" s="213"/>
      <c r="AT448" s="213"/>
      <c r="AU448" s="213"/>
      <c r="AV448" s="213"/>
      <c r="AW448" s="213"/>
      <c r="AX448" s="213"/>
      <c r="AY448" s="213"/>
      <c r="AZ448" s="213"/>
      <c r="BA448" s="213"/>
      <c r="BB448" s="213"/>
    </row>
    <row r="449">
      <c r="A449" s="199"/>
      <c r="B449" s="12"/>
      <c r="C449" s="202"/>
      <c r="D449" s="199"/>
      <c r="E449" s="211"/>
      <c r="F449" s="201"/>
      <c r="G449" s="199"/>
      <c r="H449" s="199"/>
      <c r="I449" s="199"/>
      <c r="J449" s="212"/>
      <c r="K449" s="212"/>
      <c r="L449" s="212"/>
      <c r="M449" s="212"/>
      <c r="N449" s="212"/>
      <c r="O449" s="212"/>
      <c r="P449" s="212"/>
      <c r="Q449" s="212"/>
      <c r="R449" s="212"/>
      <c r="S449" s="212"/>
      <c r="T449" s="212"/>
      <c r="U449" s="212"/>
      <c r="V449" s="212"/>
      <c r="W449" s="212"/>
      <c r="X449" s="212"/>
      <c r="Y449" s="212"/>
      <c r="Z449" s="204"/>
      <c r="AA449" s="204"/>
      <c r="AB449" s="204"/>
      <c r="AC449" s="204"/>
      <c r="AD449" s="204"/>
      <c r="AE449" s="212"/>
      <c r="AF449" s="213"/>
      <c r="AG449" s="213"/>
      <c r="AH449" s="213"/>
      <c r="AI449" s="213"/>
      <c r="AJ449" s="213"/>
      <c r="AK449" s="213"/>
      <c r="AL449" s="213"/>
      <c r="AM449" s="213"/>
      <c r="AN449" s="213"/>
      <c r="AO449" s="213"/>
      <c r="AP449" s="213"/>
      <c r="AQ449" s="213"/>
      <c r="AR449" s="213"/>
      <c r="AS449" s="213"/>
      <c r="AT449" s="213"/>
      <c r="AU449" s="213"/>
      <c r="AV449" s="213"/>
      <c r="AW449" s="213"/>
      <c r="AX449" s="213"/>
      <c r="AY449" s="213"/>
      <c r="AZ449" s="213"/>
      <c r="BA449" s="213"/>
      <c r="BB449" s="213"/>
    </row>
    <row r="450">
      <c r="A450" s="199"/>
      <c r="B450" s="12"/>
      <c r="C450" s="202"/>
      <c r="D450" s="199"/>
      <c r="E450" s="211"/>
      <c r="F450" s="201"/>
      <c r="G450" s="199"/>
      <c r="H450" s="199"/>
      <c r="I450" s="199"/>
      <c r="J450" s="212"/>
      <c r="K450" s="212"/>
      <c r="L450" s="212"/>
      <c r="M450" s="212"/>
      <c r="N450" s="212"/>
      <c r="O450" s="212"/>
      <c r="P450" s="212"/>
      <c r="Q450" s="212"/>
      <c r="R450" s="212"/>
      <c r="S450" s="212"/>
      <c r="T450" s="212"/>
      <c r="U450" s="212"/>
      <c r="V450" s="212"/>
      <c r="W450" s="212"/>
      <c r="X450" s="212"/>
      <c r="Y450" s="212"/>
      <c r="Z450" s="204"/>
      <c r="AA450" s="204"/>
      <c r="AB450" s="204"/>
      <c r="AC450" s="204"/>
      <c r="AD450" s="204"/>
      <c r="AE450" s="212"/>
      <c r="AF450" s="213"/>
      <c r="AG450" s="213"/>
      <c r="AH450" s="213"/>
      <c r="AI450" s="213"/>
      <c r="AJ450" s="213"/>
      <c r="AK450" s="213"/>
      <c r="AL450" s="213"/>
      <c r="AM450" s="213"/>
      <c r="AN450" s="213"/>
      <c r="AO450" s="213"/>
      <c r="AP450" s="213"/>
      <c r="AQ450" s="213"/>
      <c r="AR450" s="213"/>
      <c r="AS450" s="213"/>
      <c r="AT450" s="213"/>
      <c r="AU450" s="213"/>
      <c r="AV450" s="213"/>
      <c r="AW450" s="213"/>
      <c r="AX450" s="213"/>
      <c r="AY450" s="213"/>
      <c r="AZ450" s="213"/>
      <c r="BA450" s="213"/>
      <c r="BB450" s="213"/>
    </row>
    <row r="451">
      <c r="A451" s="199"/>
      <c r="B451" s="12"/>
      <c r="C451" s="202"/>
      <c r="D451" s="199"/>
      <c r="E451" s="211"/>
      <c r="F451" s="201"/>
      <c r="G451" s="199"/>
      <c r="H451" s="199"/>
      <c r="I451" s="199"/>
      <c r="J451" s="212"/>
      <c r="K451" s="212"/>
      <c r="L451" s="212"/>
      <c r="M451" s="212"/>
      <c r="N451" s="212"/>
      <c r="O451" s="212"/>
      <c r="P451" s="212"/>
      <c r="Q451" s="212"/>
      <c r="R451" s="212"/>
      <c r="S451" s="212"/>
      <c r="T451" s="212"/>
      <c r="U451" s="212"/>
      <c r="V451" s="212"/>
      <c r="W451" s="212"/>
      <c r="X451" s="212"/>
      <c r="Y451" s="212"/>
      <c r="Z451" s="204"/>
      <c r="AA451" s="204"/>
      <c r="AB451" s="204"/>
      <c r="AC451" s="204"/>
      <c r="AD451" s="204"/>
      <c r="AE451" s="212"/>
      <c r="AF451" s="213"/>
      <c r="AG451" s="213"/>
      <c r="AH451" s="213"/>
      <c r="AI451" s="213"/>
      <c r="AJ451" s="213"/>
      <c r="AK451" s="213"/>
      <c r="AL451" s="213"/>
      <c r="AM451" s="213"/>
      <c r="AN451" s="213"/>
      <c r="AO451" s="213"/>
      <c r="AP451" s="213"/>
      <c r="AQ451" s="213"/>
      <c r="AR451" s="213"/>
      <c r="AS451" s="213"/>
      <c r="AT451" s="213"/>
      <c r="AU451" s="213"/>
      <c r="AV451" s="213"/>
      <c r="AW451" s="213"/>
      <c r="AX451" s="213"/>
      <c r="AY451" s="213"/>
      <c r="AZ451" s="213"/>
      <c r="BA451" s="213"/>
      <c r="BB451" s="213"/>
    </row>
    <row r="452">
      <c r="A452" s="199"/>
      <c r="B452" s="12"/>
      <c r="C452" s="202"/>
      <c r="D452" s="199"/>
      <c r="E452" s="211"/>
      <c r="F452" s="201"/>
      <c r="G452" s="199"/>
      <c r="H452" s="199"/>
      <c r="I452" s="199"/>
      <c r="J452" s="212"/>
      <c r="K452" s="212"/>
      <c r="L452" s="212"/>
      <c r="M452" s="212"/>
      <c r="N452" s="212"/>
      <c r="O452" s="212"/>
      <c r="P452" s="212"/>
      <c r="Q452" s="212"/>
      <c r="R452" s="212"/>
      <c r="S452" s="212"/>
      <c r="T452" s="212"/>
      <c r="U452" s="212"/>
      <c r="V452" s="212"/>
      <c r="W452" s="212"/>
      <c r="X452" s="212"/>
      <c r="Y452" s="212"/>
      <c r="Z452" s="204"/>
      <c r="AA452" s="204"/>
      <c r="AB452" s="204"/>
      <c r="AC452" s="204"/>
      <c r="AD452" s="204"/>
      <c r="AE452" s="212"/>
      <c r="AF452" s="213"/>
      <c r="AG452" s="213"/>
      <c r="AH452" s="213"/>
      <c r="AI452" s="213"/>
      <c r="AJ452" s="213"/>
      <c r="AK452" s="213"/>
      <c r="AL452" s="213"/>
      <c r="AM452" s="213"/>
      <c r="AN452" s="213"/>
      <c r="AO452" s="213"/>
      <c r="AP452" s="213"/>
      <c r="AQ452" s="213"/>
      <c r="AR452" s="213"/>
      <c r="AS452" s="213"/>
      <c r="AT452" s="213"/>
      <c r="AU452" s="213"/>
      <c r="AV452" s="213"/>
      <c r="AW452" s="213"/>
      <c r="AX452" s="213"/>
      <c r="AY452" s="213"/>
      <c r="AZ452" s="213"/>
      <c r="BA452" s="213"/>
      <c r="BB452" s="213"/>
    </row>
    <row r="453">
      <c r="A453" s="199"/>
      <c r="B453" s="12"/>
      <c r="C453" s="202"/>
      <c r="D453" s="199"/>
      <c r="E453" s="211"/>
      <c r="F453" s="201"/>
      <c r="G453" s="199"/>
      <c r="H453" s="199"/>
      <c r="I453" s="199"/>
      <c r="J453" s="212"/>
      <c r="K453" s="212"/>
      <c r="L453" s="212"/>
      <c r="M453" s="212"/>
      <c r="N453" s="212"/>
      <c r="O453" s="212"/>
      <c r="P453" s="212"/>
      <c r="Q453" s="212"/>
      <c r="R453" s="212"/>
      <c r="S453" s="212"/>
      <c r="T453" s="212"/>
      <c r="U453" s="212"/>
      <c r="V453" s="212"/>
      <c r="W453" s="212"/>
      <c r="X453" s="212"/>
      <c r="Y453" s="212"/>
      <c r="Z453" s="204"/>
      <c r="AA453" s="204"/>
      <c r="AB453" s="204"/>
      <c r="AC453" s="204"/>
      <c r="AD453" s="204"/>
      <c r="AE453" s="212"/>
      <c r="AF453" s="213"/>
      <c r="AG453" s="213"/>
      <c r="AH453" s="213"/>
      <c r="AI453" s="213"/>
      <c r="AJ453" s="213"/>
      <c r="AK453" s="213"/>
      <c r="AL453" s="213"/>
      <c r="AM453" s="213"/>
      <c r="AN453" s="213"/>
      <c r="AO453" s="213"/>
      <c r="AP453" s="213"/>
      <c r="AQ453" s="213"/>
      <c r="AR453" s="213"/>
      <c r="AS453" s="213"/>
      <c r="AT453" s="213"/>
      <c r="AU453" s="213"/>
      <c r="AV453" s="213"/>
      <c r="AW453" s="213"/>
      <c r="AX453" s="213"/>
      <c r="AY453" s="213"/>
      <c r="AZ453" s="213"/>
      <c r="BA453" s="213"/>
      <c r="BB453" s="213"/>
    </row>
    <row r="454">
      <c r="A454" s="199"/>
      <c r="B454" s="12"/>
      <c r="C454" s="202"/>
      <c r="D454" s="199"/>
      <c r="E454" s="211"/>
      <c r="F454" s="201"/>
      <c r="G454" s="199"/>
      <c r="H454" s="199"/>
      <c r="I454" s="199"/>
      <c r="J454" s="212"/>
      <c r="K454" s="212"/>
      <c r="L454" s="212"/>
      <c r="M454" s="212"/>
      <c r="N454" s="212"/>
      <c r="O454" s="212"/>
      <c r="P454" s="212"/>
      <c r="Q454" s="212"/>
      <c r="R454" s="212"/>
      <c r="S454" s="212"/>
      <c r="T454" s="212"/>
      <c r="U454" s="212"/>
      <c r="V454" s="212"/>
      <c r="W454" s="212"/>
      <c r="X454" s="212"/>
      <c r="Y454" s="212"/>
      <c r="Z454" s="204"/>
      <c r="AA454" s="204"/>
      <c r="AB454" s="204"/>
      <c r="AC454" s="204"/>
      <c r="AD454" s="204"/>
      <c r="AE454" s="212"/>
      <c r="AF454" s="213"/>
      <c r="AG454" s="213"/>
      <c r="AH454" s="213"/>
      <c r="AI454" s="213"/>
      <c r="AJ454" s="213"/>
      <c r="AK454" s="213"/>
      <c r="AL454" s="213"/>
      <c r="AM454" s="213"/>
      <c r="AN454" s="213"/>
      <c r="AO454" s="213"/>
      <c r="AP454" s="213"/>
      <c r="AQ454" s="213"/>
      <c r="AR454" s="213"/>
      <c r="AS454" s="213"/>
      <c r="AT454" s="213"/>
      <c r="AU454" s="213"/>
      <c r="AV454" s="213"/>
      <c r="AW454" s="213"/>
      <c r="AX454" s="213"/>
      <c r="AY454" s="213"/>
      <c r="AZ454" s="213"/>
      <c r="BA454" s="213"/>
      <c r="BB454" s="213"/>
    </row>
    <row r="455">
      <c r="A455" s="199"/>
      <c r="B455" s="12"/>
      <c r="C455" s="202"/>
      <c r="D455" s="199"/>
      <c r="E455" s="211"/>
      <c r="F455" s="201"/>
      <c r="G455" s="199"/>
      <c r="H455" s="199"/>
      <c r="I455" s="199"/>
      <c r="J455" s="212"/>
      <c r="K455" s="212"/>
      <c r="L455" s="212"/>
      <c r="M455" s="212"/>
      <c r="N455" s="212"/>
      <c r="O455" s="212"/>
      <c r="P455" s="212"/>
      <c r="Q455" s="212"/>
      <c r="R455" s="212"/>
      <c r="S455" s="212"/>
      <c r="T455" s="212"/>
      <c r="U455" s="212"/>
      <c r="V455" s="212"/>
      <c r="W455" s="212"/>
      <c r="X455" s="212"/>
      <c r="Y455" s="212"/>
      <c r="Z455" s="204"/>
      <c r="AA455" s="204"/>
      <c r="AB455" s="204"/>
      <c r="AC455" s="204"/>
      <c r="AD455" s="204"/>
      <c r="AE455" s="212"/>
      <c r="AF455" s="213"/>
      <c r="AG455" s="213"/>
      <c r="AH455" s="213"/>
      <c r="AI455" s="213"/>
      <c r="AJ455" s="213"/>
      <c r="AK455" s="213"/>
      <c r="AL455" s="213"/>
      <c r="AM455" s="213"/>
      <c r="AN455" s="213"/>
      <c r="AO455" s="213"/>
      <c r="AP455" s="213"/>
      <c r="AQ455" s="213"/>
      <c r="AR455" s="213"/>
      <c r="AS455" s="213"/>
      <c r="AT455" s="213"/>
      <c r="AU455" s="213"/>
      <c r="AV455" s="213"/>
      <c r="AW455" s="213"/>
      <c r="AX455" s="213"/>
      <c r="AY455" s="213"/>
      <c r="AZ455" s="213"/>
      <c r="BA455" s="213"/>
      <c r="BB455" s="213"/>
    </row>
    <row r="456">
      <c r="A456" s="199"/>
      <c r="B456" s="12"/>
      <c r="C456" s="202"/>
      <c r="D456" s="199"/>
      <c r="E456" s="211"/>
      <c r="F456" s="201"/>
      <c r="G456" s="199"/>
      <c r="H456" s="199"/>
      <c r="I456" s="199"/>
      <c r="J456" s="212"/>
      <c r="K456" s="212"/>
      <c r="L456" s="212"/>
      <c r="M456" s="212"/>
      <c r="N456" s="212"/>
      <c r="O456" s="212"/>
      <c r="P456" s="212"/>
      <c r="Q456" s="212"/>
      <c r="R456" s="212"/>
      <c r="S456" s="212"/>
      <c r="T456" s="212"/>
      <c r="U456" s="212"/>
      <c r="V456" s="212"/>
      <c r="W456" s="212"/>
      <c r="X456" s="212"/>
      <c r="Y456" s="212"/>
      <c r="Z456" s="204"/>
      <c r="AA456" s="204"/>
      <c r="AB456" s="204"/>
      <c r="AC456" s="204"/>
      <c r="AD456" s="204"/>
      <c r="AE456" s="212"/>
      <c r="AF456" s="213"/>
      <c r="AG456" s="213"/>
      <c r="AH456" s="213"/>
      <c r="AI456" s="213"/>
      <c r="AJ456" s="213"/>
      <c r="AK456" s="213"/>
      <c r="AL456" s="213"/>
      <c r="AM456" s="213"/>
      <c r="AN456" s="213"/>
      <c r="AO456" s="213"/>
      <c r="AP456" s="213"/>
      <c r="AQ456" s="213"/>
      <c r="AR456" s="213"/>
      <c r="AS456" s="213"/>
      <c r="AT456" s="213"/>
      <c r="AU456" s="213"/>
      <c r="AV456" s="213"/>
      <c r="AW456" s="213"/>
      <c r="AX456" s="213"/>
      <c r="AY456" s="213"/>
      <c r="AZ456" s="213"/>
      <c r="BA456" s="213"/>
      <c r="BB456" s="213"/>
    </row>
    <row r="457">
      <c r="A457" s="199"/>
      <c r="B457" s="12"/>
      <c r="C457" s="202"/>
      <c r="D457" s="199"/>
      <c r="E457" s="211"/>
      <c r="F457" s="201"/>
      <c r="G457" s="199"/>
      <c r="H457" s="199"/>
      <c r="I457" s="199"/>
      <c r="J457" s="212"/>
      <c r="K457" s="212"/>
      <c r="L457" s="212"/>
      <c r="M457" s="212"/>
      <c r="N457" s="212"/>
      <c r="O457" s="212"/>
      <c r="P457" s="212"/>
      <c r="Q457" s="212"/>
      <c r="R457" s="212"/>
      <c r="S457" s="212"/>
      <c r="T457" s="212"/>
      <c r="U457" s="212"/>
      <c r="V457" s="212"/>
      <c r="W457" s="212"/>
      <c r="X457" s="212"/>
      <c r="Y457" s="212"/>
      <c r="Z457" s="204"/>
      <c r="AA457" s="204"/>
      <c r="AB457" s="204"/>
      <c r="AC457" s="204"/>
      <c r="AD457" s="204"/>
      <c r="AE457" s="212"/>
      <c r="AF457" s="213"/>
      <c r="AG457" s="213"/>
      <c r="AH457" s="213"/>
      <c r="AI457" s="213"/>
      <c r="AJ457" s="213"/>
      <c r="AK457" s="213"/>
      <c r="AL457" s="213"/>
      <c r="AM457" s="213"/>
      <c r="AN457" s="213"/>
      <c r="AO457" s="213"/>
      <c r="AP457" s="213"/>
      <c r="AQ457" s="213"/>
      <c r="AR457" s="213"/>
      <c r="AS457" s="213"/>
      <c r="AT457" s="213"/>
      <c r="AU457" s="213"/>
      <c r="AV457" s="213"/>
      <c r="AW457" s="213"/>
      <c r="AX457" s="213"/>
      <c r="AY457" s="213"/>
      <c r="AZ457" s="213"/>
      <c r="BA457" s="213"/>
      <c r="BB457" s="213"/>
    </row>
    <row r="458">
      <c r="A458" s="199"/>
      <c r="B458" s="12"/>
      <c r="C458" s="202"/>
      <c r="D458" s="199"/>
      <c r="E458" s="211"/>
      <c r="F458" s="201"/>
      <c r="G458" s="199"/>
      <c r="H458" s="199"/>
      <c r="I458" s="199"/>
      <c r="J458" s="212"/>
      <c r="K458" s="212"/>
      <c r="L458" s="212"/>
      <c r="M458" s="212"/>
      <c r="N458" s="212"/>
      <c r="O458" s="212"/>
      <c r="P458" s="212"/>
      <c r="Q458" s="212"/>
      <c r="R458" s="212"/>
      <c r="S458" s="212"/>
      <c r="T458" s="212"/>
      <c r="U458" s="212"/>
      <c r="V458" s="212"/>
      <c r="W458" s="212"/>
      <c r="X458" s="212"/>
      <c r="Y458" s="212"/>
      <c r="Z458" s="204"/>
      <c r="AA458" s="204"/>
      <c r="AB458" s="204"/>
      <c r="AC458" s="204"/>
      <c r="AD458" s="204"/>
      <c r="AE458" s="212"/>
      <c r="AF458" s="213"/>
      <c r="AG458" s="213"/>
      <c r="AH458" s="213"/>
      <c r="AI458" s="213"/>
      <c r="AJ458" s="213"/>
      <c r="AK458" s="213"/>
      <c r="AL458" s="213"/>
      <c r="AM458" s="213"/>
      <c r="AN458" s="213"/>
      <c r="AO458" s="213"/>
      <c r="AP458" s="213"/>
      <c r="AQ458" s="213"/>
      <c r="AR458" s="213"/>
      <c r="AS458" s="213"/>
      <c r="AT458" s="213"/>
      <c r="AU458" s="213"/>
      <c r="AV458" s="213"/>
      <c r="AW458" s="213"/>
      <c r="AX458" s="213"/>
      <c r="AY458" s="213"/>
      <c r="AZ458" s="213"/>
      <c r="BA458" s="213"/>
      <c r="BB458" s="213"/>
    </row>
    <row r="459">
      <c r="A459" s="199"/>
      <c r="B459" s="12"/>
      <c r="C459" s="202"/>
      <c r="D459" s="199"/>
      <c r="E459" s="211"/>
      <c r="F459" s="201"/>
      <c r="G459" s="199"/>
      <c r="H459" s="199"/>
      <c r="I459" s="199"/>
      <c r="J459" s="212"/>
      <c r="K459" s="212"/>
      <c r="L459" s="212"/>
      <c r="M459" s="212"/>
      <c r="N459" s="212"/>
      <c r="O459" s="212"/>
      <c r="P459" s="212"/>
      <c r="Q459" s="212"/>
      <c r="R459" s="212"/>
      <c r="S459" s="212"/>
      <c r="T459" s="212"/>
      <c r="U459" s="212"/>
      <c r="V459" s="212"/>
      <c r="W459" s="212"/>
      <c r="X459" s="212"/>
      <c r="Y459" s="212"/>
      <c r="Z459" s="204"/>
      <c r="AA459" s="204"/>
      <c r="AB459" s="204"/>
      <c r="AC459" s="204"/>
      <c r="AD459" s="204"/>
      <c r="AE459" s="212"/>
      <c r="AF459" s="213"/>
      <c r="AG459" s="213"/>
      <c r="AH459" s="213"/>
      <c r="AI459" s="213"/>
      <c r="AJ459" s="213"/>
      <c r="AK459" s="213"/>
      <c r="AL459" s="213"/>
      <c r="AM459" s="213"/>
      <c r="AN459" s="213"/>
      <c r="AO459" s="213"/>
      <c r="AP459" s="213"/>
      <c r="AQ459" s="213"/>
      <c r="AR459" s="213"/>
      <c r="AS459" s="213"/>
      <c r="AT459" s="213"/>
      <c r="AU459" s="213"/>
      <c r="AV459" s="213"/>
      <c r="AW459" s="213"/>
      <c r="AX459" s="213"/>
      <c r="AY459" s="213"/>
      <c r="AZ459" s="213"/>
      <c r="BA459" s="213"/>
      <c r="BB459" s="213"/>
    </row>
    <row r="460">
      <c r="A460" s="199"/>
      <c r="B460" s="12"/>
      <c r="C460" s="202"/>
      <c r="D460" s="199"/>
      <c r="E460" s="211"/>
      <c r="F460" s="201"/>
      <c r="G460" s="199"/>
      <c r="H460" s="199"/>
      <c r="I460" s="199"/>
      <c r="J460" s="212"/>
      <c r="K460" s="212"/>
      <c r="L460" s="212"/>
      <c r="M460" s="212"/>
      <c r="N460" s="212"/>
      <c r="O460" s="212"/>
      <c r="P460" s="212"/>
      <c r="Q460" s="212"/>
      <c r="R460" s="212"/>
      <c r="S460" s="212"/>
      <c r="T460" s="212"/>
      <c r="U460" s="212"/>
      <c r="V460" s="212"/>
      <c r="W460" s="212"/>
      <c r="X460" s="212"/>
      <c r="Y460" s="212"/>
      <c r="Z460" s="204"/>
      <c r="AA460" s="204"/>
      <c r="AB460" s="204"/>
      <c r="AC460" s="204"/>
      <c r="AD460" s="204"/>
      <c r="AE460" s="212"/>
      <c r="AF460" s="213"/>
      <c r="AG460" s="213"/>
      <c r="AH460" s="213"/>
      <c r="AI460" s="213"/>
      <c r="AJ460" s="213"/>
      <c r="AK460" s="213"/>
      <c r="AL460" s="213"/>
      <c r="AM460" s="213"/>
      <c r="AN460" s="213"/>
      <c r="AO460" s="213"/>
      <c r="AP460" s="213"/>
      <c r="AQ460" s="213"/>
      <c r="AR460" s="213"/>
      <c r="AS460" s="213"/>
      <c r="AT460" s="213"/>
      <c r="AU460" s="213"/>
      <c r="AV460" s="213"/>
      <c r="AW460" s="213"/>
      <c r="AX460" s="213"/>
      <c r="AY460" s="213"/>
      <c r="AZ460" s="213"/>
      <c r="BA460" s="213"/>
      <c r="BB460" s="213"/>
    </row>
    <row r="461">
      <c r="A461" s="199"/>
      <c r="B461" s="12"/>
      <c r="C461" s="202"/>
      <c r="D461" s="199"/>
      <c r="E461" s="211"/>
      <c r="F461" s="201"/>
      <c r="G461" s="199"/>
      <c r="H461" s="199"/>
      <c r="I461" s="199"/>
      <c r="J461" s="212"/>
      <c r="K461" s="212"/>
      <c r="L461" s="212"/>
      <c r="M461" s="212"/>
      <c r="N461" s="212"/>
      <c r="O461" s="212"/>
      <c r="P461" s="212"/>
      <c r="Q461" s="212"/>
      <c r="R461" s="212"/>
      <c r="S461" s="212"/>
      <c r="T461" s="212"/>
      <c r="U461" s="212"/>
      <c r="V461" s="212"/>
      <c r="W461" s="212"/>
      <c r="X461" s="212"/>
      <c r="Y461" s="212"/>
      <c r="Z461" s="204"/>
      <c r="AA461" s="204"/>
      <c r="AB461" s="204"/>
      <c r="AC461" s="204"/>
      <c r="AD461" s="204"/>
      <c r="AE461" s="212"/>
      <c r="AF461" s="213"/>
      <c r="AG461" s="213"/>
      <c r="AH461" s="213"/>
      <c r="AI461" s="213"/>
      <c r="AJ461" s="213"/>
      <c r="AK461" s="213"/>
      <c r="AL461" s="213"/>
      <c r="AM461" s="213"/>
      <c r="AN461" s="213"/>
      <c r="AO461" s="213"/>
      <c r="AP461" s="213"/>
      <c r="AQ461" s="213"/>
      <c r="AR461" s="213"/>
      <c r="AS461" s="213"/>
      <c r="AT461" s="213"/>
      <c r="AU461" s="213"/>
      <c r="AV461" s="213"/>
      <c r="AW461" s="213"/>
      <c r="AX461" s="213"/>
      <c r="AY461" s="213"/>
      <c r="AZ461" s="213"/>
      <c r="BA461" s="213"/>
      <c r="BB461" s="213"/>
    </row>
    <row r="462">
      <c r="A462" s="199"/>
      <c r="B462" s="12"/>
      <c r="C462" s="202"/>
      <c r="D462" s="199"/>
      <c r="E462" s="211"/>
      <c r="F462" s="201"/>
      <c r="G462" s="199"/>
      <c r="H462" s="199"/>
      <c r="I462" s="199"/>
      <c r="J462" s="212"/>
      <c r="K462" s="212"/>
      <c r="L462" s="212"/>
      <c r="M462" s="212"/>
      <c r="N462" s="212"/>
      <c r="O462" s="212"/>
      <c r="P462" s="212"/>
      <c r="Q462" s="212"/>
      <c r="R462" s="212"/>
      <c r="S462" s="212"/>
      <c r="T462" s="212"/>
      <c r="U462" s="212"/>
      <c r="V462" s="212"/>
      <c r="W462" s="212"/>
      <c r="X462" s="212"/>
      <c r="Y462" s="212"/>
      <c r="Z462" s="204"/>
      <c r="AA462" s="204"/>
      <c r="AB462" s="204"/>
      <c r="AC462" s="204"/>
      <c r="AD462" s="204"/>
      <c r="AE462" s="212"/>
      <c r="AF462" s="213"/>
      <c r="AG462" s="213"/>
      <c r="AH462" s="213"/>
      <c r="AI462" s="213"/>
      <c r="AJ462" s="213"/>
      <c r="AK462" s="213"/>
      <c r="AL462" s="213"/>
      <c r="AM462" s="213"/>
      <c r="AN462" s="213"/>
      <c r="AO462" s="213"/>
      <c r="AP462" s="213"/>
      <c r="AQ462" s="213"/>
      <c r="AR462" s="213"/>
      <c r="AS462" s="213"/>
      <c r="AT462" s="213"/>
      <c r="AU462" s="213"/>
      <c r="AV462" s="213"/>
      <c r="AW462" s="213"/>
      <c r="AX462" s="213"/>
      <c r="AY462" s="213"/>
      <c r="AZ462" s="213"/>
      <c r="BA462" s="213"/>
      <c r="BB462" s="213"/>
    </row>
    <row r="463">
      <c r="A463" s="199"/>
      <c r="B463" s="12"/>
      <c r="C463" s="202"/>
      <c r="D463" s="199"/>
      <c r="E463" s="211"/>
      <c r="F463" s="201"/>
      <c r="G463" s="199"/>
      <c r="H463" s="199"/>
      <c r="I463" s="199"/>
      <c r="J463" s="212"/>
      <c r="K463" s="212"/>
      <c r="L463" s="212"/>
      <c r="M463" s="212"/>
      <c r="N463" s="212"/>
      <c r="O463" s="212"/>
      <c r="P463" s="212"/>
      <c r="Q463" s="212"/>
      <c r="R463" s="212"/>
      <c r="S463" s="212"/>
      <c r="T463" s="212"/>
      <c r="U463" s="212"/>
      <c r="V463" s="212"/>
      <c r="W463" s="212"/>
      <c r="X463" s="212"/>
      <c r="Y463" s="212"/>
      <c r="Z463" s="204"/>
      <c r="AA463" s="204"/>
      <c r="AB463" s="204"/>
      <c r="AC463" s="204"/>
      <c r="AD463" s="204"/>
      <c r="AE463" s="212"/>
      <c r="AF463" s="213"/>
      <c r="AG463" s="213"/>
      <c r="AH463" s="213"/>
      <c r="AI463" s="213"/>
      <c r="AJ463" s="213"/>
      <c r="AK463" s="213"/>
      <c r="AL463" s="213"/>
      <c r="AM463" s="213"/>
      <c r="AN463" s="213"/>
      <c r="AO463" s="213"/>
      <c r="AP463" s="213"/>
      <c r="AQ463" s="213"/>
      <c r="AR463" s="213"/>
      <c r="AS463" s="213"/>
      <c r="AT463" s="213"/>
      <c r="AU463" s="213"/>
      <c r="AV463" s="213"/>
      <c r="AW463" s="213"/>
      <c r="AX463" s="213"/>
      <c r="AY463" s="213"/>
      <c r="AZ463" s="213"/>
      <c r="BA463" s="213"/>
      <c r="BB463" s="213"/>
    </row>
    <row r="464">
      <c r="A464" s="199"/>
      <c r="B464" s="12"/>
      <c r="C464" s="202"/>
      <c r="D464" s="199"/>
      <c r="E464" s="211"/>
      <c r="F464" s="201"/>
      <c r="G464" s="199"/>
      <c r="H464" s="199"/>
      <c r="I464" s="199"/>
      <c r="J464" s="212"/>
      <c r="K464" s="212"/>
      <c r="L464" s="212"/>
      <c r="M464" s="212"/>
      <c r="N464" s="212"/>
      <c r="O464" s="212"/>
      <c r="P464" s="212"/>
      <c r="Q464" s="212"/>
      <c r="R464" s="212"/>
      <c r="S464" s="212"/>
      <c r="T464" s="212"/>
      <c r="U464" s="212"/>
      <c r="V464" s="212"/>
      <c r="W464" s="212"/>
      <c r="X464" s="212"/>
      <c r="Y464" s="212"/>
      <c r="Z464" s="204"/>
      <c r="AA464" s="204"/>
      <c r="AB464" s="204"/>
      <c r="AC464" s="204"/>
      <c r="AD464" s="204"/>
      <c r="AE464" s="212"/>
      <c r="AF464" s="213"/>
      <c r="AG464" s="213"/>
      <c r="AH464" s="213"/>
      <c r="AI464" s="213"/>
      <c r="AJ464" s="213"/>
      <c r="AK464" s="213"/>
      <c r="AL464" s="213"/>
      <c r="AM464" s="213"/>
      <c r="AN464" s="213"/>
      <c r="AO464" s="213"/>
      <c r="AP464" s="213"/>
      <c r="AQ464" s="213"/>
      <c r="AR464" s="213"/>
      <c r="AS464" s="213"/>
      <c r="AT464" s="213"/>
      <c r="AU464" s="213"/>
      <c r="AV464" s="213"/>
      <c r="AW464" s="213"/>
      <c r="AX464" s="213"/>
      <c r="AY464" s="213"/>
      <c r="AZ464" s="213"/>
      <c r="BA464" s="213"/>
      <c r="BB464" s="213"/>
    </row>
    <row r="465">
      <c r="A465" s="199"/>
      <c r="B465" s="12"/>
      <c r="C465" s="202"/>
      <c r="D465" s="199"/>
      <c r="E465" s="211"/>
      <c r="F465" s="201"/>
      <c r="G465" s="199"/>
      <c r="H465" s="199"/>
      <c r="I465" s="199"/>
      <c r="J465" s="212"/>
      <c r="K465" s="212"/>
      <c r="L465" s="212"/>
      <c r="M465" s="212"/>
      <c r="N465" s="212"/>
      <c r="O465" s="212"/>
      <c r="P465" s="212"/>
      <c r="Q465" s="212"/>
      <c r="R465" s="212"/>
      <c r="S465" s="212"/>
      <c r="T465" s="212"/>
      <c r="U465" s="212"/>
      <c r="V465" s="212"/>
      <c r="W465" s="212"/>
      <c r="X465" s="212"/>
      <c r="Y465" s="212"/>
      <c r="Z465" s="204"/>
      <c r="AA465" s="204"/>
      <c r="AB465" s="204"/>
      <c r="AC465" s="204"/>
      <c r="AD465" s="204"/>
      <c r="AE465" s="212"/>
      <c r="AF465" s="213"/>
      <c r="AG465" s="213"/>
      <c r="AH465" s="213"/>
      <c r="AI465" s="213"/>
      <c r="AJ465" s="213"/>
      <c r="AK465" s="213"/>
      <c r="AL465" s="213"/>
      <c r="AM465" s="213"/>
      <c r="AN465" s="213"/>
      <c r="AO465" s="213"/>
      <c r="AP465" s="213"/>
      <c r="AQ465" s="213"/>
      <c r="AR465" s="213"/>
      <c r="AS465" s="213"/>
      <c r="AT465" s="213"/>
      <c r="AU465" s="213"/>
      <c r="AV465" s="213"/>
      <c r="AW465" s="213"/>
      <c r="AX465" s="213"/>
      <c r="AY465" s="213"/>
      <c r="AZ465" s="213"/>
      <c r="BA465" s="213"/>
      <c r="BB465" s="213"/>
    </row>
    <row r="466">
      <c r="A466" s="199"/>
      <c r="B466" s="12"/>
      <c r="C466" s="202"/>
      <c r="D466" s="199"/>
      <c r="E466" s="211"/>
      <c r="F466" s="201"/>
      <c r="G466" s="199"/>
      <c r="H466" s="199"/>
      <c r="I466" s="199"/>
      <c r="J466" s="212"/>
      <c r="K466" s="212"/>
      <c r="L466" s="212"/>
      <c r="M466" s="212"/>
      <c r="N466" s="212"/>
      <c r="O466" s="212"/>
      <c r="P466" s="212"/>
      <c r="Q466" s="212"/>
      <c r="R466" s="212"/>
      <c r="S466" s="212"/>
      <c r="T466" s="212"/>
      <c r="U466" s="212"/>
      <c r="V466" s="212"/>
      <c r="W466" s="212"/>
      <c r="X466" s="212"/>
      <c r="Y466" s="212"/>
      <c r="Z466" s="204"/>
      <c r="AA466" s="204"/>
      <c r="AB466" s="204"/>
      <c r="AC466" s="204"/>
      <c r="AD466" s="204"/>
      <c r="AE466" s="212"/>
      <c r="AF466" s="213"/>
      <c r="AG466" s="213"/>
      <c r="AH466" s="213"/>
      <c r="AI466" s="213"/>
      <c r="AJ466" s="213"/>
      <c r="AK466" s="213"/>
      <c r="AL466" s="213"/>
      <c r="AM466" s="213"/>
      <c r="AN466" s="213"/>
      <c r="AO466" s="213"/>
      <c r="AP466" s="213"/>
      <c r="AQ466" s="213"/>
      <c r="AR466" s="213"/>
      <c r="AS466" s="213"/>
      <c r="AT466" s="213"/>
      <c r="AU466" s="213"/>
      <c r="AV466" s="213"/>
      <c r="AW466" s="213"/>
      <c r="AX466" s="213"/>
      <c r="AY466" s="213"/>
      <c r="AZ466" s="213"/>
      <c r="BA466" s="213"/>
      <c r="BB466" s="213"/>
    </row>
    <row r="467">
      <c r="A467" s="199"/>
      <c r="B467" s="12"/>
      <c r="C467" s="202"/>
      <c r="D467" s="199"/>
      <c r="E467" s="211"/>
      <c r="F467" s="201"/>
      <c r="G467" s="199"/>
      <c r="H467" s="199"/>
      <c r="I467" s="199"/>
      <c r="J467" s="212"/>
      <c r="K467" s="212"/>
      <c r="L467" s="212"/>
      <c r="M467" s="212"/>
      <c r="N467" s="212"/>
      <c r="O467" s="212"/>
      <c r="P467" s="212"/>
      <c r="Q467" s="212"/>
      <c r="R467" s="212"/>
      <c r="S467" s="212"/>
      <c r="T467" s="212"/>
      <c r="U467" s="212"/>
      <c r="V467" s="212"/>
      <c r="W467" s="212"/>
      <c r="X467" s="212"/>
      <c r="Y467" s="212"/>
      <c r="Z467" s="204"/>
      <c r="AA467" s="204"/>
      <c r="AB467" s="204"/>
      <c r="AC467" s="204"/>
      <c r="AD467" s="204"/>
      <c r="AE467" s="212"/>
      <c r="AF467" s="213"/>
      <c r="AG467" s="213"/>
      <c r="AH467" s="213"/>
      <c r="AI467" s="213"/>
      <c r="AJ467" s="213"/>
      <c r="AK467" s="213"/>
      <c r="AL467" s="213"/>
      <c r="AM467" s="213"/>
      <c r="AN467" s="213"/>
      <c r="AO467" s="213"/>
      <c r="AP467" s="213"/>
      <c r="AQ467" s="213"/>
      <c r="AR467" s="213"/>
      <c r="AS467" s="213"/>
      <c r="AT467" s="213"/>
      <c r="AU467" s="213"/>
      <c r="AV467" s="213"/>
      <c r="AW467" s="213"/>
      <c r="AX467" s="213"/>
      <c r="AY467" s="213"/>
      <c r="AZ467" s="213"/>
      <c r="BA467" s="213"/>
      <c r="BB467" s="213"/>
    </row>
    <row r="468">
      <c r="A468" s="199"/>
      <c r="B468" s="12"/>
      <c r="C468" s="202"/>
      <c r="D468" s="199"/>
      <c r="E468" s="211"/>
      <c r="F468" s="201"/>
      <c r="G468" s="199"/>
      <c r="H468" s="199"/>
      <c r="I468" s="199"/>
      <c r="J468" s="212"/>
      <c r="K468" s="212"/>
      <c r="L468" s="212"/>
      <c r="M468" s="212"/>
      <c r="N468" s="212"/>
      <c r="O468" s="212"/>
      <c r="P468" s="212"/>
      <c r="Q468" s="212"/>
      <c r="R468" s="212"/>
      <c r="S468" s="212"/>
      <c r="T468" s="212"/>
      <c r="U468" s="212"/>
      <c r="V468" s="212"/>
      <c r="W468" s="212"/>
      <c r="X468" s="212"/>
      <c r="Y468" s="212"/>
      <c r="Z468" s="204"/>
      <c r="AA468" s="204"/>
      <c r="AB468" s="204"/>
      <c r="AC468" s="204"/>
      <c r="AD468" s="204"/>
      <c r="AE468" s="212"/>
      <c r="AF468" s="213"/>
      <c r="AG468" s="213"/>
      <c r="AH468" s="213"/>
      <c r="AI468" s="213"/>
      <c r="AJ468" s="213"/>
      <c r="AK468" s="213"/>
      <c r="AL468" s="213"/>
      <c r="AM468" s="213"/>
      <c r="AN468" s="213"/>
      <c r="AO468" s="213"/>
      <c r="AP468" s="213"/>
      <c r="AQ468" s="213"/>
      <c r="AR468" s="213"/>
      <c r="AS468" s="213"/>
      <c r="AT468" s="213"/>
      <c r="AU468" s="213"/>
      <c r="AV468" s="213"/>
      <c r="AW468" s="213"/>
      <c r="AX468" s="213"/>
      <c r="AY468" s="213"/>
      <c r="AZ468" s="213"/>
      <c r="BA468" s="213"/>
      <c r="BB468" s="213"/>
    </row>
    <row r="469">
      <c r="A469" s="199"/>
      <c r="B469" s="12"/>
      <c r="C469" s="202"/>
      <c r="D469" s="199"/>
      <c r="E469" s="211"/>
      <c r="F469" s="201"/>
      <c r="G469" s="199"/>
      <c r="H469" s="199"/>
      <c r="I469" s="199"/>
      <c r="J469" s="212"/>
      <c r="K469" s="212"/>
      <c r="L469" s="212"/>
      <c r="M469" s="212"/>
      <c r="N469" s="212"/>
      <c r="O469" s="212"/>
      <c r="P469" s="212"/>
      <c r="Q469" s="212"/>
      <c r="R469" s="212"/>
      <c r="S469" s="212"/>
      <c r="T469" s="212"/>
      <c r="U469" s="212"/>
      <c r="V469" s="212"/>
      <c r="W469" s="212"/>
      <c r="X469" s="212"/>
      <c r="Y469" s="212"/>
      <c r="Z469" s="204"/>
      <c r="AA469" s="204"/>
      <c r="AB469" s="204"/>
      <c r="AC469" s="204"/>
      <c r="AD469" s="204"/>
      <c r="AE469" s="212"/>
      <c r="AF469" s="213"/>
      <c r="AG469" s="213"/>
      <c r="AH469" s="213"/>
      <c r="AI469" s="213"/>
      <c r="AJ469" s="213"/>
      <c r="AK469" s="213"/>
      <c r="AL469" s="213"/>
      <c r="AM469" s="213"/>
      <c r="AN469" s="213"/>
      <c r="AO469" s="213"/>
      <c r="AP469" s="213"/>
      <c r="AQ469" s="213"/>
      <c r="AR469" s="213"/>
      <c r="AS469" s="213"/>
      <c r="AT469" s="213"/>
      <c r="AU469" s="213"/>
      <c r="AV469" s="213"/>
      <c r="AW469" s="213"/>
      <c r="AX469" s="213"/>
      <c r="AY469" s="213"/>
      <c r="AZ469" s="213"/>
      <c r="BA469" s="213"/>
      <c r="BB469" s="213"/>
    </row>
    <row r="470">
      <c r="A470" s="199"/>
      <c r="B470" s="12"/>
      <c r="C470" s="202"/>
      <c r="D470" s="199"/>
      <c r="E470" s="211"/>
      <c r="F470" s="201"/>
      <c r="G470" s="199"/>
      <c r="H470" s="199"/>
      <c r="I470" s="199"/>
      <c r="J470" s="212"/>
      <c r="K470" s="212"/>
      <c r="L470" s="212"/>
      <c r="M470" s="212"/>
      <c r="N470" s="212"/>
      <c r="O470" s="212"/>
      <c r="P470" s="212"/>
      <c r="Q470" s="212"/>
      <c r="R470" s="212"/>
      <c r="S470" s="212"/>
      <c r="T470" s="212"/>
      <c r="U470" s="212"/>
      <c r="V470" s="212"/>
      <c r="W470" s="212"/>
      <c r="X470" s="212"/>
      <c r="Y470" s="212"/>
      <c r="Z470" s="204"/>
      <c r="AA470" s="204"/>
      <c r="AB470" s="204"/>
      <c r="AC470" s="204"/>
      <c r="AD470" s="204"/>
      <c r="AE470" s="212"/>
      <c r="AF470" s="213"/>
      <c r="AG470" s="213"/>
      <c r="AH470" s="213"/>
      <c r="AI470" s="213"/>
      <c r="AJ470" s="213"/>
      <c r="AK470" s="213"/>
      <c r="AL470" s="213"/>
      <c r="AM470" s="213"/>
      <c r="AN470" s="213"/>
      <c r="AO470" s="213"/>
      <c r="AP470" s="213"/>
      <c r="AQ470" s="213"/>
      <c r="AR470" s="213"/>
      <c r="AS470" s="213"/>
      <c r="AT470" s="213"/>
      <c r="AU470" s="213"/>
      <c r="AV470" s="213"/>
      <c r="AW470" s="213"/>
      <c r="AX470" s="213"/>
      <c r="AY470" s="213"/>
      <c r="AZ470" s="213"/>
      <c r="BA470" s="213"/>
      <c r="BB470" s="213"/>
    </row>
    <row r="471">
      <c r="A471" s="199"/>
      <c r="B471" s="12"/>
      <c r="C471" s="202"/>
      <c r="D471" s="199"/>
      <c r="E471" s="211"/>
      <c r="F471" s="201"/>
      <c r="G471" s="199"/>
      <c r="H471" s="199"/>
      <c r="I471" s="199"/>
      <c r="J471" s="212"/>
      <c r="K471" s="212"/>
      <c r="L471" s="212"/>
      <c r="M471" s="212"/>
      <c r="N471" s="212"/>
      <c r="O471" s="212"/>
      <c r="P471" s="212"/>
      <c r="Q471" s="212"/>
      <c r="R471" s="212"/>
      <c r="S471" s="212"/>
      <c r="T471" s="212"/>
      <c r="U471" s="212"/>
      <c r="V471" s="212"/>
      <c r="W471" s="212"/>
      <c r="X471" s="212"/>
      <c r="Y471" s="212"/>
      <c r="Z471" s="204"/>
      <c r="AA471" s="204"/>
      <c r="AB471" s="204"/>
      <c r="AC471" s="204"/>
      <c r="AD471" s="204"/>
      <c r="AE471" s="212"/>
      <c r="AF471" s="213"/>
      <c r="AG471" s="213"/>
      <c r="AH471" s="213"/>
      <c r="AI471" s="213"/>
      <c r="AJ471" s="213"/>
      <c r="AK471" s="213"/>
      <c r="AL471" s="213"/>
      <c r="AM471" s="213"/>
      <c r="AN471" s="213"/>
      <c r="AO471" s="213"/>
      <c r="AP471" s="213"/>
      <c r="AQ471" s="213"/>
      <c r="AR471" s="213"/>
      <c r="AS471" s="213"/>
      <c r="AT471" s="213"/>
      <c r="AU471" s="213"/>
      <c r="AV471" s="213"/>
      <c r="AW471" s="213"/>
      <c r="AX471" s="213"/>
      <c r="AY471" s="213"/>
      <c r="AZ471" s="213"/>
      <c r="BA471" s="213"/>
      <c r="BB471" s="213"/>
    </row>
    <row r="472">
      <c r="A472" s="199"/>
      <c r="B472" s="12"/>
      <c r="C472" s="202"/>
      <c r="D472" s="199"/>
      <c r="E472" s="211"/>
      <c r="F472" s="201"/>
      <c r="G472" s="199"/>
      <c r="H472" s="199"/>
      <c r="I472" s="199"/>
      <c r="J472" s="212"/>
      <c r="K472" s="212"/>
      <c r="L472" s="212"/>
      <c r="M472" s="212"/>
      <c r="N472" s="212"/>
      <c r="O472" s="212"/>
      <c r="P472" s="212"/>
      <c r="Q472" s="212"/>
      <c r="R472" s="212"/>
      <c r="S472" s="212"/>
      <c r="T472" s="212"/>
      <c r="U472" s="212"/>
      <c r="V472" s="212"/>
      <c r="W472" s="212"/>
      <c r="X472" s="212"/>
      <c r="Y472" s="212"/>
      <c r="Z472" s="204"/>
      <c r="AA472" s="204"/>
      <c r="AB472" s="204"/>
      <c r="AC472" s="204"/>
      <c r="AD472" s="204"/>
      <c r="AE472" s="212"/>
      <c r="AF472" s="213"/>
      <c r="AG472" s="213"/>
      <c r="AH472" s="213"/>
      <c r="AI472" s="213"/>
      <c r="AJ472" s="213"/>
      <c r="AK472" s="213"/>
      <c r="AL472" s="213"/>
      <c r="AM472" s="213"/>
      <c r="AN472" s="213"/>
      <c r="AO472" s="213"/>
      <c r="AP472" s="213"/>
      <c r="AQ472" s="213"/>
      <c r="AR472" s="213"/>
      <c r="AS472" s="213"/>
      <c r="AT472" s="213"/>
      <c r="AU472" s="213"/>
      <c r="AV472" s="213"/>
      <c r="AW472" s="213"/>
      <c r="AX472" s="213"/>
      <c r="AY472" s="213"/>
      <c r="AZ472" s="213"/>
      <c r="BA472" s="213"/>
      <c r="BB472" s="213"/>
    </row>
    <row r="473">
      <c r="A473" s="199"/>
      <c r="B473" s="12"/>
      <c r="C473" s="202"/>
      <c r="D473" s="199"/>
      <c r="E473" s="211"/>
      <c r="F473" s="201"/>
      <c r="G473" s="199"/>
      <c r="H473" s="199"/>
      <c r="I473" s="199"/>
      <c r="J473" s="212"/>
      <c r="K473" s="212"/>
      <c r="L473" s="212"/>
      <c r="M473" s="212"/>
      <c r="N473" s="212"/>
      <c r="O473" s="212"/>
      <c r="P473" s="212"/>
      <c r="Q473" s="212"/>
      <c r="R473" s="212"/>
      <c r="S473" s="212"/>
      <c r="T473" s="212"/>
      <c r="U473" s="212"/>
      <c r="V473" s="212"/>
      <c r="W473" s="212"/>
      <c r="X473" s="212"/>
      <c r="Y473" s="212"/>
      <c r="Z473" s="204"/>
      <c r="AA473" s="204"/>
      <c r="AB473" s="204"/>
      <c r="AC473" s="204"/>
      <c r="AD473" s="204"/>
      <c r="AE473" s="212"/>
      <c r="AF473" s="213"/>
      <c r="AG473" s="213"/>
      <c r="AH473" s="213"/>
      <c r="AI473" s="213"/>
      <c r="AJ473" s="213"/>
      <c r="AK473" s="213"/>
      <c r="AL473" s="213"/>
      <c r="AM473" s="213"/>
      <c r="AN473" s="213"/>
      <c r="AO473" s="213"/>
      <c r="AP473" s="213"/>
      <c r="AQ473" s="213"/>
      <c r="AR473" s="213"/>
      <c r="AS473" s="213"/>
      <c r="AT473" s="213"/>
      <c r="AU473" s="213"/>
      <c r="AV473" s="213"/>
      <c r="AW473" s="213"/>
      <c r="AX473" s="213"/>
      <c r="AY473" s="213"/>
      <c r="AZ473" s="213"/>
      <c r="BA473" s="213"/>
      <c r="BB473" s="213"/>
    </row>
    <row r="474">
      <c r="A474" s="199"/>
      <c r="B474" s="12"/>
      <c r="C474" s="202"/>
      <c r="D474" s="199"/>
      <c r="E474" s="211"/>
      <c r="F474" s="201"/>
      <c r="G474" s="199"/>
      <c r="H474" s="199"/>
      <c r="I474" s="199"/>
      <c r="J474" s="212"/>
      <c r="K474" s="212"/>
      <c r="L474" s="212"/>
      <c r="M474" s="212"/>
      <c r="N474" s="212"/>
      <c r="O474" s="212"/>
      <c r="P474" s="212"/>
      <c r="Q474" s="212"/>
      <c r="R474" s="212"/>
      <c r="S474" s="212"/>
      <c r="T474" s="212"/>
      <c r="U474" s="212"/>
      <c r="V474" s="212"/>
      <c r="W474" s="212"/>
      <c r="X474" s="212"/>
      <c r="Y474" s="212"/>
      <c r="Z474" s="204"/>
      <c r="AA474" s="204"/>
      <c r="AB474" s="204"/>
      <c r="AC474" s="204"/>
      <c r="AD474" s="204"/>
      <c r="AE474" s="212"/>
      <c r="AF474" s="213"/>
      <c r="AG474" s="213"/>
      <c r="AH474" s="213"/>
      <c r="AI474" s="213"/>
      <c r="AJ474" s="213"/>
      <c r="AK474" s="213"/>
      <c r="AL474" s="213"/>
      <c r="AM474" s="213"/>
      <c r="AN474" s="213"/>
      <c r="AO474" s="213"/>
      <c r="AP474" s="213"/>
      <c r="AQ474" s="213"/>
      <c r="AR474" s="213"/>
      <c r="AS474" s="213"/>
      <c r="AT474" s="213"/>
      <c r="AU474" s="213"/>
      <c r="AV474" s="213"/>
      <c r="AW474" s="213"/>
      <c r="AX474" s="213"/>
      <c r="AY474" s="213"/>
      <c r="AZ474" s="213"/>
      <c r="BA474" s="213"/>
      <c r="BB474" s="213"/>
    </row>
    <row r="475">
      <c r="A475" s="199"/>
      <c r="B475" s="12"/>
      <c r="C475" s="202"/>
      <c r="D475" s="199"/>
      <c r="E475" s="211"/>
      <c r="F475" s="201"/>
      <c r="G475" s="199"/>
      <c r="H475" s="199"/>
      <c r="I475" s="199"/>
      <c r="J475" s="212"/>
      <c r="K475" s="212"/>
      <c r="L475" s="212"/>
      <c r="M475" s="212"/>
      <c r="N475" s="212"/>
      <c r="O475" s="212"/>
      <c r="P475" s="212"/>
      <c r="Q475" s="212"/>
      <c r="R475" s="212"/>
      <c r="S475" s="212"/>
      <c r="T475" s="212"/>
      <c r="U475" s="212"/>
      <c r="V475" s="212"/>
      <c r="W475" s="212"/>
      <c r="X475" s="212"/>
      <c r="Y475" s="212"/>
      <c r="Z475" s="204"/>
      <c r="AA475" s="204"/>
      <c r="AB475" s="204"/>
      <c r="AC475" s="204"/>
      <c r="AD475" s="204"/>
      <c r="AE475" s="212"/>
      <c r="AF475" s="213"/>
      <c r="AG475" s="213"/>
      <c r="AH475" s="213"/>
      <c r="AI475" s="213"/>
      <c r="AJ475" s="213"/>
      <c r="AK475" s="213"/>
      <c r="AL475" s="213"/>
      <c r="AM475" s="213"/>
      <c r="AN475" s="213"/>
      <c r="AO475" s="213"/>
      <c r="AP475" s="213"/>
      <c r="AQ475" s="213"/>
      <c r="AR475" s="213"/>
      <c r="AS475" s="213"/>
      <c r="AT475" s="213"/>
      <c r="AU475" s="213"/>
      <c r="AV475" s="213"/>
      <c r="AW475" s="213"/>
      <c r="AX475" s="213"/>
      <c r="AY475" s="213"/>
      <c r="AZ475" s="213"/>
      <c r="BA475" s="213"/>
      <c r="BB475" s="213"/>
    </row>
    <row r="476">
      <c r="A476" s="199"/>
      <c r="B476" s="12"/>
      <c r="C476" s="202"/>
      <c r="D476" s="199"/>
      <c r="E476" s="211"/>
      <c r="F476" s="201"/>
      <c r="G476" s="199"/>
      <c r="H476" s="199"/>
      <c r="I476" s="199"/>
      <c r="J476" s="212"/>
      <c r="K476" s="212"/>
      <c r="L476" s="212"/>
      <c r="M476" s="212"/>
      <c r="N476" s="212"/>
      <c r="O476" s="212"/>
      <c r="P476" s="212"/>
      <c r="Q476" s="212"/>
      <c r="R476" s="212"/>
      <c r="S476" s="212"/>
      <c r="T476" s="212"/>
      <c r="U476" s="212"/>
      <c r="V476" s="212"/>
      <c r="W476" s="212"/>
      <c r="X476" s="212"/>
      <c r="Y476" s="212"/>
      <c r="Z476" s="204"/>
      <c r="AA476" s="204"/>
      <c r="AB476" s="204"/>
      <c r="AC476" s="204"/>
      <c r="AD476" s="204"/>
      <c r="AE476" s="212"/>
      <c r="AF476" s="213"/>
      <c r="AG476" s="213"/>
      <c r="AH476" s="213"/>
      <c r="AI476" s="213"/>
      <c r="AJ476" s="213"/>
      <c r="AK476" s="213"/>
      <c r="AL476" s="213"/>
      <c r="AM476" s="213"/>
      <c r="AN476" s="213"/>
      <c r="AO476" s="213"/>
      <c r="AP476" s="213"/>
      <c r="AQ476" s="213"/>
      <c r="AR476" s="213"/>
      <c r="AS476" s="213"/>
      <c r="AT476" s="213"/>
      <c r="AU476" s="213"/>
      <c r="AV476" s="213"/>
      <c r="AW476" s="213"/>
      <c r="AX476" s="213"/>
      <c r="AY476" s="213"/>
      <c r="AZ476" s="213"/>
      <c r="BA476" s="213"/>
      <c r="BB476" s="213"/>
    </row>
    <row r="477">
      <c r="A477" s="199"/>
      <c r="B477" s="12"/>
      <c r="C477" s="202"/>
      <c r="D477" s="199"/>
      <c r="E477" s="211"/>
      <c r="F477" s="201"/>
      <c r="G477" s="199"/>
      <c r="H477" s="199"/>
      <c r="I477" s="199"/>
      <c r="J477" s="212"/>
      <c r="K477" s="212"/>
      <c r="L477" s="212"/>
      <c r="M477" s="212"/>
      <c r="N477" s="212"/>
      <c r="O477" s="212"/>
      <c r="P477" s="212"/>
      <c r="Q477" s="212"/>
      <c r="R477" s="212"/>
      <c r="S477" s="212"/>
      <c r="T477" s="212"/>
      <c r="U477" s="212"/>
      <c r="V477" s="212"/>
      <c r="W477" s="212"/>
      <c r="X477" s="212"/>
      <c r="Y477" s="212"/>
      <c r="Z477" s="204"/>
      <c r="AA477" s="204"/>
      <c r="AB477" s="204"/>
      <c r="AC477" s="204"/>
      <c r="AD477" s="204"/>
      <c r="AE477" s="212"/>
      <c r="AF477" s="213"/>
      <c r="AG477" s="213"/>
      <c r="AH477" s="213"/>
      <c r="AI477" s="213"/>
      <c r="AJ477" s="213"/>
      <c r="AK477" s="213"/>
      <c r="AL477" s="213"/>
      <c r="AM477" s="213"/>
      <c r="AN477" s="213"/>
      <c r="AO477" s="213"/>
      <c r="AP477" s="213"/>
      <c r="AQ477" s="213"/>
      <c r="AR477" s="213"/>
      <c r="AS477" s="213"/>
      <c r="AT477" s="213"/>
      <c r="AU477" s="213"/>
      <c r="AV477" s="213"/>
      <c r="AW477" s="213"/>
      <c r="AX477" s="213"/>
      <c r="AY477" s="213"/>
      <c r="AZ477" s="213"/>
      <c r="BA477" s="213"/>
      <c r="BB477" s="213"/>
    </row>
    <row r="478">
      <c r="A478" s="199"/>
      <c r="B478" s="12"/>
      <c r="C478" s="202"/>
      <c r="D478" s="199"/>
      <c r="E478" s="211"/>
      <c r="F478" s="201"/>
      <c r="G478" s="199"/>
      <c r="H478" s="199"/>
      <c r="I478" s="199"/>
      <c r="J478" s="212"/>
      <c r="K478" s="212"/>
      <c r="L478" s="212"/>
      <c r="M478" s="212"/>
      <c r="N478" s="212"/>
      <c r="O478" s="212"/>
      <c r="P478" s="212"/>
      <c r="Q478" s="212"/>
      <c r="R478" s="212"/>
      <c r="S478" s="212"/>
      <c r="T478" s="212"/>
      <c r="U478" s="212"/>
      <c r="V478" s="212"/>
      <c r="W478" s="212"/>
      <c r="X478" s="212"/>
      <c r="Y478" s="212"/>
      <c r="Z478" s="204"/>
      <c r="AA478" s="204"/>
      <c r="AB478" s="204"/>
      <c r="AC478" s="204"/>
      <c r="AD478" s="204"/>
      <c r="AE478" s="212"/>
      <c r="AF478" s="213"/>
      <c r="AG478" s="213"/>
      <c r="AH478" s="213"/>
      <c r="AI478" s="213"/>
      <c r="AJ478" s="213"/>
      <c r="AK478" s="213"/>
      <c r="AL478" s="213"/>
      <c r="AM478" s="213"/>
      <c r="AN478" s="213"/>
      <c r="AO478" s="213"/>
      <c r="AP478" s="213"/>
      <c r="AQ478" s="213"/>
      <c r="AR478" s="213"/>
      <c r="AS478" s="213"/>
      <c r="AT478" s="213"/>
      <c r="AU478" s="213"/>
      <c r="AV478" s="213"/>
      <c r="AW478" s="213"/>
      <c r="AX478" s="213"/>
      <c r="AY478" s="213"/>
      <c r="AZ478" s="213"/>
      <c r="BA478" s="213"/>
      <c r="BB478" s="213"/>
    </row>
    <row r="479">
      <c r="A479" s="199"/>
      <c r="B479" s="12"/>
      <c r="C479" s="202"/>
      <c r="D479" s="199"/>
      <c r="E479" s="211"/>
      <c r="F479" s="201"/>
      <c r="G479" s="199"/>
      <c r="H479" s="199"/>
      <c r="I479" s="199"/>
      <c r="J479" s="212"/>
      <c r="K479" s="212"/>
      <c r="L479" s="212"/>
      <c r="M479" s="212"/>
      <c r="N479" s="212"/>
      <c r="O479" s="212"/>
      <c r="P479" s="212"/>
      <c r="Q479" s="212"/>
      <c r="R479" s="212"/>
      <c r="S479" s="212"/>
      <c r="T479" s="212"/>
      <c r="U479" s="212"/>
      <c r="V479" s="212"/>
      <c r="W479" s="212"/>
      <c r="X479" s="212"/>
      <c r="Y479" s="212"/>
      <c r="Z479" s="204"/>
      <c r="AA479" s="204"/>
      <c r="AB479" s="204"/>
      <c r="AC479" s="204"/>
      <c r="AD479" s="204"/>
      <c r="AE479" s="212"/>
      <c r="AF479" s="213"/>
      <c r="AG479" s="213"/>
      <c r="AH479" s="213"/>
      <c r="AI479" s="213"/>
      <c r="AJ479" s="213"/>
      <c r="AK479" s="213"/>
      <c r="AL479" s="213"/>
      <c r="AM479" s="213"/>
      <c r="AN479" s="213"/>
      <c r="AO479" s="213"/>
      <c r="AP479" s="213"/>
      <c r="AQ479" s="213"/>
      <c r="AR479" s="213"/>
      <c r="AS479" s="213"/>
      <c r="AT479" s="213"/>
      <c r="AU479" s="213"/>
      <c r="AV479" s="213"/>
      <c r="AW479" s="213"/>
      <c r="AX479" s="213"/>
      <c r="AY479" s="213"/>
      <c r="AZ479" s="213"/>
      <c r="BA479" s="213"/>
      <c r="BB479" s="213"/>
    </row>
    <row r="480">
      <c r="A480" s="199"/>
      <c r="B480" s="12"/>
      <c r="C480" s="202"/>
      <c r="D480" s="199"/>
      <c r="E480" s="211"/>
      <c r="F480" s="201"/>
      <c r="G480" s="199"/>
      <c r="H480" s="199"/>
      <c r="I480" s="199"/>
      <c r="J480" s="212"/>
      <c r="K480" s="212"/>
      <c r="L480" s="212"/>
      <c r="M480" s="212"/>
      <c r="N480" s="212"/>
      <c r="O480" s="212"/>
      <c r="P480" s="212"/>
      <c r="Q480" s="212"/>
      <c r="R480" s="212"/>
      <c r="S480" s="212"/>
      <c r="T480" s="212"/>
      <c r="U480" s="212"/>
      <c r="V480" s="212"/>
      <c r="W480" s="212"/>
      <c r="X480" s="212"/>
      <c r="Y480" s="212"/>
      <c r="Z480" s="204"/>
      <c r="AA480" s="204"/>
      <c r="AB480" s="204"/>
      <c r="AC480" s="204"/>
      <c r="AD480" s="204"/>
      <c r="AE480" s="212"/>
      <c r="AF480" s="213"/>
      <c r="AG480" s="213"/>
      <c r="AH480" s="213"/>
      <c r="AI480" s="213"/>
      <c r="AJ480" s="213"/>
      <c r="AK480" s="213"/>
      <c r="AL480" s="213"/>
      <c r="AM480" s="213"/>
      <c r="AN480" s="213"/>
      <c r="AO480" s="213"/>
      <c r="AP480" s="213"/>
      <c r="AQ480" s="213"/>
      <c r="AR480" s="213"/>
      <c r="AS480" s="213"/>
      <c r="AT480" s="213"/>
      <c r="AU480" s="213"/>
      <c r="AV480" s="213"/>
      <c r="AW480" s="213"/>
      <c r="AX480" s="213"/>
      <c r="AY480" s="213"/>
      <c r="AZ480" s="213"/>
      <c r="BA480" s="213"/>
      <c r="BB480" s="213"/>
    </row>
    <row r="481">
      <c r="A481" s="199"/>
      <c r="B481" s="12"/>
      <c r="C481" s="202"/>
      <c r="D481" s="199"/>
      <c r="E481" s="211"/>
      <c r="F481" s="201"/>
      <c r="G481" s="199"/>
      <c r="H481" s="199"/>
      <c r="I481" s="199"/>
      <c r="J481" s="212"/>
      <c r="K481" s="212"/>
      <c r="L481" s="212"/>
      <c r="M481" s="212"/>
      <c r="N481" s="212"/>
      <c r="O481" s="212"/>
      <c r="P481" s="212"/>
      <c r="Q481" s="212"/>
      <c r="R481" s="212"/>
      <c r="S481" s="212"/>
      <c r="T481" s="212"/>
      <c r="U481" s="212"/>
      <c r="V481" s="212"/>
      <c r="W481" s="212"/>
      <c r="X481" s="212"/>
      <c r="Y481" s="212"/>
      <c r="Z481" s="204"/>
      <c r="AA481" s="204"/>
      <c r="AB481" s="204"/>
      <c r="AC481" s="204"/>
      <c r="AD481" s="204"/>
      <c r="AE481" s="212"/>
      <c r="AF481" s="213"/>
      <c r="AG481" s="213"/>
      <c r="AH481" s="213"/>
      <c r="AI481" s="213"/>
      <c r="AJ481" s="213"/>
      <c r="AK481" s="213"/>
      <c r="AL481" s="213"/>
      <c r="AM481" s="213"/>
      <c r="AN481" s="213"/>
      <c r="AO481" s="213"/>
      <c r="AP481" s="213"/>
      <c r="AQ481" s="213"/>
      <c r="AR481" s="213"/>
      <c r="AS481" s="213"/>
      <c r="AT481" s="213"/>
      <c r="AU481" s="213"/>
      <c r="AV481" s="213"/>
      <c r="AW481" s="213"/>
      <c r="AX481" s="213"/>
      <c r="AY481" s="213"/>
      <c r="AZ481" s="213"/>
      <c r="BA481" s="213"/>
      <c r="BB481" s="213"/>
    </row>
    <row r="482">
      <c r="A482" s="199"/>
      <c r="B482" s="12"/>
      <c r="C482" s="202"/>
      <c r="D482" s="199"/>
      <c r="E482" s="211"/>
      <c r="F482" s="201"/>
      <c r="G482" s="199"/>
      <c r="H482" s="199"/>
      <c r="I482" s="199"/>
      <c r="J482" s="212"/>
      <c r="K482" s="212"/>
      <c r="L482" s="212"/>
      <c r="M482" s="212"/>
      <c r="N482" s="212"/>
      <c r="O482" s="212"/>
      <c r="P482" s="212"/>
      <c r="Q482" s="212"/>
      <c r="R482" s="212"/>
      <c r="S482" s="212"/>
      <c r="T482" s="212"/>
      <c r="U482" s="212"/>
      <c r="V482" s="212"/>
      <c r="W482" s="212"/>
      <c r="X482" s="212"/>
      <c r="Y482" s="212"/>
      <c r="Z482" s="204"/>
      <c r="AA482" s="204"/>
      <c r="AB482" s="204"/>
      <c r="AC482" s="204"/>
      <c r="AD482" s="204"/>
      <c r="AE482" s="212"/>
      <c r="AF482" s="213"/>
      <c r="AG482" s="213"/>
      <c r="AH482" s="213"/>
      <c r="AI482" s="213"/>
      <c r="AJ482" s="213"/>
      <c r="AK482" s="213"/>
      <c r="AL482" s="213"/>
      <c r="AM482" s="213"/>
      <c r="AN482" s="213"/>
      <c r="AO482" s="213"/>
      <c r="AP482" s="213"/>
      <c r="AQ482" s="213"/>
      <c r="AR482" s="213"/>
      <c r="AS482" s="213"/>
      <c r="AT482" s="213"/>
      <c r="AU482" s="213"/>
      <c r="AV482" s="213"/>
      <c r="AW482" s="213"/>
      <c r="AX482" s="213"/>
      <c r="AY482" s="213"/>
      <c r="AZ482" s="213"/>
      <c r="BA482" s="213"/>
      <c r="BB482" s="213"/>
    </row>
    <row r="483">
      <c r="A483" s="199"/>
      <c r="B483" s="12"/>
      <c r="C483" s="202"/>
      <c r="D483" s="199"/>
      <c r="E483" s="211"/>
      <c r="F483" s="201"/>
      <c r="G483" s="199"/>
      <c r="H483" s="199"/>
      <c r="I483" s="199"/>
      <c r="J483" s="212"/>
      <c r="K483" s="212"/>
      <c r="L483" s="212"/>
      <c r="M483" s="212"/>
      <c r="N483" s="212"/>
      <c r="O483" s="212"/>
      <c r="P483" s="212"/>
      <c r="Q483" s="212"/>
      <c r="R483" s="212"/>
      <c r="S483" s="212"/>
      <c r="T483" s="212"/>
      <c r="U483" s="212"/>
      <c r="V483" s="212"/>
      <c r="W483" s="212"/>
      <c r="X483" s="212"/>
      <c r="Y483" s="212"/>
      <c r="Z483" s="204"/>
      <c r="AA483" s="204"/>
      <c r="AB483" s="204"/>
      <c r="AC483" s="204"/>
      <c r="AD483" s="204"/>
      <c r="AE483" s="212"/>
      <c r="AF483" s="213"/>
      <c r="AG483" s="213"/>
      <c r="AH483" s="213"/>
      <c r="AI483" s="213"/>
      <c r="AJ483" s="213"/>
      <c r="AK483" s="213"/>
      <c r="AL483" s="213"/>
      <c r="AM483" s="213"/>
      <c r="AN483" s="213"/>
      <c r="AO483" s="213"/>
      <c r="AP483" s="213"/>
      <c r="AQ483" s="213"/>
      <c r="AR483" s="213"/>
      <c r="AS483" s="213"/>
      <c r="AT483" s="213"/>
      <c r="AU483" s="213"/>
      <c r="AV483" s="213"/>
      <c r="AW483" s="213"/>
      <c r="AX483" s="213"/>
      <c r="AY483" s="213"/>
      <c r="AZ483" s="213"/>
      <c r="BA483" s="213"/>
      <c r="BB483" s="213"/>
    </row>
    <row r="484">
      <c r="A484" s="199"/>
      <c r="B484" s="12"/>
      <c r="C484" s="202"/>
      <c r="D484" s="199"/>
      <c r="E484" s="211"/>
      <c r="F484" s="201"/>
      <c r="G484" s="199"/>
      <c r="H484" s="199"/>
      <c r="I484" s="199"/>
      <c r="J484" s="212"/>
      <c r="K484" s="212"/>
      <c r="L484" s="212"/>
      <c r="M484" s="212"/>
      <c r="N484" s="212"/>
      <c r="O484" s="212"/>
      <c r="P484" s="212"/>
      <c r="Q484" s="212"/>
      <c r="R484" s="212"/>
      <c r="S484" s="212"/>
      <c r="T484" s="212"/>
      <c r="U484" s="212"/>
      <c r="V484" s="212"/>
      <c r="W484" s="212"/>
      <c r="X484" s="212"/>
      <c r="Y484" s="212"/>
      <c r="Z484" s="204"/>
      <c r="AA484" s="204"/>
      <c r="AB484" s="204"/>
      <c r="AC484" s="204"/>
      <c r="AD484" s="204"/>
      <c r="AE484" s="212"/>
      <c r="AF484" s="213"/>
      <c r="AG484" s="213"/>
      <c r="AH484" s="213"/>
      <c r="AI484" s="213"/>
      <c r="AJ484" s="213"/>
      <c r="AK484" s="213"/>
      <c r="AL484" s="213"/>
      <c r="AM484" s="213"/>
      <c r="AN484" s="213"/>
      <c r="AO484" s="213"/>
      <c r="AP484" s="213"/>
      <c r="AQ484" s="213"/>
      <c r="AR484" s="213"/>
      <c r="AS484" s="213"/>
      <c r="AT484" s="213"/>
      <c r="AU484" s="213"/>
      <c r="AV484" s="213"/>
      <c r="AW484" s="213"/>
      <c r="AX484" s="213"/>
      <c r="AY484" s="213"/>
      <c r="AZ484" s="213"/>
      <c r="BA484" s="213"/>
      <c r="BB484" s="213"/>
    </row>
    <row r="485">
      <c r="A485" s="199"/>
      <c r="B485" s="12"/>
      <c r="C485" s="202"/>
      <c r="D485" s="199"/>
      <c r="E485" s="211"/>
      <c r="F485" s="201"/>
      <c r="G485" s="199"/>
      <c r="H485" s="199"/>
      <c r="I485" s="199"/>
      <c r="J485" s="212"/>
      <c r="K485" s="212"/>
      <c r="L485" s="212"/>
      <c r="M485" s="212"/>
      <c r="N485" s="212"/>
      <c r="O485" s="212"/>
      <c r="P485" s="212"/>
      <c r="Q485" s="212"/>
      <c r="R485" s="212"/>
      <c r="S485" s="212"/>
      <c r="T485" s="212"/>
      <c r="U485" s="212"/>
      <c r="V485" s="212"/>
      <c r="W485" s="212"/>
      <c r="X485" s="212"/>
      <c r="Y485" s="212"/>
      <c r="Z485" s="204"/>
      <c r="AA485" s="204"/>
      <c r="AB485" s="204"/>
      <c r="AC485" s="204"/>
      <c r="AD485" s="204"/>
      <c r="AE485" s="212"/>
      <c r="AF485" s="213"/>
      <c r="AG485" s="213"/>
      <c r="AH485" s="213"/>
      <c r="AI485" s="213"/>
      <c r="AJ485" s="213"/>
      <c r="AK485" s="213"/>
      <c r="AL485" s="213"/>
      <c r="AM485" s="213"/>
      <c r="AN485" s="213"/>
      <c r="AO485" s="213"/>
      <c r="AP485" s="213"/>
      <c r="AQ485" s="213"/>
      <c r="AR485" s="213"/>
      <c r="AS485" s="213"/>
      <c r="AT485" s="213"/>
      <c r="AU485" s="213"/>
      <c r="AV485" s="213"/>
      <c r="AW485" s="213"/>
      <c r="AX485" s="213"/>
      <c r="AY485" s="213"/>
      <c r="AZ485" s="213"/>
      <c r="BA485" s="213"/>
      <c r="BB485" s="213"/>
    </row>
    <row r="486">
      <c r="A486" s="199"/>
      <c r="B486" s="12"/>
      <c r="C486" s="202"/>
      <c r="D486" s="199"/>
      <c r="E486" s="211"/>
      <c r="F486" s="201"/>
      <c r="G486" s="199"/>
      <c r="H486" s="199"/>
      <c r="I486" s="199"/>
      <c r="J486" s="212"/>
      <c r="K486" s="212"/>
      <c r="L486" s="212"/>
      <c r="M486" s="212"/>
      <c r="N486" s="212"/>
      <c r="O486" s="212"/>
      <c r="P486" s="212"/>
      <c r="Q486" s="212"/>
      <c r="R486" s="212"/>
      <c r="S486" s="212"/>
      <c r="T486" s="212"/>
      <c r="U486" s="212"/>
      <c r="V486" s="212"/>
      <c r="W486" s="212"/>
      <c r="X486" s="212"/>
      <c r="Y486" s="212"/>
      <c r="Z486" s="204"/>
      <c r="AA486" s="204"/>
      <c r="AB486" s="204"/>
      <c r="AC486" s="204"/>
      <c r="AD486" s="204"/>
      <c r="AE486" s="212"/>
      <c r="AF486" s="213"/>
      <c r="AG486" s="213"/>
      <c r="AH486" s="213"/>
      <c r="AI486" s="213"/>
      <c r="AJ486" s="213"/>
      <c r="AK486" s="213"/>
      <c r="AL486" s="213"/>
      <c r="AM486" s="213"/>
      <c r="AN486" s="213"/>
      <c r="AO486" s="213"/>
      <c r="AP486" s="213"/>
      <c r="AQ486" s="213"/>
      <c r="AR486" s="213"/>
      <c r="AS486" s="213"/>
      <c r="AT486" s="213"/>
      <c r="AU486" s="213"/>
      <c r="AV486" s="213"/>
      <c r="AW486" s="213"/>
      <c r="AX486" s="213"/>
      <c r="AY486" s="213"/>
      <c r="AZ486" s="213"/>
      <c r="BA486" s="213"/>
      <c r="BB486" s="213"/>
    </row>
    <row r="487">
      <c r="A487" s="199"/>
      <c r="B487" s="12"/>
      <c r="C487" s="202"/>
      <c r="D487" s="199"/>
      <c r="E487" s="211"/>
      <c r="F487" s="201"/>
      <c r="G487" s="199"/>
      <c r="H487" s="199"/>
      <c r="I487" s="199"/>
      <c r="J487" s="212"/>
      <c r="K487" s="212"/>
      <c r="L487" s="212"/>
      <c r="M487" s="212"/>
      <c r="N487" s="212"/>
      <c r="O487" s="212"/>
      <c r="P487" s="212"/>
      <c r="Q487" s="212"/>
      <c r="R487" s="212"/>
      <c r="S487" s="212"/>
      <c r="T487" s="212"/>
      <c r="U487" s="212"/>
      <c r="V487" s="212"/>
      <c r="W487" s="212"/>
      <c r="X487" s="212"/>
      <c r="Y487" s="212"/>
      <c r="Z487" s="204"/>
      <c r="AA487" s="204"/>
      <c r="AB487" s="204"/>
      <c r="AC487" s="204"/>
      <c r="AD487" s="204"/>
      <c r="AE487" s="212"/>
      <c r="AF487" s="213"/>
      <c r="AG487" s="213"/>
      <c r="AH487" s="213"/>
      <c r="AI487" s="213"/>
      <c r="AJ487" s="213"/>
      <c r="AK487" s="213"/>
      <c r="AL487" s="213"/>
      <c r="AM487" s="213"/>
      <c r="AN487" s="213"/>
      <c r="AO487" s="213"/>
      <c r="AP487" s="213"/>
      <c r="AQ487" s="213"/>
      <c r="AR487" s="213"/>
      <c r="AS487" s="213"/>
      <c r="AT487" s="213"/>
      <c r="AU487" s="213"/>
      <c r="AV487" s="213"/>
      <c r="AW487" s="213"/>
      <c r="AX487" s="213"/>
      <c r="AY487" s="213"/>
      <c r="AZ487" s="213"/>
      <c r="BA487" s="213"/>
      <c r="BB487" s="213"/>
    </row>
    <row r="488">
      <c r="A488" s="199"/>
      <c r="B488" s="12"/>
      <c r="C488" s="202"/>
      <c r="D488" s="199"/>
      <c r="E488" s="211"/>
      <c r="F488" s="201"/>
      <c r="G488" s="199"/>
      <c r="H488" s="199"/>
      <c r="I488" s="199"/>
      <c r="J488" s="212"/>
      <c r="K488" s="212"/>
      <c r="L488" s="212"/>
      <c r="M488" s="212"/>
      <c r="N488" s="212"/>
      <c r="O488" s="212"/>
      <c r="P488" s="212"/>
      <c r="Q488" s="212"/>
      <c r="R488" s="212"/>
      <c r="S488" s="212"/>
      <c r="T488" s="212"/>
      <c r="U488" s="212"/>
      <c r="V488" s="212"/>
      <c r="W488" s="212"/>
      <c r="X488" s="212"/>
      <c r="Y488" s="212"/>
      <c r="Z488" s="204"/>
      <c r="AA488" s="204"/>
      <c r="AB488" s="204"/>
      <c r="AC488" s="204"/>
      <c r="AD488" s="204"/>
      <c r="AE488" s="212"/>
      <c r="AF488" s="213"/>
      <c r="AG488" s="213"/>
      <c r="AH488" s="213"/>
      <c r="AI488" s="213"/>
      <c r="AJ488" s="213"/>
      <c r="AK488" s="213"/>
      <c r="AL488" s="213"/>
      <c r="AM488" s="213"/>
      <c r="AN488" s="213"/>
      <c r="AO488" s="213"/>
      <c r="AP488" s="213"/>
      <c r="AQ488" s="213"/>
      <c r="AR488" s="213"/>
      <c r="AS488" s="213"/>
      <c r="AT488" s="213"/>
      <c r="AU488" s="213"/>
      <c r="AV488" s="213"/>
      <c r="AW488" s="213"/>
      <c r="AX488" s="213"/>
      <c r="AY488" s="213"/>
      <c r="AZ488" s="213"/>
      <c r="BA488" s="213"/>
      <c r="BB488" s="213"/>
    </row>
    <row r="489">
      <c r="A489" s="199"/>
      <c r="B489" s="12"/>
      <c r="C489" s="202"/>
      <c r="D489" s="199"/>
      <c r="E489" s="211"/>
      <c r="F489" s="201"/>
      <c r="G489" s="199"/>
      <c r="H489" s="199"/>
      <c r="I489" s="199"/>
      <c r="J489" s="212"/>
      <c r="K489" s="212"/>
      <c r="L489" s="212"/>
      <c r="M489" s="212"/>
      <c r="N489" s="212"/>
      <c r="O489" s="212"/>
      <c r="P489" s="212"/>
      <c r="Q489" s="212"/>
      <c r="R489" s="212"/>
      <c r="S489" s="212"/>
      <c r="T489" s="212"/>
      <c r="U489" s="212"/>
      <c r="V489" s="212"/>
      <c r="W489" s="212"/>
      <c r="X489" s="212"/>
      <c r="Y489" s="212"/>
      <c r="Z489" s="204"/>
      <c r="AA489" s="204"/>
      <c r="AB489" s="204"/>
      <c r="AC489" s="204"/>
      <c r="AD489" s="204"/>
      <c r="AE489" s="212"/>
      <c r="AF489" s="213"/>
      <c r="AG489" s="213"/>
      <c r="AH489" s="213"/>
      <c r="AI489" s="213"/>
      <c r="AJ489" s="213"/>
      <c r="AK489" s="213"/>
      <c r="AL489" s="213"/>
      <c r="AM489" s="213"/>
      <c r="AN489" s="213"/>
      <c r="AO489" s="213"/>
      <c r="AP489" s="213"/>
      <c r="AQ489" s="213"/>
      <c r="AR489" s="213"/>
      <c r="AS489" s="213"/>
      <c r="AT489" s="213"/>
      <c r="AU489" s="213"/>
      <c r="AV489" s="213"/>
      <c r="AW489" s="213"/>
      <c r="AX489" s="213"/>
      <c r="AY489" s="213"/>
      <c r="AZ489" s="213"/>
      <c r="BA489" s="213"/>
      <c r="BB489" s="213"/>
    </row>
    <row r="490">
      <c r="A490" s="199"/>
      <c r="B490" s="12"/>
      <c r="C490" s="202"/>
      <c r="D490" s="199"/>
      <c r="E490" s="211"/>
      <c r="F490" s="201"/>
      <c r="G490" s="199"/>
      <c r="H490" s="199"/>
      <c r="I490" s="199"/>
      <c r="J490" s="212"/>
      <c r="K490" s="212"/>
      <c r="L490" s="212"/>
      <c r="M490" s="212"/>
      <c r="N490" s="212"/>
      <c r="O490" s="212"/>
      <c r="P490" s="212"/>
      <c r="Q490" s="212"/>
      <c r="R490" s="212"/>
      <c r="S490" s="212"/>
      <c r="T490" s="212"/>
      <c r="U490" s="212"/>
      <c r="V490" s="212"/>
      <c r="W490" s="212"/>
      <c r="X490" s="212"/>
      <c r="Y490" s="212"/>
      <c r="Z490" s="204"/>
      <c r="AA490" s="204"/>
      <c r="AB490" s="204"/>
      <c r="AC490" s="204"/>
      <c r="AD490" s="204"/>
      <c r="AE490" s="212"/>
      <c r="AF490" s="213"/>
      <c r="AG490" s="213"/>
      <c r="AH490" s="213"/>
      <c r="AI490" s="213"/>
      <c r="AJ490" s="213"/>
      <c r="AK490" s="213"/>
      <c r="AL490" s="213"/>
      <c r="AM490" s="213"/>
      <c r="AN490" s="213"/>
      <c r="AO490" s="213"/>
      <c r="AP490" s="213"/>
      <c r="AQ490" s="213"/>
      <c r="AR490" s="213"/>
      <c r="AS490" s="213"/>
      <c r="AT490" s="213"/>
      <c r="AU490" s="213"/>
      <c r="AV490" s="213"/>
      <c r="AW490" s="213"/>
      <c r="AX490" s="213"/>
      <c r="AY490" s="213"/>
      <c r="AZ490" s="213"/>
      <c r="BA490" s="213"/>
      <c r="BB490" s="213"/>
    </row>
    <row r="491">
      <c r="A491" s="199"/>
      <c r="B491" s="12"/>
      <c r="C491" s="202"/>
      <c r="D491" s="199"/>
      <c r="E491" s="211"/>
      <c r="F491" s="201"/>
      <c r="G491" s="199"/>
      <c r="H491" s="199"/>
      <c r="I491" s="199"/>
      <c r="J491" s="212"/>
      <c r="K491" s="212"/>
      <c r="L491" s="212"/>
      <c r="M491" s="212"/>
      <c r="N491" s="212"/>
      <c r="O491" s="212"/>
      <c r="P491" s="212"/>
      <c r="Q491" s="212"/>
      <c r="R491" s="212"/>
      <c r="S491" s="212"/>
      <c r="T491" s="212"/>
      <c r="U491" s="212"/>
      <c r="V491" s="212"/>
      <c r="W491" s="212"/>
      <c r="X491" s="212"/>
      <c r="Y491" s="212"/>
      <c r="Z491" s="204"/>
      <c r="AA491" s="204"/>
      <c r="AB491" s="204"/>
      <c r="AC491" s="204"/>
      <c r="AD491" s="204"/>
      <c r="AE491" s="212"/>
      <c r="AF491" s="213"/>
      <c r="AG491" s="213"/>
      <c r="AH491" s="213"/>
      <c r="AI491" s="213"/>
      <c r="AJ491" s="213"/>
      <c r="AK491" s="213"/>
      <c r="AL491" s="213"/>
      <c r="AM491" s="213"/>
      <c r="AN491" s="213"/>
      <c r="AO491" s="213"/>
      <c r="AP491" s="213"/>
      <c r="AQ491" s="213"/>
      <c r="AR491" s="213"/>
      <c r="AS491" s="213"/>
      <c r="AT491" s="213"/>
      <c r="AU491" s="213"/>
      <c r="AV491" s="213"/>
      <c r="AW491" s="213"/>
      <c r="AX491" s="213"/>
      <c r="AY491" s="213"/>
      <c r="AZ491" s="213"/>
      <c r="BA491" s="213"/>
      <c r="BB491" s="213"/>
    </row>
    <row r="492">
      <c r="A492" s="199"/>
      <c r="B492" s="12"/>
      <c r="C492" s="202"/>
      <c r="D492" s="199"/>
      <c r="E492" s="211"/>
      <c r="F492" s="201"/>
      <c r="G492" s="199"/>
      <c r="H492" s="199"/>
      <c r="I492" s="199"/>
      <c r="J492" s="212"/>
      <c r="K492" s="212"/>
      <c r="L492" s="212"/>
      <c r="M492" s="212"/>
      <c r="N492" s="212"/>
      <c r="O492" s="212"/>
      <c r="P492" s="212"/>
      <c r="Q492" s="212"/>
      <c r="R492" s="212"/>
      <c r="S492" s="212"/>
      <c r="T492" s="212"/>
      <c r="U492" s="212"/>
      <c r="V492" s="212"/>
      <c r="W492" s="212"/>
      <c r="X492" s="212"/>
      <c r="Y492" s="212"/>
      <c r="Z492" s="204"/>
      <c r="AA492" s="204"/>
      <c r="AB492" s="204"/>
      <c r="AC492" s="204"/>
      <c r="AD492" s="204"/>
      <c r="AE492" s="212"/>
      <c r="AF492" s="213"/>
      <c r="AG492" s="213"/>
      <c r="AH492" s="213"/>
      <c r="AI492" s="213"/>
      <c r="AJ492" s="213"/>
      <c r="AK492" s="213"/>
      <c r="AL492" s="213"/>
      <c r="AM492" s="213"/>
      <c r="AN492" s="213"/>
      <c r="AO492" s="213"/>
      <c r="AP492" s="213"/>
      <c r="AQ492" s="213"/>
      <c r="AR492" s="213"/>
      <c r="AS492" s="213"/>
      <c r="AT492" s="213"/>
      <c r="AU492" s="213"/>
      <c r="AV492" s="213"/>
      <c r="AW492" s="213"/>
      <c r="AX492" s="213"/>
      <c r="AY492" s="213"/>
      <c r="AZ492" s="213"/>
      <c r="BA492" s="213"/>
      <c r="BB492" s="213"/>
    </row>
    <row r="493">
      <c r="A493" s="199"/>
      <c r="B493" s="12"/>
      <c r="C493" s="202"/>
      <c r="D493" s="199"/>
      <c r="E493" s="211"/>
      <c r="F493" s="201"/>
      <c r="G493" s="199"/>
      <c r="H493" s="199"/>
      <c r="I493" s="199"/>
      <c r="J493" s="212"/>
      <c r="K493" s="212"/>
      <c r="L493" s="212"/>
      <c r="M493" s="212"/>
      <c r="N493" s="212"/>
      <c r="O493" s="212"/>
      <c r="P493" s="212"/>
      <c r="Q493" s="212"/>
      <c r="R493" s="212"/>
      <c r="S493" s="212"/>
      <c r="T493" s="212"/>
      <c r="U493" s="212"/>
      <c r="V493" s="212"/>
      <c r="W493" s="212"/>
      <c r="X493" s="212"/>
      <c r="Y493" s="212"/>
      <c r="Z493" s="204"/>
      <c r="AA493" s="204"/>
      <c r="AB493" s="204"/>
      <c r="AC493" s="204"/>
      <c r="AD493" s="204"/>
      <c r="AE493" s="212"/>
      <c r="AF493" s="213"/>
      <c r="AG493" s="213"/>
      <c r="AH493" s="213"/>
      <c r="AI493" s="213"/>
      <c r="AJ493" s="213"/>
      <c r="AK493" s="213"/>
      <c r="AL493" s="213"/>
      <c r="AM493" s="213"/>
      <c r="AN493" s="213"/>
      <c r="AO493" s="213"/>
      <c r="AP493" s="213"/>
      <c r="AQ493" s="213"/>
      <c r="AR493" s="213"/>
      <c r="AS493" s="213"/>
      <c r="AT493" s="213"/>
      <c r="AU493" s="213"/>
      <c r="AV493" s="213"/>
      <c r="AW493" s="213"/>
      <c r="AX493" s="213"/>
      <c r="AY493" s="213"/>
      <c r="AZ493" s="213"/>
      <c r="BA493" s="213"/>
      <c r="BB493" s="213"/>
    </row>
    <row r="494">
      <c r="A494" s="199"/>
      <c r="B494" s="12"/>
      <c r="C494" s="202"/>
      <c r="D494" s="199"/>
      <c r="E494" s="211"/>
      <c r="F494" s="201"/>
      <c r="G494" s="199"/>
      <c r="H494" s="199"/>
      <c r="I494" s="199"/>
      <c r="J494" s="212"/>
      <c r="K494" s="212"/>
      <c r="L494" s="212"/>
      <c r="M494" s="212"/>
      <c r="N494" s="212"/>
      <c r="O494" s="212"/>
      <c r="P494" s="212"/>
      <c r="Q494" s="212"/>
      <c r="R494" s="212"/>
      <c r="S494" s="212"/>
      <c r="T494" s="212"/>
      <c r="U494" s="212"/>
      <c r="V494" s="212"/>
      <c r="W494" s="212"/>
      <c r="X494" s="212"/>
      <c r="Y494" s="212"/>
      <c r="Z494" s="204"/>
      <c r="AA494" s="204"/>
      <c r="AB494" s="204"/>
      <c r="AC494" s="204"/>
      <c r="AD494" s="204"/>
      <c r="AE494" s="212"/>
      <c r="AF494" s="213"/>
      <c r="AG494" s="213"/>
      <c r="AH494" s="213"/>
      <c r="AI494" s="213"/>
      <c r="AJ494" s="213"/>
      <c r="AK494" s="213"/>
      <c r="AL494" s="213"/>
      <c r="AM494" s="213"/>
      <c r="AN494" s="213"/>
      <c r="AO494" s="213"/>
      <c r="AP494" s="213"/>
      <c r="AQ494" s="213"/>
      <c r="AR494" s="213"/>
      <c r="AS494" s="213"/>
      <c r="AT494" s="213"/>
      <c r="AU494" s="213"/>
      <c r="AV494" s="213"/>
      <c r="AW494" s="213"/>
      <c r="AX494" s="213"/>
      <c r="AY494" s="213"/>
      <c r="AZ494" s="213"/>
      <c r="BA494" s="213"/>
      <c r="BB494" s="213"/>
    </row>
    <row r="495">
      <c r="A495" s="199"/>
      <c r="B495" s="12"/>
      <c r="C495" s="202"/>
      <c r="D495" s="199"/>
      <c r="E495" s="211"/>
      <c r="F495" s="201"/>
      <c r="G495" s="199"/>
      <c r="H495" s="199"/>
      <c r="I495" s="199"/>
      <c r="J495" s="212"/>
      <c r="K495" s="212"/>
      <c r="L495" s="212"/>
      <c r="M495" s="212"/>
      <c r="N495" s="212"/>
      <c r="O495" s="212"/>
      <c r="P495" s="212"/>
      <c r="Q495" s="212"/>
      <c r="R495" s="212"/>
      <c r="S495" s="212"/>
      <c r="T495" s="212"/>
      <c r="U495" s="212"/>
      <c r="V495" s="212"/>
      <c r="W495" s="212"/>
      <c r="X495" s="212"/>
      <c r="Y495" s="212"/>
      <c r="Z495" s="204"/>
      <c r="AA495" s="204"/>
      <c r="AB495" s="204"/>
      <c r="AC495" s="204"/>
      <c r="AD495" s="204"/>
      <c r="AE495" s="212"/>
      <c r="AF495" s="213"/>
      <c r="AG495" s="213"/>
      <c r="AH495" s="213"/>
      <c r="AI495" s="213"/>
      <c r="AJ495" s="213"/>
      <c r="AK495" s="213"/>
      <c r="AL495" s="213"/>
      <c r="AM495" s="213"/>
      <c r="AN495" s="213"/>
      <c r="AO495" s="213"/>
      <c r="AP495" s="213"/>
      <c r="AQ495" s="213"/>
      <c r="AR495" s="213"/>
      <c r="AS495" s="213"/>
      <c r="AT495" s="213"/>
      <c r="AU495" s="213"/>
      <c r="AV495" s="213"/>
      <c r="AW495" s="213"/>
      <c r="AX495" s="213"/>
      <c r="AY495" s="213"/>
      <c r="AZ495" s="213"/>
      <c r="BA495" s="213"/>
      <c r="BB495" s="213"/>
    </row>
    <row r="496">
      <c r="A496" s="199"/>
      <c r="B496" s="12"/>
      <c r="C496" s="202"/>
      <c r="D496" s="199"/>
      <c r="E496" s="211"/>
      <c r="F496" s="201"/>
      <c r="G496" s="199"/>
      <c r="H496" s="199"/>
      <c r="I496" s="199"/>
      <c r="J496" s="212"/>
      <c r="K496" s="212"/>
      <c r="L496" s="212"/>
      <c r="M496" s="212"/>
      <c r="N496" s="212"/>
      <c r="O496" s="212"/>
      <c r="P496" s="212"/>
      <c r="Q496" s="212"/>
      <c r="R496" s="212"/>
      <c r="S496" s="212"/>
      <c r="T496" s="212"/>
      <c r="U496" s="212"/>
      <c r="V496" s="212"/>
      <c r="W496" s="212"/>
      <c r="X496" s="212"/>
      <c r="Y496" s="212"/>
      <c r="Z496" s="204"/>
      <c r="AA496" s="204"/>
      <c r="AB496" s="204"/>
      <c r="AC496" s="204"/>
      <c r="AD496" s="204"/>
      <c r="AE496" s="212"/>
      <c r="AF496" s="213"/>
      <c r="AG496" s="213"/>
      <c r="AH496" s="213"/>
      <c r="AI496" s="213"/>
      <c r="AJ496" s="213"/>
      <c r="AK496" s="213"/>
      <c r="AL496" s="213"/>
      <c r="AM496" s="213"/>
      <c r="AN496" s="213"/>
      <c r="AO496" s="213"/>
      <c r="AP496" s="213"/>
      <c r="AQ496" s="213"/>
      <c r="AR496" s="213"/>
      <c r="AS496" s="213"/>
      <c r="AT496" s="213"/>
      <c r="AU496" s="213"/>
      <c r="AV496" s="213"/>
      <c r="AW496" s="213"/>
      <c r="AX496" s="213"/>
      <c r="AY496" s="213"/>
      <c r="AZ496" s="213"/>
      <c r="BA496" s="213"/>
      <c r="BB496" s="213"/>
    </row>
    <row r="497">
      <c r="A497" s="199"/>
      <c r="B497" s="12"/>
      <c r="C497" s="202"/>
      <c r="D497" s="199"/>
      <c r="E497" s="211"/>
      <c r="F497" s="201"/>
      <c r="G497" s="199"/>
      <c r="H497" s="199"/>
      <c r="I497" s="199"/>
      <c r="J497" s="212"/>
      <c r="K497" s="212"/>
      <c r="L497" s="212"/>
      <c r="M497" s="212"/>
      <c r="N497" s="212"/>
      <c r="O497" s="212"/>
      <c r="P497" s="212"/>
      <c r="Q497" s="212"/>
      <c r="R497" s="212"/>
      <c r="S497" s="212"/>
      <c r="T497" s="212"/>
      <c r="U497" s="212"/>
      <c r="V497" s="212"/>
      <c r="W497" s="212"/>
      <c r="X497" s="212"/>
      <c r="Y497" s="212"/>
      <c r="Z497" s="204"/>
      <c r="AA497" s="204"/>
      <c r="AB497" s="204"/>
      <c r="AC497" s="204"/>
      <c r="AD497" s="204"/>
      <c r="AE497" s="212"/>
      <c r="AF497" s="213"/>
      <c r="AG497" s="213"/>
      <c r="AH497" s="213"/>
      <c r="AI497" s="213"/>
      <c r="AJ497" s="213"/>
      <c r="AK497" s="213"/>
      <c r="AL497" s="213"/>
      <c r="AM497" s="213"/>
      <c r="AN497" s="213"/>
      <c r="AO497" s="213"/>
      <c r="AP497" s="213"/>
      <c r="AQ497" s="213"/>
      <c r="AR497" s="213"/>
      <c r="AS497" s="213"/>
      <c r="AT497" s="213"/>
      <c r="AU497" s="213"/>
      <c r="AV497" s="213"/>
      <c r="AW497" s="213"/>
      <c r="AX497" s="213"/>
      <c r="AY497" s="213"/>
      <c r="AZ497" s="213"/>
      <c r="BA497" s="213"/>
      <c r="BB497" s="213"/>
    </row>
    <row r="498">
      <c r="A498" s="199"/>
      <c r="B498" s="12"/>
      <c r="C498" s="202"/>
      <c r="D498" s="199"/>
      <c r="E498" s="211"/>
      <c r="F498" s="201"/>
      <c r="G498" s="199"/>
      <c r="H498" s="199"/>
      <c r="I498" s="199"/>
      <c r="J498" s="212"/>
      <c r="K498" s="212"/>
      <c r="L498" s="212"/>
      <c r="M498" s="212"/>
      <c r="N498" s="212"/>
      <c r="O498" s="212"/>
      <c r="P498" s="212"/>
      <c r="Q498" s="212"/>
      <c r="R498" s="212"/>
      <c r="S498" s="212"/>
      <c r="T498" s="212"/>
      <c r="U498" s="212"/>
      <c r="V498" s="212"/>
      <c r="W498" s="212"/>
      <c r="X498" s="212"/>
      <c r="Y498" s="212"/>
      <c r="Z498" s="204"/>
      <c r="AA498" s="204"/>
      <c r="AB498" s="204"/>
      <c r="AC498" s="204"/>
      <c r="AD498" s="204"/>
      <c r="AE498" s="212"/>
      <c r="AF498" s="213"/>
      <c r="AG498" s="213"/>
      <c r="AH498" s="213"/>
      <c r="AI498" s="213"/>
      <c r="AJ498" s="213"/>
      <c r="AK498" s="213"/>
      <c r="AL498" s="213"/>
      <c r="AM498" s="213"/>
      <c r="AN498" s="213"/>
      <c r="AO498" s="213"/>
      <c r="AP498" s="213"/>
      <c r="AQ498" s="213"/>
      <c r="AR498" s="213"/>
      <c r="AS498" s="213"/>
      <c r="AT498" s="213"/>
      <c r="AU498" s="213"/>
      <c r="AV498" s="213"/>
      <c r="AW498" s="213"/>
      <c r="AX498" s="213"/>
      <c r="AY498" s="213"/>
      <c r="AZ498" s="213"/>
      <c r="BA498" s="213"/>
      <c r="BB498" s="213"/>
    </row>
    <row r="499">
      <c r="A499" s="199"/>
      <c r="B499" s="12"/>
      <c r="C499" s="202"/>
      <c r="D499" s="199"/>
      <c r="E499" s="211"/>
      <c r="F499" s="201"/>
      <c r="G499" s="199"/>
      <c r="H499" s="199"/>
      <c r="I499" s="199"/>
      <c r="J499" s="212"/>
      <c r="K499" s="212"/>
      <c r="L499" s="212"/>
      <c r="M499" s="212"/>
      <c r="N499" s="212"/>
      <c r="O499" s="212"/>
      <c r="P499" s="212"/>
      <c r="Q499" s="212"/>
      <c r="R499" s="212"/>
      <c r="S499" s="212"/>
      <c r="T499" s="212"/>
      <c r="U499" s="212"/>
      <c r="V499" s="212"/>
      <c r="W499" s="212"/>
      <c r="X499" s="212"/>
      <c r="Y499" s="212"/>
      <c r="Z499" s="204"/>
      <c r="AA499" s="204"/>
      <c r="AB499" s="204"/>
      <c r="AC499" s="204"/>
      <c r="AD499" s="204"/>
      <c r="AE499" s="212"/>
      <c r="AF499" s="213"/>
      <c r="AG499" s="213"/>
      <c r="AH499" s="213"/>
      <c r="AI499" s="213"/>
      <c r="AJ499" s="213"/>
      <c r="AK499" s="213"/>
      <c r="AL499" s="213"/>
      <c r="AM499" s="213"/>
      <c r="AN499" s="213"/>
      <c r="AO499" s="213"/>
      <c r="AP499" s="213"/>
      <c r="AQ499" s="213"/>
      <c r="AR499" s="213"/>
      <c r="AS499" s="213"/>
      <c r="AT499" s="213"/>
      <c r="AU499" s="213"/>
      <c r="AV499" s="213"/>
      <c r="AW499" s="213"/>
      <c r="AX499" s="213"/>
      <c r="AY499" s="213"/>
      <c r="AZ499" s="213"/>
      <c r="BA499" s="213"/>
      <c r="BB499" s="213"/>
    </row>
    <row r="500">
      <c r="A500" s="199"/>
      <c r="B500" s="12"/>
      <c r="C500" s="202"/>
      <c r="D500" s="199"/>
      <c r="E500" s="211"/>
      <c r="F500" s="201"/>
      <c r="G500" s="199"/>
      <c r="H500" s="199"/>
      <c r="I500" s="199"/>
      <c r="J500" s="212"/>
      <c r="K500" s="212"/>
      <c r="L500" s="212"/>
      <c r="M500" s="212"/>
      <c r="N500" s="212"/>
      <c r="O500" s="212"/>
      <c r="P500" s="212"/>
      <c r="Q500" s="212"/>
      <c r="R500" s="212"/>
      <c r="S500" s="212"/>
      <c r="T500" s="212"/>
      <c r="U500" s="212"/>
      <c r="V500" s="212"/>
      <c r="W500" s="212"/>
      <c r="X500" s="212"/>
      <c r="Y500" s="212"/>
      <c r="Z500" s="204"/>
      <c r="AA500" s="204"/>
      <c r="AB500" s="204"/>
      <c r="AC500" s="204"/>
      <c r="AD500" s="204"/>
      <c r="AE500" s="212"/>
      <c r="AF500" s="213"/>
      <c r="AG500" s="213"/>
      <c r="AH500" s="213"/>
      <c r="AI500" s="213"/>
      <c r="AJ500" s="213"/>
      <c r="AK500" s="213"/>
      <c r="AL500" s="213"/>
      <c r="AM500" s="213"/>
      <c r="AN500" s="213"/>
      <c r="AO500" s="213"/>
      <c r="AP500" s="213"/>
      <c r="AQ500" s="213"/>
      <c r="AR500" s="213"/>
      <c r="AS500" s="213"/>
      <c r="AT500" s="213"/>
      <c r="AU500" s="213"/>
      <c r="AV500" s="213"/>
      <c r="AW500" s="213"/>
      <c r="AX500" s="213"/>
      <c r="AY500" s="213"/>
      <c r="AZ500" s="213"/>
      <c r="BA500" s="213"/>
      <c r="BB500" s="213"/>
    </row>
    <row r="501">
      <c r="A501" s="199"/>
      <c r="B501" s="12"/>
      <c r="C501" s="202"/>
      <c r="D501" s="199"/>
      <c r="E501" s="211"/>
      <c r="F501" s="201"/>
      <c r="G501" s="199"/>
      <c r="H501" s="199"/>
      <c r="I501" s="199"/>
      <c r="J501" s="212"/>
      <c r="K501" s="212"/>
      <c r="L501" s="212"/>
      <c r="M501" s="212"/>
      <c r="N501" s="212"/>
      <c r="O501" s="212"/>
      <c r="P501" s="212"/>
      <c r="Q501" s="212"/>
      <c r="R501" s="212"/>
      <c r="S501" s="212"/>
      <c r="T501" s="212"/>
      <c r="U501" s="212"/>
      <c r="V501" s="212"/>
      <c r="W501" s="212"/>
      <c r="X501" s="212"/>
      <c r="Y501" s="212"/>
      <c r="Z501" s="204"/>
      <c r="AA501" s="204"/>
      <c r="AB501" s="204"/>
      <c r="AC501" s="204"/>
      <c r="AD501" s="204"/>
      <c r="AE501" s="212"/>
      <c r="AF501" s="213"/>
      <c r="AG501" s="213"/>
      <c r="AH501" s="213"/>
      <c r="AI501" s="213"/>
      <c r="AJ501" s="213"/>
      <c r="AK501" s="213"/>
      <c r="AL501" s="213"/>
      <c r="AM501" s="213"/>
      <c r="AN501" s="213"/>
      <c r="AO501" s="213"/>
      <c r="AP501" s="213"/>
      <c r="AQ501" s="213"/>
      <c r="AR501" s="213"/>
      <c r="AS501" s="213"/>
      <c r="AT501" s="213"/>
      <c r="AU501" s="213"/>
      <c r="AV501" s="213"/>
      <c r="AW501" s="213"/>
      <c r="AX501" s="213"/>
      <c r="AY501" s="213"/>
      <c r="AZ501" s="213"/>
      <c r="BA501" s="213"/>
      <c r="BB501" s="213"/>
    </row>
    <row r="502">
      <c r="A502" s="199"/>
      <c r="B502" s="12"/>
      <c r="C502" s="202"/>
      <c r="D502" s="199"/>
      <c r="E502" s="211"/>
      <c r="F502" s="201"/>
      <c r="G502" s="199"/>
      <c r="H502" s="199"/>
      <c r="I502" s="199"/>
      <c r="J502" s="212"/>
      <c r="K502" s="212"/>
      <c r="L502" s="212"/>
      <c r="M502" s="212"/>
      <c r="N502" s="212"/>
      <c r="O502" s="212"/>
      <c r="P502" s="212"/>
      <c r="Q502" s="212"/>
      <c r="R502" s="212"/>
      <c r="S502" s="212"/>
      <c r="T502" s="212"/>
      <c r="U502" s="212"/>
      <c r="V502" s="212"/>
      <c r="W502" s="212"/>
      <c r="X502" s="212"/>
      <c r="Y502" s="212"/>
      <c r="Z502" s="204"/>
      <c r="AA502" s="204"/>
      <c r="AB502" s="204"/>
      <c r="AC502" s="204"/>
      <c r="AD502" s="204"/>
      <c r="AE502" s="212"/>
      <c r="AF502" s="213"/>
      <c r="AG502" s="213"/>
      <c r="AH502" s="213"/>
      <c r="AI502" s="213"/>
      <c r="AJ502" s="213"/>
      <c r="AK502" s="213"/>
      <c r="AL502" s="213"/>
      <c r="AM502" s="213"/>
      <c r="AN502" s="213"/>
      <c r="AO502" s="213"/>
      <c r="AP502" s="213"/>
      <c r="AQ502" s="213"/>
      <c r="AR502" s="213"/>
      <c r="AS502" s="213"/>
      <c r="AT502" s="213"/>
      <c r="AU502" s="213"/>
      <c r="AV502" s="213"/>
      <c r="AW502" s="213"/>
      <c r="AX502" s="213"/>
      <c r="AY502" s="213"/>
      <c r="AZ502" s="213"/>
      <c r="BA502" s="213"/>
      <c r="BB502" s="213"/>
    </row>
    <row r="503">
      <c r="A503" s="199"/>
      <c r="B503" s="12"/>
      <c r="C503" s="202"/>
      <c r="D503" s="199"/>
      <c r="E503" s="211"/>
      <c r="F503" s="201"/>
      <c r="G503" s="199"/>
      <c r="H503" s="199"/>
      <c r="I503" s="199"/>
      <c r="J503" s="212"/>
      <c r="K503" s="212"/>
      <c r="L503" s="212"/>
      <c r="M503" s="212"/>
      <c r="N503" s="212"/>
      <c r="O503" s="212"/>
      <c r="P503" s="212"/>
      <c r="Q503" s="212"/>
      <c r="R503" s="212"/>
      <c r="S503" s="212"/>
      <c r="T503" s="212"/>
      <c r="U503" s="212"/>
      <c r="V503" s="212"/>
      <c r="W503" s="212"/>
      <c r="X503" s="212"/>
      <c r="Y503" s="212"/>
      <c r="Z503" s="204"/>
      <c r="AA503" s="204"/>
      <c r="AB503" s="204"/>
      <c r="AC503" s="204"/>
      <c r="AD503" s="204"/>
      <c r="AE503" s="212"/>
      <c r="AF503" s="213"/>
      <c r="AG503" s="213"/>
      <c r="AH503" s="213"/>
      <c r="AI503" s="213"/>
      <c r="AJ503" s="213"/>
      <c r="AK503" s="213"/>
      <c r="AL503" s="213"/>
      <c r="AM503" s="213"/>
      <c r="AN503" s="213"/>
      <c r="AO503" s="213"/>
      <c r="AP503" s="213"/>
      <c r="AQ503" s="213"/>
      <c r="AR503" s="213"/>
      <c r="AS503" s="213"/>
      <c r="AT503" s="213"/>
      <c r="AU503" s="213"/>
      <c r="AV503" s="213"/>
      <c r="AW503" s="213"/>
      <c r="AX503" s="213"/>
      <c r="AY503" s="213"/>
      <c r="AZ503" s="213"/>
      <c r="BA503" s="213"/>
      <c r="BB503" s="213"/>
    </row>
    <row r="504">
      <c r="A504" s="199"/>
      <c r="B504" s="12"/>
      <c r="C504" s="202"/>
      <c r="D504" s="199"/>
      <c r="E504" s="211"/>
      <c r="F504" s="201"/>
      <c r="G504" s="199"/>
      <c r="H504" s="199"/>
      <c r="I504" s="199"/>
      <c r="J504" s="212"/>
      <c r="K504" s="212"/>
      <c r="L504" s="212"/>
      <c r="M504" s="212"/>
      <c r="N504" s="212"/>
      <c r="O504" s="212"/>
      <c r="P504" s="212"/>
      <c r="Q504" s="212"/>
      <c r="R504" s="212"/>
      <c r="S504" s="212"/>
      <c r="T504" s="212"/>
      <c r="U504" s="212"/>
      <c r="V504" s="212"/>
      <c r="W504" s="212"/>
      <c r="X504" s="212"/>
      <c r="Y504" s="212"/>
      <c r="Z504" s="204"/>
      <c r="AA504" s="204"/>
      <c r="AB504" s="204"/>
      <c r="AC504" s="204"/>
      <c r="AD504" s="204"/>
      <c r="AE504" s="212"/>
      <c r="AF504" s="213"/>
      <c r="AG504" s="213"/>
      <c r="AH504" s="213"/>
      <c r="AI504" s="213"/>
      <c r="AJ504" s="213"/>
      <c r="AK504" s="213"/>
      <c r="AL504" s="213"/>
      <c r="AM504" s="213"/>
      <c r="AN504" s="213"/>
      <c r="AO504" s="213"/>
      <c r="AP504" s="213"/>
      <c r="AQ504" s="213"/>
      <c r="AR504" s="213"/>
      <c r="AS504" s="213"/>
      <c r="AT504" s="213"/>
      <c r="AU504" s="213"/>
      <c r="AV504" s="213"/>
      <c r="AW504" s="213"/>
      <c r="AX504" s="213"/>
      <c r="AY504" s="213"/>
      <c r="AZ504" s="213"/>
      <c r="BA504" s="213"/>
      <c r="BB504" s="213"/>
    </row>
    <row r="505">
      <c r="A505" s="199"/>
      <c r="B505" s="12"/>
      <c r="C505" s="202"/>
      <c r="D505" s="199"/>
      <c r="E505" s="211"/>
      <c r="F505" s="201"/>
      <c r="G505" s="199"/>
      <c r="H505" s="199"/>
      <c r="I505" s="199"/>
      <c r="J505" s="212"/>
      <c r="K505" s="212"/>
      <c r="L505" s="212"/>
      <c r="M505" s="212"/>
      <c r="N505" s="212"/>
      <c r="O505" s="212"/>
      <c r="P505" s="212"/>
      <c r="Q505" s="212"/>
      <c r="R505" s="212"/>
      <c r="S505" s="212"/>
      <c r="T505" s="212"/>
      <c r="U505" s="212"/>
      <c r="V505" s="212"/>
      <c r="W505" s="212"/>
      <c r="X505" s="212"/>
      <c r="Y505" s="212"/>
      <c r="Z505" s="204"/>
      <c r="AA505" s="204"/>
      <c r="AB505" s="204"/>
      <c r="AC505" s="204"/>
      <c r="AD505" s="204"/>
      <c r="AE505" s="212"/>
      <c r="AF505" s="213"/>
      <c r="AG505" s="213"/>
      <c r="AH505" s="213"/>
      <c r="AI505" s="213"/>
      <c r="AJ505" s="213"/>
      <c r="AK505" s="213"/>
      <c r="AL505" s="213"/>
      <c r="AM505" s="213"/>
      <c r="AN505" s="213"/>
      <c r="AO505" s="213"/>
      <c r="AP505" s="213"/>
      <c r="AQ505" s="213"/>
      <c r="AR505" s="213"/>
      <c r="AS505" s="213"/>
      <c r="AT505" s="213"/>
      <c r="AU505" s="213"/>
      <c r="AV505" s="213"/>
      <c r="AW505" s="213"/>
      <c r="AX505" s="213"/>
      <c r="AY505" s="213"/>
      <c r="AZ505" s="213"/>
      <c r="BA505" s="213"/>
      <c r="BB505" s="213"/>
    </row>
    <row r="506">
      <c r="A506" s="199"/>
      <c r="B506" s="12"/>
      <c r="C506" s="202"/>
      <c r="D506" s="199"/>
      <c r="E506" s="211"/>
      <c r="F506" s="201"/>
      <c r="G506" s="199"/>
      <c r="H506" s="199"/>
      <c r="I506" s="199"/>
      <c r="J506" s="212"/>
      <c r="K506" s="212"/>
      <c r="L506" s="212"/>
      <c r="M506" s="212"/>
      <c r="N506" s="212"/>
      <c r="O506" s="212"/>
      <c r="P506" s="212"/>
      <c r="Q506" s="212"/>
      <c r="R506" s="212"/>
      <c r="S506" s="212"/>
      <c r="T506" s="212"/>
      <c r="U506" s="212"/>
      <c r="V506" s="212"/>
      <c r="W506" s="212"/>
      <c r="X506" s="212"/>
      <c r="Y506" s="212"/>
      <c r="Z506" s="204"/>
      <c r="AA506" s="204"/>
      <c r="AB506" s="204"/>
      <c r="AC506" s="204"/>
      <c r="AD506" s="204"/>
      <c r="AE506" s="212"/>
      <c r="AF506" s="213"/>
      <c r="AG506" s="213"/>
      <c r="AH506" s="213"/>
      <c r="AI506" s="213"/>
      <c r="AJ506" s="213"/>
      <c r="AK506" s="213"/>
      <c r="AL506" s="213"/>
      <c r="AM506" s="213"/>
      <c r="AN506" s="213"/>
      <c r="AO506" s="213"/>
      <c r="AP506" s="213"/>
      <c r="AQ506" s="213"/>
      <c r="AR506" s="213"/>
      <c r="AS506" s="213"/>
      <c r="AT506" s="213"/>
      <c r="AU506" s="213"/>
      <c r="AV506" s="213"/>
      <c r="AW506" s="213"/>
      <c r="AX506" s="213"/>
      <c r="AY506" s="213"/>
      <c r="AZ506" s="213"/>
      <c r="BA506" s="213"/>
      <c r="BB506" s="213"/>
    </row>
    <row r="507">
      <c r="A507" s="199"/>
      <c r="B507" s="12"/>
      <c r="C507" s="202"/>
      <c r="D507" s="199"/>
      <c r="E507" s="211"/>
      <c r="F507" s="201"/>
      <c r="G507" s="199"/>
      <c r="H507" s="199"/>
      <c r="I507" s="199"/>
      <c r="J507" s="212"/>
      <c r="K507" s="212"/>
      <c r="L507" s="212"/>
      <c r="M507" s="212"/>
      <c r="N507" s="212"/>
      <c r="O507" s="212"/>
      <c r="P507" s="212"/>
      <c r="Q507" s="212"/>
      <c r="R507" s="212"/>
      <c r="S507" s="212"/>
      <c r="T507" s="212"/>
      <c r="U507" s="212"/>
      <c r="V507" s="212"/>
      <c r="W507" s="212"/>
      <c r="X507" s="212"/>
      <c r="Y507" s="212"/>
      <c r="Z507" s="204"/>
      <c r="AA507" s="204"/>
      <c r="AB507" s="204"/>
      <c r="AC507" s="204"/>
      <c r="AD507" s="204"/>
      <c r="AE507" s="212"/>
      <c r="AF507" s="213"/>
      <c r="AG507" s="213"/>
      <c r="AH507" s="213"/>
      <c r="AI507" s="213"/>
      <c r="AJ507" s="213"/>
      <c r="AK507" s="213"/>
      <c r="AL507" s="213"/>
      <c r="AM507" s="213"/>
      <c r="AN507" s="213"/>
      <c r="AO507" s="213"/>
      <c r="AP507" s="213"/>
      <c r="AQ507" s="213"/>
      <c r="AR507" s="213"/>
      <c r="AS507" s="213"/>
      <c r="AT507" s="213"/>
      <c r="AU507" s="213"/>
      <c r="AV507" s="213"/>
      <c r="AW507" s="213"/>
      <c r="AX507" s="213"/>
      <c r="AY507" s="213"/>
      <c r="AZ507" s="213"/>
      <c r="BA507" s="213"/>
      <c r="BB507" s="213"/>
    </row>
    <row r="508">
      <c r="A508" s="199"/>
      <c r="B508" s="12"/>
      <c r="C508" s="202"/>
      <c r="D508" s="199"/>
      <c r="E508" s="211"/>
      <c r="F508" s="201"/>
      <c r="G508" s="199"/>
      <c r="H508" s="199"/>
      <c r="I508" s="199"/>
      <c r="J508" s="212"/>
      <c r="K508" s="212"/>
      <c r="L508" s="212"/>
      <c r="M508" s="212"/>
      <c r="N508" s="212"/>
      <c r="O508" s="212"/>
      <c r="P508" s="212"/>
      <c r="Q508" s="212"/>
      <c r="R508" s="212"/>
      <c r="S508" s="212"/>
      <c r="T508" s="212"/>
      <c r="U508" s="212"/>
      <c r="V508" s="212"/>
      <c r="W508" s="212"/>
      <c r="X508" s="212"/>
      <c r="Y508" s="212"/>
      <c r="Z508" s="204"/>
      <c r="AA508" s="204"/>
      <c r="AB508" s="204"/>
      <c r="AC508" s="204"/>
      <c r="AD508" s="204"/>
      <c r="AE508" s="212"/>
      <c r="AF508" s="213"/>
      <c r="AG508" s="213"/>
      <c r="AH508" s="213"/>
      <c r="AI508" s="213"/>
      <c r="AJ508" s="213"/>
      <c r="AK508" s="213"/>
      <c r="AL508" s="213"/>
      <c r="AM508" s="213"/>
      <c r="AN508" s="213"/>
      <c r="AO508" s="213"/>
      <c r="AP508" s="213"/>
      <c r="AQ508" s="213"/>
      <c r="AR508" s="213"/>
      <c r="AS508" s="213"/>
      <c r="AT508" s="213"/>
      <c r="AU508" s="213"/>
      <c r="AV508" s="213"/>
      <c r="AW508" s="213"/>
      <c r="AX508" s="213"/>
      <c r="AY508" s="213"/>
      <c r="AZ508" s="213"/>
      <c r="BA508" s="213"/>
      <c r="BB508" s="213"/>
    </row>
    <row r="509">
      <c r="A509" s="199"/>
      <c r="B509" s="12"/>
      <c r="C509" s="202"/>
      <c r="D509" s="199"/>
      <c r="E509" s="211"/>
      <c r="F509" s="201"/>
      <c r="G509" s="199"/>
      <c r="H509" s="199"/>
      <c r="I509" s="199"/>
      <c r="J509" s="212"/>
      <c r="K509" s="212"/>
      <c r="L509" s="212"/>
      <c r="M509" s="212"/>
      <c r="N509" s="212"/>
      <c r="O509" s="212"/>
      <c r="P509" s="212"/>
      <c r="Q509" s="212"/>
      <c r="R509" s="212"/>
      <c r="S509" s="212"/>
      <c r="T509" s="212"/>
      <c r="U509" s="212"/>
      <c r="V509" s="212"/>
      <c r="W509" s="212"/>
      <c r="X509" s="212"/>
      <c r="Y509" s="212"/>
      <c r="Z509" s="204"/>
      <c r="AA509" s="204"/>
      <c r="AB509" s="204"/>
      <c r="AC509" s="204"/>
      <c r="AD509" s="204"/>
      <c r="AE509" s="212"/>
      <c r="AF509" s="213"/>
      <c r="AG509" s="213"/>
      <c r="AH509" s="213"/>
      <c r="AI509" s="213"/>
      <c r="AJ509" s="213"/>
      <c r="AK509" s="213"/>
      <c r="AL509" s="213"/>
      <c r="AM509" s="213"/>
      <c r="AN509" s="213"/>
      <c r="AO509" s="213"/>
      <c r="AP509" s="213"/>
      <c r="AQ509" s="213"/>
      <c r="AR509" s="213"/>
      <c r="AS509" s="213"/>
      <c r="AT509" s="213"/>
      <c r="AU509" s="213"/>
      <c r="AV509" s="213"/>
      <c r="AW509" s="213"/>
      <c r="AX509" s="213"/>
      <c r="AY509" s="213"/>
      <c r="AZ509" s="213"/>
      <c r="BA509" s="213"/>
      <c r="BB509" s="213"/>
    </row>
    <row r="510">
      <c r="A510" s="199"/>
      <c r="B510" s="12"/>
      <c r="C510" s="202"/>
      <c r="D510" s="199"/>
      <c r="E510" s="211"/>
      <c r="F510" s="201"/>
      <c r="G510" s="199"/>
      <c r="H510" s="199"/>
      <c r="I510" s="199"/>
      <c r="J510" s="212"/>
      <c r="K510" s="212"/>
      <c r="L510" s="212"/>
      <c r="M510" s="212"/>
      <c r="N510" s="212"/>
      <c r="O510" s="212"/>
      <c r="P510" s="212"/>
      <c r="Q510" s="212"/>
      <c r="R510" s="212"/>
      <c r="S510" s="212"/>
      <c r="T510" s="212"/>
      <c r="U510" s="212"/>
      <c r="V510" s="212"/>
      <c r="W510" s="212"/>
      <c r="X510" s="212"/>
      <c r="Y510" s="212"/>
      <c r="Z510" s="204"/>
      <c r="AA510" s="204"/>
      <c r="AB510" s="204"/>
      <c r="AC510" s="204"/>
      <c r="AD510" s="204"/>
      <c r="AE510" s="212"/>
      <c r="AF510" s="213"/>
      <c r="AG510" s="213"/>
      <c r="AH510" s="213"/>
      <c r="AI510" s="213"/>
      <c r="AJ510" s="213"/>
      <c r="AK510" s="213"/>
      <c r="AL510" s="213"/>
      <c r="AM510" s="213"/>
      <c r="AN510" s="213"/>
      <c r="AO510" s="213"/>
      <c r="AP510" s="213"/>
      <c r="AQ510" s="213"/>
      <c r="AR510" s="213"/>
      <c r="AS510" s="213"/>
      <c r="AT510" s="213"/>
      <c r="AU510" s="213"/>
      <c r="AV510" s="213"/>
      <c r="AW510" s="213"/>
      <c r="AX510" s="213"/>
      <c r="AY510" s="213"/>
      <c r="AZ510" s="213"/>
      <c r="BA510" s="213"/>
      <c r="BB510" s="213"/>
    </row>
    <row r="511">
      <c r="A511" s="199"/>
      <c r="B511" s="12"/>
      <c r="C511" s="202"/>
      <c r="D511" s="199"/>
      <c r="E511" s="211"/>
      <c r="F511" s="201"/>
      <c r="G511" s="199"/>
      <c r="H511" s="199"/>
      <c r="I511" s="199"/>
      <c r="J511" s="212"/>
      <c r="K511" s="212"/>
      <c r="L511" s="212"/>
      <c r="M511" s="212"/>
      <c r="N511" s="212"/>
      <c r="O511" s="212"/>
      <c r="P511" s="212"/>
      <c r="Q511" s="212"/>
      <c r="R511" s="212"/>
      <c r="S511" s="212"/>
      <c r="T511" s="212"/>
      <c r="U511" s="212"/>
      <c r="V511" s="212"/>
      <c r="W511" s="212"/>
      <c r="X511" s="212"/>
      <c r="Y511" s="212"/>
      <c r="Z511" s="204"/>
      <c r="AA511" s="204"/>
      <c r="AB511" s="204"/>
      <c r="AC511" s="204"/>
      <c r="AD511" s="204"/>
      <c r="AE511" s="212"/>
      <c r="AF511" s="213"/>
      <c r="AG511" s="213"/>
      <c r="AH511" s="213"/>
      <c r="AI511" s="213"/>
      <c r="AJ511" s="213"/>
      <c r="AK511" s="213"/>
      <c r="AL511" s="213"/>
      <c r="AM511" s="213"/>
      <c r="AN511" s="213"/>
      <c r="AO511" s="213"/>
      <c r="AP511" s="213"/>
      <c r="AQ511" s="213"/>
      <c r="AR511" s="213"/>
      <c r="AS511" s="213"/>
      <c r="AT511" s="213"/>
      <c r="AU511" s="213"/>
      <c r="AV511" s="213"/>
      <c r="AW511" s="213"/>
      <c r="AX511" s="213"/>
      <c r="AY511" s="213"/>
      <c r="AZ511" s="213"/>
      <c r="BA511" s="213"/>
      <c r="BB511" s="213"/>
    </row>
    <row r="512">
      <c r="A512" s="199"/>
      <c r="B512" s="12"/>
      <c r="C512" s="202"/>
      <c r="D512" s="199"/>
      <c r="E512" s="211"/>
      <c r="F512" s="201"/>
      <c r="G512" s="199"/>
      <c r="H512" s="199"/>
      <c r="I512" s="199"/>
      <c r="J512" s="212"/>
      <c r="K512" s="212"/>
      <c r="L512" s="212"/>
      <c r="M512" s="212"/>
      <c r="N512" s="212"/>
      <c r="O512" s="212"/>
      <c r="P512" s="212"/>
      <c r="Q512" s="212"/>
      <c r="R512" s="212"/>
      <c r="S512" s="212"/>
      <c r="T512" s="212"/>
      <c r="U512" s="212"/>
      <c r="V512" s="212"/>
      <c r="W512" s="212"/>
      <c r="X512" s="212"/>
      <c r="Y512" s="212"/>
      <c r="Z512" s="204"/>
      <c r="AA512" s="204"/>
      <c r="AB512" s="204"/>
      <c r="AC512" s="204"/>
      <c r="AD512" s="204"/>
      <c r="AE512" s="212"/>
      <c r="AF512" s="213"/>
      <c r="AG512" s="213"/>
      <c r="AH512" s="213"/>
      <c r="AI512" s="213"/>
      <c r="AJ512" s="213"/>
      <c r="AK512" s="213"/>
      <c r="AL512" s="213"/>
      <c r="AM512" s="213"/>
      <c r="AN512" s="213"/>
      <c r="AO512" s="213"/>
      <c r="AP512" s="213"/>
      <c r="AQ512" s="213"/>
      <c r="AR512" s="213"/>
      <c r="AS512" s="213"/>
      <c r="AT512" s="213"/>
      <c r="AU512" s="213"/>
      <c r="AV512" s="213"/>
      <c r="AW512" s="213"/>
      <c r="AX512" s="213"/>
      <c r="AY512" s="213"/>
      <c r="AZ512" s="213"/>
      <c r="BA512" s="213"/>
      <c r="BB512" s="213"/>
    </row>
    <row r="513">
      <c r="A513" s="199"/>
      <c r="B513" s="12"/>
      <c r="C513" s="202"/>
      <c r="D513" s="199"/>
      <c r="E513" s="211"/>
      <c r="F513" s="201"/>
      <c r="G513" s="199"/>
      <c r="H513" s="199"/>
      <c r="I513" s="199"/>
      <c r="J513" s="212"/>
      <c r="K513" s="212"/>
      <c r="L513" s="212"/>
      <c r="M513" s="212"/>
      <c r="N513" s="212"/>
      <c r="O513" s="212"/>
      <c r="P513" s="212"/>
      <c r="Q513" s="212"/>
      <c r="R513" s="212"/>
      <c r="S513" s="212"/>
      <c r="T513" s="212"/>
      <c r="U513" s="212"/>
      <c r="V513" s="212"/>
      <c r="W513" s="212"/>
      <c r="X513" s="212"/>
      <c r="Y513" s="212"/>
      <c r="Z513" s="204"/>
      <c r="AA513" s="204"/>
      <c r="AB513" s="204"/>
      <c r="AC513" s="204"/>
      <c r="AD513" s="204"/>
      <c r="AE513" s="212"/>
      <c r="AF513" s="213"/>
      <c r="AG513" s="213"/>
      <c r="AH513" s="213"/>
      <c r="AI513" s="213"/>
      <c r="AJ513" s="213"/>
      <c r="AK513" s="213"/>
      <c r="AL513" s="213"/>
      <c r="AM513" s="213"/>
      <c r="AN513" s="213"/>
      <c r="AO513" s="213"/>
      <c r="AP513" s="213"/>
      <c r="AQ513" s="213"/>
      <c r="AR513" s="213"/>
      <c r="AS513" s="213"/>
      <c r="AT513" s="213"/>
      <c r="AU513" s="213"/>
      <c r="AV513" s="213"/>
      <c r="AW513" s="213"/>
      <c r="AX513" s="213"/>
      <c r="AY513" s="213"/>
      <c r="AZ513" s="213"/>
      <c r="BA513" s="213"/>
      <c r="BB513" s="213"/>
    </row>
    <row r="514">
      <c r="A514" s="199"/>
      <c r="B514" s="12"/>
      <c r="C514" s="202"/>
      <c r="D514" s="199"/>
      <c r="E514" s="211"/>
      <c r="F514" s="201"/>
      <c r="G514" s="199"/>
      <c r="H514" s="199"/>
      <c r="I514" s="199"/>
      <c r="J514" s="212"/>
      <c r="K514" s="212"/>
      <c r="L514" s="212"/>
      <c r="M514" s="212"/>
      <c r="N514" s="212"/>
      <c r="O514" s="212"/>
      <c r="P514" s="212"/>
      <c r="Q514" s="212"/>
      <c r="R514" s="212"/>
      <c r="S514" s="212"/>
      <c r="T514" s="212"/>
      <c r="U514" s="212"/>
      <c r="V514" s="212"/>
      <c r="W514" s="212"/>
      <c r="X514" s="212"/>
      <c r="Y514" s="212"/>
      <c r="Z514" s="204"/>
      <c r="AA514" s="204"/>
      <c r="AB514" s="204"/>
      <c r="AC514" s="204"/>
      <c r="AD514" s="204"/>
      <c r="AE514" s="212"/>
      <c r="AF514" s="213"/>
      <c r="AG514" s="213"/>
      <c r="AH514" s="213"/>
      <c r="AI514" s="213"/>
      <c r="AJ514" s="213"/>
      <c r="AK514" s="213"/>
      <c r="AL514" s="213"/>
      <c r="AM514" s="213"/>
      <c r="AN514" s="213"/>
      <c r="AO514" s="213"/>
      <c r="AP514" s="213"/>
      <c r="AQ514" s="213"/>
      <c r="AR514" s="213"/>
      <c r="AS514" s="213"/>
      <c r="AT514" s="213"/>
      <c r="AU514" s="213"/>
      <c r="AV514" s="213"/>
      <c r="AW514" s="213"/>
      <c r="AX514" s="213"/>
      <c r="AY514" s="213"/>
      <c r="AZ514" s="213"/>
      <c r="BA514" s="213"/>
      <c r="BB514" s="213"/>
    </row>
    <row r="515">
      <c r="A515" s="199"/>
      <c r="B515" s="12"/>
      <c r="C515" s="202"/>
      <c r="D515" s="199"/>
      <c r="E515" s="211"/>
      <c r="F515" s="201"/>
      <c r="G515" s="199"/>
      <c r="H515" s="199"/>
      <c r="I515" s="199"/>
      <c r="J515" s="212"/>
      <c r="K515" s="212"/>
      <c r="L515" s="212"/>
      <c r="M515" s="212"/>
      <c r="N515" s="212"/>
      <c r="O515" s="212"/>
      <c r="P515" s="212"/>
      <c r="Q515" s="212"/>
      <c r="R515" s="212"/>
      <c r="S515" s="212"/>
      <c r="T515" s="212"/>
      <c r="U515" s="212"/>
      <c r="V515" s="212"/>
      <c r="W515" s="212"/>
      <c r="X515" s="212"/>
      <c r="Y515" s="212"/>
      <c r="Z515" s="204"/>
      <c r="AA515" s="204"/>
      <c r="AB515" s="204"/>
      <c r="AC515" s="204"/>
      <c r="AD515" s="204"/>
      <c r="AE515" s="212"/>
      <c r="AF515" s="213"/>
      <c r="AG515" s="213"/>
      <c r="AH515" s="213"/>
      <c r="AI515" s="213"/>
      <c r="AJ515" s="213"/>
      <c r="AK515" s="213"/>
      <c r="AL515" s="213"/>
      <c r="AM515" s="213"/>
      <c r="AN515" s="213"/>
      <c r="AO515" s="213"/>
      <c r="AP515" s="213"/>
      <c r="AQ515" s="213"/>
      <c r="AR515" s="213"/>
      <c r="AS515" s="213"/>
      <c r="AT515" s="213"/>
      <c r="AU515" s="213"/>
      <c r="AV515" s="213"/>
      <c r="AW515" s="213"/>
      <c r="AX515" s="213"/>
      <c r="AY515" s="213"/>
      <c r="AZ515" s="213"/>
      <c r="BA515" s="213"/>
      <c r="BB515" s="213"/>
    </row>
    <row r="516">
      <c r="A516" s="199"/>
      <c r="B516" s="12"/>
      <c r="C516" s="202"/>
      <c r="D516" s="199"/>
      <c r="E516" s="211"/>
      <c r="F516" s="201"/>
      <c r="G516" s="199"/>
      <c r="H516" s="199"/>
      <c r="I516" s="199"/>
      <c r="J516" s="212"/>
      <c r="K516" s="212"/>
      <c r="L516" s="212"/>
      <c r="M516" s="212"/>
      <c r="N516" s="212"/>
      <c r="O516" s="212"/>
      <c r="P516" s="212"/>
      <c r="Q516" s="212"/>
      <c r="R516" s="212"/>
      <c r="S516" s="212"/>
      <c r="T516" s="212"/>
      <c r="U516" s="212"/>
      <c r="V516" s="212"/>
      <c r="W516" s="212"/>
      <c r="X516" s="212"/>
      <c r="Y516" s="212"/>
      <c r="Z516" s="204"/>
      <c r="AA516" s="204"/>
      <c r="AB516" s="204"/>
      <c r="AC516" s="204"/>
      <c r="AD516" s="204"/>
      <c r="AE516" s="212"/>
      <c r="AF516" s="213"/>
      <c r="AG516" s="213"/>
      <c r="AH516" s="213"/>
      <c r="AI516" s="213"/>
      <c r="AJ516" s="213"/>
      <c r="AK516" s="213"/>
      <c r="AL516" s="213"/>
      <c r="AM516" s="213"/>
      <c r="AN516" s="213"/>
      <c r="AO516" s="213"/>
      <c r="AP516" s="213"/>
      <c r="AQ516" s="213"/>
      <c r="AR516" s="213"/>
      <c r="AS516" s="213"/>
      <c r="AT516" s="213"/>
      <c r="AU516" s="213"/>
      <c r="AV516" s="213"/>
      <c r="AW516" s="213"/>
      <c r="AX516" s="213"/>
      <c r="AY516" s="213"/>
      <c r="AZ516" s="213"/>
      <c r="BA516" s="213"/>
      <c r="BB516" s="213"/>
    </row>
    <row r="517">
      <c r="A517" s="199"/>
      <c r="B517" s="12"/>
      <c r="C517" s="202"/>
      <c r="D517" s="199"/>
      <c r="E517" s="211"/>
      <c r="F517" s="201"/>
      <c r="G517" s="199"/>
      <c r="H517" s="199"/>
      <c r="I517" s="199"/>
      <c r="J517" s="212"/>
      <c r="K517" s="212"/>
      <c r="L517" s="212"/>
      <c r="M517" s="212"/>
      <c r="N517" s="212"/>
      <c r="O517" s="212"/>
      <c r="P517" s="212"/>
      <c r="Q517" s="212"/>
      <c r="R517" s="212"/>
      <c r="S517" s="212"/>
      <c r="T517" s="212"/>
      <c r="U517" s="212"/>
      <c r="V517" s="212"/>
      <c r="W517" s="212"/>
      <c r="X517" s="212"/>
      <c r="Y517" s="212"/>
      <c r="Z517" s="204"/>
      <c r="AA517" s="204"/>
      <c r="AB517" s="204"/>
      <c r="AC517" s="204"/>
      <c r="AD517" s="204"/>
      <c r="AE517" s="212"/>
      <c r="AF517" s="213"/>
      <c r="AG517" s="213"/>
      <c r="AH517" s="213"/>
      <c r="AI517" s="213"/>
      <c r="AJ517" s="213"/>
      <c r="AK517" s="213"/>
      <c r="AL517" s="213"/>
      <c r="AM517" s="213"/>
      <c r="AN517" s="213"/>
      <c r="AO517" s="213"/>
      <c r="AP517" s="213"/>
      <c r="AQ517" s="213"/>
      <c r="AR517" s="213"/>
      <c r="AS517" s="213"/>
      <c r="AT517" s="213"/>
      <c r="AU517" s="213"/>
      <c r="AV517" s="213"/>
      <c r="AW517" s="213"/>
      <c r="AX517" s="213"/>
      <c r="AY517" s="213"/>
      <c r="AZ517" s="213"/>
      <c r="BA517" s="213"/>
      <c r="BB517" s="213"/>
    </row>
    <row r="518">
      <c r="A518" s="199"/>
      <c r="B518" s="12"/>
      <c r="C518" s="202"/>
      <c r="D518" s="199"/>
      <c r="E518" s="211"/>
      <c r="F518" s="201"/>
      <c r="G518" s="199"/>
      <c r="H518" s="199"/>
      <c r="I518" s="199"/>
      <c r="J518" s="212"/>
      <c r="K518" s="212"/>
      <c r="L518" s="212"/>
      <c r="M518" s="212"/>
      <c r="N518" s="212"/>
      <c r="O518" s="212"/>
      <c r="P518" s="212"/>
      <c r="Q518" s="212"/>
      <c r="R518" s="212"/>
      <c r="S518" s="212"/>
      <c r="T518" s="212"/>
      <c r="U518" s="212"/>
      <c r="V518" s="212"/>
      <c r="W518" s="212"/>
      <c r="X518" s="212"/>
      <c r="Y518" s="212"/>
      <c r="Z518" s="204"/>
      <c r="AA518" s="204"/>
      <c r="AB518" s="204"/>
      <c r="AC518" s="204"/>
      <c r="AD518" s="204"/>
      <c r="AE518" s="212"/>
      <c r="AF518" s="213"/>
      <c r="AG518" s="213"/>
      <c r="AH518" s="213"/>
      <c r="AI518" s="213"/>
      <c r="AJ518" s="213"/>
      <c r="AK518" s="213"/>
      <c r="AL518" s="213"/>
      <c r="AM518" s="213"/>
      <c r="AN518" s="213"/>
      <c r="AO518" s="213"/>
      <c r="AP518" s="213"/>
      <c r="AQ518" s="213"/>
      <c r="AR518" s="213"/>
      <c r="AS518" s="213"/>
      <c r="AT518" s="213"/>
      <c r="AU518" s="213"/>
      <c r="AV518" s="213"/>
      <c r="AW518" s="213"/>
      <c r="AX518" s="213"/>
      <c r="AY518" s="213"/>
      <c r="AZ518" s="213"/>
      <c r="BA518" s="213"/>
      <c r="BB518" s="213"/>
    </row>
    <row r="519">
      <c r="A519" s="199"/>
      <c r="B519" s="12"/>
      <c r="C519" s="202"/>
      <c r="D519" s="199"/>
      <c r="E519" s="211"/>
      <c r="F519" s="201"/>
      <c r="G519" s="199"/>
      <c r="H519" s="199"/>
      <c r="I519" s="199"/>
      <c r="J519" s="212"/>
      <c r="K519" s="212"/>
      <c r="L519" s="212"/>
      <c r="M519" s="212"/>
      <c r="N519" s="212"/>
      <c r="O519" s="212"/>
      <c r="P519" s="212"/>
      <c r="Q519" s="212"/>
      <c r="R519" s="212"/>
      <c r="S519" s="212"/>
      <c r="T519" s="212"/>
      <c r="U519" s="212"/>
      <c r="V519" s="212"/>
      <c r="W519" s="212"/>
      <c r="X519" s="212"/>
      <c r="Y519" s="212"/>
      <c r="Z519" s="204"/>
      <c r="AA519" s="204"/>
      <c r="AB519" s="204"/>
      <c r="AC519" s="204"/>
      <c r="AD519" s="204"/>
      <c r="AE519" s="212"/>
      <c r="AF519" s="213"/>
      <c r="AG519" s="213"/>
      <c r="AH519" s="213"/>
      <c r="AI519" s="213"/>
      <c r="AJ519" s="213"/>
      <c r="AK519" s="213"/>
      <c r="AL519" s="213"/>
      <c r="AM519" s="213"/>
      <c r="AN519" s="213"/>
      <c r="AO519" s="213"/>
      <c r="AP519" s="213"/>
      <c r="AQ519" s="213"/>
      <c r="AR519" s="213"/>
      <c r="AS519" s="213"/>
      <c r="AT519" s="213"/>
      <c r="AU519" s="213"/>
      <c r="AV519" s="213"/>
      <c r="AW519" s="213"/>
      <c r="AX519" s="213"/>
      <c r="AY519" s="213"/>
      <c r="AZ519" s="213"/>
      <c r="BA519" s="213"/>
      <c r="BB519" s="213"/>
    </row>
    <row r="520">
      <c r="A520" s="199"/>
      <c r="B520" s="12"/>
      <c r="C520" s="202"/>
      <c r="D520" s="199"/>
      <c r="E520" s="211"/>
      <c r="F520" s="201"/>
      <c r="G520" s="199"/>
      <c r="H520" s="199"/>
      <c r="I520" s="199"/>
      <c r="J520" s="212"/>
      <c r="K520" s="212"/>
      <c r="L520" s="212"/>
      <c r="M520" s="212"/>
      <c r="N520" s="212"/>
      <c r="O520" s="212"/>
      <c r="P520" s="212"/>
      <c r="Q520" s="212"/>
      <c r="R520" s="212"/>
      <c r="S520" s="212"/>
      <c r="T520" s="212"/>
      <c r="U520" s="212"/>
      <c r="V520" s="212"/>
      <c r="W520" s="212"/>
      <c r="X520" s="212"/>
      <c r="Y520" s="212"/>
      <c r="Z520" s="204"/>
      <c r="AA520" s="204"/>
      <c r="AB520" s="204"/>
      <c r="AC520" s="204"/>
      <c r="AD520" s="204"/>
      <c r="AE520" s="212"/>
      <c r="AF520" s="213"/>
      <c r="AG520" s="213"/>
      <c r="AH520" s="213"/>
      <c r="AI520" s="213"/>
      <c r="AJ520" s="213"/>
      <c r="AK520" s="213"/>
      <c r="AL520" s="213"/>
      <c r="AM520" s="213"/>
      <c r="AN520" s="213"/>
      <c r="AO520" s="213"/>
      <c r="AP520" s="213"/>
      <c r="AQ520" s="213"/>
      <c r="AR520" s="213"/>
      <c r="AS520" s="213"/>
      <c r="AT520" s="213"/>
      <c r="AU520" s="213"/>
      <c r="AV520" s="213"/>
      <c r="AW520" s="213"/>
      <c r="AX520" s="213"/>
      <c r="AY520" s="213"/>
      <c r="AZ520" s="213"/>
      <c r="BA520" s="213"/>
      <c r="BB520" s="213"/>
    </row>
    <row r="521">
      <c r="A521" s="199"/>
      <c r="B521" s="12"/>
      <c r="C521" s="202"/>
      <c r="D521" s="199"/>
      <c r="E521" s="211"/>
      <c r="F521" s="201"/>
      <c r="G521" s="199"/>
      <c r="H521" s="199"/>
      <c r="I521" s="199"/>
      <c r="J521" s="212"/>
      <c r="K521" s="212"/>
      <c r="L521" s="212"/>
      <c r="M521" s="212"/>
      <c r="N521" s="212"/>
      <c r="O521" s="212"/>
      <c r="P521" s="212"/>
      <c r="Q521" s="212"/>
      <c r="R521" s="212"/>
      <c r="S521" s="212"/>
      <c r="T521" s="212"/>
      <c r="U521" s="212"/>
      <c r="V521" s="212"/>
      <c r="W521" s="212"/>
      <c r="X521" s="212"/>
      <c r="Y521" s="212"/>
      <c r="Z521" s="204"/>
      <c r="AA521" s="204"/>
      <c r="AB521" s="204"/>
      <c r="AC521" s="204"/>
      <c r="AD521" s="204"/>
      <c r="AE521" s="212"/>
      <c r="AF521" s="213"/>
      <c r="AG521" s="213"/>
      <c r="AH521" s="213"/>
      <c r="AI521" s="213"/>
      <c r="AJ521" s="213"/>
      <c r="AK521" s="213"/>
      <c r="AL521" s="213"/>
      <c r="AM521" s="213"/>
      <c r="AN521" s="213"/>
      <c r="AO521" s="213"/>
      <c r="AP521" s="213"/>
      <c r="AQ521" s="213"/>
      <c r="AR521" s="213"/>
      <c r="AS521" s="213"/>
      <c r="AT521" s="213"/>
      <c r="AU521" s="213"/>
      <c r="AV521" s="213"/>
      <c r="AW521" s="213"/>
      <c r="AX521" s="213"/>
      <c r="AY521" s="213"/>
      <c r="AZ521" s="213"/>
      <c r="BA521" s="213"/>
      <c r="BB521" s="213"/>
    </row>
    <row r="522">
      <c r="A522" s="199"/>
      <c r="B522" s="12"/>
      <c r="C522" s="202"/>
      <c r="D522" s="199"/>
      <c r="E522" s="211"/>
      <c r="F522" s="201"/>
      <c r="G522" s="199"/>
      <c r="H522" s="199"/>
      <c r="I522" s="199"/>
      <c r="J522" s="212"/>
      <c r="K522" s="212"/>
      <c r="L522" s="212"/>
      <c r="M522" s="212"/>
      <c r="N522" s="212"/>
      <c r="O522" s="212"/>
      <c r="P522" s="212"/>
      <c r="Q522" s="212"/>
      <c r="R522" s="212"/>
      <c r="S522" s="212"/>
      <c r="T522" s="212"/>
      <c r="U522" s="212"/>
      <c r="V522" s="212"/>
      <c r="W522" s="212"/>
      <c r="X522" s="212"/>
      <c r="Y522" s="212"/>
      <c r="Z522" s="204"/>
      <c r="AA522" s="204"/>
      <c r="AB522" s="204"/>
      <c r="AC522" s="204"/>
      <c r="AD522" s="204"/>
      <c r="AE522" s="212"/>
      <c r="AF522" s="213"/>
      <c r="AG522" s="213"/>
      <c r="AH522" s="213"/>
      <c r="AI522" s="213"/>
      <c r="AJ522" s="213"/>
      <c r="AK522" s="213"/>
      <c r="AL522" s="213"/>
      <c r="AM522" s="213"/>
      <c r="AN522" s="213"/>
      <c r="AO522" s="213"/>
      <c r="AP522" s="213"/>
      <c r="AQ522" s="213"/>
      <c r="AR522" s="213"/>
      <c r="AS522" s="213"/>
      <c r="AT522" s="213"/>
      <c r="AU522" s="213"/>
      <c r="AV522" s="213"/>
      <c r="AW522" s="213"/>
      <c r="AX522" s="213"/>
      <c r="AY522" s="213"/>
      <c r="AZ522" s="213"/>
      <c r="BA522" s="213"/>
      <c r="BB522" s="213"/>
    </row>
    <row r="523">
      <c r="A523" s="199"/>
      <c r="B523" s="12"/>
      <c r="C523" s="202"/>
      <c r="D523" s="199"/>
      <c r="E523" s="211"/>
      <c r="F523" s="201"/>
      <c r="G523" s="199"/>
      <c r="H523" s="199"/>
      <c r="I523" s="199"/>
      <c r="J523" s="212"/>
      <c r="K523" s="212"/>
      <c r="L523" s="212"/>
      <c r="M523" s="212"/>
      <c r="N523" s="212"/>
      <c r="O523" s="212"/>
      <c r="P523" s="212"/>
      <c r="Q523" s="212"/>
      <c r="R523" s="212"/>
      <c r="S523" s="212"/>
      <c r="T523" s="212"/>
      <c r="U523" s="212"/>
      <c r="V523" s="212"/>
      <c r="W523" s="212"/>
      <c r="X523" s="212"/>
      <c r="Y523" s="212"/>
      <c r="Z523" s="204"/>
      <c r="AA523" s="204"/>
      <c r="AB523" s="204"/>
      <c r="AC523" s="204"/>
      <c r="AD523" s="204"/>
      <c r="AE523" s="212"/>
      <c r="AF523" s="213"/>
      <c r="AG523" s="213"/>
      <c r="AH523" s="213"/>
      <c r="AI523" s="213"/>
      <c r="AJ523" s="213"/>
      <c r="AK523" s="213"/>
      <c r="AL523" s="213"/>
      <c r="AM523" s="213"/>
      <c r="AN523" s="213"/>
      <c r="AO523" s="213"/>
      <c r="AP523" s="213"/>
      <c r="AQ523" s="213"/>
      <c r="AR523" s="213"/>
      <c r="AS523" s="213"/>
      <c r="AT523" s="213"/>
      <c r="AU523" s="213"/>
      <c r="AV523" s="213"/>
      <c r="AW523" s="213"/>
      <c r="AX523" s="213"/>
      <c r="AY523" s="213"/>
      <c r="AZ523" s="213"/>
      <c r="BA523" s="213"/>
      <c r="BB523" s="213"/>
    </row>
    <row r="524">
      <c r="A524" s="199"/>
      <c r="B524" s="12"/>
      <c r="C524" s="202"/>
      <c r="D524" s="199"/>
      <c r="E524" s="211"/>
      <c r="F524" s="201"/>
      <c r="G524" s="199"/>
      <c r="H524" s="199"/>
      <c r="I524" s="199"/>
      <c r="J524" s="212"/>
      <c r="K524" s="212"/>
      <c r="L524" s="212"/>
      <c r="M524" s="212"/>
      <c r="N524" s="212"/>
      <c r="O524" s="212"/>
      <c r="P524" s="212"/>
      <c r="Q524" s="212"/>
      <c r="R524" s="212"/>
      <c r="S524" s="212"/>
      <c r="T524" s="212"/>
      <c r="U524" s="212"/>
      <c r="V524" s="212"/>
      <c r="W524" s="212"/>
      <c r="X524" s="212"/>
      <c r="Y524" s="212"/>
      <c r="Z524" s="204"/>
      <c r="AA524" s="204"/>
      <c r="AB524" s="204"/>
      <c r="AC524" s="204"/>
      <c r="AD524" s="204"/>
      <c r="AE524" s="212"/>
      <c r="AF524" s="213"/>
      <c r="AG524" s="213"/>
      <c r="AH524" s="213"/>
      <c r="AI524" s="213"/>
      <c r="AJ524" s="213"/>
      <c r="AK524" s="213"/>
      <c r="AL524" s="213"/>
      <c r="AM524" s="213"/>
      <c r="AN524" s="213"/>
      <c r="AO524" s="213"/>
      <c r="AP524" s="213"/>
      <c r="AQ524" s="213"/>
      <c r="AR524" s="213"/>
      <c r="AS524" s="213"/>
      <c r="AT524" s="213"/>
      <c r="AU524" s="213"/>
      <c r="AV524" s="213"/>
      <c r="AW524" s="213"/>
      <c r="AX524" s="213"/>
      <c r="AY524" s="213"/>
      <c r="AZ524" s="213"/>
      <c r="BA524" s="213"/>
      <c r="BB524" s="213"/>
    </row>
    <row r="525">
      <c r="A525" s="199"/>
      <c r="B525" s="12"/>
      <c r="C525" s="202"/>
      <c r="D525" s="199"/>
      <c r="E525" s="211"/>
      <c r="F525" s="201"/>
      <c r="G525" s="199"/>
      <c r="H525" s="199"/>
      <c r="I525" s="199"/>
      <c r="J525" s="212"/>
      <c r="K525" s="212"/>
      <c r="L525" s="212"/>
      <c r="M525" s="212"/>
      <c r="N525" s="212"/>
      <c r="O525" s="212"/>
      <c r="P525" s="212"/>
      <c r="Q525" s="212"/>
      <c r="R525" s="212"/>
      <c r="S525" s="212"/>
      <c r="T525" s="212"/>
      <c r="U525" s="212"/>
      <c r="V525" s="212"/>
      <c r="W525" s="212"/>
      <c r="X525" s="212"/>
      <c r="Y525" s="212"/>
      <c r="Z525" s="204"/>
      <c r="AA525" s="204"/>
      <c r="AB525" s="204"/>
      <c r="AC525" s="204"/>
      <c r="AD525" s="204"/>
      <c r="AE525" s="212"/>
      <c r="AF525" s="213"/>
      <c r="AG525" s="213"/>
      <c r="AH525" s="213"/>
      <c r="AI525" s="213"/>
      <c r="AJ525" s="213"/>
      <c r="AK525" s="213"/>
      <c r="AL525" s="213"/>
      <c r="AM525" s="213"/>
      <c r="AN525" s="213"/>
      <c r="AO525" s="213"/>
      <c r="AP525" s="213"/>
      <c r="AQ525" s="213"/>
      <c r="AR525" s="213"/>
      <c r="AS525" s="213"/>
      <c r="AT525" s="213"/>
      <c r="AU525" s="213"/>
      <c r="AV525" s="213"/>
      <c r="AW525" s="213"/>
      <c r="AX525" s="213"/>
      <c r="AY525" s="213"/>
      <c r="AZ525" s="213"/>
      <c r="BA525" s="213"/>
      <c r="BB525" s="213"/>
    </row>
    <row r="526">
      <c r="A526" s="199"/>
      <c r="B526" s="12"/>
      <c r="C526" s="202"/>
      <c r="D526" s="199"/>
      <c r="E526" s="211"/>
      <c r="F526" s="201"/>
      <c r="G526" s="199"/>
      <c r="H526" s="199"/>
      <c r="I526" s="199"/>
      <c r="J526" s="212"/>
      <c r="K526" s="212"/>
      <c r="L526" s="212"/>
      <c r="M526" s="212"/>
      <c r="N526" s="212"/>
      <c r="O526" s="212"/>
      <c r="P526" s="212"/>
      <c r="Q526" s="212"/>
      <c r="R526" s="212"/>
      <c r="S526" s="212"/>
      <c r="T526" s="212"/>
      <c r="U526" s="212"/>
      <c r="V526" s="212"/>
      <c r="W526" s="212"/>
      <c r="X526" s="212"/>
      <c r="Y526" s="212"/>
      <c r="Z526" s="204"/>
      <c r="AA526" s="204"/>
      <c r="AB526" s="204"/>
      <c r="AC526" s="204"/>
      <c r="AD526" s="204"/>
      <c r="AE526" s="212"/>
      <c r="AF526" s="213"/>
      <c r="AG526" s="213"/>
      <c r="AH526" s="213"/>
      <c r="AI526" s="213"/>
      <c r="AJ526" s="213"/>
      <c r="AK526" s="213"/>
      <c r="AL526" s="213"/>
      <c r="AM526" s="213"/>
      <c r="AN526" s="213"/>
      <c r="AO526" s="213"/>
      <c r="AP526" s="213"/>
      <c r="AQ526" s="213"/>
      <c r="AR526" s="213"/>
      <c r="AS526" s="213"/>
      <c r="AT526" s="213"/>
      <c r="AU526" s="213"/>
      <c r="AV526" s="213"/>
      <c r="AW526" s="213"/>
      <c r="AX526" s="213"/>
      <c r="AY526" s="213"/>
      <c r="AZ526" s="213"/>
      <c r="BA526" s="213"/>
      <c r="BB526" s="213"/>
    </row>
    <row r="527">
      <c r="A527" s="199"/>
      <c r="B527" s="12"/>
      <c r="C527" s="202"/>
      <c r="D527" s="199"/>
      <c r="E527" s="211"/>
      <c r="F527" s="201"/>
      <c r="G527" s="199"/>
      <c r="H527" s="199"/>
      <c r="I527" s="199"/>
      <c r="J527" s="212"/>
      <c r="K527" s="212"/>
      <c r="L527" s="212"/>
      <c r="M527" s="212"/>
      <c r="N527" s="212"/>
      <c r="O527" s="212"/>
      <c r="P527" s="212"/>
      <c r="Q527" s="212"/>
      <c r="R527" s="212"/>
      <c r="S527" s="212"/>
      <c r="T527" s="212"/>
      <c r="U527" s="212"/>
      <c r="V527" s="212"/>
      <c r="W527" s="212"/>
      <c r="X527" s="212"/>
      <c r="Y527" s="212"/>
      <c r="Z527" s="204"/>
      <c r="AA527" s="204"/>
      <c r="AB527" s="204"/>
      <c r="AC527" s="204"/>
      <c r="AD527" s="204"/>
      <c r="AE527" s="212"/>
      <c r="AF527" s="213"/>
      <c r="AG527" s="213"/>
      <c r="AH527" s="213"/>
      <c r="AI527" s="213"/>
      <c r="AJ527" s="213"/>
      <c r="AK527" s="213"/>
      <c r="AL527" s="213"/>
      <c r="AM527" s="213"/>
      <c r="AN527" s="213"/>
      <c r="AO527" s="213"/>
      <c r="AP527" s="213"/>
      <c r="AQ527" s="213"/>
      <c r="AR527" s="213"/>
      <c r="AS527" s="213"/>
      <c r="AT527" s="213"/>
      <c r="AU527" s="213"/>
      <c r="AV527" s="213"/>
      <c r="AW527" s="213"/>
      <c r="AX527" s="213"/>
      <c r="AY527" s="213"/>
      <c r="AZ527" s="213"/>
      <c r="BA527" s="213"/>
      <c r="BB527" s="213"/>
    </row>
    <row r="528">
      <c r="A528" s="199"/>
      <c r="B528" s="12"/>
      <c r="C528" s="202"/>
      <c r="D528" s="199"/>
      <c r="E528" s="211"/>
      <c r="F528" s="201"/>
      <c r="G528" s="199"/>
      <c r="H528" s="199"/>
      <c r="I528" s="199"/>
      <c r="J528" s="212"/>
      <c r="K528" s="212"/>
      <c r="L528" s="212"/>
      <c r="M528" s="212"/>
      <c r="N528" s="212"/>
      <c r="O528" s="212"/>
      <c r="P528" s="212"/>
      <c r="Q528" s="212"/>
      <c r="R528" s="212"/>
      <c r="S528" s="212"/>
      <c r="T528" s="212"/>
      <c r="U528" s="212"/>
      <c r="V528" s="212"/>
      <c r="W528" s="212"/>
      <c r="X528" s="212"/>
      <c r="Y528" s="212"/>
      <c r="Z528" s="204"/>
      <c r="AA528" s="204"/>
      <c r="AB528" s="204"/>
      <c r="AC528" s="204"/>
      <c r="AD528" s="204"/>
      <c r="AE528" s="212"/>
      <c r="AF528" s="213"/>
      <c r="AG528" s="213"/>
      <c r="AH528" s="213"/>
      <c r="AI528" s="213"/>
      <c r="AJ528" s="213"/>
      <c r="AK528" s="213"/>
      <c r="AL528" s="213"/>
      <c r="AM528" s="213"/>
      <c r="AN528" s="213"/>
      <c r="AO528" s="213"/>
      <c r="AP528" s="213"/>
      <c r="AQ528" s="213"/>
      <c r="AR528" s="213"/>
      <c r="AS528" s="213"/>
      <c r="AT528" s="213"/>
      <c r="AU528" s="213"/>
      <c r="AV528" s="213"/>
      <c r="AW528" s="213"/>
      <c r="AX528" s="213"/>
      <c r="AY528" s="213"/>
      <c r="AZ528" s="213"/>
      <c r="BA528" s="213"/>
      <c r="BB528" s="213"/>
    </row>
    <row r="529">
      <c r="A529" s="199"/>
      <c r="B529" s="12"/>
      <c r="C529" s="202"/>
      <c r="D529" s="199"/>
      <c r="E529" s="211"/>
      <c r="F529" s="201"/>
      <c r="G529" s="199"/>
      <c r="H529" s="199"/>
      <c r="I529" s="199"/>
      <c r="J529" s="212"/>
      <c r="K529" s="212"/>
      <c r="L529" s="212"/>
      <c r="M529" s="212"/>
      <c r="N529" s="212"/>
      <c r="O529" s="212"/>
      <c r="P529" s="212"/>
      <c r="Q529" s="212"/>
      <c r="R529" s="212"/>
      <c r="S529" s="212"/>
      <c r="T529" s="212"/>
      <c r="U529" s="212"/>
      <c r="V529" s="212"/>
      <c r="W529" s="212"/>
      <c r="X529" s="212"/>
      <c r="Y529" s="212"/>
      <c r="Z529" s="204"/>
      <c r="AA529" s="204"/>
      <c r="AB529" s="204"/>
      <c r="AC529" s="204"/>
      <c r="AD529" s="204"/>
      <c r="AE529" s="212"/>
      <c r="AF529" s="213"/>
      <c r="AG529" s="213"/>
      <c r="AH529" s="213"/>
      <c r="AI529" s="213"/>
      <c r="AJ529" s="213"/>
      <c r="AK529" s="213"/>
      <c r="AL529" s="213"/>
      <c r="AM529" s="213"/>
      <c r="AN529" s="213"/>
      <c r="AO529" s="213"/>
      <c r="AP529" s="213"/>
      <c r="AQ529" s="213"/>
      <c r="AR529" s="213"/>
      <c r="AS529" s="213"/>
      <c r="AT529" s="213"/>
      <c r="AU529" s="213"/>
      <c r="AV529" s="213"/>
      <c r="AW529" s="213"/>
      <c r="AX529" s="213"/>
      <c r="AY529" s="213"/>
      <c r="AZ529" s="213"/>
      <c r="BA529" s="213"/>
      <c r="BB529" s="213"/>
    </row>
    <row r="530">
      <c r="A530" s="199"/>
      <c r="B530" s="12"/>
      <c r="C530" s="202"/>
      <c r="D530" s="199"/>
      <c r="E530" s="211"/>
      <c r="F530" s="201"/>
      <c r="G530" s="199"/>
      <c r="H530" s="199"/>
      <c r="I530" s="199"/>
      <c r="J530" s="212"/>
      <c r="K530" s="212"/>
      <c r="L530" s="212"/>
      <c r="M530" s="212"/>
      <c r="N530" s="212"/>
      <c r="O530" s="212"/>
      <c r="P530" s="212"/>
      <c r="Q530" s="212"/>
      <c r="R530" s="212"/>
      <c r="S530" s="212"/>
      <c r="T530" s="212"/>
      <c r="U530" s="212"/>
      <c r="V530" s="212"/>
      <c r="W530" s="212"/>
      <c r="X530" s="212"/>
      <c r="Y530" s="212"/>
      <c r="Z530" s="204"/>
      <c r="AA530" s="204"/>
      <c r="AB530" s="204"/>
      <c r="AC530" s="204"/>
      <c r="AD530" s="204"/>
      <c r="AE530" s="212"/>
      <c r="AF530" s="213"/>
      <c r="AG530" s="213"/>
      <c r="AH530" s="213"/>
      <c r="AI530" s="213"/>
      <c r="AJ530" s="213"/>
      <c r="AK530" s="213"/>
      <c r="AL530" s="213"/>
      <c r="AM530" s="213"/>
      <c r="AN530" s="213"/>
      <c r="AO530" s="213"/>
      <c r="AP530" s="213"/>
      <c r="AQ530" s="213"/>
      <c r="AR530" s="213"/>
      <c r="AS530" s="213"/>
      <c r="AT530" s="213"/>
      <c r="AU530" s="213"/>
      <c r="AV530" s="213"/>
      <c r="AW530" s="213"/>
      <c r="AX530" s="213"/>
      <c r="AY530" s="213"/>
      <c r="AZ530" s="213"/>
      <c r="BA530" s="213"/>
      <c r="BB530" s="213"/>
    </row>
    <row r="531">
      <c r="A531" s="199"/>
      <c r="B531" s="12"/>
      <c r="C531" s="202"/>
      <c r="D531" s="199"/>
      <c r="E531" s="211"/>
      <c r="F531" s="201"/>
      <c r="G531" s="199"/>
      <c r="H531" s="199"/>
      <c r="I531" s="199"/>
      <c r="J531" s="212"/>
      <c r="K531" s="212"/>
      <c r="L531" s="212"/>
      <c r="M531" s="212"/>
      <c r="N531" s="212"/>
      <c r="O531" s="212"/>
      <c r="P531" s="212"/>
      <c r="Q531" s="212"/>
      <c r="R531" s="212"/>
      <c r="S531" s="212"/>
      <c r="T531" s="212"/>
      <c r="U531" s="212"/>
      <c r="V531" s="212"/>
      <c r="W531" s="212"/>
      <c r="X531" s="212"/>
      <c r="Y531" s="212"/>
      <c r="Z531" s="204"/>
      <c r="AA531" s="204"/>
      <c r="AB531" s="204"/>
      <c r="AC531" s="204"/>
      <c r="AD531" s="204"/>
      <c r="AE531" s="212"/>
      <c r="AF531" s="213"/>
      <c r="AG531" s="213"/>
      <c r="AH531" s="213"/>
      <c r="AI531" s="213"/>
      <c r="AJ531" s="213"/>
      <c r="AK531" s="213"/>
      <c r="AL531" s="213"/>
      <c r="AM531" s="213"/>
      <c r="AN531" s="213"/>
      <c r="AO531" s="213"/>
      <c r="AP531" s="213"/>
      <c r="AQ531" s="213"/>
      <c r="AR531" s="213"/>
      <c r="AS531" s="213"/>
      <c r="AT531" s="213"/>
      <c r="AU531" s="213"/>
      <c r="AV531" s="213"/>
      <c r="AW531" s="213"/>
      <c r="AX531" s="213"/>
      <c r="AY531" s="213"/>
      <c r="AZ531" s="213"/>
      <c r="BA531" s="213"/>
      <c r="BB531" s="213"/>
    </row>
    <row r="532">
      <c r="A532" s="199"/>
      <c r="B532" s="12"/>
      <c r="C532" s="202"/>
      <c r="D532" s="199"/>
      <c r="E532" s="211"/>
      <c r="F532" s="201"/>
      <c r="G532" s="199"/>
      <c r="H532" s="199"/>
      <c r="I532" s="199"/>
      <c r="J532" s="212"/>
      <c r="K532" s="212"/>
      <c r="L532" s="212"/>
      <c r="M532" s="212"/>
      <c r="N532" s="212"/>
      <c r="O532" s="212"/>
      <c r="P532" s="212"/>
      <c r="Q532" s="212"/>
      <c r="R532" s="212"/>
      <c r="S532" s="212"/>
      <c r="T532" s="212"/>
      <c r="U532" s="212"/>
      <c r="V532" s="212"/>
      <c r="W532" s="212"/>
      <c r="X532" s="212"/>
      <c r="Y532" s="212"/>
      <c r="Z532" s="204"/>
      <c r="AA532" s="204"/>
      <c r="AB532" s="204"/>
      <c r="AC532" s="204"/>
      <c r="AD532" s="204"/>
      <c r="AE532" s="212"/>
      <c r="AF532" s="213"/>
      <c r="AG532" s="213"/>
      <c r="AH532" s="213"/>
      <c r="AI532" s="213"/>
      <c r="AJ532" s="213"/>
      <c r="AK532" s="213"/>
      <c r="AL532" s="213"/>
      <c r="AM532" s="213"/>
      <c r="AN532" s="213"/>
      <c r="AO532" s="213"/>
      <c r="AP532" s="213"/>
      <c r="AQ532" s="213"/>
      <c r="AR532" s="213"/>
      <c r="AS532" s="213"/>
      <c r="AT532" s="213"/>
      <c r="AU532" s="213"/>
      <c r="AV532" s="213"/>
      <c r="AW532" s="213"/>
      <c r="AX532" s="213"/>
      <c r="AY532" s="213"/>
      <c r="AZ532" s="213"/>
      <c r="BA532" s="213"/>
      <c r="BB532" s="213"/>
    </row>
    <row r="533">
      <c r="A533" s="199"/>
      <c r="B533" s="12"/>
      <c r="C533" s="202"/>
      <c r="D533" s="199"/>
      <c r="E533" s="211"/>
      <c r="F533" s="201"/>
      <c r="G533" s="199"/>
      <c r="H533" s="199"/>
      <c r="I533" s="199"/>
      <c r="J533" s="212"/>
      <c r="K533" s="212"/>
      <c r="L533" s="212"/>
      <c r="M533" s="212"/>
      <c r="N533" s="212"/>
      <c r="O533" s="212"/>
      <c r="P533" s="212"/>
      <c r="Q533" s="212"/>
      <c r="R533" s="212"/>
      <c r="S533" s="212"/>
      <c r="T533" s="212"/>
      <c r="U533" s="212"/>
      <c r="V533" s="212"/>
      <c r="W533" s="212"/>
      <c r="X533" s="212"/>
      <c r="Y533" s="212"/>
      <c r="Z533" s="204"/>
      <c r="AA533" s="204"/>
      <c r="AB533" s="204"/>
      <c r="AC533" s="204"/>
      <c r="AD533" s="204"/>
      <c r="AE533" s="212"/>
      <c r="AF533" s="213"/>
      <c r="AG533" s="213"/>
      <c r="AH533" s="213"/>
      <c r="AI533" s="213"/>
      <c r="AJ533" s="213"/>
      <c r="AK533" s="213"/>
      <c r="AL533" s="213"/>
      <c r="AM533" s="213"/>
      <c r="AN533" s="213"/>
      <c r="AO533" s="213"/>
      <c r="AP533" s="213"/>
      <c r="AQ533" s="213"/>
      <c r="AR533" s="213"/>
      <c r="AS533" s="213"/>
      <c r="AT533" s="213"/>
      <c r="AU533" s="213"/>
      <c r="AV533" s="213"/>
      <c r="AW533" s="213"/>
      <c r="AX533" s="213"/>
      <c r="AY533" s="213"/>
      <c r="AZ533" s="213"/>
      <c r="BA533" s="213"/>
      <c r="BB533" s="213"/>
    </row>
    <row r="534">
      <c r="A534" s="199"/>
      <c r="B534" s="12"/>
      <c r="C534" s="202"/>
      <c r="D534" s="199"/>
      <c r="E534" s="211"/>
      <c r="F534" s="201"/>
      <c r="G534" s="199"/>
      <c r="H534" s="199"/>
      <c r="I534" s="199"/>
      <c r="J534" s="212"/>
      <c r="K534" s="212"/>
      <c r="L534" s="212"/>
      <c r="M534" s="212"/>
      <c r="N534" s="212"/>
      <c r="O534" s="212"/>
      <c r="P534" s="212"/>
      <c r="Q534" s="212"/>
      <c r="R534" s="212"/>
      <c r="S534" s="212"/>
      <c r="T534" s="212"/>
      <c r="U534" s="212"/>
      <c r="V534" s="212"/>
      <c r="W534" s="212"/>
      <c r="X534" s="212"/>
      <c r="Y534" s="212"/>
      <c r="Z534" s="204"/>
      <c r="AA534" s="204"/>
      <c r="AB534" s="204"/>
      <c r="AC534" s="204"/>
      <c r="AD534" s="204"/>
      <c r="AE534" s="212"/>
      <c r="AF534" s="213"/>
      <c r="AG534" s="213"/>
      <c r="AH534" s="213"/>
      <c r="AI534" s="213"/>
      <c r="AJ534" s="213"/>
      <c r="AK534" s="213"/>
      <c r="AL534" s="213"/>
      <c r="AM534" s="213"/>
      <c r="AN534" s="213"/>
      <c r="AO534" s="213"/>
      <c r="AP534" s="213"/>
      <c r="AQ534" s="213"/>
      <c r="AR534" s="213"/>
      <c r="AS534" s="213"/>
      <c r="AT534" s="213"/>
      <c r="AU534" s="213"/>
      <c r="AV534" s="213"/>
      <c r="AW534" s="213"/>
      <c r="AX534" s="213"/>
      <c r="AY534" s="213"/>
      <c r="AZ534" s="213"/>
      <c r="BA534" s="213"/>
      <c r="BB534" s="213"/>
    </row>
    <row r="535">
      <c r="A535" s="199"/>
      <c r="B535" s="12"/>
      <c r="C535" s="202"/>
      <c r="D535" s="199"/>
      <c r="E535" s="211"/>
      <c r="F535" s="201"/>
      <c r="G535" s="199"/>
      <c r="H535" s="199"/>
      <c r="I535" s="199"/>
      <c r="J535" s="212"/>
      <c r="K535" s="212"/>
      <c r="L535" s="212"/>
      <c r="M535" s="212"/>
      <c r="N535" s="212"/>
      <c r="O535" s="212"/>
      <c r="P535" s="212"/>
      <c r="Q535" s="212"/>
      <c r="R535" s="212"/>
      <c r="S535" s="212"/>
      <c r="T535" s="212"/>
      <c r="U535" s="212"/>
      <c r="V535" s="212"/>
      <c r="W535" s="212"/>
      <c r="X535" s="212"/>
      <c r="Y535" s="212"/>
      <c r="Z535" s="204"/>
      <c r="AA535" s="204"/>
      <c r="AB535" s="204"/>
      <c r="AC535" s="204"/>
      <c r="AD535" s="204"/>
      <c r="AE535" s="212"/>
      <c r="AF535" s="213"/>
      <c r="AG535" s="213"/>
      <c r="AH535" s="213"/>
      <c r="AI535" s="213"/>
      <c r="AJ535" s="213"/>
      <c r="AK535" s="213"/>
      <c r="AL535" s="213"/>
      <c r="AM535" s="213"/>
      <c r="AN535" s="213"/>
      <c r="AO535" s="213"/>
      <c r="AP535" s="213"/>
      <c r="AQ535" s="213"/>
      <c r="AR535" s="213"/>
      <c r="AS535" s="213"/>
      <c r="AT535" s="213"/>
      <c r="AU535" s="213"/>
      <c r="AV535" s="213"/>
      <c r="AW535" s="213"/>
      <c r="AX535" s="213"/>
      <c r="AY535" s="213"/>
      <c r="AZ535" s="213"/>
      <c r="BA535" s="213"/>
      <c r="BB535" s="213"/>
    </row>
    <row r="536">
      <c r="A536" s="199"/>
      <c r="B536" s="12"/>
      <c r="C536" s="202"/>
      <c r="D536" s="199"/>
      <c r="E536" s="211"/>
      <c r="F536" s="201"/>
      <c r="G536" s="199"/>
      <c r="H536" s="199"/>
      <c r="I536" s="199"/>
      <c r="J536" s="212"/>
      <c r="K536" s="212"/>
      <c r="L536" s="212"/>
      <c r="M536" s="212"/>
      <c r="N536" s="212"/>
      <c r="O536" s="212"/>
      <c r="P536" s="212"/>
      <c r="Q536" s="212"/>
      <c r="R536" s="212"/>
      <c r="S536" s="212"/>
      <c r="T536" s="212"/>
      <c r="U536" s="212"/>
      <c r="V536" s="212"/>
      <c r="W536" s="212"/>
      <c r="X536" s="212"/>
      <c r="Y536" s="212"/>
      <c r="Z536" s="204"/>
      <c r="AA536" s="204"/>
      <c r="AB536" s="204"/>
      <c r="AC536" s="204"/>
      <c r="AD536" s="204"/>
      <c r="AE536" s="212"/>
      <c r="AF536" s="213"/>
      <c r="AG536" s="213"/>
      <c r="AH536" s="213"/>
      <c r="AI536" s="213"/>
      <c r="AJ536" s="213"/>
      <c r="AK536" s="213"/>
      <c r="AL536" s="213"/>
      <c r="AM536" s="213"/>
      <c r="AN536" s="213"/>
      <c r="AO536" s="213"/>
      <c r="AP536" s="213"/>
      <c r="AQ536" s="213"/>
      <c r="AR536" s="213"/>
      <c r="AS536" s="213"/>
      <c r="AT536" s="213"/>
      <c r="AU536" s="213"/>
      <c r="AV536" s="213"/>
      <c r="AW536" s="213"/>
      <c r="AX536" s="213"/>
      <c r="AY536" s="213"/>
      <c r="AZ536" s="213"/>
      <c r="BA536" s="213"/>
      <c r="BB536" s="213"/>
    </row>
    <row r="537">
      <c r="A537" s="199"/>
      <c r="B537" s="12"/>
      <c r="C537" s="202"/>
      <c r="D537" s="199"/>
      <c r="E537" s="211"/>
      <c r="F537" s="201"/>
      <c r="G537" s="199"/>
      <c r="H537" s="199"/>
      <c r="I537" s="199"/>
      <c r="J537" s="212"/>
      <c r="K537" s="212"/>
      <c r="L537" s="212"/>
      <c r="M537" s="212"/>
      <c r="N537" s="212"/>
      <c r="O537" s="212"/>
      <c r="P537" s="212"/>
      <c r="Q537" s="212"/>
      <c r="R537" s="212"/>
      <c r="S537" s="212"/>
      <c r="T537" s="212"/>
      <c r="U537" s="212"/>
      <c r="V537" s="212"/>
      <c r="W537" s="212"/>
      <c r="X537" s="212"/>
      <c r="Y537" s="212"/>
      <c r="Z537" s="204"/>
      <c r="AA537" s="204"/>
      <c r="AB537" s="204"/>
      <c r="AC537" s="204"/>
      <c r="AD537" s="204"/>
      <c r="AE537" s="212"/>
      <c r="AF537" s="213"/>
      <c r="AG537" s="213"/>
      <c r="AH537" s="213"/>
      <c r="AI537" s="213"/>
      <c r="AJ537" s="213"/>
      <c r="AK537" s="213"/>
      <c r="AL537" s="213"/>
      <c r="AM537" s="213"/>
      <c r="AN537" s="213"/>
      <c r="AO537" s="213"/>
      <c r="AP537" s="213"/>
      <c r="AQ537" s="213"/>
      <c r="AR537" s="213"/>
      <c r="AS537" s="213"/>
      <c r="AT537" s="213"/>
      <c r="AU537" s="213"/>
      <c r="AV537" s="213"/>
      <c r="AW537" s="213"/>
      <c r="AX537" s="213"/>
      <c r="AY537" s="213"/>
      <c r="AZ537" s="213"/>
      <c r="BA537" s="213"/>
      <c r="BB537" s="213"/>
    </row>
    <row r="538">
      <c r="A538" s="199"/>
      <c r="B538" s="12"/>
      <c r="C538" s="202"/>
      <c r="D538" s="199"/>
      <c r="E538" s="211"/>
      <c r="F538" s="201"/>
      <c r="G538" s="199"/>
      <c r="H538" s="199"/>
      <c r="I538" s="199"/>
      <c r="J538" s="212"/>
      <c r="K538" s="212"/>
      <c r="L538" s="212"/>
      <c r="M538" s="212"/>
      <c r="N538" s="212"/>
      <c r="O538" s="212"/>
      <c r="P538" s="212"/>
      <c r="Q538" s="212"/>
      <c r="R538" s="212"/>
      <c r="S538" s="212"/>
      <c r="T538" s="212"/>
      <c r="U538" s="212"/>
      <c r="V538" s="212"/>
      <c r="W538" s="212"/>
      <c r="X538" s="212"/>
      <c r="Y538" s="212"/>
      <c r="Z538" s="204"/>
      <c r="AA538" s="204"/>
      <c r="AB538" s="204"/>
      <c r="AC538" s="204"/>
      <c r="AD538" s="204"/>
      <c r="AE538" s="212"/>
      <c r="AF538" s="213"/>
      <c r="AG538" s="213"/>
      <c r="AH538" s="213"/>
      <c r="AI538" s="213"/>
      <c r="AJ538" s="213"/>
      <c r="AK538" s="213"/>
      <c r="AL538" s="213"/>
      <c r="AM538" s="213"/>
      <c r="AN538" s="213"/>
      <c r="AO538" s="213"/>
      <c r="AP538" s="213"/>
      <c r="AQ538" s="213"/>
      <c r="AR538" s="213"/>
      <c r="AS538" s="213"/>
      <c r="AT538" s="213"/>
      <c r="AU538" s="213"/>
      <c r="AV538" s="213"/>
      <c r="AW538" s="213"/>
      <c r="AX538" s="213"/>
      <c r="AY538" s="213"/>
      <c r="AZ538" s="213"/>
      <c r="BA538" s="213"/>
      <c r="BB538" s="213"/>
    </row>
    <row r="539">
      <c r="A539" s="199"/>
      <c r="B539" s="12"/>
      <c r="C539" s="202"/>
      <c r="D539" s="199"/>
      <c r="E539" s="211"/>
      <c r="F539" s="201"/>
      <c r="G539" s="199"/>
      <c r="H539" s="199"/>
      <c r="I539" s="199"/>
      <c r="J539" s="212"/>
      <c r="K539" s="212"/>
      <c r="L539" s="212"/>
      <c r="M539" s="212"/>
      <c r="N539" s="212"/>
      <c r="O539" s="212"/>
      <c r="P539" s="212"/>
      <c r="Q539" s="212"/>
      <c r="R539" s="212"/>
      <c r="S539" s="212"/>
      <c r="T539" s="212"/>
      <c r="U539" s="212"/>
      <c r="V539" s="212"/>
      <c r="W539" s="212"/>
      <c r="X539" s="212"/>
      <c r="Y539" s="212"/>
      <c r="Z539" s="204"/>
      <c r="AA539" s="204"/>
      <c r="AB539" s="204"/>
      <c r="AC539" s="204"/>
      <c r="AD539" s="204"/>
      <c r="AE539" s="212"/>
      <c r="AF539" s="213"/>
      <c r="AG539" s="213"/>
      <c r="AH539" s="213"/>
      <c r="AI539" s="213"/>
      <c r="AJ539" s="213"/>
      <c r="AK539" s="213"/>
      <c r="AL539" s="213"/>
      <c r="AM539" s="213"/>
      <c r="AN539" s="213"/>
      <c r="AO539" s="213"/>
      <c r="AP539" s="213"/>
      <c r="AQ539" s="213"/>
      <c r="AR539" s="213"/>
      <c r="AS539" s="213"/>
      <c r="AT539" s="213"/>
      <c r="AU539" s="213"/>
      <c r="AV539" s="213"/>
      <c r="AW539" s="213"/>
      <c r="AX539" s="213"/>
      <c r="AY539" s="213"/>
      <c r="AZ539" s="213"/>
      <c r="BA539" s="213"/>
      <c r="BB539" s="213"/>
    </row>
    <row r="540">
      <c r="A540" s="199"/>
      <c r="B540" s="12"/>
      <c r="C540" s="202"/>
      <c r="D540" s="199"/>
      <c r="E540" s="211"/>
      <c r="F540" s="201"/>
      <c r="G540" s="199"/>
      <c r="H540" s="199"/>
      <c r="I540" s="199"/>
      <c r="J540" s="212"/>
      <c r="K540" s="212"/>
      <c r="L540" s="212"/>
      <c r="M540" s="212"/>
      <c r="N540" s="212"/>
      <c r="O540" s="212"/>
      <c r="P540" s="212"/>
      <c r="Q540" s="212"/>
      <c r="R540" s="212"/>
      <c r="S540" s="212"/>
      <c r="T540" s="212"/>
      <c r="U540" s="212"/>
      <c r="V540" s="212"/>
      <c r="W540" s="212"/>
      <c r="X540" s="212"/>
      <c r="Y540" s="212"/>
      <c r="Z540" s="204"/>
      <c r="AA540" s="204"/>
      <c r="AB540" s="204"/>
      <c r="AC540" s="204"/>
      <c r="AD540" s="204"/>
      <c r="AE540" s="212"/>
      <c r="AF540" s="213"/>
      <c r="AG540" s="213"/>
      <c r="AH540" s="213"/>
      <c r="AI540" s="213"/>
      <c r="AJ540" s="213"/>
      <c r="AK540" s="213"/>
      <c r="AL540" s="213"/>
      <c r="AM540" s="213"/>
      <c r="AN540" s="213"/>
      <c r="AO540" s="213"/>
      <c r="AP540" s="213"/>
      <c r="AQ540" s="213"/>
      <c r="AR540" s="213"/>
      <c r="AS540" s="213"/>
      <c r="AT540" s="213"/>
      <c r="AU540" s="213"/>
      <c r="AV540" s="213"/>
      <c r="AW540" s="213"/>
      <c r="AX540" s="213"/>
      <c r="AY540" s="213"/>
      <c r="AZ540" s="213"/>
      <c r="BA540" s="213"/>
      <c r="BB540" s="213"/>
    </row>
    <row r="541">
      <c r="A541" s="199"/>
      <c r="B541" s="12"/>
      <c r="C541" s="202"/>
      <c r="D541" s="199"/>
      <c r="E541" s="211"/>
      <c r="F541" s="201"/>
      <c r="G541" s="199"/>
      <c r="H541" s="199"/>
      <c r="I541" s="199"/>
      <c r="J541" s="212"/>
      <c r="K541" s="212"/>
      <c r="L541" s="212"/>
      <c r="M541" s="212"/>
      <c r="N541" s="212"/>
      <c r="O541" s="212"/>
      <c r="P541" s="212"/>
      <c r="Q541" s="212"/>
      <c r="R541" s="212"/>
      <c r="S541" s="212"/>
      <c r="T541" s="212"/>
      <c r="U541" s="212"/>
      <c r="V541" s="212"/>
      <c r="W541" s="212"/>
      <c r="X541" s="212"/>
      <c r="Y541" s="212"/>
      <c r="Z541" s="204"/>
      <c r="AA541" s="204"/>
      <c r="AB541" s="204"/>
      <c r="AC541" s="204"/>
      <c r="AD541" s="204"/>
      <c r="AE541" s="212"/>
      <c r="AF541" s="213"/>
      <c r="AG541" s="213"/>
      <c r="AH541" s="213"/>
      <c r="AI541" s="213"/>
      <c r="AJ541" s="213"/>
      <c r="AK541" s="213"/>
      <c r="AL541" s="213"/>
      <c r="AM541" s="213"/>
      <c r="AN541" s="213"/>
      <c r="AO541" s="213"/>
      <c r="AP541" s="213"/>
      <c r="AQ541" s="213"/>
      <c r="AR541" s="213"/>
      <c r="AS541" s="213"/>
      <c r="AT541" s="213"/>
      <c r="AU541" s="213"/>
      <c r="AV541" s="213"/>
      <c r="AW541" s="213"/>
      <c r="AX541" s="213"/>
      <c r="AY541" s="213"/>
      <c r="AZ541" s="213"/>
      <c r="BA541" s="213"/>
      <c r="BB541" s="213"/>
    </row>
    <row r="542">
      <c r="A542" s="199"/>
      <c r="B542" s="12"/>
      <c r="C542" s="202"/>
      <c r="D542" s="199"/>
      <c r="E542" s="211"/>
      <c r="F542" s="201"/>
      <c r="G542" s="199"/>
      <c r="H542" s="199"/>
      <c r="I542" s="199"/>
      <c r="J542" s="212"/>
      <c r="K542" s="212"/>
      <c r="L542" s="212"/>
      <c r="M542" s="212"/>
      <c r="N542" s="212"/>
      <c r="O542" s="212"/>
      <c r="P542" s="212"/>
      <c r="Q542" s="212"/>
      <c r="R542" s="212"/>
      <c r="S542" s="212"/>
      <c r="T542" s="212"/>
      <c r="U542" s="212"/>
      <c r="V542" s="212"/>
      <c r="W542" s="212"/>
      <c r="X542" s="212"/>
      <c r="Y542" s="212"/>
      <c r="Z542" s="204"/>
      <c r="AA542" s="204"/>
      <c r="AB542" s="204"/>
      <c r="AC542" s="204"/>
      <c r="AD542" s="204"/>
      <c r="AE542" s="212"/>
      <c r="AF542" s="213"/>
      <c r="AG542" s="213"/>
      <c r="AH542" s="213"/>
      <c r="AI542" s="213"/>
      <c r="AJ542" s="213"/>
      <c r="AK542" s="213"/>
      <c r="AL542" s="213"/>
      <c r="AM542" s="213"/>
      <c r="AN542" s="213"/>
      <c r="AO542" s="213"/>
      <c r="AP542" s="213"/>
      <c r="AQ542" s="213"/>
      <c r="AR542" s="213"/>
      <c r="AS542" s="213"/>
      <c r="AT542" s="213"/>
      <c r="AU542" s="213"/>
      <c r="AV542" s="213"/>
      <c r="AW542" s="213"/>
      <c r="AX542" s="213"/>
      <c r="AY542" s="213"/>
      <c r="AZ542" s="213"/>
      <c r="BA542" s="213"/>
      <c r="BB542" s="213"/>
    </row>
    <row r="543">
      <c r="A543" s="199"/>
      <c r="B543" s="12"/>
      <c r="C543" s="202"/>
      <c r="D543" s="199"/>
      <c r="E543" s="211"/>
      <c r="F543" s="201"/>
      <c r="G543" s="199"/>
      <c r="H543" s="199"/>
      <c r="I543" s="199"/>
      <c r="J543" s="212"/>
      <c r="K543" s="212"/>
      <c r="L543" s="212"/>
      <c r="M543" s="212"/>
      <c r="N543" s="212"/>
      <c r="O543" s="212"/>
      <c r="P543" s="212"/>
      <c r="Q543" s="212"/>
      <c r="R543" s="212"/>
      <c r="S543" s="212"/>
      <c r="T543" s="212"/>
      <c r="U543" s="212"/>
      <c r="V543" s="212"/>
      <c r="W543" s="212"/>
      <c r="X543" s="212"/>
      <c r="Y543" s="212"/>
      <c r="Z543" s="204"/>
      <c r="AA543" s="204"/>
      <c r="AB543" s="204"/>
      <c r="AC543" s="204"/>
      <c r="AD543" s="204"/>
      <c r="AE543" s="212"/>
      <c r="AF543" s="213"/>
      <c r="AG543" s="213"/>
      <c r="AH543" s="213"/>
      <c r="AI543" s="213"/>
      <c r="AJ543" s="213"/>
      <c r="AK543" s="213"/>
      <c r="AL543" s="213"/>
      <c r="AM543" s="213"/>
      <c r="AN543" s="213"/>
      <c r="AO543" s="213"/>
      <c r="AP543" s="213"/>
      <c r="AQ543" s="213"/>
      <c r="AR543" s="213"/>
      <c r="AS543" s="213"/>
      <c r="AT543" s="213"/>
      <c r="AU543" s="213"/>
      <c r="AV543" s="213"/>
      <c r="AW543" s="213"/>
      <c r="AX543" s="213"/>
      <c r="AY543" s="213"/>
      <c r="AZ543" s="213"/>
      <c r="BA543" s="213"/>
      <c r="BB543" s="213"/>
    </row>
    <row r="544">
      <c r="A544" s="199"/>
      <c r="B544" s="12"/>
      <c r="C544" s="202"/>
      <c r="D544" s="199"/>
      <c r="E544" s="211"/>
      <c r="F544" s="201"/>
      <c r="G544" s="199"/>
      <c r="H544" s="199"/>
      <c r="I544" s="199"/>
      <c r="J544" s="212"/>
      <c r="K544" s="212"/>
      <c r="L544" s="212"/>
      <c r="M544" s="212"/>
      <c r="N544" s="212"/>
      <c r="O544" s="212"/>
      <c r="P544" s="212"/>
      <c r="Q544" s="212"/>
      <c r="R544" s="212"/>
      <c r="S544" s="212"/>
      <c r="T544" s="212"/>
      <c r="U544" s="212"/>
      <c r="V544" s="212"/>
      <c r="W544" s="212"/>
      <c r="X544" s="212"/>
      <c r="Y544" s="212"/>
      <c r="Z544" s="204"/>
      <c r="AA544" s="204"/>
      <c r="AB544" s="204"/>
      <c r="AC544" s="204"/>
      <c r="AD544" s="204"/>
      <c r="AE544" s="212"/>
      <c r="AF544" s="213"/>
      <c r="AG544" s="213"/>
      <c r="AH544" s="213"/>
      <c r="AI544" s="213"/>
      <c r="AJ544" s="213"/>
      <c r="AK544" s="213"/>
      <c r="AL544" s="213"/>
      <c r="AM544" s="213"/>
      <c r="AN544" s="213"/>
      <c r="AO544" s="213"/>
      <c r="AP544" s="213"/>
      <c r="AQ544" s="213"/>
      <c r="AR544" s="213"/>
      <c r="AS544" s="213"/>
      <c r="AT544" s="213"/>
      <c r="AU544" s="213"/>
      <c r="AV544" s="213"/>
      <c r="AW544" s="213"/>
      <c r="AX544" s="213"/>
      <c r="AY544" s="213"/>
      <c r="AZ544" s="213"/>
      <c r="BA544" s="213"/>
      <c r="BB544" s="213"/>
    </row>
    <row r="545">
      <c r="A545" s="199"/>
      <c r="B545" s="12"/>
      <c r="C545" s="202"/>
      <c r="D545" s="199"/>
      <c r="E545" s="211"/>
      <c r="F545" s="201"/>
      <c r="G545" s="199"/>
      <c r="H545" s="199"/>
      <c r="I545" s="199"/>
      <c r="J545" s="212"/>
      <c r="K545" s="212"/>
      <c r="L545" s="212"/>
      <c r="M545" s="212"/>
      <c r="N545" s="212"/>
      <c r="O545" s="212"/>
      <c r="P545" s="212"/>
      <c r="Q545" s="212"/>
      <c r="R545" s="212"/>
      <c r="S545" s="212"/>
      <c r="T545" s="212"/>
      <c r="U545" s="212"/>
      <c r="V545" s="212"/>
      <c r="W545" s="212"/>
      <c r="X545" s="212"/>
      <c r="Y545" s="212"/>
      <c r="Z545" s="204"/>
      <c r="AA545" s="204"/>
      <c r="AB545" s="204"/>
      <c r="AC545" s="204"/>
      <c r="AD545" s="204"/>
      <c r="AE545" s="212"/>
      <c r="AF545" s="213"/>
      <c r="AG545" s="213"/>
      <c r="AH545" s="213"/>
      <c r="AI545" s="213"/>
      <c r="AJ545" s="213"/>
      <c r="AK545" s="213"/>
      <c r="AL545" s="213"/>
      <c r="AM545" s="213"/>
      <c r="AN545" s="213"/>
      <c r="AO545" s="213"/>
      <c r="AP545" s="213"/>
      <c r="AQ545" s="213"/>
      <c r="AR545" s="213"/>
      <c r="AS545" s="213"/>
      <c r="AT545" s="213"/>
      <c r="AU545" s="213"/>
      <c r="AV545" s="213"/>
      <c r="AW545" s="213"/>
      <c r="AX545" s="213"/>
      <c r="AY545" s="213"/>
      <c r="AZ545" s="213"/>
      <c r="BA545" s="213"/>
      <c r="BB545" s="213"/>
    </row>
    <row r="546">
      <c r="A546" s="199"/>
      <c r="B546" s="12"/>
      <c r="C546" s="202"/>
      <c r="D546" s="199"/>
      <c r="E546" s="211"/>
      <c r="F546" s="201"/>
      <c r="G546" s="199"/>
      <c r="H546" s="199"/>
      <c r="I546" s="199"/>
      <c r="J546" s="212"/>
      <c r="K546" s="212"/>
      <c r="L546" s="212"/>
      <c r="M546" s="212"/>
      <c r="N546" s="212"/>
      <c r="O546" s="212"/>
      <c r="P546" s="212"/>
      <c r="Q546" s="212"/>
      <c r="R546" s="212"/>
      <c r="S546" s="212"/>
      <c r="T546" s="212"/>
      <c r="U546" s="212"/>
      <c r="V546" s="212"/>
      <c r="W546" s="212"/>
      <c r="X546" s="212"/>
      <c r="Y546" s="212"/>
      <c r="Z546" s="204"/>
      <c r="AA546" s="204"/>
      <c r="AB546" s="204"/>
      <c r="AC546" s="204"/>
      <c r="AD546" s="204"/>
      <c r="AE546" s="212"/>
      <c r="AF546" s="213"/>
      <c r="AG546" s="213"/>
      <c r="AH546" s="213"/>
      <c r="AI546" s="213"/>
      <c r="AJ546" s="213"/>
      <c r="AK546" s="213"/>
      <c r="AL546" s="213"/>
      <c r="AM546" s="213"/>
      <c r="AN546" s="213"/>
      <c r="AO546" s="213"/>
      <c r="AP546" s="213"/>
      <c r="AQ546" s="213"/>
      <c r="AR546" s="213"/>
      <c r="AS546" s="213"/>
      <c r="AT546" s="213"/>
      <c r="AU546" s="213"/>
      <c r="AV546" s="213"/>
      <c r="AW546" s="213"/>
      <c r="AX546" s="213"/>
      <c r="AY546" s="213"/>
      <c r="AZ546" s="213"/>
      <c r="BA546" s="213"/>
      <c r="BB546" s="213"/>
    </row>
    <row r="547">
      <c r="A547" s="199"/>
      <c r="B547" s="12"/>
      <c r="C547" s="202"/>
      <c r="D547" s="199"/>
      <c r="E547" s="211"/>
      <c r="F547" s="201"/>
      <c r="G547" s="199"/>
      <c r="H547" s="199"/>
      <c r="I547" s="199"/>
      <c r="J547" s="212"/>
      <c r="K547" s="212"/>
      <c r="L547" s="212"/>
      <c r="M547" s="212"/>
      <c r="N547" s="212"/>
      <c r="O547" s="212"/>
      <c r="P547" s="212"/>
      <c r="Q547" s="212"/>
      <c r="R547" s="212"/>
      <c r="S547" s="212"/>
      <c r="T547" s="212"/>
      <c r="U547" s="212"/>
      <c r="V547" s="212"/>
      <c r="W547" s="212"/>
      <c r="X547" s="212"/>
      <c r="Y547" s="212"/>
      <c r="Z547" s="204"/>
      <c r="AA547" s="204"/>
      <c r="AB547" s="204"/>
      <c r="AC547" s="204"/>
      <c r="AD547" s="204"/>
      <c r="AE547" s="212"/>
      <c r="AF547" s="213"/>
      <c r="AG547" s="213"/>
      <c r="AH547" s="213"/>
      <c r="AI547" s="213"/>
      <c r="AJ547" s="213"/>
      <c r="AK547" s="213"/>
      <c r="AL547" s="213"/>
      <c r="AM547" s="213"/>
      <c r="AN547" s="213"/>
      <c r="AO547" s="213"/>
      <c r="AP547" s="213"/>
      <c r="AQ547" s="213"/>
      <c r="AR547" s="213"/>
      <c r="AS547" s="213"/>
      <c r="AT547" s="213"/>
      <c r="AU547" s="213"/>
      <c r="AV547" s="213"/>
      <c r="AW547" s="213"/>
      <c r="AX547" s="213"/>
      <c r="AY547" s="213"/>
      <c r="AZ547" s="213"/>
      <c r="BA547" s="213"/>
      <c r="BB547" s="213"/>
    </row>
    <row r="548">
      <c r="A548" s="199"/>
      <c r="B548" s="12"/>
      <c r="C548" s="202"/>
      <c r="D548" s="199"/>
      <c r="E548" s="211"/>
      <c r="F548" s="201"/>
      <c r="G548" s="199"/>
      <c r="H548" s="199"/>
      <c r="I548" s="199"/>
      <c r="J548" s="212"/>
      <c r="K548" s="212"/>
      <c r="L548" s="212"/>
      <c r="M548" s="212"/>
      <c r="N548" s="212"/>
      <c r="O548" s="212"/>
      <c r="P548" s="212"/>
      <c r="Q548" s="212"/>
      <c r="R548" s="212"/>
      <c r="S548" s="212"/>
      <c r="T548" s="212"/>
      <c r="U548" s="212"/>
      <c r="V548" s="212"/>
      <c r="W548" s="212"/>
      <c r="X548" s="212"/>
      <c r="Y548" s="212"/>
      <c r="Z548" s="204"/>
      <c r="AA548" s="204"/>
      <c r="AB548" s="204"/>
      <c r="AC548" s="204"/>
      <c r="AD548" s="204"/>
      <c r="AE548" s="212"/>
      <c r="AF548" s="213"/>
      <c r="AG548" s="213"/>
      <c r="AH548" s="213"/>
      <c r="AI548" s="213"/>
      <c r="AJ548" s="213"/>
      <c r="AK548" s="213"/>
      <c r="AL548" s="213"/>
      <c r="AM548" s="213"/>
      <c r="AN548" s="213"/>
      <c r="AO548" s="213"/>
      <c r="AP548" s="213"/>
      <c r="AQ548" s="213"/>
      <c r="AR548" s="213"/>
      <c r="AS548" s="213"/>
      <c r="AT548" s="213"/>
      <c r="AU548" s="213"/>
      <c r="AV548" s="213"/>
      <c r="AW548" s="213"/>
      <c r="AX548" s="213"/>
      <c r="AY548" s="213"/>
      <c r="AZ548" s="213"/>
      <c r="BA548" s="213"/>
      <c r="BB548" s="213"/>
    </row>
    <row r="549">
      <c r="A549" s="199"/>
      <c r="B549" s="12"/>
      <c r="C549" s="202"/>
      <c r="D549" s="199"/>
      <c r="E549" s="211"/>
      <c r="F549" s="201"/>
      <c r="G549" s="199"/>
      <c r="H549" s="199"/>
      <c r="I549" s="199"/>
      <c r="J549" s="212"/>
      <c r="K549" s="212"/>
      <c r="L549" s="212"/>
      <c r="M549" s="212"/>
      <c r="N549" s="212"/>
      <c r="O549" s="212"/>
      <c r="P549" s="212"/>
      <c r="Q549" s="212"/>
      <c r="R549" s="212"/>
      <c r="S549" s="212"/>
      <c r="T549" s="212"/>
      <c r="U549" s="212"/>
      <c r="V549" s="212"/>
      <c r="W549" s="212"/>
      <c r="X549" s="212"/>
      <c r="Y549" s="212"/>
      <c r="Z549" s="204"/>
      <c r="AA549" s="204"/>
      <c r="AB549" s="204"/>
      <c r="AC549" s="204"/>
      <c r="AD549" s="204"/>
      <c r="AE549" s="212"/>
      <c r="AF549" s="213"/>
      <c r="AG549" s="213"/>
      <c r="AH549" s="213"/>
      <c r="AI549" s="213"/>
      <c r="AJ549" s="213"/>
      <c r="AK549" s="213"/>
      <c r="AL549" s="213"/>
      <c r="AM549" s="213"/>
      <c r="AN549" s="213"/>
      <c r="AO549" s="213"/>
      <c r="AP549" s="213"/>
      <c r="AQ549" s="213"/>
      <c r="AR549" s="213"/>
      <c r="AS549" s="213"/>
      <c r="AT549" s="213"/>
      <c r="AU549" s="213"/>
      <c r="AV549" s="213"/>
      <c r="AW549" s="213"/>
      <c r="AX549" s="213"/>
      <c r="AY549" s="213"/>
      <c r="AZ549" s="213"/>
      <c r="BA549" s="213"/>
      <c r="BB549" s="213"/>
    </row>
    <row r="550">
      <c r="A550" s="199"/>
      <c r="B550" s="12"/>
      <c r="C550" s="202"/>
      <c r="D550" s="199"/>
      <c r="E550" s="211"/>
      <c r="F550" s="201"/>
      <c r="G550" s="199"/>
      <c r="H550" s="199"/>
      <c r="I550" s="199"/>
      <c r="J550" s="212"/>
      <c r="K550" s="212"/>
      <c r="L550" s="212"/>
      <c r="M550" s="212"/>
      <c r="N550" s="212"/>
      <c r="O550" s="212"/>
      <c r="P550" s="212"/>
      <c r="Q550" s="212"/>
      <c r="R550" s="212"/>
      <c r="S550" s="212"/>
      <c r="T550" s="212"/>
      <c r="U550" s="212"/>
      <c r="V550" s="212"/>
      <c r="W550" s="212"/>
      <c r="X550" s="212"/>
      <c r="Y550" s="212"/>
      <c r="Z550" s="204"/>
      <c r="AA550" s="204"/>
      <c r="AB550" s="204"/>
      <c r="AC550" s="204"/>
      <c r="AD550" s="204"/>
      <c r="AE550" s="212"/>
      <c r="AF550" s="213"/>
      <c r="AG550" s="213"/>
      <c r="AH550" s="213"/>
      <c r="AI550" s="213"/>
      <c r="AJ550" s="213"/>
      <c r="AK550" s="213"/>
      <c r="AL550" s="213"/>
      <c r="AM550" s="213"/>
      <c r="AN550" s="213"/>
      <c r="AO550" s="213"/>
      <c r="AP550" s="213"/>
      <c r="AQ550" s="213"/>
      <c r="AR550" s="213"/>
      <c r="AS550" s="213"/>
      <c r="AT550" s="213"/>
      <c r="AU550" s="213"/>
      <c r="AV550" s="213"/>
      <c r="AW550" s="213"/>
      <c r="AX550" s="213"/>
      <c r="AY550" s="213"/>
      <c r="AZ550" s="213"/>
      <c r="BA550" s="213"/>
      <c r="BB550" s="213"/>
    </row>
    <row r="551">
      <c r="A551" s="199"/>
      <c r="B551" s="12"/>
      <c r="C551" s="202"/>
      <c r="D551" s="199"/>
      <c r="E551" s="211"/>
      <c r="F551" s="201"/>
      <c r="G551" s="199"/>
      <c r="H551" s="199"/>
      <c r="I551" s="199"/>
      <c r="J551" s="212"/>
      <c r="K551" s="212"/>
      <c r="L551" s="212"/>
      <c r="M551" s="212"/>
      <c r="N551" s="212"/>
      <c r="O551" s="212"/>
      <c r="P551" s="212"/>
      <c r="Q551" s="212"/>
      <c r="R551" s="212"/>
      <c r="S551" s="212"/>
      <c r="T551" s="212"/>
      <c r="U551" s="212"/>
      <c r="V551" s="212"/>
      <c r="W551" s="212"/>
      <c r="X551" s="212"/>
      <c r="Y551" s="212"/>
      <c r="Z551" s="204"/>
      <c r="AA551" s="204"/>
      <c r="AB551" s="204"/>
      <c r="AC551" s="204"/>
      <c r="AD551" s="204"/>
      <c r="AE551" s="212"/>
      <c r="AF551" s="213"/>
      <c r="AG551" s="213"/>
      <c r="AH551" s="213"/>
      <c r="AI551" s="213"/>
      <c r="AJ551" s="213"/>
      <c r="AK551" s="213"/>
      <c r="AL551" s="213"/>
      <c r="AM551" s="213"/>
      <c r="AN551" s="213"/>
      <c r="AO551" s="213"/>
      <c r="AP551" s="213"/>
      <c r="AQ551" s="213"/>
      <c r="AR551" s="213"/>
      <c r="AS551" s="213"/>
      <c r="AT551" s="213"/>
      <c r="AU551" s="213"/>
      <c r="AV551" s="213"/>
      <c r="AW551" s="213"/>
      <c r="AX551" s="213"/>
      <c r="AY551" s="213"/>
      <c r="AZ551" s="213"/>
      <c r="BA551" s="213"/>
      <c r="BB551" s="213"/>
    </row>
    <row r="552">
      <c r="A552" s="199"/>
      <c r="B552" s="12"/>
      <c r="C552" s="202"/>
      <c r="D552" s="199"/>
      <c r="E552" s="211"/>
      <c r="F552" s="201"/>
      <c r="G552" s="199"/>
      <c r="H552" s="199"/>
      <c r="I552" s="199"/>
      <c r="J552" s="212"/>
      <c r="K552" s="212"/>
      <c r="L552" s="212"/>
      <c r="M552" s="212"/>
      <c r="N552" s="212"/>
      <c r="O552" s="212"/>
      <c r="P552" s="212"/>
      <c r="Q552" s="212"/>
      <c r="R552" s="212"/>
      <c r="S552" s="212"/>
      <c r="T552" s="212"/>
      <c r="U552" s="212"/>
      <c r="V552" s="212"/>
      <c r="W552" s="212"/>
      <c r="X552" s="212"/>
      <c r="Y552" s="212"/>
      <c r="Z552" s="204"/>
      <c r="AA552" s="204"/>
      <c r="AB552" s="204"/>
      <c r="AC552" s="204"/>
      <c r="AD552" s="204"/>
      <c r="AE552" s="212"/>
      <c r="AF552" s="213"/>
      <c r="AG552" s="213"/>
      <c r="AH552" s="213"/>
      <c r="AI552" s="213"/>
      <c r="AJ552" s="213"/>
      <c r="AK552" s="213"/>
      <c r="AL552" s="213"/>
      <c r="AM552" s="213"/>
      <c r="AN552" s="213"/>
      <c r="AO552" s="213"/>
      <c r="AP552" s="213"/>
      <c r="AQ552" s="213"/>
      <c r="AR552" s="213"/>
      <c r="AS552" s="213"/>
      <c r="AT552" s="213"/>
      <c r="AU552" s="213"/>
      <c r="AV552" s="213"/>
      <c r="AW552" s="213"/>
      <c r="AX552" s="213"/>
      <c r="AY552" s="213"/>
      <c r="AZ552" s="213"/>
      <c r="BA552" s="213"/>
      <c r="BB552" s="213"/>
    </row>
    <row r="553">
      <c r="A553" s="199"/>
      <c r="B553" s="12"/>
      <c r="C553" s="202"/>
      <c r="D553" s="199"/>
      <c r="E553" s="211"/>
      <c r="F553" s="201"/>
      <c r="G553" s="199"/>
      <c r="H553" s="199"/>
      <c r="I553" s="199"/>
      <c r="J553" s="212"/>
      <c r="K553" s="212"/>
      <c r="L553" s="212"/>
      <c r="M553" s="212"/>
      <c r="N553" s="212"/>
      <c r="O553" s="212"/>
      <c r="P553" s="212"/>
      <c r="Q553" s="212"/>
      <c r="R553" s="212"/>
      <c r="S553" s="212"/>
      <c r="T553" s="212"/>
      <c r="U553" s="212"/>
      <c r="V553" s="212"/>
      <c r="W553" s="212"/>
      <c r="X553" s="212"/>
      <c r="Y553" s="212"/>
      <c r="Z553" s="204"/>
      <c r="AA553" s="204"/>
      <c r="AB553" s="204"/>
      <c r="AC553" s="204"/>
      <c r="AD553" s="204"/>
      <c r="AE553" s="212"/>
      <c r="AF553" s="213"/>
      <c r="AG553" s="213"/>
      <c r="AH553" s="213"/>
      <c r="AI553" s="213"/>
      <c r="AJ553" s="213"/>
      <c r="AK553" s="213"/>
      <c r="AL553" s="213"/>
      <c r="AM553" s="213"/>
      <c r="AN553" s="213"/>
      <c r="AO553" s="213"/>
      <c r="AP553" s="213"/>
      <c r="AQ553" s="213"/>
      <c r="AR553" s="213"/>
      <c r="AS553" s="213"/>
      <c r="AT553" s="213"/>
      <c r="AU553" s="213"/>
      <c r="AV553" s="213"/>
      <c r="AW553" s="213"/>
      <c r="AX553" s="213"/>
      <c r="AY553" s="213"/>
      <c r="AZ553" s="213"/>
      <c r="BA553" s="213"/>
      <c r="BB553" s="213"/>
    </row>
    <row r="554">
      <c r="A554" s="199"/>
      <c r="B554" s="12"/>
      <c r="C554" s="202"/>
      <c r="D554" s="199"/>
      <c r="E554" s="211"/>
      <c r="F554" s="201"/>
      <c r="G554" s="199"/>
      <c r="H554" s="199"/>
      <c r="I554" s="199"/>
      <c r="J554" s="212"/>
      <c r="K554" s="212"/>
      <c r="L554" s="212"/>
      <c r="M554" s="212"/>
      <c r="N554" s="212"/>
      <c r="O554" s="212"/>
      <c r="P554" s="212"/>
      <c r="Q554" s="212"/>
      <c r="R554" s="212"/>
      <c r="S554" s="212"/>
      <c r="T554" s="212"/>
      <c r="U554" s="212"/>
      <c r="V554" s="212"/>
      <c r="W554" s="212"/>
      <c r="X554" s="212"/>
      <c r="Y554" s="212"/>
      <c r="Z554" s="204"/>
      <c r="AA554" s="204"/>
      <c r="AB554" s="204"/>
      <c r="AC554" s="204"/>
      <c r="AD554" s="204"/>
      <c r="AE554" s="212"/>
      <c r="AF554" s="213"/>
      <c r="AG554" s="213"/>
      <c r="AH554" s="213"/>
      <c r="AI554" s="213"/>
      <c r="AJ554" s="213"/>
      <c r="AK554" s="213"/>
      <c r="AL554" s="213"/>
      <c r="AM554" s="213"/>
      <c r="AN554" s="213"/>
      <c r="AO554" s="213"/>
      <c r="AP554" s="213"/>
      <c r="AQ554" s="213"/>
      <c r="AR554" s="213"/>
      <c r="AS554" s="213"/>
      <c r="AT554" s="213"/>
      <c r="AU554" s="213"/>
      <c r="AV554" s="213"/>
      <c r="AW554" s="213"/>
      <c r="AX554" s="213"/>
      <c r="AY554" s="213"/>
      <c r="AZ554" s="213"/>
      <c r="BA554" s="213"/>
      <c r="BB554" s="213"/>
    </row>
    <row r="555">
      <c r="A555" s="199"/>
      <c r="B555" s="12"/>
      <c r="C555" s="202"/>
      <c r="D555" s="199"/>
      <c r="E555" s="211"/>
      <c r="F555" s="201"/>
      <c r="G555" s="199"/>
      <c r="H555" s="199"/>
      <c r="I555" s="199"/>
      <c r="J555" s="212"/>
      <c r="K555" s="212"/>
      <c r="L555" s="212"/>
      <c r="M555" s="212"/>
      <c r="N555" s="212"/>
      <c r="O555" s="212"/>
      <c r="P555" s="212"/>
      <c r="Q555" s="212"/>
      <c r="R555" s="212"/>
      <c r="S555" s="212"/>
      <c r="T555" s="212"/>
      <c r="U555" s="212"/>
      <c r="V555" s="212"/>
      <c r="W555" s="212"/>
      <c r="X555" s="212"/>
      <c r="Y555" s="212"/>
      <c r="Z555" s="204"/>
      <c r="AA555" s="204"/>
      <c r="AB555" s="204"/>
      <c r="AC555" s="204"/>
      <c r="AD555" s="204"/>
      <c r="AE555" s="212"/>
      <c r="AF555" s="213"/>
      <c r="AG555" s="213"/>
      <c r="AH555" s="213"/>
      <c r="AI555" s="213"/>
      <c r="AJ555" s="213"/>
      <c r="AK555" s="213"/>
      <c r="AL555" s="213"/>
      <c r="AM555" s="213"/>
      <c r="AN555" s="213"/>
      <c r="AO555" s="213"/>
      <c r="AP555" s="213"/>
      <c r="AQ555" s="213"/>
      <c r="AR555" s="213"/>
      <c r="AS555" s="213"/>
      <c r="AT555" s="213"/>
      <c r="AU555" s="213"/>
      <c r="AV555" s="213"/>
      <c r="AW555" s="213"/>
      <c r="AX555" s="213"/>
      <c r="AY555" s="213"/>
      <c r="AZ555" s="213"/>
      <c r="BA555" s="213"/>
      <c r="BB555" s="213"/>
    </row>
    <row r="556">
      <c r="A556" s="199"/>
      <c r="B556" s="12"/>
      <c r="C556" s="202"/>
      <c r="D556" s="199"/>
      <c r="E556" s="211"/>
      <c r="F556" s="201"/>
      <c r="G556" s="199"/>
      <c r="H556" s="199"/>
      <c r="I556" s="199"/>
      <c r="J556" s="212"/>
      <c r="K556" s="212"/>
      <c r="L556" s="212"/>
      <c r="M556" s="212"/>
      <c r="N556" s="212"/>
      <c r="O556" s="212"/>
      <c r="P556" s="212"/>
      <c r="Q556" s="212"/>
      <c r="R556" s="212"/>
      <c r="S556" s="212"/>
      <c r="T556" s="212"/>
      <c r="U556" s="212"/>
      <c r="V556" s="212"/>
      <c r="W556" s="212"/>
      <c r="X556" s="212"/>
      <c r="Y556" s="212"/>
      <c r="Z556" s="204"/>
      <c r="AA556" s="204"/>
      <c r="AB556" s="204"/>
      <c r="AC556" s="204"/>
      <c r="AD556" s="204"/>
      <c r="AE556" s="212"/>
      <c r="AF556" s="213"/>
      <c r="AG556" s="213"/>
      <c r="AH556" s="213"/>
      <c r="AI556" s="213"/>
      <c r="AJ556" s="213"/>
      <c r="AK556" s="213"/>
      <c r="AL556" s="213"/>
      <c r="AM556" s="213"/>
      <c r="AN556" s="213"/>
      <c r="AO556" s="213"/>
      <c r="AP556" s="213"/>
      <c r="AQ556" s="213"/>
      <c r="AR556" s="213"/>
      <c r="AS556" s="213"/>
      <c r="AT556" s="213"/>
      <c r="AU556" s="213"/>
      <c r="AV556" s="213"/>
      <c r="AW556" s="213"/>
      <c r="AX556" s="213"/>
      <c r="AY556" s="213"/>
      <c r="AZ556" s="213"/>
      <c r="BA556" s="213"/>
      <c r="BB556" s="213"/>
    </row>
    <row r="557">
      <c r="A557" s="199"/>
      <c r="B557" s="12"/>
      <c r="C557" s="202"/>
      <c r="D557" s="199"/>
      <c r="E557" s="211"/>
      <c r="F557" s="201"/>
      <c r="G557" s="199"/>
      <c r="H557" s="199"/>
      <c r="I557" s="199"/>
      <c r="J557" s="212"/>
      <c r="K557" s="212"/>
      <c r="L557" s="212"/>
      <c r="M557" s="212"/>
      <c r="N557" s="212"/>
      <c r="O557" s="212"/>
      <c r="P557" s="212"/>
      <c r="Q557" s="212"/>
      <c r="R557" s="212"/>
      <c r="S557" s="212"/>
      <c r="T557" s="212"/>
      <c r="U557" s="212"/>
      <c r="V557" s="212"/>
      <c r="W557" s="212"/>
      <c r="X557" s="212"/>
      <c r="Y557" s="212"/>
      <c r="Z557" s="204"/>
      <c r="AA557" s="204"/>
      <c r="AB557" s="204"/>
      <c r="AC557" s="204"/>
      <c r="AD557" s="204"/>
      <c r="AE557" s="212"/>
      <c r="AF557" s="213"/>
      <c r="AG557" s="213"/>
      <c r="AH557" s="213"/>
      <c r="AI557" s="213"/>
      <c r="AJ557" s="213"/>
      <c r="AK557" s="213"/>
      <c r="AL557" s="213"/>
      <c r="AM557" s="213"/>
      <c r="AN557" s="213"/>
      <c r="AO557" s="213"/>
      <c r="AP557" s="213"/>
      <c r="AQ557" s="213"/>
      <c r="AR557" s="213"/>
      <c r="AS557" s="213"/>
      <c r="AT557" s="213"/>
      <c r="AU557" s="213"/>
      <c r="AV557" s="213"/>
      <c r="AW557" s="213"/>
      <c r="AX557" s="213"/>
      <c r="AY557" s="213"/>
      <c r="AZ557" s="213"/>
      <c r="BA557" s="213"/>
      <c r="BB557" s="213"/>
    </row>
    <row r="558">
      <c r="A558" s="199"/>
      <c r="B558" s="12"/>
      <c r="C558" s="202"/>
      <c r="D558" s="199"/>
      <c r="E558" s="211"/>
      <c r="F558" s="201"/>
      <c r="G558" s="199"/>
      <c r="H558" s="199"/>
      <c r="I558" s="199"/>
      <c r="J558" s="212"/>
      <c r="K558" s="212"/>
      <c r="L558" s="212"/>
      <c r="M558" s="212"/>
      <c r="N558" s="212"/>
      <c r="O558" s="212"/>
      <c r="P558" s="212"/>
      <c r="Q558" s="212"/>
      <c r="R558" s="212"/>
      <c r="S558" s="212"/>
      <c r="T558" s="212"/>
      <c r="U558" s="212"/>
      <c r="V558" s="212"/>
      <c r="W558" s="212"/>
      <c r="X558" s="212"/>
      <c r="Y558" s="212"/>
      <c r="Z558" s="204"/>
      <c r="AA558" s="204"/>
      <c r="AB558" s="204"/>
      <c r="AC558" s="204"/>
      <c r="AD558" s="204"/>
      <c r="AE558" s="212"/>
      <c r="AF558" s="213"/>
      <c r="AG558" s="213"/>
      <c r="AH558" s="213"/>
      <c r="AI558" s="213"/>
      <c r="AJ558" s="213"/>
      <c r="AK558" s="213"/>
      <c r="AL558" s="213"/>
      <c r="AM558" s="213"/>
      <c r="AN558" s="213"/>
      <c r="AO558" s="213"/>
      <c r="AP558" s="213"/>
      <c r="AQ558" s="213"/>
      <c r="AR558" s="213"/>
      <c r="AS558" s="213"/>
      <c r="AT558" s="213"/>
      <c r="AU558" s="213"/>
      <c r="AV558" s="213"/>
      <c r="AW558" s="213"/>
      <c r="AX558" s="213"/>
      <c r="AY558" s="213"/>
      <c r="AZ558" s="213"/>
      <c r="BA558" s="213"/>
      <c r="BB558" s="213"/>
    </row>
    <row r="559">
      <c r="A559" s="199"/>
      <c r="B559" s="12"/>
      <c r="C559" s="202"/>
      <c r="D559" s="199"/>
      <c r="E559" s="211"/>
      <c r="F559" s="201"/>
      <c r="G559" s="199"/>
      <c r="H559" s="199"/>
      <c r="I559" s="199"/>
      <c r="J559" s="212"/>
      <c r="K559" s="212"/>
      <c r="L559" s="212"/>
      <c r="M559" s="212"/>
      <c r="N559" s="212"/>
      <c r="O559" s="212"/>
      <c r="P559" s="212"/>
      <c r="Q559" s="212"/>
      <c r="R559" s="212"/>
      <c r="S559" s="212"/>
      <c r="T559" s="212"/>
      <c r="U559" s="212"/>
      <c r="V559" s="212"/>
      <c r="W559" s="212"/>
      <c r="X559" s="212"/>
      <c r="Y559" s="212"/>
      <c r="Z559" s="204"/>
      <c r="AA559" s="204"/>
      <c r="AB559" s="204"/>
      <c r="AC559" s="204"/>
      <c r="AD559" s="204"/>
      <c r="AE559" s="212"/>
      <c r="AF559" s="213"/>
      <c r="AG559" s="213"/>
      <c r="AH559" s="213"/>
      <c r="AI559" s="213"/>
      <c r="AJ559" s="213"/>
      <c r="AK559" s="213"/>
      <c r="AL559" s="213"/>
      <c r="AM559" s="213"/>
      <c r="AN559" s="213"/>
      <c r="AO559" s="213"/>
      <c r="AP559" s="213"/>
      <c r="AQ559" s="213"/>
      <c r="AR559" s="213"/>
      <c r="AS559" s="213"/>
      <c r="AT559" s="213"/>
      <c r="AU559" s="213"/>
      <c r="AV559" s="213"/>
      <c r="AW559" s="213"/>
      <c r="AX559" s="213"/>
      <c r="AY559" s="213"/>
      <c r="AZ559" s="213"/>
      <c r="BA559" s="213"/>
      <c r="BB559" s="213"/>
    </row>
    <row r="560">
      <c r="A560" s="199"/>
      <c r="B560" s="12"/>
      <c r="C560" s="202"/>
      <c r="D560" s="199"/>
      <c r="E560" s="211"/>
      <c r="F560" s="201"/>
      <c r="G560" s="199"/>
      <c r="H560" s="199"/>
      <c r="I560" s="199"/>
      <c r="J560" s="212"/>
      <c r="K560" s="212"/>
      <c r="L560" s="212"/>
      <c r="M560" s="212"/>
      <c r="N560" s="212"/>
      <c r="O560" s="212"/>
      <c r="P560" s="212"/>
      <c r="Q560" s="212"/>
      <c r="R560" s="212"/>
      <c r="S560" s="212"/>
      <c r="T560" s="212"/>
      <c r="U560" s="212"/>
      <c r="V560" s="212"/>
      <c r="W560" s="212"/>
      <c r="X560" s="212"/>
      <c r="Y560" s="212"/>
      <c r="Z560" s="204"/>
      <c r="AA560" s="204"/>
      <c r="AB560" s="204"/>
      <c r="AC560" s="204"/>
      <c r="AD560" s="204"/>
      <c r="AE560" s="212"/>
      <c r="AF560" s="213"/>
      <c r="AG560" s="213"/>
      <c r="AH560" s="213"/>
      <c r="AI560" s="213"/>
      <c r="AJ560" s="213"/>
      <c r="AK560" s="213"/>
      <c r="AL560" s="213"/>
      <c r="AM560" s="213"/>
      <c r="AN560" s="213"/>
      <c r="AO560" s="213"/>
      <c r="AP560" s="213"/>
      <c r="AQ560" s="213"/>
      <c r="AR560" s="213"/>
      <c r="AS560" s="213"/>
      <c r="AT560" s="213"/>
      <c r="AU560" s="213"/>
      <c r="AV560" s="213"/>
      <c r="AW560" s="213"/>
      <c r="AX560" s="213"/>
      <c r="AY560" s="213"/>
      <c r="AZ560" s="213"/>
      <c r="BA560" s="213"/>
      <c r="BB560" s="213"/>
    </row>
    <row r="561">
      <c r="A561" s="199"/>
      <c r="B561" s="12"/>
      <c r="C561" s="202"/>
      <c r="D561" s="199"/>
      <c r="E561" s="211"/>
      <c r="F561" s="201"/>
      <c r="G561" s="199"/>
      <c r="H561" s="199"/>
      <c r="I561" s="199"/>
      <c r="J561" s="212"/>
      <c r="K561" s="212"/>
      <c r="L561" s="212"/>
      <c r="M561" s="212"/>
      <c r="N561" s="212"/>
      <c r="O561" s="212"/>
      <c r="P561" s="212"/>
      <c r="Q561" s="212"/>
      <c r="R561" s="212"/>
      <c r="S561" s="212"/>
      <c r="T561" s="212"/>
      <c r="U561" s="212"/>
      <c r="V561" s="212"/>
      <c r="W561" s="212"/>
      <c r="X561" s="212"/>
      <c r="Y561" s="212"/>
      <c r="Z561" s="204"/>
      <c r="AA561" s="204"/>
      <c r="AB561" s="204"/>
      <c r="AC561" s="204"/>
      <c r="AD561" s="204"/>
      <c r="AE561" s="212"/>
      <c r="AF561" s="213"/>
      <c r="AG561" s="213"/>
      <c r="AH561" s="213"/>
      <c r="AI561" s="213"/>
      <c r="AJ561" s="213"/>
      <c r="AK561" s="213"/>
      <c r="AL561" s="213"/>
      <c r="AM561" s="213"/>
      <c r="AN561" s="213"/>
      <c r="AO561" s="213"/>
      <c r="AP561" s="213"/>
      <c r="AQ561" s="213"/>
      <c r="AR561" s="213"/>
      <c r="AS561" s="213"/>
      <c r="AT561" s="213"/>
      <c r="AU561" s="213"/>
      <c r="AV561" s="213"/>
      <c r="AW561" s="213"/>
      <c r="AX561" s="213"/>
      <c r="AY561" s="213"/>
      <c r="AZ561" s="213"/>
      <c r="BA561" s="213"/>
      <c r="BB561" s="213"/>
    </row>
    <row r="562">
      <c r="A562" s="199"/>
      <c r="B562" s="12"/>
      <c r="C562" s="202"/>
      <c r="D562" s="199"/>
      <c r="E562" s="211"/>
      <c r="F562" s="201"/>
      <c r="G562" s="199"/>
      <c r="H562" s="199"/>
      <c r="I562" s="199"/>
      <c r="J562" s="212"/>
      <c r="K562" s="212"/>
      <c r="L562" s="212"/>
      <c r="M562" s="212"/>
      <c r="N562" s="212"/>
      <c r="O562" s="212"/>
      <c r="P562" s="212"/>
      <c r="Q562" s="212"/>
      <c r="R562" s="212"/>
      <c r="S562" s="212"/>
      <c r="T562" s="212"/>
      <c r="U562" s="212"/>
      <c r="V562" s="212"/>
      <c r="W562" s="212"/>
      <c r="X562" s="212"/>
      <c r="Y562" s="212"/>
      <c r="Z562" s="204"/>
      <c r="AA562" s="204"/>
      <c r="AB562" s="204"/>
      <c r="AC562" s="204"/>
      <c r="AD562" s="204"/>
      <c r="AE562" s="212"/>
      <c r="AF562" s="213"/>
      <c r="AG562" s="213"/>
      <c r="AH562" s="213"/>
      <c r="AI562" s="213"/>
      <c r="AJ562" s="213"/>
      <c r="AK562" s="213"/>
      <c r="AL562" s="213"/>
      <c r="AM562" s="213"/>
      <c r="AN562" s="213"/>
      <c r="AO562" s="213"/>
      <c r="AP562" s="213"/>
      <c r="AQ562" s="213"/>
      <c r="AR562" s="213"/>
      <c r="AS562" s="213"/>
      <c r="AT562" s="213"/>
      <c r="AU562" s="213"/>
      <c r="AV562" s="213"/>
      <c r="AW562" s="213"/>
      <c r="AX562" s="213"/>
      <c r="AY562" s="213"/>
      <c r="AZ562" s="213"/>
      <c r="BA562" s="213"/>
      <c r="BB562" s="213"/>
    </row>
    <row r="563">
      <c r="A563" s="199"/>
      <c r="B563" s="12"/>
      <c r="C563" s="202"/>
      <c r="D563" s="199"/>
      <c r="E563" s="211"/>
      <c r="F563" s="201"/>
      <c r="G563" s="199"/>
      <c r="H563" s="199"/>
      <c r="I563" s="199"/>
      <c r="J563" s="212"/>
      <c r="K563" s="212"/>
      <c r="L563" s="212"/>
      <c r="M563" s="212"/>
      <c r="N563" s="212"/>
      <c r="O563" s="212"/>
      <c r="P563" s="212"/>
      <c r="Q563" s="212"/>
      <c r="R563" s="212"/>
      <c r="S563" s="212"/>
      <c r="T563" s="212"/>
      <c r="U563" s="212"/>
      <c r="V563" s="212"/>
      <c r="W563" s="212"/>
      <c r="X563" s="212"/>
      <c r="Y563" s="212"/>
      <c r="Z563" s="204"/>
      <c r="AA563" s="204"/>
      <c r="AB563" s="204"/>
      <c r="AC563" s="204"/>
      <c r="AD563" s="204"/>
      <c r="AE563" s="212"/>
      <c r="AF563" s="213"/>
      <c r="AG563" s="213"/>
      <c r="AH563" s="213"/>
      <c r="AI563" s="213"/>
      <c r="AJ563" s="213"/>
      <c r="AK563" s="213"/>
      <c r="AL563" s="213"/>
      <c r="AM563" s="213"/>
      <c r="AN563" s="213"/>
      <c r="AO563" s="213"/>
      <c r="AP563" s="213"/>
      <c r="AQ563" s="213"/>
      <c r="AR563" s="213"/>
      <c r="AS563" s="213"/>
      <c r="AT563" s="213"/>
      <c r="AU563" s="213"/>
      <c r="AV563" s="213"/>
      <c r="AW563" s="213"/>
      <c r="AX563" s="213"/>
      <c r="AY563" s="213"/>
      <c r="AZ563" s="213"/>
      <c r="BA563" s="213"/>
      <c r="BB563" s="213"/>
    </row>
    <row r="564">
      <c r="A564" s="199"/>
      <c r="B564" s="12"/>
      <c r="C564" s="202"/>
      <c r="D564" s="199"/>
      <c r="E564" s="211"/>
      <c r="F564" s="201"/>
      <c r="G564" s="199"/>
      <c r="H564" s="199"/>
      <c r="I564" s="199"/>
      <c r="J564" s="212"/>
      <c r="K564" s="212"/>
      <c r="L564" s="212"/>
      <c r="M564" s="212"/>
      <c r="N564" s="212"/>
      <c r="O564" s="212"/>
      <c r="P564" s="212"/>
      <c r="Q564" s="212"/>
      <c r="R564" s="212"/>
      <c r="S564" s="212"/>
      <c r="T564" s="212"/>
      <c r="U564" s="212"/>
      <c r="V564" s="212"/>
      <c r="W564" s="212"/>
      <c r="X564" s="212"/>
      <c r="Y564" s="212"/>
      <c r="Z564" s="204"/>
      <c r="AA564" s="204"/>
      <c r="AB564" s="204"/>
      <c r="AC564" s="204"/>
      <c r="AD564" s="204"/>
      <c r="AE564" s="212"/>
      <c r="AF564" s="213"/>
      <c r="AG564" s="213"/>
      <c r="AH564" s="213"/>
      <c r="AI564" s="213"/>
      <c r="AJ564" s="213"/>
      <c r="AK564" s="213"/>
      <c r="AL564" s="213"/>
      <c r="AM564" s="213"/>
      <c r="AN564" s="213"/>
      <c r="AO564" s="213"/>
      <c r="AP564" s="213"/>
      <c r="AQ564" s="213"/>
      <c r="AR564" s="213"/>
      <c r="AS564" s="213"/>
      <c r="AT564" s="213"/>
      <c r="AU564" s="213"/>
      <c r="AV564" s="213"/>
      <c r="AW564" s="213"/>
      <c r="AX564" s="213"/>
      <c r="AY564" s="213"/>
      <c r="AZ564" s="213"/>
      <c r="BA564" s="213"/>
      <c r="BB564" s="213"/>
    </row>
    <row r="565">
      <c r="A565" s="199"/>
      <c r="B565" s="12"/>
      <c r="C565" s="202"/>
      <c r="D565" s="199"/>
      <c r="E565" s="211"/>
      <c r="F565" s="201"/>
      <c r="G565" s="199"/>
      <c r="H565" s="199"/>
      <c r="I565" s="199"/>
      <c r="J565" s="212"/>
      <c r="K565" s="212"/>
      <c r="L565" s="212"/>
      <c r="M565" s="212"/>
      <c r="N565" s="212"/>
      <c r="O565" s="212"/>
      <c r="P565" s="212"/>
      <c r="Q565" s="212"/>
      <c r="R565" s="212"/>
      <c r="S565" s="212"/>
      <c r="T565" s="212"/>
      <c r="U565" s="212"/>
      <c r="V565" s="212"/>
      <c r="W565" s="212"/>
      <c r="X565" s="212"/>
      <c r="Y565" s="212"/>
      <c r="Z565" s="204"/>
      <c r="AA565" s="204"/>
      <c r="AB565" s="204"/>
      <c r="AC565" s="204"/>
      <c r="AD565" s="204"/>
      <c r="AE565" s="212"/>
      <c r="AF565" s="213"/>
      <c r="AG565" s="213"/>
      <c r="AH565" s="213"/>
      <c r="AI565" s="213"/>
      <c r="AJ565" s="213"/>
      <c r="AK565" s="213"/>
      <c r="AL565" s="213"/>
      <c r="AM565" s="213"/>
      <c r="AN565" s="213"/>
      <c r="AO565" s="213"/>
      <c r="AP565" s="213"/>
      <c r="AQ565" s="213"/>
      <c r="AR565" s="213"/>
      <c r="AS565" s="213"/>
      <c r="AT565" s="213"/>
      <c r="AU565" s="213"/>
      <c r="AV565" s="213"/>
      <c r="AW565" s="213"/>
      <c r="AX565" s="213"/>
      <c r="AY565" s="213"/>
      <c r="AZ565" s="213"/>
      <c r="BA565" s="213"/>
      <c r="BB565" s="213"/>
    </row>
    <row r="566">
      <c r="A566" s="199"/>
      <c r="B566" s="12"/>
      <c r="C566" s="202"/>
      <c r="D566" s="199"/>
      <c r="E566" s="211"/>
      <c r="F566" s="201"/>
      <c r="G566" s="199"/>
      <c r="H566" s="199"/>
      <c r="I566" s="199"/>
      <c r="J566" s="212"/>
      <c r="K566" s="212"/>
      <c r="L566" s="212"/>
      <c r="M566" s="212"/>
      <c r="N566" s="212"/>
      <c r="O566" s="212"/>
      <c r="P566" s="212"/>
      <c r="Q566" s="212"/>
      <c r="R566" s="212"/>
      <c r="S566" s="212"/>
      <c r="T566" s="212"/>
      <c r="U566" s="212"/>
      <c r="V566" s="212"/>
      <c r="W566" s="212"/>
      <c r="X566" s="212"/>
      <c r="Y566" s="212"/>
      <c r="Z566" s="204"/>
      <c r="AA566" s="204"/>
      <c r="AB566" s="204"/>
      <c r="AC566" s="204"/>
      <c r="AD566" s="204"/>
      <c r="AE566" s="212"/>
      <c r="AF566" s="213"/>
      <c r="AG566" s="213"/>
      <c r="AH566" s="213"/>
      <c r="AI566" s="213"/>
      <c r="AJ566" s="213"/>
      <c r="AK566" s="213"/>
      <c r="AL566" s="213"/>
      <c r="AM566" s="213"/>
      <c r="AN566" s="213"/>
      <c r="AO566" s="213"/>
      <c r="AP566" s="213"/>
      <c r="AQ566" s="213"/>
      <c r="AR566" s="213"/>
      <c r="AS566" s="213"/>
      <c r="AT566" s="213"/>
      <c r="AU566" s="213"/>
      <c r="AV566" s="213"/>
      <c r="AW566" s="213"/>
      <c r="AX566" s="213"/>
      <c r="AY566" s="213"/>
      <c r="AZ566" s="213"/>
      <c r="BA566" s="213"/>
      <c r="BB566" s="213"/>
    </row>
    <row r="567">
      <c r="A567" s="199"/>
      <c r="B567" s="12"/>
      <c r="C567" s="202"/>
      <c r="D567" s="199"/>
      <c r="E567" s="211"/>
      <c r="F567" s="201"/>
      <c r="G567" s="199"/>
      <c r="H567" s="199"/>
      <c r="I567" s="199"/>
      <c r="J567" s="212"/>
      <c r="K567" s="212"/>
      <c r="L567" s="212"/>
      <c r="M567" s="212"/>
      <c r="N567" s="212"/>
      <c r="O567" s="212"/>
      <c r="P567" s="212"/>
      <c r="Q567" s="212"/>
      <c r="R567" s="212"/>
      <c r="S567" s="212"/>
      <c r="T567" s="212"/>
      <c r="U567" s="212"/>
      <c r="V567" s="212"/>
      <c r="W567" s="212"/>
      <c r="X567" s="212"/>
      <c r="Y567" s="212"/>
      <c r="Z567" s="204"/>
      <c r="AA567" s="204"/>
      <c r="AB567" s="204"/>
      <c r="AC567" s="204"/>
      <c r="AD567" s="204"/>
      <c r="AE567" s="212"/>
      <c r="AF567" s="213"/>
      <c r="AG567" s="213"/>
      <c r="AH567" s="213"/>
      <c r="AI567" s="213"/>
      <c r="AJ567" s="213"/>
      <c r="AK567" s="213"/>
      <c r="AL567" s="213"/>
      <c r="AM567" s="213"/>
      <c r="AN567" s="213"/>
      <c r="AO567" s="213"/>
      <c r="AP567" s="213"/>
      <c r="AQ567" s="213"/>
      <c r="AR567" s="213"/>
      <c r="AS567" s="213"/>
      <c r="AT567" s="213"/>
      <c r="AU567" s="213"/>
      <c r="AV567" s="213"/>
      <c r="AW567" s="213"/>
      <c r="AX567" s="213"/>
      <c r="AY567" s="213"/>
      <c r="AZ567" s="213"/>
      <c r="BA567" s="213"/>
      <c r="BB567" s="213"/>
    </row>
    <row r="568">
      <c r="A568" s="199"/>
      <c r="B568" s="12"/>
      <c r="C568" s="202"/>
      <c r="D568" s="199"/>
      <c r="E568" s="211"/>
      <c r="F568" s="201"/>
      <c r="G568" s="199"/>
      <c r="H568" s="199"/>
      <c r="I568" s="199"/>
      <c r="J568" s="212"/>
      <c r="K568" s="212"/>
      <c r="L568" s="212"/>
      <c r="M568" s="212"/>
      <c r="N568" s="212"/>
      <c r="O568" s="212"/>
      <c r="P568" s="212"/>
      <c r="Q568" s="212"/>
      <c r="R568" s="212"/>
      <c r="S568" s="212"/>
      <c r="T568" s="212"/>
      <c r="U568" s="212"/>
      <c r="V568" s="212"/>
      <c r="W568" s="212"/>
      <c r="X568" s="212"/>
      <c r="Y568" s="212"/>
      <c r="Z568" s="204"/>
      <c r="AA568" s="204"/>
      <c r="AB568" s="204"/>
      <c r="AC568" s="204"/>
      <c r="AD568" s="204"/>
      <c r="AE568" s="212"/>
      <c r="AF568" s="213"/>
      <c r="AG568" s="213"/>
      <c r="AH568" s="213"/>
      <c r="AI568" s="213"/>
      <c r="AJ568" s="213"/>
      <c r="AK568" s="213"/>
      <c r="AL568" s="213"/>
      <c r="AM568" s="213"/>
      <c r="AN568" s="213"/>
      <c r="AO568" s="213"/>
      <c r="AP568" s="213"/>
      <c r="AQ568" s="213"/>
      <c r="AR568" s="213"/>
      <c r="AS568" s="213"/>
      <c r="AT568" s="213"/>
      <c r="AU568" s="213"/>
      <c r="AV568" s="213"/>
      <c r="AW568" s="213"/>
      <c r="AX568" s="213"/>
      <c r="AY568" s="213"/>
      <c r="AZ568" s="213"/>
      <c r="BA568" s="213"/>
      <c r="BB568" s="213"/>
    </row>
    <row r="569">
      <c r="A569" s="199"/>
      <c r="B569" s="12"/>
      <c r="C569" s="202"/>
      <c r="D569" s="199"/>
      <c r="E569" s="211"/>
      <c r="F569" s="201"/>
      <c r="G569" s="199"/>
      <c r="H569" s="199"/>
      <c r="I569" s="199"/>
      <c r="J569" s="212"/>
      <c r="K569" s="212"/>
      <c r="L569" s="212"/>
      <c r="M569" s="212"/>
      <c r="N569" s="212"/>
      <c r="O569" s="212"/>
      <c r="P569" s="212"/>
      <c r="Q569" s="212"/>
      <c r="R569" s="212"/>
      <c r="S569" s="212"/>
      <c r="T569" s="212"/>
      <c r="U569" s="212"/>
      <c r="V569" s="212"/>
      <c r="W569" s="212"/>
      <c r="X569" s="212"/>
      <c r="Y569" s="212"/>
      <c r="Z569" s="204"/>
      <c r="AA569" s="204"/>
      <c r="AB569" s="204"/>
      <c r="AC569" s="204"/>
      <c r="AD569" s="204"/>
      <c r="AE569" s="212"/>
      <c r="AF569" s="213"/>
      <c r="AG569" s="213"/>
      <c r="AH569" s="213"/>
      <c r="AI569" s="213"/>
      <c r="AJ569" s="213"/>
      <c r="AK569" s="213"/>
      <c r="AL569" s="213"/>
      <c r="AM569" s="213"/>
      <c r="AN569" s="213"/>
      <c r="AO569" s="213"/>
      <c r="AP569" s="213"/>
      <c r="AQ569" s="213"/>
      <c r="AR569" s="213"/>
      <c r="AS569" s="213"/>
      <c r="AT569" s="213"/>
      <c r="AU569" s="213"/>
      <c r="AV569" s="213"/>
      <c r="AW569" s="213"/>
      <c r="AX569" s="213"/>
      <c r="AY569" s="213"/>
      <c r="AZ569" s="213"/>
      <c r="BA569" s="213"/>
      <c r="BB569" s="213"/>
    </row>
    <row r="570">
      <c r="A570" s="199"/>
      <c r="B570" s="12"/>
      <c r="C570" s="202"/>
      <c r="D570" s="199"/>
      <c r="E570" s="211"/>
      <c r="F570" s="201"/>
      <c r="G570" s="199"/>
      <c r="H570" s="199"/>
      <c r="I570" s="199"/>
      <c r="J570" s="212"/>
      <c r="K570" s="212"/>
      <c r="L570" s="212"/>
      <c r="M570" s="212"/>
      <c r="N570" s="212"/>
      <c r="O570" s="212"/>
      <c r="P570" s="212"/>
      <c r="Q570" s="212"/>
      <c r="R570" s="212"/>
      <c r="S570" s="212"/>
      <c r="T570" s="212"/>
      <c r="U570" s="212"/>
      <c r="V570" s="212"/>
      <c r="W570" s="212"/>
      <c r="X570" s="212"/>
      <c r="Y570" s="212"/>
      <c r="Z570" s="204"/>
      <c r="AA570" s="204"/>
      <c r="AB570" s="204"/>
      <c r="AC570" s="204"/>
      <c r="AD570" s="204"/>
      <c r="AE570" s="212"/>
      <c r="AF570" s="213"/>
      <c r="AG570" s="213"/>
      <c r="AH570" s="213"/>
      <c r="AI570" s="213"/>
      <c r="AJ570" s="213"/>
      <c r="AK570" s="213"/>
      <c r="AL570" s="213"/>
      <c r="AM570" s="213"/>
      <c r="AN570" s="213"/>
      <c r="AO570" s="213"/>
      <c r="AP570" s="213"/>
      <c r="AQ570" s="213"/>
      <c r="AR570" s="213"/>
      <c r="AS570" s="213"/>
      <c r="AT570" s="213"/>
      <c r="AU570" s="213"/>
      <c r="AV570" s="213"/>
      <c r="AW570" s="213"/>
      <c r="AX570" s="213"/>
      <c r="AY570" s="213"/>
      <c r="AZ570" s="213"/>
      <c r="BA570" s="213"/>
      <c r="BB570" s="213"/>
    </row>
    <row r="571">
      <c r="A571" s="199"/>
      <c r="B571" s="12"/>
      <c r="C571" s="202"/>
      <c r="D571" s="199"/>
      <c r="E571" s="211"/>
      <c r="F571" s="201"/>
      <c r="G571" s="199"/>
      <c r="H571" s="199"/>
      <c r="I571" s="199"/>
      <c r="J571" s="212"/>
      <c r="K571" s="212"/>
      <c r="L571" s="212"/>
      <c r="M571" s="212"/>
      <c r="N571" s="212"/>
      <c r="O571" s="212"/>
      <c r="P571" s="212"/>
      <c r="Q571" s="212"/>
      <c r="R571" s="212"/>
      <c r="S571" s="212"/>
      <c r="T571" s="212"/>
      <c r="U571" s="212"/>
      <c r="V571" s="212"/>
      <c r="W571" s="212"/>
      <c r="X571" s="212"/>
      <c r="Y571" s="212"/>
      <c r="Z571" s="204"/>
      <c r="AA571" s="204"/>
      <c r="AB571" s="204"/>
      <c r="AC571" s="204"/>
      <c r="AD571" s="204"/>
      <c r="AE571" s="212"/>
      <c r="AF571" s="213"/>
      <c r="AG571" s="213"/>
      <c r="AH571" s="213"/>
      <c r="AI571" s="213"/>
      <c r="AJ571" s="213"/>
      <c r="AK571" s="213"/>
      <c r="AL571" s="213"/>
      <c r="AM571" s="213"/>
      <c r="AN571" s="213"/>
      <c r="AO571" s="213"/>
      <c r="AP571" s="213"/>
      <c r="AQ571" s="213"/>
      <c r="AR571" s="213"/>
      <c r="AS571" s="213"/>
      <c r="AT571" s="213"/>
      <c r="AU571" s="213"/>
      <c r="AV571" s="213"/>
      <c r="AW571" s="213"/>
      <c r="AX571" s="213"/>
      <c r="AY571" s="213"/>
      <c r="AZ571" s="213"/>
      <c r="BA571" s="213"/>
      <c r="BB571" s="213"/>
    </row>
    <row r="572">
      <c r="A572" s="199"/>
      <c r="B572" s="12"/>
      <c r="C572" s="202"/>
      <c r="D572" s="199"/>
      <c r="E572" s="211"/>
      <c r="F572" s="201"/>
      <c r="G572" s="199"/>
      <c r="H572" s="199"/>
      <c r="I572" s="199"/>
      <c r="J572" s="212"/>
      <c r="K572" s="212"/>
      <c r="L572" s="212"/>
      <c r="M572" s="212"/>
      <c r="N572" s="212"/>
      <c r="O572" s="212"/>
      <c r="P572" s="212"/>
      <c r="Q572" s="212"/>
      <c r="R572" s="212"/>
      <c r="S572" s="212"/>
      <c r="T572" s="212"/>
      <c r="U572" s="212"/>
      <c r="V572" s="212"/>
      <c r="W572" s="212"/>
      <c r="X572" s="212"/>
      <c r="Y572" s="212"/>
      <c r="Z572" s="204"/>
      <c r="AA572" s="204"/>
      <c r="AB572" s="204"/>
      <c r="AC572" s="204"/>
      <c r="AD572" s="204"/>
      <c r="AE572" s="212"/>
      <c r="AF572" s="213"/>
      <c r="AG572" s="213"/>
      <c r="AH572" s="213"/>
      <c r="AI572" s="213"/>
      <c r="AJ572" s="213"/>
      <c r="AK572" s="213"/>
      <c r="AL572" s="213"/>
      <c r="AM572" s="213"/>
      <c r="AN572" s="213"/>
      <c r="AO572" s="213"/>
      <c r="AP572" s="213"/>
      <c r="AQ572" s="213"/>
      <c r="AR572" s="213"/>
      <c r="AS572" s="213"/>
      <c r="AT572" s="213"/>
      <c r="AU572" s="213"/>
      <c r="AV572" s="213"/>
      <c r="AW572" s="213"/>
      <c r="AX572" s="213"/>
      <c r="AY572" s="213"/>
      <c r="AZ572" s="213"/>
      <c r="BA572" s="213"/>
      <c r="BB572" s="213"/>
    </row>
    <row r="573">
      <c r="A573" s="199"/>
      <c r="B573" s="12"/>
      <c r="C573" s="202"/>
      <c r="D573" s="199"/>
      <c r="E573" s="211"/>
      <c r="F573" s="201"/>
      <c r="G573" s="199"/>
      <c r="H573" s="199"/>
      <c r="I573" s="199"/>
      <c r="J573" s="212"/>
      <c r="K573" s="212"/>
      <c r="L573" s="212"/>
      <c r="M573" s="212"/>
      <c r="N573" s="212"/>
      <c r="O573" s="212"/>
      <c r="P573" s="212"/>
      <c r="Q573" s="212"/>
      <c r="R573" s="212"/>
      <c r="S573" s="212"/>
      <c r="T573" s="212"/>
      <c r="U573" s="212"/>
      <c r="V573" s="212"/>
      <c r="W573" s="212"/>
      <c r="X573" s="212"/>
      <c r="Y573" s="212"/>
      <c r="Z573" s="204"/>
      <c r="AA573" s="204"/>
      <c r="AB573" s="204"/>
      <c r="AC573" s="204"/>
      <c r="AD573" s="204"/>
      <c r="AE573" s="212"/>
      <c r="AF573" s="213"/>
      <c r="AG573" s="213"/>
      <c r="AH573" s="213"/>
      <c r="AI573" s="213"/>
      <c r="AJ573" s="213"/>
      <c r="AK573" s="213"/>
      <c r="AL573" s="213"/>
      <c r="AM573" s="213"/>
      <c r="AN573" s="213"/>
      <c r="AO573" s="213"/>
      <c r="AP573" s="213"/>
      <c r="AQ573" s="213"/>
      <c r="AR573" s="213"/>
      <c r="AS573" s="213"/>
      <c r="AT573" s="213"/>
      <c r="AU573" s="213"/>
      <c r="AV573" s="213"/>
      <c r="AW573" s="213"/>
      <c r="AX573" s="213"/>
      <c r="AY573" s="213"/>
      <c r="AZ573" s="213"/>
      <c r="BA573" s="213"/>
      <c r="BB573" s="213"/>
    </row>
    <row r="574">
      <c r="A574" s="199"/>
      <c r="B574" s="12"/>
      <c r="C574" s="202"/>
      <c r="D574" s="199"/>
      <c r="E574" s="211"/>
      <c r="F574" s="201"/>
      <c r="G574" s="199"/>
      <c r="H574" s="199"/>
      <c r="I574" s="199"/>
      <c r="J574" s="212"/>
      <c r="K574" s="212"/>
      <c r="L574" s="212"/>
      <c r="M574" s="212"/>
      <c r="N574" s="212"/>
      <c r="O574" s="212"/>
      <c r="P574" s="212"/>
      <c r="Q574" s="212"/>
      <c r="R574" s="212"/>
      <c r="S574" s="212"/>
      <c r="T574" s="212"/>
      <c r="U574" s="212"/>
      <c r="V574" s="212"/>
      <c r="W574" s="212"/>
      <c r="X574" s="212"/>
      <c r="Y574" s="212"/>
      <c r="Z574" s="204"/>
      <c r="AA574" s="204"/>
      <c r="AB574" s="204"/>
      <c r="AC574" s="204"/>
      <c r="AD574" s="204"/>
      <c r="AE574" s="212"/>
      <c r="AF574" s="213"/>
      <c r="AG574" s="213"/>
      <c r="AH574" s="213"/>
      <c r="AI574" s="213"/>
      <c r="AJ574" s="213"/>
      <c r="AK574" s="213"/>
      <c r="AL574" s="213"/>
      <c r="AM574" s="213"/>
      <c r="AN574" s="213"/>
      <c r="AO574" s="213"/>
      <c r="AP574" s="213"/>
      <c r="AQ574" s="213"/>
      <c r="AR574" s="213"/>
      <c r="AS574" s="213"/>
      <c r="AT574" s="213"/>
      <c r="AU574" s="213"/>
      <c r="AV574" s="213"/>
      <c r="AW574" s="213"/>
      <c r="AX574" s="213"/>
      <c r="AY574" s="213"/>
      <c r="AZ574" s="213"/>
      <c r="BA574" s="213"/>
      <c r="BB574" s="213"/>
    </row>
    <row r="575">
      <c r="A575" s="199"/>
      <c r="B575" s="12"/>
      <c r="C575" s="202"/>
      <c r="D575" s="199"/>
      <c r="E575" s="211"/>
      <c r="F575" s="201"/>
      <c r="G575" s="199"/>
      <c r="H575" s="199"/>
      <c r="I575" s="199"/>
      <c r="J575" s="212"/>
      <c r="K575" s="212"/>
      <c r="L575" s="212"/>
      <c r="M575" s="212"/>
      <c r="N575" s="212"/>
      <c r="O575" s="212"/>
      <c r="P575" s="212"/>
      <c r="Q575" s="212"/>
      <c r="R575" s="212"/>
      <c r="S575" s="212"/>
      <c r="T575" s="212"/>
      <c r="U575" s="212"/>
      <c r="V575" s="212"/>
      <c r="W575" s="212"/>
      <c r="X575" s="212"/>
      <c r="Y575" s="212"/>
      <c r="Z575" s="204"/>
      <c r="AA575" s="204"/>
      <c r="AB575" s="204"/>
      <c r="AC575" s="204"/>
      <c r="AD575" s="204"/>
      <c r="AE575" s="212"/>
      <c r="AF575" s="213"/>
      <c r="AG575" s="213"/>
      <c r="AH575" s="213"/>
      <c r="AI575" s="213"/>
      <c r="AJ575" s="213"/>
      <c r="AK575" s="213"/>
      <c r="AL575" s="213"/>
      <c r="AM575" s="213"/>
      <c r="AN575" s="213"/>
      <c r="AO575" s="213"/>
      <c r="AP575" s="213"/>
      <c r="AQ575" s="213"/>
      <c r="AR575" s="213"/>
      <c r="AS575" s="213"/>
      <c r="AT575" s="213"/>
      <c r="AU575" s="213"/>
      <c r="AV575" s="213"/>
      <c r="AW575" s="213"/>
      <c r="AX575" s="213"/>
      <c r="AY575" s="213"/>
      <c r="AZ575" s="213"/>
      <c r="BA575" s="213"/>
      <c r="BB575" s="213"/>
    </row>
    <row r="576">
      <c r="A576" s="199"/>
      <c r="B576" s="12"/>
      <c r="C576" s="202"/>
      <c r="D576" s="199"/>
      <c r="E576" s="211"/>
      <c r="F576" s="201"/>
      <c r="G576" s="199"/>
      <c r="H576" s="199"/>
      <c r="I576" s="199"/>
      <c r="J576" s="212"/>
      <c r="K576" s="212"/>
      <c r="L576" s="212"/>
      <c r="M576" s="212"/>
      <c r="N576" s="212"/>
      <c r="O576" s="212"/>
      <c r="P576" s="212"/>
      <c r="Q576" s="212"/>
      <c r="R576" s="212"/>
      <c r="S576" s="212"/>
      <c r="T576" s="212"/>
      <c r="U576" s="212"/>
      <c r="V576" s="212"/>
      <c r="W576" s="212"/>
      <c r="X576" s="212"/>
      <c r="Y576" s="212"/>
      <c r="Z576" s="204"/>
      <c r="AA576" s="204"/>
      <c r="AB576" s="204"/>
      <c r="AC576" s="204"/>
      <c r="AD576" s="204"/>
      <c r="AE576" s="212"/>
      <c r="AF576" s="213"/>
      <c r="AG576" s="213"/>
      <c r="AH576" s="213"/>
      <c r="AI576" s="213"/>
      <c r="AJ576" s="213"/>
      <c r="AK576" s="213"/>
      <c r="AL576" s="213"/>
      <c r="AM576" s="213"/>
      <c r="AN576" s="213"/>
      <c r="AO576" s="213"/>
      <c r="AP576" s="213"/>
      <c r="AQ576" s="213"/>
      <c r="AR576" s="213"/>
      <c r="AS576" s="213"/>
      <c r="AT576" s="213"/>
      <c r="AU576" s="213"/>
      <c r="AV576" s="213"/>
      <c r="AW576" s="213"/>
      <c r="AX576" s="213"/>
      <c r="AY576" s="213"/>
      <c r="AZ576" s="213"/>
      <c r="BA576" s="213"/>
      <c r="BB576" s="213"/>
    </row>
    <row r="577">
      <c r="A577" s="199"/>
      <c r="B577" s="12"/>
      <c r="C577" s="202"/>
      <c r="D577" s="199"/>
      <c r="E577" s="211"/>
      <c r="F577" s="201"/>
      <c r="G577" s="199"/>
      <c r="H577" s="199"/>
      <c r="I577" s="199"/>
      <c r="J577" s="212"/>
      <c r="K577" s="212"/>
      <c r="L577" s="212"/>
      <c r="M577" s="212"/>
      <c r="N577" s="212"/>
      <c r="O577" s="212"/>
      <c r="P577" s="212"/>
      <c r="Q577" s="212"/>
      <c r="R577" s="212"/>
      <c r="S577" s="212"/>
      <c r="T577" s="212"/>
      <c r="U577" s="212"/>
      <c r="V577" s="212"/>
      <c r="W577" s="212"/>
      <c r="X577" s="212"/>
      <c r="Y577" s="212"/>
      <c r="Z577" s="204"/>
      <c r="AA577" s="204"/>
      <c r="AB577" s="204"/>
      <c r="AC577" s="204"/>
      <c r="AD577" s="204"/>
      <c r="AE577" s="212"/>
      <c r="AF577" s="213"/>
      <c r="AG577" s="213"/>
      <c r="AH577" s="213"/>
      <c r="AI577" s="213"/>
      <c r="AJ577" s="213"/>
      <c r="AK577" s="213"/>
      <c r="AL577" s="213"/>
      <c r="AM577" s="213"/>
      <c r="AN577" s="213"/>
      <c r="AO577" s="213"/>
      <c r="AP577" s="213"/>
      <c r="AQ577" s="213"/>
      <c r="AR577" s="213"/>
      <c r="AS577" s="213"/>
      <c r="AT577" s="213"/>
      <c r="AU577" s="213"/>
      <c r="AV577" s="213"/>
      <c r="AW577" s="213"/>
      <c r="AX577" s="213"/>
      <c r="AY577" s="213"/>
      <c r="AZ577" s="213"/>
      <c r="BA577" s="213"/>
      <c r="BB577" s="213"/>
    </row>
    <row r="578">
      <c r="A578" s="199"/>
      <c r="B578" s="12"/>
      <c r="C578" s="202"/>
      <c r="D578" s="199"/>
      <c r="E578" s="211"/>
      <c r="F578" s="201"/>
      <c r="G578" s="199"/>
      <c r="H578" s="199"/>
      <c r="I578" s="199"/>
      <c r="J578" s="212"/>
      <c r="K578" s="212"/>
      <c r="L578" s="212"/>
      <c r="M578" s="212"/>
      <c r="N578" s="212"/>
      <c r="O578" s="212"/>
      <c r="P578" s="212"/>
      <c r="Q578" s="212"/>
      <c r="R578" s="212"/>
      <c r="S578" s="212"/>
      <c r="T578" s="212"/>
      <c r="U578" s="212"/>
      <c r="V578" s="212"/>
      <c r="W578" s="212"/>
      <c r="X578" s="212"/>
      <c r="Y578" s="212"/>
      <c r="Z578" s="204"/>
      <c r="AA578" s="204"/>
      <c r="AB578" s="204"/>
      <c r="AC578" s="204"/>
      <c r="AD578" s="204"/>
      <c r="AE578" s="212"/>
      <c r="AF578" s="213"/>
      <c r="AG578" s="213"/>
      <c r="AH578" s="213"/>
      <c r="AI578" s="213"/>
      <c r="AJ578" s="213"/>
      <c r="AK578" s="213"/>
      <c r="AL578" s="213"/>
      <c r="AM578" s="213"/>
      <c r="AN578" s="213"/>
      <c r="AO578" s="213"/>
      <c r="AP578" s="213"/>
      <c r="AQ578" s="213"/>
      <c r="AR578" s="213"/>
      <c r="AS578" s="213"/>
      <c r="AT578" s="213"/>
      <c r="AU578" s="213"/>
      <c r="AV578" s="213"/>
      <c r="AW578" s="213"/>
      <c r="AX578" s="213"/>
      <c r="AY578" s="213"/>
      <c r="AZ578" s="213"/>
      <c r="BA578" s="213"/>
      <c r="BB578" s="213"/>
    </row>
    <row r="579">
      <c r="A579" s="199"/>
      <c r="B579" s="12"/>
      <c r="C579" s="202"/>
      <c r="D579" s="199"/>
      <c r="E579" s="211"/>
      <c r="F579" s="201"/>
      <c r="G579" s="199"/>
      <c r="H579" s="199"/>
      <c r="I579" s="199"/>
      <c r="J579" s="212"/>
      <c r="K579" s="212"/>
      <c r="L579" s="212"/>
      <c r="M579" s="212"/>
      <c r="N579" s="212"/>
      <c r="O579" s="212"/>
      <c r="P579" s="212"/>
      <c r="Q579" s="212"/>
      <c r="R579" s="212"/>
      <c r="S579" s="212"/>
      <c r="T579" s="212"/>
      <c r="U579" s="212"/>
      <c r="V579" s="212"/>
      <c r="W579" s="212"/>
      <c r="X579" s="212"/>
      <c r="Y579" s="212"/>
      <c r="Z579" s="204"/>
      <c r="AA579" s="204"/>
      <c r="AB579" s="204"/>
      <c r="AC579" s="204"/>
      <c r="AD579" s="204"/>
      <c r="AE579" s="212"/>
      <c r="AF579" s="213"/>
      <c r="AG579" s="213"/>
      <c r="AH579" s="213"/>
      <c r="AI579" s="213"/>
      <c r="AJ579" s="213"/>
      <c r="AK579" s="213"/>
      <c r="AL579" s="213"/>
      <c r="AM579" s="213"/>
      <c r="AN579" s="213"/>
      <c r="AO579" s="213"/>
      <c r="AP579" s="213"/>
      <c r="AQ579" s="213"/>
      <c r="AR579" s="213"/>
      <c r="AS579" s="213"/>
      <c r="AT579" s="213"/>
      <c r="AU579" s="213"/>
      <c r="AV579" s="213"/>
      <c r="AW579" s="213"/>
      <c r="AX579" s="213"/>
      <c r="AY579" s="213"/>
      <c r="AZ579" s="213"/>
      <c r="BA579" s="213"/>
      <c r="BB579" s="213"/>
    </row>
    <row r="580">
      <c r="A580" s="199"/>
      <c r="B580" s="12"/>
      <c r="C580" s="202"/>
      <c r="D580" s="199"/>
      <c r="E580" s="211"/>
      <c r="F580" s="201"/>
      <c r="G580" s="199"/>
      <c r="H580" s="199"/>
      <c r="I580" s="199"/>
      <c r="J580" s="212"/>
      <c r="K580" s="212"/>
      <c r="L580" s="212"/>
      <c r="M580" s="212"/>
      <c r="N580" s="212"/>
      <c r="O580" s="212"/>
      <c r="P580" s="212"/>
      <c r="Q580" s="212"/>
      <c r="R580" s="212"/>
      <c r="S580" s="212"/>
      <c r="T580" s="212"/>
      <c r="U580" s="212"/>
      <c r="V580" s="212"/>
      <c r="W580" s="212"/>
      <c r="X580" s="212"/>
      <c r="Y580" s="212"/>
      <c r="Z580" s="204"/>
      <c r="AA580" s="204"/>
      <c r="AB580" s="204"/>
      <c r="AC580" s="204"/>
      <c r="AD580" s="204"/>
      <c r="AE580" s="212"/>
      <c r="AF580" s="213"/>
      <c r="AG580" s="213"/>
      <c r="AH580" s="213"/>
      <c r="AI580" s="213"/>
      <c r="AJ580" s="213"/>
      <c r="AK580" s="213"/>
      <c r="AL580" s="213"/>
      <c r="AM580" s="213"/>
      <c r="AN580" s="213"/>
      <c r="AO580" s="213"/>
      <c r="AP580" s="213"/>
      <c r="AQ580" s="213"/>
      <c r="AR580" s="213"/>
      <c r="AS580" s="213"/>
      <c r="AT580" s="213"/>
      <c r="AU580" s="213"/>
      <c r="AV580" s="213"/>
      <c r="AW580" s="213"/>
      <c r="AX580" s="213"/>
      <c r="AY580" s="213"/>
      <c r="AZ580" s="213"/>
      <c r="BA580" s="213"/>
      <c r="BB580" s="213"/>
    </row>
    <row r="581">
      <c r="A581" s="199"/>
      <c r="B581" s="12"/>
      <c r="C581" s="202"/>
      <c r="D581" s="199"/>
      <c r="E581" s="211"/>
      <c r="F581" s="201"/>
      <c r="G581" s="199"/>
      <c r="H581" s="199"/>
      <c r="I581" s="199"/>
      <c r="J581" s="212"/>
      <c r="K581" s="212"/>
      <c r="L581" s="212"/>
      <c r="M581" s="212"/>
      <c r="N581" s="212"/>
      <c r="O581" s="212"/>
      <c r="P581" s="212"/>
      <c r="Q581" s="212"/>
      <c r="R581" s="212"/>
      <c r="S581" s="212"/>
      <c r="T581" s="212"/>
      <c r="U581" s="212"/>
      <c r="V581" s="212"/>
      <c r="W581" s="212"/>
      <c r="X581" s="212"/>
      <c r="Y581" s="212"/>
      <c r="Z581" s="204"/>
      <c r="AA581" s="204"/>
      <c r="AB581" s="204"/>
      <c r="AC581" s="204"/>
      <c r="AD581" s="204"/>
      <c r="AE581" s="212"/>
      <c r="AF581" s="213"/>
      <c r="AG581" s="213"/>
      <c r="AH581" s="213"/>
      <c r="AI581" s="213"/>
      <c r="AJ581" s="213"/>
      <c r="AK581" s="213"/>
      <c r="AL581" s="213"/>
      <c r="AM581" s="213"/>
      <c r="AN581" s="213"/>
      <c r="AO581" s="213"/>
      <c r="AP581" s="213"/>
      <c r="AQ581" s="213"/>
      <c r="AR581" s="213"/>
      <c r="AS581" s="213"/>
      <c r="AT581" s="213"/>
      <c r="AU581" s="213"/>
      <c r="AV581" s="213"/>
      <c r="AW581" s="213"/>
      <c r="AX581" s="213"/>
      <c r="AY581" s="213"/>
      <c r="AZ581" s="213"/>
      <c r="BA581" s="213"/>
      <c r="BB581" s="213"/>
    </row>
    <row r="582">
      <c r="A582" s="199"/>
      <c r="B582" s="12"/>
      <c r="C582" s="202"/>
      <c r="D582" s="199"/>
      <c r="E582" s="211"/>
      <c r="F582" s="201"/>
      <c r="G582" s="199"/>
      <c r="H582" s="199"/>
      <c r="I582" s="199"/>
      <c r="J582" s="212"/>
      <c r="K582" s="212"/>
      <c r="L582" s="212"/>
      <c r="M582" s="212"/>
      <c r="N582" s="212"/>
      <c r="O582" s="212"/>
      <c r="P582" s="212"/>
      <c r="Q582" s="212"/>
      <c r="R582" s="212"/>
      <c r="S582" s="212"/>
      <c r="T582" s="212"/>
      <c r="U582" s="212"/>
      <c r="V582" s="212"/>
      <c r="W582" s="212"/>
      <c r="X582" s="212"/>
      <c r="Y582" s="212"/>
      <c r="Z582" s="204"/>
      <c r="AA582" s="204"/>
      <c r="AB582" s="204"/>
      <c r="AC582" s="204"/>
      <c r="AD582" s="204"/>
      <c r="AE582" s="212"/>
      <c r="AF582" s="213"/>
      <c r="AG582" s="213"/>
      <c r="AH582" s="213"/>
      <c r="AI582" s="213"/>
      <c r="AJ582" s="213"/>
      <c r="AK582" s="213"/>
      <c r="AL582" s="213"/>
      <c r="AM582" s="213"/>
      <c r="AN582" s="213"/>
      <c r="AO582" s="213"/>
      <c r="AP582" s="213"/>
      <c r="AQ582" s="213"/>
      <c r="AR582" s="213"/>
      <c r="AS582" s="213"/>
      <c r="AT582" s="213"/>
      <c r="AU582" s="213"/>
      <c r="AV582" s="213"/>
      <c r="AW582" s="213"/>
      <c r="AX582" s="213"/>
      <c r="AY582" s="213"/>
      <c r="AZ582" s="213"/>
      <c r="BA582" s="213"/>
      <c r="BB582" s="213"/>
    </row>
    <row r="583">
      <c r="A583" s="199"/>
      <c r="B583" s="12"/>
      <c r="C583" s="202"/>
      <c r="D583" s="199"/>
      <c r="E583" s="211"/>
      <c r="F583" s="201"/>
      <c r="G583" s="199"/>
      <c r="H583" s="199"/>
      <c r="I583" s="199"/>
      <c r="J583" s="212"/>
      <c r="K583" s="212"/>
      <c r="L583" s="212"/>
      <c r="M583" s="212"/>
      <c r="N583" s="212"/>
      <c r="O583" s="212"/>
      <c r="P583" s="212"/>
      <c r="Q583" s="212"/>
      <c r="R583" s="212"/>
      <c r="S583" s="212"/>
      <c r="T583" s="212"/>
      <c r="U583" s="212"/>
      <c r="V583" s="212"/>
      <c r="W583" s="212"/>
      <c r="X583" s="212"/>
      <c r="Y583" s="212"/>
      <c r="Z583" s="204"/>
      <c r="AA583" s="204"/>
      <c r="AB583" s="204"/>
      <c r="AC583" s="204"/>
      <c r="AD583" s="204"/>
      <c r="AE583" s="212"/>
      <c r="AF583" s="213"/>
      <c r="AG583" s="213"/>
      <c r="AH583" s="213"/>
      <c r="AI583" s="213"/>
      <c r="AJ583" s="213"/>
      <c r="AK583" s="213"/>
      <c r="AL583" s="213"/>
      <c r="AM583" s="213"/>
      <c r="AN583" s="213"/>
      <c r="AO583" s="213"/>
      <c r="AP583" s="213"/>
      <c r="AQ583" s="213"/>
      <c r="AR583" s="213"/>
      <c r="AS583" s="213"/>
      <c r="AT583" s="213"/>
      <c r="AU583" s="213"/>
      <c r="AV583" s="213"/>
      <c r="AW583" s="213"/>
      <c r="AX583" s="213"/>
      <c r="AY583" s="213"/>
      <c r="AZ583" s="213"/>
      <c r="BA583" s="213"/>
      <c r="BB583" s="213"/>
    </row>
    <row r="584">
      <c r="A584" s="199"/>
      <c r="B584" s="12"/>
      <c r="C584" s="202"/>
      <c r="D584" s="199"/>
      <c r="E584" s="211"/>
      <c r="F584" s="201"/>
      <c r="G584" s="199"/>
      <c r="H584" s="199"/>
      <c r="I584" s="199"/>
      <c r="J584" s="212"/>
      <c r="K584" s="212"/>
      <c r="L584" s="212"/>
      <c r="M584" s="212"/>
      <c r="N584" s="212"/>
      <c r="O584" s="212"/>
      <c r="P584" s="212"/>
      <c r="Q584" s="212"/>
      <c r="R584" s="212"/>
      <c r="S584" s="212"/>
      <c r="T584" s="212"/>
      <c r="U584" s="212"/>
      <c r="V584" s="212"/>
      <c r="W584" s="212"/>
      <c r="X584" s="212"/>
      <c r="Y584" s="212"/>
      <c r="Z584" s="204"/>
      <c r="AA584" s="204"/>
      <c r="AB584" s="204"/>
      <c r="AC584" s="204"/>
      <c r="AD584" s="204"/>
      <c r="AE584" s="212"/>
      <c r="AF584" s="213"/>
      <c r="AG584" s="213"/>
      <c r="AH584" s="213"/>
      <c r="AI584" s="213"/>
      <c r="AJ584" s="213"/>
      <c r="AK584" s="213"/>
      <c r="AL584" s="213"/>
      <c r="AM584" s="213"/>
      <c r="AN584" s="213"/>
      <c r="AO584" s="213"/>
      <c r="AP584" s="213"/>
      <c r="AQ584" s="213"/>
      <c r="AR584" s="213"/>
      <c r="AS584" s="213"/>
      <c r="AT584" s="213"/>
      <c r="AU584" s="213"/>
      <c r="AV584" s="213"/>
      <c r="AW584" s="213"/>
      <c r="AX584" s="213"/>
      <c r="AY584" s="213"/>
      <c r="AZ584" s="213"/>
      <c r="BA584" s="213"/>
      <c r="BB584" s="213"/>
    </row>
    <row r="585">
      <c r="A585" s="199"/>
      <c r="B585" s="12"/>
      <c r="C585" s="202"/>
      <c r="D585" s="199"/>
      <c r="E585" s="211"/>
      <c r="F585" s="201"/>
      <c r="G585" s="199"/>
      <c r="H585" s="199"/>
      <c r="I585" s="199"/>
      <c r="J585" s="212"/>
      <c r="K585" s="212"/>
      <c r="L585" s="212"/>
      <c r="M585" s="212"/>
      <c r="N585" s="212"/>
      <c r="O585" s="212"/>
      <c r="P585" s="212"/>
      <c r="Q585" s="212"/>
      <c r="R585" s="212"/>
      <c r="S585" s="212"/>
      <c r="T585" s="212"/>
      <c r="U585" s="212"/>
      <c r="V585" s="212"/>
      <c r="W585" s="212"/>
      <c r="X585" s="212"/>
      <c r="Y585" s="212"/>
      <c r="Z585" s="204"/>
      <c r="AA585" s="204"/>
      <c r="AB585" s="204"/>
      <c r="AC585" s="204"/>
      <c r="AD585" s="204"/>
      <c r="AE585" s="212"/>
      <c r="AF585" s="213"/>
      <c r="AG585" s="213"/>
      <c r="AH585" s="213"/>
      <c r="AI585" s="213"/>
      <c r="AJ585" s="213"/>
      <c r="AK585" s="213"/>
      <c r="AL585" s="213"/>
      <c r="AM585" s="213"/>
      <c r="AN585" s="213"/>
      <c r="AO585" s="213"/>
      <c r="AP585" s="213"/>
      <c r="AQ585" s="213"/>
      <c r="AR585" s="213"/>
      <c r="AS585" s="213"/>
      <c r="AT585" s="213"/>
      <c r="AU585" s="213"/>
      <c r="AV585" s="213"/>
      <c r="AW585" s="213"/>
      <c r="AX585" s="213"/>
      <c r="AY585" s="213"/>
      <c r="AZ585" s="213"/>
      <c r="BA585" s="213"/>
      <c r="BB585" s="213"/>
    </row>
    <row r="586">
      <c r="A586" s="199"/>
      <c r="B586" s="12"/>
      <c r="C586" s="202"/>
      <c r="D586" s="199"/>
      <c r="E586" s="211"/>
      <c r="F586" s="201"/>
      <c r="G586" s="199"/>
      <c r="H586" s="199"/>
      <c r="I586" s="199"/>
      <c r="J586" s="212"/>
      <c r="K586" s="212"/>
      <c r="L586" s="212"/>
      <c r="M586" s="212"/>
      <c r="N586" s="212"/>
      <c r="O586" s="212"/>
      <c r="P586" s="212"/>
      <c r="Q586" s="212"/>
      <c r="R586" s="212"/>
      <c r="S586" s="212"/>
      <c r="T586" s="212"/>
      <c r="U586" s="212"/>
      <c r="V586" s="212"/>
      <c r="W586" s="212"/>
      <c r="X586" s="212"/>
      <c r="Y586" s="212"/>
      <c r="Z586" s="204"/>
      <c r="AA586" s="204"/>
      <c r="AB586" s="204"/>
      <c r="AC586" s="204"/>
      <c r="AD586" s="204"/>
      <c r="AE586" s="212"/>
      <c r="AF586" s="213"/>
      <c r="AG586" s="213"/>
      <c r="AH586" s="213"/>
      <c r="AI586" s="213"/>
      <c r="AJ586" s="213"/>
      <c r="AK586" s="213"/>
      <c r="AL586" s="213"/>
      <c r="AM586" s="213"/>
      <c r="AN586" s="213"/>
      <c r="AO586" s="213"/>
      <c r="AP586" s="213"/>
      <c r="AQ586" s="213"/>
      <c r="AR586" s="213"/>
      <c r="AS586" s="213"/>
      <c r="AT586" s="213"/>
      <c r="AU586" s="213"/>
      <c r="AV586" s="213"/>
      <c r="AW586" s="213"/>
      <c r="AX586" s="213"/>
      <c r="AY586" s="213"/>
      <c r="AZ586" s="213"/>
      <c r="BA586" s="213"/>
      <c r="BB586" s="213"/>
    </row>
    <row r="587">
      <c r="A587" s="199"/>
      <c r="B587" s="12"/>
      <c r="C587" s="202"/>
      <c r="D587" s="199"/>
      <c r="E587" s="211"/>
      <c r="F587" s="201"/>
      <c r="G587" s="199"/>
      <c r="H587" s="199"/>
      <c r="I587" s="199"/>
      <c r="J587" s="212"/>
      <c r="K587" s="212"/>
      <c r="L587" s="212"/>
      <c r="M587" s="212"/>
      <c r="N587" s="212"/>
      <c r="O587" s="212"/>
      <c r="P587" s="212"/>
      <c r="Q587" s="212"/>
      <c r="R587" s="212"/>
      <c r="S587" s="212"/>
      <c r="T587" s="212"/>
      <c r="U587" s="212"/>
      <c r="V587" s="212"/>
      <c r="W587" s="212"/>
      <c r="X587" s="212"/>
      <c r="Y587" s="212"/>
      <c r="Z587" s="204"/>
      <c r="AA587" s="204"/>
      <c r="AB587" s="204"/>
      <c r="AC587" s="204"/>
      <c r="AD587" s="204"/>
      <c r="AE587" s="212"/>
      <c r="AF587" s="213"/>
      <c r="AG587" s="213"/>
      <c r="AH587" s="213"/>
      <c r="AI587" s="213"/>
      <c r="AJ587" s="213"/>
      <c r="AK587" s="213"/>
      <c r="AL587" s="213"/>
      <c r="AM587" s="213"/>
      <c r="AN587" s="213"/>
      <c r="AO587" s="213"/>
      <c r="AP587" s="213"/>
      <c r="AQ587" s="213"/>
      <c r="AR587" s="213"/>
      <c r="AS587" s="213"/>
      <c r="AT587" s="213"/>
      <c r="AU587" s="213"/>
      <c r="AV587" s="213"/>
      <c r="AW587" s="213"/>
      <c r="AX587" s="213"/>
      <c r="AY587" s="213"/>
      <c r="AZ587" s="213"/>
      <c r="BA587" s="213"/>
      <c r="BB587" s="213"/>
    </row>
    <row r="588">
      <c r="A588" s="199"/>
      <c r="B588" s="12"/>
      <c r="C588" s="202"/>
      <c r="D588" s="199"/>
      <c r="E588" s="211"/>
      <c r="F588" s="201"/>
      <c r="G588" s="199"/>
      <c r="H588" s="199"/>
      <c r="I588" s="199"/>
      <c r="J588" s="212"/>
      <c r="K588" s="212"/>
      <c r="L588" s="212"/>
      <c r="M588" s="212"/>
      <c r="N588" s="212"/>
      <c r="O588" s="212"/>
      <c r="P588" s="212"/>
      <c r="Q588" s="212"/>
      <c r="R588" s="212"/>
      <c r="S588" s="212"/>
      <c r="T588" s="212"/>
      <c r="U588" s="212"/>
      <c r="V588" s="212"/>
      <c r="W588" s="212"/>
      <c r="X588" s="212"/>
      <c r="Y588" s="212"/>
      <c r="Z588" s="204"/>
      <c r="AA588" s="204"/>
      <c r="AB588" s="204"/>
      <c r="AC588" s="204"/>
      <c r="AD588" s="204"/>
      <c r="AE588" s="212"/>
      <c r="AF588" s="213"/>
      <c r="AG588" s="213"/>
      <c r="AH588" s="213"/>
      <c r="AI588" s="213"/>
      <c r="AJ588" s="213"/>
      <c r="AK588" s="213"/>
      <c r="AL588" s="213"/>
      <c r="AM588" s="213"/>
      <c r="AN588" s="213"/>
      <c r="AO588" s="213"/>
      <c r="AP588" s="213"/>
      <c r="AQ588" s="213"/>
      <c r="AR588" s="213"/>
      <c r="AS588" s="213"/>
      <c r="AT588" s="213"/>
      <c r="AU588" s="213"/>
      <c r="AV588" s="213"/>
      <c r="AW588" s="213"/>
      <c r="AX588" s="213"/>
      <c r="AY588" s="213"/>
      <c r="AZ588" s="213"/>
      <c r="BA588" s="213"/>
      <c r="BB588" s="213"/>
    </row>
    <row r="589">
      <c r="A589" s="199"/>
      <c r="B589" s="12"/>
      <c r="C589" s="202"/>
      <c r="D589" s="199"/>
      <c r="E589" s="211"/>
      <c r="F589" s="201"/>
      <c r="G589" s="199"/>
      <c r="H589" s="199"/>
      <c r="I589" s="199"/>
      <c r="J589" s="212"/>
      <c r="K589" s="212"/>
      <c r="L589" s="212"/>
      <c r="M589" s="212"/>
      <c r="N589" s="212"/>
      <c r="O589" s="212"/>
      <c r="P589" s="212"/>
      <c r="Q589" s="212"/>
      <c r="R589" s="212"/>
      <c r="S589" s="212"/>
      <c r="T589" s="212"/>
      <c r="U589" s="212"/>
      <c r="V589" s="212"/>
      <c r="W589" s="212"/>
      <c r="X589" s="212"/>
      <c r="Y589" s="212"/>
      <c r="Z589" s="204"/>
      <c r="AA589" s="204"/>
      <c r="AB589" s="204"/>
      <c r="AC589" s="204"/>
      <c r="AD589" s="204"/>
      <c r="AE589" s="212"/>
      <c r="AF589" s="213"/>
      <c r="AG589" s="213"/>
      <c r="AH589" s="213"/>
      <c r="AI589" s="213"/>
      <c r="AJ589" s="213"/>
      <c r="AK589" s="213"/>
      <c r="AL589" s="213"/>
      <c r="AM589" s="213"/>
      <c r="AN589" s="213"/>
      <c r="AO589" s="213"/>
      <c r="AP589" s="213"/>
      <c r="AQ589" s="213"/>
      <c r="AR589" s="213"/>
      <c r="AS589" s="213"/>
      <c r="AT589" s="213"/>
      <c r="AU589" s="213"/>
      <c r="AV589" s="213"/>
      <c r="AW589" s="213"/>
      <c r="AX589" s="213"/>
      <c r="AY589" s="213"/>
      <c r="AZ589" s="213"/>
      <c r="BA589" s="213"/>
      <c r="BB589" s="213"/>
    </row>
    <row r="590">
      <c r="A590" s="199"/>
      <c r="B590" s="12"/>
      <c r="C590" s="202"/>
      <c r="D590" s="199"/>
      <c r="E590" s="211"/>
      <c r="F590" s="201"/>
      <c r="G590" s="199"/>
      <c r="H590" s="199"/>
      <c r="I590" s="199"/>
      <c r="J590" s="212"/>
      <c r="K590" s="212"/>
      <c r="L590" s="212"/>
      <c r="M590" s="212"/>
      <c r="N590" s="212"/>
      <c r="O590" s="212"/>
      <c r="P590" s="212"/>
      <c r="Q590" s="212"/>
      <c r="R590" s="212"/>
      <c r="S590" s="212"/>
      <c r="T590" s="212"/>
      <c r="U590" s="212"/>
      <c r="V590" s="212"/>
      <c r="W590" s="212"/>
      <c r="X590" s="212"/>
      <c r="Y590" s="212"/>
      <c r="Z590" s="204"/>
      <c r="AA590" s="204"/>
      <c r="AB590" s="204"/>
      <c r="AC590" s="204"/>
      <c r="AD590" s="204"/>
      <c r="AE590" s="212"/>
      <c r="AF590" s="213"/>
      <c r="AG590" s="213"/>
      <c r="AH590" s="213"/>
      <c r="AI590" s="213"/>
      <c r="AJ590" s="213"/>
      <c r="AK590" s="213"/>
      <c r="AL590" s="213"/>
      <c r="AM590" s="213"/>
      <c r="AN590" s="213"/>
      <c r="AO590" s="213"/>
      <c r="AP590" s="213"/>
      <c r="AQ590" s="213"/>
      <c r="AR590" s="213"/>
      <c r="AS590" s="213"/>
      <c r="AT590" s="213"/>
      <c r="AU590" s="213"/>
      <c r="AV590" s="213"/>
      <c r="AW590" s="213"/>
      <c r="AX590" s="213"/>
      <c r="AY590" s="213"/>
      <c r="AZ590" s="213"/>
      <c r="BA590" s="213"/>
      <c r="BB590" s="213"/>
    </row>
    <row r="591">
      <c r="A591" s="199"/>
      <c r="B591" s="12"/>
      <c r="C591" s="202"/>
      <c r="D591" s="199"/>
      <c r="E591" s="211"/>
      <c r="F591" s="201"/>
      <c r="G591" s="199"/>
      <c r="H591" s="199"/>
      <c r="I591" s="199"/>
      <c r="J591" s="212"/>
      <c r="K591" s="212"/>
      <c r="L591" s="212"/>
      <c r="M591" s="212"/>
      <c r="N591" s="212"/>
      <c r="O591" s="212"/>
      <c r="P591" s="212"/>
      <c r="Q591" s="212"/>
      <c r="R591" s="212"/>
      <c r="S591" s="212"/>
      <c r="T591" s="212"/>
      <c r="U591" s="212"/>
      <c r="V591" s="212"/>
      <c r="W591" s="212"/>
      <c r="X591" s="212"/>
      <c r="Y591" s="212"/>
      <c r="Z591" s="204"/>
      <c r="AA591" s="204"/>
      <c r="AB591" s="204"/>
      <c r="AC591" s="204"/>
      <c r="AD591" s="204"/>
      <c r="AE591" s="212"/>
      <c r="AF591" s="213"/>
      <c r="AG591" s="213"/>
      <c r="AH591" s="213"/>
      <c r="AI591" s="213"/>
      <c r="AJ591" s="213"/>
      <c r="AK591" s="213"/>
      <c r="AL591" s="213"/>
      <c r="AM591" s="213"/>
      <c r="AN591" s="213"/>
      <c r="AO591" s="213"/>
      <c r="AP591" s="213"/>
      <c r="AQ591" s="213"/>
      <c r="AR591" s="213"/>
      <c r="AS591" s="213"/>
      <c r="AT591" s="213"/>
      <c r="AU591" s="213"/>
      <c r="AV591" s="213"/>
      <c r="AW591" s="213"/>
      <c r="AX591" s="213"/>
      <c r="AY591" s="213"/>
      <c r="AZ591" s="213"/>
      <c r="BA591" s="213"/>
      <c r="BB591" s="213"/>
    </row>
    <row r="592">
      <c r="A592" s="199"/>
      <c r="B592" s="12"/>
      <c r="C592" s="202"/>
      <c r="D592" s="199"/>
      <c r="E592" s="211"/>
      <c r="F592" s="201"/>
      <c r="G592" s="199"/>
      <c r="H592" s="199"/>
      <c r="I592" s="199"/>
      <c r="J592" s="212"/>
      <c r="K592" s="212"/>
      <c r="L592" s="212"/>
      <c r="M592" s="212"/>
      <c r="N592" s="212"/>
      <c r="O592" s="212"/>
      <c r="P592" s="212"/>
      <c r="Q592" s="212"/>
      <c r="R592" s="212"/>
      <c r="S592" s="212"/>
      <c r="T592" s="212"/>
      <c r="U592" s="212"/>
      <c r="V592" s="212"/>
      <c r="W592" s="212"/>
      <c r="X592" s="212"/>
      <c r="Y592" s="212"/>
      <c r="Z592" s="204"/>
      <c r="AA592" s="204"/>
      <c r="AB592" s="204"/>
      <c r="AC592" s="204"/>
      <c r="AD592" s="204"/>
      <c r="AE592" s="212"/>
      <c r="AF592" s="213"/>
      <c r="AG592" s="213"/>
      <c r="AH592" s="213"/>
      <c r="AI592" s="213"/>
      <c r="AJ592" s="213"/>
      <c r="AK592" s="213"/>
      <c r="AL592" s="213"/>
      <c r="AM592" s="213"/>
      <c r="AN592" s="213"/>
      <c r="AO592" s="213"/>
      <c r="AP592" s="213"/>
      <c r="AQ592" s="213"/>
      <c r="AR592" s="213"/>
      <c r="AS592" s="213"/>
      <c r="AT592" s="213"/>
      <c r="AU592" s="213"/>
      <c r="AV592" s="213"/>
      <c r="AW592" s="213"/>
      <c r="AX592" s="213"/>
      <c r="AY592" s="213"/>
      <c r="AZ592" s="213"/>
      <c r="BA592" s="213"/>
      <c r="BB592" s="213"/>
    </row>
    <row r="593">
      <c r="A593" s="199"/>
      <c r="B593" s="12"/>
      <c r="C593" s="202"/>
      <c r="D593" s="199"/>
      <c r="E593" s="211"/>
      <c r="F593" s="201"/>
      <c r="G593" s="199"/>
      <c r="H593" s="199"/>
      <c r="I593" s="199"/>
      <c r="J593" s="212"/>
      <c r="K593" s="212"/>
      <c r="L593" s="212"/>
      <c r="M593" s="212"/>
      <c r="N593" s="212"/>
      <c r="O593" s="212"/>
      <c r="P593" s="212"/>
      <c r="Q593" s="212"/>
      <c r="R593" s="212"/>
      <c r="S593" s="212"/>
      <c r="T593" s="212"/>
      <c r="U593" s="212"/>
      <c r="V593" s="212"/>
      <c r="W593" s="212"/>
      <c r="X593" s="212"/>
      <c r="Y593" s="212"/>
      <c r="Z593" s="204"/>
      <c r="AA593" s="204"/>
      <c r="AB593" s="204"/>
      <c r="AC593" s="204"/>
      <c r="AD593" s="204"/>
      <c r="AE593" s="212"/>
      <c r="AF593" s="213"/>
      <c r="AG593" s="213"/>
      <c r="AH593" s="213"/>
      <c r="AI593" s="213"/>
      <c r="AJ593" s="213"/>
      <c r="AK593" s="213"/>
      <c r="AL593" s="213"/>
      <c r="AM593" s="213"/>
      <c r="AN593" s="213"/>
      <c r="AO593" s="213"/>
      <c r="AP593" s="213"/>
      <c r="AQ593" s="213"/>
      <c r="AR593" s="213"/>
      <c r="AS593" s="213"/>
      <c r="AT593" s="213"/>
      <c r="AU593" s="213"/>
      <c r="AV593" s="213"/>
      <c r="AW593" s="213"/>
      <c r="AX593" s="213"/>
      <c r="AY593" s="213"/>
      <c r="AZ593" s="213"/>
      <c r="BA593" s="213"/>
      <c r="BB593" s="213"/>
    </row>
    <row r="594">
      <c r="A594" s="199"/>
      <c r="B594" s="12"/>
      <c r="C594" s="202"/>
      <c r="D594" s="199"/>
      <c r="E594" s="211"/>
      <c r="F594" s="201"/>
      <c r="G594" s="199"/>
      <c r="H594" s="199"/>
      <c r="I594" s="199"/>
      <c r="J594" s="212"/>
      <c r="K594" s="212"/>
      <c r="L594" s="212"/>
      <c r="M594" s="212"/>
      <c r="N594" s="212"/>
      <c r="O594" s="212"/>
      <c r="P594" s="212"/>
      <c r="Q594" s="212"/>
      <c r="R594" s="212"/>
      <c r="S594" s="212"/>
      <c r="T594" s="212"/>
      <c r="U594" s="212"/>
      <c r="V594" s="212"/>
      <c r="W594" s="212"/>
      <c r="X594" s="212"/>
      <c r="Y594" s="212"/>
      <c r="Z594" s="204"/>
      <c r="AA594" s="204"/>
      <c r="AB594" s="204"/>
      <c r="AC594" s="204"/>
      <c r="AD594" s="204"/>
      <c r="AE594" s="212"/>
      <c r="AF594" s="213"/>
      <c r="AG594" s="213"/>
      <c r="AH594" s="213"/>
      <c r="AI594" s="213"/>
      <c r="AJ594" s="213"/>
      <c r="AK594" s="213"/>
      <c r="AL594" s="213"/>
      <c r="AM594" s="213"/>
      <c r="AN594" s="213"/>
      <c r="AO594" s="213"/>
      <c r="AP594" s="213"/>
      <c r="AQ594" s="213"/>
      <c r="AR594" s="213"/>
      <c r="AS594" s="213"/>
      <c r="AT594" s="213"/>
      <c r="AU594" s="213"/>
      <c r="AV594" s="213"/>
      <c r="AW594" s="213"/>
      <c r="AX594" s="213"/>
      <c r="AY594" s="213"/>
      <c r="AZ594" s="213"/>
      <c r="BA594" s="213"/>
      <c r="BB594" s="213"/>
    </row>
    <row r="595">
      <c r="A595" s="199"/>
      <c r="B595" s="12"/>
      <c r="C595" s="202"/>
      <c r="D595" s="199"/>
      <c r="E595" s="211"/>
      <c r="F595" s="201"/>
      <c r="G595" s="199"/>
      <c r="H595" s="199"/>
      <c r="I595" s="199"/>
      <c r="J595" s="212"/>
      <c r="K595" s="212"/>
      <c r="L595" s="212"/>
      <c r="M595" s="212"/>
      <c r="N595" s="212"/>
      <c r="O595" s="212"/>
      <c r="P595" s="212"/>
      <c r="Q595" s="212"/>
      <c r="R595" s="212"/>
      <c r="S595" s="212"/>
      <c r="T595" s="212"/>
      <c r="U595" s="212"/>
      <c r="V595" s="212"/>
      <c r="W595" s="212"/>
      <c r="X595" s="212"/>
      <c r="Y595" s="212"/>
      <c r="Z595" s="204"/>
      <c r="AA595" s="204"/>
      <c r="AB595" s="204"/>
      <c r="AC595" s="204"/>
      <c r="AD595" s="204"/>
      <c r="AE595" s="212"/>
      <c r="AF595" s="213"/>
      <c r="AG595" s="213"/>
      <c r="AH595" s="213"/>
      <c r="AI595" s="213"/>
      <c r="AJ595" s="213"/>
      <c r="AK595" s="213"/>
      <c r="AL595" s="213"/>
      <c r="AM595" s="213"/>
      <c r="AN595" s="213"/>
      <c r="AO595" s="213"/>
      <c r="AP595" s="213"/>
      <c r="AQ595" s="213"/>
      <c r="AR595" s="213"/>
      <c r="AS595" s="213"/>
      <c r="AT595" s="213"/>
      <c r="AU595" s="213"/>
      <c r="AV595" s="213"/>
      <c r="AW595" s="213"/>
      <c r="AX595" s="213"/>
      <c r="AY595" s="213"/>
      <c r="AZ595" s="213"/>
      <c r="BA595" s="213"/>
      <c r="BB595" s="213"/>
    </row>
    <row r="596">
      <c r="A596" s="199"/>
      <c r="B596" s="12"/>
      <c r="C596" s="202"/>
      <c r="D596" s="199"/>
      <c r="E596" s="211"/>
      <c r="F596" s="201"/>
      <c r="G596" s="199"/>
      <c r="H596" s="199"/>
      <c r="I596" s="199"/>
      <c r="J596" s="212"/>
      <c r="K596" s="212"/>
      <c r="L596" s="212"/>
      <c r="M596" s="212"/>
      <c r="N596" s="212"/>
      <c r="O596" s="212"/>
      <c r="P596" s="212"/>
      <c r="Q596" s="212"/>
      <c r="R596" s="212"/>
      <c r="S596" s="212"/>
      <c r="T596" s="212"/>
      <c r="U596" s="212"/>
      <c r="V596" s="212"/>
      <c r="W596" s="212"/>
      <c r="X596" s="212"/>
      <c r="Y596" s="212"/>
      <c r="Z596" s="204"/>
      <c r="AA596" s="204"/>
      <c r="AB596" s="204"/>
      <c r="AC596" s="204"/>
      <c r="AD596" s="204"/>
      <c r="AE596" s="212"/>
      <c r="AF596" s="213"/>
      <c r="AG596" s="213"/>
      <c r="AH596" s="213"/>
      <c r="AI596" s="213"/>
      <c r="AJ596" s="213"/>
      <c r="AK596" s="213"/>
      <c r="AL596" s="213"/>
      <c r="AM596" s="213"/>
      <c r="AN596" s="213"/>
      <c r="AO596" s="213"/>
      <c r="AP596" s="213"/>
      <c r="AQ596" s="213"/>
      <c r="AR596" s="213"/>
      <c r="AS596" s="213"/>
      <c r="AT596" s="213"/>
      <c r="AU596" s="213"/>
      <c r="AV596" s="213"/>
      <c r="AW596" s="213"/>
      <c r="AX596" s="213"/>
      <c r="AY596" s="213"/>
      <c r="AZ596" s="213"/>
      <c r="BA596" s="213"/>
      <c r="BB596" s="213"/>
    </row>
    <row r="597">
      <c r="A597" s="199"/>
      <c r="B597" s="12"/>
      <c r="C597" s="202"/>
      <c r="D597" s="199"/>
      <c r="E597" s="211"/>
      <c r="F597" s="201"/>
      <c r="G597" s="199"/>
      <c r="H597" s="199"/>
      <c r="I597" s="199"/>
      <c r="J597" s="212"/>
      <c r="K597" s="212"/>
      <c r="L597" s="212"/>
      <c r="M597" s="212"/>
      <c r="N597" s="212"/>
      <c r="O597" s="212"/>
      <c r="P597" s="212"/>
      <c r="Q597" s="212"/>
      <c r="R597" s="212"/>
      <c r="S597" s="212"/>
      <c r="T597" s="212"/>
      <c r="U597" s="212"/>
      <c r="V597" s="212"/>
      <c r="W597" s="212"/>
      <c r="X597" s="212"/>
      <c r="Y597" s="212"/>
      <c r="Z597" s="204"/>
      <c r="AA597" s="204"/>
      <c r="AB597" s="204"/>
      <c r="AC597" s="204"/>
      <c r="AD597" s="204"/>
      <c r="AE597" s="212"/>
      <c r="AF597" s="213"/>
      <c r="AG597" s="213"/>
      <c r="AH597" s="213"/>
      <c r="AI597" s="213"/>
      <c r="AJ597" s="213"/>
      <c r="AK597" s="213"/>
      <c r="AL597" s="213"/>
      <c r="AM597" s="213"/>
      <c r="AN597" s="213"/>
      <c r="AO597" s="213"/>
      <c r="AP597" s="213"/>
      <c r="AQ597" s="213"/>
      <c r="AR597" s="213"/>
      <c r="AS597" s="213"/>
      <c r="AT597" s="213"/>
      <c r="AU597" s="213"/>
      <c r="AV597" s="213"/>
      <c r="AW597" s="213"/>
      <c r="AX597" s="213"/>
      <c r="AY597" s="213"/>
      <c r="AZ597" s="213"/>
      <c r="BA597" s="213"/>
      <c r="BB597" s="213"/>
    </row>
    <row r="598">
      <c r="A598" s="199"/>
      <c r="B598" s="12"/>
      <c r="C598" s="202"/>
      <c r="D598" s="199"/>
      <c r="E598" s="211"/>
      <c r="F598" s="201"/>
      <c r="G598" s="199"/>
      <c r="H598" s="199"/>
      <c r="I598" s="199"/>
      <c r="J598" s="212"/>
      <c r="K598" s="212"/>
      <c r="L598" s="212"/>
      <c r="M598" s="212"/>
      <c r="N598" s="212"/>
      <c r="O598" s="212"/>
      <c r="P598" s="212"/>
      <c r="Q598" s="212"/>
      <c r="R598" s="212"/>
      <c r="S598" s="212"/>
      <c r="T598" s="212"/>
      <c r="U598" s="212"/>
      <c r="V598" s="212"/>
      <c r="W598" s="212"/>
      <c r="X598" s="212"/>
      <c r="Y598" s="212"/>
      <c r="Z598" s="204"/>
      <c r="AA598" s="204"/>
      <c r="AB598" s="204"/>
      <c r="AC598" s="204"/>
      <c r="AD598" s="204"/>
      <c r="AE598" s="212"/>
      <c r="AF598" s="213"/>
      <c r="AG598" s="213"/>
      <c r="AH598" s="213"/>
      <c r="AI598" s="213"/>
      <c r="AJ598" s="213"/>
      <c r="AK598" s="213"/>
      <c r="AL598" s="213"/>
      <c r="AM598" s="213"/>
      <c r="AN598" s="213"/>
      <c r="AO598" s="213"/>
      <c r="AP598" s="213"/>
      <c r="AQ598" s="213"/>
      <c r="AR598" s="213"/>
      <c r="AS598" s="213"/>
      <c r="AT598" s="213"/>
      <c r="AU598" s="213"/>
      <c r="AV598" s="213"/>
      <c r="AW598" s="213"/>
      <c r="AX598" s="213"/>
      <c r="AY598" s="213"/>
      <c r="AZ598" s="213"/>
      <c r="BA598" s="213"/>
      <c r="BB598" s="213"/>
    </row>
    <row r="599">
      <c r="A599" s="199"/>
      <c r="B599" s="12"/>
      <c r="C599" s="202"/>
      <c r="D599" s="199"/>
      <c r="E599" s="211"/>
      <c r="F599" s="201"/>
      <c r="G599" s="199"/>
      <c r="H599" s="199"/>
      <c r="I599" s="199"/>
      <c r="J599" s="212"/>
      <c r="K599" s="212"/>
      <c r="L599" s="212"/>
      <c r="M599" s="212"/>
      <c r="N599" s="212"/>
      <c r="O599" s="212"/>
      <c r="P599" s="212"/>
      <c r="Q599" s="212"/>
      <c r="R599" s="212"/>
      <c r="S599" s="212"/>
      <c r="T599" s="212"/>
      <c r="U599" s="212"/>
      <c r="V599" s="212"/>
      <c r="W599" s="212"/>
      <c r="X599" s="212"/>
      <c r="Y599" s="212"/>
      <c r="Z599" s="204"/>
      <c r="AA599" s="204"/>
      <c r="AB599" s="204"/>
      <c r="AC599" s="204"/>
      <c r="AD599" s="204"/>
      <c r="AE599" s="212"/>
      <c r="AF599" s="213"/>
      <c r="AG599" s="213"/>
      <c r="AH599" s="213"/>
      <c r="AI599" s="213"/>
      <c r="AJ599" s="213"/>
      <c r="AK599" s="213"/>
      <c r="AL599" s="213"/>
      <c r="AM599" s="213"/>
      <c r="AN599" s="213"/>
      <c r="AO599" s="213"/>
      <c r="AP599" s="213"/>
      <c r="AQ599" s="213"/>
      <c r="AR599" s="213"/>
      <c r="AS599" s="213"/>
      <c r="AT599" s="213"/>
      <c r="AU599" s="213"/>
      <c r="AV599" s="213"/>
      <c r="AW599" s="213"/>
      <c r="AX599" s="213"/>
      <c r="AY599" s="213"/>
      <c r="AZ599" s="213"/>
      <c r="BA599" s="213"/>
      <c r="BB599" s="213"/>
    </row>
    <row r="600">
      <c r="A600" s="199"/>
      <c r="B600" s="12"/>
      <c r="C600" s="202"/>
      <c r="D600" s="199"/>
      <c r="E600" s="211"/>
      <c r="F600" s="201"/>
      <c r="G600" s="199"/>
      <c r="H600" s="199"/>
      <c r="I600" s="199"/>
      <c r="J600" s="212"/>
      <c r="K600" s="212"/>
      <c r="L600" s="212"/>
      <c r="M600" s="212"/>
      <c r="N600" s="212"/>
      <c r="O600" s="212"/>
      <c r="P600" s="212"/>
      <c r="Q600" s="212"/>
      <c r="R600" s="212"/>
      <c r="S600" s="212"/>
      <c r="T600" s="212"/>
      <c r="U600" s="212"/>
      <c r="V600" s="212"/>
      <c r="W600" s="212"/>
      <c r="X600" s="212"/>
      <c r="Y600" s="212"/>
      <c r="Z600" s="204"/>
      <c r="AA600" s="204"/>
      <c r="AB600" s="204"/>
      <c r="AC600" s="204"/>
      <c r="AD600" s="204"/>
      <c r="AE600" s="212"/>
      <c r="AF600" s="213"/>
      <c r="AG600" s="213"/>
      <c r="AH600" s="213"/>
      <c r="AI600" s="213"/>
      <c r="AJ600" s="213"/>
      <c r="AK600" s="213"/>
      <c r="AL600" s="213"/>
      <c r="AM600" s="213"/>
      <c r="AN600" s="213"/>
      <c r="AO600" s="213"/>
      <c r="AP600" s="213"/>
      <c r="AQ600" s="213"/>
      <c r="AR600" s="213"/>
      <c r="AS600" s="213"/>
      <c r="AT600" s="213"/>
      <c r="AU600" s="213"/>
      <c r="AV600" s="213"/>
      <c r="AW600" s="213"/>
      <c r="AX600" s="213"/>
      <c r="AY600" s="213"/>
      <c r="AZ600" s="213"/>
      <c r="BA600" s="213"/>
      <c r="BB600" s="213"/>
    </row>
    <row r="601">
      <c r="A601" s="199"/>
      <c r="B601" s="12"/>
      <c r="C601" s="202"/>
      <c r="D601" s="199"/>
      <c r="E601" s="211"/>
      <c r="F601" s="201"/>
      <c r="G601" s="199"/>
      <c r="H601" s="199"/>
      <c r="I601" s="199"/>
      <c r="J601" s="212"/>
      <c r="K601" s="212"/>
      <c r="L601" s="212"/>
      <c r="M601" s="212"/>
      <c r="N601" s="212"/>
      <c r="O601" s="212"/>
      <c r="P601" s="212"/>
      <c r="Q601" s="212"/>
      <c r="R601" s="212"/>
      <c r="S601" s="212"/>
      <c r="T601" s="212"/>
      <c r="U601" s="212"/>
      <c r="V601" s="212"/>
      <c r="W601" s="212"/>
      <c r="X601" s="212"/>
      <c r="Y601" s="212"/>
      <c r="Z601" s="204"/>
      <c r="AA601" s="204"/>
      <c r="AB601" s="204"/>
      <c r="AC601" s="204"/>
      <c r="AD601" s="204"/>
      <c r="AE601" s="212"/>
      <c r="AF601" s="213"/>
      <c r="AG601" s="213"/>
      <c r="AH601" s="213"/>
      <c r="AI601" s="213"/>
      <c r="AJ601" s="213"/>
      <c r="AK601" s="213"/>
      <c r="AL601" s="213"/>
      <c r="AM601" s="213"/>
      <c r="AN601" s="213"/>
      <c r="AO601" s="213"/>
      <c r="AP601" s="213"/>
      <c r="AQ601" s="213"/>
      <c r="AR601" s="213"/>
      <c r="AS601" s="213"/>
      <c r="AT601" s="213"/>
      <c r="AU601" s="213"/>
      <c r="AV601" s="213"/>
      <c r="AW601" s="213"/>
      <c r="AX601" s="213"/>
      <c r="AY601" s="213"/>
      <c r="AZ601" s="213"/>
      <c r="BA601" s="213"/>
      <c r="BB601" s="213"/>
    </row>
    <row r="602">
      <c r="A602" s="199"/>
      <c r="B602" s="12"/>
      <c r="C602" s="202"/>
      <c r="D602" s="199"/>
      <c r="E602" s="211"/>
      <c r="F602" s="201"/>
      <c r="G602" s="199"/>
      <c r="H602" s="199"/>
      <c r="I602" s="199"/>
      <c r="J602" s="212"/>
      <c r="K602" s="212"/>
      <c r="L602" s="212"/>
      <c r="M602" s="212"/>
      <c r="N602" s="212"/>
      <c r="O602" s="212"/>
      <c r="P602" s="212"/>
      <c r="Q602" s="212"/>
      <c r="R602" s="212"/>
      <c r="S602" s="212"/>
      <c r="T602" s="212"/>
      <c r="U602" s="212"/>
      <c r="V602" s="212"/>
      <c r="W602" s="212"/>
      <c r="X602" s="212"/>
      <c r="Y602" s="212"/>
      <c r="Z602" s="204"/>
      <c r="AA602" s="204"/>
      <c r="AB602" s="204"/>
      <c r="AC602" s="204"/>
      <c r="AD602" s="204"/>
      <c r="AE602" s="212"/>
      <c r="AF602" s="213"/>
      <c r="AG602" s="213"/>
      <c r="AH602" s="213"/>
      <c r="AI602" s="213"/>
      <c r="AJ602" s="213"/>
      <c r="AK602" s="213"/>
      <c r="AL602" s="213"/>
      <c r="AM602" s="213"/>
      <c r="AN602" s="213"/>
      <c r="AO602" s="213"/>
      <c r="AP602" s="213"/>
      <c r="AQ602" s="213"/>
      <c r="AR602" s="213"/>
      <c r="AS602" s="213"/>
      <c r="AT602" s="213"/>
      <c r="AU602" s="213"/>
      <c r="AV602" s="213"/>
      <c r="AW602" s="213"/>
      <c r="AX602" s="213"/>
      <c r="AY602" s="213"/>
      <c r="AZ602" s="213"/>
      <c r="BA602" s="213"/>
      <c r="BB602" s="213"/>
    </row>
    <row r="603">
      <c r="A603" s="199"/>
      <c r="B603" s="12"/>
      <c r="C603" s="202"/>
      <c r="D603" s="199"/>
      <c r="E603" s="211"/>
      <c r="F603" s="201"/>
      <c r="G603" s="199"/>
      <c r="H603" s="199"/>
      <c r="I603" s="199"/>
      <c r="J603" s="212"/>
      <c r="K603" s="212"/>
      <c r="L603" s="212"/>
      <c r="M603" s="212"/>
      <c r="N603" s="212"/>
      <c r="O603" s="212"/>
      <c r="P603" s="212"/>
      <c r="Q603" s="212"/>
      <c r="R603" s="212"/>
      <c r="S603" s="212"/>
      <c r="T603" s="212"/>
      <c r="U603" s="212"/>
      <c r="V603" s="212"/>
      <c r="W603" s="212"/>
      <c r="X603" s="212"/>
      <c r="Y603" s="212"/>
      <c r="Z603" s="204"/>
      <c r="AA603" s="204"/>
      <c r="AB603" s="204"/>
      <c r="AC603" s="204"/>
      <c r="AD603" s="204"/>
      <c r="AE603" s="212"/>
      <c r="AF603" s="213"/>
      <c r="AG603" s="213"/>
      <c r="AH603" s="213"/>
      <c r="AI603" s="213"/>
      <c r="AJ603" s="213"/>
      <c r="AK603" s="213"/>
      <c r="AL603" s="213"/>
      <c r="AM603" s="213"/>
      <c r="AN603" s="213"/>
      <c r="AO603" s="213"/>
      <c r="AP603" s="213"/>
      <c r="AQ603" s="213"/>
      <c r="AR603" s="213"/>
      <c r="AS603" s="213"/>
      <c r="AT603" s="213"/>
      <c r="AU603" s="213"/>
      <c r="AV603" s="213"/>
      <c r="AW603" s="213"/>
      <c r="AX603" s="213"/>
      <c r="AY603" s="213"/>
      <c r="AZ603" s="213"/>
      <c r="BA603" s="213"/>
      <c r="BB603" s="213"/>
    </row>
    <row r="604">
      <c r="A604" s="199"/>
      <c r="B604" s="12"/>
      <c r="C604" s="202"/>
      <c r="D604" s="199"/>
      <c r="E604" s="211"/>
      <c r="F604" s="201"/>
      <c r="G604" s="199"/>
      <c r="H604" s="199"/>
      <c r="I604" s="199"/>
      <c r="J604" s="212"/>
      <c r="K604" s="212"/>
      <c r="L604" s="212"/>
      <c r="M604" s="212"/>
      <c r="N604" s="212"/>
      <c r="O604" s="212"/>
      <c r="P604" s="212"/>
      <c r="Q604" s="212"/>
      <c r="R604" s="212"/>
      <c r="S604" s="212"/>
      <c r="T604" s="212"/>
      <c r="U604" s="212"/>
      <c r="V604" s="212"/>
      <c r="W604" s="212"/>
      <c r="X604" s="212"/>
      <c r="Y604" s="212"/>
      <c r="Z604" s="204"/>
      <c r="AA604" s="204"/>
      <c r="AB604" s="204"/>
      <c r="AC604" s="204"/>
      <c r="AD604" s="204"/>
      <c r="AE604" s="212"/>
      <c r="AF604" s="213"/>
      <c r="AG604" s="213"/>
      <c r="AH604" s="213"/>
      <c r="AI604" s="213"/>
      <c r="AJ604" s="213"/>
      <c r="AK604" s="213"/>
      <c r="AL604" s="213"/>
      <c r="AM604" s="213"/>
      <c r="AN604" s="213"/>
      <c r="AO604" s="213"/>
      <c r="AP604" s="213"/>
      <c r="AQ604" s="213"/>
      <c r="AR604" s="213"/>
      <c r="AS604" s="213"/>
      <c r="AT604" s="213"/>
      <c r="AU604" s="213"/>
      <c r="AV604" s="213"/>
      <c r="AW604" s="213"/>
      <c r="AX604" s="213"/>
      <c r="AY604" s="213"/>
      <c r="AZ604" s="213"/>
      <c r="BA604" s="213"/>
      <c r="BB604" s="213"/>
    </row>
    <row r="605">
      <c r="A605" s="199"/>
      <c r="B605" s="12"/>
      <c r="C605" s="202"/>
      <c r="D605" s="199"/>
      <c r="E605" s="211"/>
      <c r="F605" s="201"/>
      <c r="G605" s="199"/>
      <c r="H605" s="199"/>
      <c r="I605" s="199"/>
      <c r="J605" s="212"/>
      <c r="K605" s="212"/>
      <c r="L605" s="212"/>
      <c r="M605" s="212"/>
      <c r="N605" s="212"/>
      <c r="O605" s="212"/>
      <c r="P605" s="212"/>
      <c r="Q605" s="212"/>
      <c r="R605" s="212"/>
      <c r="S605" s="212"/>
      <c r="T605" s="212"/>
      <c r="U605" s="212"/>
      <c r="V605" s="212"/>
      <c r="W605" s="212"/>
      <c r="X605" s="212"/>
      <c r="Y605" s="212"/>
      <c r="Z605" s="204"/>
      <c r="AA605" s="204"/>
      <c r="AB605" s="204"/>
      <c r="AC605" s="204"/>
      <c r="AD605" s="204"/>
      <c r="AE605" s="212"/>
      <c r="AF605" s="213"/>
      <c r="AG605" s="213"/>
      <c r="AH605" s="213"/>
      <c r="AI605" s="213"/>
      <c r="AJ605" s="213"/>
      <c r="AK605" s="213"/>
      <c r="AL605" s="213"/>
      <c r="AM605" s="213"/>
      <c r="AN605" s="213"/>
      <c r="AO605" s="213"/>
      <c r="AP605" s="213"/>
      <c r="AQ605" s="213"/>
      <c r="AR605" s="213"/>
      <c r="AS605" s="213"/>
      <c r="AT605" s="213"/>
      <c r="AU605" s="213"/>
      <c r="AV605" s="213"/>
      <c r="AW605" s="213"/>
      <c r="AX605" s="213"/>
      <c r="AY605" s="213"/>
      <c r="AZ605" s="213"/>
      <c r="BA605" s="213"/>
      <c r="BB605" s="213"/>
    </row>
    <row r="606">
      <c r="A606" s="199"/>
      <c r="B606" s="12"/>
      <c r="C606" s="202"/>
      <c r="D606" s="199"/>
      <c r="E606" s="211"/>
      <c r="F606" s="201"/>
      <c r="G606" s="199"/>
      <c r="H606" s="199"/>
      <c r="I606" s="199"/>
      <c r="J606" s="212"/>
      <c r="K606" s="212"/>
      <c r="L606" s="212"/>
      <c r="M606" s="212"/>
      <c r="N606" s="212"/>
      <c r="O606" s="212"/>
      <c r="P606" s="212"/>
      <c r="Q606" s="212"/>
      <c r="R606" s="212"/>
      <c r="S606" s="212"/>
      <c r="T606" s="212"/>
      <c r="U606" s="212"/>
      <c r="V606" s="212"/>
      <c r="W606" s="212"/>
      <c r="X606" s="212"/>
      <c r="Y606" s="212"/>
      <c r="Z606" s="204"/>
      <c r="AA606" s="204"/>
      <c r="AB606" s="204"/>
      <c r="AC606" s="204"/>
      <c r="AD606" s="204"/>
      <c r="AE606" s="212"/>
      <c r="AF606" s="213"/>
      <c r="AG606" s="213"/>
      <c r="AH606" s="213"/>
      <c r="AI606" s="213"/>
      <c r="AJ606" s="213"/>
      <c r="AK606" s="213"/>
      <c r="AL606" s="213"/>
      <c r="AM606" s="213"/>
      <c r="AN606" s="213"/>
      <c r="AO606" s="213"/>
      <c r="AP606" s="213"/>
      <c r="AQ606" s="213"/>
      <c r="AR606" s="213"/>
      <c r="AS606" s="213"/>
      <c r="AT606" s="213"/>
      <c r="AU606" s="213"/>
      <c r="AV606" s="213"/>
      <c r="AW606" s="213"/>
      <c r="AX606" s="213"/>
      <c r="AY606" s="213"/>
      <c r="AZ606" s="213"/>
      <c r="BA606" s="213"/>
      <c r="BB606" s="213"/>
    </row>
    <row r="607">
      <c r="A607" s="199"/>
      <c r="B607" s="12"/>
      <c r="C607" s="202"/>
      <c r="D607" s="199"/>
      <c r="E607" s="211"/>
      <c r="F607" s="201"/>
      <c r="G607" s="199"/>
      <c r="H607" s="199"/>
      <c r="I607" s="199"/>
      <c r="J607" s="212"/>
      <c r="K607" s="212"/>
      <c r="L607" s="212"/>
      <c r="M607" s="212"/>
      <c r="N607" s="212"/>
      <c r="O607" s="212"/>
      <c r="P607" s="212"/>
      <c r="Q607" s="212"/>
      <c r="R607" s="212"/>
      <c r="S607" s="212"/>
      <c r="T607" s="212"/>
      <c r="U607" s="212"/>
      <c r="V607" s="212"/>
      <c r="W607" s="212"/>
      <c r="X607" s="212"/>
      <c r="Y607" s="212"/>
      <c r="Z607" s="204"/>
      <c r="AA607" s="204"/>
      <c r="AB607" s="204"/>
      <c r="AC607" s="204"/>
      <c r="AD607" s="204"/>
      <c r="AE607" s="212"/>
      <c r="AF607" s="213"/>
      <c r="AG607" s="213"/>
      <c r="AH607" s="213"/>
      <c r="AI607" s="213"/>
      <c r="AJ607" s="213"/>
      <c r="AK607" s="213"/>
      <c r="AL607" s="213"/>
      <c r="AM607" s="213"/>
      <c r="AN607" s="213"/>
      <c r="AO607" s="213"/>
      <c r="AP607" s="213"/>
      <c r="AQ607" s="213"/>
      <c r="AR607" s="213"/>
      <c r="AS607" s="213"/>
      <c r="AT607" s="213"/>
      <c r="AU607" s="213"/>
      <c r="AV607" s="213"/>
      <c r="AW607" s="213"/>
      <c r="AX607" s="213"/>
      <c r="AY607" s="213"/>
      <c r="AZ607" s="213"/>
      <c r="BA607" s="213"/>
      <c r="BB607" s="213"/>
    </row>
    <row r="608">
      <c r="A608" s="199"/>
      <c r="B608" s="12"/>
      <c r="C608" s="202"/>
      <c r="D608" s="199"/>
      <c r="E608" s="211"/>
      <c r="F608" s="201"/>
      <c r="G608" s="199"/>
      <c r="H608" s="199"/>
      <c r="I608" s="199"/>
      <c r="J608" s="212"/>
      <c r="K608" s="212"/>
      <c r="L608" s="212"/>
      <c r="M608" s="212"/>
      <c r="N608" s="212"/>
      <c r="O608" s="212"/>
      <c r="P608" s="212"/>
      <c r="Q608" s="212"/>
      <c r="R608" s="212"/>
      <c r="S608" s="212"/>
      <c r="T608" s="212"/>
      <c r="U608" s="212"/>
      <c r="V608" s="212"/>
      <c r="W608" s="212"/>
      <c r="X608" s="212"/>
      <c r="Y608" s="212"/>
      <c r="Z608" s="204"/>
      <c r="AA608" s="204"/>
      <c r="AB608" s="204"/>
      <c r="AC608" s="204"/>
      <c r="AD608" s="204"/>
      <c r="AE608" s="212"/>
      <c r="AF608" s="213"/>
      <c r="AG608" s="213"/>
      <c r="AH608" s="213"/>
      <c r="AI608" s="213"/>
      <c r="AJ608" s="213"/>
      <c r="AK608" s="213"/>
      <c r="AL608" s="213"/>
      <c r="AM608" s="213"/>
      <c r="AN608" s="213"/>
      <c r="AO608" s="213"/>
      <c r="AP608" s="213"/>
      <c r="AQ608" s="213"/>
      <c r="AR608" s="213"/>
      <c r="AS608" s="213"/>
      <c r="AT608" s="213"/>
      <c r="AU608" s="213"/>
      <c r="AV608" s="213"/>
      <c r="AW608" s="213"/>
      <c r="AX608" s="213"/>
      <c r="AY608" s="213"/>
      <c r="AZ608" s="213"/>
      <c r="BA608" s="213"/>
      <c r="BB608" s="213"/>
    </row>
    <row r="609">
      <c r="A609" s="199"/>
      <c r="B609" s="12"/>
      <c r="C609" s="202"/>
      <c r="D609" s="199"/>
      <c r="E609" s="211"/>
      <c r="F609" s="201"/>
      <c r="G609" s="199"/>
      <c r="H609" s="199"/>
      <c r="I609" s="199"/>
      <c r="J609" s="212"/>
      <c r="K609" s="212"/>
      <c r="L609" s="212"/>
      <c r="M609" s="212"/>
      <c r="N609" s="212"/>
      <c r="O609" s="212"/>
      <c r="P609" s="212"/>
      <c r="Q609" s="212"/>
      <c r="R609" s="212"/>
      <c r="S609" s="212"/>
      <c r="T609" s="212"/>
      <c r="U609" s="212"/>
      <c r="V609" s="212"/>
      <c r="W609" s="212"/>
      <c r="X609" s="212"/>
      <c r="Y609" s="212"/>
      <c r="Z609" s="204"/>
      <c r="AA609" s="204"/>
      <c r="AB609" s="204"/>
      <c r="AC609" s="204"/>
      <c r="AD609" s="204"/>
      <c r="AE609" s="212"/>
      <c r="AF609" s="213"/>
      <c r="AG609" s="213"/>
      <c r="AH609" s="213"/>
      <c r="AI609" s="213"/>
      <c r="AJ609" s="213"/>
      <c r="AK609" s="213"/>
      <c r="AL609" s="213"/>
      <c r="AM609" s="213"/>
      <c r="AN609" s="213"/>
      <c r="AO609" s="213"/>
      <c r="AP609" s="213"/>
      <c r="AQ609" s="213"/>
      <c r="AR609" s="213"/>
      <c r="AS609" s="213"/>
      <c r="AT609" s="213"/>
      <c r="AU609" s="213"/>
      <c r="AV609" s="213"/>
      <c r="AW609" s="213"/>
      <c r="AX609" s="213"/>
      <c r="AY609" s="213"/>
      <c r="AZ609" s="213"/>
      <c r="BA609" s="213"/>
      <c r="BB609" s="213"/>
    </row>
    <row r="610">
      <c r="A610" s="199"/>
      <c r="B610" s="12"/>
      <c r="C610" s="202"/>
      <c r="D610" s="199"/>
      <c r="E610" s="211"/>
      <c r="F610" s="201"/>
      <c r="G610" s="199"/>
      <c r="H610" s="199"/>
      <c r="I610" s="199"/>
      <c r="J610" s="212"/>
      <c r="K610" s="212"/>
      <c r="L610" s="212"/>
      <c r="M610" s="212"/>
      <c r="N610" s="212"/>
      <c r="O610" s="212"/>
      <c r="P610" s="212"/>
      <c r="Q610" s="212"/>
      <c r="R610" s="212"/>
      <c r="S610" s="212"/>
      <c r="T610" s="212"/>
      <c r="U610" s="212"/>
      <c r="V610" s="212"/>
      <c r="W610" s="212"/>
      <c r="X610" s="212"/>
      <c r="Y610" s="212"/>
      <c r="Z610" s="204"/>
      <c r="AA610" s="204"/>
      <c r="AB610" s="204"/>
      <c r="AC610" s="204"/>
      <c r="AD610" s="204"/>
      <c r="AE610" s="212"/>
      <c r="AF610" s="213"/>
      <c r="AG610" s="213"/>
      <c r="AH610" s="213"/>
      <c r="AI610" s="213"/>
      <c r="AJ610" s="213"/>
      <c r="AK610" s="213"/>
      <c r="AL610" s="213"/>
      <c r="AM610" s="213"/>
      <c r="AN610" s="213"/>
      <c r="AO610" s="213"/>
      <c r="AP610" s="213"/>
      <c r="AQ610" s="213"/>
      <c r="AR610" s="213"/>
      <c r="AS610" s="213"/>
      <c r="AT610" s="213"/>
      <c r="AU610" s="213"/>
      <c r="AV610" s="213"/>
      <c r="AW610" s="213"/>
      <c r="AX610" s="213"/>
      <c r="AY610" s="213"/>
      <c r="AZ610" s="213"/>
      <c r="BA610" s="213"/>
      <c r="BB610" s="213"/>
    </row>
    <row r="611">
      <c r="A611" s="199"/>
      <c r="B611" s="12"/>
      <c r="C611" s="202"/>
      <c r="D611" s="199"/>
      <c r="E611" s="211"/>
      <c r="F611" s="201"/>
      <c r="G611" s="199"/>
      <c r="H611" s="199"/>
      <c r="I611" s="199"/>
      <c r="J611" s="212"/>
      <c r="K611" s="212"/>
      <c r="L611" s="212"/>
      <c r="M611" s="212"/>
      <c r="N611" s="212"/>
      <c r="O611" s="212"/>
      <c r="P611" s="212"/>
      <c r="Q611" s="212"/>
      <c r="R611" s="212"/>
      <c r="S611" s="212"/>
      <c r="T611" s="212"/>
      <c r="U611" s="212"/>
      <c r="V611" s="212"/>
      <c r="W611" s="212"/>
      <c r="X611" s="212"/>
      <c r="Y611" s="212"/>
      <c r="Z611" s="204"/>
      <c r="AA611" s="204"/>
      <c r="AB611" s="204"/>
      <c r="AC611" s="204"/>
      <c r="AD611" s="204"/>
      <c r="AE611" s="212"/>
      <c r="AF611" s="213"/>
      <c r="AG611" s="213"/>
      <c r="AH611" s="213"/>
      <c r="AI611" s="213"/>
      <c r="AJ611" s="213"/>
      <c r="AK611" s="213"/>
      <c r="AL611" s="213"/>
      <c r="AM611" s="213"/>
      <c r="AN611" s="213"/>
      <c r="AO611" s="213"/>
      <c r="AP611" s="213"/>
      <c r="AQ611" s="213"/>
      <c r="AR611" s="213"/>
      <c r="AS611" s="213"/>
      <c r="AT611" s="213"/>
      <c r="AU611" s="213"/>
      <c r="AV611" s="213"/>
      <c r="AW611" s="213"/>
      <c r="AX611" s="213"/>
      <c r="AY611" s="213"/>
      <c r="AZ611" s="213"/>
      <c r="BA611" s="213"/>
      <c r="BB611" s="213"/>
    </row>
    <row r="612">
      <c r="A612" s="199"/>
      <c r="B612" s="12"/>
      <c r="C612" s="202"/>
      <c r="D612" s="199"/>
      <c r="E612" s="211"/>
      <c r="F612" s="201"/>
      <c r="G612" s="199"/>
      <c r="H612" s="199"/>
      <c r="I612" s="199"/>
      <c r="J612" s="212"/>
      <c r="K612" s="212"/>
      <c r="L612" s="212"/>
      <c r="M612" s="212"/>
      <c r="N612" s="212"/>
      <c r="O612" s="212"/>
      <c r="P612" s="212"/>
      <c r="Q612" s="212"/>
      <c r="R612" s="212"/>
      <c r="S612" s="212"/>
      <c r="T612" s="212"/>
      <c r="U612" s="212"/>
      <c r="V612" s="212"/>
      <c r="W612" s="212"/>
      <c r="X612" s="212"/>
      <c r="Y612" s="212"/>
      <c r="Z612" s="204"/>
      <c r="AA612" s="204"/>
      <c r="AB612" s="204"/>
      <c r="AC612" s="204"/>
      <c r="AD612" s="204"/>
      <c r="AE612" s="212"/>
      <c r="AF612" s="213"/>
      <c r="AG612" s="213"/>
      <c r="AH612" s="213"/>
      <c r="AI612" s="213"/>
      <c r="AJ612" s="213"/>
      <c r="AK612" s="213"/>
      <c r="AL612" s="213"/>
      <c r="AM612" s="213"/>
      <c r="AN612" s="213"/>
      <c r="AO612" s="213"/>
      <c r="AP612" s="213"/>
      <c r="AQ612" s="213"/>
      <c r="AR612" s="213"/>
      <c r="AS612" s="213"/>
      <c r="AT612" s="213"/>
      <c r="AU612" s="213"/>
      <c r="AV612" s="213"/>
      <c r="AW612" s="213"/>
      <c r="AX612" s="213"/>
      <c r="AY612" s="213"/>
      <c r="AZ612" s="213"/>
      <c r="BA612" s="213"/>
      <c r="BB612" s="213"/>
    </row>
    <row r="613">
      <c r="A613" s="199"/>
      <c r="B613" s="12"/>
      <c r="C613" s="202"/>
      <c r="D613" s="199"/>
      <c r="E613" s="211"/>
      <c r="F613" s="201"/>
      <c r="G613" s="199"/>
      <c r="H613" s="199"/>
      <c r="I613" s="199"/>
      <c r="J613" s="212"/>
      <c r="K613" s="212"/>
      <c r="L613" s="212"/>
      <c r="M613" s="212"/>
      <c r="N613" s="212"/>
      <c r="O613" s="212"/>
      <c r="P613" s="212"/>
      <c r="Q613" s="212"/>
      <c r="R613" s="212"/>
      <c r="S613" s="212"/>
      <c r="T613" s="212"/>
      <c r="U613" s="212"/>
      <c r="V613" s="212"/>
      <c r="W613" s="212"/>
      <c r="X613" s="212"/>
      <c r="Y613" s="212"/>
      <c r="Z613" s="204"/>
      <c r="AA613" s="204"/>
      <c r="AB613" s="204"/>
      <c r="AC613" s="204"/>
      <c r="AD613" s="204"/>
      <c r="AE613" s="212"/>
      <c r="AF613" s="213"/>
      <c r="AG613" s="213"/>
      <c r="AH613" s="213"/>
      <c r="AI613" s="213"/>
      <c r="AJ613" s="213"/>
      <c r="AK613" s="213"/>
      <c r="AL613" s="213"/>
      <c r="AM613" s="213"/>
      <c r="AN613" s="213"/>
      <c r="AO613" s="213"/>
      <c r="AP613" s="213"/>
      <c r="AQ613" s="213"/>
      <c r="AR613" s="213"/>
      <c r="AS613" s="213"/>
      <c r="AT613" s="213"/>
      <c r="AU613" s="213"/>
      <c r="AV613" s="213"/>
      <c r="AW613" s="213"/>
      <c r="AX613" s="213"/>
      <c r="AY613" s="213"/>
      <c r="AZ613" s="213"/>
      <c r="BA613" s="213"/>
      <c r="BB613" s="213"/>
    </row>
    <row r="614">
      <c r="A614" s="199"/>
      <c r="B614" s="12"/>
      <c r="C614" s="202"/>
      <c r="D614" s="199"/>
      <c r="E614" s="211"/>
      <c r="F614" s="201"/>
      <c r="G614" s="199"/>
      <c r="H614" s="199"/>
      <c r="I614" s="199"/>
      <c r="J614" s="212"/>
      <c r="K614" s="212"/>
      <c r="L614" s="212"/>
      <c r="M614" s="212"/>
      <c r="N614" s="212"/>
      <c r="O614" s="212"/>
      <c r="P614" s="212"/>
      <c r="Q614" s="212"/>
      <c r="R614" s="212"/>
      <c r="S614" s="212"/>
      <c r="T614" s="212"/>
      <c r="U614" s="212"/>
      <c r="V614" s="212"/>
      <c r="W614" s="212"/>
      <c r="X614" s="212"/>
      <c r="Y614" s="212"/>
      <c r="Z614" s="204"/>
      <c r="AA614" s="204"/>
      <c r="AB614" s="204"/>
      <c r="AC614" s="204"/>
      <c r="AD614" s="204"/>
      <c r="AE614" s="212"/>
      <c r="AF614" s="213"/>
      <c r="AG614" s="213"/>
      <c r="AH614" s="213"/>
      <c r="AI614" s="213"/>
      <c r="AJ614" s="213"/>
      <c r="AK614" s="213"/>
      <c r="AL614" s="213"/>
      <c r="AM614" s="213"/>
      <c r="AN614" s="213"/>
      <c r="AO614" s="213"/>
      <c r="AP614" s="213"/>
      <c r="AQ614" s="213"/>
      <c r="AR614" s="213"/>
      <c r="AS614" s="213"/>
      <c r="AT614" s="213"/>
      <c r="AU614" s="213"/>
      <c r="AV614" s="213"/>
      <c r="AW614" s="213"/>
      <c r="AX614" s="213"/>
      <c r="AY614" s="213"/>
      <c r="AZ614" s="213"/>
      <c r="BA614" s="213"/>
      <c r="BB614" s="213"/>
    </row>
    <row r="615">
      <c r="A615" s="199"/>
      <c r="B615" s="12"/>
      <c r="C615" s="202"/>
      <c r="D615" s="199"/>
      <c r="E615" s="211"/>
      <c r="F615" s="201"/>
      <c r="G615" s="199"/>
      <c r="H615" s="199"/>
      <c r="I615" s="199"/>
      <c r="J615" s="212"/>
      <c r="K615" s="212"/>
      <c r="L615" s="212"/>
      <c r="M615" s="212"/>
      <c r="N615" s="212"/>
      <c r="O615" s="212"/>
      <c r="P615" s="212"/>
      <c r="Q615" s="212"/>
      <c r="R615" s="212"/>
      <c r="S615" s="212"/>
      <c r="T615" s="212"/>
      <c r="U615" s="212"/>
      <c r="V615" s="212"/>
      <c r="W615" s="212"/>
      <c r="X615" s="212"/>
      <c r="Y615" s="212"/>
      <c r="Z615" s="204"/>
      <c r="AA615" s="204"/>
      <c r="AB615" s="204"/>
      <c r="AC615" s="204"/>
      <c r="AD615" s="204"/>
      <c r="AE615" s="212"/>
      <c r="AF615" s="213"/>
      <c r="AG615" s="213"/>
      <c r="AH615" s="213"/>
      <c r="AI615" s="213"/>
      <c r="AJ615" s="213"/>
      <c r="AK615" s="213"/>
      <c r="AL615" s="213"/>
      <c r="AM615" s="213"/>
      <c r="AN615" s="213"/>
      <c r="AO615" s="213"/>
      <c r="AP615" s="213"/>
      <c r="AQ615" s="213"/>
      <c r="AR615" s="213"/>
      <c r="AS615" s="213"/>
      <c r="AT615" s="213"/>
      <c r="AU615" s="213"/>
      <c r="AV615" s="213"/>
      <c r="AW615" s="213"/>
      <c r="AX615" s="213"/>
      <c r="AY615" s="213"/>
      <c r="AZ615" s="213"/>
      <c r="BA615" s="213"/>
      <c r="BB615" s="213"/>
    </row>
    <row r="616">
      <c r="A616" s="199"/>
      <c r="B616" s="12"/>
      <c r="C616" s="202"/>
      <c r="D616" s="199"/>
      <c r="E616" s="211"/>
      <c r="F616" s="201"/>
      <c r="G616" s="199"/>
      <c r="H616" s="199"/>
      <c r="I616" s="199"/>
      <c r="J616" s="212"/>
      <c r="K616" s="212"/>
      <c r="L616" s="212"/>
      <c r="M616" s="212"/>
      <c r="N616" s="212"/>
      <c r="O616" s="212"/>
      <c r="P616" s="212"/>
      <c r="Q616" s="212"/>
      <c r="R616" s="212"/>
      <c r="S616" s="212"/>
      <c r="T616" s="212"/>
      <c r="U616" s="212"/>
      <c r="V616" s="212"/>
      <c r="W616" s="212"/>
      <c r="X616" s="212"/>
      <c r="Y616" s="212"/>
      <c r="Z616" s="204"/>
      <c r="AA616" s="204"/>
      <c r="AB616" s="204"/>
      <c r="AC616" s="204"/>
      <c r="AD616" s="204"/>
      <c r="AE616" s="212"/>
      <c r="AF616" s="213"/>
      <c r="AG616" s="213"/>
      <c r="AH616" s="213"/>
      <c r="AI616" s="213"/>
      <c r="AJ616" s="213"/>
      <c r="AK616" s="213"/>
      <c r="AL616" s="213"/>
      <c r="AM616" s="213"/>
      <c r="AN616" s="213"/>
      <c r="AO616" s="213"/>
      <c r="AP616" s="213"/>
      <c r="AQ616" s="213"/>
      <c r="AR616" s="213"/>
      <c r="AS616" s="213"/>
      <c r="AT616" s="213"/>
      <c r="AU616" s="213"/>
      <c r="AV616" s="213"/>
      <c r="AW616" s="213"/>
      <c r="AX616" s="213"/>
      <c r="AY616" s="213"/>
      <c r="AZ616" s="213"/>
      <c r="BA616" s="213"/>
      <c r="BB616" s="213"/>
    </row>
    <row r="617">
      <c r="A617" s="199"/>
      <c r="B617" s="12"/>
      <c r="C617" s="202"/>
      <c r="D617" s="199"/>
      <c r="E617" s="211"/>
      <c r="F617" s="201"/>
      <c r="G617" s="199"/>
      <c r="H617" s="199"/>
      <c r="I617" s="199"/>
      <c r="J617" s="212"/>
      <c r="K617" s="212"/>
      <c r="L617" s="212"/>
      <c r="M617" s="212"/>
      <c r="N617" s="212"/>
      <c r="O617" s="212"/>
      <c r="P617" s="212"/>
      <c r="Q617" s="212"/>
      <c r="R617" s="212"/>
      <c r="S617" s="212"/>
      <c r="T617" s="212"/>
      <c r="U617" s="212"/>
      <c r="V617" s="212"/>
      <c r="W617" s="212"/>
      <c r="X617" s="212"/>
      <c r="Y617" s="212"/>
      <c r="Z617" s="204"/>
      <c r="AA617" s="204"/>
      <c r="AB617" s="204"/>
      <c r="AC617" s="204"/>
      <c r="AD617" s="204"/>
      <c r="AE617" s="212"/>
      <c r="AF617" s="213"/>
      <c r="AG617" s="213"/>
      <c r="AH617" s="213"/>
      <c r="AI617" s="213"/>
      <c r="AJ617" s="213"/>
      <c r="AK617" s="213"/>
      <c r="AL617" s="213"/>
      <c r="AM617" s="213"/>
      <c r="AN617" s="213"/>
      <c r="AO617" s="213"/>
      <c r="AP617" s="213"/>
      <c r="AQ617" s="213"/>
      <c r="AR617" s="213"/>
      <c r="AS617" s="213"/>
      <c r="AT617" s="213"/>
      <c r="AU617" s="213"/>
      <c r="AV617" s="213"/>
      <c r="AW617" s="213"/>
      <c r="AX617" s="213"/>
      <c r="AY617" s="213"/>
      <c r="AZ617" s="213"/>
      <c r="BA617" s="213"/>
      <c r="BB617" s="213"/>
    </row>
    <row r="618">
      <c r="A618" s="199"/>
      <c r="B618" s="12"/>
      <c r="C618" s="202"/>
      <c r="D618" s="199"/>
      <c r="E618" s="211"/>
      <c r="F618" s="201"/>
      <c r="G618" s="199"/>
      <c r="H618" s="199"/>
      <c r="I618" s="199"/>
      <c r="J618" s="212"/>
      <c r="K618" s="212"/>
      <c r="L618" s="212"/>
      <c r="M618" s="212"/>
      <c r="N618" s="212"/>
      <c r="O618" s="212"/>
      <c r="P618" s="212"/>
      <c r="Q618" s="212"/>
      <c r="R618" s="212"/>
      <c r="S618" s="212"/>
      <c r="T618" s="212"/>
      <c r="U618" s="212"/>
      <c r="V618" s="212"/>
      <c r="W618" s="212"/>
      <c r="X618" s="212"/>
      <c r="Y618" s="212"/>
      <c r="Z618" s="204"/>
      <c r="AA618" s="204"/>
      <c r="AB618" s="204"/>
      <c r="AC618" s="204"/>
      <c r="AD618" s="204"/>
      <c r="AE618" s="212"/>
      <c r="AF618" s="213"/>
      <c r="AG618" s="213"/>
      <c r="AH618" s="213"/>
      <c r="AI618" s="213"/>
      <c r="AJ618" s="213"/>
      <c r="AK618" s="213"/>
      <c r="AL618" s="213"/>
      <c r="AM618" s="213"/>
      <c r="AN618" s="213"/>
      <c r="AO618" s="213"/>
      <c r="AP618" s="213"/>
      <c r="AQ618" s="213"/>
      <c r="AR618" s="213"/>
      <c r="AS618" s="213"/>
      <c r="AT618" s="213"/>
      <c r="AU618" s="213"/>
      <c r="AV618" s="213"/>
      <c r="AW618" s="213"/>
      <c r="AX618" s="213"/>
      <c r="AY618" s="213"/>
      <c r="AZ618" s="213"/>
      <c r="BA618" s="213"/>
      <c r="BB618" s="213"/>
    </row>
    <row r="619">
      <c r="A619" s="199"/>
      <c r="B619" s="12"/>
      <c r="C619" s="202"/>
      <c r="D619" s="199"/>
      <c r="E619" s="211"/>
      <c r="F619" s="201"/>
      <c r="G619" s="199"/>
      <c r="H619" s="199"/>
      <c r="I619" s="199"/>
      <c r="J619" s="212"/>
      <c r="K619" s="212"/>
      <c r="L619" s="212"/>
      <c r="M619" s="212"/>
      <c r="N619" s="212"/>
      <c r="O619" s="212"/>
      <c r="P619" s="212"/>
      <c r="Q619" s="212"/>
      <c r="R619" s="212"/>
      <c r="S619" s="212"/>
      <c r="T619" s="212"/>
      <c r="U619" s="212"/>
      <c r="V619" s="212"/>
      <c r="W619" s="212"/>
      <c r="X619" s="212"/>
      <c r="Y619" s="212"/>
      <c r="Z619" s="204"/>
      <c r="AA619" s="204"/>
      <c r="AB619" s="204"/>
      <c r="AC619" s="204"/>
      <c r="AD619" s="204"/>
      <c r="AE619" s="212"/>
      <c r="AF619" s="213"/>
      <c r="AG619" s="213"/>
      <c r="AH619" s="213"/>
      <c r="AI619" s="213"/>
      <c r="AJ619" s="213"/>
      <c r="AK619" s="213"/>
      <c r="AL619" s="213"/>
      <c r="AM619" s="213"/>
      <c r="AN619" s="213"/>
      <c r="AO619" s="213"/>
      <c r="AP619" s="213"/>
      <c r="AQ619" s="213"/>
      <c r="AR619" s="213"/>
      <c r="AS619" s="213"/>
      <c r="AT619" s="213"/>
      <c r="AU619" s="213"/>
      <c r="AV619" s="213"/>
      <c r="AW619" s="213"/>
      <c r="AX619" s="213"/>
      <c r="AY619" s="213"/>
      <c r="AZ619" s="213"/>
      <c r="BA619" s="213"/>
      <c r="BB619" s="213"/>
    </row>
    <row r="620">
      <c r="A620" s="199"/>
      <c r="B620" s="12"/>
      <c r="C620" s="202"/>
      <c r="D620" s="199"/>
      <c r="E620" s="211"/>
      <c r="F620" s="201"/>
      <c r="G620" s="199"/>
      <c r="H620" s="199"/>
      <c r="I620" s="199"/>
      <c r="J620" s="212"/>
      <c r="K620" s="212"/>
      <c r="L620" s="212"/>
      <c r="M620" s="212"/>
      <c r="N620" s="212"/>
      <c r="O620" s="212"/>
      <c r="P620" s="212"/>
      <c r="Q620" s="212"/>
      <c r="R620" s="212"/>
      <c r="S620" s="212"/>
      <c r="T620" s="212"/>
      <c r="U620" s="212"/>
      <c r="V620" s="212"/>
      <c r="W620" s="212"/>
      <c r="X620" s="212"/>
      <c r="Y620" s="212"/>
      <c r="Z620" s="204"/>
      <c r="AA620" s="204"/>
      <c r="AB620" s="204"/>
      <c r="AC620" s="204"/>
      <c r="AD620" s="204"/>
      <c r="AE620" s="212"/>
      <c r="AF620" s="213"/>
      <c r="AG620" s="213"/>
      <c r="AH620" s="213"/>
      <c r="AI620" s="213"/>
      <c r="AJ620" s="213"/>
      <c r="AK620" s="213"/>
      <c r="AL620" s="213"/>
      <c r="AM620" s="213"/>
      <c r="AN620" s="213"/>
      <c r="AO620" s="213"/>
      <c r="AP620" s="213"/>
      <c r="AQ620" s="213"/>
      <c r="AR620" s="213"/>
      <c r="AS620" s="213"/>
      <c r="AT620" s="213"/>
      <c r="AU620" s="213"/>
      <c r="AV620" s="213"/>
      <c r="AW620" s="213"/>
      <c r="AX620" s="213"/>
      <c r="AY620" s="213"/>
      <c r="AZ620" s="213"/>
      <c r="BA620" s="213"/>
      <c r="BB620" s="213"/>
    </row>
    <row r="621">
      <c r="A621" s="199"/>
      <c r="B621" s="12"/>
      <c r="C621" s="202"/>
      <c r="D621" s="199"/>
      <c r="E621" s="211"/>
      <c r="F621" s="201"/>
      <c r="G621" s="199"/>
      <c r="H621" s="199"/>
      <c r="I621" s="199"/>
      <c r="J621" s="212"/>
      <c r="K621" s="212"/>
      <c r="L621" s="212"/>
      <c r="M621" s="212"/>
      <c r="N621" s="212"/>
      <c r="O621" s="212"/>
      <c r="P621" s="212"/>
      <c r="Q621" s="212"/>
      <c r="R621" s="212"/>
      <c r="S621" s="212"/>
      <c r="T621" s="212"/>
      <c r="U621" s="212"/>
      <c r="V621" s="212"/>
      <c r="W621" s="212"/>
      <c r="X621" s="212"/>
      <c r="Y621" s="212"/>
      <c r="Z621" s="204"/>
      <c r="AA621" s="204"/>
      <c r="AB621" s="204"/>
      <c r="AC621" s="204"/>
      <c r="AD621" s="204"/>
      <c r="AE621" s="212"/>
      <c r="AF621" s="213"/>
      <c r="AG621" s="213"/>
      <c r="AH621" s="213"/>
      <c r="AI621" s="213"/>
      <c r="AJ621" s="213"/>
      <c r="AK621" s="213"/>
      <c r="AL621" s="213"/>
      <c r="AM621" s="213"/>
      <c r="AN621" s="213"/>
      <c r="AO621" s="213"/>
      <c r="AP621" s="213"/>
      <c r="AQ621" s="213"/>
      <c r="AR621" s="213"/>
      <c r="AS621" s="213"/>
      <c r="AT621" s="213"/>
      <c r="AU621" s="213"/>
      <c r="AV621" s="213"/>
      <c r="AW621" s="213"/>
      <c r="AX621" s="213"/>
      <c r="AY621" s="213"/>
      <c r="AZ621" s="213"/>
      <c r="BA621" s="213"/>
      <c r="BB621" s="213"/>
    </row>
    <row r="622">
      <c r="A622" s="199"/>
      <c r="B622" s="12"/>
      <c r="C622" s="202"/>
      <c r="D622" s="199"/>
      <c r="E622" s="211"/>
      <c r="F622" s="201"/>
      <c r="G622" s="199"/>
      <c r="H622" s="199"/>
      <c r="I622" s="199"/>
      <c r="J622" s="212"/>
      <c r="K622" s="212"/>
      <c r="L622" s="212"/>
      <c r="M622" s="212"/>
      <c r="N622" s="212"/>
      <c r="O622" s="212"/>
      <c r="P622" s="212"/>
      <c r="Q622" s="212"/>
      <c r="R622" s="212"/>
      <c r="S622" s="212"/>
      <c r="T622" s="212"/>
      <c r="U622" s="212"/>
      <c r="V622" s="212"/>
      <c r="W622" s="212"/>
      <c r="X622" s="212"/>
      <c r="Y622" s="212"/>
      <c r="Z622" s="204"/>
      <c r="AA622" s="204"/>
      <c r="AB622" s="204"/>
      <c r="AC622" s="204"/>
      <c r="AD622" s="204"/>
      <c r="AE622" s="212"/>
      <c r="AF622" s="213"/>
      <c r="AG622" s="213"/>
      <c r="AH622" s="213"/>
      <c r="AI622" s="213"/>
      <c r="AJ622" s="213"/>
      <c r="AK622" s="213"/>
      <c r="AL622" s="213"/>
      <c r="AM622" s="213"/>
      <c r="AN622" s="213"/>
      <c r="AO622" s="213"/>
      <c r="AP622" s="213"/>
      <c r="AQ622" s="213"/>
      <c r="AR622" s="213"/>
      <c r="AS622" s="213"/>
      <c r="AT622" s="213"/>
      <c r="AU622" s="213"/>
      <c r="AV622" s="213"/>
      <c r="AW622" s="213"/>
      <c r="AX622" s="213"/>
      <c r="AY622" s="213"/>
      <c r="AZ622" s="213"/>
      <c r="BA622" s="213"/>
      <c r="BB622" s="213"/>
    </row>
    <row r="623">
      <c r="A623" s="199"/>
      <c r="B623" s="12"/>
      <c r="C623" s="202"/>
      <c r="D623" s="199"/>
      <c r="E623" s="211"/>
      <c r="F623" s="201"/>
      <c r="G623" s="199"/>
      <c r="H623" s="199"/>
      <c r="I623" s="199"/>
      <c r="J623" s="212"/>
      <c r="K623" s="212"/>
      <c r="L623" s="212"/>
      <c r="M623" s="212"/>
      <c r="N623" s="212"/>
      <c r="O623" s="212"/>
      <c r="P623" s="212"/>
      <c r="Q623" s="212"/>
      <c r="R623" s="212"/>
      <c r="S623" s="212"/>
      <c r="T623" s="212"/>
      <c r="U623" s="212"/>
      <c r="V623" s="212"/>
      <c r="W623" s="212"/>
      <c r="X623" s="212"/>
      <c r="Y623" s="212"/>
      <c r="Z623" s="204"/>
      <c r="AA623" s="204"/>
      <c r="AB623" s="204"/>
      <c r="AC623" s="204"/>
      <c r="AD623" s="204"/>
      <c r="AE623" s="212"/>
      <c r="AF623" s="213"/>
      <c r="AG623" s="213"/>
      <c r="AH623" s="213"/>
      <c r="AI623" s="213"/>
      <c r="AJ623" s="213"/>
      <c r="AK623" s="213"/>
      <c r="AL623" s="213"/>
      <c r="AM623" s="213"/>
      <c r="AN623" s="213"/>
      <c r="AO623" s="213"/>
      <c r="AP623" s="213"/>
      <c r="AQ623" s="213"/>
      <c r="AR623" s="213"/>
      <c r="AS623" s="213"/>
      <c r="AT623" s="213"/>
      <c r="AU623" s="213"/>
      <c r="AV623" s="213"/>
      <c r="AW623" s="213"/>
      <c r="AX623" s="213"/>
      <c r="AY623" s="213"/>
      <c r="AZ623" s="213"/>
      <c r="BA623" s="213"/>
      <c r="BB623" s="213"/>
    </row>
    <row r="624">
      <c r="A624" s="199"/>
      <c r="B624" s="12"/>
      <c r="C624" s="202"/>
      <c r="D624" s="199"/>
      <c r="E624" s="211"/>
      <c r="F624" s="201"/>
      <c r="G624" s="199"/>
      <c r="H624" s="199"/>
      <c r="I624" s="199"/>
      <c r="J624" s="212"/>
      <c r="K624" s="212"/>
      <c r="L624" s="212"/>
      <c r="M624" s="212"/>
      <c r="N624" s="212"/>
      <c r="O624" s="212"/>
      <c r="P624" s="212"/>
      <c r="Q624" s="212"/>
      <c r="R624" s="212"/>
      <c r="S624" s="212"/>
      <c r="T624" s="212"/>
      <c r="U624" s="212"/>
      <c r="V624" s="212"/>
      <c r="W624" s="212"/>
      <c r="X624" s="212"/>
      <c r="Y624" s="212"/>
      <c r="Z624" s="204"/>
      <c r="AA624" s="204"/>
      <c r="AB624" s="204"/>
      <c r="AC624" s="204"/>
      <c r="AD624" s="204"/>
      <c r="AE624" s="212"/>
      <c r="AF624" s="213"/>
      <c r="AG624" s="213"/>
      <c r="AH624" s="213"/>
      <c r="AI624" s="213"/>
      <c r="AJ624" s="213"/>
      <c r="AK624" s="213"/>
      <c r="AL624" s="213"/>
      <c r="AM624" s="213"/>
      <c r="AN624" s="213"/>
      <c r="AO624" s="213"/>
      <c r="AP624" s="213"/>
      <c r="AQ624" s="213"/>
      <c r="AR624" s="213"/>
      <c r="AS624" s="213"/>
      <c r="AT624" s="213"/>
      <c r="AU624" s="213"/>
      <c r="AV624" s="213"/>
      <c r="AW624" s="213"/>
      <c r="AX624" s="213"/>
      <c r="AY624" s="213"/>
      <c r="AZ624" s="213"/>
      <c r="BA624" s="213"/>
      <c r="BB624" s="213"/>
    </row>
    <row r="625">
      <c r="A625" s="199"/>
      <c r="B625" s="12"/>
      <c r="C625" s="202"/>
      <c r="D625" s="199"/>
      <c r="E625" s="211"/>
      <c r="F625" s="201"/>
      <c r="G625" s="199"/>
      <c r="H625" s="199"/>
      <c r="I625" s="199"/>
      <c r="J625" s="212"/>
      <c r="K625" s="212"/>
      <c r="L625" s="212"/>
      <c r="M625" s="212"/>
      <c r="N625" s="212"/>
      <c r="O625" s="212"/>
      <c r="P625" s="212"/>
      <c r="Q625" s="212"/>
      <c r="R625" s="212"/>
      <c r="S625" s="212"/>
      <c r="T625" s="212"/>
      <c r="U625" s="212"/>
      <c r="V625" s="212"/>
      <c r="W625" s="212"/>
      <c r="X625" s="212"/>
      <c r="Y625" s="212"/>
      <c r="Z625" s="204"/>
      <c r="AA625" s="204"/>
      <c r="AB625" s="204"/>
      <c r="AC625" s="204"/>
      <c r="AD625" s="204"/>
      <c r="AE625" s="212"/>
      <c r="AF625" s="213"/>
      <c r="AG625" s="213"/>
      <c r="AH625" s="213"/>
      <c r="AI625" s="213"/>
      <c r="AJ625" s="213"/>
      <c r="AK625" s="213"/>
      <c r="AL625" s="213"/>
      <c r="AM625" s="213"/>
      <c r="AN625" s="213"/>
      <c r="AO625" s="213"/>
      <c r="AP625" s="213"/>
      <c r="AQ625" s="213"/>
      <c r="AR625" s="213"/>
      <c r="AS625" s="213"/>
      <c r="AT625" s="213"/>
      <c r="AU625" s="213"/>
      <c r="AV625" s="213"/>
      <c r="AW625" s="213"/>
      <c r="AX625" s="213"/>
      <c r="AY625" s="213"/>
      <c r="AZ625" s="213"/>
      <c r="BA625" s="213"/>
      <c r="BB625" s="213"/>
    </row>
    <row r="626">
      <c r="A626" s="199"/>
      <c r="B626" s="12"/>
      <c r="C626" s="202"/>
      <c r="D626" s="199"/>
      <c r="E626" s="211"/>
      <c r="F626" s="201"/>
      <c r="G626" s="199"/>
      <c r="H626" s="199"/>
      <c r="I626" s="199"/>
      <c r="J626" s="212"/>
      <c r="K626" s="212"/>
      <c r="L626" s="212"/>
      <c r="M626" s="212"/>
      <c r="N626" s="212"/>
      <c r="O626" s="212"/>
      <c r="P626" s="212"/>
      <c r="Q626" s="212"/>
      <c r="R626" s="212"/>
      <c r="S626" s="212"/>
      <c r="T626" s="212"/>
      <c r="U626" s="212"/>
      <c r="V626" s="212"/>
      <c r="W626" s="212"/>
      <c r="X626" s="212"/>
      <c r="Y626" s="212"/>
      <c r="Z626" s="204"/>
      <c r="AA626" s="204"/>
      <c r="AB626" s="204"/>
      <c r="AC626" s="204"/>
      <c r="AD626" s="204"/>
      <c r="AE626" s="212"/>
      <c r="AF626" s="213"/>
      <c r="AG626" s="213"/>
      <c r="AH626" s="213"/>
      <c r="AI626" s="213"/>
      <c r="AJ626" s="213"/>
      <c r="AK626" s="213"/>
      <c r="AL626" s="213"/>
      <c r="AM626" s="213"/>
      <c r="AN626" s="213"/>
      <c r="AO626" s="213"/>
      <c r="AP626" s="213"/>
      <c r="AQ626" s="213"/>
      <c r="AR626" s="213"/>
      <c r="AS626" s="213"/>
      <c r="AT626" s="213"/>
      <c r="AU626" s="213"/>
      <c r="AV626" s="213"/>
      <c r="AW626" s="213"/>
      <c r="AX626" s="213"/>
      <c r="AY626" s="213"/>
      <c r="AZ626" s="213"/>
      <c r="BA626" s="213"/>
      <c r="BB626" s="213"/>
    </row>
    <row r="627">
      <c r="A627" s="199"/>
      <c r="B627" s="12"/>
      <c r="C627" s="202"/>
      <c r="D627" s="199"/>
      <c r="E627" s="211"/>
      <c r="F627" s="201"/>
      <c r="G627" s="199"/>
      <c r="H627" s="199"/>
      <c r="I627" s="199"/>
      <c r="J627" s="212"/>
      <c r="K627" s="212"/>
      <c r="L627" s="212"/>
      <c r="M627" s="212"/>
      <c r="N627" s="212"/>
      <c r="O627" s="212"/>
      <c r="P627" s="212"/>
      <c r="Q627" s="212"/>
      <c r="R627" s="212"/>
      <c r="S627" s="212"/>
      <c r="T627" s="212"/>
      <c r="U627" s="212"/>
      <c r="V627" s="212"/>
      <c r="W627" s="212"/>
      <c r="X627" s="212"/>
      <c r="Y627" s="212"/>
      <c r="Z627" s="204"/>
      <c r="AA627" s="204"/>
      <c r="AB627" s="204"/>
      <c r="AC627" s="204"/>
      <c r="AD627" s="204"/>
      <c r="AE627" s="212"/>
      <c r="AF627" s="213"/>
      <c r="AG627" s="213"/>
      <c r="AH627" s="213"/>
      <c r="AI627" s="213"/>
      <c r="AJ627" s="213"/>
      <c r="AK627" s="213"/>
      <c r="AL627" s="213"/>
      <c r="AM627" s="213"/>
      <c r="AN627" s="213"/>
      <c r="AO627" s="213"/>
      <c r="AP627" s="213"/>
      <c r="AQ627" s="213"/>
      <c r="AR627" s="213"/>
      <c r="AS627" s="213"/>
      <c r="AT627" s="213"/>
      <c r="AU627" s="213"/>
      <c r="AV627" s="213"/>
      <c r="AW627" s="213"/>
      <c r="AX627" s="213"/>
      <c r="AY627" s="213"/>
      <c r="AZ627" s="213"/>
      <c r="BA627" s="213"/>
      <c r="BB627" s="213"/>
    </row>
    <row r="628">
      <c r="A628" s="199"/>
      <c r="B628" s="12"/>
      <c r="C628" s="202"/>
      <c r="D628" s="199"/>
      <c r="E628" s="211"/>
      <c r="F628" s="201"/>
      <c r="G628" s="199"/>
      <c r="H628" s="199"/>
      <c r="I628" s="199"/>
      <c r="J628" s="212"/>
      <c r="K628" s="212"/>
      <c r="L628" s="212"/>
      <c r="M628" s="212"/>
      <c r="N628" s="212"/>
      <c r="O628" s="212"/>
      <c r="P628" s="212"/>
      <c r="Q628" s="212"/>
      <c r="R628" s="212"/>
      <c r="S628" s="212"/>
      <c r="T628" s="212"/>
      <c r="U628" s="212"/>
      <c r="V628" s="212"/>
      <c r="W628" s="212"/>
      <c r="X628" s="212"/>
      <c r="Y628" s="212"/>
      <c r="Z628" s="204"/>
      <c r="AA628" s="204"/>
      <c r="AB628" s="204"/>
      <c r="AC628" s="204"/>
      <c r="AD628" s="204"/>
      <c r="AE628" s="212"/>
      <c r="AF628" s="213"/>
      <c r="AG628" s="213"/>
      <c r="AH628" s="213"/>
      <c r="AI628" s="213"/>
      <c r="AJ628" s="213"/>
      <c r="AK628" s="213"/>
      <c r="AL628" s="213"/>
      <c r="AM628" s="213"/>
      <c r="AN628" s="213"/>
      <c r="AO628" s="213"/>
      <c r="AP628" s="213"/>
      <c r="AQ628" s="213"/>
      <c r="AR628" s="213"/>
      <c r="AS628" s="213"/>
      <c r="AT628" s="213"/>
      <c r="AU628" s="213"/>
      <c r="AV628" s="213"/>
      <c r="AW628" s="213"/>
      <c r="AX628" s="213"/>
      <c r="AY628" s="213"/>
      <c r="AZ628" s="213"/>
      <c r="BA628" s="213"/>
      <c r="BB628" s="213"/>
    </row>
    <row r="629">
      <c r="A629" s="199"/>
      <c r="B629" s="12"/>
      <c r="C629" s="202"/>
      <c r="D629" s="199"/>
      <c r="E629" s="211"/>
      <c r="F629" s="201"/>
      <c r="G629" s="199"/>
      <c r="H629" s="199"/>
      <c r="I629" s="199"/>
      <c r="J629" s="212"/>
      <c r="K629" s="212"/>
      <c r="L629" s="212"/>
      <c r="M629" s="212"/>
      <c r="N629" s="212"/>
      <c r="O629" s="212"/>
      <c r="P629" s="212"/>
      <c r="Q629" s="212"/>
      <c r="R629" s="212"/>
      <c r="S629" s="212"/>
      <c r="T629" s="212"/>
      <c r="U629" s="212"/>
      <c r="V629" s="212"/>
      <c r="W629" s="212"/>
      <c r="X629" s="212"/>
      <c r="Y629" s="212"/>
      <c r="Z629" s="204"/>
      <c r="AA629" s="204"/>
      <c r="AB629" s="204"/>
      <c r="AC629" s="204"/>
      <c r="AD629" s="204"/>
      <c r="AE629" s="212"/>
      <c r="AF629" s="213"/>
      <c r="AG629" s="213"/>
      <c r="AH629" s="213"/>
      <c r="AI629" s="213"/>
      <c r="AJ629" s="213"/>
      <c r="AK629" s="213"/>
      <c r="AL629" s="213"/>
      <c r="AM629" s="213"/>
      <c r="AN629" s="213"/>
      <c r="AO629" s="213"/>
      <c r="AP629" s="213"/>
      <c r="AQ629" s="213"/>
      <c r="AR629" s="213"/>
      <c r="AS629" s="213"/>
      <c r="AT629" s="213"/>
      <c r="AU629" s="213"/>
      <c r="AV629" s="213"/>
      <c r="AW629" s="213"/>
      <c r="AX629" s="213"/>
      <c r="AY629" s="213"/>
      <c r="AZ629" s="213"/>
      <c r="BA629" s="213"/>
      <c r="BB629" s="213"/>
    </row>
    <row r="630">
      <c r="A630" s="199"/>
      <c r="B630" s="12"/>
      <c r="C630" s="202"/>
      <c r="D630" s="199"/>
      <c r="E630" s="211"/>
      <c r="F630" s="201"/>
      <c r="G630" s="199"/>
      <c r="H630" s="199"/>
      <c r="I630" s="199"/>
      <c r="J630" s="212"/>
      <c r="K630" s="212"/>
      <c r="L630" s="212"/>
      <c r="M630" s="212"/>
      <c r="N630" s="212"/>
      <c r="O630" s="212"/>
      <c r="P630" s="212"/>
      <c r="Q630" s="212"/>
      <c r="R630" s="212"/>
      <c r="S630" s="212"/>
      <c r="T630" s="212"/>
      <c r="U630" s="212"/>
      <c r="V630" s="212"/>
      <c r="W630" s="212"/>
      <c r="X630" s="212"/>
      <c r="Y630" s="212"/>
      <c r="Z630" s="204"/>
      <c r="AA630" s="204"/>
      <c r="AB630" s="204"/>
      <c r="AC630" s="204"/>
      <c r="AD630" s="204"/>
      <c r="AE630" s="212"/>
      <c r="AF630" s="213"/>
      <c r="AG630" s="213"/>
      <c r="AH630" s="213"/>
      <c r="AI630" s="213"/>
      <c r="AJ630" s="213"/>
      <c r="AK630" s="213"/>
      <c r="AL630" s="213"/>
      <c r="AM630" s="213"/>
      <c r="AN630" s="213"/>
      <c r="AO630" s="213"/>
      <c r="AP630" s="213"/>
      <c r="AQ630" s="213"/>
      <c r="AR630" s="213"/>
      <c r="AS630" s="213"/>
      <c r="AT630" s="213"/>
      <c r="AU630" s="213"/>
      <c r="AV630" s="213"/>
      <c r="AW630" s="213"/>
      <c r="AX630" s="213"/>
      <c r="AY630" s="213"/>
      <c r="AZ630" s="213"/>
      <c r="BA630" s="213"/>
      <c r="BB630" s="213"/>
    </row>
    <row r="631">
      <c r="A631" s="199"/>
      <c r="B631" s="12"/>
      <c r="C631" s="202"/>
      <c r="D631" s="199"/>
      <c r="E631" s="211"/>
      <c r="F631" s="201"/>
      <c r="G631" s="199"/>
      <c r="H631" s="199"/>
      <c r="I631" s="199"/>
      <c r="J631" s="212"/>
      <c r="K631" s="212"/>
      <c r="L631" s="212"/>
      <c r="M631" s="212"/>
      <c r="N631" s="212"/>
      <c r="O631" s="212"/>
      <c r="P631" s="212"/>
      <c r="Q631" s="212"/>
      <c r="R631" s="212"/>
      <c r="S631" s="212"/>
      <c r="T631" s="212"/>
      <c r="U631" s="212"/>
      <c r="V631" s="212"/>
      <c r="W631" s="212"/>
      <c r="X631" s="212"/>
      <c r="Y631" s="212"/>
      <c r="Z631" s="204"/>
      <c r="AA631" s="204"/>
      <c r="AB631" s="204"/>
      <c r="AC631" s="204"/>
      <c r="AD631" s="204"/>
      <c r="AE631" s="212"/>
      <c r="AF631" s="213"/>
      <c r="AG631" s="213"/>
      <c r="AH631" s="213"/>
      <c r="AI631" s="213"/>
      <c r="AJ631" s="213"/>
      <c r="AK631" s="213"/>
      <c r="AL631" s="213"/>
      <c r="AM631" s="213"/>
      <c r="AN631" s="213"/>
      <c r="AO631" s="213"/>
      <c r="AP631" s="213"/>
      <c r="AQ631" s="213"/>
      <c r="AR631" s="213"/>
      <c r="AS631" s="213"/>
      <c r="AT631" s="213"/>
      <c r="AU631" s="213"/>
      <c r="AV631" s="213"/>
      <c r="AW631" s="213"/>
      <c r="AX631" s="213"/>
      <c r="AY631" s="213"/>
      <c r="AZ631" s="213"/>
      <c r="BA631" s="213"/>
      <c r="BB631" s="213"/>
    </row>
    <row r="632">
      <c r="A632" s="199"/>
      <c r="B632" s="12"/>
      <c r="C632" s="202"/>
      <c r="D632" s="199"/>
      <c r="E632" s="211"/>
      <c r="F632" s="201"/>
      <c r="G632" s="199"/>
      <c r="H632" s="199"/>
      <c r="I632" s="199"/>
      <c r="J632" s="212"/>
      <c r="K632" s="212"/>
      <c r="L632" s="212"/>
      <c r="M632" s="212"/>
      <c r="N632" s="212"/>
      <c r="O632" s="212"/>
      <c r="P632" s="212"/>
      <c r="Q632" s="212"/>
      <c r="R632" s="212"/>
      <c r="S632" s="212"/>
      <c r="T632" s="212"/>
      <c r="U632" s="212"/>
      <c r="V632" s="212"/>
      <c r="W632" s="212"/>
      <c r="X632" s="212"/>
      <c r="Y632" s="212"/>
      <c r="Z632" s="204"/>
      <c r="AA632" s="204"/>
      <c r="AB632" s="204"/>
      <c r="AC632" s="204"/>
      <c r="AD632" s="204"/>
      <c r="AE632" s="212"/>
      <c r="AF632" s="213"/>
      <c r="AG632" s="213"/>
      <c r="AH632" s="213"/>
      <c r="AI632" s="213"/>
      <c r="AJ632" s="213"/>
      <c r="AK632" s="213"/>
      <c r="AL632" s="213"/>
      <c r="AM632" s="213"/>
      <c r="AN632" s="213"/>
      <c r="AO632" s="213"/>
      <c r="AP632" s="213"/>
      <c r="AQ632" s="213"/>
      <c r="AR632" s="213"/>
      <c r="AS632" s="213"/>
      <c r="AT632" s="213"/>
      <c r="AU632" s="213"/>
      <c r="AV632" s="213"/>
      <c r="AW632" s="213"/>
      <c r="AX632" s="213"/>
      <c r="AY632" s="213"/>
      <c r="AZ632" s="213"/>
      <c r="BA632" s="213"/>
      <c r="BB632" s="213"/>
    </row>
    <row r="633">
      <c r="A633" s="199"/>
      <c r="B633" s="12"/>
      <c r="C633" s="202"/>
      <c r="D633" s="199"/>
      <c r="E633" s="211"/>
      <c r="F633" s="201"/>
      <c r="G633" s="199"/>
      <c r="H633" s="199"/>
      <c r="I633" s="199"/>
      <c r="J633" s="212"/>
      <c r="K633" s="212"/>
      <c r="L633" s="212"/>
      <c r="M633" s="212"/>
      <c r="N633" s="212"/>
      <c r="O633" s="212"/>
      <c r="P633" s="212"/>
      <c r="Q633" s="212"/>
      <c r="R633" s="212"/>
      <c r="S633" s="212"/>
      <c r="T633" s="212"/>
      <c r="U633" s="212"/>
      <c r="V633" s="212"/>
      <c r="W633" s="212"/>
      <c r="X633" s="212"/>
      <c r="Y633" s="212"/>
      <c r="Z633" s="204"/>
      <c r="AA633" s="204"/>
      <c r="AB633" s="204"/>
      <c r="AC633" s="204"/>
      <c r="AD633" s="204"/>
      <c r="AE633" s="212"/>
      <c r="AF633" s="213"/>
      <c r="AG633" s="213"/>
      <c r="AH633" s="213"/>
      <c r="AI633" s="213"/>
      <c r="AJ633" s="213"/>
      <c r="AK633" s="213"/>
      <c r="AL633" s="213"/>
      <c r="AM633" s="213"/>
      <c r="AN633" s="213"/>
      <c r="AO633" s="213"/>
      <c r="AP633" s="213"/>
      <c r="AQ633" s="213"/>
      <c r="AR633" s="213"/>
      <c r="AS633" s="213"/>
      <c r="AT633" s="213"/>
      <c r="AU633" s="213"/>
      <c r="AV633" s="213"/>
      <c r="AW633" s="213"/>
      <c r="AX633" s="213"/>
      <c r="AY633" s="213"/>
      <c r="AZ633" s="213"/>
      <c r="BA633" s="213"/>
      <c r="BB633" s="213"/>
    </row>
    <row r="634">
      <c r="A634" s="199"/>
      <c r="B634" s="12"/>
      <c r="C634" s="202"/>
      <c r="D634" s="199"/>
      <c r="E634" s="211"/>
      <c r="F634" s="201"/>
      <c r="G634" s="199"/>
      <c r="H634" s="199"/>
      <c r="I634" s="199"/>
      <c r="J634" s="212"/>
      <c r="K634" s="212"/>
      <c r="L634" s="212"/>
      <c r="M634" s="212"/>
      <c r="N634" s="212"/>
      <c r="O634" s="212"/>
      <c r="P634" s="212"/>
      <c r="Q634" s="212"/>
      <c r="R634" s="212"/>
      <c r="S634" s="212"/>
      <c r="T634" s="212"/>
      <c r="U634" s="212"/>
      <c r="V634" s="212"/>
      <c r="W634" s="212"/>
      <c r="X634" s="212"/>
      <c r="Y634" s="212"/>
      <c r="Z634" s="204"/>
      <c r="AA634" s="204"/>
      <c r="AB634" s="204"/>
      <c r="AC634" s="204"/>
      <c r="AD634" s="204"/>
      <c r="AE634" s="212"/>
      <c r="AF634" s="213"/>
      <c r="AG634" s="213"/>
      <c r="AH634" s="213"/>
      <c r="AI634" s="213"/>
      <c r="AJ634" s="213"/>
      <c r="AK634" s="213"/>
      <c r="AL634" s="213"/>
      <c r="AM634" s="213"/>
      <c r="AN634" s="213"/>
      <c r="AO634" s="213"/>
      <c r="AP634" s="213"/>
      <c r="AQ634" s="213"/>
      <c r="AR634" s="213"/>
      <c r="AS634" s="213"/>
      <c r="AT634" s="213"/>
      <c r="AU634" s="213"/>
      <c r="AV634" s="213"/>
      <c r="AW634" s="213"/>
      <c r="AX634" s="213"/>
      <c r="AY634" s="213"/>
      <c r="AZ634" s="213"/>
      <c r="BA634" s="213"/>
      <c r="BB634" s="213"/>
    </row>
    <row r="635">
      <c r="A635" s="199"/>
      <c r="B635" s="12"/>
      <c r="C635" s="202"/>
      <c r="D635" s="199"/>
      <c r="E635" s="211"/>
      <c r="F635" s="201"/>
      <c r="G635" s="199"/>
      <c r="H635" s="199"/>
      <c r="I635" s="199"/>
      <c r="J635" s="212"/>
      <c r="K635" s="212"/>
      <c r="L635" s="212"/>
      <c r="M635" s="212"/>
      <c r="N635" s="212"/>
      <c r="O635" s="212"/>
      <c r="P635" s="212"/>
      <c r="Q635" s="212"/>
      <c r="R635" s="212"/>
      <c r="S635" s="212"/>
      <c r="T635" s="212"/>
      <c r="U635" s="212"/>
      <c r="V635" s="212"/>
      <c r="W635" s="212"/>
      <c r="X635" s="212"/>
      <c r="Y635" s="212"/>
      <c r="Z635" s="204"/>
      <c r="AA635" s="204"/>
      <c r="AB635" s="204"/>
      <c r="AC635" s="204"/>
      <c r="AD635" s="204"/>
      <c r="AE635" s="212"/>
      <c r="AF635" s="213"/>
      <c r="AG635" s="213"/>
      <c r="AH635" s="213"/>
      <c r="AI635" s="213"/>
      <c r="AJ635" s="213"/>
      <c r="AK635" s="213"/>
      <c r="AL635" s="213"/>
      <c r="AM635" s="213"/>
      <c r="AN635" s="213"/>
      <c r="AO635" s="213"/>
      <c r="AP635" s="213"/>
      <c r="AQ635" s="213"/>
      <c r="AR635" s="213"/>
      <c r="AS635" s="213"/>
      <c r="AT635" s="213"/>
      <c r="AU635" s="213"/>
      <c r="AV635" s="213"/>
      <c r="AW635" s="213"/>
      <c r="AX635" s="213"/>
      <c r="AY635" s="213"/>
      <c r="AZ635" s="213"/>
      <c r="BA635" s="213"/>
      <c r="BB635" s="213"/>
    </row>
    <row r="636">
      <c r="A636" s="199"/>
      <c r="B636" s="12"/>
      <c r="C636" s="202"/>
      <c r="D636" s="199"/>
      <c r="E636" s="211"/>
      <c r="F636" s="201"/>
      <c r="G636" s="199"/>
      <c r="H636" s="199"/>
      <c r="I636" s="199"/>
      <c r="J636" s="212"/>
      <c r="K636" s="212"/>
      <c r="L636" s="212"/>
      <c r="M636" s="212"/>
      <c r="N636" s="212"/>
      <c r="O636" s="212"/>
      <c r="P636" s="212"/>
      <c r="Q636" s="212"/>
      <c r="R636" s="212"/>
      <c r="S636" s="212"/>
      <c r="T636" s="212"/>
      <c r="U636" s="212"/>
      <c r="V636" s="212"/>
      <c r="W636" s="212"/>
      <c r="X636" s="212"/>
      <c r="Y636" s="212"/>
      <c r="Z636" s="204"/>
      <c r="AA636" s="204"/>
      <c r="AB636" s="204"/>
      <c r="AC636" s="204"/>
      <c r="AD636" s="204"/>
      <c r="AE636" s="212"/>
      <c r="AF636" s="213"/>
      <c r="AG636" s="213"/>
      <c r="AH636" s="213"/>
      <c r="AI636" s="213"/>
      <c r="AJ636" s="213"/>
      <c r="AK636" s="213"/>
      <c r="AL636" s="213"/>
      <c r="AM636" s="213"/>
      <c r="AN636" s="213"/>
      <c r="AO636" s="213"/>
      <c r="AP636" s="213"/>
      <c r="AQ636" s="213"/>
      <c r="AR636" s="213"/>
      <c r="AS636" s="213"/>
      <c r="AT636" s="213"/>
      <c r="AU636" s="213"/>
      <c r="AV636" s="213"/>
      <c r="AW636" s="213"/>
      <c r="AX636" s="213"/>
      <c r="AY636" s="213"/>
      <c r="AZ636" s="213"/>
      <c r="BA636" s="213"/>
      <c r="BB636" s="213"/>
    </row>
    <row r="637">
      <c r="A637" s="199"/>
      <c r="B637" s="12"/>
      <c r="C637" s="202"/>
      <c r="D637" s="199"/>
      <c r="E637" s="211"/>
      <c r="F637" s="201"/>
      <c r="G637" s="199"/>
      <c r="H637" s="199"/>
      <c r="I637" s="199"/>
      <c r="J637" s="212"/>
      <c r="K637" s="212"/>
      <c r="L637" s="212"/>
      <c r="M637" s="212"/>
      <c r="N637" s="212"/>
      <c r="O637" s="212"/>
      <c r="P637" s="212"/>
      <c r="Q637" s="212"/>
      <c r="R637" s="212"/>
      <c r="S637" s="212"/>
      <c r="T637" s="212"/>
      <c r="U637" s="212"/>
      <c r="V637" s="212"/>
      <c r="W637" s="212"/>
      <c r="X637" s="212"/>
      <c r="Y637" s="212"/>
      <c r="Z637" s="204"/>
      <c r="AA637" s="204"/>
      <c r="AB637" s="204"/>
      <c r="AC637" s="204"/>
      <c r="AD637" s="204"/>
      <c r="AE637" s="212"/>
      <c r="AF637" s="213"/>
      <c r="AG637" s="213"/>
      <c r="AH637" s="213"/>
      <c r="AI637" s="213"/>
      <c r="AJ637" s="213"/>
      <c r="AK637" s="213"/>
      <c r="AL637" s="213"/>
      <c r="AM637" s="213"/>
      <c r="AN637" s="213"/>
      <c r="AO637" s="213"/>
      <c r="AP637" s="213"/>
      <c r="AQ637" s="213"/>
      <c r="AR637" s="213"/>
      <c r="AS637" s="213"/>
      <c r="AT637" s="213"/>
      <c r="AU637" s="213"/>
      <c r="AV637" s="213"/>
      <c r="AW637" s="213"/>
      <c r="AX637" s="213"/>
      <c r="AY637" s="213"/>
      <c r="AZ637" s="213"/>
      <c r="BA637" s="213"/>
      <c r="BB637" s="213"/>
    </row>
    <row r="638">
      <c r="A638" s="199"/>
      <c r="B638" s="12"/>
      <c r="C638" s="202"/>
      <c r="D638" s="199"/>
      <c r="E638" s="211"/>
      <c r="F638" s="201"/>
      <c r="G638" s="199"/>
      <c r="H638" s="199"/>
      <c r="I638" s="199"/>
      <c r="J638" s="212"/>
      <c r="K638" s="212"/>
      <c r="L638" s="212"/>
      <c r="M638" s="212"/>
      <c r="N638" s="212"/>
      <c r="O638" s="212"/>
      <c r="P638" s="212"/>
      <c r="Q638" s="212"/>
      <c r="R638" s="212"/>
      <c r="S638" s="212"/>
      <c r="T638" s="212"/>
      <c r="U638" s="212"/>
      <c r="V638" s="212"/>
      <c r="W638" s="212"/>
      <c r="X638" s="212"/>
      <c r="Y638" s="212"/>
      <c r="Z638" s="204"/>
      <c r="AA638" s="204"/>
      <c r="AB638" s="204"/>
      <c r="AC638" s="204"/>
      <c r="AD638" s="204"/>
      <c r="AE638" s="212"/>
      <c r="AF638" s="213"/>
      <c r="AG638" s="213"/>
      <c r="AH638" s="213"/>
      <c r="AI638" s="213"/>
      <c r="AJ638" s="213"/>
      <c r="AK638" s="213"/>
      <c r="AL638" s="213"/>
      <c r="AM638" s="213"/>
      <c r="AN638" s="213"/>
      <c r="AO638" s="213"/>
      <c r="AP638" s="213"/>
      <c r="AQ638" s="213"/>
      <c r="AR638" s="213"/>
      <c r="AS638" s="213"/>
      <c r="AT638" s="213"/>
      <c r="AU638" s="213"/>
      <c r="AV638" s="213"/>
      <c r="AW638" s="213"/>
      <c r="AX638" s="213"/>
      <c r="AY638" s="213"/>
      <c r="AZ638" s="213"/>
      <c r="BA638" s="213"/>
      <c r="BB638" s="213"/>
    </row>
    <row r="639">
      <c r="A639" s="199"/>
      <c r="B639" s="12"/>
      <c r="C639" s="202"/>
      <c r="D639" s="199"/>
      <c r="E639" s="211"/>
      <c r="F639" s="201"/>
      <c r="G639" s="199"/>
      <c r="H639" s="199"/>
      <c r="I639" s="199"/>
      <c r="J639" s="212"/>
      <c r="K639" s="212"/>
      <c r="L639" s="212"/>
      <c r="M639" s="212"/>
      <c r="N639" s="212"/>
      <c r="O639" s="212"/>
      <c r="P639" s="212"/>
      <c r="Q639" s="212"/>
      <c r="R639" s="212"/>
      <c r="S639" s="212"/>
      <c r="T639" s="212"/>
      <c r="U639" s="212"/>
      <c r="V639" s="212"/>
      <c r="W639" s="212"/>
      <c r="X639" s="212"/>
      <c r="Y639" s="212"/>
      <c r="Z639" s="204"/>
      <c r="AA639" s="204"/>
      <c r="AB639" s="204"/>
      <c r="AC639" s="204"/>
      <c r="AD639" s="204"/>
      <c r="AE639" s="212"/>
      <c r="AF639" s="213"/>
      <c r="AG639" s="213"/>
      <c r="AH639" s="213"/>
      <c r="AI639" s="213"/>
      <c r="AJ639" s="213"/>
      <c r="AK639" s="213"/>
      <c r="AL639" s="213"/>
      <c r="AM639" s="213"/>
      <c r="AN639" s="213"/>
      <c r="AO639" s="213"/>
      <c r="AP639" s="213"/>
      <c r="AQ639" s="213"/>
      <c r="AR639" s="213"/>
      <c r="AS639" s="213"/>
      <c r="AT639" s="213"/>
      <c r="AU639" s="213"/>
      <c r="AV639" s="213"/>
      <c r="AW639" s="213"/>
      <c r="AX639" s="213"/>
      <c r="AY639" s="213"/>
      <c r="AZ639" s="213"/>
      <c r="BA639" s="213"/>
      <c r="BB639" s="213"/>
    </row>
    <row r="640">
      <c r="A640" s="199"/>
      <c r="B640" s="12"/>
      <c r="C640" s="202"/>
      <c r="D640" s="199"/>
      <c r="E640" s="211"/>
      <c r="F640" s="201"/>
      <c r="G640" s="199"/>
      <c r="H640" s="199"/>
      <c r="I640" s="199"/>
      <c r="J640" s="212"/>
      <c r="K640" s="212"/>
      <c r="L640" s="212"/>
      <c r="M640" s="212"/>
      <c r="N640" s="212"/>
      <c r="O640" s="212"/>
      <c r="P640" s="212"/>
      <c r="Q640" s="212"/>
      <c r="R640" s="212"/>
      <c r="S640" s="212"/>
      <c r="T640" s="212"/>
      <c r="U640" s="212"/>
      <c r="V640" s="212"/>
      <c r="W640" s="212"/>
      <c r="X640" s="212"/>
      <c r="Y640" s="212"/>
      <c r="Z640" s="204"/>
      <c r="AA640" s="204"/>
      <c r="AB640" s="204"/>
      <c r="AC640" s="204"/>
      <c r="AD640" s="204"/>
      <c r="AE640" s="212"/>
      <c r="AF640" s="213"/>
      <c r="AG640" s="213"/>
      <c r="AH640" s="213"/>
      <c r="AI640" s="213"/>
      <c r="AJ640" s="213"/>
      <c r="AK640" s="213"/>
      <c r="AL640" s="213"/>
      <c r="AM640" s="213"/>
      <c r="AN640" s="213"/>
      <c r="AO640" s="213"/>
      <c r="AP640" s="213"/>
      <c r="AQ640" s="213"/>
      <c r="AR640" s="213"/>
      <c r="AS640" s="213"/>
      <c r="AT640" s="213"/>
      <c r="AU640" s="213"/>
      <c r="AV640" s="213"/>
      <c r="AW640" s="213"/>
      <c r="AX640" s="213"/>
      <c r="AY640" s="213"/>
      <c r="AZ640" s="213"/>
      <c r="BA640" s="213"/>
      <c r="BB640" s="213"/>
    </row>
    <row r="641">
      <c r="A641" s="199"/>
      <c r="B641" s="12"/>
      <c r="C641" s="202"/>
      <c r="D641" s="199"/>
      <c r="E641" s="211"/>
      <c r="F641" s="201"/>
      <c r="G641" s="199"/>
      <c r="H641" s="199"/>
      <c r="I641" s="199"/>
      <c r="J641" s="212"/>
      <c r="K641" s="212"/>
      <c r="L641" s="212"/>
      <c r="M641" s="212"/>
      <c r="N641" s="212"/>
      <c r="O641" s="212"/>
      <c r="P641" s="212"/>
      <c r="Q641" s="212"/>
      <c r="R641" s="212"/>
      <c r="S641" s="212"/>
      <c r="T641" s="212"/>
      <c r="U641" s="212"/>
      <c r="V641" s="212"/>
      <c r="W641" s="212"/>
      <c r="X641" s="212"/>
      <c r="Y641" s="212"/>
      <c r="Z641" s="204"/>
      <c r="AA641" s="204"/>
      <c r="AB641" s="204"/>
      <c r="AC641" s="204"/>
      <c r="AD641" s="204"/>
      <c r="AE641" s="212"/>
      <c r="AF641" s="213"/>
      <c r="AG641" s="213"/>
      <c r="AH641" s="213"/>
      <c r="AI641" s="213"/>
      <c r="AJ641" s="213"/>
      <c r="AK641" s="213"/>
      <c r="AL641" s="213"/>
      <c r="AM641" s="213"/>
      <c r="AN641" s="213"/>
      <c r="AO641" s="213"/>
      <c r="AP641" s="213"/>
      <c r="AQ641" s="213"/>
      <c r="AR641" s="213"/>
      <c r="AS641" s="213"/>
      <c r="AT641" s="213"/>
      <c r="AU641" s="213"/>
      <c r="AV641" s="213"/>
      <c r="AW641" s="213"/>
      <c r="AX641" s="213"/>
      <c r="AY641" s="213"/>
      <c r="AZ641" s="213"/>
      <c r="BA641" s="213"/>
      <c r="BB641" s="213"/>
    </row>
    <row r="642">
      <c r="A642" s="199"/>
      <c r="B642" s="12"/>
      <c r="C642" s="202"/>
      <c r="D642" s="199"/>
      <c r="E642" s="211"/>
      <c r="F642" s="201"/>
      <c r="G642" s="199"/>
      <c r="H642" s="199"/>
      <c r="I642" s="199"/>
      <c r="J642" s="212"/>
      <c r="K642" s="212"/>
      <c r="L642" s="212"/>
      <c r="M642" s="212"/>
      <c r="N642" s="212"/>
      <c r="O642" s="212"/>
      <c r="P642" s="212"/>
      <c r="Q642" s="212"/>
      <c r="R642" s="212"/>
      <c r="S642" s="212"/>
      <c r="T642" s="212"/>
      <c r="U642" s="212"/>
      <c r="V642" s="212"/>
      <c r="W642" s="212"/>
      <c r="X642" s="212"/>
      <c r="Y642" s="212"/>
      <c r="Z642" s="204"/>
      <c r="AA642" s="204"/>
      <c r="AB642" s="204"/>
      <c r="AC642" s="204"/>
      <c r="AD642" s="204"/>
      <c r="AE642" s="212"/>
      <c r="AF642" s="213"/>
      <c r="AG642" s="213"/>
      <c r="AH642" s="213"/>
      <c r="AI642" s="213"/>
      <c r="AJ642" s="213"/>
      <c r="AK642" s="213"/>
      <c r="AL642" s="213"/>
      <c r="AM642" s="213"/>
      <c r="AN642" s="213"/>
      <c r="AO642" s="213"/>
      <c r="AP642" s="213"/>
      <c r="AQ642" s="213"/>
      <c r="AR642" s="213"/>
      <c r="AS642" s="213"/>
      <c r="AT642" s="213"/>
      <c r="AU642" s="213"/>
      <c r="AV642" s="213"/>
      <c r="AW642" s="213"/>
      <c r="AX642" s="213"/>
      <c r="AY642" s="213"/>
      <c r="AZ642" s="213"/>
      <c r="BA642" s="213"/>
      <c r="BB642" s="213"/>
    </row>
    <row r="643">
      <c r="A643" s="199"/>
      <c r="B643" s="12"/>
      <c r="C643" s="202"/>
      <c r="D643" s="199"/>
      <c r="E643" s="211"/>
      <c r="F643" s="201"/>
      <c r="G643" s="199"/>
      <c r="H643" s="199"/>
      <c r="I643" s="199"/>
      <c r="J643" s="212"/>
      <c r="K643" s="212"/>
      <c r="L643" s="212"/>
      <c r="M643" s="212"/>
      <c r="N643" s="212"/>
      <c r="O643" s="212"/>
      <c r="P643" s="212"/>
      <c r="Q643" s="212"/>
      <c r="R643" s="212"/>
      <c r="S643" s="212"/>
      <c r="T643" s="212"/>
      <c r="U643" s="212"/>
      <c r="V643" s="212"/>
      <c r="W643" s="212"/>
      <c r="X643" s="212"/>
      <c r="Y643" s="212"/>
      <c r="Z643" s="204"/>
      <c r="AA643" s="204"/>
      <c r="AB643" s="204"/>
      <c r="AC643" s="204"/>
      <c r="AD643" s="204"/>
      <c r="AE643" s="212"/>
      <c r="AF643" s="213"/>
      <c r="AG643" s="213"/>
      <c r="AH643" s="213"/>
      <c r="AI643" s="213"/>
      <c r="AJ643" s="213"/>
      <c r="AK643" s="213"/>
      <c r="AL643" s="213"/>
      <c r="AM643" s="213"/>
      <c r="AN643" s="213"/>
      <c r="AO643" s="213"/>
      <c r="AP643" s="213"/>
      <c r="AQ643" s="213"/>
      <c r="AR643" s="213"/>
      <c r="AS643" s="213"/>
      <c r="AT643" s="213"/>
      <c r="AU643" s="213"/>
      <c r="AV643" s="213"/>
      <c r="AW643" s="213"/>
      <c r="AX643" s="213"/>
      <c r="AY643" s="213"/>
      <c r="AZ643" s="213"/>
      <c r="BA643" s="213"/>
      <c r="BB643" s="213"/>
    </row>
    <row r="644">
      <c r="A644" s="199"/>
      <c r="B644" s="12"/>
      <c r="C644" s="202"/>
      <c r="D644" s="199"/>
      <c r="E644" s="211"/>
      <c r="F644" s="201"/>
      <c r="G644" s="199"/>
      <c r="H644" s="199"/>
      <c r="I644" s="199"/>
      <c r="J644" s="212"/>
      <c r="K644" s="212"/>
      <c r="L644" s="212"/>
      <c r="M644" s="212"/>
      <c r="N644" s="212"/>
      <c r="O644" s="212"/>
      <c r="P644" s="212"/>
      <c r="Q644" s="212"/>
      <c r="R644" s="212"/>
      <c r="S644" s="212"/>
      <c r="T644" s="212"/>
      <c r="U644" s="212"/>
      <c r="V644" s="212"/>
      <c r="W644" s="212"/>
      <c r="X644" s="212"/>
      <c r="Y644" s="212"/>
      <c r="Z644" s="204"/>
      <c r="AA644" s="204"/>
      <c r="AB644" s="204"/>
      <c r="AC644" s="204"/>
      <c r="AD644" s="204"/>
      <c r="AE644" s="212"/>
      <c r="AF644" s="213"/>
      <c r="AG644" s="213"/>
      <c r="AH644" s="213"/>
      <c r="AI644" s="213"/>
      <c r="AJ644" s="213"/>
      <c r="AK644" s="213"/>
      <c r="AL644" s="213"/>
      <c r="AM644" s="213"/>
      <c r="AN644" s="213"/>
      <c r="AO644" s="213"/>
      <c r="AP644" s="213"/>
      <c r="AQ644" s="213"/>
      <c r="AR644" s="213"/>
      <c r="AS644" s="213"/>
      <c r="AT644" s="213"/>
      <c r="AU644" s="213"/>
      <c r="AV644" s="213"/>
      <c r="AW644" s="213"/>
      <c r="AX644" s="213"/>
      <c r="AY644" s="213"/>
      <c r="AZ644" s="213"/>
      <c r="BA644" s="213"/>
      <c r="BB644" s="213"/>
    </row>
    <row r="645">
      <c r="A645" s="199"/>
      <c r="B645" s="12"/>
      <c r="C645" s="202"/>
      <c r="D645" s="199"/>
      <c r="E645" s="211"/>
      <c r="F645" s="201"/>
      <c r="G645" s="199"/>
      <c r="H645" s="199"/>
      <c r="I645" s="199"/>
      <c r="J645" s="212"/>
      <c r="K645" s="212"/>
      <c r="L645" s="212"/>
      <c r="M645" s="212"/>
      <c r="N645" s="212"/>
      <c r="O645" s="212"/>
      <c r="P645" s="212"/>
      <c r="Q645" s="212"/>
      <c r="R645" s="212"/>
      <c r="S645" s="212"/>
      <c r="T645" s="212"/>
      <c r="U645" s="212"/>
      <c r="V645" s="212"/>
      <c r="W645" s="212"/>
      <c r="X645" s="212"/>
      <c r="Y645" s="212"/>
      <c r="Z645" s="204"/>
      <c r="AA645" s="204"/>
      <c r="AB645" s="204"/>
      <c r="AC645" s="204"/>
      <c r="AD645" s="204"/>
      <c r="AE645" s="212"/>
      <c r="AF645" s="213"/>
      <c r="AG645" s="213"/>
      <c r="AH645" s="213"/>
      <c r="AI645" s="213"/>
      <c r="AJ645" s="213"/>
      <c r="AK645" s="213"/>
      <c r="AL645" s="213"/>
      <c r="AM645" s="213"/>
      <c r="AN645" s="213"/>
      <c r="AO645" s="213"/>
      <c r="AP645" s="213"/>
      <c r="AQ645" s="213"/>
      <c r="AR645" s="213"/>
      <c r="AS645" s="213"/>
      <c r="AT645" s="213"/>
      <c r="AU645" s="213"/>
      <c r="AV645" s="213"/>
      <c r="AW645" s="213"/>
      <c r="AX645" s="213"/>
      <c r="AY645" s="213"/>
      <c r="AZ645" s="213"/>
      <c r="BA645" s="213"/>
      <c r="BB645" s="213"/>
    </row>
    <row r="646">
      <c r="A646" s="199"/>
      <c r="B646" s="12"/>
      <c r="C646" s="202"/>
      <c r="D646" s="199"/>
      <c r="E646" s="211"/>
      <c r="F646" s="201"/>
      <c r="G646" s="199"/>
      <c r="H646" s="199"/>
      <c r="I646" s="199"/>
      <c r="J646" s="212"/>
      <c r="K646" s="212"/>
      <c r="L646" s="212"/>
      <c r="M646" s="212"/>
      <c r="N646" s="212"/>
      <c r="O646" s="212"/>
      <c r="P646" s="212"/>
      <c r="Q646" s="212"/>
      <c r="R646" s="212"/>
      <c r="S646" s="212"/>
      <c r="T646" s="212"/>
      <c r="U646" s="212"/>
      <c r="V646" s="212"/>
      <c r="W646" s="212"/>
      <c r="X646" s="212"/>
      <c r="Y646" s="212"/>
      <c r="Z646" s="204"/>
      <c r="AA646" s="204"/>
      <c r="AB646" s="204"/>
      <c r="AC646" s="204"/>
      <c r="AD646" s="204"/>
      <c r="AE646" s="212"/>
      <c r="AF646" s="213"/>
      <c r="AG646" s="213"/>
      <c r="AH646" s="213"/>
      <c r="AI646" s="213"/>
      <c r="AJ646" s="213"/>
      <c r="AK646" s="213"/>
      <c r="AL646" s="213"/>
      <c r="AM646" s="213"/>
      <c r="AN646" s="213"/>
      <c r="AO646" s="213"/>
      <c r="AP646" s="213"/>
      <c r="AQ646" s="213"/>
      <c r="AR646" s="213"/>
      <c r="AS646" s="213"/>
      <c r="AT646" s="213"/>
      <c r="AU646" s="213"/>
      <c r="AV646" s="213"/>
      <c r="AW646" s="213"/>
      <c r="AX646" s="213"/>
      <c r="AY646" s="213"/>
      <c r="AZ646" s="213"/>
      <c r="BA646" s="213"/>
      <c r="BB646" s="213"/>
    </row>
    <row r="647">
      <c r="A647" s="199"/>
      <c r="B647" s="12"/>
      <c r="C647" s="202"/>
      <c r="D647" s="199"/>
      <c r="E647" s="211"/>
      <c r="F647" s="201"/>
      <c r="G647" s="199"/>
      <c r="H647" s="199"/>
      <c r="I647" s="199"/>
      <c r="J647" s="212"/>
      <c r="K647" s="212"/>
      <c r="L647" s="212"/>
      <c r="M647" s="212"/>
      <c r="N647" s="212"/>
      <c r="O647" s="212"/>
      <c r="P647" s="212"/>
      <c r="Q647" s="212"/>
      <c r="R647" s="212"/>
      <c r="S647" s="212"/>
      <c r="T647" s="212"/>
      <c r="U647" s="212"/>
      <c r="V647" s="212"/>
      <c r="W647" s="212"/>
      <c r="X647" s="212"/>
      <c r="Y647" s="212"/>
      <c r="Z647" s="204"/>
      <c r="AA647" s="204"/>
      <c r="AB647" s="204"/>
      <c r="AC647" s="204"/>
      <c r="AD647" s="204"/>
      <c r="AE647" s="212"/>
      <c r="AF647" s="213"/>
      <c r="AG647" s="213"/>
      <c r="AH647" s="213"/>
      <c r="AI647" s="213"/>
      <c r="AJ647" s="213"/>
      <c r="AK647" s="213"/>
      <c r="AL647" s="213"/>
      <c r="AM647" s="213"/>
      <c r="AN647" s="213"/>
      <c r="AO647" s="213"/>
      <c r="AP647" s="213"/>
      <c r="AQ647" s="213"/>
      <c r="AR647" s="213"/>
      <c r="AS647" s="213"/>
      <c r="AT647" s="213"/>
      <c r="AU647" s="213"/>
      <c r="AV647" s="213"/>
      <c r="AW647" s="213"/>
      <c r="AX647" s="213"/>
      <c r="AY647" s="213"/>
      <c r="AZ647" s="213"/>
      <c r="BA647" s="213"/>
      <c r="BB647" s="213"/>
    </row>
    <row r="648">
      <c r="A648" s="199"/>
      <c r="B648" s="12"/>
      <c r="C648" s="202"/>
      <c r="D648" s="199"/>
      <c r="E648" s="211"/>
      <c r="F648" s="201"/>
      <c r="G648" s="199"/>
      <c r="H648" s="199"/>
      <c r="I648" s="199"/>
      <c r="J648" s="212"/>
      <c r="K648" s="212"/>
      <c r="L648" s="212"/>
      <c r="M648" s="212"/>
      <c r="N648" s="212"/>
      <c r="O648" s="212"/>
      <c r="P648" s="212"/>
      <c r="Q648" s="212"/>
      <c r="R648" s="212"/>
      <c r="S648" s="212"/>
      <c r="T648" s="212"/>
      <c r="U648" s="212"/>
      <c r="V648" s="212"/>
      <c r="W648" s="212"/>
      <c r="X648" s="212"/>
      <c r="Y648" s="212"/>
      <c r="Z648" s="204"/>
      <c r="AA648" s="204"/>
      <c r="AB648" s="204"/>
      <c r="AC648" s="204"/>
      <c r="AD648" s="204"/>
      <c r="AE648" s="212"/>
      <c r="AF648" s="213"/>
      <c r="AG648" s="213"/>
      <c r="AH648" s="213"/>
      <c r="AI648" s="213"/>
      <c r="AJ648" s="213"/>
      <c r="AK648" s="213"/>
      <c r="AL648" s="213"/>
      <c r="AM648" s="213"/>
      <c r="AN648" s="213"/>
      <c r="AO648" s="213"/>
      <c r="AP648" s="213"/>
      <c r="AQ648" s="213"/>
      <c r="AR648" s="213"/>
      <c r="AS648" s="213"/>
      <c r="AT648" s="213"/>
      <c r="AU648" s="213"/>
      <c r="AV648" s="213"/>
      <c r="AW648" s="213"/>
      <c r="AX648" s="213"/>
      <c r="AY648" s="213"/>
      <c r="AZ648" s="213"/>
      <c r="BA648" s="213"/>
      <c r="BB648" s="213"/>
    </row>
    <row r="649">
      <c r="A649" s="199"/>
      <c r="B649" s="12"/>
      <c r="C649" s="202"/>
      <c r="D649" s="199"/>
      <c r="E649" s="211"/>
      <c r="F649" s="201"/>
      <c r="G649" s="199"/>
      <c r="H649" s="199"/>
      <c r="I649" s="199"/>
      <c r="J649" s="212"/>
      <c r="K649" s="212"/>
      <c r="L649" s="212"/>
      <c r="M649" s="212"/>
      <c r="N649" s="212"/>
      <c r="O649" s="212"/>
      <c r="P649" s="212"/>
      <c r="Q649" s="212"/>
      <c r="R649" s="212"/>
      <c r="S649" s="212"/>
      <c r="T649" s="212"/>
      <c r="U649" s="212"/>
      <c r="V649" s="212"/>
      <c r="W649" s="212"/>
      <c r="X649" s="212"/>
      <c r="Y649" s="212"/>
      <c r="Z649" s="204"/>
      <c r="AA649" s="204"/>
      <c r="AB649" s="204"/>
      <c r="AC649" s="204"/>
      <c r="AD649" s="204"/>
      <c r="AE649" s="212"/>
      <c r="AF649" s="213"/>
      <c r="AG649" s="213"/>
      <c r="AH649" s="213"/>
      <c r="AI649" s="213"/>
      <c r="AJ649" s="213"/>
      <c r="AK649" s="213"/>
      <c r="AL649" s="213"/>
      <c r="AM649" s="213"/>
      <c r="AN649" s="213"/>
      <c r="AO649" s="213"/>
      <c r="AP649" s="213"/>
      <c r="AQ649" s="213"/>
      <c r="AR649" s="213"/>
      <c r="AS649" s="213"/>
      <c r="AT649" s="213"/>
      <c r="AU649" s="213"/>
      <c r="AV649" s="213"/>
      <c r="AW649" s="213"/>
      <c r="AX649" s="213"/>
      <c r="AY649" s="213"/>
      <c r="AZ649" s="213"/>
      <c r="BA649" s="213"/>
      <c r="BB649" s="213"/>
    </row>
    <row r="650">
      <c r="A650" s="199"/>
      <c r="B650" s="12"/>
      <c r="C650" s="202"/>
      <c r="D650" s="199"/>
      <c r="E650" s="211"/>
      <c r="F650" s="201"/>
      <c r="G650" s="199"/>
      <c r="H650" s="199"/>
      <c r="I650" s="199"/>
      <c r="J650" s="212"/>
      <c r="K650" s="212"/>
      <c r="L650" s="212"/>
      <c r="M650" s="212"/>
      <c r="N650" s="212"/>
      <c r="O650" s="212"/>
      <c r="P650" s="212"/>
      <c r="Q650" s="212"/>
      <c r="R650" s="212"/>
      <c r="S650" s="212"/>
      <c r="T650" s="212"/>
      <c r="U650" s="212"/>
      <c r="V650" s="212"/>
      <c r="W650" s="212"/>
      <c r="X650" s="212"/>
      <c r="Y650" s="212"/>
      <c r="Z650" s="204"/>
      <c r="AA650" s="204"/>
      <c r="AB650" s="204"/>
      <c r="AC650" s="204"/>
      <c r="AD650" s="204"/>
      <c r="AE650" s="212"/>
      <c r="AF650" s="213"/>
      <c r="AG650" s="213"/>
      <c r="AH650" s="213"/>
      <c r="AI650" s="213"/>
      <c r="AJ650" s="213"/>
      <c r="AK650" s="213"/>
      <c r="AL650" s="213"/>
      <c r="AM650" s="213"/>
      <c r="AN650" s="213"/>
      <c r="AO650" s="213"/>
      <c r="AP650" s="213"/>
      <c r="AQ650" s="213"/>
      <c r="AR650" s="213"/>
      <c r="AS650" s="213"/>
      <c r="AT650" s="213"/>
      <c r="AU650" s="213"/>
      <c r="AV650" s="213"/>
      <c r="AW650" s="213"/>
      <c r="AX650" s="213"/>
      <c r="AY650" s="213"/>
      <c r="AZ650" s="213"/>
      <c r="BA650" s="213"/>
      <c r="BB650" s="213"/>
    </row>
    <row r="651">
      <c r="A651" s="199"/>
      <c r="B651" s="12"/>
      <c r="C651" s="202"/>
      <c r="D651" s="199"/>
      <c r="E651" s="211"/>
      <c r="F651" s="201"/>
      <c r="G651" s="199"/>
      <c r="H651" s="199"/>
      <c r="I651" s="199"/>
      <c r="J651" s="212"/>
      <c r="K651" s="212"/>
      <c r="L651" s="212"/>
      <c r="M651" s="212"/>
      <c r="N651" s="212"/>
      <c r="O651" s="212"/>
      <c r="P651" s="212"/>
      <c r="Q651" s="212"/>
      <c r="R651" s="212"/>
      <c r="S651" s="212"/>
      <c r="T651" s="212"/>
      <c r="U651" s="212"/>
      <c r="V651" s="212"/>
      <c r="W651" s="212"/>
      <c r="X651" s="212"/>
      <c r="Y651" s="212"/>
      <c r="Z651" s="204"/>
      <c r="AA651" s="204"/>
      <c r="AB651" s="204"/>
      <c r="AC651" s="204"/>
      <c r="AD651" s="204"/>
      <c r="AE651" s="212"/>
      <c r="AF651" s="213"/>
      <c r="AG651" s="213"/>
      <c r="AH651" s="213"/>
      <c r="AI651" s="213"/>
      <c r="AJ651" s="213"/>
      <c r="AK651" s="213"/>
      <c r="AL651" s="213"/>
      <c r="AM651" s="213"/>
      <c r="AN651" s="213"/>
      <c r="AO651" s="213"/>
      <c r="AP651" s="213"/>
      <c r="AQ651" s="213"/>
      <c r="AR651" s="213"/>
      <c r="AS651" s="213"/>
      <c r="AT651" s="213"/>
      <c r="AU651" s="213"/>
      <c r="AV651" s="213"/>
      <c r="AW651" s="213"/>
      <c r="AX651" s="213"/>
      <c r="AY651" s="213"/>
      <c r="AZ651" s="213"/>
      <c r="BA651" s="213"/>
      <c r="BB651" s="213"/>
    </row>
    <row r="652">
      <c r="A652" s="199"/>
      <c r="B652" s="12"/>
      <c r="C652" s="202"/>
      <c r="D652" s="199"/>
      <c r="E652" s="211"/>
      <c r="F652" s="201"/>
      <c r="G652" s="199"/>
      <c r="H652" s="199"/>
      <c r="I652" s="199"/>
      <c r="J652" s="212"/>
      <c r="K652" s="212"/>
      <c r="L652" s="212"/>
      <c r="M652" s="212"/>
      <c r="N652" s="212"/>
      <c r="O652" s="212"/>
      <c r="P652" s="212"/>
      <c r="Q652" s="212"/>
      <c r="R652" s="212"/>
      <c r="S652" s="212"/>
      <c r="T652" s="212"/>
      <c r="U652" s="212"/>
      <c r="V652" s="212"/>
      <c r="W652" s="212"/>
      <c r="X652" s="212"/>
      <c r="Y652" s="212"/>
      <c r="Z652" s="204"/>
      <c r="AA652" s="204"/>
      <c r="AB652" s="204"/>
      <c r="AC652" s="204"/>
      <c r="AD652" s="204"/>
      <c r="AE652" s="212"/>
      <c r="AF652" s="213"/>
      <c r="AG652" s="213"/>
      <c r="AH652" s="213"/>
      <c r="AI652" s="213"/>
      <c r="AJ652" s="213"/>
      <c r="AK652" s="213"/>
      <c r="AL652" s="213"/>
      <c r="AM652" s="213"/>
      <c r="AN652" s="213"/>
      <c r="AO652" s="213"/>
      <c r="AP652" s="213"/>
      <c r="AQ652" s="213"/>
      <c r="AR652" s="213"/>
      <c r="AS652" s="213"/>
      <c r="AT652" s="213"/>
      <c r="AU652" s="213"/>
      <c r="AV652" s="213"/>
      <c r="AW652" s="213"/>
      <c r="AX652" s="213"/>
      <c r="AY652" s="213"/>
      <c r="AZ652" s="213"/>
      <c r="BA652" s="213"/>
      <c r="BB652" s="213"/>
    </row>
    <row r="653">
      <c r="A653" s="199"/>
      <c r="B653" s="12"/>
      <c r="C653" s="202"/>
      <c r="D653" s="199"/>
      <c r="E653" s="211"/>
      <c r="F653" s="201"/>
      <c r="G653" s="199"/>
      <c r="H653" s="199"/>
      <c r="I653" s="199"/>
      <c r="J653" s="212"/>
      <c r="K653" s="212"/>
      <c r="L653" s="212"/>
      <c r="M653" s="212"/>
      <c r="N653" s="212"/>
      <c r="O653" s="212"/>
      <c r="P653" s="212"/>
      <c r="Q653" s="212"/>
      <c r="R653" s="212"/>
      <c r="S653" s="212"/>
      <c r="T653" s="212"/>
      <c r="U653" s="212"/>
      <c r="V653" s="212"/>
      <c r="W653" s="212"/>
      <c r="X653" s="212"/>
      <c r="Y653" s="212"/>
      <c r="Z653" s="204"/>
      <c r="AA653" s="204"/>
      <c r="AB653" s="204"/>
      <c r="AC653" s="204"/>
      <c r="AD653" s="204"/>
      <c r="AE653" s="212"/>
      <c r="AF653" s="213"/>
      <c r="AG653" s="213"/>
      <c r="AH653" s="213"/>
      <c r="AI653" s="213"/>
      <c r="AJ653" s="213"/>
      <c r="AK653" s="213"/>
      <c r="AL653" s="213"/>
      <c r="AM653" s="213"/>
      <c r="AN653" s="213"/>
      <c r="AO653" s="213"/>
      <c r="AP653" s="213"/>
      <c r="AQ653" s="213"/>
      <c r="AR653" s="213"/>
      <c r="AS653" s="213"/>
      <c r="AT653" s="213"/>
      <c r="AU653" s="213"/>
      <c r="AV653" s="213"/>
      <c r="AW653" s="213"/>
      <c r="AX653" s="213"/>
      <c r="AY653" s="213"/>
      <c r="AZ653" s="213"/>
      <c r="BA653" s="213"/>
      <c r="BB653" s="213"/>
    </row>
    <row r="654">
      <c r="A654" s="199"/>
      <c r="B654" s="12"/>
      <c r="C654" s="202"/>
      <c r="D654" s="199"/>
      <c r="E654" s="211"/>
      <c r="F654" s="201"/>
      <c r="G654" s="199"/>
      <c r="H654" s="199"/>
      <c r="I654" s="199"/>
      <c r="J654" s="212"/>
      <c r="K654" s="212"/>
      <c r="L654" s="212"/>
      <c r="M654" s="212"/>
      <c r="N654" s="212"/>
      <c r="O654" s="212"/>
      <c r="P654" s="212"/>
      <c r="Q654" s="212"/>
      <c r="R654" s="212"/>
      <c r="S654" s="212"/>
      <c r="T654" s="212"/>
      <c r="U654" s="212"/>
      <c r="V654" s="212"/>
      <c r="W654" s="212"/>
      <c r="X654" s="212"/>
      <c r="Y654" s="212"/>
      <c r="Z654" s="204"/>
      <c r="AA654" s="204"/>
      <c r="AB654" s="204"/>
      <c r="AC654" s="204"/>
      <c r="AD654" s="204"/>
      <c r="AE654" s="212"/>
      <c r="AF654" s="213"/>
      <c r="AG654" s="213"/>
      <c r="AH654" s="213"/>
      <c r="AI654" s="213"/>
      <c r="AJ654" s="213"/>
      <c r="AK654" s="213"/>
      <c r="AL654" s="213"/>
      <c r="AM654" s="213"/>
      <c r="AN654" s="213"/>
      <c r="AO654" s="213"/>
      <c r="AP654" s="213"/>
      <c r="AQ654" s="213"/>
      <c r="AR654" s="213"/>
      <c r="AS654" s="213"/>
      <c r="AT654" s="213"/>
      <c r="AU654" s="213"/>
      <c r="AV654" s="213"/>
      <c r="AW654" s="213"/>
      <c r="AX654" s="213"/>
      <c r="AY654" s="213"/>
      <c r="AZ654" s="213"/>
      <c r="BA654" s="213"/>
      <c r="BB654" s="213"/>
    </row>
    <row r="655">
      <c r="A655" s="199"/>
      <c r="B655" s="12"/>
      <c r="C655" s="202"/>
      <c r="D655" s="199"/>
      <c r="E655" s="211"/>
      <c r="F655" s="201"/>
      <c r="G655" s="199"/>
      <c r="H655" s="199"/>
      <c r="I655" s="199"/>
      <c r="J655" s="212"/>
      <c r="K655" s="212"/>
      <c r="L655" s="212"/>
      <c r="M655" s="212"/>
      <c r="N655" s="212"/>
      <c r="O655" s="212"/>
      <c r="P655" s="212"/>
      <c r="Q655" s="212"/>
      <c r="R655" s="212"/>
      <c r="S655" s="212"/>
      <c r="T655" s="212"/>
      <c r="U655" s="212"/>
      <c r="V655" s="212"/>
      <c r="W655" s="212"/>
      <c r="X655" s="212"/>
      <c r="Y655" s="212"/>
      <c r="Z655" s="204"/>
      <c r="AA655" s="204"/>
      <c r="AB655" s="204"/>
      <c r="AC655" s="204"/>
      <c r="AD655" s="204"/>
      <c r="AE655" s="212"/>
      <c r="AF655" s="213"/>
      <c r="AG655" s="213"/>
      <c r="AH655" s="213"/>
      <c r="AI655" s="213"/>
      <c r="AJ655" s="213"/>
      <c r="AK655" s="213"/>
      <c r="AL655" s="213"/>
      <c r="AM655" s="213"/>
      <c r="AN655" s="213"/>
      <c r="AO655" s="213"/>
      <c r="AP655" s="213"/>
      <c r="AQ655" s="213"/>
      <c r="AR655" s="213"/>
      <c r="AS655" s="213"/>
      <c r="AT655" s="213"/>
      <c r="AU655" s="213"/>
      <c r="AV655" s="213"/>
      <c r="AW655" s="213"/>
      <c r="AX655" s="213"/>
      <c r="AY655" s="213"/>
      <c r="AZ655" s="213"/>
      <c r="BA655" s="213"/>
      <c r="BB655" s="213"/>
    </row>
    <row r="656">
      <c r="A656" s="199"/>
      <c r="B656" s="12"/>
      <c r="C656" s="202"/>
      <c r="D656" s="199"/>
      <c r="E656" s="211"/>
      <c r="F656" s="201"/>
      <c r="G656" s="199"/>
      <c r="H656" s="199"/>
      <c r="I656" s="199"/>
      <c r="J656" s="212"/>
      <c r="K656" s="212"/>
      <c r="L656" s="212"/>
      <c r="M656" s="212"/>
      <c r="N656" s="212"/>
      <c r="O656" s="212"/>
      <c r="P656" s="212"/>
      <c r="Q656" s="212"/>
      <c r="R656" s="212"/>
      <c r="S656" s="212"/>
      <c r="T656" s="212"/>
      <c r="U656" s="212"/>
      <c r="V656" s="212"/>
      <c r="W656" s="212"/>
      <c r="X656" s="212"/>
      <c r="Y656" s="212"/>
      <c r="Z656" s="204"/>
      <c r="AA656" s="204"/>
      <c r="AB656" s="204"/>
      <c r="AC656" s="204"/>
      <c r="AD656" s="204"/>
      <c r="AE656" s="212"/>
      <c r="AF656" s="213"/>
      <c r="AG656" s="213"/>
      <c r="AH656" s="213"/>
      <c r="AI656" s="213"/>
      <c r="AJ656" s="213"/>
      <c r="AK656" s="213"/>
      <c r="AL656" s="213"/>
      <c r="AM656" s="213"/>
      <c r="AN656" s="213"/>
      <c r="AO656" s="213"/>
      <c r="AP656" s="213"/>
      <c r="AQ656" s="213"/>
      <c r="AR656" s="213"/>
      <c r="AS656" s="213"/>
      <c r="AT656" s="213"/>
      <c r="AU656" s="213"/>
      <c r="AV656" s="213"/>
      <c r="AW656" s="213"/>
      <c r="AX656" s="213"/>
      <c r="AY656" s="213"/>
      <c r="AZ656" s="213"/>
      <c r="BA656" s="213"/>
      <c r="BB656" s="213"/>
    </row>
    <row r="657">
      <c r="A657" s="199"/>
      <c r="B657" s="12"/>
      <c r="C657" s="202"/>
      <c r="D657" s="199"/>
      <c r="E657" s="211"/>
      <c r="F657" s="201"/>
      <c r="G657" s="199"/>
      <c r="H657" s="199"/>
      <c r="I657" s="199"/>
      <c r="J657" s="212"/>
      <c r="K657" s="212"/>
      <c r="L657" s="212"/>
      <c r="M657" s="212"/>
      <c r="N657" s="212"/>
      <c r="O657" s="212"/>
      <c r="P657" s="212"/>
      <c r="Q657" s="212"/>
      <c r="R657" s="212"/>
      <c r="S657" s="212"/>
      <c r="T657" s="212"/>
      <c r="U657" s="212"/>
      <c r="V657" s="212"/>
      <c r="W657" s="212"/>
      <c r="X657" s="212"/>
      <c r="Y657" s="212"/>
      <c r="Z657" s="204"/>
      <c r="AA657" s="204"/>
      <c r="AB657" s="204"/>
      <c r="AC657" s="204"/>
      <c r="AD657" s="204"/>
      <c r="AE657" s="212"/>
      <c r="AF657" s="213"/>
      <c r="AG657" s="213"/>
      <c r="AH657" s="213"/>
      <c r="AI657" s="213"/>
      <c r="AJ657" s="213"/>
      <c r="AK657" s="213"/>
      <c r="AL657" s="213"/>
      <c r="AM657" s="213"/>
      <c r="AN657" s="213"/>
      <c r="AO657" s="213"/>
      <c r="AP657" s="213"/>
      <c r="AQ657" s="213"/>
      <c r="AR657" s="213"/>
      <c r="AS657" s="213"/>
      <c r="AT657" s="213"/>
      <c r="AU657" s="213"/>
      <c r="AV657" s="213"/>
      <c r="AW657" s="213"/>
      <c r="AX657" s="213"/>
      <c r="AY657" s="213"/>
      <c r="AZ657" s="213"/>
      <c r="BA657" s="213"/>
      <c r="BB657" s="213"/>
    </row>
    <row r="658">
      <c r="A658" s="199"/>
      <c r="B658" s="12"/>
      <c r="C658" s="202"/>
      <c r="D658" s="199"/>
      <c r="E658" s="211"/>
      <c r="F658" s="201"/>
      <c r="G658" s="199"/>
      <c r="H658" s="199"/>
      <c r="I658" s="199"/>
      <c r="J658" s="212"/>
      <c r="K658" s="212"/>
      <c r="L658" s="212"/>
      <c r="M658" s="212"/>
      <c r="N658" s="212"/>
      <c r="O658" s="212"/>
      <c r="P658" s="212"/>
      <c r="Q658" s="212"/>
      <c r="R658" s="212"/>
      <c r="S658" s="212"/>
      <c r="T658" s="212"/>
      <c r="U658" s="212"/>
      <c r="V658" s="212"/>
      <c r="W658" s="212"/>
      <c r="X658" s="212"/>
      <c r="Y658" s="212"/>
      <c r="Z658" s="204"/>
      <c r="AA658" s="204"/>
      <c r="AB658" s="204"/>
      <c r="AC658" s="204"/>
      <c r="AD658" s="204"/>
      <c r="AE658" s="212"/>
      <c r="AF658" s="213"/>
      <c r="AG658" s="213"/>
      <c r="AH658" s="213"/>
      <c r="AI658" s="213"/>
      <c r="AJ658" s="213"/>
      <c r="AK658" s="213"/>
      <c r="AL658" s="213"/>
      <c r="AM658" s="213"/>
      <c r="AN658" s="213"/>
      <c r="AO658" s="213"/>
      <c r="AP658" s="213"/>
      <c r="AQ658" s="213"/>
      <c r="AR658" s="213"/>
      <c r="AS658" s="213"/>
      <c r="AT658" s="213"/>
      <c r="AU658" s="213"/>
      <c r="AV658" s="213"/>
      <c r="AW658" s="213"/>
      <c r="AX658" s="213"/>
      <c r="AY658" s="213"/>
      <c r="AZ658" s="213"/>
      <c r="BA658" s="213"/>
      <c r="BB658" s="213"/>
    </row>
    <row r="659">
      <c r="A659" s="199"/>
      <c r="B659" s="12"/>
      <c r="C659" s="202"/>
      <c r="D659" s="199"/>
      <c r="E659" s="211"/>
      <c r="F659" s="201"/>
      <c r="G659" s="199"/>
      <c r="H659" s="199"/>
      <c r="I659" s="199"/>
      <c r="J659" s="212"/>
      <c r="K659" s="212"/>
      <c r="L659" s="212"/>
      <c r="M659" s="212"/>
      <c r="N659" s="212"/>
      <c r="O659" s="212"/>
      <c r="P659" s="212"/>
      <c r="Q659" s="212"/>
      <c r="R659" s="212"/>
      <c r="S659" s="212"/>
      <c r="T659" s="212"/>
      <c r="U659" s="212"/>
      <c r="V659" s="212"/>
      <c r="W659" s="212"/>
      <c r="X659" s="212"/>
      <c r="Y659" s="212"/>
      <c r="Z659" s="204"/>
      <c r="AA659" s="204"/>
      <c r="AB659" s="204"/>
      <c r="AC659" s="204"/>
      <c r="AD659" s="204"/>
      <c r="AE659" s="212"/>
      <c r="AF659" s="213"/>
      <c r="AG659" s="213"/>
      <c r="AH659" s="213"/>
      <c r="AI659" s="213"/>
      <c r="AJ659" s="213"/>
      <c r="AK659" s="213"/>
      <c r="AL659" s="213"/>
      <c r="AM659" s="213"/>
      <c r="AN659" s="213"/>
      <c r="AO659" s="213"/>
      <c r="AP659" s="213"/>
      <c r="AQ659" s="213"/>
      <c r="AR659" s="213"/>
      <c r="AS659" s="213"/>
      <c r="AT659" s="213"/>
      <c r="AU659" s="213"/>
      <c r="AV659" s="213"/>
      <c r="AW659" s="213"/>
      <c r="AX659" s="213"/>
      <c r="AY659" s="213"/>
      <c r="AZ659" s="213"/>
      <c r="BA659" s="213"/>
      <c r="BB659" s="213"/>
    </row>
    <row r="660">
      <c r="A660" s="199"/>
      <c r="B660" s="12"/>
      <c r="C660" s="202"/>
      <c r="D660" s="199"/>
      <c r="E660" s="211"/>
      <c r="F660" s="201"/>
      <c r="G660" s="199"/>
      <c r="H660" s="199"/>
      <c r="I660" s="199"/>
      <c r="J660" s="212"/>
      <c r="K660" s="212"/>
      <c r="L660" s="212"/>
      <c r="M660" s="212"/>
      <c r="N660" s="212"/>
      <c r="O660" s="212"/>
      <c r="P660" s="212"/>
      <c r="Q660" s="212"/>
      <c r="R660" s="212"/>
      <c r="S660" s="212"/>
      <c r="T660" s="212"/>
      <c r="U660" s="212"/>
      <c r="V660" s="212"/>
      <c r="W660" s="212"/>
      <c r="X660" s="212"/>
      <c r="Y660" s="212"/>
      <c r="Z660" s="204"/>
      <c r="AA660" s="204"/>
      <c r="AB660" s="204"/>
      <c r="AC660" s="204"/>
      <c r="AD660" s="204"/>
      <c r="AE660" s="212"/>
      <c r="AF660" s="213"/>
      <c r="AG660" s="213"/>
      <c r="AH660" s="213"/>
      <c r="AI660" s="213"/>
      <c r="AJ660" s="213"/>
      <c r="AK660" s="213"/>
      <c r="AL660" s="213"/>
      <c r="AM660" s="213"/>
      <c r="AN660" s="213"/>
      <c r="AO660" s="213"/>
      <c r="AP660" s="213"/>
      <c r="AQ660" s="213"/>
      <c r="AR660" s="213"/>
      <c r="AS660" s="213"/>
      <c r="AT660" s="213"/>
      <c r="AU660" s="213"/>
      <c r="AV660" s="213"/>
      <c r="AW660" s="213"/>
      <c r="AX660" s="213"/>
      <c r="AY660" s="213"/>
      <c r="AZ660" s="213"/>
      <c r="BA660" s="213"/>
      <c r="BB660" s="213"/>
    </row>
    <row r="661">
      <c r="A661" s="199"/>
      <c r="B661" s="12"/>
      <c r="C661" s="202"/>
      <c r="D661" s="199"/>
      <c r="E661" s="211"/>
      <c r="F661" s="201"/>
      <c r="G661" s="199"/>
      <c r="H661" s="199"/>
      <c r="I661" s="199"/>
      <c r="J661" s="212"/>
      <c r="K661" s="212"/>
      <c r="L661" s="212"/>
      <c r="M661" s="212"/>
      <c r="N661" s="212"/>
      <c r="O661" s="212"/>
      <c r="P661" s="212"/>
      <c r="Q661" s="212"/>
      <c r="R661" s="212"/>
      <c r="S661" s="212"/>
      <c r="T661" s="212"/>
      <c r="U661" s="212"/>
      <c r="V661" s="212"/>
      <c r="W661" s="212"/>
      <c r="X661" s="212"/>
      <c r="Y661" s="212"/>
      <c r="Z661" s="204"/>
      <c r="AA661" s="204"/>
      <c r="AB661" s="204"/>
      <c r="AC661" s="204"/>
      <c r="AD661" s="204"/>
      <c r="AE661" s="212"/>
      <c r="AF661" s="213"/>
      <c r="AG661" s="213"/>
      <c r="AH661" s="213"/>
      <c r="AI661" s="213"/>
      <c r="AJ661" s="213"/>
      <c r="AK661" s="213"/>
      <c r="AL661" s="213"/>
      <c r="AM661" s="213"/>
      <c r="AN661" s="213"/>
      <c r="AO661" s="213"/>
      <c r="AP661" s="213"/>
      <c r="AQ661" s="213"/>
      <c r="AR661" s="213"/>
      <c r="AS661" s="213"/>
      <c r="AT661" s="213"/>
      <c r="AU661" s="213"/>
      <c r="AV661" s="213"/>
      <c r="AW661" s="213"/>
      <c r="AX661" s="213"/>
      <c r="AY661" s="213"/>
      <c r="AZ661" s="213"/>
      <c r="BA661" s="213"/>
      <c r="BB661" s="213"/>
    </row>
    <row r="662">
      <c r="A662" s="199"/>
      <c r="B662" s="12"/>
      <c r="C662" s="202"/>
      <c r="D662" s="199"/>
      <c r="E662" s="211"/>
      <c r="F662" s="201"/>
      <c r="G662" s="199"/>
      <c r="H662" s="199"/>
      <c r="I662" s="199"/>
      <c r="J662" s="212"/>
      <c r="K662" s="212"/>
      <c r="L662" s="212"/>
      <c r="M662" s="212"/>
      <c r="N662" s="212"/>
      <c r="O662" s="212"/>
      <c r="P662" s="212"/>
      <c r="Q662" s="212"/>
      <c r="R662" s="212"/>
      <c r="S662" s="212"/>
      <c r="T662" s="212"/>
      <c r="U662" s="212"/>
      <c r="V662" s="212"/>
      <c r="W662" s="212"/>
      <c r="X662" s="212"/>
      <c r="Y662" s="212"/>
      <c r="Z662" s="204"/>
      <c r="AA662" s="204"/>
      <c r="AB662" s="204"/>
      <c r="AC662" s="204"/>
      <c r="AD662" s="204"/>
      <c r="AE662" s="212"/>
      <c r="AF662" s="213"/>
      <c r="AG662" s="213"/>
      <c r="AH662" s="213"/>
      <c r="AI662" s="213"/>
      <c r="AJ662" s="213"/>
      <c r="AK662" s="213"/>
      <c r="AL662" s="213"/>
      <c r="AM662" s="213"/>
      <c r="AN662" s="213"/>
      <c r="AO662" s="213"/>
      <c r="AP662" s="213"/>
      <c r="AQ662" s="213"/>
      <c r="AR662" s="213"/>
      <c r="AS662" s="213"/>
      <c r="AT662" s="213"/>
      <c r="AU662" s="213"/>
      <c r="AV662" s="213"/>
      <c r="AW662" s="213"/>
      <c r="AX662" s="213"/>
      <c r="AY662" s="213"/>
      <c r="AZ662" s="213"/>
      <c r="BA662" s="213"/>
      <c r="BB662" s="213"/>
    </row>
    <row r="663">
      <c r="A663" s="199"/>
      <c r="B663" s="12"/>
      <c r="C663" s="202"/>
      <c r="D663" s="199"/>
      <c r="E663" s="211"/>
      <c r="F663" s="201"/>
      <c r="G663" s="199"/>
      <c r="H663" s="199"/>
      <c r="I663" s="199"/>
      <c r="J663" s="212"/>
      <c r="K663" s="212"/>
      <c r="L663" s="212"/>
      <c r="M663" s="212"/>
      <c r="N663" s="212"/>
      <c r="O663" s="212"/>
      <c r="P663" s="212"/>
      <c r="Q663" s="212"/>
      <c r="R663" s="212"/>
      <c r="S663" s="212"/>
      <c r="T663" s="212"/>
      <c r="U663" s="212"/>
      <c r="V663" s="212"/>
      <c r="W663" s="212"/>
      <c r="X663" s="212"/>
      <c r="Y663" s="212"/>
      <c r="Z663" s="204"/>
      <c r="AA663" s="204"/>
      <c r="AB663" s="204"/>
      <c r="AC663" s="204"/>
      <c r="AD663" s="204"/>
      <c r="AE663" s="212"/>
      <c r="AF663" s="213"/>
      <c r="AG663" s="213"/>
      <c r="AH663" s="213"/>
      <c r="AI663" s="213"/>
      <c r="AJ663" s="213"/>
      <c r="AK663" s="213"/>
      <c r="AL663" s="213"/>
      <c r="AM663" s="213"/>
      <c r="AN663" s="213"/>
      <c r="AO663" s="213"/>
      <c r="AP663" s="213"/>
      <c r="AQ663" s="213"/>
      <c r="AR663" s="213"/>
      <c r="AS663" s="213"/>
      <c r="AT663" s="213"/>
      <c r="AU663" s="213"/>
      <c r="AV663" s="213"/>
      <c r="AW663" s="213"/>
      <c r="AX663" s="213"/>
      <c r="AY663" s="213"/>
      <c r="AZ663" s="213"/>
      <c r="BA663" s="213"/>
      <c r="BB663" s="213"/>
    </row>
    <row r="664">
      <c r="A664" s="199"/>
      <c r="B664" s="12"/>
      <c r="C664" s="202"/>
      <c r="D664" s="199"/>
      <c r="E664" s="211"/>
      <c r="F664" s="201"/>
      <c r="G664" s="199"/>
      <c r="H664" s="199"/>
      <c r="I664" s="199"/>
      <c r="J664" s="212"/>
      <c r="K664" s="212"/>
      <c r="L664" s="212"/>
      <c r="M664" s="212"/>
      <c r="N664" s="212"/>
      <c r="O664" s="212"/>
      <c r="P664" s="212"/>
      <c r="Q664" s="212"/>
      <c r="R664" s="212"/>
      <c r="S664" s="212"/>
      <c r="T664" s="212"/>
      <c r="U664" s="212"/>
      <c r="V664" s="212"/>
      <c r="W664" s="212"/>
      <c r="X664" s="212"/>
      <c r="Y664" s="212"/>
      <c r="Z664" s="204"/>
      <c r="AA664" s="204"/>
      <c r="AB664" s="204"/>
      <c r="AC664" s="204"/>
      <c r="AD664" s="204"/>
      <c r="AE664" s="212"/>
      <c r="AF664" s="213"/>
      <c r="AG664" s="213"/>
      <c r="AH664" s="213"/>
      <c r="AI664" s="213"/>
      <c r="AJ664" s="213"/>
      <c r="AK664" s="213"/>
      <c r="AL664" s="213"/>
      <c r="AM664" s="213"/>
      <c r="AN664" s="213"/>
      <c r="AO664" s="213"/>
      <c r="AP664" s="213"/>
      <c r="AQ664" s="213"/>
      <c r="AR664" s="213"/>
      <c r="AS664" s="213"/>
      <c r="AT664" s="213"/>
      <c r="AU664" s="213"/>
      <c r="AV664" s="213"/>
      <c r="AW664" s="213"/>
      <c r="AX664" s="213"/>
      <c r="AY664" s="213"/>
      <c r="AZ664" s="213"/>
      <c r="BA664" s="213"/>
      <c r="BB664" s="213"/>
    </row>
    <row r="665">
      <c r="A665" s="199"/>
      <c r="B665" s="12"/>
      <c r="C665" s="202"/>
      <c r="D665" s="199"/>
      <c r="E665" s="211"/>
      <c r="F665" s="201"/>
      <c r="G665" s="199"/>
      <c r="H665" s="199"/>
      <c r="I665" s="199"/>
      <c r="J665" s="212"/>
      <c r="K665" s="212"/>
      <c r="L665" s="212"/>
      <c r="M665" s="212"/>
      <c r="N665" s="212"/>
      <c r="O665" s="212"/>
      <c r="P665" s="212"/>
      <c r="Q665" s="212"/>
      <c r="R665" s="212"/>
      <c r="S665" s="212"/>
      <c r="T665" s="212"/>
      <c r="U665" s="212"/>
      <c r="V665" s="212"/>
      <c r="W665" s="212"/>
      <c r="X665" s="212"/>
      <c r="Y665" s="212"/>
      <c r="Z665" s="204"/>
      <c r="AA665" s="204"/>
      <c r="AB665" s="204"/>
      <c r="AC665" s="204"/>
      <c r="AD665" s="204"/>
      <c r="AE665" s="212"/>
      <c r="AF665" s="213"/>
      <c r="AG665" s="213"/>
      <c r="AH665" s="213"/>
      <c r="AI665" s="213"/>
      <c r="AJ665" s="213"/>
      <c r="AK665" s="213"/>
      <c r="AL665" s="213"/>
      <c r="AM665" s="213"/>
      <c r="AN665" s="213"/>
      <c r="AO665" s="213"/>
      <c r="AP665" s="213"/>
      <c r="AQ665" s="213"/>
      <c r="AR665" s="213"/>
      <c r="AS665" s="213"/>
      <c r="AT665" s="213"/>
      <c r="AU665" s="213"/>
      <c r="AV665" s="213"/>
      <c r="AW665" s="213"/>
      <c r="AX665" s="213"/>
      <c r="AY665" s="213"/>
      <c r="AZ665" s="213"/>
      <c r="BA665" s="213"/>
      <c r="BB665" s="213"/>
    </row>
    <row r="666">
      <c r="A666" s="199"/>
      <c r="B666" s="12"/>
      <c r="C666" s="202"/>
      <c r="D666" s="199"/>
      <c r="E666" s="211"/>
      <c r="F666" s="201"/>
      <c r="G666" s="199"/>
      <c r="H666" s="199"/>
      <c r="I666" s="199"/>
      <c r="J666" s="212"/>
      <c r="K666" s="212"/>
      <c r="L666" s="212"/>
      <c r="M666" s="212"/>
      <c r="N666" s="212"/>
      <c r="O666" s="212"/>
      <c r="P666" s="212"/>
      <c r="Q666" s="212"/>
      <c r="R666" s="212"/>
      <c r="S666" s="212"/>
      <c r="T666" s="212"/>
      <c r="U666" s="212"/>
      <c r="V666" s="212"/>
      <c r="W666" s="212"/>
      <c r="X666" s="212"/>
      <c r="Y666" s="212"/>
      <c r="Z666" s="204"/>
      <c r="AA666" s="204"/>
      <c r="AB666" s="204"/>
      <c r="AC666" s="204"/>
      <c r="AD666" s="204"/>
      <c r="AE666" s="212"/>
      <c r="AF666" s="213"/>
      <c r="AG666" s="213"/>
      <c r="AH666" s="213"/>
      <c r="AI666" s="213"/>
      <c r="AJ666" s="213"/>
      <c r="AK666" s="213"/>
      <c r="AL666" s="213"/>
      <c r="AM666" s="213"/>
      <c r="AN666" s="213"/>
      <c r="AO666" s="213"/>
      <c r="AP666" s="213"/>
      <c r="AQ666" s="213"/>
      <c r="AR666" s="213"/>
      <c r="AS666" s="213"/>
      <c r="AT666" s="213"/>
      <c r="AU666" s="213"/>
      <c r="AV666" s="213"/>
      <c r="AW666" s="213"/>
      <c r="AX666" s="213"/>
      <c r="AY666" s="213"/>
      <c r="AZ666" s="213"/>
      <c r="BA666" s="213"/>
      <c r="BB666" s="213"/>
    </row>
    <row r="667">
      <c r="A667" s="199"/>
      <c r="B667" s="12"/>
      <c r="C667" s="202"/>
      <c r="D667" s="199"/>
      <c r="E667" s="211"/>
      <c r="F667" s="201"/>
      <c r="G667" s="199"/>
      <c r="H667" s="199"/>
      <c r="I667" s="199"/>
      <c r="J667" s="212"/>
      <c r="K667" s="212"/>
      <c r="L667" s="212"/>
      <c r="M667" s="212"/>
      <c r="N667" s="212"/>
      <c r="O667" s="212"/>
      <c r="P667" s="212"/>
      <c r="Q667" s="212"/>
      <c r="R667" s="212"/>
      <c r="S667" s="212"/>
      <c r="T667" s="212"/>
      <c r="U667" s="212"/>
      <c r="V667" s="212"/>
      <c r="W667" s="212"/>
      <c r="X667" s="212"/>
      <c r="Y667" s="212"/>
      <c r="Z667" s="204"/>
      <c r="AA667" s="204"/>
      <c r="AB667" s="204"/>
      <c r="AC667" s="204"/>
      <c r="AD667" s="204"/>
      <c r="AE667" s="212"/>
      <c r="AF667" s="213"/>
      <c r="AG667" s="213"/>
      <c r="AH667" s="213"/>
      <c r="AI667" s="213"/>
      <c r="AJ667" s="213"/>
      <c r="AK667" s="213"/>
      <c r="AL667" s="213"/>
      <c r="AM667" s="213"/>
      <c r="AN667" s="213"/>
      <c r="AO667" s="213"/>
      <c r="AP667" s="213"/>
      <c r="AQ667" s="213"/>
      <c r="AR667" s="213"/>
      <c r="AS667" s="213"/>
      <c r="AT667" s="213"/>
      <c r="AU667" s="213"/>
      <c r="AV667" s="213"/>
      <c r="AW667" s="213"/>
      <c r="AX667" s="213"/>
      <c r="AY667" s="213"/>
      <c r="AZ667" s="213"/>
      <c r="BA667" s="213"/>
      <c r="BB667" s="213"/>
    </row>
    <row r="668">
      <c r="A668" s="199"/>
      <c r="B668" s="12"/>
      <c r="C668" s="202"/>
      <c r="D668" s="199"/>
      <c r="E668" s="211"/>
      <c r="F668" s="201"/>
      <c r="G668" s="199"/>
      <c r="H668" s="199"/>
      <c r="I668" s="199"/>
      <c r="J668" s="212"/>
      <c r="K668" s="212"/>
      <c r="L668" s="212"/>
      <c r="M668" s="212"/>
      <c r="N668" s="212"/>
      <c r="O668" s="212"/>
      <c r="P668" s="212"/>
      <c r="Q668" s="212"/>
      <c r="R668" s="212"/>
      <c r="S668" s="212"/>
      <c r="T668" s="212"/>
      <c r="U668" s="212"/>
      <c r="V668" s="212"/>
      <c r="W668" s="212"/>
      <c r="X668" s="212"/>
      <c r="Y668" s="212"/>
      <c r="Z668" s="204"/>
      <c r="AA668" s="204"/>
      <c r="AB668" s="204"/>
      <c r="AC668" s="204"/>
      <c r="AD668" s="204"/>
      <c r="AE668" s="212"/>
      <c r="AF668" s="213"/>
      <c r="AG668" s="213"/>
      <c r="AH668" s="213"/>
      <c r="AI668" s="213"/>
      <c r="AJ668" s="213"/>
      <c r="AK668" s="213"/>
      <c r="AL668" s="213"/>
      <c r="AM668" s="213"/>
      <c r="AN668" s="213"/>
      <c r="AO668" s="213"/>
      <c r="AP668" s="213"/>
      <c r="AQ668" s="213"/>
      <c r="AR668" s="213"/>
      <c r="AS668" s="213"/>
      <c r="AT668" s="213"/>
      <c r="AU668" s="213"/>
      <c r="AV668" s="213"/>
      <c r="AW668" s="213"/>
      <c r="AX668" s="213"/>
      <c r="AY668" s="213"/>
      <c r="AZ668" s="213"/>
      <c r="BA668" s="213"/>
      <c r="BB668" s="213"/>
    </row>
    <row r="669">
      <c r="A669" s="199"/>
      <c r="B669" s="12"/>
      <c r="C669" s="202"/>
      <c r="D669" s="199"/>
      <c r="E669" s="211"/>
      <c r="F669" s="201"/>
      <c r="G669" s="199"/>
      <c r="H669" s="199"/>
      <c r="I669" s="199"/>
      <c r="J669" s="212"/>
      <c r="K669" s="212"/>
      <c r="L669" s="212"/>
      <c r="M669" s="212"/>
      <c r="N669" s="212"/>
      <c r="O669" s="212"/>
      <c r="P669" s="212"/>
      <c r="Q669" s="212"/>
      <c r="R669" s="212"/>
      <c r="S669" s="212"/>
      <c r="T669" s="212"/>
      <c r="U669" s="212"/>
      <c r="V669" s="212"/>
      <c r="W669" s="212"/>
      <c r="X669" s="212"/>
      <c r="Y669" s="212"/>
      <c r="Z669" s="204"/>
      <c r="AA669" s="204"/>
      <c r="AB669" s="204"/>
      <c r="AC669" s="204"/>
      <c r="AD669" s="204"/>
      <c r="AE669" s="212"/>
      <c r="AF669" s="213"/>
      <c r="AG669" s="213"/>
      <c r="AH669" s="213"/>
      <c r="AI669" s="213"/>
      <c r="AJ669" s="213"/>
      <c r="AK669" s="213"/>
      <c r="AL669" s="213"/>
      <c r="AM669" s="213"/>
      <c r="AN669" s="213"/>
      <c r="AO669" s="213"/>
      <c r="AP669" s="213"/>
      <c r="AQ669" s="213"/>
      <c r="AR669" s="213"/>
      <c r="AS669" s="213"/>
      <c r="AT669" s="213"/>
      <c r="AU669" s="213"/>
      <c r="AV669" s="213"/>
      <c r="AW669" s="213"/>
      <c r="AX669" s="213"/>
      <c r="AY669" s="213"/>
      <c r="AZ669" s="213"/>
      <c r="BA669" s="213"/>
      <c r="BB669" s="213"/>
    </row>
    <row r="670">
      <c r="A670" s="199"/>
      <c r="B670" s="12"/>
      <c r="C670" s="202"/>
      <c r="D670" s="199"/>
      <c r="E670" s="211"/>
      <c r="F670" s="201"/>
      <c r="G670" s="199"/>
      <c r="H670" s="199"/>
      <c r="I670" s="199"/>
      <c r="J670" s="212"/>
      <c r="K670" s="212"/>
      <c r="L670" s="212"/>
      <c r="M670" s="212"/>
      <c r="N670" s="212"/>
      <c r="O670" s="212"/>
      <c r="P670" s="212"/>
      <c r="Q670" s="212"/>
      <c r="R670" s="212"/>
      <c r="S670" s="212"/>
      <c r="T670" s="212"/>
      <c r="U670" s="212"/>
      <c r="V670" s="212"/>
      <c r="W670" s="212"/>
      <c r="X670" s="212"/>
      <c r="Y670" s="212"/>
      <c r="Z670" s="204"/>
      <c r="AA670" s="204"/>
      <c r="AB670" s="204"/>
      <c r="AC670" s="204"/>
      <c r="AD670" s="204"/>
      <c r="AE670" s="212"/>
      <c r="AF670" s="213"/>
      <c r="AG670" s="213"/>
      <c r="AH670" s="213"/>
      <c r="AI670" s="213"/>
      <c r="AJ670" s="213"/>
      <c r="AK670" s="213"/>
      <c r="AL670" s="213"/>
      <c r="AM670" s="213"/>
      <c r="AN670" s="213"/>
      <c r="AO670" s="213"/>
      <c r="AP670" s="213"/>
      <c r="AQ670" s="213"/>
      <c r="AR670" s="213"/>
      <c r="AS670" s="213"/>
      <c r="AT670" s="213"/>
      <c r="AU670" s="213"/>
      <c r="AV670" s="213"/>
      <c r="AW670" s="213"/>
      <c r="AX670" s="213"/>
      <c r="AY670" s="213"/>
      <c r="AZ670" s="213"/>
      <c r="BA670" s="213"/>
      <c r="BB670" s="213"/>
    </row>
    <row r="671">
      <c r="A671" s="199"/>
      <c r="B671" s="12"/>
      <c r="C671" s="202"/>
      <c r="D671" s="199"/>
      <c r="E671" s="211"/>
      <c r="F671" s="201"/>
      <c r="G671" s="199"/>
      <c r="H671" s="199"/>
      <c r="I671" s="199"/>
      <c r="J671" s="212"/>
      <c r="K671" s="212"/>
      <c r="L671" s="212"/>
      <c r="M671" s="212"/>
      <c r="N671" s="212"/>
      <c r="O671" s="212"/>
      <c r="P671" s="212"/>
      <c r="Q671" s="212"/>
      <c r="R671" s="212"/>
      <c r="S671" s="212"/>
      <c r="T671" s="212"/>
      <c r="U671" s="212"/>
      <c r="V671" s="212"/>
      <c r="W671" s="212"/>
      <c r="X671" s="212"/>
      <c r="Y671" s="212"/>
      <c r="Z671" s="204"/>
      <c r="AA671" s="204"/>
      <c r="AB671" s="204"/>
      <c r="AC671" s="204"/>
      <c r="AD671" s="204"/>
      <c r="AE671" s="212"/>
      <c r="AF671" s="213"/>
      <c r="AG671" s="213"/>
      <c r="AH671" s="213"/>
      <c r="AI671" s="213"/>
      <c r="AJ671" s="213"/>
      <c r="AK671" s="213"/>
      <c r="AL671" s="213"/>
      <c r="AM671" s="213"/>
      <c r="AN671" s="213"/>
      <c r="AO671" s="213"/>
      <c r="AP671" s="213"/>
      <c r="AQ671" s="213"/>
      <c r="AR671" s="213"/>
      <c r="AS671" s="213"/>
      <c r="AT671" s="213"/>
      <c r="AU671" s="213"/>
      <c r="AV671" s="213"/>
      <c r="AW671" s="213"/>
      <c r="AX671" s="213"/>
      <c r="AY671" s="213"/>
      <c r="AZ671" s="213"/>
      <c r="BA671" s="213"/>
      <c r="BB671" s="213"/>
    </row>
    <row r="672">
      <c r="A672" s="199"/>
      <c r="B672" s="12"/>
      <c r="C672" s="202"/>
      <c r="D672" s="199"/>
      <c r="E672" s="211"/>
      <c r="F672" s="201"/>
      <c r="G672" s="199"/>
      <c r="H672" s="199"/>
      <c r="I672" s="199"/>
      <c r="J672" s="212"/>
      <c r="K672" s="212"/>
      <c r="L672" s="212"/>
      <c r="M672" s="212"/>
      <c r="N672" s="212"/>
      <c r="O672" s="212"/>
      <c r="P672" s="212"/>
      <c r="Q672" s="212"/>
      <c r="R672" s="212"/>
      <c r="S672" s="212"/>
      <c r="T672" s="212"/>
      <c r="U672" s="212"/>
      <c r="V672" s="212"/>
      <c r="W672" s="212"/>
      <c r="X672" s="212"/>
      <c r="Y672" s="212"/>
      <c r="Z672" s="204"/>
      <c r="AA672" s="204"/>
      <c r="AB672" s="204"/>
      <c r="AC672" s="204"/>
      <c r="AD672" s="204"/>
      <c r="AE672" s="212"/>
      <c r="AF672" s="213"/>
      <c r="AG672" s="213"/>
      <c r="AH672" s="213"/>
      <c r="AI672" s="213"/>
      <c r="AJ672" s="213"/>
      <c r="AK672" s="213"/>
      <c r="AL672" s="213"/>
      <c r="AM672" s="213"/>
      <c r="AN672" s="213"/>
      <c r="AO672" s="213"/>
      <c r="AP672" s="213"/>
      <c r="AQ672" s="213"/>
      <c r="AR672" s="213"/>
      <c r="AS672" s="213"/>
      <c r="AT672" s="213"/>
      <c r="AU672" s="213"/>
      <c r="AV672" s="213"/>
      <c r="AW672" s="213"/>
      <c r="AX672" s="213"/>
      <c r="AY672" s="213"/>
      <c r="AZ672" s="213"/>
      <c r="BA672" s="213"/>
      <c r="BB672" s="213"/>
    </row>
    <row r="673">
      <c r="A673" s="199"/>
      <c r="B673" s="12"/>
      <c r="C673" s="202"/>
      <c r="D673" s="199"/>
      <c r="E673" s="211"/>
      <c r="F673" s="201"/>
      <c r="G673" s="199"/>
      <c r="H673" s="199"/>
      <c r="I673" s="199"/>
      <c r="J673" s="212"/>
      <c r="K673" s="212"/>
      <c r="L673" s="212"/>
      <c r="M673" s="212"/>
      <c r="N673" s="212"/>
      <c r="O673" s="212"/>
      <c r="P673" s="212"/>
      <c r="Q673" s="212"/>
      <c r="R673" s="212"/>
      <c r="S673" s="212"/>
      <c r="T673" s="212"/>
      <c r="U673" s="212"/>
      <c r="V673" s="212"/>
      <c r="W673" s="212"/>
      <c r="X673" s="212"/>
      <c r="Y673" s="212"/>
      <c r="Z673" s="204"/>
      <c r="AA673" s="204"/>
      <c r="AB673" s="204"/>
      <c r="AC673" s="204"/>
      <c r="AD673" s="204"/>
      <c r="AE673" s="212"/>
      <c r="AF673" s="213"/>
      <c r="AG673" s="213"/>
      <c r="AH673" s="213"/>
      <c r="AI673" s="213"/>
      <c r="AJ673" s="213"/>
      <c r="AK673" s="213"/>
      <c r="AL673" s="213"/>
      <c r="AM673" s="213"/>
      <c r="AN673" s="213"/>
      <c r="AO673" s="213"/>
      <c r="AP673" s="213"/>
      <c r="AQ673" s="213"/>
      <c r="AR673" s="213"/>
      <c r="AS673" s="213"/>
      <c r="AT673" s="213"/>
      <c r="AU673" s="213"/>
      <c r="AV673" s="213"/>
      <c r="AW673" s="213"/>
      <c r="AX673" s="213"/>
      <c r="AY673" s="213"/>
      <c r="AZ673" s="213"/>
      <c r="BA673" s="213"/>
      <c r="BB673" s="213"/>
    </row>
    <row r="674">
      <c r="A674" s="199"/>
      <c r="B674" s="12"/>
      <c r="C674" s="202"/>
      <c r="D674" s="199"/>
      <c r="E674" s="211"/>
      <c r="F674" s="201"/>
      <c r="G674" s="199"/>
      <c r="H674" s="199"/>
      <c r="I674" s="199"/>
      <c r="J674" s="212"/>
      <c r="K674" s="212"/>
      <c r="L674" s="212"/>
      <c r="M674" s="212"/>
      <c r="N674" s="212"/>
      <c r="O674" s="212"/>
      <c r="P674" s="212"/>
      <c r="Q674" s="212"/>
      <c r="R674" s="212"/>
      <c r="S674" s="212"/>
      <c r="T674" s="212"/>
      <c r="U674" s="212"/>
      <c r="V674" s="212"/>
      <c r="W674" s="212"/>
      <c r="X674" s="212"/>
      <c r="Y674" s="212"/>
      <c r="Z674" s="204"/>
      <c r="AA674" s="204"/>
      <c r="AB674" s="204"/>
      <c r="AC674" s="204"/>
      <c r="AD674" s="204"/>
      <c r="AE674" s="212"/>
      <c r="AF674" s="213"/>
      <c r="AG674" s="213"/>
      <c r="AH674" s="213"/>
      <c r="AI674" s="213"/>
      <c r="AJ674" s="213"/>
      <c r="AK674" s="213"/>
      <c r="AL674" s="213"/>
      <c r="AM674" s="213"/>
      <c r="AN674" s="213"/>
      <c r="AO674" s="213"/>
      <c r="AP674" s="213"/>
      <c r="AQ674" s="213"/>
      <c r="AR674" s="213"/>
      <c r="AS674" s="213"/>
      <c r="AT674" s="213"/>
      <c r="AU674" s="213"/>
      <c r="AV674" s="213"/>
      <c r="AW674" s="213"/>
      <c r="AX674" s="213"/>
      <c r="AY674" s="213"/>
      <c r="AZ674" s="213"/>
      <c r="BA674" s="213"/>
      <c r="BB674" s="213"/>
    </row>
    <row r="675">
      <c r="A675" s="199"/>
      <c r="B675" s="12"/>
      <c r="C675" s="202"/>
      <c r="D675" s="199"/>
      <c r="E675" s="211"/>
      <c r="F675" s="201"/>
      <c r="G675" s="199"/>
      <c r="H675" s="199"/>
      <c r="I675" s="199"/>
      <c r="J675" s="212"/>
      <c r="K675" s="212"/>
      <c r="L675" s="212"/>
      <c r="M675" s="212"/>
      <c r="N675" s="212"/>
      <c r="O675" s="212"/>
      <c r="P675" s="212"/>
      <c r="Q675" s="212"/>
      <c r="R675" s="212"/>
      <c r="S675" s="212"/>
      <c r="T675" s="212"/>
      <c r="U675" s="212"/>
      <c r="V675" s="212"/>
      <c r="W675" s="212"/>
      <c r="X675" s="212"/>
      <c r="Y675" s="212"/>
      <c r="Z675" s="204"/>
      <c r="AA675" s="204"/>
      <c r="AB675" s="204"/>
      <c r="AC675" s="204"/>
      <c r="AD675" s="204"/>
      <c r="AE675" s="212"/>
      <c r="AF675" s="213"/>
      <c r="AG675" s="213"/>
      <c r="AH675" s="213"/>
      <c r="AI675" s="213"/>
      <c r="AJ675" s="213"/>
      <c r="AK675" s="213"/>
      <c r="AL675" s="213"/>
      <c r="AM675" s="213"/>
      <c r="AN675" s="213"/>
      <c r="AO675" s="213"/>
      <c r="AP675" s="213"/>
      <c r="AQ675" s="213"/>
      <c r="AR675" s="213"/>
      <c r="AS675" s="213"/>
      <c r="AT675" s="213"/>
      <c r="AU675" s="213"/>
      <c r="AV675" s="213"/>
      <c r="AW675" s="213"/>
      <c r="AX675" s="213"/>
      <c r="AY675" s="213"/>
      <c r="AZ675" s="213"/>
      <c r="BA675" s="213"/>
      <c r="BB675" s="213"/>
    </row>
    <row r="676">
      <c r="A676" s="199"/>
      <c r="B676" s="12"/>
      <c r="C676" s="202"/>
      <c r="D676" s="199"/>
      <c r="E676" s="211"/>
      <c r="F676" s="201"/>
      <c r="G676" s="199"/>
      <c r="H676" s="199"/>
      <c r="I676" s="199"/>
      <c r="J676" s="212"/>
      <c r="K676" s="212"/>
      <c r="L676" s="212"/>
      <c r="M676" s="212"/>
      <c r="N676" s="212"/>
      <c r="O676" s="212"/>
      <c r="P676" s="212"/>
      <c r="Q676" s="212"/>
      <c r="R676" s="212"/>
      <c r="S676" s="212"/>
      <c r="T676" s="212"/>
      <c r="U676" s="212"/>
      <c r="V676" s="212"/>
      <c r="W676" s="212"/>
      <c r="X676" s="212"/>
      <c r="Y676" s="212"/>
      <c r="Z676" s="204"/>
      <c r="AA676" s="204"/>
      <c r="AB676" s="204"/>
      <c r="AC676" s="204"/>
      <c r="AD676" s="204"/>
      <c r="AE676" s="212"/>
      <c r="AF676" s="213"/>
      <c r="AG676" s="213"/>
      <c r="AH676" s="213"/>
      <c r="AI676" s="213"/>
      <c r="AJ676" s="213"/>
      <c r="AK676" s="213"/>
      <c r="AL676" s="213"/>
      <c r="AM676" s="213"/>
      <c r="AN676" s="213"/>
      <c r="AO676" s="213"/>
      <c r="AP676" s="213"/>
      <c r="AQ676" s="213"/>
      <c r="AR676" s="213"/>
      <c r="AS676" s="213"/>
      <c r="AT676" s="213"/>
      <c r="AU676" s="213"/>
      <c r="AV676" s="213"/>
      <c r="AW676" s="213"/>
      <c r="AX676" s="213"/>
      <c r="AY676" s="213"/>
      <c r="AZ676" s="213"/>
      <c r="BA676" s="213"/>
      <c r="BB676" s="213"/>
    </row>
    <row r="677">
      <c r="A677" s="199"/>
      <c r="B677" s="12"/>
      <c r="C677" s="202"/>
      <c r="D677" s="199"/>
      <c r="E677" s="211"/>
      <c r="F677" s="201"/>
      <c r="G677" s="199"/>
      <c r="H677" s="199"/>
      <c r="I677" s="199"/>
      <c r="J677" s="212"/>
      <c r="K677" s="212"/>
      <c r="L677" s="212"/>
      <c r="M677" s="212"/>
      <c r="N677" s="212"/>
      <c r="O677" s="212"/>
      <c r="P677" s="212"/>
      <c r="Q677" s="212"/>
      <c r="R677" s="212"/>
      <c r="S677" s="212"/>
      <c r="T677" s="212"/>
      <c r="U677" s="212"/>
      <c r="V677" s="212"/>
      <c r="W677" s="212"/>
      <c r="X677" s="212"/>
      <c r="Y677" s="212"/>
      <c r="Z677" s="204"/>
      <c r="AA677" s="204"/>
      <c r="AB677" s="204"/>
      <c r="AC677" s="204"/>
      <c r="AD677" s="204"/>
      <c r="AE677" s="212"/>
      <c r="AF677" s="213"/>
      <c r="AG677" s="213"/>
      <c r="AH677" s="213"/>
      <c r="AI677" s="213"/>
      <c r="AJ677" s="213"/>
      <c r="AK677" s="213"/>
      <c r="AL677" s="213"/>
      <c r="AM677" s="213"/>
      <c r="AN677" s="213"/>
      <c r="AO677" s="213"/>
      <c r="AP677" s="213"/>
      <c r="AQ677" s="213"/>
      <c r="AR677" s="213"/>
      <c r="AS677" s="213"/>
      <c r="AT677" s="213"/>
      <c r="AU677" s="213"/>
      <c r="AV677" s="213"/>
      <c r="AW677" s="213"/>
      <c r="AX677" s="213"/>
      <c r="AY677" s="213"/>
      <c r="AZ677" s="213"/>
      <c r="BA677" s="213"/>
      <c r="BB677" s="213"/>
    </row>
    <row r="678">
      <c r="A678" s="199"/>
      <c r="B678" s="12"/>
      <c r="C678" s="202"/>
      <c r="D678" s="199"/>
      <c r="E678" s="211"/>
      <c r="F678" s="201"/>
      <c r="G678" s="199"/>
      <c r="H678" s="199"/>
      <c r="I678" s="199"/>
      <c r="J678" s="212"/>
      <c r="K678" s="212"/>
      <c r="L678" s="212"/>
      <c r="M678" s="212"/>
      <c r="N678" s="212"/>
      <c r="O678" s="212"/>
      <c r="P678" s="212"/>
      <c r="Q678" s="212"/>
      <c r="R678" s="212"/>
      <c r="S678" s="212"/>
      <c r="T678" s="212"/>
      <c r="U678" s="212"/>
      <c r="V678" s="212"/>
      <c r="W678" s="212"/>
      <c r="X678" s="212"/>
      <c r="Y678" s="212"/>
      <c r="Z678" s="204"/>
      <c r="AA678" s="204"/>
      <c r="AB678" s="204"/>
      <c r="AC678" s="204"/>
      <c r="AD678" s="204"/>
      <c r="AE678" s="212"/>
      <c r="AF678" s="213"/>
      <c r="AG678" s="213"/>
      <c r="AH678" s="213"/>
      <c r="AI678" s="213"/>
      <c r="AJ678" s="213"/>
      <c r="AK678" s="213"/>
      <c r="AL678" s="213"/>
      <c r="AM678" s="213"/>
      <c r="AN678" s="213"/>
      <c r="AO678" s="213"/>
      <c r="AP678" s="213"/>
      <c r="AQ678" s="213"/>
      <c r="AR678" s="213"/>
      <c r="AS678" s="213"/>
      <c r="AT678" s="213"/>
      <c r="AU678" s="213"/>
      <c r="AV678" s="213"/>
      <c r="AW678" s="213"/>
      <c r="AX678" s="213"/>
      <c r="AY678" s="213"/>
      <c r="AZ678" s="213"/>
      <c r="BA678" s="213"/>
      <c r="BB678" s="213"/>
    </row>
    <row r="679">
      <c r="A679" s="199"/>
      <c r="B679" s="12"/>
      <c r="C679" s="202"/>
      <c r="D679" s="199"/>
      <c r="E679" s="211"/>
      <c r="F679" s="201"/>
      <c r="G679" s="199"/>
      <c r="H679" s="199"/>
      <c r="I679" s="199"/>
      <c r="J679" s="212"/>
      <c r="K679" s="212"/>
      <c r="L679" s="212"/>
      <c r="M679" s="212"/>
      <c r="N679" s="212"/>
      <c r="O679" s="212"/>
      <c r="P679" s="212"/>
      <c r="Q679" s="212"/>
      <c r="R679" s="212"/>
      <c r="S679" s="212"/>
      <c r="T679" s="212"/>
      <c r="U679" s="212"/>
      <c r="V679" s="212"/>
      <c r="W679" s="212"/>
      <c r="X679" s="212"/>
      <c r="Y679" s="212"/>
      <c r="Z679" s="204"/>
      <c r="AA679" s="204"/>
      <c r="AB679" s="204"/>
      <c r="AC679" s="204"/>
      <c r="AD679" s="204"/>
      <c r="AE679" s="212"/>
      <c r="AF679" s="213"/>
      <c r="AG679" s="213"/>
      <c r="AH679" s="213"/>
      <c r="AI679" s="213"/>
      <c r="AJ679" s="213"/>
      <c r="AK679" s="213"/>
      <c r="AL679" s="213"/>
      <c r="AM679" s="213"/>
      <c r="AN679" s="213"/>
      <c r="AO679" s="213"/>
      <c r="AP679" s="213"/>
      <c r="AQ679" s="213"/>
      <c r="AR679" s="213"/>
      <c r="AS679" s="213"/>
      <c r="AT679" s="213"/>
      <c r="AU679" s="213"/>
      <c r="AV679" s="213"/>
      <c r="AW679" s="213"/>
      <c r="AX679" s="213"/>
      <c r="AY679" s="213"/>
      <c r="AZ679" s="213"/>
      <c r="BA679" s="213"/>
      <c r="BB679" s="213"/>
    </row>
    <row r="680">
      <c r="A680" s="199"/>
      <c r="B680" s="12"/>
      <c r="C680" s="202"/>
      <c r="D680" s="199"/>
      <c r="E680" s="211"/>
      <c r="F680" s="201"/>
      <c r="G680" s="199"/>
      <c r="H680" s="199"/>
      <c r="I680" s="199"/>
      <c r="J680" s="212"/>
      <c r="K680" s="212"/>
      <c r="L680" s="212"/>
      <c r="M680" s="212"/>
      <c r="N680" s="212"/>
      <c r="O680" s="212"/>
      <c r="P680" s="212"/>
      <c r="Q680" s="212"/>
      <c r="R680" s="212"/>
      <c r="S680" s="212"/>
      <c r="T680" s="212"/>
      <c r="U680" s="212"/>
      <c r="V680" s="212"/>
      <c r="W680" s="212"/>
      <c r="X680" s="212"/>
      <c r="Y680" s="212"/>
      <c r="Z680" s="204"/>
      <c r="AA680" s="204"/>
      <c r="AB680" s="204"/>
      <c r="AC680" s="204"/>
      <c r="AD680" s="204"/>
      <c r="AE680" s="212"/>
      <c r="AF680" s="213"/>
      <c r="AG680" s="213"/>
      <c r="AH680" s="213"/>
      <c r="AI680" s="213"/>
      <c r="AJ680" s="213"/>
      <c r="AK680" s="213"/>
      <c r="AL680" s="213"/>
      <c r="AM680" s="213"/>
      <c r="AN680" s="213"/>
      <c r="AO680" s="213"/>
      <c r="AP680" s="213"/>
      <c r="AQ680" s="213"/>
      <c r="AR680" s="213"/>
      <c r="AS680" s="213"/>
      <c r="AT680" s="213"/>
      <c r="AU680" s="213"/>
      <c r="AV680" s="213"/>
      <c r="AW680" s="213"/>
      <c r="AX680" s="213"/>
      <c r="AY680" s="213"/>
      <c r="AZ680" s="213"/>
      <c r="BA680" s="213"/>
      <c r="BB680" s="213"/>
    </row>
    <row r="681">
      <c r="A681" s="199"/>
      <c r="B681" s="12"/>
      <c r="C681" s="202"/>
      <c r="D681" s="199"/>
      <c r="E681" s="211"/>
      <c r="F681" s="201"/>
      <c r="G681" s="199"/>
      <c r="H681" s="199"/>
      <c r="I681" s="199"/>
      <c r="J681" s="212"/>
      <c r="K681" s="212"/>
      <c r="L681" s="212"/>
      <c r="M681" s="212"/>
      <c r="N681" s="212"/>
      <c r="O681" s="212"/>
      <c r="P681" s="212"/>
      <c r="Q681" s="212"/>
      <c r="R681" s="212"/>
      <c r="S681" s="212"/>
      <c r="T681" s="212"/>
      <c r="U681" s="212"/>
      <c r="V681" s="212"/>
      <c r="W681" s="212"/>
      <c r="X681" s="212"/>
      <c r="Y681" s="212"/>
      <c r="Z681" s="204"/>
      <c r="AA681" s="204"/>
      <c r="AB681" s="204"/>
      <c r="AC681" s="204"/>
      <c r="AD681" s="204"/>
      <c r="AE681" s="212"/>
      <c r="AF681" s="213"/>
      <c r="AG681" s="213"/>
      <c r="AH681" s="213"/>
      <c r="AI681" s="213"/>
      <c r="AJ681" s="213"/>
      <c r="AK681" s="213"/>
      <c r="AL681" s="213"/>
      <c r="AM681" s="213"/>
      <c r="AN681" s="213"/>
      <c r="AO681" s="213"/>
      <c r="AP681" s="213"/>
      <c r="AQ681" s="213"/>
      <c r="AR681" s="213"/>
      <c r="AS681" s="213"/>
      <c r="AT681" s="213"/>
      <c r="AU681" s="213"/>
      <c r="AV681" s="213"/>
      <c r="AW681" s="213"/>
      <c r="AX681" s="213"/>
      <c r="AY681" s="213"/>
      <c r="AZ681" s="213"/>
      <c r="BA681" s="213"/>
      <c r="BB681" s="213"/>
    </row>
    <row r="682">
      <c r="A682" s="199"/>
      <c r="B682" s="12"/>
      <c r="C682" s="202"/>
      <c r="D682" s="199"/>
      <c r="E682" s="211"/>
      <c r="F682" s="201"/>
      <c r="G682" s="199"/>
      <c r="H682" s="199"/>
      <c r="I682" s="199"/>
      <c r="J682" s="212"/>
      <c r="K682" s="212"/>
      <c r="L682" s="212"/>
      <c r="M682" s="212"/>
      <c r="N682" s="212"/>
      <c r="O682" s="212"/>
      <c r="P682" s="212"/>
      <c r="Q682" s="212"/>
      <c r="R682" s="212"/>
      <c r="S682" s="212"/>
      <c r="T682" s="212"/>
      <c r="U682" s="212"/>
      <c r="V682" s="212"/>
      <c r="W682" s="212"/>
      <c r="X682" s="212"/>
      <c r="Y682" s="212"/>
      <c r="Z682" s="204"/>
      <c r="AA682" s="204"/>
      <c r="AB682" s="204"/>
      <c r="AC682" s="204"/>
      <c r="AD682" s="204"/>
      <c r="AE682" s="212"/>
      <c r="AF682" s="213"/>
      <c r="AG682" s="213"/>
      <c r="AH682" s="213"/>
      <c r="AI682" s="213"/>
      <c r="AJ682" s="213"/>
      <c r="AK682" s="213"/>
      <c r="AL682" s="213"/>
      <c r="AM682" s="213"/>
      <c r="AN682" s="213"/>
      <c r="AO682" s="213"/>
      <c r="AP682" s="213"/>
      <c r="AQ682" s="213"/>
      <c r="AR682" s="213"/>
      <c r="AS682" s="213"/>
      <c r="AT682" s="213"/>
      <c r="AU682" s="213"/>
      <c r="AV682" s="213"/>
      <c r="AW682" s="213"/>
      <c r="AX682" s="213"/>
      <c r="AY682" s="213"/>
      <c r="AZ682" s="213"/>
      <c r="BA682" s="213"/>
      <c r="BB682" s="213"/>
    </row>
    <row r="683">
      <c r="A683" s="199"/>
      <c r="B683" s="12"/>
      <c r="C683" s="202"/>
      <c r="D683" s="199"/>
      <c r="E683" s="211"/>
      <c r="F683" s="201"/>
      <c r="G683" s="199"/>
      <c r="H683" s="199"/>
      <c r="I683" s="199"/>
      <c r="J683" s="212"/>
      <c r="K683" s="212"/>
      <c r="L683" s="212"/>
      <c r="M683" s="212"/>
      <c r="N683" s="212"/>
      <c r="O683" s="212"/>
      <c r="P683" s="212"/>
      <c r="Q683" s="212"/>
      <c r="R683" s="212"/>
      <c r="S683" s="212"/>
      <c r="T683" s="212"/>
      <c r="U683" s="212"/>
      <c r="V683" s="212"/>
      <c r="W683" s="212"/>
      <c r="X683" s="212"/>
      <c r="Y683" s="212"/>
      <c r="Z683" s="204"/>
      <c r="AA683" s="204"/>
      <c r="AB683" s="204"/>
      <c r="AC683" s="204"/>
      <c r="AD683" s="204"/>
      <c r="AE683" s="212"/>
      <c r="AF683" s="213"/>
      <c r="AG683" s="213"/>
      <c r="AH683" s="213"/>
      <c r="AI683" s="213"/>
      <c r="AJ683" s="213"/>
      <c r="AK683" s="213"/>
      <c r="AL683" s="213"/>
      <c r="AM683" s="213"/>
      <c r="AN683" s="213"/>
      <c r="AO683" s="213"/>
      <c r="AP683" s="213"/>
      <c r="AQ683" s="213"/>
      <c r="AR683" s="213"/>
      <c r="AS683" s="213"/>
      <c r="AT683" s="213"/>
      <c r="AU683" s="213"/>
      <c r="AV683" s="213"/>
      <c r="AW683" s="213"/>
      <c r="AX683" s="213"/>
      <c r="AY683" s="213"/>
      <c r="AZ683" s="213"/>
      <c r="BA683" s="213"/>
      <c r="BB683" s="213"/>
    </row>
    <row r="684">
      <c r="A684" s="199"/>
      <c r="B684" s="12"/>
      <c r="C684" s="202"/>
      <c r="D684" s="199"/>
      <c r="E684" s="211"/>
      <c r="F684" s="201"/>
      <c r="G684" s="199"/>
      <c r="H684" s="199"/>
      <c r="I684" s="199"/>
      <c r="J684" s="212"/>
      <c r="K684" s="212"/>
      <c r="L684" s="212"/>
      <c r="M684" s="212"/>
      <c r="N684" s="212"/>
      <c r="O684" s="212"/>
      <c r="P684" s="212"/>
      <c r="Q684" s="212"/>
      <c r="R684" s="212"/>
      <c r="S684" s="212"/>
      <c r="T684" s="212"/>
      <c r="U684" s="212"/>
      <c r="V684" s="212"/>
      <c r="W684" s="212"/>
      <c r="X684" s="212"/>
      <c r="Y684" s="212"/>
      <c r="Z684" s="204"/>
      <c r="AA684" s="204"/>
      <c r="AB684" s="204"/>
      <c r="AC684" s="204"/>
      <c r="AD684" s="204"/>
      <c r="AE684" s="212"/>
      <c r="AF684" s="213"/>
      <c r="AG684" s="213"/>
      <c r="AH684" s="213"/>
      <c r="AI684" s="213"/>
      <c r="AJ684" s="213"/>
      <c r="AK684" s="213"/>
      <c r="AL684" s="213"/>
      <c r="AM684" s="213"/>
      <c r="AN684" s="213"/>
      <c r="AO684" s="213"/>
      <c r="AP684" s="213"/>
      <c r="AQ684" s="213"/>
      <c r="AR684" s="213"/>
      <c r="AS684" s="213"/>
      <c r="AT684" s="213"/>
      <c r="AU684" s="213"/>
      <c r="AV684" s="213"/>
      <c r="AW684" s="213"/>
      <c r="AX684" s="213"/>
      <c r="AY684" s="213"/>
      <c r="AZ684" s="213"/>
      <c r="BA684" s="213"/>
      <c r="BB684" s="213"/>
    </row>
    <row r="685">
      <c r="A685" s="199"/>
      <c r="B685" s="12"/>
      <c r="C685" s="202"/>
      <c r="D685" s="199"/>
      <c r="E685" s="211"/>
      <c r="F685" s="201"/>
      <c r="G685" s="199"/>
      <c r="H685" s="199"/>
      <c r="I685" s="199"/>
      <c r="J685" s="212"/>
      <c r="K685" s="212"/>
      <c r="L685" s="212"/>
      <c r="M685" s="212"/>
      <c r="N685" s="212"/>
      <c r="O685" s="212"/>
      <c r="P685" s="212"/>
      <c r="Q685" s="212"/>
      <c r="R685" s="212"/>
      <c r="S685" s="212"/>
      <c r="T685" s="212"/>
      <c r="U685" s="212"/>
      <c r="V685" s="212"/>
      <c r="W685" s="212"/>
      <c r="X685" s="212"/>
      <c r="Y685" s="212"/>
      <c r="Z685" s="204"/>
      <c r="AA685" s="204"/>
      <c r="AB685" s="204"/>
      <c r="AC685" s="204"/>
      <c r="AD685" s="204"/>
      <c r="AE685" s="212"/>
      <c r="AF685" s="213"/>
      <c r="AG685" s="213"/>
      <c r="AH685" s="213"/>
      <c r="AI685" s="213"/>
      <c r="AJ685" s="213"/>
      <c r="AK685" s="213"/>
      <c r="AL685" s="213"/>
      <c r="AM685" s="213"/>
      <c r="AN685" s="213"/>
      <c r="AO685" s="213"/>
      <c r="AP685" s="213"/>
      <c r="AQ685" s="213"/>
      <c r="AR685" s="213"/>
      <c r="AS685" s="213"/>
      <c r="AT685" s="213"/>
      <c r="AU685" s="213"/>
      <c r="AV685" s="213"/>
      <c r="AW685" s="213"/>
      <c r="AX685" s="213"/>
      <c r="AY685" s="213"/>
      <c r="AZ685" s="213"/>
      <c r="BA685" s="213"/>
      <c r="BB685" s="213"/>
    </row>
    <row r="686">
      <c r="A686" s="199"/>
      <c r="B686" s="12"/>
      <c r="C686" s="202"/>
      <c r="D686" s="199"/>
      <c r="E686" s="211"/>
      <c r="F686" s="201"/>
      <c r="G686" s="199"/>
      <c r="H686" s="199"/>
      <c r="I686" s="199"/>
      <c r="J686" s="212"/>
      <c r="K686" s="212"/>
      <c r="L686" s="212"/>
      <c r="M686" s="212"/>
      <c r="N686" s="212"/>
      <c r="O686" s="212"/>
      <c r="P686" s="212"/>
      <c r="Q686" s="212"/>
      <c r="R686" s="212"/>
      <c r="S686" s="212"/>
      <c r="T686" s="212"/>
      <c r="U686" s="212"/>
      <c r="V686" s="212"/>
      <c r="W686" s="212"/>
      <c r="X686" s="212"/>
      <c r="Y686" s="212"/>
      <c r="Z686" s="204"/>
      <c r="AA686" s="204"/>
      <c r="AB686" s="204"/>
      <c r="AC686" s="204"/>
      <c r="AD686" s="204"/>
      <c r="AE686" s="212"/>
      <c r="AF686" s="213"/>
      <c r="AG686" s="213"/>
      <c r="AH686" s="213"/>
      <c r="AI686" s="213"/>
      <c r="AJ686" s="213"/>
      <c r="AK686" s="213"/>
      <c r="AL686" s="213"/>
      <c r="AM686" s="213"/>
      <c r="AN686" s="213"/>
      <c r="AO686" s="213"/>
      <c r="AP686" s="213"/>
      <c r="AQ686" s="213"/>
      <c r="AR686" s="213"/>
      <c r="AS686" s="213"/>
      <c r="AT686" s="213"/>
      <c r="AU686" s="213"/>
      <c r="AV686" s="213"/>
      <c r="AW686" s="213"/>
      <c r="AX686" s="213"/>
      <c r="AY686" s="213"/>
      <c r="AZ686" s="213"/>
      <c r="BA686" s="213"/>
      <c r="BB686" s="213"/>
    </row>
    <row r="687">
      <c r="A687" s="199"/>
      <c r="B687" s="12"/>
      <c r="C687" s="202"/>
      <c r="D687" s="199"/>
      <c r="E687" s="211"/>
      <c r="F687" s="201"/>
      <c r="G687" s="199"/>
      <c r="H687" s="199"/>
      <c r="I687" s="199"/>
      <c r="J687" s="212"/>
      <c r="K687" s="212"/>
      <c r="L687" s="212"/>
      <c r="M687" s="212"/>
      <c r="N687" s="212"/>
      <c r="O687" s="212"/>
      <c r="P687" s="212"/>
      <c r="Q687" s="212"/>
      <c r="R687" s="212"/>
      <c r="S687" s="212"/>
      <c r="T687" s="212"/>
      <c r="U687" s="212"/>
      <c r="V687" s="212"/>
      <c r="W687" s="212"/>
      <c r="X687" s="212"/>
      <c r="Y687" s="212"/>
      <c r="Z687" s="204"/>
      <c r="AA687" s="204"/>
      <c r="AB687" s="204"/>
      <c r="AC687" s="204"/>
      <c r="AD687" s="204"/>
      <c r="AE687" s="212"/>
      <c r="AF687" s="213"/>
      <c r="AG687" s="213"/>
      <c r="AH687" s="213"/>
      <c r="AI687" s="213"/>
      <c r="AJ687" s="213"/>
      <c r="AK687" s="213"/>
      <c r="AL687" s="213"/>
      <c r="AM687" s="213"/>
      <c r="AN687" s="213"/>
      <c r="AO687" s="213"/>
      <c r="AP687" s="213"/>
      <c r="AQ687" s="213"/>
      <c r="AR687" s="213"/>
      <c r="AS687" s="213"/>
      <c r="AT687" s="213"/>
      <c r="AU687" s="213"/>
      <c r="AV687" s="213"/>
      <c r="AW687" s="213"/>
      <c r="AX687" s="213"/>
      <c r="AY687" s="213"/>
      <c r="AZ687" s="213"/>
      <c r="BA687" s="213"/>
      <c r="BB687" s="213"/>
    </row>
    <row r="688">
      <c r="A688" s="199"/>
      <c r="B688" s="12"/>
      <c r="C688" s="202"/>
      <c r="D688" s="199"/>
      <c r="E688" s="211"/>
      <c r="F688" s="201"/>
      <c r="G688" s="199"/>
      <c r="H688" s="199"/>
      <c r="I688" s="199"/>
      <c r="J688" s="212"/>
      <c r="K688" s="212"/>
      <c r="L688" s="212"/>
      <c r="M688" s="212"/>
      <c r="N688" s="212"/>
      <c r="O688" s="212"/>
      <c r="P688" s="212"/>
      <c r="Q688" s="212"/>
      <c r="R688" s="212"/>
      <c r="S688" s="212"/>
      <c r="T688" s="212"/>
      <c r="U688" s="212"/>
      <c r="V688" s="212"/>
      <c r="W688" s="212"/>
      <c r="X688" s="212"/>
      <c r="Y688" s="212"/>
      <c r="Z688" s="204"/>
      <c r="AA688" s="204"/>
      <c r="AB688" s="204"/>
      <c r="AC688" s="204"/>
      <c r="AD688" s="204"/>
      <c r="AE688" s="212"/>
      <c r="AF688" s="213"/>
      <c r="AG688" s="213"/>
      <c r="AH688" s="213"/>
      <c r="AI688" s="213"/>
      <c r="AJ688" s="213"/>
      <c r="AK688" s="213"/>
      <c r="AL688" s="213"/>
      <c r="AM688" s="213"/>
      <c r="AN688" s="213"/>
      <c r="AO688" s="213"/>
      <c r="AP688" s="213"/>
      <c r="AQ688" s="213"/>
      <c r="AR688" s="213"/>
      <c r="AS688" s="213"/>
      <c r="AT688" s="213"/>
      <c r="AU688" s="213"/>
      <c r="AV688" s="213"/>
      <c r="AW688" s="213"/>
      <c r="AX688" s="213"/>
      <c r="AY688" s="213"/>
      <c r="AZ688" s="213"/>
      <c r="BA688" s="213"/>
      <c r="BB688" s="213"/>
    </row>
    <row r="689">
      <c r="A689" s="199"/>
      <c r="B689" s="12"/>
      <c r="C689" s="202"/>
      <c r="D689" s="199"/>
      <c r="E689" s="211"/>
      <c r="F689" s="201"/>
      <c r="G689" s="199"/>
      <c r="H689" s="199"/>
      <c r="I689" s="199"/>
      <c r="J689" s="212"/>
      <c r="K689" s="212"/>
      <c r="L689" s="212"/>
      <c r="M689" s="212"/>
      <c r="N689" s="212"/>
      <c r="O689" s="212"/>
      <c r="P689" s="212"/>
      <c r="Q689" s="212"/>
      <c r="R689" s="212"/>
      <c r="S689" s="212"/>
      <c r="T689" s="212"/>
      <c r="U689" s="212"/>
      <c r="V689" s="212"/>
      <c r="W689" s="212"/>
      <c r="X689" s="212"/>
      <c r="Y689" s="212"/>
      <c r="Z689" s="204"/>
      <c r="AA689" s="204"/>
      <c r="AB689" s="204"/>
      <c r="AC689" s="204"/>
      <c r="AD689" s="204"/>
      <c r="AE689" s="212"/>
      <c r="AF689" s="213"/>
      <c r="AG689" s="213"/>
      <c r="AH689" s="213"/>
      <c r="AI689" s="213"/>
      <c r="AJ689" s="213"/>
      <c r="AK689" s="213"/>
      <c r="AL689" s="213"/>
      <c r="AM689" s="213"/>
      <c r="AN689" s="213"/>
      <c r="AO689" s="213"/>
      <c r="AP689" s="213"/>
      <c r="AQ689" s="213"/>
      <c r="AR689" s="213"/>
      <c r="AS689" s="213"/>
      <c r="AT689" s="213"/>
      <c r="AU689" s="213"/>
      <c r="AV689" s="213"/>
      <c r="AW689" s="213"/>
      <c r="AX689" s="213"/>
      <c r="AY689" s="213"/>
      <c r="AZ689" s="213"/>
      <c r="BA689" s="213"/>
      <c r="BB689" s="213"/>
    </row>
    <row r="690">
      <c r="A690" s="199"/>
      <c r="B690" s="12"/>
      <c r="C690" s="202"/>
      <c r="D690" s="199"/>
      <c r="E690" s="211"/>
      <c r="F690" s="201"/>
      <c r="G690" s="199"/>
      <c r="H690" s="199"/>
      <c r="I690" s="199"/>
      <c r="J690" s="212"/>
      <c r="K690" s="212"/>
      <c r="L690" s="212"/>
      <c r="M690" s="212"/>
      <c r="N690" s="212"/>
      <c r="O690" s="212"/>
      <c r="P690" s="212"/>
      <c r="Q690" s="212"/>
      <c r="R690" s="212"/>
      <c r="S690" s="212"/>
      <c r="T690" s="212"/>
      <c r="U690" s="212"/>
      <c r="V690" s="212"/>
      <c r="W690" s="212"/>
      <c r="X690" s="212"/>
      <c r="Y690" s="212"/>
      <c r="Z690" s="204"/>
      <c r="AA690" s="204"/>
      <c r="AB690" s="204"/>
      <c r="AC690" s="204"/>
      <c r="AD690" s="204"/>
      <c r="AE690" s="212"/>
      <c r="AF690" s="213"/>
      <c r="AG690" s="213"/>
      <c r="AH690" s="213"/>
      <c r="AI690" s="213"/>
      <c r="AJ690" s="213"/>
      <c r="AK690" s="213"/>
      <c r="AL690" s="213"/>
      <c r="AM690" s="213"/>
      <c r="AN690" s="213"/>
      <c r="AO690" s="213"/>
      <c r="AP690" s="213"/>
      <c r="AQ690" s="213"/>
      <c r="AR690" s="213"/>
      <c r="AS690" s="213"/>
      <c r="AT690" s="213"/>
      <c r="AU690" s="213"/>
      <c r="AV690" s="213"/>
      <c r="AW690" s="213"/>
      <c r="AX690" s="213"/>
      <c r="AY690" s="213"/>
      <c r="AZ690" s="213"/>
      <c r="BA690" s="213"/>
      <c r="BB690" s="213"/>
    </row>
    <row r="691">
      <c r="A691" s="199"/>
      <c r="B691" s="12"/>
      <c r="C691" s="202"/>
      <c r="D691" s="199"/>
      <c r="E691" s="211"/>
      <c r="F691" s="201"/>
      <c r="G691" s="199"/>
      <c r="H691" s="199"/>
      <c r="I691" s="199"/>
      <c r="J691" s="212"/>
      <c r="K691" s="212"/>
      <c r="L691" s="212"/>
      <c r="M691" s="212"/>
      <c r="N691" s="212"/>
      <c r="O691" s="212"/>
      <c r="P691" s="212"/>
      <c r="Q691" s="212"/>
      <c r="R691" s="212"/>
      <c r="S691" s="212"/>
      <c r="T691" s="212"/>
      <c r="U691" s="212"/>
      <c r="V691" s="212"/>
      <c r="W691" s="212"/>
      <c r="X691" s="212"/>
      <c r="Y691" s="212"/>
      <c r="Z691" s="204"/>
      <c r="AA691" s="204"/>
      <c r="AB691" s="204"/>
      <c r="AC691" s="204"/>
      <c r="AD691" s="204"/>
      <c r="AE691" s="212"/>
      <c r="AF691" s="213"/>
      <c r="AG691" s="213"/>
      <c r="AH691" s="213"/>
      <c r="AI691" s="213"/>
      <c r="AJ691" s="213"/>
      <c r="AK691" s="213"/>
      <c r="AL691" s="213"/>
      <c r="AM691" s="213"/>
      <c r="AN691" s="213"/>
      <c r="AO691" s="213"/>
      <c r="AP691" s="213"/>
      <c r="AQ691" s="213"/>
      <c r="AR691" s="213"/>
      <c r="AS691" s="213"/>
      <c r="AT691" s="213"/>
      <c r="AU691" s="213"/>
      <c r="AV691" s="213"/>
      <c r="AW691" s="213"/>
      <c r="AX691" s="213"/>
      <c r="AY691" s="213"/>
      <c r="AZ691" s="213"/>
      <c r="BA691" s="213"/>
      <c r="BB691" s="213"/>
    </row>
    <row r="692">
      <c r="A692" s="199"/>
      <c r="B692" s="12"/>
      <c r="C692" s="202"/>
      <c r="D692" s="199"/>
      <c r="E692" s="211"/>
      <c r="F692" s="201"/>
      <c r="G692" s="199"/>
      <c r="H692" s="199"/>
      <c r="I692" s="199"/>
      <c r="J692" s="212"/>
      <c r="K692" s="212"/>
      <c r="L692" s="212"/>
      <c r="M692" s="212"/>
      <c r="N692" s="212"/>
      <c r="O692" s="212"/>
      <c r="P692" s="212"/>
      <c r="Q692" s="212"/>
      <c r="R692" s="212"/>
      <c r="S692" s="212"/>
      <c r="T692" s="212"/>
      <c r="U692" s="212"/>
      <c r="V692" s="212"/>
      <c r="W692" s="212"/>
      <c r="X692" s="212"/>
      <c r="Y692" s="212"/>
      <c r="Z692" s="204"/>
      <c r="AA692" s="204"/>
      <c r="AB692" s="204"/>
      <c r="AC692" s="204"/>
      <c r="AD692" s="204"/>
      <c r="AE692" s="212"/>
      <c r="AF692" s="213"/>
      <c r="AG692" s="213"/>
      <c r="AH692" s="213"/>
      <c r="AI692" s="213"/>
      <c r="AJ692" s="213"/>
      <c r="AK692" s="213"/>
      <c r="AL692" s="213"/>
      <c r="AM692" s="213"/>
      <c r="AN692" s="213"/>
      <c r="AO692" s="213"/>
      <c r="AP692" s="213"/>
      <c r="AQ692" s="213"/>
      <c r="AR692" s="213"/>
      <c r="AS692" s="213"/>
      <c r="AT692" s="213"/>
      <c r="AU692" s="213"/>
      <c r="AV692" s="213"/>
      <c r="AW692" s="213"/>
      <c r="AX692" s="213"/>
      <c r="AY692" s="213"/>
      <c r="AZ692" s="213"/>
      <c r="BA692" s="213"/>
      <c r="BB692" s="213"/>
    </row>
    <row r="693">
      <c r="A693" s="199"/>
      <c r="B693" s="12"/>
      <c r="C693" s="202"/>
      <c r="D693" s="199"/>
      <c r="E693" s="211"/>
      <c r="F693" s="201"/>
      <c r="G693" s="199"/>
      <c r="H693" s="199"/>
      <c r="I693" s="199"/>
      <c r="J693" s="212"/>
      <c r="K693" s="212"/>
      <c r="L693" s="212"/>
      <c r="M693" s="212"/>
      <c r="N693" s="212"/>
      <c r="O693" s="212"/>
      <c r="P693" s="212"/>
      <c r="Q693" s="212"/>
      <c r="R693" s="212"/>
      <c r="S693" s="212"/>
      <c r="T693" s="212"/>
      <c r="U693" s="212"/>
      <c r="V693" s="212"/>
      <c r="W693" s="212"/>
      <c r="X693" s="212"/>
      <c r="Y693" s="212"/>
      <c r="Z693" s="204"/>
      <c r="AA693" s="204"/>
      <c r="AB693" s="204"/>
      <c r="AC693" s="204"/>
      <c r="AD693" s="204"/>
      <c r="AE693" s="212"/>
      <c r="AF693" s="213"/>
      <c r="AG693" s="213"/>
      <c r="AH693" s="213"/>
      <c r="AI693" s="213"/>
      <c r="AJ693" s="213"/>
      <c r="AK693" s="213"/>
      <c r="AL693" s="213"/>
      <c r="AM693" s="213"/>
      <c r="AN693" s="213"/>
      <c r="AO693" s="213"/>
      <c r="AP693" s="213"/>
      <c r="AQ693" s="213"/>
      <c r="AR693" s="213"/>
      <c r="AS693" s="213"/>
      <c r="AT693" s="213"/>
      <c r="AU693" s="213"/>
      <c r="AV693" s="213"/>
      <c r="AW693" s="213"/>
      <c r="AX693" s="213"/>
      <c r="AY693" s="213"/>
      <c r="AZ693" s="213"/>
      <c r="BA693" s="213"/>
      <c r="BB693" s="213"/>
    </row>
    <row r="694">
      <c r="A694" s="199"/>
      <c r="B694" s="12"/>
      <c r="C694" s="202"/>
      <c r="D694" s="199"/>
      <c r="E694" s="211"/>
      <c r="F694" s="201"/>
      <c r="G694" s="199"/>
      <c r="H694" s="199"/>
      <c r="I694" s="199"/>
      <c r="J694" s="212"/>
      <c r="K694" s="212"/>
      <c r="L694" s="212"/>
      <c r="M694" s="212"/>
      <c r="N694" s="212"/>
      <c r="O694" s="212"/>
      <c r="P694" s="212"/>
      <c r="Q694" s="212"/>
      <c r="R694" s="212"/>
      <c r="S694" s="212"/>
      <c r="T694" s="212"/>
      <c r="U694" s="212"/>
      <c r="V694" s="212"/>
      <c r="W694" s="212"/>
      <c r="X694" s="212"/>
      <c r="Y694" s="212"/>
      <c r="Z694" s="204"/>
      <c r="AA694" s="204"/>
      <c r="AB694" s="204"/>
      <c r="AC694" s="204"/>
      <c r="AD694" s="204"/>
      <c r="AE694" s="212"/>
      <c r="AF694" s="213"/>
      <c r="AG694" s="213"/>
      <c r="AH694" s="213"/>
      <c r="AI694" s="213"/>
      <c r="AJ694" s="213"/>
      <c r="AK694" s="213"/>
      <c r="AL694" s="213"/>
      <c r="AM694" s="213"/>
      <c r="AN694" s="213"/>
      <c r="AO694" s="213"/>
      <c r="AP694" s="213"/>
      <c r="AQ694" s="213"/>
      <c r="AR694" s="213"/>
      <c r="AS694" s="213"/>
      <c r="AT694" s="213"/>
      <c r="AU694" s="213"/>
      <c r="AV694" s="213"/>
      <c r="AW694" s="213"/>
      <c r="AX694" s="213"/>
      <c r="AY694" s="213"/>
      <c r="AZ694" s="213"/>
      <c r="BA694" s="213"/>
      <c r="BB694" s="213"/>
    </row>
    <row r="695">
      <c r="A695" s="199"/>
      <c r="B695" s="12"/>
      <c r="C695" s="202"/>
      <c r="D695" s="199"/>
      <c r="E695" s="211"/>
      <c r="F695" s="201"/>
      <c r="G695" s="199"/>
      <c r="H695" s="199"/>
      <c r="I695" s="199"/>
      <c r="J695" s="212"/>
      <c r="K695" s="212"/>
      <c r="L695" s="212"/>
      <c r="M695" s="212"/>
      <c r="N695" s="212"/>
      <c r="O695" s="212"/>
      <c r="P695" s="212"/>
      <c r="Q695" s="212"/>
      <c r="R695" s="212"/>
      <c r="S695" s="212"/>
      <c r="T695" s="212"/>
      <c r="U695" s="212"/>
      <c r="V695" s="212"/>
      <c r="W695" s="212"/>
      <c r="X695" s="212"/>
      <c r="Y695" s="212"/>
      <c r="Z695" s="204"/>
      <c r="AA695" s="204"/>
      <c r="AB695" s="204"/>
      <c r="AC695" s="204"/>
      <c r="AD695" s="204"/>
      <c r="AE695" s="212"/>
      <c r="AF695" s="213"/>
      <c r="AG695" s="213"/>
      <c r="AH695" s="213"/>
      <c r="AI695" s="213"/>
      <c r="AJ695" s="213"/>
      <c r="AK695" s="213"/>
      <c r="AL695" s="213"/>
      <c r="AM695" s="213"/>
      <c r="AN695" s="213"/>
      <c r="AO695" s="213"/>
      <c r="AP695" s="213"/>
      <c r="AQ695" s="213"/>
      <c r="AR695" s="213"/>
      <c r="AS695" s="213"/>
      <c r="AT695" s="213"/>
      <c r="AU695" s="213"/>
      <c r="AV695" s="213"/>
      <c r="AW695" s="213"/>
      <c r="AX695" s="213"/>
      <c r="AY695" s="213"/>
      <c r="AZ695" s="213"/>
      <c r="BA695" s="213"/>
      <c r="BB695" s="213"/>
    </row>
    <row r="696">
      <c r="A696" s="199"/>
      <c r="B696" s="12"/>
      <c r="C696" s="202"/>
      <c r="D696" s="199"/>
      <c r="E696" s="211"/>
      <c r="F696" s="201"/>
      <c r="G696" s="199"/>
      <c r="H696" s="199"/>
      <c r="I696" s="199"/>
      <c r="J696" s="212"/>
      <c r="K696" s="212"/>
      <c r="L696" s="212"/>
      <c r="M696" s="212"/>
      <c r="N696" s="212"/>
      <c r="O696" s="212"/>
      <c r="P696" s="212"/>
      <c r="Q696" s="212"/>
      <c r="R696" s="212"/>
      <c r="S696" s="212"/>
      <c r="T696" s="212"/>
      <c r="U696" s="212"/>
      <c r="V696" s="212"/>
      <c r="W696" s="212"/>
      <c r="X696" s="212"/>
      <c r="Y696" s="212"/>
      <c r="Z696" s="204"/>
      <c r="AA696" s="204"/>
      <c r="AB696" s="204"/>
      <c r="AC696" s="204"/>
      <c r="AD696" s="204"/>
      <c r="AE696" s="212"/>
      <c r="AF696" s="213"/>
      <c r="AG696" s="213"/>
      <c r="AH696" s="213"/>
      <c r="AI696" s="213"/>
      <c r="AJ696" s="213"/>
      <c r="AK696" s="213"/>
      <c r="AL696" s="213"/>
      <c r="AM696" s="213"/>
      <c r="AN696" s="213"/>
      <c r="AO696" s="213"/>
      <c r="AP696" s="213"/>
      <c r="AQ696" s="213"/>
      <c r="AR696" s="213"/>
      <c r="AS696" s="213"/>
      <c r="AT696" s="213"/>
      <c r="AU696" s="213"/>
      <c r="AV696" s="213"/>
      <c r="AW696" s="213"/>
      <c r="AX696" s="213"/>
      <c r="AY696" s="213"/>
      <c r="AZ696" s="213"/>
      <c r="BA696" s="213"/>
      <c r="BB696" s="213"/>
    </row>
    <row r="697">
      <c r="A697" s="199"/>
      <c r="B697" s="12"/>
      <c r="C697" s="202"/>
      <c r="D697" s="199"/>
      <c r="E697" s="211"/>
      <c r="F697" s="201"/>
      <c r="G697" s="199"/>
      <c r="H697" s="199"/>
      <c r="I697" s="199"/>
      <c r="J697" s="212"/>
      <c r="K697" s="212"/>
      <c r="L697" s="212"/>
      <c r="M697" s="212"/>
      <c r="N697" s="212"/>
      <c r="O697" s="212"/>
      <c r="P697" s="212"/>
      <c r="Q697" s="212"/>
      <c r="R697" s="212"/>
      <c r="S697" s="212"/>
      <c r="T697" s="212"/>
      <c r="U697" s="212"/>
      <c r="V697" s="212"/>
      <c r="W697" s="212"/>
      <c r="X697" s="212"/>
      <c r="Y697" s="212"/>
      <c r="Z697" s="204"/>
      <c r="AA697" s="204"/>
      <c r="AB697" s="204"/>
      <c r="AC697" s="204"/>
      <c r="AD697" s="204"/>
      <c r="AE697" s="212"/>
      <c r="AF697" s="213"/>
      <c r="AG697" s="213"/>
      <c r="AH697" s="213"/>
      <c r="AI697" s="213"/>
      <c r="AJ697" s="213"/>
      <c r="AK697" s="213"/>
      <c r="AL697" s="213"/>
      <c r="AM697" s="213"/>
      <c r="AN697" s="213"/>
      <c r="AO697" s="213"/>
      <c r="AP697" s="213"/>
      <c r="AQ697" s="213"/>
      <c r="AR697" s="213"/>
      <c r="AS697" s="213"/>
      <c r="AT697" s="213"/>
      <c r="AU697" s="213"/>
      <c r="AV697" s="213"/>
      <c r="AW697" s="213"/>
      <c r="AX697" s="213"/>
      <c r="AY697" s="213"/>
      <c r="AZ697" s="213"/>
      <c r="BA697" s="213"/>
      <c r="BB697" s="213"/>
    </row>
    <row r="698">
      <c r="A698" s="199"/>
      <c r="B698" s="12"/>
      <c r="C698" s="202"/>
      <c r="D698" s="199"/>
      <c r="E698" s="211"/>
      <c r="F698" s="201"/>
      <c r="G698" s="199"/>
      <c r="H698" s="199"/>
      <c r="I698" s="199"/>
      <c r="J698" s="212"/>
      <c r="K698" s="212"/>
      <c r="L698" s="212"/>
      <c r="M698" s="212"/>
      <c r="N698" s="212"/>
      <c r="O698" s="212"/>
      <c r="P698" s="212"/>
      <c r="Q698" s="212"/>
      <c r="R698" s="212"/>
      <c r="S698" s="212"/>
      <c r="T698" s="212"/>
      <c r="U698" s="212"/>
      <c r="V698" s="212"/>
      <c r="W698" s="212"/>
      <c r="X698" s="212"/>
      <c r="Y698" s="212"/>
      <c r="Z698" s="204"/>
      <c r="AA698" s="204"/>
      <c r="AB698" s="204"/>
      <c r="AC698" s="204"/>
      <c r="AD698" s="204"/>
      <c r="AE698" s="212"/>
      <c r="AF698" s="213"/>
      <c r="AG698" s="213"/>
      <c r="AH698" s="213"/>
      <c r="AI698" s="213"/>
      <c r="AJ698" s="213"/>
      <c r="AK698" s="213"/>
      <c r="AL698" s="213"/>
      <c r="AM698" s="213"/>
      <c r="AN698" s="213"/>
      <c r="AO698" s="213"/>
      <c r="AP698" s="213"/>
      <c r="AQ698" s="213"/>
      <c r="AR698" s="213"/>
      <c r="AS698" s="213"/>
      <c r="AT698" s="213"/>
      <c r="AU698" s="213"/>
      <c r="AV698" s="213"/>
      <c r="AW698" s="213"/>
      <c r="AX698" s="213"/>
      <c r="AY698" s="213"/>
      <c r="AZ698" s="213"/>
      <c r="BA698" s="213"/>
      <c r="BB698" s="213"/>
    </row>
    <row r="699">
      <c r="A699" s="199"/>
      <c r="B699" s="12"/>
      <c r="C699" s="202"/>
      <c r="D699" s="199"/>
      <c r="E699" s="211"/>
      <c r="F699" s="201"/>
      <c r="G699" s="199"/>
      <c r="H699" s="199"/>
      <c r="I699" s="199"/>
      <c r="J699" s="212"/>
      <c r="K699" s="212"/>
      <c r="L699" s="212"/>
      <c r="M699" s="212"/>
      <c r="N699" s="212"/>
      <c r="O699" s="212"/>
      <c r="P699" s="212"/>
      <c r="Q699" s="212"/>
      <c r="R699" s="212"/>
      <c r="S699" s="212"/>
      <c r="T699" s="212"/>
      <c r="U699" s="212"/>
      <c r="V699" s="212"/>
      <c r="W699" s="212"/>
      <c r="X699" s="212"/>
      <c r="Y699" s="212"/>
      <c r="Z699" s="204"/>
      <c r="AA699" s="204"/>
      <c r="AB699" s="204"/>
      <c r="AC699" s="204"/>
      <c r="AD699" s="204"/>
      <c r="AE699" s="212"/>
      <c r="AF699" s="213"/>
      <c r="AG699" s="213"/>
      <c r="AH699" s="213"/>
      <c r="AI699" s="213"/>
      <c r="AJ699" s="213"/>
      <c r="AK699" s="213"/>
      <c r="AL699" s="213"/>
      <c r="AM699" s="213"/>
      <c r="AN699" s="213"/>
      <c r="AO699" s="213"/>
      <c r="AP699" s="213"/>
      <c r="AQ699" s="213"/>
      <c r="AR699" s="213"/>
      <c r="AS699" s="213"/>
      <c r="AT699" s="213"/>
      <c r="AU699" s="213"/>
      <c r="AV699" s="213"/>
      <c r="AW699" s="213"/>
      <c r="AX699" s="213"/>
      <c r="AY699" s="213"/>
      <c r="AZ699" s="213"/>
      <c r="BA699" s="213"/>
      <c r="BB699" s="213"/>
    </row>
    <row r="700">
      <c r="A700" s="199"/>
      <c r="B700" s="12"/>
      <c r="C700" s="202"/>
      <c r="D700" s="199"/>
      <c r="E700" s="211"/>
      <c r="F700" s="201"/>
      <c r="G700" s="199"/>
      <c r="H700" s="199"/>
      <c r="I700" s="199"/>
      <c r="J700" s="212"/>
      <c r="K700" s="212"/>
      <c r="L700" s="212"/>
      <c r="M700" s="212"/>
      <c r="N700" s="212"/>
      <c r="O700" s="212"/>
      <c r="P700" s="212"/>
      <c r="Q700" s="212"/>
      <c r="R700" s="212"/>
      <c r="S700" s="212"/>
      <c r="T700" s="212"/>
      <c r="U700" s="212"/>
      <c r="V700" s="212"/>
      <c r="W700" s="212"/>
      <c r="X700" s="212"/>
      <c r="Y700" s="212"/>
      <c r="Z700" s="204"/>
      <c r="AA700" s="204"/>
      <c r="AB700" s="204"/>
      <c r="AC700" s="204"/>
      <c r="AD700" s="204"/>
      <c r="AE700" s="212"/>
      <c r="AF700" s="213"/>
      <c r="AG700" s="213"/>
      <c r="AH700" s="213"/>
      <c r="AI700" s="213"/>
      <c r="AJ700" s="213"/>
      <c r="AK700" s="213"/>
      <c r="AL700" s="213"/>
      <c r="AM700" s="213"/>
      <c r="AN700" s="213"/>
      <c r="AO700" s="213"/>
      <c r="AP700" s="213"/>
      <c r="AQ700" s="213"/>
      <c r="AR700" s="213"/>
      <c r="AS700" s="213"/>
      <c r="AT700" s="213"/>
      <c r="AU700" s="213"/>
      <c r="AV700" s="213"/>
      <c r="AW700" s="213"/>
      <c r="AX700" s="213"/>
      <c r="AY700" s="213"/>
      <c r="AZ700" s="213"/>
      <c r="BA700" s="213"/>
      <c r="BB700" s="213"/>
    </row>
    <row r="701">
      <c r="A701" s="199"/>
      <c r="B701" s="12"/>
      <c r="C701" s="202"/>
      <c r="D701" s="199"/>
      <c r="E701" s="211"/>
      <c r="F701" s="201"/>
      <c r="G701" s="199"/>
      <c r="H701" s="199"/>
      <c r="I701" s="199"/>
      <c r="J701" s="212"/>
      <c r="K701" s="212"/>
      <c r="L701" s="212"/>
      <c r="M701" s="212"/>
      <c r="N701" s="212"/>
      <c r="O701" s="212"/>
      <c r="P701" s="212"/>
      <c r="Q701" s="212"/>
      <c r="R701" s="212"/>
      <c r="S701" s="212"/>
      <c r="T701" s="212"/>
      <c r="U701" s="212"/>
      <c r="V701" s="212"/>
      <c r="W701" s="212"/>
      <c r="X701" s="212"/>
      <c r="Y701" s="212"/>
      <c r="Z701" s="204"/>
      <c r="AA701" s="204"/>
      <c r="AB701" s="204"/>
      <c r="AC701" s="204"/>
      <c r="AD701" s="204"/>
      <c r="AE701" s="212"/>
      <c r="AF701" s="213"/>
      <c r="AG701" s="213"/>
      <c r="AH701" s="213"/>
      <c r="AI701" s="213"/>
      <c r="AJ701" s="213"/>
      <c r="AK701" s="213"/>
      <c r="AL701" s="213"/>
      <c r="AM701" s="213"/>
      <c r="AN701" s="213"/>
      <c r="AO701" s="213"/>
      <c r="AP701" s="213"/>
      <c r="AQ701" s="213"/>
      <c r="AR701" s="213"/>
      <c r="AS701" s="213"/>
      <c r="AT701" s="213"/>
      <c r="AU701" s="213"/>
      <c r="AV701" s="213"/>
      <c r="AW701" s="213"/>
      <c r="AX701" s="213"/>
      <c r="AY701" s="213"/>
      <c r="AZ701" s="213"/>
      <c r="BA701" s="213"/>
      <c r="BB701" s="213"/>
    </row>
    <row r="702">
      <c r="A702" s="199"/>
      <c r="B702" s="12"/>
      <c r="C702" s="202"/>
      <c r="D702" s="199"/>
      <c r="E702" s="211"/>
      <c r="F702" s="201"/>
      <c r="G702" s="199"/>
      <c r="H702" s="199"/>
      <c r="I702" s="199"/>
      <c r="J702" s="212"/>
      <c r="K702" s="212"/>
      <c r="L702" s="212"/>
      <c r="M702" s="212"/>
      <c r="N702" s="212"/>
      <c r="O702" s="212"/>
      <c r="P702" s="212"/>
      <c r="Q702" s="212"/>
      <c r="R702" s="212"/>
      <c r="S702" s="212"/>
      <c r="T702" s="212"/>
      <c r="U702" s="212"/>
      <c r="V702" s="212"/>
      <c r="W702" s="212"/>
      <c r="X702" s="212"/>
      <c r="Y702" s="212"/>
      <c r="Z702" s="204"/>
      <c r="AA702" s="204"/>
      <c r="AB702" s="204"/>
      <c r="AC702" s="204"/>
      <c r="AD702" s="204"/>
      <c r="AE702" s="212"/>
      <c r="AF702" s="213"/>
      <c r="AG702" s="213"/>
      <c r="AH702" s="213"/>
      <c r="AI702" s="213"/>
      <c r="AJ702" s="213"/>
      <c r="AK702" s="213"/>
      <c r="AL702" s="213"/>
      <c r="AM702" s="213"/>
      <c r="AN702" s="213"/>
      <c r="AO702" s="213"/>
      <c r="AP702" s="213"/>
      <c r="AQ702" s="213"/>
      <c r="AR702" s="213"/>
      <c r="AS702" s="213"/>
      <c r="AT702" s="213"/>
      <c r="AU702" s="213"/>
      <c r="AV702" s="213"/>
      <c r="AW702" s="213"/>
      <c r="AX702" s="213"/>
      <c r="AY702" s="213"/>
      <c r="AZ702" s="213"/>
      <c r="BA702" s="213"/>
      <c r="BB702" s="213"/>
    </row>
    <row r="703">
      <c r="A703" s="199"/>
      <c r="B703" s="12"/>
      <c r="C703" s="202"/>
      <c r="D703" s="199"/>
      <c r="E703" s="211"/>
      <c r="F703" s="201"/>
      <c r="G703" s="199"/>
      <c r="H703" s="199"/>
      <c r="I703" s="199"/>
      <c r="J703" s="212"/>
      <c r="K703" s="212"/>
      <c r="L703" s="212"/>
      <c r="M703" s="212"/>
      <c r="N703" s="212"/>
      <c r="O703" s="212"/>
      <c r="P703" s="212"/>
      <c r="Q703" s="212"/>
      <c r="R703" s="212"/>
      <c r="S703" s="212"/>
      <c r="T703" s="212"/>
      <c r="U703" s="212"/>
      <c r="V703" s="212"/>
      <c r="W703" s="212"/>
      <c r="X703" s="212"/>
      <c r="Y703" s="212"/>
      <c r="Z703" s="204"/>
      <c r="AA703" s="204"/>
      <c r="AB703" s="204"/>
      <c r="AC703" s="204"/>
      <c r="AD703" s="204"/>
      <c r="AE703" s="212"/>
      <c r="AF703" s="213"/>
      <c r="AG703" s="213"/>
      <c r="AH703" s="213"/>
      <c r="AI703" s="213"/>
      <c r="AJ703" s="213"/>
      <c r="AK703" s="213"/>
      <c r="AL703" s="213"/>
      <c r="AM703" s="213"/>
      <c r="AN703" s="213"/>
      <c r="AO703" s="213"/>
      <c r="AP703" s="213"/>
      <c r="AQ703" s="213"/>
      <c r="AR703" s="213"/>
      <c r="AS703" s="213"/>
      <c r="AT703" s="213"/>
      <c r="AU703" s="213"/>
      <c r="AV703" s="213"/>
      <c r="AW703" s="213"/>
      <c r="AX703" s="213"/>
      <c r="AY703" s="213"/>
      <c r="AZ703" s="213"/>
      <c r="BA703" s="213"/>
      <c r="BB703" s="213"/>
    </row>
    <row r="704">
      <c r="A704" s="199"/>
      <c r="B704" s="12"/>
      <c r="C704" s="202"/>
      <c r="D704" s="199"/>
      <c r="E704" s="211"/>
      <c r="F704" s="201"/>
      <c r="G704" s="199"/>
      <c r="H704" s="199"/>
      <c r="I704" s="199"/>
      <c r="J704" s="212"/>
      <c r="K704" s="212"/>
      <c r="L704" s="212"/>
      <c r="M704" s="212"/>
      <c r="N704" s="212"/>
      <c r="O704" s="212"/>
      <c r="P704" s="212"/>
      <c r="Q704" s="212"/>
      <c r="R704" s="212"/>
      <c r="S704" s="212"/>
      <c r="T704" s="212"/>
      <c r="U704" s="212"/>
      <c r="V704" s="212"/>
      <c r="W704" s="212"/>
      <c r="X704" s="212"/>
      <c r="Y704" s="212"/>
      <c r="Z704" s="204"/>
      <c r="AA704" s="204"/>
      <c r="AB704" s="204"/>
      <c r="AC704" s="204"/>
      <c r="AD704" s="204"/>
      <c r="AE704" s="212"/>
      <c r="AF704" s="213"/>
      <c r="AG704" s="213"/>
      <c r="AH704" s="213"/>
      <c r="AI704" s="213"/>
      <c r="AJ704" s="213"/>
      <c r="AK704" s="213"/>
      <c r="AL704" s="213"/>
      <c r="AM704" s="213"/>
      <c r="AN704" s="213"/>
      <c r="AO704" s="213"/>
      <c r="AP704" s="213"/>
      <c r="AQ704" s="213"/>
      <c r="AR704" s="213"/>
      <c r="AS704" s="213"/>
      <c r="AT704" s="213"/>
      <c r="AU704" s="213"/>
      <c r="AV704" s="213"/>
      <c r="AW704" s="213"/>
      <c r="AX704" s="213"/>
      <c r="AY704" s="213"/>
      <c r="AZ704" s="213"/>
      <c r="BA704" s="213"/>
      <c r="BB704" s="213"/>
    </row>
    <row r="705">
      <c r="A705" s="199"/>
      <c r="B705" s="12"/>
      <c r="C705" s="202"/>
      <c r="D705" s="199"/>
      <c r="E705" s="211"/>
      <c r="F705" s="201"/>
      <c r="G705" s="199"/>
      <c r="H705" s="199"/>
      <c r="I705" s="199"/>
      <c r="J705" s="212"/>
      <c r="K705" s="212"/>
      <c r="L705" s="212"/>
      <c r="M705" s="212"/>
      <c r="N705" s="212"/>
      <c r="O705" s="212"/>
      <c r="P705" s="212"/>
      <c r="Q705" s="212"/>
      <c r="R705" s="212"/>
      <c r="S705" s="212"/>
      <c r="T705" s="212"/>
      <c r="U705" s="212"/>
      <c r="V705" s="212"/>
      <c r="W705" s="212"/>
      <c r="X705" s="212"/>
      <c r="Y705" s="212"/>
      <c r="Z705" s="204"/>
      <c r="AA705" s="204"/>
      <c r="AB705" s="204"/>
      <c r="AC705" s="204"/>
      <c r="AD705" s="204"/>
      <c r="AE705" s="212"/>
      <c r="AF705" s="213"/>
      <c r="AG705" s="213"/>
      <c r="AH705" s="213"/>
      <c r="AI705" s="213"/>
      <c r="AJ705" s="213"/>
      <c r="AK705" s="213"/>
      <c r="AL705" s="213"/>
      <c r="AM705" s="213"/>
      <c r="AN705" s="213"/>
      <c r="AO705" s="213"/>
      <c r="AP705" s="213"/>
      <c r="AQ705" s="213"/>
      <c r="AR705" s="213"/>
      <c r="AS705" s="213"/>
      <c r="AT705" s="213"/>
      <c r="AU705" s="213"/>
      <c r="AV705" s="213"/>
      <c r="AW705" s="213"/>
      <c r="AX705" s="213"/>
      <c r="AY705" s="213"/>
      <c r="AZ705" s="213"/>
      <c r="BA705" s="213"/>
      <c r="BB705" s="213"/>
    </row>
    <row r="706">
      <c r="A706" s="199"/>
      <c r="B706" s="12"/>
      <c r="C706" s="202"/>
      <c r="D706" s="199"/>
      <c r="E706" s="211"/>
      <c r="F706" s="201"/>
      <c r="G706" s="199"/>
      <c r="H706" s="199"/>
      <c r="I706" s="199"/>
      <c r="J706" s="212"/>
      <c r="K706" s="212"/>
      <c r="L706" s="212"/>
      <c r="M706" s="212"/>
      <c r="N706" s="212"/>
      <c r="O706" s="212"/>
      <c r="P706" s="212"/>
      <c r="Q706" s="212"/>
      <c r="R706" s="212"/>
      <c r="S706" s="212"/>
      <c r="T706" s="212"/>
      <c r="U706" s="212"/>
      <c r="V706" s="212"/>
      <c r="W706" s="212"/>
      <c r="X706" s="212"/>
      <c r="Y706" s="212"/>
      <c r="Z706" s="204"/>
      <c r="AA706" s="204"/>
      <c r="AB706" s="204"/>
      <c r="AC706" s="204"/>
      <c r="AD706" s="204"/>
      <c r="AE706" s="212"/>
      <c r="AF706" s="213"/>
      <c r="AG706" s="213"/>
      <c r="AH706" s="213"/>
      <c r="AI706" s="213"/>
      <c r="AJ706" s="213"/>
      <c r="AK706" s="213"/>
      <c r="AL706" s="213"/>
      <c r="AM706" s="213"/>
      <c r="AN706" s="213"/>
      <c r="AO706" s="213"/>
      <c r="AP706" s="213"/>
      <c r="AQ706" s="213"/>
      <c r="AR706" s="213"/>
      <c r="AS706" s="213"/>
      <c r="AT706" s="213"/>
      <c r="AU706" s="213"/>
      <c r="AV706" s="213"/>
      <c r="AW706" s="213"/>
      <c r="AX706" s="213"/>
      <c r="AY706" s="213"/>
      <c r="AZ706" s="213"/>
      <c r="BA706" s="213"/>
      <c r="BB706" s="213"/>
    </row>
    <row r="707">
      <c r="A707" s="199"/>
      <c r="B707" s="12"/>
      <c r="C707" s="202"/>
      <c r="D707" s="199"/>
      <c r="E707" s="211"/>
      <c r="F707" s="201"/>
      <c r="G707" s="199"/>
      <c r="H707" s="199"/>
      <c r="I707" s="199"/>
      <c r="J707" s="212"/>
      <c r="K707" s="212"/>
      <c r="L707" s="212"/>
      <c r="M707" s="212"/>
      <c r="N707" s="212"/>
      <c r="O707" s="212"/>
      <c r="P707" s="212"/>
      <c r="Q707" s="212"/>
      <c r="R707" s="212"/>
      <c r="S707" s="212"/>
      <c r="T707" s="212"/>
      <c r="U707" s="212"/>
      <c r="V707" s="212"/>
      <c r="W707" s="212"/>
      <c r="X707" s="212"/>
      <c r="Y707" s="212"/>
      <c r="Z707" s="204"/>
      <c r="AA707" s="204"/>
      <c r="AB707" s="204"/>
      <c r="AC707" s="204"/>
      <c r="AD707" s="204"/>
      <c r="AE707" s="212"/>
      <c r="AF707" s="213"/>
      <c r="AG707" s="213"/>
      <c r="AH707" s="213"/>
      <c r="AI707" s="213"/>
      <c r="AJ707" s="213"/>
      <c r="AK707" s="213"/>
      <c r="AL707" s="213"/>
      <c r="AM707" s="213"/>
      <c r="AN707" s="213"/>
      <c r="AO707" s="213"/>
      <c r="AP707" s="213"/>
      <c r="AQ707" s="213"/>
      <c r="AR707" s="213"/>
      <c r="AS707" s="213"/>
      <c r="AT707" s="213"/>
      <c r="AU707" s="213"/>
      <c r="AV707" s="213"/>
      <c r="AW707" s="213"/>
      <c r="AX707" s="213"/>
      <c r="AY707" s="213"/>
      <c r="AZ707" s="213"/>
      <c r="BA707" s="213"/>
      <c r="BB707" s="213"/>
    </row>
    <row r="708">
      <c r="A708" s="199"/>
      <c r="B708" s="12"/>
      <c r="C708" s="202"/>
      <c r="D708" s="199"/>
      <c r="E708" s="211"/>
      <c r="F708" s="201"/>
      <c r="G708" s="199"/>
      <c r="H708" s="199"/>
      <c r="I708" s="199"/>
      <c r="J708" s="212"/>
      <c r="K708" s="212"/>
      <c r="L708" s="212"/>
      <c r="M708" s="212"/>
      <c r="N708" s="212"/>
      <c r="O708" s="212"/>
      <c r="P708" s="212"/>
      <c r="Q708" s="212"/>
      <c r="R708" s="212"/>
      <c r="S708" s="212"/>
      <c r="T708" s="212"/>
      <c r="U708" s="212"/>
      <c r="V708" s="212"/>
      <c r="W708" s="212"/>
      <c r="X708" s="212"/>
      <c r="Y708" s="212"/>
      <c r="Z708" s="204"/>
      <c r="AA708" s="204"/>
      <c r="AB708" s="204"/>
      <c r="AC708" s="204"/>
      <c r="AD708" s="204"/>
      <c r="AE708" s="212"/>
      <c r="AF708" s="213"/>
      <c r="AG708" s="213"/>
      <c r="AH708" s="213"/>
      <c r="AI708" s="213"/>
      <c r="AJ708" s="213"/>
      <c r="AK708" s="213"/>
      <c r="AL708" s="213"/>
      <c r="AM708" s="213"/>
      <c r="AN708" s="213"/>
      <c r="AO708" s="213"/>
      <c r="AP708" s="213"/>
      <c r="AQ708" s="213"/>
      <c r="AR708" s="213"/>
      <c r="AS708" s="213"/>
      <c r="AT708" s="213"/>
      <c r="AU708" s="213"/>
      <c r="AV708" s="213"/>
      <c r="AW708" s="213"/>
      <c r="AX708" s="213"/>
      <c r="AY708" s="213"/>
      <c r="AZ708" s="213"/>
      <c r="BA708" s="213"/>
      <c r="BB708" s="213"/>
    </row>
    <row r="709">
      <c r="A709" s="199"/>
      <c r="B709" s="12"/>
      <c r="C709" s="202"/>
      <c r="D709" s="199"/>
      <c r="E709" s="211"/>
      <c r="F709" s="201"/>
      <c r="G709" s="199"/>
      <c r="H709" s="199"/>
      <c r="I709" s="199"/>
      <c r="J709" s="212"/>
      <c r="K709" s="212"/>
      <c r="L709" s="212"/>
      <c r="M709" s="212"/>
      <c r="N709" s="212"/>
      <c r="O709" s="212"/>
      <c r="P709" s="212"/>
      <c r="Q709" s="212"/>
      <c r="R709" s="212"/>
      <c r="S709" s="212"/>
      <c r="T709" s="212"/>
      <c r="U709" s="212"/>
      <c r="V709" s="212"/>
      <c r="W709" s="212"/>
      <c r="X709" s="212"/>
      <c r="Y709" s="212"/>
      <c r="Z709" s="204"/>
      <c r="AA709" s="204"/>
      <c r="AB709" s="204"/>
      <c r="AC709" s="204"/>
      <c r="AD709" s="204"/>
      <c r="AE709" s="212"/>
      <c r="AF709" s="213"/>
      <c r="AG709" s="213"/>
      <c r="AH709" s="213"/>
      <c r="AI709" s="213"/>
      <c r="AJ709" s="213"/>
      <c r="AK709" s="213"/>
      <c r="AL709" s="213"/>
      <c r="AM709" s="213"/>
      <c r="AN709" s="213"/>
      <c r="AO709" s="213"/>
      <c r="AP709" s="213"/>
      <c r="AQ709" s="213"/>
      <c r="AR709" s="213"/>
      <c r="AS709" s="213"/>
      <c r="AT709" s="213"/>
      <c r="AU709" s="213"/>
      <c r="AV709" s="213"/>
      <c r="AW709" s="213"/>
      <c r="AX709" s="213"/>
      <c r="AY709" s="213"/>
      <c r="AZ709" s="213"/>
      <c r="BA709" s="213"/>
      <c r="BB709" s="213"/>
    </row>
    <row r="710">
      <c r="A710" s="199"/>
      <c r="B710" s="12"/>
      <c r="C710" s="202"/>
      <c r="D710" s="199"/>
      <c r="E710" s="211"/>
      <c r="F710" s="201"/>
      <c r="G710" s="199"/>
      <c r="H710" s="199"/>
      <c r="I710" s="199"/>
      <c r="J710" s="212"/>
      <c r="K710" s="212"/>
      <c r="L710" s="212"/>
      <c r="M710" s="212"/>
      <c r="N710" s="212"/>
      <c r="O710" s="212"/>
      <c r="P710" s="212"/>
      <c r="Q710" s="212"/>
      <c r="R710" s="212"/>
      <c r="S710" s="212"/>
      <c r="T710" s="212"/>
      <c r="U710" s="212"/>
      <c r="V710" s="212"/>
      <c r="W710" s="212"/>
      <c r="X710" s="212"/>
      <c r="Y710" s="212"/>
      <c r="Z710" s="204"/>
      <c r="AA710" s="204"/>
      <c r="AB710" s="204"/>
      <c r="AC710" s="204"/>
      <c r="AD710" s="204"/>
      <c r="AE710" s="212"/>
      <c r="AF710" s="213"/>
      <c r="AG710" s="213"/>
      <c r="AH710" s="213"/>
      <c r="AI710" s="213"/>
      <c r="AJ710" s="213"/>
      <c r="AK710" s="213"/>
      <c r="AL710" s="213"/>
      <c r="AM710" s="213"/>
      <c r="AN710" s="213"/>
      <c r="AO710" s="213"/>
      <c r="AP710" s="213"/>
      <c r="AQ710" s="213"/>
      <c r="AR710" s="213"/>
      <c r="AS710" s="213"/>
      <c r="AT710" s="213"/>
      <c r="AU710" s="213"/>
      <c r="AV710" s="213"/>
      <c r="AW710" s="213"/>
      <c r="AX710" s="213"/>
      <c r="AY710" s="213"/>
      <c r="AZ710" s="213"/>
      <c r="BA710" s="213"/>
      <c r="BB710" s="213"/>
    </row>
    <row r="711">
      <c r="A711" s="199"/>
      <c r="B711" s="12"/>
      <c r="C711" s="202"/>
      <c r="D711" s="199"/>
      <c r="E711" s="211"/>
      <c r="F711" s="201"/>
      <c r="G711" s="199"/>
      <c r="H711" s="199"/>
      <c r="I711" s="199"/>
      <c r="J711" s="212"/>
      <c r="K711" s="212"/>
      <c r="L711" s="212"/>
      <c r="M711" s="212"/>
      <c r="N711" s="212"/>
      <c r="O711" s="212"/>
      <c r="P711" s="212"/>
      <c r="Q711" s="212"/>
      <c r="R711" s="212"/>
      <c r="S711" s="212"/>
      <c r="T711" s="212"/>
      <c r="U711" s="212"/>
      <c r="V711" s="212"/>
      <c r="W711" s="212"/>
      <c r="X711" s="212"/>
      <c r="Y711" s="212"/>
      <c r="Z711" s="204"/>
      <c r="AA711" s="204"/>
      <c r="AB711" s="204"/>
      <c r="AC711" s="204"/>
      <c r="AD711" s="204"/>
      <c r="AE711" s="212"/>
      <c r="AF711" s="213"/>
      <c r="AG711" s="213"/>
      <c r="AH711" s="213"/>
      <c r="AI711" s="213"/>
      <c r="AJ711" s="213"/>
      <c r="AK711" s="213"/>
      <c r="AL711" s="213"/>
      <c r="AM711" s="213"/>
      <c r="AN711" s="213"/>
      <c r="AO711" s="213"/>
      <c r="AP711" s="213"/>
      <c r="AQ711" s="213"/>
      <c r="AR711" s="213"/>
      <c r="AS711" s="213"/>
      <c r="AT711" s="213"/>
      <c r="AU711" s="213"/>
      <c r="AV711" s="213"/>
      <c r="AW711" s="213"/>
      <c r="AX711" s="213"/>
      <c r="AY711" s="213"/>
      <c r="AZ711" s="213"/>
      <c r="BA711" s="213"/>
      <c r="BB711" s="213"/>
    </row>
    <row r="712">
      <c r="A712" s="199"/>
      <c r="B712" s="12"/>
      <c r="C712" s="202"/>
      <c r="D712" s="199"/>
      <c r="E712" s="211"/>
      <c r="F712" s="201"/>
      <c r="G712" s="199"/>
      <c r="H712" s="199"/>
      <c r="I712" s="199"/>
      <c r="J712" s="212"/>
      <c r="K712" s="212"/>
      <c r="L712" s="212"/>
      <c r="M712" s="212"/>
      <c r="N712" s="212"/>
      <c r="O712" s="212"/>
      <c r="P712" s="212"/>
      <c r="Q712" s="212"/>
      <c r="R712" s="212"/>
      <c r="S712" s="212"/>
      <c r="T712" s="212"/>
      <c r="U712" s="212"/>
      <c r="V712" s="212"/>
      <c r="W712" s="212"/>
      <c r="X712" s="212"/>
      <c r="Y712" s="212"/>
      <c r="Z712" s="204"/>
      <c r="AA712" s="204"/>
      <c r="AB712" s="204"/>
      <c r="AC712" s="204"/>
      <c r="AD712" s="204"/>
      <c r="AE712" s="212"/>
      <c r="AF712" s="213"/>
      <c r="AG712" s="213"/>
      <c r="AH712" s="213"/>
      <c r="AI712" s="213"/>
      <c r="AJ712" s="213"/>
      <c r="AK712" s="213"/>
      <c r="AL712" s="213"/>
      <c r="AM712" s="213"/>
      <c r="AN712" s="213"/>
      <c r="AO712" s="213"/>
      <c r="AP712" s="213"/>
      <c r="AQ712" s="213"/>
      <c r="AR712" s="213"/>
      <c r="AS712" s="213"/>
      <c r="AT712" s="213"/>
      <c r="AU712" s="213"/>
      <c r="AV712" s="213"/>
      <c r="AW712" s="213"/>
      <c r="AX712" s="213"/>
      <c r="AY712" s="213"/>
      <c r="AZ712" s="213"/>
      <c r="BA712" s="213"/>
      <c r="BB712" s="213"/>
    </row>
    <row r="713">
      <c r="A713" s="199"/>
      <c r="B713" s="12"/>
      <c r="C713" s="202"/>
      <c r="D713" s="199"/>
      <c r="E713" s="211"/>
      <c r="F713" s="201"/>
      <c r="G713" s="199"/>
      <c r="H713" s="199"/>
      <c r="I713" s="199"/>
      <c r="J713" s="212"/>
      <c r="K713" s="212"/>
      <c r="L713" s="212"/>
      <c r="M713" s="212"/>
      <c r="N713" s="212"/>
      <c r="O713" s="212"/>
      <c r="P713" s="212"/>
      <c r="Q713" s="212"/>
      <c r="R713" s="212"/>
      <c r="S713" s="212"/>
      <c r="T713" s="212"/>
      <c r="U713" s="212"/>
      <c r="V713" s="212"/>
      <c r="W713" s="212"/>
      <c r="X713" s="212"/>
      <c r="Y713" s="212"/>
      <c r="Z713" s="204"/>
      <c r="AA713" s="204"/>
      <c r="AB713" s="204"/>
      <c r="AC713" s="204"/>
      <c r="AD713" s="204"/>
      <c r="AE713" s="212"/>
      <c r="AF713" s="213"/>
      <c r="AG713" s="213"/>
      <c r="AH713" s="213"/>
      <c r="AI713" s="213"/>
      <c r="AJ713" s="213"/>
      <c r="AK713" s="213"/>
      <c r="AL713" s="213"/>
      <c r="AM713" s="213"/>
      <c r="AN713" s="213"/>
      <c r="AO713" s="213"/>
      <c r="AP713" s="213"/>
      <c r="AQ713" s="213"/>
      <c r="AR713" s="213"/>
      <c r="AS713" s="213"/>
      <c r="AT713" s="213"/>
      <c r="AU713" s="213"/>
      <c r="AV713" s="213"/>
      <c r="AW713" s="213"/>
      <c r="AX713" s="213"/>
      <c r="AY713" s="213"/>
      <c r="AZ713" s="213"/>
      <c r="BA713" s="213"/>
      <c r="BB713" s="213"/>
    </row>
    <row r="714">
      <c r="A714" s="199"/>
      <c r="B714" s="12"/>
      <c r="C714" s="202"/>
      <c r="D714" s="199"/>
      <c r="E714" s="211"/>
      <c r="F714" s="201"/>
      <c r="G714" s="199"/>
      <c r="H714" s="199"/>
      <c r="I714" s="199"/>
      <c r="J714" s="212"/>
      <c r="K714" s="212"/>
      <c r="L714" s="212"/>
      <c r="M714" s="212"/>
      <c r="N714" s="212"/>
      <c r="O714" s="212"/>
      <c r="P714" s="212"/>
      <c r="Q714" s="212"/>
      <c r="R714" s="212"/>
      <c r="S714" s="212"/>
      <c r="T714" s="212"/>
      <c r="U714" s="212"/>
      <c r="V714" s="212"/>
      <c r="W714" s="212"/>
      <c r="X714" s="212"/>
      <c r="Y714" s="212"/>
      <c r="Z714" s="204"/>
      <c r="AA714" s="204"/>
      <c r="AB714" s="204"/>
      <c r="AC714" s="204"/>
      <c r="AD714" s="204"/>
      <c r="AE714" s="212"/>
      <c r="AF714" s="213"/>
      <c r="AG714" s="213"/>
      <c r="AH714" s="213"/>
      <c r="AI714" s="213"/>
      <c r="AJ714" s="213"/>
      <c r="AK714" s="213"/>
      <c r="AL714" s="213"/>
      <c r="AM714" s="213"/>
      <c r="AN714" s="213"/>
      <c r="AO714" s="213"/>
      <c r="AP714" s="213"/>
      <c r="AQ714" s="213"/>
      <c r="AR714" s="213"/>
      <c r="AS714" s="213"/>
      <c r="AT714" s="213"/>
      <c r="AU714" s="213"/>
      <c r="AV714" s="213"/>
      <c r="AW714" s="213"/>
      <c r="AX714" s="213"/>
      <c r="AY714" s="213"/>
      <c r="AZ714" s="213"/>
      <c r="BA714" s="213"/>
      <c r="BB714" s="213"/>
    </row>
    <row r="715">
      <c r="A715" s="199"/>
      <c r="B715" s="12"/>
      <c r="C715" s="202"/>
      <c r="D715" s="199"/>
      <c r="E715" s="211"/>
      <c r="F715" s="201"/>
      <c r="G715" s="199"/>
      <c r="H715" s="199"/>
      <c r="I715" s="199"/>
      <c r="J715" s="212"/>
      <c r="K715" s="212"/>
      <c r="L715" s="212"/>
      <c r="M715" s="212"/>
      <c r="N715" s="212"/>
      <c r="O715" s="212"/>
      <c r="P715" s="212"/>
      <c r="Q715" s="212"/>
      <c r="R715" s="212"/>
      <c r="S715" s="212"/>
      <c r="T715" s="212"/>
      <c r="U715" s="212"/>
      <c r="V715" s="212"/>
      <c r="W715" s="212"/>
      <c r="X715" s="212"/>
      <c r="Y715" s="212"/>
      <c r="Z715" s="204"/>
      <c r="AA715" s="204"/>
      <c r="AB715" s="204"/>
      <c r="AC715" s="204"/>
      <c r="AD715" s="204"/>
      <c r="AE715" s="212"/>
      <c r="AF715" s="213"/>
      <c r="AG715" s="213"/>
      <c r="AH715" s="213"/>
      <c r="AI715" s="213"/>
      <c r="AJ715" s="213"/>
      <c r="AK715" s="213"/>
      <c r="AL715" s="213"/>
      <c r="AM715" s="213"/>
      <c r="AN715" s="213"/>
      <c r="AO715" s="213"/>
      <c r="AP715" s="213"/>
      <c r="AQ715" s="213"/>
      <c r="AR715" s="213"/>
      <c r="AS715" s="213"/>
      <c r="AT715" s="213"/>
      <c r="AU715" s="213"/>
      <c r="AV715" s="213"/>
      <c r="AW715" s="213"/>
      <c r="AX715" s="213"/>
      <c r="AY715" s="213"/>
      <c r="AZ715" s="213"/>
      <c r="BA715" s="213"/>
      <c r="BB715" s="213"/>
    </row>
    <row r="716">
      <c r="A716" s="199"/>
      <c r="B716" s="12"/>
      <c r="C716" s="202"/>
      <c r="D716" s="199"/>
      <c r="E716" s="211"/>
      <c r="F716" s="201"/>
      <c r="G716" s="199"/>
      <c r="H716" s="199"/>
      <c r="I716" s="199"/>
      <c r="J716" s="212"/>
      <c r="K716" s="212"/>
      <c r="L716" s="212"/>
      <c r="M716" s="212"/>
      <c r="N716" s="212"/>
      <c r="O716" s="212"/>
      <c r="P716" s="212"/>
      <c r="Q716" s="212"/>
      <c r="R716" s="212"/>
      <c r="S716" s="212"/>
      <c r="T716" s="212"/>
      <c r="U716" s="212"/>
      <c r="V716" s="212"/>
      <c r="W716" s="212"/>
      <c r="X716" s="212"/>
      <c r="Y716" s="212"/>
      <c r="Z716" s="204"/>
      <c r="AA716" s="204"/>
      <c r="AB716" s="204"/>
      <c r="AC716" s="204"/>
      <c r="AD716" s="204"/>
      <c r="AE716" s="212"/>
      <c r="AF716" s="213"/>
      <c r="AG716" s="213"/>
      <c r="AH716" s="213"/>
      <c r="AI716" s="213"/>
      <c r="AJ716" s="213"/>
      <c r="AK716" s="213"/>
      <c r="AL716" s="213"/>
      <c r="AM716" s="213"/>
      <c r="AN716" s="213"/>
      <c r="AO716" s="213"/>
      <c r="AP716" s="213"/>
      <c r="AQ716" s="213"/>
      <c r="AR716" s="213"/>
      <c r="AS716" s="213"/>
      <c r="AT716" s="213"/>
      <c r="AU716" s="213"/>
      <c r="AV716" s="213"/>
      <c r="AW716" s="213"/>
      <c r="AX716" s="213"/>
      <c r="AY716" s="213"/>
      <c r="AZ716" s="213"/>
      <c r="BA716" s="213"/>
      <c r="BB716" s="213"/>
    </row>
    <row r="717">
      <c r="A717" s="199"/>
      <c r="B717" s="12"/>
      <c r="C717" s="202"/>
      <c r="D717" s="199"/>
      <c r="E717" s="211"/>
      <c r="F717" s="201"/>
      <c r="G717" s="199"/>
      <c r="H717" s="199"/>
      <c r="I717" s="199"/>
      <c r="J717" s="212"/>
      <c r="K717" s="212"/>
      <c r="L717" s="212"/>
      <c r="M717" s="212"/>
      <c r="N717" s="212"/>
      <c r="O717" s="212"/>
      <c r="P717" s="212"/>
      <c r="Q717" s="212"/>
      <c r="R717" s="212"/>
      <c r="S717" s="212"/>
      <c r="T717" s="212"/>
      <c r="U717" s="212"/>
      <c r="V717" s="212"/>
      <c r="W717" s="212"/>
      <c r="X717" s="212"/>
      <c r="Y717" s="212"/>
      <c r="Z717" s="204"/>
      <c r="AA717" s="204"/>
      <c r="AB717" s="204"/>
      <c r="AC717" s="204"/>
      <c r="AD717" s="204"/>
      <c r="AE717" s="212"/>
      <c r="AF717" s="213"/>
      <c r="AG717" s="213"/>
      <c r="AH717" s="213"/>
      <c r="AI717" s="213"/>
      <c r="AJ717" s="213"/>
      <c r="AK717" s="213"/>
      <c r="AL717" s="213"/>
      <c r="AM717" s="213"/>
      <c r="AN717" s="213"/>
      <c r="AO717" s="213"/>
      <c r="AP717" s="213"/>
      <c r="AQ717" s="213"/>
      <c r="AR717" s="213"/>
      <c r="AS717" s="213"/>
      <c r="AT717" s="213"/>
      <c r="AU717" s="213"/>
      <c r="AV717" s="213"/>
      <c r="AW717" s="213"/>
      <c r="AX717" s="213"/>
      <c r="AY717" s="213"/>
      <c r="AZ717" s="213"/>
      <c r="BA717" s="213"/>
      <c r="BB717" s="213"/>
    </row>
    <row r="718">
      <c r="A718" s="199"/>
      <c r="B718" s="12"/>
      <c r="C718" s="202"/>
      <c r="D718" s="199"/>
      <c r="E718" s="211"/>
      <c r="F718" s="201"/>
      <c r="G718" s="199"/>
      <c r="H718" s="199"/>
      <c r="I718" s="199"/>
      <c r="J718" s="212"/>
      <c r="K718" s="212"/>
      <c r="L718" s="212"/>
      <c r="M718" s="212"/>
      <c r="N718" s="212"/>
      <c r="O718" s="212"/>
      <c r="P718" s="212"/>
      <c r="Q718" s="212"/>
      <c r="R718" s="212"/>
      <c r="S718" s="212"/>
      <c r="T718" s="212"/>
      <c r="U718" s="212"/>
      <c r="V718" s="212"/>
      <c r="W718" s="212"/>
      <c r="X718" s="212"/>
      <c r="Y718" s="212"/>
      <c r="Z718" s="204"/>
      <c r="AA718" s="204"/>
      <c r="AB718" s="204"/>
      <c r="AC718" s="204"/>
      <c r="AD718" s="204"/>
      <c r="AE718" s="212"/>
      <c r="AF718" s="213"/>
      <c r="AG718" s="213"/>
      <c r="AH718" s="213"/>
      <c r="AI718" s="213"/>
      <c r="AJ718" s="213"/>
      <c r="AK718" s="213"/>
      <c r="AL718" s="213"/>
      <c r="AM718" s="213"/>
      <c r="AN718" s="213"/>
      <c r="AO718" s="213"/>
      <c r="AP718" s="213"/>
      <c r="AQ718" s="213"/>
      <c r="AR718" s="213"/>
      <c r="AS718" s="213"/>
      <c r="AT718" s="213"/>
      <c r="AU718" s="213"/>
      <c r="AV718" s="213"/>
      <c r="AW718" s="213"/>
      <c r="AX718" s="213"/>
      <c r="AY718" s="213"/>
      <c r="AZ718" s="213"/>
      <c r="BA718" s="213"/>
      <c r="BB718" s="213"/>
    </row>
    <row r="719">
      <c r="A719" s="199"/>
      <c r="B719" s="12"/>
      <c r="C719" s="202"/>
      <c r="D719" s="199"/>
      <c r="E719" s="211"/>
      <c r="F719" s="201"/>
      <c r="G719" s="199"/>
      <c r="H719" s="199"/>
      <c r="I719" s="199"/>
      <c r="J719" s="212"/>
      <c r="K719" s="212"/>
      <c r="L719" s="212"/>
      <c r="M719" s="212"/>
      <c r="N719" s="212"/>
      <c r="O719" s="212"/>
      <c r="P719" s="212"/>
      <c r="Q719" s="212"/>
      <c r="R719" s="212"/>
      <c r="S719" s="212"/>
      <c r="T719" s="212"/>
      <c r="U719" s="212"/>
      <c r="V719" s="212"/>
      <c r="W719" s="212"/>
      <c r="X719" s="212"/>
      <c r="Y719" s="212"/>
      <c r="Z719" s="204"/>
      <c r="AA719" s="204"/>
      <c r="AB719" s="204"/>
      <c r="AC719" s="204"/>
      <c r="AD719" s="204"/>
      <c r="AE719" s="212"/>
      <c r="AF719" s="213"/>
      <c r="AG719" s="213"/>
      <c r="AH719" s="213"/>
      <c r="AI719" s="213"/>
      <c r="AJ719" s="213"/>
      <c r="AK719" s="213"/>
      <c r="AL719" s="213"/>
      <c r="AM719" s="213"/>
      <c r="AN719" s="213"/>
      <c r="AO719" s="213"/>
      <c r="AP719" s="213"/>
      <c r="AQ719" s="213"/>
      <c r="AR719" s="213"/>
      <c r="AS719" s="213"/>
      <c r="AT719" s="213"/>
      <c r="AU719" s="213"/>
      <c r="AV719" s="213"/>
      <c r="AW719" s="213"/>
      <c r="AX719" s="213"/>
      <c r="AY719" s="213"/>
      <c r="AZ719" s="213"/>
      <c r="BA719" s="213"/>
      <c r="BB719" s="213"/>
    </row>
    <row r="720">
      <c r="A720" s="199"/>
      <c r="B720" s="12"/>
      <c r="C720" s="202"/>
      <c r="D720" s="199"/>
      <c r="E720" s="211"/>
      <c r="F720" s="201"/>
      <c r="G720" s="199"/>
      <c r="H720" s="199"/>
      <c r="I720" s="199"/>
      <c r="J720" s="212"/>
      <c r="K720" s="212"/>
      <c r="L720" s="212"/>
      <c r="M720" s="212"/>
      <c r="N720" s="212"/>
      <c r="O720" s="212"/>
      <c r="P720" s="212"/>
      <c r="Q720" s="212"/>
      <c r="R720" s="212"/>
      <c r="S720" s="212"/>
      <c r="T720" s="212"/>
      <c r="U720" s="212"/>
      <c r="V720" s="212"/>
      <c r="W720" s="212"/>
      <c r="X720" s="212"/>
      <c r="Y720" s="212"/>
      <c r="Z720" s="204"/>
      <c r="AA720" s="204"/>
      <c r="AB720" s="204"/>
      <c r="AC720" s="204"/>
      <c r="AD720" s="204"/>
      <c r="AE720" s="212"/>
      <c r="AF720" s="213"/>
      <c r="AG720" s="213"/>
      <c r="AH720" s="213"/>
      <c r="AI720" s="213"/>
      <c r="AJ720" s="213"/>
      <c r="AK720" s="213"/>
      <c r="AL720" s="213"/>
      <c r="AM720" s="213"/>
      <c r="AN720" s="213"/>
      <c r="AO720" s="213"/>
      <c r="AP720" s="213"/>
      <c r="AQ720" s="213"/>
      <c r="AR720" s="213"/>
      <c r="AS720" s="213"/>
      <c r="AT720" s="213"/>
      <c r="AU720" s="213"/>
      <c r="AV720" s="213"/>
      <c r="AW720" s="213"/>
      <c r="AX720" s="213"/>
      <c r="AY720" s="213"/>
      <c r="AZ720" s="213"/>
      <c r="BA720" s="213"/>
      <c r="BB720" s="213"/>
    </row>
    <row r="721">
      <c r="A721" s="199"/>
      <c r="B721" s="12"/>
      <c r="C721" s="202"/>
      <c r="D721" s="199"/>
      <c r="E721" s="211"/>
      <c r="F721" s="201"/>
      <c r="G721" s="199"/>
      <c r="H721" s="199"/>
      <c r="I721" s="199"/>
      <c r="J721" s="212"/>
      <c r="K721" s="212"/>
      <c r="L721" s="212"/>
      <c r="M721" s="212"/>
      <c r="N721" s="212"/>
      <c r="O721" s="212"/>
      <c r="P721" s="212"/>
      <c r="Q721" s="212"/>
      <c r="R721" s="212"/>
      <c r="S721" s="212"/>
      <c r="T721" s="212"/>
      <c r="U721" s="212"/>
      <c r="V721" s="212"/>
      <c r="W721" s="212"/>
      <c r="X721" s="212"/>
      <c r="Y721" s="212"/>
      <c r="Z721" s="204"/>
      <c r="AA721" s="204"/>
      <c r="AB721" s="204"/>
      <c r="AC721" s="204"/>
      <c r="AD721" s="204"/>
      <c r="AE721" s="212"/>
      <c r="AF721" s="213"/>
      <c r="AG721" s="213"/>
      <c r="AH721" s="213"/>
      <c r="AI721" s="213"/>
      <c r="AJ721" s="213"/>
      <c r="AK721" s="213"/>
      <c r="AL721" s="213"/>
      <c r="AM721" s="213"/>
      <c r="AN721" s="213"/>
      <c r="AO721" s="213"/>
      <c r="AP721" s="213"/>
      <c r="AQ721" s="213"/>
      <c r="AR721" s="213"/>
      <c r="AS721" s="213"/>
      <c r="AT721" s="213"/>
      <c r="AU721" s="213"/>
      <c r="AV721" s="213"/>
      <c r="AW721" s="213"/>
      <c r="AX721" s="213"/>
      <c r="AY721" s="213"/>
      <c r="AZ721" s="213"/>
      <c r="BA721" s="213"/>
      <c r="BB721" s="213"/>
    </row>
    <row r="722">
      <c r="A722" s="199"/>
      <c r="B722" s="12"/>
      <c r="C722" s="202"/>
      <c r="D722" s="199"/>
      <c r="E722" s="211"/>
      <c r="F722" s="201"/>
      <c r="G722" s="199"/>
      <c r="H722" s="199"/>
      <c r="I722" s="199"/>
      <c r="J722" s="212"/>
      <c r="K722" s="212"/>
      <c r="L722" s="212"/>
      <c r="M722" s="212"/>
      <c r="N722" s="212"/>
      <c r="O722" s="212"/>
      <c r="P722" s="212"/>
      <c r="Q722" s="212"/>
      <c r="R722" s="212"/>
      <c r="S722" s="212"/>
      <c r="T722" s="212"/>
      <c r="U722" s="212"/>
      <c r="V722" s="212"/>
      <c r="W722" s="212"/>
      <c r="X722" s="212"/>
      <c r="Y722" s="212"/>
      <c r="Z722" s="204"/>
      <c r="AA722" s="204"/>
      <c r="AB722" s="204"/>
      <c r="AC722" s="204"/>
      <c r="AD722" s="204"/>
      <c r="AE722" s="212"/>
      <c r="AF722" s="213"/>
      <c r="AG722" s="213"/>
      <c r="AH722" s="213"/>
      <c r="AI722" s="213"/>
      <c r="AJ722" s="213"/>
      <c r="AK722" s="213"/>
      <c r="AL722" s="213"/>
      <c r="AM722" s="213"/>
      <c r="AN722" s="213"/>
      <c r="AO722" s="213"/>
      <c r="AP722" s="213"/>
      <c r="AQ722" s="213"/>
      <c r="AR722" s="213"/>
      <c r="AS722" s="213"/>
      <c r="AT722" s="213"/>
      <c r="AU722" s="213"/>
      <c r="AV722" s="213"/>
      <c r="AW722" s="213"/>
      <c r="AX722" s="213"/>
      <c r="AY722" s="213"/>
      <c r="AZ722" s="213"/>
      <c r="BA722" s="213"/>
      <c r="BB722" s="213"/>
    </row>
    <row r="723">
      <c r="A723" s="199"/>
      <c r="B723" s="12"/>
      <c r="C723" s="202"/>
      <c r="D723" s="199"/>
      <c r="E723" s="211"/>
      <c r="F723" s="201"/>
      <c r="G723" s="199"/>
      <c r="H723" s="199"/>
      <c r="I723" s="199"/>
      <c r="J723" s="212"/>
      <c r="K723" s="212"/>
      <c r="L723" s="212"/>
      <c r="M723" s="212"/>
      <c r="N723" s="212"/>
      <c r="O723" s="212"/>
      <c r="P723" s="212"/>
      <c r="Q723" s="212"/>
      <c r="R723" s="212"/>
      <c r="S723" s="212"/>
      <c r="T723" s="212"/>
      <c r="U723" s="212"/>
      <c r="V723" s="212"/>
      <c r="W723" s="212"/>
      <c r="X723" s="212"/>
      <c r="Y723" s="212"/>
      <c r="Z723" s="204"/>
      <c r="AA723" s="204"/>
      <c r="AB723" s="204"/>
      <c r="AC723" s="204"/>
      <c r="AD723" s="204"/>
      <c r="AE723" s="212"/>
      <c r="AF723" s="213"/>
      <c r="AG723" s="213"/>
      <c r="AH723" s="213"/>
      <c r="AI723" s="213"/>
      <c r="AJ723" s="213"/>
      <c r="AK723" s="213"/>
      <c r="AL723" s="213"/>
      <c r="AM723" s="213"/>
      <c r="AN723" s="213"/>
      <c r="AO723" s="213"/>
      <c r="AP723" s="213"/>
      <c r="AQ723" s="213"/>
      <c r="AR723" s="213"/>
      <c r="AS723" s="213"/>
      <c r="AT723" s="213"/>
      <c r="AU723" s="213"/>
      <c r="AV723" s="213"/>
      <c r="AW723" s="213"/>
      <c r="AX723" s="213"/>
      <c r="AY723" s="213"/>
      <c r="AZ723" s="213"/>
      <c r="BA723" s="213"/>
      <c r="BB723" s="213"/>
    </row>
    <row r="724">
      <c r="A724" s="199"/>
      <c r="B724" s="12"/>
      <c r="C724" s="202"/>
      <c r="D724" s="199"/>
      <c r="E724" s="211"/>
      <c r="F724" s="201"/>
      <c r="G724" s="199"/>
      <c r="H724" s="199"/>
      <c r="I724" s="199"/>
      <c r="J724" s="212"/>
      <c r="K724" s="212"/>
      <c r="L724" s="212"/>
      <c r="M724" s="212"/>
      <c r="N724" s="212"/>
      <c r="O724" s="212"/>
      <c r="P724" s="212"/>
      <c r="Q724" s="212"/>
      <c r="R724" s="212"/>
      <c r="S724" s="212"/>
      <c r="T724" s="212"/>
      <c r="U724" s="212"/>
      <c r="V724" s="212"/>
      <c r="W724" s="212"/>
      <c r="X724" s="212"/>
      <c r="Y724" s="212"/>
      <c r="Z724" s="204"/>
      <c r="AA724" s="204"/>
      <c r="AB724" s="204"/>
      <c r="AC724" s="204"/>
      <c r="AD724" s="204"/>
      <c r="AE724" s="212"/>
      <c r="AF724" s="213"/>
      <c r="AG724" s="213"/>
      <c r="AH724" s="213"/>
      <c r="AI724" s="213"/>
      <c r="AJ724" s="213"/>
      <c r="AK724" s="213"/>
      <c r="AL724" s="213"/>
      <c r="AM724" s="213"/>
      <c r="AN724" s="213"/>
      <c r="AO724" s="213"/>
      <c r="AP724" s="213"/>
      <c r="AQ724" s="213"/>
      <c r="AR724" s="213"/>
      <c r="AS724" s="213"/>
      <c r="AT724" s="213"/>
      <c r="AU724" s="213"/>
      <c r="AV724" s="213"/>
      <c r="AW724" s="213"/>
      <c r="AX724" s="213"/>
      <c r="AY724" s="213"/>
      <c r="AZ724" s="213"/>
      <c r="BA724" s="213"/>
      <c r="BB724" s="213"/>
    </row>
    <row r="725">
      <c r="A725" s="199"/>
      <c r="B725" s="12"/>
      <c r="C725" s="202"/>
      <c r="D725" s="199"/>
      <c r="E725" s="211"/>
      <c r="F725" s="201"/>
      <c r="G725" s="199"/>
      <c r="H725" s="199"/>
      <c r="I725" s="199"/>
      <c r="J725" s="212"/>
      <c r="K725" s="212"/>
      <c r="L725" s="212"/>
      <c r="M725" s="212"/>
      <c r="N725" s="212"/>
      <c r="O725" s="212"/>
      <c r="P725" s="212"/>
      <c r="Q725" s="212"/>
      <c r="R725" s="212"/>
      <c r="S725" s="212"/>
      <c r="T725" s="212"/>
      <c r="U725" s="212"/>
      <c r="V725" s="212"/>
      <c r="W725" s="212"/>
      <c r="X725" s="212"/>
      <c r="Y725" s="212"/>
      <c r="Z725" s="204"/>
      <c r="AA725" s="204"/>
      <c r="AB725" s="204"/>
      <c r="AC725" s="204"/>
      <c r="AD725" s="204"/>
      <c r="AE725" s="212"/>
      <c r="AF725" s="213"/>
      <c r="AG725" s="213"/>
      <c r="AH725" s="213"/>
      <c r="AI725" s="213"/>
      <c r="AJ725" s="213"/>
      <c r="AK725" s="213"/>
      <c r="AL725" s="213"/>
      <c r="AM725" s="213"/>
      <c r="AN725" s="213"/>
      <c r="AO725" s="213"/>
      <c r="AP725" s="213"/>
      <c r="AQ725" s="213"/>
      <c r="AR725" s="213"/>
      <c r="AS725" s="213"/>
      <c r="AT725" s="213"/>
      <c r="AU725" s="213"/>
      <c r="AV725" s="213"/>
      <c r="AW725" s="213"/>
      <c r="AX725" s="213"/>
      <c r="AY725" s="213"/>
      <c r="AZ725" s="213"/>
      <c r="BA725" s="213"/>
      <c r="BB725" s="213"/>
    </row>
    <row r="726">
      <c r="A726" s="199"/>
      <c r="B726" s="12"/>
      <c r="C726" s="202"/>
      <c r="D726" s="199"/>
      <c r="E726" s="211"/>
      <c r="F726" s="201"/>
      <c r="G726" s="199"/>
      <c r="H726" s="199"/>
      <c r="I726" s="199"/>
      <c r="J726" s="212"/>
      <c r="K726" s="212"/>
      <c r="L726" s="212"/>
      <c r="M726" s="212"/>
      <c r="N726" s="212"/>
      <c r="O726" s="212"/>
      <c r="P726" s="212"/>
      <c r="Q726" s="212"/>
      <c r="R726" s="212"/>
      <c r="S726" s="212"/>
      <c r="T726" s="212"/>
      <c r="U726" s="212"/>
      <c r="V726" s="212"/>
      <c r="W726" s="212"/>
      <c r="X726" s="212"/>
      <c r="Y726" s="212"/>
      <c r="Z726" s="204"/>
      <c r="AA726" s="204"/>
      <c r="AB726" s="204"/>
      <c r="AC726" s="204"/>
      <c r="AD726" s="204"/>
      <c r="AE726" s="212"/>
      <c r="AF726" s="213"/>
      <c r="AG726" s="213"/>
      <c r="AH726" s="213"/>
      <c r="AI726" s="213"/>
      <c r="AJ726" s="213"/>
      <c r="AK726" s="213"/>
      <c r="AL726" s="213"/>
      <c r="AM726" s="213"/>
      <c r="AN726" s="213"/>
      <c r="AO726" s="213"/>
      <c r="AP726" s="213"/>
      <c r="AQ726" s="213"/>
      <c r="AR726" s="213"/>
      <c r="AS726" s="213"/>
      <c r="AT726" s="213"/>
      <c r="AU726" s="213"/>
      <c r="AV726" s="213"/>
      <c r="AW726" s="213"/>
      <c r="AX726" s="213"/>
      <c r="AY726" s="213"/>
      <c r="AZ726" s="213"/>
      <c r="BA726" s="213"/>
      <c r="BB726" s="213"/>
    </row>
    <row r="727">
      <c r="A727" s="199"/>
      <c r="B727" s="12"/>
      <c r="C727" s="202"/>
      <c r="D727" s="199"/>
      <c r="E727" s="211"/>
      <c r="F727" s="201"/>
      <c r="G727" s="199"/>
      <c r="H727" s="199"/>
      <c r="I727" s="199"/>
      <c r="J727" s="212"/>
      <c r="K727" s="212"/>
      <c r="L727" s="212"/>
      <c r="M727" s="212"/>
      <c r="N727" s="212"/>
      <c r="O727" s="212"/>
      <c r="P727" s="212"/>
      <c r="Q727" s="212"/>
      <c r="R727" s="212"/>
      <c r="S727" s="212"/>
      <c r="T727" s="212"/>
      <c r="U727" s="212"/>
      <c r="V727" s="212"/>
      <c r="W727" s="212"/>
      <c r="X727" s="212"/>
      <c r="Y727" s="212"/>
      <c r="Z727" s="204"/>
      <c r="AA727" s="204"/>
      <c r="AB727" s="204"/>
      <c r="AC727" s="204"/>
      <c r="AD727" s="204"/>
      <c r="AE727" s="212"/>
      <c r="AF727" s="213"/>
      <c r="AG727" s="213"/>
      <c r="AH727" s="213"/>
      <c r="AI727" s="213"/>
      <c r="AJ727" s="213"/>
      <c r="AK727" s="213"/>
      <c r="AL727" s="213"/>
      <c r="AM727" s="213"/>
      <c r="AN727" s="213"/>
      <c r="AO727" s="213"/>
      <c r="AP727" s="213"/>
      <c r="AQ727" s="213"/>
      <c r="AR727" s="213"/>
      <c r="AS727" s="213"/>
      <c r="AT727" s="213"/>
      <c r="AU727" s="213"/>
      <c r="AV727" s="213"/>
      <c r="AW727" s="213"/>
      <c r="AX727" s="213"/>
      <c r="AY727" s="213"/>
      <c r="AZ727" s="213"/>
      <c r="BA727" s="213"/>
      <c r="BB727" s="213"/>
    </row>
    <row r="728">
      <c r="A728" s="199"/>
      <c r="B728" s="12"/>
      <c r="C728" s="202"/>
      <c r="D728" s="199"/>
      <c r="E728" s="211"/>
      <c r="F728" s="201"/>
      <c r="G728" s="199"/>
      <c r="H728" s="199"/>
      <c r="I728" s="199"/>
      <c r="J728" s="212"/>
      <c r="K728" s="212"/>
      <c r="L728" s="212"/>
      <c r="M728" s="212"/>
      <c r="N728" s="212"/>
      <c r="O728" s="212"/>
      <c r="P728" s="212"/>
      <c r="Q728" s="212"/>
      <c r="R728" s="212"/>
      <c r="S728" s="212"/>
      <c r="T728" s="212"/>
      <c r="U728" s="212"/>
      <c r="V728" s="212"/>
      <c r="W728" s="212"/>
      <c r="X728" s="212"/>
      <c r="Y728" s="212"/>
      <c r="Z728" s="204"/>
      <c r="AA728" s="204"/>
      <c r="AB728" s="204"/>
      <c r="AC728" s="204"/>
      <c r="AD728" s="204"/>
      <c r="AE728" s="212"/>
      <c r="AF728" s="213"/>
      <c r="AG728" s="213"/>
      <c r="AH728" s="213"/>
      <c r="AI728" s="213"/>
      <c r="AJ728" s="213"/>
      <c r="AK728" s="213"/>
      <c r="AL728" s="213"/>
      <c r="AM728" s="213"/>
      <c r="AN728" s="213"/>
      <c r="AO728" s="213"/>
      <c r="AP728" s="213"/>
      <c r="AQ728" s="213"/>
      <c r="AR728" s="213"/>
      <c r="AS728" s="213"/>
      <c r="AT728" s="213"/>
      <c r="AU728" s="213"/>
      <c r="AV728" s="213"/>
      <c r="AW728" s="213"/>
      <c r="AX728" s="213"/>
      <c r="AY728" s="213"/>
      <c r="AZ728" s="213"/>
      <c r="BA728" s="213"/>
      <c r="BB728" s="213"/>
    </row>
    <row r="729">
      <c r="A729" s="199"/>
      <c r="B729" s="12"/>
      <c r="C729" s="202"/>
      <c r="D729" s="199"/>
      <c r="E729" s="211"/>
      <c r="F729" s="201"/>
      <c r="G729" s="199"/>
      <c r="H729" s="199"/>
      <c r="I729" s="199"/>
      <c r="J729" s="212"/>
      <c r="K729" s="212"/>
      <c r="L729" s="212"/>
      <c r="M729" s="212"/>
      <c r="N729" s="212"/>
      <c r="O729" s="212"/>
      <c r="P729" s="212"/>
      <c r="Q729" s="212"/>
      <c r="R729" s="212"/>
      <c r="S729" s="212"/>
      <c r="T729" s="212"/>
      <c r="U729" s="212"/>
      <c r="V729" s="212"/>
      <c r="W729" s="212"/>
      <c r="X729" s="212"/>
      <c r="Y729" s="212"/>
      <c r="Z729" s="204"/>
      <c r="AA729" s="204"/>
      <c r="AB729" s="204"/>
      <c r="AC729" s="204"/>
      <c r="AD729" s="204"/>
      <c r="AE729" s="212"/>
      <c r="AF729" s="213"/>
      <c r="AG729" s="213"/>
      <c r="AH729" s="213"/>
      <c r="AI729" s="213"/>
      <c r="AJ729" s="213"/>
      <c r="AK729" s="213"/>
      <c r="AL729" s="213"/>
      <c r="AM729" s="213"/>
      <c r="AN729" s="213"/>
      <c r="AO729" s="213"/>
      <c r="AP729" s="213"/>
      <c r="AQ729" s="213"/>
      <c r="AR729" s="213"/>
      <c r="AS729" s="213"/>
      <c r="AT729" s="213"/>
      <c r="AU729" s="213"/>
      <c r="AV729" s="213"/>
      <c r="AW729" s="213"/>
      <c r="AX729" s="213"/>
      <c r="AY729" s="213"/>
      <c r="AZ729" s="213"/>
      <c r="BA729" s="213"/>
      <c r="BB729" s="213"/>
    </row>
    <row r="730">
      <c r="A730" s="199"/>
      <c r="B730" s="12"/>
      <c r="C730" s="202"/>
      <c r="D730" s="199"/>
      <c r="E730" s="211"/>
      <c r="F730" s="201"/>
      <c r="G730" s="199"/>
      <c r="H730" s="199"/>
      <c r="I730" s="199"/>
      <c r="J730" s="212"/>
      <c r="K730" s="212"/>
      <c r="L730" s="212"/>
      <c r="M730" s="212"/>
      <c r="N730" s="212"/>
      <c r="O730" s="212"/>
      <c r="P730" s="212"/>
      <c r="Q730" s="212"/>
      <c r="R730" s="212"/>
      <c r="S730" s="212"/>
      <c r="T730" s="212"/>
      <c r="U730" s="212"/>
      <c r="V730" s="212"/>
      <c r="W730" s="212"/>
      <c r="X730" s="212"/>
      <c r="Y730" s="212"/>
      <c r="Z730" s="204"/>
      <c r="AA730" s="204"/>
      <c r="AB730" s="204"/>
      <c r="AC730" s="204"/>
      <c r="AD730" s="204"/>
      <c r="AE730" s="212"/>
      <c r="AF730" s="213"/>
      <c r="AG730" s="213"/>
      <c r="AH730" s="213"/>
      <c r="AI730" s="213"/>
      <c r="AJ730" s="213"/>
      <c r="AK730" s="213"/>
      <c r="AL730" s="213"/>
      <c r="AM730" s="213"/>
      <c r="AN730" s="213"/>
      <c r="AO730" s="213"/>
      <c r="AP730" s="213"/>
      <c r="AQ730" s="213"/>
      <c r="AR730" s="213"/>
      <c r="AS730" s="213"/>
      <c r="AT730" s="213"/>
      <c r="AU730" s="213"/>
      <c r="AV730" s="213"/>
      <c r="AW730" s="213"/>
      <c r="AX730" s="213"/>
      <c r="AY730" s="213"/>
      <c r="AZ730" s="213"/>
      <c r="BA730" s="213"/>
      <c r="BB730" s="213"/>
    </row>
    <row r="731">
      <c r="A731" s="199"/>
      <c r="B731" s="12"/>
      <c r="C731" s="202"/>
      <c r="D731" s="199"/>
      <c r="E731" s="211"/>
      <c r="F731" s="201"/>
      <c r="G731" s="199"/>
      <c r="H731" s="199"/>
      <c r="I731" s="199"/>
      <c r="J731" s="212"/>
      <c r="K731" s="212"/>
      <c r="L731" s="212"/>
      <c r="M731" s="212"/>
      <c r="N731" s="212"/>
      <c r="O731" s="212"/>
      <c r="P731" s="212"/>
      <c r="Q731" s="212"/>
      <c r="R731" s="212"/>
      <c r="S731" s="212"/>
      <c r="T731" s="212"/>
      <c r="U731" s="212"/>
      <c r="V731" s="212"/>
      <c r="W731" s="212"/>
      <c r="X731" s="212"/>
      <c r="Y731" s="212"/>
      <c r="Z731" s="204"/>
      <c r="AA731" s="204"/>
      <c r="AB731" s="204"/>
      <c r="AC731" s="204"/>
      <c r="AD731" s="204"/>
      <c r="AE731" s="212"/>
      <c r="AF731" s="213"/>
      <c r="AG731" s="213"/>
      <c r="AH731" s="213"/>
      <c r="AI731" s="213"/>
      <c r="AJ731" s="213"/>
      <c r="AK731" s="213"/>
      <c r="AL731" s="213"/>
      <c r="AM731" s="213"/>
      <c r="AN731" s="213"/>
      <c r="AO731" s="213"/>
      <c r="AP731" s="213"/>
      <c r="AQ731" s="213"/>
      <c r="AR731" s="213"/>
      <c r="AS731" s="213"/>
      <c r="AT731" s="213"/>
      <c r="AU731" s="213"/>
      <c r="AV731" s="213"/>
      <c r="AW731" s="213"/>
      <c r="AX731" s="213"/>
      <c r="AY731" s="213"/>
      <c r="AZ731" s="213"/>
      <c r="BA731" s="213"/>
      <c r="BB731" s="213"/>
    </row>
    <row r="732">
      <c r="A732" s="199"/>
      <c r="B732" s="12"/>
      <c r="C732" s="202"/>
      <c r="D732" s="199"/>
      <c r="E732" s="211"/>
      <c r="F732" s="201"/>
      <c r="G732" s="199"/>
      <c r="H732" s="199"/>
      <c r="I732" s="199"/>
      <c r="J732" s="212"/>
      <c r="K732" s="212"/>
      <c r="L732" s="212"/>
      <c r="M732" s="212"/>
      <c r="N732" s="212"/>
      <c r="O732" s="212"/>
      <c r="P732" s="212"/>
      <c r="Q732" s="212"/>
      <c r="R732" s="212"/>
      <c r="S732" s="212"/>
      <c r="T732" s="212"/>
      <c r="U732" s="212"/>
      <c r="V732" s="212"/>
      <c r="W732" s="212"/>
      <c r="X732" s="212"/>
      <c r="Y732" s="212"/>
      <c r="Z732" s="204"/>
      <c r="AA732" s="204"/>
      <c r="AB732" s="204"/>
      <c r="AC732" s="204"/>
      <c r="AD732" s="204"/>
      <c r="AE732" s="212"/>
      <c r="AF732" s="213"/>
      <c r="AG732" s="213"/>
      <c r="AH732" s="213"/>
      <c r="AI732" s="213"/>
      <c r="AJ732" s="213"/>
      <c r="AK732" s="213"/>
      <c r="AL732" s="213"/>
      <c r="AM732" s="213"/>
      <c r="AN732" s="213"/>
      <c r="AO732" s="213"/>
      <c r="AP732" s="213"/>
      <c r="AQ732" s="213"/>
      <c r="AR732" s="213"/>
      <c r="AS732" s="213"/>
      <c r="AT732" s="213"/>
      <c r="AU732" s="213"/>
      <c r="AV732" s="213"/>
      <c r="AW732" s="213"/>
      <c r="AX732" s="213"/>
      <c r="AY732" s="213"/>
      <c r="AZ732" s="213"/>
      <c r="BA732" s="213"/>
      <c r="BB732" s="213"/>
    </row>
    <row r="733">
      <c r="A733" s="199"/>
      <c r="B733" s="12"/>
      <c r="C733" s="202"/>
      <c r="D733" s="199"/>
      <c r="E733" s="211"/>
      <c r="F733" s="201"/>
      <c r="G733" s="199"/>
      <c r="H733" s="199"/>
      <c r="I733" s="199"/>
      <c r="J733" s="212"/>
      <c r="K733" s="212"/>
      <c r="L733" s="212"/>
      <c r="M733" s="212"/>
      <c r="N733" s="212"/>
      <c r="O733" s="212"/>
      <c r="P733" s="212"/>
      <c r="Q733" s="212"/>
      <c r="R733" s="212"/>
      <c r="S733" s="212"/>
      <c r="T733" s="212"/>
      <c r="U733" s="212"/>
      <c r="V733" s="212"/>
      <c r="W733" s="212"/>
      <c r="X733" s="212"/>
      <c r="Y733" s="212"/>
      <c r="Z733" s="204"/>
      <c r="AA733" s="204"/>
      <c r="AB733" s="204"/>
      <c r="AC733" s="204"/>
      <c r="AD733" s="204"/>
      <c r="AE733" s="212"/>
      <c r="AF733" s="213"/>
      <c r="AG733" s="213"/>
      <c r="AH733" s="213"/>
      <c r="AI733" s="213"/>
      <c r="AJ733" s="213"/>
      <c r="AK733" s="213"/>
      <c r="AL733" s="213"/>
      <c r="AM733" s="213"/>
      <c r="AN733" s="213"/>
      <c r="AO733" s="213"/>
      <c r="AP733" s="213"/>
      <c r="AQ733" s="213"/>
      <c r="AR733" s="213"/>
      <c r="AS733" s="213"/>
      <c r="AT733" s="213"/>
      <c r="AU733" s="213"/>
      <c r="AV733" s="213"/>
      <c r="AW733" s="213"/>
      <c r="AX733" s="213"/>
      <c r="AY733" s="213"/>
      <c r="AZ733" s="213"/>
      <c r="BA733" s="213"/>
      <c r="BB733" s="213"/>
    </row>
    <row r="734">
      <c r="A734" s="199"/>
      <c r="B734" s="12"/>
      <c r="C734" s="202"/>
      <c r="D734" s="199"/>
      <c r="E734" s="211"/>
      <c r="F734" s="201"/>
      <c r="G734" s="199"/>
      <c r="H734" s="199"/>
      <c r="I734" s="199"/>
      <c r="J734" s="212"/>
      <c r="K734" s="212"/>
      <c r="L734" s="212"/>
      <c r="M734" s="212"/>
      <c r="N734" s="212"/>
      <c r="O734" s="212"/>
      <c r="P734" s="212"/>
      <c r="Q734" s="212"/>
      <c r="R734" s="212"/>
      <c r="S734" s="212"/>
      <c r="T734" s="212"/>
      <c r="U734" s="212"/>
      <c r="V734" s="212"/>
      <c r="W734" s="212"/>
      <c r="X734" s="212"/>
      <c r="Y734" s="212"/>
      <c r="Z734" s="204"/>
      <c r="AA734" s="204"/>
      <c r="AB734" s="204"/>
      <c r="AC734" s="204"/>
      <c r="AD734" s="204"/>
      <c r="AE734" s="212"/>
      <c r="AF734" s="213"/>
      <c r="AG734" s="213"/>
      <c r="AH734" s="213"/>
      <c r="AI734" s="213"/>
      <c r="AJ734" s="213"/>
      <c r="AK734" s="213"/>
      <c r="AL734" s="213"/>
      <c r="AM734" s="213"/>
      <c r="AN734" s="213"/>
      <c r="AO734" s="213"/>
      <c r="AP734" s="213"/>
      <c r="AQ734" s="213"/>
      <c r="AR734" s="213"/>
      <c r="AS734" s="213"/>
      <c r="AT734" s="213"/>
      <c r="AU734" s="213"/>
      <c r="AV734" s="213"/>
      <c r="AW734" s="213"/>
      <c r="AX734" s="213"/>
      <c r="AY734" s="213"/>
      <c r="AZ734" s="213"/>
      <c r="BA734" s="213"/>
      <c r="BB734" s="213"/>
    </row>
    <row r="735">
      <c r="A735" s="199"/>
      <c r="B735" s="12"/>
      <c r="C735" s="202"/>
      <c r="D735" s="199"/>
      <c r="E735" s="211"/>
      <c r="F735" s="201"/>
      <c r="G735" s="199"/>
      <c r="H735" s="199"/>
      <c r="I735" s="199"/>
      <c r="J735" s="212"/>
      <c r="K735" s="212"/>
      <c r="L735" s="212"/>
      <c r="M735" s="212"/>
      <c r="N735" s="212"/>
      <c r="O735" s="212"/>
      <c r="P735" s="212"/>
      <c r="Q735" s="212"/>
      <c r="R735" s="212"/>
      <c r="S735" s="212"/>
      <c r="T735" s="212"/>
      <c r="U735" s="212"/>
      <c r="V735" s="212"/>
      <c r="W735" s="212"/>
      <c r="X735" s="212"/>
      <c r="Y735" s="212"/>
      <c r="Z735" s="204"/>
      <c r="AA735" s="204"/>
      <c r="AB735" s="204"/>
      <c r="AC735" s="204"/>
      <c r="AD735" s="204"/>
      <c r="AE735" s="212"/>
      <c r="AF735" s="213"/>
      <c r="AG735" s="213"/>
      <c r="AH735" s="213"/>
      <c r="AI735" s="213"/>
      <c r="AJ735" s="213"/>
      <c r="AK735" s="213"/>
      <c r="AL735" s="213"/>
      <c r="AM735" s="213"/>
      <c r="AN735" s="213"/>
      <c r="AO735" s="213"/>
      <c r="AP735" s="213"/>
      <c r="AQ735" s="213"/>
      <c r="AR735" s="213"/>
      <c r="AS735" s="213"/>
      <c r="AT735" s="213"/>
      <c r="AU735" s="213"/>
      <c r="AV735" s="213"/>
      <c r="AW735" s="213"/>
      <c r="AX735" s="213"/>
      <c r="AY735" s="213"/>
      <c r="AZ735" s="213"/>
      <c r="BA735" s="213"/>
      <c r="BB735" s="213"/>
    </row>
    <row r="736">
      <c r="A736" s="199"/>
      <c r="B736" s="12"/>
      <c r="C736" s="202"/>
      <c r="D736" s="199"/>
      <c r="E736" s="211"/>
      <c r="F736" s="201"/>
      <c r="G736" s="199"/>
      <c r="H736" s="199"/>
      <c r="I736" s="199"/>
      <c r="J736" s="212"/>
      <c r="K736" s="212"/>
      <c r="L736" s="212"/>
      <c r="M736" s="212"/>
      <c r="N736" s="212"/>
      <c r="O736" s="212"/>
      <c r="P736" s="212"/>
      <c r="Q736" s="212"/>
      <c r="R736" s="212"/>
      <c r="S736" s="212"/>
      <c r="T736" s="212"/>
      <c r="U736" s="212"/>
      <c r="V736" s="212"/>
      <c r="W736" s="212"/>
      <c r="X736" s="212"/>
      <c r="Y736" s="212"/>
      <c r="Z736" s="204"/>
      <c r="AA736" s="204"/>
      <c r="AB736" s="204"/>
      <c r="AC736" s="204"/>
      <c r="AD736" s="204"/>
      <c r="AE736" s="212"/>
      <c r="AF736" s="213"/>
      <c r="AG736" s="213"/>
      <c r="AH736" s="213"/>
      <c r="AI736" s="213"/>
      <c r="AJ736" s="213"/>
      <c r="AK736" s="213"/>
      <c r="AL736" s="213"/>
      <c r="AM736" s="213"/>
      <c r="AN736" s="213"/>
      <c r="AO736" s="213"/>
      <c r="AP736" s="213"/>
      <c r="AQ736" s="213"/>
      <c r="AR736" s="213"/>
      <c r="AS736" s="213"/>
      <c r="AT736" s="213"/>
      <c r="AU736" s="213"/>
      <c r="AV736" s="213"/>
      <c r="AW736" s="213"/>
      <c r="AX736" s="213"/>
      <c r="AY736" s="213"/>
      <c r="AZ736" s="213"/>
      <c r="BA736" s="213"/>
      <c r="BB736" s="213"/>
    </row>
    <row r="737">
      <c r="A737" s="199"/>
      <c r="B737" s="12"/>
      <c r="C737" s="202"/>
      <c r="D737" s="199"/>
      <c r="E737" s="211"/>
      <c r="F737" s="201"/>
      <c r="G737" s="199"/>
      <c r="H737" s="199"/>
      <c r="I737" s="199"/>
      <c r="J737" s="212"/>
      <c r="K737" s="212"/>
      <c r="L737" s="212"/>
      <c r="M737" s="212"/>
      <c r="N737" s="212"/>
      <c r="O737" s="212"/>
      <c r="P737" s="212"/>
      <c r="Q737" s="212"/>
      <c r="R737" s="212"/>
      <c r="S737" s="212"/>
      <c r="T737" s="212"/>
      <c r="U737" s="212"/>
      <c r="V737" s="212"/>
      <c r="W737" s="212"/>
      <c r="X737" s="212"/>
      <c r="Y737" s="212"/>
      <c r="Z737" s="204"/>
      <c r="AA737" s="204"/>
      <c r="AB737" s="204"/>
      <c r="AC737" s="204"/>
      <c r="AD737" s="204"/>
      <c r="AE737" s="212"/>
      <c r="AF737" s="213"/>
      <c r="AG737" s="213"/>
      <c r="AH737" s="213"/>
      <c r="AI737" s="213"/>
      <c r="AJ737" s="213"/>
      <c r="AK737" s="213"/>
      <c r="AL737" s="213"/>
      <c r="AM737" s="213"/>
      <c r="AN737" s="213"/>
      <c r="AO737" s="213"/>
      <c r="AP737" s="213"/>
      <c r="AQ737" s="213"/>
      <c r="AR737" s="213"/>
      <c r="AS737" s="213"/>
      <c r="AT737" s="213"/>
      <c r="AU737" s="213"/>
      <c r="AV737" s="213"/>
      <c r="AW737" s="213"/>
      <c r="AX737" s="213"/>
      <c r="AY737" s="213"/>
      <c r="AZ737" s="213"/>
      <c r="BA737" s="213"/>
      <c r="BB737" s="213"/>
    </row>
    <row r="738">
      <c r="A738" s="199"/>
      <c r="B738" s="12"/>
      <c r="C738" s="202"/>
      <c r="D738" s="199"/>
      <c r="E738" s="211"/>
      <c r="F738" s="201"/>
      <c r="G738" s="199"/>
      <c r="H738" s="199"/>
      <c r="I738" s="199"/>
      <c r="J738" s="212"/>
      <c r="K738" s="212"/>
      <c r="L738" s="212"/>
      <c r="M738" s="212"/>
      <c r="N738" s="212"/>
      <c r="O738" s="212"/>
      <c r="P738" s="212"/>
      <c r="Q738" s="212"/>
      <c r="R738" s="212"/>
      <c r="S738" s="212"/>
      <c r="T738" s="212"/>
      <c r="U738" s="212"/>
      <c r="V738" s="212"/>
      <c r="W738" s="212"/>
      <c r="X738" s="212"/>
      <c r="Y738" s="212"/>
      <c r="Z738" s="204"/>
      <c r="AA738" s="204"/>
      <c r="AB738" s="204"/>
      <c r="AC738" s="204"/>
      <c r="AD738" s="204"/>
      <c r="AE738" s="212"/>
      <c r="AF738" s="213"/>
      <c r="AG738" s="213"/>
      <c r="AH738" s="213"/>
      <c r="AI738" s="213"/>
      <c r="AJ738" s="213"/>
      <c r="AK738" s="213"/>
      <c r="AL738" s="213"/>
      <c r="AM738" s="213"/>
      <c r="AN738" s="213"/>
      <c r="AO738" s="213"/>
      <c r="AP738" s="213"/>
      <c r="AQ738" s="213"/>
      <c r="AR738" s="213"/>
      <c r="AS738" s="213"/>
      <c r="AT738" s="213"/>
      <c r="AU738" s="213"/>
      <c r="AV738" s="213"/>
      <c r="AW738" s="213"/>
      <c r="AX738" s="213"/>
      <c r="AY738" s="213"/>
      <c r="AZ738" s="213"/>
      <c r="BA738" s="213"/>
      <c r="BB738" s="213"/>
    </row>
    <row r="739">
      <c r="A739" s="199"/>
      <c r="B739" s="12"/>
      <c r="C739" s="202"/>
      <c r="D739" s="199"/>
      <c r="E739" s="211"/>
      <c r="F739" s="201"/>
      <c r="G739" s="199"/>
      <c r="H739" s="199"/>
      <c r="I739" s="199"/>
      <c r="J739" s="212"/>
      <c r="K739" s="212"/>
      <c r="L739" s="212"/>
      <c r="M739" s="212"/>
      <c r="N739" s="212"/>
      <c r="O739" s="212"/>
      <c r="P739" s="212"/>
      <c r="Q739" s="212"/>
      <c r="R739" s="212"/>
      <c r="S739" s="212"/>
      <c r="T739" s="212"/>
      <c r="U739" s="212"/>
      <c r="V739" s="212"/>
      <c r="W739" s="212"/>
      <c r="X739" s="212"/>
      <c r="Y739" s="212"/>
      <c r="Z739" s="204"/>
      <c r="AA739" s="204"/>
      <c r="AB739" s="204"/>
      <c r="AC739" s="204"/>
      <c r="AD739" s="204"/>
      <c r="AE739" s="212"/>
      <c r="AF739" s="213"/>
      <c r="AG739" s="213"/>
      <c r="AH739" s="213"/>
      <c r="AI739" s="213"/>
      <c r="AJ739" s="213"/>
      <c r="AK739" s="213"/>
      <c r="AL739" s="213"/>
      <c r="AM739" s="213"/>
      <c r="AN739" s="213"/>
      <c r="AO739" s="213"/>
      <c r="AP739" s="213"/>
      <c r="AQ739" s="213"/>
      <c r="AR739" s="213"/>
      <c r="AS739" s="213"/>
      <c r="AT739" s="213"/>
      <c r="AU739" s="213"/>
      <c r="AV739" s="213"/>
      <c r="AW739" s="213"/>
      <c r="AX739" s="213"/>
      <c r="AY739" s="213"/>
      <c r="AZ739" s="213"/>
      <c r="BA739" s="213"/>
      <c r="BB739" s="213"/>
    </row>
    <row r="740">
      <c r="A740" s="199"/>
      <c r="B740" s="12"/>
      <c r="C740" s="202"/>
      <c r="D740" s="199"/>
      <c r="E740" s="211"/>
      <c r="F740" s="201"/>
      <c r="G740" s="199"/>
      <c r="H740" s="199"/>
      <c r="I740" s="199"/>
      <c r="J740" s="212"/>
      <c r="K740" s="212"/>
      <c r="L740" s="212"/>
      <c r="M740" s="212"/>
      <c r="N740" s="212"/>
      <c r="O740" s="212"/>
      <c r="P740" s="212"/>
      <c r="Q740" s="212"/>
      <c r="R740" s="212"/>
      <c r="S740" s="212"/>
      <c r="T740" s="212"/>
      <c r="U740" s="212"/>
      <c r="V740" s="212"/>
      <c r="W740" s="212"/>
      <c r="X740" s="212"/>
      <c r="Y740" s="212"/>
      <c r="Z740" s="204"/>
      <c r="AA740" s="204"/>
      <c r="AB740" s="204"/>
      <c r="AC740" s="204"/>
      <c r="AD740" s="204"/>
      <c r="AE740" s="212"/>
      <c r="AF740" s="213"/>
      <c r="AG740" s="213"/>
      <c r="AH740" s="213"/>
      <c r="AI740" s="213"/>
      <c r="AJ740" s="213"/>
      <c r="AK740" s="213"/>
      <c r="AL740" s="213"/>
      <c r="AM740" s="213"/>
      <c r="AN740" s="213"/>
      <c r="AO740" s="213"/>
      <c r="AP740" s="213"/>
      <c r="AQ740" s="213"/>
      <c r="AR740" s="213"/>
      <c r="AS740" s="213"/>
      <c r="AT740" s="213"/>
      <c r="AU740" s="213"/>
      <c r="AV740" s="213"/>
      <c r="AW740" s="213"/>
      <c r="AX740" s="213"/>
      <c r="AY740" s="213"/>
      <c r="AZ740" s="213"/>
      <c r="BA740" s="213"/>
      <c r="BB740" s="213"/>
    </row>
    <row r="741">
      <c r="A741" s="199"/>
      <c r="B741" s="12"/>
      <c r="C741" s="202"/>
      <c r="D741" s="199"/>
      <c r="E741" s="211"/>
      <c r="F741" s="201"/>
      <c r="G741" s="199"/>
      <c r="H741" s="199"/>
      <c r="I741" s="199"/>
      <c r="J741" s="212"/>
      <c r="K741" s="212"/>
      <c r="L741" s="212"/>
      <c r="M741" s="212"/>
      <c r="N741" s="212"/>
      <c r="O741" s="212"/>
      <c r="P741" s="212"/>
      <c r="Q741" s="212"/>
      <c r="R741" s="212"/>
      <c r="S741" s="212"/>
      <c r="T741" s="212"/>
      <c r="U741" s="212"/>
      <c r="V741" s="212"/>
      <c r="W741" s="212"/>
      <c r="X741" s="212"/>
      <c r="Y741" s="212"/>
      <c r="Z741" s="204"/>
      <c r="AA741" s="204"/>
      <c r="AB741" s="204"/>
      <c r="AC741" s="204"/>
      <c r="AD741" s="204"/>
      <c r="AE741" s="212"/>
      <c r="AF741" s="213"/>
      <c r="AG741" s="213"/>
      <c r="AH741" s="213"/>
      <c r="AI741" s="213"/>
      <c r="AJ741" s="213"/>
      <c r="AK741" s="213"/>
      <c r="AL741" s="213"/>
      <c r="AM741" s="213"/>
      <c r="AN741" s="213"/>
      <c r="AO741" s="213"/>
      <c r="AP741" s="213"/>
      <c r="AQ741" s="213"/>
      <c r="AR741" s="213"/>
      <c r="AS741" s="213"/>
      <c r="AT741" s="213"/>
      <c r="AU741" s="213"/>
      <c r="AV741" s="213"/>
      <c r="AW741" s="213"/>
      <c r="AX741" s="213"/>
      <c r="AY741" s="213"/>
      <c r="AZ741" s="213"/>
      <c r="BA741" s="213"/>
      <c r="BB741" s="213"/>
    </row>
    <row r="742">
      <c r="A742" s="199"/>
      <c r="B742" s="12"/>
      <c r="C742" s="202"/>
      <c r="D742" s="199"/>
      <c r="E742" s="211"/>
      <c r="F742" s="201"/>
      <c r="G742" s="199"/>
      <c r="H742" s="199"/>
      <c r="I742" s="199"/>
      <c r="J742" s="212"/>
      <c r="K742" s="212"/>
      <c r="L742" s="212"/>
      <c r="M742" s="212"/>
      <c r="N742" s="212"/>
      <c r="O742" s="212"/>
      <c r="P742" s="212"/>
      <c r="Q742" s="212"/>
      <c r="R742" s="212"/>
      <c r="S742" s="212"/>
      <c r="T742" s="212"/>
      <c r="U742" s="212"/>
      <c r="V742" s="212"/>
      <c r="W742" s="212"/>
      <c r="X742" s="212"/>
      <c r="Y742" s="212"/>
      <c r="Z742" s="204"/>
      <c r="AA742" s="204"/>
      <c r="AB742" s="204"/>
      <c r="AC742" s="204"/>
      <c r="AD742" s="204"/>
      <c r="AE742" s="212"/>
      <c r="AF742" s="213"/>
      <c r="AG742" s="213"/>
      <c r="AH742" s="213"/>
      <c r="AI742" s="213"/>
      <c r="AJ742" s="213"/>
      <c r="AK742" s="213"/>
      <c r="AL742" s="213"/>
      <c r="AM742" s="213"/>
      <c r="AN742" s="213"/>
      <c r="AO742" s="213"/>
      <c r="AP742" s="213"/>
      <c r="AQ742" s="213"/>
      <c r="AR742" s="213"/>
      <c r="AS742" s="213"/>
      <c r="AT742" s="213"/>
      <c r="AU742" s="213"/>
      <c r="AV742" s="213"/>
      <c r="AW742" s="213"/>
      <c r="AX742" s="213"/>
      <c r="AY742" s="213"/>
      <c r="AZ742" s="213"/>
      <c r="BA742" s="213"/>
      <c r="BB742" s="213"/>
    </row>
    <row r="743">
      <c r="A743" s="199"/>
      <c r="B743" s="12"/>
      <c r="C743" s="202"/>
      <c r="D743" s="199"/>
      <c r="E743" s="211"/>
      <c r="F743" s="201"/>
      <c r="G743" s="199"/>
      <c r="H743" s="199"/>
      <c r="I743" s="199"/>
      <c r="J743" s="212"/>
      <c r="K743" s="212"/>
      <c r="L743" s="212"/>
      <c r="M743" s="212"/>
      <c r="N743" s="212"/>
      <c r="O743" s="212"/>
      <c r="P743" s="212"/>
      <c r="Q743" s="212"/>
      <c r="R743" s="212"/>
      <c r="S743" s="212"/>
      <c r="T743" s="212"/>
      <c r="U743" s="212"/>
      <c r="V743" s="212"/>
      <c r="W743" s="212"/>
      <c r="X743" s="212"/>
      <c r="Y743" s="212"/>
      <c r="Z743" s="204"/>
      <c r="AA743" s="204"/>
      <c r="AB743" s="204"/>
      <c r="AC743" s="204"/>
      <c r="AD743" s="204"/>
      <c r="AE743" s="212"/>
      <c r="AF743" s="213"/>
      <c r="AG743" s="213"/>
      <c r="AH743" s="213"/>
      <c r="AI743" s="213"/>
      <c r="AJ743" s="213"/>
      <c r="AK743" s="213"/>
      <c r="AL743" s="213"/>
      <c r="AM743" s="213"/>
      <c r="AN743" s="213"/>
      <c r="AO743" s="213"/>
      <c r="AP743" s="213"/>
      <c r="AQ743" s="213"/>
      <c r="AR743" s="213"/>
      <c r="AS743" s="213"/>
      <c r="AT743" s="213"/>
      <c r="AU743" s="213"/>
      <c r="AV743" s="213"/>
      <c r="AW743" s="213"/>
      <c r="AX743" s="213"/>
      <c r="AY743" s="213"/>
      <c r="AZ743" s="213"/>
      <c r="BA743" s="213"/>
      <c r="BB743" s="213"/>
    </row>
    <row r="744">
      <c r="A744" s="199"/>
      <c r="B744" s="12"/>
      <c r="C744" s="202"/>
      <c r="D744" s="199"/>
      <c r="E744" s="211"/>
      <c r="F744" s="201"/>
      <c r="G744" s="199"/>
      <c r="H744" s="199"/>
      <c r="I744" s="199"/>
      <c r="J744" s="212"/>
      <c r="K744" s="212"/>
      <c r="L744" s="212"/>
      <c r="M744" s="212"/>
      <c r="N744" s="212"/>
      <c r="O744" s="212"/>
      <c r="P744" s="212"/>
      <c r="Q744" s="212"/>
      <c r="R744" s="212"/>
      <c r="S744" s="212"/>
      <c r="T744" s="212"/>
      <c r="U744" s="212"/>
      <c r="V744" s="212"/>
      <c r="W744" s="212"/>
      <c r="X744" s="212"/>
      <c r="Y744" s="212"/>
      <c r="Z744" s="204"/>
      <c r="AA744" s="204"/>
      <c r="AB744" s="204"/>
      <c r="AC744" s="204"/>
      <c r="AD744" s="204"/>
      <c r="AE744" s="212"/>
      <c r="AF744" s="213"/>
      <c r="AG744" s="213"/>
      <c r="AH744" s="213"/>
      <c r="AI744" s="213"/>
      <c r="AJ744" s="213"/>
      <c r="AK744" s="213"/>
      <c r="AL744" s="213"/>
      <c r="AM744" s="213"/>
      <c r="AN744" s="213"/>
      <c r="AO744" s="213"/>
      <c r="AP744" s="213"/>
      <c r="AQ744" s="213"/>
      <c r="AR744" s="213"/>
      <c r="AS744" s="213"/>
      <c r="AT744" s="213"/>
      <c r="AU744" s="213"/>
      <c r="AV744" s="213"/>
      <c r="AW744" s="213"/>
      <c r="AX744" s="213"/>
      <c r="AY744" s="213"/>
      <c r="AZ744" s="213"/>
      <c r="BA744" s="213"/>
      <c r="BB744" s="213"/>
    </row>
    <row r="745">
      <c r="A745" s="199"/>
      <c r="B745" s="12"/>
      <c r="C745" s="202"/>
      <c r="D745" s="199"/>
      <c r="E745" s="211"/>
      <c r="F745" s="201"/>
      <c r="G745" s="199"/>
      <c r="H745" s="199"/>
      <c r="I745" s="199"/>
      <c r="J745" s="212"/>
      <c r="K745" s="212"/>
      <c r="L745" s="212"/>
      <c r="M745" s="212"/>
      <c r="N745" s="212"/>
      <c r="O745" s="212"/>
      <c r="P745" s="212"/>
      <c r="Q745" s="212"/>
      <c r="R745" s="212"/>
      <c r="S745" s="212"/>
      <c r="T745" s="212"/>
      <c r="U745" s="212"/>
      <c r="V745" s="212"/>
      <c r="W745" s="212"/>
      <c r="X745" s="212"/>
      <c r="Y745" s="212"/>
      <c r="Z745" s="204"/>
      <c r="AA745" s="204"/>
      <c r="AB745" s="204"/>
      <c r="AC745" s="204"/>
      <c r="AD745" s="204"/>
      <c r="AE745" s="212"/>
      <c r="AF745" s="213"/>
      <c r="AG745" s="213"/>
      <c r="AH745" s="213"/>
      <c r="AI745" s="213"/>
      <c r="AJ745" s="213"/>
      <c r="AK745" s="213"/>
      <c r="AL745" s="213"/>
      <c r="AM745" s="213"/>
      <c r="AN745" s="213"/>
      <c r="AO745" s="213"/>
      <c r="AP745" s="213"/>
      <c r="AQ745" s="213"/>
      <c r="AR745" s="213"/>
      <c r="AS745" s="213"/>
      <c r="AT745" s="213"/>
      <c r="AU745" s="213"/>
      <c r="AV745" s="213"/>
      <c r="AW745" s="213"/>
      <c r="AX745" s="213"/>
      <c r="AY745" s="213"/>
      <c r="AZ745" s="213"/>
      <c r="BA745" s="213"/>
      <c r="BB745" s="213"/>
    </row>
    <row r="746">
      <c r="A746" s="199"/>
      <c r="B746" s="12"/>
      <c r="C746" s="202"/>
      <c r="D746" s="199"/>
      <c r="E746" s="211"/>
      <c r="F746" s="201"/>
      <c r="G746" s="199"/>
      <c r="H746" s="199"/>
      <c r="I746" s="199"/>
      <c r="J746" s="212"/>
      <c r="K746" s="212"/>
      <c r="L746" s="212"/>
      <c r="M746" s="212"/>
      <c r="N746" s="212"/>
      <c r="O746" s="212"/>
      <c r="P746" s="212"/>
      <c r="Q746" s="212"/>
      <c r="R746" s="212"/>
      <c r="S746" s="212"/>
      <c r="T746" s="212"/>
      <c r="U746" s="212"/>
      <c r="V746" s="212"/>
      <c r="W746" s="212"/>
      <c r="X746" s="212"/>
      <c r="Y746" s="212"/>
      <c r="Z746" s="204"/>
      <c r="AA746" s="204"/>
      <c r="AB746" s="204"/>
      <c r="AC746" s="204"/>
      <c r="AD746" s="204"/>
      <c r="AE746" s="212"/>
      <c r="AF746" s="213"/>
      <c r="AG746" s="213"/>
      <c r="AH746" s="213"/>
      <c r="AI746" s="213"/>
      <c r="AJ746" s="213"/>
      <c r="AK746" s="213"/>
      <c r="AL746" s="213"/>
      <c r="AM746" s="213"/>
      <c r="AN746" s="213"/>
      <c r="AO746" s="213"/>
      <c r="AP746" s="213"/>
      <c r="AQ746" s="213"/>
      <c r="AR746" s="213"/>
      <c r="AS746" s="213"/>
      <c r="AT746" s="213"/>
      <c r="AU746" s="213"/>
      <c r="AV746" s="213"/>
      <c r="AW746" s="213"/>
      <c r="AX746" s="213"/>
      <c r="AY746" s="213"/>
      <c r="AZ746" s="213"/>
      <c r="BA746" s="213"/>
      <c r="BB746" s="213"/>
    </row>
    <row r="747">
      <c r="A747" s="199"/>
      <c r="B747" s="12"/>
      <c r="C747" s="202"/>
      <c r="D747" s="199"/>
      <c r="E747" s="211"/>
      <c r="F747" s="201"/>
      <c r="G747" s="199"/>
      <c r="H747" s="199"/>
      <c r="I747" s="199"/>
      <c r="J747" s="212"/>
      <c r="K747" s="212"/>
      <c r="L747" s="212"/>
      <c r="M747" s="212"/>
      <c r="N747" s="212"/>
      <c r="O747" s="212"/>
      <c r="P747" s="212"/>
      <c r="Q747" s="212"/>
      <c r="R747" s="212"/>
      <c r="S747" s="212"/>
      <c r="T747" s="212"/>
      <c r="U747" s="212"/>
      <c r="V747" s="212"/>
      <c r="W747" s="212"/>
      <c r="X747" s="212"/>
      <c r="Y747" s="212"/>
      <c r="Z747" s="204"/>
      <c r="AA747" s="204"/>
      <c r="AB747" s="204"/>
      <c r="AC747" s="204"/>
      <c r="AD747" s="204"/>
      <c r="AE747" s="212"/>
      <c r="AF747" s="213"/>
      <c r="AG747" s="213"/>
      <c r="AH747" s="213"/>
      <c r="AI747" s="213"/>
      <c r="AJ747" s="213"/>
      <c r="AK747" s="213"/>
      <c r="AL747" s="213"/>
      <c r="AM747" s="213"/>
      <c r="AN747" s="213"/>
      <c r="AO747" s="213"/>
      <c r="AP747" s="213"/>
      <c r="AQ747" s="213"/>
      <c r="AR747" s="213"/>
      <c r="AS747" s="213"/>
      <c r="AT747" s="213"/>
      <c r="AU747" s="213"/>
      <c r="AV747" s="213"/>
      <c r="AW747" s="213"/>
      <c r="AX747" s="213"/>
      <c r="AY747" s="213"/>
      <c r="AZ747" s="213"/>
      <c r="BA747" s="213"/>
      <c r="BB747" s="213"/>
    </row>
    <row r="748">
      <c r="A748" s="199"/>
      <c r="B748" s="12"/>
      <c r="C748" s="202"/>
      <c r="D748" s="199"/>
      <c r="E748" s="211"/>
      <c r="F748" s="201"/>
      <c r="G748" s="199"/>
      <c r="H748" s="199"/>
      <c r="I748" s="199"/>
      <c r="J748" s="212"/>
      <c r="K748" s="212"/>
      <c r="L748" s="212"/>
      <c r="M748" s="212"/>
      <c r="N748" s="212"/>
      <c r="O748" s="212"/>
      <c r="P748" s="212"/>
      <c r="Q748" s="212"/>
      <c r="R748" s="212"/>
      <c r="S748" s="212"/>
      <c r="T748" s="212"/>
      <c r="U748" s="212"/>
      <c r="V748" s="212"/>
      <c r="W748" s="212"/>
      <c r="X748" s="212"/>
      <c r="Y748" s="212"/>
      <c r="Z748" s="204"/>
      <c r="AA748" s="204"/>
      <c r="AB748" s="204"/>
      <c r="AC748" s="204"/>
      <c r="AD748" s="204"/>
      <c r="AE748" s="212"/>
      <c r="AF748" s="213"/>
      <c r="AG748" s="213"/>
      <c r="AH748" s="213"/>
      <c r="AI748" s="213"/>
      <c r="AJ748" s="213"/>
      <c r="AK748" s="213"/>
      <c r="AL748" s="213"/>
      <c r="AM748" s="213"/>
      <c r="AN748" s="213"/>
      <c r="AO748" s="213"/>
      <c r="AP748" s="213"/>
      <c r="AQ748" s="213"/>
      <c r="AR748" s="213"/>
      <c r="AS748" s="213"/>
      <c r="AT748" s="213"/>
      <c r="AU748" s="213"/>
      <c r="AV748" s="213"/>
      <c r="AW748" s="213"/>
      <c r="AX748" s="213"/>
      <c r="AY748" s="213"/>
      <c r="AZ748" s="213"/>
      <c r="BA748" s="213"/>
      <c r="BB748" s="213"/>
    </row>
    <row r="749">
      <c r="A749" s="199"/>
      <c r="B749" s="12"/>
      <c r="C749" s="202"/>
      <c r="D749" s="199"/>
      <c r="E749" s="211"/>
      <c r="F749" s="201"/>
      <c r="G749" s="199"/>
      <c r="H749" s="199"/>
      <c r="I749" s="199"/>
      <c r="J749" s="212"/>
      <c r="K749" s="212"/>
      <c r="L749" s="212"/>
      <c r="M749" s="212"/>
      <c r="N749" s="212"/>
      <c r="O749" s="212"/>
      <c r="P749" s="212"/>
      <c r="Q749" s="212"/>
      <c r="R749" s="212"/>
      <c r="S749" s="212"/>
      <c r="T749" s="212"/>
      <c r="U749" s="212"/>
      <c r="V749" s="212"/>
      <c r="W749" s="212"/>
      <c r="X749" s="212"/>
      <c r="Y749" s="212"/>
      <c r="Z749" s="204"/>
      <c r="AA749" s="204"/>
      <c r="AB749" s="204"/>
      <c r="AC749" s="204"/>
      <c r="AD749" s="204"/>
      <c r="AE749" s="212"/>
      <c r="AF749" s="213"/>
      <c r="AG749" s="213"/>
      <c r="AH749" s="213"/>
      <c r="AI749" s="213"/>
      <c r="AJ749" s="213"/>
      <c r="AK749" s="213"/>
      <c r="AL749" s="213"/>
      <c r="AM749" s="213"/>
      <c r="AN749" s="213"/>
      <c r="AO749" s="213"/>
      <c r="AP749" s="213"/>
      <c r="AQ749" s="213"/>
      <c r="AR749" s="213"/>
      <c r="AS749" s="213"/>
      <c r="AT749" s="213"/>
      <c r="AU749" s="213"/>
      <c r="AV749" s="213"/>
      <c r="AW749" s="213"/>
      <c r="AX749" s="213"/>
      <c r="AY749" s="213"/>
      <c r="AZ749" s="213"/>
      <c r="BA749" s="213"/>
      <c r="BB749" s="213"/>
    </row>
    <row r="750">
      <c r="A750" s="199"/>
      <c r="B750" s="12"/>
      <c r="C750" s="202"/>
      <c r="D750" s="199"/>
      <c r="E750" s="211"/>
      <c r="F750" s="201"/>
      <c r="G750" s="199"/>
      <c r="H750" s="199"/>
      <c r="I750" s="199"/>
      <c r="J750" s="212"/>
      <c r="K750" s="212"/>
      <c r="L750" s="212"/>
      <c r="M750" s="212"/>
      <c r="N750" s="212"/>
      <c r="O750" s="212"/>
      <c r="P750" s="212"/>
      <c r="Q750" s="212"/>
      <c r="R750" s="212"/>
      <c r="S750" s="212"/>
      <c r="T750" s="212"/>
      <c r="U750" s="212"/>
      <c r="V750" s="212"/>
      <c r="W750" s="212"/>
      <c r="X750" s="212"/>
      <c r="Y750" s="212"/>
      <c r="Z750" s="204"/>
      <c r="AA750" s="204"/>
      <c r="AB750" s="204"/>
      <c r="AC750" s="204"/>
      <c r="AD750" s="204"/>
      <c r="AE750" s="212"/>
      <c r="AF750" s="213"/>
      <c r="AG750" s="213"/>
      <c r="AH750" s="213"/>
      <c r="AI750" s="213"/>
      <c r="AJ750" s="213"/>
      <c r="AK750" s="213"/>
      <c r="AL750" s="213"/>
      <c r="AM750" s="213"/>
      <c r="AN750" s="213"/>
      <c r="AO750" s="213"/>
      <c r="AP750" s="213"/>
      <c r="AQ750" s="213"/>
      <c r="AR750" s="213"/>
      <c r="AS750" s="213"/>
      <c r="AT750" s="213"/>
      <c r="AU750" s="213"/>
      <c r="AV750" s="213"/>
      <c r="AW750" s="213"/>
      <c r="AX750" s="213"/>
      <c r="AY750" s="213"/>
      <c r="AZ750" s="213"/>
      <c r="BA750" s="213"/>
      <c r="BB750" s="213"/>
    </row>
    <row r="751">
      <c r="A751" s="199"/>
      <c r="B751" s="12"/>
      <c r="C751" s="202"/>
      <c r="D751" s="199"/>
      <c r="E751" s="211"/>
      <c r="F751" s="201"/>
      <c r="G751" s="199"/>
      <c r="H751" s="199"/>
      <c r="I751" s="199"/>
      <c r="J751" s="212"/>
      <c r="K751" s="212"/>
      <c r="L751" s="212"/>
      <c r="M751" s="212"/>
      <c r="N751" s="212"/>
      <c r="O751" s="212"/>
      <c r="P751" s="212"/>
      <c r="Q751" s="212"/>
      <c r="R751" s="212"/>
      <c r="S751" s="212"/>
      <c r="T751" s="212"/>
      <c r="U751" s="212"/>
      <c r="V751" s="212"/>
      <c r="W751" s="212"/>
      <c r="X751" s="212"/>
      <c r="Y751" s="212"/>
      <c r="Z751" s="204"/>
      <c r="AA751" s="204"/>
      <c r="AB751" s="204"/>
      <c r="AC751" s="204"/>
      <c r="AD751" s="204"/>
      <c r="AE751" s="212"/>
      <c r="AF751" s="213"/>
      <c r="AG751" s="213"/>
      <c r="AH751" s="213"/>
      <c r="AI751" s="213"/>
      <c r="AJ751" s="213"/>
      <c r="AK751" s="213"/>
      <c r="AL751" s="213"/>
      <c r="AM751" s="213"/>
      <c r="AN751" s="213"/>
      <c r="AO751" s="213"/>
      <c r="AP751" s="213"/>
      <c r="AQ751" s="213"/>
      <c r="AR751" s="213"/>
      <c r="AS751" s="213"/>
      <c r="AT751" s="213"/>
      <c r="AU751" s="213"/>
      <c r="AV751" s="213"/>
      <c r="AW751" s="213"/>
      <c r="AX751" s="213"/>
      <c r="AY751" s="213"/>
      <c r="AZ751" s="213"/>
      <c r="BA751" s="213"/>
      <c r="BB751" s="213"/>
    </row>
    <row r="752">
      <c r="A752" s="199"/>
      <c r="B752" s="12"/>
      <c r="C752" s="202"/>
      <c r="D752" s="199"/>
      <c r="E752" s="211"/>
      <c r="F752" s="201"/>
      <c r="G752" s="199"/>
      <c r="H752" s="199"/>
      <c r="I752" s="199"/>
      <c r="J752" s="212"/>
      <c r="K752" s="212"/>
      <c r="L752" s="212"/>
      <c r="M752" s="212"/>
      <c r="N752" s="212"/>
      <c r="O752" s="212"/>
      <c r="P752" s="212"/>
      <c r="Q752" s="212"/>
      <c r="R752" s="212"/>
      <c r="S752" s="212"/>
      <c r="T752" s="212"/>
      <c r="U752" s="212"/>
      <c r="V752" s="212"/>
      <c r="W752" s="212"/>
      <c r="X752" s="212"/>
      <c r="Y752" s="212"/>
      <c r="Z752" s="204"/>
      <c r="AA752" s="204"/>
      <c r="AB752" s="204"/>
      <c r="AC752" s="204"/>
      <c r="AD752" s="204"/>
      <c r="AE752" s="212"/>
      <c r="AF752" s="213"/>
      <c r="AG752" s="213"/>
      <c r="AH752" s="213"/>
      <c r="AI752" s="213"/>
      <c r="AJ752" s="213"/>
      <c r="AK752" s="213"/>
      <c r="AL752" s="213"/>
      <c r="AM752" s="213"/>
      <c r="AN752" s="213"/>
      <c r="AO752" s="213"/>
      <c r="AP752" s="213"/>
      <c r="AQ752" s="213"/>
      <c r="AR752" s="213"/>
      <c r="AS752" s="213"/>
      <c r="AT752" s="213"/>
      <c r="AU752" s="213"/>
      <c r="AV752" s="213"/>
      <c r="AW752" s="213"/>
      <c r="AX752" s="213"/>
      <c r="AY752" s="213"/>
      <c r="AZ752" s="213"/>
      <c r="BA752" s="213"/>
      <c r="BB752" s="213"/>
    </row>
    <row r="753">
      <c r="A753" s="199"/>
      <c r="B753" s="12"/>
      <c r="C753" s="202"/>
      <c r="D753" s="199"/>
      <c r="E753" s="211"/>
      <c r="F753" s="201"/>
      <c r="G753" s="199"/>
      <c r="H753" s="199"/>
      <c r="I753" s="199"/>
      <c r="J753" s="212"/>
      <c r="K753" s="212"/>
      <c r="L753" s="212"/>
      <c r="M753" s="212"/>
      <c r="N753" s="212"/>
      <c r="O753" s="212"/>
      <c r="P753" s="212"/>
      <c r="Q753" s="212"/>
      <c r="R753" s="212"/>
      <c r="S753" s="212"/>
      <c r="T753" s="212"/>
      <c r="U753" s="212"/>
      <c r="V753" s="212"/>
      <c r="W753" s="212"/>
      <c r="X753" s="212"/>
      <c r="Y753" s="212"/>
      <c r="Z753" s="204"/>
      <c r="AA753" s="204"/>
      <c r="AB753" s="204"/>
      <c r="AC753" s="204"/>
      <c r="AD753" s="204"/>
      <c r="AE753" s="212"/>
      <c r="AF753" s="213"/>
      <c r="AG753" s="213"/>
      <c r="AH753" s="213"/>
      <c r="AI753" s="213"/>
      <c r="AJ753" s="213"/>
      <c r="AK753" s="213"/>
      <c r="AL753" s="213"/>
      <c r="AM753" s="213"/>
      <c r="AN753" s="213"/>
      <c r="AO753" s="213"/>
      <c r="AP753" s="213"/>
      <c r="AQ753" s="213"/>
      <c r="AR753" s="213"/>
      <c r="AS753" s="213"/>
      <c r="AT753" s="213"/>
      <c r="AU753" s="213"/>
      <c r="AV753" s="213"/>
      <c r="AW753" s="213"/>
      <c r="AX753" s="213"/>
      <c r="AY753" s="213"/>
      <c r="AZ753" s="213"/>
      <c r="BA753" s="213"/>
      <c r="BB753" s="213"/>
    </row>
    <row r="754">
      <c r="A754" s="199"/>
      <c r="B754" s="12"/>
      <c r="C754" s="202"/>
      <c r="D754" s="199"/>
      <c r="E754" s="211"/>
      <c r="F754" s="201"/>
      <c r="G754" s="199"/>
      <c r="H754" s="199"/>
      <c r="I754" s="199"/>
      <c r="J754" s="212"/>
      <c r="K754" s="212"/>
      <c r="L754" s="212"/>
      <c r="M754" s="212"/>
      <c r="N754" s="212"/>
      <c r="O754" s="212"/>
      <c r="P754" s="212"/>
      <c r="Q754" s="212"/>
      <c r="R754" s="212"/>
      <c r="S754" s="212"/>
      <c r="T754" s="212"/>
      <c r="U754" s="212"/>
      <c r="V754" s="212"/>
      <c r="W754" s="212"/>
      <c r="X754" s="212"/>
      <c r="Y754" s="212"/>
      <c r="Z754" s="204"/>
      <c r="AA754" s="204"/>
      <c r="AB754" s="204"/>
      <c r="AC754" s="204"/>
      <c r="AD754" s="204"/>
      <c r="AE754" s="212"/>
      <c r="AF754" s="213"/>
      <c r="AG754" s="213"/>
      <c r="AH754" s="213"/>
      <c r="AI754" s="213"/>
      <c r="AJ754" s="213"/>
      <c r="AK754" s="213"/>
      <c r="AL754" s="213"/>
      <c r="AM754" s="213"/>
      <c r="AN754" s="213"/>
      <c r="AO754" s="213"/>
      <c r="AP754" s="213"/>
      <c r="AQ754" s="213"/>
      <c r="AR754" s="213"/>
      <c r="AS754" s="213"/>
      <c r="AT754" s="213"/>
      <c r="AU754" s="213"/>
      <c r="AV754" s="213"/>
      <c r="AW754" s="213"/>
      <c r="AX754" s="213"/>
      <c r="AY754" s="213"/>
      <c r="AZ754" s="213"/>
      <c r="BA754" s="213"/>
      <c r="BB754" s="213"/>
    </row>
    <row r="755">
      <c r="A755" s="199"/>
      <c r="B755" s="12"/>
      <c r="C755" s="202"/>
      <c r="D755" s="199"/>
      <c r="E755" s="211"/>
      <c r="F755" s="201"/>
      <c r="G755" s="199"/>
      <c r="H755" s="199"/>
      <c r="I755" s="199"/>
      <c r="J755" s="212"/>
      <c r="K755" s="212"/>
      <c r="L755" s="212"/>
      <c r="M755" s="212"/>
      <c r="N755" s="212"/>
      <c r="O755" s="212"/>
      <c r="P755" s="212"/>
      <c r="Q755" s="212"/>
      <c r="R755" s="212"/>
      <c r="S755" s="212"/>
      <c r="T755" s="212"/>
      <c r="U755" s="212"/>
      <c r="V755" s="212"/>
      <c r="W755" s="212"/>
      <c r="X755" s="212"/>
      <c r="Y755" s="212"/>
      <c r="Z755" s="204"/>
      <c r="AA755" s="204"/>
      <c r="AB755" s="204"/>
      <c r="AC755" s="204"/>
      <c r="AD755" s="204"/>
      <c r="AE755" s="212"/>
      <c r="AF755" s="213"/>
      <c r="AG755" s="213"/>
      <c r="AH755" s="213"/>
      <c r="AI755" s="213"/>
      <c r="AJ755" s="213"/>
      <c r="AK755" s="213"/>
      <c r="AL755" s="213"/>
      <c r="AM755" s="213"/>
      <c r="AN755" s="213"/>
      <c r="AO755" s="213"/>
      <c r="AP755" s="213"/>
      <c r="AQ755" s="213"/>
      <c r="AR755" s="213"/>
      <c r="AS755" s="213"/>
      <c r="AT755" s="213"/>
      <c r="AU755" s="213"/>
      <c r="AV755" s="213"/>
      <c r="AW755" s="213"/>
      <c r="AX755" s="213"/>
      <c r="AY755" s="213"/>
      <c r="AZ755" s="213"/>
      <c r="BA755" s="213"/>
      <c r="BB755" s="213"/>
    </row>
    <row r="756">
      <c r="A756" s="199"/>
      <c r="B756" s="12"/>
      <c r="C756" s="202"/>
      <c r="D756" s="199"/>
      <c r="E756" s="211"/>
      <c r="F756" s="201"/>
      <c r="G756" s="199"/>
      <c r="H756" s="199"/>
      <c r="I756" s="199"/>
      <c r="J756" s="212"/>
      <c r="K756" s="212"/>
      <c r="L756" s="212"/>
      <c r="M756" s="212"/>
      <c r="N756" s="212"/>
      <c r="O756" s="212"/>
      <c r="P756" s="212"/>
      <c r="Q756" s="212"/>
      <c r="R756" s="212"/>
      <c r="S756" s="212"/>
      <c r="T756" s="212"/>
      <c r="U756" s="212"/>
      <c r="V756" s="212"/>
      <c r="W756" s="212"/>
      <c r="X756" s="212"/>
      <c r="Y756" s="212"/>
      <c r="Z756" s="204"/>
      <c r="AA756" s="204"/>
      <c r="AB756" s="204"/>
      <c r="AC756" s="204"/>
      <c r="AD756" s="204"/>
      <c r="AE756" s="212"/>
      <c r="AF756" s="213"/>
      <c r="AG756" s="213"/>
      <c r="AH756" s="213"/>
      <c r="AI756" s="213"/>
      <c r="AJ756" s="213"/>
      <c r="AK756" s="213"/>
      <c r="AL756" s="213"/>
      <c r="AM756" s="213"/>
      <c r="AN756" s="213"/>
      <c r="AO756" s="213"/>
      <c r="AP756" s="213"/>
      <c r="AQ756" s="213"/>
      <c r="AR756" s="213"/>
      <c r="AS756" s="213"/>
      <c r="AT756" s="213"/>
      <c r="AU756" s="213"/>
      <c r="AV756" s="213"/>
      <c r="AW756" s="213"/>
      <c r="AX756" s="213"/>
      <c r="AY756" s="213"/>
      <c r="AZ756" s="213"/>
      <c r="BA756" s="213"/>
      <c r="BB756" s="213"/>
    </row>
    <row r="757">
      <c r="A757" s="199"/>
      <c r="B757" s="12"/>
      <c r="C757" s="202"/>
      <c r="D757" s="199"/>
      <c r="E757" s="211"/>
      <c r="F757" s="201"/>
      <c r="G757" s="199"/>
      <c r="H757" s="199"/>
      <c r="I757" s="199"/>
      <c r="J757" s="212"/>
      <c r="K757" s="212"/>
      <c r="L757" s="212"/>
      <c r="M757" s="212"/>
      <c r="N757" s="212"/>
      <c r="O757" s="212"/>
      <c r="P757" s="212"/>
      <c r="Q757" s="212"/>
      <c r="R757" s="212"/>
      <c r="S757" s="212"/>
      <c r="T757" s="212"/>
      <c r="U757" s="212"/>
      <c r="V757" s="212"/>
      <c r="W757" s="212"/>
      <c r="X757" s="212"/>
      <c r="Y757" s="212"/>
      <c r="Z757" s="204"/>
      <c r="AA757" s="204"/>
      <c r="AB757" s="204"/>
      <c r="AC757" s="204"/>
      <c r="AD757" s="204"/>
      <c r="AE757" s="212"/>
      <c r="AF757" s="213"/>
      <c r="AG757" s="213"/>
      <c r="AH757" s="213"/>
      <c r="AI757" s="213"/>
      <c r="AJ757" s="213"/>
      <c r="AK757" s="213"/>
      <c r="AL757" s="213"/>
      <c r="AM757" s="213"/>
      <c r="AN757" s="213"/>
      <c r="AO757" s="213"/>
      <c r="AP757" s="213"/>
      <c r="AQ757" s="213"/>
      <c r="AR757" s="213"/>
      <c r="AS757" s="213"/>
      <c r="AT757" s="213"/>
      <c r="AU757" s="213"/>
      <c r="AV757" s="213"/>
      <c r="AW757" s="213"/>
      <c r="AX757" s="213"/>
      <c r="AY757" s="213"/>
      <c r="AZ757" s="213"/>
      <c r="BA757" s="213"/>
      <c r="BB757" s="213"/>
    </row>
    <row r="758">
      <c r="A758" s="199"/>
      <c r="B758" s="12"/>
      <c r="C758" s="202"/>
      <c r="D758" s="199"/>
      <c r="E758" s="211"/>
      <c r="F758" s="201"/>
      <c r="G758" s="199"/>
      <c r="H758" s="199"/>
      <c r="I758" s="199"/>
      <c r="J758" s="212"/>
      <c r="K758" s="212"/>
      <c r="L758" s="212"/>
      <c r="M758" s="212"/>
      <c r="N758" s="212"/>
      <c r="O758" s="212"/>
      <c r="P758" s="212"/>
      <c r="Q758" s="212"/>
      <c r="R758" s="212"/>
      <c r="S758" s="212"/>
      <c r="T758" s="212"/>
      <c r="U758" s="212"/>
      <c r="V758" s="212"/>
      <c r="W758" s="212"/>
      <c r="X758" s="212"/>
      <c r="Y758" s="212"/>
      <c r="Z758" s="204"/>
      <c r="AA758" s="204"/>
      <c r="AB758" s="204"/>
      <c r="AC758" s="204"/>
      <c r="AD758" s="204"/>
      <c r="AE758" s="212"/>
      <c r="AF758" s="213"/>
      <c r="AG758" s="213"/>
      <c r="AH758" s="213"/>
      <c r="AI758" s="213"/>
      <c r="AJ758" s="213"/>
      <c r="AK758" s="213"/>
      <c r="AL758" s="213"/>
      <c r="AM758" s="213"/>
      <c r="AN758" s="213"/>
      <c r="AO758" s="213"/>
      <c r="AP758" s="213"/>
      <c r="AQ758" s="213"/>
      <c r="AR758" s="213"/>
      <c r="AS758" s="213"/>
      <c r="AT758" s="213"/>
      <c r="AU758" s="213"/>
      <c r="AV758" s="213"/>
      <c r="AW758" s="213"/>
      <c r="AX758" s="213"/>
      <c r="AY758" s="213"/>
      <c r="AZ758" s="213"/>
      <c r="BA758" s="213"/>
      <c r="BB758" s="213"/>
    </row>
    <row r="759">
      <c r="A759" s="199"/>
      <c r="B759" s="12"/>
      <c r="C759" s="202"/>
      <c r="D759" s="199"/>
      <c r="E759" s="211"/>
      <c r="F759" s="201"/>
      <c r="G759" s="199"/>
      <c r="H759" s="199"/>
      <c r="I759" s="199"/>
      <c r="J759" s="212"/>
      <c r="K759" s="212"/>
      <c r="L759" s="212"/>
      <c r="M759" s="212"/>
      <c r="N759" s="212"/>
      <c r="O759" s="212"/>
      <c r="P759" s="212"/>
      <c r="Q759" s="212"/>
      <c r="R759" s="212"/>
      <c r="S759" s="212"/>
      <c r="T759" s="212"/>
      <c r="U759" s="212"/>
      <c r="V759" s="212"/>
      <c r="W759" s="212"/>
      <c r="X759" s="212"/>
      <c r="Y759" s="212"/>
      <c r="Z759" s="204"/>
      <c r="AA759" s="204"/>
      <c r="AB759" s="204"/>
      <c r="AC759" s="204"/>
      <c r="AD759" s="204"/>
      <c r="AE759" s="212"/>
      <c r="AF759" s="213"/>
      <c r="AG759" s="213"/>
      <c r="AH759" s="213"/>
      <c r="AI759" s="213"/>
      <c r="AJ759" s="213"/>
      <c r="AK759" s="213"/>
      <c r="AL759" s="213"/>
      <c r="AM759" s="213"/>
      <c r="AN759" s="213"/>
      <c r="AO759" s="213"/>
      <c r="AP759" s="213"/>
      <c r="AQ759" s="213"/>
      <c r="AR759" s="213"/>
      <c r="AS759" s="213"/>
      <c r="AT759" s="213"/>
      <c r="AU759" s="213"/>
      <c r="AV759" s="213"/>
      <c r="AW759" s="213"/>
      <c r="AX759" s="213"/>
      <c r="AY759" s="213"/>
      <c r="AZ759" s="213"/>
      <c r="BA759" s="213"/>
      <c r="BB759" s="213"/>
    </row>
    <row r="760">
      <c r="A760" s="199"/>
      <c r="B760" s="12"/>
      <c r="C760" s="202"/>
      <c r="D760" s="199"/>
      <c r="E760" s="211"/>
      <c r="F760" s="201"/>
      <c r="G760" s="199"/>
      <c r="H760" s="199"/>
      <c r="I760" s="199"/>
      <c r="J760" s="212"/>
      <c r="K760" s="212"/>
      <c r="L760" s="212"/>
      <c r="M760" s="212"/>
      <c r="N760" s="212"/>
      <c r="O760" s="212"/>
      <c r="P760" s="212"/>
      <c r="Q760" s="212"/>
      <c r="R760" s="212"/>
      <c r="S760" s="212"/>
      <c r="T760" s="212"/>
      <c r="U760" s="212"/>
      <c r="V760" s="212"/>
      <c r="W760" s="212"/>
      <c r="X760" s="212"/>
      <c r="Y760" s="212"/>
      <c r="Z760" s="204"/>
      <c r="AA760" s="204"/>
      <c r="AB760" s="204"/>
      <c r="AC760" s="204"/>
      <c r="AD760" s="204"/>
      <c r="AE760" s="212"/>
      <c r="AF760" s="213"/>
      <c r="AG760" s="213"/>
      <c r="AH760" s="213"/>
      <c r="AI760" s="213"/>
      <c r="AJ760" s="213"/>
      <c r="AK760" s="213"/>
      <c r="AL760" s="213"/>
      <c r="AM760" s="213"/>
      <c r="AN760" s="213"/>
      <c r="AO760" s="213"/>
      <c r="AP760" s="213"/>
      <c r="AQ760" s="213"/>
      <c r="AR760" s="213"/>
      <c r="AS760" s="213"/>
      <c r="AT760" s="213"/>
      <c r="AU760" s="213"/>
      <c r="AV760" s="213"/>
      <c r="AW760" s="213"/>
      <c r="AX760" s="213"/>
      <c r="AY760" s="213"/>
      <c r="AZ760" s="213"/>
      <c r="BA760" s="213"/>
      <c r="BB760" s="213"/>
    </row>
    <row r="761">
      <c r="A761" s="199"/>
      <c r="B761" s="12"/>
      <c r="C761" s="202"/>
      <c r="D761" s="199"/>
      <c r="E761" s="211"/>
      <c r="F761" s="201"/>
      <c r="G761" s="199"/>
      <c r="H761" s="199"/>
      <c r="I761" s="199"/>
      <c r="J761" s="212"/>
      <c r="K761" s="212"/>
      <c r="L761" s="212"/>
      <c r="M761" s="212"/>
      <c r="N761" s="212"/>
      <c r="O761" s="212"/>
      <c r="P761" s="212"/>
      <c r="Q761" s="212"/>
      <c r="R761" s="212"/>
      <c r="S761" s="212"/>
      <c r="T761" s="212"/>
      <c r="U761" s="212"/>
      <c r="V761" s="212"/>
      <c r="W761" s="212"/>
      <c r="X761" s="212"/>
      <c r="Y761" s="212"/>
      <c r="Z761" s="204"/>
      <c r="AA761" s="204"/>
      <c r="AB761" s="204"/>
      <c r="AC761" s="204"/>
      <c r="AD761" s="204"/>
      <c r="AE761" s="212"/>
      <c r="AF761" s="213"/>
      <c r="AG761" s="213"/>
      <c r="AH761" s="213"/>
      <c r="AI761" s="213"/>
      <c r="AJ761" s="213"/>
      <c r="AK761" s="213"/>
      <c r="AL761" s="213"/>
      <c r="AM761" s="213"/>
      <c r="AN761" s="213"/>
      <c r="AO761" s="213"/>
      <c r="AP761" s="213"/>
      <c r="AQ761" s="213"/>
      <c r="AR761" s="213"/>
      <c r="AS761" s="213"/>
      <c r="AT761" s="213"/>
      <c r="AU761" s="213"/>
      <c r="AV761" s="213"/>
      <c r="AW761" s="213"/>
      <c r="AX761" s="213"/>
      <c r="AY761" s="213"/>
      <c r="AZ761" s="213"/>
      <c r="BA761" s="213"/>
      <c r="BB761" s="213"/>
    </row>
    <row r="762">
      <c r="A762" s="199"/>
      <c r="B762" s="12"/>
      <c r="C762" s="202"/>
      <c r="D762" s="199"/>
      <c r="E762" s="211"/>
      <c r="F762" s="201"/>
      <c r="G762" s="199"/>
      <c r="H762" s="199"/>
      <c r="I762" s="199"/>
      <c r="J762" s="212"/>
      <c r="K762" s="212"/>
      <c r="L762" s="212"/>
      <c r="M762" s="212"/>
      <c r="N762" s="212"/>
      <c r="O762" s="212"/>
      <c r="P762" s="212"/>
      <c r="Q762" s="212"/>
      <c r="R762" s="212"/>
      <c r="S762" s="212"/>
      <c r="T762" s="212"/>
      <c r="U762" s="212"/>
      <c r="V762" s="212"/>
      <c r="W762" s="212"/>
      <c r="X762" s="212"/>
      <c r="Y762" s="212"/>
      <c r="Z762" s="204"/>
      <c r="AA762" s="204"/>
      <c r="AB762" s="204"/>
      <c r="AC762" s="204"/>
      <c r="AD762" s="204"/>
      <c r="AE762" s="212"/>
      <c r="AF762" s="213"/>
      <c r="AG762" s="213"/>
      <c r="AH762" s="213"/>
      <c r="AI762" s="213"/>
      <c r="AJ762" s="213"/>
      <c r="AK762" s="213"/>
      <c r="AL762" s="213"/>
      <c r="AM762" s="213"/>
      <c r="AN762" s="213"/>
      <c r="AO762" s="213"/>
      <c r="AP762" s="213"/>
      <c r="AQ762" s="213"/>
      <c r="AR762" s="213"/>
      <c r="AS762" s="213"/>
      <c r="AT762" s="213"/>
      <c r="AU762" s="213"/>
      <c r="AV762" s="213"/>
      <c r="AW762" s="213"/>
      <c r="AX762" s="213"/>
      <c r="AY762" s="213"/>
      <c r="AZ762" s="213"/>
      <c r="BA762" s="213"/>
      <c r="BB762" s="213"/>
    </row>
    <row r="763">
      <c r="A763" s="199"/>
      <c r="B763" s="12"/>
      <c r="C763" s="202"/>
      <c r="D763" s="199"/>
      <c r="E763" s="211"/>
      <c r="F763" s="201"/>
      <c r="G763" s="199"/>
      <c r="H763" s="199"/>
      <c r="I763" s="199"/>
      <c r="J763" s="212"/>
      <c r="K763" s="212"/>
      <c r="L763" s="212"/>
      <c r="M763" s="212"/>
      <c r="N763" s="212"/>
      <c r="O763" s="212"/>
      <c r="P763" s="212"/>
      <c r="Q763" s="212"/>
      <c r="R763" s="212"/>
      <c r="S763" s="212"/>
      <c r="T763" s="212"/>
      <c r="U763" s="212"/>
      <c r="V763" s="212"/>
      <c r="W763" s="212"/>
      <c r="X763" s="212"/>
      <c r="Y763" s="212"/>
      <c r="Z763" s="204"/>
      <c r="AA763" s="204"/>
      <c r="AB763" s="204"/>
      <c r="AC763" s="204"/>
      <c r="AD763" s="204"/>
      <c r="AE763" s="212"/>
      <c r="AF763" s="213"/>
      <c r="AG763" s="213"/>
      <c r="AH763" s="213"/>
      <c r="AI763" s="213"/>
      <c r="AJ763" s="213"/>
      <c r="AK763" s="213"/>
      <c r="AL763" s="213"/>
      <c r="AM763" s="213"/>
      <c r="AN763" s="213"/>
      <c r="AO763" s="213"/>
      <c r="AP763" s="213"/>
      <c r="AQ763" s="213"/>
      <c r="AR763" s="213"/>
      <c r="AS763" s="213"/>
      <c r="AT763" s="213"/>
      <c r="AU763" s="213"/>
      <c r="AV763" s="213"/>
      <c r="AW763" s="213"/>
      <c r="AX763" s="213"/>
      <c r="AY763" s="213"/>
      <c r="AZ763" s="213"/>
      <c r="BA763" s="213"/>
      <c r="BB763" s="213"/>
    </row>
    <row r="764">
      <c r="A764" s="199"/>
      <c r="B764" s="12"/>
      <c r="C764" s="202"/>
      <c r="D764" s="199"/>
      <c r="E764" s="211"/>
      <c r="F764" s="201"/>
      <c r="G764" s="199"/>
      <c r="H764" s="199"/>
      <c r="I764" s="199"/>
      <c r="J764" s="212"/>
      <c r="K764" s="212"/>
      <c r="L764" s="212"/>
      <c r="M764" s="212"/>
      <c r="N764" s="212"/>
      <c r="O764" s="212"/>
      <c r="P764" s="212"/>
      <c r="Q764" s="212"/>
      <c r="R764" s="212"/>
      <c r="S764" s="212"/>
      <c r="T764" s="212"/>
      <c r="U764" s="212"/>
      <c r="V764" s="212"/>
      <c r="W764" s="212"/>
      <c r="X764" s="212"/>
      <c r="Y764" s="212"/>
      <c r="Z764" s="204"/>
      <c r="AA764" s="204"/>
      <c r="AB764" s="204"/>
      <c r="AC764" s="204"/>
      <c r="AD764" s="204"/>
      <c r="AE764" s="212"/>
      <c r="AF764" s="213"/>
      <c r="AG764" s="213"/>
      <c r="AH764" s="213"/>
      <c r="AI764" s="213"/>
      <c r="AJ764" s="213"/>
      <c r="AK764" s="213"/>
      <c r="AL764" s="213"/>
      <c r="AM764" s="213"/>
      <c r="AN764" s="213"/>
      <c r="AO764" s="213"/>
      <c r="AP764" s="213"/>
      <c r="AQ764" s="213"/>
      <c r="AR764" s="213"/>
      <c r="AS764" s="213"/>
      <c r="AT764" s="213"/>
      <c r="AU764" s="213"/>
      <c r="AV764" s="213"/>
      <c r="AW764" s="213"/>
      <c r="AX764" s="213"/>
      <c r="AY764" s="213"/>
      <c r="AZ764" s="213"/>
      <c r="BA764" s="213"/>
      <c r="BB764" s="213"/>
    </row>
    <row r="765">
      <c r="A765" s="199"/>
      <c r="B765" s="12"/>
      <c r="C765" s="202"/>
      <c r="D765" s="199"/>
      <c r="E765" s="211"/>
      <c r="F765" s="201"/>
      <c r="G765" s="199"/>
      <c r="H765" s="199"/>
      <c r="I765" s="199"/>
      <c r="J765" s="212"/>
      <c r="K765" s="212"/>
      <c r="L765" s="212"/>
      <c r="M765" s="212"/>
      <c r="N765" s="212"/>
      <c r="O765" s="212"/>
      <c r="P765" s="212"/>
      <c r="Q765" s="212"/>
      <c r="R765" s="212"/>
      <c r="S765" s="212"/>
      <c r="T765" s="212"/>
      <c r="U765" s="212"/>
      <c r="V765" s="212"/>
      <c r="W765" s="212"/>
      <c r="X765" s="212"/>
      <c r="Y765" s="212"/>
      <c r="Z765" s="204"/>
      <c r="AA765" s="204"/>
      <c r="AB765" s="204"/>
      <c r="AC765" s="204"/>
      <c r="AD765" s="204"/>
      <c r="AE765" s="212"/>
      <c r="AF765" s="213"/>
      <c r="AG765" s="213"/>
      <c r="AH765" s="213"/>
      <c r="AI765" s="213"/>
      <c r="AJ765" s="213"/>
      <c r="AK765" s="213"/>
      <c r="AL765" s="213"/>
      <c r="AM765" s="213"/>
      <c r="AN765" s="213"/>
      <c r="AO765" s="213"/>
      <c r="AP765" s="213"/>
      <c r="AQ765" s="213"/>
      <c r="AR765" s="213"/>
      <c r="AS765" s="213"/>
      <c r="AT765" s="213"/>
      <c r="AU765" s="213"/>
      <c r="AV765" s="213"/>
      <c r="AW765" s="213"/>
      <c r="AX765" s="213"/>
      <c r="AY765" s="213"/>
      <c r="AZ765" s="213"/>
      <c r="BA765" s="213"/>
      <c r="BB765" s="213"/>
    </row>
    <row r="766">
      <c r="A766" s="199"/>
      <c r="B766" s="12"/>
      <c r="C766" s="202"/>
      <c r="D766" s="199"/>
      <c r="E766" s="211"/>
      <c r="F766" s="201"/>
      <c r="G766" s="199"/>
      <c r="H766" s="199"/>
      <c r="I766" s="199"/>
      <c r="J766" s="212"/>
      <c r="K766" s="212"/>
      <c r="L766" s="212"/>
      <c r="M766" s="212"/>
      <c r="N766" s="212"/>
      <c r="O766" s="212"/>
      <c r="P766" s="212"/>
      <c r="Q766" s="212"/>
      <c r="R766" s="212"/>
      <c r="S766" s="212"/>
      <c r="T766" s="212"/>
      <c r="U766" s="212"/>
      <c r="V766" s="212"/>
      <c r="W766" s="212"/>
      <c r="X766" s="212"/>
      <c r="Y766" s="212"/>
      <c r="Z766" s="204"/>
      <c r="AA766" s="204"/>
      <c r="AB766" s="204"/>
      <c r="AC766" s="204"/>
      <c r="AD766" s="204"/>
      <c r="AE766" s="212"/>
      <c r="AF766" s="213"/>
      <c r="AG766" s="213"/>
      <c r="AH766" s="213"/>
      <c r="AI766" s="213"/>
      <c r="AJ766" s="213"/>
      <c r="AK766" s="213"/>
      <c r="AL766" s="213"/>
      <c r="AM766" s="213"/>
      <c r="AN766" s="213"/>
      <c r="AO766" s="213"/>
      <c r="AP766" s="213"/>
      <c r="AQ766" s="213"/>
      <c r="AR766" s="213"/>
      <c r="AS766" s="213"/>
      <c r="AT766" s="213"/>
      <c r="AU766" s="213"/>
      <c r="AV766" s="213"/>
      <c r="AW766" s="213"/>
      <c r="AX766" s="213"/>
      <c r="AY766" s="213"/>
      <c r="AZ766" s="213"/>
      <c r="BA766" s="213"/>
      <c r="BB766" s="213"/>
    </row>
    <row r="767">
      <c r="A767" s="199"/>
      <c r="B767" s="12"/>
      <c r="C767" s="202"/>
      <c r="D767" s="199"/>
      <c r="E767" s="211"/>
      <c r="F767" s="201"/>
      <c r="G767" s="199"/>
      <c r="H767" s="199"/>
      <c r="I767" s="199"/>
      <c r="J767" s="212"/>
      <c r="K767" s="212"/>
      <c r="L767" s="212"/>
      <c r="M767" s="212"/>
      <c r="N767" s="212"/>
      <c r="O767" s="212"/>
      <c r="P767" s="212"/>
      <c r="Q767" s="212"/>
      <c r="R767" s="212"/>
      <c r="S767" s="212"/>
      <c r="T767" s="212"/>
      <c r="U767" s="212"/>
      <c r="V767" s="212"/>
      <c r="W767" s="212"/>
      <c r="X767" s="212"/>
      <c r="Y767" s="212"/>
      <c r="Z767" s="204"/>
      <c r="AA767" s="204"/>
      <c r="AB767" s="204"/>
      <c r="AC767" s="204"/>
      <c r="AD767" s="204"/>
      <c r="AE767" s="212"/>
      <c r="AF767" s="213"/>
      <c r="AG767" s="213"/>
      <c r="AH767" s="213"/>
      <c r="AI767" s="213"/>
      <c r="AJ767" s="213"/>
      <c r="AK767" s="213"/>
      <c r="AL767" s="213"/>
      <c r="AM767" s="213"/>
      <c r="AN767" s="213"/>
      <c r="AO767" s="213"/>
      <c r="AP767" s="213"/>
      <c r="AQ767" s="213"/>
      <c r="AR767" s="213"/>
      <c r="AS767" s="213"/>
      <c r="AT767" s="213"/>
      <c r="AU767" s="213"/>
      <c r="AV767" s="213"/>
      <c r="AW767" s="213"/>
      <c r="AX767" s="213"/>
      <c r="AY767" s="213"/>
      <c r="AZ767" s="213"/>
      <c r="BA767" s="213"/>
      <c r="BB767" s="213"/>
    </row>
    <row r="768">
      <c r="A768" s="199"/>
      <c r="B768" s="12"/>
      <c r="C768" s="202"/>
      <c r="D768" s="199"/>
      <c r="E768" s="211"/>
      <c r="F768" s="201"/>
      <c r="G768" s="199"/>
      <c r="H768" s="199"/>
      <c r="I768" s="199"/>
      <c r="J768" s="212"/>
      <c r="K768" s="212"/>
      <c r="L768" s="212"/>
      <c r="M768" s="212"/>
      <c r="N768" s="212"/>
      <c r="O768" s="212"/>
      <c r="P768" s="212"/>
      <c r="Q768" s="212"/>
      <c r="R768" s="212"/>
      <c r="S768" s="212"/>
      <c r="T768" s="212"/>
      <c r="U768" s="212"/>
      <c r="V768" s="212"/>
      <c r="W768" s="212"/>
      <c r="X768" s="212"/>
      <c r="Y768" s="212"/>
      <c r="Z768" s="204"/>
      <c r="AA768" s="204"/>
      <c r="AB768" s="204"/>
      <c r="AC768" s="204"/>
      <c r="AD768" s="204"/>
      <c r="AE768" s="212"/>
      <c r="AF768" s="213"/>
      <c r="AG768" s="213"/>
      <c r="AH768" s="213"/>
      <c r="AI768" s="213"/>
      <c r="AJ768" s="213"/>
      <c r="AK768" s="213"/>
      <c r="AL768" s="213"/>
      <c r="AM768" s="213"/>
      <c r="AN768" s="213"/>
      <c r="AO768" s="213"/>
      <c r="AP768" s="213"/>
      <c r="AQ768" s="213"/>
      <c r="AR768" s="213"/>
      <c r="AS768" s="213"/>
      <c r="AT768" s="213"/>
      <c r="AU768" s="213"/>
      <c r="AV768" s="213"/>
      <c r="AW768" s="213"/>
      <c r="AX768" s="213"/>
      <c r="AY768" s="213"/>
      <c r="AZ768" s="213"/>
      <c r="BA768" s="213"/>
      <c r="BB768" s="213"/>
    </row>
    <row r="769">
      <c r="A769" s="199"/>
      <c r="B769" s="12"/>
      <c r="C769" s="202"/>
      <c r="D769" s="199"/>
      <c r="E769" s="211"/>
      <c r="F769" s="201"/>
      <c r="G769" s="199"/>
      <c r="H769" s="199"/>
      <c r="I769" s="199"/>
      <c r="J769" s="212"/>
      <c r="K769" s="212"/>
      <c r="L769" s="212"/>
      <c r="M769" s="212"/>
      <c r="N769" s="212"/>
      <c r="O769" s="212"/>
      <c r="P769" s="212"/>
      <c r="Q769" s="212"/>
      <c r="R769" s="212"/>
      <c r="S769" s="212"/>
      <c r="T769" s="212"/>
      <c r="U769" s="212"/>
      <c r="V769" s="212"/>
      <c r="W769" s="212"/>
      <c r="X769" s="212"/>
      <c r="Y769" s="212"/>
      <c r="Z769" s="204"/>
      <c r="AA769" s="204"/>
      <c r="AB769" s="204"/>
      <c r="AC769" s="204"/>
      <c r="AD769" s="204"/>
      <c r="AE769" s="212"/>
      <c r="AF769" s="213"/>
      <c r="AG769" s="213"/>
      <c r="AH769" s="213"/>
      <c r="AI769" s="213"/>
      <c r="AJ769" s="213"/>
      <c r="AK769" s="213"/>
      <c r="AL769" s="213"/>
      <c r="AM769" s="213"/>
      <c r="AN769" s="213"/>
      <c r="AO769" s="213"/>
      <c r="AP769" s="213"/>
      <c r="AQ769" s="213"/>
      <c r="AR769" s="213"/>
      <c r="AS769" s="213"/>
      <c r="AT769" s="213"/>
      <c r="AU769" s="213"/>
      <c r="AV769" s="213"/>
      <c r="AW769" s="213"/>
      <c r="AX769" s="213"/>
      <c r="AY769" s="213"/>
      <c r="AZ769" s="213"/>
      <c r="BA769" s="213"/>
      <c r="BB769" s="213"/>
    </row>
    <row r="770">
      <c r="A770" s="199"/>
      <c r="B770" s="12"/>
      <c r="C770" s="202"/>
      <c r="D770" s="199"/>
      <c r="E770" s="211"/>
      <c r="F770" s="201"/>
      <c r="G770" s="199"/>
      <c r="H770" s="199"/>
      <c r="I770" s="199"/>
      <c r="J770" s="212"/>
      <c r="K770" s="212"/>
      <c r="L770" s="212"/>
      <c r="M770" s="212"/>
      <c r="N770" s="212"/>
      <c r="O770" s="212"/>
      <c r="P770" s="212"/>
      <c r="Q770" s="212"/>
      <c r="R770" s="212"/>
      <c r="S770" s="212"/>
      <c r="T770" s="212"/>
      <c r="U770" s="212"/>
      <c r="V770" s="212"/>
      <c r="W770" s="212"/>
      <c r="X770" s="212"/>
      <c r="Y770" s="212"/>
      <c r="Z770" s="204"/>
      <c r="AA770" s="204"/>
      <c r="AB770" s="204"/>
      <c r="AC770" s="204"/>
      <c r="AD770" s="204"/>
      <c r="AE770" s="212"/>
      <c r="AF770" s="213"/>
      <c r="AG770" s="213"/>
      <c r="AH770" s="213"/>
      <c r="AI770" s="213"/>
      <c r="AJ770" s="213"/>
      <c r="AK770" s="213"/>
      <c r="AL770" s="213"/>
      <c r="AM770" s="213"/>
      <c r="AN770" s="213"/>
      <c r="AO770" s="213"/>
      <c r="AP770" s="213"/>
      <c r="AQ770" s="213"/>
      <c r="AR770" s="213"/>
      <c r="AS770" s="213"/>
      <c r="AT770" s="213"/>
      <c r="AU770" s="213"/>
      <c r="AV770" s="213"/>
      <c r="AW770" s="213"/>
      <c r="AX770" s="213"/>
      <c r="AY770" s="213"/>
      <c r="AZ770" s="213"/>
      <c r="BA770" s="213"/>
      <c r="BB770" s="213"/>
    </row>
    <row r="771">
      <c r="A771" s="199"/>
      <c r="B771" s="12"/>
      <c r="C771" s="202"/>
      <c r="D771" s="199"/>
      <c r="E771" s="211"/>
      <c r="F771" s="201"/>
      <c r="G771" s="199"/>
      <c r="H771" s="199"/>
      <c r="I771" s="199"/>
      <c r="J771" s="212"/>
      <c r="K771" s="212"/>
      <c r="L771" s="212"/>
      <c r="M771" s="212"/>
      <c r="N771" s="212"/>
      <c r="O771" s="212"/>
      <c r="P771" s="212"/>
      <c r="Q771" s="212"/>
      <c r="R771" s="212"/>
      <c r="S771" s="212"/>
      <c r="T771" s="212"/>
      <c r="U771" s="212"/>
      <c r="V771" s="212"/>
      <c r="W771" s="212"/>
      <c r="X771" s="212"/>
      <c r="Y771" s="212"/>
      <c r="Z771" s="204"/>
      <c r="AA771" s="204"/>
      <c r="AB771" s="204"/>
      <c r="AC771" s="204"/>
      <c r="AD771" s="204"/>
      <c r="AE771" s="212"/>
      <c r="AF771" s="213"/>
      <c r="AG771" s="213"/>
      <c r="AH771" s="213"/>
      <c r="AI771" s="213"/>
      <c r="AJ771" s="213"/>
      <c r="AK771" s="213"/>
      <c r="AL771" s="213"/>
      <c r="AM771" s="213"/>
      <c r="AN771" s="213"/>
      <c r="AO771" s="213"/>
      <c r="AP771" s="213"/>
      <c r="AQ771" s="213"/>
      <c r="AR771" s="213"/>
      <c r="AS771" s="213"/>
      <c r="AT771" s="213"/>
      <c r="AU771" s="213"/>
      <c r="AV771" s="213"/>
      <c r="AW771" s="213"/>
      <c r="AX771" s="213"/>
      <c r="AY771" s="213"/>
      <c r="AZ771" s="213"/>
      <c r="BA771" s="213"/>
      <c r="BB771" s="213"/>
    </row>
    <row r="772">
      <c r="A772" s="199"/>
      <c r="B772" s="12"/>
      <c r="C772" s="202"/>
      <c r="D772" s="199"/>
      <c r="E772" s="211"/>
      <c r="F772" s="201"/>
      <c r="G772" s="199"/>
      <c r="H772" s="199"/>
      <c r="I772" s="199"/>
      <c r="J772" s="212"/>
      <c r="K772" s="212"/>
      <c r="L772" s="212"/>
      <c r="M772" s="212"/>
      <c r="N772" s="212"/>
      <c r="O772" s="212"/>
      <c r="P772" s="212"/>
      <c r="Q772" s="212"/>
      <c r="R772" s="212"/>
      <c r="S772" s="212"/>
      <c r="T772" s="212"/>
      <c r="U772" s="212"/>
      <c r="V772" s="212"/>
      <c r="W772" s="212"/>
      <c r="X772" s="212"/>
      <c r="Y772" s="212"/>
      <c r="Z772" s="204"/>
      <c r="AA772" s="204"/>
      <c r="AB772" s="204"/>
      <c r="AC772" s="204"/>
      <c r="AD772" s="204"/>
      <c r="AE772" s="212"/>
      <c r="AF772" s="213"/>
      <c r="AG772" s="213"/>
      <c r="AH772" s="213"/>
      <c r="AI772" s="213"/>
      <c r="AJ772" s="213"/>
      <c r="AK772" s="213"/>
      <c r="AL772" s="213"/>
      <c r="AM772" s="213"/>
      <c r="AN772" s="213"/>
      <c r="AO772" s="213"/>
      <c r="AP772" s="213"/>
      <c r="AQ772" s="213"/>
      <c r="AR772" s="213"/>
      <c r="AS772" s="213"/>
      <c r="AT772" s="213"/>
      <c r="AU772" s="213"/>
      <c r="AV772" s="213"/>
      <c r="AW772" s="213"/>
      <c r="AX772" s="213"/>
      <c r="AY772" s="213"/>
      <c r="AZ772" s="213"/>
      <c r="BA772" s="213"/>
      <c r="BB772" s="213"/>
    </row>
    <row r="773">
      <c r="A773" s="199"/>
      <c r="B773" s="12"/>
      <c r="C773" s="202"/>
      <c r="D773" s="199"/>
      <c r="E773" s="211"/>
      <c r="F773" s="201"/>
      <c r="G773" s="199"/>
      <c r="H773" s="199"/>
      <c r="I773" s="199"/>
      <c r="J773" s="212"/>
      <c r="K773" s="212"/>
      <c r="L773" s="212"/>
      <c r="M773" s="212"/>
      <c r="N773" s="212"/>
      <c r="O773" s="212"/>
      <c r="P773" s="212"/>
      <c r="Q773" s="212"/>
      <c r="R773" s="212"/>
      <c r="S773" s="212"/>
      <c r="T773" s="212"/>
      <c r="U773" s="212"/>
      <c r="V773" s="212"/>
      <c r="W773" s="212"/>
      <c r="X773" s="212"/>
      <c r="Y773" s="212"/>
      <c r="Z773" s="204"/>
      <c r="AA773" s="204"/>
      <c r="AB773" s="204"/>
      <c r="AC773" s="204"/>
      <c r="AD773" s="204"/>
      <c r="AE773" s="212"/>
      <c r="AF773" s="213"/>
      <c r="AG773" s="213"/>
      <c r="AH773" s="213"/>
      <c r="AI773" s="213"/>
      <c r="AJ773" s="213"/>
      <c r="AK773" s="213"/>
      <c r="AL773" s="213"/>
      <c r="AM773" s="213"/>
      <c r="AN773" s="213"/>
      <c r="AO773" s="213"/>
      <c r="AP773" s="213"/>
      <c r="AQ773" s="213"/>
      <c r="AR773" s="213"/>
      <c r="AS773" s="213"/>
      <c r="AT773" s="213"/>
      <c r="AU773" s="213"/>
      <c r="AV773" s="213"/>
      <c r="AW773" s="213"/>
      <c r="AX773" s="213"/>
      <c r="AY773" s="213"/>
      <c r="AZ773" s="213"/>
      <c r="BA773" s="213"/>
      <c r="BB773" s="213"/>
    </row>
    <row r="774">
      <c r="A774" s="199"/>
      <c r="B774" s="12"/>
      <c r="C774" s="202"/>
      <c r="D774" s="199"/>
      <c r="E774" s="211"/>
      <c r="F774" s="201"/>
      <c r="G774" s="199"/>
      <c r="H774" s="199"/>
      <c r="I774" s="199"/>
      <c r="J774" s="212"/>
      <c r="K774" s="212"/>
      <c r="L774" s="212"/>
      <c r="M774" s="212"/>
      <c r="N774" s="212"/>
      <c r="O774" s="212"/>
      <c r="P774" s="212"/>
      <c r="Q774" s="212"/>
      <c r="R774" s="212"/>
      <c r="S774" s="212"/>
      <c r="T774" s="212"/>
      <c r="U774" s="212"/>
      <c r="V774" s="212"/>
      <c r="W774" s="212"/>
      <c r="X774" s="212"/>
      <c r="Y774" s="212"/>
      <c r="Z774" s="204"/>
      <c r="AA774" s="204"/>
      <c r="AB774" s="204"/>
      <c r="AC774" s="204"/>
      <c r="AD774" s="204"/>
      <c r="AE774" s="212"/>
      <c r="AF774" s="213"/>
      <c r="AG774" s="213"/>
      <c r="AH774" s="213"/>
      <c r="AI774" s="213"/>
      <c r="AJ774" s="213"/>
      <c r="AK774" s="213"/>
      <c r="AL774" s="213"/>
      <c r="AM774" s="213"/>
      <c r="AN774" s="213"/>
      <c r="AO774" s="213"/>
      <c r="AP774" s="213"/>
      <c r="AQ774" s="213"/>
      <c r="AR774" s="213"/>
      <c r="AS774" s="213"/>
      <c r="AT774" s="213"/>
      <c r="AU774" s="213"/>
      <c r="AV774" s="213"/>
      <c r="AW774" s="213"/>
      <c r="AX774" s="213"/>
      <c r="AY774" s="213"/>
      <c r="AZ774" s="213"/>
      <c r="BA774" s="213"/>
      <c r="BB774" s="213"/>
    </row>
    <row r="775">
      <c r="A775" s="199"/>
      <c r="B775" s="12"/>
      <c r="C775" s="202"/>
      <c r="D775" s="199"/>
      <c r="E775" s="211"/>
      <c r="F775" s="201"/>
      <c r="G775" s="199"/>
      <c r="H775" s="199"/>
      <c r="I775" s="199"/>
      <c r="J775" s="212"/>
      <c r="K775" s="212"/>
      <c r="L775" s="212"/>
      <c r="M775" s="212"/>
      <c r="N775" s="212"/>
      <c r="O775" s="212"/>
      <c r="P775" s="212"/>
      <c r="Q775" s="212"/>
      <c r="R775" s="212"/>
      <c r="S775" s="212"/>
      <c r="T775" s="212"/>
      <c r="U775" s="212"/>
      <c r="V775" s="212"/>
      <c r="W775" s="212"/>
      <c r="X775" s="212"/>
      <c r="Y775" s="212"/>
      <c r="Z775" s="204"/>
      <c r="AA775" s="204"/>
      <c r="AB775" s="204"/>
      <c r="AC775" s="204"/>
      <c r="AD775" s="204"/>
      <c r="AE775" s="212"/>
      <c r="AF775" s="213"/>
      <c r="AG775" s="213"/>
      <c r="AH775" s="213"/>
      <c r="AI775" s="213"/>
      <c r="AJ775" s="213"/>
      <c r="AK775" s="213"/>
      <c r="AL775" s="213"/>
      <c r="AM775" s="213"/>
      <c r="AN775" s="213"/>
      <c r="AO775" s="213"/>
      <c r="AP775" s="213"/>
      <c r="AQ775" s="213"/>
      <c r="AR775" s="213"/>
      <c r="AS775" s="213"/>
      <c r="AT775" s="213"/>
      <c r="AU775" s="213"/>
      <c r="AV775" s="213"/>
      <c r="AW775" s="213"/>
      <c r="AX775" s="213"/>
      <c r="AY775" s="213"/>
      <c r="AZ775" s="213"/>
      <c r="BA775" s="213"/>
      <c r="BB775" s="213"/>
    </row>
    <row r="776">
      <c r="A776" s="199"/>
      <c r="B776" s="12"/>
      <c r="C776" s="202"/>
      <c r="D776" s="199"/>
      <c r="E776" s="211"/>
      <c r="F776" s="201"/>
      <c r="G776" s="199"/>
      <c r="H776" s="199"/>
      <c r="I776" s="199"/>
      <c r="J776" s="212"/>
      <c r="K776" s="212"/>
      <c r="L776" s="212"/>
      <c r="M776" s="212"/>
      <c r="N776" s="212"/>
      <c r="O776" s="212"/>
      <c r="P776" s="212"/>
      <c r="Q776" s="212"/>
      <c r="R776" s="212"/>
      <c r="S776" s="212"/>
      <c r="T776" s="212"/>
      <c r="U776" s="212"/>
      <c r="V776" s="212"/>
      <c r="W776" s="212"/>
      <c r="X776" s="212"/>
      <c r="Y776" s="212"/>
      <c r="Z776" s="204"/>
      <c r="AA776" s="204"/>
      <c r="AB776" s="204"/>
      <c r="AC776" s="204"/>
      <c r="AD776" s="204"/>
      <c r="AE776" s="212"/>
      <c r="AF776" s="213"/>
      <c r="AG776" s="213"/>
      <c r="AH776" s="213"/>
      <c r="AI776" s="213"/>
      <c r="AJ776" s="213"/>
      <c r="AK776" s="213"/>
      <c r="AL776" s="213"/>
      <c r="AM776" s="213"/>
      <c r="AN776" s="213"/>
      <c r="AO776" s="213"/>
      <c r="AP776" s="213"/>
      <c r="AQ776" s="213"/>
      <c r="AR776" s="213"/>
      <c r="AS776" s="213"/>
      <c r="AT776" s="213"/>
      <c r="AU776" s="213"/>
      <c r="AV776" s="213"/>
      <c r="AW776" s="213"/>
      <c r="AX776" s="213"/>
      <c r="AY776" s="213"/>
      <c r="AZ776" s="213"/>
      <c r="BA776" s="213"/>
      <c r="BB776" s="213"/>
    </row>
    <row r="777">
      <c r="A777" s="199"/>
      <c r="B777" s="12"/>
      <c r="C777" s="202"/>
      <c r="D777" s="199"/>
      <c r="E777" s="211"/>
      <c r="F777" s="201"/>
      <c r="G777" s="199"/>
      <c r="H777" s="199"/>
      <c r="I777" s="199"/>
      <c r="J777" s="212"/>
      <c r="K777" s="212"/>
      <c r="L777" s="212"/>
      <c r="M777" s="212"/>
      <c r="N777" s="212"/>
      <c r="O777" s="212"/>
      <c r="P777" s="212"/>
      <c r="Q777" s="212"/>
      <c r="R777" s="212"/>
      <c r="S777" s="212"/>
      <c r="T777" s="212"/>
      <c r="U777" s="212"/>
      <c r="V777" s="212"/>
      <c r="W777" s="212"/>
      <c r="X777" s="212"/>
      <c r="Y777" s="212"/>
      <c r="Z777" s="204"/>
      <c r="AA777" s="204"/>
      <c r="AB777" s="204"/>
      <c r="AC777" s="204"/>
      <c r="AD777" s="204"/>
      <c r="AE777" s="212"/>
      <c r="AF777" s="213"/>
      <c r="AG777" s="213"/>
      <c r="AH777" s="213"/>
      <c r="AI777" s="213"/>
      <c r="AJ777" s="213"/>
      <c r="AK777" s="213"/>
      <c r="AL777" s="213"/>
      <c r="AM777" s="213"/>
      <c r="AN777" s="213"/>
      <c r="AO777" s="213"/>
      <c r="AP777" s="213"/>
      <c r="AQ777" s="213"/>
      <c r="AR777" s="213"/>
      <c r="AS777" s="213"/>
      <c r="AT777" s="213"/>
      <c r="AU777" s="213"/>
      <c r="AV777" s="213"/>
      <c r="AW777" s="213"/>
      <c r="AX777" s="213"/>
      <c r="AY777" s="213"/>
      <c r="AZ777" s="213"/>
      <c r="BA777" s="213"/>
      <c r="BB777" s="213"/>
    </row>
    <row r="778">
      <c r="A778" s="199"/>
      <c r="B778" s="12"/>
      <c r="C778" s="202"/>
      <c r="D778" s="199"/>
      <c r="E778" s="211"/>
      <c r="F778" s="201"/>
      <c r="G778" s="199"/>
      <c r="H778" s="199"/>
      <c r="I778" s="199"/>
      <c r="J778" s="212"/>
      <c r="K778" s="212"/>
      <c r="L778" s="212"/>
      <c r="M778" s="212"/>
      <c r="N778" s="212"/>
      <c r="O778" s="212"/>
      <c r="P778" s="212"/>
      <c r="Q778" s="212"/>
      <c r="R778" s="212"/>
      <c r="S778" s="212"/>
      <c r="T778" s="212"/>
      <c r="U778" s="212"/>
      <c r="V778" s="212"/>
      <c r="W778" s="212"/>
      <c r="X778" s="212"/>
      <c r="Y778" s="212"/>
      <c r="Z778" s="204"/>
      <c r="AA778" s="204"/>
      <c r="AB778" s="204"/>
      <c r="AC778" s="204"/>
      <c r="AD778" s="204"/>
      <c r="AE778" s="212"/>
      <c r="AF778" s="213"/>
      <c r="AG778" s="213"/>
      <c r="AH778" s="213"/>
      <c r="AI778" s="213"/>
      <c r="AJ778" s="213"/>
      <c r="AK778" s="213"/>
      <c r="AL778" s="213"/>
      <c r="AM778" s="213"/>
      <c r="AN778" s="213"/>
      <c r="AO778" s="213"/>
      <c r="AP778" s="213"/>
      <c r="AQ778" s="213"/>
      <c r="AR778" s="213"/>
      <c r="AS778" s="213"/>
      <c r="AT778" s="213"/>
      <c r="AU778" s="213"/>
      <c r="AV778" s="213"/>
      <c r="AW778" s="213"/>
      <c r="AX778" s="213"/>
      <c r="AY778" s="213"/>
      <c r="AZ778" s="213"/>
      <c r="BA778" s="213"/>
      <c r="BB778" s="213"/>
    </row>
    <row r="779">
      <c r="A779" s="199"/>
      <c r="B779" s="12"/>
      <c r="C779" s="202"/>
      <c r="D779" s="199"/>
      <c r="E779" s="211"/>
      <c r="F779" s="201"/>
      <c r="G779" s="199"/>
      <c r="H779" s="199"/>
      <c r="I779" s="199"/>
      <c r="J779" s="212"/>
      <c r="K779" s="212"/>
      <c r="L779" s="212"/>
      <c r="M779" s="212"/>
      <c r="N779" s="212"/>
      <c r="O779" s="212"/>
      <c r="P779" s="212"/>
      <c r="Q779" s="212"/>
      <c r="R779" s="212"/>
      <c r="S779" s="212"/>
      <c r="T779" s="212"/>
      <c r="U779" s="212"/>
      <c r="V779" s="212"/>
      <c r="W779" s="212"/>
      <c r="X779" s="212"/>
      <c r="Y779" s="212"/>
      <c r="Z779" s="204"/>
      <c r="AA779" s="204"/>
      <c r="AB779" s="204"/>
      <c r="AC779" s="204"/>
      <c r="AD779" s="204"/>
      <c r="AE779" s="212"/>
      <c r="AF779" s="213"/>
      <c r="AG779" s="213"/>
      <c r="AH779" s="213"/>
      <c r="AI779" s="213"/>
      <c r="AJ779" s="213"/>
      <c r="AK779" s="213"/>
      <c r="AL779" s="213"/>
      <c r="AM779" s="213"/>
      <c r="AN779" s="213"/>
      <c r="AO779" s="213"/>
      <c r="AP779" s="213"/>
      <c r="AQ779" s="213"/>
      <c r="AR779" s="213"/>
      <c r="AS779" s="213"/>
      <c r="AT779" s="213"/>
      <c r="AU779" s="213"/>
      <c r="AV779" s="213"/>
      <c r="AW779" s="213"/>
      <c r="AX779" s="213"/>
      <c r="AY779" s="213"/>
      <c r="AZ779" s="213"/>
      <c r="BA779" s="213"/>
      <c r="BB779" s="213"/>
    </row>
    <row r="780">
      <c r="A780" s="199"/>
      <c r="B780" s="12"/>
      <c r="C780" s="202"/>
      <c r="D780" s="199"/>
      <c r="E780" s="211"/>
      <c r="F780" s="201"/>
      <c r="G780" s="199"/>
      <c r="H780" s="199"/>
      <c r="I780" s="199"/>
      <c r="J780" s="212"/>
      <c r="K780" s="212"/>
      <c r="L780" s="212"/>
      <c r="M780" s="212"/>
      <c r="N780" s="212"/>
      <c r="O780" s="212"/>
      <c r="P780" s="212"/>
      <c r="Q780" s="212"/>
      <c r="R780" s="212"/>
      <c r="S780" s="212"/>
      <c r="T780" s="212"/>
      <c r="U780" s="212"/>
      <c r="V780" s="212"/>
      <c r="W780" s="212"/>
      <c r="X780" s="212"/>
      <c r="Y780" s="212"/>
      <c r="Z780" s="204"/>
      <c r="AA780" s="204"/>
      <c r="AB780" s="204"/>
      <c r="AC780" s="204"/>
      <c r="AD780" s="204"/>
      <c r="AE780" s="212"/>
      <c r="AF780" s="213"/>
      <c r="AG780" s="213"/>
      <c r="AH780" s="213"/>
      <c r="AI780" s="213"/>
      <c r="AJ780" s="213"/>
      <c r="AK780" s="213"/>
      <c r="AL780" s="213"/>
      <c r="AM780" s="213"/>
      <c r="AN780" s="213"/>
      <c r="AO780" s="213"/>
      <c r="AP780" s="213"/>
      <c r="AQ780" s="213"/>
      <c r="AR780" s="213"/>
      <c r="AS780" s="213"/>
      <c r="AT780" s="213"/>
      <c r="AU780" s="213"/>
      <c r="AV780" s="213"/>
      <c r="AW780" s="213"/>
      <c r="AX780" s="213"/>
      <c r="AY780" s="213"/>
      <c r="AZ780" s="213"/>
      <c r="BA780" s="213"/>
      <c r="BB780" s="213"/>
    </row>
    <row r="781">
      <c r="A781" s="199"/>
      <c r="B781" s="12"/>
      <c r="C781" s="202"/>
      <c r="D781" s="199"/>
      <c r="E781" s="211"/>
      <c r="F781" s="201"/>
      <c r="G781" s="199"/>
      <c r="H781" s="199"/>
      <c r="I781" s="199"/>
      <c r="J781" s="212"/>
      <c r="K781" s="212"/>
      <c r="L781" s="212"/>
      <c r="M781" s="212"/>
      <c r="N781" s="212"/>
      <c r="O781" s="212"/>
      <c r="P781" s="212"/>
      <c r="Q781" s="212"/>
      <c r="R781" s="212"/>
      <c r="S781" s="212"/>
      <c r="T781" s="212"/>
      <c r="U781" s="212"/>
      <c r="V781" s="212"/>
      <c r="W781" s="212"/>
      <c r="X781" s="212"/>
      <c r="Y781" s="212"/>
      <c r="Z781" s="204"/>
      <c r="AA781" s="204"/>
      <c r="AB781" s="204"/>
      <c r="AC781" s="204"/>
      <c r="AD781" s="204"/>
      <c r="AE781" s="212"/>
      <c r="AF781" s="213"/>
      <c r="AG781" s="213"/>
      <c r="AH781" s="213"/>
      <c r="AI781" s="213"/>
      <c r="AJ781" s="213"/>
      <c r="AK781" s="213"/>
      <c r="AL781" s="213"/>
      <c r="AM781" s="213"/>
      <c r="AN781" s="213"/>
      <c r="AO781" s="213"/>
      <c r="AP781" s="213"/>
      <c r="AQ781" s="213"/>
      <c r="AR781" s="213"/>
      <c r="AS781" s="213"/>
      <c r="AT781" s="213"/>
      <c r="AU781" s="213"/>
      <c r="AV781" s="213"/>
      <c r="AW781" s="213"/>
      <c r="AX781" s="213"/>
      <c r="AY781" s="213"/>
      <c r="AZ781" s="213"/>
      <c r="BA781" s="213"/>
      <c r="BB781" s="213"/>
    </row>
    <row r="782">
      <c r="A782" s="199"/>
      <c r="B782" s="12"/>
      <c r="C782" s="202"/>
      <c r="D782" s="199"/>
      <c r="E782" s="211"/>
      <c r="F782" s="201"/>
      <c r="G782" s="199"/>
      <c r="H782" s="199"/>
      <c r="I782" s="199"/>
      <c r="J782" s="212"/>
      <c r="K782" s="212"/>
      <c r="L782" s="212"/>
      <c r="M782" s="212"/>
      <c r="N782" s="212"/>
      <c r="O782" s="212"/>
      <c r="P782" s="212"/>
      <c r="Q782" s="212"/>
      <c r="R782" s="212"/>
      <c r="S782" s="212"/>
      <c r="T782" s="212"/>
      <c r="U782" s="212"/>
      <c r="V782" s="212"/>
      <c r="W782" s="212"/>
      <c r="X782" s="212"/>
      <c r="Y782" s="212"/>
      <c r="Z782" s="204"/>
      <c r="AA782" s="204"/>
      <c r="AB782" s="204"/>
      <c r="AC782" s="204"/>
      <c r="AD782" s="204"/>
      <c r="AE782" s="212"/>
      <c r="AF782" s="213"/>
      <c r="AG782" s="213"/>
      <c r="AH782" s="213"/>
      <c r="AI782" s="213"/>
      <c r="AJ782" s="213"/>
      <c r="AK782" s="213"/>
      <c r="AL782" s="213"/>
      <c r="AM782" s="213"/>
      <c r="AN782" s="213"/>
      <c r="AO782" s="213"/>
      <c r="AP782" s="213"/>
      <c r="AQ782" s="213"/>
      <c r="AR782" s="213"/>
      <c r="AS782" s="213"/>
      <c r="AT782" s="213"/>
      <c r="AU782" s="213"/>
      <c r="AV782" s="213"/>
      <c r="AW782" s="213"/>
      <c r="AX782" s="213"/>
      <c r="AY782" s="213"/>
      <c r="AZ782" s="213"/>
      <c r="BA782" s="213"/>
      <c r="BB782" s="213"/>
    </row>
    <row r="783">
      <c r="A783" s="199"/>
      <c r="B783" s="12"/>
      <c r="C783" s="202"/>
      <c r="D783" s="199"/>
      <c r="E783" s="211"/>
      <c r="F783" s="201"/>
      <c r="G783" s="199"/>
      <c r="H783" s="199"/>
      <c r="I783" s="199"/>
      <c r="J783" s="212"/>
      <c r="K783" s="212"/>
      <c r="L783" s="212"/>
      <c r="M783" s="212"/>
      <c r="N783" s="212"/>
      <c r="O783" s="212"/>
      <c r="P783" s="212"/>
      <c r="Q783" s="212"/>
      <c r="R783" s="212"/>
      <c r="S783" s="212"/>
      <c r="T783" s="212"/>
      <c r="U783" s="212"/>
      <c r="V783" s="212"/>
      <c r="W783" s="212"/>
      <c r="X783" s="212"/>
      <c r="Y783" s="212"/>
      <c r="Z783" s="204"/>
      <c r="AA783" s="204"/>
      <c r="AB783" s="204"/>
      <c r="AC783" s="204"/>
      <c r="AD783" s="204"/>
      <c r="AE783" s="212"/>
      <c r="AF783" s="213"/>
      <c r="AG783" s="213"/>
      <c r="AH783" s="213"/>
      <c r="AI783" s="213"/>
      <c r="AJ783" s="213"/>
      <c r="AK783" s="213"/>
      <c r="AL783" s="213"/>
      <c r="AM783" s="213"/>
      <c r="AN783" s="213"/>
      <c r="AO783" s="213"/>
      <c r="AP783" s="213"/>
      <c r="AQ783" s="213"/>
      <c r="AR783" s="213"/>
      <c r="AS783" s="213"/>
      <c r="AT783" s="213"/>
      <c r="AU783" s="213"/>
      <c r="AV783" s="213"/>
      <c r="AW783" s="213"/>
      <c r="AX783" s="213"/>
      <c r="AY783" s="213"/>
      <c r="AZ783" s="213"/>
      <c r="BA783" s="213"/>
      <c r="BB783" s="213"/>
    </row>
    <row r="784">
      <c r="A784" s="199"/>
      <c r="B784" s="12"/>
      <c r="C784" s="202"/>
      <c r="D784" s="199"/>
      <c r="E784" s="211"/>
      <c r="F784" s="201"/>
      <c r="G784" s="199"/>
      <c r="H784" s="199"/>
      <c r="I784" s="199"/>
      <c r="J784" s="212"/>
      <c r="K784" s="212"/>
      <c r="L784" s="212"/>
      <c r="M784" s="212"/>
      <c r="N784" s="212"/>
      <c r="O784" s="212"/>
      <c r="P784" s="212"/>
      <c r="Q784" s="212"/>
      <c r="R784" s="212"/>
      <c r="S784" s="212"/>
      <c r="T784" s="212"/>
      <c r="U784" s="212"/>
      <c r="V784" s="212"/>
      <c r="W784" s="212"/>
      <c r="X784" s="212"/>
      <c r="Y784" s="212"/>
      <c r="Z784" s="204"/>
      <c r="AA784" s="204"/>
      <c r="AB784" s="204"/>
      <c r="AC784" s="204"/>
      <c r="AD784" s="204"/>
      <c r="AE784" s="212"/>
      <c r="AF784" s="213"/>
      <c r="AG784" s="213"/>
      <c r="AH784" s="213"/>
      <c r="AI784" s="213"/>
      <c r="AJ784" s="213"/>
      <c r="AK784" s="213"/>
      <c r="AL784" s="213"/>
      <c r="AM784" s="213"/>
      <c r="AN784" s="213"/>
      <c r="AO784" s="213"/>
      <c r="AP784" s="213"/>
      <c r="AQ784" s="213"/>
      <c r="AR784" s="213"/>
      <c r="AS784" s="213"/>
      <c r="AT784" s="213"/>
      <c r="AU784" s="213"/>
      <c r="AV784" s="213"/>
      <c r="AW784" s="213"/>
      <c r="AX784" s="213"/>
      <c r="AY784" s="213"/>
      <c r="AZ784" s="213"/>
      <c r="BA784" s="213"/>
      <c r="BB784" s="213"/>
    </row>
    <row r="785">
      <c r="A785" s="199"/>
      <c r="B785" s="12"/>
      <c r="C785" s="202"/>
      <c r="D785" s="199"/>
      <c r="E785" s="211"/>
      <c r="F785" s="201"/>
      <c r="G785" s="199"/>
      <c r="H785" s="199"/>
      <c r="I785" s="199"/>
      <c r="J785" s="212"/>
      <c r="K785" s="212"/>
      <c r="L785" s="212"/>
      <c r="M785" s="212"/>
      <c r="N785" s="212"/>
      <c r="O785" s="212"/>
      <c r="P785" s="212"/>
      <c r="Q785" s="212"/>
      <c r="R785" s="212"/>
      <c r="S785" s="212"/>
      <c r="T785" s="212"/>
      <c r="U785" s="212"/>
      <c r="V785" s="212"/>
      <c r="W785" s="212"/>
      <c r="X785" s="212"/>
      <c r="Y785" s="212"/>
      <c r="Z785" s="204"/>
      <c r="AA785" s="204"/>
      <c r="AB785" s="204"/>
      <c r="AC785" s="204"/>
      <c r="AD785" s="204"/>
      <c r="AE785" s="212"/>
      <c r="AF785" s="213"/>
      <c r="AG785" s="213"/>
      <c r="AH785" s="213"/>
      <c r="AI785" s="213"/>
      <c r="AJ785" s="213"/>
      <c r="AK785" s="213"/>
      <c r="AL785" s="213"/>
      <c r="AM785" s="213"/>
      <c r="AN785" s="213"/>
      <c r="AO785" s="213"/>
      <c r="AP785" s="213"/>
      <c r="AQ785" s="213"/>
      <c r="AR785" s="213"/>
      <c r="AS785" s="213"/>
      <c r="AT785" s="213"/>
      <c r="AU785" s="213"/>
      <c r="AV785" s="213"/>
      <c r="AW785" s="213"/>
      <c r="AX785" s="213"/>
      <c r="AY785" s="213"/>
      <c r="AZ785" s="213"/>
      <c r="BA785" s="213"/>
      <c r="BB785" s="213"/>
    </row>
    <row r="786">
      <c r="A786" s="199"/>
      <c r="B786" s="12"/>
      <c r="C786" s="202"/>
      <c r="D786" s="199"/>
      <c r="E786" s="211"/>
      <c r="F786" s="201"/>
      <c r="G786" s="199"/>
      <c r="H786" s="199"/>
      <c r="I786" s="199"/>
      <c r="J786" s="212"/>
      <c r="K786" s="212"/>
      <c r="L786" s="212"/>
      <c r="M786" s="212"/>
      <c r="N786" s="212"/>
      <c r="O786" s="212"/>
      <c r="P786" s="212"/>
      <c r="Q786" s="212"/>
      <c r="R786" s="212"/>
      <c r="S786" s="212"/>
      <c r="T786" s="212"/>
      <c r="U786" s="212"/>
      <c r="V786" s="212"/>
      <c r="W786" s="212"/>
      <c r="X786" s="212"/>
      <c r="Y786" s="212"/>
      <c r="Z786" s="204"/>
      <c r="AA786" s="204"/>
      <c r="AB786" s="204"/>
      <c r="AC786" s="204"/>
      <c r="AD786" s="204"/>
      <c r="AE786" s="212"/>
      <c r="AF786" s="213"/>
      <c r="AG786" s="213"/>
      <c r="AH786" s="213"/>
      <c r="AI786" s="213"/>
      <c r="AJ786" s="213"/>
      <c r="AK786" s="213"/>
      <c r="AL786" s="213"/>
      <c r="AM786" s="213"/>
      <c r="AN786" s="213"/>
      <c r="AO786" s="213"/>
      <c r="AP786" s="213"/>
      <c r="AQ786" s="213"/>
      <c r="AR786" s="213"/>
      <c r="AS786" s="213"/>
      <c r="AT786" s="213"/>
      <c r="AU786" s="213"/>
      <c r="AV786" s="213"/>
      <c r="AW786" s="213"/>
      <c r="AX786" s="213"/>
      <c r="AY786" s="213"/>
      <c r="AZ786" s="213"/>
      <c r="BA786" s="213"/>
      <c r="BB786" s="213"/>
    </row>
    <row r="787">
      <c r="A787" s="199"/>
      <c r="B787" s="12"/>
      <c r="C787" s="202"/>
      <c r="D787" s="199"/>
      <c r="E787" s="211"/>
      <c r="F787" s="201"/>
      <c r="G787" s="199"/>
      <c r="H787" s="199"/>
      <c r="I787" s="199"/>
      <c r="J787" s="212"/>
      <c r="K787" s="212"/>
      <c r="L787" s="212"/>
      <c r="M787" s="212"/>
      <c r="N787" s="212"/>
      <c r="O787" s="212"/>
      <c r="P787" s="212"/>
      <c r="Q787" s="212"/>
      <c r="R787" s="212"/>
      <c r="S787" s="212"/>
      <c r="T787" s="212"/>
      <c r="U787" s="212"/>
      <c r="V787" s="212"/>
      <c r="W787" s="212"/>
      <c r="X787" s="212"/>
      <c r="Y787" s="212"/>
      <c r="Z787" s="204"/>
      <c r="AA787" s="204"/>
      <c r="AB787" s="204"/>
      <c r="AC787" s="204"/>
      <c r="AD787" s="204"/>
      <c r="AE787" s="212"/>
      <c r="AF787" s="213"/>
      <c r="AG787" s="213"/>
      <c r="AH787" s="213"/>
      <c r="AI787" s="213"/>
      <c r="AJ787" s="213"/>
      <c r="AK787" s="213"/>
      <c r="AL787" s="213"/>
      <c r="AM787" s="213"/>
      <c r="AN787" s="213"/>
      <c r="AO787" s="213"/>
      <c r="AP787" s="213"/>
      <c r="AQ787" s="213"/>
      <c r="AR787" s="213"/>
      <c r="AS787" s="213"/>
      <c r="AT787" s="213"/>
      <c r="AU787" s="213"/>
      <c r="AV787" s="213"/>
      <c r="AW787" s="213"/>
      <c r="AX787" s="213"/>
      <c r="AY787" s="213"/>
      <c r="AZ787" s="213"/>
      <c r="BA787" s="213"/>
      <c r="BB787" s="213"/>
    </row>
    <row r="788">
      <c r="A788" s="199"/>
      <c r="B788" s="12"/>
      <c r="C788" s="202"/>
      <c r="D788" s="199"/>
      <c r="E788" s="211"/>
      <c r="F788" s="201"/>
      <c r="G788" s="199"/>
      <c r="H788" s="199"/>
      <c r="I788" s="199"/>
      <c r="J788" s="212"/>
      <c r="K788" s="212"/>
      <c r="L788" s="212"/>
      <c r="M788" s="212"/>
      <c r="N788" s="212"/>
      <c r="O788" s="212"/>
      <c r="P788" s="212"/>
      <c r="Q788" s="212"/>
      <c r="R788" s="212"/>
      <c r="S788" s="212"/>
      <c r="T788" s="212"/>
      <c r="U788" s="212"/>
      <c r="V788" s="212"/>
      <c r="W788" s="212"/>
      <c r="X788" s="212"/>
      <c r="Y788" s="212"/>
      <c r="Z788" s="204"/>
      <c r="AA788" s="204"/>
      <c r="AB788" s="204"/>
      <c r="AC788" s="204"/>
      <c r="AD788" s="204"/>
      <c r="AE788" s="212"/>
      <c r="AF788" s="213"/>
      <c r="AG788" s="213"/>
      <c r="AH788" s="213"/>
      <c r="AI788" s="213"/>
      <c r="AJ788" s="213"/>
      <c r="AK788" s="213"/>
      <c r="AL788" s="213"/>
      <c r="AM788" s="213"/>
      <c r="AN788" s="213"/>
      <c r="AO788" s="213"/>
      <c r="AP788" s="213"/>
      <c r="AQ788" s="213"/>
      <c r="AR788" s="213"/>
      <c r="AS788" s="213"/>
      <c r="AT788" s="213"/>
      <c r="AU788" s="213"/>
      <c r="AV788" s="213"/>
      <c r="AW788" s="213"/>
      <c r="AX788" s="213"/>
      <c r="AY788" s="213"/>
      <c r="AZ788" s="213"/>
      <c r="BA788" s="213"/>
      <c r="BB788" s="213"/>
    </row>
    <row r="789">
      <c r="A789" s="199"/>
      <c r="B789" s="12"/>
      <c r="C789" s="202"/>
      <c r="D789" s="199"/>
      <c r="E789" s="211"/>
      <c r="F789" s="201"/>
      <c r="G789" s="199"/>
      <c r="H789" s="199"/>
      <c r="I789" s="199"/>
      <c r="J789" s="212"/>
      <c r="K789" s="212"/>
      <c r="L789" s="212"/>
      <c r="M789" s="212"/>
      <c r="N789" s="212"/>
      <c r="O789" s="212"/>
      <c r="P789" s="212"/>
      <c r="Q789" s="212"/>
      <c r="R789" s="212"/>
      <c r="S789" s="212"/>
      <c r="T789" s="212"/>
      <c r="U789" s="212"/>
      <c r="V789" s="212"/>
      <c r="W789" s="212"/>
      <c r="X789" s="212"/>
      <c r="Y789" s="212"/>
      <c r="Z789" s="204"/>
      <c r="AA789" s="204"/>
      <c r="AB789" s="204"/>
      <c r="AC789" s="204"/>
      <c r="AD789" s="204"/>
      <c r="AE789" s="212"/>
      <c r="AF789" s="213"/>
      <c r="AG789" s="213"/>
      <c r="AH789" s="213"/>
      <c r="AI789" s="213"/>
      <c r="AJ789" s="213"/>
      <c r="AK789" s="213"/>
      <c r="AL789" s="213"/>
      <c r="AM789" s="213"/>
      <c r="AN789" s="213"/>
      <c r="AO789" s="213"/>
      <c r="AP789" s="213"/>
      <c r="AQ789" s="213"/>
      <c r="AR789" s="213"/>
      <c r="AS789" s="213"/>
      <c r="AT789" s="213"/>
      <c r="AU789" s="213"/>
      <c r="AV789" s="213"/>
      <c r="AW789" s="213"/>
      <c r="AX789" s="213"/>
      <c r="AY789" s="213"/>
      <c r="AZ789" s="213"/>
      <c r="BA789" s="213"/>
      <c r="BB789" s="213"/>
    </row>
    <row r="790">
      <c r="A790" s="199"/>
      <c r="B790" s="12"/>
      <c r="C790" s="202"/>
      <c r="D790" s="199"/>
      <c r="E790" s="211"/>
      <c r="F790" s="201"/>
      <c r="G790" s="199"/>
      <c r="H790" s="199"/>
      <c r="I790" s="199"/>
      <c r="J790" s="212"/>
      <c r="K790" s="212"/>
      <c r="L790" s="212"/>
      <c r="M790" s="212"/>
      <c r="N790" s="212"/>
      <c r="O790" s="212"/>
      <c r="P790" s="212"/>
      <c r="Q790" s="212"/>
      <c r="R790" s="212"/>
      <c r="S790" s="212"/>
      <c r="T790" s="212"/>
      <c r="U790" s="212"/>
      <c r="V790" s="212"/>
      <c r="W790" s="212"/>
      <c r="X790" s="212"/>
      <c r="Y790" s="212"/>
      <c r="Z790" s="204"/>
      <c r="AA790" s="204"/>
      <c r="AB790" s="204"/>
      <c r="AC790" s="204"/>
      <c r="AD790" s="204"/>
      <c r="AE790" s="212"/>
      <c r="AF790" s="213"/>
      <c r="AG790" s="213"/>
      <c r="AH790" s="213"/>
      <c r="AI790" s="213"/>
      <c r="AJ790" s="213"/>
      <c r="AK790" s="213"/>
      <c r="AL790" s="213"/>
      <c r="AM790" s="213"/>
      <c r="AN790" s="213"/>
      <c r="AO790" s="213"/>
      <c r="AP790" s="213"/>
      <c r="AQ790" s="213"/>
      <c r="AR790" s="213"/>
      <c r="AS790" s="213"/>
      <c r="AT790" s="213"/>
      <c r="AU790" s="213"/>
      <c r="AV790" s="213"/>
      <c r="AW790" s="213"/>
      <c r="AX790" s="213"/>
      <c r="AY790" s="213"/>
      <c r="AZ790" s="213"/>
      <c r="BA790" s="213"/>
      <c r="BB790" s="213"/>
    </row>
    <row r="791">
      <c r="A791" s="199"/>
      <c r="B791" s="12"/>
      <c r="C791" s="202"/>
      <c r="D791" s="199"/>
      <c r="E791" s="211"/>
      <c r="F791" s="201"/>
      <c r="G791" s="199"/>
      <c r="H791" s="199"/>
      <c r="I791" s="199"/>
      <c r="J791" s="212"/>
      <c r="K791" s="212"/>
      <c r="L791" s="212"/>
      <c r="M791" s="212"/>
      <c r="N791" s="212"/>
      <c r="O791" s="212"/>
      <c r="P791" s="212"/>
      <c r="Q791" s="212"/>
      <c r="R791" s="212"/>
      <c r="S791" s="212"/>
      <c r="T791" s="212"/>
      <c r="U791" s="212"/>
      <c r="V791" s="212"/>
      <c r="W791" s="212"/>
      <c r="X791" s="212"/>
      <c r="Y791" s="212"/>
      <c r="Z791" s="204"/>
      <c r="AA791" s="204"/>
      <c r="AB791" s="204"/>
      <c r="AC791" s="204"/>
      <c r="AD791" s="204"/>
      <c r="AE791" s="212"/>
      <c r="AF791" s="213"/>
      <c r="AG791" s="213"/>
      <c r="AH791" s="213"/>
      <c r="AI791" s="213"/>
      <c r="AJ791" s="213"/>
      <c r="AK791" s="213"/>
      <c r="AL791" s="213"/>
      <c r="AM791" s="213"/>
      <c r="AN791" s="213"/>
      <c r="AO791" s="213"/>
      <c r="AP791" s="213"/>
      <c r="AQ791" s="213"/>
      <c r="AR791" s="213"/>
      <c r="AS791" s="213"/>
      <c r="AT791" s="213"/>
      <c r="AU791" s="213"/>
      <c r="AV791" s="213"/>
      <c r="AW791" s="213"/>
      <c r="AX791" s="213"/>
      <c r="AY791" s="213"/>
      <c r="AZ791" s="213"/>
      <c r="BA791" s="213"/>
      <c r="BB791" s="213"/>
    </row>
    <row r="792">
      <c r="A792" s="199"/>
      <c r="B792" s="12"/>
      <c r="C792" s="202"/>
      <c r="D792" s="199"/>
      <c r="E792" s="211"/>
      <c r="F792" s="201"/>
      <c r="G792" s="199"/>
      <c r="H792" s="199"/>
      <c r="I792" s="199"/>
      <c r="J792" s="212"/>
      <c r="K792" s="212"/>
      <c r="L792" s="212"/>
      <c r="M792" s="212"/>
      <c r="N792" s="212"/>
      <c r="O792" s="212"/>
      <c r="P792" s="212"/>
      <c r="Q792" s="212"/>
      <c r="R792" s="212"/>
      <c r="S792" s="212"/>
      <c r="T792" s="212"/>
      <c r="U792" s="212"/>
      <c r="V792" s="212"/>
      <c r="W792" s="212"/>
      <c r="X792" s="212"/>
      <c r="Y792" s="212"/>
      <c r="Z792" s="204"/>
      <c r="AA792" s="204"/>
      <c r="AB792" s="204"/>
      <c r="AC792" s="204"/>
      <c r="AD792" s="204"/>
      <c r="AE792" s="212"/>
      <c r="AF792" s="213"/>
      <c r="AG792" s="213"/>
      <c r="AH792" s="213"/>
      <c r="AI792" s="213"/>
      <c r="AJ792" s="213"/>
      <c r="AK792" s="213"/>
      <c r="AL792" s="213"/>
      <c r="AM792" s="213"/>
      <c r="AN792" s="213"/>
      <c r="AO792" s="213"/>
      <c r="AP792" s="213"/>
      <c r="AQ792" s="213"/>
      <c r="AR792" s="213"/>
      <c r="AS792" s="213"/>
      <c r="AT792" s="213"/>
      <c r="AU792" s="213"/>
      <c r="AV792" s="213"/>
      <c r="AW792" s="213"/>
      <c r="AX792" s="213"/>
      <c r="AY792" s="213"/>
      <c r="AZ792" s="213"/>
      <c r="BA792" s="213"/>
      <c r="BB792" s="213"/>
    </row>
    <row r="793">
      <c r="A793" s="199"/>
      <c r="B793" s="12"/>
      <c r="C793" s="202"/>
      <c r="D793" s="199"/>
      <c r="E793" s="211"/>
      <c r="F793" s="201"/>
      <c r="G793" s="199"/>
      <c r="H793" s="199"/>
      <c r="I793" s="199"/>
      <c r="J793" s="212"/>
      <c r="K793" s="212"/>
      <c r="L793" s="212"/>
      <c r="M793" s="212"/>
      <c r="N793" s="212"/>
      <c r="O793" s="212"/>
      <c r="P793" s="212"/>
      <c r="Q793" s="212"/>
      <c r="R793" s="212"/>
      <c r="S793" s="212"/>
      <c r="T793" s="212"/>
      <c r="U793" s="212"/>
      <c r="V793" s="212"/>
      <c r="W793" s="212"/>
      <c r="X793" s="212"/>
      <c r="Y793" s="212"/>
      <c r="Z793" s="204"/>
      <c r="AA793" s="204"/>
      <c r="AB793" s="204"/>
      <c r="AC793" s="204"/>
      <c r="AD793" s="204"/>
      <c r="AE793" s="212"/>
      <c r="AF793" s="213"/>
      <c r="AG793" s="213"/>
      <c r="AH793" s="213"/>
      <c r="AI793" s="213"/>
      <c r="AJ793" s="213"/>
      <c r="AK793" s="213"/>
      <c r="AL793" s="213"/>
      <c r="AM793" s="213"/>
      <c r="AN793" s="213"/>
      <c r="AO793" s="213"/>
      <c r="AP793" s="213"/>
      <c r="AQ793" s="213"/>
      <c r="AR793" s="213"/>
      <c r="AS793" s="213"/>
      <c r="AT793" s="213"/>
      <c r="AU793" s="213"/>
      <c r="AV793" s="213"/>
      <c r="AW793" s="213"/>
      <c r="AX793" s="213"/>
      <c r="AY793" s="213"/>
      <c r="AZ793" s="213"/>
      <c r="BA793" s="213"/>
      <c r="BB793" s="213"/>
    </row>
    <row r="794">
      <c r="A794" s="199"/>
      <c r="B794" s="12"/>
      <c r="C794" s="202"/>
      <c r="D794" s="199"/>
      <c r="E794" s="211"/>
      <c r="F794" s="201"/>
      <c r="G794" s="199"/>
      <c r="H794" s="199"/>
      <c r="I794" s="199"/>
      <c r="J794" s="212"/>
      <c r="K794" s="212"/>
      <c r="L794" s="212"/>
      <c r="M794" s="212"/>
      <c r="N794" s="212"/>
      <c r="O794" s="212"/>
      <c r="P794" s="212"/>
      <c r="Q794" s="212"/>
      <c r="R794" s="212"/>
      <c r="S794" s="212"/>
      <c r="T794" s="212"/>
      <c r="U794" s="212"/>
      <c r="V794" s="212"/>
      <c r="W794" s="212"/>
      <c r="X794" s="212"/>
      <c r="Y794" s="212"/>
      <c r="Z794" s="204"/>
      <c r="AA794" s="204"/>
      <c r="AB794" s="204"/>
      <c r="AC794" s="204"/>
      <c r="AD794" s="204"/>
      <c r="AE794" s="212"/>
      <c r="AF794" s="213"/>
      <c r="AG794" s="213"/>
      <c r="AH794" s="213"/>
      <c r="AI794" s="213"/>
      <c r="AJ794" s="213"/>
      <c r="AK794" s="213"/>
      <c r="AL794" s="213"/>
      <c r="AM794" s="213"/>
      <c r="AN794" s="213"/>
      <c r="AO794" s="213"/>
      <c r="AP794" s="213"/>
      <c r="AQ794" s="213"/>
      <c r="AR794" s="213"/>
      <c r="AS794" s="213"/>
      <c r="AT794" s="213"/>
      <c r="AU794" s="213"/>
      <c r="AV794" s="213"/>
      <c r="AW794" s="213"/>
      <c r="AX794" s="213"/>
      <c r="AY794" s="213"/>
      <c r="AZ794" s="213"/>
      <c r="BA794" s="213"/>
      <c r="BB794" s="213"/>
    </row>
    <row r="795">
      <c r="A795" s="199"/>
      <c r="B795" s="12"/>
      <c r="C795" s="202"/>
      <c r="D795" s="199"/>
      <c r="E795" s="211"/>
      <c r="F795" s="201"/>
      <c r="G795" s="199"/>
      <c r="H795" s="199"/>
      <c r="I795" s="199"/>
      <c r="J795" s="212"/>
      <c r="K795" s="212"/>
      <c r="L795" s="212"/>
      <c r="M795" s="212"/>
      <c r="N795" s="212"/>
      <c r="O795" s="212"/>
      <c r="P795" s="212"/>
      <c r="Q795" s="212"/>
      <c r="R795" s="212"/>
      <c r="S795" s="212"/>
      <c r="T795" s="212"/>
      <c r="U795" s="212"/>
      <c r="V795" s="212"/>
      <c r="W795" s="212"/>
      <c r="X795" s="212"/>
      <c r="Y795" s="212"/>
      <c r="Z795" s="204"/>
      <c r="AA795" s="204"/>
      <c r="AB795" s="204"/>
      <c r="AC795" s="204"/>
      <c r="AD795" s="204"/>
      <c r="AE795" s="212"/>
      <c r="AF795" s="213"/>
      <c r="AG795" s="213"/>
      <c r="AH795" s="213"/>
      <c r="AI795" s="213"/>
      <c r="AJ795" s="213"/>
      <c r="AK795" s="213"/>
      <c r="AL795" s="213"/>
      <c r="AM795" s="213"/>
      <c r="AN795" s="213"/>
      <c r="AO795" s="213"/>
      <c r="AP795" s="213"/>
      <c r="AQ795" s="213"/>
      <c r="AR795" s="213"/>
      <c r="AS795" s="213"/>
      <c r="AT795" s="213"/>
      <c r="AU795" s="213"/>
      <c r="AV795" s="213"/>
      <c r="AW795" s="213"/>
      <c r="AX795" s="213"/>
      <c r="AY795" s="213"/>
      <c r="AZ795" s="213"/>
      <c r="BA795" s="213"/>
      <c r="BB795" s="213"/>
    </row>
    <row r="796">
      <c r="A796" s="199"/>
      <c r="B796" s="12"/>
      <c r="C796" s="202"/>
      <c r="D796" s="199"/>
      <c r="E796" s="211"/>
      <c r="F796" s="201"/>
      <c r="G796" s="199"/>
      <c r="H796" s="199"/>
      <c r="I796" s="199"/>
      <c r="J796" s="212"/>
      <c r="K796" s="212"/>
      <c r="L796" s="212"/>
      <c r="M796" s="212"/>
      <c r="N796" s="212"/>
      <c r="O796" s="212"/>
      <c r="P796" s="212"/>
      <c r="Q796" s="212"/>
      <c r="R796" s="212"/>
      <c r="S796" s="212"/>
      <c r="T796" s="212"/>
      <c r="U796" s="212"/>
      <c r="V796" s="212"/>
      <c r="W796" s="212"/>
      <c r="X796" s="212"/>
      <c r="Y796" s="212"/>
      <c r="Z796" s="204"/>
      <c r="AA796" s="204"/>
      <c r="AB796" s="204"/>
      <c r="AC796" s="204"/>
      <c r="AD796" s="204"/>
      <c r="AE796" s="212"/>
      <c r="AF796" s="213"/>
      <c r="AG796" s="213"/>
      <c r="AH796" s="213"/>
      <c r="AI796" s="213"/>
      <c r="AJ796" s="213"/>
      <c r="AK796" s="213"/>
      <c r="AL796" s="213"/>
      <c r="AM796" s="213"/>
      <c r="AN796" s="213"/>
      <c r="AO796" s="213"/>
      <c r="AP796" s="213"/>
      <c r="AQ796" s="213"/>
      <c r="AR796" s="213"/>
      <c r="AS796" s="213"/>
      <c r="AT796" s="213"/>
      <c r="AU796" s="213"/>
      <c r="AV796" s="213"/>
      <c r="AW796" s="213"/>
      <c r="AX796" s="213"/>
      <c r="AY796" s="213"/>
      <c r="AZ796" s="213"/>
      <c r="BA796" s="213"/>
      <c r="BB796" s="213"/>
    </row>
    <row r="797">
      <c r="A797" s="199"/>
      <c r="B797" s="12"/>
      <c r="C797" s="202"/>
      <c r="D797" s="199"/>
      <c r="E797" s="211"/>
      <c r="F797" s="201"/>
      <c r="G797" s="199"/>
      <c r="H797" s="199"/>
      <c r="I797" s="199"/>
      <c r="J797" s="212"/>
      <c r="K797" s="212"/>
      <c r="L797" s="212"/>
      <c r="M797" s="212"/>
      <c r="N797" s="212"/>
      <c r="O797" s="212"/>
      <c r="P797" s="212"/>
      <c r="Q797" s="212"/>
      <c r="R797" s="212"/>
      <c r="S797" s="212"/>
      <c r="T797" s="212"/>
      <c r="U797" s="212"/>
      <c r="V797" s="212"/>
      <c r="W797" s="212"/>
      <c r="X797" s="212"/>
      <c r="Y797" s="212"/>
      <c r="Z797" s="204"/>
      <c r="AA797" s="204"/>
      <c r="AB797" s="204"/>
      <c r="AC797" s="204"/>
      <c r="AD797" s="204"/>
      <c r="AE797" s="212"/>
      <c r="AF797" s="213"/>
      <c r="AG797" s="213"/>
      <c r="AH797" s="213"/>
      <c r="AI797" s="213"/>
      <c r="AJ797" s="213"/>
      <c r="AK797" s="213"/>
      <c r="AL797" s="213"/>
      <c r="AM797" s="213"/>
      <c r="AN797" s="213"/>
      <c r="AO797" s="213"/>
      <c r="AP797" s="213"/>
      <c r="AQ797" s="213"/>
      <c r="AR797" s="213"/>
      <c r="AS797" s="213"/>
      <c r="AT797" s="213"/>
      <c r="AU797" s="213"/>
      <c r="AV797" s="213"/>
      <c r="AW797" s="213"/>
      <c r="AX797" s="213"/>
      <c r="AY797" s="213"/>
      <c r="AZ797" s="213"/>
      <c r="BA797" s="213"/>
      <c r="BB797" s="213"/>
    </row>
    <row r="798">
      <c r="A798" s="199"/>
      <c r="B798" s="12"/>
      <c r="C798" s="202"/>
      <c r="D798" s="199"/>
      <c r="E798" s="211"/>
      <c r="F798" s="201"/>
      <c r="G798" s="199"/>
      <c r="H798" s="199"/>
      <c r="I798" s="199"/>
      <c r="J798" s="212"/>
      <c r="K798" s="212"/>
      <c r="L798" s="212"/>
      <c r="M798" s="212"/>
      <c r="N798" s="212"/>
      <c r="O798" s="212"/>
      <c r="P798" s="212"/>
      <c r="Q798" s="212"/>
      <c r="R798" s="212"/>
      <c r="S798" s="212"/>
      <c r="T798" s="212"/>
      <c r="U798" s="212"/>
      <c r="V798" s="212"/>
      <c r="W798" s="212"/>
      <c r="X798" s="212"/>
      <c r="Y798" s="212"/>
      <c r="Z798" s="204"/>
      <c r="AA798" s="204"/>
      <c r="AB798" s="204"/>
      <c r="AC798" s="204"/>
      <c r="AD798" s="204"/>
      <c r="AE798" s="212"/>
      <c r="AF798" s="213"/>
      <c r="AG798" s="213"/>
      <c r="AH798" s="213"/>
      <c r="AI798" s="213"/>
      <c r="AJ798" s="213"/>
      <c r="AK798" s="213"/>
      <c r="AL798" s="213"/>
      <c r="AM798" s="213"/>
      <c r="AN798" s="213"/>
      <c r="AO798" s="213"/>
      <c r="AP798" s="213"/>
      <c r="AQ798" s="213"/>
      <c r="AR798" s="213"/>
      <c r="AS798" s="213"/>
      <c r="AT798" s="213"/>
      <c r="AU798" s="213"/>
      <c r="AV798" s="213"/>
      <c r="AW798" s="213"/>
      <c r="AX798" s="213"/>
      <c r="AY798" s="213"/>
      <c r="AZ798" s="213"/>
      <c r="BA798" s="213"/>
      <c r="BB798" s="213"/>
    </row>
    <row r="799">
      <c r="A799" s="199"/>
      <c r="B799" s="12"/>
      <c r="C799" s="202"/>
      <c r="D799" s="199"/>
      <c r="E799" s="211"/>
      <c r="F799" s="201"/>
      <c r="G799" s="199"/>
      <c r="H799" s="199"/>
      <c r="I799" s="199"/>
      <c r="J799" s="212"/>
      <c r="K799" s="212"/>
      <c r="L799" s="212"/>
      <c r="M799" s="212"/>
      <c r="N799" s="212"/>
      <c r="O799" s="212"/>
      <c r="P799" s="212"/>
      <c r="Q799" s="212"/>
      <c r="R799" s="212"/>
      <c r="S799" s="212"/>
      <c r="T799" s="212"/>
      <c r="U799" s="212"/>
      <c r="V799" s="212"/>
      <c r="W799" s="212"/>
      <c r="X799" s="212"/>
      <c r="Y799" s="212"/>
      <c r="Z799" s="204"/>
      <c r="AA799" s="204"/>
      <c r="AB799" s="204"/>
      <c r="AC799" s="204"/>
      <c r="AD799" s="204"/>
      <c r="AE799" s="212"/>
      <c r="AF799" s="213"/>
      <c r="AG799" s="213"/>
      <c r="AH799" s="213"/>
      <c r="AI799" s="213"/>
      <c r="AJ799" s="213"/>
      <c r="AK799" s="213"/>
      <c r="AL799" s="213"/>
      <c r="AM799" s="213"/>
      <c r="AN799" s="213"/>
      <c r="AO799" s="213"/>
      <c r="AP799" s="213"/>
      <c r="AQ799" s="213"/>
      <c r="AR799" s="213"/>
      <c r="AS799" s="213"/>
      <c r="AT799" s="213"/>
      <c r="AU799" s="213"/>
      <c r="AV799" s="213"/>
      <c r="AW799" s="213"/>
      <c r="AX799" s="213"/>
      <c r="AY799" s="213"/>
      <c r="AZ799" s="213"/>
      <c r="BA799" s="213"/>
      <c r="BB799" s="213"/>
    </row>
    <row r="800">
      <c r="A800" s="199"/>
      <c r="B800" s="12"/>
      <c r="C800" s="202"/>
      <c r="D800" s="199"/>
      <c r="E800" s="211"/>
      <c r="F800" s="201"/>
      <c r="G800" s="199"/>
      <c r="H800" s="199"/>
      <c r="I800" s="199"/>
      <c r="J800" s="212"/>
      <c r="K800" s="212"/>
      <c r="L800" s="212"/>
      <c r="M800" s="212"/>
      <c r="N800" s="212"/>
      <c r="O800" s="212"/>
      <c r="P800" s="212"/>
      <c r="Q800" s="212"/>
      <c r="R800" s="212"/>
      <c r="S800" s="212"/>
      <c r="T800" s="212"/>
      <c r="U800" s="212"/>
      <c r="V800" s="212"/>
      <c r="W800" s="212"/>
      <c r="X800" s="212"/>
      <c r="Y800" s="212"/>
      <c r="Z800" s="204"/>
      <c r="AA800" s="204"/>
      <c r="AB800" s="204"/>
      <c r="AC800" s="204"/>
      <c r="AD800" s="204"/>
      <c r="AE800" s="212"/>
      <c r="AF800" s="213"/>
      <c r="AG800" s="213"/>
      <c r="AH800" s="213"/>
      <c r="AI800" s="213"/>
      <c r="AJ800" s="213"/>
      <c r="AK800" s="213"/>
      <c r="AL800" s="213"/>
      <c r="AM800" s="213"/>
      <c r="AN800" s="213"/>
      <c r="AO800" s="213"/>
      <c r="AP800" s="213"/>
      <c r="AQ800" s="213"/>
      <c r="AR800" s="213"/>
      <c r="AS800" s="213"/>
      <c r="AT800" s="213"/>
      <c r="AU800" s="213"/>
      <c r="AV800" s="213"/>
      <c r="AW800" s="213"/>
      <c r="AX800" s="213"/>
      <c r="AY800" s="213"/>
      <c r="AZ800" s="213"/>
      <c r="BA800" s="213"/>
      <c r="BB800" s="213"/>
    </row>
    <row r="801">
      <c r="A801" s="199"/>
      <c r="B801" s="12"/>
      <c r="C801" s="202"/>
      <c r="D801" s="199"/>
      <c r="E801" s="211"/>
      <c r="F801" s="201"/>
      <c r="G801" s="199"/>
      <c r="H801" s="199"/>
      <c r="I801" s="199"/>
      <c r="J801" s="212"/>
      <c r="K801" s="212"/>
      <c r="L801" s="212"/>
      <c r="M801" s="212"/>
      <c r="N801" s="212"/>
      <c r="O801" s="212"/>
      <c r="P801" s="212"/>
      <c r="Q801" s="212"/>
      <c r="R801" s="212"/>
      <c r="S801" s="212"/>
      <c r="T801" s="212"/>
      <c r="U801" s="212"/>
      <c r="V801" s="212"/>
      <c r="W801" s="212"/>
      <c r="X801" s="212"/>
      <c r="Y801" s="212"/>
      <c r="Z801" s="204"/>
      <c r="AA801" s="204"/>
      <c r="AB801" s="204"/>
      <c r="AC801" s="204"/>
      <c r="AD801" s="204"/>
      <c r="AE801" s="212"/>
      <c r="AF801" s="213"/>
      <c r="AG801" s="213"/>
      <c r="AH801" s="213"/>
      <c r="AI801" s="213"/>
      <c r="AJ801" s="213"/>
      <c r="AK801" s="213"/>
      <c r="AL801" s="213"/>
      <c r="AM801" s="213"/>
      <c r="AN801" s="213"/>
      <c r="AO801" s="213"/>
      <c r="AP801" s="213"/>
      <c r="AQ801" s="213"/>
      <c r="AR801" s="213"/>
      <c r="AS801" s="213"/>
      <c r="AT801" s="213"/>
      <c r="AU801" s="213"/>
      <c r="AV801" s="213"/>
      <c r="AW801" s="213"/>
      <c r="AX801" s="213"/>
      <c r="AY801" s="213"/>
      <c r="AZ801" s="213"/>
      <c r="BA801" s="213"/>
      <c r="BB801" s="213"/>
    </row>
    <row r="802">
      <c r="A802" s="199"/>
      <c r="B802" s="12"/>
      <c r="C802" s="202"/>
      <c r="D802" s="199"/>
      <c r="E802" s="211"/>
      <c r="F802" s="201"/>
      <c r="G802" s="199"/>
      <c r="H802" s="199"/>
      <c r="I802" s="199"/>
      <c r="J802" s="212"/>
      <c r="K802" s="212"/>
      <c r="L802" s="212"/>
      <c r="M802" s="212"/>
      <c r="N802" s="212"/>
      <c r="O802" s="212"/>
      <c r="P802" s="212"/>
      <c r="Q802" s="212"/>
      <c r="R802" s="212"/>
      <c r="S802" s="212"/>
      <c r="T802" s="212"/>
      <c r="U802" s="212"/>
      <c r="V802" s="212"/>
      <c r="W802" s="212"/>
      <c r="X802" s="212"/>
      <c r="Y802" s="212"/>
      <c r="Z802" s="204"/>
      <c r="AA802" s="204"/>
      <c r="AB802" s="204"/>
      <c r="AC802" s="204"/>
      <c r="AD802" s="204"/>
      <c r="AE802" s="212"/>
      <c r="AF802" s="213"/>
      <c r="AG802" s="213"/>
      <c r="AH802" s="213"/>
      <c r="AI802" s="213"/>
      <c r="AJ802" s="213"/>
      <c r="AK802" s="213"/>
      <c r="AL802" s="213"/>
      <c r="AM802" s="213"/>
      <c r="AN802" s="213"/>
      <c r="AO802" s="213"/>
      <c r="AP802" s="213"/>
      <c r="AQ802" s="213"/>
      <c r="AR802" s="213"/>
      <c r="AS802" s="213"/>
      <c r="AT802" s="213"/>
      <c r="AU802" s="213"/>
      <c r="AV802" s="213"/>
      <c r="AW802" s="213"/>
      <c r="AX802" s="213"/>
      <c r="AY802" s="213"/>
      <c r="AZ802" s="213"/>
      <c r="BA802" s="213"/>
      <c r="BB802" s="213"/>
    </row>
    <row r="803">
      <c r="A803" s="199"/>
      <c r="B803" s="12"/>
      <c r="C803" s="202"/>
      <c r="D803" s="199"/>
      <c r="E803" s="211"/>
      <c r="F803" s="201"/>
      <c r="G803" s="199"/>
      <c r="H803" s="199"/>
      <c r="I803" s="199"/>
      <c r="J803" s="212"/>
      <c r="K803" s="212"/>
      <c r="L803" s="212"/>
      <c r="M803" s="212"/>
      <c r="N803" s="212"/>
      <c r="O803" s="212"/>
      <c r="P803" s="212"/>
      <c r="Q803" s="212"/>
      <c r="R803" s="212"/>
      <c r="S803" s="212"/>
      <c r="T803" s="212"/>
      <c r="U803" s="212"/>
      <c r="V803" s="212"/>
      <c r="W803" s="212"/>
      <c r="X803" s="212"/>
      <c r="Y803" s="212"/>
      <c r="Z803" s="204"/>
      <c r="AA803" s="204"/>
      <c r="AB803" s="204"/>
      <c r="AC803" s="204"/>
      <c r="AD803" s="204"/>
      <c r="AE803" s="212"/>
      <c r="AF803" s="213"/>
      <c r="AG803" s="213"/>
      <c r="AH803" s="213"/>
      <c r="AI803" s="213"/>
      <c r="AJ803" s="213"/>
      <c r="AK803" s="213"/>
      <c r="AL803" s="213"/>
      <c r="AM803" s="213"/>
      <c r="AN803" s="213"/>
      <c r="AO803" s="213"/>
      <c r="AP803" s="213"/>
      <c r="AQ803" s="213"/>
      <c r="AR803" s="213"/>
      <c r="AS803" s="213"/>
      <c r="AT803" s="213"/>
      <c r="AU803" s="213"/>
      <c r="AV803" s="213"/>
      <c r="AW803" s="213"/>
      <c r="AX803" s="213"/>
      <c r="AY803" s="213"/>
      <c r="AZ803" s="213"/>
      <c r="BA803" s="213"/>
      <c r="BB803" s="213"/>
    </row>
    <row r="804">
      <c r="A804" s="199"/>
      <c r="B804" s="12"/>
      <c r="C804" s="202"/>
      <c r="D804" s="199"/>
      <c r="E804" s="211"/>
      <c r="F804" s="201"/>
      <c r="G804" s="199"/>
      <c r="H804" s="199"/>
      <c r="I804" s="199"/>
      <c r="J804" s="212"/>
      <c r="K804" s="212"/>
      <c r="L804" s="212"/>
      <c r="M804" s="212"/>
      <c r="N804" s="212"/>
      <c r="O804" s="212"/>
      <c r="P804" s="212"/>
      <c r="Q804" s="212"/>
      <c r="R804" s="212"/>
      <c r="S804" s="212"/>
      <c r="T804" s="212"/>
      <c r="U804" s="212"/>
      <c r="V804" s="212"/>
      <c r="W804" s="212"/>
      <c r="X804" s="212"/>
      <c r="Y804" s="212"/>
      <c r="Z804" s="204"/>
      <c r="AA804" s="204"/>
      <c r="AB804" s="204"/>
      <c r="AC804" s="204"/>
      <c r="AD804" s="204"/>
      <c r="AE804" s="212"/>
      <c r="AF804" s="213"/>
      <c r="AG804" s="213"/>
      <c r="AH804" s="213"/>
      <c r="AI804" s="213"/>
      <c r="AJ804" s="213"/>
      <c r="AK804" s="213"/>
      <c r="AL804" s="213"/>
      <c r="AM804" s="213"/>
      <c r="AN804" s="213"/>
      <c r="AO804" s="213"/>
      <c r="AP804" s="213"/>
      <c r="AQ804" s="213"/>
      <c r="AR804" s="213"/>
      <c r="AS804" s="213"/>
      <c r="AT804" s="213"/>
      <c r="AU804" s="213"/>
      <c r="AV804" s="213"/>
      <c r="AW804" s="213"/>
      <c r="AX804" s="213"/>
      <c r="AY804" s="213"/>
      <c r="AZ804" s="213"/>
      <c r="BA804" s="213"/>
      <c r="BB804" s="213"/>
    </row>
    <row r="805">
      <c r="A805" s="199"/>
      <c r="B805" s="12"/>
      <c r="C805" s="202"/>
      <c r="D805" s="199"/>
      <c r="E805" s="211"/>
      <c r="F805" s="201"/>
      <c r="G805" s="199"/>
      <c r="H805" s="199"/>
      <c r="I805" s="199"/>
      <c r="J805" s="212"/>
      <c r="K805" s="212"/>
      <c r="L805" s="212"/>
      <c r="M805" s="212"/>
      <c r="N805" s="212"/>
      <c r="O805" s="212"/>
      <c r="P805" s="212"/>
      <c r="Q805" s="212"/>
      <c r="R805" s="212"/>
      <c r="S805" s="212"/>
      <c r="T805" s="212"/>
      <c r="U805" s="212"/>
      <c r="V805" s="212"/>
      <c r="W805" s="212"/>
      <c r="X805" s="212"/>
      <c r="Y805" s="212"/>
      <c r="Z805" s="204"/>
      <c r="AA805" s="204"/>
      <c r="AB805" s="204"/>
      <c r="AC805" s="204"/>
      <c r="AD805" s="204"/>
      <c r="AE805" s="212"/>
      <c r="AF805" s="213"/>
      <c r="AG805" s="213"/>
      <c r="AH805" s="213"/>
      <c r="AI805" s="213"/>
      <c r="AJ805" s="213"/>
      <c r="AK805" s="213"/>
      <c r="AL805" s="213"/>
      <c r="AM805" s="213"/>
      <c r="AN805" s="213"/>
      <c r="AO805" s="213"/>
      <c r="AP805" s="213"/>
      <c r="AQ805" s="213"/>
      <c r="AR805" s="213"/>
      <c r="AS805" s="213"/>
      <c r="AT805" s="213"/>
      <c r="AU805" s="213"/>
      <c r="AV805" s="213"/>
      <c r="AW805" s="213"/>
      <c r="AX805" s="213"/>
      <c r="AY805" s="213"/>
      <c r="AZ805" s="213"/>
      <c r="BA805" s="213"/>
      <c r="BB805" s="213"/>
    </row>
    <row r="806">
      <c r="A806" s="199"/>
      <c r="B806" s="12"/>
      <c r="C806" s="202"/>
      <c r="D806" s="199"/>
      <c r="E806" s="211"/>
      <c r="F806" s="201"/>
      <c r="G806" s="199"/>
      <c r="H806" s="199"/>
      <c r="I806" s="199"/>
      <c r="J806" s="212"/>
      <c r="K806" s="212"/>
      <c r="L806" s="212"/>
      <c r="M806" s="212"/>
      <c r="N806" s="212"/>
      <c r="O806" s="212"/>
      <c r="P806" s="212"/>
      <c r="Q806" s="212"/>
      <c r="R806" s="212"/>
      <c r="S806" s="212"/>
      <c r="T806" s="212"/>
      <c r="U806" s="212"/>
      <c r="V806" s="212"/>
      <c r="W806" s="212"/>
      <c r="X806" s="212"/>
      <c r="Y806" s="212"/>
      <c r="Z806" s="204"/>
      <c r="AA806" s="204"/>
      <c r="AB806" s="204"/>
      <c r="AC806" s="204"/>
      <c r="AD806" s="204"/>
      <c r="AE806" s="212"/>
      <c r="AF806" s="213"/>
      <c r="AG806" s="213"/>
      <c r="AH806" s="213"/>
      <c r="AI806" s="213"/>
      <c r="AJ806" s="213"/>
      <c r="AK806" s="213"/>
      <c r="AL806" s="213"/>
      <c r="AM806" s="213"/>
      <c r="AN806" s="213"/>
      <c r="AO806" s="213"/>
      <c r="AP806" s="213"/>
      <c r="AQ806" s="213"/>
      <c r="AR806" s="213"/>
      <c r="AS806" s="213"/>
      <c r="AT806" s="213"/>
      <c r="AU806" s="213"/>
      <c r="AV806" s="213"/>
      <c r="AW806" s="213"/>
      <c r="AX806" s="213"/>
      <c r="AY806" s="213"/>
      <c r="AZ806" s="213"/>
      <c r="BA806" s="213"/>
      <c r="BB806" s="213"/>
    </row>
    <row r="807">
      <c r="A807" s="199"/>
      <c r="B807" s="12"/>
      <c r="C807" s="202"/>
      <c r="D807" s="199"/>
      <c r="E807" s="211"/>
      <c r="F807" s="201"/>
      <c r="G807" s="199"/>
      <c r="H807" s="199"/>
      <c r="I807" s="199"/>
      <c r="J807" s="212"/>
      <c r="K807" s="212"/>
      <c r="L807" s="212"/>
      <c r="M807" s="212"/>
      <c r="N807" s="212"/>
      <c r="O807" s="212"/>
      <c r="P807" s="212"/>
      <c r="Q807" s="212"/>
      <c r="R807" s="212"/>
      <c r="S807" s="212"/>
      <c r="T807" s="212"/>
      <c r="U807" s="212"/>
      <c r="V807" s="212"/>
      <c r="W807" s="212"/>
      <c r="X807" s="212"/>
      <c r="Y807" s="212"/>
      <c r="Z807" s="204"/>
      <c r="AA807" s="204"/>
      <c r="AB807" s="204"/>
      <c r="AC807" s="204"/>
      <c r="AD807" s="204"/>
      <c r="AE807" s="212"/>
      <c r="AF807" s="213"/>
      <c r="AG807" s="213"/>
      <c r="AH807" s="213"/>
      <c r="AI807" s="213"/>
      <c r="AJ807" s="213"/>
      <c r="AK807" s="213"/>
      <c r="AL807" s="213"/>
      <c r="AM807" s="213"/>
      <c r="AN807" s="213"/>
      <c r="AO807" s="213"/>
      <c r="AP807" s="213"/>
      <c r="AQ807" s="213"/>
      <c r="AR807" s="213"/>
      <c r="AS807" s="213"/>
      <c r="AT807" s="213"/>
      <c r="AU807" s="213"/>
      <c r="AV807" s="213"/>
      <c r="AW807" s="213"/>
      <c r="AX807" s="213"/>
      <c r="AY807" s="213"/>
      <c r="AZ807" s="213"/>
      <c r="BA807" s="213"/>
      <c r="BB807" s="213"/>
    </row>
    <row r="808">
      <c r="A808" s="199"/>
      <c r="B808" s="12"/>
      <c r="C808" s="202"/>
      <c r="D808" s="199"/>
      <c r="E808" s="211"/>
      <c r="F808" s="201"/>
      <c r="G808" s="199"/>
      <c r="H808" s="199"/>
      <c r="I808" s="199"/>
      <c r="J808" s="212"/>
      <c r="K808" s="212"/>
      <c r="L808" s="212"/>
      <c r="M808" s="212"/>
      <c r="N808" s="212"/>
      <c r="O808" s="212"/>
      <c r="P808" s="212"/>
      <c r="Q808" s="212"/>
      <c r="R808" s="212"/>
      <c r="S808" s="212"/>
      <c r="T808" s="212"/>
      <c r="U808" s="212"/>
      <c r="V808" s="212"/>
      <c r="W808" s="212"/>
      <c r="X808" s="212"/>
      <c r="Y808" s="212"/>
      <c r="Z808" s="204"/>
      <c r="AA808" s="204"/>
      <c r="AB808" s="204"/>
      <c r="AC808" s="204"/>
      <c r="AD808" s="204"/>
      <c r="AE808" s="212"/>
      <c r="AF808" s="213"/>
      <c r="AG808" s="213"/>
      <c r="AH808" s="213"/>
      <c r="AI808" s="213"/>
      <c r="AJ808" s="213"/>
      <c r="AK808" s="213"/>
      <c r="AL808" s="213"/>
      <c r="AM808" s="213"/>
      <c r="AN808" s="213"/>
      <c r="AO808" s="213"/>
      <c r="AP808" s="213"/>
      <c r="AQ808" s="213"/>
      <c r="AR808" s="213"/>
      <c r="AS808" s="213"/>
      <c r="AT808" s="213"/>
      <c r="AU808" s="213"/>
      <c r="AV808" s="213"/>
      <c r="AW808" s="213"/>
      <c r="AX808" s="213"/>
      <c r="AY808" s="213"/>
      <c r="AZ808" s="213"/>
      <c r="BA808" s="213"/>
      <c r="BB808" s="213"/>
    </row>
    <row r="809">
      <c r="A809" s="199"/>
      <c r="B809" s="12"/>
      <c r="C809" s="202"/>
      <c r="D809" s="199"/>
      <c r="E809" s="211"/>
      <c r="F809" s="201"/>
      <c r="G809" s="199"/>
      <c r="H809" s="199"/>
      <c r="I809" s="199"/>
      <c r="J809" s="212"/>
      <c r="K809" s="212"/>
      <c r="L809" s="212"/>
      <c r="M809" s="212"/>
      <c r="N809" s="212"/>
      <c r="O809" s="212"/>
      <c r="P809" s="212"/>
      <c r="Q809" s="212"/>
      <c r="R809" s="212"/>
      <c r="S809" s="212"/>
      <c r="T809" s="212"/>
      <c r="U809" s="212"/>
      <c r="V809" s="212"/>
      <c r="W809" s="212"/>
      <c r="X809" s="212"/>
      <c r="Y809" s="212"/>
      <c r="Z809" s="204"/>
      <c r="AA809" s="204"/>
      <c r="AB809" s="204"/>
      <c r="AC809" s="204"/>
      <c r="AD809" s="204"/>
      <c r="AE809" s="212"/>
      <c r="AF809" s="213"/>
      <c r="AG809" s="213"/>
      <c r="AH809" s="213"/>
      <c r="AI809" s="213"/>
      <c r="AJ809" s="213"/>
      <c r="AK809" s="213"/>
      <c r="AL809" s="213"/>
      <c r="AM809" s="213"/>
      <c r="AN809" s="213"/>
      <c r="AO809" s="213"/>
      <c r="AP809" s="213"/>
      <c r="AQ809" s="213"/>
      <c r="AR809" s="213"/>
      <c r="AS809" s="213"/>
      <c r="AT809" s="213"/>
      <c r="AU809" s="213"/>
      <c r="AV809" s="213"/>
      <c r="AW809" s="213"/>
      <c r="AX809" s="213"/>
      <c r="AY809" s="213"/>
      <c r="AZ809" s="213"/>
      <c r="BA809" s="213"/>
      <c r="BB809" s="213"/>
    </row>
    <row r="810">
      <c r="A810" s="199"/>
      <c r="B810" s="12"/>
      <c r="C810" s="202"/>
      <c r="D810" s="199"/>
      <c r="E810" s="211"/>
      <c r="F810" s="201"/>
      <c r="G810" s="199"/>
      <c r="H810" s="199"/>
      <c r="I810" s="199"/>
      <c r="J810" s="212"/>
      <c r="K810" s="212"/>
      <c r="L810" s="212"/>
      <c r="M810" s="212"/>
      <c r="N810" s="212"/>
      <c r="O810" s="212"/>
      <c r="P810" s="212"/>
      <c r="Q810" s="212"/>
      <c r="R810" s="212"/>
      <c r="S810" s="212"/>
      <c r="T810" s="212"/>
      <c r="U810" s="212"/>
      <c r="V810" s="212"/>
      <c r="W810" s="212"/>
      <c r="X810" s="212"/>
      <c r="Y810" s="212"/>
      <c r="Z810" s="204"/>
      <c r="AA810" s="204"/>
      <c r="AB810" s="204"/>
      <c r="AC810" s="204"/>
      <c r="AD810" s="204"/>
      <c r="AE810" s="212"/>
      <c r="AF810" s="213"/>
      <c r="AG810" s="213"/>
      <c r="AH810" s="213"/>
      <c r="AI810" s="213"/>
      <c r="AJ810" s="213"/>
      <c r="AK810" s="213"/>
      <c r="AL810" s="213"/>
      <c r="AM810" s="213"/>
      <c r="AN810" s="213"/>
      <c r="AO810" s="213"/>
      <c r="AP810" s="213"/>
      <c r="AQ810" s="213"/>
      <c r="AR810" s="213"/>
      <c r="AS810" s="213"/>
      <c r="AT810" s="213"/>
      <c r="AU810" s="213"/>
      <c r="AV810" s="213"/>
      <c r="AW810" s="213"/>
      <c r="AX810" s="213"/>
      <c r="AY810" s="213"/>
      <c r="AZ810" s="213"/>
      <c r="BA810" s="213"/>
      <c r="BB810" s="213"/>
    </row>
    <row r="811">
      <c r="A811" s="199"/>
      <c r="B811" s="12"/>
      <c r="C811" s="202"/>
      <c r="D811" s="199"/>
      <c r="E811" s="211"/>
      <c r="F811" s="201"/>
      <c r="G811" s="199"/>
      <c r="H811" s="199"/>
      <c r="I811" s="199"/>
      <c r="J811" s="212"/>
      <c r="K811" s="212"/>
      <c r="L811" s="212"/>
      <c r="M811" s="212"/>
      <c r="N811" s="212"/>
      <c r="O811" s="212"/>
      <c r="P811" s="212"/>
      <c r="Q811" s="212"/>
      <c r="R811" s="212"/>
      <c r="S811" s="212"/>
      <c r="T811" s="212"/>
      <c r="U811" s="212"/>
      <c r="V811" s="212"/>
      <c r="W811" s="212"/>
      <c r="X811" s="212"/>
      <c r="Y811" s="212"/>
      <c r="Z811" s="204"/>
      <c r="AA811" s="204"/>
      <c r="AB811" s="204"/>
      <c r="AC811" s="204"/>
      <c r="AD811" s="204"/>
      <c r="AE811" s="212"/>
      <c r="AF811" s="213"/>
      <c r="AG811" s="213"/>
      <c r="AH811" s="213"/>
      <c r="AI811" s="213"/>
      <c r="AJ811" s="213"/>
      <c r="AK811" s="213"/>
      <c r="AL811" s="213"/>
      <c r="AM811" s="213"/>
      <c r="AN811" s="213"/>
      <c r="AO811" s="213"/>
      <c r="AP811" s="213"/>
      <c r="AQ811" s="213"/>
      <c r="AR811" s="213"/>
      <c r="AS811" s="213"/>
      <c r="AT811" s="213"/>
      <c r="AU811" s="213"/>
      <c r="AV811" s="213"/>
      <c r="AW811" s="213"/>
      <c r="AX811" s="213"/>
      <c r="AY811" s="213"/>
      <c r="AZ811" s="213"/>
      <c r="BA811" s="213"/>
      <c r="BB811" s="213"/>
    </row>
    <row r="812">
      <c r="A812" s="199"/>
      <c r="B812" s="12"/>
      <c r="C812" s="202"/>
      <c r="D812" s="199"/>
      <c r="E812" s="211"/>
      <c r="F812" s="201"/>
      <c r="G812" s="199"/>
      <c r="H812" s="199"/>
      <c r="I812" s="199"/>
      <c r="J812" s="212"/>
      <c r="K812" s="212"/>
      <c r="L812" s="212"/>
      <c r="M812" s="212"/>
      <c r="N812" s="212"/>
      <c r="O812" s="212"/>
      <c r="P812" s="212"/>
      <c r="Q812" s="212"/>
      <c r="R812" s="212"/>
      <c r="S812" s="212"/>
      <c r="T812" s="212"/>
      <c r="U812" s="212"/>
      <c r="V812" s="212"/>
      <c r="W812" s="212"/>
      <c r="X812" s="212"/>
      <c r="Y812" s="212"/>
      <c r="Z812" s="204"/>
      <c r="AA812" s="204"/>
      <c r="AB812" s="204"/>
      <c r="AC812" s="204"/>
      <c r="AD812" s="204"/>
      <c r="AE812" s="212"/>
      <c r="AF812" s="213"/>
      <c r="AG812" s="213"/>
      <c r="AH812" s="213"/>
      <c r="AI812" s="213"/>
      <c r="AJ812" s="213"/>
      <c r="AK812" s="213"/>
      <c r="AL812" s="213"/>
      <c r="AM812" s="213"/>
      <c r="AN812" s="213"/>
      <c r="AO812" s="213"/>
      <c r="AP812" s="213"/>
      <c r="AQ812" s="213"/>
      <c r="AR812" s="213"/>
      <c r="AS812" s="213"/>
      <c r="AT812" s="213"/>
      <c r="AU812" s="213"/>
      <c r="AV812" s="213"/>
      <c r="AW812" s="213"/>
      <c r="AX812" s="213"/>
      <c r="AY812" s="213"/>
      <c r="AZ812" s="213"/>
      <c r="BA812" s="213"/>
      <c r="BB812" s="213"/>
    </row>
    <row r="813">
      <c r="A813" s="199"/>
      <c r="B813" s="12"/>
      <c r="C813" s="202"/>
      <c r="D813" s="199"/>
      <c r="E813" s="211"/>
      <c r="F813" s="201"/>
      <c r="G813" s="199"/>
      <c r="H813" s="199"/>
      <c r="I813" s="199"/>
      <c r="J813" s="212"/>
      <c r="K813" s="212"/>
      <c r="L813" s="212"/>
      <c r="M813" s="212"/>
      <c r="N813" s="212"/>
      <c r="O813" s="212"/>
      <c r="P813" s="212"/>
      <c r="Q813" s="212"/>
      <c r="R813" s="212"/>
      <c r="S813" s="212"/>
      <c r="T813" s="212"/>
      <c r="U813" s="212"/>
      <c r="V813" s="212"/>
      <c r="W813" s="212"/>
      <c r="X813" s="212"/>
      <c r="Y813" s="212"/>
      <c r="Z813" s="204"/>
      <c r="AA813" s="204"/>
      <c r="AB813" s="204"/>
      <c r="AC813" s="204"/>
      <c r="AD813" s="204"/>
      <c r="AE813" s="212"/>
      <c r="AF813" s="213"/>
      <c r="AG813" s="213"/>
      <c r="AH813" s="213"/>
      <c r="AI813" s="213"/>
      <c r="AJ813" s="213"/>
      <c r="AK813" s="213"/>
      <c r="AL813" s="213"/>
      <c r="AM813" s="213"/>
      <c r="AN813" s="213"/>
      <c r="AO813" s="213"/>
      <c r="AP813" s="213"/>
      <c r="AQ813" s="213"/>
      <c r="AR813" s="213"/>
      <c r="AS813" s="213"/>
      <c r="AT813" s="213"/>
      <c r="AU813" s="213"/>
      <c r="AV813" s="213"/>
      <c r="AW813" s="213"/>
      <c r="AX813" s="213"/>
      <c r="AY813" s="213"/>
      <c r="AZ813" s="213"/>
      <c r="BA813" s="213"/>
      <c r="BB813" s="213"/>
    </row>
    <row r="814">
      <c r="A814" s="199"/>
      <c r="B814" s="12"/>
      <c r="C814" s="202"/>
      <c r="D814" s="199"/>
      <c r="E814" s="211"/>
      <c r="F814" s="201"/>
      <c r="G814" s="199"/>
      <c r="H814" s="199"/>
      <c r="I814" s="199"/>
      <c r="J814" s="212"/>
      <c r="K814" s="212"/>
      <c r="L814" s="212"/>
      <c r="M814" s="212"/>
      <c r="N814" s="212"/>
      <c r="O814" s="212"/>
      <c r="P814" s="212"/>
      <c r="Q814" s="212"/>
      <c r="R814" s="212"/>
      <c r="S814" s="212"/>
      <c r="T814" s="212"/>
      <c r="U814" s="212"/>
      <c r="V814" s="212"/>
      <c r="W814" s="212"/>
      <c r="X814" s="212"/>
      <c r="Y814" s="212"/>
      <c r="Z814" s="204"/>
      <c r="AA814" s="204"/>
      <c r="AB814" s="204"/>
      <c r="AC814" s="204"/>
      <c r="AD814" s="204"/>
      <c r="AE814" s="212"/>
      <c r="AF814" s="213"/>
      <c r="AG814" s="213"/>
      <c r="AH814" s="213"/>
      <c r="AI814" s="213"/>
      <c r="AJ814" s="213"/>
      <c r="AK814" s="213"/>
      <c r="AL814" s="213"/>
      <c r="AM814" s="213"/>
      <c r="AN814" s="213"/>
      <c r="AO814" s="213"/>
      <c r="AP814" s="213"/>
      <c r="AQ814" s="213"/>
      <c r="AR814" s="213"/>
      <c r="AS814" s="213"/>
      <c r="AT814" s="213"/>
      <c r="AU814" s="213"/>
      <c r="AV814" s="213"/>
      <c r="AW814" s="213"/>
      <c r="AX814" s="213"/>
      <c r="AY814" s="213"/>
      <c r="AZ814" s="213"/>
      <c r="BA814" s="213"/>
      <c r="BB814" s="213"/>
    </row>
    <row r="815">
      <c r="A815" s="199"/>
      <c r="B815" s="12"/>
      <c r="C815" s="202"/>
      <c r="D815" s="199"/>
      <c r="E815" s="211"/>
      <c r="F815" s="201"/>
      <c r="G815" s="199"/>
      <c r="H815" s="199"/>
      <c r="I815" s="199"/>
      <c r="J815" s="212"/>
      <c r="K815" s="212"/>
      <c r="L815" s="212"/>
      <c r="M815" s="212"/>
      <c r="N815" s="212"/>
      <c r="O815" s="212"/>
      <c r="P815" s="212"/>
      <c r="Q815" s="212"/>
      <c r="R815" s="212"/>
      <c r="S815" s="212"/>
      <c r="T815" s="212"/>
      <c r="U815" s="212"/>
      <c r="V815" s="212"/>
      <c r="W815" s="212"/>
      <c r="X815" s="212"/>
      <c r="Y815" s="212"/>
      <c r="Z815" s="204"/>
      <c r="AA815" s="204"/>
      <c r="AB815" s="204"/>
      <c r="AC815" s="204"/>
      <c r="AD815" s="204"/>
      <c r="AE815" s="212"/>
      <c r="AF815" s="213"/>
      <c r="AG815" s="213"/>
      <c r="AH815" s="213"/>
      <c r="AI815" s="213"/>
      <c r="AJ815" s="213"/>
      <c r="AK815" s="213"/>
      <c r="AL815" s="213"/>
      <c r="AM815" s="213"/>
      <c r="AN815" s="213"/>
      <c r="AO815" s="213"/>
      <c r="AP815" s="213"/>
      <c r="AQ815" s="213"/>
      <c r="AR815" s="213"/>
      <c r="AS815" s="213"/>
      <c r="AT815" s="213"/>
      <c r="AU815" s="213"/>
      <c r="AV815" s="213"/>
      <c r="AW815" s="213"/>
      <c r="AX815" s="213"/>
      <c r="AY815" s="213"/>
      <c r="AZ815" s="213"/>
      <c r="BA815" s="213"/>
      <c r="BB815" s="213"/>
    </row>
    <row r="816">
      <c r="A816" s="199"/>
      <c r="B816" s="12"/>
      <c r="C816" s="202"/>
      <c r="D816" s="199"/>
      <c r="E816" s="211"/>
      <c r="F816" s="201"/>
      <c r="G816" s="199"/>
      <c r="H816" s="199"/>
      <c r="I816" s="199"/>
      <c r="J816" s="212"/>
      <c r="K816" s="212"/>
      <c r="L816" s="212"/>
      <c r="M816" s="212"/>
      <c r="N816" s="212"/>
      <c r="O816" s="212"/>
      <c r="P816" s="212"/>
      <c r="Q816" s="212"/>
      <c r="R816" s="212"/>
      <c r="S816" s="212"/>
      <c r="T816" s="212"/>
      <c r="U816" s="212"/>
      <c r="V816" s="212"/>
      <c r="W816" s="212"/>
      <c r="X816" s="212"/>
      <c r="Y816" s="212"/>
      <c r="Z816" s="204"/>
      <c r="AA816" s="204"/>
      <c r="AB816" s="204"/>
      <c r="AC816" s="204"/>
      <c r="AD816" s="204"/>
      <c r="AE816" s="212"/>
      <c r="AF816" s="213"/>
      <c r="AG816" s="213"/>
      <c r="AH816" s="213"/>
      <c r="AI816" s="213"/>
      <c r="AJ816" s="213"/>
      <c r="AK816" s="213"/>
      <c r="AL816" s="213"/>
      <c r="AM816" s="213"/>
      <c r="AN816" s="213"/>
      <c r="AO816" s="213"/>
      <c r="AP816" s="213"/>
      <c r="AQ816" s="213"/>
      <c r="AR816" s="213"/>
      <c r="AS816" s="213"/>
      <c r="AT816" s="213"/>
      <c r="AU816" s="213"/>
      <c r="AV816" s="213"/>
      <c r="AW816" s="213"/>
      <c r="AX816" s="213"/>
      <c r="AY816" s="213"/>
      <c r="AZ816" s="213"/>
      <c r="BA816" s="213"/>
      <c r="BB816" s="213"/>
    </row>
    <row r="817">
      <c r="A817" s="199"/>
      <c r="B817" s="12"/>
      <c r="C817" s="202"/>
      <c r="D817" s="199"/>
      <c r="E817" s="211"/>
      <c r="F817" s="201"/>
      <c r="G817" s="199"/>
      <c r="H817" s="199"/>
      <c r="I817" s="199"/>
      <c r="J817" s="212"/>
      <c r="K817" s="212"/>
      <c r="L817" s="212"/>
      <c r="M817" s="212"/>
      <c r="N817" s="212"/>
      <c r="O817" s="212"/>
      <c r="P817" s="212"/>
      <c r="Q817" s="212"/>
      <c r="R817" s="212"/>
      <c r="S817" s="212"/>
      <c r="T817" s="212"/>
      <c r="U817" s="212"/>
      <c r="V817" s="212"/>
      <c r="W817" s="212"/>
      <c r="X817" s="212"/>
      <c r="Y817" s="212"/>
      <c r="Z817" s="204"/>
      <c r="AA817" s="204"/>
      <c r="AB817" s="204"/>
      <c r="AC817" s="204"/>
      <c r="AD817" s="204"/>
      <c r="AE817" s="212"/>
      <c r="AF817" s="213"/>
      <c r="AG817" s="213"/>
      <c r="AH817" s="213"/>
      <c r="AI817" s="213"/>
      <c r="AJ817" s="213"/>
      <c r="AK817" s="213"/>
      <c r="AL817" s="213"/>
      <c r="AM817" s="213"/>
      <c r="AN817" s="213"/>
      <c r="AO817" s="213"/>
      <c r="AP817" s="213"/>
      <c r="AQ817" s="213"/>
      <c r="AR817" s="213"/>
      <c r="AS817" s="213"/>
      <c r="AT817" s="213"/>
      <c r="AU817" s="213"/>
      <c r="AV817" s="213"/>
      <c r="AW817" s="213"/>
      <c r="AX817" s="213"/>
      <c r="AY817" s="213"/>
      <c r="AZ817" s="213"/>
      <c r="BA817" s="213"/>
      <c r="BB817" s="213"/>
    </row>
    <row r="818">
      <c r="A818" s="199"/>
      <c r="B818" s="12"/>
      <c r="C818" s="202"/>
      <c r="D818" s="199"/>
      <c r="E818" s="211"/>
      <c r="F818" s="201"/>
      <c r="G818" s="199"/>
      <c r="H818" s="199"/>
      <c r="I818" s="199"/>
      <c r="J818" s="212"/>
      <c r="K818" s="212"/>
      <c r="L818" s="212"/>
      <c r="M818" s="212"/>
      <c r="N818" s="212"/>
      <c r="O818" s="212"/>
      <c r="P818" s="212"/>
      <c r="Q818" s="212"/>
      <c r="R818" s="212"/>
      <c r="S818" s="212"/>
      <c r="T818" s="212"/>
      <c r="U818" s="212"/>
      <c r="V818" s="212"/>
      <c r="W818" s="212"/>
      <c r="X818" s="212"/>
      <c r="Y818" s="212"/>
      <c r="Z818" s="204"/>
      <c r="AA818" s="204"/>
      <c r="AB818" s="204"/>
      <c r="AC818" s="204"/>
      <c r="AD818" s="204"/>
      <c r="AE818" s="212"/>
      <c r="AF818" s="213"/>
      <c r="AG818" s="213"/>
      <c r="AH818" s="213"/>
      <c r="AI818" s="213"/>
      <c r="AJ818" s="213"/>
      <c r="AK818" s="213"/>
      <c r="AL818" s="213"/>
      <c r="AM818" s="213"/>
      <c r="AN818" s="213"/>
      <c r="AO818" s="213"/>
      <c r="AP818" s="213"/>
      <c r="AQ818" s="213"/>
      <c r="AR818" s="213"/>
      <c r="AS818" s="213"/>
      <c r="AT818" s="213"/>
      <c r="AU818" s="213"/>
      <c r="AV818" s="213"/>
      <c r="AW818" s="213"/>
      <c r="AX818" s="213"/>
      <c r="AY818" s="213"/>
      <c r="AZ818" s="213"/>
      <c r="BA818" s="213"/>
      <c r="BB818" s="213"/>
    </row>
    <row r="819">
      <c r="A819" s="199"/>
      <c r="B819" s="12"/>
      <c r="C819" s="202"/>
      <c r="D819" s="199"/>
      <c r="E819" s="211"/>
      <c r="F819" s="201"/>
      <c r="G819" s="199"/>
      <c r="H819" s="199"/>
      <c r="I819" s="199"/>
      <c r="J819" s="212"/>
      <c r="K819" s="212"/>
      <c r="L819" s="212"/>
      <c r="M819" s="212"/>
      <c r="N819" s="212"/>
      <c r="O819" s="212"/>
      <c r="P819" s="212"/>
      <c r="Q819" s="212"/>
      <c r="R819" s="212"/>
      <c r="S819" s="212"/>
      <c r="T819" s="212"/>
      <c r="U819" s="212"/>
      <c r="V819" s="212"/>
      <c r="W819" s="212"/>
      <c r="X819" s="212"/>
      <c r="Y819" s="212"/>
      <c r="Z819" s="204"/>
      <c r="AA819" s="204"/>
      <c r="AB819" s="204"/>
      <c r="AC819" s="204"/>
      <c r="AD819" s="204"/>
      <c r="AE819" s="212"/>
      <c r="AF819" s="213"/>
      <c r="AG819" s="213"/>
      <c r="AH819" s="213"/>
      <c r="AI819" s="213"/>
      <c r="AJ819" s="213"/>
      <c r="AK819" s="213"/>
      <c r="AL819" s="213"/>
      <c r="AM819" s="213"/>
      <c r="AN819" s="213"/>
      <c r="AO819" s="213"/>
      <c r="AP819" s="213"/>
      <c r="AQ819" s="213"/>
      <c r="AR819" s="213"/>
      <c r="AS819" s="213"/>
      <c r="AT819" s="213"/>
      <c r="AU819" s="213"/>
      <c r="AV819" s="213"/>
      <c r="AW819" s="213"/>
      <c r="AX819" s="213"/>
      <c r="AY819" s="213"/>
      <c r="AZ819" s="213"/>
      <c r="BA819" s="213"/>
      <c r="BB819" s="213"/>
    </row>
    <row r="820">
      <c r="A820" s="199"/>
      <c r="B820" s="12"/>
      <c r="C820" s="202"/>
      <c r="D820" s="199"/>
      <c r="E820" s="211"/>
      <c r="F820" s="201"/>
      <c r="G820" s="199"/>
      <c r="H820" s="199"/>
      <c r="I820" s="199"/>
      <c r="J820" s="212"/>
      <c r="K820" s="212"/>
      <c r="L820" s="212"/>
      <c r="M820" s="212"/>
      <c r="N820" s="212"/>
      <c r="O820" s="212"/>
      <c r="P820" s="212"/>
      <c r="Q820" s="212"/>
      <c r="R820" s="212"/>
      <c r="S820" s="212"/>
      <c r="T820" s="212"/>
      <c r="U820" s="212"/>
      <c r="V820" s="212"/>
      <c r="W820" s="212"/>
      <c r="X820" s="212"/>
      <c r="Y820" s="212"/>
      <c r="Z820" s="204"/>
      <c r="AA820" s="204"/>
      <c r="AB820" s="204"/>
      <c r="AC820" s="204"/>
      <c r="AD820" s="204"/>
      <c r="AE820" s="212"/>
      <c r="AF820" s="213"/>
      <c r="AG820" s="213"/>
      <c r="AH820" s="213"/>
      <c r="AI820" s="213"/>
      <c r="AJ820" s="213"/>
      <c r="AK820" s="213"/>
      <c r="AL820" s="213"/>
      <c r="AM820" s="213"/>
      <c r="AN820" s="213"/>
      <c r="AO820" s="213"/>
      <c r="AP820" s="213"/>
      <c r="AQ820" s="213"/>
      <c r="AR820" s="213"/>
      <c r="AS820" s="213"/>
      <c r="AT820" s="213"/>
      <c r="AU820" s="213"/>
      <c r="AV820" s="213"/>
      <c r="AW820" s="213"/>
      <c r="AX820" s="213"/>
      <c r="AY820" s="213"/>
      <c r="AZ820" s="213"/>
      <c r="BA820" s="213"/>
      <c r="BB820" s="213"/>
    </row>
    <row r="821">
      <c r="A821" s="199"/>
      <c r="B821" s="12"/>
      <c r="C821" s="202"/>
      <c r="D821" s="199"/>
      <c r="E821" s="211"/>
      <c r="F821" s="201"/>
      <c r="G821" s="199"/>
      <c r="H821" s="199"/>
      <c r="I821" s="199"/>
      <c r="J821" s="212"/>
      <c r="K821" s="212"/>
      <c r="L821" s="212"/>
      <c r="M821" s="212"/>
      <c r="N821" s="212"/>
      <c r="O821" s="212"/>
      <c r="P821" s="212"/>
      <c r="Q821" s="212"/>
      <c r="R821" s="212"/>
      <c r="S821" s="212"/>
      <c r="T821" s="212"/>
      <c r="U821" s="212"/>
      <c r="V821" s="212"/>
      <c r="W821" s="212"/>
      <c r="X821" s="212"/>
      <c r="Y821" s="212"/>
      <c r="Z821" s="204"/>
      <c r="AA821" s="204"/>
      <c r="AB821" s="204"/>
      <c r="AC821" s="204"/>
      <c r="AD821" s="204"/>
      <c r="AE821" s="212"/>
      <c r="AF821" s="213"/>
      <c r="AG821" s="213"/>
      <c r="AH821" s="213"/>
      <c r="AI821" s="213"/>
      <c r="AJ821" s="213"/>
      <c r="AK821" s="213"/>
      <c r="AL821" s="213"/>
      <c r="AM821" s="213"/>
      <c r="AN821" s="213"/>
      <c r="AO821" s="213"/>
      <c r="AP821" s="213"/>
      <c r="AQ821" s="213"/>
      <c r="AR821" s="213"/>
      <c r="AS821" s="213"/>
      <c r="AT821" s="213"/>
      <c r="AU821" s="213"/>
      <c r="AV821" s="213"/>
      <c r="AW821" s="213"/>
      <c r="AX821" s="213"/>
      <c r="AY821" s="213"/>
      <c r="AZ821" s="213"/>
      <c r="BA821" s="213"/>
      <c r="BB821" s="213"/>
    </row>
    <row r="822">
      <c r="A822" s="199"/>
      <c r="B822" s="12"/>
      <c r="C822" s="202"/>
      <c r="D822" s="199"/>
      <c r="E822" s="211"/>
      <c r="F822" s="201"/>
      <c r="G822" s="199"/>
      <c r="H822" s="199"/>
      <c r="I822" s="199"/>
      <c r="J822" s="212"/>
      <c r="K822" s="212"/>
      <c r="L822" s="212"/>
      <c r="M822" s="212"/>
      <c r="N822" s="212"/>
      <c r="O822" s="212"/>
      <c r="P822" s="212"/>
      <c r="Q822" s="212"/>
      <c r="R822" s="212"/>
      <c r="S822" s="212"/>
      <c r="T822" s="212"/>
      <c r="U822" s="212"/>
      <c r="V822" s="212"/>
      <c r="W822" s="212"/>
      <c r="X822" s="212"/>
      <c r="Y822" s="212"/>
      <c r="Z822" s="204"/>
      <c r="AA822" s="204"/>
      <c r="AB822" s="204"/>
      <c r="AC822" s="204"/>
      <c r="AD822" s="204"/>
      <c r="AE822" s="212"/>
      <c r="AF822" s="213"/>
      <c r="AG822" s="213"/>
      <c r="AH822" s="213"/>
      <c r="AI822" s="213"/>
      <c r="AJ822" s="213"/>
      <c r="AK822" s="213"/>
      <c r="AL822" s="213"/>
      <c r="AM822" s="213"/>
      <c r="AN822" s="213"/>
      <c r="AO822" s="213"/>
      <c r="AP822" s="213"/>
      <c r="AQ822" s="213"/>
      <c r="AR822" s="213"/>
      <c r="AS822" s="213"/>
      <c r="AT822" s="213"/>
      <c r="AU822" s="213"/>
      <c r="AV822" s="213"/>
      <c r="AW822" s="213"/>
      <c r="AX822" s="213"/>
      <c r="AY822" s="213"/>
      <c r="AZ822" s="213"/>
      <c r="BA822" s="213"/>
      <c r="BB822" s="213"/>
    </row>
    <row r="823">
      <c r="A823" s="199"/>
      <c r="B823" s="12"/>
      <c r="C823" s="202"/>
      <c r="D823" s="199"/>
      <c r="E823" s="211"/>
      <c r="F823" s="201"/>
      <c r="G823" s="199"/>
      <c r="H823" s="199"/>
      <c r="I823" s="199"/>
      <c r="J823" s="212"/>
      <c r="K823" s="212"/>
      <c r="L823" s="212"/>
      <c r="M823" s="212"/>
      <c r="N823" s="212"/>
      <c r="O823" s="212"/>
      <c r="P823" s="212"/>
      <c r="Q823" s="212"/>
      <c r="R823" s="212"/>
      <c r="S823" s="212"/>
      <c r="T823" s="212"/>
      <c r="U823" s="212"/>
      <c r="V823" s="212"/>
      <c r="W823" s="212"/>
      <c r="X823" s="212"/>
      <c r="Y823" s="212"/>
      <c r="Z823" s="204"/>
      <c r="AA823" s="204"/>
      <c r="AB823" s="204"/>
      <c r="AC823" s="204"/>
      <c r="AD823" s="204"/>
      <c r="AE823" s="212"/>
      <c r="AF823" s="213"/>
      <c r="AG823" s="213"/>
      <c r="AH823" s="213"/>
      <c r="AI823" s="213"/>
      <c r="AJ823" s="213"/>
      <c r="AK823" s="213"/>
      <c r="AL823" s="213"/>
      <c r="AM823" s="213"/>
      <c r="AN823" s="213"/>
      <c r="AO823" s="213"/>
      <c r="AP823" s="213"/>
      <c r="AQ823" s="213"/>
      <c r="AR823" s="213"/>
      <c r="AS823" s="213"/>
      <c r="AT823" s="213"/>
      <c r="AU823" s="213"/>
      <c r="AV823" s="213"/>
      <c r="AW823" s="213"/>
      <c r="AX823" s="213"/>
      <c r="AY823" s="213"/>
      <c r="AZ823" s="213"/>
      <c r="BA823" s="213"/>
      <c r="BB823" s="213"/>
    </row>
    <row r="824">
      <c r="A824" s="199"/>
      <c r="B824" s="12"/>
      <c r="C824" s="202"/>
      <c r="D824" s="199"/>
      <c r="E824" s="211"/>
      <c r="F824" s="201"/>
      <c r="G824" s="199"/>
      <c r="H824" s="199"/>
      <c r="I824" s="199"/>
      <c r="J824" s="212"/>
      <c r="K824" s="212"/>
      <c r="L824" s="212"/>
      <c r="M824" s="212"/>
      <c r="N824" s="212"/>
      <c r="O824" s="212"/>
      <c r="P824" s="212"/>
      <c r="Q824" s="212"/>
      <c r="R824" s="212"/>
      <c r="S824" s="212"/>
      <c r="T824" s="212"/>
      <c r="U824" s="212"/>
      <c r="V824" s="212"/>
      <c r="W824" s="212"/>
      <c r="X824" s="212"/>
      <c r="Y824" s="212"/>
      <c r="Z824" s="204"/>
      <c r="AA824" s="204"/>
      <c r="AB824" s="204"/>
      <c r="AC824" s="204"/>
      <c r="AD824" s="204"/>
      <c r="AE824" s="212"/>
      <c r="AF824" s="213"/>
      <c r="AG824" s="213"/>
      <c r="AH824" s="213"/>
      <c r="AI824" s="213"/>
      <c r="AJ824" s="213"/>
      <c r="AK824" s="213"/>
      <c r="AL824" s="213"/>
      <c r="AM824" s="213"/>
      <c r="AN824" s="213"/>
      <c r="AO824" s="213"/>
      <c r="AP824" s="213"/>
      <c r="AQ824" s="213"/>
      <c r="AR824" s="213"/>
      <c r="AS824" s="213"/>
      <c r="AT824" s="213"/>
      <c r="AU824" s="213"/>
      <c r="AV824" s="213"/>
      <c r="AW824" s="213"/>
      <c r="AX824" s="213"/>
      <c r="AY824" s="213"/>
      <c r="AZ824" s="213"/>
      <c r="BA824" s="213"/>
      <c r="BB824" s="213"/>
    </row>
    <row r="825">
      <c r="A825" s="199"/>
      <c r="B825" s="12"/>
      <c r="C825" s="202"/>
      <c r="D825" s="199"/>
      <c r="E825" s="211"/>
      <c r="F825" s="201"/>
      <c r="G825" s="199"/>
      <c r="H825" s="199"/>
      <c r="I825" s="199"/>
      <c r="J825" s="212"/>
      <c r="K825" s="212"/>
      <c r="L825" s="212"/>
      <c r="M825" s="212"/>
      <c r="N825" s="212"/>
      <c r="O825" s="212"/>
      <c r="P825" s="212"/>
      <c r="Q825" s="212"/>
      <c r="R825" s="212"/>
      <c r="S825" s="212"/>
      <c r="T825" s="212"/>
      <c r="U825" s="212"/>
      <c r="V825" s="212"/>
      <c r="W825" s="212"/>
      <c r="X825" s="212"/>
      <c r="Y825" s="212"/>
      <c r="Z825" s="204"/>
      <c r="AA825" s="204"/>
      <c r="AB825" s="204"/>
      <c r="AC825" s="204"/>
      <c r="AD825" s="204"/>
      <c r="AE825" s="212"/>
      <c r="AF825" s="213"/>
      <c r="AG825" s="213"/>
      <c r="AH825" s="213"/>
      <c r="AI825" s="213"/>
      <c r="AJ825" s="213"/>
      <c r="AK825" s="213"/>
      <c r="AL825" s="213"/>
      <c r="AM825" s="213"/>
      <c r="AN825" s="213"/>
      <c r="AO825" s="213"/>
      <c r="AP825" s="213"/>
      <c r="AQ825" s="213"/>
      <c r="AR825" s="213"/>
      <c r="AS825" s="213"/>
      <c r="AT825" s="213"/>
      <c r="AU825" s="213"/>
      <c r="AV825" s="213"/>
      <c r="AW825" s="213"/>
      <c r="AX825" s="213"/>
      <c r="AY825" s="213"/>
      <c r="AZ825" s="213"/>
      <c r="BA825" s="213"/>
      <c r="BB825" s="213"/>
    </row>
    <row r="826">
      <c r="A826" s="199"/>
      <c r="B826" s="12"/>
      <c r="C826" s="202"/>
      <c r="D826" s="199"/>
      <c r="E826" s="211"/>
      <c r="F826" s="201"/>
      <c r="G826" s="199"/>
      <c r="H826" s="199"/>
      <c r="I826" s="199"/>
      <c r="J826" s="212"/>
      <c r="K826" s="212"/>
      <c r="L826" s="212"/>
      <c r="M826" s="212"/>
      <c r="N826" s="212"/>
      <c r="O826" s="212"/>
      <c r="P826" s="212"/>
      <c r="Q826" s="212"/>
      <c r="R826" s="212"/>
      <c r="S826" s="212"/>
      <c r="T826" s="212"/>
      <c r="U826" s="212"/>
      <c r="V826" s="212"/>
      <c r="W826" s="212"/>
      <c r="X826" s="212"/>
      <c r="Y826" s="212"/>
      <c r="Z826" s="204"/>
      <c r="AA826" s="204"/>
      <c r="AB826" s="204"/>
      <c r="AC826" s="204"/>
      <c r="AD826" s="204"/>
      <c r="AE826" s="212"/>
      <c r="AF826" s="213"/>
      <c r="AG826" s="213"/>
      <c r="AH826" s="213"/>
      <c r="AI826" s="213"/>
      <c r="AJ826" s="213"/>
      <c r="AK826" s="213"/>
      <c r="AL826" s="213"/>
      <c r="AM826" s="213"/>
      <c r="AN826" s="213"/>
      <c r="AO826" s="213"/>
      <c r="AP826" s="213"/>
      <c r="AQ826" s="213"/>
      <c r="AR826" s="213"/>
      <c r="AS826" s="213"/>
      <c r="AT826" s="213"/>
      <c r="AU826" s="213"/>
      <c r="AV826" s="213"/>
      <c r="AW826" s="213"/>
      <c r="AX826" s="213"/>
      <c r="AY826" s="213"/>
      <c r="AZ826" s="213"/>
      <c r="BA826" s="213"/>
      <c r="BB826" s="213"/>
    </row>
    <row r="827">
      <c r="A827" s="199"/>
      <c r="B827" s="12"/>
      <c r="C827" s="202"/>
      <c r="D827" s="199"/>
      <c r="E827" s="211"/>
      <c r="F827" s="201"/>
      <c r="G827" s="199"/>
      <c r="H827" s="199"/>
      <c r="I827" s="199"/>
      <c r="J827" s="212"/>
      <c r="K827" s="212"/>
      <c r="L827" s="212"/>
      <c r="M827" s="212"/>
      <c r="N827" s="212"/>
      <c r="O827" s="212"/>
      <c r="P827" s="212"/>
      <c r="Q827" s="212"/>
      <c r="R827" s="212"/>
      <c r="S827" s="212"/>
      <c r="T827" s="212"/>
      <c r="U827" s="212"/>
      <c r="V827" s="212"/>
      <c r="W827" s="212"/>
      <c r="X827" s="212"/>
      <c r="Y827" s="212"/>
      <c r="Z827" s="204"/>
      <c r="AA827" s="204"/>
      <c r="AB827" s="204"/>
      <c r="AC827" s="204"/>
      <c r="AD827" s="204"/>
      <c r="AE827" s="212"/>
      <c r="AF827" s="213"/>
      <c r="AG827" s="213"/>
      <c r="AH827" s="213"/>
      <c r="AI827" s="213"/>
      <c r="AJ827" s="213"/>
      <c r="AK827" s="213"/>
      <c r="AL827" s="213"/>
      <c r="AM827" s="213"/>
      <c r="AN827" s="213"/>
      <c r="AO827" s="213"/>
      <c r="AP827" s="213"/>
      <c r="AQ827" s="213"/>
      <c r="AR827" s="213"/>
      <c r="AS827" s="213"/>
      <c r="AT827" s="213"/>
      <c r="AU827" s="213"/>
      <c r="AV827" s="213"/>
      <c r="AW827" s="213"/>
      <c r="AX827" s="213"/>
      <c r="AY827" s="213"/>
      <c r="AZ827" s="213"/>
      <c r="BA827" s="213"/>
      <c r="BB827" s="213"/>
    </row>
    <row r="828">
      <c r="A828" s="199"/>
      <c r="B828" s="12"/>
      <c r="C828" s="202"/>
      <c r="D828" s="199"/>
      <c r="E828" s="211"/>
      <c r="F828" s="201"/>
      <c r="G828" s="199"/>
      <c r="H828" s="199"/>
      <c r="I828" s="199"/>
      <c r="J828" s="212"/>
      <c r="K828" s="212"/>
      <c r="L828" s="212"/>
      <c r="M828" s="212"/>
      <c r="N828" s="212"/>
      <c r="O828" s="212"/>
      <c r="P828" s="212"/>
      <c r="Q828" s="212"/>
      <c r="R828" s="212"/>
      <c r="S828" s="212"/>
      <c r="T828" s="212"/>
      <c r="U828" s="212"/>
      <c r="V828" s="212"/>
      <c r="W828" s="212"/>
      <c r="X828" s="212"/>
      <c r="Y828" s="212"/>
      <c r="Z828" s="204"/>
      <c r="AA828" s="204"/>
      <c r="AB828" s="204"/>
      <c r="AC828" s="204"/>
      <c r="AD828" s="204"/>
      <c r="AE828" s="212"/>
      <c r="AF828" s="213"/>
      <c r="AG828" s="213"/>
      <c r="AH828" s="213"/>
      <c r="AI828" s="213"/>
      <c r="AJ828" s="213"/>
      <c r="AK828" s="213"/>
      <c r="AL828" s="213"/>
      <c r="AM828" s="213"/>
      <c r="AN828" s="213"/>
      <c r="AO828" s="213"/>
      <c r="AP828" s="213"/>
      <c r="AQ828" s="213"/>
      <c r="AR828" s="213"/>
      <c r="AS828" s="213"/>
      <c r="AT828" s="213"/>
      <c r="AU828" s="213"/>
      <c r="AV828" s="213"/>
      <c r="AW828" s="213"/>
      <c r="AX828" s="213"/>
      <c r="AY828" s="213"/>
      <c r="AZ828" s="213"/>
      <c r="BA828" s="213"/>
      <c r="BB828" s="213"/>
    </row>
    <row r="829">
      <c r="A829" s="199"/>
      <c r="B829" s="12"/>
      <c r="C829" s="202"/>
      <c r="D829" s="199"/>
      <c r="E829" s="211"/>
      <c r="F829" s="201"/>
      <c r="G829" s="199"/>
      <c r="H829" s="199"/>
      <c r="I829" s="199"/>
      <c r="J829" s="212"/>
      <c r="K829" s="212"/>
      <c r="L829" s="212"/>
      <c r="M829" s="212"/>
      <c r="N829" s="212"/>
      <c r="O829" s="212"/>
      <c r="P829" s="212"/>
      <c r="Q829" s="212"/>
      <c r="R829" s="212"/>
      <c r="S829" s="212"/>
      <c r="T829" s="212"/>
      <c r="U829" s="212"/>
      <c r="V829" s="212"/>
      <c r="W829" s="212"/>
      <c r="X829" s="212"/>
      <c r="Y829" s="212"/>
      <c r="Z829" s="204"/>
      <c r="AA829" s="204"/>
      <c r="AB829" s="204"/>
      <c r="AC829" s="204"/>
      <c r="AD829" s="204"/>
      <c r="AE829" s="212"/>
      <c r="AF829" s="213"/>
      <c r="AG829" s="213"/>
      <c r="AH829" s="213"/>
      <c r="AI829" s="213"/>
      <c r="AJ829" s="213"/>
      <c r="AK829" s="213"/>
      <c r="AL829" s="213"/>
      <c r="AM829" s="213"/>
      <c r="AN829" s="213"/>
      <c r="AO829" s="213"/>
      <c r="AP829" s="213"/>
      <c r="AQ829" s="213"/>
      <c r="AR829" s="213"/>
      <c r="AS829" s="213"/>
      <c r="AT829" s="213"/>
      <c r="AU829" s="213"/>
      <c r="AV829" s="213"/>
      <c r="AW829" s="213"/>
      <c r="AX829" s="213"/>
      <c r="AY829" s="213"/>
      <c r="AZ829" s="213"/>
      <c r="BA829" s="213"/>
      <c r="BB829" s="213"/>
    </row>
    <row r="830">
      <c r="A830" s="199"/>
      <c r="B830" s="12"/>
      <c r="C830" s="202"/>
      <c r="D830" s="199"/>
      <c r="E830" s="211"/>
      <c r="F830" s="201"/>
      <c r="G830" s="199"/>
      <c r="H830" s="199"/>
      <c r="I830" s="199"/>
      <c r="J830" s="212"/>
      <c r="K830" s="212"/>
      <c r="L830" s="212"/>
      <c r="M830" s="212"/>
      <c r="N830" s="212"/>
      <c r="O830" s="212"/>
      <c r="P830" s="212"/>
      <c r="Q830" s="212"/>
      <c r="R830" s="212"/>
      <c r="S830" s="212"/>
      <c r="T830" s="212"/>
      <c r="U830" s="212"/>
      <c r="V830" s="212"/>
      <c r="W830" s="212"/>
      <c r="X830" s="212"/>
      <c r="Y830" s="212"/>
      <c r="Z830" s="204"/>
      <c r="AA830" s="204"/>
      <c r="AB830" s="204"/>
      <c r="AC830" s="204"/>
      <c r="AD830" s="204"/>
      <c r="AE830" s="212"/>
      <c r="AF830" s="213"/>
      <c r="AG830" s="213"/>
      <c r="AH830" s="213"/>
      <c r="AI830" s="213"/>
      <c r="AJ830" s="213"/>
      <c r="AK830" s="213"/>
      <c r="AL830" s="213"/>
      <c r="AM830" s="213"/>
      <c r="AN830" s="213"/>
      <c r="AO830" s="213"/>
      <c r="AP830" s="213"/>
      <c r="AQ830" s="213"/>
      <c r="AR830" s="213"/>
      <c r="AS830" s="213"/>
      <c r="AT830" s="213"/>
      <c r="AU830" s="213"/>
      <c r="AV830" s="213"/>
      <c r="AW830" s="213"/>
      <c r="AX830" s="213"/>
      <c r="AY830" s="213"/>
      <c r="AZ830" s="213"/>
      <c r="BA830" s="213"/>
      <c r="BB830" s="213"/>
    </row>
    <row r="831">
      <c r="A831" s="199"/>
      <c r="B831" s="12"/>
      <c r="C831" s="202"/>
      <c r="D831" s="199"/>
      <c r="E831" s="211"/>
      <c r="F831" s="201"/>
      <c r="G831" s="199"/>
      <c r="H831" s="199"/>
      <c r="I831" s="199"/>
      <c r="J831" s="212"/>
      <c r="K831" s="212"/>
      <c r="L831" s="212"/>
      <c r="M831" s="212"/>
      <c r="N831" s="212"/>
      <c r="O831" s="212"/>
      <c r="P831" s="212"/>
      <c r="Q831" s="212"/>
      <c r="R831" s="212"/>
      <c r="S831" s="212"/>
      <c r="T831" s="212"/>
      <c r="U831" s="212"/>
      <c r="V831" s="212"/>
      <c r="W831" s="212"/>
      <c r="X831" s="212"/>
      <c r="Y831" s="212"/>
      <c r="Z831" s="204"/>
      <c r="AA831" s="204"/>
      <c r="AB831" s="204"/>
      <c r="AC831" s="204"/>
      <c r="AD831" s="204"/>
      <c r="AE831" s="212"/>
      <c r="AF831" s="213"/>
      <c r="AG831" s="213"/>
      <c r="AH831" s="213"/>
      <c r="AI831" s="213"/>
      <c r="AJ831" s="213"/>
      <c r="AK831" s="213"/>
      <c r="AL831" s="213"/>
      <c r="AM831" s="213"/>
      <c r="AN831" s="213"/>
      <c r="AO831" s="213"/>
      <c r="AP831" s="213"/>
      <c r="AQ831" s="213"/>
      <c r="AR831" s="213"/>
      <c r="AS831" s="213"/>
      <c r="AT831" s="213"/>
      <c r="AU831" s="213"/>
      <c r="AV831" s="213"/>
      <c r="AW831" s="213"/>
      <c r="AX831" s="213"/>
      <c r="AY831" s="213"/>
      <c r="AZ831" s="213"/>
      <c r="BA831" s="213"/>
      <c r="BB831" s="213"/>
    </row>
    <row r="832">
      <c r="A832" s="199"/>
      <c r="B832" s="12"/>
      <c r="C832" s="202"/>
      <c r="D832" s="199"/>
      <c r="E832" s="211"/>
      <c r="F832" s="201"/>
      <c r="G832" s="199"/>
      <c r="H832" s="199"/>
      <c r="I832" s="199"/>
      <c r="J832" s="212"/>
      <c r="K832" s="212"/>
      <c r="L832" s="212"/>
      <c r="M832" s="212"/>
      <c r="N832" s="212"/>
      <c r="O832" s="212"/>
      <c r="P832" s="212"/>
      <c r="Q832" s="212"/>
      <c r="R832" s="212"/>
      <c r="S832" s="212"/>
      <c r="T832" s="212"/>
      <c r="U832" s="212"/>
      <c r="V832" s="212"/>
      <c r="W832" s="212"/>
      <c r="X832" s="212"/>
      <c r="Y832" s="212"/>
      <c r="Z832" s="204"/>
      <c r="AA832" s="204"/>
      <c r="AB832" s="204"/>
      <c r="AC832" s="204"/>
      <c r="AD832" s="204"/>
      <c r="AE832" s="212"/>
      <c r="AF832" s="213"/>
      <c r="AG832" s="213"/>
      <c r="AH832" s="213"/>
      <c r="AI832" s="213"/>
      <c r="AJ832" s="213"/>
      <c r="AK832" s="213"/>
      <c r="AL832" s="213"/>
      <c r="AM832" s="213"/>
      <c r="AN832" s="213"/>
      <c r="AO832" s="213"/>
      <c r="AP832" s="213"/>
      <c r="AQ832" s="213"/>
      <c r="AR832" s="213"/>
      <c r="AS832" s="213"/>
      <c r="AT832" s="213"/>
      <c r="AU832" s="213"/>
      <c r="AV832" s="213"/>
      <c r="AW832" s="213"/>
      <c r="AX832" s="213"/>
      <c r="AY832" s="213"/>
      <c r="AZ832" s="213"/>
      <c r="BA832" s="213"/>
      <c r="BB832" s="213"/>
    </row>
    <row r="833">
      <c r="A833" s="199"/>
      <c r="B833" s="12"/>
      <c r="C833" s="202"/>
      <c r="D833" s="199"/>
      <c r="E833" s="211"/>
      <c r="F833" s="201"/>
      <c r="G833" s="199"/>
      <c r="H833" s="199"/>
      <c r="I833" s="199"/>
      <c r="J833" s="212"/>
      <c r="K833" s="212"/>
      <c r="L833" s="212"/>
      <c r="M833" s="212"/>
      <c r="N833" s="212"/>
      <c r="O833" s="212"/>
      <c r="P833" s="212"/>
      <c r="Q833" s="212"/>
      <c r="R833" s="212"/>
      <c r="S833" s="212"/>
      <c r="T833" s="212"/>
      <c r="U833" s="212"/>
      <c r="V833" s="212"/>
      <c r="W833" s="212"/>
      <c r="X833" s="212"/>
      <c r="Y833" s="212"/>
      <c r="Z833" s="204"/>
      <c r="AA833" s="204"/>
      <c r="AB833" s="204"/>
      <c r="AC833" s="204"/>
      <c r="AD833" s="204"/>
      <c r="AE833" s="212"/>
      <c r="AF833" s="213"/>
      <c r="AG833" s="213"/>
      <c r="AH833" s="213"/>
      <c r="AI833" s="213"/>
      <c r="AJ833" s="213"/>
      <c r="AK833" s="213"/>
      <c r="AL833" s="213"/>
      <c r="AM833" s="213"/>
      <c r="AN833" s="213"/>
      <c r="AO833" s="213"/>
      <c r="AP833" s="213"/>
      <c r="AQ833" s="213"/>
      <c r="AR833" s="213"/>
      <c r="AS833" s="213"/>
      <c r="AT833" s="213"/>
      <c r="AU833" s="213"/>
      <c r="AV833" s="213"/>
      <c r="AW833" s="213"/>
      <c r="AX833" s="213"/>
      <c r="AY833" s="213"/>
      <c r="AZ833" s="213"/>
      <c r="BA833" s="213"/>
      <c r="BB833" s="213"/>
    </row>
    <row r="834">
      <c r="A834" s="199"/>
      <c r="B834" s="12"/>
      <c r="C834" s="202"/>
      <c r="D834" s="199"/>
      <c r="E834" s="211"/>
      <c r="F834" s="201"/>
      <c r="G834" s="199"/>
      <c r="H834" s="199"/>
      <c r="I834" s="199"/>
      <c r="J834" s="212"/>
      <c r="K834" s="212"/>
      <c r="L834" s="212"/>
      <c r="M834" s="212"/>
      <c r="N834" s="212"/>
      <c r="O834" s="212"/>
      <c r="P834" s="212"/>
      <c r="Q834" s="212"/>
      <c r="R834" s="212"/>
      <c r="S834" s="212"/>
      <c r="T834" s="212"/>
      <c r="U834" s="212"/>
      <c r="V834" s="212"/>
      <c r="W834" s="212"/>
      <c r="X834" s="212"/>
      <c r="Y834" s="212"/>
      <c r="Z834" s="204"/>
      <c r="AA834" s="204"/>
      <c r="AB834" s="204"/>
      <c r="AC834" s="204"/>
      <c r="AD834" s="204"/>
      <c r="AE834" s="212"/>
      <c r="AF834" s="213"/>
      <c r="AG834" s="213"/>
      <c r="AH834" s="213"/>
      <c r="AI834" s="213"/>
      <c r="AJ834" s="213"/>
      <c r="AK834" s="213"/>
      <c r="AL834" s="213"/>
      <c r="AM834" s="213"/>
      <c r="AN834" s="213"/>
      <c r="AO834" s="213"/>
      <c r="AP834" s="213"/>
      <c r="AQ834" s="213"/>
      <c r="AR834" s="213"/>
      <c r="AS834" s="213"/>
      <c r="AT834" s="213"/>
      <c r="AU834" s="213"/>
      <c r="AV834" s="213"/>
      <c r="AW834" s="213"/>
      <c r="AX834" s="213"/>
      <c r="AY834" s="213"/>
      <c r="AZ834" s="213"/>
      <c r="BA834" s="213"/>
      <c r="BB834" s="213"/>
    </row>
    <row r="835">
      <c r="A835" s="199"/>
      <c r="B835" s="12"/>
      <c r="C835" s="202"/>
      <c r="D835" s="199"/>
      <c r="E835" s="211"/>
      <c r="F835" s="201"/>
      <c r="G835" s="199"/>
      <c r="H835" s="199"/>
      <c r="I835" s="199"/>
      <c r="J835" s="212"/>
      <c r="K835" s="212"/>
      <c r="L835" s="212"/>
      <c r="M835" s="212"/>
      <c r="N835" s="212"/>
      <c r="O835" s="212"/>
      <c r="P835" s="212"/>
      <c r="Q835" s="212"/>
      <c r="R835" s="212"/>
      <c r="S835" s="212"/>
      <c r="T835" s="212"/>
      <c r="U835" s="212"/>
      <c r="V835" s="212"/>
      <c r="W835" s="212"/>
      <c r="X835" s="212"/>
      <c r="Y835" s="212"/>
      <c r="Z835" s="204"/>
      <c r="AA835" s="204"/>
      <c r="AB835" s="204"/>
      <c r="AC835" s="204"/>
      <c r="AD835" s="204"/>
      <c r="AE835" s="212"/>
      <c r="AF835" s="213"/>
      <c r="AG835" s="213"/>
      <c r="AH835" s="213"/>
      <c r="AI835" s="213"/>
      <c r="AJ835" s="213"/>
      <c r="AK835" s="213"/>
      <c r="AL835" s="213"/>
      <c r="AM835" s="213"/>
      <c r="AN835" s="213"/>
      <c r="AO835" s="213"/>
      <c r="AP835" s="213"/>
      <c r="AQ835" s="213"/>
      <c r="AR835" s="213"/>
      <c r="AS835" s="213"/>
      <c r="AT835" s="213"/>
      <c r="AU835" s="213"/>
      <c r="AV835" s="213"/>
      <c r="AW835" s="213"/>
      <c r="AX835" s="213"/>
      <c r="AY835" s="213"/>
      <c r="AZ835" s="213"/>
      <c r="BA835" s="213"/>
      <c r="BB835" s="213"/>
    </row>
    <row r="836">
      <c r="A836" s="199"/>
      <c r="B836" s="12"/>
      <c r="C836" s="202"/>
      <c r="D836" s="199"/>
      <c r="E836" s="211"/>
      <c r="F836" s="201"/>
      <c r="G836" s="199"/>
      <c r="H836" s="199"/>
      <c r="I836" s="199"/>
      <c r="J836" s="212"/>
      <c r="K836" s="212"/>
      <c r="L836" s="212"/>
      <c r="M836" s="212"/>
      <c r="N836" s="212"/>
      <c r="O836" s="212"/>
      <c r="P836" s="212"/>
      <c r="Q836" s="212"/>
      <c r="R836" s="212"/>
      <c r="S836" s="212"/>
      <c r="T836" s="212"/>
      <c r="U836" s="212"/>
      <c r="V836" s="212"/>
      <c r="W836" s="212"/>
      <c r="X836" s="212"/>
      <c r="Y836" s="212"/>
      <c r="Z836" s="204"/>
      <c r="AA836" s="204"/>
      <c r="AB836" s="204"/>
      <c r="AC836" s="204"/>
      <c r="AD836" s="204"/>
      <c r="AE836" s="212"/>
      <c r="AF836" s="213"/>
      <c r="AG836" s="213"/>
      <c r="AH836" s="213"/>
      <c r="AI836" s="213"/>
      <c r="AJ836" s="213"/>
      <c r="AK836" s="213"/>
      <c r="AL836" s="213"/>
      <c r="AM836" s="213"/>
      <c r="AN836" s="213"/>
      <c r="AO836" s="213"/>
      <c r="AP836" s="213"/>
      <c r="AQ836" s="213"/>
      <c r="AR836" s="213"/>
      <c r="AS836" s="213"/>
      <c r="AT836" s="213"/>
      <c r="AU836" s="213"/>
      <c r="AV836" s="213"/>
      <c r="AW836" s="213"/>
      <c r="AX836" s="213"/>
      <c r="AY836" s="213"/>
      <c r="AZ836" s="213"/>
      <c r="BA836" s="213"/>
      <c r="BB836" s="213"/>
    </row>
    <row r="837">
      <c r="A837" s="199"/>
      <c r="B837" s="12"/>
      <c r="C837" s="202"/>
      <c r="D837" s="199"/>
      <c r="E837" s="211"/>
      <c r="F837" s="201"/>
      <c r="G837" s="199"/>
      <c r="H837" s="199"/>
      <c r="I837" s="199"/>
      <c r="J837" s="212"/>
      <c r="K837" s="212"/>
      <c r="L837" s="212"/>
      <c r="M837" s="212"/>
      <c r="N837" s="212"/>
      <c r="O837" s="212"/>
      <c r="P837" s="212"/>
      <c r="Q837" s="212"/>
      <c r="R837" s="212"/>
      <c r="S837" s="212"/>
      <c r="T837" s="212"/>
      <c r="U837" s="212"/>
      <c r="V837" s="212"/>
      <c r="W837" s="212"/>
      <c r="X837" s="212"/>
      <c r="Y837" s="212"/>
      <c r="Z837" s="204"/>
      <c r="AA837" s="204"/>
      <c r="AB837" s="204"/>
      <c r="AC837" s="204"/>
      <c r="AD837" s="204"/>
      <c r="AE837" s="212"/>
      <c r="AF837" s="213"/>
      <c r="AG837" s="213"/>
      <c r="AH837" s="213"/>
      <c r="AI837" s="213"/>
      <c r="AJ837" s="213"/>
      <c r="AK837" s="213"/>
      <c r="AL837" s="213"/>
      <c r="AM837" s="213"/>
      <c r="AN837" s="213"/>
      <c r="AO837" s="213"/>
      <c r="AP837" s="213"/>
      <c r="AQ837" s="213"/>
      <c r="AR837" s="213"/>
      <c r="AS837" s="213"/>
      <c r="AT837" s="213"/>
      <c r="AU837" s="213"/>
      <c r="AV837" s="213"/>
      <c r="AW837" s="213"/>
      <c r="AX837" s="213"/>
      <c r="AY837" s="213"/>
      <c r="AZ837" s="213"/>
      <c r="BA837" s="213"/>
      <c r="BB837" s="213"/>
    </row>
    <row r="838">
      <c r="A838" s="199"/>
      <c r="B838" s="12"/>
      <c r="C838" s="202"/>
      <c r="D838" s="199"/>
      <c r="E838" s="211"/>
      <c r="F838" s="201"/>
      <c r="G838" s="199"/>
      <c r="H838" s="199"/>
      <c r="I838" s="199"/>
      <c r="J838" s="212"/>
      <c r="K838" s="212"/>
      <c r="L838" s="212"/>
      <c r="M838" s="212"/>
      <c r="N838" s="212"/>
      <c r="O838" s="212"/>
      <c r="P838" s="212"/>
      <c r="Q838" s="212"/>
      <c r="R838" s="212"/>
      <c r="S838" s="212"/>
      <c r="T838" s="212"/>
      <c r="U838" s="212"/>
      <c r="V838" s="212"/>
      <c r="W838" s="212"/>
      <c r="X838" s="212"/>
      <c r="Y838" s="212"/>
      <c r="Z838" s="204"/>
      <c r="AA838" s="204"/>
      <c r="AB838" s="204"/>
      <c r="AC838" s="204"/>
      <c r="AD838" s="204"/>
      <c r="AE838" s="212"/>
      <c r="AF838" s="213"/>
      <c r="AG838" s="213"/>
      <c r="AH838" s="213"/>
      <c r="AI838" s="213"/>
      <c r="AJ838" s="213"/>
      <c r="AK838" s="213"/>
      <c r="AL838" s="213"/>
      <c r="AM838" s="213"/>
      <c r="AN838" s="213"/>
      <c r="AO838" s="213"/>
      <c r="AP838" s="213"/>
      <c r="AQ838" s="213"/>
      <c r="AR838" s="213"/>
      <c r="AS838" s="213"/>
      <c r="AT838" s="213"/>
      <c r="AU838" s="213"/>
      <c r="AV838" s="213"/>
      <c r="AW838" s="213"/>
      <c r="AX838" s="213"/>
      <c r="AY838" s="213"/>
      <c r="AZ838" s="213"/>
      <c r="BA838" s="213"/>
      <c r="BB838" s="213"/>
    </row>
    <row r="839">
      <c r="A839" s="199"/>
      <c r="B839" s="12"/>
      <c r="C839" s="202"/>
      <c r="D839" s="199"/>
      <c r="E839" s="211"/>
      <c r="F839" s="201"/>
      <c r="G839" s="199"/>
      <c r="H839" s="199"/>
      <c r="I839" s="199"/>
      <c r="J839" s="212"/>
      <c r="K839" s="212"/>
      <c r="L839" s="212"/>
      <c r="M839" s="212"/>
      <c r="N839" s="212"/>
      <c r="O839" s="212"/>
      <c r="P839" s="212"/>
      <c r="Q839" s="212"/>
      <c r="R839" s="212"/>
      <c r="S839" s="212"/>
      <c r="T839" s="212"/>
      <c r="U839" s="212"/>
      <c r="V839" s="212"/>
      <c r="W839" s="212"/>
      <c r="X839" s="212"/>
      <c r="Y839" s="212"/>
      <c r="Z839" s="204"/>
      <c r="AA839" s="204"/>
      <c r="AB839" s="204"/>
      <c r="AC839" s="204"/>
      <c r="AD839" s="204"/>
      <c r="AE839" s="212"/>
      <c r="AF839" s="213"/>
      <c r="AG839" s="213"/>
      <c r="AH839" s="213"/>
      <c r="AI839" s="213"/>
      <c r="AJ839" s="213"/>
      <c r="AK839" s="213"/>
      <c r="AL839" s="213"/>
      <c r="AM839" s="213"/>
      <c r="AN839" s="213"/>
      <c r="AO839" s="213"/>
      <c r="AP839" s="213"/>
      <c r="AQ839" s="213"/>
      <c r="AR839" s="213"/>
      <c r="AS839" s="213"/>
      <c r="AT839" s="213"/>
      <c r="AU839" s="213"/>
      <c r="AV839" s="213"/>
      <c r="AW839" s="213"/>
      <c r="AX839" s="213"/>
      <c r="AY839" s="213"/>
      <c r="AZ839" s="213"/>
      <c r="BA839" s="213"/>
      <c r="BB839" s="213"/>
    </row>
    <row r="840">
      <c r="A840" s="199"/>
      <c r="B840" s="12"/>
      <c r="C840" s="202"/>
      <c r="D840" s="199"/>
      <c r="E840" s="211"/>
      <c r="F840" s="201"/>
      <c r="G840" s="199"/>
      <c r="H840" s="199"/>
      <c r="I840" s="199"/>
      <c r="J840" s="212"/>
      <c r="K840" s="212"/>
      <c r="L840" s="212"/>
      <c r="M840" s="212"/>
      <c r="N840" s="212"/>
      <c r="O840" s="212"/>
      <c r="P840" s="212"/>
      <c r="Q840" s="212"/>
      <c r="R840" s="212"/>
      <c r="S840" s="212"/>
      <c r="T840" s="212"/>
      <c r="U840" s="212"/>
      <c r="V840" s="212"/>
      <c r="W840" s="212"/>
      <c r="X840" s="212"/>
      <c r="Y840" s="212"/>
      <c r="Z840" s="204"/>
      <c r="AA840" s="204"/>
      <c r="AB840" s="204"/>
      <c r="AC840" s="204"/>
      <c r="AD840" s="204"/>
      <c r="AE840" s="212"/>
      <c r="AF840" s="213"/>
      <c r="AG840" s="213"/>
      <c r="AH840" s="213"/>
      <c r="AI840" s="213"/>
      <c r="AJ840" s="213"/>
      <c r="AK840" s="213"/>
      <c r="AL840" s="213"/>
      <c r="AM840" s="213"/>
      <c r="AN840" s="213"/>
      <c r="AO840" s="213"/>
      <c r="AP840" s="213"/>
      <c r="AQ840" s="213"/>
      <c r="AR840" s="213"/>
      <c r="AS840" s="213"/>
      <c r="AT840" s="213"/>
      <c r="AU840" s="213"/>
      <c r="AV840" s="213"/>
      <c r="AW840" s="213"/>
      <c r="AX840" s="213"/>
      <c r="AY840" s="213"/>
      <c r="AZ840" s="213"/>
      <c r="BA840" s="213"/>
      <c r="BB840" s="213"/>
    </row>
    <row r="841">
      <c r="A841" s="199"/>
      <c r="B841" s="12"/>
      <c r="C841" s="202"/>
      <c r="D841" s="199"/>
      <c r="E841" s="211"/>
      <c r="F841" s="201"/>
      <c r="G841" s="199"/>
      <c r="H841" s="199"/>
      <c r="I841" s="199"/>
      <c r="J841" s="212"/>
      <c r="K841" s="212"/>
      <c r="L841" s="212"/>
      <c r="M841" s="212"/>
      <c r="N841" s="212"/>
      <c r="O841" s="212"/>
      <c r="P841" s="212"/>
      <c r="Q841" s="212"/>
      <c r="R841" s="212"/>
      <c r="S841" s="212"/>
      <c r="T841" s="212"/>
      <c r="U841" s="212"/>
      <c r="V841" s="212"/>
      <c r="W841" s="212"/>
      <c r="X841" s="212"/>
      <c r="Y841" s="212"/>
      <c r="Z841" s="204"/>
      <c r="AA841" s="204"/>
      <c r="AB841" s="204"/>
      <c r="AC841" s="204"/>
      <c r="AD841" s="204"/>
      <c r="AE841" s="212"/>
      <c r="AF841" s="213"/>
      <c r="AG841" s="213"/>
      <c r="AH841" s="213"/>
      <c r="AI841" s="213"/>
      <c r="AJ841" s="213"/>
      <c r="AK841" s="213"/>
      <c r="AL841" s="213"/>
      <c r="AM841" s="213"/>
      <c r="AN841" s="213"/>
      <c r="AO841" s="213"/>
      <c r="AP841" s="213"/>
      <c r="AQ841" s="213"/>
      <c r="AR841" s="213"/>
      <c r="AS841" s="213"/>
      <c r="AT841" s="213"/>
      <c r="AU841" s="213"/>
      <c r="AV841" s="213"/>
      <c r="AW841" s="213"/>
      <c r="AX841" s="213"/>
      <c r="AY841" s="213"/>
      <c r="AZ841" s="213"/>
      <c r="BA841" s="213"/>
      <c r="BB841" s="213"/>
    </row>
    <row r="842">
      <c r="A842" s="199"/>
      <c r="B842" s="12"/>
      <c r="C842" s="202"/>
      <c r="D842" s="199"/>
      <c r="E842" s="211"/>
      <c r="F842" s="201"/>
      <c r="G842" s="199"/>
      <c r="H842" s="199"/>
      <c r="I842" s="199"/>
      <c r="J842" s="212"/>
      <c r="K842" s="212"/>
      <c r="L842" s="212"/>
      <c r="M842" s="212"/>
      <c r="N842" s="212"/>
      <c r="O842" s="212"/>
      <c r="P842" s="212"/>
      <c r="Q842" s="212"/>
      <c r="R842" s="212"/>
      <c r="S842" s="212"/>
      <c r="T842" s="212"/>
      <c r="U842" s="212"/>
      <c r="V842" s="212"/>
      <c r="W842" s="212"/>
      <c r="X842" s="212"/>
      <c r="Y842" s="212"/>
      <c r="Z842" s="204"/>
      <c r="AA842" s="204"/>
      <c r="AB842" s="204"/>
      <c r="AC842" s="204"/>
      <c r="AD842" s="204"/>
      <c r="AE842" s="212"/>
      <c r="AF842" s="213"/>
      <c r="AG842" s="213"/>
      <c r="AH842" s="213"/>
      <c r="AI842" s="213"/>
      <c r="AJ842" s="213"/>
      <c r="AK842" s="213"/>
      <c r="AL842" s="213"/>
      <c r="AM842" s="213"/>
      <c r="AN842" s="213"/>
      <c r="AO842" s="213"/>
      <c r="AP842" s="213"/>
      <c r="AQ842" s="213"/>
      <c r="AR842" s="213"/>
      <c r="AS842" s="213"/>
      <c r="AT842" s="213"/>
      <c r="AU842" s="213"/>
      <c r="AV842" s="213"/>
      <c r="AW842" s="213"/>
      <c r="AX842" s="213"/>
      <c r="AY842" s="213"/>
      <c r="AZ842" s="213"/>
      <c r="BA842" s="213"/>
      <c r="BB842" s="213"/>
    </row>
    <row r="843">
      <c r="A843" s="199"/>
      <c r="B843" s="12"/>
      <c r="C843" s="202"/>
      <c r="D843" s="199"/>
      <c r="E843" s="211"/>
      <c r="F843" s="201"/>
      <c r="G843" s="199"/>
      <c r="H843" s="199"/>
      <c r="I843" s="199"/>
      <c r="J843" s="212"/>
      <c r="K843" s="212"/>
      <c r="L843" s="212"/>
      <c r="M843" s="212"/>
      <c r="N843" s="212"/>
      <c r="O843" s="212"/>
      <c r="P843" s="212"/>
      <c r="Q843" s="212"/>
      <c r="R843" s="212"/>
      <c r="S843" s="212"/>
      <c r="T843" s="212"/>
      <c r="U843" s="212"/>
      <c r="V843" s="212"/>
      <c r="W843" s="212"/>
      <c r="X843" s="212"/>
      <c r="Y843" s="212"/>
      <c r="Z843" s="204"/>
      <c r="AA843" s="204"/>
      <c r="AB843" s="204"/>
      <c r="AC843" s="204"/>
      <c r="AD843" s="204"/>
      <c r="AE843" s="212"/>
      <c r="AF843" s="213"/>
      <c r="AG843" s="213"/>
      <c r="AH843" s="213"/>
      <c r="AI843" s="213"/>
      <c r="AJ843" s="213"/>
      <c r="AK843" s="213"/>
      <c r="AL843" s="213"/>
      <c r="AM843" s="213"/>
      <c r="AN843" s="213"/>
      <c r="AO843" s="213"/>
      <c r="AP843" s="213"/>
      <c r="AQ843" s="213"/>
      <c r="AR843" s="213"/>
      <c r="AS843" s="213"/>
      <c r="AT843" s="213"/>
      <c r="AU843" s="213"/>
      <c r="AV843" s="213"/>
      <c r="AW843" s="213"/>
      <c r="AX843" s="213"/>
      <c r="AY843" s="213"/>
      <c r="AZ843" s="213"/>
      <c r="BA843" s="213"/>
      <c r="BB843" s="213"/>
    </row>
    <row r="844">
      <c r="A844" s="199"/>
      <c r="B844" s="12"/>
      <c r="C844" s="202"/>
      <c r="D844" s="199"/>
      <c r="E844" s="211"/>
      <c r="F844" s="201"/>
      <c r="G844" s="199"/>
      <c r="H844" s="199"/>
      <c r="I844" s="199"/>
      <c r="J844" s="212"/>
      <c r="K844" s="212"/>
      <c r="L844" s="212"/>
      <c r="M844" s="212"/>
      <c r="N844" s="212"/>
      <c r="O844" s="212"/>
      <c r="P844" s="212"/>
      <c r="Q844" s="212"/>
      <c r="R844" s="212"/>
      <c r="S844" s="212"/>
      <c r="T844" s="212"/>
      <c r="U844" s="212"/>
      <c r="V844" s="212"/>
      <c r="W844" s="212"/>
      <c r="X844" s="212"/>
      <c r="Y844" s="212"/>
      <c r="Z844" s="204"/>
      <c r="AA844" s="204"/>
      <c r="AB844" s="204"/>
      <c r="AC844" s="204"/>
      <c r="AD844" s="204"/>
      <c r="AE844" s="212"/>
      <c r="AF844" s="213"/>
      <c r="AG844" s="213"/>
      <c r="AH844" s="213"/>
      <c r="AI844" s="213"/>
      <c r="AJ844" s="213"/>
      <c r="AK844" s="213"/>
      <c r="AL844" s="213"/>
      <c r="AM844" s="213"/>
      <c r="AN844" s="213"/>
      <c r="AO844" s="213"/>
      <c r="AP844" s="213"/>
      <c r="AQ844" s="213"/>
      <c r="AR844" s="213"/>
      <c r="AS844" s="213"/>
      <c r="AT844" s="213"/>
      <c r="AU844" s="213"/>
      <c r="AV844" s="213"/>
      <c r="AW844" s="213"/>
      <c r="AX844" s="213"/>
      <c r="AY844" s="213"/>
      <c r="AZ844" s="213"/>
      <c r="BA844" s="213"/>
      <c r="BB844" s="213"/>
    </row>
    <row r="845">
      <c r="A845" s="199"/>
      <c r="B845" s="12"/>
      <c r="C845" s="202"/>
      <c r="D845" s="199"/>
      <c r="E845" s="211"/>
      <c r="F845" s="201"/>
      <c r="G845" s="199"/>
      <c r="H845" s="199"/>
      <c r="I845" s="199"/>
      <c r="J845" s="212"/>
      <c r="K845" s="212"/>
      <c r="L845" s="212"/>
      <c r="M845" s="212"/>
      <c r="N845" s="212"/>
      <c r="O845" s="212"/>
      <c r="P845" s="212"/>
      <c r="Q845" s="212"/>
      <c r="R845" s="212"/>
      <c r="S845" s="212"/>
      <c r="T845" s="212"/>
      <c r="U845" s="212"/>
      <c r="V845" s="212"/>
      <c r="W845" s="212"/>
      <c r="X845" s="212"/>
      <c r="Y845" s="212"/>
      <c r="Z845" s="204"/>
      <c r="AA845" s="204"/>
      <c r="AB845" s="204"/>
      <c r="AC845" s="204"/>
      <c r="AD845" s="204"/>
      <c r="AE845" s="212"/>
      <c r="AF845" s="213"/>
      <c r="AG845" s="213"/>
      <c r="AH845" s="213"/>
      <c r="AI845" s="213"/>
      <c r="AJ845" s="213"/>
      <c r="AK845" s="213"/>
      <c r="AL845" s="213"/>
      <c r="AM845" s="213"/>
      <c r="AN845" s="213"/>
      <c r="AO845" s="213"/>
      <c r="AP845" s="213"/>
      <c r="AQ845" s="213"/>
      <c r="AR845" s="213"/>
      <c r="AS845" s="213"/>
      <c r="AT845" s="213"/>
      <c r="AU845" s="213"/>
      <c r="AV845" s="213"/>
      <c r="AW845" s="213"/>
      <c r="AX845" s="213"/>
      <c r="AY845" s="213"/>
      <c r="AZ845" s="213"/>
      <c r="BA845" s="213"/>
      <c r="BB845" s="213"/>
    </row>
    <row r="846">
      <c r="A846" s="199"/>
      <c r="B846" s="12"/>
      <c r="C846" s="202"/>
      <c r="D846" s="199"/>
      <c r="E846" s="211"/>
      <c r="F846" s="201"/>
      <c r="G846" s="199"/>
      <c r="H846" s="199"/>
      <c r="I846" s="199"/>
      <c r="J846" s="212"/>
      <c r="K846" s="212"/>
      <c r="L846" s="212"/>
      <c r="M846" s="212"/>
      <c r="N846" s="212"/>
      <c r="O846" s="212"/>
      <c r="P846" s="212"/>
      <c r="Q846" s="212"/>
      <c r="R846" s="212"/>
      <c r="S846" s="212"/>
      <c r="T846" s="212"/>
      <c r="U846" s="212"/>
      <c r="V846" s="212"/>
      <c r="W846" s="212"/>
      <c r="X846" s="212"/>
      <c r="Y846" s="212"/>
      <c r="Z846" s="204"/>
      <c r="AA846" s="204"/>
      <c r="AB846" s="204"/>
      <c r="AC846" s="204"/>
      <c r="AD846" s="204"/>
      <c r="AE846" s="212"/>
      <c r="AF846" s="213"/>
      <c r="AG846" s="213"/>
      <c r="AH846" s="213"/>
      <c r="AI846" s="213"/>
      <c r="AJ846" s="213"/>
      <c r="AK846" s="213"/>
      <c r="AL846" s="213"/>
      <c r="AM846" s="213"/>
      <c r="AN846" s="213"/>
      <c r="AO846" s="213"/>
      <c r="AP846" s="213"/>
      <c r="AQ846" s="213"/>
      <c r="AR846" s="213"/>
      <c r="AS846" s="213"/>
      <c r="AT846" s="213"/>
      <c r="AU846" s="213"/>
      <c r="AV846" s="213"/>
      <c r="AW846" s="213"/>
      <c r="AX846" s="213"/>
      <c r="AY846" s="213"/>
      <c r="AZ846" s="213"/>
      <c r="BA846" s="213"/>
      <c r="BB846" s="213"/>
    </row>
    <row r="847">
      <c r="A847" s="199"/>
      <c r="B847" s="12"/>
      <c r="C847" s="202"/>
      <c r="D847" s="199"/>
      <c r="E847" s="211"/>
      <c r="F847" s="201"/>
      <c r="G847" s="199"/>
      <c r="H847" s="199"/>
      <c r="I847" s="199"/>
      <c r="J847" s="212"/>
      <c r="K847" s="212"/>
      <c r="L847" s="212"/>
      <c r="M847" s="212"/>
      <c r="N847" s="212"/>
      <c r="O847" s="212"/>
      <c r="P847" s="212"/>
      <c r="Q847" s="212"/>
      <c r="R847" s="212"/>
      <c r="S847" s="212"/>
      <c r="T847" s="212"/>
      <c r="U847" s="212"/>
      <c r="V847" s="212"/>
      <c r="W847" s="212"/>
      <c r="X847" s="212"/>
      <c r="Y847" s="212"/>
      <c r="Z847" s="204"/>
      <c r="AA847" s="204"/>
      <c r="AB847" s="204"/>
      <c r="AC847" s="204"/>
      <c r="AD847" s="204"/>
      <c r="AE847" s="212"/>
      <c r="AF847" s="213"/>
      <c r="AG847" s="213"/>
      <c r="AH847" s="213"/>
      <c r="AI847" s="213"/>
      <c r="AJ847" s="213"/>
      <c r="AK847" s="213"/>
      <c r="AL847" s="213"/>
      <c r="AM847" s="213"/>
      <c r="AN847" s="213"/>
      <c r="AO847" s="213"/>
      <c r="AP847" s="213"/>
      <c r="AQ847" s="213"/>
      <c r="AR847" s="213"/>
      <c r="AS847" s="213"/>
      <c r="AT847" s="213"/>
      <c r="AU847" s="213"/>
      <c r="AV847" s="213"/>
      <c r="AW847" s="213"/>
      <c r="AX847" s="213"/>
      <c r="AY847" s="213"/>
      <c r="AZ847" s="213"/>
      <c r="BA847" s="213"/>
      <c r="BB847" s="213"/>
    </row>
    <row r="848">
      <c r="A848" s="199"/>
      <c r="B848" s="12"/>
      <c r="C848" s="202"/>
      <c r="D848" s="199"/>
      <c r="E848" s="211"/>
      <c r="F848" s="201"/>
      <c r="G848" s="199"/>
      <c r="H848" s="199"/>
      <c r="I848" s="199"/>
      <c r="J848" s="212"/>
      <c r="K848" s="212"/>
      <c r="L848" s="212"/>
      <c r="M848" s="212"/>
      <c r="N848" s="212"/>
      <c r="O848" s="212"/>
      <c r="P848" s="212"/>
      <c r="Q848" s="212"/>
      <c r="R848" s="212"/>
      <c r="S848" s="212"/>
      <c r="T848" s="212"/>
      <c r="U848" s="212"/>
      <c r="V848" s="212"/>
      <c r="W848" s="212"/>
      <c r="X848" s="212"/>
      <c r="Y848" s="212"/>
      <c r="Z848" s="204"/>
      <c r="AA848" s="204"/>
      <c r="AB848" s="204"/>
      <c r="AC848" s="204"/>
      <c r="AD848" s="204"/>
      <c r="AE848" s="212"/>
      <c r="AF848" s="213"/>
      <c r="AG848" s="213"/>
      <c r="AH848" s="213"/>
      <c r="AI848" s="213"/>
      <c r="AJ848" s="213"/>
      <c r="AK848" s="213"/>
      <c r="AL848" s="213"/>
      <c r="AM848" s="213"/>
      <c r="AN848" s="213"/>
      <c r="AO848" s="213"/>
      <c r="AP848" s="213"/>
      <c r="AQ848" s="213"/>
      <c r="AR848" s="213"/>
      <c r="AS848" s="213"/>
      <c r="AT848" s="213"/>
      <c r="AU848" s="213"/>
      <c r="AV848" s="213"/>
      <c r="AW848" s="213"/>
      <c r="AX848" s="213"/>
      <c r="AY848" s="213"/>
      <c r="AZ848" s="213"/>
      <c r="BA848" s="213"/>
      <c r="BB848" s="213"/>
    </row>
    <row r="849">
      <c r="A849" s="199"/>
      <c r="B849" s="12"/>
      <c r="C849" s="202"/>
      <c r="D849" s="199"/>
      <c r="E849" s="211"/>
      <c r="F849" s="201"/>
      <c r="G849" s="199"/>
      <c r="H849" s="199"/>
      <c r="I849" s="199"/>
      <c r="J849" s="212"/>
      <c r="K849" s="212"/>
      <c r="L849" s="212"/>
      <c r="M849" s="212"/>
      <c r="N849" s="212"/>
      <c r="O849" s="212"/>
      <c r="P849" s="212"/>
      <c r="Q849" s="212"/>
      <c r="R849" s="212"/>
      <c r="S849" s="212"/>
      <c r="T849" s="212"/>
      <c r="U849" s="212"/>
      <c r="V849" s="212"/>
      <c r="W849" s="212"/>
      <c r="X849" s="212"/>
      <c r="Y849" s="212"/>
      <c r="Z849" s="204"/>
      <c r="AA849" s="204"/>
      <c r="AB849" s="204"/>
      <c r="AC849" s="204"/>
      <c r="AD849" s="204"/>
      <c r="AE849" s="212"/>
      <c r="AF849" s="213"/>
      <c r="AG849" s="213"/>
      <c r="AH849" s="213"/>
      <c r="AI849" s="213"/>
      <c r="AJ849" s="213"/>
      <c r="AK849" s="213"/>
      <c r="AL849" s="213"/>
      <c r="AM849" s="213"/>
      <c r="AN849" s="213"/>
      <c r="AO849" s="213"/>
      <c r="AP849" s="213"/>
      <c r="AQ849" s="213"/>
      <c r="AR849" s="213"/>
      <c r="AS849" s="213"/>
      <c r="AT849" s="213"/>
      <c r="AU849" s="213"/>
      <c r="AV849" s="213"/>
      <c r="AW849" s="213"/>
      <c r="AX849" s="213"/>
      <c r="AY849" s="213"/>
      <c r="AZ849" s="213"/>
      <c r="BA849" s="213"/>
      <c r="BB849" s="213"/>
    </row>
    <row r="850">
      <c r="A850" s="199"/>
      <c r="B850" s="12"/>
      <c r="C850" s="202"/>
      <c r="D850" s="199"/>
      <c r="E850" s="211"/>
      <c r="F850" s="201"/>
      <c r="G850" s="199"/>
      <c r="H850" s="199"/>
      <c r="I850" s="199"/>
      <c r="J850" s="212"/>
      <c r="K850" s="212"/>
      <c r="L850" s="212"/>
      <c r="M850" s="212"/>
      <c r="N850" s="212"/>
      <c r="O850" s="212"/>
      <c r="P850" s="212"/>
      <c r="Q850" s="212"/>
      <c r="R850" s="212"/>
      <c r="S850" s="212"/>
      <c r="T850" s="212"/>
      <c r="U850" s="212"/>
      <c r="V850" s="212"/>
      <c r="W850" s="212"/>
      <c r="X850" s="212"/>
      <c r="Y850" s="212"/>
      <c r="Z850" s="204"/>
      <c r="AA850" s="204"/>
      <c r="AB850" s="204"/>
      <c r="AC850" s="204"/>
      <c r="AD850" s="204"/>
      <c r="AE850" s="212"/>
      <c r="AF850" s="213"/>
      <c r="AG850" s="213"/>
      <c r="AH850" s="213"/>
      <c r="AI850" s="213"/>
      <c r="AJ850" s="213"/>
      <c r="AK850" s="213"/>
      <c r="AL850" s="213"/>
      <c r="AM850" s="213"/>
      <c r="AN850" s="213"/>
      <c r="AO850" s="213"/>
      <c r="AP850" s="213"/>
      <c r="AQ850" s="213"/>
      <c r="AR850" s="213"/>
      <c r="AS850" s="213"/>
      <c r="AT850" s="213"/>
      <c r="AU850" s="213"/>
      <c r="AV850" s="213"/>
      <c r="AW850" s="213"/>
      <c r="AX850" s="213"/>
      <c r="AY850" s="213"/>
      <c r="AZ850" s="213"/>
      <c r="BA850" s="213"/>
      <c r="BB850" s="213"/>
    </row>
    <row r="851">
      <c r="A851" s="199"/>
      <c r="B851" s="12"/>
      <c r="C851" s="202"/>
      <c r="D851" s="199"/>
      <c r="E851" s="211"/>
      <c r="F851" s="201"/>
      <c r="G851" s="199"/>
      <c r="H851" s="199"/>
      <c r="I851" s="199"/>
      <c r="J851" s="212"/>
      <c r="K851" s="212"/>
      <c r="L851" s="212"/>
      <c r="M851" s="212"/>
      <c r="N851" s="212"/>
      <c r="O851" s="212"/>
      <c r="P851" s="212"/>
      <c r="Q851" s="212"/>
      <c r="R851" s="212"/>
      <c r="S851" s="212"/>
      <c r="T851" s="212"/>
      <c r="U851" s="212"/>
      <c r="V851" s="212"/>
      <c r="W851" s="212"/>
      <c r="X851" s="212"/>
      <c r="Y851" s="212"/>
      <c r="Z851" s="204"/>
      <c r="AA851" s="204"/>
      <c r="AB851" s="204"/>
      <c r="AC851" s="204"/>
      <c r="AD851" s="204"/>
      <c r="AE851" s="212"/>
      <c r="AF851" s="213"/>
      <c r="AG851" s="213"/>
      <c r="AH851" s="213"/>
      <c r="AI851" s="213"/>
      <c r="AJ851" s="213"/>
      <c r="AK851" s="213"/>
      <c r="AL851" s="213"/>
      <c r="AM851" s="213"/>
      <c r="AN851" s="213"/>
      <c r="AO851" s="213"/>
      <c r="AP851" s="213"/>
      <c r="AQ851" s="213"/>
      <c r="AR851" s="213"/>
      <c r="AS851" s="213"/>
      <c r="AT851" s="213"/>
      <c r="AU851" s="213"/>
      <c r="AV851" s="213"/>
      <c r="AW851" s="213"/>
      <c r="AX851" s="213"/>
      <c r="AY851" s="213"/>
      <c r="AZ851" s="213"/>
      <c r="BA851" s="213"/>
      <c r="BB851" s="213"/>
    </row>
    <row r="852">
      <c r="A852" s="199"/>
      <c r="B852" s="12"/>
      <c r="C852" s="202"/>
      <c r="D852" s="199"/>
      <c r="E852" s="211"/>
      <c r="F852" s="201"/>
      <c r="G852" s="199"/>
      <c r="H852" s="199"/>
      <c r="I852" s="199"/>
      <c r="J852" s="212"/>
      <c r="K852" s="212"/>
      <c r="L852" s="212"/>
      <c r="M852" s="212"/>
      <c r="N852" s="212"/>
      <c r="O852" s="212"/>
      <c r="P852" s="212"/>
      <c r="Q852" s="212"/>
      <c r="R852" s="212"/>
      <c r="S852" s="212"/>
      <c r="T852" s="212"/>
      <c r="U852" s="212"/>
      <c r="V852" s="212"/>
      <c r="W852" s="212"/>
      <c r="X852" s="212"/>
      <c r="Y852" s="212"/>
      <c r="Z852" s="204"/>
      <c r="AA852" s="204"/>
      <c r="AB852" s="204"/>
      <c r="AC852" s="204"/>
      <c r="AD852" s="204"/>
      <c r="AE852" s="212"/>
      <c r="AF852" s="213"/>
      <c r="AG852" s="213"/>
      <c r="AH852" s="213"/>
      <c r="AI852" s="213"/>
      <c r="AJ852" s="213"/>
      <c r="AK852" s="213"/>
      <c r="AL852" s="213"/>
      <c r="AM852" s="213"/>
      <c r="AN852" s="213"/>
      <c r="AO852" s="213"/>
      <c r="AP852" s="213"/>
      <c r="AQ852" s="213"/>
      <c r="AR852" s="213"/>
      <c r="AS852" s="213"/>
      <c r="AT852" s="213"/>
      <c r="AU852" s="213"/>
      <c r="AV852" s="213"/>
      <c r="AW852" s="213"/>
      <c r="AX852" s="213"/>
      <c r="AY852" s="213"/>
      <c r="AZ852" s="213"/>
      <c r="BA852" s="213"/>
      <c r="BB852" s="213"/>
    </row>
    <row r="853">
      <c r="A853" s="199"/>
      <c r="B853" s="12"/>
      <c r="C853" s="202"/>
      <c r="D853" s="199"/>
      <c r="E853" s="211"/>
      <c r="F853" s="201"/>
      <c r="G853" s="199"/>
      <c r="H853" s="199"/>
      <c r="I853" s="199"/>
      <c r="J853" s="212"/>
      <c r="K853" s="212"/>
      <c r="L853" s="212"/>
      <c r="M853" s="212"/>
      <c r="N853" s="212"/>
      <c r="O853" s="212"/>
      <c r="P853" s="212"/>
      <c r="Q853" s="212"/>
      <c r="R853" s="212"/>
      <c r="S853" s="212"/>
      <c r="T853" s="212"/>
      <c r="U853" s="212"/>
      <c r="V853" s="212"/>
      <c r="W853" s="212"/>
      <c r="X853" s="212"/>
      <c r="Y853" s="212"/>
      <c r="Z853" s="204"/>
      <c r="AA853" s="204"/>
      <c r="AB853" s="204"/>
      <c r="AC853" s="204"/>
      <c r="AD853" s="204"/>
      <c r="AE853" s="212"/>
      <c r="AF853" s="213"/>
      <c r="AG853" s="213"/>
      <c r="AH853" s="213"/>
      <c r="AI853" s="213"/>
      <c r="AJ853" s="213"/>
      <c r="AK853" s="213"/>
      <c r="AL853" s="213"/>
      <c r="AM853" s="213"/>
      <c r="AN853" s="213"/>
      <c r="AO853" s="213"/>
      <c r="AP853" s="213"/>
      <c r="AQ853" s="213"/>
      <c r="AR853" s="213"/>
      <c r="AS853" s="213"/>
      <c r="AT853" s="213"/>
      <c r="AU853" s="213"/>
      <c r="AV853" s="213"/>
      <c r="AW853" s="213"/>
      <c r="AX853" s="213"/>
      <c r="AY853" s="213"/>
      <c r="AZ853" s="213"/>
      <c r="BA853" s="213"/>
      <c r="BB853" s="213"/>
    </row>
    <row r="854">
      <c r="A854" s="199"/>
      <c r="B854" s="12"/>
      <c r="C854" s="202"/>
      <c r="D854" s="199"/>
      <c r="E854" s="211"/>
      <c r="F854" s="201"/>
      <c r="G854" s="199"/>
      <c r="H854" s="199"/>
      <c r="I854" s="199"/>
      <c r="J854" s="212"/>
      <c r="K854" s="212"/>
      <c r="L854" s="212"/>
      <c r="M854" s="212"/>
      <c r="N854" s="212"/>
      <c r="O854" s="212"/>
      <c r="P854" s="212"/>
      <c r="Q854" s="212"/>
      <c r="R854" s="212"/>
      <c r="S854" s="212"/>
      <c r="T854" s="212"/>
      <c r="U854" s="212"/>
      <c r="V854" s="212"/>
      <c r="W854" s="212"/>
      <c r="X854" s="212"/>
      <c r="Y854" s="212"/>
      <c r="Z854" s="204"/>
      <c r="AA854" s="204"/>
      <c r="AB854" s="204"/>
      <c r="AC854" s="204"/>
      <c r="AD854" s="204"/>
      <c r="AE854" s="212"/>
      <c r="AF854" s="213"/>
      <c r="AG854" s="213"/>
      <c r="AH854" s="213"/>
      <c r="AI854" s="213"/>
      <c r="AJ854" s="213"/>
      <c r="AK854" s="213"/>
      <c r="AL854" s="213"/>
      <c r="AM854" s="213"/>
      <c r="AN854" s="213"/>
      <c r="AO854" s="213"/>
      <c r="AP854" s="213"/>
      <c r="AQ854" s="213"/>
      <c r="AR854" s="213"/>
      <c r="AS854" s="213"/>
      <c r="AT854" s="213"/>
      <c r="AU854" s="213"/>
      <c r="AV854" s="213"/>
      <c r="AW854" s="213"/>
      <c r="AX854" s="213"/>
      <c r="AY854" s="213"/>
      <c r="AZ854" s="213"/>
      <c r="BA854" s="213"/>
      <c r="BB854" s="213"/>
    </row>
    <row r="855">
      <c r="A855" s="199"/>
      <c r="B855" s="12"/>
      <c r="C855" s="202"/>
      <c r="D855" s="199"/>
      <c r="E855" s="211"/>
      <c r="F855" s="201"/>
      <c r="G855" s="199"/>
      <c r="H855" s="199"/>
      <c r="I855" s="199"/>
      <c r="J855" s="212"/>
      <c r="K855" s="212"/>
      <c r="L855" s="212"/>
      <c r="M855" s="212"/>
      <c r="N855" s="212"/>
      <c r="O855" s="212"/>
      <c r="P855" s="212"/>
      <c r="Q855" s="212"/>
      <c r="R855" s="212"/>
      <c r="S855" s="212"/>
      <c r="T855" s="212"/>
      <c r="U855" s="212"/>
      <c r="V855" s="212"/>
      <c r="W855" s="212"/>
      <c r="X855" s="212"/>
      <c r="Y855" s="212"/>
      <c r="Z855" s="204"/>
      <c r="AA855" s="204"/>
      <c r="AB855" s="204"/>
      <c r="AC855" s="204"/>
      <c r="AD855" s="204"/>
      <c r="AE855" s="212"/>
      <c r="AF855" s="213"/>
      <c r="AG855" s="213"/>
      <c r="AH855" s="213"/>
      <c r="AI855" s="213"/>
      <c r="AJ855" s="213"/>
      <c r="AK855" s="213"/>
      <c r="AL855" s="213"/>
      <c r="AM855" s="213"/>
      <c r="AN855" s="213"/>
      <c r="AO855" s="213"/>
      <c r="AP855" s="213"/>
      <c r="AQ855" s="213"/>
      <c r="AR855" s="213"/>
      <c r="AS855" s="213"/>
      <c r="AT855" s="213"/>
      <c r="AU855" s="213"/>
      <c r="AV855" s="213"/>
      <c r="AW855" s="213"/>
      <c r="AX855" s="213"/>
      <c r="AY855" s="213"/>
      <c r="AZ855" s="213"/>
      <c r="BA855" s="213"/>
      <c r="BB855" s="213"/>
    </row>
    <row r="856">
      <c r="A856" s="199"/>
      <c r="B856" s="12"/>
      <c r="C856" s="202"/>
      <c r="D856" s="199"/>
      <c r="E856" s="211"/>
      <c r="F856" s="201"/>
      <c r="G856" s="199"/>
      <c r="H856" s="199"/>
      <c r="I856" s="199"/>
      <c r="J856" s="212"/>
      <c r="K856" s="212"/>
      <c r="L856" s="212"/>
      <c r="M856" s="212"/>
      <c r="N856" s="212"/>
      <c r="O856" s="212"/>
      <c r="P856" s="212"/>
      <c r="Q856" s="212"/>
      <c r="R856" s="212"/>
      <c r="S856" s="212"/>
      <c r="T856" s="212"/>
      <c r="U856" s="212"/>
      <c r="V856" s="212"/>
      <c r="W856" s="212"/>
      <c r="X856" s="212"/>
      <c r="Y856" s="212"/>
      <c r="Z856" s="204"/>
      <c r="AA856" s="204"/>
      <c r="AB856" s="204"/>
      <c r="AC856" s="204"/>
      <c r="AD856" s="204"/>
      <c r="AE856" s="212"/>
      <c r="AF856" s="213"/>
      <c r="AG856" s="213"/>
      <c r="AH856" s="213"/>
      <c r="AI856" s="213"/>
      <c r="AJ856" s="213"/>
      <c r="AK856" s="213"/>
      <c r="AL856" s="213"/>
      <c r="AM856" s="213"/>
      <c r="AN856" s="213"/>
      <c r="AO856" s="213"/>
      <c r="AP856" s="213"/>
      <c r="AQ856" s="213"/>
      <c r="AR856" s="213"/>
      <c r="AS856" s="213"/>
      <c r="AT856" s="213"/>
      <c r="AU856" s="213"/>
      <c r="AV856" s="213"/>
      <c r="AW856" s="213"/>
      <c r="AX856" s="213"/>
      <c r="AY856" s="213"/>
      <c r="AZ856" s="213"/>
      <c r="BA856" s="213"/>
      <c r="BB856" s="213"/>
    </row>
    <row r="857">
      <c r="A857" s="199"/>
      <c r="B857" s="12"/>
      <c r="C857" s="202"/>
      <c r="D857" s="199"/>
      <c r="E857" s="211"/>
      <c r="F857" s="201"/>
      <c r="G857" s="199"/>
      <c r="H857" s="199"/>
      <c r="I857" s="199"/>
      <c r="J857" s="212"/>
      <c r="K857" s="212"/>
      <c r="L857" s="212"/>
      <c r="M857" s="212"/>
      <c r="N857" s="212"/>
      <c r="O857" s="212"/>
      <c r="P857" s="212"/>
      <c r="Q857" s="212"/>
      <c r="R857" s="212"/>
      <c r="S857" s="212"/>
      <c r="T857" s="212"/>
      <c r="U857" s="212"/>
      <c r="V857" s="212"/>
      <c r="W857" s="212"/>
      <c r="X857" s="212"/>
      <c r="Y857" s="212"/>
      <c r="Z857" s="204"/>
      <c r="AA857" s="204"/>
      <c r="AB857" s="204"/>
      <c r="AC857" s="204"/>
      <c r="AD857" s="204"/>
      <c r="AE857" s="212"/>
      <c r="AF857" s="213"/>
      <c r="AG857" s="213"/>
      <c r="AH857" s="213"/>
      <c r="AI857" s="213"/>
      <c r="AJ857" s="213"/>
      <c r="AK857" s="213"/>
      <c r="AL857" s="213"/>
      <c r="AM857" s="213"/>
      <c r="AN857" s="213"/>
      <c r="AO857" s="213"/>
      <c r="AP857" s="213"/>
      <c r="AQ857" s="213"/>
      <c r="AR857" s="213"/>
      <c r="AS857" s="213"/>
      <c r="AT857" s="213"/>
      <c r="AU857" s="213"/>
      <c r="AV857" s="213"/>
      <c r="AW857" s="213"/>
      <c r="AX857" s="213"/>
      <c r="AY857" s="213"/>
      <c r="AZ857" s="213"/>
      <c r="BA857" s="213"/>
      <c r="BB857" s="213"/>
    </row>
    <row r="858">
      <c r="A858" s="199"/>
      <c r="B858" s="12"/>
      <c r="C858" s="202"/>
      <c r="D858" s="199"/>
      <c r="E858" s="211"/>
      <c r="F858" s="201"/>
      <c r="G858" s="199"/>
      <c r="H858" s="199"/>
      <c r="I858" s="199"/>
      <c r="J858" s="212"/>
      <c r="K858" s="212"/>
      <c r="L858" s="212"/>
      <c r="M858" s="212"/>
      <c r="N858" s="212"/>
      <c r="O858" s="212"/>
      <c r="P858" s="212"/>
      <c r="Q858" s="212"/>
      <c r="R858" s="212"/>
      <c r="S858" s="212"/>
      <c r="T858" s="212"/>
      <c r="U858" s="212"/>
      <c r="V858" s="212"/>
      <c r="W858" s="212"/>
      <c r="X858" s="212"/>
      <c r="Y858" s="212"/>
      <c r="Z858" s="204"/>
      <c r="AA858" s="204"/>
      <c r="AB858" s="204"/>
      <c r="AC858" s="204"/>
      <c r="AD858" s="204"/>
      <c r="AE858" s="212"/>
      <c r="AF858" s="213"/>
      <c r="AG858" s="213"/>
      <c r="AH858" s="213"/>
      <c r="AI858" s="213"/>
      <c r="AJ858" s="213"/>
      <c r="AK858" s="213"/>
      <c r="AL858" s="213"/>
      <c r="AM858" s="213"/>
      <c r="AN858" s="213"/>
      <c r="AO858" s="213"/>
      <c r="AP858" s="213"/>
      <c r="AQ858" s="213"/>
      <c r="AR858" s="213"/>
      <c r="AS858" s="213"/>
      <c r="AT858" s="213"/>
      <c r="AU858" s="213"/>
      <c r="AV858" s="213"/>
      <c r="AW858" s="213"/>
      <c r="AX858" s="213"/>
      <c r="AY858" s="213"/>
      <c r="AZ858" s="213"/>
      <c r="BA858" s="213"/>
      <c r="BB858" s="213"/>
    </row>
    <row r="859">
      <c r="A859" s="199"/>
      <c r="B859" s="12"/>
      <c r="C859" s="202"/>
      <c r="D859" s="199"/>
      <c r="E859" s="211"/>
      <c r="F859" s="201"/>
      <c r="G859" s="199"/>
      <c r="H859" s="199"/>
      <c r="I859" s="199"/>
      <c r="J859" s="212"/>
      <c r="K859" s="212"/>
      <c r="L859" s="212"/>
      <c r="M859" s="212"/>
      <c r="N859" s="212"/>
      <c r="O859" s="212"/>
      <c r="P859" s="212"/>
      <c r="Q859" s="212"/>
      <c r="R859" s="212"/>
      <c r="S859" s="212"/>
      <c r="T859" s="212"/>
      <c r="U859" s="212"/>
      <c r="V859" s="212"/>
      <c r="W859" s="212"/>
      <c r="X859" s="212"/>
      <c r="Y859" s="212"/>
      <c r="Z859" s="204"/>
      <c r="AA859" s="204"/>
      <c r="AB859" s="204"/>
      <c r="AC859" s="204"/>
      <c r="AD859" s="204"/>
      <c r="AE859" s="212"/>
      <c r="AF859" s="213"/>
      <c r="AG859" s="213"/>
      <c r="AH859" s="213"/>
      <c r="AI859" s="213"/>
      <c r="AJ859" s="213"/>
      <c r="AK859" s="213"/>
      <c r="AL859" s="213"/>
      <c r="AM859" s="213"/>
      <c r="AN859" s="213"/>
      <c r="AO859" s="213"/>
      <c r="AP859" s="213"/>
      <c r="AQ859" s="213"/>
      <c r="AR859" s="213"/>
      <c r="AS859" s="213"/>
      <c r="AT859" s="213"/>
      <c r="AU859" s="213"/>
      <c r="AV859" s="213"/>
      <c r="AW859" s="213"/>
      <c r="AX859" s="213"/>
      <c r="AY859" s="213"/>
      <c r="AZ859" s="213"/>
      <c r="BA859" s="213"/>
      <c r="BB859" s="213"/>
    </row>
    <row r="860">
      <c r="A860" s="199"/>
      <c r="B860" s="12"/>
      <c r="C860" s="202"/>
      <c r="D860" s="199"/>
      <c r="E860" s="211"/>
      <c r="F860" s="201"/>
      <c r="G860" s="199"/>
      <c r="H860" s="199"/>
      <c r="I860" s="199"/>
      <c r="J860" s="212"/>
      <c r="K860" s="212"/>
      <c r="L860" s="212"/>
      <c r="M860" s="212"/>
      <c r="N860" s="212"/>
      <c r="O860" s="212"/>
      <c r="P860" s="212"/>
      <c r="Q860" s="212"/>
      <c r="R860" s="212"/>
      <c r="S860" s="212"/>
      <c r="T860" s="212"/>
      <c r="U860" s="212"/>
      <c r="V860" s="212"/>
      <c r="W860" s="212"/>
      <c r="X860" s="212"/>
      <c r="Y860" s="212"/>
      <c r="Z860" s="204"/>
      <c r="AA860" s="204"/>
      <c r="AB860" s="204"/>
      <c r="AC860" s="204"/>
      <c r="AD860" s="204"/>
      <c r="AE860" s="212"/>
      <c r="AF860" s="213"/>
      <c r="AG860" s="213"/>
      <c r="AH860" s="213"/>
      <c r="AI860" s="213"/>
      <c r="AJ860" s="213"/>
      <c r="AK860" s="213"/>
      <c r="AL860" s="213"/>
      <c r="AM860" s="213"/>
      <c r="AN860" s="213"/>
      <c r="AO860" s="213"/>
      <c r="AP860" s="213"/>
      <c r="AQ860" s="213"/>
      <c r="AR860" s="213"/>
      <c r="AS860" s="213"/>
      <c r="AT860" s="213"/>
      <c r="AU860" s="213"/>
      <c r="AV860" s="213"/>
      <c r="AW860" s="213"/>
      <c r="AX860" s="213"/>
      <c r="AY860" s="213"/>
      <c r="AZ860" s="213"/>
      <c r="BA860" s="213"/>
      <c r="BB860" s="213"/>
    </row>
    <row r="861">
      <c r="A861" s="199"/>
      <c r="B861" s="12"/>
      <c r="C861" s="202"/>
      <c r="D861" s="199"/>
      <c r="E861" s="211"/>
      <c r="F861" s="201"/>
      <c r="G861" s="199"/>
      <c r="H861" s="199"/>
      <c r="I861" s="199"/>
      <c r="J861" s="212"/>
      <c r="K861" s="212"/>
      <c r="L861" s="212"/>
      <c r="M861" s="212"/>
      <c r="N861" s="212"/>
      <c r="O861" s="212"/>
      <c r="P861" s="212"/>
      <c r="Q861" s="212"/>
      <c r="R861" s="212"/>
      <c r="S861" s="212"/>
      <c r="T861" s="212"/>
      <c r="U861" s="212"/>
      <c r="V861" s="212"/>
      <c r="W861" s="212"/>
      <c r="X861" s="212"/>
      <c r="Y861" s="212"/>
      <c r="Z861" s="204"/>
      <c r="AA861" s="204"/>
      <c r="AB861" s="204"/>
      <c r="AC861" s="204"/>
      <c r="AD861" s="204"/>
      <c r="AE861" s="212"/>
      <c r="AF861" s="213"/>
      <c r="AG861" s="213"/>
      <c r="AH861" s="213"/>
      <c r="AI861" s="213"/>
      <c r="AJ861" s="213"/>
      <c r="AK861" s="213"/>
      <c r="AL861" s="213"/>
      <c r="AM861" s="213"/>
      <c r="AN861" s="213"/>
      <c r="AO861" s="213"/>
      <c r="AP861" s="213"/>
      <c r="AQ861" s="213"/>
      <c r="AR861" s="213"/>
      <c r="AS861" s="213"/>
      <c r="AT861" s="213"/>
      <c r="AU861" s="213"/>
      <c r="AV861" s="213"/>
      <c r="AW861" s="213"/>
      <c r="AX861" s="213"/>
      <c r="AY861" s="213"/>
      <c r="AZ861" s="213"/>
      <c r="BA861" s="213"/>
      <c r="BB861" s="213"/>
    </row>
    <row r="862">
      <c r="A862" s="199"/>
      <c r="B862" s="12"/>
      <c r="C862" s="202"/>
      <c r="D862" s="199"/>
      <c r="E862" s="211"/>
      <c r="F862" s="201"/>
      <c r="G862" s="199"/>
      <c r="H862" s="199"/>
      <c r="I862" s="199"/>
      <c r="J862" s="212"/>
      <c r="K862" s="212"/>
      <c r="L862" s="212"/>
      <c r="M862" s="212"/>
      <c r="N862" s="212"/>
      <c r="O862" s="212"/>
      <c r="P862" s="212"/>
      <c r="Q862" s="212"/>
      <c r="R862" s="212"/>
      <c r="S862" s="212"/>
      <c r="T862" s="212"/>
      <c r="U862" s="212"/>
      <c r="V862" s="212"/>
      <c r="W862" s="212"/>
      <c r="X862" s="212"/>
      <c r="Y862" s="212"/>
      <c r="Z862" s="204"/>
      <c r="AA862" s="204"/>
      <c r="AB862" s="204"/>
      <c r="AC862" s="204"/>
      <c r="AD862" s="204"/>
      <c r="AE862" s="212"/>
      <c r="AF862" s="213"/>
      <c r="AG862" s="213"/>
      <c r="AH862" s="213"/>
      <c r="AI862" s="213"/>
      <c r="AJ862" s="213"/>
      <c r="AK862" s="213"/>
      <c r="AL862" s="213"/>
      <c r="AM862" s="213"/>
      <c r="AN862" s="213"/>
      <c r="AO862" s="213"/>
      <c r="AP862" s="213"/>
      <c r="AQ862" s="213"/>
      <c r="AR862" s="213"/>
      <c r="AS862" s="213"/>
      <c r="AT862" s="213"/>
      <c r="AU862" s="213"/>
      <c r="AV862" s="213"/>
      <c r="AW862" s="213"/>
      <c r="AX862" s="213"/>
      <c r="AY862" s="213"/>
      <c r="AZ862" s="213"/>
      <c r="BA862" s="213"/>
      <c r="BB862" s="213"/>
    </row>
    <row r="863">
      <c r="A863" s="199"/>
      <c r="B863" s="12"/>
      <c r="C863" s="202"/>
      <c r="D863" s="199"/>
      <c r="E863" s="211"/>
      <c r="F863" s="201"/>
      <c r="G863" s="199"/>
      <c r="H863" s="199"/>
      <c r="I863" s="199"/>
      <c r="J863" s="212"/>
      <c r="K863" s="212"/>
      <c r="L863" s="212"/>
      <c r="M863" s="212"/>
      <c r="N863" s="212"/>
      <c r="O863" s="212"/>
      <c r="P863" s="212"/>
      <c r="Q863" s="212"/>
      <c r="R863" s="212"/>
      <c r="S863" s="212"/>
      <c r="T863" s="212"/>
      <c r="U863" s="212"/>
      <c r="V863" s="212"/>
      <c r="W863" s="212"/>
      <c r="X863" s="212"/>
      <c r="Y863" s="212"/>
      <c r="Z863" s="204"/>
      <c r="AA863" s="204"/>
      <c r="AB863" s="204"/>
      <c r="AC863" s="204"/>
      <c r="AD863" s="204"/>
      <c r="AE863" s="212"/>
      <c r="AF863" s="213"/>
      <c r="AG863" s="213"/>
      <c r="AH863" s="213"/>
      <c r="AI863" s="213"/>
      <c r="AJ863" s="213"/>
      <c r="AK863" s="213"/>
      <c r="AL863" s="213"/>
      <c r="AM863" s="213"/>
      <c r="AN863" s="213"/>
      <c r="AO863" s="213"/>
      <c r="AP863" s="213"/>
      <c r="AQ863" s="213"/>
      <c r="AR863" s="213"/>
      <c r="AS863" s="213"/>
      <c r="AT863" s="213"/>
      <c r="AU863" s="213"/>
      <c r="AV863" s="213"/>
      <c r="AW863" s="213"/>
      <c r="AX863" s="213"/>
      <c r="AY863" s="213"/>
      <c r="AZ863" s="213"/>
      <c r="BA863" s="213"/>
      <c r="BB863" s="213"/>
    </row>
    <row r="864">
      <c r="A864" s="199"/>
      <c r="B864" s="12"/>
      <c r="C864" s="202"/>
      <c r="D864" s="199"/>
      <c r="E864" s="211"/>
      <c r="F864" s="201"/>
      <c r="G864" s="199"/>
      <c r="H864" s="199"/>
      <c r="I864" s="199"/>
      <c r="J864" s="212"/>
      <c r="K864" s="212"/>
      <c r="L864" s="212"/>
      <c r="M864" s="212"/>
      <c r="N864" s="212"/>
      <c r="O864" s="212"/>
      <c r="P864" s="212"/>
      <c r="Q864" s="212"/>
      <c r="R864" s="212"/>
      <c r="S864" s="212"/>
      <c r="T864" s="212"/>
      <c r="U864" s="212"/>
      <c r="V864" s="212"/>
      <c r="W864" s="212"/>
      <c r="X864" s="212"/>
      <c r="Y864" s="212"/>
      <c r="Z864" s="204"/>
      <c r="AA864" s="204"/>
      <c r="AB864" s="204"/>
      <c r="AC864" s="204"/>
      <c r="AD864" s="204"/>
      <c r="AE864" s="212"/>
      <c r="AF864" s="213"/>
      <c r="AG864" s="213"/>
      <c r="AH864" s="213"/>
      <c r="AI864" s="213"/>
      <c r="AJ864" s="213"/>
      <c r="AK864" s="213"/>
      <c r="AL864" s="213"/>
      <c r="AM864" s="213"/>
      <c r="AN864" s="213"/>
      <c r="AO864" s="213"/>
      <c r="AP864" s="213"/>
      <c r="AQ864" s="213"/>
      <c r="AR864" s="213"/>
      <c r="AS864" s="213"/>
      <c r="AT864" s="213"/>
      <c r="AU864" s="213"/>
      <c r="AV864" s="213"/>
      <c r="AW864" s="213"/>
      <c r="AX864" s="213"/>
      <c r="AY864" s="213"/>
      <c r="AZ864" s="213"/>
      <c r="BA864" s="213"/>
      <c r="BB864" s="213"/>
    </row>
    <row r="865">
      <c r="A865" s="199"/>
      <c r="B865" s="12"/>
      <c r="C865" s="202"/>
      <c r="D865" s="199"/>
      <c r="E865" s="211"/>
      <c r="F865" s="201"/>
      <c r="G865" s="199"/>
      <c r="H865" s="199"/>
      <c r="I865" s="199"/>
      <c r="J865" s="212"/>
      <c r="K865" s="212"/>
      <c r="L865" s="212"/>
      <c r="M865" s="212"/>
      <c r="N865" s="212"/>
      <c r="O865" s="212"/>
      <c r="P865" s="212"/>
      <c r="Q865" s="212"/>
      <c r="R865" s="212"/>
      <c r="S865" s="212"/>
      <c r="T865" s="212"/>
      <c r="U865" s="212"/>
      <c r="V865" s="212"/>
      <c r="W865" s="212"/>
      <c r="X865" s="212"/>
      <c r="Y865" s="212"/>
      <c r="Z865" s="204"/>
      <c r="AA865" s="204"/>
      <c r="AB865" s="204"/>
      <c r="AC865" s="204"/>
      <c r="AD865" s="204"/>
      <c r="AE865" s="212"/>
      <c r="AF865" s="213"/>
      <c r="AG865" s="213"/>
      <c r="AH865" s="213"/>
      <c r="AI865" s="213"/>
      <c r="AJ865" s="213"/>
      <c r="AK865" s="213"/>
      <c r="AL865" s="213"/>
      <c r="AM865" s="213"/>
      <c r="AN865" s="213"/>
      <c r="AO865" s="213"/>
      <c r="AP865" s="213"/>
      <c r="AQ865" s="213"/>
      <c r="AR865" s="213"/>
      <c r="AS865" s="213"/>
      <c r="AT865" s="213"/>
      <c r="AU865" s="213"/>
      <c r="AV865" s="213"/>
      <c r="AW865" s="213"/>
      <c r="AX865" s="213"/>
      <c r="AY865" s="213"/>
      <c r="AZ865" s="213"/>
      <c r="BA865" s="213"/>
      <c r="BB865" s="213"/>
    </row>
    <row r="866">
      <c r="A866" s="199"/>
      <c r="B866" s="12"/>
      <c r="C866" s="202"/>
      <c r="D866" s="199"/>
      <c r="E866" s="211"/>
      <c r="F866" s="201"/>
      <c r="G866" s="199"/>
      <c r="H866" s="199"/>
      <c r="I866" s="199"/>
      <c r="J866" s="212"/>
      <c r="K866" s="212"/>
      <c r="L866" s="212"/>
      <c r="M866" s="212"/>
      <c r="N866" s="212"/>
      <c r="O866" s="212"/>
      <c r="P866" s="212"/>
      <c r="Q866" s="212"/>
      <c r="R866" s="212"/>
      <c r="S866" s="212"/>
      <c r="T866" s="212"/>
      <c r="U866" s="212"/>
      <c r="V866" s="212"/>
      <c r="W866" s="212"/>
      <c r="X866" s="212"/>
      <c r="Y866" s="212"/>
      <c r="Z866" s="204"/>
      <c r="AA866" s="204"/>
      <c r="AB866" s="204"/>
      <c r="AC866" s="204"/>
      <c r="AD866" s="204"/>
      <c r="AE866" s="212"/>
      <c r="AF866" s="213"/>
      <c r="AG866" s="213"/>
      <c r="AH866" s="213"/>
      <c r="AI866" s="213"/>
      <c r="AJ866" s="213"/>
      <c r="AK866" s="213"/>
      <c r="AL866" s="213"/>
      <c r="AM866" s="213"/>
      <c r="AN866" s="213"/>
      <c r="AO866" s="213"/>
      <c r="AP866" s="213"/>
      <c r="AQ866" s="213"/>
      <c r="AR866" s="213"/>
      <c r="AS866" s="213"/>
      <c r="AT866" s="213"/>
      <c r="AU866" s="213"/>
      <c r="AV866" s="213"/>
      <c r="AW866" s="213"/>
      <c r="AX866" s="213"/>
      <c r="AY866" s="213"/>
      <c r="AZ866" s="213"/>
      <c r="BA866" s="213"/>
      <c r="BB866" s="213"/>
    </row>
    <row r="867">
      <c r="A867" s="199"/>
      <c r="B867" s="12"/>
      <c r="C867" s="202"/>
      <c r="D867" s="199"/>
      <c r="E867" s="211"/>
      <c r="F867" s="201"/>
      <c r="G867" s="199"/>
      <c r="H867" s="199"/>
      <c r="I867" s="199"/>
      <c r="J867" s="212"/>
      <c r="K867" s="212"/>
      <c r="L867" s="212"/>
      <c r="M867" s="212"/>
      <c r="N867" s="212"/>
      <c r="O867" s="212"/>
      <c r="P867" s="212"/>
      <c r="Q867" s="212"/>
      <c r="R867" s="212"/>
      <c r="S867" s="212"/>
      <c r="T867" s="212"/>
      <c r="U867" s="212"/>
      <c r="V867" s="212"/>
      <c r="W867" s="212"/>
      <c r="X867" s="212"/>
      <c r="Y867" s="212"/>
      <c r="Z867" s="204"/>
      <c r="AA867" s="204"/>
      <c r="AB867" s="204"/>
      <c r="AC867" s="204"/>
      <c r="AD867" s="204"/>
      <c r="AE867" s="212"/>
      <c r="AF867" s="213"/>
      <c r="AG867" s="213"/>
      <c r="AH867" s="213"/>
      <c r="AI867" s="213"/>
      <c r="AJ867" s="213"/>
      <c r="AK867" s="213"/>
      <c r="AL867" s="213"/>
      <c r="AM867" s="213"/>
      <c r="AN867" s="213"/>
      <c r="AO867" s="213"/>
      <c r="AP867" s="213"/>
      <c r="AQ867" s="213"/>
      <c r="AR867" s="213"/>
      <c r="AS867" s="213"/>
      <c r="AT867" s="213"/>
      <c r="AU867" s="213"/>
      <c r="AV867" s="213"/>
      <c r="AW867" s="213"/>
      <c r="AX867" s="213"/>
      <c r="AY867" s="213"/>
      <c r="AZ867" s="213"/>
      <c r="BA867" s="213"/>
      <c r="BB867" s="213"/>
    </row>
    <row r="868">
      <c r="A868" s="199"/>
      <c r="B868" s="12"/>
      <c r="C868" s="202"/>
      <c r="D868" s="199"/>
      <c r="E868" s="211"/>
      <c r="F868" s="201"/>
      <c r="G868" s="199"/>
      <c r="H868" s="199"/>
      <c r="I868" s="199"/>
      <c r="J868" s="212"/>
      <c r="K868" s="212"/>
      <c r="L868" s="212"/>
      <c r="M868" s="212"/>
      <c r="N868" s="212"/>
      <c r="O868" s="212"/>
      <c r="P868" s="212"/>
      <c r="Q868" s="212"/>
      <c r="R868" s="212"/>
      <c r="S868" s="212"/>
      <c r="T868" s="212"/>
      <c r="U868" s="212"/>
      <c r="V868" s="212"/>
      <c r="W868" s="212"/>
      <c r="X868" s="212"/>
      <c r="Y868" s="212"/>
      <c r="Z868" s="204"/>
      <c r="AA868" s="204"/>
      <c r="AB868" s="204"/>
      <c r="AC868" s="204"/>
      <c r="AD868" s="204"/>
      <c r="AE868" s="212"/>
      <c r="AF868" s="213"/>
      <c r="AG868" s="213"/>
      <c r="AH868" s="213"/>
      <c r="AI868" s="213"/>
      <c r="AJ868" s="213"/>
      <c r="AK868" s="213"/>
      <c r="AL868" s="213"/>
      <c r="AM868" s="213"/>
      <c r="AN868" s="213"/>
      <c r="AO868" s="213"/>
      <c r="AP868" s="213"/>
      <c r="AQ868" s="213"/>
      <c r="AR868" s="213"/>
      <c r="AS868" s="213"/>
      <c r="AT868" s="213"/>
      <c r="AU868" s="213"/>
      <c r="AV868" s="213"/>
      <c r="AW868" s="213"/>
      <c r="AX868" s="213"/>
      <c r="AY868" s="213"/>
      <c r="AZ868" s="213"/>
      <c r="BA868" s="213"/>
      <c r="BB868" s="213"/>
    </row>
    <row r="869">
      <c r="A869" s="199"/>
      <c r="B869" s="12"/>
      <c r="C869" s="202"/>
      <c r="D869" s="199"/>
      <c r="E869" s="211"/>
      <c r="F869" s="201"/>
      <c r="G869" s="199"/>
      <c r="H869" s="199"/>
      <c r="I869" s="199"/>
      <c r="J869" s="212"/>
      <c r="K869" s="212"/>
      <c r="L869" s="212"/>
      <c r="M869" s="212"/>
      <c r="N869" s="212"/>
      <c r="O869" s="212"/>
      <c r="P869" s="212"/>
      <c r="Q869" s="212"/>
      <c r="R869" s="212"/>
      <c r="S869" s="212"/>
      <c r="T869" s="212"/>
      <c r="U869" s="212"/>
      <c r="V869" s="212"/>
      <c r="W869" s="212"/>
      <c r="X869" s="212"/>
      <c r="Y869" s="212"/>
      <c r="Z869" s="204"/>
      <c r="AA869" s="204"/>
      <c r="AB869" s="204"/>
      <c r="AC869" s="204"/>
      <c r="AD869" s="204"/>
      <c r="AE869" s="212"/>
      <c r="AF869" s="213"/>
      <c r="AG869" s="213"/>
      <c r="AH869" s="213"/>
      <c r="AI869" s="213"/>
      <c r="AJ869" s="213"/>
      <c r="AK869" s="213"/>
      <c r="AL869" s="213"/>
      <c r="AM869" s="213"/>
      <c r="AN869" s="213"/>
      <c r="AO869" s="213"/>
      <c r="AP869" s="213"/>
      <c r="AQ869" s="213"/>
      <c r="AR869" s="213"/>
      <c r="AS869" s="213"/>
      <c r="AT869" s="213"/>
      <c r="AU869" s="213"/>
      <c r="AV869" s="213"/>
      <c r="AW869" s="213"/>
      <c r="AX869" s="213"/>
      <c r="AY869" s="213"/>
      <c r="AZ869" s="213"/>
      <c r="BA869" s="213"/>
      <c r="BB869" s="213"/>
    </row>
    <row r="870">
      <c r="A870" s="199"/>
      <c r="B870" s="12"/>
      <c r="C870" s="202"/>
      <c r="D870" s="199"/>
      <c r="E870" s="211"/>
      <c r="F870" s="201"/>
      <c r="G870" s="199"/>
      <c r="H870" s="199"/>
      <c r="I870" s="199"/>
      <c r="J870" s="212"/>
      <c r="K870" s="212"/>
      <c r="L870" s="212"/>
      <c r="M870" s="212"/>
      <c r="N870" s="212"/>
      <c r="O870" s="212"/>
      <c r="P870" s="212"/>
      <c r="Q870" s="212"/>
      <c r="R870" s="212"/>
      <c r="S870" s="212"/>
      <c r="T870" s="212"/>
      <c r="U870" s="212"/>
      <c r="V870" s="212"/>
      <c r="W870" s="212"/>
      <c r="X870" s="212"/>
      <c r="Y870" s="212"/>
      <c r="Z870" s="204"/>
      <c r="AA870" s="204"/>
      <c r="AB870" s="204"/>
      <c r="AC870" s="204"/>
      <c r="AD870" s="204"/>
      <c r="AE870" s="212"/>
      <c r="AF870" s="213"/>
      <c r="AG870" s="213"/>
      <c r="AH870" s="213"/>
      <c r="AI870" s="213"/>
      <c r="AJ870" s="213"/>
      <c r="AK870" s="213"/>
      <c r="AL870" s="213"/>
      <c r="AM870" s="213"/>
      <c r="AN870" s="213"/>
      <c r="AO870" s="213"/>
      <c r="AP870" s="213"/>
      <c r="AQ870" s="213"/>
      <c r="AR870" s="213"/>
      <c r="AS870" s="213"/>
      <c r="AT870" s="213"/>
      <c r="AU870" s="213"/>
      <c r="AV870" s="213"/>
      <c r="AW870" s="213"/>
      <c r="AX870" s="213"/>
      <c r="AY870" s="213"/>
      <c r="AZ870" s="213"/>
      <c r="BA870" s="213"/>
      <c r="BB870" s="213"/>
    </row>
    <row r="871">
      <c r="A871" s="199"/>
      <c r="B871" s="12"/>
      <c r="C871" s="202"/>
      <c r="D871" s="199"/>
      <c r="E871" s="211"/>
      <c r="F871" s="201"/>
      <c r="G871" s="199"/>
      <c r="H871" s="199"/>
      <c r="I871" s="199"/>
      <c r="J871" s="212"/>
      <c r="K871" s="212"/>
      <c r="L871" s="212"/>
      <c r="M871" s="212"/>
      <c r="N871" s="212"/>
      <c r="O871" s="212"/>
      <c r="P871" s="212"/>
      <c r="Q871" s="212"/>
      <c r="R871" s="212"/>
      <c r="S871" s="212"/>
      <c r="T871" s="212"/>
      <c r="U871" s="212"/>
      <c r="V871" s="212"/>
      <c r="W871" s="212"/>
      <c r="X871" s="212"/>
      <c r="Y871" s="212"/>
      <c r="Z871" s="204"/>
      <c r="AA871" s="204"/>
      <c r="AB871" s="204"/>
      <c r="AC871" s="204"/>
      <c r="AD871" s="204"/>
      <c r="AE871" s="212"/>
      <c r="AF871" s="213"/>
      <c r="AG871" s="213"/>
      <c r="AH871" s="213"/>
      <c r="AI871" s="213"/>
      <c r="AJ871" s="213"/>
      <c r="AK871" s="213"/>
      <c r="AL871" s="213"/>
      <c r="AM871" s="213"/>
      <c r="AN871" s="213"/>
      <c r="AO871" s="213"/>
      <c r="AP871" s="213"/>
      <c r="AQ871" s="213"/>
      <c r="AR871" s="213"/>
      <c r="AS871" s="213"/>
      <c r="AT871" s="213"/>
      <c r="AU871" s="213"/>
      <c r="AV871" s="213"/>
      <c r="AW871" s="213"/>
      <c r="AX871" s="213"/>
      <c r="AY871" s="213"/>
      <c r="AZ871" s="213"/>
      <c r="BA871" s="213"/>
      <c r="BB871" s="213"/>
    </row>
    <row r="872">
      <c r="A872" s="199"/>
      <c r="B872" s="12"/>
      <c r="C872" s="202"/>
      <c r="D872" s="199"/>
      <c r="E872" s="211"/>
      <c r="F872" s="201"/>
      <c r="G872" s="199"/>
      <c r="H872" s="199"/>
      <c r="I872" s="199"/>
      <c r="J872" s="212"/>
      <c r="K872" s="212"/>
      <c r="L872" s="212"/>
      <c r="M872" s="212"/>
      <c r="N872" s="212"/>
      <c r="O872" s="212"/>
      <c r="P872" s="212"/>
      <c r="Q872" s="212"/>
      <c r="R872" s="212"/>
      <c r="S872" s="212"/>
      <c r="T872" s="212"/>
      <c r="U872" s="212"/>
      <c r="V872" s="212"/>
      <c r="W872" s="212"/>
      <c r="X872" s="212"/>
      <c r="Y872" s="212"/>
      <c r="Z872" s="204"/>
      <c r="AA872" s="204"/>
      <c r="AB872" s="204"/>
      <c r="AC872" s="204"/>
      <c r="AD872" s="204"/>
      <c r="AE872" s="212"/>
      <c r="AF872" s="213"/>
      <c r="AG872" s="213"/>
      <c r="AH872" s="213"/>
      <c r="AI872" s="213"/>
      <c r="AJ872" s="213"/>
      <c r="AK872" s="213"/>
      <c r="AL872" s="213"/>
      <c r="AM872" s="213"/>
      <c r="AN872" s="213"/>
      <c r="AO872" s="213"/>
      <c r="AP872" s="213"/>
      <c r="AQ872" s="213"/>
      <c r="AR872" s="213"/>
      <c r="AS872" s="213"/>
      <c r="AT872" s="213"/>
      <c r="AU872" s="213"/>
      <c r="AV872" s="213"/>
      <c r="AW872" s="213"/>
      <c r="AX872" s="213"/>
      <c r="AY872" s="213"/>
      <c r="AZ872" s="213"/>
      <c r="BA872" s="213"/>
      <c r="BB872" s="213"/>
    </row>
    <row r="873">
      <c r="A873" s="199"/>
      <c r="B873" s="12"/>
      <c r="C873" s="202"/>
      <c r="D873" s="199"/>
      <c r="E873" s="211"/>
      <c r="F873" s="201"/>
      <c r="G873" s="199"/>
      <c r="H873" s="199"/>
      <c r="I873" s="199"/>
      <c r="J873" s="212"/>
      <c r="K873" s="212"/>
      <c r="L873" s="212"/>
      <c r="M873" s="212"/>
      <c r="N873" s="212"/>
      <c r="O873" s="212"/>
      <c r="P873" s="212"/>
      <c r="Q873" s="212"/>
      <c r="R873" s="212"/>
      <c r="S873" s="212"/>
      <c r="T873" s="212"/>
      <c r="U873" s="212"/>
      <c r="V873" s="212"/>
      <c r="W873" s="212"/>
      <c r="X873" s="212"/>
      <c r="Y873" s="212"/>
      <c r="Z873" s="204"/>
      <c r="AA873" s="204"/>
      <c r="AB873" s="204"/>
      <c r="AC873" s="204"/>
      <c r="AD873" s="204"/>
      <c r="AE873" s="212"/>
      <c r="AF873" s="213"/>
      <c r="AG873" s="213"/>
      <c r="AH873" s="213"/>
      <c r="AI873" s="213"/>
      <c r="AJ873" s="213"/>
      <c r="AK873" s="213"/>
      <c r="AL873" s="213"/>
      <c r="AM873" s="213"/>
      <c r="AN873" s="213"/>
      <c r="AO873" s="213"/>
      <c r="AP873" s="213"/>
      <c r="AQ873" s="213"/>
      <c r="AR873" s="213"/>
      <c r="AS873" s="213"/>
      <c r="AT873" s="213"/>
      <c r="AU873" s="213"/>
      <c r="AV873" s="213"/>
      <c r="AW873" s="213"/>
      <c r="AX873" s="213"/>
      <c r="AY873" s="213"/>
      <c r="AZ873" s="213"/>
      <c r="BA873" s="213"/>
      <c r="BB873" s="213"/>
    </row>
    <row r="874">
      <c r="A874" s="199"/>
      <c r="B874" s="12"/>
      <c r="C874" s="202"/>
      <c r="D874" s="199"/>
      <c r="E874" s="211"/>
      <c r="F874" s="201"/>
      <c r="G874" s="199"/>
      <c r="H874" s="199"/>
      <c r="I874" s="199"/>
      <c r="J874" s="212"/>
      <c r="K874" s="212"/>
      <c r="L874" s="212"/>
      <c r="M874" s="212"/>
      <c r="N874" s="212"/>
      <c r="O874" s="212"/>
      <c r="P874" s="212"/>
      <c r="Q874" s="212"/>
      <c r="R874" s="212"/>
      <c r="S874" s="212"/>
      <c r="T874" s="212"/>
      <c r="U874" s="212"/>
      <c r="V874" s="212"/>
      <c r="W874" s="212"/>
      <c r="X874" s="212"/>
      <c r="Y874" s="212"/>
      <c r="Z874" s="204"/>
      <c r="AA874" s="204"/>
      <c r="AB874" s="204"/>
      <c r="AC874" s="204"/>
      <c r="AD874" s="204"/>
      <c r="AE874" s="212"/>
      <c r="AF874" s="213"/>
      <c r="AG874" s="213"/>
      <c r="AH874" s="213"/>
      <c r="AI874" s="213"/>
      <c r="AJ874" s="213"/>
      <c r="AK874" s="213"/>
      <c r="AL874" s="213"/>
      <c r="AM874" s="213"/>
      <c r="AN874" s="213"/>
      <c r="AO874" s="213"/>
      <c r="AP874" s="213"/>
      <c r="AQ874" s="213"/>
      <c r="AR874" s="213"/>
      <c r="AS874" s="213"/>
      <c r="AT874" s="213"/>
      <c r="AU874" s="213"/>
      <c r="AV874" s="213"/>
      <c r="AW874" s="213"/>
      <c r="AX874" s="213"/>
      <c r="AY874" s="213"/>
      <c r="AZ874" s="213"/>
      <c r="BA874" s="213"/>
      <c r="BB874" s="213"/>
    </row>
    <row r="875">
      <c r="A875" s="199"/>
      <c r="B875" s="12"/>
      <c r="C875" s="202"/>
      <c r="D875" s="199"/>
      <c r="E875" s="211"/>
      <c r="F875" s="201"/>
      <c r="G875" s="199"/>
      <c r="H875" s="199"/>
      <c r="I875" s="199"/>
      <c r="J875" s="212"/>
      <c r="K875" s="212"/>
      <c r="L875" s="212"/>
      <c r="M875" s="212"/>
      <c r="N875" s="212"/>
      <c r="O875" s="212"/>
      <c r="P875" s="212"/>
      <c r="Q875" s="212"/>
      <c r="R875" s="212"/>
      <c r="S875" s="212"/>
      <c r="T875" s="212"/>
      <c r="U875" s="212"/>
      <c r="V875" s="212"/>
      <c r="W875" s="212"/>
      <c r="X875" s="212"/>
      <c r="Y875" s="212"/>
      <c r="Z875" s="204"/>
      <c r="AA875" s="204"/>
      <c r="AB875" s="204"/>
      <c r="AC875" s="204"/>
      <c r="AD875" s="204"/>
      <c r="AE875" s="212"/>
      <c r="AF875" s="213"/>
      <c r="AG875" s="213"/>
      <c r="AH875" s="213"/>
      <c r="AI875" s="213"/>
      <c r="AJ875" s="213"/>
      <c r="AK875" s="213"/>
      <c r="AL875" s="213"/>
      <c r="AM875" s="213"/>
      <c r="AN875" s="213"/>
      <c r="AO875" s="213"/>
      <c r="AP875" s="213"/>
      <c r="AQ875" s="213"/>
      <c r="AR875" s="213"/>
      <c r="AS875" s="213"/>
      <c r="AT875" s="213"/>
      <c r="AU875" s="213"/>
      <c r="AV875" s="213"/>
      <c r="AW875" s="213"/>
      <c r="AX875" s="213"/>
      <c r="AY875" s="213"/>
      <c r="AZ875" s="213"/>
      <c r="BA875" s="213"/>
      <c r="BB875" s="213"/>
    </row>
    <row r="876">
      <c r="A876" s="199"/>
      <c r="B876" s="12"/>
      <c r="C876" s="202"/>
      <c r="D876" s="199"/>
      <c r="E876" s="211"/>
      <c r="F876" s="201"/>
      <c r="G876" s="199"/>
      <c r="H876" s="199"/>
      <c r="I876" s="199"/>
      <c r="J876" s="212"/>
      <c r="K876" s="212"/>
      <c r="L876" s="212"/>
      <c r="M876" s="212"/>
      <c r="N876" s="212"/>
      <c r="O876" s="212"/>
      <c r="P876" s="212"/>
      <c r="Q876" s="212"/>
      <c r="R876" s="212"/>
      <c r="S876" s="212"/>
      <c r="T876" s="212"/>
      <c r="U876" s="212"/>
      <c r="V876" s="212"/>
      <c r="W876" s="212"/>
      <c r="X876" s="212"/>
      <c r="Y876" s="212"/>
      <c r="Z876" s="204"/>
      <c r="AA876" s="204"/>
      <c r="AB876" s="204"/>
      <c r="AC876" s="204"/>
      <c r="AD876" s="204"/>
      <c r="AE876" s="212"/>
      <c r="AF876" s="213"/>
      <c r="AG876" s="213"/>
      <c r="AH876" s="213"/>
      <c r="AI876" s="213"/>
      <c r="AJ876" s="213"/>
      <c r="AK876" s="213"/>
      <c r="AL876" s="213"/>
      <c r="AM876" s="213"/>
      <c r="AN876" s="213"/>
      <c r="AO876" s="213"/>
      <c r="AP876" s="213"/>
      <c r="AQ876" s="213"/>
      <c r="AR876" s="213"/>
      <c r="AS876" s="213"/>
      <c r="AT876" s="213"/>
      <c r="AU876" s="213"/>
      <c r="AV876" s="213"/>
      <c r="AW876" s="213"/>
      <c r="AX876" s="213"/>
      <c r="AY876" s="213"/>
      <c r="AZ876" s="213"/>
      <c r="BA876" s="213"/>
      <c r="BB876" s="213"/>
    </row>
    <row r="877">
      <c r="A877" s="199"/>
      <c r="B877" s="12"/>
      <c r="C877" s="202"/>
      <c r="D877" s="199"/>
      <c r="E877" s="211"/>
      <c r="F877" s="201"/>
      <c r="G877" s="199"/>
      <c r="H877" s="199"/>
      <c r="I877" s="199"/>
      <c r="J877" s="212"/>
      <c r="K877" s="212"/>
      <c r="L877" s="212"/>
      <c r="M877" s="212"/>
      <c r="N877" s="212"/>
      <c r="O877" s="212"/>
      <c r="P877" s="212"/>
      <c r="Q877" s="212"/>
      <c r="R877" s="212"/>
      <c r="S877" s="212"/>
      <c r="T877" s="212"/>
      <c r="U877" s="212"/>
      <c r="V877" s="212"/>
      <c r="W877" s="212"/>
      <c r="X877" s="212"/>
      <c r="Y877" s="212"/>
      <c r="Z877" s="204"/>
      <c r="AA877" s="204"/>
      <c r="AB877" s="204"/>
      <c r="AC877" s="204"/>
      <c r="AD877" s="204"/>
      <c r="AE877" s="212"/>
      <c r="AF877" s="213"/>
      <c r="AG877" s="213"/>
      <c r="AH877" s="213"/>
      <c r="AI877" s="213"/>
      <c r="AJ877" s="213"/>
      <c r="AK877" s="213"/>
      <c r="AL877" s="213"/>
      <c r="AM877" s="213"/>
      <c r="AN877" s="213"/>
      <c r="AO877" s="213"/>
      <c r="AP877" s="213"/>
      <c r="AQ877" s="213"/>
      <c r="AR877" s="213"/>
      <c r="AS877" s="213"/>
      <c r="AT877" s="213"/>
      <c r="AU877" s="213"/>
      <c r="AV877" s="213"/>
      <c r="AW877" s="213"/>
      <c r="AX877" s="213"/>
      <c r="AY877" s="213"/>
      <c r="AZ877" s="213"/>
      <c r="BA877" s="213"/>
      <c r="BB877" s="213"/>
    </row>
    <row r="878">
      <c r="A878" s="199"/>
      <c r="B878" s="12"/>
      <c r="C878" s="202"/>
      <c r="D878" s="199"/>
      <c r="E878" s="211"/>
      <c r="F878" s="201"/>
      <c r="G878" s="199"/>
      <c r="H878" s="199"/>
      <c r="I878" s="199"/>
      <c r="J878" s="212"/>
      <c r="K878" s="212"/>
      <c r="L878" s="212"/>
      <c r="M878" s="212"/>
      <c r="N878" s="212"/>
      <c r="O878" s="212"/>
      <c r="P878" s="212"/>
      <c r="Q878" s="212"/>
      <c r="R878" s="212"/>
      <c r="S878" s="212"/>
      <c r="T878" s="212"/>
      <c r="U878" s="212"/>
      <c r="V878" s="212"/>
      <c r="W878" s="212"/>
      <c r="X878" s="212"/>
      <c r="Y878" s="212"/>
      <c r="Z878" s="204"/>
      <c r="AA878" s="204"/>
      <c r="AB878" s="204"/>
      <c r="AC878" s="204"/>
      <c r="AD878" s="204"/>
      <c r="AE878" s="212"/>
      <c r="AF878" s="213"/>
      <c r="AG878" s="213"/>
      <c r="AH878" s="213"/>
      <c r="AI878" s="213"/>
      <c r="AJ878" s="213"/>
      <c r="AK878" s="213"/>
      <c r="AL878" s="213"/>
      <c r="AM878" s="213"/>
      <c r="AN878" s="213"/>
      <c r="AO878" s="213"/>
      <c r="AP878" s="213"/>
      <c r="AQ878" s="213"/>
      <c r="AR878" s="213"/>
      <c r="AS878" s="213"/>
      <c r="AT878" s="213"/>
      <c r="AU878" s="213"/>
      <c r="AV878" s="213"/>
      <c r="AW878" s="213"/>
      <c r="AX878" s="213"/>
      <c r="AY878" s="213"/>
      <c r="AZ878" s="213"/>
      <c r="BA878" s="213"/>
      <c r="BB878" s="213"/>
    </row>
    <row r="879">
      <c r="A879" s="199"/>
      <c r="B879" s="12"/>
      <c r="C879" s="202"/>
      <c r="D879" s="199"/>
      <c r="E879" s="211"/>
      <c r="F879" s="201"/>
      <c r="G879" s="199"/>
      <c r="H879" s="199"/>
      <c r="I879" s="199"/>
      <c r="J879" s="212"/>
      <c r="K879" s="212"/>
      <c r="L879" s="212"/>
      <c r="M879" s="212"/>
      <c r="N879" s="212"/>
      <c r="O879" s="212"/>
      <c r="P879" s="212"/>
      <c r="Q879" s="212"/>
      <c r="R879" s="212"/>
      <c r="S879" s="212"/>
      <c r="T879" s="212"/>
      <c r="U879" s="212"/>
      <c r="V879" s="212"/>
      <c r="W879" s="212"/>
      <c r="X879" s="212"/>
      <c r="Y879" s="212"/>
      <c r="Z879" s="204"/>
      <c r="AA879" s="204"/>
      <c r="AB879" s="204"/>
      <c r="AC879" s="204"/>
      <c r="AD879" s="204"/>
      <c r="AE879" s="212"/>
      <c r="AF879" s="213"/>
      <c r="AG879" s="213"/>
      <c r="AH879" s="213"/>
      <c r="AI879" s="213"/>
      <c r="AJ879" s="213"/>
      <c r="AK879" s="213"/>
      <c r="AL879" s="213"/>
      <c r="AM879" s="213"/>
      <c r="AN879" s="213"/>
      <c r="AO879" s="213"/>
      <c r="AP879" s="213"/>
      <c r="AQ879" s="213"/>
      <c r="AR879" s="213"/>
      <c r="AS879" s="213"/>
      <c r="AT879" s="213"/>
      <c r="AU879" s="213"/>
      <c r="AV879" s="213"/>
      <c r="AW879" s="213"/>
      <c r="AX879" s="213"/>
      <c r="AY879" s="213"/>
      <c r="AZ879" s="213"/>
      <c r="BA879" s="213"/>
      <c r="BB879" s="213"/>
    </row>
    <row r="880">
      <c r="A880" s="199"/>
      <c r="B880" s="12"/>
      <c r="C880" s="202"/>
      <c r="D880" s="199"/>
      <c r="E880" s="211"/>
      <c r="F880" s="201"/>
      <c r="G880" s="199"/>
      <c r="H880" s="199"/>
      <c r="I880" s="199"/>
      <c r="J880" s="212"/>
      <c r="K880" s="212"/>
      <c r="L880" s="212"/>
      <c r="M880" s="212"/>
      <c r="N880" s="212"/>
      <c r="O880" s="212"/>
      <c r="P880" s="212"/>
      <c r="Q880" s="212"/>
      <c r="R880" s="212"/>
      <c r="S880" s="212"/>
      <c r="T880" s="212"/>
      <c r="U880" s="212"/>
      <c r="V880" s="212"/>
      <c r="W880" s="212"/>
      <c r="X880" s="212"/>
      <c r="Y880" s="212"/>
      <c r="Z880" s="204"/>
      <c r="AA880" s="204"/>
      <c r="AB880" s="204"/>
      <c r="AC880" s="204"/>
      <c r="AD880" s="204"/>
      <c r="AE880" s="212"/>
      <c r="AF880" s="213"/>
      <c r="AG880" s="213"/>
      <c r="AH880" s="213"/>
      <c r="AI880" s="213"/>
      <c r="AJ880" s="213"/>
      <c r="AK880" s="213"/>
      <c r="AL880" s="213"/>
      <c r="AM880" s="213"/>
      <c r="AN880" s="213"/>
      <c r="AO880" s="213"/>
      <c r="AP880" s="213"/>
      <c r="AQ880" s="213"/>
      <c r="AR880" s="213"/>
      <c r="AS880" s="213"/>
      <c r="AT880" s="213"/>
      <c r="AU880" s="213"/>
      <c r="AV880" s="213"/>
      <c r="AW880" s="213"/>
      <c r="AX880" s="213"/>
      <c r="AY880" s="213"/>
      <c r="AZ880" s="213"/>
      <c r="BA880" s="213"/>
      <c r="BB880" s="213"/>
    </row>
    <row r="881">
      <c r="A881" s="199"/>
      <c r="B881" s="12"/>
      <c r="C881" s="202"/>
      <c r="D881" s="199"/>
      <c r="E881" s="211"/>
      <c r="F881" s="201"/>
      <c r="G881" s="199"/>
      <c r="H881" s="199"/>
      <c r="I881" s="199"/>
      <c r="J881" s="212"/>
      <c r="K881" s="212"/>
      <c r="L881" s="212"/>
      <c r="M881" s="212"/>
      <c r="N881" s="212"/>
      <c r="O881" s="212"/>
      <c r="P881" s="212"/>
      <c r="Q881" s="212"/>
      <c r="R881" s="212"/>
      <c r="S881" s="212"/>
      <c r="T881" s="212"/>
      <c r="U881" s="212"/>
      <c r="V881" s="212"/>
      <c r="W881" s="212"/>
      <c r="X881" s="212"/>
      <c r="Y881" s="212"/>
      <c r="Z881" s="204"/>
      <c r="AA881" s="204"/>
      <c r="AB881" s="204"/>
      <c r="AC881" s="204"/>
      <c r="AD881" s="204"/>
      <c r="AE881" s="212"/>
      <c r="AF881" s="213"/>
      <c r="AG881" s="213"/>
      <c r="AH881" s="213"/>
      <c r="AI881" s="213"/>
      <c r="AJ881" s="213"/>
      <c r="AK881" s="213"/>
      <c r="AL881" s="213"/>
      <c r="AM881" s="213"/>
      <c r="AN881" s="213"/>
      <c r="AO881" s="213"/>
      <c r="AP881" s="213"/>
      <c r="AQ881" s="213"/>
      <c r="AR881" s="213"/>
      <c r="AS881" s="213"/>
      <c r="AT881" s="213"/>
      <c r="AU881" s="213"/>
      <c r="AV881" s="213"/>
      <c r="AW881" s="213"/>
      <c r="AX881" s="213"/>
      <c r="AY881" s="213"/>
      <c r="AZ881" s="213"/>
      <c r="BA881" s="213"/>
      <c r="BB881" s="213"/>
    </row>
    <row r="882">
      <c r="A882" s="199"/>
      <c r="B882" s="12"/>
      <c r="C882" s="202"/>
      <c r="D882" s="199"/>
      <c r="E882" s="211"/>
      <c r="F882" s="201"/>
      <c r="G882" s="199"/>
      <c r="H882" s="199"/>
      <c r="I882" s="199"/>
      <c r="J882" s="212"/>
      <c r="K882" s="212"/>
      <c r="L882" s="212"/>
      <c r="M882" s="212"/>
      <c r="N882" s="212"/>
      <c r="O882" s="212"/>
      <c r="P882" s="212"/>
      <c r="Q882" s="212"/>
      <c r="R882" s="212"/>
      <c r="S882" s="212"/>
      <c r="T882" s="212"/>
      <c r="U882" s="212"/>
      <c r="V882" s="212"/>
      <c r="W882" s="212"/>
      <c r="X882" s="212"/>
      <c r="Y882" s="212"/>
      <c r="Z882" s="204"/>
      <c r="AA882" s="204"/>
      <c r="AB882" s="204"/>
      <c r="AC882" s="204"/>
      <c r="AD882" s="204"/>
      <c r="AE882" s="212"/>
      <c r="AF882" s="213"/>
      <c r="AG882" s="213"/>
      <c r="AH882" s="213"/>
      <c r="AI882" s="213"/>
      <c r="AJ882" s="213"/>
      <c r="AK882" s="213"/>
      <c r="AL882" s="213"/>
      <c r="AM882" s="213"/>
      <c r="AN882" s="213"/>
      <c r="AO882" s="213"/>
      <c r="AP882" s="213"/>
      <c r="AQ882" s="213"/>
      <c r="AR882" s="213"/>
      <c r="AS882" s="213"/>
      <c r="AT882" s="213"/>
      <c r="AU882" s="213"/>
      <c r="AV882" s="213"/>
      <c r="AW882" s="213"/>
      <c r="AX882" s="213"/>
      <c r="AY882" s="213"/>
      <c r="AZ882" s="213"/>
      <c r="BA882" s="213"/>
      <c r="BB882" s="213"/>
    </row>
    <row r="883">
      <c r="A883" s="199"/>
      <c r="B883" s="12"/>
      <c r="C883" s="202"/>
      <c r="D883" s="199"/>
      <c r="E883" s="211"/>
      <c r="F883" s="201"/>
      <c r="G883" s="199"/>
      <c r="H883" s="199"/>
      <c r="I883" s="199"/>
      <c r="J883" s="212"/>
      <c r="K883" s="212"/>
      <c r="L883" s="212"/>
      <c r="M883" s="212"/>
      <c r="N883" s="212"/>
      <c r="O883" s="212"/>
      <c r="P883" s="212"/>
      <c r="Q883" s="212"/>
      <c r="R883" s="212"/>
      <c r="S883" s="212"/>
      <c r="T883" s="212"/>
      <c r="U883" s="212"/>
      <c r="V883" s="212"/>
      <c r="W883" s="212"/>
      <c r="X883" s="212"/>
      <c r="Y883" s="212"/>
      <c r="Z883" s="204"/>
      <c r="AA883" s="204"/>
      <c r="AB883" s="204"/>
      <c r="AC883" s="204"/>
      <c r="AD883" s="204"/>
      <c r="AE883" s="212"/>
      <c r="AF883" s="213"/>
      <c r="AG883" s="213"/>
      <c r="AH883" s="213"/>
      <c r="AI883" s="213"/>
      <c r="AJ883" s="213"/>
      <c r="AK883" s="213"/>
      <c r="AL883" s="213"/>
      <c r="AM883" s="213"/>
      <c r="AN883" s="213"/>
      <c r="AO883" s="213"/>
      <c r="AP883" s="213"/>
      <c r="AQ883" s="213"/>
      <c r="AR883" s="213"/>
      <c r="AS883" s="213"/>
      <c r="AT883" s="213"/>
      <c r="AU883" s="213"/>
      <c r="AV883" s="213"/>
      <c r="AW883" s="213"/>
      <c r="AX883" s="213"/>
      <c r="AY883" s="213"/>
      <c r="AZ883" s="213"/>
      <c r="BA883" s="213"/>
      <c r="BB883" s="213"/>
    </row>
    <row r="884">
      <c r="A884" s="199"/>
      <c r="B884" s="12"/>
      <c r="C884" s="202"/>
      <c r="D884" s="199"/>
      <c r="E884" s="211"/>
      <c r="F884" s="201"/>
      <c r="G884" s="199"/>
      <c r="H884" s="199"/>
      <c r="I884" s="199"/>
      <c r="J884" s="212"/>
      <c r="K884" s="212"/>
      <c r="L884" s="212"/>
      <c r="M884" s="212"/>
      <c r="N884" s="212"/>
      <c r="O884" s="212"/>
      <c r="P884" s="212"/>
      <c r="Q884" s="212"/>
      <c r="R884" s="212"/>
      <c r="S884" s="212"/>
      <c r="T884" s="212"/>
      <c r="U884" s="212"/>
      <c r="V884" s="212"/>
      <c r="W884" s="212"/>
      <c r="X884" s="212"/>
      <c r="Y884" s="212"/>
      <c r="Z884" s="204"/>
      <c r="AA884" s="204"/>
      <c r="AB884" s="204"/>
      <c r="AC884" s="204"/>
      <c r="AD884" s="204"/>
      <c r="AE884" s="212"/>
      <c r="AF884" s="213"/>
      <c r="AG884" s="213"/>
      <c r="AH884" s="213"/>
      <c r="AI884" s="213"/>
      <c r="AJ884" s="213"/>
      <c r="AK884" s="213"/>
      <c r="AL884" s="213"/>
      <c r="AM884" s="213"/>
      <c r="AN884" s="213"/>
      <c r="AO884" s="213"/>
      <c r="AP884" s="213"/>
      <c r="AQ884" s="213"/>
      <c r="AR884" s="213"/>
      <c r="AS884" s="213"/>
      <c r="AT884" s="213"/>
      <c r="AU884" s="213"/>
      <c r="AV884" s="213"/>
      <c r="AW884" s="213"/>
      <c r="AX884" s="213"/>
      <c r="AY884" s="213"/>
      <c r="AZ884" s="213"/>
      <c r="BA884" s="213"/>
      <c r="BB884" s="213"/>
    </row>
    <row r="885">
      <c r="A885" s="199"/>
      <c r="B885" s="12"/>
      <c r="C885" s="202"/>
      <c r="D885" s="199"/>
      <c r="E885" s="211"/>
      <c r="F885" s="201"/>
      <c r="G885" s="199"/>
      <c r="H885" s="199"/>
      <c r="I885" s="199"/>
      <c r="J885" s="212"/>
      <c r="K885" s="212"/>
      <c r="L885" s="212"/>
      <c r="M885" s="212"/>
      <c r="N885" s="212"/>
      <c r="O885" s="212"/>
      <c r="P885" s="212"/>
      <c r="Q885" s="212"/>
      <c r="R885" s="212"/>
      <c r="S885" s="212"/>
      <c r="T885" s="212"/>
      <c r="U885" s="212"/>
      <c r="V885" s="212"/>
      <c r="W885" s="212"/>
      <c r="X885" s="212"/>
      <c r="Y885" s="212"/>
      <c r="Z885" s="204"/>
      <c r="AA885" s="204"/>
      <c r="AB885" s="204"/>
      <c r="AC885" s="204"/>
      <c r="AD885" s="204"/>
      <c r="AE885" s="212"/>
      <c r="AF885" s="213"/>
      <c r="AG885" s="213"/>
      <c r="AH885" s="213"/>
      <c r="AI885" s="213"/>
      <c r="AJ885" s="213"/>
      <c r="AK885" s="213"/>
      <c r="AL885" s="213"/>
      <c r="AM885" s="213"/>
      <c r="AN885" s="213"/>
      <c r="AO885" s="213"/>
      <c r="AP885" s="213"/>
      <c r="AQ885" s="213"/>
      <c r="AR885" s="213"/>
      <c r="AS885" s="213"/>
      <c r="AT885" s="213"/>
      <c r="AU885" s="213"/>
      <c r="AV885" s="213"/>
      <c r="AW885" s="213"/>
      <c r="AX885" s="213"/>
      <c r="AY885" s="213"/>
      <c r="AZ885" s="213"/>
      <c r="BA885" s="213"/>
      <c r="BB885" s="213"/>
    </row>
    <row r="886">
      <c r="A886" s="199"/>
      <c r="B886" s="12"/>
      <c r="C886" s="202"/>
      <c r="D886" s="199"/>
      <c r="E886" s="211"/>
      <c r="F886" s="201"/>
      <c r="G886" s="199"/>
      <c r="H886" s="199"/>
      <c r="I886" s="199"/>
      <c r="J886" s="212"/>
      <c r="K886" s="212"/>
      <c r="L886" s="212"/>
      <c r="M886" s="212"/>
      <c r="N886" s="212"/>
      <c r="O886" s="212"/>
      <c r="P886" s="212"/>
      <c r="Q886" s="212"/>
      <c r="R886" s="212"/>
      <c r="S886" s="212"/>
      <c r="T886" s="212"/>
      <c r="U886" s="212"/>
      <c r="V886" s="212"/>
      <c r="W886" s="212"/>
      <c r="X886" s="212"/>
      <c r="Y886" s="212"/>
      <c r="Z886" s="204"/>
      <c r="AA886" s="204"/>
      <c r="AB886" s="204"/>
      <c r="AC886" s="204"/>
      <c r="AD886" s="204"/>
      <c r="AE886" s="212"/>
      <c r="AF886" s="213"/>
      <c r="AG886" s="213"/>
      <c r="AH886" s="213"/>
      <c r="AI886" s="213"/>
      <c r="AJ886" s="213"/>
      <c r="AK886" s="213"/>
      <c r="AL886" s="213"/>
      <c r="AM886" s="213"/>
      <c r="AN886" s="213"/>
      <c r="AO886" s="213"/>
      <c r="AP886" s="213"/>
      <c r="AQ886" s="213"/>
      <c r="AR886" s="213"/>
      <c r="AS886" s="213"/>
      <c r="AT886" s="213"/>
      <c r="AU886" s="213"/>
      <c r="AV886" s="213"/>
      <c r="AW886" s="213"/>
      <c r="AX886" s="213"/>
      <c r="AY886" s="213"/>
      <c r="AZ886" s="213"/>
      <c r="BA886" s="213"/>
      <c r="BB886" s="213"/>
    </row>
    <row r="887">
      <c r="A887" s="199"/>
      <c r="B887" s="12"/>
      <c r="C887" s="202"/>
      <c r="D887" s="199"/>
      <c r="E887" s="211"/>
      <c r="F887" s="201"/>
      <c r="G887" s="199"/>
      <c r="H887" s="199"/>
      <c r="I887" s="199"/>
      <c r="J887" s="212"/>
      <c r="K887" s="212"/>
      <c r="L887" s="212"/>
      <c r="M887" s="212"/>
      <c r="N887" s="212"/>
      <c r="O887" s="212"/>
      <c r="P887" s="212"/>
      <c r="Q887" s="212"/>
      <c r="R887" s="212"/>
      <c r="S887" s="212"/>
      <c r="T887" s="212"/>
      <c r="U887" s="212"/>
      <c r="V887" s="212"/>
      <c r="W887" s="212"/>
      <c r="X887" s="212"/>
      <c r="Y887" s="212"/>
      <c r="Z887" s="204"/>
      <c r="AA887" s="204"/>
      <c r="AB887" s="204"/>
      <c r="AC887" s="204"/>
      <c r="AD887" s="204"/>
      <c r="AE887" s="212"/>
      <c r="AF887" s="213"/>
      <c r="AG887" s="213"/>
      <c r="AH887" s="213"/>
      <c r="AI887" s="213"/>
      <c r="AJ887" s="213"/>
      <c r="AK887" s="213"/>
      <c r="AL887" s="213"/>
      <c r="AM887" s="213"/>
      <c r="AN887" s="213"/>
      <c r="AO887" s="213"/>
      <c r="AP887" s="213"/>
      <c r="AQ887" s="213"/>
      <c r="AR887" s="213"/>
      <c r="AS887" s="213"/>
      <c r="AT887" s="213"/>
      <c r="AU887" s="213"/>
      <c r="AV887" s="213"/>
      <c r="AW887" s="213"/>
      <c r="AX887" s="213"/>
      <c r="AY887" s="213"/>
      <c r="AZ887" s="213"/>
      <c r="BA887" s="213"/>
      <c r="BB887" s="213"/>
    </row>
    <row r="888">
      <c r="A888" s="199"/>
      <c r="B888" s="12"/>
      <c r="C888" s="202"/>
      <c r="D888" s="199"/>
      <c r="E888" s="211"/>
      <c r="F888" s="201"/>
      <c r="G888" s="199"/>
      <c r="H888" s="199"/>
      <c r="I888" s="199"/>
      <c r="J888" s="212"/>
      <c r="K888" s="212"/>
      <c r="L888" s="212"/>
      <c r="M888" s="212"/>
      <c r="N888" s="212"/>
      <c r="O888" s="212"/>
      <c r="P888" s="212"/>
      <c r="Q888" s="212"/>
      <c r="R888" s="212"/>
      <c r="S888" s="212"/>
      <c r="T888" s="212"/>
      <c r="U888" s="212"/>
      <c r="V888" s="212"/>
      <c r="W888" s="212"/>
      <c r="X888" s="212"/>
      <c r="Y888" s="212"/>
      <c r="Z888" s="204"/>
      <c r="AA888" s="204"/>
      <c r="AB888" s="204"/>
      <c r="AC888" s="204"/>
      <c r="AD888" s="204"/>
      <c r="AE888" s="212"/>
      <c r="AF888" s="213"/>
      <c r="AG888" s="213"/>
      <c r="AH888" s="213"/>
      <c r="AI888" s="213"/>
      <c r="AJ888" s="213"/>
      <c r="AK888" s="213"/>
      <c r="AL888" s="213"/>
      <c r="AM888" s="213"/>
      <c r="AN888" s="213"/>
      <c r="AO888" s="213"/>
      <c r="AP888" s="213"/>
      <c r="AQ888" s="213"/>
      <c r="AR888" s="213"/>
      <c r="AS888" s="213"/>
      <c r="AT888" s="213"/>
      <c r="AU888" s="213"/>
      <c r="AV888" s="213"/>
      <c r="AW888" s="213"/>
      <c r="AX888" s="213"/>
      <c r="AY888" s="213"/>
      <c r="AZ888" s="213"/>
      <c r="BA888" s="213"/>
      <c r="BB888" s="213"/>
    </row>
    <row r="889">
      <c r="A889" s="199"/>
      <c r="B889" s="12"/>
      <c r="C889" s="202"/>
      <c r="D889" s="199"/>
      <c r="E889" s="211"/>
      <c r="F889" s="201"/>
      <c r="G889" s="199"/>
      <c r="H889" s="199"/>
      <c r="I889" s="199"/>
      <c r="J889" s="212"/>
      <c r="K889" s="212"/>
      <c r="L889" s="212"/>
      <c r="M889" s="212"/>
      <c r="N889" s="212"/>
      <c r="O889" s="212"/>
      <c r="P889" s="212"/>
      <c r="Q889" s="212"/>
      <c r="R889" s="212"/>
      <c r="S889" s="212"/>
      <c r="T889" s="212"/>
      <c r="U889" s="212"/>
      <c r="V889" s="212"/>
      <c r="W889" s="212"/>
      <c r="X889" s="212"/>
      <c r="Y889" s="212"/>
      <c r="Z889" s="204"/>
      <c r="AA889" s="204"/>
      <c r="AB889" s="204"/>
      <c r="AC889" s="204"/>
      <c r="AD889" s="204"/>
      <c r="AE889" s="212"/>
      <c r="AF889" s="213"/>
      <c r="AG889" s="213"/>
      <c r="AH889" s="213"/>
      <c r="AI889" s="213"/>
      <c r="AJ889" s="213"/>
      <c r="AK889" s="213"/>
      <c r="AL889" s="213"/>
      <c r="AM889" s="213"/>
      <c r="AN889" s="213"/>
      <c r="AO889" s="213"/>
      <c r="AP889" s="213"/>
      <c r="AQ889" s="213"/>
      <c r="AR889" s="213"/>
      <c r="AS889" s="213"/>
      <c r="AT889" s="213"/>
      <c r="AU889" s="213"/>
      <c r="AV889" s="213"/>
      <c r="AW889" s="213"/>
      <c r="AX889" s="213"/>
      <c r="AY889" s="213"/>
      <c r="AZ889" s="213"/>
      <c r="BA889" s="213"/>
      <c r="BB889" s="213"/>
    </row>
    <row r="890">
      <c r="A890" s="199"/>
      <c r="B890" s="12"/>
      <c r="C890" s="202"/>
      <c r="D890" s="199"/>
      <c r="E890" s="211"/>
      <c r="F890" s="201"/>
      <c r="G890" s="199"/>
      <c r="H890" s="199"/>
      <c r="I890" s="199"/>
      <c r="J890" s="212"/>
      <c r="K890" s="212"/>
      <c r="L890" s="212"/>
      <c r="M890" s="212"/>
      <c r="N890" s="212"/>
      <c r="O890" s="212"/>
      <c r="P890" s="212"/>
      <c r="Q890" s="212"/>
      <c r="R890" s="212"/>
      <c r="S890" s="212"/>
      <c r="T890" s="212"/>
      <c r="U890" s="212"/>
      <c r="V890" s="212"/>
      <c r="W890" s="212"/>
      <c r="X890" s="212"/>
      <c r="Y890" s="212"/>
      <c r="Z890" s="204"/>
      <c r="AA890" s="204"/>
      <c r="AB890" s="204"/>
      <c r="AC890" s="204"/>
      <c r="AD890" s="204"/>
      <c r="AE890" s="212"/>
      <c r="AF890" s="213"/>
      <c r="AG890" s="213"/>
      <c r="AH890" s="213"/>
      <c r="AI890" s="213"/>
      <c r="AJ890" s="213"/>
      <c r="AK890" s="213"/>
      <c r="AL890" s="213"/>
      <c r="AM890" s="213"/>
      <c r="AN890" s="213"/>
      <c r="AO890" s="213"/>
      <c r="AP890" s="213"/>
      <c r="AQ890" s="213"/>
      <c r="AR890" s="213"/>
      <c r="AS890" s="213"/>
      <c r="AT890" s="213"/>
      <c r="AU890" s="213"/>
      <c r="AV890" s="213"/>
      <c r="AW890" s="213"/>
      <c r="AX890" s="213"/>
      <c r="AY890" s="213"/>
      <c r="AZ890" s="213"/>
      <c r="BA890" s="213"/>
      <c r="BB890" s="213"/>
    </row>
    <row r="891">
      <c r="A891" s="199"/>
      <c r="B891" s="12"/>
      <c r="C891" s="202"/>
      <c r="D891" s="199"/>
      <c r="E891" s="211"/>
      <c r="F891" s="201"/>
      <c r="G891" s="199"/>
      <c r="H891" s="199"/>
      <c r="I891" s="199"/>
      <c r="J891" s="212"/>
      <c r="K891" s="212"/>
      <c r="L891" s="212"/>
      <c r="M891" s="212"/>
      <c r="N891" s="212"/>
      <c r="O891" s="212"/>
      <c r="P891" s="212"/>
      <c r="Q891" s="212"/>
      <c r="R891" s="212"/>
      <c r="S891" s="212"/>
      <c r="T891" s="212"/>
      <c r="U891" s="212"/>
      <c r="V891" s="212"/>
      <c r="W891" s="212"/>
      <c r="X891" s="212"/>
      <c r="Y891" s="212"/>
      <c r="Z891" s="204"/>
      <c r="AA891" s="204"/>
      <c r="AB891" s="204"/>
      <c r="AC891" s="204"/>
      <c r="AD891" s="204"/>
      <c r="AE891" s="212"/>
      <c r="AF891" s="213"/>
      <c r="AG891" s="213"/>
      <c r="AH891" s="213"/>
      <c r="AI891" s="213"/>
      <c r="AJ891" s="213"/>
      <c r="AK891" s="213"/>
      <c r="AL891" s="213"/>
      <c r="AM891" s="213"/>
      <c r="AN891" s="213"/>
      <c r="AO891" s="213"/>
      <c r="AP891" s="213"/>
      <c r="AQ891" s="213"/>
      <c r="AR891" s="213"/>
      <c r="AS891" s="213"/>
      <c r="AT891" s="213"/>
      <c r="AU891" s="213"/>
      <c r="AV891" s="213"/>
      <c r="AW891" s="213"/>
      <c r="AX891" s="213"/>
      <c r="AY891" s="213"/>
      <c r="AZ891" s="213"/>
      <c r="BA891" s="213"/>
      <c r="BB891" s="213"/>
    </row>
    <row r="892">
      <c r="A892" s="199"/>
      <c r="B892" s="12"/>
      <c r="C892" s="202"/>
      <c r="D892" s="199"/>
      <c r="E892" s="211"/>
      <c r="F892" s="201"/>
      <c r="G892" s="199"/>
      <c r="H892" s="199"/>
      <c r="I892" s="199"/>
      <c r="J892" s="212"/>
      <c r="K892" s="212"/>
      <c r="L892" s="212"/>
      <c r="M892" s="212"/>
      <c r="N892" s="212"/>
      <c r="O892" s="212"/>
      <c r="P892" s="212"/>
      <c r="Q892" s="212"/>
      <c r="R892" s="212"/>
      <c r="S892" s="212"/>
      <c r="T892" s="212"/>
      <c r="U892" s="212"/>
      <c r="V892" s="212"/>
      <c r="W892" s="212"/>
      <c r="X892" s="212"/>
      <c r="Y892" s="212"/>
      <c r="Z892" s="204"/>
      <c r="AA892" s="204"/>
      <c r="AB892" s="204"/>
      <c r="AC892" s="204"/>
      <c r="AD892" s="204"/>
      <c r="AE892" s="212"/>
      <c r="AF892" s="213"/>
      <c r="AG892" s="213"/>
      <c r="AH892" s="213"/>
      <c r="AI892" s="213"/>
      <c r="AJ892" s="213"/>
      <c r="AK892" s="213"/>
      <c r="AL892" s="213"/>
      <c r="AM892" s="213"/>
      <c r="AN892" s="213"/>
      <c r="AO892" s="213"/>
      <c r="AP892" s="213"/>
      <c r="AQ892" s="213"/>
      <c r="AR892" s="213"/>
      <c r="AS892" s="213"/>
      <c r="AT892" s="213"/>
      <c r="AU892" s="213"/>
      <c r="AV892" s="213"/>
      <c r="AW892" s="213"/>
      <c r="AX892" s="213"/>
      <c r="AY892" s="213"/>
      <c r="AZ892" s="213"/>
      <c r="BA892" s="213"/>
      <c r="BB892" s="213"/>
    </row>
    <row r="893">
      <c r="A893" s="199"/>
      <c r="B893" s="12"/>
      <c r="C893" s="202"/>
      <c r="D893" s="199"/>
      <c r="E893" s="211"/>
      <c r="F893" s="201"/>
      <c r="G893" s="199"/>
      <c r="H893" s="199"/>
      <c r="I893" s="199"/>
      <c r="J893" s="212"/>
      <c r="K893" s="212"/>
      <c r="L893" s="212"/>
      <c r="M893" s="212"/>
      <c r="N893" s="212"/>
      <c r="O893" s="212"/>
      <c r="P893" s="212"/>
      <c r="Q893" s="212"/>
      <c r="R893" s="212"/>
      <c r="S893" s="212"/>
      <c r="T893" s="212"/>
      <c r="U893" s="212"/>
      <c r="V893" s="212"/>
      <c r="W893" s="212"/>
      <c r="X893" s="212"/>
      <c r="Y893" s="212"/>
      <c r="Z893" s="204"/>
      <c r="AA893" s="204"/>
      <c r="AB893" s="204"/>
      <c r="AC893" s="204"/>
      <c r="AD893" s="204"/>
      <c r="AE893" s="212"/>
      <c r="AF893" s="213"/>
      <c r="AG893" s="213"/>
      <c r="AH893" s="213"/>
      <c r="AI893" s="213"/>
      <c r="AJ893" s="213"/>
      <c r="AK893" s="213"/>
      <c r="AL893" s="213"/>
      <c r="AM893" s="213"/>
      <c r="AN893" s="213"/>
      <c r="AO893" s="213"/>
      <c r="AP893" s="213"/>
      <c r="AQ893" s="213"/>
      <c r="AR893" s="213"/>
      <c r="AS893" s="213"/>
      <c r="AT893" s="213"/>
      <c r="AU893" s="213"/>
      <c r="AV893" s="213"/>
      <c r="AW893" s="213"/>
      <c r="AX893" s="213"/>
      <c r="AY893" s="213"/>
      <c r="AZ893" s="213"/>
      <c r="BA893" s="213"/>
      <c r="BB893" s="213"/>
    </row>
    <row r="894">
      <c r="A894" s="199"/>
      <c r="B894" s="12"/>
      <c r="C894" s="202"/>
      <c r="D894" s="199"/>
      <c r="E894" s="211"/>
      <c r="F894" s="201"/>
      <c r="G894" s="199"/>
      <c r="H894" s="199"/>
      <c r="I894" s="199"/>
      <c r="J894" s="212"/>
      <c r="K894" s="212"/>
      <c r="L894" s="212"/>
      <c r="M894" s="212"/>
      <c r="N894" s="212"/>
      <c r="O894" s="212"/>
      <c r="P894" s="212"/>
      <c r="Q894" s="212"/>
      <c r="R894" s="212"/>
      <c r="S894" s="212"/>
      <c r="T894" s="212"/>
      <c r="U894" s="212"/>
      <c r="V894" s="212"/>
      <c r="W894" s="212"/>
      <c r="X894" s="212"/>
      <c r="Y894" s="212"/>
      <c r="Z894" s="204"/>
      <c r="AA894" s="204"/>
      <c r="AB894" s="204"/>
      <c r="AC894" s="204"/>
      <c r="AD894" s="204"/>
      <c r="AE894" s="212"/>
      <c r="AF894" s="213"/>
      <c r="AG894" s="213"/>
      <c r="AH894" s="213"/>
      <c r="AI894" s="213"/>
      <c r="AJ894" s="213"/>
      <c r="AK894" s="213"/>
      <c r="AL894" s="213"/>
      <c r="AM894" s="213"/>
      <c r="AN894" s="213"/>
      <c r="AO894" s="213"/>
      <c r="AP894" s="213"/>
      <c r="AQ894" s="213"/>
      <c r="AR894" s="213"/>
      <c r="AS894" s="213"/>
      <c r="AT894" s="213"/>
      <c r="AU894" s="213"/>
      <c r="AV894" s="213"/>
      <c r="AW894" s="213"/>
      <c r="AX894" s="213"/>
      <c r="AY894" s="213"/>
      <c r="AZ894" s="213"/>
      <c r="BA894" s="213"/>
      <c r="BB894" s="213"/>
    </row>
    <row r="895">
      <c r="A895" s="199"/>
      <c r="B895" s="12"/>
      <c r="C895" s="202"/>
      <c r="D895" s="199"/>
      <c r="E895" s="211"/>
      <c r="F895" s="201"/>
      <c r="G895" s="199"/>
      <c r="H895" s="199"/>
      <c r="I895" s="199"/>
      <c r="J895" s="212"/>
      <c r="K895" s="212"/>
      <c r="L895" s="212"/>
      <c r="M895" s="212"/>
      <c r="N895" s="212"/>
      <c r="O895" s="212"/>
      <c r="P895" s="212"/>
      <c r="Q895" s="212"/>
      <c r="R895" s="212"/>
      <c r="S895" s="212"/>
      <c r="T895" s="212"/>
      <c r="U895" s="212"/>
      <c r="V895" s="212"/>
      <c r="W895" s="212"/>
      <c r="X895" s="212"/>
      <c r="Y895" s="212"/>
      <c r="Z895" s="204"/>
      <c r="AA895" s="204"/>
      <c r="AB895" s="204"/>
      <c r="AC895" s="204"/>
      <c r="AD895" s="204"/>
      <c r="AE895" s="212"/>
      <c r="AF895" s="213"/>
      <c r="AG895" s="213"/>
      <c r="AH895" s="213"/>
      <c r="AI895" s="213"/>
      <c r="AJ895" s="213"/>
      <c r="AK895" s="213"/>
      <c r="AL895" s="213"/>
      <c r="AM895" s="213"/>
      <c r="AN895" s="213"/>
      <c r="AO895" s="213"/>
      <c r="AP895" s="213"/>
      <c r="AQ895" s="213"/>
      <c r="AR895" s="213"/>
      <c r="AS895" s="213"/>
      <c r="AT895" s="213"/>
      <c r="AU895" s="213"/>
      <c r="AV895" s="213"/>
      <c r="AW895" s="213"/>
      <c r="AX895" s="213"/>
      <c r="AY895" s="213"/>
      <c r="AZ895" s="213"/>
      <c r="BA895" s="213"/>
      <c r="BB895" s="213"/>
    </row>
    <row r="896">
      <c r="A896" s="199"/>
      <c r="B896" s="12"/>
      <c r="C896" s="202"/>
      <c r="D896" s="199"/>
      <c r="E896" s="211"/>
      <c r="F896" s="201"/>
      <c r="G896" s="199"/>
      <c r="H896" s="199"/>
      <c r="I896" s="199"/>
      <c r="J896" s="212"/>
      <c r="K896" s="212"/>
      <c r="L896" s="212"/>
      <c r="M896" s="212"/>
      <c r="N896" s="212"/>
      <c r="O896" s="212"/>
      <c r="P896" s="212"/>
      <c r="Q896" s="212"/>
      <c r="R896" s="212"/>
      <c r="S896" s="212"/>
      <c r="T896" s="212"/>
      <c r="U896" s="212"/>
      <c r="V896" s="212"/>
      <c r="W896" s="212"/>
      <c r="X896" s="212"/>
      <c r="Y896" s="212"/>
      <c r="Z896" s="204"/>
      <c r="AA896" s="204"/>
      <c r="AB896" s="204"/>
      <c r="AC896" s="204"/>
      <c r="AD896" s="204"/>
      <c r="AE896" s="212"/>
      <c r="AF896" s="213"/>
      <c r="AG896" s="213"/>
      <c r="AH896" s="213"/>
      <c r="AI896" s="213"/>
      <c r="AJ896" s="213"/>
      <c r="AK896" s="213"/>
      <c r="AL896" s="213"/>
      <c r="AM896" s="213"/>
      <c r="AN896" s="213"/>
      <c r="AO896" s="213"/>
      <c r="AP896" s="213"/>
      <c r="AQ896" s="213"/>
      <c r="AR896" s="213"/>
      <c r="AS896" s="213"/>
      <c r="AT896" s="213"/>
      <c r="AU896" s="213"/>
      <c r="AV896" s="213"/>
      <c r="AW896" s="213"/>
      <c r="AX896" s="213"/>
      <c r="AY896" s="213"/>
      <c r="AZ896" s="213"/>
      <c r="BA896" s="213"/>
      <c r="BB896" s="213"/>
    </row>
    <row r="897">
      <c r="A897" s="199"/>
      <c r="B897" s="12"/>
      <c r="C897" s="202"/>
      <c r="D897" s="199"/>
      <c r="E897" s="211"/>
      <c r="F897" s="201"/>
      <c r="G897" s="199"/>
      <c r="H897" s="199"/>
      <c r="I897" s="199"/>
      <c r="J897" s="212"/>
      <c r="K897" s="212"/>
      <c r="L897" s="212"/>
      <c r="M897" s="212"/>
      <c r="N897" s="212"/>
      <c r="O897" s="212"/>
      <c r="P897" s="212"/>
      <c r="Q897" s="212"/>
      <c r="R897" s="212"/>
      <c r="S897" s="212"/>
      <c r="T897" s="212"/>
      <c r="U897" s="212"/>
      <c r="V897" s="212"/>
      <c r="W897" s="212"/>
      <c r="X897" s="212"/>
      <c r="Y897" s="212"/>
      <c r="Z897" s="204"/>
      <c r="AA897" s="204"/>
      <c r="AB897" s="204"/>
      <c r="AC897" s="204"/>
      <c r="AD897" s="204"/>
      <c r="AE897" s="212"/>
      <c r="AF897" s="213"/>
      <c r="AG897" s="213"/>
      <c r="AH897" s="213"/>
      <c r="AI897" s="213"/>
      <c r="AJ897" s="213"/>
      <c r="AK897" s="213"/>
      <c r="AL897" s="213"/>
      <c r="AM897" s="213"/>
      <c r="AN897" s="213"/>
      <c r="AO897" s="213"/>
      <c r="AP897" s="213"/>
      <c r="AQ897" s="213"/>
      <c r="AR897" s="213"/>
      <c r="AS897" s="213"/>
      <c r="AT897" s="213"/>
      <c r="AU897" s="213"/>
      <c r="AV897" s="213"/>
      <c r="AW897" s="213"/>
      <c r="AX897" s="213"/>
      <c r="AY897" s="213"/>
      <c r="AZ897" s="213"/>
      <c r="BA897" s="213"/>
      <c r="BB897" s="213"/>
    </row>
    <row r="898">
      <c r="A898" s="199"/>
      <c r="B898" s="12"/>
      <c r="C898" s="202"/>
      <c r="D898" s="199"/>
      <c r="E898" s="211"/>
      <c r="F898" s="201"/>
      <c r="G898" s="199"/>
      <c r="H898" s="199"/>
      <c r="I898" s="199"/>
      <c r="J898" s="212"/>
      <c r="K898" s="212"/>
      <c r="L898" s="212"/>
      <c r="M898" s="212"/>
      <c r="N898" s="212"/>
      <c r="O898" s="212"/>
      <c r="P898" s="212"/>
      <c r="Q898" s="212"/>
      <c r="R898" s="212"/>
      <c r="S898" s="212"/>
      <c r="T898" s="212"/>
      <c r="U898" s="212"/>
      <c r="V898" s="212"/>
      <c r="W898" s="212"/>
      <c r="X898" s="212"/>
      <c r="Y898" s="212"/>
      <c r="Z898" s="204"/>
      <c r="AA898" s="204"/>
      <c r="AB898" s="204"/>
      <c r="AC898" s="204"/>
      <c r="AD898" s="204"/>
      <c r="AE898" s="212"/>
      <c r="AF898" s="213"/>
      <c r="AG898" s="213"/>
      <c r="AH898" s="213"/>
      <c r="AI898" s="213"/>
      <c r="AJ898" s="213"/>
      <c r="AK898" s="213"/>
      <c r="AL898" s="213"/>
      <c r="AM898" s="213"/>
      <c r="AN898" s="213"/>
      <c r="AO898" s="213"/>
      <c r="AP898" s="213"/>
      <c r="AQ898" s="213"/>
      <c r="AR898" s="213"/>
      <c r="AS898" s="213"/>
      <c r="AT898" s="213"/>
      <c r="AU898" s="213"/>
      <c r="AV898" s="213"/>
      <c r="AW898" s="213"/>
      <c r="AX898" s="213"/>
      <c r="AY898" s="213"/>
      <c r="AZ898" s="213"/>
      <c r="BA898" s="213"/>
      <c r="BB898" s="213"/>
    </row>
    <row r="899">
      <c r="A899" s="199"/>
      <c r="B899" s="12"/>
      <c r="C899" s="202"/>
      <c r="D899" s="199"/>
      <c r="E899" s="211"/>
      <c r="F899" s="201"/>
      <c r="G899" s="199"/>
      <c r="H899" s="199"/>
      <c r="I899" s="199"/>
      <c r="J899" s="212"/>
      <c r="K899" s="212"/>
      <c r="L899" s="212"/>
      <c r="M899" s="212"/>
      <c r="N899" s="212"/>
      <c r="O899" s="212"/>
      <c r="P899" s="212"/>
      <c r="Q899" s="212"/>
      <c r="R899" s="212"/>
      <c r="S899" s="212"/>
      <c r="T899" s="212"/>
      <c r="U899" s="212"/>
      <c r="V899" s="212"/>
      <c r="W899" s="212"/>
      <c r="X899" s="212"/>
      <c r="Y899" s="212"/>
      <c r="Z899" s="204"/>
      <c r="AA899" s="204"/>
      <c r="AB899" s="204"/>
      <c r="AC899" s="204"/>
      <c r="AD899" s="204"/>
      <c r="AE899" s="212"/>
      <c r="AF899" s="213"/>
      <c r="AG899" s="213"/>
      <c r="AH899" s="213"/>
      <c r="AI899" s="213"/>
      <c r="AJ899" s="213"/>
      <c r="AK899" s="213"/>
      <c r="AL899" s="213"/>
      <c r="AM899" s="213"/>
      <c r="AN899" s="213"/>
      <c r="AO899" s="213"/>
      <c r="AP899" s="213"/>
      <c r="AQ899" s="213"/>
      <c r="AR899" s="213"/>
      <c r="AS899" s="213"/>
      <c r="AT899" s="213"/>
      <c r="AU899" s="213"/>
      <c r="AV899" s="213"/>
      <c r="AW899" s="213"/>
      <c r="AX899" s="213"/>
      <c r="AY899" s="213"/>
      <c r="AZ899" s="213"/>
      <c r="BA899" s="213"/>
      <c r="BB899" s="213"/>
    </row>
    <row r="900">
      <c r="A900" s="199"/>
      <c r="B900" s="12"/>
      <c r="C900" s="202"/>
      <c r="D900" s="199"/>
      <c r="E900" s="211"/>
      <c r="F900" s="201"/>
      <c r="G900" s="199"/>
      <c r="H900" s="199"/>
      <c r="I900" s="199"/>
      <c r="J900" s="212"/>
      <c r="K900" s="212"/>
      <c r="L900" s="212"/>
      <c r="M900" s="212"/>
      <c r="N900" s="212"/>
      <c r="O900" s="212"/>
      <c r="P900" s="212"/>
      <c r="Q900" s="212"/>
      <c r="R900" s="212"/>
      <c r="S900" s="212"/>
      <c r="T900" s="212"/>
      <c r="U900" s="212"/>
      <c r="V900" s="212"/>
      <c r="W900" s="212"/>
      <c r="X900" s="212"/>
      <c r="Y900" s="212"/>
      <c r="Z900" s="204"/>
      <c r="AA900" s="204"/>
      <c r="AB900" s="204"/>
      <c r="AC900" s="204"/>
      <c r="AD900" s="204"/>
      <c r="AE900" s="212"/>
      <c r="AF900" s="213"/>
      <c r="AG900" s="213"/>
      <c r="AH900" s="213"/>
      <c r="AI900" s="213"/>
      <c r="AJ900" s="213"/>
      <c r="AK900" s="213"/>
      <c r="AL900" s="213"/>
      <c r="AM900" s="213"/>
      <c r="AN900" s="213"/>
      <c r="AO900" s="213"/>
      <c r="AP900" s="213"/>
      <c r="AQ900" s="213"/>
      <c r="AR900" s="213"/>
      <c r="AS900" s="213"/>
      <c r="AT900" s="213"/>
      <c r="AU900" s="213"/>
      <c r="AV900" s="213"/>
      <c r="AW900" s="213"/>
      <c r="AX900" s="213"/>
      <c r="AY900" s="213"/>
      <c r="AZ900" s="213"/>
      <c r="BA900" s="213"/>
      <c r="BB900" s="213"/>
    </row>
    <row r="901">
      <c r="A901" s="199"/>
      <c r="B901" s="12"/>
      <c r="C901" s="202"/>
      <c r="D901" s="199"/>
      <c r="E901" s="211"/>
      <c r="F901" s="201"/>
      <c r="G901" s="199"/>
      <c r="H901" s="199"/>
      <c r="I901" s="199"/>
      <c r="J901" s="212"/>
      <c r="K901" s="212"/>
      <c r="L901" s="212"/>
      <c r="M901" s="212"/>
      <c r="N901" s="212"/>
      <c r="O901" s="212"/>
      <c r="P901" s="212"/>
      <c r="Q901" s="212"/>
      <c r="R901" s="212"/>
      <c r="S901" s="212"/>
      <c r="T901" s="212"/>
      <c r="U901" s="212"/>
      <c r="V901" s="212"/>
      <c r="W901" s="212"/>
      <c r="X901" s="212"/>
      <c r="Y901" s="212"/>
      <c r="Z901" s="204"/>
      <c r="AA901" s="204"/>
      <c r="AB901" s="204"/>
      <c r="AC901" s="204"/>
      <c r="AD901" s="204"/>
      <c r="AE901" s="212"/>
      <c r="AF901" s="213"/>
      <c r="AG901" s="213"/>
      <c r="AH901" s="213"/>
      <c r="AI901" s="213"/>
      <c r="AJ901" s="213"/>
      <c r="AK901" s="213"/>
      <c r="AL901" s="213"/>
      <c r="AM901" s="213"/>
      <c r="AN901" s="213"/>
      <c r="AO901" s="213"/>
      <c r="AP901" s="213"/>
      <c r="AQ901" s="213"/>
      <c r="AR901" s="213"/>
      <c r="AS901" s="213"/>
      <c r="AT901" s="213"/>
      <c r="AU901" s="213"/>
      <c r="AV901" s="213"/>
      <c r="AW901" s="213"/>
      <c r="AX901" s="213"/>
      <c r="AY901" s="213"/>
      <c r="AZ901" s="213"/>
      <c r="BA901" s="213"/>
      <c r="BB901" s="213"/>
    </row>
    <row r="902">
      <c r="A902" s="199"/>
      <c r="B902" s="12"/>
      <c r="C902" s="202"/>
      <c r="D902" s="199"/>
      <c r="E902" s="211"/>
      <c r="F902" s="201"/>
      <c r="G902" s="199"/>
      <c r="H902" s="199"/>
      <c r="I902" s="199"/>
      <c r="J902" s="212"/>
      <c r="K902" s="212"/>
      <c r="L902" s="212"/>
      <c r="M902" s="212"/>
      <c r="N902" s="212"/>
      <c r="O902" s="212"/>
      <c r="P902" s="212"/>
      <c r="Q902" s="212"/>
      <c r="R902" s="212"/>
      <c r="S902" s="212"/>
      <c r="T902" s="212"/>
      <c r="U902" s="212"/>
      <c r="V902" s="212"/>
      <c r="W902" s="212"/>
      <c r="X902" s="212"/>
      <c r="Y902" s="212"/>
      <c r="Z902" s="204"/>
      <c r="AA902" s="204"/>
      <c r="AB902" s="204"/>
      <c r="AC902" s="204"/>
      <c r="AD902" s="204"/>
      <c r="AE902" s="212"/>
      <c r="AF902" s="213"/>
      <c r="AG902" s="213"/>
      <c r="AH902" s="213"/>
      <c r="AI902" s="213"/>
      <c r="AJ902" s="213"/>
      <c r="AK902" s="213"/>
      <c r="AL902" s="213"/>
      <c r="AM902" s="213"/>
      <c r="AN902" s="213"/>
      <c r="AO902" s="213"/>
      <c r="AP902" s="213"/>
      <c r="AQ902" s="213"/>
      <c r="AR902" s="213"/>
      <c r="AS902" s="213"/>
      <c r="AT902" s="213"/>
      <c r="AU902" s="213"/>
      <c r="AV902" s="213"/>
      <c r="AW902" s="213"/>
      <c r="AX902" s="213"/>
      <c r="AY902" s="213"/>
      <c r="AZ902" s="213"/>
      <c r="BA902" s="213"/>
      <c r="BB902" s="213"/>
    </row>
    <row r="903">
      <c r="A903" s="199"/>
      <c r="B903" s="12"/>
      <c r="C903" s="202"/>
      <c r="D903" s="199"/>
      <c r="E903" s="211"/>
      <c r="F903" s="201"/>
      <c r="G903" s="199"/>
      <c r="H903" s="199"/>
      <c r="I903" s="199"/>
      <c r="J903" s="212"/>
      <c r="K903" s="212"/>
      <c r="L903" s="212"/>
      <c r="M903" s="212"/>
      <c r="N903" s="212"/>
      <c r="O903" s="212"/>
      <c r="P903" s="212"/>
      <c r="Q903" s="212"/>
      <c r="R903" s="212"/>
      <c r="S903" s="212"/>
      <c r="T903" s="212"/>
      <c r="U903" s="212"/>
      <c r="V903" s="212"/>
      <c r="W903" s="212"/>
      <c r="X903" s="212"/>
      <c r="Y903" s="212"/>
      <c r="Z903" s="204"/>
      <c r="AA903" s="204"/>
      <c r="AB903" s="204"/>
      <c r="AC903" s="204"/>
      <c r="AD903" s="204"/>
      <c r="AE903" s="212"/>
      <c r="AF903" s="213"/>
      <c r="AG903" s="213"/>
      <c r="AH903" s="213"/>
      <c r="AI903" s="213"/>
      <c r="AJ903" s="213"/>
      <c r="AK903" s="213"/>
      <c r="AL903" s="213"/>
      <c r="AM903" s="213"/>
      <c r="AN903" s="213"/>
      <c r="AO903" s="213"/>
      <c r="AP903" s="213"/>
      <c r="AQ903" s="213"/>
      <c r="AR903" s="213"/>
      <c r="AS903" s="213"/>
      <c r="AT903" s="213"/>
      <c r="AU903" s="213"/>
      <c r="AV903" s="213"/>
      <c r="AW903" s="213"/>
      <c r="AX903" s="213"/>
      <c r="AY903" s="213"/>
      <c r="AZ903" s="213"/>
      <c r="BA903" s="213"/>
      <c r="BB903" s="213"/>
    </row>
    <row r="904">
      <c r="A904" s="199"/>
      <c r="B904" s="12"/>
      <c r="C904" s="202"/>
      <c r="D904" s="199"/>
      <c r="E904" s="211"/>
      <c r="F904" s="201"/>
      <c r="G904" s="199"/>
      <c r="H904" s="199"/>
      <c r="I904" s="199"/>
      <c r="J904" s="212"/>
      <c r="K904" s="212"/>
      <c r="L904" s="212"/>
      <c r="M904" s="212"/>
      <c r="N904" s="212"/>
      <c r="O904" s="212"/>
      <c r="P904" s="212"/>
      <c r="Q904" s="212"/>
      <c r="R904" s="212"/>
      <c r="S904" s="212"/>
      <c r="T904" s="212"/>
      <c r="U904" s="212"/>
      <c r="V904" s="212"/>
      <c r="W904" s="212"/>
      <c r="X904" s="212"/>
      <c r="Y904" s="212"/>
      <c r="Z904" s="204"/>
      <c r="AA904" s="204"/>
      <c r="AB904" s="204"/>
      <c r="AC904" s="204"/>
      <c r="AD904" s="204"/>
      <c r="AE904" s="212"/>
      <c r="AF904" s="213"/>
      <c r="AG904" s="213"/>
      <c r="AH904" s="213"/>
      <c r="AI904" s="213"/>
      <c r="AJ904" s="213"/>
      <c r="AK904" s="213"/>
      <c r="AL904" s="213"/>
      <c r="AM904" s="213"/>
      <c r="AN904" s="213"/>
      <c r="AO904" s="213"/>
      <c r="AP904" s="213"/>
      <c r="AQ904" s="213"/>
      <c r="AR904" s="213"/>
      <c r="AS904" s="213"/>
      <c r="AT904" s="213"/>
      <c r="AU904" s="213"/>
      <c r="AV904" s="213"/>
      <c r="AW904" s="213"/>
      <c r="AX904" s="213"/>
      <c r="AY904" s="213"/>
      <c r="AZ904" s="213"/>
      <c r="BA904" s="213"/>
      <c r="BB904" s="213"/>
    </row>
    <row r="905">
      <c r="A905" s="199"/>
      <c r="B905" s="12"/>
      <c r="C905" s="202"/>
      <c r="D905" s="199"/>
      <c r="E905" s="211"/>
      <c r="F905" s="201"/>
      <c r="G905" s="199"/>
      <c r="H905" s="199"/>
      <c r="I905" s="199"/>
      <c r="J905" s="212"/>
      <c r="K905" s="212"/>
      <c r="L905" s="212"/>
      <c r="M905" s="212"/>
      <c r="N905" s="212"/>
      <c r="O905" s="212"/>
      <c r="P905" s="212"/>
      <c r="Q905" s="212"/>
      <c r="R905" s="212"/>
      <c r="S905" s="212"/>
      <c r="T905" s="212"/>
      <c r="U905" s="212"/>
      <c r="V905" s="212"/>
      <c r="W905" s="212"/>
      <c r="X905" s="212"/>
      <c r="Y905" s="212"/>
      <c r="Z905" s="204"/>
      <c r="AA905" s="204"/>
      <c r="AB905" s="204"/>
      <c r="AC905" s="204"/>
      <c r="AD905" s="204"/>
      <c r="AE905" s="212"/>
      <c r="AF905" s="213"/>
      <c r="AG905" s="213"/>
      <c r="AH905" s="213"/>
      <c r="AI905" s="213"/>
      <c r="AJ905" s="213"/>
      <c r="AK905" s="213"/>
      <c r="AL905" s="213"/>
      <c r="AM905" s="213"/>
      <c r="AN905" s="213"/>
      <c r="AO905" s="213"/>
      <c r="AP905" s="213"/>
      <c r="AQ905" s="213"/>
      <c r="AR905" s="213"/>
      <c r="AS905" s="213"/>
      <c r="AT905" s="213"/>
      <c r="AU905" s="213"/>
      <c r="AV905" s="213"/>
      <c r="AW905" s="213"/>
      <c r="AX905" s="213"/>
      <c r="AY905" s="213"/>
      <c r="AZ905" s="213"/>
      <c r="BA905" s="213"/>
      <c r="BB905" s="213"/>
    </row>
    <row r="906">
      <c r="A906" s="199"/>
      <c r="B906" s="12"/>
      <c r="C906" s="202"/>
      <c r="D906" s="199"/>
      <c r="E906" s="211"/>
      <c r="F906" s="201"/>
      <c r="G906" s="199"/>
      <c r="H906" s="199"/>
      <c r="I906" s="199"/>
      <c r="J906" s="212"/>
      <c r="K906" s="212"/>
      <c r="L906" s="212"/>
      <c r="M906" s="212"/>
      <c r="N906" s="212"/>
      <c r="O906" s="212"/>
      <c r="P906" s="212"/>
      <c r="Q906" s="212"/>
      <c r="R906" s="212"/>
      <c r="S906" s="212"/>
      <c r="T906" s="212"/>
      <c r="U906" s="212"/>
      <c r="V906" s="212"/>
      <c r="W906" s="212"/>
      <c r="X906" s="212"/>
      <c r="Y906" s="212"/>
      <c r="Z906" s="204"/>
      <c r="AA906" s="204"/>
      <c r="AB906" s="204"/>
      <c r="AC906" s="204"/>
      <c r="AD906" s="204"/>
      <c r="AE906" s="212"/>
      <c r="AF906" s="213"/>
      <c r="AG906" s="213"/>
      <c r="AH906" s="213"/>
      <c r="AI906" s="213"/>
      <c r="AJ906" s="213"/>
      <c r="AK906" s="213"/>
      <c r="AL906" s="213"/>
      <c r="AM906" s="213"/>
      <c r="AN906" s="213"/>
      <c r="AO906" s="213"/>
      <c r="AP906" s="213"/>
      <c r="AQ906" s="213"/>
      <c r="AR906" s="213"/>
      <c r="AS906" s="213"/>
      <c r="AT906" s="213"/>
      <c r="AU906" s="213"/>
      <c r="AV906" s="213"/>
      <c r="AW906" s="213"/>
      <c r="AX906" s="213"/>
      <c r="AY906" s="213"/>
      <c r="AZ906" s="213"/>
      <c r="BA906" s="213"/>
      <c r="BB906" s="213"/>
    </row>
    <row r="907">
      <c r="A907" s="199"/>
      <c r="B907" s="12"/>
      <c r="C907" s="202"/>
      <c r="D907" s="199"/>
      <c r="E907" s="211"/>
      <c r="F907" s="201"/>
      <c r="G907" s="199"/>
      <c r="H907" s="199"/>
      <c r="I907" s="199"/>
      <c r="J907" s="212"/>
      <c r="K907" s="212"/>
      <c r="L907" s="212"/>
      <c r="M907" s="212"/>
      <c r="N907" s="212"/>
      <c r="O907" s="212"/>
      <c r="P907" s="212"/>
      <c r="Q907" s="212"/>
      <c r="R907" s="212"/>
      <c r="S907" s="212"/>
      <c r="T907" s="212"/>
      <c r="U907" s="212"/>
      <c r="V907" s="212"/>
      <c r="W907" s="212"/>
      <c r="X907" s="212"/>
      <c r="Y907" s="212"/>
      <c r="Z907" s="204"/>
      <c r="AA907" s="204"/>
      <c r="AB907" s="204"/>
      <c r="AC907" s="204"/>
      <c r="AD907" s="204"/>
      <c r="AE907" s="212"/>
      <c r="AF907" s="213"/>
      <c r="AG907" s="213"/>
      <c r="AH907" s="213"/>
      <c r="AI907" s="213"/>
      <c r="AJ907" s="213"/>
      <c r="AK907" s="213"/>
      <c r="AL907" s="213"/>
      <c r="AM907" s="213"/>
      <c r="AN907" s="213"/>
      <c r="AO907" s="213"/>
      <c r="AP907" s="213"/>
      <c r="AQ907" s="213"/>
      <c r="AR907" s="213"/>
      <c r="AS907" s="213"/>
      <c r="AT907" s="213"/>
      <c r="AU907" s="213"/>
      <c r="AV907" s="213"/>
      <c r="AW907" s="213"/>
      <c r="AX907" s="213"/>
      <c r="AY907" s="213"/>
      <c r="AZ907" s="213"/>
      <c r="BA907" s="213"/>
      <c r="BB907" s="213"/>
    </row>
    <row r="908">
      <c r="A908" s="199"/>
      <c r="B908" s="12"/>
      <c r="C908" s="202"/>
      <c r="D908" s="199"/>
      <c r="E908" s="211"/>
      <c r="F908" s="201"/>
      <c r="G908" s="199"/>
      <c r="H908" s="199"/>
      <c r="I908" s="199"/>
      <c r="J908" s="212"/>
      <c r="K908" s="212"/>
      <c r="L908" s="212"/>
      <c r="M908" s="212"/>
      <c r="N908" s="212"/>
      <c r="O908" s="212"/>
      <c r="P908" s="212"/>
      <c r="Q908" s="212"/>
      <c r="R908" s="212"/>
      <c r="S908" s="212"/>
      <c r="T908" s="212"/>
      <c r="U908" s="212"/>
      <c r="V908" s="212"/>
      <c r="W908" s="212"/>
      <c r="X908" s="212"/>
      <c r="Y908" s="212"/>
      <c r="Z908" s="204"/>
      <c r="AA908" s="204"/>
      <c r="AB908" s="204"/>
      <c r="AC908" s="204"/>
      <c r="AD908" s="204"/>
      <c r="AE908" s="212"/>
      <c r="AF908" s="213"/>
      <c r="AG908" s="213"/>
      <c r="AH908" s="213"/>
      <c r="AI908" s="213"/>
      <c r="AJ908" s="213"/>
      <c r="AK908" s="213"/>
      <c r="AL908" s="213"/>
      <c r="AM908" s="213"/>
      <c r="AN908" s="213"/>
      <c r="AO908" s="213"/>
      <c r="AP908" s="213"/>
      <c r="AQ908" s="213"/>
      <c r="AR908" s="213"/>
      <c r="AS908" s="213"/>
      <c r="AT908" s="213"/>
      <c r="AU908" s="213"/>
      <c r="AV908" s="213"/>
      <c r="AW908" s="213"/>
      <c r="AX908" s="213"/>
      <c r="AY908" s="213"/>
      <c r="AZ908" s="213"/>
      <c r="BA908" s="213"/>
      <c r="BB908" s="213"/>
    </row>
    <row r="909">
      <c r="A909" s="199"/>
      <c r="B909" s="12"/>
      <c r="C909" s="202"/>
      <c r="D909" s="199"/>
      <c r="E909" s="211"/>
      <c r="F909" s="201"/>
      <c r="G909" s="199"/>
      <c r="H909" s="199"/>
      <c r="I909" s="199"/>
      <c r="J909" s="212"/>
      <c r="K909" s="212"/>
      <c r="L909" s="212"/>
      <c r="M909" s="212"/>
      <c r="N909" s="212"/>
      <c r="O909" s="212"/>
      <c r="P909" s="212"/>
      <c r="Q909" s="212"/>
      <c r="R909" s="212"/>
      <c r="S909" s="212"/>
      <c r="T909" s="212"/>
      <c r="U909" s="212"/>
      <c r="V909" s="212"/>
      <c r="W909" s="212"/>
      <c r="X909" s="212"/>
      <c r="Y909" s="212"/>
      <c r="Z909" s="204"/>
      <c r="AA909" s="204"/>
      <c r="AB909" s="204"/>
      <c r="AC909" s="204"/>
      <c r="AD909" s="204"/>
      <c r="AE909" s="212"/>
      <c r="AF909" s="213"/>
      <c r="AG909" s="213"/>
      <c r="AH909" s="213"/>
      <c r="AI909" s="213"/>
      <c r="AJ909" s="213"/>
      <c r="AK909" s="213"/>
      <c r="AL909" s="213"/>
      <c r="AM909" s="213"/>
      <c r="AN909" s="213"/>
      <c r="AO909" s="213"/>
      <c r="AP909" s="213"/>
      <c r="AQ909" s="213"/>
      <c r="AR909" s="213"/>
      <c r="AS909" s="213"/>
      <c r="AT909" s="213"/>
      <c r="AU909" s="213"/>
      <c r="AV909" s="213"/>
      <c r="AW909" s="213"/>
      <c r="AX909" s="213"/>
      <c r="AY909" s="213"/>
      <c r="AZ909" s="213"/>
      <c r="BA909" s="213"/>
      <c r="BB909" s="213"/>
    </row>
    <row r="910">
      <c r="A910" s="199"/>
      <c r="B910" s="12"/>
      <c r="C910" s="202"/>
      <c r="D910" s="199"/>
      <c r="E910" s="211"/>
      <c r="F910" s="201"/>
      <c r="G910" s="199"/>
      <c r="H910" s="199"/>
      <c r="I910" s="199"/>
      <c r="J910" s="212"/>
      <c r="K910" s="212"/>
      <c r="L910" s="212"/>
      <c r="M910" s="212"/>
      <c r="N910" s="212"/>
      <c r="O910" s="212"/>
      <c r="P910" s="212"/>
      <c r="Q910" s="212"/>
      <c r="R910" s="212"/>
      <c r="S910" s="212"/>
      <c r="T910" s="212"/>
      <c r="U910" s="212"/>
      <c r="V910" s="212"/>
      <c r="W910" s="212"/>
      <c r="X910" s="212"/>
      <c r="Y910" s="212"/>
      <c r="Z910" s="204"/>
      <c r="AA910" s="204"/>
      <c r="AB910" s="204"/>
      <c r="AC910" s="204"/>
      <c r="AD910" s="204"/>
      <c r="AE910" s="212"/>
      <c r="AF910" s="213"/>
      <c r="AG910" s="213"/>
      <c r="AH910" s="213"/>
      <c r="AI910" s="213"/>
      <c r="AJ910" s="213"/>
      <c r="AK910" s="213"/>
      <c r="AL910" s="213"/>
      <c r="AM910" s="213"/>
      <c r="AN910" s="213"/>
      <c r="AO910" s="213"/>
      <c r="AP910" s="213"/>
      <c r="AQ910" s="213"/>
      <c r="AR910" s="213"/>
      <c r="AS910" s="213"/>
      <c r="AT910" s="213"/>
      <c r="AU910" s="213"/>
      <c r="AV910" s="213"/>
      <c r="AW910" s="213"/>
      <c r="AX910" s="213"/>
      <c r="AY910" s="213"/>
      <c r="AZ910" s="213"/>
      <c r="BA910" s="213"/>
      <c r="BB910" s="213"/>
    </row>
    <row r="911">
      <c r="A911" s="199"/>
      <c r="B911" s="12"/>
      <c r="C911" s="202"/>
      <c r="D911" s="199"/>
      <c r="E911" s="211"/>
      <c r="F911" s="201"/>
      <c r="G911" s="199"/>
      <c r="H911" s="199"/>
      <c r="I911" s="199"/>
      <c r="J911" s="212"/>
      <c r="K911" s="212"/>
      <c r="L911" s="212"/>
      <c r="M911" s="212"/>
      <c r="N911" s="212"/>
      <c r="O911" s="212"/>
      <c r="P911" s="212"/>
      <c r="Q911" s="212"/>
      <c r="R911" s="212"/>
      <c r="S911" s="212"/>
      <c r="T911" s="212"/>
      <c r="U911" s="212"/>
      <c r="V911" s="212"/>
      <c r="W911" s="212"/>
      <c r="X911" s="212"/>
      <c r="Y911" s="212"/>
      <c r="Z911" s="204"/>
      <c r="AA911" s="204"/>
      <c r="AB911" s="204"/>
      <c r="AC911" s="204"/>
      <c r="AD911" s="204"/>
      <c r="AE911" s="212"/>
      <c r="AF911" s="213"/>
      <c r="AG911" s="213"/>
      <c r="AH911" s="213"/>
      <c r="AI911" s="213"/>
      <c r="AJ911" s="213"/>
      <c r="AK911" s="213"/>
      <c r="AL911" s="213"/>
      <c r="AM911" s="213"/>
      <c r="AN911" s="213"/>
      <c r="AO911" s="213"/>
      <c r="AP911" s="213"/>
      <c r="AQ911" s="213"/>
      <c r="AR911" s="213"/>
      <c r="AS911" s="213"/>
      <c r="AT911" s="213"/>
      <c r="AU911" s="213"/>
      <c r="AV911" s="213"/>
      <c r="AW911" s="213"/>
      <c r="AX911" s="213"/>
      <c r="AY911" s="213"/>
      <c r="AZ911" s="213"/>
      <c r="BA911" s="213"/>
      <c r="BB911" s="213"/>
    </row>
    <row r="912">
      <c r="A912" s="199"/>
      <c r="B912" s="12"/>
      <c r="C912" s="202"/>
      <c r="D912" s="199"/>
      <c r="E912" s="211"/>
      <c r="F912" s="201"/>
      <c r="G912" s="199"/>
      <c r="H912" s="199"/>
      <c r="I912" s="199"/>
      <c r="J912" s="212"/>
      <c r="K912" s="212"/>
      <c r="L912" s="212"/>
      <c r="M912" s="212"/>
      <c r="N912" s="212"/>
      <c r="O912" s="212"/>
      <c r="P912" s="212"/>
      <c r="Q912" s="212"/>
      <c r="R912" s="212"/>
      <c r="S912" s="212"/>
      <c r="T912" s="212"/>
      <c r="U912" s="212"/>
      <c r="V912" s="212"/>
      <c r="W912" s="212"/>
      <c r="X912" s="212"/>
      <c r="Y912" s="212"/>
      <c r="Z912" s="204"/>
      <c r="AA912" s="204"/>
      <c r="AB912" s="204"/>
      <c r="AC912" s="204"/>
      <c r="AD912" s="204"/>
      <c r="AE912" s="212"/>
      <c r="AF912" s="213"/>
      <c r="AG912" s="213"/>
      <c r="AH912" s="213"/>
      <c r="AI912" s="213"/>
      <c r="AJ912" s="213"/>
      <c r="AK912" s="213"/>
      <c r="AL912" s="213"/>
      <c r="AM912" s="213"/>
      <c r="AN912" s="213"/>
      <c r="AO912" s="213"/>
      <c r="AP912" s="213"/>
      <c r="AQ912" s="213"/>
      <c r="AR912" s="213"/>
      <c r="AS912" s="213"/>
      <c r="AT912" s="213"/>
      <c r="AU912" s="213"/>
      <c r="AV912" s="213"/>
      <c r="AW912" s="213"/>
      <c r="AX912" s="213"/>
      <c r="AY912" s="213"/>
      <c r="AZ912" s="213"/>
      <c r="BA912" s="213"/>
      <c r="BB912" s="213"/>
    </row>
    <row r="913">
      <c r="A913" s="199"/>
      <c r="B913" s="12"/>
      <c r="C913" s="202"/>
      <c r="D913" s="199"/>
      <c r="E913" s="211"/>
      <c r="F913" s="201"/>
      <c r="G913" s="199"/>
      <c r="H913" s="199"/>
      <c r="I913" s="199"/>
      <c r="J913" s="212"/>
      <c r="K913" s="212"/>
      <c r="L913" s="212"/>
      <c r="M913" s="212"/>
      <c r="N913" s="212"/>
      <c r="O913" s="212"/>
      <c r="P913" s="212"/>
      <c r="Q913" s="212"/>
      <c r="R913" s="212"/>
      <c r="S913" s="212"/>
      <c r="T913" s="212"/>
      <c r="U913" s="212"/>
      <c r="V913" s="212"/>
      <c r="W913" s="212"/>
      <c r="X913" s="212"/>
      <c r="Y913" s="212"/>
      <c r="Z913" s="204"/>
      <c r="AA913" s="204"/>
      <c r="AB913" s="204"/>
      <c r="AC913" s="204"/>
      <c r="AD913" s="204"/>
      <c r="AE913" s="212"/>
      <c r="AF913" s="213"/>
      <c r="AG913" s="213"/>
      <c r="AH913" s="213"/>
      <c r="AI913" s="213"/>
      <c r="AJ913" s="213"/>
      <c r="AK913" s="213"/>
      <c r="AL913" s="213"/>
      <c r="AM913" s="213"/>
      <c r="AN913" s="213"/>
      <c r="AO913" s="213"/>
      <c r="AP913" s="213"/>
      <c r="AQ913" s="213"/>
      <c r="AR913" s="213"/>
      <c r="AS913" s="213"/>
      <c r="AT913" s="213"/>
      <c r="AU913" s="213"/>
      <c r="AV913" s="213"/>
      <c r="AW913" s="213"/>
      <c r="AX913" s="213"/>
      <c r="AY913" s="213"/>
      <c r="AZ913" s="213"/>
      <c r="BA913" s="213"/>
      <c r="BB913" s="213"/>
    </row>
    <row r="914">
      <c r="A914" s="199"/>
      <c r="B914" s="12"/>
      <c r="C914" s="202"/>
      <c r="D914" s="199"/>
      <c r="E914" s="211"/>
      <c r="F914" s="201"/>
      <c r="G914" s="199"/>
      <c r="H914" s="199"/>
      <c r="I914" s="199"/>
      <c r="J914" s="212"/>
      <c r="K914" s="212"/>
      <c r="L914" s="212"/>
      <c r="M914" s="212"/>
      <c r="N914" s="212"/>
      <c r="O914" s="212"/>
      <c r="P914" s="212"/>
      <c r="Q914" s="212"/>
      <c r="R914" s="212"/>
      <c r="S914" s="212"/>
      <c r="T914" s="212"/>
      <c r="U914" s="212"/>
      <c r="V914" s="212"/>
      <c r="W914" s="212"/>
      <c r="X914" s="212"/>
      <c r="Y914" s="212"/>
      <c r="Z914" s="204"/>
      <c r="AA914" s="204"/>
      <c r="AB914" s="204"/>
      <c r="AC914" s="204"/>
      <c r="AD914" s="204"/>
      <c r="AE914" s="212"/>
      <c r="AF914" s="213"/>
      <c r="AG914" s="213"/>
      <c r="AH914" s="213"/>
      <c r="AI914" s="213"/>
      <c r="AJ914" s="213"/>
      <c r="AK914" s="213"/>
      <c r="AL914" s="213"/>
      <c r="AM914" s="213"/>
      <c r="AN914" s="213"/>
      <c r="AO914" s="213"/>
      <c r="AP914" s="213"/>
      <c r="AQ914" s="213"/>
      <c r="AR914" s="213"/>
      <c r="AS914" s="213"/>
      <c r="AT914" s="213"/>
      <c r="AU914" s="213"/>
      <c r="AV914" s="213"/>
      <c r="AW914" s="213"/>
      <c r="AX914" s="213"/>
      <c r="AY914" s="213"/>
      <c r="AZ914" s="213"/>
      <c r="BA914" s="213"/>
      <c r="BB914" s="213"/>
    </row>
    <row r="915">
      <c r="A915" s="199"/>
      <c r="B915" s="12"/>
      <c r="C915" s="202"/>
      <c r="D915" s="199"/>
      <c r="E915" s="211"/>
      <c r="F915" s="201"/>
      <c r="G915" s="199"/>
      <c r="H915" s="199"/>
      <c r="I915" s="199"/>
      <c r="J915" s="212"/>
      <c r="K915" s="212"/>
      <c r="L915" s="212"/>
      <c r="M915" s="212"/>
      <c r="N915" s="212"/>
      <c r="O915" s="212"/>
      <c r="P915" s="212"/>
      <c r="Q915" s="212"/>
      <c r="R915" s="212"/>
      <c r="S915" s="212"/>
      <c r="T915" s="212"/>
      <c r="U915" s="212"/>
      <c r="V915" s="212"/>
      <c r="W915" s="212"/>
      <c r="X915" s="212"/>
      <c r="Y915" s="212"/>
      <c r="Z915" s="204"/>
      <c r="AA915" s="204"/>
      <c r="AB915" s="204"/>
      <c r="AC915" s="204"/>
      <c r="AD915" s="204"/>
      <c r="AE915" s="212"/>
      <c r="AF915" s="213"/>
      <c r="AG915" s="213"/>
      <c r="AH915" s="213"/>
      <c r="AI915" s="213"/>
      <c r="AJ915" s="213"/>
      <c r="AK915" s="213"/>
      <c r="AL915" s="213"/>
      <c r="AM915" s="213"/>
      <c r="AN915" s="213"/>
      <c r="AO915" s="213"/>
      <c r="AP915" s="213"/>
      <c r="AQ915" s="213"/>
      <c r="AR915" s="213"/>
      <c r="AS915" s="213"/>
      <c r="AT915" s="213"/>
      <c r="AU915" s="213"/>
      <c r="AV915" s="213"/>
      <c r="AW915" s="213"/>
      <c r="AX915" s="213"/>
      <c r="AY915" s="213"/>
      <c r="AZ915" s="213"/>
      <c r="BA915" s="213"/>
      <c r="BB915" s="213"/>
    </row>
    <row r="916">
      <c r="A916" s="199"/>
      <c r="B916" s="12"/>
      <c r="C916" s="202"/>
      <c r="D916" s="199"/>
      <c r="E916" s="211"/>
      <c r="F916" s="201"/>
      <c r="G916" s="199"/>
      <c r="H916" s="199"/>
      <c r="I916" s="199"/>
      <c r="J916" s="212"/>
      <c r="K916" s="212"/>
      <c r="L916" s="212"/>
      <c r="M916" s="212"/>
      <c r="N916" s="212"/>
      <c r="O916" s="212"/>
      <c r="P916" s="212"/>
      <c r="Q916" s="212"/>
      <c r="R916" s="212"/>
      <c r="S916" s="212"/>
      <c r="T916" s="212"/>
      <c r="U916" s="212"/>
      <c r="V916" s="212"/>
      <c r="W916" s="212"/>
      <c r="X916" s="212"/>
      <c r="Y916" s="212"/>
      <c r="Z916" s="204"/>
      <c r="AA916" s="204"/>
      <c r="AB916" s="204"/>
      <c r="AC916" s="204"/>
      <c r="AD916" s="204"/>
      <c r="AE916" s="212"/>
      <c r="AF916" s="213"/>
      <c r="AG916" s="213"/>
      <c r="AH916" s="213"/>
      <c r="AI916" s="213"/>
      <c r="AJ916" s="213"/>
      <c r="AK916" s="213"/>
      <c r="AL916" s="213"/>
      <c r="AM916" s="213"/>
      <c r="AN916" s="213"/>
      <c r="AO916" s="213"/>
      <c r="AP916" s="213"/>
      <c r="AQ916" s="213"/>
      <c r="AR916" s="213"/>
      <c r="AS916" s="213"/>
      <c r="AT916" s="213"/>
      <c r="AU916" s="213"/>
      <c r="AV916" s="213"/>
      <c r="AW916" s="213"/>
      <c r="AX916" s="213"/>
      <c r="AY916" s="213"/>
      <c r="AZ916" s="213"/>
      <c r="BA916" s="213"/>
      <c r="BB916" s="213"/>
    </row>
    <row r="917">
      <c r="A917" s="199"/>
      <c r="B917" s="12"/>
      <c r="C917" s="202"/>
      <c r="D917" s="199"/>
      <c r="E917" s="211"/>
      <c r="F917" s="201"/>
      <c r="G917" s="199"/>
      <c r="H917" s="199"/>
      <c r="I917" s="199"/>
      <c r="J917" s="212"/>
      <c r="K917" s="212"/>
      <c r="L917" s="212"/>
      <c r="M917" s="212"/>
      <c r="N917" s="212"/>
      <c r="O917" s="212"/>
      <c r="P917" s="212"/>
      <c r="Q917" s="212"/>
      <c r="R917" s="212"/>
      <c r="S917" s="212"/>
      <c r="T917" s="212"/>
      <c r="U917" s="212"/>
      <c r="V917" s="212"/>
      <c r="W917" s="212"/>
      <c r="X917" s="212"/>
      <c r="Y917" s="212"/>
      <c r="Z917" s="204"/>
      <c r="AA917" s="204"/>
      <c r="AB917" s="204"/>
      <c r="AC917" s="204"/>
      <c r="AD917" s="204"/>
      <c r="AE917" s="212"/>
      <c r="AF917" s="213"/>
      <c r="AG917" s="213"/>
      <c r="AH917" s="213"/>
      <c r="AI917" s="213"/>
      <c r="AJ917" s="213"/>
      <c r="AK917" s="213"/>
      <c r="AL917" s="213"/>
      <c r="AM917" s="213"/>
      <c r="AN917" s="213"/>
      <c r="AO917" s="213"/>
      <c r="AP917" s="213"/>
      <c r="AQ917" s="213"/>
      <c r="AR917" s="213"/>
      <c r="AS917" s="213"/>
      <c r="AT917" s="213"/>
      <c r="AU917" s="213"/>
      <c r="AV917" s="213"/>
      <c r="AW917" s="213"/>
      <c r="AX917" s="213"/>
      <c r="AY917" s="213"/>
      <c r="AZ917" s="213"/>
      <c r="BA917" s="213"/>
      <c r="BB917" s="213"/>
    </row>
    <row r="918">
      <c r="A918" s="199"/>
      <c r="B918" s="12"/>
      <c r="C918" s="202"/>
      <c r="D918" s="199"/>
      <c r="E918" s="211"/>
      <c r="F918" s="201"/>
      <c r="G918" s="199"/>
      <c r="H918" s="199"/>
      <c r="I918" s="199"/>
      <c r="J918" s="212"/>
      <c r="K918" s="212"/>
      <c r="L918" s="212"/>
      <c r="M918" s="212"/>
      <c r="N918" s="212"/>
      <c r="O918" s="212"/>
      <c r="P918" s="212"/>
      <c r="Q918" s="212"/>
      <c r="R918" s="212"/>
      <c r="S918" s="212"/>
      <c r="T918" s="212"/>
      <c r="U918" s="212"/>
      <c r="V918" s="212"/>
      <c r="W918" s="212"/>
      <c r="X918" s="212"/>
      <c r="Y918" s="212"/>
      <c r="Z918" s="204"/>
      <c r="AA918" s="204"/>
      <c r="AB918" s="204"/>
      <c r="AC918" s="204"/>
      <c r="AD918" s="204"/>
      <c r="AE918" s="212"/>
      <c r="AF918" s="213"/>
      <c r="AG918" s="213"/>
      <c r="AH918" s="213"/>
      <c r="AI918" s="213"/>
      <c r="AJ918" s="213"/>
      <c r="AK918" s="213"/>
      <c r="AL918" s="213"/>
      <c r="AM918" s="213"/>
      <c r="AN918" s="213"/>
      <c r="AO918" s="213"/>
      <c r="AP918" s="213"/>
      <c r="AQ918" s="213"/>
      <c r="AR918" s="213"/>
      <c r="AS918" s="213"/>
      <c r="AT918" s="213"/>
      <c r="AU918" s="213"/>
      <c r="AV918" s="213"/>
      <c r="AW918" s="213"/>
      <c r="AX918" s="213"/>
      <c r="AY918" s="213"/>
      <c r="AZ918" s="213"/>
      <c r="BA918" s="213"/>
      <c r="BB918" s="213"/>
    </row>
    <row r="919">
      <c r="A919" s="199"/>
      <c r="B919" s="12"/>
      <c r="C919" s="202"/>
      <c r="D919" s="199"/>
      <c r="E919" s="211"/>
      <c r="F919" s="201"/>
      <c r="G919" s="199"/>
      <c r="H919" s="199"/>
      <c r="I919" s="199"/>
      <c r="J919" s="212"/>
      <c r="K919" s="212"/>
      <c r="L919" s="212"/>
      <c r="M919" s="212"/>
      <c r="N919" s="212"/>
      <c r="O919" s="212"/>
      <c r="P919" s="212"/>
      <c r="Q919" s="212"/>
      <c r="R919" s="212"/>
      <c r="S919" s="212"/>
      <c r="T919" s="212"/>
      <c r="U919" s="212"/>
      <c r="V919" s="212"/>
      <c r="W919" s="212"/>
      <c r="X919" s="212"/>
      <c r="Y919" s="212"/>
      <c r="Z919" s="204"/>
      <c r="AA919" s="204"/>
      <c r="AB919" s="204"/>
      <c r="AC919" s="204"/>
      <c r="AD919" s="204"/>
      <c r="AE919" s="212"/>
      <c r="AF919" s="213"/>
      <c r="AG919" s="213"/>
      <c r="AH919" s="213"/>
      <c r="AI919" s="213"/>
      <c r="AJ919" s="213"/>
      <c r="AK919" s="213"/>
      <c r="AL919" s="213"/>
      <c r="AM919" s="213"/>
      <c r="AN919" s="213"/>
      <c r="AO919" s="213"/>
      <c r="AP919" s="213"/>
      <c r="AQ919" s="213"/>
      <c r="AR919" s="213"/>
      <c r="AS919" s="213"/>
      <c r="AT919" s="213"/>
      <c r="AU919" s="213"/>
      <c r="AV919" s="213"/>
      <c r="AW919" s="213"/>
      <c r="AX919" s="213"/>
      <c r="AY919" s="213"/>
      <c r="AZ919" s="213"/>
      <c r="BA919" s="213"/>
      <c r="BB919" s="213"/>
    </row>
    <row r="920">
      <c r="A920" s="199"/>
      <c r="B920" s="12"/>
      <c r="C920" s="202"/>
      <c r="D920" s="199"/>
      <c r="E920" s="211"/>
      <c r="F920" s="201"/>
      <c r="G920" s="199"/>
      <c r="H920" s="199"/>
      <c r="I920" s="199"/>
      <c r="J920" s="212"/>
      <c r="K920" s="212"/>
      <c r="L920" s="212"/>
      <c r="M920" s="212"/>
      <c r="N920" s="212"/>
      <c r="O920" s="212"/>
      <c r="P920" s="212"/>
      <c r="Q920" s="212"/>
      <c r="R920" s="212"/>
      <c r="S920" s="212"/>
      <c r="T920" s="212"/>
      <c r="U920" s="212"/>
      <c r="V920" s="212"/>
      <c r="W920" s="212"/>
      <c r="X920" s="212"/>
      <c r="Y920" s="212"/>
      <c r="Z920" s="204"/>
      <c r="AA920" s="204"/>
      <c r="AB920" s="204"/>
      <c r="AC920" s="204"/>
      <c r="AD920" s="204"/>
      <c r="AE920" s="212"/>
      <c r="AF920" s="213"/>
      <c r="AG920" s="213"/>
      <c r="AH920" s="213"/>
      <c r="AI920" s="213"/>
      <c r="AJ920" s="213"/>
      <c r="AK920" s="213"/>
      <c r="AL920" s="213"/>
      <c r="AM920" s="213"/>
      <c r="AN920" s="213"/>
      <c r="AO920" s="213"/>
      <c r="AP920" s="213"/>
      <c r="AQ920" s="213"/>
      <c r="AR920" s="213"/>
      <c r="AS920" s="213"/>
      <c r="AT920" s="213"/>
      <c r="AU920" s="213"/>
      <c r="AV920" s="213"/>
      <c r="AW920" s="213"/>
      <c r="AX920" s="213"/>
      <c r="AY920" s="213"/>
      <c r="AZ920" s="213"/>
      <c r="BA920" s="213"/>
      <c r="BB920" s="213"/>
    </row>
    <row r="921">
      <c r="A921" s="199"/>
      <c r="B921" s="12"/>
      <c r="C921" s="202"/>
      <c r="D921" s="199"/>
      <c r="E921" s="211"/>
      <c r="F921" s="201"/>
      <c r="G921" s="199"/>
      <c r="H921" s="199"/>
      <c r="I921" s="199"/>
      <c r="J921" s="212"/>
      <c r="K921" s="212"/>
      <c r="L921" s="212"/>
      <c r="M921" s="212"/>
      <c r="N921" s="212"/>
      <c r="O921" s="212"/>
      <c r="P921" s="212"/>
      <c r="Q921" s="212"/>
      <c r="R921" s="212"/>
      <c r="S921" s="212"/>
      <c r="T921" s="212"/>
      <c r="U921" s="212"/>
      <c r="V921" s="212"/>
      <c r="W921" s="212"/>
      <c r="X921" s="212"/>
      <c r="Y921" s="212"/>
      <c r="Z921" s="204"/>
      <c r="AA921" s="204"/>
      <c r="AB921" s="204"/>
      <c r="AC921" s="204"/>
      <c r="AD921" s="204"/>
      <c r="AE921" s="212"/>
      <c r="AF921" s="213"/>
      <c r="AG921" s="213"/>
      <c r="AH921" s="213"/>
      <c r="AI921" s="213"/>
      <c r="AJ921" s="213"/>
      <c r="AK921" s="213"/>
      <c r="AL921" s="213"/>
      <c r="AM921" s="213"/>
      <c r="AN921" s="213"/>
      <c r="AO921" s="213"/>
      <c r="AP921" s="213"/>
      <c r="AQ921" s="213"/>
      <c r="AR921" s="213"/>
      <c r="AS921" s="213"/>
      <c r="AT921" s="213"/>
      <c r="AU921" s="213"/>
      <c r="AV921" s="213"/>
      <c r="AW921" s="213"/>
      <c r="AX921" s="213"/>
      <c r="AY921" s="213"/>
      <c r="AZ921" s="213"/>
      <c r="BA921" s="213"/>
      <c r="BB921" s="213"/>
    </row>
    <row r="922">
      <c r="A922" s="199"/>
      <c r="B922" s="12"/>
      <c r="C922" s="202"/>
      <c r="D922" s="199"/>
      <c r="E922" s="211"/>
      <c r="F922" s="201"/>
      <c r="G922" s="199"/>
      <c r="H922" s="199"/>
      <c r="I922" s="199"/>
      <c r="J922" s="212"/>
      <c r="K922" s="212"/>
      <c r="L922" s="212"/>
      <c r="M922" s="212"/>
      <c r="N922" s="212"/>
      <c r="O922" s="212"/>
      <c r="P922" s="212"/>
      <c r="Q922" s="212"/>
      <c r="R922" s="212"/>
      <c r="S922" s="212"/>
      <c r="T922" s="212"/>
      <c r="U922" s="212"/>
      <c r="V922" s="212"/>
      <c r="W922" s="212"/>
      <c r="X922" s="212"/>
      <c r="Y922" s="212"/>
      <c r="Z922" s="204"/>
      <c r="AA922" s="204"/>
      <c r="AB922" s="204"/>
      <c r="AC922" s="204"/>
      <c r="AD922" s="204"/>
      <c r="AE922" s="212"/>
      <c r="AF922" s="213"/>
      <c r="AG922" s="213"/>
      <c r="AH922" s="213"/>
      <c r="AI922" s="213"/>
      <c r="AJ922" s="213"/>
      <c r="AK922" s="213"/>
      <c r="AL922" s="213"/>
      <c r="AM922" s="213"/>
      <c r="AN922" s="213"/>
      <c r="AO922" s="213"/>
      <c r="AP922" s="213"/>
      <c r="AQ922" s="213"/>
      <c r="AR922" s="213"/>
      <c r="AS922" s="213"/>
      <c r="AT922" s="213"/>
      <c r="AU922" s="213"/>
      <c r="AV922" s="213"/>
      <c r="AW922" s="213"/>
      <c r="AX922" s="213"/>
      <c r="AY922" s="213"/>
      <c r="AZ922" s="213"/>
      <c r="BA922" s="213"/>
      <c r="BB922" s="213"/>
    </row>
    <row r="923">
      <c r="A923" s="199"/>
      <c r="B923" s="12"/>
      <c r="C923" s="202"/>
      <c r="D923" s="199"/>
      <c r="E923" s="211"/>
      <c r="F923" s="201"/>
      <c r="G923" s="199"/>
      <c r="H923" s="199"/>
      <c r="I923" s="199"/>
      <c r="J923" s="212"/>
      <c r="K923" s="212"/>
      <c r="L923" s="212"/>
      <c r="M923" s="212"/>
      <c r="N923" s="212"/>
      <c r="O923" s="212"/>
      <c r="P923" s="212"/>
      <c r="Q923" s="212"/>
      <c r="R923" s="212"/>
      <c r="S923" s="212"/>
      <c r="T923" s="212"/>
      <c r="U923" s="212"/>
      <c r="V923" s="212"/>
      <c r="W923" s="212"/>
      <c r="X923" s="212"/>
      <c r="Y923" s="212"/>
      <c r="Z923" s="204"/>
      <c r="AA923" s="204"/>
      <c r="AB923" s="204"/>
      <c r="AC923" s="204"/>
      <c r="AD923" s="204"/>
      <c r="AE923" s="212"/>
      <c r="AF923" s="213"/>
      <c r="AG923" s="213"/>
      <c r="AH923" s="213"/>
      <c r="AI923" s="213"/>
      <c r="AJ923" s="213"/>
      <c r="AK923" s="213"/>
      <c r="AL923" s="213"/>
      <c r="AM923" s="213"/>
      <c r="AN923" s="213"/>
      <c r="AO923" s="213"/>
      <c r="AP923" s="213"/>
      <c r="AQ923" s="213"/>
      <c r="AR923" s="213"/>
      <c r="AS923" s="213"/>
      <c r="AT923" s="213"/>
      <c r="AU923" s="213"/>
      <c r="AV923" s="213"/>
      <c r="AW923" s="213"/>
      <c r="AX923" s="213"/>
      <c r="AY923" s="213"/>
      <c r="AZ923" s="213"/>
      <c r="BA923" s="213"/>
      <c r="BB923" s="213"/>
    </row>
    <row r="924">
      <c r="A924" s="199"/>
      <c r="B924" s="12"/>
      <c r="C924" s="202"/>
      <c r="D924" s="199"/>
      <c r="E924" s="211"/>
      <c r="F924" s="201"/>
      <c r="G924" s="199"/>
      <c r="H924" s="199"/>
      <c r="I924" s="199"/>
      <c r="J924" s="212"/>
      <c r="K924" s="212"/>
      <c r="L924" s="212"/>
      <c r="M924" s="212"/>
      <c r="N924" s="212"/>
      <c r="O924" s="212"/>
      <c r="P924" s="212"/>
      <c r="Q924" s="212"/>
      <c r="R924" s="212"/>
      <c r="S924" s="212"/>
      <c r="T924" s="212"/>
      <c r="U924" s="212"/>
      <c r="V924" s="212"/>
      <c r="W924" s="212"/>
      <c r="X924" s="212"/>
      <c r="Y924" s="212"/>
      <c r="Z924" s="204"/>
      <c r="AA924" s="204"/>
      <c r="AB924" s="204"/>
      <c r="AC924" s="204"/>
      <c r="AD924" s="204"/>
      <c r="AE924" s="212"/>
      <c r="AF924" s="213"/>
      <c r="AG924" s="213"/>
      <c r="AH924" s="213"/>
      <c r="AI924" s="213"/>
      <c r="AJ924" s="213"/>
      <c r="AK924" s="213"/>
      <c r="AL924" s="213"/>
      <c r="AM924" s="213"/>
      <c r="AN924" s="213"/>
      <c r="AO924" s="213"/>
      <c r="AP924" s="213"/>
      <c r="AQ924" s="213"/>
      <c r="AR924" s="213"/>
      <c r="AS924" s="213"/>
      <c r="AT924" s="213"/>
      <c r="AU924" s="213"/>
      <c r="AV924" s="213"/>
      <c r="AW924" s="213"/>
      <c r="AX924" s="213"/>
      <c r="AY924" s="213"/>
      <c r="AZ924" s="213"/>
      <c r="BA924" s="213"/>
      <c r="BB924" s="213"/>
    </row>
    <row r="925">
      <c r="A925" s="199"/>
      <c r="B925" s="12"/>
      <c r="C925" s="202"/>
      <c r="D925" s="199"/>
      <c r="E925" s="211"/>
      <c r="F925" s="201"/>
      <c r="G925" s="199"/>
      <c r="H925" s="199"/>
      <c r="I925" s="199"/>
      <c r="J925" s="212"/>
      <c r="K925" s="212"/>
      <c r="L925" s="212"/>
      <c r="M925" s="212"/>
      <c r="N925" s="212"/>
      <c r="O925" s="212"/>
      <c r="P925" s="212"/>
      <c r="Q925" s="212"/>
      <c r="R925" s="212"/>
      <c r="S925" s="212"/>
      <c r="T925" s="212"/>
      <c r="U925" s="212"/>
      <c r="V925" s="212"/>
      <c r="W925" s="212"/>
      <c r="X925" s="212"/>
      <c r="Y925" s="212"/>
      <c r="Z925" s="204"/>
      <c r="AA925" s="204"/>
      <c r="AB925" s="204"/>
      <c r="AC925" s="204"/>
      <c r="AD925" s="204"/>
      <c r="AE925" s="212"/>
      <c r="AF925" s="213"/>
      <c r="AG925" s="213"/>
      <c r="AH925" s="213"/>
      <c r="AI925" s="213"/>
      <c r="AJ925" s="213"/>
      <c r="AK925" s="213"/>
      <c r="AL925" s="213"/>
      <c r="AM925" s="213"/>
      <c r="AN925" s="213"/>
      <c r="AO925" s="213"/>
      <c r="AP925" s="213"/>
      <c r="AQ925" s="213"/>
      <c r="AR925" s="213"/>
      <c r="AS925" s="213"/>
      <c r="AT925" s="213"/>
      <c r="AU925" s="213"/>
      <c r="AV925" s="213"/>
      <c r="AW925" s="213"/>
      <c r="AX925" s="213"/>
      <c r="AY925" s="213"/>
      <c r="AZ925" s="213"/>
      <c r="BA925" s="213"/>
      <c r="BB925" s="213"/>
    </row>
    <row r="926">
      <c r="A926" s="199"/>
      <c r="B926" s="12"/>
      <c r="C926" s="202"/>
      <c r="D926" s="199"/>
      <c r="E926" s="211"/>
      <c r="F926" s="201"/>
      <c r="G926" s="199"/>
      <c r="H926" s="199"/>
      <c r="I926" s="199"/>
      <c r="J926" s="212"/>
      <c r="K926" s="212"/>
      <c r="L926" s="212"/>
      <c r="M926" s="212"/>
      <c r="N926" s="212"/>
      <c r="O926" s="212"/>
      <c r="P926" s="212"/>
      <c r="Q926" s="212"/>
      <c r="R926" s="212"/>
      <c r="S926" s="212"/>
      <c r="T926" s="212"/>
      <c r="U926" s="212"/>
      <c r="V926" s="212"/>
      <c r="W926" s="212"/>
      <c r="X926" s="212"/>
      <c r="Y926" s="212"/>
      <c r="Z926" s="204"/>
      <c r="AA926" s="204"/>
      <c r="AB926" s="204"/>
      <c r="AC926" s="204"/>
      <c r="AD926" s="204"/>
      <c r="AE926" s="212"/>
      <c r="AF926" s="213"/>
      <c r="AG926" s="213"/>
      <c r="AH926" s="213"/>
      <c r="AI926" s="213"/>
      <c r="AJ926" s="213"/>
      <c r="AK926" s="213"/>
      <c r="AL926" s="213"/>
      <c r="AM926" s="213"/>
      <c r="AN926" s="213"/>
      <c r="AO926" s="213"/>
      <c r="AP926" s="213"/>
      <c r="AQ926" s="213"/>
      <c r="AR926" s="213"/>
      <c r="AS926" s="213"/>
      <c r="AT926" s="213"/>
      <c r="AU926" s="213"/>
      <c r="AV926" s="213"/>
      <c r="AW926" s="213"/>
      <c r="AX926" s="213"/>
      <c r="AY926" s="213"/>
      <c r="AZ926" s="213"/>
      <c r="BA926" s="213"/>
      <c r="BB926" s="213"/>
    </row>
    <row r="927">
      <c r="A927" s="199"/>
      <c r="B927" s="12"/>
      <c r="C927" s="202"/>
      <c r="D927" s="199"/>
      <c r="E927" s="211"/>
      <c r="F927" s="201"/>
      <c r="G927" s="199"/>
      <c r="H927" s="199"/>
      <c r="I927" s="199"/>
      <c r="J927" s="212"/>
      <c r="K927" s="212"/>
      <c r="L927" s="212"/>
      <c r="M927" s="212"/>
      <c r="N927" s="212"/>
      <c r="O927" s="212"/>
      <c r="P927" s="212"/>
      <c r="Q927" s="212"/>
      <c r="R927" s="212"/>
      <c r="S927" s="212"/>
      <c r="T927" s="212"/>
      <c r="U927" s="212"/>
      <c r="V927" s="212"/>
      <c r="W927" s="212"/>
      <c r="X927" s="212"/>
      <c r="Y927" s="212"/>
      <c r="Z927" s="204"/>
      <c r="AA927" s="204"/>
      <c r="AB927" s="204"/>
      <c r="AC927" s="204"/>
      <c r="AD927" s="204"/>
      <c r="AE927" s="212"/>
      <c r="AF927" s="213"/>
      <c r="AG927" s="213"/>
      <c r="AH927" s="213"/>
      <c r="AI927" s="213"/>
      <c r="AJ927" s="213"/>
      <c r="AK927" s="213"/>
      <c r="AL927" s="213"/>
      <c r="AM927" s="213"/>
      <c r="AN927" s="213"/>
      <c r="AO927" s="213"/>
      <c r="AP927" s="213"/>
      <c r="AQ927" s="213"/>
      <c r="AR927" s="213"/>
      <c r="AS927" s="213"/>
      <c r="AT927" s="213"/>
      <c r="AU927" s="213"/>
      <c r="AV927" s="213"/>
      <c r="AW927" s="213"/>
      <c r="AX927" s="213"/>
      <c r="AY927" s="213"/>
      <c r="AZ927" s="213"/>
      <c r="BA927" s="213"/>
      <c r="BB927" s="213"/>
    </row>
    <row r="928">
      <c r="A928" s="199"/>
      <c r="B928" s="12"/>
      <c r="C928" s="202"/>
      <c r="D928" s="199"/>
      <c r="E928" s="211"/>
      <c r="F928" s="201"/>
      <c r="G928" s="199"/>
      <c r="H928" s="199"/>
      <c r="I928" s="199"/>
      <c r="J928" s="212"/>
      <c r="K928" s="212"/>
      <c r="L928" s="212"/>
      <c r="M928" s="212"/>
      <c r="N928" s="212"/>
      <c r="O928" s="212"/>
      <c r="P928" s="212"/>
      <c r="Q928" s="212"/>
      <c r="R928" s="212"/>
      <c r="S928" s="212"/>
      <c r="T928" s="212"/>
      <c r="U928" s="212"/>
      <c r="V928" s="212"/>
      <c r="W928" s="212"/>
      <c r="X928" s="212"/>
      <c r="Y928" s="212"/>
      <c r="Z928" s="204"/>
      <c r="AA928" s="204"/>
      <c r="AB928" s="204"/>
      <c r="AC928" s="204"/>
      <c r="AD928" s="204"/>
      <c r="AE928" s="212"/>
      <c r="AF928" s="213"/>
      <c r="AG928" s="213"/>
      <c r="AH928" s="213"/>
      <c r="AI928" s="213"/>
      <c r="AJ928" s="213"/>
      <c r="AK928" s="213"/>
      <c r="AL928" s="213"/>
      <c r="AM928" s="213"/>
      <c r="AN928" s="213"/>
      <c r="AO928" s="213"/>
      <c r="AP928" s="213"/>
      <c r="AQ928" s="213"/>
      <c r="AR928" s="213"/>
      <c r="AS928" s="213"/>
      <c r="AT928" s="213"/>
      <c r="AU928" s="213"/>
      <c r="AV928" s="213"/>
      <c r="AW928" s="213"/>
      <c r="AX928" s="213"/>
      <c r="AY928" s="213"/>
      <c r="AZ928" s="213"/>
      <c r="BA928" s="213"/>
      <c r="BB928" s="213"/>
    </row>
    <row r="929">
      <c r="A929" s="199"/>
      <c r="B929" s="12"/>
      <c r="C929" s="202"/>
      <c r="D929" s="199"/>
      <c r="E929" s="211"/>
      <c r="F929" s="201"/>
      <c r="G929" s="199"/>
      <c r="H929" s="199"/>
      <c r="I929" s="199"/>
      <c r="J929" s="212"/>
      <c r="K929" s="212"/>
      <c r="L929" s="212"/>
      <c r="M929" s="212"/>
      <c r="N929" s="212"/>
      <c r="O929" s="212"/>
      <c r="P929" s="212"/>
      <c r="Q929" s="212"/>
      <c r="R929" s="212"/>
      <c r="S929" s="212"/>
      <c r="T929" s="212"/>
      <c r="U929" s="212"/>
      <c r="V929" s="212"/>
      <c r="W929" s="212"/>
      <c r="X929" s="212"/>
      <c r="Y929" s="212"/>
      <c r="Z929" s="204"/>
      <c r="AA929" s="204"/>
      <c r="AB929" s="204"/>
      <c r="AC929" s="204"/>
      <c r="AD929" s="204"/>
      <c r="AE929" s="212"/>
      <c r="AF929" s="213"/>
      <c r="AG929" s="213"/>
      <c r="AH929" s="213"/>
      <c r="AI929" s="213"/>
      <c r="AJ929" s="213"/>
      <c r="AK929" s="213"/>
      <c r="AL929" s="213"/>
      <c r="AM929" s="213"/>
      <c r="AN929" s="213"/>
      <c r="AO929" s="213"/>
      <c r="AP929" s="213"/>
      <c r="AQ929" s="213"/>
      <c r="AR929" s="213"/>
      <c r="AS929" s="213"/>
      <c r="AT929" s="213"/>
      <c r="AU929" s="213"/>
      <c r="AV929" s="213"/>
      <c r="AW929" s="213"/>
      <c r="AX929" s="213"/>
      <c r="AY929" s="213"/>
      <c r="AZ929" s="213"/>
      <c r="BA929" s="213"/>
      <c r="BB929" s="213"/>
    </row>
    <row r="930">
      <c r="A930" s="199"/>
      <c r="B930" s="12"/>
      <c r="C930" s="202"/>
      <c r="D930" s="199"/>
      <c r="E930" s="211"/>
      <c r="F930" s="201"/>
      <c r="G930" s="199"/>
      <c r="H930" s="199"/>
      <c r="I930" s="199"/>
      <c r="J930" s="212"/>
      <c r="K930" s="212"/>
      <c r="L930" s="212"/>
      <c r="M930" s="212"/>
      <c r="N930" s="212"/>
      <c r="O930" s="212"/>
      <c r="P930" s="212"/>
      <c r="Q930" s="212"/>
      <c r="R930" s="212"/>
      <c r="S930" s="212"/>
      <c r="T930" s="212"/>
      <c r="U930" s="212"/>
      <c r="V930" s="212"/>
      <c r="W930" s="212"/>
      <c r="X930" s="212"/>
      <c r="Y930" s="212"/>
      <c r="Z930" s="204"/>
      <c r="AA930" s="204"/>
      <c r="AB930" s="204"/>
      <c r="AC930" s="204"/>
      <c r="AD930" s="204"/>
      <c r="AE930" s="212"/>
      <c r="AF930" s="213"/>
      <c r="AG930" s="213"/>
      <c r="AH930" s="213"/>
      <c r="AI930" s="213"/>
      <c r="AJ930" s="213"/>
      <c r="AK930" s="213"/>
      <c r="AL930" s="213"/>
      <c r="AM930" s="213"/>
      <c r="AN930" s="213"/>
      <c r="AO930" s="213"/>
      <c r="AP930" s="213"/>
      <c r="AQ930" s="213"/>
      <c r="AR930" s="213"/>
      <c r="AS930" s="213"/>
      <c r="AT930" s="213"/>
      <c r="AU930" s="213"/>
      <c r="AV930" s="213"/>
      <c r="AW930" s="213"/>
      <c r="AX930" s="213"/>
      <c r="AY930" s="213"/>
      <c r="AZ930" s="213"/>
      <c r="BA930" s="213"/>
      <c r="BB930" s="213"/>
    </row>
    <row r="931">
      <c r="A931" s="199"/>
      <c r="B931" s="12"/>
      <c r="C931" s="202"/>
      <c r="D931" s="199"/>
      <c r="E931" s="211"/>
      <c r="F931" s="201"/>
      <c r="G931" s="199"/>
      <c r="H931" s="199"/>
      <c r="I931" s="199"/>
      <c r="J931" s="212"/>
      <c r="K931" s="212"/>
      <c r="L931" s="212"/>
      <c r="M931" s="212"/>
      <c r="N931" s="212"/>
      <c r="O931" s="212"/>
      <c r="P931" s="212"/>
      <c r="Q931" s="212"/>
      <c r="R931" s="212"/>
      <c r="S931" s="212"/>
      <c r="T931" s="212"/>
      <c r="U931" s="212"/>
      <c r="V931" s="212"/>
      <c r="W931" s="212"/>
      <c r="X931" s="212"/>
      <c r="Y931" s="212"/>
      <c r="Z931" s="204"/>
      <c r="AA931" s="204"/>
      <c r="AB931" s="204"/>
      <c r="AC931" s="204"/>
      <c r="AD931" s="204"/>
      <c r="AE931" s="212"/>
      <c r="AF931" s="213"/>
      <c r="AG931" s="213"/>
      <c r="AH931" s="213"/>
      <c r="AI931" s="213"/>
      <c r="AJ931" s="213"/>
      <c r="AK931" s="213"/>
      <c r="AL931" s="213"/>
      <c r="AM931" s="213"/>
      <c r="AN931" s="213"/>
      <c r="AO931" s="213"/>
      <c r="AP931" s="213"/>
      <c r="AQ931" s="213"/>
      <c r="AR931" s="213"/>
      <c r="AS931" s="213"/>
      <c r="AT931" s="213"/>
      <c r="AU931" s="213"/>
      <c r="AV931" s="213"/>
      <c r="AW931" s="213"/>
      <c r="AX931" s="213"/>
      <c r="AY931" s="213"/>
      <c r="AZ931" s="213"/>
      <c r="BA931" s="213"/>
      <c r="BB931" s="213"/>
    </row>
    <row r="932">
      <c r="A932" s="199"/>
      <c r="B932" s="12"/>
      <c r="C932" s="202"/>
      <c r="D932" s="199"/>
      <c r="E932" s="211"/>
      <c r="F932" s="201"/>
      <c r="G932" s="199"/>
      <c r="H932" s="199"/>
      <c r="I932" s="199"/>
      <c r="J932" s="212"/>
      <c r="K932" s="212"/>
      <c r="L932" s="212"/>
      <c r="M932" s="212"/>
      <c r="N932" s="212"/>
      <c r="O932" s="212"/>
      <c r="P932" s="212"/>
      <c r="Q932" s="212"/>
      <c r="R932" s="212"/>
      <c r="S932" s="212"/>
      <c r="T932" s="212"/>
      <c r="U932" s="212"/>
      <c r="V932" s="212"/>
      <c r="W932" s="212"/>
      <c r="X932" s="212"/>
      <c r="Y932" s="212"/>
      <c r="Z932" s="204"/>
      <c r="AA932" s="204"/>
      <c r="AB932" s="204"/>
      <c r="AC932" s="204"/>
      <c r="AD932" s="204"/>
      <c r="AE932" s="212"/>
      <c r="AF932" s="213"/>
      <c r="AG932" s="213"/>
      <c r="AH932" s="213"/>
      <c r="AI932" s="213"/>
      <c r="AJ932" s="213"/>
      <c r="AK932" s="213"/>
      <c r="AL932" s="213"/>
      <c r="AM932" s="213"/>
      <c r="AN932" s="213"/>
      <c r="AO932" s="213"/>
      <c r="AP932" s="213"/>
      <c r="AQ932" s="213"/>
      <c r="AR932" s="213"/>
      <c r="AS932" s="213"/>
      <c r="AT932" s="213"/>
      <c r="AU932" s="213"/>
      <c r="AV932" s="213"/>
      <c r="AW932" s="213"/>
      <c r="AX932" s="213"/>
      <c r="AY932" s="213"/>
      <c r="AZ932" s="213"/>
      <c r="BA932" s="213"/>
      <c r="BB932" s="213"/>
    </row>
    <row r="933">
      <c r="A933" s="199"/>
      <c r="B933" s="12"/>
      <c r="C933" s="202"/>
      <c r="D933" s="199"/>
      <c r="E933" s="211"/>
      <c r="F933" s="201"/>
      <c r="G933" s="199"/>
      <c r="H933" s="199"/>
      <c r="I933" s="199"/>
      <c r="J933" s="212"/>
      <c r="K933" s="212"/>
      <c r="L933" s="212"/>
      <c r="M933" s="212"/>
      <c r="N933" s="212"/>
      <c r="O933" s="212"/>
      <c r="P933" s="212"/>
      <c r="Q933" s="212"/>
      <c r="R933" s="212"/>
      <c r="S933" s="212"/>
      <c r="T933" s="212"/>
      <c r="U933" s="212"/>
      <c r="V933" s="212"/>
      <c r="W933" s="212"/>
      <c r="X933" s="212"/>
      <c r="Y933" s="212"/>
      <c r="Z933" s="204"/>
      <c r="AA933" s="204"/>
      <c r="AB933" s="204"/>
      <c r="AC933" s="204"/>
      <c r="AD933" s="204"/>
      <c r="AE933" s="212"/>
      <c r="AF933" s="213"/>
      <c r="AG933" s="213"/>
      <c r="AH933" s="213"/>
      <c r="AI933" s="213"/>
      <c r="AJ933" s="213"/>
      <c r="AK933" s="213"/>
      <c r="AL933" s="213"/>
      <c r="AM933" s="213"/>
      <c r="AN933" s="213"/>
      <c r="AO933" s="213"/>
      <c r="AP933" s="213"/>
      <c r="AQ933" s="213"/>
      <c r="AR933" s="213"/>
      <c r="AS933" s="213"/>
      <c r="AT933" s="213"/>
      <c r="AU933" s="213"/>
      <c r="AV933" s="213"/>
      <c r="AW933" s="213"/>
      <c r="AX933" s="213"/>
      <c r="AY933" s="213"/>
      <c r="AZ933" s="213"/>
      <c r="BA933" s="213"/>
      <c r="BB933" s="213"/>
    </row>
    <row r="934">
      <c r="A934" s="199"/>
      <c r="B934" s="12"/>
      <c r="C934" s="202"/>
      <c r="D934" s="199"/>
      <c r="E934" s="211"/>
      <c r="F934" s="201"/>
      <c r="G934" s="199"/>
      <c r="H934" s="199"/>
      <c r="I934" s="199"/>
      <c r="J934" s="212"/>
      <c r="K934" s="212"/>
      <c r="L934" s="212"/>
      <c r="M934" s="212"/>
      <c r="N934" s="212"/>
      <c r="O934" s="212"/>
      <c r="P934" s="212"/>
      <c r="Q934" s="212"/>
      <c r="R934" s="212"/>
      <c r="S934" s="212"/>
      <c r="T934" s="212"/>
      <c r="U934" s="212"/>
      <c r="V934" s="212"/>
      <c r="W934" s="212"/>
      <c r="X934" s="212"/>
      <c r="Y934" s="212"/>
      <c r="Z934" s="204"/>
      <c r="AA934" s="204"/>
      <c r="AB934" s="204"/>
      <c r="AC934" s="204"/>
      <c r="AD934" s="204"/>
      <c r="AE934" s="212"/>
      <c r="AF934" s="213"/>
      <c r="AG934" s="213"/>
      <c r="AH934" s="213"/>
      <c r="AI934" s="213"/>
      <c r="AJ934" s="213"/>
      <c r="AK934" s="213"/>
      <c r="AL934" s="213"/>
      <c r="AM934" s="213"/>
      <c r="AN934" s="213"/>
      <c r="AO934" s="213"/>
      <c r="AP934" s="213"/>
      <c r="AQ934" s="213"/>
      <c r="AR934" s="213"/>
      <c r="AS934" s="213"/>
      <c r="AT934" s="213"/>
      <c r="AU934" s="213"/>
      <c r="AV934" s="213"/>
      <c r="AW934" s="213"/>
      <c r="AX934" s="213"/>
      <c r="AY934" s="213"/>
      <c r="AZ934" s="213"/>
      <c r="BA934" s="213"/>
      <c r="BB934" s="213"/>
    </row>
    <row r="935">
      <c r="A935" s="199"/>
      <c r="B935" s="12"/>
      <c r="C935" s="202"/>
      <c r="D935" s="199"/>
      <c r="E935" s="211"/>
      <c r="F935" s="201"/>
      <c r="G935" s="199"/>
      <c r="H935" s="199"/>
      <c r="I935" s="199"/>
      <c r="J935" s="212"/>
      <c r="K935" s="212"/>
      <c r="L935" s="212"/>
      <c r="M935" s="212"/>
      <c r="N935" s="212"/>
      <c r="O935" s="212"/>
      <c r="P935" s="212"/>
      <c r="Q935" s="212"/>
      <c r="R935" s="212"/>
      <c r="S935" s="212"/>
      <c r="T935" s="212"/>
      <c r="U935" s="212"/>
      <c r="V935" s="212"/>
      <c r="W935" s="212"/>
      <c r="X935" s="212"/>
      <c r="Y935" s="212"/>
      <c r="Z935" s="204"/>
      <c r="AA935" s="204"/>
      <c r="AB935" s="204"/>
      <c r="AC935" s="204"/>
      <c r="AD935" s="204"/>
      <c r="AE935" s="212"/>
      <c r="AF935" s="213"/>
      <c r="AG935" s="213"/>
      <c r="AH935" s="213"/>
      <c r="AI935" s="213"/>
      <c r="AJ935" s="213"/>
      <c r="AK935" s="213"/>
      <c r="AL935" s="213"/>
      <c r="AM935" s="213"/>
      <c r="AN935" s="213"/>
      <c r="AO935" s="213"/>
      <c r="AP935" s="213"/>
      <c r="AQ935" s="213"/>
      <c r="AR935" s="213"/>
      <c r="AS935" s="213"/>
      <c r="AT935" s="213"/>
      <c r="AU935" s="213"/>
      <c r="AV935" s="213"/>
      <c r="AW935" s="213"/>
      <c r="AX935" s="213"/>
      <c r="AY935" s="213"/>
      <c r="AZ935" s="213"/>
      <c r="BA935" s="213"/>
      <c r="BB935" s="213"/>
    </row>
    <row r="936">
      <c r="A936" s="199"/>
      <c r="B936" s="12"/>
      <c r="C936" s="202"/>
      <c r="D936" s="199"/>
      <c r="E936" s="211"/>
      <c r="F936" s="201"/>
      <c r="G936" s="199"/>
      <c r="H936" s="199"/>
      <c r="I936" s="199"/>
      <c r="J936" s="212"/>
      <c r="K936" s="212"/>
      <c r="L936" s="212"/>
      <c r="M936" s="212"/>
      <c r="N936" s="212"/>
      <c r="O936" s="212"/>
      <c r="P936" s="212"/>
      <c r="Q936" s="212"/>
      <c r="R936" s="212"/>
      <c r="S936" s="212"/>
      <c r="T936" s="212"/>
      <c r="U936" s="212"/>
      <c r="V936" s="212"/>
      <c r="W936" s="212"/>
      <c r="X936" s="212"/>
      <c r="Y936" s="212"/>
      <c r="Z936" s="204"/>
      <c r="AA936" s="204"/>
      <c r="AB936" s="204"/>
      <c r="AC936" s="204"/>
      <c r="AD936" s="204"/>
      <c r="AE936" s="212"/>
      <c r="AF936" s="213"/>
      <c r="AG936" s="213"/>
      <c r="AH936" s="213"/>
      <c r="AI936" s="213"/>
      <c r="AJ936" s="213"/>
      <c r="AK936" s="213"/>
      <c r="AL936" s="213"/>
      <c r="AM936" s="213"/>
      <c r="AN936" s="213"/>
      <c r="AO936" s="213"/>
      <c r="AP936" s="213"/>
      <c r="AQ936" s="213"/>
      <c r="AR936" s="213"/>
      <c r="AS936" s="213"/>
      <c r="AT936" s="213"/>
      <c r="AU936" s="213"/>
      <c r="AV936" s="213"/>
      <c r="AW936" s="213"/>
      <c r="AX936" s="213"/>
      <c r="AY936" s="213"/>
      <c r="AZ936" s="213"/>
      <c r="BA936" s="213"/>
      <c r="BB936" s="213"/>
    </row>
    <row r="937">
      <c r="A937" s="199"/>
      <c r="B937" s="12"/>
      <c r="C937" s="202"/>
      <c r="D937" s="199"/>
      <c r="E937" s="211"/>
      <c r="F937" s="201"/>
      <c r="G937" s="199"/>
      <c r="H937" s="199"/>
      <c r="I937" s="199"/>
      <c r="J937" s="212"/>
      <c r="K937" s="212"/>
      <c r="L937" s="212"/>
      <c r="M937" s="212"/>
      <c r="N937" s="212"/>
      <c r="O937" s="212"/>
      <c r="P937" s="212"/>
      <c r="Q937" s="212"/>
      <c r="R937" s="212"/>
      <c r="S937" s="212"/>
      <c r="T937" s="212"/>
      <c r="U937" s="212"/>
      <c r="V937" s="212"/>
      <c r="W937" s="212"/>
      <c r="X937" s="212"/>
      <c r="Y937" s="212"/>
      <c r="Z937" s="204"/>
      <c r="AA937" s="204"/>
      <c r="AB937" s="204"/>
      <c r="AC937" s="204"/>
      <c r="AD937" s="204"/>
      <c r="AE937" s="212"/>
      <c r="AF937" s="213"/>
      <c r="AG937" s="213"/>
      <c r="AH937" s="213"/>
      <c r="AI937" s="213"/>
      <c r="AJ937" s="213"/>
      <c r="AK937" s="213"/>
      <c r="AL937" s="213"/>
      <c r="AM937" s="213"/>
      <c r="AN937" s="213"/>
      <c r="AO937" s="213"/>
      <c r="AP937" s="213"/>
      <c r="AQ937" s="213"/>
      <c r="AR937" s="213"/>
      <c r="AS937" s="213"/>
      <c r="AT937" s="213"/>
      <c r="AU937" s="213"/>
      <c r="AV937" s="213"/>
      <c r="AW937" s="213"/>
      <c r="AX937" s="213"/>
      <c r="AY937" s="213"/>
      <c r="AZ937" s="213"/>
      <c r="BA937" s="213"/>
      <c r="BB937" s="213"/>
    </row>
    <row r="938">
      <c r="A938" s="199"/>
      <c r="B938" s="12"/>
      <c r="C938" s="202"/>
      <c r="D938" s="199"/>
      <c r="E938" s="211"/>
      <c r="F938" s="201"/>
      <c r="G938" s="199"/>
      <c r="H938" s="199"/>
      <c r="I938" s="199"/>
      <c r="J938" s="212"/>
      <c r="K938" s="212"/>
      <c r="L938" s="212"/>
      <c r="M938" s="212"/>
      <c r="N938" s="212"/>
      <c r="O938" s="212"/>
      <c r="P938" s="212"/>
      <c r="Q938" s="212"/>
      <c r="R938" s="212"/>
      <c r="S938" s="212"/>
      <c r="T938" s="212"/>
      <c r="U938" s="212"/>
      <c r="V938" s="212"/>
      <c r="W938" s="212"/>
      <c r="X938" s="212"/>
      <c r="Y938" s="212"/>
      <c r="Z938" s="204"/>
      <c r="AA938" s="204"/>
      <c r="AB938" s="204"/>
      <c r="AC938" s="204"/>
      <c r="AD938" s="204"/>
      <c r="AE938" s="212"/>
      <c r="AF938" s="213"/>
      <c r="AG938" s="213"/>
      <c r="AH938" s="213"/>
      <c r="AI938" s="213"/>
      <c r="AJ938" s="213"/>
      <c r="AK938" s="213"/>
      <c r="AL938" s="213"/>
      <c r="AM938" s="213"/>
      <c r="AN938" s="213"/>
      <c r="AO938" s="213"/>
      <c r="AP938" s="213"/>
      <c r="AQ938" s="213"/>
      <c r="AR938" s="213"/>
      <c r="AS938" s="213"/>
      <c r="AT938" s="213"/>
      <c r="AU938" s="213"/>
      <c r="AV938" s="213"/>
      <c r="AW938" s="213"/>
      <c r="AX938" s="213"/>
      <c r="AY938" s="213"/>
      <c r="AZ938" s="213"/>
      <c r="BA938" s="213"/>
      <c r="BB938" s="213"/>
    </row>
    <row r="939">
      <c r="A939" s="199"/>
      <c r="B939" s="12"/>
      <c r="C939" s="202"/>
      <c r="D939" s="199"/>
      <c r="E939" s="211"/>
      <c r="F939" s="201"/>
      <c r="G939" s="199"/>
      <c r="H939" s="199"/>
      <c r="I939" s="199"/>
      <c r="J939" s="212"/>
      <c r="K939" s="212"/>
      <c r="L939" s="212"/>
      <c r="M939" s="212"/>
      <c r="N939" s="212"/>
      <c r="O939" s="212"/>
      <c r="P939" s="212"/>
      <c r="Q939" s="212"/>
      <c r="R939" s="212"/>
      <c r="S939" s="212"/>
      <c r="T939" s="212"/>
      <c r="U939" s="212"/>
      <c r="V939" s="212"/>
      <c r="W939" s="212"/>
      <c r="X939" s="212"/>
      <c r="Y939" s="212"/>
      <c r="Z939" s="204"/>
      <c r="AA939" s="204"/>
      <c r="AB939" s="204"/>
      <c r="AC939" s="204"/>
      <c r="AD939" s="204"/>
      <c r="AE939" s="212"/>
      <c r="AF939" s="213"/>
      <c r="AG939" s="213"/>
      <c r="AH939" s="213"/>
      <c r="AI939" s="213"/>
      <c r="AJ939" s="213"/>
      <c r="AK939" s="213"/>
      <c r="AL939" s="213"/>
      <c r="AM939" s="213"/>
      <c r="AN939" s="213"/>
      <c r="AO939" s="213"/>
      <c r="AP939" s="213"/>
      <c r="AQ939" s="213"/>
      <c r="AR939" s="213"/>
      <c r="AS939" s="213"/>
      <c r="AT939" s="213"/>
      <c r="AU939" s="213"/>
      <c r="AV939" s="213"/>
      <c r="AW939" s="213"/>
      <c r="AX939" s="213"/>
      <c r="AY939" s="213"/>
      <c r="AZ939" s="213"/>
      <c r="BA939" s="213"/>
      <c r="BB939" s="213"/>
    </row>
    <row r="940">
      <c r="A940" s="199"/>
      <c r="B940" s="12"/>
      <c r="C940" s="202"/>
      <c r="D940" s="199"/>
      <c r="E940" s="211"/>
      <c r="F940" s="201"/>
      <c r="G940" s="199"/>
      <c r="H940" s="199"/>
      <c r="I940" s="199"/>
      <c r="J940" s="212"/>
      <c r="K940" s="212"/>
      <c r="L940" s="212"/>
      <c r="M940" s="212"/>
      <c r="N940" s="212"/>
      <c r="O940" s="212"/>
      <c r="P940" s="212"/>
      <c r="Q940" s="212"/>
      <c r="R940" s="212"/>
      <c r="S940" s="212"/>
      <c r="T940" s="212"/>
      <c r="U940" s="212"/>
      <c r="V940" s="212"/>
      <c r="W940" s="212"/>
      <c r="X940" s="212"/>
      <c r="Y940" s="212"/>
      <c r="Z940" s="204"/>
      <c r="AA940" s="204"/>
      <c r="AB940" s="204"/>
      <c r="AC940" s="204"/>
      <c r="AD940" s="204"/>
      <c r="AE940" s="212"/>
      <c r="AF940" s="213"/>
      <c r="AG940" s="213"/>
      <c r="AH940" s="213"/>
      <c r="AI940" s="213"/>
      <c r="AJ940" s="213"/>
      <c r="AK940" s="213"/>
      <c r="AL940" s="213"/>
      <c r="AM940" s="213"/>
      <c r="AN940" s="213"/>
      <c r="AO940" s="213"/>
      <c r="AP940" s="213"/>
      <c r="AQ940" s="213"/>
      <c r="AR940" s="213"/>
      <c r="AS940" s="213"/>
      <c r="AT940" s="213"/>
      <c r="AU940" s="213"/>
      <c r="AV940" s="213"/>
      <c r="AW940" s="213"/>
      <c r="AX940" s="213"/>
      <c r="AY940" s="213"/>
      <c r="AZ940" s="213"/>
      <c r="BA940" s="213"/>
      <c r="BB940" s="213"/>
    </row>
    <row r="941">
      <c r="A941" s="199"/>
      <c r="B941" s="12"/>
      <c r="C941" s="202"/>
      <c r="D941" s="199"/>
      <c r="E941" s="211"/>
      <c r="F941" s="201"/>
      <c r="G941" s="199"/>
      <c r="H941" s="199"/>
      <c r="I941" s="199"/>
      <c r="J941" s="212"/>
      <c r="K941" s="212"/>
      <c r="L941" s="212"/>
      <c r="M941" s="212"/>
      <c r="N941" s="212"/>
      <c r="O941" s="212"/>
      <c r="P941" s="212"/>
      <c r="Q941" s="212"/>
      <c r="R941" s="212"/>
      <c r="S941" s="212"/>
      <c r="T941" s="212"/>
      <c r="U941" s="212"/>
      <c r="V941" s="212"/>
      <c r="W941" s="212"/>
      <c r="X941" s="212"/>
      <c r="Y941" s="212"/>
      <c r="Z941" s="204"/>
      <c r="AA941" s="204"/>
      <c r="AB941" s="204"/>
      <c r="AC941" s="204"/>
      <c r="AD941" s="204"/>
      <c r="AE941" s="212"/>
      <c r="AF941" s="213"/>
      <c r="AG941" s="213"/>
      <c r="AH941" s="213"/>
      <c r="AI941" s="213"/>
      <c r="AJ941" s="213"/>
      <c r="AK941" s="213"/>
      <c r="AL941" s="213"/>
      <c r="AM941" s="213"/>
      <c r="AN941" s="213"/>
      <c r="AO941" s="213"/>
      <c r="AP941" s="213"/>
      <c r="AQ941" s="213"/>
      <c r="AR941" s="213"/>
      <c r="AS941" s="213"/>
      <c r="AT941" s="213"/>
      <c r="AU941" s="213"/>
      <c r="AV941" s="213"/>
      <c r="AW941" s="213"/>
      <c r="AX941" s="213"/>
      <c r="AY941" s="213"/>
      <c r="AZ941" s="213"/>
      <c r="BA941" s="213"/>
      <c r="BB941" s="213"/>
    </row>
    <row r="942">
      <c r="A942" s="199"/>
      <c r="B942" s="12"/>
      <c r="C942" s="202"/>
      <c r="D942" s="199"/>
      <c r="E942" s="211"/>
      <c r="F942" s="201"/>
      <c r="G942" s="199"/>
      <c r="H942" s="199"/>
      <c r="I942" s="199"/>
      <c r="J942" s="212"/>
      <c r="K942" s="212"/>
      <c r="L942" s="212"/>
      <c r="M942" s="212"/>
      <c r="N942" s="212"/>
      <c r="O942" s="212"/>
      <c r="P942" s="212"/>
      <c r="Q942" s="212"/>
      <c r="R942" s="212"/>
      <c r="S942" s="212"/>
      <c r="T942" s="212"/>
      <c r="U942" s="212"/>
      <c r="V942" s="212"/>
      <c r="W942" s="212"/>
      <c r="X942" s="212"/>
      <c r="Y942" s="212"/>
      <c r="Z942" s="204"/>
      <c r="AA942" s="204"/>
      <c r="AB942" s="204"/>
      <c r="AC942" s="204"/>
      <c r="AD942" s="204"/>
      <c r="AE942" s="212"/>
      <c r="AF942" s="213"/>
      <c r="AG942" s="213"/>
      <c r="AH942" s="213"/>
      <c r="AI942" s="213"/>
      <c r="AJ942" s="213"/>
      <c r="AK942" s="213"/>
      <c r="AL942" s="213"/>
      <c r="AM942" s="213"/>
      <c r="AN942" s="213"/>
      <c r="AO942" s="213"/>
      <c r="AP942" s="213"/>
      <c r="AQ942" s="213"/>
      <c r="AR942" s="213"/>
      <c r="AS942" s="213"/>
      <c r="AT942" s="213"/>
      <c r="AU942" s="213"/>
      <c r="AV942" s="213"/>
      <c r="AW942" s="213"/>
      <c r="AX942" s="213"/>
      <c r="AY942" s="213"/>
      <c r="AZ942" s="213"/>
      <c r="BA942" s="213"/>
      <c r="BB942" s="213"/>
    </row>
    <row r="943">
      <c r="A943" s="199"/>
      <c r="B943" s="12"/>
      <c r="C943" s="202"/>
      <c r="D943" s="199"/>
      <c r="E943" s="211"/>
      <c r="F943" s="201"/>
      <c r="G943" s="199"/>
      <c r="H943" s="199"/>
      <c r="I943" s="199"/>
      <c r="J943" s="212"/>
      <c r="K943" s="212"/>
      <c r="L943" s="212"/>
      <c r="M943" s="212"/>
      <c r="N943" s="212"/>
      <c r="O943" s="212"/>
      <c r="P943" s="212"/>
      <c r="Q943" s="212"/>
      <c r="R943" s="212"/>
      <c r="S943" s="212"/>
      <c r="T943" s="212"/>
      <c r="U943" s="212"/>
      <c r="V943" s="212"/>
      <c r="W943" s="212"/>
      <c r="X943" s="212"/>
      <c r="Y943" s="212"/>
      <c r="Z943" s="204"/>
      <c r="AA943" s="204"/>
      <c r="AB943" s="204"/>
      <c r="AC943" s="204"/>
      <c r="AD943" s="204"/>
      <c r="AE943" s="212"/>
      <c r="AF943" s="213"/>
      <c r="AG943" s="213"/>
      <c r="AH943" s="213"/>
      <c r="AI943" s="213"/>
      <c r="AJ943" s="213"/>
      <c r="AK943" s="213"/>
      <c r="AL943" s="213"/>
      <c r="AM943" s="213"/>
      <c r="AN943" s="213"/>
      <c r="AO943" s="213"/>
      <c r="AP943" s="213"/>
      <c r="AQ943" s="213"/>
      <c r="AR943" s="213"/>
      <c r="AS943" s="213"/>
      <c r="AT943" s="213"/>
      <c r="AU943" s="213"/>
      <c r="AV943" s="213"/>
      <c r="AW943" s="213"/>
      <c r="AX943" s="213"/>
      <c r="AY943" s="213"/>
      <c r="AZ943" s="213"/>
      <c r="BA943" s="213"/>
      <c r="BB943" s="213"/>
    </row>
    <row r="944">
      <c r="A944" s="199"/>
      <c r="B944" s="12"/>
      <c r="C944" s="202"/>
      <c r="D944" s="199"/>
      <c r="E944" s="211"/>
      <c r="F944" s="201"/>
      <c r="G944" s="199"/>
      <c r="H944" s="199"/>
      <c r="I944" s="199"/>
      <c r="J944" s="212"/>
      <c r="K944" s="212"/>
      <c r="L944" s="212"/>
      <c r="M944" s="212"/>
      <c r="N944" s="212"/>
      <c r="O944" s="212"/>
      <c r="P944" s="212"/>
      <c r="Q944" s="212"/>
      <c r="R944" s="212"/>
      <c r="S944" s="212"/>
      <c r="T944" s="212"/>
      <c r="U944" s="212"/>
      <c r="V944" s="212"/>
      <c r="W944" s="212"/>
      <c r="X944" s="212"/>
      <c r="Y944" s="212"/>
      <c r="Z944" s="204"/>
      <c r="AA944" s="204"/>
      <c r="AB944" s="204"/>
      <c r="AC944" s="204"/>
      <c r="AD944" s="204"/>
      <c r="AE944" s="212"/>
      <c r="AF944" s="213"/>
      <c r="AG944" s="213"/>
      <c r="AH944" s="213"/>
      <c r="AI944" s="213"/>
      <c r="AJ944" s="213"/>
      <c r="AK944" s="213"/>
      <c r="AL944" s="213"/>
      <c r="AM944" s="213"/>
      <c r="AN944" s="213"/>
      <c r="AO944" s="213"/>
      <c r="AP944" s="213"/>
      <c r="AQ944" s="213"/>
      <c r="AR944" s="213"/>
      <c r="AS944" s="213"/>
      <c r="AT944" s="213"/>
      <c r="AU944" s="213"/>
      <c r="AV944" s="213"/>
      <c r="AW944" s="213"/>
      <c r="AX944" s="213"/>
      <c r="AY944" s="213"/>
      <c r="AZ944" s="213"/>
      <c r="BA944" s="213"/>
      <c r="BB944" s="213"/>
    </row>
    <row r="945">
      <c r="A945" s="199"/>
      <c r="B945" s="12"/>
      <c r="C945" s="202"/>
      <c r="D945" s="199"/>
      <c r="E945" s="211"/>
      <c r="F945" s="201"/>
      <c r="G945" s="199"/>
      <c r="H945" s="199"/>
      <c r="I945" s="199"/>
      <c r="J945" s="212"/>
      <c r="K945" s="212"/>
      <c r="L945" s="212"/>
      <c r="M945" s="212"/>
      <c r="N945" s="212"/>
      <c r="O945" s="212"/>
      <c r="P945" s="212"/>
      <c r="Q945" s="212"/>
      <c r="R945" s="212"/>
      <c r="S945" s="212"/>
      <c r="T945" s="212"/>
      <c r="U945" s="212"/>
      <c r="V945" s="212"/>
      <c r="W945" s="212"/>
      <c r="X945" s="212"/>
      <c r="Y945" s="212"/>
      <c r="Z945" s="204"/>
      <c r="AA945" s="204"/>
      <c r="AB945" s="204"/>
      <c r="AC945" s="204"/>
      <c r="AD945" s="204"/>
      <c r="AE945" s="212"/>
      <c r="AF945" s="213"/>
      <c r="AG945" s="213"/>
      <c r="AH945" s="213"/>
      <c r="AI945" s="213"/>
      <c r="AJ945" s="213"/>
      <c r="AK945" s="213"/>
      <c r="AL945" s="213"/>
      <c r="AM945" s="213"/>
      <c r="AN945" s="213"/>
      <c r="AO945" s="213"/>
      <c r="AP945" s="213"/>
      <c r="AQ945" s="213"/>
      <c r="AR945" s="213"/>
      <c r="AS945" s="213"/>
      <c r="AT945" s="213"/>
      <c r="AU945" s="213"/>
      <c r="AV945" s="213"/>
      <c r="AW945" s="213"/>
      <c r="AX945" s="213"/>
      <c r="AY945" s="213"/>
      <c r="AZ945" s="213"/>
      <c r="BA945" s="213"/>
      <c r="BB945" s="213"/>
    </row>
    <row r="946">
      <c r="A946" s="199"/>
      <c r="B946" s="12"/>
      <c r="C946" s="202"/>
      <c r="D946" s="199"/>
      <c r="E946" s="211"/>
      <c r="F946" s="201"/>
      <c r="G946" s="199"/>
      <c r="H946" s="199"/>
      <c r="I946" s="199"/>
      <c r="J946" s="212"/>
      <c r="K946" s="212"/>
      <c r="L946" s="212"/>
      <c r="M946" s="212"/>
      <c r="N946" s="212"/>
      <c r="O946" s="212"/>
      <c r="P946" s="212"/>
      <c r="Q946" s="212"/>
      <c r="R946" s="212"/>
      <c r="S946" s="212"/>
      <c r="T946" s="212"/>
      <c r="U946" s="212"/>
      <c r="V946" s="212"/>
      <c r="W946" s="212"/>
      <c r="X946" s="212"/>
      <c r="Y946" s="212"/>
      <c r="Z946" s="204"/>
      <c r="AA946" s="204"/>
      <c r="AB946" s="204"/>
      <c r="AC946" s="204"/>
      <c r="AD946" s="204"/>
      <c r="AE946" s="212"/>
      <c r="AF946" s="213"/>
      <c r="AG946" s="213"/>
      <c r="AH946" s="213"/>
      <c r="AI946" s="213"/>
      <c r="AJ946" s="213"/>
      <c r="AK946" s="213"/>
      <c r="AL946" s="213"/>
      <c r="AM946" s="213"/>
      <c r="AN946" s="213"/>
      <c r="AO946" s="213"/>
      <c r="AP946" s="213"/>
      <c r="AQ946" s="213"/>
      <c r="AR946" s="213"/>
      <c r="AS946" s="213"/>
      <c r="AT946" s="213"/>
      <c r="AU946" s="213"/>
      <c r="AV946" s="213"/>
      <c r="AW946" s="213"/>
      <c r="AX946" s="213"/>
      <c r="AY946" s="213"/>
      <c r="AZ946" s="213"/>
      <c r="BA946" s="213"/>
      <c r="BB946" s="213"/>
    </row>
    <row r="947">
      <c r="A947" s="199"/>
      <c r="B947" s="12"/>
      <c r="C947" s="202"/>
      <c r="D947" s="199"/>
      <c r="E947" s="211"/>
      <c r="F947" s="201"/>
      <c r="G947" s="199"/>
      <c r="H947" s="199"/>
      <c r="I947" s="199"/>
      <c r="J947" s="212"/>
      <c r="K947" s="212"/>
      <c r="L947" s="212"/>
      <c r="M947" s="212"/>
      <c r="N947" s="212"/>
      <c r="O947" s="212"/>
      <c r="P947" s="212"/>
      <c r="Q947" s="212"/>
      <c r="R947" s="212"/>
      <c r="S947" s="212"/>
      <c r="T947" s="212"/>
      <c r="U947" s="212"/>
      <c r="V947" s="212"/>
      <c r="W947" s="212"/>
      <c r="X947" s="212"/>
      <c r="Y947" s="212"/>
      <c r="Z947" s="204"/>
      <c r="AA947" s="204"/>
      <c r="AB947" s="204"/>
      <c r="AC947" s="204"/>
      <c r="AD947" s="204"/>
      <c r="AE947" s="212"/>
      <c r="AF947" s="213"/>
      <c r="AG947" s="213"/>
      <c r="AH947" s="213"/>
      <c r="AI947" s="213"/>
      <c r="AJ947" s="213"/>
      <c r="AK947" s="213"/>
      <c r="AL947" s="213"/>
      <c r="AM947" s="213"/>
      <c r="AN947" s="213"/>
      <c r="AO947" s="213"/>
      <c r="AP947" s="213"/>
      <c r="AQ947" s="213"/>
      <c r="AR947" s="213"/>
      <c r="AS947" s="213"/>
      <c r="AT947" s="213"/>
      <c r="AU947" s="213"/>
      <c r="AV947" s="213"/>
      <c r="AW947" s="213"/>
      <c r="AX947" s="213"/>
      <c r="AY947" s="213"/>
      <c r="AZ947" s="213"/>
      <c r="BA947" s="213"/>
      <c r="BB947" s="213"/>
    </row>
    <row r="948">
      <c r="A948" s="199"/>
      <c r="B948" s="12"/>
      <c r="C948" s="202"/>
      <c r="D948" s="199"/>
      <c r="E948" s="211"/>
      <c r="F948" s="201"/>
      <c r="G948" s="199"/>
      <c r="H948" s="199"/>
      <c r="I948" s="199"/>
      <c r="J948" s="212"/>
      <c r="K948" s="212"/>
      <c r="L948" s="212"/>
      <c r="M948" s="212"/>
      <c r="N948" s="212"/>
      <c r="O948" s="212"/>
      <c r="P948" s="212"/>
      <c r="Q948" s="212"/>
      <c r="R948" s="212"/>
      <c r="S948" s="212"/>
      <c r="T948" s="212"/>
      <c r="U948" s="212"/>
      <c r="V948" s="212"/>
      <c r="W948" s="212"/>
      <c r="X948" s="212"/>
      <c r="Y948" s="212"/>
      <c r="Z948" s="204"/>
      <c r="AA948" s="204"/>
      <c r="AB948" s="204"/>
      <c r="AC948" s="204"/>
      <c r="AD948" s="204"/>
      <c r="AE948" s="212"/>
      <c r="AF948" s="213"/>
      <c r="AG948" s="213"/>
      <c r="AH948" s="213"/>
      <c r="AI948" s="213"/>
      <c r="AJ948" s="213"/>
      <c r="AK948" s="213"/>
      <c r="AL948" s="213"/>
      <c r="AM948" s="213"/>
      <c r="AN948" s="213"/>
      <c r="AO948" s="213"/>
      <c r="AP948" s="213"/>
      <c r="AQ948" s="213"/>
      <c r="AR948" s="213"/>
      <c r="AS948" s="213"/>
      <c r="AT948" s="213"/>
      <c r="AU948" s="213"/>
      <c r="AV948" s="213"/>
      <c r="AW948" s="213"/>
      <c r="AX948" s="213"/>
      <c r="AY948" s="213"/>
      <c r="AZ948" s="213"/>
      <c r="BA948" s="213"/>
      <c r="BB948" s="213"/>
    </row>
    <row r="949">
      <c r="A949" s="199"/>
      <c r="B949" s="12"/>
      <c r="C949" s="202"/>
      <c r="D949" s="199"/>
      <c r="E949" s="211"/>
      <c r="F949" s="201"/>
      <c r="G949" s="199"/>
      <c r="H949" s="199"/>
      <c r="I949" s="199"/>
      <c r="J949" s="212"/>
      <c r="K949" s="212"/>
      <c r="L949" s="212"/>
      <c r="M949" s="212"/>
      <c r="N949" s="212"/>
      <c r="O949" s="212"/>
      <c r="P949" s="212"/>
      <c r="Q949" s="212"/>
      <c r="R949" s="212"/>
      <c r="S949" s="212"/>
      <c r="T949" s="212"/>
      <c r="U949" s="212"/>
      <c r="V949" s="212"/>
      <c r="W949" s="212"/>
      <c r="X949" s="212"/>
      <c r="Y949" s="212"/>
      <c r="Z949" s="204"/>
      <c r="AA949" s="204"/>
      <c r="AB949" s="204"/>
      <c r="AC949" s="204"/>
      <c r="AD949" s="204"/>
      <c r="AE949" s="212"/>
      <c r="AF949" s="213"/>
      <c r="AG949" s="213"/>
      <c r="AH949" s="213"/>
      <c r="AI949" s="213"/>
      <c r="AJ949" s="213"/>
      <c r="AK949" s="213"/>
      <c r="AL949" s="213"/>
      <c r="AM949" s="213"/>
      <c r="AN949" s="213"/>
      <c r="AO949" s="213"/>
      <c r="AP949" s="213"/>
      <c r="AQ949" s="213"/>
      <c r="AR949" s="213"/>
      <c r="AS949" s="213"/>
      <c r="AT949" s="213"/>
      <c r="AU949" s="213"/>
      <c r="AV949" s="213"/>
      <c r="AW949" s="213"/>
      <c r="AX949" s="213"/>
      <c r="AY949" s="213"/>
      <c r="AZ949" s="213"/>
      <c r="BA949" s="213"/>
      <c r="BB949" s="213"/>
    </row>
    <row r="950">
      <c r="A950" s="199"/>
      <c r="B950" s="12"/>
      <c r="C950" s="202"/>
      <c r="D950" s="199"/>
      <c r="E950" s="211"/>
      <c r="F950" s="201"/>
      <c r="G950" s="199"/>
      <c r="H950" s="199"/>
      <c r="I950" s="199"/>
      <c r="J950" s="212"/>
      <c r="K950" s="212"/>
      <c r="L950" s="212"/>
      <c r="M950" s="212"/>
      <c r="N950" s="212"/>
      <c r="O950" s="212"/>
      <c r="P950" s="212"/>
      <c r="Q950" s="212"/>
      <c r="R950" s="212"/>
      <c r="S950" s="212"/>
      <c r="T950" s="212"/>
      <c r="U950" s="212"/>
      <c r="V950" s="212"/>
      <c r="W950" s="212"/>
      <c r="X950" s="212"/>
      <c r="Y950" s="212"/>
      <c r="Z950" s="204"/>
      <c r="AA950" s="204"/>
      <c r="AB950" s="204"/>
      <c r="AC950" s="204"/>
      <c r="AD950" s="204"/>
      <c r="AE950" s="212"/>
      <c r="AF950" s="213"/>
      <c r="AG950" s="213"/>
      <c r="AH950" s="213"/>
      <c r="AI950" s="213"/>
      <c r="AJ950" s="213"/>
      <c r="AK950" s="213"/>
      <c r="AL950" s="213"/>
      <c r="AM950" s="213"/>
      <c r="AN950" s="213"/>
      <c r="AO950" s="213"/>
      <c r="AP950" s="213"/>
      <c r="AQ950" s="213"/>
      <c r="AR950" s="213"/>
      <c r="AS950" s="213"/>
      <c r="AT950" s="213"/>
      <c r="AU950" s="213"/>
      <c r="AV950" s="213"/>
      <c r="AW950" s="213"/>
      <c r="AX950" s="213"/>
      <c r="AY950" s="213"/>
      <c r="AZ950" s="213"/>
      <c r="BA950" s="213"/>
      <c r="BB950" s="213"/>
    </row>
    <row r="951">
      <c r="A951" s="199"/>
      <c r="B951" s="12"/>
      <c r="C951" s="202"/>
      <c r="D951" s="199"/>
      <c r="E951" s="211"/>
      <c r="F951" s="201"/>
      <c r="G951" s="199"/>
      <c r="H951" s="199"/>
      <c r="I951" s="199"/>
      <c r="J951" s="212"/>
      <c r="K951" s="212"/>
      <c r="L951" s="212"/>
      <c r="M951" s="212"/>
      <c r="N951" s="212"/>
      <c r="O951" s="212"/>
      <c r="P951" s="212"/>
      <c r="Q951" s="212"/>
      <c r="R951" s="212"/>
      <c r="S951" s="212"/>
      <c r="T951" s="212"/>
      <c r="U951" s="212"/>
      <c r="V951" s="212"/>
      <c r="W951" s="212"/>
      <c r="X951" s="212"/>
      <c r="Y951" s="212"/>
      <c r="Z951" s="204"/>
      <c r="AA951" s="204"/>
      <c r="AB951" s="204"/>
      <c r="AC951" s="204"/>
      <c r="AD951" s="204"/>
      <c r="AE951" s="212"/>
      <c r="AF951" s="213"/>
      <c r="AG951" s="213"/>
      <c r="AH951" s="213"/>
      <c r="AI951" s="213"/>
      <c r="AJ951" s="213"/>
      <c r="AK951" s="213"/>
      <c r="AL951" s="213"/>
      <c r="AM951" s="213"/>
      <c r="AN951" s="213"/>
      <c r="AO951" s="213"/>
      <c r="AP951" s="213"/>
      <c r="AQ951" s="213"/>
      <c r="AR951" s="213"/>
      <c r="AS951" s="213"/>
      <c r="AT951" s="213"/>
      <c r="AU951" s="213"/>
      <c r="AV951" s="213"/>
      <c r="AW951" s="213"/>
      <c r="AX951" s="213"/>
      <c r="AY951" s="213"/>
      <c r="AZ951" s="213"/>
      <c r="BA951" s="213"/>
      <c r="BB951" s="213"/>
    </row>
    <row r="952">
      <c r="A952" s="199"/>
      <c r="B952" s="12"/>
      <c r="C952" s="202"/>
      <c r="D952" s="199"/>
      <c r="E952" s="211"/>
      <c r="F952" s="201"/>
      <c r="G952" s="199"/>
      <c r="H952" s="199"/>
      <c r="I952" s="199"/>
      <c r="J952" s="212"/>
      <c r="K952" s="212"/>
      <c r="L952" s="212"/>
      <c r="M952" s="212"/>
      <c r="N952" s="212"/>
      <c r="O952" s="212"/>
      <c r="P952" s="212"/>
      <c r="Q952" s="212"/>
      <c r="R952" s="212"/>
      <c r="S952" s="212"/>
      <c r="T952" s="212"/>
      <c r="U952" s="212"/>
      <c r="V952" s="212"/>
      <c r="W952" s="212"/>
      <c r="X952" s="212"/>
      <c r="Y952" s="212"/>
      <c r="Z952" s="204"/>
      <c r="AA952" s="204"/>
      <c r="AB952" s="204"/>
      <c r="AC952" s="204"/>
      <c r="AD952" s="204"/>
      <c r="AE952" s="212"/>
      <c r="AF952" s="213"/>
      <c r="AG952" s="213"/>
      <c r="AH952" s="213"/>
      <c r="AI952" s="213"/>
      <c r="AJ952" s="213"/>
      <c r="AK952" s="213"/>
      <c r="AL952" s="213"/>
      <c r="AM952" s="213"/>
      <c r="AN952" s="213"/>
      <c r="AO952" s="213"/>
      <c r="AP952" s="213"/>
      <c r="AQ952" s="213"/>
      <c r="AR952" s="213"/>
      <c r="AS952" s="213"/>
      <c r="AT952" s="213"/>
      <c r="AU952" s="213"/>
      <c r="AV952" s="213"/>
      <c r="AW952" s="213"/>
      <c r="AX952" s="213"/>
      <c r="AY952" s="213"/>
      <c r="AZ952" s="213"/>
      <c r="BA952" s="213"/>
      <c r="BB952" s="213"/>
    </row>
    <row r="953">
      <c r="A953" s="199"/>
      <c r="B953" s="12"/>
      <c r="C953" s="202"/>
      <c r="D953" s="199"/>
      <c r="E953" s="211"/>
      <c r="F953" s="201"/>
      <c r="G953" s="199"/>
      <c r="H953" s="199"/>
      <c r="I953" s="199"/>
      <c r="J953" s="212"/>
      <c r="K953" s="212"/>
      <c r="L953" s="212"/>
      <c r="M953" s="212"/>
      <c r="N953" s="212"/>
      <c r="O953" s="212"/>
      <c r="P953" s="212"/>
      <c r="Q953" s="212"/>
      <c r="R953" s="212"/>
      <c r="S953" s="212"/>
      <c r="T953" s="212"/>
      <c r="U953" s="212"/>
      <c r="V953" s="212"/>
      <c r="W953" s="212"/>
      <c r="X953" s="212"/>
      <c r="Y953" s="212"/>
      <c r="Z953" s="204"/>
      <c r="AA953" s="204"/>
      <c r="AB953" s="204"/>
      <c r="AC953" s="204"/>
      <c r="AD953" s="204"/>
      <c r="AE953" s="212"/>
      <c r="AF953" s="213"/>
      <c r="AG953" s="213"/>
      <c r="AH953" s="213"/>
      <c r="AI953" s="213"/>
      <c r="AJ953" s="213"/>
      <c r="AK953" s="213"/>
      <c r="AL953" s="213"/>
      <c r="AM953" s="213"/>
      <c r="AN953" s="213"/>
      <c r="AO953" s="213"/>
      <c r="AP953" s="213"/>
      <c r="AQ953" s="213"/>
      <c r="AR953" s="213"/>
      <c r="AS953" s="213"/>
      <c r="AT953" s="213"/>
      <c r="AU953" s="213"/>
      <c r="AV953" s="213"/>
      <c r="AW953" s="213"/>
      <c r="AX953" s="213"/>
      <c r="AY953" s="213"/>
      <c r="AZ953" s="213"/>
      <c r="BA953" s="213"/>
      <c r="BB953" s="213"/>
    </row>
    <row r="954">
      <c r="A954" s="199"/>
      <c r="B954" s="12"/>
      <c r="C954" s="202"/>
      <c r="D954" s="199"/>
      <c r="E954" s="211"/>
      <c r="F954" s="201"/>
      <c r="G954" s="199"/>
      <c r="H954" s="199"/>
      <c r="I954" s="199"/>
      <c r="J954" s="212"/>
      <c r="K954" s="212"/>
      <c r="L954" s="212"/>
      <c r="M954" s="212"/>
      <c r="N954" s="212"/>
      <c r="O954" s="212"/>
      <c r="P954" s="212"/>
      <c r="Q954" s="212"/>
      <c r="R954" s="212"/>
      <c r="S954" s="212"/>
      <c r="T954" s="212"/>
      <c r="U954" s="212"/>
      <c r="V954" s="212"/>
      <c r="W954" s="212"/>
      <c r="X954" s="212"/>
      <c r="Y954" s="212"/>
      <c r="Z954" s="204"/>
      <c r="AA954" s="204"/>
      <c r="AB954" s="204"/>
      <c r="AC954" s="204"/>
      <c r="AD954" s="204"/>
      <c r="AE954" s="212"/>
      <c r="AF954" s="213"/>
      <c r="AG954" s="213"/>
      <c r="AH954" s="213"/>
      <c r="AI954" s="213"/>
      <c r="AJ954" s="213"/>
      <c r="AK954" s="213"/>
      <c r="AL954" s="213"/>
      <c r="AM954" s="213"/>
      <c r="AN954" s="213"/>
      <c r="AO954" s="213"/>
      <c r="AP954" s="213"/>
      <c r="AQ954" s="213"/>
      <c r="AR954" s="213"/>
      <c r="AS954" s="213"/>
      <c r="AT954" s="213"/>
      <c r="AU954" s="213"/>
      <c r="AV954" s="213"/>
      <c r="AW954" s="213"/>
      <c r="AX954" s="213"/>
      <c r="AY954" s="213"/>
      <c r="AZ954" s="213"/>
      <c r="BA954" s="213"/>
      <c r="BB954" s="213"/>
    </row>
    <row r="955">
      <c r="A955" s="199"/>
      <c r="B955" s="12"/>
      <c r="C955" s="202"/>
      <c r="D955" s="199"/>
      <c r="E955" s="211"/>
      <c r="F955" s="201"/>
      <c r="G955" s="199"/>
      <c r="H955" s="199"/>
      <c r="I955" s="199"/>
      <c r="J955" s="212"/>
      <c r="K955" s="212"/>
      <c r="L955" s="212"/>
      <c r="M955" s="212"/>
      <c r="N955" s="212"/>
      <c r="O955" s="212"/>
      <c r="P955" s="212"/>
      <c r="Q955" s="212"/>
      <c r="R955" s="212"/>
      <c r="S955" s="212"/>
      <c r="T955" s="212"/>
      <c r="U955" s="212"/>
      <c r="V955" s="212"/>
      <c r="W955" s="212"/>
      <c r="X955" s="212"/>
      <c r="Y955" s="212"/>
      <c r="Z955" s="204"/>
      <c r="AA955" s="204"/>
      <c r="AB955" s="204"/>
      <c r="AC955" s="204"/>
      <c r="AD955" s="204"/>
      <c r="AE955" s="212"/>
      <c r="AF955" s="213"/>
      <c r="AG955" s="213"/>
      <c r="AH955" s="213"/>
      <c r="AI955" s="213"/>
      <c r="AJ955" s="213"/>
      <c r="AK955" s="213"/>
      <c r="AL955" s="213"/>
      <c r="AM955" s="213"/>
      <c r="AN955" s="213"/>
      <c r="AO955" s="213"/>
      <c r="AP955" s="213"/>
      <c r="AQ955" s="213"/>
      <c r="AR955" s="213"/>
      <c r="AS955" s="213"/>
      <c r="AT955" s="213"/>
      <c r="AU955" s="213"/>
      <c r="AV955" s="213"/>
      <c r="AW955" s="213"/>
      <c r="AX955" s="213"/>
      <c r="AY955" s="213"/>
      <c r="AZ955" s="213"/>
      <c r="BA955" s="213"/>
      <c r="BB955" s="213"/>
    </row>
    <row r="956">
      <c r="A956" s="199"/>
      <c r="B956" s="12"/>
      <c r="C956" s="202"/>
      <c r="D956" s="199"/>
      <c r="E956" s="211"/>
      <c r="F956" s="201"/>
      <c r="G956" s="199"/>
      <c r="H956" s="199"/>
      <c r="I956" s="199"/>
      <c r="J956" s="212"/>
      <c r="K956" s="212"/>
      <c r="L956" s="212"/>
      <c r="M956" s="212"/>
      <c r="N956" s="212"/>
      <c r="O956" s="212"/>
      <c r="P956" s="212"/>
      <c r="Q956" s="212"/>
      <c r="R956" s="212"/>
      <c r="S956" s="212"/>
      <c r="T956" s="212"/>
      <c r="U956" s="212"/>
      <c r="V956" s="212"/>
      <c r="W956" s="212"/>
      <c r="X956" s="212"/>
      <c r="Y956" s="212"/>
      <c r="Z956" s="204"/>
      <c r="AA956" s="204"/>
      <c r="AB956" s="204"/>
      <c r="AC956" s="204"/>
      <c r="AD956" s="204"/>
      <c r="AE956" s="212"/>
      <c r="AF956" s="213"/>
      <c r="AG956" s="213"/>
      <c r="AH956" s="213"/>
      <c r="AI956" s="213"/>
      <c r="AJ956" s="213"/>
      <c r="AK956" s="213"/>
      <c r="AL956" s="213"/>
      <c r="AM956" s="213"/>
      <c r="AN956" s="213"/>
      <c r="AO956" s="213"/>
      <c r="AP956" s="213"/>
      <c r="AQ956" s="213"/>
      <c r="AR956" s="213"/>
      <c r="AS956" s="213"/>
      <c r="AT956" s="213"/>
      <c r="AU956" s="213"/>
      <c r="AV956" s="213"/>
      <c r="AW956" s="213"/>
      <c r="AX956" s="213"/>
      <c r="AY956" s="213"/>
      <c r="AZ956" s="213"/>
      <c r="BA956" s="213"/>
      <c r="BB956" s="213"/>
    </row>
    <row r="957">
      <c r="A957" s="199"/>
      <c r="B957" s="12"/>
      <c r="C957" s="202"/>
      <c r="D957" s="199"/>
      <c r="E957" s="211"/>
      <c r="F957" s="201"/>
      <c r="G957" s="199"/>
      <c r="H957" s="199"/>
      <c r="I957" s="199"/>
      <c r="J957" s="212"/>
      <c r="K957" s="212"/>
      <c r="L957" s="212"/>
      <c r="M957" s="212"/>
      <c r="N957" s="212"/>
      <c r="O957" s="212"/>
      <c r="P957" s="212"/>
      <c r="Q957" s="212"/>
      <c r="R957" s="212"/>
      <c r="S957" s="212"/>
      <c r="T957" s="212"/>
      <c r="U957" s="212"/>
      <c r="V957" s="212"/>
      <c r="W957" s="212"/>
      <c r="X957" s="212"/>
      <c r="Y957" s="212"/>
      <c r="Z957" s="204"/>
      <c r="AA957" s="204"/>
      <c r="AB957" s="204"/>
      <c r="AC957" s="204"/>
      <c r="AD957" s="204"/>
      <c r="AE957" s="212"/>
      <c r="AF957" s="213"/>
      <c r="AG957" s="213"/>
      <c r="AH957" s="213"/>
      <c r="AI957" s="213"/>
      <c r="AJ957" s="213"/>
      <c r="AK957" s="213"/>
      <c r="AL957" s="213"/>
      <c r="AM957" s="213"/>
      <c r="AN957" s="213"/>
      <c r="AO957" s="213"/>
      <c r="AP957" s="213"/>
      <c r="AQ957" s="213"/>
      <c r="AR957" s="213"/>
      <c r="AS957" s="213"/>
      <c r="AT957" s="213"/>
      <c r="AU957" s="213"/>
      <c r="AV957" s="213"/>
      <c r="AW957" s="213"/>
      <c r="AX957" s="213"/>
      <c r="AY957" s="213"/>
      <c r="AZ957" s="213"/>
      <c r="BA957" s="213"/>
      <c r="BB957" s="213"/>
    </row>
    <row r="958">
      <c r="A958" s="199"/>
      <c r="B958" s="12"/>
      <c r="C958" s="202"/>
      <c r="D958" s="199"/>
      <c r="E958" s="211"/>
      <c r="F958" s="201"/>
      <c r="G958" s="199"/>
      <c r="H958" s="199"/>
      <c r="I958" s="199"/>
      <c r="J958" s="212"/>
      <c r="K958" s="212"/>
      <c r="L958" s="212"/>
      <c r="M958" s="212"/>
      <c r="N958" s="212"/>
      <c r="O958" s="212"/>
      <c r="P958" s="212"/>
      <c r="Q958" s="212"/>
      <c r="R958" s="212"/>
      <c r="S958" s="212"/>
      <c r="T958" s="212"/>
      <c r="U958" s="212"/>
      <c r="V958" s="212"/>
      <c r="W958" s="212"/>
      <c r="X958" s="212"/>
      <c r="Y958" s="212"/>
      <c r="Z958" s="204"/>
      <c r="AA958" s="204"/>
      <c r="AB958" s="204"/>
      <c r="AC958" s="204"/>
      <c r="AD958" s="204"/>
      <c r="AE958" s="212"/>
      <c r="AF958" s="213"/>
      <c r="AG958" s="213"/>
      <c r="AH958" s="213"/>
      <c r="AI958" s="213"/>
      <c r="AJ958" s="213"/>
      <c r="AK958" s="213"/>
      <c r="AL958" s="213"/>
      <c r="AM958" s="213"/>
      <c r="AN958" s="213"/>
      <c r="AO958" s="213"/>
      <c r="AP958" s="213"/>
      <c r="AQ958" s="213"/>
      <c r="AR958" s="213"/>
      <c r="AS958" s="213"/>
      <c r="AT958" s="213"/>
      <c r="AU958" s="213"/>
      <c r="AV958" s="213"/>
      <c r="AW958" s="213"/>
      <c r="AX958" s="213"/>
      <c r="AY958" s="213"/>
      <c r="AZ958" s="213"/>
      <c r="BA958" s="213"/>
      <c r="BB958" s="213"/>
    </row>
    <row r="959">
      <c r="A959" s="199"/>
      <c r="B959" s="12"/>
      <c r="C959" s="202"/>
      <c r="D959" s="199"/>
      <c r="E959" s="211"/>
      <c r="F959" s="201"/>
      <c r="G959" s="199"/>
      <c r="H959" s="199"/>
      <c r="I959" s="199"/>
      <c r="J959" s="212"/>
      <c r="K959" s="212"/>
      <c r="L959" s="212"/>
      <c r="M959" s="212"/>
      <c r="N959" s="212"/>
      <c r="O959" s="212"/>
      <c r="P959" s="212"/>
      <c r="Q959" s="212"/>
      <c r="R959" s="212"/>
      <c r="S959" s="212"/>
      <c r="T959" s="212"/>
      <c r="U959" s="212"/>
      <c r="V959" s="212"/>
      <c r="W959" s="212"/>
      <c r="X959" s="212"/>
      <c r="Y959" s="212"/>
      <c r="Z959" s="204"/>
      <c r="AA959" s="204"/>
      <c r="AB959" s="204"/>
      <c r="AC959" s="204"/>
      <c r="AD959" s="204"/>
      <c r="AE959" s="212"/>
      <c r="AF959" s="213"/>
      <c r="AG959" s="213"/>
      <c r="AH959" s="213"/>
      <c r="AI959" s="213"/>
      <c r="AJ959" s="213"/>
      <c r="AK959" s="213"/>
      <c r="AL959" s="213"/>
      <c r="AM959" s="213"/>
      <c r="AN959" s="213"/>
      <c r="AO959" s="213"/>
      <c r="AP959" s="213"/>
      <c r="AQ959" s="213"/>
      <c r="AR959" s="213"/>
      <c r="AS959" s="213"/>
      <c r="AT959" s="213"/>
      <c r="AU959" s="213"/>
      <c r="AV959" s="213"/>
      <c r="AW959" s="213"/>
      <c r="AX959" s="213"/>
      <c r="AY959" s="213"/>
      <c r="AZ959" s="213"/>
      <c r="BA959" s="213"/>
      <c r="BB959" s="213"/>
    </row>
    <row r="960">
      <c r="A960" s="199"/>
      <c r="B960" s="12"/>
      <c r="C960" s="202"/>
      <c r="D960" s="199"/>
      <c r="E960" s="211"/>
      <c r="F960" s="201"/>
      <c r="G960" s="199"/>
      <c r="H960" s="199"/>
      <c r="I960" s="199"/>
      <c r="J960" s="212"/>
      <c r="K960" s="212"/>
      <c r="L960" s="212"/>
      <c r="M960" s="212"/>
      <c r="N960" s="212"/>
      <c r="O960" s="212"/>
      <c r="P960" s="212"/>
      <c r="Q960" s="212"/>
      <c r="R960" s="212"/>
      <c r="S960" s="212"/>
      <c r="T960" s="212"/>
      <c r="U960" s="212"/>
      <c r="V960" s="212"/>
      <c r="W960" s="212"/>
      <c r="X960" s="212"/>
      <c r="Y960" s="212"/>
      <c r="Z960" s="204"/>
      <c r="AA960" s="204"/>
      <c r="AB960" s="204"/>
      <c r="AC960" s="204"/>
      <c r="AD960" s="204"/>
      <c r="AE960" s="212"/>
      <c r="AF960" s="213"/>
      <c r="AG960" s="213"/>
      <c r="AH960" s="213"/>
      <c r="AI960" s="213"/>
      <c r="AJ960" s="213"/>
      <c r="AK960" s="213"/>
      <c r="AL960" s="213"/>
      <c r="AM960" s="213"/>
      <c r="AN960" s="213"/>
      <c r="AO960" s="213"/>
      <c r="AP960" s="213"/>
      <c r="AQ960" s="213"/>
      <c r="AR960" s="213"/>
      <c r="AS960" s="213"/>
      <c r="AT960" s="213"/>
      <c r="AU960" s="213"/>
      <c r="AV960" s="213"/>
      <c r="AW960" s="213"/>
      <c r="AX960" s="213"/>
      <c r="AY960" s="213"/>
      <c r="AZ960" s="213"/>
      <c r="BA960" s="213"/>
      <c r="BB960" s="213"/>
    </row>
    <row r="961">
      <c r="A961" s="199"/>
      <c r="B961" s="12"/>
      <c r="C961" s="202"/>
      <c r="D961" s="199"/>
      <c r="E961" s="211"/>
      <c r="F961" s="201"/>
      <c r="G961" s="199"/>
      <c r="H961" s="199"/>
      <c r="I961" s="199"/>
      <c r="J961" s="212"/>
      <c r="K961" s="212"/>
      <c r="L961" s="212"/>
      <c r="M961" s="212"/>
      <c r="N961" s="212"/>
      <c r="O961" s="212"/>
      <c r="P961" s="212"/>
      <c r="Q961" s="212"/>
      <c r="R961" s="212"/>
      <c r="S961" s="212"/>
      <c r="T961" s="212"/>
      <c r="U961" s="212"/>
      <c r="V961" s="212"/>
      <c r="W961" s="212"/>
      <c r="X961" s="212"/>
      <c r="Y961" s="212"/>
      <c r="Z961" s="204"/>
      <c r="AA961" s="204"/>
      <c r="AB961" s="204"/>
      <c r="AC961" s="204"/>
      <c r="AD961" s="204"/>
      <c r="AE961" s="212"/>
      <c r="AF961" s="213"/>
      <c r="AG961" s="213"/>
      <c r="AH961" s="213"/>
      <c r="AI961" s="213"/>
      <c r="AJ961" s="213"/>
      <c r="AK961" s="213"/>
      <c r="AL961" s="213"/>
      <c r="AM961" s="213"/>
      <c r="AN961" s="213"/>
      <c r="AO961" s="213"/>
      <c r="AP961" s="213"/>
      <c r="AQ961" s="213"/>
      <c r="AR961" s="213"/>
      <c r="AS961" s="213"/>
      <c r="AT961" s="213"/>
      <c r="AU961" s="213"/>
      <c r="AV961" s="213"/>
      <c r="AW961" s="213"/>
      <c r="AX961" s="213"/>
      <c r="AY961" s="213"/>
      <c r="AZ961" s="213"/>
      <c r="BA961" s="213"/>
      <c r="BB961" s="213"/>
    </row>
    <row r="962">
      <c r="A962" s="199"/>
      <c r="B962" s="12"/>
      <c r="C962" s="202"/>
      <c r="D962" s="199"/>
      <c r="E962" s="211"/>
      <c r="F962" s="201"/>
      <c r="G962" s="199"/>
      <c r="H962" s="199"/>
      <c r="I962" s="199"/>
      <c r="J962" s="212"/>
      <c r="K962" s="212"/>
      <c r="L962" s="212"/>
      <c r="M962" s="212"/>
      <c r="N962" s="212"/>
      <c r="O962" s="212"/>
      <c r="P962" s="212"/>
      <c r="Q962" s="212"/>
      <c r="R962" s="212"/>
      <c r="S962" s="212"/>
      <c r="T962" s="212"/>
      <c r="U962" s="212"/>
      <c r="V962" s="212"/>
      <c r="W962" s="212"/>
      <c r="X962" s="212"/>
      <c r="Y962" s="212"/>
      <c r="Z962" s="204"/>
      <c r="AA962" s="204"/>
      <c r="AB962" s="204"/>
      <c r="AC962" s="204"/>
      <c r="AD962" s="204"/>
      <c r="AE962" s="212"/>
      <c r="AF962" s="213"/>
      <c r="AG962" s="213"/>
      <c r="AH962" s="213"/>
      <c r="AI962" s="213"/>
      <c r="AJ962" s="213"/>
      <c r="AK962" s="213"/>
      <c r="AL962" s="213"/>
      <c r="AM962" s="213"/>
      <c r="AN962" s="213"/>
      <c r="AO962" s="213"/>
      <c r="AP962" s="213"/>
      <c r="AQ962" s="213"/>
      <c r="AR962" s="213"/>
      <c r="AS962" s="213"/>
      <c r="AT962" s="213"/>
      <c r="AU962" s="213"/>
      <c r="AV962" s="213"/>
      <c r="AW962" s="213"/>
      <c r="AX962" s="213"/>
      <c r="AY962" s="213"/>
      <c r="AZ962" s="213"/>
      <c r="BA962" s="213"/>
      <c r="BB962" s="213"/>
    </row>
    <row r="963">
      <c r="A963" s="199"/>
      <c r="B963" s="12"/>
      <c r="C963" s="202"/>
      <c r="D963" s="199"/>
      <c r="E963" s="211"/>
      <c r="F963" s="201"/>
      <c r="G963" s="199"/>
      <c r="H963" s="199"/>
      <c r="I963" s="199"/>
      <c r="J963" s="212"/>
      <c r="K963" s="212"/>
      <c r="L963" s="212"/>
      <c r="M963" s="212"/>
      <c r="N963" s="212"/>
      <c r="O963" s="212"/>
      <c r="P963" s="212"/>
      <c r="Q963" s="212"/>
      <c r="R963" s="212"/>
      <c r="S963" s="212"/>
      <c r="T963" s="212"/>
      <c r="U963" s="212"/>
      <c r="V963" s="212"/>
      <c r="W963" s="212"/>
      <c r="X963" s="212"/>
      <c r="Y963" s="212"/>
      <c r="Z963" s="204"/>
      <c r="AA963" s="204"/>
      <c r="AB963" s="204"/>
      <c r="AC963" s="204"/>
      <c r="AD963" s="204"/>
      <c r="AE963" s="212"/>
      <c r="AF963" s="213"/>
      <c r="AG963" s="213"/>
      <c r="AH963" s="213"/>
      <c r="AI963" s="213"/>
      <c r="AJ963" s="213"/>
      <c r="AK963" s="213"/>
      <c r="AL963" s="213"/>
      <c r="AM963" s="213"/>
      <c r="AN963" s="213"/>
      <c r="AO963" s="213"/>
      <c r="AP963" s="213"/>
      <c r="AQ963" s="213"/>
      <c r="AR963" s="213"/>
      <c r="AS963" s="213"/>
      <c r="AT963" s="213"/>
      <c r="AU963" s="213"/>
      <c r="AV963" s="213"/>
      <c r="AW963" s="213"/>
      <c r="AX963" s="213"/>
      <c r="AY963" s="213"/>
      <c r="AZ963" s="213"/>
      <c r="BA963" s="213"/>
      <c r="BB963" s="213"/>
    </row>
    <row r="964">
      <c r="A964" s="199"/>
      <c r="B964" s="12"/>
      <c r="C964" s="202"/>
      <c r="D964" s="199"/>
      <c r="E964" s="211"/>
      <c r="F964" s="201"/>
      <c r="G964" s="199"/>
      <c r="H964" s="199"/>
      <c r="I964" s="199"/>
      <c r="J964" s="212"/>
      <c r="K964" s="212"/>
      <c r="L964" s="212"/>
      <c r="M964" s="212"/>
      <c r="N964" s="212"/>
      <c r="O964" s="212"/>
      <c r="P964" s="212"/>
      <c r="Q964" s="212"/>
      <c r="R964" s="212"/>
      <c r="S964" s="212"/>
      <c r="T964" s="212"/>
      <c r="U964" s="212"/>
      <c r="V964" s="212"/>
      <c r="W964" s="212"/>
      <c r="X964" s="212"/>
      <c r="Y964" s="212"/>
      <c r="Z964" s="204"/>
      <c r="AA964" s="204"/>
      <c r="AB964" s="204"/>
      <c r="AC964" s="204"/>
      <c r="AD964" s="204"/>
      <c r="AE964" s="212"/>
      <c r="AF964" s="213"/>
      <c r="AG964" s="213"/>
      <c r="AH964" s="213"/>
      <c r="AI964" s="213"/>
      <c r="AJ964" s="213"/>
      <c r="AK964" s="213"/>
      <c r="AL964" s="213"/>
      <c r="AM964" s="213"/>
      <c r="AN964" s="213"/>
      <c r="AO964" s="213"/>
      <c r="AP964" s="213"/>
      <c r="AQ964" s="213"/>
      <c r="AR964" s="213"/>
      <c r="AS964" s="213"/>
      <c r="AT964" s="213"/>
      <c r="AU964" s="213"/>
      <c r="AV964" s="213"/>
      <c r="AW964" s="213"/>
      <c r="AX964" s="213"/>
      <c r="AY964" s="213"/>
      <c r="AZ964" s="213"/>
      <c r="BA964" s="213"/>
      <c r="BB964" s="213"/>
    </row>
    <row r="965">
      <c r="A965" s="199"/>
      <c r="B965" s="12"/>
      <c r="C965" s="202"/>
      <c r="D965" s="199"/>
      <c r="E965" s="211"/>
      <c r="F965" s="201"/>
      <c r="G965" s="199"/>
      <c r="H965" s="199"/>
      <c r="I965" s="199"/>
      <c r="J965" s="212"/>
      <c r="K965" s="212"/>
      <c r="L965" s="212"/>
      <c r="M965" s="212"/>
      <c r="N965" s="212"/>
      <c r="O965" s="212"/>
      <c r="P965" s="212"/>
      <c r="Q965" s="212"/>
      <c r="R965" s="212"/>
      <c r="S965" s="212"/>
      <c r="T965" s="212"/>
      <c r="U965" s="212"/>
      <c r="V965" s="212"/>
      <c r="W965" s="212"/>
      <c r="X965" s="212"/>
      <c r="Y965" s="212"/>
      <c r="Z965" s="204"/>
      <c r="AA965" s="204"/>
      <c r="AB965" s="204"/>
      <c r="AC965" s="204"/>
      <c r="AD965" s="204"/>
      <c r="AE965" s="212"/>
      <c r="AF965" s="213"/>
      <c r="AG965" s="213"/>
      <c r="AH965" s="213"/>
      <c r="AI965" s="213"/>
      <c r="AJ965" s="213"/>
      <c r="AK965" s="213"/>
      <c r="AL965" s="213"/>
      <c r="AM965" s="213"/>
      <c r="AN965" s="213"/>
      <c r="AO965" s="213"/>
      <c r="AP965" s="213"/>
      <c r="AQ965" s="213"/>
      <c r="AR965" s="213"/>
      <c r="AS965" s="213"/>
      <c r="AT965" s="213"/>
      <c r="AU965" s="213"/>
      <c r="AV965" s="213"/>
      <c r="AW965" s="213"/>
      <c r="AX965" s="213"/>
      <c r="AY965" s="213"/>
      <c r="AZ965" s="213"/>
      <c r="BA965" s="213"/>
      <c r="BB965" s="213"/>
    </row>
    <row r="966">
      <c r="A966" s="199"/>
      <c r="B966" s="12"/>
      <c r="C966" s="202"/>
      <c r="D966" s="199"/>
      <c r="E966" s="211"/>
      <c r="F966" s="201"/>
      <c r="G966" s="199"/>
      <c r="H966" s="199"/>
      <c r="I966" s="199"/>
      <c r="J966" s="212"/>
      <c r="K966" s="212"/>
      <c r="L966" s="212"/>
      <c r="M966" s="212"/>
      <c r="N966" s="212"/>
      <c r="O966" s="212"/>
      <c r="P966" s="212"/>
      <c r="Q966" s="212"/>
      <c r="R966" s="212"/>
      <c r="S966" s="212"/>
      <c r="T966" s="212"/>
      <c r="U966" s="212"/>
      <c r="V966" s="212"/>
      <c r="W966" s="212"/>
      <c r="X966" s="212"/>
      <c r="Y966" s="212"/>
      <c r="Z966" s="204"/>
      <c r="AA966" s="204"/>
      <c r="AB966" s="204"/>
      <c r="AC966" s="204"/>
      <c r="AD966" s="204"/>
      <c r="AE966" s="212"/>
      <c r="AF966" s="213"/>
      <c r="AG966" s="213"/>
      <c r="AH966" s="213"/>
      <c r="AI966" s="213"/>
      <c r="AJ966" s="213"/>
      <c r="AK966" s="213"/>
      <c r="AL966" s="213"/>
      <c r="AM966" s="213"/>
      <c r="AN966" s="213"/>
      <c r="AO966" s="213"/>
      <c r="AP966" s="213"/>
      <c r="AQ966" s="213"/>
      <c r="AR966" s="213"/>
      <c r="AS966" s="213"/>
      <c r="AT966" s="213"/>
      <c r="AU966" s="213"/>
      <c r="AV966" s="213"/>
      <c r="AW966" s="213"/>
      <c r="AX966" s="213"/>
      <c r="AY966" s="213"/>
      <c r="AZ966" s="213"/>
      <c r="BA966" s="213"/>
      <c r="BB966" s="213"/>
    </row>
    <row r="967">
      <c r="A967" s="199"/>
      <c r="B967" s="12"/>
      <c r="C967" s="202"/>
      <c r="D967" s="199"/>
      <c r="E967" s="211"/>
      <c r="F967" s="201"/>
      <c r="G967" s="199"/>
      <c r="H967" s="199"/>
      <c r="I967" s="199"/>
      <c r="J967" s="212"/>
      <c r="K967" s="212"/>
      <c r="L967" s="212"/>
      <c r="M967" s="212"/>
      <c r="N967" s="212"/>
      <c r="O967" s="212"/>
      <c r="P967" s="212"/>
      <c r="Q967" s="212"/>
      <c r="R967" s="212"/>
      <c r="S967" s="212"/>
      <c r="T967" s="212"/>
      <c r="U967" s="212"/>
      <c r="V967" s="212"/>
      <c r="W967" s="212"/>
      <c r="X967" s="212"/>
      <c r="Y967" s="212"/>
      <c r="Z967" s="204"/>
      <c r="AA967" s="204"/>
      <c r="AB967" s="204"/>
      <c r="AC967" s="204"/>
      <c r="AD967" s="204"/>
      <c r="AE967" s="212"/>
      <c r="AF967" s="213"/>
      <c r="AG967" s="213"/>
      <c r="AH967" s="213"/>
      <c r="AI967" s="213"/>
      <c r="AJ967" s="213"/>
      <c r="AK967" s="213"/>
      <c r="AL967" s="213"/>
      <c r="AM967" s="213"/>
      <c r="AN967" s="213"/>
      <c r="AO967" s="213"/>
      <c r="AP967" s="213"/>
      <c r="AQ967" s="213"/>
      <c r="AR967" s="213"/>
      <c r="AS967" s="213"/>
      <c r="AT967" s="213"/>
      <c r="AU967" s="213"/>
      <c r="AV967" s="213"/>
      <c r="AW967" s="213"/>
      <c r="AX967" s="213"/>
      <c r="AY967" s="213"/>
      <c r="AZ967" s="213"/>
      <c r="BA967" s="213"/>
      <c r="BB967" s="213"/>
    </row>
    <row r="968">
      <c r="A968" s="199"/>
      <c r="B968" s="12"/>
      <c r="C968" s="202"/>
      <c r="D968" s="199"/>
      <c r="E968" s="211"/>
      <c r="F968" s="201"/>
      <c r="G968" s="199"/>
      <c r="H968" s="199"/>
      <c r="I968" s="199"/>
      <c r="J968" s="212"/>
      <c r="K968" s="212"/>
      <c r="L968" s="212"/>
      <c r="M968" s="212"/>
      <c r="N968" s="212"/>
      <c r="O968" s="212"/>
      <c r="P968" s="212"/>
      <c r="Q968" s="212"/>
      <c r="R968" s="212"/>
      <c r="S968" s="212"/>
      <c r="T968" s="212"/>
      <c r="U968" s="212"/>
      <c r="V968" s="212"/>
      <c r="W968" s="212"/>
      <c r="X968" s="212"/>
      <c r="Y968" s="212"/>
      <c r="Z968" s="204"/>
      <c r="AA968" s="204"/>
      <c r="AB968" s="204"/>
      <c r="AC968" s="204"/>
      <c r="AD968" s="204"/>
      <c r="AE968" s="212"/>
      <c r="AF968" s="213"/>
      <c r="AG968" s="213"/>
      <c r="AH968" s="213"/>
      <c r="AI968" s="213"/>
      <c r="AJ968" s="213"/>
      <c r="AK968" s="213"/>
      <c r="AL968" s="213"/>
      <c r="AM968" s="213"/>
      <c r="AN968" s="213"/>
      <c r="AO968" s="213"/>
      <c r="AP968" s="213"/>
      <c r="AQ968" s="213"/>
      <c r="AR968" s="213"/>
      <c r="AS968" s="213"/>
      <c r="AT968" s="213"/>
      <c r="AU968" s="213"/>
      <c r="AV968" s="213"/>
      <c r="AW968" s="213"/>
      <c r="AX968" s="213"/>
      <c r="AY968" s="213"/>
      <c r="AZ968" s="213"/>
      <c r="BA968" s="213"/>
      <c r="BB968" s="213"/>
    </row>
    <row r="969">
      <c r="A969" s="199"/>
      <c r="B969" s="12"/>
      <c r="C969" s="202"/>
      <c r="D969" s="199"/>
      <c r="E969" s="211"/>
      <c r="F969" s="201"/>
      <c r="G969" s="199"/>
      <c r="H969" s="199"/>
      <c r="I969" s="199"/>
      <c r="J969" s="212"/>
      <c r="K969" s="212"/>
      <c r="L969" s="212"/>
      <c r="M969" s="212"/>
      <c r="N969" s="212"/>
      <c r="O969" s="212"/>
      <c r="P969" s="212"/>
      <c r="Q969" s="212"/>
      <c r="R969" s="212"/>
      <c r="S969" s="212"/>
      <c r="T969" s="212"/>
      <c r="U969" s="212"/>
      <c r="V969" s="212"/>
      <c r="W969" s="212"/>
      <c r="X969" s="212"/>
      <c r="Y969" s="212"/>
      <c r="Z969" s="204"/>
      <c r="AA969" s="204"/>
      <c r="AB969" s="204"/>
      <c r="AC969" s="204"/>
      <c r="AD969" s="204"/>
      <c r="AE969" s="212"/>
      <c r="AF969" s="213"/>
      <c r="AG969" s="213"/>
      <c r="AH969" s="213"/>
      <c r="AI969" s="213"/>
      <c r="AJ969" s="213"/>
      <c r="AK969" s="213"/>
      <c r="AL969" s="213"/>
      <c r="AM969" s="213"/>
      <c r="AN969" s="213"/>
      <c r="AO969" s="213"/>
      <c r="AP969" s="213"/>
      <c r="AQ969" s="213"/>
      <c r="AR969" s="213"/>
      <c r="AS969" s="213"/>
      <c r="AT969" s="213"/>
      <c r="AU969" s="213"/>
      <c r="AV969" s="213"/>
      <c r="AW969" s="213"/>
      <c r="AX969" s="213"/>
      <c r="AY969" s="213"/>
      <c r="AZ969" s="213"/>
      <c r="BA969" s="213"/>
      <c r="BB969" s="213"/>
    </row>
    <row r="970">
      <c r="A970" s="199"/>
      <c r="B970" s="12"/>
      <c r="C970" s="202"/>
      <c r="D970" s="199"/>
      <c r="E970" s="211"/>
      <c r="F970" s="201"/>
      <c r="G970" s="199"/>
      <c r="H970" s="199"/>
      <c r="I970" s="199"/>
      <c r="J970" s="212"/>
      <c r="K970" s="212"/>
      <c r="L970" s="212"/>
      <c r="M970" s="212"/>
      <c r="N970" s="212"/>
      <c r="O970" s="212"/>
      <c r="P970" s="212"/>
      <c r="Q970" s="212"/>
      <c r="R970" s="212"/>
      <c r="S970" s="212"/>
      <c r="T970" s="212"/>
      <c r="U970" s="212"/>
      <c r="V970" s="212"/>
      <c r="W970" s="212"/>
      <c r="X970" s="212"/>
      <c r="Y970" s="212"/>
      <c r="Z970" s="204"/>
      <c r="AA970" s="204"/>
      <c r="AB970" s="204"/>
      <c r="AC970" s="204"/>
      <c r="AD970" s="204"/>
      <c r="AE970" s="212"/>
      <c r="AF970" s="213"/>
      <c r="AG970" s="213"/>
      <c r="AH970" s="213"/>
      <c r="AI970" s="213"/>
      <c r="AJ970" s="213"/>
      <c r="AK970" s="213"/>
      <c r="AL970" s="213"/>
      <c r="AM970" s="213"/>
      <c r="AN970" s="213"/>
      <c r="AO970" s="213"/>
      <c r="AP970" s="213"/>
      <c r="AQ970" s="213"/>
      <c r="AR970" s="213"/>
      <c r="AS970" s="213"/>
      <c r="AT970" s="213"/>
      <c r="AU970" s="213"/>
      <c r="AV970" s="213"/>
      <c r="AW970" s="213"/>
      <c r="AX970" s="213"/>
      <c r="AY970" s="213"/>
      <c r="AZ970" s="213"/>
      <c r="BA970" s="213"/>
      <c r="BB970" s="213"/>
    </row>
    <row r="971">
      <c r="A971" s="199"/>
      <c r="B971" s="12"/>
      <c r="C971" s="202"/>
      <c r="D971" s="199"/>
      <c r="E971" s="211"/>
      <c r="F971" s="201"/>
      <c r="G971" s="199"/>
      <c r="H971" s="199"/>
      <c r="I971" s="199"/>
      <c r="J971" s="212"/>
      <c r="K971" s="212"/>
      <c r="L971" s="212"/>
      <c r="M971" s="212"/>
      <c r="N971" s="212"/>
      <c r="O971" s="212"/>
      <c r="P971" s="212"/>
      <c r="Q971" s="212"/>
      <c r="R971" s="212"/>
      <c r="S971" s="212"/>
      <c r="T971" s="212"/>
      <c r="U971" s="212"/>
      <c r="V971" s="212"/>
      <c r="W971" s="212"/>
      <c r="X971" s="212"/>
      <c r="Y971" s="212"/>
      <c r="Z971" s="204"/>
      <c r="AA971" s="204"/>
      <c r="AB971" s="204"/>
      <c r="AC971" s="204"/>
      <c r="AD971" s="204"/>
      <c r="AE971" s="212"/>
      <c r="AF971" s="213"/>
      <c r="AG971" s="213"/>
      <c r="AH971" s="213"/>
      <c r="AI971" s="213"/>
      <c r="AJ971" s="213"/>
      <c r="AK971" s="213"/>
      <c r="AL971" s="213"/>
      <c r="AM971" s="213"/>
      <c r="AN971" s="213"/>
      <c r="AO971" s="213"/>
      <c r="AP971" s="213"/>
      <c r="AQ971" s="213"/>
      <c r="AR971" s="213"/>
      <c r="AS971" s="213"/>
      <c r="AT971" s="213"/>
      <c r="AU971" s="213"/>
      <c r="AV971" s="213"/>
      <c r="AW971" s="213"/>
      <c r="AX971" s="213"/>
      <c r="AY971" s="213"/>
      <c r="AZ971" s="213"/>
      <c r="BA971" s="213"/>
      <c r="BB971" s="213"/>
    </row>
    <row r="972">
      <c r="A972" s="199"/>
      <c r="B972" s="12"/>
      <c r="C972" s="202"/>
      <c r="D972" s="199"/>
      <c r="E972" s="211"/>
      <c r="F972" s="201"/>
      <c r="G972" s="199"/>
      <c r="H972" s="199"/>
      <c r="I972" s="199"/>
      <c r="J972" s="212"/>
      <c r="K972" s="212"/>
      <c r="L972" s="212"/>
      <c r="M972" s="212"/>
      <c r="N972" s="212"/>
      <c r="O972" s="212"/>
      <c r="P972" s="212"/>
      <c r="Q972" s="212"/>
      <c r="R972" s="212"/>
      <c r="S972" s="212"/>
      <c r="T972" s="212"/>
      <c r="U972" s="212"/>
      <c r="V972" s="212"/>
      <c r="W972" s="212"/>
      <c r="X972" s="212"/>
      <c r="Y972" s="212"/>
      <c r="Z972" s="204"/>
      <c r="AA972" s="204"/>
      <c r="AB972" s="204"/>
      <c r="AC972" s="204"/>
      <c r="AD972" s="204"/>
      <c r="AE972" s="212"/>
      <c r="AF972" s="213"/>
      <c r="AG972" s="213"/>
      <c r="AH972" s="213"/>
      <c r="AI972" s="213"/>
      <c r="AJ972" s="213"/>
      <c r="AK972" s="213"/>
      <c r="AL972" s="213"/>
      <c r="AM972" s="213"/>
      <c r="AN972" s="213"/>
      <c r="AO972" s="213"/>
      <c r="AP972" s="213"/>
      <c r="AQ972" s="213"/>
      <c r="AR972" s="213"/>
      <c r="AS972" s="213"/>
      <c r="AT972" s="213"/>
      <c r="AU972" s="213"/>
      <c r="AV972" s="213"/>
      <c r="AW972" s="213"/>
      <c r="AX972" s="213"/>
      <c r="AY972" s="213"/>
      <c r="AZ972" s="213"/>
      <c r="BA972" s="213"/>
      <c r="BB972" s="213"/>
    </row>
    <row r="973">
      <c r="A973" s="199"/>
      <c r="B973" s="12"/>
      <c r="C973" s="202"/>
      <c r="D973" s="199"/>
      <c r="E973" s="211"/>
      <c r="F973" s="201"/>
      <c r="G973" s="199"/>
      <c r="H973" s="199"/>
      <c r="I973" s="199"/>
      <c r="J973" s="212"/>
      <c r="K973" s="212"/>
      <c r="L973" s="212"/>
      <c r="M973" s="212"/>
      <c r="N973" s="212"/>
      <c r="O973" s="212"/>
      <c r="P973" s="212"/>
      <c r="Q973" s="212"/>
      <c r="R973" s="212"/>
      <c r="S973" s="212"/>
      <c r="T973" s="212"/>
      <c r="U973" s="212"/>
      <c r="V973" s="212"/>
      <c r="W973" s="212"/>
      <c r="X973" s="212"/>
      <c r="Y973" s="212"/>
      <c r="Z973" s="204"/>
      <c r="AA973" s="204"/>
      <c r="AB973" s="204"/>
      <c r="AC973" s="204"/>
      <c r="AD973" s="204"/>
      <c r="AE973" s="212"/>
      <c r="AF973" s="213"/>
      <c r="AG973" s="213"/>
      <c r="AH973" s="213"/>
      <c r="AI973" s="213"/>
      <c r="AJ973" s="213"/>
      <c r="AK973" s="213"/>
      <c r="AL973" s="213"/>
      <c r="AM973" s="213"/>
      <c r="AN973" s="213"/>
      <c r="AO973" s="213"/>
      <c r="AP973" s="213"/>
      <c r="AQ973" s="213"/>
      <c r="AR973" s="213"/>
      <c r="AS973" s="213"/>
      <c r="AT973" s="213"/>
      <c r="AU973" s="213"/>
      <c r="AV973" s="213"/>
      <c r="AW973" s="213"/>
      <c r="AX973" s="213"/>
      <c r="AY973" s="213"/>
      <c r="AZ973" s="213"/>
      <c r="BA973" s="213"/>
      <c r="BB973" s="213"/>
    </row>
    <row r="974">
      <c r="A974" s="199"/>
      <c r="B974" s="12"/>
      <c r="C974" s="202"/>
      <c r="D974" s="199"/>
      <c r="E974" s="211"/>
      <c r="F974" s="201"/>
      <c r="G974" s="199"/>
      <c r="H974" s="199"/>
      <c r="I974" s="199"/>
      <c r="J974" s="212"/>
      <c r="K974" s="212"/>
      <c r="L974" s="212"/>
      <c r="M974" s="212"/>
      <c r="N974" s="212"/>
      <c r="O974" s="212"/>
      <c r="P974" s="212"/>
      <c r="Q974" s="212"/>
      <c r="R974" s="212"/>
      <c r="S974" s="212"/>
      <c r="T974" s="212"/>
      <c r="U974" s="212"/>
      <c r="V974" s="212"/>
      <c r="W974" s="212"/>
      <c r="X974" s="212"/>
      <c r="Y974" s="212"/>
      <c r="Z974" s="204"/>
      <c r="AA974" s="204"/>
      <c r="AB974" s="204"/>
      <c r="AC974" s="204"/>
      <c r="AD974" s="204"/>
      <c r="AE974" s="212"/>
      <c r="AF974" s="213"/>
      <c r="AG974" s="213"/>
      <c r="AH974" s="213"/>
      <c r="AI974" s="213"/>
      <c r="AJ974" s="213"/>
      <c r="AK974" s="213"/>
      <c r="AL974" s="213"/>
      <c r="AM974" s="213"/>
      <c r="AN974" s="213"/>
      <c r="AO974" s="213"/>
      <c r="AP974" s="213"/>
      <c r="AQ974" s="213"/>
      <c r="AR974" s="213"/>
      <c r="AS974" s="213"/>
      <c r="AT974" s="213"/>
      <c r="AU974" s="213"/>
      <c r="AV974" s="213"/>
      <c r="AW974" s="213"/>
      <c r="AX974" s="213"/>
      <c r="AY974" s="213"/>
      <c r="AZ974" s="213"/>
      <c r="BA974" s="213"/>
      <c r="BB974" s="213"/>
    </row>
    <row r="975">
      <c r="A975" s="199"/>
      <c r="B975" s="12"/>
      <c r="C975" s="202"/>
      <c r="D975" s="199"/>
      <c r="E975" s="211"/>
      <c r="F975" s="201"/>
      <c r="G975" s="199"/>
      <c r="H975" s="199"/>
      <c r="I975" s="199"/>
      <c r="J975" s="212"/>
      <c r="K975" s="212"/>
      <c r="L975" s="212"/>
      <c r="M975" s="212"/>
      <c r="N975" s="212"/>
      <c r="O975" s="212"/>
      <c r="P975" s="212"/>
      <c r="Q975" s="212"/>
      <c r="R975" s="212"/>
      <c r="S975" s="212"/>
      <c r="T975" s="212"/>
      <c r="U975" s="212"/>
      <c r="V975" s="212"/>
      <c r="W975" s="212"/>
      <c r="X975" s="212"/>
      <c r="Y975" s="212"/>
      <c r="Z975" s="204"/>
      <c r="AA975" s="204"/>
      <c r="AB975" s="204"/>
      <c r="AC975" s="204"/>
      <c r="AD975" s="204"/>
      <c r="AE975" s="212"/>
      <c r="AF975" s="213"/>
      <c r="AG975" s="213"/>
      <c r="AH975" s="213"/>
      <c r="AI975" s="213"/>
      <c r="AJ975" s="213"/>
      <c r="AK975" s="213"/>
      <c r="AL975" s="213"/>
      <c r="AM975" s="213"/>
      <c r="AN975" s="213"/>
      <c r="AO975" s="213"/>
      <c r="AP975" s="213"/>
      <c r="AQ975" s="213"/>
      <c r="AR975" s="213"/>
      <c r="AS975" s="213"/>
      <c r="AT975" s="213"/>
      <c r="AU975" s="213"/>
      <c r="AV975" s="213"/>
      <c r="AW975" s="213"/>
      <c r="AX975" s="213"/>
      <c r="AY975" s="213"/>
      <c r="AZ975" s="213"/>
      <c r="BA975" s="213"/>
      <c r="BB975" s="213"/>
    </row>
    <row r="976">
      <c r="A976" s="199"/>
      <c r="B976" s="12"/>
      <c r="C976" s="202"/>
      <c r="D976" s="199"/>
      <c r="E976" s="211"/>
      <c r="F976" s="201"/>
      <c r="G976" s="199"/>
      <c r="H976" s="199"/>
      <c r="I976" s="199"/>
      <c r="J976" s="212"/>
      <c r="K976" s="212"/>
      <c r="L976" s="212"/>
      <c r="M976" s="212"/>
      <c r="N976" s="212"/>
      <c r="O976" s="212"/>
      <c r="P976" s="212"/>
      <c r="Q976" s="212"/>
      <c r="R976" s="212"/>
      <c r="S976" s="212"/>
      <c r="T976" s="212"/>
      <c r="U976" s="212"/>
      <c r="V976" s="212"/>
      <c r="W976" s="212"/>
      <c r="X976" s="212"/>
      <c r="Y976" s="212"/>
      <c r="Z976" s="204"/>
      <c r="AA976" s="204"/>
      <c r="AB976" s="204"/>
      <c r="AC976" s="204"/>
      <c r="AD976" s="204"/>
      <c r="AE976" s="212"/>
      <c r="AF976" s="213"/>
      <c r="AG976" s="213"/>
      <c r="AH976" s="213"/>
      <c r="AI976" s="213"/>
      <c r="AJ976" s="213"/>
      <c r="AK976" s="213"/>
      <c r="AL976" s="213"/>
      <c r="AM976" s="213"/>
      <c r="AN976" s="213"/>
      <c r="AO976" s="213"/>
      <c r="AP976" s="213"/>
      <c r="AQ976" s="213"/>
      <c r="AR976" s="213"/>
      <c r="AS976" s="213"/>
      <c r="AT976" s="213"/>
      <c r="AU976" s="213"/>
      <c r="AV976" s="213"/>
      <c r="AW976" s="213"/>
      <c r="AX976" s="213"/>
      <c r="AY976" s="213"/>
      <c r="AZ976" s="213"/>
      <c r="BA976" s="213"/>
      <c r="BB976" s="213"/>
    </row>
    <row r="977">
      <c r="A977" s="199"/>
      <c r="B977" s="12"/>
      <c r="C977" s="202"/>
      <c r="D977" s="199"/>
      <c r="E977" s="211"/>
      <c r="F977" s="201"/>
      <c r="G977" s="199"/>
      <c r="H977" s="199"/>
      <c r="I977" s="199"/>
      <c r="J977" s="212"/>
      <c r="K977" s="212"/>
      <c r="L977" s="212"/>
      <c r="M977" s="212"/>
      <c r="N977" s="212"/>
      <c r="O977" s="212"/>
      <c r="P977" s="212"/>
      <c r="Q977" s="212"/>
      <c r="R977" s="212"/>
      <c r="S977" s="212"/>
      <c r="T977" s="212"/>
      <c r="U977" s="212"/>
      <c r="V977" s="212"/>
      <c r="W977" s="212"/>
      <c r="X977" s="212"/>
      <c r="Y977" s="212"/>
      <c r="Z977" s="204"/>
      <c r="AA977" s="204"/>
      <c r="AB977" s="204"/>
      <c r="AC977" s="204"/>
      <c r="AD977" s="204"/>
      <c r="AE977" s="212"/>
      <c r="AF977" s="213"/>
      <c r="AG977" s="213"/>
      <c r="AH977" s="213"/>
      <c r="AI977" s="213"/>
      <c r="AJ977" s="213"/>
      <c r="AK977" s="213"/>
      <c r="AL977" s="213"/>
      <c r="AM977" s="213"/>
      <c r="AN977" s="213"/>
      <c r="AO977" s="213"/>
      <c r="AP977" s="213"/>
      <c r="AQ977" s="213"/>
      <c r="AR977" s="213"/>
      <c r="AS977" s="213"/>
      <c r="AT977" s="213"/>
      <c r="AU977" s="213"/>
      <c r="AV977" s="213"/>
      <c r="AW977" s="213"/>
      <c r="AX977" s="213"/>
      <c r="AY977" s="213"/>
      <c r="AZ977" s="213"/>
      <c r="BA977" s="213"/>
      <c r="BB977" s="213"/>
    </row>
    <row r="978">
      <c r="A978" s="199"/>
      <c r="B978" s="12"/>
      <c r="C978" s="202"/>
      <c r="D978" s="199"/>
      <c r="E978" s="211"/>
      <c r="F978" s="201"/>
      <c r="G978" s="199"/>
      <c r="H978" s="199"/>
      <c r="I978" s="199"/>
      <c r="J978" s="212"/>
      <c r="K978" s="212"/>
      <c r="L978" s="212"/>
      <c r="M978" s="212"/>
      <c r="N978" s="212"/>
      <c r="O978" s="212"/>
      <c r="P978" s="212"/>
      <c r="Q978" s="212"/>
      <c r="R978" s="212"/>
      <c r="S978" s="212"/>
      <c r="T978" s="212"/>
      <c r="U978" s="212"/>
      <c r="V978" s="212"/>
      <c r="W978" s="212"/>
      <c r="X978" s="212"/>
      <c r="Y978" s="212"/>
      <c r="Z978" s="204"/>
      <c r="AA978" s="204"/>
      <c r="AB978" s="204"/>
      <c r="AC978" s="204"/>
      <c r="AD978" s="204"/>
      <c r="AE978" s="212"/>
      <c r="AF978" s="213"/>
      <c r="AG978" s="213"/>
      <c r="AH978" s="213"/>
      <c r="AI978" s="213"/>
      <c r="AJ978" s="213"/>
      <c r="AK978" s="213"/>
      <c r="AL978" s="213"/>
      <c r="AM978" s="213"/>
      <c r="AN978" s="213"/>
      <c r="AO978" s="213"/>
      <c r="AP978" s="213"/>
      <c r="AQ978" s="213"/>
      <c r="AR978" s="213"/>
      <c r="AS978" s="213"/>
      <c r="AT978" s="213"/>
      <c r="AU978" s="213"/>
      <c r="AV978" s="213"/>
      <c r="AW978" s="213"/>
      <c r="AX978" s="213"/>
      <c r="AY978" s="213"/>
      <c r="AZ978" s="213"/>
      <c r="BA978" s="213"/>
      <c r="BB978" s="213"/>
    </row>
    <row r="979">
      <c r="A979" s="199"/>
      <c r="B979" s="12"/>
      <c r="C979" s="202"/>
      <c r="D979" s="199"/>
      <c r="E979" s="211"/>
      <c r="F979" s="201"/>
      <c r="G979" s="199"/>
      <c r="H979" s="199"/>
      <c r="I979" s="199"/>
      <c r="J979" s="212"/>
      <c r="K979" s="212"/>
      <c r="L979" s="212"/>
      <c r="M979" s="212"/>
      <c r="N979" s="212"/>
      <c r="O979" s="212"/>
      <c r="P979" s="212"/>
      <c r="Q979" s="212"/>
      <c r="R979" s="212"/>
      <c r="S979" s="212"/>
      <c r="T979" s="212"/>
      <c r="U979" s="212"/>
      <c r="V979" s="212"/>
      <c r="W979" s="212"/>
      <c r="X979" s="212"/>
      <c r="Y979" s="212"/>
      <c r="Z979" s="204"/>
      <c r="AA979" s="204"/>
      <c r="AB979" s="204"/>
      <c r="AC979" s="204"/>
      <c r="AD979" s="204"/>
      <c r="AE979" s="212"/>
      <c r="AF979" s="213"/>
      <c r="AG979" s="213"/>
      <c r="AH979" s="213"/>
      <c r="AI979" s="213"/>
      <c r="AJ979" s="213"/>
      <c r="AK979" s="213"/>
      <c r="AL979" s="213"/>
      <c r="AM979" s="213"/>
      <c r="AN979" s="213"/>
      <c r="AO979" s="213"/>
      <c r="AP979" s="213"/>
      <c r="AQ979" s="213"/>
      <c r="AR979" s="213"/>
      <c r="AS979" s="213"/>
      <c r="AT979" s="213"/>
      <c r="AU979" s="213"/>
      <c r="AV979" s="213"/>
      <c r="AW979" s="213"/>
      <c r="AX979" s="213"/>
      <c r="AY979" s="213"/>
      <c r="AZ979" s="213"/>
      <c r="BA979" s="213"/>
      <c r="BB979" s="213"/>
    </row>
    <row r="980">
      <c r="A980" s="199"/>
      <c r="B980" s="12"/>
      <c r="C980" s="202"/>
      <c r="D980" s="199"/>
      <c r="E980" s="211"/>
      <c r="F980" s="201"/>
      <c r="G980" s="199"/>
      <c r="H980" s="199"/>
      <c r="I980" s="199"/>
      <c r="J980" s="212"/>
      <c r="K980" s="212"/>
      <c r="L980" s="212"/>
      <c r="M980" s="212"/>
      <c r="N980" s="212"/>
      <c r="O980" s="212"/>
      <c r="P980" s="212"/>
      <c r="Q980" s="212"/>
      <c r="R980" s="212"/>
      <c r="S980" s="212"/>
      <c r="T980" s="212"/>
      <c r="U980" s="212"/>
      <c r="V980" s="212"/>
      <c r="W980" s="212"/>
      <c r="X980" s="212"/>
      <c r="Y980" s="212"/>
      <c r="Z980" s="204"/>
      <c r="AA980" s="204"/>
      <c r="AB980" s="204"/>
      <c r="AC980" s="204"/>
      <c r="AD980" s="204"/>
      <c r="AE980" s="212"/>
      <c r="AF980" s="213"/>
      <c r="AG980" s="213"/>
      <c r="AH980" s="213"/>
      <c r="AI980" s="213"/>
      <c r="AJ980" s="213"/>
      <c r="AK980" s="213"/>
      <c r="AL980" s="213"/>
      <c r="AM980" s="213"/>
      <c r="AN980" s="213"/>
      <c r="AO980" s="213"/>
      <c r="AP980" s="213"/>
      <c r="AQ980" s="213"/>
      <c r="AR980" s="213"/>
      <c r="AS980" s="213"/>
      <c r="AT980" s="213"/>
      <c r="AU980" s="213"/>
      <c r="AV980" s="213"/>
      <c r="AW980" s="213"/>
      <c r="AX980" s="213"/>
      <c r="AY980" s="213"/>
      <c r="AZ980" s="213"/>
      <c r="BA980" s="213"/>
      <c r="BB980" s="213"/>
    </row>
    <row r="981">
      <c r="A981" s="199"/>
      <c r="B981" s="12"/>
      <c r="C981" s="202"/>
      <c r="D981" s="199"/>
      <c r="E981" s="211"/>
      <c r="F981" s="201"/>
      <c r="G981" s="199"/>
      <c r="H981" s="199"/>
      <c r="I981" s="199"/>
      <c r="J981" s="212"/>
      <c r="K981" s="212"/>
      <c r="L981" s="212"/>
      <c r="M981" s="212"/>
      <c r="N981" s="212"/>
      <c r="O981" s="212"/>
      <c r="P981" s="212"/>
      <c r="Q981" s="212"/>
      <c r="R981" s="212"/>
      <c r="S981" s="212"/>
      <c r="T981" s="212"/>
      <c r="U981" s="212"/>
      <c r="V981" s="212"/>
      <c r="W981" s="212"/>
      <c r="X981" s="212"/>
      <c r="Y981" s="212"/>
      <c r="Z981" s="204"/>
      <c r="AA981" s="204"/>
      <c r="AB981" s="204"/>
      <c r="AC981" s="204"/>
      <c r="AD981" s="204"/>
      <c r="AE981" s="212"/>
      <c r="AF981" s="213"/>
      <c r="AG981" s="213"/>
      <c r="AH981" s="213"/>
      <c r="AI981" s="213"/>
      <c r="AJ981" s="213"/>
      <c r="AK981" s="213"/>
      <c r="AL981" s="213"/>
      <c r="AM981" s="213"/>
      <c r="AN981" s="213"/>
      <c r="AO981" s="213"/>
      <c r="AP981" s="213"/>
      <c r="AQ981" s="213"/>
      <c r="AR981" s="213"/>
      <c r="AS981" s="213"/>
      <c r="AT981" s="213"/>
      <c r="AU981" s="213"/>
      <c r="AV981" s="213"/>
      <c r="AW981" s="213"/>
      <c r="AX981" s="213"/>
      <c r="AY981" s="213"/>
      <c r="AZ981" s="213"/>
      <c r="BA981" s="213"/>
      <c r="BB981" s="213"/>
    </row>
    <row r="982">
      <c r="A982" s="199"/>
      <c r="B982" s="12"/>
      <c r="C982" s="202"/>
      <c r="D982" s="199"/>
      <c r="E982" s="211"/>
      <c r="F982" s="201"/>
      <c r="G982" s="199"/>
      <c r="H982" s="199"/>
      <c r="I982" s="199"/>
      <c r="J982" s="212"/>
      <c r="K982" s="212"/>
      <c r="L982" s="212"/>
      <c r="M982" s="212"/>
      <c r="N982" s="212"/>
      <c r="O982" s="212"/>
      <c r="P982" s="212"/>
      <c r="Q982" s="212"/>
      <c r="R982" s="212"/>
      <c r="S982" s="212"/>
      <c r="T982" s="212"/>
      <c r="U982" s="212"/>
      <c r="V982" s="212"/>
      <c r="W982" s="212"/>
      <c r="X982" s="212"/>
      <c r="Y982" s="212"/>
      <c r="Z982" s="204"/>
      <c r="AA982" s="204"/>
      <c r="AB982" s="204"/>
      <c r="AC982" s="204"/>
      <c r="AD982" s="204"/>
      <c r="AE982" s="212"/>
      <c r="AF982" s="213"/>
      <c r="AG982" s="213"/>
      <c r="AH982" s="213"/>
      <c r="AI982" s="213"/>
      <c r="AJ982" s="213"/>
      <c r="AK982" s="213"/>
      <c r="AL982" s="213"/>
      <c r="AM982" s="213"/>
      <c r="AN982" s="213"/>
      <c r="AO982" s="213"/>
      <c r="AP982" s="213"/>
      <c r="AQ982" s="213"/>
      <c r="AR982" s="213"/>
      <c r="AS982" s="213"/>
      <c r="AT982" s="213"/>
      <c r="AU982" s="213"/>
      <c r="AV982" s="213"/>
      <c r="AW982" s="213"/>
      <c r="AX982" s="213"/>
      <c r="AY982" s="213"/>
      <c r="AZ982" s="213"/>
      <c r="BA982" s="213"/>
      <c r="BB982" s="213"/>
    </row>
    <row r="983">
      <c r="A983" s="199"/>
      <c r="B983" s="12"/>
      <c r="C983" s="202"/>
      <c r="D983" s="199"/>
      <c r="E983" s="211"/>
      <c r="F983" s="201"/>
      <c r="G983" s="199"/>
      <c r="H983" s="199"/>
      <c r="I983" s="199"/>
      <c r="J983" s="212"/>
      <c r="K983" s="212"/>
      <c r="L983" s="212"/>
      <c r="M983" s="212"/>
      <c r="N983" s="212"/>
      <c r="O983" s="212"/>
      <c r="P983" s="212"/>
      <c r="Q983" s="212"/>
      <c r="R983" s="212"/>
      <c r="S983" s="212"/>
      <c r="T983" s="212"/>
      <c r="U983" s="212"/>
      <c r="V983" s="212"/>
      <c r="W983" s="212"/>
      <c r="X983" s="212"/>
      <c r="Y983" s="212"/>
      <c r="Z983" s="204"/>
      <c r="AA983" s="204"/>
      <c r="AB983" s="204"/>
      <c r="AC983" s="204"/>
      <c r="AD983" s="204"/>
      <c r="AE983" s="212"/>
      <c r="AF983" s="213"/>
      <c r="AG983" s="213"/>
      <c r="AH983" s="213"/>
      <c r="AI983" s="213"/>
      <c r="AJ983" s="213"/>
      <c r="AK983" s="213"/>
      <c r="AL983" s="213"/>
      <c r="AM983" s="213"/>
      <c r="AN983" s="213"/>
      <c r="AO983" s="213"/>
      <c r="AP983" s="213"/>
      <c r="AQ983" s="213"/>
      <c r="AR983" s="213"/>
      <c r="AS983" s="213"/>
      <c r="AT983" s="213"/>
      <c r="AU983" s="213"/>
      <c r="AV983" s="213"/>
      <c r="AW983" s="213"/>
      <c r="AX983" s="213"/>
      <c r="AY983" s="213"/>
      <c r="AZ983" s="213"/>
      <c r="BA983" s="213"/>
      <c r="BB983" s="213"/>
    </row>
    <row r="984">
      <c r="A984" s="199"/>
      <c r="B984" s="12"/>
      <c r="C984" s="202"/>
      <c r="D984" s="199"/>
      <c r="E984" s="211"/>
      <c r="F984" s="201"/>
      <c r="G984" s="199"/>
      <c r="H984" s="199"/>
      <c r="I984" s="199"/>
      <c r="J984" s="212"/>
      <c r="K984" s="212"/>
      <c r="L984" s="212"/>
      <c r="M984" s="212"/>
      <c r="N984" s="212"/>
      <c r="O984" s="212"/>
      <c r="P984" s="212"/>
      <c r="Q984" s="212"/>
      <c r="R984" s="212"/>
      <c r="S984" s="212"/>
      <c r="T984" s="212"/>
      <c r="U984" s="212"/>
      <c r="V984" s="212"/>
      <c r="W984" s="212"/>
      <c r="X984" s="212"/>
      <c r="Y984" s="212"/>
      <c r="Z984" s="204"/>
      <c r="AA984" s="204"/>
      <c r="AB984" s="204"/>
      <c r="AC984" s="204"/>
      <c r="AD984" s="204"/>
      <c r="AE984" s="212"/>
      <c r="AF984" s="213"/>
      <c r="AG984" s="213"/>
      <c r="AH984" s="213"/>
      <c r="AI984" s="213"/>
      <c r="AJ984" s="213"/>
      <c r="AK984" s="213"/>
      <c r="AL984" s="213"/>
      <c r="AM984" s="213"/>
      <c r="AN984" s="213"/>
      <c r="AO984" s="213"/>
      <c r="AP984" s="213"/>
      <c r="AQ984" s="213"/>
      <c r="AR984" s="213"/>
      <c r="AS984" s="213"/>
      <c r="AT984" s="213"/>
      <c r="AU984" s="213"/>
      <c r="AV984" s="213"/>
      <c r="AW984" s="213"/>
      <c r="AX984" s="213"/>
      <c r="AY984" s="213"/>
      <c r="AZ984" s="213"/>
      <c r="BA984" s="213"/>
      <c r="BB984" s="213"/>
    </row>
    <row r="985">
      <c r="A985" s="199"/>
      <c r="B985" s="12"/>
      <c r="C985" s="202"/>
      <c r="D985" s="199"/>
      <c r="E985" s="211"/>
      <c r="F985" s="201"/>
      <c r="G985" s="199"/>
      <c r="H985" s="199"/>
      <c r="I985" s="199"/>
      <c r="J985" s="212"/>
      <c r="K985" s="212"/>
      <c r="L985" s="212"/>
      <c r="M985" s="212"/>
      <c r="N985" s="212"/>
      <c r="O985" s="212"/>
      <c r="P985" s="212"/>
      <c r="Q985" s="212"/>
      <c r="R985" s="212"/>
      <c r="S985" s="212"/>
      <c r="T985" s="212"/>
      <c r="U985" s="212"/>
      <c r="V985" s="212"/>
      <c r="W985" s="212"/>
      <c r="X985" s="212"/>
      <c r="Y985" s="212"/>
      <c r="Z985" s="204"/>
      <c r="AA985" s="204"/>
      <c r="AB985" s="204"/>
      <c r="AC985" s="204"/>
      <c r="AD985" s="204"/>
      <c r="AE985" s="212"/>
      <c r="AF985" s="213"/>
      <c r="AG985" s="213"/>
      <c r="AH985" s="213"/>
      <c r="AI985" s="213"/>
      <c r="AJ985" s="213"/>
      <c r="AK985" s="213"/>
      <c r="AL985" s="213"/>
      <c r="AM985" s="213"/>
      <c r="AN985" s="213"/>
      <c r="AO985" s="213"/>
      <c r="AP985" s="213"/>
      <c r="AQ985" s="213"/>
      <c r="AR985" s="213"/>
      <c r="AS985" s="213"/>
      <c r="AT985" s="213"/>
      <c r="AU985" s="213"/>
      <c r="AV985" s="213"/>
      <c r="AW985" s="213"/>
      <c r="AX985" s="213"/>
      <c r="AY985" s="213"/>
      <c r="AZ985" s="213"/>
      <c r="BA985" s="213"/>
      <c r="BB985" s="213"/>
    </row>
    <row r="986">
      <c r="A986" s="199"/>
      <c r="B986" s="12"/>
      <c r="C986" s="202"/>
      <c r="D986" s="199"/>
      <c r="E986" s="211"/>
      <c r="F986" s="201"/>
      <c r="G986" s="199"/>
      <c r="H986" s="199"/>
      <c r="I986" s="199"/>
      <c r="J986" s="212"/>
      <c r="K986" s="212"/>
      <c r="L986" s="212"/>
      <c r="M986" s="212"/>
      <c r="N986" s="212"/>
      <c r="O986" s="212"/>
      <c r="P986" s="212"/>
      <c r="Q986" s="212"/>
      <c r="R986" s="212"/>
      <c r="S986" s="212"/>
      <c r="T986" s="212"/>
      <c r="U986" s="212"/>
      <c r="V986" s="212"/>
      <c r="W986" s="212"/>
      <c r="X986" s="212"/>
      <c r="Y986" s="212"/>
      <c r="Z986" s="204"/>
      <c r="AA986" s="204"/>
      <c r="AB986" s="204"/>
      <c r="AC986" s="204"/>
      <c r="AD986" s="204"/>
      <c r="AE986" s="212"/>
      <c r="AF986" s="213"/>
      <c r="AG986" s="213"/>
      <c r="AH986" s="213"/>
      <c r="AI986" s="213"/>
      <c r="AJ986" s="213"/>
      <c r="AK986" s="213"/>
      <c r="AL986" s="213"/>
      <c r="AM986" s="213"/>
      <c r="AN986" s="213"/>
      <c r="AO986" s="213"/>
      <c r="AP986" s="213"/>
      <c r="AQ986" s="213"/>
      <c r="AR986" s="213"/>
      <c r="AS986" s="213"/>
      <c r="AT986" s="213"/>
      <c r="AU986" s="213"/>
      <c r="AV986" s="213"/>
      <c r="AW986" s="213"/>
      <c r="AX986" s="213"/>
      <c r="AY986" s="213"/>
      <c r="AZ986" s="213"/>
      <c r="BA986" s="213"/>
      <c r="BB986" s="213"/>
    </row>
    <row r="987">
      <c r="A987" s="199"/>
      <c r="B987" s="12"/>
      <c r="C987" s="202"/>
      <c r="D987" s="199"/>
      <c r="E987" s="211"/>
      <c r="F987" s="201"/>
      <c r="G987" s="199"/>
      <c r="H987" s="199"/>
      <c r="I987" s="199"/>
      <c r="J987" s="212"/>
      <c r="K987" s="212"/>
      <c r="L987" s="212"/>
      <c r="M987" s="212"/>
      <c r="N987" s="212"/>
      <c r="O987" s="212"/>
      <c r="P987" s="212"/>
      <c r="Q987" s="212"/>
      <c r="R987" s="212"/>
      <c r="S987" s="212"/>
      <c r="T987" s="212"/>
      <c r="U987" s="212"/>
      <c r="V987" s="212"/>
      <c r="W987" s="212"/>
      <c r="X987" s="212"/>
      <c r="Y987" s="212"/>
      <c r="Z987" s="204"/>
      <c r="AA987" s="204"/>
      <c r="AB987" s="204"/>
      <c r="AC987" s="204"/>
      <c r="AD987" s="204"/>
      <c r="AE987" s="212"/>
      <c r="AF987" s="213"/>
      <c r="AG987" s="213"/>
      <c r="AH987" s="213"/>
      <c r="AI987" s="213"/>
      <c r="AJ987" s="213"/>
      <c r="AK987" s="213"/>
      <c r="AL987" s="213"/>
      <c r="AM987" s="213"/>
      <c r="AN987" s="213"/>
      <c r="AO987" s="213"/>
      <c r="AP987" s="213"/>
      <c r="AQ987" s="213"/>
      <c r="AR987" s="213"/>
      <c r="AS987" s="213"/>
      <c r="AT987" s="213"/>
      <c r="AU987" s="213"/>
      <c r="AV987" s="213"/>
      <c r="AW987" s="213"/>
      <c r="AX987" s="213"/>
      <c r="AY987" s="213"/>
      <c r="AZ987" s="213"/>
      <c r="BA987" s="213"/>
      <c r="BB987" s="213"/>
    </row>
    <row r="988">
      <c r="A988" s="199"/>
      <c r="B988" s="12"/>
      <c r="C988" s="202"/>
      <c r="D988" s="199"/>
      <c r="E988" s="211"/>
      <c r="F988" s="201"/>
      <c r="G988" s="199"/>
      <c r="H988" s="199"/>
      <c r="I988" s="199"/>
      <c r="J988" s="212"/>
      <c r="K988" s="212"/>
      <c r="L988" s="212"/>
      <c r="M988" s="212"/>
      <c r="N988" s="212"/>
      <c r="O988" s="212"/>
      <c r="P988" s="212"/>
      <c r="Q988" s="212"/>
      <c r="R988" s="212"/>
      <c r="S988" s="212"/>
      <c r="T988" s="212"/>
      <c r="U988" s="212"/>
      <c r="V988" s="212"/>
      <c r="W988" s="212"/>
      <c r="X988" s="212"/>
      <c r="Y988" s="212"/>
      <c r="Z988" s="204"/>
      <c r="AA988" s="204"/>
      <c r="AB988" s="204"/>
      <c r="AC988" s="204"/>
      <c r="AD988" s="204"/>
      <c r="AE988" s="212"/>
      <c r="AF988" s="213"/>
      <c r="AG988" s="213"/>
      <c r="AH988" s="213"/>
      <c r="AI988" s="213"/>
      <c r="AJ988" s="213"/>
      <c r="AK988" s="213"/>
      <c r="AL988" s="213"/>
      <c r="AM988" s="213"/>
      <c r="AN988" s="213"/>
      <c r="AO988" s="213"/>
      <c r="AP988" s="213"/>
      <c r="AQ988" s="213"/>
      <c r="AR988" s="213"/>
      <c r="AS988" s="213"/>
      <c r="AT988" s="213"/>
      <c r="AU988" s="213"/>
      <c r="AV988" s="213"/>
      <c r="AW988" s="213"/>
      <c r="AX988" s="213"/>
      <c r="AY988" s="213"/>
      <c r="AZ988" s="213"/>
      <c r="BA988" s="213"/>
      <c r="BB988" s="213"/>
    </row>
    <row r="989">
      <c r="A989" s="199"/>
      <c r="B989" s="12"/>
      <c r="C989" s="202"/>
      <c r="D989" s="199"/>
      <c r="E989" s="211"/>
      <c r="F989" s="201"/>
      <c r="G989" s="199"/>
      <c r="H989" s="199"/>
      <c r="I989" s="199"/>
      <c r="J989" s="212"/>
      <c r="K989" s="212"/>
      <c r="L989" s="212"/>
      <c r="M989" s="212"/>
      <c r="N989" s="212"/>
      <c r="O989" s="212"/>
      <c r="P989" s="212"/>
      <c r="Q989" s="212"/>
      <c r="R989" s="212"/>
      <c r="S989" s="212"/>
      <c r="T989" s="212"/>
      <c r="U989" s="212"/>
      <c r="V989" s="212"/>
      <c r="W989" s="212"/>
      <c r="X989" s="212"/>
      <c r="Y989" s="212"/>
      <c r="Z989" s="204"/>
      <c r="AA989" s="204"/>
      <c r="AB989" s="204"/>
      <c r="AC989" s="204"/>
      <c r="AD989" s="204"/>
      <c r="AE989" s="212"/>
      <c r="AF989" s="213"/>
      <c r="AG989" s="213"/>
      <c r="AH989" s="213"/>
      <c r="AI989" s="213"/>
      <c r="AJ989" s="213"/>
      <c r="AK989" s="213"/>
      <c r="AL989" s="213"/>
      <c r="AM989" s="213"/>
      <c r="AN989" s="213"/>
      <c r="AO989" s="213"/>
      <c r="AP989" s="213"/>
      <c r="AQ989" s="213"/>
      <c r="AR989" s="213"/>
      <c r="AS989" s="213"/>
      <c r="AT989" s="213"/>
      <c r="AU989" s="213"/>
      <c r="AV989" s="213"/>
      <c r="AW989" s="213"/>
      <c r="AX989" s="213"/>
      <c r="AY989" s="213"/>
      <c r="AZ989" s="213"/>
      <c r="BA989" s="213"/>
      <c r="BB989" s="213"/>
    </row>
    <row r="990">
      <c r="A990" s="199"/>
      <c r="B990" s="12"/>
      <c r="C990" s="202"/>
      <c r="D990" s="199"/>
      <c r="E990" s="211"/>
      <c r="F990" s="201"/>
      <c r="G990" s="199"/>
      <c r="H990" s="199"/>
      <c r="I990" s="199"/>
      <c r="J990" s="212"/>
      <c r="K990" s="212"/>
      <c r="L990" s="212"/>
      <c r="M990" s="212"/>
      <c r="N990" s="212"/>
      <c r="O990" s="212"/>
      <c r="P990" s="212"/>
      <c r="Q990" s="212"/>
      <c r="R990" s="212"/>
      <c r="S990" s="212"/>
      <c r="T990" s="212"/>
      <c r="U990" s="212"/>
      <c r="V990" s="212"/>
      <c r="W990" s="212"/>
      <c r="X990" s="212"/>
      <c r="Y990" s="212"/>
      <c r="Z990" s="204"/>
      <c r="AA990" s="204"/>
      <c r="AB990" s="204"/>
      <c r="AC990" s="204"/>
      <c r="AD990" s="204"/>
      <c r="AE990" s="212"/>
      <c r="AF990" s="213"/>
      <c r="AG990" s="213"/>
      <c r="AH990" s="213"/>
      <c r="AI990" s="213"/>
      <c r="AJ990" s="213"/>
      <c r="AK990" s="213"/>
      <c r="AL990" s="213"/>
      <c r="AM990" s="213"/>
      <c r="AN990" s="213"/>
      <c r="AO990" s="213"/>
      <c r="AP990" s="213"/>
      <c r="AQ990" s="213"/>
      <c r="AR990" s="213"/>
      <c r="AS990" s="213"/>
      <c r="AT990" s="213"/>
      <c r="AU990" s="213"/>
      <c r="AV990" s="213"/>
      <c r="AW990" s="213"/>
      <c r="AX990" s="213"/>
      <c r="AY990" s="213"/>
      <c r="AZ990" s="213"/>
      <c r="BA990" s="213"/>
      <c r="BB990" s="213"/>
    </row>
    <row r="991">
      <c r="A991" s="199"/>
      <c r="B991" s="12"/>
      <c r="C991" s="202"/>
      <c r="D991" s="199"/>
      <c r="E991" s="211"/>
      <c r="F991" s="201"/>
      <c r="G991" s="199"/>
      <c r="H991" s="199"/>
      <c r="I991" s="199"/>
      <c r="J991" s="212"/>
      <c r="K991" s="212"/>
      <c r="L991" s="212"/>
      <c r="M991" s="212"/>
      <c r="N991" s="212"/>
      <c r="O991" s="212"/>
      <c r="P991" s="212"/>
      <c r="Q991" s="212"/>
      <c r="R991" s="212"/>
      <c r="S991" s="212"/>
      <c r="T991" s="212"/>
      <c r="U991" s="212"/>
      <c r="V991" s="212"/>
      <c r="W991" s="212"/>
      <c r="X991" s="212"/>
      <c r="Y991" s="212"/>
      <c r="Z991" s="204"/>
      <c r="AA991" s="204"/>
      <c r="AB991" s="204"/>
      <c r="AC991" s="204"/>
      <c r="AD991" s="204"/>
      <c r="AE991" s="212"/>
      <c r="AF991" s="213"/>
      <c r="AG991" s="213"/>
      <c r="AH991" s="213"/>
      <c r="AI991" s="213"/>
      <c r="AJ991" s="213"/>
      <c r="AK991" s="213"/>
      <c r="AL991" s="213"/>
      <c r="AM991" s="213"/>
      <c r="AN991" s="213"/>
      <c r="AO991" s="213"/>
      <c r="AP991" s="213"/>
      <c r="AQ991" s="213"/>
      <c r="AR991" s="213"/>
      <c r="AS991" s="213"/>
      <c r="AT991" s="213"/>
      <c r="AU991" s="213"/>
      <c r="AV991" s="213"/>
      <c r="AW991" s="213"/>
      <c r="AX991" s="213"/>
      <c r="AY991" s="213"/>
      <c r="AZ991" s="213"/>
      <c r="BA991" s="213"/>
      <c r="BB991" s="213"/>
    </row>
    <row r="992">
      <c r="A992" s="199"/>
      <c r="B992" s="12"/>
      <c r="C992" s="202"/>
      <c r="D992" s="199"/>
      <c r="E992" s="211"/>
      <c r="F992" s="201"/>
      <c r="G992" s="199"/>
      <c r="H992" s="199"/>
      <c r="I992" s="199"/>
      <c r="J992" s="212"/>
      <c r="K992" s="212"/>
      <c r="L992" s="212"/>
      <c r="M992" s="212"/>
      <c r="N992" s="212"/>
      <c r="O992" s="212"/>
      <c r="P992" s="212"/>
      <c r="Q992" s="212"/>
      <c r="R992" s="212"/>
      <c r="S992" s="212"/>
      <c r="T992" s="212"/>
      <c r="U992" s="212"/>
      <c r="V992" s="212"/>
      <c r="W992" s="212"/>
      <c r="X992" s="212"/>
      <c r="Y992" s="212"/>
      <c r="Z992" s="204"/>
      <c r="AA992" s="204"/>
      <c r="AB992" s="204"/>
      <c r="AC992" s="204"/>
      <c r="AD992" s="204"/>
      <c r="AE992" s="212"/>
      <c r="AF992" s="213"/>
      <c r="AG992" s="213"/>
      <c r="AH992" s="213"/>
      <c r="AI992" s="213"/>
      <c r="AJ992" s="213"/>
      <c r="AK992" s="213"/>
      <c r="AL992" s="213"/>
      <c r="AM992" s="213"/>
      <c r="AN992" s="213"/>
      <c r="AO992" s="213"/>
      <c r="AP992" s="213"/>
      <c r="AQ992" s="213"/>
      <c r="AR992" s="213"/>
      <c r="AS992" s="213"/>
      <c r="AT992" s="213"/>
      <c r="AU992" s="213"/>
      <c r="AV992" s="213"/>
      <c r="AW992" s="213"/>
      <c r="AX992" s="213"/>
      <c r="AY992" s="213"/>
      <c r="AZ992" s="213"/>
      <c r="BA992" s="213"/>
      <c r="BB992" s="213"/>
    </row>
    <row r="993">
      <c r="A993" s="199"/>
      <c r="B993" s="12"/>
      <c r="C993" s="202"/>
      <c r="D993" s="199"/>
      <c r="E993" s="211"/>
      <c r="F993" s="201"/>
      <c r="G993" s="199"/>
      <c r="H993" s="199"/>
      <c r="I993" s="199"/>
      <c r="J993" s="212"/>
      <c r="K993" s="212"/>
      <c r="L993" s="212"/>
      <c r="M993" s="212"/>
      <c r="N993" s="212"/>
      <c r="O993" s="212"/>
      <c r="P993" s="212"/>
      <c r="Q993" s="212"/>
      <c r="R993" s="212"/>
      <c r="S993" s="212"/>
      <c r="T993" s="212"/>
      <c r="U993" s="212"/>
      <c r="V993" s="212"/>
      <c r="W993" s="212"/>
      <c r="X993" s="212"/>
      <c r="Y993" s="212"/>
      <c r="Z993" s="204"/>
      <c r="AA993" s="204"/>
      <c r="AB993" s="204"/>
      <c r="AC993" s="204"/>
      <c r="AD993" s="204"/>
      <c r="AE993" s="212"/>
      <c r="AF993" s="213"/>
      <c r="AG993" s="213"/>
      <c r="AH993" s="213"/>
      <c r="AI993" s="213"/>
      <c r="AJ993" s="213"/>
      <c r="AK993" s="213"/>
      <c r="AL993" s="213"/>
      <c r="AM993" s="213"/>
      <c r="AN993" s="213"/>
      <c r="AO993" s="213"/>
      <c r="AP993" s="213"/>
      <c r="AQ993" s="213"/>
      <c r="AR993" s="213"/>
      <c r="AS993" s="213"/>
      <c r="AT993" s="213"/>
      <c r="AU993" s="213"/>
      <c r="AV993" s="213"/>
      <c r="AW993" s="213"/>
      <c r="AX993" s="213"/>
      <c r="AY993" s="213"/>
      <c r="AZ993" s="213"/>
      <c r="BA993" s="213"/>
      <c r="BB993" s="213"/>
    </row>
    <row r="994">
      <c r="A994" s="199"/>
      <c r="B994" s="12"/>
      <c r="C994" s="202"/>
      <c r="D994" s="199"/>
      <c r="E994" s="211"/>
      <c r="F994" s="201"/>
      <c r="G994" s="199"/>
      <c r="H994" s="199"/>
      <c r="I994" s="199"/>
      <c r="J994" s="212"/>
      <c r="K994" s="212"/>
      <c r="L994" s="212"/>
      <c r="M994" s="212"/>
      <c r="N994" s="212"/>
      <c r="O994" s="212"/>
      <c r="P994" s="212"/>
      <c r="Q994" s="212"/>
      <c r="R994" s="212"/>
      <c r="S994" s="212"/>
      <c r="T994" s="212"/>
      <c r="U994" s="212"/>
      <c r="V994" s="212"/>
      <c r="W994" s="212"/>
      <c r="X994" s="212"/>
      <c r="Y994" s="212"/>
      <c r="Z994" s="204"/>
      <c r="AA994" s="204"/>
      <c r="AB994" s="204"/>
      <c r="AC994" s="204"/>
      <c r="AD994" s="204"/>
      <c r="AE994" s="212"/>
      <c r="AF994" s="213"/>
      <c r="AG994" s="213"/>
      <c r="AH994" s="213"/>
      <c r="AI994" s="213"/>
      <c r="AJ994" s="213"/>
      <c r="AK994" s="213"/>
      <c r="AL994" s="213"/>
      <c r="AM994" s="213"/>
      <c r="AN994" s="213"/>
      <c r="AO994" s="213"/>
      <c r="AP994" s="213"/>
      <c r="AQ994" s="213"/>
      <c r="AR994" s="213"/>
      <c r="AS994" s="213"/>
      <c r="AT994" s="213"/>
      <c r="AU994" s="213"/>
      <c r="AV994" s="213"/>
      <c r="AW994" s="213"/>
      <c r="AX994" s="213"/>
      <c r="AY994" s="213"/>
      <c r="AZ994" s="213"/>
      <c r="BA994" s="213"/>
      <c r="BB994" s="213"/>
    </row>
    <row r="995">
      <c r="A995" s="199"/>
      <c r="B995" s="12"/>
      <c r="C995" s="202"/>
      <c r="D995" s="199"/>
      <c r="E995" s="211"/>
      <c r="F995" s="201"/>
      <c r="G995" s="199"/>
      <c r="H995" s="199"/>
      <c r="I995" s="199"/>
      <c r="J995" s="212"/>
      <c r="K995" s="212"/>
      <c r="L995" s="212"/>
      <c r="M995" s="212"/>
      <c r="N995" s="212"/>
      <c r="O995" s="212"/>
      <c r="P995" s="212"/>
      <c r="Q995" s="212"/>
      <c r="R995" s="212"/>
      <c r="S995" s="212"/>
      <c r="T995" s="212"/>
      <c r="U995" s="212"/>
      <c r="V995" s="212"/>
      <c r="W995" s="212"/>
      <c r="X995" s="212"/>
      <c r="Y995" s="212"/>
      <c r="Z995" s="204"/>
      <c r="AA995" s="204"/>
      <c r="AB995" s="204"/>
      <c r="AC995" s="204"/>
      <c r="AD995" s="204"/>
      <c r="AE995" s="212"/>
      <c r="AF995" s="213"/>
      <c r="AG995" s="213"/>
      <c r="AH995" s="213"/>
      <c r="AI995" s="213"/>
      <c r="AJ995" s="213"/>
      <c r="AK995" s="213"/>
      <c r="AL995" s="213"/>
      <c r="AM995" s="213"/>
      <c r="AN995" s="213"/>
      <c r="AO995" s="213"/>
      <c r="AP995" s="213"/>
      <c r="AQ995" s="213"/>
      <c r="AR995" s="213"/>
      <c r="AS995" s="213"/>
      <c r="AT995" s="213"/>
      <c r="AU995" s="213"/>
      <c r="AV995" s="213"/>
      <c r="AW995" s="213"/>
      <c r="AX995" s="213"/>
      <c r="AY995" s="213"/>
      <c r="AZ995" s="213"/>
      <c r="BA995" s="213"/>
      <c r="BB995" s="213"/>
    </row>
    <row r="996">
      <c r="A996" s="199"/>
      <c r="B996" s="12"/>
      <c r="C996" s="202"/>
      <c r="D996" s="199"/>
      <c r="E996" s="211"/>
      <c r="F996" s="201"/>
      <c r="G996" s="199"/>
      <c r="H996" s="199"/>
      <c r="I996" s="199"/>
      <c r="J996" s="212"/>
      <c r="K996" s="212"/>
      <c r="L996" s="212"/>
      <c r="M996" s="212"/>
      <c r="N996" s="212"/>
      <c r="O996" s="212"/>
      <c r="P996" s="212"/>
      <c r="Q996" s="212"/>
      <c r="R996" s="212"/>
      <c r="S996" s="212"/>
      <c r="T996" s="212"/>
      <c r="U996" s="212"/>
      <c r="V996" s="212"/>
      <c r="W996" s="212"/>
      <c r="X996" s="212"/>
      <c r="Y996" s="212"/>
      <c r="Z996" s="204"/>
      <c r="AA996" s="204"/>
      <c r="AB996" s="204"/>
      <c r="AC996" s="204"/>
      <c r="AD996" s="204"/>
      <c r="AE996" s="212"/>
      <c r="AF996" s="213"/>
      <c r="AG996" s="213"/>
      <c r="AH996" s="213"/>
      <c r="AI996" s="213"/>
      <c r="AJ996" s="213"/>
      <c r="AK996" s="213"/>
      <c r="AL996" s="213"/>
      <c r="AM996" s="213"/>
      <c r="AN996" s="213"/>
      <c r="AO996" s="213"/>
      <c r="AP996" s="213"/>
      <c r="AQ996" s="213"/>
      <c r="AR996" s="213"/>
      <c r="AS996" s="213"/>
      <c r="AT996" s="213"/>
      <c r="AU996" s="213"/>
      <c r="AV996" s="213"/>
      <c r="AW996" s="213"/>
      <c r="AX996" s="213"/>
      <c r="AY996" s="213"/>
      <c r="AZ996" s="213"/>
      <c r="BA996" s="213"/>
      <c r="BB996" s="213"/>
    </row>
    <row r="997">
      <c r="A997" s="199"/>
      <c r="B997" s="12"/>
      <c r="C997" s="202"/>
      <c r="D997" s="199"/>
      <c r="E997" s="211"/>
      <c r="F997" s="201"/>
      <c r="G997" s="199"/>
      <c r="H997" s="199"/>
      <c r="I997" s="199"/>
      <c r="J997" s="212"/>
      <c r="K997" s="212"/>
      <c r="L997" s="212"/>
      <c r="M997" s="212"/>
      <c r="N997" s="212"/>
      <c r="O997" s="212"/>
      <c r="P997" s="212"/>
      <c r="Q997" s="212"/>
      <c r="R997" s="212"/>
      <c r="S997" s="212"/>
      <c r="T997" s="212"/>
      <c r="U997" s="212"/>
      <c r="V997" s="212"/>
      <c r="W997" s="212"/>
      <c r="X997" s="212"/>
      <c r="Y997" s="212"/>
      <c r="Z997" s="204"/>
      <c r="AA997" s="204"/>
      <c r="AB997" s="204"/>
      <c r="AC997" s="204"/>
      <c r="AD997" s="204"/>
      <c r="AE997" s="212"/>
      <c r="AF997" s="213"/>
      <c r="AG997" s="213"/>
      <c r="AH997" s="213"/>
      <c r="AI997" s="213"/>
      <c r="AJ997" s="213"/>
      <c r="AK997" s="213"/>
      <c r="AL997" s="213"/>
      <c r="AM997" s="213"/>
      <c r="AN997" s="213"/>
      <c r="AO997" s="213"/>
      <c r="AP997" s="213"/>
      <c r="AQ997" s="213"/>
      <c r="AR997" s="213"/>
      <c r="AS997" s="213"/>
      <c r="AT997" s="213"/>
      <c r="AU997" s="213"/>
      <c r="AV997" s="213"/>
      <c r="AW997" s="213"/>
      <c r="AX997" s="213"/>
      <c r="AY997" s="213"/>
      <c r="AZ997" s="213"/>
      <c r="BA997" s="213"/>
      <c r="BB997" s="213"/>
    </row>
    <row r="998">
      <c r="A998" s="199"/>
      <c r="B998" s="12"/>
      <c r="C998" s="202"/>
      <c r="D998" s="199"/>
      <c r="E998" s="211"/>
      <c r="F998" s="201"/>
      <c r="G998" s="199"/>
      <c r="H998" s="199"/>
      <c r="I998" s="199"/>
      <c r="J998" s="212"/>
      <c r="K998" s="212"/>
      <c r="L998" s="212"/>
      <c r="M998" s="212"/>
      <c r="N998" s="212"/>
      <c r="O998" s="212"/>
      <c r="P998" s="212"/>
      <c r="Q998" s="212"/>
      <c r="R998" s="212"/>
      <c r="S998" s="212"/>
      <c r="T998" s="212"/>
      <c r="U998" s="212"/>
      <c r="V998" s="212"/>
      <c r="W998" s="212"/>
      <c r="X998" s="212"/>
      <c r="Y998" s="212"/>
      <c r="Z998" s="204"/>
      <c r="AA998" s="204"/>
      <c r="AB998" s="204"/>
      <c r="AC998" s="204"/>
      <c r="AD998" s="204"/>
      <c r="AE998" s="212"/>
      <c r="AF998" s="213"/>
      <c r="AG998" s="213"/>
      <c r="AH998" s="213"/>
      <c r="AI998" s="213"/>
      <c r="AJ998" s="213"/>
      <c r="AK998" s="213"/>
      <c r="AL998" s="213"/>
      <c r="AM998" s="213"/>
      <c r="AN998" s="213"/>
      <c r="AO998" s="213"/>
      <c r="AP998" s="213"/>
      <c r="AQ998" s="213"/>
      <c r="AR998" s="213"/>
      <c r="AS998" s="213"/>
      <c r="AT998" s="213"/>
      <c r="AU998" s="213"/>
      <c r="AV998" s="213"/>
      <c r="AW998" s="213"/>
      <c r="AX998" s="213"/>
      <c r="AY998" s="213"/>
      <c r="AZ998" s="213"/>
      <c r="BA998" s="213"/>
      <c r="BB998" s="213"/>
    </row>
    <row r="999">
      <c r="A999" s="199"/>
      <c r="B999" s="12"/>
      <c r="C999" s="202"/>
      <c r="D999" s="199"/>
      <c r="E999" s="211"/>
      <c r="F999" s="201"/>
      <c r="G999" s="199"/>
      <c r="H999" s="199"/>
      <c r="I999" s="199"/>
      <c r="J999" s="212"/>
      <c r="K999" s="212"/>
      <c r="L999" s="212"/>
      <c r="M999" s="212"/>
      <c r="N999" s="212"/>
      <c r="O999" s="212"/>
      <c r="P999" s="212"/>
      <c r="Q999" s="212"/>
      <c r="R999" s="212"/>
      <c r="S999" s="212"/>
      <c r="T999" s="212"/>
      <c r="U999" s="212"/>
      <c r="V999" s="212"/>
      <c r="W999" s="212"/>
      <c r="X999" s="212"/>
      <c r="Y999" s="212"/>
      <c r="Z999" s="204"/>
      <c r="AA999" s="204"/>
      <c r="AB999" s="204"/>
      <c r="AC999" s="204"/>
      <c r="AD999" s="204"/>
      <c r="AE999" s="212"/>
      <c r="AF999" s="213"/>
      <c r="AG999" s="213"/>
      <c r="AH999" s="213"/>
      <c r="AI999" s="213"/>
      <c r="AJ999" s="213"/>
      <c r="AK999" s="213"/>
      <c r="AL999" s="213"/>
      <c r="AM999" s="213"/>
      <c r="AN999" s="213"/>
      <c r="AO999" s="213"/>
      <c r="AP999" s="213"/>
      <c r="AQ999" s="213"/>
      <c r="AR999" s="213"/>
      <c r="AS999" s="213"/>
      <c r="AT999" s="213"/>
      <c r="AU999" s="213"/>
      <c r="AV999" s="213"/>
      <c r="AW999" s="213"/>
      <c r="AX999" s="213"/>
      <c r="AY999" s="213"/>
      <c r="AZ999" s="213"/>
      <c r="BA999" s="213"/>
      <c r="BB999" s="213"/>
    </row>
    <row r="1000">
      <c r="A1000" s="199"/>
      <c r="B1000" s="12"/>
      <c r="C1000" s="202"/>
      <c r="D1000" s="199"/>
      <c r="E1000" s="211"/>
      <c r="F1000" s="201"/>
      <c r="G1000" s="199"/>
      <c r="H1000" s="199"/>
      <c r="I1000" s="199"/>
      <c r="J1000" s="212"/>
      <c r="K1000" s="212"/>
      <c r="L1000" s="212"/>
      <c r="M1000" s="212"/>
      <c r="N1000" s="212"/>
      <c r="O1000" s="212"/>
      <c r="P1000" s="212"/>
      <c r="Q1000" s="212"/>
      <c r="R1000" s="212"/>
      <c r="S1000" s="212"/>
      <c r="T1000" s="212"/>
      <c r="U1000" s="212"/>
      <c r="V1000" s="212"/>
      <c r="W1000" s="212"/>
      <c r="X1000" s="212"/>
      <c r="Y1000" s="212"/>
      <c r="Z1000" s="204"/>
      <c r="AA1000" s="204"/>
      <c r="AB1000" s="204"/>
      <c r="AC1000" s="204"/>
      <c r="AD1000" s="204"/>
      <c r="AE1000" s="212"/>
      <c r="AF1000" s="213"/>
      <c r="AG1000" s="213"/>
      <c r="AH1000" s="213"/>
      <c r="AI1000" s="213"/>
      <c r="AJ1000" s="213"/>
      <c r="AK1000" s="213"/>
      <c r="AL1000" s="213"/>
      <c r="AM1000" s="213"/>
      <c r="AN1000" s="213"/>
      <c r="AO1000" s="213"/>
      <c r="AP1000" s="213"/>
      <c r="AQ1000" s="213"/>
      <c r="AR1000" s="213"/>
      <c r="AS1000" s="213"/>
      <c r="AT1000" s="213"/>
      <c r="AU1000" s="213"/>
      <c r="AV1000" s="213"/>
      <c r="AW1000" s="213"/>
      <c r="AX1000" s="213"/>
      <c r="AY1000" s="213"/>
      <c r="AZ1000" s="213"/>
      <c r="BA1000" s="213"/>
      <c r="BB1000" s="213"/>
    </row>
    <row r="1001">
      <c r="A1001" s="199"/>
      <c r="B1001" s="12"/>
      <c r="C1001" s="202"/>
      <c r="D1001" s="199"/>
      <c r="E1001" s="211"/>
      <c r="F1001" s="201"/>
      <c r="G1001" s="199"/>
      <c r="H1001" s="199"/>
      <c r="I1001" s="199"/>
      <c r="J1001" s="212"/>
      <c r="K1001" s="212"/>
      <c r="L1001" s="212"/>
      <c r="M1001" s="212"/>
      <c r="N1001" s="212"/>
      <c r="O1001" s="212"/>
      <c r="P1001" s="212"/>
      <c r="Q1001" s="212"/>
      <c r="R1001" s="212"/>
      <c r="S1001" s="212"/>
      <c r="T1001" s="212"/>
      <c r="U1001" s="212"/>
      <c r="V1001" s="212"/>
      <c r="W1001" s="212"/>
      <c r="X1001" s="212"/>
      <c r="Y1001" s="212"/>
      <c r="Z1001" s="204"/>
      <c r="AA1001" s="204"/>
      <c r="AB1001" s="204"/>
      <c r="AC1001" s="204"/>
      <c r="AD1001" s="204"/>
      <c r="AE1001" s="212"/>
      <c r="AF1001" s="213"/>
      <c r="AG1001" s="213"/>
      <c r="AH1001" s="213"/>
      <c r="AI1001" s="213"/>
      <c r="AJ1001" s="213"/>
      <c r="AK1001" s="213"/>
      <c r="AL1001" s="213"/>
      <c r="AM1001" s="213"/>
      <c r="AN1001" s="213"/>
      <c r="AO1001" s="213"/>
      <c r="AP1001" s="213"/>
      <c r="AQ1001" s="213"/>
      <c r="AR1001" s="213"/>
      <c r="AS1001" s="213"/>
      <c r="AT1001" s="213"/>
      <c r="AU1001" s="213"/>
      <c r="AV1001" s="213"/>
      <c r="AW1001" s="213"/>
      <c r="AX1001" s="213"/>
      <c r="AY1001" s="213"/>
      <c r="AZ1001" s="213"/>
      <c r="BA1001" s="213"/>
      <c r="BB1001" s="213"/>
    </row>
    <row r="1002">
      <c r="A1002" s="199"/>
      <c r="B1002" s="12"/>
      <c r="C1002" s="202"/>
      <c r="D1002" s="199"/>
      <c r="E1002" s="211"/>
      <c r="F1002" s="201"/>
      <c r="G1002" s="199"/>
      <c r="H1002" s="199"/>
      <c r="I1002" s="199"/>
      <c r="J1002" s="212"/>
      <c r="K1002" s="212"/>
      <c r="L1002" s="212"/>
      <c r="M1002" s="212"/>
      <c r="N1002" s="212"/>
      <c r="O1002" s="212"/>
      <c r="P1002" s="212"/>
      <c r="Q1002" s="212"/>
      <c r="R1002" s="212"/>
      <c r="S1002" s="212"/>
      <c r="T1002" s="212"/>
      <c r="U1002" s="212"/>
      <c r="V1002" s="212"/>
      <c r="W1002" s="212"/>
      <c r="X1002" s="212"/>
      <c r="Y1002" s="212"/>
      <c r="Z1002" s="204"/>
      <c r="AA1002" s="204"/>
      <c r="AB1002" s="204"/>
      <c r="AC1002" s="204"/>
      <c r="AD1002" s="204"/>
      <c r="AE1002" s="212"/>
      <c r="AF1002" s="213"/>
      <c r="AG1002" s="213"/>
      <c r="AH1002" s="213"/>
      <c r="AI1002" s="213"/>
      <c r="AJ1002" s="213"/>
      <c r="AK1002" s="213"/>
      <c r="AL1002" s="213"/>
      <c r="AM1002" s="213"/>
      <c r="AN1002" s="213"/>
      <c r="AO1002" s="213"/>
      <c r="AP1002" s="213"/>
      <c r="AQ1002" s="213"/>
      <c r="AR1002" s="213"/>
      <c r="AS1002" s="213"/>
      <c r="AT1002" s="213"/>
      <c r="AU1002" s="213"/>
      <c r="AV1002" s="213"/>
      <c r="AW1002" s="213"/>
      <c r="AX1002" s="213"/>
      <c r="AY1002" s="213"/>
      <c r="AZ1002" s="213"/>
      <c r="BA1002" s="213"/>
      <c r="BB1002" s="213"/>
    </row>
  </sheetData>
  <mergeCells count="16">
    <mergeCell ref="A5:A6"/>
    <mergeCell ref="C5:C6"/>
    <mergeCell ref="D5:D6"/>
    <mergeCell ref="E5:E6"/>
    <mergeCell ref="F5:F6"/>
    <mergeCell ref="G5:G6"/>
    <mergeCell ref="H5:H6"/>
    <mergeCell ref="Z5:AD5"/>
    <mergeCell ref="AE5:AE6"/>
    <mergeCell ref="I5:I6"/>
    <mergeCell ref="J5:N5"/>
    <mergeCell ref="O5:O6"/>
    <mergeCell ref="P5:S5"/>
    <mergeCell ref="T5:T6"/>
    <mergeCell ref="U5:X5"/>
    <mergeCell ref="Y5:Y6"/>
  </mergeCells>
  <dataValidations>
    <dataValidation type="list" allowBlank="1" sqref="E2">
      <formula1>$A$7:$A1002</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75"/>
    <col customWidth="1" min="3" max="3" width="30.0"/>
    <col customWidth="1" min="4" max="4" width="45.13"/>
    <col customWidth="1" min="5" max="5" width="46.13"/>
  </cols>
  <sheetData>
    <row r="1">
      <c r="A1" s="233" t="str">
        <f>IFERROR(__xludf.DUMMYFUNCTION("IMPORTRANGE(""https://docs.google.com/spreadsheets/d/1p0OIR-POzzT5ebFdyQye69S2HSXJK8_Xnj1I1vEIngE/edit?usp=sharing"",""PRF - SISC!A:E"")"),"")</f>
        <v/>
      </c>
      <c r="B1" s="233" t="str">
        <f>IFERROR(__xludf.DUMMYFUNCTION("""COMPUTED_VALUE"""),"SISC PRF ONLINE MONITORING")</f>
        <v>SISC PRF ONLINE MONITORING</v>
      </c>
      <c r="C1" s="233"/>
      <c r="D1" s="233"/>
      <c r="E1" s="233"/>
    </row>
    <row r="2">
      <c r="A2" s="233" t="str">
        <f>IFERROR(__xludf.DUMMYFUNCTION("""COMPUTED_VALUE""")," PRF NO.")</f>
        <v> PRF NO.</v>
      </c>
      <c r="B2" s="233" t="str">
        <f>IFERROR(__xludf.DUMMYFUNCTION("""COMPUTED_VALUE"""),"REQUISITIONER")</f>
        <v>REQUISITIONER</v>
      </c>
      <c r="C2" s="233" t="str">
        <f>IFERROR(__xludf.DUMMYFUNCTION("""COMPUTED_VALUE"""),"DEPARTMENT")</f>
        <v>DEPARTMENT</v>
      </c>
      <c r="D2" s="233" t="str">
        <f>IFERROR(__xludf.DUMMYFUNCTION("""COMPUTED_VALUE"""),"      ")</f>
        <v>      </v>
      </c>
      <c r="E2" s="233" t="str">
        <f>IFERROR(__xludf.DUMMYFUNCTION("""COMPUTED_VALUE"""),"Purpose")</f>
        <v>Purpose</v>
      </c>
    </row>
    <row r="3">
      <c r="A3" s="234">
        <f>IFERROR(__xludf.DUMMYFUNCTION("""COMPUTED_VALUE"""),100295.0)</f>
        <v>100295</v>
      </c>
      <c r="B3" s="235" t="str">
        <f>IFERROR(__xludf.DUMMYFUNCTION("""COMPUTED_VALUE"""),"ROMAN BALUYOT")</f>
        <v>ROMAN BALUYOT</v>
      </c>
      <c r="C3" s="235" t="str">
        <f>IFERROR(__xludf.DUMMYFUNCTION("""COMPUTED_VALUE"""),"PR &amp; MARKETING")</f>
        <v>PR &amp; MARKETING</v>
      </c>
      <c r="D3" s="196" t="str">
        <f>IFERROR(__xludf.DUMMYFUNCTION("""COMPUTED_VALUE"""),"6.5 X 13.5 FT WITH SEAMING AND EYELET ALL OVER 1PC SMART SUMMER TARP")</f>
        <v>6.5 X 13.5 FT WITH SEAMING AND EYELET ALL OVER 1PC SMART SUMMER TARP</v>
      </c>
      <c r="E3" s="196" t="str">
        <f>IFERROR(__xludf.DUMMYFUNCTION("""COMPUTED_VALUE"""),"MARKET SUMMER")</f>
        <v>MARKET SUMMER</v>
      </c>
    </row>
    <row r="4">
      <c r="A4" s="234">
        <f>IFERROR(__xludf.DUMMYFUNCTION("""COMPUTED_VALUE"""),100296.0)</f>
        <v>100296</v>
      </c>
      <c r="B4" s="235" t="str">
        <f>IFERROR(__xludf.DUMMYFUNCTION("""COMPUTED_VALUE"""),"OWIE PAR")</f>
        <v>OWIE PAR</v>
      </c>
      <c r="C4" s="235" t="str">
        <f>IFERROR(__xludf.DUMMYFUNCTION("""COMPUTED_VALUE"""),"ENGINEERING")</f>
        <v>ENGINEERING</v>
      </c>
      <c r="D4" s="196" t="str">
        <f>IFERROR(__xludf.DUMMYFUNCTION("""COMPUTED_VALUE"""),"6.5 X 13.5 FT WITH SEAMING AND EYELET ALL OVER 1PC SMART SUMMER TARP")</f>
        <v>6.5 X 13.5 FT WITH SEAMING AND EYELET ALL OVER 1PC SMART SUMMER TARP</v>
      </c>
      <c r="E4" s="196" t="str">
        <f>IFERROR(__xludf.DUMMYFUNCTION("""COMPUTED_VALUE"""),"MARKET SUMMER")</f>
        <v>MARKET SUMMER</v>
      </c>
    </row>
    <row r="5">
      <c r="A5" s="234">
        <f>IFERROR(__xludf.DUMMYFUNCTION("""COMPUTED_VALUE"""),100297.0)</f>
        <v>100297</v>
      </c>
      <c r="B5" s="235" t="str">
        <f>IFERROR(__xludf.DUMMYFUNCTION("""COMPUTED_VALUE"""),"ROY BATAQUE")</f>
        <v>ROY BATAQUE</v>
      </c>
      <c r="C5" s="235" t="str">
        <f>IFERROR(__xludf.DUMMYFUNCTION("""COMPUTED_VALUE"""),"HOUSEKEEPING")</f>
        <v>HOUSEKEEPING</v>
      </c>
      <c r="D5" s="196" t="str">
        <f>IFERROR(__xludf.DUMMYFUNCTION("""COMPUTED_VALUE"""),"GENSET BATTERY 6SM, N100L, E4IL 2PCS")</f>
        <v>GENSET BATTERY 6SM, N100L, E4IL 2PCS</v>
      </c>
      <c r="E5" s="196" t="str">
        <f>IFERROR(__xludf.DUMMYFUNCTION("""COMPUTED_VALUE"""),"STOCK REPLENISHMENT - HSKPG")</f>
        <v>STOCK REPLENISHMENT - HSKPG</v>
      </c>
    </row>
    <row r="6">
      <c r="A6" s="234">
        <f>IFERROR(__xludf.DUMMYFUNCTION("""COMPUTED_VALUE"""),100298.0)</f>
        <v>100298</v>
      </c>
      <c r="B6" s="235" t="str">
        <f>IFERROR(__xludf.DUMMYFUNCTION("""COMPUTED_VALUE"""),"ROY BATAQUE")</f>
        <v>ROY BATAQUE</v>
      </c>
      <c r="C6" s="235" t="str">
        <f>IFERROR(__xludf.DUMMYFUNCTION("""COMPUTED_VALUE"""),"ENGINEERING")</f>
        <v>ENGINEERING</v>
      </c>
      <c r="D6" s="196" t="str">
        <f>IFERROR(__xludf.DUMMYFUNCTION("""COMPUTED_VALUE"""),"GENSET BATTERY 6SM, N100L, E4IL 2PCS")</f>
        <v>GENSET BATTERY 6SM, N100L, E4IL 2PCS</v>
      </c>
      <c r="E6" s="196"/>
      <c r="H6" s="237"/>
    </row>
    <row r="7">
      <c r="A7" s="234">
        <f>IFERROR(__xludf.DUMMYFUNCTION("""COMPUTED_VALUE"""),100299.0)</f>
        <v>100299</v>
      </c>
      <c r="B7" s="235" t="str">
        <f>IFERROR(__xludf.DUMMYFUNCTION("""COMPUTED_VALUE"""),"OWIE PAR")</f>
        <v>OWIE PAR</v>
      </c>
      <c r="C7" s="235" t="str">
        <f>IFERROR(__xludf.DUMMYFUNCTION("""COMPUTED_VALUE"""),"ENGINEERING")</f>
        <v>ENGINEERING</v>
      </c>
      <c r="D7" s="196" t="str">
        <f>IFERROR(__xludf.DUMMYFUNCTION("""COMPUTED_VALUE"""),"WALL MOUNTED 2.5HP INVERTER 1UNIT")</f>
        <v>WALL MOUNTED 2.5HP INVERTER 1UNIT</v>
      </c>
      <c r="E7" s="196" t="str">
        <f>IFERROR(__xludf.DUMMYFUNCTION("""COMPUTED_VALUE"""),"FOR 409 LUX REPLACEMENT ")</f>
        <v>FOR 409 LUX REPLACEMENT </v>
      </c>
    </row>
    <row r="8">
      <c r="A8" s="234">
        <f>IFERROR(__xludf.DUMMYFUNCTION("""COMPUTED_VALUE"""),100300.0)</f>
        <v>100300</v>
      </c>
      <c r="B8" s="235" t="str">
        <f>IFERROR(__xludf.DUMMYFUNCTION("""COMPUTED_VALUE"""),"OWIE PAR")</f>
        <v>OWIE PAR</v>
      </c>
      <c r="C8" s="235" t="str">
        <f>IFERROR(__xludf.DUMMYFUNCTION("""COMPUTED_VALUE"""),"ENGINEERING")</f>
        <v>ENGINEERING</v>
      </c>
      <c r="D8" s="196" t="str">
        <f>IFERROR(__xludf.DUMMYFUNCTION("""COMPUTED_VALUE"""),"WALLMOUNTED 2.5 HP INVERTER 1UNIT")</f>
        <v>WALLMOUNTED 2.5 HP INVERTER 1UNIT</v>
      </c>
      <c r="E8" s="196" t="str">
        <f>IFERROR(__xludf.DUMMYFUNCTION("""COMPUTED_VALUE"""),"FOR 211 LUX REPLACEMENT ")</f>
        <v>FOR 211 LUX REPLACEMENT </v>
      </c>
    </row>
    <row r="9">
      <c r="A9" s="234">
        <f>IFERROR(__xludf.DUMMYFUNCTION("""COMPUTED_VALUE"""),100301.0)</f>
        <v>100301</v>
      </c>
      <c r="B9" s="235" t="str">
        <f>IFERROR(__xludf.DUMMYFUNCTION("""COMPUTED_VALUE"""),"OWIE PAR")</f>
        <v>OWIE PAR</v>
      </c>
      <c r="C9" s="235" t="str">
        <f>IFERROR(__xludf.DUMMYFUNCTION("""COMPUTED_VALUE"""),"ENGINEERING")</f>
        <v>ENGINEERING</v>
      </c>
      <c r="D9" s="196"/>
      <c r="E9" s="196" t="str">
        <f>IFERROR(__xludf.DUMMYFUNCTION("""COMPUTED_VALUE"""),"FOR LUX ROOM 202")</f>
        <v>FOR LUX ROOM 202</v>
      </c>
    </row>
    <row r="10">
      <c r="A10" s="234">
        <f>IFERROR(__xludf.DUMMYFUNCTION("""COMPUTED_VALUE"""),100302.0)</f>
        <v>100302</v>
      </c>
      <c r="B10" s="235" t="str">
        <f>IFERROR(__xludf.DUMMYFUNCTION("""COMPUTED_VALUE"""),"K-ANNE GUMATAY")</f>
        <v>K-ANNE GUMATAY</v>
      </c>
      <c r="C10" s="235" t="str">
        <f>IFERROR(__xludf.DUMMYFUNCTION("""COMPUTED_VALUE"""),"HRMD")</f>
        <v>HRMD</v>
      </c>
      <c r="D10" s="196" t="str">
        <f>IFERROR(__xludf.DUMMYFUNCTION("""COMPUTED_VALUE"""),"CLEARBOOK, UNREFILLABLE 40S 60PCS")</f>
        <v>CLEARBOOK, UNREFILLABLE 40S 60PCS</v>
      </c>
      <c r="E10" s="196" t="str">
        <f>IFERROR(__xludf.DUMMYFUNCTION("""COMPUTED_VALUE"""),"FOR FILLING RECORDS OF THE NEW EES FOR AY 2019-2020")</f>
        <v>FOR FILLING RECORDS OF THE NEW EES FOR AY 2019-2020</v>
      </c>
    </row>
    <row r="11">
      <c r="A11" s="234">
        <f>IFERROR(__xludf.DUMMYFUNCTION("""COMPUTED_VALUE"""),100303.0)</f>
        <v>100303</v>
      </c>
      <c r="B11" s="235" t="str">
        <f>IFERROR(__xludf.DUMMYFUNCTION("""COMPUTED_VALUE"""),"ROMAN BALUYOT")</f>
        <v>ROMAN BALUYOT</v>
      </c>
      <c r="C11" s="235" t="str">
        <f>IFERROR(__xludf.DUMMYFUNCTION("""COMPUTED_VALUE"""),"PR &amp; MARKETING")</f>
        <v>PR &amp; MARKETING</v>
      </c>
      <c r="D11" s="196" t="str">
        <f>IFERROR(__xludf.DUMMYFUNCTION("""COMPUTED_VALUE"""),"1 PC CONGRATULATORY TARP (SEAN JAMES BORJA); 1 PC MARTINVILLE (72X85 INCHES)")</f>
        <v>1 PC CONGRATULATORY TARP (SEAN JAMES BORJA); 1 PC MARTINVILLE (72X85 INCHES)</v>
      </c>
      <c r="E11" s="196" t="str">
        <f>IFERROR(__xludf.DUMMYFUNCTION("""COMPUTED_VALUE"""),"MARKETING")</f>
        <v>MARKETING</v>
      </c>
    </row>
    <row r="12">
      <c r="A12" s="234">
        <f>IFERROR(__xludf.DUMMYFUNCTION("""COMPUTED_VALUE"""),100304.0)</f>
        <v>100304</v>
      </c>
      <c r="B12" s="235" t="str">
        <f>IFERROR(__xludf.DUMMYFUNCTION("""COMPUTED_VALUE"""),"LUDY DE ASIS")</f>
        <v>LUDY DE ASIS</v>
      </c>
      <c r="C12" s="235" t="str">
        <f>IFERROR(__xludf.DUMMYFUNCTION("""COMPUTED_VALUE"""),"HOUSEKEEPING")</f>
        <v>HOUSEKEEPING</v>
      </c>
      <c r="D12" s="196" t="str">
        <f>IFERROR(__xludf.DUMMYFUNCTION("""COMPUTED_VALUE"""),"SEMI GLOSS LATEX WHITE 2TIN; PAINT BRUSH 1 1/2 HI TECH 2PCS; SANDING PAPER #100 3M; ACRI COLOR RAW SIENNA 2L")</f>
        <v>SEMI GLOSS LATEX WHITE 2TIN; PAINT BRUSH 1 1/2 HI TECH 2PCS; SANDING PAPER #100 3M; ACRI COLOR RAW SIENNA 2L</v>
      </c>
      <c r="E12" s="196" t="str">
        <f>IFERROR(__xludf.DUMMYFUNCTION("""COMPUTED_VALUE"""),"REPAINTING OF PURCHASING OFFICE IN TROPICAL AND OFFICE OF DANIEL IN SMALL CONFERENCE")</f>
        <v>REPAINTING OF PURCHASING OFFICE IN TROPICAL AND OFFICE OF DANIEL IN SMALL CONFERENCE</v>
      </c>
    </row>
    <row r="13">
      <c r="A13" s="234">
        <f>IFERROR(__xludf.DUMMYFUNCTION("""COMPUTED_VALUE"""),100305.0)</f>
        <v>100305</v>
      </c>
      <c r="B13" s="235" t="str">
        <f>IFERROR(__xludf.DUMMYFUNCTION("""COMPUTED_VALUE"""),"APRIL D. TRAJICO")</f>
        <v>APRIL D. TRAJICO</v>
      </c>
      <c r="C13" s="235" t="str">
        <f>IFERROR(__xludf.DUMMYFUNCTION("""COMPUTED_VALUE"""),"AMD")</f>
        <v>AMD</v>
      </c>
      <c r="D13" s="196" t="str">
        <f>IFERROR(__xludf.DUMMYFUNCTION("""COMPUTED_VALUE"""),"ENVELOPE, LEATHER SISC LONG W/ HANDLE NAVY BLUE 500PCS; ENVELOPE LEATHER SISC LONG W/ HANDLE PURPLE 850PCS")</f>
        <v>ENVELOPE, LEATHER SISC LONG W/ HANDLE NAVY BLUE 500PCS; ENVELOPE LEATHER SISC LONG W/ HANDLE PURPLE 850PCS</v>
      </c>
      <c r="E13" s="196" t="str">
        <f>IFERROR(__xludf.DUMMYFUNCTION("""COMPUTED_VALUE"""),"STUDENT MATERIALS AY19-20")</f>
        <v>STUDENT MATERIALS AY19-20</v>
      </c>
    </row>
    <row r="14">
      <c r="A14" s="234">
        <f>IFERROR(__xludf.DUMMYFUNCTION("""COMPUTED_VALUE"""),100306.0)</f>
        <v>100306</v>
      </c>
      <c r="B14" s="235" t="str">
        <f>IFERROR(__xludf.DUMMYFUNCTION("""COMPUTED_VALUE"""),"APRIL D. TRAJICO")</f>
        <v>APRIL D. TRAJICO</v>
      </c>
      <c r="C14" s="235" t="str">
        <f>IFERROR(__xludf.DUMMYFUNCTION("""COMPUTED_VALUE"""),"AMD")</f>
        <v>AMD</v>
      </c>
      <c r="D14" s="196" t="str">
        <f>IFERROR(__xludf.DUMMYFUNCTION("""COMPUTED_VALUE"""),"ENVELOPE BROWN WITH SISC LOGO 400PCS")</f>
        <v>ENVELOPE BROWN WITH SISC LOGO 400PCS</v>
      </c>
      <c r="E14" s="196" t="str">
        <f>IFERROR(__xludf.DUMMYFUNCTION("""COMPUTED_VALUE"""),"STUDENT MATERIALS AY19-20")</f>
        <v>STUDENT MATERIALS AY19-20</v>
      </c>
    </row>
    <row r="15">
      <c r="A15" s="234">
        <f>IFERROR(__xludf.DUMMYFUNCTION("""COMPUTED_VALUE"""),100307.0)</f>
        <v>100307</v>
      </c>
      <c r="B15" s="235" t="str">
        <f>IFERROR(__xludf.DUMMYFUNCTION("""COMPUTED_VALUE"""),"APRIL D. TRAJICO")</f>
        <v>APRIL D. TRAJICO</v>
      </c>
      <c r="C15" s="235" t="str">
        <f>IFERROR(__xludf.DUMMYFUNCTION("""COMPUTED_VALUE"""),"AMD")</f>
        <v>AMD</v>
      </c>
      <c r="D15" s="196" t="str">
        <f>IFERROR(__xludf.DUMMYFUNCTION("""COMPUTED_VALUE"""),"Notebook, Mathematics SISC Big SQ. Purple (Gr. 1-4) 220PCS; Notebook, Writing SISC R/B Lines Purple Portrait 1810PCS; Notebooklet, Writing SISC Landscape Purple 140PCS; Notebook, Mathematics SISC Small SQ. Purple (Gr. 5-6) 120PCS; Notebook, Composition SI"&amp;"SC Blue Lines Purple 600PCS")</f>
        <v>Notebook, Mathematics SISC Big SQ. Purple (Gr. 1-4) 220PCS; Notebook, Writing SISC R/B Lines Purple Portrait 1810PCS; Notebooklet, Writing SISC Landscape Purple 140PCS; Notebook, Mathematics SISC Small SQ. Purple (Gr. 5-6) 120PCS; Notebook, Composition SISC Blue Lines Purple 600PCS</v>
      </c>
      <c r="E15" s="196" t="str">
        <f>IFERROR(__xludf.DUMMYFUNCTION("""COMPUTED_VALUE"""),"STUDENT MATERIALS AY19-20")</f>
        <v>STUDENT MATERIALS AY19-20</v>
      </c>
    </row>
    <row r="16">
      <c r="A16" s="234">
        <f>IFERROR(__xludf.DUMMYFUNCTION("""COMPUTED_VALUE"""),100308.0)</f>
        <v>100308</v>
      </c>
      <c r="B16" s="235" t="str">
        <f>IFERROR(__xludf.DUMMYFUNCTION("""COMPUTED_VALUE"""),"APRIL D. TRAJICO")</f>
        <v>APRIL D. TRAJICO</v>
      </c>
      <c r="C16" s="235" t="str">
        <f>IFERROR(__xludf.DUMMYFUNCTION("""COMPUTED_VALUE"""),"AMD")</f>
        <v>AMD</v>
      </c>
      <c r="D16" s="196" t="str">
        <f>IFERROR(__xludf.DUMMYFUNCTION("""COMPUTED_VALUE"""),"Notebook, High School Mathematics Purple 450PCS; Notebook, High School Composition Purple 1560PCS; Folder, White Long w/ SISC Logo 6600PCS; Folder, Plastic/Cover long 900PCS; Booklet, Spelling Gr. 1-3 SISC 110PCS")</f>
        <v>Notebook, High School Mathematics Purple 450PCS; Notebook, High School Composition Purple 1560PCS; Folder, White Long w/ SISC Logo 6600PCS; Folder, Plastic/Cover long 900PCS; Booklet, Spelling Gr. 1-3 SISC 110PCS</v>
      </c>
      <c r="E16" s="196" t="str">
        <f>IFERROR(__xludf.DUMMYFUNCTION("""COMPUTED_VALUE"""),"STUDENT MATERIALS AY19-20")</f>
        <v>STUDENT MATERIALS AY19-20</v>
      </c>
    </row>
    <row r="17">
      <c r="A17" s="234">
        <f>IFERROR(__xludf.DUMMYFUNCTION("""COMPUTED_VALUE"""),100309.0)</f>
        <v>100309</v>
      </c>
      <c r="B17" s="235" t="str">
        <f>IFERROR(__xludf.DUMMYFUNCTION("""COMPUTED_VALUE"""),"JENNIFER FONTE  ")</f>
        <v>JENNIFER FONTE  </v>
      </c>
      <c r="C17" s="235" t="str">
        <f>IFERROR(__xludf.DUMMYFUNCTION("""COMPUTED_VALUE"""),"DP MUNICH")</f>
        <v>DP MUNICH</v>
      </c>
      <c r="D17" s="196" t="str">
        <f>IFERROR(__xludf.DUMMYFUNCTION("""COMPUTED_VALUE"""),"FLOWER ARRANGEMENT (STAGE DECOR) FOR GRADE SCHOOL RECOGNITION DAY
GRADE 1 &amp; 2 (MAY 30) 9:00 - 11:00
GRADE 3 TO 5 (MAY 31) 8:30 - 1:30")</f>
        <v>FLOWER ARRANGEMENT (STAGE DECOR) FOR GRADE SCHOOL RECOGNITION DAY
GRADE 1 &amp; 2 (MAY 30) 9:00 - 11:00
GRADE 3 TO 5 (MAY 31) 8:30 - 1:30</v>
      </c>
      <c r="E17" s="196" t="str">
        <f>IFERROR(__xludf.DUMMYFUNCTION("""COMPUTED_VALUE"""),"RECOG OF GRA 1-2 MAY 30 &amp; GR 3-5 MAY 31")</f>
        <v>RECOG OF GRA 1-2 MAY 30 &amp; GR 3-5 MAY 31</v>
      </c>
    </row>
    <row r="18">
      <c r="A18" s="234">
        <f>IFERROR(__xludf.DUMMYFUNCTION("""COMPUTED_VALUE"""),100310.0)</f>
        <v>100310</v>
      </c>
      <c r="B18" s="235" t="str">
        <f>IFERROR(__xludf.DUMMYFUNCTION("""COMPUTED_VALUE"""),"PAUL ARAÑA ")</f>
        <v>PAUL ARAÑA </v>
      </c>
      <c r="C18" s="235" t="str">
        <f>IFERROR(__xludf.DUMMYFUNCTION("""COMPUTED_VALUE"""),"MIS/ICT")</f>
        <v>MIS/ICT</v>
      </c>
      <c r="D18" s="196" t="str">
        <f>IFERROR(__xludf.DUMMYFUNCTION("""COMPUTED_VALUE"""),"HEADSET RAPOO H100 35PCS")</f>
        <v>HEADSET RAPOO H100 35PCS</v>
      </c>
      <c r="E18" s="196" t="str">
        <f>IFERROR(__xludf.DUMMYFUNCTION("""COMPUTED_VALUE"""),"FOR REPLACEMENT OF HEADSET IN MUNICH")</f>
        <v>FOR REPLACEMENT OF HEADSET IN MUNICH</v>
      </c>
    </row>
    <row r="19">
      <c r="A19" s="234">
        <f>IFERROR(__xludf.DUMMYFUNCTION("""COMPUTED_VALUE"""),100311.0)</f>
        <v>100311</v>
      </c>
      <c r="B19" s="235" t="str">
        <f>IFERROR(__xludf.DUMMYFUNCTION("""COMPUTED_VALUE"""),"WILBERT BELTRAN")</f>
        <v>WILBERT BELTRAN</v>
      </c>
      <c r="C19" s="235" t="str">
        <f>IFERROR(__xludf.DUMMYFUNCTION("""COMPUTED_VALUE"""),"MIS/ICT")</f>
        <v>MIS/ICT</v>
      </c>
      <c r="D19" s="196" t="str">
        <f>IFERROR(__xludf.DUMMYFUNCTION("""COMPUTED_VALUE"""),"CANON EOS 1300D 18MP WITH EF-S 18-55MM F/3.5-5.6 III LENS KIT 1UNIT")</f>
        <v>CANON EOS 1300D 18MP WITH EF-S 18-55MM F/3.5-5.6 III LENS KIT 1UNIT</v>
      </c>
      <c r="E19" s="196" t="str">
        <f>IFERROR(__xludf.DUMMYFUNCTION("""COMPUTED_VALUE"""),"REPLACEMENT OF DEFECTIVE CAMERA ON ID PRINTING OFFICE (TO BE USED DURING ENROLMENT)")</f>
        <v>REPLACEMENT OF DEFECTIVE CAMERA ON ID PRINTING OFFICE (TO BE USED DURING ENROLMENT)</v>
      </c>
    </row>
    <row r="20">
      <c r="A20" s="234">
        <f>IFERROR(__xludf.DUMMYFUNCTION("""COMPUTED_VALUE"""),100312.0)</f>
        <v>100312</v>
      </c>
      <c r="B20" s="235" t="str">
        <f>IFERROR(__xludf.DUMMYFUNCTION("""COMPUTED_VALUE"""),"APRIL D. TRAJICO")</f>
        <v>APRIL D. TRAJICO</v>
      </c>
      <c r="C20" s="235" t="str">
        <f>IFERROR(__xludf.DUMMYFUNCTION("""COMPUTED_VALUE"""),"AMD")</f>
        <v>AMD</v>
      </c>
      <c r="D20" s="196" t="str">
        <f>IFERROR(__xludf.DUMMYFUNCTION("""COMPUTED_VALUE"""),"Diary, Preparatory (Pre-K to SK) 210PCS; Diary, Grade 1&amp;2 260PCS; Diary, Grade 3-10 Set A Silver August to December 990PCS; Diary, Grade 3-10 Set B Gold January to May 990PCS; Diary, SHS Apple Green Linen August to May 320PCS")</f>
        <v>Diary, Preparatory (Pre-K to SK) 210PCS; Diary, Grade 1&amp;2 260PCS; Diary, Grade 3-10 Set A Silver August to December 990PCS; Diary, Grade 3-10 Set B Gold January to May 990PCS; Diary, SHS Apple Green Linen August to May 320PCS</v>
      </c>
      <c r="E20" s="196" t="str">
        <f>IFERROR(__xludf.DUMMYFUNCTION("""COMPUTED_VALUE"""),"STUDENT MATERIALS AY19-20")</f>
        <v>STUDENT MATERIALS AY19-20</v>
      </c>
    </row>
    <row r="21">
      <c r="A21" s="234">
        <f>IFERROR(__xludf.DUMMYFUNCTION("""COMPUTED_VALUE"""),100313.0)</f>
        <v>100313</v>
      </c>
      <c r="B21" s="235" t="str">
        <f>IFERROR(__xludf.DUMMYFUNCTION("""COMPUTED_VALUE"""),"PHEN PETIN ")</f>
        <v>PHEN PETIN </v>
      </c>
      <c r="C21" s="235" t="str">
        <f>IFERROR(__xludf.DUMMYFUNCTION("""COMPUTED_VALUE"""),"ADMIN - STAR")</f>
        <v>ADMIN - STAR</v>
      </c>
      <c r="D21" s="196" t="str">
        <f>IFERROR(__xludf.DUMMYFUNCTION("""COMPUTED_VALUE"""),"GARDEN SOIL 10SACKS")</f>
        <v>GARDEN SOIL 10SACKS</v>
      </c>
      <c r="E21" s="196" t="str">
        <f>IFERROR(__xludf.DUMMYFUNCTION("""COMPUTED_VALUE"""),"FOR ELIZALDE GARDEN")</f>
        <v>FOR ELIZALDE GARDEN</v>
      </c>
    </row>
    <row r="22">
      <c r="A22" s="234">
        <f>IFERROR(__xludf.DUMMYFUNCTION("""COMPUTED_VALUE"""),100314.0)</f>
        <v>100314</v>
      </c>
      <c r="B22" s="235" t="str">
        <f>IFERROR(__xludf.DUMMYFUNCTION("""COMPUTED_VALUE"""),"PHEN PETIN ")</f>
        <v>PHEN PETIN </v>
      </c>
      <c r="C22" s="235" t="str">
        <f>IFERROR(__xludf.DUMMYFUNCTION("""COMPUTED_VALUE"""),"ADMIN - STAR")</f>
        <v>ADMIN - STAR</v>
      </c>
      <c r="D22" s="196" t="str">
        <f>IFERROR(__xludf.DUMMYFUNCTION("""COMPUTED_VALUE"""),"WALL FAN 3D/STANDARD (GRAY) 3PCS")</f>
        <v>WALL FAN 3D/STANDARD (GRAY) 3PCS</v>
      </c>
      <c r="E22" s="196" t="str">
        <f>IFERROR(__xludf.DUMMYFUNCTION("""COMPUTED_VALUE"""),"WALL FAN FOR ACTIVITY CENTER PANTRY AREA")</f>
        <v>WALL FAN FOR ACTIVITY CENTER PANTRY AREA</v>
      </c>
    </row>
    <row r="23">
      <c r="A23" s="234">
        <f>IFERROR(__xludf.DUMMYFUNCTION("""COMPUTED_VALUE"""),100315.0)</f>
        <v>100315</v>
      </c>
      <c r="B23" s="235" t="str">
        <f>IFERROR(__xludf.DUMMYFUNCTION("""COMPUTED_VALUE"""),"PHEN PETIN ")</f>
        <v>PHEN PETIN </v>
      </c>
      <c r="C23" s="235" t="str">
        <f>IFERROR(__xludf.DUMMYFUNCTION("""COMPUTED_VALUE"""),"ADMIN - STAR")</f>
        <v>ADMIN - STAR</v>
      </c>
      <c r="D23" s="196" t="str">
        <f>IFERROR(__xludf.DUMMYFUNCTION("""COMPUTED_VALUE"""),"CEILING FAN (ORBIT FAN) GRAY 6PCS")</f>
        <v>CEILING FAN (ORBIT FAN) GRAY 6PCS</v>
      </c>
      <c r="E23" s="196" t="str">
        <f>IFERROR(__xludf.DUMMYFUNCTION("""COMPUTED_VALUE"""),"FOR PULL OUR ROOM, FACULTY ROOM, FRONT GATE, AND ROOM 301")</f>
        <v>FOR PULL OUR ROOM, FACULTY ROOM, FRONT GATE, AND ROOM 301</v>
      </c>
    </row>
    <row r="24">
      <c r="A24" s="234">
        <f>IFERROR(__xludf.DUMMYFUNCTION("""COMPUTED_VALUE"""),100316.0)</f>
        <v>100316</v>
      </c>
      <c r="B24" s="235" t="str">
        <f>IFERROR(__xludf.DUMMYFUNCTION("""COMPUTED_VALUE"""),"RON OBLENO")</f>
        <v>RON OBLENO</v>
      </c>
      <c r="C24" s="235" t="str">
        <f>IFERROR(__xludf.DUMMYFUNCTION("""COMPUTED_VALUE"""),"MIS/ICT")</f>
        <v>MIS/ICT</v>
      </c>
      <c r="D24" s="196" t="str">
        <f>IFERROR(__xludf.DUMMYFUNCTION("""COMPUTED_VALUE"""),"TRODAT 2PCS ( RONALD OBLENO AND MARK SALIBIO)")</f>
        <v>TRODAT 2PCS ( RONALD OBLENO AND MARK SALIBIO)</v>
      </c>
      <c r="E24" s="196" t="str">
        <f>IFERROR(__xludf.DUMMYFUNCTION("""COMPUTED_VALUE"""),"FOR OFFICE USE &amp; DOCUMENT STAMP")</f>
        <v>FOR OFFICE USE &amp; DOCUMENT STAMP</v>
      </c>
    </row>
    <row r="25">
      <c r="A25" s="234">
        <f>IFERROR(__xludf.DUMMYFUNCTION("""COMPUTED_VALUE"""),100317.0)</f>
        <v>100317</v>
      </c>
      <c r="B25" s="235" t="str">
        <f>IFERROR(__xludf.DUMMYFUNCTION("""COMPUTED_VALUE"""),"PAUL ARAÑA ")</f>
        <v>PAUL ARAÑA </v>
      </c>
      <c r="C25" s="235" t="str">
        <f>IFERROR(__xludf.DUMMYFUNCTION("""COMPUTED_VALUE"""),"MIS/ICT")</f>
        <v>MIS/ICT</v>
      </c>
      <c r="D25" s="196" t="str">
        <f>IFERROR(__xludf.DUMMYFUNCTION("""COMPUTED_VALUE"""),"OPTIPLEZ 3060 MT 61 UNITS ")</f>
        <v>OPTIPLEZ 3060 MT 61 UNITS </v>
      </c>
      <c r="E25" s="196" t="str">
        <f>IFERROR(__xludf.DUMMYFUNCTION("""COMPUTED_VALUE"""),"FOR E-CLASSROOM")</f>
        <v>FOR E-CLASSROOM</v>
      </c>
    </row>
    <row r="26">
      <c r="A26" s="234">
        <f>IFERROR(__xludf.DUMMYFUNCTION("""COMPUTED_VALUE"""),100318.0)</f>
        <v>100318</v>
      </c>
      <c r="B26" s="235" t="str">
        <f>IFERROR(__xludf.DUMMYFUNCTION("""COMPUTED_VALUE"""),"ROY BATAQUE")</f>
        <v>ROY BATAQUE</v>
      </c>
      <c r="C26" s="235" t="str">
        <f>IFERROR(__xludf.DUMMYFUNCTION("""COMPUTED_VALUE"""),"HOUSEKEEPING")</f>
        <v>HOUSEKEEPING</v>
      </c>
      <c r="D26" s="196" t="str">
        <f>IFERROR(__xludf.DUMMYFUNCTION("""COMPUTED_VALUE"""),"SCRUBBING PAD (SCOTCH BRITE) 3M 150PCS")</f>
        <v>SCRUBBING PAD (SCOTCH BRITE) 3M 150PCS</v>
      </c>
      <c r="E26" s="196" t="str">
        <f>IFERROR(__xludf.DUMMYFUNCTION("""COMPUTED_VALUE"""),"STOCK REPLENISHMENT - HSKPG")</f>
        <v>STOCK REPLENISHMENT - HSKPG</v>
      </c>
    </row>
    <row r="27">
      <c r="A27" s="234">
        <f>IFERROR(__xludf.DUMMYFUNCTION("""COMPUTED_VALUE"""),100319.0)</f>
        <v>100319</v>
      </c>
      <c r="B27" s="235" t="str">
        <f>IFERROR(__xludf.DUMMYFUNCTION("""COMPUTED_VALUE"""),"ROY BATAQUE")</f>
        <v>ROY BATAQUE</v>
      </c>
      <c r="C27" s="235" t="str">
        <f>IFERROR(__xludf.DUMMYFUNCTION("""COMPUTED_VALUE"""),"HOUSEKEEPING")</f>
        <v>HOUSEKEEPING</v>
      </c>
      <c r="D27" s="196" t="str">
        <f>IFERROR(__xludf.DUMMYFUNCTION("""COMPUTED_VALUE"""),"DUST PAN BLACK ORDINARY 30PCS")</f>
        <v>DUST PAN BLACK ORDINARY 30PCS</v>
      </c>
      <c r="E27" s="196" t="str">
        <f>IFERROR(__xludf.DUMMYFUNCTION("""COMPUTED_VALUE"""),"STOCK REPLENISHMENT - HSKPG")</f>
        <v>STOCK REPLENISHMENT - HSKPG</v>
      </c>
    </row>
    <row r="28">
      <c r="A28" s="234">
        <f>IFERROR(__xludf.DUMMYFUNCTION("""COMPUTED_VALUE"""),100320.0)</f>
        <v>100320</v>
      </c>
      <c r="B28" s="235" t="str">
        <f>IFERROR(__xludf.DUMMYFUNCTION("""COMPUTED_VALUE"""),"OWIE PAR")</f>
        <v>OWIE PAR</v>
      </c>
      <c r="C28" s="235" t="str">
        <f>IFERROR(__xludf.DUMMYFUNCTION("""COMPUTED_VALUE"""),"ENGINEERING")</f>
        <v>ENGINEERING</v>
      </c>
      <c r="D28" s="196" t="str">
        <f>IFERROR(__xludf.DUMMYFUNCTION("""COMPUTED_VALUE"""),"CIRCUIT BREAKER 3POLE 150AMP GE 1UNIT")</f>
        <v>CIRCUIT BREAKER 3POLE 150AMP GE 1UNIT</v>
      </c>
      <c r="E28" s="196" t="str">
        <f>IFERROR(__xludf.DUMMYFUNCTION("""COMPUTED_VALUE"""),"FOR REPLACEMENT OF ALWAYS TRIPPING MAIN CIRCUIT BREAKER OF COLLEGE LIBRARY FOR ACU")</f>
        <v>FOR REPLACEMENT OF ALWAYS TRIPPING MAIN CIRCUIT BREAKER OF COLLEGE LIBRARY FOR ACU</v>
      </c>
    </row>
    <row r="29">
      <c r="A29" s="234">
        <f>IFERROR(__xludf.DUMMYFUNCTION("""COMPUTED_VALUE"""),100321.0)</f>
        <v>100321</v>
      </c>
      <c r="B29" s="235" t="str">
        <f>IFERROR(__xludf.DUMMYFUNCTION("""COMPUTED_VALUE"""),"LUDY DE ASIS")</f>
        <v>LUDY DE ASIS</v>
      </c>
      <c r="C29" s="235" t="str">
        <f>IFERROR(__xludf.DUMMYFUNCTION("""COMPUTED_VALUE"""),"ENGINEERING")</f>
        <v>ENGINEERING</v>
      </c>
      <c r="D29" s="196" t="str">
        <f>IFERROR(__xludf.DUMMYFUNCTION("""COMPUTED_VALUE"""),"SEMI GLOSS LATEX WHITE 2TIN; ACRI COLOR RAW SIENNA 2L; ACRYLIC EMULSION 1GAL; PAINT ROLLER #7 ACRYLON 2PCS; PAINT BRUSH # 1 1/2 2PCS ;SAND PAPER #100 3YARDS")</f>
        <v>SEMI GLOSS LATEX WHITE 2TIN; ACRI COLOR RAW SIENNA 2L; ACRYLIC EMULSION 1GAL; PAINT ROLLER #7 ACRYLON 2PCS; PAINT BRUSH # 1 1/2 2PCS ;SAND PAPER #100 3YARDS</v>
      </c>
      <c r="E29" s="196" t="str">
        <f>IFERROR(__xludf.DUMMYFUNCTION("""COMPUTED_VALUE"""),"FOR REPAINTING OF WALL IN SHOLASTIC, BAGGAGE AREA, DISCUSSION, 518, 505")</f>
        <v>FOR REPAINTING OF WALL IN SHOLASTIC, BAGGAGE AREA, DISCUSSION, 518, 505</v>
      </c>
    </row>
    <row r="30">
      <c r="A30" s="234">
        <f>IFERROR(__xludf.DUMMYFUNCTION("""COMPUTED_VALUE"""),100322.0)</f>
        <v>100322</v>
      </c>
      <c r="B30" s="235" t="str">
        <f>IFERROR(__xludf.DUMMYFUNCTION("""COMPUTED_VALUE"""),"APRIL TRAJICO")</f>
        <v>APRIL TRAJICO</v>
      </c>
      <c r="C30" s="235" t="str">
        <f>IFERROR(__xludf.DUMMYFUNCTION("""COMPUTED_VALUE"""),"AMD")</f>
        <v>AMD</v>
      </c>
      <c r="D30" s="196" t="str">
        <f>IFERROR(__xludf.DUMMYFUNCTION("""COMPUTED_VALUE"""),"TONER, CARTRIDGE INKONVERT LBP6000 85A 40PCS")</f>
        <v>TONER, CARTRIDGE INKONVERT LBP6000 85A 40PCS</v>
      </c>
      <c r="E30" s="196" t="str">
        <f>IFERROR(__xludf.DUMMYFUNCTION("""COMPUTED_VALUE"""),"STOCK REPLENISHMENT - OSSUP")</f>
        <v>STOCK REPLENISHMENT - OSSUP</v>
      </c>
    </row>
    <row r="31">
      <c r="A31" s="234">
        <f>IFERROR(__xludf.DUMMYFUNCTION("""COMPUTED_VALUE"""),100323.0)</f>
        <v>100323</v>
      </c>
      <c r="B31" s="235" t="str">
        <f>IFERROR(__xludf.DUMMYFUNCTION("""COMPUTED_VALUE"""),"APRIL TRAJICO")</f>
        <v>APRIL TRAJICO</v>
      </c>
      <c r="C31" s="235" t="str">
        <f>IFERROR(__xludf.DUMMYFUNCTION("""COMPUTED_VALUE"""),"AMD")</f>
        <v>AMD</v>
      </c>
      <c r="D31" s="196" t="str">
        <f>IFERROR(__xludf.DUMMYFUNCTION("""COMPUTED_VALUE"""),"ENVELOPE, BROWN LONG 1750PCS; HIGHLIGHTER STABILO GREEN 10PCS; PUSH PINS 30'S 10PCS; PAPER PARCHMENT 8.5X11 ORDINARY 500PCS")</f>
        <v>ENVELOPE, BROWN LONG 1750PCS; HIGHLIGHTER STABILO GREEN 10PCS; PUSH PINS 30'S 10PCS; PAPER PARCHMENT 8.5X11 ORDINARY 500PCS</v>
      </c>
      <c r="E31" s="196" t="str">
        <f>IFERROR(__xludf.DUMMYFUNCTION("""COMPUTED_VALUE"""),"STOCK REPLENISHMENT - OSSUP")</f>
        <v>STOCK REPLENISHMENT - OSSUP</v>
      </c>
    </row>
    <row r="32">
      <c r="A32" s="234">
        <f>IFERROR(__xludf.DUMMYFUNCTION("""COMPUTED_VALUE"""),100324.0)</f>
        <v>100324</v>
      </c>
      <c r="B32" s="235" t="str">
        <f>IFERROR(__xludf.DUMMYFUNCTION("""COMPUTED_VALUE"""),"RUEL CAJILI ")</f>
        <v>RUEL CAJILI </v>
      </c>
      <c r="C32" s="235" t="str">
        <f>IFERROR(__xludf.DUMMYFUNCTION("""COMPUTED_VALUE"""),"DCO/ISO")</f>
        <v>DCO/ISO</v>
      </c>
      <c r="D32" s="196" t="str">
        <f>IFERROR(__xludf.DUMMYFUNCTION("""COMPUTED_VALUE"""),"DOCUMENT BOXES 10PCS")</f>
        <v>DOCUMENT BOXES 10PCS</v>
      </c>
      <c r="E32" s="196" t="str">
        <f>IFERROR(__xludf.DUMMYFUNCTION("""COMPUTED_VALUE"""),"FILING OF DOCUMENTS (ISO DOCUMENTS)")</f>
        <v>FILING OF DOCUMENTS (ISO DOCUMENTS)</v>
      </c>
    </row>
    <row r="33">
      <c r="A33" s="234">
        <f>IFERROR(__xludf.DUMMYFUNCTION("""COMPUTED_VALUE"""),100325.0)</f>
        <v>100325</v>
      </c>
      <c r="B33" s="235" t="str">
        <f>IFERROR(__xludf.DUMMYFUNCTION("""COMPUTED_VALUE"""),"APRIL D. TRAJICO")</f>
        <v>APRIL D. TRAJICO</v>
      </c>
      <c r="C33" s="235" t="str">
        <f>IFERROR(__xludf.DUMMYFUNCTION("""COMPUTED_VALUE"""),"AMD")</f>
        <v>AMD</v>
      </c>
      <c r="D33" s="196" t="str">
        <f>IFERROR(__xludf.DUMMYFUNCTION("""COMPUTED_VALUE"""),"PENCIL, SISC PURPLE 3000PCS")</f>
        <v>PENCIL, SISC PURPLE 3000PCS</v>
      </c>
      <c r="E33" s="196" t="str">
        <f>IFERROR(__xludf.DUMMYFUNCTION("""COMPUTED_VALUE"""),"STUDENT MATERIALS AY19-20")</f>
        <v>STUDENT MATERIALS AY19-20</v>
      </c>
    </row>
    <row r="34">
      <c r="A34" s="234">
        <f>IFERROR(__xludf.DUMMYFUNCTION("""COMPUTED_VALUE"""),100326.0)</f>
        <v>100326</v>
      </c>
      <c r="B34" s="235" t="str">
        <f>IFERROR(__xludf.DUMMYFUNCTION("""COMPUTED_VALUE"""),"TOM TONGOHAN/OWIE PAR")</f>
        <v>TOM TONGOHAN/OWIE PAR</v>
      </c>
      <c r="C34" s="235" t="str">
        <f>IFERROR(__xludf.DUMMYFUNCTION("""COMPUTED_VALUE"""),"ENGINEERING")</f>
        <v>ENGINEERING</v>
      </c>
      <c r="D34" s="196" t="str">
        <f>IFERROR(__xludf.DUMMYFUNCTION("""COMPUTED_VALUE"""),"ELECTRICAL MATERIALS FOR POWER PANEL RELOCATION:
THHN 50MM 60M; THHN 22MM 60M; THHN 8MM 3ROLLS; THHN 3.5MM 2ROLLS; PVC PIPE 1 1/4 6LENGTHS; PVC LONG ELBOW 1 1/4 8PCS; PVC PIPE 3/4 15LENGTHS; PVC LONG ELBOW 3/4 18PCS; PULL BOX 2PCS; SOLDERLESS CONNECTOR 50"&amp;"MM 3PCS; SOLDERLESS CONNECTOR 22MM 3PCS; DIAMOND CUTTER #4 1PC; CONCRETE CHESEL 2PCS; ELECTRICAL TAPE 5ROLLS; RUBBER TAPE 2ROLLS; CEMENT 1BAG")</f>
        <v>ELECTRICAL MATERIALS FOR POWER PANEL RELOCATION:
THHN 50MM 60M; THHN 22MM 60M; THHN 8MM 3ROLLS; THHN 3.5MM 2ROLLS; PVC PIPE 1 1/4 6LENGTHS; PVC LONG ELBOW 1 1/4 8PCS; PVC PIPE 3/4 15LENGTHS; PVC LONG ELBOW 3/4 18PCS; PULL BOX 2PCS; SOLDERLESS CONNECTOR 50MM 3PCS; SOLDERLESS CONNECTOR 22MM 3PCS; DIAMOND CUTTER #4 1PC; CONCRETE CHESEL 2PCS; ELECTRICAL TAPE 5ROLLS; RUBBER TAPE 2ROLLS; CEMENT 1BAG</v>
      </c>
      <c r="E34" s="196" t="str">
        <f>IFERROR(__xludf.DUMMYFUNCTION("""COMPUTED_VALUE"""),"FOR NEW CMLC &amp; CLASSROOMS AT LUX 5TH FLR")</f>
        <v>FOR NEW CMLC &amp; CLASSROOMS AT LUX 5TH FLR</v>
      </c>
    </row>
    <row r="35">
      <c r="A35" s="234">
        <f>IFERROR(__xludf.DUMMYFUNCTION("""COMPUTED_VALUE"""),100327.0)</f>
        <v>100327</v>
      </c>
      <c r="B35" s="235" t="str">
        <f>IFERROR(__xludf.DUMMYFUNCTION("""COMPUTED_VALUE"""),"APOLLO MANCE")</f>
        <v>APOLLO MANCE</v>
      </c>
      <c r="C35" s="235" t="str">
        <f>IFERROR(__xludf.DUMMYFUNCTION("""COMPUTED_VALUE"""),"AMD")</f>
        <v>AMD</v>
      </c>
      <c r="D35" s="196" t="str">
        <f>IFERROR(__xludf.DUMMYFUNCTION("""COMPUTED_VALUE"""),"PAPER BAG BROWN #20 1000PCS")</f>
        <v>PAPER BAG BROWN #20 1000PCS</v>
      </c>
      <c r="E35" s="196" t="str">
        <f>IFERROR(__xludf.DUMMYFUNCTION("""COMPUTED_VALUE"""),"FOR TOGA PACKAGING STUDENTS AND FACULTY, BED AND COLLEGE")</f>
        <v>FOR TOGA PACKAGING STUDENTS AND FACULTY, BED AND COLLEGE</v>
      </c>
    </row>
    <row r="36">
      <c r="A36" s="234">
        <f>IFERROR(__xludf.DUMMYFUNCTION("""COMPUTED_VALUE"""),100328.0)</f>
        <v>100328</v>
      </c>
      <c r="B36" s="235" t="str">
        <f>IFERROR(__xludf.DUMMYFUNCTION("""COMPUTED_VALUE"""),"MELISSA ODOÑO")</f>
        <v>MELISSA ODOÑO</v>
      </c>
      <c r="C36" s="235" t="str">
        <f>IFERROR(__xludf.DUMMYFUNCTION("""COMPUTED_VALUE"""),"LIBRARY STAR")</f>
        <v>LIBRARY STAR</v>
      </c>
      <c r="D36" s="196" t="str">
        <f>IFERROR(__xludf.DUMMYFUNCTION("""COMPUTED_VALUE"""),"ASSORTED TITLES OF BOOKS:
ROCK ART CRITTERS: PAINT THE PERFECT PEBBLE 1COPY; BRIAN GAMES: BIG BOOK OF BOREDOM BUSTERS 1COPY; AWESOMKE EIGHT(8) EPIC (NATIONAL GEOGRAPHIC) 1COPY; MY FIRST ORIGAMI BOOK 1COPY; TIME MACHINE (MINECRAFT MASTER BUILDER) 1COPY; AM"&amp;"AZING MATHS 1COPY; SENSATIONAL SCIENCE 1COPY; TERRIFIC TECHNOLOGY 1COPY; SCIENCE AND INVENTIONS! 1COPY; EARTH &amp; SKY 1COPY")</f>
        <v>ASSORTED TITLES OF BOOKS:
ROCK ART CRITTERS: PAINT THE PERFECT PEBBLE 1COPY; BRIAN GAMES: BIG BOOK OF BOREDOM BUSTERS 1COPY; AWESOMKE EIGHT(8) EPIC (NATIONAL GEOGRAPHIC) 1COPY; MY FIRST ORIGAMI BOOK 1COPY; TIME MACHINE (MINECRAFT MASTER BUILDER) 1COPY; AMAZING MATHS 1COPY; SENSATIONAL SCIENCE 1COPY; TERRIFIC TECHNOLOGY 1COPY; SCIENCE AND INVENTIONS! 1COPY; EARTH &amp; SKY 1COPY</v>
      </c>
      <c r="E36" s="196" t="str">
        <f>IFERROR(__xludf.DUMMYFUNCTION("""COMPUTED_VALUE"""),"GENERAL REFERENCES OF STUDENTS - LIBRARY'S COPY")</f>
        <v>GENERAL REFERENCES OF STUDENTS - LIBRARY'S COPY</v>
      </c>
    </row>
    <row r="37">
      <c r="A37" s="234">
        <f>IFERROR(__xludf.DUMMYFUNCTION("""COMPUTED_VALUE"""),100329.0)</f>
        <v>100329</v>
      </c>
      <c r="B37" s="235" t="str">
        <f>IFERROR(__xludf.DUMMYFUNCTION("""COMPUTED_VALUE"""),"MELISSA ODOÑO")</f>
        <v>MELISSA ODOÑO</v>
      </c>
      <c r="C37" s="235" t="str">
        <f>IFERROR(__xludf.DUMMYFUNCTION("""COMPUTED_VALUE"""),"LIBRARY STAR")</f>
        <v>LIBRARY STAR</v>
      </c>
      <c r="D37" s="196" t="str">
        <f>IFERROR(__xludf.DUMMYFUNCTION("""COMPUTED_VALUE"""),"ASSORTED TITLES OF BOOKS:
FIRST WORD JAPANESE 1COPY; FIRST WORDS MANDARIN 1COPY; BOAT STAR 1COPY; BOY WHO LONGED TO LOOK AT THE SUN 1COPY; TALE OF TWO FISHES 1COPY; SNOW KNOWS 1COPY; DON'T BE SAD SAM 1COPY; NOT YET A YETI 1COPY; TIM'S BAD MOOD AND OTHER S"&amp;"TORIES 1COPY; HOW TO BE A SUPERCROW 1COPY; GIRLS CAN DO ANYTHING 1COPY")</f>
        <v>ASSORTED TITLES OF BOOKS:
FIRST WORD JAPANESE 1COPY; FIRST WORDS MANDARIN 1COPY; BOAT STAR 1COPY; BOY WHO LONGED TO LOOK AT THE SUN 1COPY; TALE OF TWO FISHES 1COPY; SNOW KNOWS 1COPY; DON'T BE SAD SAM 1COPY; NOT YET A YETI 1COPY; TIM'S BAD MOOD AND OTHER STORIES 1COPY; HOW TO BE A SUPERCROW 1COPY; GIRLS CAN DO ANYTHING 1COPY</v>
      </c>
      <c r="E37" s="196" t="str">
        <f>IFERROR(__xludf.DUMMYFUNCTION("""COMPUTED_VALUE"""),"GENERAL REFERENCES OF STUDENTS - LIBRARY'S COPY")</f>
        <v>GENERAL REFERENCES OF STUDENTS - LIBRARY'S COPY</v>
      </c>
    </row>
    <row r="38">
      <c r="A38" s="234">
        <f>IFERROR(__xludf.DUMMYFUNCTION("""COMPUTED_VALUE"""),100330.0)</f>
        <v>100330</v>
      </c>
      <c r="B38" s="235" t="str">
        <f>IFERROR(__xludf.DUMMYFUNCTION("""COMPUTED_VALUE"""),"MELISSA ODOÑO")</f>
        <v>MELISSA ODOÑO</v>
      </c>
      <c r="C38" s="235" t="str">
        <f>IFERROR(__xludf.DUMMYFUNCTION("""COMPUTED_VALUE"""),"LIBRARY MUNICH")</f>
        <v>LIBRARY MUNICH</v>
      </c>
      <c r="D38" s="196" t="str">
        <f>IFERROR(__xludf.DUMMYFUNCTION("""COMPUTED_VALUE"""),"ASSORTED TITLES:
STAND UP, STAND OUT 1COPY; DISCOVERING TITANIC: SEARCHING FOR THE STORIES BEHIND THE SHIPWRECK 1COPY; MINECRAFT STEM CHALLENGE 1COPY; TOOLS, ROBOTICS, AND GADGETS GALORE 1COPY; HOW COULD WE HARNESS A HURRICANE? 1COPY")</f>
        <v>ASSORTED TITLES:
STAND UP, STAND OUT 1COPY; DISCOVERING TITANIC: SEARCHING FOR THE STORIES BEHIND THE SHIPWRECK 1COPY; MINECRAFT STEM CHALLENGE 1COPY; TOOLS, ROBOTICS, AND GADGETS GALORE 1COPY; HOW COULD WE HARNESS A HURRICANE? 1COPY</v>
      </c>
      <c r="E38" s="196" t="str">
        <f>IFERROR(__xludf.DUMMYFUNCTION("""COMPUTED_VALUE"""),"GENERAL REFERENCES OF STUDENTS - LIBRARY'S COPY")</f>
        <v>GENERAL REFERENCES OF STUDENTS - LIBRARY'S COPY</v>
      </c>
    </row>
    <row r="39">
      <c r="A39" s="234">
        <f>IFERROR(__xludf.DUMMYFUNCTION("""COMPUTED_VALUE"""),100331.0)</f>
        <v>100331</v>
      </c>
      <c r="B39" s="235" t="str">
        <f>IFERROR(__xludf.DUMMYFUNCTION("""COMPUTED_VALUE"""),"APRIL TRAJICO")</f>
        <v>APRIL TRAJICO</v>
      </c>
      <c r="C39" s="235" t="str">
        <f>IFERROR(__xludf.DUMMYFUNCTION("""COMPUTED_VALUE"""),"AMD")</f>
        <v>AMD</v>
      </c>
      <c r="D39" s="196" t="str">
        <f>IFERROR(__xludf.DUMMYFUNCTION("""COMPUTED_VALUE"""),"TOGA &amp; CAP MASTER IN INFORMATION TECHNOLOGY MIT:
SMALL 4PCS; MEDIUM 4PCS; LARGE 2PCS; EXTRA LARGE 3PCS")</f>
        <v>TOGA &amp; CAP MASTER IN INFORMATION TECHNOLOGY MIT:
SMALL 4PCS; MEDIUM 4PCS; LARGE 2PCS; EXTRA LARGE 3PCS</v>
      </c>
      <c r="E39" s="196" t="str">
        <f>IFERROR(__xludf.DUMMYFUNCTION("""COMPUTED_VALUE"""),"NEW TOGAS FOR GRADUATE SCHOOL MIT")</f>
        <v>NEW TOGAS FOR GRADUATE SCHOOL MIT</v>
      </c>
    </row>
    <row r="40">
      <c r="A40" s="234">
        <f>IFERROR(__xludf.DUMMYFUNCTION("""COMPUTED_VALUE"""),100332.0)</f>
        <v>100332</v>
      </c>
      <c r="B40" s="235" t="str">
        <f>IFERROR(__xludf.DUMMYFUNCTION("""COMPUTED_VALUE"""),"APRIL TRAJICO")</f>
        <v>APRIL TRAJICO</v>
      </c>
      <c r="C40" s="235" t="str">
        <f>IFERROR(__xludf.DUMMYFUNCTION("""COMPUTED_VALUE"""),"AMD")</f>
        <v>AMD</v>
      </c>
      <c r="D40" s="196" t="str">
        <f>IFERROR(__xludf.DUMMYFUNCTION("""COMPUTED_VALUE"""),"TOGA &amp; CAP MASTER OF ARTS IN PSYCHOLOGY MAP:
XXS 3PCS; SMALL 2PCS; MEDIUM 2PCS")</f>
        <v>TOGA &amp; CAP MASTER OF ARTS IN PSYCHOLOGY MAP:
XXS 3PCS; SMALL 2PCS; MEDIUM 2PCS</v>
      </c>
      <c r="E40" s="196" t="str">
        <f>IFERROR(__xludf.DUMMYFUNCTION("""COMPUTED_VALUE"""),"NEW TOGAS FOR GRADUATE SCHOOL MAP")</f>
        <v>NEW TOGAS FOR GRADUATE SCHOOL MAP</v>
      </c>
    </row>
    <row r="41">
      <c r="A41" s="234">
        <f>IFERROR(__xludf.DUMMYFUNCTION("""COMPUTED_VALUE"""),100333.0)</f>
        <v>100333</v>
      </c>
      <c r="B41" s="235" t="str">
        <f>IFERROR(__xludf.DUMMYFUNCTION("""COMPUTED_VALUE"""),"APRIL TRAJICO")</f>
        <v>APRIL TRAJICO</v>
      </c>
      <c r="C41" s="235" t="str">
        <f>IFERROR(__xludf.DUMMYFUNCTION("""COMPUTED_VALUE"""),"AMD")</f>
        <v>AMD</v>
      </c>
      <c r="D41" s="196" t="str">
        <f>IFERROR(__xludf.DUMMYFUNCTION("""COMPUTED_VALUE"""),"TOGA &amp; CAP MASTER IN BUSINESS ADMINISTRATION MBA:
XXS 1PC; XS 3PCS; SMALL 1PC; MEDIUM 1PC; LARGE 3PCS")</f>
        <v>TOGA &amp; CAP MASTER IN BUSINESS ADMINISTRATION MBA:
XXS 1PC; XS 3PCS; SMALL 1PC; MEDIUM 1PC; LARGE 3PCS</v>
      </c>
      <c r="E41" s="196" t="str">
        <f>IFERROR(__xludf.DUMMYFUNCTION("""COMPUTED_VALUE"""),"NEW TOGAS FOR GRADUATE SCHOOL MBA")</f>
        <v>NEW TOGAS FOR GRADUATE SCHOOL MBA</v>
      </c>
    </row>
    <row r="42">
      <c r="A42" s="234">
        <f>IFERROR(__xludf.DUMMYFUNCTION("""COMPUTED_VALUE"""),100334.0)</f>
        <v>100334</v>
      </c>
      <c r="B42" s="235" t="str">
        <f>IFERROR(__xludf.DUMMYFUNCTION("""COMPUTED_VALUE"""),"PHEN PETIN")</f>
        <v>PHEN PETIN</v>
      </c>
      <c r="C42" s="235" t="str">
        <f>IFERROR(__xludf.DUMMYFUNCTION("""COMPUTED_VALUE"""),"ADMIN - STAR")</f>
        <v>ADMIN - STAR</v>
      </c>
      <c r="D42" s="196" t="str">
        <f>IFERROR(__xludf.DUMMYFUNCTION("""COMPUTED_VALUE"""),"BANQUET TABLES 2X4FT 5PCS")</f>
        <v>BANQUET TABLES 2X4FT 5PCS</v>
      </c>
      <c r="E42" s="196" t="str">
        <f>IFERROR(__xludf.DUMMYFUNCTION("""COMPUTED_VALUE"""),"ADDITIONAL BANQUET TABLES")</f>
        <v>ADDITIONAL BANQUET TABLES</v>
      </c>
    </row>
    <row r="43">
      <c r="A43" s="234">
        <f>IFERROR(__xludf.DUMMYFUNCTION("""COMPUTED_VALUE"""),100335.0)</f>
        <v>100335</v>
      </c>
      <c r="B43" s="235" t="str">
        <f>IFERROR(__xludf.DUMMYFUNCTION("""COMPUTED_VALUE"""),"LUDY DE ASIS")</f>
        <v>LUDY DE ASIS</v>
      </c>
      <c r="C43" s="235" t="str">
        <f>IFERROR(__xludf.DUMMYFUNCTION("""COMPUTED_VALUE"""),"HOUSEKEEPING")</f>
        <v>HOUSEKEEPING</v>
      </c>
      <c r="D43" s="196" t="str">
        <f>IFERROR(__xludf.DUMMYFUNCTION("""COMPUTED_VALUE"""),"CHAIR COVER 200PCS PALMS FASHION HOUSE TO DO")</f>
        <v>CHAIR COVER 200PCS PALMS FASHION HOUSE TO DO</v>
      </c>
      <c r="E43" s="196" t="str">
        <f>IFERROR(__xludf.DUMMYFUNCTION("""COMPUTED_VALUE"""),"ADDITIONAL CHAIR COVER FOR THE EVENTS")</f>
        <v>ADDITIONAL CHAIR COVER FOR THE EVENTS</v>
      </c>
    </row>
    <row r="44">
      <c r="A44" s="234">
        <f>IFERROR(__xludf.DUMMYFUNCTION("""COMPUTED_VALUE"""),100336.0)</f>
        <v>100336</v>
      </c>
      <c r="B44" s="235" t="str">
        <f>IFERROR(__xludf.DUMMYFUNCTION("""COMPUTED_VALUE"""),"LUDY DE ASIS")</f>
        <v>LUDY DE ASIS</v>
      </c>
      <c r="C44" s="235" t="str">
        <f>IFERROR(__xludf.DUMMYFUNCTION("""COMPUTED_VALUE"""),"HOUSEKEEPING")</f>
        <v>HOUSEKEEPING</v>
      </c>
      <c r="D44" s="196" t="str">
        <f>IFERROR(__xludf.DUMMYFUNCTION("""COMPUTED_VALUE"""),"GARDEN HOSE 100 METERS 2PCS")</f>
        <v>GARDEN HOSE 100 METERS 2PCS</v>
      </c>
      <c r="E44" s="196" t="str">
        <f>IFERROR(__xludf.DUMMYFUNCTION("""COMPUTED_VALUE"""),"GARDEN HOSE IN MONARCH ADDITIONAL ")</f>
        <v>GARDEN HOSE IN MONARCH ADDITIONAL </v>
      </c>
    </row>
    <row r="45">
      <c r="A45" s="234">
        <f>IFERROR(__xludf.DUMMYFUNCTION("""COMPUTED_VALUE"""),100337.0)</f>
        <v>100337</v>
      </c>
      <c r="B45" s="235" t="str">
        <f>IFERROR(__xludf.DUMMYFUNCTION("""COMPUTED_VALUE"""),"LUDY DE ASIS")</f>
        <v>LUDY DE ASIS</v>
      </c>
      <c r="C45" s="235" t="str">
        <f>IFERROR(__xludf.DUMMYFUNCTION("""COMPUTED_VALUE"""),"HOUSEKEEPING")</f>
        <v>HOUSEKEEPING</v>
      </c>
      <c r="D45" s="196" t="str">
        <f>IFERROR(__xludf.DUMMYFUNCTION("""COMPUTED_VALUE"""),"FOLDING TABLES 50PCS")</f>
        <v>FOLDING TABLES 50PCS</v>
      </c>
      <c r="E45" s="196" t="str">
        <f>IFERROR(__xludf.DUMMYFUNCTION("""COMPUTED_VALUE"""),"ADDITIONAL FOR EVENTS ")</f>
        <v>ADDITIONAL FOR EVENTS </v>
      </c>
    </row>
    <row r="46">
      <c r="A46" s="234">
        <f>IFERROR(__xludf.DUMMYFUNCTION("""COMPUTED_VALUE"""),100338.0)</f>
        <v>100338</v>
      </c>
      <c r="B46" s="235" t="str">
        <f>IFERROR(__xludf.DUMMYFUNCTION("""COMPUTED_VALUE"""),"CARLITO DELA VEGA")</f>
        <v>CARLITO DELA VEGA</v>
      </c>
      <c r="C46" s="235" t="str">
        <f>IFERROR(__xludf.DUMMYFUNCTION("""COMPUTED_VALUE"""),"SECURITY")</f>
        <v>SECURITY</v>
      </c>
      <c r="D46" s="196" t="str">
        <f>IFERROR(__xludf.DUMMYFUNCTION("""COMPUTED_VALUE"""),"THHN WIRE #3.5 1BOX; 2 GANG OUTLET WITH PLATE 2PCS; AMPO BOX #4 2PCS")</f>
        <v>THHN WIRE #3.5 1BOX; 2 GANG OUTLET WITH PLATE 2PCS; AMPO BOX #4 2PCS</v>
      </c>
      <c r="E46" s="196" t="str">
        <f>IFERROR(__xludf.DUMMYFUNCTION("""COMPUTED_VALUE"""),"AMD CCTV MATERIALS")</f>
        <v>AMD CCTV MATERIALS</v>
      </c>
    </row>
    <row r="47">
      <c r="A47" s="234">
        <f>IFERROR(__xludf.DUMMYFUNCTION("""COMPUTED_VALUE"""),100339.0)</f>
        <v>100339</v>
      </c>
      <c r="B47" s="235" t="str">
        <f>IFERROR(__xludf.DUMMYFUNCTION("""COMPUTED_VALUE"""),"RUEL CAJILI")</f>
        <v>RUEL CAJILI</v>
      </c>
      <c r="C47" s="235" t="str">
        <f>IFERROR(__xludf.DUMMYFUNCTION("""COMPUTED_VALUE"""),"DCO/ISO")</f>
        <v>DCO/ISO</v>
      </c>
      <c r="D47" s="196" t="str">
        <f>IFERROR(__xludf.DUMMYFUNCTION("""COMPUTED_VALUE"""),"QUALITY POLICY - MUNICH CAMPUS (SIZE 28.5X80)")</f>
        <v>QUALITY POLICY - MUNICH CAMPUS (SIZE 28.5X80)</v>
      </c>
      <c r="E47" s="196" t="str">
        <f>IFERROR(__xludf.DUMMYFUNCTION("""COMPUTED_VALUE"""),"CHANGE OF LOGO TUV RHEINLAND")</f>
        <v>CHANGE OF LOGO TUV RHEINLAND</v>
      </c>
    </row>
    <row r="48">
      <c r="A48" s="234">
        <f>IFERROR(__xludf.DUMMYFUNCTION("""COMPUTED_VALUE"""),100340.0)</f>
        <v>100340</v>
      </c>
      <c r="B48" s="235" t="str">
        <f>IFERROR(__xludf.DUMMYFUNCTION("""COMPUTED_VALUE"""),"CHONA DELOS TRINOS")</f>
        <v>CHONA DELOS TRINOS</v>
      </c>
      <c r="C48" s="235" t="str">
        <f>IFERROR(__xludf.DUMMYFUNCTION("""COMPUTED_VALUE"""),"FINANCE &amp; ACCOUNTING")</f>
        <v>FINANCE &amp; ACCOUNTING</v>
      </c>
      <c r="D48" s="196" t="str">
        <f>IFERROR(__xludf.DUMMYFUNCTION("""COMPUTED_VALUE"""),"MAPLE WOODGRAIN FINISH 129 X 60 WORK TOP 2PCS; MAPLE WOODGRAIN FINISH 129 X 60 WORK TOP 2PCS; CENTER DRAWER WITH LOCK 2PCS; OPEN SHELVES CABINET 6OW X 45D X 72H 2PCS; PANEL LEG 50X72 1PC")</f>
        <v>MAPLE WOODGRAIN FINISH 129 X 60 WORK TOP 2PCS; MAPLE WOODGRAIN FINISH 129 X 60 WORK TOP 2PCS; CENTER DRAWER WITH LOCK 2PCS; OPEN SHELVES CABINET 6OW X 45D X 72H 2PCS; PANEL LEG 50X72 1PC</v>
      </c>
      <c r="E48" s="196" t="str">
        <f>IFERROR(__xludf.DUMMYFUNCTION("""COMPUTED_VALUE"""),"SUPPLY AND INSTALLATION OF TABLE IN CASHIER OFFICE")</f>
        <v>SUPPLY AND INSTALLATION OF TABLE IN CASHIER OFFICE</v>
      </c>
    </row>
    <row r="49">
      <c r="A49" s="234">
        <f>IFERROR(__xludf.DUMMYFUNCTION("""COMPUTED_VALUE"""),100341.0)</f>
        <v>100341</v>
      </c>
      <c r="B49" s="235" t="str">
        <f>IFERROR(__xludf.DUMMYFUNCTION("""COMPUTED_VALUE"""),"ALFA DE LEON")</f>
        <v>ALFA DE LEON</v>
      </c>
      <c r="C49" s="235" t="str">
        <f>IFERROR(__xludf.DUMMYFUNCTION("""COMPUTED_VALUE"""),"ADMIN - MUNICH")</f>
        <v>ADMIN - MUNICH</v>
      </c>
      <c r="D49" s="196" t="str">
        <f>IFERROR(__xludf.DUMMYFUNCTION("""COMPUTED_VALUE"""),"RECTANGULAR REVERIE TABLE 120X60X38 - 60HCM 19PCS; REVERIE CHAIR BLUE 32CMH 114PCS")</f>
        <v>RECTANGULAR REVERIE TABLE 120X60X38 - 60HCM 19PCS; REVERIE CHAIR BLUE 32CMH 114PCS</v>
      </c>
      <c r="E49" s="196" t="str">
        <f>IFERROR(__xludf.DUMMYFUNCTION("""COMPUTED_VALUE"""),"RELACEMENT OF THE PRESCHOOL TABLE &amp; CHAIRS")</f>
        <v>RELACEMENT OF THE PRESCHOOL TABLE &amp; CHAIRS</v>
      </c>
    </row>
    <row r="50">
      <c r="A50" s="234">
        <f>IFERROR(__xludf.DUMMYFUNCTION("""COMPUTED_VALUE"""),100342.0)</f>
        <v>100342</v>
      </c>
      <c r="B50" s="235" t="str">
        <f>IFERROR(__xludf.DUMMYFUNCTION("""COMPUTED_VALUE"""),"ALFA DE LEON")</f>
        <v>ALFA DE LEON</v>
      </c>
      <c r="C50" s="235" t="str">
        <f>IFERROR(__xludf.DUMMYFUNCTION("""COMPUTED_VALUE"""),"ADMIN - MUNICH")</f>
        <v>ADMIN - MUNICH</v>
      </c>
      <c r="D50" s="196" t="str">
        <f>IFERROR(__xludf.DUMMYFUNCTION("""COMPUTED_VALUE"""),"PRE-SCHOOL TABLE 12PCS")</f>
        <v>PRE-SCHOOL TABLE 12PCS</v>
      </c>
      <c r="E50" s="196" t="str">
        <f>IFERROR(__xludf.DUMMYFUNCTION("""COMPUTED_VALUE"""),"PRE-SCHOOL CLASSROOMS")</f>
        <v>PRE-SCHOOL CLASSROOMS</v>
      </c>
    </row>
    <row r="51">
      <c r="A51" s="234">
        <f>IFERROR(__xludf.DUMMYFUNCTION("""COMPUTED_VALUE"""),100343.0)</f>
        <v>100343</v>
      </c>
      <c r="B51" s="235" t="str">
        <f>IFERROR(__xludf.DUMMYFUNCTION("""COMPUTED_VALUE"""),"LUDY DE ASIS")</f>
        <v>LUDY DE ASIS</v>
      </c>
      <c r="C51" s="235" t="str">
        <f>IFERROR(__xludf.DUMMYFUNCTION("""COMPUTED_VALUE"""),"ADMIN")</f>
        <v>ADMIN</v>
      </c>
      <c r="D51" s="196" t="str">
        <f>IFERROR(__xludf.DUMMYFUNCTION("""COMPUTED_VALUE"""),"STUDENT CHAIR &amp; TABLE 60SETS")</f>
        <v>STUDENT CHAIR &amp; TABLE 60SETS</v>
      </c>
      <c r="E51" s="196" t="str">
        <f>IFERROR(__xludf.DUMMYFUNCTION("""COMPUTED_VALUE"""),"CMLC (FOR THE TWO NEW CLASSROOMS IN 5TH FLOOR LUX)")</f>
        <v>CMLC (FOR THE TWO NEW CLASSROOMS IN 5TH FLOOR LUX)</v>
      </c>
    </row>
    <row r="52">
      <c r="A52" s="234">
        <f>IFERROR(__xludf.DUMMYFUNCTION("""COMPUTED_VALUE"""),100344.0)</f>
        <v>100344</v>
      </c>
      <c r="B52" s="235" t="str">
        <f>IFERROR(__xludf.DUMMYFUNCTION("""COMPUTED_VALUE"""),"ROY BATAQUE")</f>
        <v>ROY BATAQUE</v>
      </c>
      <c r="C52" s="235" t="str">
        <f>IFERROR(__xludf.DUMMYFUNCTION("""COMPUTED_VALUE"""),"HOUSEKEEPING")</f>
        <v>HOUSEKEEPING</v>
      </c>
      <c r="D52" s="196" t="str">
        <f>IFERROR(__xludf.DUMMYFUNCTION("""COMPUTED_VALUE"""),"MOP HANDLE 4METERS, YELLOW 10PCS; RED 10PCS; GREEN 10PCS; BLUE 10PCS")</f>
        <v>MOP HANDLE 4METERS, YELLOW 10PCS; RED 10PCS; GREEN 10PCS; BLUE 10PCS</v>
      </c>
      <c r="E52" s="196" t="str">
        <f>IFERROR(__xludf.DUMMYFUNCTION("""COMPUTED_VALUE"""),"STOCK REPLENISHMENT - HSKPG")</f>
        <v>STOCK REPLENISHMENT - HSKPG</v>
      </c>
    </row>
    <row r="53">
      <c r="A53" s="234">
        <f>IFERROR(__xludf.DUMMYFUNCTION("""COMPUTED_VALUE"""),100345.0)</f>
        <v>100345</v>
      </c>
      <c r="B53" s="235" t="str">
        <f>IFERROR(__xludf.DUMMYFUNCTION("""COMPUTED_VALUE"""),"ARMIE ABABA")</f>
        <v>ARMIE ABABA</v>
      </c>
      <c r="C53" s="235" t="str">
        <f>IFERROR(__xludf.DUMMYFUNCTION("""COMPUTED_VALUE"""),"I.B.")</f>
        <v>I.B.</v>
      </c>
      <c r="D53" s="196" t="str">
        <f>IFERROR(__xludf.DUMMYFUNCTION("""COMPUTED_VALUE"""),"FLOWER FOR GRADUATION")</f>
        <v>FLOWER FOR GRADUATION</v>
      </c>
      <c r="E53" s="196" t="str">
        <f>IFERROR(__xludf.DUMMYFUNCTION("""COMPUTED_VALUE"""),"GRADUATION DECORATION")</f>
        <v>GRADUATION DECORATION</v>
      </c>
    </row>
    <row r="54">
      <c r="A54" s="234">
        <f>IFERROR(__xludf.DUMMYFUNCTION("""COMPUTED_VALUE"""),100346.0)</f>
        <v>100346</v>
      </c>
      <c r="B54" s="235" t="str">
        <f>IFERROR(__xludf.DUMMYFUNCTION("""COMPUTED_VALUE"""),"ARMIE ABABA")</f>
        <v>ARMIE ABABA</v>
      </c>
      <c r="C54" s="235" t="str">
        <f>IFERROR(__xludf.DUMMYFUNCTION("""COMPUTED_VALUE"""),"I.B.")</f>
        <v>I.B.</v>
      </c>
      <c r="D54" s="196" t="str">
        <f>IFERROR(__xludf.DUMMYFUNCTION("""COMPUTED_VALUE"""),"GRADUATION INVITATION 65PCS; SISC LOGO STICKER 30PCS")</f>
        <v>GRADUATION INVITATION 65PCS; SISC LOGO STICKER 30PCS</v>
      </c>
      <c r="E54" s="196" t="str">
        <f>IFERROR(__xludf.DUMMYFUNCTION("""COMPUTED_VALUE"""),"GRADUATION (IB)")</f>
        <v>GRADUATION (IB)</v>
      </c>
    </row>
    <row r="55">
      <c r="A55" s="234">
        <f>IFERROR(__xludf.DUMMYFUNCTION("""COMPUTED_VALUE"""),100347.0)</f>
        <v>100347</v>
      </c>
      <c r="B55" s="235" t="str">
        <f>IFERROR(__xludf.DUMMYFUNCTION("""COMPUTED_VALUE"""),"ARMIE ABABA")</f>
        <v>ARMIE ABABA</v>
      </c>
      <c r="C55" s="235" t="str">
        <f>IFERROR(__xludf.DUMMYFUNCTION("""COMPUTED_VALUE"""),"I.B.")</f>
        <v>I.B.</v>
      </c>
      <c r="D55" s="196" t="str">
        <f>IFERROR(__xludf.DUMMYFUNCTION("""COMPUTED_VALUE"""),"PLAQUE OF APPRECIATION 1PC")</f>
        <v>PLAQUE OF APPRECIATION 1PC</v>
      </c>
      <c r="E55" s="196" t="str">
        <f>IFERROR(__xludf.DUMMYFUNCTION("""COMPUTED_VALUE"""),"TO BE GIVEN TO THE GRADUATION GUEST SPEAKER ")</f>
        <v>TO BE GIVEN TO THE GRADUATION GUEST SPEAKER </v>
      </c>
    </row>
    <row r="56">
      <c r="A56" s="234">
        <f>IFERROR(__xludf.DUMMYFUNCTION("""COMPUTED_VALUE"""),100348.0)</f>
        <v>100348</v>
      </c>
      <c r="B56" s="235" t="str">
        <f>IFERROR(__xludf.DUMMYFUNCTION("""COMPUTED_VALUE"""),"ARMIE ABABA")</f>
        <v>ARMIE ABABA</v>
      </c>
      <c r="C56" s="235" t="str">
        <f>IFERROR(__xludf.DUMMYFUNCTION("""COMPUTED_VALUE"""),"I.B.")</f>
        <v>I.B.</v>
      </c>
      <c r="D56" s="196" t="str">
        <f>IFERROR(__xludf.DUMMYFUNCTION("""COMPUTED_VALUE"""),"MEDALS: GOLD MEDAL 1PC; SILVER MEDAL 4PCS; BRONZE MEDAL 11PCS; SUBJECT EXCELLENCE AWARD 10PCS; LOYALTY AWARD 16PCS")</f>
        <v>MEDALS: GOLD MEDAL 1PC; SILVER MEDAL 4PCS; BRONZE MEDAL 11PCS; SUBJECT EXCELLENCE AWARD 10PCS; LOYALTY AWARD 16PCS</v>
      </c>
      <c r="E56" s="196" t="str">
        <f>IFERROR(__xludf.DUMMYFUNCTION("""COMPUTED_VALUE"""),"GRADUATION IB")</f>
        <v>GRADUATION IB</v>
      </c>
    </row>
    <row r="57">
      <c r="A57" s="234">
        <f>IFERROR(__xludf.DUMMYFUNCTION("""COMPUTED_VALUE"""),100349.0)</f>
        <v>100349</v>
      </c>
      <c r="B57" s="235" t="str">
        <f>IFERROR(__xludf.DUMMYFUNCTION("""COMPUTED_VALUE"""),"LUDY DE ASIS")</f>
        <v>LUDY DE ASIS</v>
      </c>
      <c r="C57" s="235" t="str">
        <f>IFERROR(__xludf.DUMMYFUNCTION("""COMPUTED_VALUE"""),"HOUSEKEEPING")</f>
        <v>HOUSEKEEPING</v>
      </c>
      <c r="D57" s="196" t="str">
        <f>IFERROR(__xludf.DUMMYFUNCTION("""COMPUTED_VALUE"""),"1 LOT FROSTED GLASS")</f>
        <v>1 LOT FROSTED GLASS</v>
      </c>
      <c r="E57" s="196" t="str">
        <f>IFERROR(__xludf.DUMMYFUNCTION("""COMPUTED_VALUE"""),"FOR PR OFFICE DANIEL S.")</f>
        <v>FOR PR OFFICE DANIEL S.</v>
      </c>
    </row>
    <row r="58">
      <c r="A58" s="234">
        <f>IFERROR(__xludf.DUMMYFUNCTION("""COMPUTED_VALUE"""),100350.0)</f>
        <v>100350</v>
      </c>
      <c r="B58" s="235" t="str">
        <f>IFERROR(__xludf.DUMMYFUNCTION("""COMPUTED_VALUE"""),"LUDY DE ASIS")</f>
        <v>LUDY DE ASIS</v>
      </c>
      <c r="C58" s="235" t="str">
        <f>IFERROR(__xludf.DUMMYFUNCTION("""COMPUTED_VALUE"""),"HOUSEKEEPING")</f>
        <v>HOUSEKEEPING</v>
      </c>
      <c r="D58" s="196" t="str">
        <f>IFERROR(__xludf.DUMMYFUNCTION("""COMPUTED_VALUE"""),"1 PC OFFICE TABLE; 1 PC OFFICE CHAIR; 1 PC LONG TABLE; 2 PCS LAPTOP; 5 PCS CAMERA HEADSET; 1 UNIT TELEPHONE")</f>
        <v>1 PC OFFICE TABLE; 1 PC OFFICE CHAIR; 1 PC LONG TABLE; 2 PCS LAPTOP; 5 PCS CAMERA HEADSET; 1 UNIT TELEPHONE</v>
      </c>
      <c r="E58" s="196" t="str">
        <f>IFERROR(__xludf.DUMMYFUNCTION("""COMPUTED_VALUE"""),"FOR ODL ROOM")</f>
        <v>FOR ODL ROOM</v>
      </c>
    </row>
    <row r="59">
      <c r="A59" s="234">
        <f>IFERROR(__xludf.DUMMYFUNCTION("""COMPUTED_VALUE"""),100351.0)</f>
        <v>100351</v>
      </c>
      <c r="B59" s="235" t="str">
        <f>IFERROR(__xludf.DUMMYFUNCTION("""COMPUTED_VALUE"""),"APRIL TRAJICO")</f>
        <v>APRIL TRAJICO</v>
      </c>
      <c r="C59" s="235" t="str">
        <f>IFERROR(__xludf.DUMMYFUNCTION("""COMPUTED_VALUE"""),"AMD")</f>
        <v>AMD</v>
      </c>
      <c r="D59" s="196" t="str">
        <f>IFERROR(__xludf.DUMMYFUNCTION("""COMPUTED_VALUE"""),"Box of Crayons - Crayola Double (16pcs) 1300SETS; Pencil, Colored (12's) Li'l Hands 170PCS")</f>
        <v>Box of Crayons - Crayola Double (16pcs) 1300SETS; Pencil, Colored (12's) Li'l Hands 170PCS</v>
      </c>
      <c r="E59" s="196" t="str">
        <f>IFERROR(__xludf.DUMMYFUNCTION("""COMPUTED_VALUE"""),"STUDENT MATERIALS AY19-20")</f>
        <v>STUDENT MATERIALS AY19-20</v>
      </c>
    </row>
    <row r="60">
      <c r="A60" s="234">
        <f>IFERROR(__xludf.DUMMYFUNCTION("""COMPUTED_VALUE"""),100352.0)</f>
        <v>100352</v>
      </c>
      <c r="B60" s="235" t="str">
        <f>IFERROR(__xludf.DUMMYFUNCTION("""COMPUTED_VALUE"""),"LUDY DE ASIS")</f>
        <v>LUDY DE ASIS</v>
      </c>
      <c r="C60" s="235" t="str">
        <f>IFERROR(__xludf.DUMMYFUNCTION("""COMPUTED_VALUE"""),"HOUSEKEEPING")</f>
        <v>HOUSEKEEPING</v>
      </c>
      <c r="D60" s="196" t="str">
        <f>IFERROR(__xludf.DUMMYFUNCTION("""COMPUTED_VALUE"""),"30 PCS STOOL W/ BACK REST( ASSORTED COLORS); 5 PCS LONG TABLE W/ OUTPUT; 30 PCS SWIVEL CHAIRS; 2 PCS ROUND TABLE; 8 PCS SINGLE SOFA; 8 PCS BLINDS (DEPENDS ON HOW MANY WINDOW); 1 LOT GLASSBOARD")</f>
        <v>30 PCS STOOL W/ BACK REST( ASSORTED COLORS); 5 PCS LONG TABLE W/ OUTPUT; 30 PCS SWIVEL CHAIRS; 2 PCS ROUND TABLE; 8 PCS SINGLE SOFA; 8 PCS BLINDS (DEPENDS ON HOW MANY WINDOW); 1 LOT GLASSBOARD</v>
      </c>
      <c r="E60" s="196" t="str">
        <f>IFERROR(__xludf.DUMMYFUNCTION("""COMPUTED_VALUE"""),"BRICK ROOM")</f>
        <v>BRICK ROOM</v>
      </c>
    </row>
    <row r="61">
      <c r="A61" s="234">
        <f>IFERROR(__xludf.DUMMYFUNCTION("""COMPUTED_VALUE"""),100353.0)</f>
        <v>100353</v>
      </c>
      <c r="B61" s="235" t="str">
        <f>IFERROR(__xludf.DUMMYFUNCTION("""COMPUTED_VALUE"""),"LUDY DE ASIS")</f>
        <v>LUDY DE ASIS</v>
      </c>
      <c r="C61" s="235" t="str">
        <f>IFERROR(__xludf.DUMMYFUNCTION("""COMPUTED_VALUE"""),"HOUSEKEEPING")</f>
        <v>HOUSEKEEPING</v>
      </c>
      <c r="D61" s="196" t="str">
        <f>IFERROR(__xludf.DUMMYFUNCTION("""COMPUTED_VALUE"""),"2 PCS TABLE (RECEPTION)")</f>
        <v>2 PCS TABLE (RECEPTION)</v>
      </c>
      <c r="E61" s="196" t="str">
        <f>IFERROR(__xludf.DUMMYFUNCTION("""COMPUTED_VALUE"""),"FOR PR USE")</f>
        <v>FOR PR USE</v>
      </c>
    </row>
    <row r="62">
      <c r="A62" s="234">
        <f>IFERROR(__xludf.DUMMYFUNCTION("""COMPUTED_VALUE"""),100354.0)</f>
        <v>100354</v>
      </c>
      <c r="B62" s="235" t="str">
        <f>IFERROR(__xludf.DUMMYFUNCTION("""COMPUTED_VALUE"""),"LUDY DE ASIS")</f>
        <v>LUDY DE ASIS</v>
      </c>
      <c r="C62" s="235" t="str">
        <f>IFERROR(__xludf.DUMMYFUNCTION("""COMPUTED_VALUE"""),"HOUSEKEEPING")</f>
        <v>HOUSEKEEPING</v>
      </c>
      <c r="D62" s="196" t="str">
        <f>IFERROR(__xludf.DUMMYFUNCTION("""COMPUTED_VALUE"""),"1 PC CONFERENCE TABLE W/ 6 SEATER(OBLONG); 6 PCS CHAIRS")</f>
        <v>1 PC CONFERENCE TABLE W/ 6 SEATER(OBLONG); 6 PCS CHAIRS</v>
      </c>
      <c r="E62" s="196" t="str">
        <f>IFERROR(__xludf.DUMMYFUNCTION("""COMPUTED_VALUE"""),"P.R CONFERENCE")</f>
        <v>P.R CONFERENCE</v>
      </c>
    </row>
    <row r="63">
      <c r="A63" s="234">
        <f>IFERROR(__xludf.DUMMYFUNCTION("""COMPUTED_VALUE"""),100355.0)</f>
        <v>100355</v>
      </c>
      <c r="B63" s="235" t="str">
        <f>IFERROR(__xludf.DUMMYFUNCTION("""COMPUTED_VALUE"""),"LUDY DE ASIS")</f>
        <v>LUDY DE ASIS</v>
      </c>
      <c r="C63" s="235" t="str">
        <f>IFERROR(__xludf.DUMMYFUNCTION("""COMPUTED_VALUE"""),"HOUSEKEEPING")</f>
        <v>HOUSEKEEPING</v>
      </c>
      <c r="D63" s="196" t="str">
        <f>IFERROR(__xludf.DUMMYFUNCTION("""COMPUTED_VALUE"""),"1 PC TELEPHONE")</f>
        <v>1 PC TELEPHONE</v>
      </c>
      <c r="E63" s="196" t="str">
        <f>IFERROR(__xludf.DUMMYFUNCTION("""COMPUTED_VALUE"""),"CMLC")</f>
        <v>CMLC</v>
      </c>
    </row>
    <row r="64">
      <c r="A64" s="234">
        <f>IFERROR(__xludf.DUMMYFUNCTION("""COMPUTED_VALUE"""),100356.0)</f>
        <v>100356</v>
      </c>
      <c r="B64" s="235" t="str">
        <f>IFERROR(__xludf.DUMMYFUNCTION("""COMPUTED_VALUE"""),"LUDY DE ASIS")</f>
        <v>LUDY DE ASIS</v>
      </c>
      <c r="C64" s="235" t="str">
        <f>IFERROR(__xludf.DUMMYFUNCTION("""COMPUTED_VALUE"""),"HOUSEKEEPING")</f>
        <v>HOUSEKEEPING</v>
      </c>
      <c r="D64" s="196" t="str">
        <f>IFERROR(__xludf.DUMMYFUNCTION("""COMPUTED_VALUE"""),"10 PCS FILLING BOX LONG &amp; SHORT")</f>
        <v>10 PCS FILLING BOX LONG &amp; SHORT</v>
      </c>
      <c r="E64" s="196" t="str">
        <f>IFERROR(__xludf.DUMMYFUNCTION("""COMPUTED_VALUE"""),"FOR DANIEL OFFICE IN PR")</f>
        <v>FOR DANIEL OFFICE IN PR</v>
      </c>
    </row>
    <row r="65">
      <c r="A65" s="234">
        <f>IFERROR(__xludf.DUMMYFUNCTION("""COMPUTED_VALUE"""),100357.0)</f>
        <v>100357</v>
      </c>
      <c r="B65" s="235" t="str">
        <f>IFERROR(__xludf.DUMMYFUNCTION("""COMPUTED_VALUE"""),"LUDY DE ASIS")</f>
        <v>LUDY DE ASIS</v>
      </c>
      <c r="C65" s="235" t="str">
        <f>IFERROR(__xludf.DUMMYFUNCTION("""COMPUTED_VALUE"""),"HOUSEKEEPING")</f>
        <v>HOUSEKEEPING</v>
      </c>
      <c r="D65" s="196" t="str">
        <f>IFERROR(__xludf.DUMMYFUNCTION("""COMPUTED_VALUE"""),"3 PCS E-CLASSROOM GUIDELINES; 2 PCS 5 Cs; 3 PCS MISSION/VISION")</f>
        <v>3 PCS E-CLASSROOM GUIDELINES; 2 PCS 5 Cs; 3 PCS MISSION/VISION</v>
      </c>
      <c r="E65" s="196" t="str">
        <f>IFERROR(__xludf.DUMMYFUNCTION("""COMPUTED_VALUE"""),"FOR CMLC")</f>
        <v>FOR CMLC</v>
      </c>
    </row>
    <row r="66">
      <c r="A66" s="234">
        <f>IFERROR(__xludf.DUMMYFUNCTION("""COMPUTED_VALUE"""),100358.0)</f>
        <v>100358</v>
      </c>
      <c r="B66" s="235" t="str">
        <f>IFERROR(__xludf.DUMMYFUNCTION("""COMPUTED_VALUE"""),"LUDY DE ASIS")</f>
        <v>LUDY DE ASIS</v>
      </c>
      <c r="C66" s="235" t="str">
        <f>IFERROR(__xludf.DUMMYFUNCTION("""COMPUTED_VALUE"""),"HOUSEKEEPING")</f>
        <v>HOUSEKEEPING</v>
      </c>
      <c r="D66" s="196" t="str">
        <f>IFERROR(__xludf.DUMMYFUNCTION("""COMPUTED_VALUE"""),"3 PCS WALLCLOCK ")</f>
        <v>3 PCS WALLCLOCK </v>
      </c>
      <c r="E66" s="196" t="str">
        <f>IFERROR(__xludf.DUMMYFUNCTION("""COMPUTED_VALUE"""),"FOR NEW CLASSROOM IN 5TH FLOOR ADMIN BLDG.")</f>
        <v>FOR NEW CLASSROOM IN 5TH FLOOR ADMIN BLDG.</v>
      </c>
    </row>
    <row r="67">
      <c r="A67" s="234">
        <f>IFERROR(__xludf.DUMMYFUNCTION("""COMPUTED_VALUE"""),100359.0)</f>
        <v>100359</v>
      </c>
      <c r="B67" s="235" t="str">
        <f>IFERROR(__xludf.DUMMYFUNCTION("""COMPUTED_VALUE"""),"LUDY DE ASIS")</f>
        <v>LUDY DE ASIS</v>
      </c>
      <c r="C67" s="235" t="str">
        <f>IFERROR(__xludf.DUMMYFUNCTION("""COMPUTED_VALUE"""),"HOUSEKEEPING")</f>
        <v>HOUSEKEEPING</v>
      </c>
      <c r="D67" s="196" t="str">
        <f>IFERROR(__xludf.DUMMYFUNCTION("""COMPUTED_VALUE"""),"4 PCS CEILLING FAN")</f>
        <v>4 PCS CEILLING FAN</v>
      </c>
      <c r="E67" s="196" t="str">
        <f>IFERROR(__xludf.DUMMYFUNCTION("""COMPUTED_VALUE"""),"FOR NEW CLASSROOM IN 5TH FLOOR ADMIN BLDG.")</f>
        <v>FOR NEW CLASSROOM IN 5TH FLOOR ADMIN BLDG.</v>
      </c>
    </row>
    <row r="68">
      <c r="A68" s="234">
        <f>IFERROR(__xludf.DUMMYFUNCTION("""COMPUTED_VALUE"""),100360.0)</f>
        <v>100360</v>
      </c>
      <c r="B68" s="235" t="str">
        <f>IFERROR(__xludf.DUMMYFUNCTION("""COMPUTED_VALUE"""),"LUDY DE ASIS")</f>
        <v>LUDY DE ASIS</v>
      </c>
      <c r="C68" s="235" t="str">
        <f>IFERROR(__xludf.DUMMYFUNCTION("""COMPUTED_VALUE"""),"HOUSEKEEPING")</f>
        <v>HOUSEKEEPING</v>
      </c>
      <c r="D68" s="196" t="str">
        <f>IFERROR(__xludf.DUMMYFUNCTION("""COMPUTED_VALUE"""),"1 UNIT TELEPHONE")</f>
        <v>1 UNIT TELEPHONE</v>
      </c>
      <c r="E68" s="196" t="str">
        <f>IFERROR(__xludf.DUMMYFUNCTION("""COMPUTED_VALUE"""),"FOR PR CONFERENCE DANIEL'S OFFICE AND HEW HR")</f>
        <v>FOR PR CONFERENCE DANIEL'S OFFICE AND HEW HR</v>
      </c>
    </row>
    <row r="69">
      <c r="A69" s="234">
        <f>IFERROR(__xludf.DUMMYFUNCTION("""COMPUTED_VALUE"""),100361.0)</f>
        <v>100361</v>
      </c>
      <c r="B69" s="235" t="str">
        <f>IFERROR(__xludf.DUMMYFUNCTION("""COMPUTED_VALUE"""),"ENGELBERT CANCERAN")</f>
        <v>ENGELBERT CANCERAN</v>
      </c>
      <c r="C69" s="235" t="str">
        <f>IFERROR(__xludf.DUMMYFUNCTION("""COMPUTED_VALUE"""),"REGISTRATION")</f>
        <v>REGISTRATION</v>
      </c>
      <c r="D69" s="196" t="str">
        <f>IFERROR(__xludf.DUMMYFUNCTION("""COMPUTED_VALUE"""),"BASIC ED STUDENT'S TOR PAPER 2000PCS")</f>
        <v>BASIC ED STUDENT'S TOR PAPER 2000PCS</v>
      </c>
      <c r="E69" s="196" t="str">
        <f>IFERROR(__xludf.DUMMYFUNCTION("""COMPUTED_VALUE"""),"FOR PRINTING BASIC ED'S TOR ")</f>
        <v>FOR PRINTING BASIC ED'S TOR </v>
      </c>
    </row>
    <row r="70">
      <c r="A70" s="234">
        <f>IFERROR(__xludf.DUMMYFUNCTION("""COMPUTED_VALUE"""),100362.0)</f>
        <v>100362</v>
      </c>
      <c r="B70" s="235" t="str">
        <f>IFERROR(__xludf.DUMMYFUNCTION("""COMPUTED_VALUE"""),"LUDY DE ASIS")</f>
        <v>LUDY DE ASIS</v>
      </c>
      <c r="C70" s="235" t="str">
        <f>IFERROR(__xludf.DUMMYFUNCTION("""COMPUTED_VALUE"""),"HOUSEKEEPING")</f>
        <v>HOUSEKEEPING</v>
      </c>
      <c r="D70" s="196" t="str">
        <f>IFERROR(__xludf.DUMMYFUNCTION("""COMPUTED_VALUE"""),"3 LOTS GLASSBOARD")</f>
        <v>3 LOTS GLASSBOARD</v>
      </c>
      <c r="E70" s="196" t="str">
        <f>IFERROR(__xludf.DUMMYFUNCTION("""COMPUTED_VALUE"""),"CMLC")</f>
        <v>CMLC</v>
      </c>
    </row>
    <row r="71">
      <c r="A71" s="234">
        <f>IFERROR(__xludf.DUMMYFUNCTION("""COMPUTED_VALUE"""),100363.0)</f>
        <v>100363</v>
      </c>
      <c r="B71" s="235" t="str">
        <f>IFERROR(__xludf.DUMMYFUNCTION("""COMPUTED_VALUE"""),"LUDY DE ASIS")</f>
        <v>LUDY DE ASIS</v>
      </c>
      <c r="C71" s="235" t="str">
        <f>IFERROR(__xludf.DUMMYFUNCTION("""COMPUTED_VALUE"""),"HOUSEKEEPING")</f>
        <v>HOUSEKEEPING</v>
      </c>
      <c r="D71" s="196" t="str">
        <f>IFERROR(__xludf.DUMMYFUNCTION("""COMPUTED_VALUE"""),"1 UNIT FIRE EXTINGUISHER(HALLWAY REP)")</f>
        <v>1 UNIT FIRE EXTINGUISHER(HALLWAY REP)</v>
      </c>
      <c r="E71" s="196" t="str">
        <f>IFERROR(__xludf.DUMMYFUNCTION("""COMPUTED_VALUE"""),"CMLC")</f>
        <v>CMLC</v>
      </c>
    </row>
    <row r="72">
      <c r="A72" s="234">
        <f>IFERROR(__xludf.DUMMYFUNCTION("""COMPUTED_VALUE"""),100364.0)</f>
        <v>100364</v>
      </c>
      <c r="B72" s="235" t="str">
        <f>IFERROR(__xludf.DUMMYFUNCTION("""COMPUTED_VALUE"""),"ROY BATAQUE")</f>
        <v>ROY BATAQUE</v>
      </c>
      <c r="C72" s="235" t="str">
        <f>IFERROR(__xludf.DUMMYFUNCTION("""COMPUTED_VALUE"""),"HOUSEKEEPING")</f>
        <v>HOUSEKEEPING</v>
      </c>
      <c r="D72" s="196" t="str">
        <f>IFERROR(__xludf.DUMMYFUNCTION("""COMPUTED_VALUE"""),"FLANELLA PINK 100PCS; FLANELLA YELLOW 100PCS")</f>
        <v>FLANELLA PINK 100PCS; FLANELLA YELLOW 100PCS</v>
      </c>
      <c r="E72" s="196" t="str">
        <f>IFERROR(__xludf.DUMMYFUNCTION("""COMPUTED_VALUE"""),"STOCK REPLENISHMENT - HSKPG")</f>
        <v>STOCK REPLENISHMENT - HSKPG</v>
      </c>
    </row>
    <row r="73">
      <c r="A73" s="234">
        <f>IFERROR(__xludf.DUMMYFUNCTION("""COMPUTED_VALUE"""),100365.0)</f>
        <v>100365</v>
      </c>
      <c r="B73" s="235" t="str">
        <f>IFERROR(__xludf.DUMMYFUNCTION("""COMPUTED_VALUE"""),"LUDY DE ASIS")</f>
        <v>LUDY DE ASIS</v>
      </c>
      <c r="C73" s="235" t="str">
        <f>IFERROR(__xludf.DUMMYFUNCTION("""COMPUTED_VALUE"""),"HOUSEKEEPING")</f>
        <v>HOUSEKEEPING</v>
      </c>
      <c r="D73" s="196" t="str">
        <f>IFERROR(__xludf.DUMMYFUNCTION("""COMPUTED_VALUE"""),"CERAMIC TILES 60CM X 60CM 100 PCS; STICKWELL 10 GALS")</f>
        <v>CERAMIC TILES 60CM X 60CM 100 PCS; STICKWELL 10 GALS</v>
      </c>
      <c r="E73" s="196" t="str">
        <f>IFERROR(__xludf.DUMMYFUNCTION("""COMPUTED_VALUE"""),"REPLENISHMENT OF TILES AFTER EARTHQUAKE")</f>
        <v>REPLENISHMENT OF TILES AFTER EARTHQUAKE</v>
      </c>
    </row>
    <row r="74">
      <c r="A74" s="234">
        <f>IFERROR(__xludf.DUMMYFUNCTION("""COMPUTED_VALUE"""),100366.0)</f>
        <v>100366</v>
      </c>
      <c r="B74" s="235" t="str">
        <f>IFERROR(__xludf.DUMMYFUNCTION("""COMPUTED_VALUE"""),"LUDY DE ASIS")</f>
        <v>LUDY DE ASIS</v>
      </c>
      <c r="C74" s="235" t="str">
        <f>IFERROR(__xludf.DUMMYFUNCTION("""COMPUTED_VALUE"""),"HOUSEKEEPING")</f>
        <v>HOUSEKEEPING</v>
      </c>
      <c r="D74" s="196" t="str">
        <f>IFERROR(__xludf.DUMMYFUNCTION("""COMPUTED_VALUE"""),"3 UNITS EMERGENCY LIGHTS 12 VOLTS")</f>
        <v>3 UNITS EMERGENCY LIGHTS 12 VOLTS</v>
      </c>
      <c r="E74" s="196" t="str">
        <f>IFERROR(__xludf.DUMMYFUNCTION("""COMPUTED_VALUE"""),"CMLC")</f>
        <v>CMLC</v>
      </c>
    </row>
    <row r="75">
      <c r="A75" s="234">
        <f>IFERROR(__xludf.DUMMYFUNCTION("""COMPUTED_VALUE"""),100367.0)</f>
        <v>100367</v>
      </c>
      <c r="B75" s="235" t="str">
        <f>IFERROR(__xludf.DUMMYFUNCTION("""COMPUTED_VALUE"""),"APRIL TRAJICO")</f>
        <v>APRIL TRAJICO</v>
      </c>
      <c r="C75" s="235" t="str">
        <f>IFERROR(__xludf.DUMMYFUNCTION("""COMPUTED_VALUE"""),"AMD")</f>
        <v>AMD</v>
      </c>
      <c r="D75" s="196" t="str">
        <f>IFERROR(__xludf.DUMMYFUNCTION("""COMPUTED_VALUE"""),"TOGA AND CAP  21 SETS (MASTERS FACULTY)")</f>
        <v>TOGA AND CAP  21 SETS (MASTERS FACULTY)</v>
      </c>
      <c r="E75" s="196" t="str">
        <f>IFERROR(__xludf.DUMMYFUNCTION("""COMPUTED_VALUE"""),"MASTERS FACULTY TOGA")</f>
        <v>MASTERS FACULTY TOGA</v>
      </c>
    </row>
    <row r="76">
      <c r="A76" s="234">
        <f>IFERROR(__xludf.DUMMYFUNCTION("""COMPUTED_VALUE"""),100368.0)</f>
        <v>100368</v>
      </c>
      <c r="B76" s="235" t="str">
        <f>IFERROR(__xludf.DUMMYFUNCTION("""COMPUTED_VALUE"""),"APRIL TRAJICO")</f>
        <v>APRIL TRAJICO</v>
      </c>
      <c r="C76" s="235" t="str">
        <f>IFERROR(__xludf.DUMMYFUNCTION("""COMPUTED_VALUE"""),"AMD")</f>
        <v>AMD</v>
      </c>
      <c r="D76" s="196" t="str">
        <f>IFERROR(__xludf.DUMMYFUNCTION("""COMPUTED_VALUE"""),"TOGA AND CAP IB S2 5PCS; S 13PCS; M 19PCS; L 10PCS; XL 1PC; XXL 4PCS")</f>
        <v>TOGA AND CAP IB S2 5PCS; S 13PCS; M 19PCS; L 10PCS; XL 1PC; XXL 4PCS</v>
      </c>
      <c r="E76" s="196" t="str">
        <f>IFERROR(__xludf.DUMMYFUNCTION("""COMPUTED_VALUE"""),"IB TOGA (NEW)")</f>
        <v>IB TOGA (NEW)</v>
      </c>
    </row>
    <row r="77">
      <c r="A77" s="234">
        <f>IFERROR(__xludf.DUMMYFUNCTION("""COMPUTED_VALUE"""),100369.0)</f>
        <v>100369</v>
      </c>
      <c r="B77" s="235" t="str">
        <f>IFERROR(__xludf.DUMMYFUNCTION("""COMPUTED_VALUE"""),"OWIE PAR")</f>
        <v>OWIE PAR</v>
      </c>
      <c r="C77" s="235" t="str">
        <f>IFERROR(__xludf.DUMMYFUNCTION("""COMPUTED_VALUE"""),"ENGINEERING")</f>
        <v>ENGINEERING</v>
      </c>
      <c r="D77" s="196" t="str">
        <f>IFERROR(__xludf.DUMMYFUNCTION("""COMPUTED_VALUE"""),"1 ROLL THHN #12; 5 PCS PVC MOULDING 1/2; 50 PAIRS TOX &amp; SCREW #6; 1 PC MASONRY BIT #6")</f>
        <v>1 ROLL THHN #12; 5 PCS PVC MOULDING 1/2; 50 PAIRS TOX &amp; SCREW #6; 1 PC MASONRY BIT #6</v>
      </c>
      <c r="E77" s="196" t="str">
        <f>IFERROR(__xludf.DUMMYFUNCTION("""COMPUTED_VALUE"""),"FOR ORBIT FAN INSTALLATION IN MOLAVE")</f>
        <v>FOR ORBIT FAN INSTALLATION IN MOLAVE</v>
      </c>
    </row>
    <row r="78">
      <c r="A78" s="234">
        <f>IFERROR(__xludf.DUMMYFUNCTION("""COMPUTED_VALUE"""),100370.0)</f>
        <v>100370</v>
      </c>
      <c r="B78" s="235" t="str">
        <f>IFERROR(__xludf.DUMMYFUNCTION("""COMPUTED_VALUE"""),"K-ANNE GUMATAY")</f>
        <v>K-ANNE GUMATAY</v>
      </c>
      <c r="C78" s="235" t="str">
        <f>IFERROR(__xludf.DUMMYFUNCTION("""COMPUTED_VALUE"""),"HRMD")</f>
        <v>HRMD</v>
      </c>
      <c r="D78" s="196" t="str">
        <f>IFERROR(__xludf.DUMMYFUNCTION("""COMPUTED_VALUE"""),"5 YEAR SERVICE PLAQUE 6"" 27PCS; 10 YEAR SERVICE PLAQUE 8"" 8PCS; 15YEAR SERVICE PLAQUE 10"" 4PCS; 20YEAR SERVICE PLAQUE 4PCS; 25YEAR SERVICE PLAQUE 15"" 4PCS")</f>
        <v>5 YEAR SERVICE PLAQUE 6" 27PCS; 10 YEAR SERVICE PLAQUE 8" 8PCS; 15YEAR SERVICE PLAQUE 10" 4PCS; 20YEAR SERVICE PLAQUE 4PCS; 25YEAR SERVICE PLAQUE 15" 4PCS</v>
      </c>
      <c r="E78" s="196" t="str">
        <f>IFERROR(__xludf.DUMMYFUNCTION("""COMPUTED_VALUE"""),"SERVICE AWARD PLAQUE")</f>
        <v>SERVICE AWARD PLAQUE</v>
      </c>
    </row>
    <row r="79">
      <c r="A79" s="234">
        <f>IFERROR(__xludf.DUMMYFUNCTION("""COMPUTED_VALUE"""),100371.0)</f>
        <v>100371</v>
      </c>
      <c r="B79" s="235" t="str">
        <f>IFERROR(__xludf.DUMMYFUNCTION("""COMPUTED_VALUE"""),"JENNY FONTE")</f>
        <v>JENNY FONTE</v>
      </c>
      <c r="C79" s="235" t="str">
        <f>IFERROR(__xludf.DUMMYFUNCTION("""COMPUTED_VALUE"""),"DP MUNICH")</f>
        <v>DP MUNICH</v>
      </c>
      <c r="D79" s="196" t="str">
        <f>IFERROR(__xludf.DUMMYFUNCTION("""COMPUTED_VALUE"""),"FLOWERS")</f>
        <v>FLOWERS</v>
      </c>
      <c r="E79" s="196" t="str">
        <f>IFERROR(__xludf.DUMMYFUNCTION("""COMPUTED_VALUE"""),"FOR RECOGNITION DAY GRADE 1 TO 5")</f>
        <v>FOR RECOGNITION DAY GRADE 1 TO 5</v>
      </c>
    </row>
    <row r="80">
      <c r="A80" s="234">
        <f>IFERROR(__xludf.DUMMYFUNCTION("""COMPUTED_VALUE"""),100372.0)</f>
        <v>100372</v>
      </c>
      <c r="B80" s="235" t="str">
        <f>IFERROR(__xludf.DUMMYFUNCTION("""COMPUTED_VALUE"""),"ROIE RAYMUNDO")</f>
        <v>ROIE RAYMUNDO</v>
      </c>
      <c r="C80" s="235" t="str">
        <f>IFERROR(__xludf.DUMMYFUNCTION("""COMPUTED_VALUE"""),"MIS/ICT")</f>
        <v>MIS/ICT</v>
      </c>
      <c r="D80" s="196" t="str">
        <f>IFERROR(__xludf.DUMMYFUNCTION("""COMPUTED_VALUE"""),"2 UNIT HIPRO MODEL:HP-R650FF3")</f>
        <v>2 UNIT HIPRO MODEL:HP-R650FF3</v>
      </c>
      <c r="E80" s="196" t="str">
        <f>IFERROR(__xludf.DUMMYFUNCTION("""COMPUTED_VALUE"""),"TO REPLACE THE DEFECTIVE POWER SUPPLY OF OUR SERVER(SISC-RAPHAEL)")</f>
        <v>TO REPLACE THE DEFECTIVE POWER SUPPLY OF OUR SERVER(SISC-RAPHAEL)</v>
      </c>
    </row>
    <row r="81">
      <c r="A81" s="234">
        <f>IFERROR(__xludf.DUMMYFUNCTION("""COMPUTED_VALUE"""),100373.0)</f>
        <v>100373</v>
      </c>
      <c r="B81" s="235" t="str">
        <f>IFERROR(__xludf.DUMMYFUNCTION("""COMPUTED_VALUE"""),"GLADYS MINTU")</f>
        <v>GLADYS MINTU</v>
      </c>
      <c r="C81" s="235" t="str">
        <f>IFERROR(__xludf.DUMMYFUNCTION("""COMPUTED_VALUE"""),"DP'S OFFICE")</f>
        <v>DP'S OFFICE</v>
      </c>
      <c r="D81" s="196" t="str">
        <f>IFERROR(__xludf.DUMMYFUNCTION("""COMPUTED_VALUE"""),"GRADUATION GR 6 AND 12 FLOWER ARRANGEMENT; ROSES FOR PARENTS GR 6 109PCS; GR 12 151PCS")</f>
        <v>GRADUATION GR 6 AND 12 FLOWER ARRANGEMENT; ROSES FOR PARENTS GR 6 109PCS; GR 12 151PCS</v>
      </c>
      <c r="E81" s="196" t="str">
        <f>IFERROR(__xludf.DUMMYFUNCTION("""COMPUTED_VALUE"""),"GRADUATION DAY 18-19")</f>
        <v>GRADUATION DAY 18-19</v>
      </c>
    </row>
    <row r="82">
      <c r="A82" s="234">
        <f>IFERROR(__xludf.DUMMYFUNCTION("""COMPUTED_VALUE"""),100374.0)</f>
        <v>100374</v>
      </c>
      <c r="B82" s="235" t="str">
        <f>IFERROR(__xludf.DUMMYFUNCTION("""COMPUTED_VALUE"""),"GLADYS MINTU")</f>
        <v>GLADYS MINTU</v>
      </c>
      <c r="C82" s="235" t="str">
        <f>IFERROR(__xludf.DUMMYFUNCTION("""COMPUTED_VALUE"""),"DP'S OFFICE")</f>
        <v>DP'S OFFICE</v>
      </c>
      <c r="D82" s="196" t="str">
        <f>IFERROR(__xludf.DUMMYFUNCTION("""COMPUTED_VALUE"""),"RECOGNITION DAY GR 7-11 FLOWER ARRANGEMENT")</f>
        <v>RECOGNITION DAY GR 7-11 FLOWER ARRANGEMENT</v>
      </c>
      <c r="E82" s="196" t="str">
        <f>IFERROR(__xludf.DUMMYFUNCTION("""COMPUTED_VALUE"""),"RECOGNITION DAY 18-19")</f>
        <v>RECOGNITION DAY 18-19</v>
      </c>
    </row>
    <row r="83">
      <c r="A83" s="234">
        <f>IFERROR(__xludf.DUMMYFUNCTION("""COMPUTED_VALUE"""),100375.0)</f>
        <v>100375</v>
      </c>
      <c r="B83" s="235" t="str">
        <f>IFERROR(__xludf.DUMMYFUNCTION("""COMPUTED_VALUE"""),"BOKBOK CALVENDRA")</f>
        <v>BOKBOK CALVENDRA</v>
      </c>
      <c r="C83" s="235" t="str">
        <f>IFERROR(__xludf.DUMMYFUNCTION("""COMPUTED_VALUE"""),"HOUSEKEEPING")</f>
        <v>HOUSEKEEPING</v>
      </c>
      <c r="D83" s="196" t="str">
        <f>IFERROR(__xludf.DUMMYFUNCTION("""COMPUTED_VALUE"""),"GOGGLES 1PC; CAR POLISH 1PC; TIRE WAX 1PC")</f>
        <v>GOGGLES 1PC; CAR POLISH 1PC; TIRE WAX 1PC</v>
      </c>
      <c r="E83" s="196" t="str">
        <f>IFERROR(__xludf.DUMMYFUNCTION("""COMPUTED_VALUE"""),"FOR HOUSKEEPING SEMINAR USE")</f>
        <v>FOR HOUSKEEPING SEMINAR USE</v>
      </c>
    </row>
    <row r="84">
      <c r="A84" s="234">
        <f>IFERROR(__xludf.DUMMYFUNCTION("""COMPUTED_VALUE"""),100376.0)</f>
        <v>100376</v>
      </c>
      <c r="B84" s="235" t="str">
        <f>IFERROR(__xludf.DUMMYFUNCTION("""COMPUTED_VALUE"""),"choy jamias")</f>
        <v>choy jamias</v>
      </c>
      <c r="C84" s="235" t="str">
        <f>IFERROR(__xludf.DUMMYFUNCTION("""COMPUTED_VALUE"""),"STUDENT AFFAIRS COLLEGE")</f>
        <v>STUDENT AFFAIRS COLLEGE</v>
      </c>
      <c r="D84" s="196" t="str">
        <f>IFERROR(__xludf.DUMMYFUNCTION("""COMPUTED_VALUE"""),"12"" standard SISC plaque for commencement speaker (Ms. Maria Fe Perez - Agudo) 1pc.")</f>
        <v>12" standard SISC plaque for commencement speaker (Ms. Maria Fe Perez - Agudo) 1pc.</v>
      </c>
      <c r="E84" s="196" t="str">
        <f>IFERROR(__xludf.DUMMYFUNCTION("""COMPUTED_VALUE"""),"for graduation commencement ")</f>
        <v>for graduation commencement </v>
      </c>
    </row>
    <row r="85">
      <c r="A85" s="234">
        <f>IFERROR(__xludf.DUMMYFUNCTION("""COMPUTED_VALUE"""),100377.0)</f>
        <v>100377</v>
      </c>
      <c r="B85" s="235" t="str">
        <f>IFERROR(__xludf.DUMMYFUNCTION("""COMPUTED_VALUE"""),"ROMAN BALUYOT")</f>
        <v>ROMAN BALUYOT</v>
      </c>
      <c r="C85" s="235" t="str">
        <f>IFERROR(__xludf.DUMMYFUNCTION("""COMPUTED_VALUE"""),"PR &amp; MARKETING")</f>
        <v>PR &amp; MARKETING</v>
      </c>
      <c r="D85" s="196" t="str">
        <f>IFERROR(__xludf.DUMMYFUNCTION("""COMPUTED_VALUE"""),"5X7FT. PRESCHOOL TARP 1 PC")</f>
        <v>5X7FT. PRESCHOOL TARP 1 PC</v>
      </c>
      <c r="E85" s="196" t="str">
        <f>IFERROR(__xludf.DUMMYFUNCTION("""COMPUTED_VALUE"""),"MARKETING PURPOSES")</f>
        <v>MARKETING PURPOSES</v>
      </c>
    </row>
    <row r="86">
      <c r="A86" s="234">
        <f>IFERROR(__xludf.DUMMYFUNCTION("""COMPUTED_VALUE"""),100378.0)</f>
        <v>100378</v>
      </c>
      <c r="B86" s="235" t="str">
        <f>IFERROR(__xludf.DUMMYFUNCTION("""COMPUTED_VALUE"""),"apollo mance")</f>
        <v>apollo mance</v>
      </c>
      <c r="C86" s="235" t="str">
        <f>IFERROR(__xludf.DUMMYFUNCTION("""COMPUTED_VALUE"""),"AMD")</f>
        <v>AMD</v>
      </c>
      <c r="D86" s="196" t="str">
        <f>IFERROR(__xludf.DUMMYFUNCTION("""COMPUTED_VALUE"""),"white bar hood for media arts course 25pcs.")</f>
        <v>white bar hood for media arts course 25pcs.</v>
      </c>
      <c r="E86" s="196" t="str">
        <f>IFERROR(__xludf.DUMMYFUNCTION("""COMPUTED_VALUE"""),"additional hood and replacement of defective hood")</f>
        <v>additional hood and replacement of defective hood</v>
      </c>
    </row>
    <row r="87">
      <c r="A87" s="234">
        <f>IFERROR(__xludf.DUMMYFUNCTION("""COMPUTED_VALUE"""),100379.0)</f>
        <v>100379</v>
      </c>
      <c r="B87" s="235" t="str">
        <f>IFERROR(__xludf.DUMMYFUNCTION("""COMPUTED_VALUE"""),"LEOPOLDO BELOY")</f>
        <v>LEOPOLDO BELOY</v>
      </c>
      <c r="C87" s="235" t="str">
        <f>IFERROR(__xludf.DUMMYFUNCTION("""COMPUTED_VALUE"""),"AV/MIS")</f>
        <v>AV/MIS</v>
      </c>
      <c r="D87" s="196" t="str">
        <f>IFERROR(__xludf.DUMMYFUNCTION("""COMPUTED_VALUE"""),"PROJECTOR SCREEN 9X12 FT 3PCS")</f>
        <v>PROJECTOR SCREEN 9X12 FT 3PCS</v>
      </c>
      <c r="E87" s="196" t="str">
        <f>IFERROR(__xludf.DUMMYFUNCTION("""COMPUTED_VALUE"""),"REAR PROJECTOR SCREEN")</f>
        <v>REAR PROJECTOR SCREEN</v>
      </c>
    </row>
    <row r="88">
      <c r="A88" s="234">
        <f>IFERROR(__xludf.DUMMYFUNCTION("""COMPUTED_VALUE"""),100380.0)</f>
        <v>100380</v>
      </c>
      <c r="B88" s="235" t="str">
        <f>IFERROR(__xludf.DUMMYFUNCTION("""COMPUTED_VALUE"""),"JOSEPHINE PETIN")</f>
        <v>JOSEPHINE PETIN</v>
      </c>
      <c r="C88" s="235" t="str">
        <f>IFERROR(__xludf.DUMMYFUNCTION("""COMPUTED_VALUE"""),"ADMIN")</f>
        <v>ADMIN</v>
      </c>
      <c r="D88" s="196" t="str">
        <f>IFERROR(__xludf.DUMMYFUNCTION("""COMPUTED_VALUE"""),"PROJECTOR/PROJECTOR SCREEN 2UNITS")</f>
        <v>PROJECTOR/PROJECTOR SCREEN 2UNITS</v>
      </c>
      <c r="E88" s="196" t="str">
        <f>IFERROR(__xludf.DUMMYFUNCTION("""COMPUTED_VALUE"""),"FOR PULL OUT ROOM AND COMPUTER ROOM")</f>
        <v>FOR PULL OUT ROOM AND COMPUTER ROOM</v>
      </c>
    </row>
    <row r="89">
      <c r="A89" s="234">
        <f>IFERROR(__xludf.DUMMYFUNCTION("""COMPUTED_VALUE"""),100381.0)</f>
        <v>100381</v>
      </c>
      <c r="B89" s="235" t="str">
        <f>IFERROR(__xludf.DUMMYFUNCTION("""COMPUTED_VALUE"""),"PHEN PETIN")</f>
        <v>PHEN PETIN</v>
      </c>
      <c r="C89" s="235" t="str">
        <f>IFERROR(__xludf.DUMMYFUNCTION("""COMPUTED_VALUE"""),"ADMIN")</f>
        <v>ADMIN</v>
      </c>
      <c r="D89" s="196" t="str">
        <f>IFERROR(__xludf.DUMMYFUNCTION("""COMPUTED_VALUE"""),"TABLES - RED NURSERY/KINDER 4, JR KINDER 4; CHAIRS - BLUE NURSER/KINDER 24, JP KINDER 24")</f>
        <v>TABLES - RED NURSERY/KINDER 4, JR KINDER 4; CHAIRS - BLUE NURSER/KINDER 24, JP KINDER 24</v>
      </c>
      <c r="E89" s="196" t="str">
        <f>IFERROR(__xludf.DUMMYFUNCTION("""COMPUTED_VALUE"""),"FOR NURSERY / KINDER AND JR KINDER CLASSROOMS")</f>
        <v>FOR NURSERY / KINDER AND JR KINDER CLASSROOMS</v>
      </c>
    </row>
    <row r="90">
      <c r="A90" s="234">
        <f>IFERROR(__xludf.DUMMYFUNCTION("""COMPUTED_VALUE"""),100382.0)</f>
        <v>100382</v>
      </c>
      <c r="B90" s="235" t="str">
        <f>IFERROR(__xludf.DUMMYFUNCTION("""COMPUTED_VALUE"""),"LUDY DE ASIS")</f>
        <v>LUDY DE ASIS</v>
      </c>
      <c r="C90" s="235" t="str">
        <f>IFERROR(__xludf.DUMMYFUNCTION("""COMPUTED_VALUE"""),"MIS/ICT")</f>
        <v>MIS/ICT</v>
      </c>
      <c r="D90" s="196" t="str">
        <f>IFERROR(__xludf.DUMMYFUNCTION("""COMPUTED_VALUE"""),"PROJECTOR AND PROJECTOR SCREEN 1UNIT")</f>
        <v>PROJECTOR AND PROJECTOR SCREEN 1UNIT</v>
      </c>
      <c r="E90" s="196" t="str">
        <f>IFERROR(__xludf.DUMMYFUNCTION("""COMPUTED_VALUE"""),"CMLC")</f>
        <v>CMLC</v>
      </c>
    </row>
    <row r="91">
      <c r="A91" s="234">
        <f>IFERROR(__xludf.DUMMYFUNCTION("""COMPUTED_VALUE"""),100383.0)</f>
        <v>100383</v>
      </c>
      <c r="B91" s="235" t="str">
        <f>IFERROR(__xludf.DUMMYFUNCTION("""COMPUTED_VALUE"""),"LUDY DE ASIS")</f>
        <v>LUDY DE ASIS</v>
      </c>
      <c r="C91" s="235" t="str">
        <f>IFERROR(__xludf.DUMMYFUNCTION("""COMPUTED_VALUE"""),"MIS/ICT")</f>
        <v>MIS/ICT</v>
      </c>
      <c r="D91" s="196" t="str">
        <f>IFERROR(__xludf.DUMMYFUNCTION("""COMPUTED_VALUE"""),"COMPUTER SET WITH 2 MONITORS 6UNITS")</f>
        <v>COMPUTER SET WITH 2 MONITORS 6UNITS</v>
      </c>
      <c r="E91" s="196" t="str">
        <f>IFERROR(__xludf.DUMMYFUNCTION("""COMPUTED_VALUE"""),"CMLC")</f>
        <v>CMLC</v>
      </c>
    </row>
    <row r="92">
      <c r="A92" s="234">
        <f>IFERROR(__xludf.DUMMYFUNCTION("""COMPUTED_VALUE"""),100384.0)</f>
        <v>100384</v>
      </c>
      <c r="B92" s="235" t="str">
        <f>IFERROR(__xludf.DUMMYFUNCTION("""COMPUTED_VALUE"""),"CINDY JURADO")</f>
        <v>CINDY JURADO</v>
      </c>
      <c r="C92" s="235" t="str">
        <f>IFERROR(__xludf.DUMMYFUNCTION("""COMPUTED_VALUE"""),"SCIENCE DEPT.")</f>
        <v>SCIENCE DEPT.</v>
      </c>
      <c r="D92" s="196" t="str">
        <f>IFERROR(__xludf.DUMMYFUNCTION("""COMPUTED_VALUE"""),"1 BAGA; 1 SAW; 1 BATO; 1 ATAY; 1 PUSO")</f>
        <v>1 BAGA; 1 SAW; 1 BATO; 1 ATAY; 1 PUSO</v>
      </c>
      <c r="E92" s="196" t="str">
        <f>IFERROR(__xludf.DUMMYFUNCTION("""COMPUTED_VALUE"""),"LABATORY OF  12-STEM (ANATOMY CLASS)")</f>
        <v>LABATORY OF  12-STEM (ANATOMY CLASS)</v>
      </c>
    </row>
    <row r="93">
      <c r="A93" s="234">
        <f>IFERROR(__xludf.DUMMYFUNCTION("""COMPUTED_VALUE"""),100385.0)</f>
        <v>100385</v>
      </c>
      <c r="B93" s="235" t="str">
        <f>IFERROR(__xludf.DUMMYFUNCTION("""COMPUTED_VALUE"""),"RUEL CAJILI")</f>
        <v>RUEL CAJILI</v>
      </c>
      <c r="C93" s="235" t="str">
        <f>IFERROR(__xludf.DUMMYFUNCTION("""COMPUTED_VALUE"""),"PSYCHOLOGY")</f>
        <v>PSYCHOLOGY</v>
      </c>
      <c r="D93" s="196" t="str">
        <f>IFERROR(__xludf.DUMMYFUNCTION("""COMPUTED_VALUE"""),"CONGRATULATORY TARP W = 6.69FT, H = 4.75FT WITH 1 INCH ON ALL SIDES NO EYELETS")</f>
        <v>CONGRATULATORY TARP W = 6.69FT, H = 4.75FT WITH 1 INCH ON ALL SIDES NO EYELETS</v>
      </c>
      <c r="E93" s="196" t="str">
        <f>IFERROR(__xludf.DUMMYFUNCTION("""COMPUTED_VALUE"""),"FOR GRADUATION   ")</f>
        <v>FOR GRADUATION   </v>
      </c>
    </row>
    <row r="94">
      <c r="A94" s="234">
        <f>IFERROR(__xludf.DUMMYFUNCTION("""COMPUTED_VALUE"""),100386.0)</f>
        <v>100386</v>
      </c>
      <c r="B94" s="235" t="str">
        <f>IFERROR(__xludf.DUMMYFUNCTION("""COMPUTED_VALUE"""),"ROMAN BALUYOT")</f>
        <v>ROMAN BALUYOT</v>
      </c>
      <c r="C94" s="235" t="str">
        <f>IFERROR(__xludf.DUMMYFUNCTION("""COMPUTED_VALUE"""),"PR &amp; MARKETING")</f>
        <v>PR &amp; MARKETING</v>
      </c>
      <c r="D94" s="196" t="str">
        <f>IFERROR(__xludf.DUMMYFUNCTION("""COMPUTED_VALUE"""),"6.5X13.5 FT LAWYERS TARP WITH SEAMING AND EYELET ALL OVER 1PC")</f>
        <v>6.5X13.5 FT LAWYERS TARP WITH SEAMING AND EYELET ALL OVER 1PC</v>
      </c>
      <c r="E94" s="196" t="str">
        <f>IFERROR(__xludf.DUMMYFUNCTION("""COMPUTED_VALUE"""),"MARKETING  ")</f>
        <v>MARKETING  </v>
      </c>
    </row>
    <row r="95">
      <c r="A95" s="234">
        <f>IFERROR(__xludf.DUMMYFUNCTION("""COMPUTED_VALUE"""),100387.0)</f>
        <v>100387</v>
      </c>
      <c r="B95" s="235" t="str">
        <f>IFERROR(__xludf.DUMMYFUNCTION("""COMPUTED_VALUE"""),"LUDY DE ASIS")</f>
        <v>LUDY DE ASIS</v>
      </c>
      <c r="C95" s="235" t="str">
        <f>IFERROR(__xludf.DUMMYFUNCTION("""COMPUTED_VALUE"""),"HOUSEKEEPING")</f>
        <v>HOUSEKEEPING</v>
      </c>
      <c r="D95" s="196" t="str">
        <f>IFERROR(__xludf.DUMMYFUNCTION("""COMPUTED_VALUE"""),"TURBO FAN 1PC")</f>
        <v>TURBO FAN 1PC</v>
      </c>
      <c r="E95" s="196" t="str">
        <f>IFERROR(__xludf.DUMMYFUNCTION("""COMPUTED_VALUE"""),"FOR PR OFFICE C/O MR DANIEL'S OFFICE")</f>
        <v>FOR PR OFFICE C/O MR DANIEL'S OFFICE</v>
      </c>
    </row>
    <row r="96">
      <c r="A96" s="234">
        <f>IFERROR(__xludf.DUMMYFUNCTION("""COMPUTED_VALUE"""),100388.0)</f>
        <v>100388</v>
      </c>
      <c r="B96" s="235" t="str">
        <f>IFERROR(__xludf.DUMMYFUNCTION("""COMPUTED_VALUE"""),"LUDY DE ASIS")</f>
        <v>LUDY DE ASIS</v>
      </c>
      <c r="C96" s="235" t="str">
        <f>IFERROR(__xludf.DUMMYFUNCTION("""COMPUTED_VALUE"""),"HOUSEKEEPING")</f>
        <v>HOUSEKEEPING</v>
      </c>
      <c r="D96" s="196" t="str">
        <f>IFERROR(__xludf.DUMMYFUNCTION("""COMPUTED_VALUE"""),"OFFICE CHAIR 1PC")</f>
        <v>OFFICE CHAIR 1PC</v>
      </c>
      <c r="E96" s="196" t="str">
        <f>IFERROR(__xludf.DUMMYFUNCTION("""COMPUTED_VALUE"""),"FOR DANIEL'S OFFICE")</f>
        <v>FOR DANIEL'S OFFICE</v>
      </c>
    </row>
    <row r="97">
      <c r="A97" s="234">
        <f>IFERROR(__xludf.DUMMYFUNCTION("""COMPUTED_VALUE"""),100389.0)</f>
        <v>100389</v>
      </c>
      <c r="B97" s="235" t="str">
        <f>IFERROR(__xludf.DUMMYFUNCTION("""COMPUTED_VALUE"""),"LUDY DE ASIS")</f>
        <v>LUDY DE ASIS</v>
      </c>
      <c r="C97" s="235" t="str">
        <f>IFERROR(__xludf.DUMMYFUNCTION("""COMPUTED_VALUE"""),"HOUSEKEEPING")</f>
        <v>HOUSEKEEPING</v>
      </c>
      <c r="D97" s="196" t="str">
        <f>IFERROR(__xludf.DUMMYFUNCTION("""COMPUTED_VALUE"""),"OFFICE TABLE 1PC")</f>
        <v>OFFICE TABLE 1PC</v>
      </c>
      <c r="E97" s="196" t="str">
        <f>IFERROR(__xludf.DUMMYFUNCTION("""COMPUTED_VALUE"""),"FOR DANIEL'S OFFICE")</f>
        <v>FOR DANIEL'S OFFICE</v>
      </c>
    </row>
    <row r="98">
      <c r="A98" s="234">
        <f>IFERROR(__xludf.DUMMYFUNCTION("""COMPUTED_VALUE"""),100390.0)</f>
        <v>100390</v>
      </c>
      <c r="B98" s="235" t="str">
        <f>IFERROR(__xludf.DUMMYFUNCTION("""COMPUTED_VALUE"""),"LUDY DE ASIS")</f>
        <v>LUDY DE ASIS</v>
      </c>
      <c r="C98" s="235" t="str">
        <f>IFERROR(__xludf.DUMMYFUNCTION("""COMPUTED_VALUE"""),"HOUSEKEEPING")</f>
        <v>HOUSEKEEPING</v>
      </c>
      <c r="D98" s="196" t="str">
        <f>IFERROR(__xludf.DUMMYFUNCTION("""COMPUTED_VALUE"""),"INCOMING TRAY 1PC")</f>
        <v>INCOMING TRAY 1PC</v>
      </c>
      <c r="E98" s="196" t="str">
        <f>IFERROR(__xludf.DUMMYFUNCTION("""COMPUTED_VALUE"""),"FOR DANIEL'S OFFICE")</f>
        <v>FOR DANIEL'S OFFICE</v>
      </c>
    </row>
    <row r="99">
      <c r="A99" s="234">
        <f>IFERROR(__xludf.DUMMYFUNCTION("""COMPUTED_VALUE"""),100391.0)</f>
        <v>100391</v>
      </c>
      <c r="B99" s="235" t="str">
        <f>IFERROR(__xludf.DUMMYFUNCTION("""COMPUTED_VALUE"""),"OWIE PAR")</f>
        <v>OWIE PAR</v>
      </c>
      <c r="C99" s="235" t="str">
        <f>IFERROR(__xludf.DUMMYFUNCTION("""COMPUTED_VALUE"""),"ENGINEERING")</f>
        <v>ENGINEERING</v>
      </c>
      <c r="D99" s="196" t="str">
        <f>IFERROR(__xludf.DUMMYFUNCTION("""COMPUTED_VALUE"""),"SUBMERSIBLE PUMP BRAND: PIONEER, PHASE - SINGLE, VOLTAGE 220, RPM 3450 1UNIT")</f>
        <v>SUBMERSIBLE PUMP BRAND: PIONEER, PHASE - SINGLE, VOLTAGE 220, RPM 3450 1UNIT</v>
      </c>
      <c r="E99" s="196" t="str">
        <f>IFERROR(__xludf.DUMMYFUNCTION("""COMPUTED_VALUE"""),"FOR SUB COLLECTION TANK #2 WASTE WATER")</f>
        <v>FOR SUB COLLECTION TANK #2 WASTE WATER</v>
      </c>
    </row>
    <row r="100">
      <c r="A100" s="234">
        <f>IFERROR(__xludf.DUMMYFUNCTION("""COMPUTED_VALUE"""),100392.0)</f>
        <v>100392</v>
      </c>
      <c r="B100" s="235" t="str">
        <f>IFERROR(__xludf.DUMMYFUNCTION("""COMPUTED_VALUE"""),"SAMANTHA FEROL")</f>
        <v>SAMANTHA FEROL</v>
      </c>
      <c r="C100" s="235" t="str">
        <f>IFERROR(__xludf.DUMMYFUNCTION("""COMPUTED_VALUE"""),"LIBRARY COLLEGE")</f>
        <v>LIBRARY COLLEGE</v>
      </c>
      <c r="D100" s="196" t="str">
        <f>IFERROR(__xludf.DUMMYFUNCTION("""COMPUTED_VALUE"""),"TEACHING QUALITATIVE RESEARCH: STRATEGIES FOR ENGAGING EMERGING SCHOLARS 1COPY; PLANNING YOUR QUALITATIVE RESEARCH THESIS AND PROJECT: AND INTRODUCTION TO INTERPRETIVIST RESEARCH IN EDUCATION AND SOCIAL SCIENCES 1COPY; ACTION RESEARCH IN TEACHING AND LEAR"&amp;"NING: A PRACTICAL GUIDE TO CONDUCTIONG PEDAGOGICAL RESEARCH IN UNIVERSITIES 2E 1COPY")</f>
        <v>TEACHING QUALITATIVE RESEARCH: STRATEGIES FOR ENGAGING EMERGING SCHOLARS 1COPY; PLANNING YOUR QUALITATIVE RESEARCH THESIS AND PROJECT: AND INTRODUCTION TO INTERPRETIVIST RESEARCH IN EDUCATION AND SOCIAL SCIENCES 1COPY; ACTION RESEARCH IN TEACHING AND LEARNING: A PRACTICAL GUIDE TO CONDUCTIONG PEDAGOGICAL RESEARCH IN UNIVERSITIES 2E 1COPY</v>
      </c>
      <c r="E100" s="196" t="str">
        <f>IFERROR(__xludf.DUMMYFUNCTION("""COMPUTED_VALUE"""),"FOR PACUCOA LEVEL 4 ACCREDITATION")</f>
        <v>FOR PACUCOA LEVEL 4 ACCREDITATION</v>
      </c>
    </row>
    <row r="101">
      <c r="A101" s="234">
        <f>IFERROR(__xludf.DUMMYFUNCTION("""COMPUTED_VALUE"""),100393.0)</f>
        <v>100393</v>
      </c>
      <c r="B101" s="235" t="str">
        <f>IFERROR(__xludf.DUMMYFUNCTION("""COMPUTED_VALUE"""),"ROMAN BALUYOT")</f>
        <v>ROMAN BALUYOT</v>
      </c>
      <c r="C101" s="235" t="str">
        <f>IFERROR(__xludf.DUMMYFUNCTION("""COMPUTED_VALUE"""),"PR &amp; MARKETING")</f>
        <v>PR &amp; MARKETING</v>
      </c>
      <c r="D101" s="196" t="str">
        <f>IFERROR(__xludf.DUMMYFUNCTION("""COMPUTED_VALUE"""),"SFO 2019 13.5FT X 6.5FT WITH EYELET ALL OVER 1FT APART; SWITH SEAMING 2PCS")</f>
        <v>SFO 2019 13.5FT X 6.5FT WITH EYELET ALL OVER 1FT APART; SWITH SEAMING 2PCS</v>
      </c>
      <c r="E101" s="196" t="str">
        <f>IFERROR(__xludf.DUMMYFUNCTION("""COMPUTED_VALUE"""),"SFO")</f>
        <v>SFO</v>
      </c>
    </row>
    <row r="102">
      <c r="A102" s="234">
        <f>IFERROR(__xludf.DUMMYFUNCTION("""COMPUTED_VALUE"""),100394.0)</f>
        <v>100394</v>
      </c>
      <c r="B102" s="235" t="str">
        <f>IFERROR(__xludf.DUMMYFUNCTION("""COMPUTED_VALUE"""),"SANDRA CLAIRE DUPIO")</f>
        <v>SANDRA CLAIRE DUPIO</v>
      </c>
      <c r="C102" s="235" t="str">
        <f>IFERROR(__xludf.DUMMYFUNCTION("""COMPUTED_VALUE"""),"LIBRARY BASIC ED")</f>
        <v>LIBRARY BASIC ED</v>
      </c>
      <c r="D102" s="196" t="str">
        <f>IFERROR(__xludf.DUMMYFUNCTION("""COMPUTED_VALUE"""),"1 CP ENGLISH LANGUAGE &amp; LITERATURE FOR THE IB DIPLOMA; 1 CP ENGLISH A: LANGUAGE &amp; LITERATURE COURSE COMPANION; 1 CP MATHEMATICS: APPLICATIONS &amp; INTERPRETATION HL; 1 CP MATHEMATICS:  ANALYSIS &amp; APPROACHES HL; 1 CP MATHEMATICS:  ANALYSIS &amp; APPROACHES SL; 1 "&amp;"CP MATHEMATICS: APPLICATIONS &amp; INTERPRETATION SL; 1 CP FISKE GUIDE TO COLLEGES 2020; 1 CP APPROACHES TO LEARNING: A PRACTICAL GUIDE")</f>
        <v>1 CP ENGLISH LANGUAGE &amp; LITERATURE FOR THE IB DIPLOMA; 1 CP ENGLISH A: LANGUAGE &amp; LITERATURE COURSE COMPANION; 1 CP MATHEMATICS: APPLICATIONS &amp; INTERPRETATION HL; 1 CP MATHEMATICS:  ANALYSIS &amp; APPROACHES HL; 1 CP MATHEMATICS:  ANALYSIS &amp; APPROACHES SL; 1 CP MATHEMATICS: APPLICATIONS &amp; INTERPRETATION SL; 1 CP FISKE GUIDE TO COLLEGES 2020; 1 CP APPROACHES TO LEARNING: A PRACTICAL GUIDE</v>
      </c>
      <c r="E102" s="196" t="str">
        <f>IFERROR(__xludf.DUMMYFUNCTION("""COMPUTED_VALUE"""),"FOR IB TEACHERS &amp; STUDENTS USE/ LIBRARY'S COPY")</f>
        <v>FOR IB TEACHERS &amp; STUDENTS USE/ LIBRARY'S COPY</v>
      </c>
    </row>
    <row r="103">
      <c r="A103" s="234">
        <f>IFERROR(__xludf.DUMMYFUNCTION("""COMPUTED_VALUE"""),100395.0)</f>
        <v>100395</v>
      </c>
      <c r="B103" s="235" t="str">
        <f>IFERROR(__xludf.DUMMYFUNCTION("""COMPUTED_VALUE"""),"PHEN PETIN")</f>
        <v>PHEN PETIN</v>
      </c>
      <c r="C103" s="235" t="str">
        <f>IFERROR(__xludf.DUMMYFUNCTION("""COMPUTED_VALUE"""),"ADMIN - STAR")</f>
        <v>ADMIN - STAR</v>
      </c>
      <c r="D103" s="196" t="str">
        <f>IFERROR(__xludf.DUMMYFUNCTION("""COMPUTED_VALUE"""),"120 PCS VINYL TILES")</f>
        <v>120 PCS VINYL TILES</v>
      </c>
      <c r="E103" s="196" t="str">
        <f>IFERROR(__xludf.DUMMYFUNCTION("""COMPUTED_VALUE"""),"ADDITIONAL VINYL FOR 3RD FLOOR CLASSROOMS (ELIZALDE)")</f>
        <v>ADDITIONAL VINYL FOR 3RD FLOOR CLASSROOMS (ELIZALDE)</v>
      </c>
    </row>
    <row r="104">
      <c r="A104" s="234">
        <f>IFERROR(__xludf.DUMMYFUNCTION("""COMPUTED_VALUE"""),100396.0)</f>
        <v>100396</v>
      </c>
      <c r="B104" s="235" t="str">
        <f>IFERROR(__xludf.DUMMYFUNCTION("""COMPUTED_VALUE"""),"PHEN PETIN")</f>
        <v>PHEN PETIN</v>
      </c>
      <c r="C104" s="235" t="str">
        <f>IFERROR(__xludf.DUMMYFUNCTION("""COMPUTED_VALUE"""),"ADMIN - STAR")</f>
        <v>ADMIN - STAR</v>
      </c>
      <c r="D104" s="196" t="str">
        <f>IFERROR(__xludf.DUMMYFUNCTION("""COMPUTED_VALUE"""),"1 GAL RUGBY")</f>
        <v>1 GAL RUGBY</v>
      </c>
      <c r="E104" s="196" t="str">
        <f>IFERROR(__xludf.DUMMYFUNCTION("""COMPUTED_VALUE"""),"ADDITIONAL RUGBY FOR INSTALLATION OF VINYL")</f>
        <v>ADDITIONAL RUGBY FOR INSTALLATION OF VINYL</v>
      </c>
    </row>
    <row r="105">
      <c r="A105" s="234">
        <f>IFERROR(__xludf.DUMMYFUNCTION("""COMPUTED_VALUE"""),100397.0)</f>
        <v>100397</v>
      </c>
      <c r="B105" s="235" t="str">
        <f>IFERROR(__xludf.DUMMYFUNCTION("""COMPUTED_VALUE"""),"ALFA DE LEON")</f>
        <v>ALFA DE LEON</v>
      </c>
      <c r="C105" s="235" t="str">
        <f>IFERROR(__xludf.DUMMYFUNCTION("""COMPUTED_VALUE"""),"ADMIN - MUNICH")</f>
        <v>ADMIN - MUNICH</v>
      </c>
      <c r="D105" s="196" t="str">
        <f>IFERROR(__xludf.DUMMYFUNCTION("""COMPUTED_VALUE"""),"TILES 16X16 1UNIT; CHAIR 1UNIT; TILES 30X30 18UNITS; TILES 16X16 1UNIT; RUBBER TILE RED 1UNIT; RUBBER TILE GREEN 1UNIT; STICKWELL 5UNITS")</f>
        <v>TILES 16X16 1UNIT; CHAIR 1UNIT; TILES 30X30 18UNITS; TILES 16X16 1UNIT; RUBBER TILE RED 1UNIT; RUBBER TILE GREEN 1UNIT; STICKWELL 5UNITS</v>
      </c>
      <c r="E105" s="196" t="str">
        <f>IFERROR(__xludf.DUMMYFUNCTION("""COMPUTED_VALUE"""),"REPAIR AND MAINTENANCE")</f>
        <v>REPAIR AND MAINTENANCE</v>
      </c>
    </row>
    <row r="106">
      <c r="A106" s="234">
        <f>IFERROR(__xludf.DUMMYFUNCTION("""COMPUTED_VALUE"""),100398.0)</f>
        <v>100398</v>
      </c>
      <c r="B106" s="235" t="str">
        <f>IFERROR(__xludf.DUMMYFUNCTION("""COMPUTED_VALUE"""),"ALFA DE LEON")</f>
        <v>ALFA DE LEON</v>
      </c>
      <c r="C106" s="235" t="str">
        <f>IFERROR(__xludf.DUMMYFUNCTION("""COMPUTED_VALUE"""),"ADMIN - MUNICH")</f>
        <v>ADMIN - MUNICH</v>
      </c>
      <c r="D106" s="196" t="str">
        <f>IFERROR(__xludf.DUMMYFUNCTION("""COMPUTED_VALUE"""),"RECTANGULAR REVERIE TABLE PURPLE 1UNIT; REVERIE CHAIR PURPLE 6UNITS")</f>
        <v>RECTANGULAR REVERIE TABLE PURPLE 1UNIT; REVERIE CHAIR PURPLE 6UNITS</v>
      </c>
      <c r="E106" s="196" t="str">
        <f>IFERROR(__xludf.DUMMYFUNCTION("""COMPUTED_VALUE"""),"PRESCHOOL CHAIRS AND TABLE (NEW)")</f>
        <v>PRESCHOOL CHAIRS AND TABLE (NEW)</v>
      </c>
    </row>
    <row r="107">
      <c r="A107" s="234">
        <f>IFERROR(__xludf.DUMMYFUNCTION("""COMPUTED_VALUE"""),100399.0)</f>
        <v>100399</v>
      </c>
      <c r="B107" s="235" t="str">
        <f>IFERROR(__xludf.DUMMYFUNCTION("""COMPUTED_VALUE"""),"RONALDO VERDE")</f>
        <v>RONALDO VERDE</v>
      </c>
      <c r="C107" s="235" t="str">
        <f>IFERROR(__xludf.DUMMYFUNCTION("""COMPUTED_VALUE"""),"TRANSPORTATION")</f>
        <v>TRANSPORTATION</v>
      </c>
      <c r="D107" s="196" t="str">
        <f>IFERROR(__xludf.DUMMYFUNCTION("""COMPUTED_VALUE"""),"LEATHERETTE FOR SISC VANS 2UNITS")</f>
        <v>LEATHERETTE FOR SISC VANS 2UNITS</v>
      </c>
      <c r="E107" s="196" t="str">
        <f>IFERROR(__xludf.DUMMYFUNCTION("""COMPUTED_VALUE"""),"SISC VANS INTERIOR IMPROVEMENT")</f>
        <v>SISC VANS INTERIOR IMPROVEMENT</v>
      </c>
    </row>
    <row r="108">
      <c r="A108" s="234">
        <f>IFERROR(__xludf.DUMMYFUNCTION("""COMPUTED_VALUE"""),100400.0)</f>
        <v>100400</v>
      </c>
      <c r="B108" s="235" t="str">
        <f>IFERROR(__xludf.DUMMYFUNCTION("""COMPUTED_VALUE"""),"LUDY DE ASIS")</f>
        <v>LUDY DE ASIS</v>
      </c>
      <c r="C108" s="235" t="str">
        <f>IFERROR(__xludf.DUMMYFUNCTION("""COMPUTED_VALUE"""),"HOUSEKEEPING")</f>
        <v>HOUSEKEEPING</v>
      </c>
      <c r="D108" s="196" t="str">
        <f>IFERROR(__xludf.DUMMYFUNCTION("""COMPUTED_VALUE"""),"POTS FOR REST ROOM AND OPEN AREA XXS 50PCS; XS 25PCS; S 25PCS; M25PCS; XL25PCS; 2XL25PCS; 3XL 25PCS")</f>
        <v>POTS FOR REST ROOM AND OPEN AREA XXS 50PCS; XS 25PCS; S 25PCS; M25PCS; XL25PCS; 2XL25PCS; 3XL 25PCS</v>
      </c>
      <c r="E108" s="196" t="str">
        <f>IFERROR(__xludf.DUMMYFUNCTION("""COMPUTED_VALUE"""),"POTS FOR REST ROOM AND OPEN AREA")</f>
        <v>POTS FOR REST ROOM AND OPEN AREA</v>
      </c>
    </row>
    <row r="109">
      <c r="A109" s="234">
        <f>IFERROR(__xludf.DUMMYFUNCTION("""COMPUTED_VALUE"""),100401.0)</f>
        <v>100401</v>
      </c>
      <c r="B109" s="235" t="str">
        <f>IFERROR(__xludf.DUMMYFUNCTION("""COMPUTED_VALUE"""),"LUDY DE ASIS")</f>
        <v>LUDY DE ASIS</v>
      </c>
      <c r="C109" s="235" t="str">
        <f>IFERROR(__xludf.DUMMYFUNCTION("""COMPUTED_VALUE"""),"HOUSEKEEPING")</f>
        <v>HOUSEKEEPING</v>
      </c>
      <c r="D109" s="196" t="str">
        <f>IFERROR(__xludf.DUMMYFUNCTION("""COMPUTED_VALUE"""),"URINAL (WATERLESS) 1 UNIT FALCON")</f>
        <v>URINAL (WATERLESS) 1 UNIT FALCON</v>
      </c>
      <c r="E109" s="196" t="str">
        <f>IFERROR(__xludf.DUMMYFUNCTION("""COMPUTED_VALUE"""),"2ND FLOOR LUX EAST WING")</f>
        <v>2ND FLOOR LUX EAST WING</v>
      </c>
    </row>
    <row r="110">
      <c r="A110" s="234">
        <f>IFERROR(__xludf.DUMMYFUNCTION("""COMPUTED_VALUE"""),100402.0)</f>
        <v>100402</v>
      </c>
      <c r="B110" s="235" t="str">
        <f>IFERROR(__xludf.DUMMYFUNCTION("""COMPUTED_VALUE"""),"APRIL TRAJICO")</f>
        <v>APRIL TRAJICO</v>
      </c>
      <c r="C110" s="235" t="str">
        <f>IFERROR(__xludf.DUMMYFUNCTION("""COMPUTED_VALUE"""),"AMD")</f>
        <v>AMD</v>
      </c>
      <c r="D110" s="196" t="str">
        <f>IFERROR(__xludf.DUMMYFUNCTION("""COMPUTED_VALUE"""),"MIFARE 1K BIT- CONTACTLESS CARD, MODEL-IOT CRDM65 2000PCS")</f>
        <v>MIFARE 1K BIT- CONTACTLESS CARD, MODEL-IOT CRDM65 2000PCS</v>
      </c>
      <c r="E110" s="196" t="str">
        <f>IFERROR(__xludf.DUMMYFUNCTION("""COMPUTED_VALUE"""),"STOCK REPLENISHMENT - OSSUP")</f>
        <v>STOCK REPLENISHMENT - OSSUP</v>
      </c>
    </row>
    <row r="111">
      <c r="A111" s="234">
        <f>IFERROR(__xludf.DUMMYFUNCTION("""COMPUTED_VALUE"""),100403.0)</f>
        <v>100403</v>
      </c>
      <c r="B111" s="235" t="str">
        <f>IFERROR(__xludf.DUMMYFUNCTION("""COMPUTED_VALUE"""),"MELISSA ODONO")</f>
        <v>MELISSA ODONO</v>
      </c>
      <c r="C111" s="235" t="str">
        <f>IFERROR(__xludf.DUMMYFUNCTION("""COMPUTED_VALUE"""),"LIBRARY MUNICH")</f>
        <v>LIBRARY MUNICH</v>
      </c>
      <c r="D111" s="196" t="str">
        <f>IFERROR(__xludf.DUMMYFUNCTION("""COMPUTED_VALUE"""),"TABLES OF RAMION 1COPY; TALES OF RAMION 1 COPY; TALES OF RAMION 1COPY; TO THE EDGE OF THE WORLD; DINO WARS: THE TRIALS OF TERROR 1COPY; BUTTERCUP SUNSHINE AND THE ZOMBIES DOOM 1COPY; MAKE ME AWESOME 1COPY; DORY FANTASYMAGORY HEAD IN THE CLUDS 1COPY")</f>
        <v>TABLES OF RAMION 1COPY; TALES OF RAMION 1 COPY; TALES OF RAMION 1COPY; TO THE EDGE OF THE WORLD; DINO WARS: THE TRIALS OF TERROR 1COPY; BUTTERCUP SUNSHINE AND THE ZOMBIES DOOM 1COPY; MAKE ME AWESOME 1COPY; DORY FANTASYMAGORY HEAD IN THE CLUDS 1COPY</v>
      </c>
      <c r="E111" s="196" t="str">
        <f>IFERROR(__xludf.DUMMYFUNCTION("""COMPUTED_VALUE"""),"TEACHER'S AND STUDENT'S USE - LIBRARY'S COPY")</f>
        <v>TEACHER'S AND STUDENT'S USE - LIBRARY'S COPY</v>
      </c>
    </row>
    <row r="112">
      <c r="A112" s="234">
        <f>IFERROR(__xludf.DUMMYFUNCTION("""COMPUTED_VALUE"""),100404.0)</f>
        <v>100404</v>
      </c>
      <c r="B112" s="235" t="str">
        <f>IFERROR(__xludf.DUMMYFUNCTION("""COMPUTED_VALUE"""),"MELISSA ODONO")</f>
        <v>MELISSA ODONO</v>
      </c>
      <c r="C112" s="235" t="str">
        <f>IFERROR(__xludf.DUMMYFUNCTION("""COMPUTED_VALUE"""),"LIBRARY STAR")</f>
        <v>LIBRARY STAR</v>
      </c>
      <c r="D112" s="196" t="str">
        <f>IFERROR(__xludf.DUMMYFUNCTION("""COMPUTED_VALUE"""),"PHOTOGRAPHY 1COPY; KNITTING 1COPY; GARDENING 1COPY; DRAWING 1COPY; BAKING 1COPY; SEWING 1COPY")</f>
        <v>PHOTOGRAPHY 1COPY; KNITTING 1COPY; GARDENING 1COPY; DRAWING 1COPY; BAKING 1COPY; SEWING 1COPY</v>
      </c>
      <c r="E112" s="196" t="str">
        <f>IFERROR(__xludf.DUMMYFUNCTION("""COMPUTED_VALUE"""),"FOR STUDENT'S/TEACHER'S USE - LIBRARY'S COPY")</f>
        <v>FOR STUDENT'S/TEACHER'S USE - LIBRARY'S COPY</v>
      </c>
    </row>
    <row r="113">
      <c r="A113" s="234">
        <f>IFERROR(__xludf.DUMMYFUNCTION("""COMPUTED_VALUE"""),100405.0)</f>
        <v>100405</v>
      </c>
      <c r="B113" s="235" t="str">
        <f>IFERROR(__xludf.DUMMYFUNCTION("""COMPUTED_VALUE"""),"APOLLO MANCE")</f>
        <v>APOLLO MANCE</v>
      </c>
      <c r="C113" s="235" t="str">
        <f>IFERROR(__xludf.DUMMYFUNCTION("""COMPUTED_VALUE"""),"ADMIN - LUX")</f>
        <v>ADMIN - LUX</v>
      </c>
      <c r="D113" s="196" t="str">
        <f>IFERROR(__xludf.DUMMYFUNCTION("""COMPUTED_VALUE"""),"1 PC MEDICINE &amp; EQUIPMENT CABINET")</f>
        <v>1 PC MEDICINE &amp; EQUIPMENT CABINET</v>
      </c>
      <c r="E113" s="196" t="str">
        <f>IFERROR(__xludf.DUMMYFUNCTION("""COMPUTED_VALUE"""),"FABRICATION OF CABINET FOR CLINIC LUX REPLACEMENT OF EXISTING")</f>
        <v>FABRICATION OF CABINET FOR CLINIC LUX REPLACEMENT OF EXISTING</v>
      </c>
    </row>
    <row r="114">
      <c r="A114" s="234">
        <f>IFERROR(__xludf.DUMMYFUNCTION("""COMPUTED_VALUE"""),100406.0)</f>
        <v>100406</v>
      </c>
      <c r="B114" s="235" t="str">
        <f>IFERROR(__xludf.DUMMYFUNCTION("""COMPUTED_VALUE"""),"CARL JOVI SASOT")</f>
        <v>CARL JOVI SASOT</v>
      </c>
      <c r="C114" s="235" t="str">
        <f>IFERROR(__xludf.DUMMYFUNCTION("""COMPUTED_VALUE"""),"PURCHASING")</f>
        <v>PURCHASING</v>
      </c>
      <c r="D114" s="196" t="str">
        <f>IFERROR(__xludf.DUMMYFUNCTION("""COMPUTED_VALUE"""),"IN AND OUT TRAY 2PCS")</f>
        <v>IN AND OUT TRAY 2PCS</v>
      </c>
      <c r="E114" s="196" t="str">
        <f>IFERROR(__xludf.DUMMYFUNCTION("""COMPUTED_VALUE"""),"FOR PROPER MONITORING AND FILINF")</f>
        <v>FOR PROPER MONITORING AND FILINF</v>
      </c>
    </row>
    <row r="115">
      <c r="A115" s="234">
        <f>IFERROR(__xludf.DUMMYFUNCTION("""COMPUTED_VALUE"""),100407.0)</f>
        <v>100407</v>
      </c>
      <c r="B115" s="235" t="str">
        <f>IFERROR(__xludf.DUMMYFUNCTION("""COMPUTED_VALUE"""),"LUDY DE ASIS")</f>
        <v>LUDY DE ASIS</v>
      </c>
      <c r="C115" s="235" t="str">
        <f>IFERROR(__xludf.DUMMYFUNCTION("""COMPUTED_VALUE"""),"MIS/ICT")</f>
        <v>MIS/ICT</v>
      </c>
      <c r="D115" s="196" t="str">
        <f>IFERROR(__xludf.DUMMYFUNCTION("""COMPUTED_VALUE"""),"SMART TV WITH BRACKET 65INCHES 1PC; TCL SMART TV 50INCHES W/ BRACKET 3PCS")</f>
        <v>SMART TV WITH BRACKET 65INCHES 1PC; TCL SMART TV 50INCHES W/ BRACKET 3PCS</v>
      </c>
      <c r="E115" s="196" t="str">
        <f>IFERROR(__xludf.DUMMYFUNCTION("""COMPUTED_VALUE"""),"CMLC")</f>
        <v>CMLC</v>
      </c>
    </row>
    <row r="116">
      <c r="A116" s="234">
        <f>IFERROR(__xludf.DUMMYFUNCTION("""COMPUTED_VALUE"""),100408.0)</f>
        <v>100408</v>
      </c>
      <c r="B116" s="235" t="str">
        <f>IFERROR(__xludf.DUMMYFUNCTION("""COMPUTED_VALUE"""),"PHEN PETIN")</f>
        <v>PHEN PETIN</v>
      </c>
      <c r="C116" s="235" t="str">
        <f>IFERROR(__xludf.DUMMYFUNCTION("""COMPUTED_VALUE"""),"ADMIN - STAR")</f>
        <v>ADMIN - STAR</v>
      </c>
      <c r="D116" s="196" t="str">
        <f>IFERROR(__xludf.DUMMYFUNCTION("""COMPUTED_VALUE"""),"SET OF COMPUTER 2SETS")</f>
        <v>SET OF COMPUTER 2SETS</v>
      </c>
      <c r="E116" s="196" t="str">
        <f>IFERROR(__xludf.DUMMYFUNCTION("""COMPUTED_VALUE"""),"FOR PULL OUT ROOM AND GRADE 3 ROOM")</f>
        <v>FOR PULL OUT ROOM AND GRADE 3 ROOM</v>
      </c>
    </row>
    <row r="117">
      <c r="A117" s="234">
        <f>IFERROR(__xludf.DUMMYFUNCTION("""COMPUTED_VALUE"""),100409.0)</f>
        <v>100409</v>
      </c>
      <c r="B117" s="235" t="str">
        <f>IFERROR(__xludf.DUMMYFUNCTION("""COMPUTED_VALUE"""),"LUDY DE ASIS ")</f>
        <v>LUDY DE ASIS </v>
      </c>
      <c r="C117" s="235" t="str">
        <f>IFERROR(__xludf.DUMMYFUNCTION("""COMPUTED_VALUE"""),"MIS/ICT")</f>
        <v>MIS/ICT</v>
      </c>
      <c r="D117" s="196" t="str">
        <f>IFERROR(__xludf.DUMMYFUNCTION("""COMPUTED_VALUE"""),"COMPUTER UNIT WITH MONITOR 2SETS; SMART TV WITH BRACKET 50 INCHES 2UNITS")</f>
        <v>COMPUTER UNIT WITH MONITOR 2SETS; SMART TV WITH BRACKET 50 INCHES 2UNITS</v>
      </c>
      <c r="E117" s="196" t="str">
        <f>IFERROR(__xludf.DUMMYFUNCTION("""COMPUTED_VALUE"""),"2 NEW CLASSROOMS IN OLDE MUSEUM")</f>
        <v>2 NEW CLASSROOMS IN OLDE MUSEUM</v>
      </c>
    </row>
    <row r="118">
      <c r="A118" s="234">
        <f>IFERROR(__xludf.DUMMYFUNCTION("""COMPUTED_VALUE"""),100410.0)</f>
        <v>100410</v>
      </c>
      <c r="B118" s="235" t="str">
        <f>IFERROR(__xludf.DUMMYFUNCTION("""COMPUTED_VALUE"""),"ALFA DE LEON")</f>
        <v>ALFA DE LEON</v>
      </c>
      <c r="C118" s="235" t="str">
        <f>IFERROR(__xludf.DUMMYFUNCTION("""COMPUTED_VALUE"""),"ADMIN - MUNICH")</f>
        <v>ADMIN - MUNICH</v>
      </c>
      <c r="D118" s="196" t="str">
        <f>IFERROR(__xludf.DUMMYFUNCTION("""COMPUTED_VALUE"""),"MOBILE CABINET COLOR BEIGE/BLACK 3-DRAWERS 1PC")</f>
        <v>MOBILE CABINET COLOR BEIGE/BLACK 3-DRAWERS 1PC</v>
      </c>
      <c r="E118" s="196" t="str">
        <f>IFERROR(__xludf.DUMMYFUNCTION("""COMPUTED_VALUE"""),"OFFICE OF T. PHI ANN")</f>
        <v>OFFICE OF T. PHI ANN</v>
      </c>
    </row>
    <row r="119">
      <c r="A119" s="234">
        <f>IFERROR(__xludf.DUMMYFUNCTION("""COMPUTED_VALUE"""),100411.0)</f>
        <v>100411</v>
      </c>
      <c r="B119" s="235" t="str">
        <f>IFERROR(__xludf.DUMMYFUNCTION("""COMPUTED_VALUE"""),"ROY BATAQUE")</f>
        <v>ROY BATAQUE</v>
      </c>
      <c r="C119" s="235" t="str">
        <f>IFERROR(__xludf.DUMMYFUNCTION("""COMPUTED_VALUE"""),"HOUSEKEEPING")</f>
        <v>HOUSEKEEPING</v>
      </c>
      <c r="D119" s="196" t="str">
        <f>IFERROR(__xludf.DUMMYFUNCTION("""COMPUTED_VALUE"""),"SOFT BROOM 50PCS")</f>
        <v>SOFT BROOM 50PCS</v>
      </c>
      <c r="E119" s="196" t="str">
        <f>IFERROR(__xludf.DUMMYFUNCTION("""COMPUTED_VALUE"""),"STOCK REPLENISHMENT - HSKPG")</f>
        <v>STOCK REPLENISHMENT - HSKPG</v>
      </c>
    </row>
    <row r="120">
      <c r="A120" s="234">
        <f>IFERROR(__xludf.DUMMYFUNCTION("""COMPUTED_VALUE"""),100412.0)</f>
        <v>100412</v>
      </c>
      <c r="B120" s="235" t="str">
        <f>IFERROR(__xludf.DUMMYFUNCTION("""COMPUTED_VALUE"""),"ROY BATAQUE")</f>
        <v>ROY BATAQUE</v>
      </c>
      <c r="C120" s="235" t="str">
        <f>IFERROR(__xludf.DUMMYFUNCTION("""COMPUTED_VALUE"""),"AMD")</f>
        <v>AMD</v>
      </c>
      <c r="D120" s="196" t="str">
        <f>IFERROR(__xludf.DUMMYFUNCTION("""COMPUTED_VALUE"""),"BABY OIL 125ML JOHNSON'S PINK 50PCS")</f>
        <v>BABY OIL 125ML JOHNSON'S PINK 50PCS</v>
      </c>
      <c r="E120" s="196" t="str">
        <f>IFERROR(__xludf.DUMMYFUNCTION("""COMPUTED_VALUE"""),"STOCK REPLENISHMENT - HSKPG")</f>
        <v>STOCK REPLENISHMENT - HSKPG</v>
      </c>
    </row>
    <row r="121">
      <c r="A121" s="234">
        <f>IFERROR(__xludf.DUMMYFUNCTION("""COMPUTED_VALUE"""),100413.0)</f>
        <v>100413</v>
      </c>
      <c r="B121" s="235" t="str">
        <f>IFERROR(__xludf.DUMMYFUNCTION("""COMPUTED_VALUE"""),"TOM TONGOHAN")</f>
        <v>TOM TONGOHAN</v>
      </c>
      <c r="C121" s="235" t="str">
        <f>IFERROR(__xludf.DUMMYFUNCTION("""COMPUTED_VALUE"""),"FACILITIES")</f>
        <v>FACILITIES</v>
      </c>
      <c r="D121" s="196" t="str">
        <f>IFERROR(__xludf.DUMMYFUNCTION("""COMPUTED_VALUE"""),"LUXEMBOURG HALL FLOORING COVER; TROPICAL BASKETBALL FLOORING COVER 24ROLLS")</f>
        <v>LUXEMBOURG HALL FLOORING COVER; TROPICAL BASKETBALL FLOORING COVER 24ROLLS</v>
      </c>
      <c r="E121" s="196"/>
    </row>
    <row r="122">
      <c r="A122" s="234">
        <f>IFERROR(__xludf.DUMMYFUNCTION("""COMPUTED_VALUE"""),100414.0)</f>
        <v>100414</v>
      </c>
      <c r="B122" s="235" t="str">
        <f>IFERROR(__xludf.DUMMYFUNCTION("""COMPUTED_VALUE"""),"LUDY DE ASIS")</f>
        <v>LUDY DE ASIS</v>
      </c>
      <c r="C122" s="235" t="str">
        <f>IFERROR(__xludf.DUMMYFUNCTION("""COMPUTED_VALUE"""),"HOUSEKEEPING")</f>
        <v>HOUSEKEEPING</v>
      </c>
      <c r="D122" s="196" t="str">
        <f>IFERROR(__xludf.DUMMYFUNCTION("""COMPUTED_VALUE"""),"ORBIT FAN (207) 2PCS; (311) 1PC")</f>
        <v>ORBIT FAN (207) 2PCS; (311) 1PC</v>
      </c>
      <c r="E122" s="196" t="str">
        <f>IFERROR(__xludf.DUMMYFUNCTION("""COMPUTED_VALUE"""),"ROOM 311 AND 207 REPLACEMENT - BED BLDG")</f>
        <v>ROOM 311 AND 207 REPLACEMENT - BED BLDG</v>
      </c>
    </row>
    <row r="123">
      <c r="A123" s="234">
        <f>IFERROR(__xludf.DUMMYFUNCTION("""COMPUTED_VALUE"""),100415.0)</f>
        <v>100415</v>
      </c>
      <c r="B123" s="235" t="str">
        <f>IFERROR(__xludf.DUMMYFUNCTION("""COMPUTED_VALUE"""),"SAMANTHA FEROL")</f>
        <v>SAMANTHA FEROL</v>
      </c>
      <c r="C123" s="235" t="str">
        <f>IFERROR(__xludf.DUMMYFUNCTION("""COMPUTED_VALUE"""),"LIBRARY COLLEGE")</f>
        <v>LIBRARY COLLEGE</v>
      </c>
      <c r="D123" s="196" t="str">
        <f>IFERROR(__xludf.DUMMYFUNCTION("""COMPUTED_VALUE"""),"PHILIPPINE DAILY INQUIRER JAN 1-31, 2019 238COPIES")</f>
        <v>PHILIPPINE DAILY INQUIRER JAN 1-31, 2019 238COPIES</v>
      </c>
      <c r="E123" s="196" t="str">
        <f>IFERROR(__xludf.DUMMYFUNCTION("""COMPUTED_VALUE"""),"PAYMENT FOR PHILIPPINE DAILY INQUIRER")</f>
        <v>PAYMENT FOR PHILIPPINE DAILY INQUIRER</v>
      </c>
    </row>
    <row r="124">
      <c r="A124" s="234">
        <f>IFERROR(__xludf.DUMMYFUNCTION("""COMPUTED_VALUE"""),100416.0)</f>
        <v>100416</v>
      </c>
      <c r="B124" s="235" t="str">
        <f>IFERROR(__xludf.DUMMYFUNCTION("""COMPUTED_VALUE"""),"CZARINA CABRERA")</f>
        <v>CZARINA CABRERA</v>
      </c>
      <c r="C124" s="235" t="str">
        <f>IFERROR(__xludf.DUMMYFUNCTION("""COMPUTED_VALUE"""),"HRMD")</f>
        <v>HRMD</v>
      </c>
      <c r="D124" s="196" t="str">
        <f>IFERROR(__xludf.DUMMYFUNCTION("""COMPUTED_VALUE"""),"SOUTHVILLE PIN 50PCS")</f>
        <v>SOUTHVILLE PIN 50PCS</v>
      </c>
      <c r="E124" s="196" t="str">
        <f>IFERROR(__xludf.DUMMYFUNCTION("""COMPUTED_VALUE"""),"SOUTHVILLE PIN FOR KRA NEW EMPLOYEES")</f>
        <v>SOUTHVILLE PIN FOR KRA NEW EMPLOYEES</v>
      </c>
    </row>
    <row r="125">
      <c r="A125" s="234">
        <f>IFERROR(__xludf.DUMMYFUNCTION("""COMPUTED_VALUE"""),100417.0)</f>
        <v>100417</v>
      </c>
      <c r="B125" s="235" t="str">
        <f>IFERROR(__xludf.DUMMYFUNCTION("""COMPUTED_VALUE"""),"SAMANTHA FEROL")</f>
        <v>SAMANTHA FEROL</v>
      </c>
      <c r="C125" s="235" t="str">
        <f>IFERROR(__xludf.DUMMYFUNCTION("""COMPUTED_VALUE"""),"LIBRARY COLLEGE")</f>
        <v>LIBRARY COLLEGE</v>
      </c>
      <c r="D125" s="196" t="str">
        <f>IFERROR(__xludf.DUMMYFUNCTION("""COMPUTED_VALUE"""),"PHILIPPINE DAILY INQUIRER FEB. 1-28, 2019 208COPIES")</f>
        <v>PHILIPPINE DAILY INQUIRER FEB. 1-28, 2019 208COPIES</v>
      </c>
      <c r="E125" s="196" t="str">
        <f>IFERROR(__xludf.DUMMYFUNCTION("""COMPUTED_VALUE"""),"PAYMENT FOR PHILIPPINE DAILY INQUIRER")</f>
        <v>PAYMENT FOR PHILIPPINE DAILY INQUIRER</v>
      </c>
    </row>
    <row r="126">
      <c r="A126" s="234">
        <f>IFERROR(__xludf.DUMMYFUNCTION("""COMPUTED_VALUE"""),100418.0)</f>
        <v>100418</v>
      </c>
      <c r="B126" s="235" t="str">
        <f>IFERROR(__xludf.DUMMYFUNCTION("""COMPUTED_VALUE"""),"SAMANTHA FEROL")</f>
        <v>SAMANTHA FEROL</v>
      </c>
      <c r="C126" s="235" t="str">
        <f>IFERROR(__xludf.DUMMYFUNCTION("""COMPUTED_VALUE"""),"LIBRARY COLLEGE")</f>
        <v>LIBRARY COLLEGE</v>
      </c>
      <c r="D126" s="196" t="str">
        <f>IFERROR(__xludf.DUMMYFUNCTION("""COMPUTED_VALUE"""),"PHILIPPINE DAILY INQUIRER MARCH 1-31, 2019 229COPIES")</f>
        <v>PHILIPPINE DAILY INQUIRER MARCH 1-31, 2019 229COPIES</v>
      </c>
      <c r="E126" s="196" t="str">
        <f>IFERROR(__xludf.DUMMYFUNCTION("""COMPUTED_VALUE"""),"PAYMENT FOR PHILIPPINE STAR MARCH 1 -31, 2019")</f>
        <v>PAYMENT FOR PHILIPPINE STAR MARCH 1 -31, 2019</v>
      </c>
    </row>
    <row r="127">
      <c r="A127" s="234">
        <f>IFERROR(__xludf.DUMMYFUNCTION("""COMPUTED_VALUE"""),100419.0)</f>
        <v>100419</v>
      </c>
      <c r="B127" s="235" t="str">
        <f>IFERROR(__xludf.DUMMYFUNCTION("""COMPUTED_VALUE"""),"SAMANTHA FEROL")</f>
        <v>SAMANTHA FEROL</v>
      </c>
      <c r="C127" s="235" t="str">
        <f>IFERROR(__xludf.DUMMYFUNCTION("""COMPUTED_VALUE"""),"LIBRARY COLLEGE")</f>
        <v>LIBRARY COLLEGE</v>
      </c>
      <c r="D127" s="196" t="str">
        <f>IFERROR(__xludf.DUMMYFUNCTION("""COMPUTED_VALUE"""),"PHILIPPINE DAILY INQUIRER JUNE 1-30, 2018 219COPIES")</f>
        <v>PHILIPPINE DAILY INQUIRER JUNE 1-30, 2018 219COPIES</v>
      </c>
      <c r="E127" s="196" t="str">
        <f>IFERROR(__xludf.DUMMYFUNCTION("""COMPUTED_VALUE"""),"PAYMENT FOR PHILIPPINE DAILY INQUIRER")</f>
        <v>PAYMENT FOR PHILIPPINE DAILY INQUIRER</v>
      </c>
    </row>
    <row r="128">
      <c r="A128" s="234">
        <f>IFERROR(__xludf.DUMMYFUNCTION("""COMPUTED_VALUE"""),100420.0)</f>
        <v>100420</v>
      </c>
      <c r="B128" s="235" t="str">
        <f>IFERROR(__xludf.DUMMYFUNCTION("""COMPUTED_VALUE"""),"SAMANTHA FEROL")</f>
        <v>SAMANTHA FEROL</v>
      </c>
      <c r="C128" s="235" t="str">
        <f>IFERROR(__xludf.DUMMYFUNCTION("""COMPUTED_VALUE"""),"LIBRARY COLLEGE")</f>
        <v>LIBRARY COLLEGE</v>
      </c>
      <c r="D128" s="196" t="str">
        <f>IFERROR(__xludf.DUMMYFUNCTION("""COMPUTED_VALUE"""),"PHILIPPINE DAILY INQUIRER JULY 1-31, 2018 229COPIES")</f>
        <v>PHILIPPINE DAILY INQUIRER JULY 1-31, 2018 229COPIES</v>
      </c>
      <c r="E128" s="196" t="str">
        <f>IFERROR(__xludf.DUMMYFUNCTION("""COMPUTED_VALUE"""),"PAYMENT FOR PHILIPPINE DAILY INQUIRER")</f>
        <v>PAYMENT FOR PHILIPPINE DAILY INQUIRER</v>
      </c>
    </row>
    <row r="129">
      <c r="A129" s="234">
        <f>IFERROR(__xludf.DUMMYFUNCTION("""COMPUTED_VALUE"""),100421.0)</f>
        <v>100421</v>
      </c>
      <c r="B129" s="235" t="str">
        <f>IFERROR(__xludf.DUMMYFUNCTION("""COMPUTED_VALUE"""),"SAMANTHA FEROL")</f>
        <v>SAMANTHA FEROL</v>
      </c>
      <c r="C129" s="235" t="str">
        <f>IFERROR(__xludf.DUMMYFUNCTION("""COMPUTED_VALUE"""),"LIBRARY COLLEGE")</f>
        <v>LIBRARY COLLEGE</v>
      </c>
      <c r="D129" s="196" t="str">
        <f>IFERROR(__xludf.DUMMYFUNCTION("""COMPUTED_VALUE"""),"PHILIPPINE DAILY INQUIRER AUGUST 1-31, 2018 238COPIES")</f>
        <v>PHILIPPINE DAILY INQUIRER AUGUST 1-31, 2018 238COPIES</v>
      </c>
      <c r="E129" s="196" t="str">
        <f>IFERROR(__xludf.DUMMYFUNCTION("""COMPUTED_VALUE"""),"PAYMENT FOR PHILIPPINE DAILY INQUIRER")</f>
        <v>PAYMENT FOR PHILIPPINE DAILY INQUIRER</v>
      </c>
    </row>
    <row r="130">
      <c r="A130" s="234">
        <f>IFERROR(__xludf.DUMMYFUNCTION("""COMPUTED_VALUE"""),100422.0)</f>
        <v>100422</v>
      </c>
      <c r="B130" s="235" t="str">
        <f>IFERROR(__xludf.DUMMYFUNCTION("""COMPUTED_VALUE"""),"SAMANTHA FEROL")</f>
        <v>SAMANTHA FEROL</v>
      </c>
      <c r="C130" s="235" t="str">
        <f>IFERROR(__xludf.DUMMYFUNCTION("""COMPUTED_VALUE"""),"LIBRARY COLLEGE")</f>
        <v>LIBRARY COLLEGE</v>
      </c>
      <c r="D130" s="196" t="str">
        <f>IFERROR(__xludf.DUMMYFUNCTION("""COMPUTED_VALUE"""),"PHILIPPINE DAILY INQUIRER SEPTEMBER 1-30, 2018 210COPIES")</f>
        <v>PHILIPPINE DAILY INQUIRER SEPTEMBER 1-30, 2018 210COPIES</v>
      </c>
      <c r="E130" s="196" t="str">
        <f>IFERROR(__xludf.DUMMYFUNCTION("""COMPUTED_VALUE"""),"PAYMENT FOR PHILIPPINE DAILY INQUIRER")</f>
        <v>PAYMENT FOR PHILIPPINE DAILY INQUIRER</v>
      </c>
    </row>
    <row r="131">
      <c r="A131" s="234">
        <f>IFERROR(__xludf.DUMMYFUNCTION("""COMPUTED_VALUE"""),100423.0)</f>
        <v>100423</v>
      </c>
      <c r="B131" s="235" t="str">
        <f>IFERROR(__xludf.DUMMYFUNCTION("""COMPUTED_VALUE"""),"APRIL TRAJICO")</f>
        <v>APRIL TRAJICO</v>
      </c>
      <c r="C131" s="235" t="str">
        <f>IFERROR(__xludf.DUMMYFUNCTION("""COMPUTED_VALUE"""),"AMD")</f>
        <v>AMD</v>
      </c>
      <c r="D131" s="196" t="str">
        <f>IFERROR(__xludf.DUMMYFUNCTION("""COMPUTED_VALUE"""),"TOWEL, HAND-GOOD MORNING 120PCS")</f>
        <v>TOWEL, HAND-GOOD MORNING 120PCS</v>
      </c>
      <c r="E131" s="196" t="str">
        <f>IFERROR(__xludf.DUMMYFUNCTION("""COMPUTED_VALUE"""),"STOCK REPLENISHMENT - OSSUP")</f>
        <v>STOCK REPLENISHMENT - OSSUP</v>
      </c>
    </row>
    <row r="132">
      <c r="A132" s="234">
        <f>IFERROR(__xludf.DUMMYFUNCTION("""COMPUTED_VALUE"""),100424.0)</f>
        <v>100424</v>
      </c>
      <c r="B132" s="235" t="str">
        <f>IFERROR(__xludf.DUMMYFUNCTION("""COMPUTED_VALUE"""),"APRIL TRAJICO")</f>
        <v>APRIL TRAJICO</v>
      </c>
      <c r="C132" s="235" t="str">
        <f>IFERROR(__xludf.DUMMYFUNCTION("""COMPUTED_VALUE"""),"AMD")</f>
        <v>AMD</v>
      </c>
      <c r="D132" s="196" t="str">
        <f>IFERROR(__xludf.DUMMYFUNCTION("""COMPUTED_VALUE"""),"PAPER, COPY-LASER A4 SUB.20 WHITE 20REAMS")</f>
        <v>PAPER, COPY-LASER A4 SUB.20 WHITE 20REAMS</v>
      </c>
      <c r="E132" s="196" t="str">
        <f>IFERROR(__xludf.DUMMYFUNCTION("""COMPUTED_VALUE"""),"STOCK REPLENISHMENT - OSSUP")</f>
        <v>STOCK REPLENISHMENT - OSSUP</v>
      </c>
    </row>
    <row r="133">
      <c r="A133" s="234">
        <f>IFERROR(__xludf.DUMMYFUNCTION("""COMPUTED_VALUE"""),100425.0)</f>
        <v>100425</v>
      </c>
      <c r="B133" s="235" t="str">
        <f>IFERROR(__xludf.DUMMYFUNCTION("""COMPUTED_VALUE"""),"APRIL TRAJICO")</f>
        <v>APRIL TRAJICO</v>
      </c>
      <c r="C133" s="235" t="str">
        <f>IFERROR(__xludf.DUMMYFUNCTION("""COMPUTED_VALUE"""),"AMD")</f>
        <v>AMD</v>
      </c>
      <c r="D133" s="196" t="str">
        <f>IFERROR(__xludf.DUMMYFUNCTION("""COMPUTED_VALUE"""),"INKS, PRINTER 810 BLACK 10PCS")</f>
        <v>INKS, PRINTER 810 BLACK 10PCS</v>
      </c>
      <c r="E133" s="196" t="str">
        <f>IFERROR(__xludf.DUMMYFUNCTION("""COMPUTED_VALUE"""),"STOCK REPLENISHMENT - OSSUP")</f>
        <v>STOCK REPLENISHMENT - OSSUP</v>
      </c>
    </row>
    <row r="134">
      <c r="A134" s="234">
        <f>IFERROR(__xludf.DUMMYFUNCTION("""COMPUTED_VALUE"""),100426.0)</f>
        <v>100426</v>
      </c>
      <c r="B134" s="235" t="str">
        <f>IFERROR(__xludf.DUMMYFUNCTION("""COMPUTED_VALUE"""),"APRIL TRAJICO")</f>
        <v>APRIL TRAJICO</v>
      </c>
      <c r="C134" s="235" t="str">
        <f>IFERROR(__xludf.DUMMYFUNCTION("""COMPUTED_VALUE"""),"AMD")</f>
        <v>AMD</v>
      </c>
      <c r="D134" s="196" t="str">
        <f>IFERROR(__xludf.DUMMYFUNCTION("""COMPUTED_VALUE"""),"ENVELOPE, ESPANDING PLASTIC - SHORT, ADVENTURER 200PCS")</f>
        <v>ENVELOPE, ESPANDING PLASTIC - SHORT, ADVENTURER 200PCS</v>
      </c>
      <c r="E134" s="196" t="str">
        <f>IFERROR(__xludf.DUMMYFUNCTION("""COMPUTED_VALUE"""),"STOCK REPLENISHMENT - OSSUP")</f>
        <v>STOCK REPLENISHMENT - OSSUP</v>
      </c>
    </row>
    <row r="135">
      <c r="A135" s="234">
        <f>IFERROR(__xludf.DUMMYFUNCTION("""COMPUTED_VALUE"""),100427.0)</f>
        <v>100427</v>
      </c>
      <c r="B135" s="235" t="str">
        <f>IFERROR(__xludf.DUMMYFUNCTION("""COMPUTED_VALUE"""),"APRIL TRAJICO")</f>
        <v>APRIL TRAJICO</v>
      </c>
      <c r="C135" s="235" t="str">
        <f>IFERROR(__xludf.DUMMYFUNCTION("""COMPUTED_VALUE"""),"AMD")</f>
        <v>AMD</v>
      </c>
      <c r="D135" s="196" t="str">
        <f>IFERROR(__xludf.DUMMYFUNCTION("""COMPUTED_VALUE"""),"CARTOLINA, WHITE 100PCS; CLIP BINDER JOY 2"" 120PCS, CLIP, BINDER JOY 3/4"" 120PCS; CLIP, PAPER (120GMS/BOX), PRINCE VINYL COATED-BIG 70PCS; GLUE, ELMER'S - 130GS 60PCS")</f>
        <v>CARTOLINA, WHITE 100PCS; CLIP BINDER JOY 2" 120PCS, CLIP, BINDER JOY 3/4" 120PCS; CLIP, PAPER (120GMS/BOX), PRINCE VINYL COATED-BIG 70PCS; GLUE, ELMER'S - 130GS 60PCS</v>
      </c>
      <c r="E135" s="196" t="str">
        <f>IFERROR(__xludf.DUMMYFUNCTION("""COMPUTED_VALUE"""),"STOCK REPLENISHMENT - OSSUP")</f>
        <v>STOCK REPLENISHMENT - OSSUP</v>
      </c>
    </row>
    <row r="136">
      <c r="A136" s="234">
        <f>IFERROR(__xludf.DUMMYFUNCTION("""COMPUTED_VALUE"""),100428.0)</f>
        <v>100428</v>
      </c>
      <c r="B136" s="235" t="str">
        <f>IFERROR(__xludf.DUMMYFUNCTION("""COMPUTED_VALUE"""),"SAMANTHA FEROL")</f>
        <v>SAMANTHA FEROL</v>
      </c>
      <c r="C136" s="235" t="str">
        <f>IFERROR(__xludf.DUMMYFUNCTION("""COMPUTED_VALUE"""),"LIBRARY COLLEGE")</f>
        <v>LIBRARY COLLEGE</v>
      </c>
      <c r="D136" s="196" t="str">
        <f>IFERROR(__xludf.DUMMYFUNCTION("""COMPUTED_VALUE"""),"PHILIPPINE DAILY INQUIRER OCTOBER 1-31, 2018 238COPIES")</f>
        <v>PHILIPPINE DAILY INQUIRER OCTOBER 1-31, 2018 238COPIES</v>
      </c>
      <c r="E136" s="196" t="str">
        <f>IFERROR(__xludf.DUMMYFUNCTION("""COMPUTED_VALUE"""),"PAYMENT FOR PHILIPPINE DAILY INQUIRER")</f>
        <v>PAYMENT FOR PHILIPPINE DAILY INQUIRER</v>
      </c>
    </row>
    <row r="137">
      <c r="A137" s="234">
        <f>IFERROR(__xludf.DUMMYFUNCTION("""COMPUTED_VALUE"""),100429.0)</f>
        <v>100429</v>
      </c>
      <c r="B137" s="235" t="str">
        <f>IFERROR(__xludf.DUMMYFUNCTION("""COMPUTED_VALUE"""),"SAMANTHA FEROL")</f>
        <v>SAMANTHA FEROL</v>
      </c>
      <c r="C137" s="235" t="str">
        <f>IFERROR(__xludf.DUMMYFUNCTION("""COMPUTED_VALUE"""),"LIBRARY COLLEGE")</f>
        <v>LIBRARY COLLEGE</v>
      </c>
      <c r="D137" s="196" t="str">
        <f>IFERROR(__xludf.DUMMYFUNCTION("""COMPUTED_VALUE"""),"PHILIPPINE DAILY INQUIRER NOVEMBER 1-30, 2018 228COPIES")</f>
        <v>PHILIPPINE DAILY INQUIRER NOVEMBER 1-30, 2018 228COPIES</v>
      </c>
      <c r="E137" s="196" t="str">
        <f>IFERROR(__xludf.DUMMYFUNCTION("""COMPUTED_VALUE"""),"PAYMENT FOR PHILIPPINE DAILY INQUIRER")</f>
        <v>PAYMENT FOR PHILIPPINE DAILY INQUIRER</v>
      </c>
    </row>
    <row r="138">
      <c r="A138" s="234">
        <f>IFERROR(__xludf.DUMMYFUNCTION("""COMPUTED_VALUE"""),100430.0)</f>
        <v>100430</v>
      </c>
      <c r="B138" s="235" t="str">
        <f>IFERROR(__xludf.DUMMYFUNCTION("""COMPUTED_VALUE"""),"SAMANTHA FEROL")</f>
        <v>SAMANTHA FEROL</v>
      </c>
      <c r="C138" s="235" t="str">
        <f>IFERROR(__xludf.DUMMYFUNCTION("""COMPUTED_VALUE"""),"LIBRARY COLLEGE")</f>
        <v>LIBRARY COLLEGE</v>
      </c>
      <c r="D138" s="196" t="str">
        <f>IFERROR(__xludf.DUMMYFUNCTION("""COMPUTED_VALUE"""),"PHILIPPINE DAILY INQUIRER DECEMBER 1-31, 2018 220COPIES")</f>
        <v>PHILIPPINE DAILY INQUIRER DECEMBER 1-31, 2018 220COPIES</v>
      </c>
      <c r="E138" s="196" t="str">
        <f>IFERROR(__xludf.DUMMYFUNCTION("""COMPUTED_VALUE"""),"PAYMENT FOR PHILIPPINE DAILY INQUIRER")</f>
        <v>PAYMENT FOR PHILIPPINE DAILY INQUIRER</v>
      </c>
    </row>
    <row r="139">
      <c r="A139" s="234">
        <f>IFERROR(__xludf.DUMMYFUNCTION("""COMPUTED_VALUE"""),100431.0)</f>
        <v>100431</v>
      </c>
      <c r="B139" s="235" t="str">
        <f>IFERROR(__xludf.DUMMYFUNCTION("""COMPUTED_VALUE"""),"ARMIE ABABA")</f>
        <v>ARMIE ABABA</v>
      </c>
      <c r="C139" s="235" t="str">
        <f>IFERROR(__xludf.DUMMYFUNCTION("""COMPUTED_VALUE"""),"I.B.")</f>
        <v>I.B.</v>
      </c>
      <c r="D139" s="196" t="str">
        <f>IFERROR(__xludf.DUMMYFUNCTION("""COMPUTED_VALUE"""),"TARPAULIN FOR GUEST SPEAKER 7X10FT 1PC")</f>
        <v>TARPAULIN FOR GUEST SPEAKER 7X10FT 1PC</v>
      </c>
      <c r="E139" s="196" t="str">
        <f>IFERROR(__xludf.DUMMYFUNCTION("""COMPUTED_VALUE"""),"TARPAULIN FOR GRADUATION GUEST SPEAKER ")</f>
        <v>TARPAULIN FOR GRADUATION GUEST SPEAKER </v>
      </c>
    </row>
    <row r="140">
      <c r="A140" s="234">
        <f>IFERROR(__xludf.DUMMYFUNCTION("""COMPUTED_VALUE"""),100432.0)</f>
        <v>100432</v>
      </c>
      <c r="B140" s="235" t="str">
        <f>IFERROR(__xludf.DUMMYFUNCTION("""COMPUTED_VALUE"""),"ROMAN BALUYOT")</f>
        <v>ROMAN BALUYOT</v>
      </c>
      <c r="C140" s="235" t="str">
        <f>IFERROR(__xludf.DUMMYFUNCTION("""COMPUTED_VALUE"""),"PR &amp; MARKETING")</f>
        <v>PR &amp; MARKETING</v>
      </c>
      <c r="D140" s="196" t="str">
        <f>IFERROR(__xludf.DUMMYFUNCTION("""COMPUTED_VALUE"""),"PLAQUE FOR SEAN BORJA 1UNIT")</f>
        <v>PLAQUE FOR SEAN BORJA 1UNIT</v>
      </c>
      <c r="E140" s="196" t="str">
        <f>IFERROR(__xludf.DUMMYFUNCTION("""COMPUTED_VALUE"""),"MARKETING")</f>
        <v>MARKETING</v>
      </c>
    </row>
    <row r="141">
      <c r="A141" s="234">
        <f>IFERROR(__xludf.DUMMYFUNCTION("""COMPUTED_VALUE"""),100433.0)</f>
        <v>100433</v>
      </c>
      <c r="B141" s="235" t="str">
        <f>IFERROR(__xludf.DUMMYFUNCTION("""COMPUTED_VALUE"""),"APOLLO MANCE")</f>
        <v>APOLLO MANCE</v>
      </c>
      <c r="C141" s="235" t="str">
        <f>IFERROR(__xludf.DUMMYFUNCTION("""COMPUTED_VALUE"""),"AMD")</f>
        <v>AMD</v>
      </c>
      <c r="D141" s="196" t="str">
        <f>IFERROR(__xludf.DUMMYFUNCTION("""COMPUTED_VALUE"""),"white toga cap 10pcs.")</f>
        <v>white toga cap 10pcs.</v>
      </c>
      <c r="E141" s="196" t="str">
        <f>IFERROR(__xludf.DUMMYFUNCTION("""COMPUTED_VALUE"""),"for replacement of deffective cap")</f>
        <v>for replacement of deffective cap</v>
      </c>
    </row>
    <row r="142">
      <c r="A142" s="234">
        <f>IFERROR(__xludf.DUMMYFUNCTION("""COMPUTED_VALUE"""),100434.0)</f>
        <v>100434</v>
      </c>
      <c r="B142" s="235" t="str">
        <f>IFERROR(__xludf.DUMMYFUNCTION("""COMPUTED_VALUE"""),"BONG DULAWAN ")</f>
        <v>BONG DULAWAN </v>
      </c>
      <c r="C142" s="235" t="str">
        <f>IFERROR(__xludf.DUMMYFUNCTION("""COMPUTED_VALUE"""),"ADMIN")</f>
        <v>ADMIN</v>
      </c>
      <c r="D142" s="196" t="str">
        <f>IFERROR(__xludf.DUMMYFUNCTION("""COMPUTED_VALUE"""),"8.5X11 INCHES HAZWASTE STICKER 30PCS; 8X8INCHES HZWASTE MATERIAL STICKER 50PCS")</f>
        <v>8.5X11 INCHES HAZWASTE STICKER 30PCS; 8X8INCHES HZWASTE MATERIAL STICKER 50PCS</v>
      </c>
      <c r="E142" s="196" t="str">
        <f>IFERROR(__xludf.DUMMYFUNCTION("""COMPUTED_VALUE"""),"FOR DENR REGULATORY REQUIREMENTS ")</f>
        <v>FOR DENR REGULATORY REQUIREMENTS </v>
      </c>
    </row>
    <row r="143">
      <c r="A143" s="234">
        <f>IFERROR(__xludf.DUMMYFUNCTION("""COMPUTED_VALUE"""),100435.0)</f>
        <v>100435</v>
      </c>
      <c r="B143" s="235" t="str">
        <f>IFERROR(__xludf.DUMMYFUNCTION("""COMPUTED_VALUE"""),"ROY BATAQUE")</f>
        <v>ROY BATAQUE</v>
      </c>
      <c r="C143" s="235" t="str">
        <f>IFERROR(__xludf.DUMMYFUNCTION("""COMPUTED_VALUE"""),"HOUSEKEEPING")</f>
        <v>HOUSEKEEPING</v>
      </c>
      <c r="D143" s="196" t="str">
        <f>IFERROR(__xludf.DUMMYFUNCTION("""COMPUTED_VALUE"""),"ROUND RAGS, WHITE 200PCS")</f>
        <v>ROUND RAGS, WHITE 200PCS</v>
      </c>
      <c r="E143" s="196" t="str">
        <f>IFERROR(__xludf.DUMMYFUNCTION("""COMPUTED_VALUE"""),"STOCK REPLENISHMENT - HSKPG")</f>
        <v>STOCK REPLENISHMENT - HSKPG</v>
      </c>
    </row>
    <row r="144">
      <c r="A144" s="234">
        <f>IFERROR(__xludf.DUMMYFUNCTION("""COMPUTED_VALUE"""),100436.0)</f>
        <v>100436</v>
      </c>
      <c r="B144" s="235" t="str">
        <f>IFERROR(__xludf.DUMMYFUNCTION("""COMPUTED_VALUE"""),"LUDY DE ASIS")</f>
        <v>LUDY DE ASIS</v>
      </c>
      <c r="C144" s="235" t="str">
        <f>IFERROR(__xludf.DUMMYFUNCTION("""COMPUTED_VALUE"""),"HOUSEKEEPING")</f>
        <v>HOUSEKEEPING</v>
      </c>
      <c r="D144" s="196" t="str">
        <f>IFERROR(__xludf.DUMMYFUNCTION("""COMPUTED_VALUE"""),"WALL FAN COLOR BLACK 7PCS")</f>
        <v>WALL FAN COLOR BLACK 7PCS</v>
      </c>
      <c r="E144" s="196" t="str">
        <f>IFERROR(__xludf.DUMMYFUNCTION("""COMPUTED_VALUE"""),"FOR GYM 2 UPPER CONCRETE BLEACHER")</f>
        <v>FOR GYM 2 UPPER CONCRETE BLEACHER</v>
      </c>
    </row>
    <row r="145">
      <c r="A145" s="234">
        <f>IFERROR(__xludf.DUMMYFUNCTION("""COMPUTED_VALUE"""),100437.0)</f>
        <v>100437</v>
      </c>
      <c r="B145" s="235" t="str">
        <f>IFERROR(__xludf.DUMMYFUNCTION("""COMPUTED_VALUE"""),"LESTER MARK TONGOHAN")</f>
        <v>LESTER MARK TONGOHAN</v>
      </c>
      <c r="C145" s="235" t="str">
        <f>IFERROR(__xludf.DUMMYFUNCTION("""COMPUTED_VALUE"""),"FACILITIES")</f>
        <v>FACILITIES</v>
      </c>
      <c r="D145" s="196" t="str">
        <f>IFERROR(__xludf.DUMMYFUNCTION("""COMPUTED_VALUE"""),"LED SERIES T8 TUBE KOREA MADE 20PCS")</f>
        <v>LED SERIES T8 TUBE KOREA MADE 20PCS</v>
      </c>
      <c r="E145" s="196" t="str">
        <f>IFERROR(__xludf.DUMMYFUNCTION("""COMPUTED_VALUE"""),"TO BE INSTALLED IN BED SIGNAGE IN BED BLDG")</f>
        <v>TO BE INSTALLED IN BED SIGNAGE IN BED BLDG</v>
      </c>
    </row>
    <row r="146">
      <c r="A146" s="234">
        <f>IFERROR(__xludf.DUMMYFUNCTION("""COMPUTED_VALUE"""),100438.0)</f>
        <v>100438</v>
      </c>
      <c r="B146" s="235" t="str">
        <f>IFERROR(__xludf.DUMMYFUNCTION("""COMPUTED_VALUE"""),"ROY BATAQUE")</f>
        <v>ROY BATAQUE</v>
      </c>
      <c r="C146" s="235" t="str">
        <f>IFERROR(__xludf.DUMMYFUNCTION("""COMPUTED_VALUE"""),"ENGINEERING")</f>
        <v>ENGINEERING</v>
      </c>
      <c r="D146" s="196" t="str">
        <f>IFERROR(__xludf.DUMMYFUNCTION("""COMPUTED_VALUE"""),"LED BULB 8W DAYLIGHT PHILIPS 100PCS; LED BULB 3W DAYLIGHT PHILIPS 50PCS")</f>
        <v>LED BULB 8W DAYLIGHT PHILIPS 100PCS; LED BULB 3W DAYLIGHT PHILIPS 50PCS</v>
      </c>
      <c r="E146" s="196" t="str">
        <f>IFERROR(__xludf.DUMMYFUNCTION("""COMPUTED_VALUE"""),"STOCK REPLENISHMENT - ENGR")</f>
        <v>STOCK REPLENISHMENT - ENGR</v>
      </c>
    </row>
    <row r="147">
      <c r="A147" s="234">
        <f>IFERROR(__xludf.DUMMYFUNCTION("""COMPUTED_VALUE"""),100439.0)</f>
        <v>100439</v>
      </c>
      <c r="B147" s="235" t="str">
        <f>IFERROR(__xludf.DUMMYFUNCTION("""COMPUTED_VALUE"""),"LUDY DE ASIS")</f>
        <v>LUDY DE ASIS</v>
      </c>
      <c r="C147" s="235" t="str">
        <f>IFERROR(__xludf.DUMMYFUNCTION("""COMPUTED_VALUE"""),"ADMIN")</f>
        <v>ADMIN</v>
      </c>
      <c r="D147" s="196" t="str">
        <f>IFERROR(__xludf.DUMMYFUNCTION("""COMPUTED_VALUE"""),"2 PCS TRASH CAN GREEN; 2 PCS TRASH CAN BLACK")</f>
        <v>2 PCS TRASH CAN GREEN; 2 PCS TRASH CAN BLACK</v>
      </c>
      <c r="E147" s="196" t="str">
        <f>IFERROR(__xludf.DUMMYFUNCTION("""COMPUTED_VALUE"""),"FOR LUX PARKING AND MONARCH GYM")</f>
        <v>FOR LUX PARKING AND MONARCH GYM</v>
      </c>
    </row>
    <row r="148">
      <c r="A148" s="234">
        <f>IFERROR(__xludf.DUMMYFUNCTION("""COMPUTED_VALUE"""),100440.0)</f>
        <v>100440</v>
      </c>
      <c r="B148" s="235" t="str">
        <f>IFERROR(__xludf.DUMMYFUNCTION("""COMPUTED_VALUE"""),"NOLIE DURAN")</f>
        <v>NOLIE DURAN</v>
      </c>
      <c r="C148" s="235" t="str">
        <f>IFERROR(__xludf.DUMMYFUNCTION("""COMPUTED_VALUE"""),"STUDENT AFFAIRS COLLEGE")</f>
        <v>STUDENT AFFAIRS COLLEGE</v>
      </c>
      <c r="D148" s="196" t="str">
        <f>IFERROR(__xludf.DUMMYFUNCTION("""COMPUTED_VALUE"""),"750 PCS COLLEGE HANDBOOK")</f>
        <v>750 PCS COLLEGE HANDBOOK</v>
      </c>
      <c r="E148" s="196" t="str">
        <f>IFERROR(__xludf.DUMMYFUNCTION("""COMPUTED_VALUE"""),"FOR COLLEGE HANDBOOK FOR DISTRIBUTION TO ALL STUDENTS")</f>
        <v>FOR COLLEGE HANDBOOK FOR DISTRIBUTION TO ALL STUDENTS</v>
      </c>
    </row>
    <row r="149">
      <c r="A149" s="234">
        <f>IFERROR(__xludf.DUMMYFUNCTION("""COMPUTED_VALUE"""),100441.0)</f>
        <v>100441</v>
      </c>
      <c r="B149" s="235" t="str">
        <f>IFERROR(__xludf.DUMMYFUNCTION("""COMPUTED_VALUE"""),"LUDY DE ASIS")</f>
        <v>LUDY DE ASIS</v>
      </c>
      <c r="C149" s="235" t="str">
        <f>IFERROR(__xludf.DUMMYFUNCTION("""COMPUTED_VALUE"""),"ADMIN")</f>
        <v>ADMIN</v>
      </c>
      <c r="D149" s="196" t="str">
        <f>IFERROR(__xludf.DUMMYFUNCTION("""COMPUTED_VALUE"""),"10 PCS VLN R40072 TWIN DIE CAST ALUMINUM DIRECTORIAL SPOTLIGHT W/ NEKO SWISS M2 2*9W 300K 900LM WITH TRIDONIC PHASE DIM DRIVER; 12 PCS CONTINOUS SURFACE MOUNTED T5 LED LAMP WARM WHITE; 18 PCS .60 X 1.20M BATWING TYPE TROFFER INDIRECT LIGHT WITH 2 X 20W T8"&amp;" 1900LM X2 COOL WHITE 230V ")</f>
        <v>10 PCS VLN R40072 TWIN DIE CAST ALUMINUM DIRECTORIAL SPOTLIGHT W/ NEKO SWISS M2 2*9W 300K 900LM WITH TRIDONIC PHASE DIM DRIVER; 12 PCS CONTINOUS SURFACE MOUNTED T5 LED LAMP WARM WHITE; 18 PCS .60 X 1.20M BATWING TYPE TROFFER INDIRECT LIGHT WITH 2 X 20W T8 1900LM X2 COOL WHITE 230V </v>
      </c>
      <c r="E149" s="196" t="str">
        <f>IFERROR(__xludf.DUMMYFUNCTION("""COMPUTED_VALUE"""),"FOR CMLC ROOM")</f>
        <v>FOR CMLC ROOM</v>
      </c>
    </row>
    <row r="150">
      <c r="A150" s="234">
        <f>IFERROR(__xludf.DUMMYFUNCTION("""COMPUTED_VALUE"""),100442.0)</f>
        <v>100442</v>
      </c>
      <c r="B150" s="235" t="str">
        <f>IFERROR(__xludf.DUMMYFUNCTION("""COMPUTED_VALUE"""),"OWIE PAR")</f>
        <v>OWIE PAR</v>
      </c>
      <c r="C150" s="235" t="str">
        <f>IFERROR(__xludf.DUMMYFUNCTION("""COMPUTED_VALUE"""),"ENGINEERING")</f>
        <v>ENGINEERING</v>
      </c>
      <c r="D150" s="196" t="str">
        <f>IFERROR(__xludf.DUMMYFUNCTION("""COMPUTED_VALUE"""),"AIRCON CLEANER 1PAIR")</f>
        <v>AIRCON CLEANER 1PAIR</v>
      </c>
      <c r="E150" s="196" t="str">
        <f>IFERROR(__xludf.DUMMYFUNCTION("""COMPUTED_VALUE"""),"FOR ACU MAINTENANCE")</f>
        <v>FOR ACU MAINTENANCE</v>
      </c>
    </row>
    <row r="151">
      <c r="A151" s="234">
        <f>IFERROR(__xludf.DUMMYFUNCTION("""COMPUTED_VALUE"""),100443.0)</f>
        <v>100443</v>
      </c>
      <c r="B151" s="235" t="str">
        <f>IFERROR(__xludf.DUMMYFUNCTION("""COMPUTED_VALUE"""),"ALFA DE LEON")</f>
        <v>ALFA DE LEON</v>
      </c>
      <c r="C151" s="235" t="str">
        <f>IFERROR(__xludf.DUMMYFUNCTION("""COMPUTED_VALUE"""),"ADMIN - MUNICH")</f>
        <v>ADMIN - MUNICH</v>
      </c>
      <c r="D151" s="196" t="str">
        <f>IFERROR(__xludf.DUMMYFUNCTION("""COMPUTED_VALUE"""),"TILES 30X30CM AZUL 3BOXES; STICKWELL 2PCS; TILES 24PCS")</f>
        <v>TILES 30X30CM AZUL 3BOXES; STICKWELL 2PCS; TILES 24PCS</v>
      </c>
      <c r="E151" s="196" t="str">
        <f>IFERROR(__xludf.DUMMYFUNCTION("""COMPUTED_VALUE"""),"REPAIR OF 201-206 CLASSROOM SINK TILES")</f>
        <v>REPAIR OF 201-206 CLASSROOM SINK TILES</v>
      </c>
    </row>
    <row r="152">
      <c r="A152" s="234">
        <f>IFERROR(__xludf.DUMMYFUNCTION("""COMPUTED_VALUE"""),100444.0)</f>
        <v>100444</v>
      </c>
      <c r="B152" s="235" t="str">
        <f>IFERROR(__xludf.DUMMYFUNCTION("""COMPUTED_VALUE"""),"JOSETTE GUZMAN")</f>
        <v>JOSETTE GUZMAN</v>
      </c>
      <c r="C152" s="235" t="str">
        <f>IFERROR(__xludf.DUMMYFUNCTION("""COMPUTED_VALUE"""),"DP MUNICH")</f>
        <v>DP MUNICH</v>
      </c>
      <c r="D152" s="196" t="str">
        <f>IFERROR(__xludf.DUMMYFUNCTION("""COMPUTED_VALUE"""),"100 PACKS BOARD PAPER (WHITE/LEGAL); 1000 PCS PARCHMENT PAPER LETTER SIZE; 10 PACKS LAMINATING PAPER")</f>
        <v>100 PACKS BOARD PAPER (WHITE/LEGAL); 1000 PCS PARCHMENT PAPER LETTER SIZE; 10 PACKS LAMINATING PAPER</v>
      </c>
      <c r="E152" s="196" t="str">
        <f>IFERROR(__xludf.DUMMYFUNCTION("""COMPUTED_VALUE"""),"FOR OFFICE USE/USE FOR PRINTING OF CERTIFICATE FOR ACADEMIC YEAR 2019-2020")</f>
        <v>FOR OFFICE USE/USE FOR PRINTING OF CERTIFICATE FOR ACADEMIC YEAR 2019-2020</v>
      </c>
    </row>
    <row r="153">
      <c r="A153" s="234">
        <f>IFERROR(__xludf.DUMMYFUNCTION("""COMPUTED_VALUE"""),100445.0)</f>
        <v>100445</v>
      </c>
      <c r="B153" s="235" t="str">
        <f>IFERROR(__xludf.DUMMYFUNCTION("""COMPUTED_VALUE"""),"REA CELINE VILLA")</f>
        <v>REA CELINE VILLA</v>
      </c>
      <c r="C153" s="235" t="str">
        <f>IFERROR(__xludf.DUMMYFUNCTION("""COMPUTED_VALUE"""),"ATHLETICS")</f>
        <v>ATHLETICS</v>
      </c>
      <c r="D153" s="196" t="str">
        <f>IFERROR(__xludf.DUMMYFUNCTION("""COMPUTED_VALUE"""),"40 PCS MEDALS (GLASS) MVP/COACHES CHOICE; 3 PCS ATHLETE OF THE YEAR (GS,HS,COLLEGE)")</f>
        <v>40 PCS MEDALS (GLASS) MVP/COACHES CHOICE; 3 PCS ATHLETE OF THE YEAR (GS,HS,COLLEGE)</v>
      </c>
      <c r="E153" s="196" t="str">
        <f>IFERROR(__xludf.DUMMYFUNCTION("""COMPUTED_VALUE"""),"VARSITY NIGHT AWARDS")</f>
        <v>VARSITY NIGHT AWARDS</v>
      </c>
    </row>
    <row r="154">
      <c r="A154" s="234">
        <f>IFERROR(__xludf.DUMMYFUNCTION("""COMPUTED_VALUE"""),100446.0)</f>
        <v>100446</v>
      </c>
      <c r="B154" s="235" t="str">
        <f>IFERROR(__xludf.DUMMYFUNCTION("""COMPUTED_VALUE"""),"ROY BATAQUE")</f>
        <v>ROY BATAQUE</v>
      </c>
      <c r="C154" s="235" t="str">
        <f>IFERROR(__xludf.DUMMYFUNCTION("""COMPUTED_VALUE"""),"AMD")</f>
        <v>AMD</v>
      </c>
      <c r="D154" s="196" t="str">
        <f>IFERROR(__xludf.DUMMYFUNCTION("""COMPUTED_VALUE"""),"TIE WRAP/CABLE TIE 4INCHES BLACK 15PACKS; TIE WRAP/CABLE TIE 8 INCHES BLACK 15PACKS")</f>
        <v>TIE WRAP/CABLE TIE 4INCHES BLACK 15PACKS; TIE WRAP/CABLE TIE 8 INCHES BLACK 15PACKS</v>
      </c>
      <c r="E154" s="196" t="str">
        <f>IFERROR(__xludf.DUMMYFUNCTION("""COMPUTED_VALUE"""),"STOCK REPLENISHMENT - MIS")</f>
        <v>STOCK REPLENISHMENT - MIS</v>
      </c>
    </row>
    <row r="155">
      <c r="A155" s="234">
        <f>IFERROR(__xludf.DUMMYFUNCTION("""COMPUTED_VALUE"""),100447.0)</f>
        <v>100447</v>
      </c>
      <c r="B155" s="235" t="str">
        <f>IFERROR(__xludf.DUMMYFUNCTION("""COMPUTED_VALUE"""),"ROMAN BALUYOT")</f>
        <v>ROMAN BALUYOT</v>
      </c>
      <c r="C155" s="235" t="str">
        <f>IFERROR(__xludf.DUMMYFUNCTION("""COMPUTED_VALUE"""),"PR &amp; MARKETING")</f>
        <v>PR &amp; MARKETING</v>
      </c>
      <c r="D155" s="196" t="str">
        <f>IFERROR(__xludf.DUMMYFUNCTION("""COMPUTED_VALUE"""),"1 UNIVERSITY PASSERS TARP 2X5 FT")</f>
        <v>1 UNIVERSITY PASSERS TARP 2X5 FT</v>
      </c>
      <c r="E155" s="196" t="str">
        <f>IFERROR(__xludf.DUMMYFUNCTION("""COMPUTED_VALUE"""),"MARKETING")</f>
        <v>MARKETING</v>
      </c>
    </row>
    <row r="156">
      <c r="A156" s="234">
        <f>IFERROR(__xludf.DUMMYFUNCTION("""COMPUTED_VALUE"""),100448.0)</f>
        <v>100448</v>
      </c>
      <c r="B156" s="235" t="str">
        <f>IFERROR(__xludf.DUMMYFUNCTION("""COMPUTED_VALUE"""),"ROMAN BALUYOT")</f>
        <v>ROMAN BALUYOT</v>
      </c>
      <c r="C156" s="235" t="str">
        <f>IFERROR(__xludf.DUMMYFUNCTION("""COMPUTED_VALUE"""),"PR &amp; MARKETING")</f>
        <v>PR &amp; MARKETING</v>
      </c>
      <c r="D156" s="196" t="str">
        <f>IFERROR(__xludf.DUMMYFUNCTION("""COMPUTED_VALUE"""),"TV, 32 INCHES FLAT SCREEN (SAMSUNG) 1UNIT")</f>
        <v>TV, 32 INCHES FLAT SCREEN (SAMSUNG) 1UNIT</v>
      </c>
      <c r="E156" s="196" t="str">
        <f>IFERROR(__xludf.DUMMYFUNCTION("""COMPUTED_VALUE"""),"TO UPDATE CUSTOMERS OF THE SCHOOL POLICIES, LATER IMPROVEMENTS AND ANNOUNCEMENTS")</f>
        <v>TO UPDATE CUSTOMERS OF THE SCHOOL POLICIES, LATER IMPROVEMENTS AND ANNOUNCEMENTS</v>
      </c>
    </row>
    <row r="157">
      <c r="A157" s="234">
        <f>IFERROR(__xludf.DUMMYFUNCTION("""COMPUTED_VALUE"""),100449.0)</f>
        <v>100449</v>
      </c>
      <c r="B157" s="235" t="str">
        <f>IFERROR(__xludf.DUMMYFUNCTION("""COMPUTED_VALUE"""),"ROIE RAYMUNDO")</f>
        <v>ROIE RAYMUNDO</v>
      </c>
      <c r="C157" s="235" t="str">
        <f>IFERROR(__xludf.DUMMYFUNCTION("""COMPUTED_VALUE"""),"AMD")</f>
        <v>AMD</v>
      </c>
      <c r="D157" s="196" t="str">
        <f>IFERROR(__xludf.DUMMYFUNCTION("""COMPUTED_VALUE"""),"acrylic table 57.5cm X 55cm 2pcs. / 76.5cm X 55cm 1pc.")</f>
        <v>acrylic table 57.5cm X 55cm 2pcs. / 76.5cm X 55cm 1pc.</v>
      </c>
      <c r="E157" s="196" t="str">
        <f>IFERROR(__xludf.DUMMYFUNCTION("""COMPUTED_VALUE"""),"for 3d printer table")</f>
        <v>for 3d printer table</v>
      </c>
    </row>
    <row r="158">
      <c r="A158" s="234">
        <f>IFERROR(__xludf.DUMMYFUNCTION("""COMPUTED_VALUE"""),100450.0)</f>
        <v>100450</v>
      </c>
      <c r="B158" s="235" t="str">
        <f>IFERROR(__xludf.DUMMYFUNCTION("""COMPUTED_VALUE"""),"LUDY DE ASIS")</f>
        <v>LUDY DE ASIS</v>
      </c>
      <c r="C158" s="235" t="str">
        <f>IFERROR(__xludf.DUMMYFUNCTION("""COMPUTED_VALUE"""),"HOUSEKEEPING")</f>
        <v>HOUSEKEEPING</v>
      </c>
      <c r="D158" s="196" t="str">
        <f>IFERROR(__xludf.DUMMYFUNCTION("""COMPUTED_VALUE"""),"10 TIN SEMI GLOSS LATEX WHITE; 3 TIN FLAT LATEX WHITE; 5 PCS PAINT ROLLER #7 ACRYLON; 5 PCS PAINT ROLLER #4 COTTON; 5 PCS PAINT BRUSH #1 1/2(HI-TECH); 2 GAL PAINT THINNER; 5 LITERS SANDING PAPER #100; 4 GAL ROOFGARD SPANISH RED; 1 TIN Q.D.E WHITE; 5 KLS C"&amp;"OTTON RAGS; 2 LTRS ACRI COLOR RAW SIENNA; 2 LTRS ACRI COLOR LAMP BLACK; 1 GAL Q.D.E EMERALD GREEN; 2 GAL ACRYLIC EMULSION")</f>
        <v>10 TIN SEMI GLOSS LATEX WHITE; 3 TIN FLAT LATEX WHITE; 5 PCS PAINT ROLLER #7 ACRYLON; 5 PCS PAINT ROLLER #4 COTTON; 5 PCS PAINT BRUSH #1 1/2(HI-TECH); 2 GAL PAINT THINNER; 5 LITERS SANDING PAPER #100; 4 GAL ROOFGARD SPANISH RED; 1 TIN Q.D.E WHITE; 5 KLS COTTON RAGS; 2 LTRS ACRI COLOR RAW SIENNA; 2 LTRS ACRI COLOR LAMP BLACK; 1 GAL Q.D.E EMERALD GREEN; 2 GAL ACRYLIC EMULSION</v>
      </c>
      <c r="E158" s="196" t="str">
        <f>IFERROR(__xludf.DUMMYFUNCTION("""COMPUTED_VALUE"""),"FOR REPAINTING IN TROPICAL CAMPUS (FOR PARTIAL)")</f>
        <v>FOR REPAINTING IN TROPICAL CAMPUS (FOR PARTIAL)</v>
      </c>
    </row>
    <row r="159">
      <c r="A159" s="234">
        <f>IFERROR(__xludf.DUMMYFUNCTION("""COMPUTED_VALUE"""),100451.0)</f>
        <v>100451</v>
      </c>
      <c r="B159" s="235" t="str">
        <f>IFERROR(__xludf.DUMMYFUNCTION("""COMPUTED_VALUE"""),"ron obleno")</f>
        <v>ron obleno</v>
      </c>
      <c r="C159" s="235" t="str">
        <f>IFERROR(__xludf.DUMMYFUNCTION("""COMPUTED_VALUE"""),"MIS/ICT")</f>
        <v>MIS/ICT</v>
      </c>
      <c r="D159" s="196" t="str">
        <f>IFERROR(__xludf.DUMMYFUNCTION("""COMPUTED_VALUE"""),"external optical drive portable 3units")</f>
        <v>external optical drive portable 3units</v>
      </c>
      <c r="E159" s="196" t="str">
        <f>IFERROR(__xludf.DUMMYFUNCTION("""COMPUTED_VALUE"""),"for pc repair using cd/dvd image")</f>
        <v>for pc repair using cd/dvd image</v>
      </c>
    </row>
    <row r="160">
      <c r="A160" s="234">
        <f>IFERROR(__xludf.DUMMYFUNCTION("""COMPUTED_VALUE"""),100452.0)</f>
        <v>100452</v>
      </c>
      <c r="B160" s="235" t="str">
        <f>IFERROR(__xludf.DUMMYFUNCTION("""COMPUTED_VALUE"""),"ron obleno")</f>
        <v>ron obleno</v>
      </c>
      <c r="C160" s="235" t="str">
        <f>IFERROR(__xludf.DUMMYFUNCTION("""COMPUTED_VALUE"""),"MIS/ICT")</f>
        <v>MIS/ICT</v>
      </c>
      <c r="D160" s="196" t="str">
        <f>IFERROR(__xludf.DUMMYFUNCTION("""COMPUTED_VALUE"""),"laptop macbook pro 1 units/ laptop windows 1 unit")</f>
        <v>laptop macbook pro 1 units/ laptop windows 1 unit</v>
      </c>
      <c r="E160" s="196" t="str">
        <f>IFERROR(__xludf.DUMMYFUNCTION("""COMPUTED_VALUE"""),"for event presentation &amp; mobile network configuration")</f>
        <v>for event presentation &amp; mobile network configuration</v>
      </c>
    </row>
    <row r="161">
      <c r="A161" s="234">
        <f>IFERROR(__xludf.DUMMYFUNCTION("""COMPUTED_VALUE"""),100453.0)</f>
        <v>100453</v>
      </c>
      <c r="B161" s="235" t="str">
        <f>IFERROR(__xludf.DUMMYFUNCTION("""COMPUTED_VALUE"""),"nessie lumbres")</f>
        <v>nessie lumbres</v>
      </c>
      <c r="C161" s="235" t="str">
        <f>IFERROR(__xludf.DUMMYFUNCTION("""COMPUTED_VALUE"""),"SPECIAL PROJECTS")</f>
        <v>SPECIAL PROJECTS</v>
      </c>
      <c r="D161" s="196" t="str">
        <f>IFERROR(__xludf.DUMMYFUNCTION("""COMPUTED_VALUE"""),"immersive learning package ")</f>
        <v>immersive learning package </v>
      </c>
      <c r="E161" s="196" t="str">
        <f>IFERROR(__xludf.DUMMYFUNCTION("""COMPUTED_VALUE"""),"for new curriculum requirements")</f>
        <v>for new curriculum requirements</v>
      </c>
    </row>
    <row r="162">
      <c r="A162" s="234">
        <f>IFERROR(__xludf.DUMMYFUNCTION("""COMPUTED_VALUE"""),100454.0)</f>
        <v>100454</v>
      </c>
      <c r="B162" s="235" t="str">
        <f>IFERROR(__xludf.DUMMYFUNCTION("""COMPUTED_VALUE"""),"APRIL TRAJICO")</f>
        <v>APRIL TRAJICO</v>
      </c>
      <c r="C162" s="235" t="str">
        <f>IFERROR(__xludf.DUMMYFUNCTION("""COMPUTED_VALUE"""),"AMD")</f>
        <v>AMD</v>
      </c>
      <c r="D162" s="196" t="str">
        <f>IFERROR(__xludf.DUMMYFUNCTION("""COMPUTED_VALUE"""),"Clearbook, Spiral Refillable 20's Black Long 1110PCS; Yarn, Yarn Asstd Color 140")</f>
        <v>Clearbook, Spiral Refillable 20's Black Long 1110PCS; Yarn, Yarn Asstd Color 140</v>
      </c>
      <c r="E162" s="196" t="str">
        <f>IFERROR(__xludf.DUMMYFUNCTION("""COMPUTED_VALUE"""),"STUDENT MATERIALS AY19-20")</f>
        <v>STUDENT MATERIALS AY19-20</v>
      </c>
    </row>
    <row r="163">
      <c r="A163" s="234">
        <f>IFERROR(__xludf.DUMMYFUNCTION("""COMPUTED_VALUE"""),100455.0)</f>
        <v>100455</v>
      </c>
      <c r="B163" s="235" t="str">
        <f>IFERROR(__xludf.DUMMYFUNCTION("""COMPUTED_VALUE"""),"ludy de asis")</f>
        <v>ludy de asis</v>
      </c>
      <c r="C163" s="235" t="str">
        <f>IFERROR(__xludf.DUMMYFUNCTION("""COMPUTED_VALUE"""),"ADMIN")</f>
        <v>ADMIN</v>
      </c>
      <c r="D163" s="196" t="str">
        <f>IFERROR(__xludf.DUMMYFUNCTION("""COMPUTED_VALUE"""),"materials for repainting")</f>
        <v>materials for repainting</v>
      </c>
      <c r="E163" s="196" t="str">
        <f>IFERROR(__xludf.DUMMYFUNCTION("""COMPUTED_VALUE"""),"for lux campus partial repainting partial only")</f>
        <v>for lux campus partial repainting partial only</v>
      </c>
    </row>
    <row r="164">
      <c r="A164" s="234">
        <f>IFERROR(__xludf.DUMMYFUNCTION("""COMPUTED_VALUE"""),100456.0)</f>
        <v>100456</v>
      </c>
      <c r="B164" s="235" t="str">
        <f>IFERROR(__xludf.DUMMYFUNCTION("""COMPUTED_VALUE"""),"ludy de asis")</f>
        <v>ludy de asis</v>
      </c>
      <c r="C164" s="235" t="str">
        <f>IFERROR(__xludf.DUMMYFUNCTION("""COMPUTED_VALUE"""),"ADMIN")</f>
        <v>ADMIN</v>
      </c>
      <c r="D164" s="196" t="str">
        <f>IFERROR(__xludf.DUMMYFUNCTION("""COMPUTED_VALUE"""),"materials for repainting")</f>
        <v>materials for repainting</v>
      </c>
      <c r="E164" s="196" t="str">
        <f>IFERROR(__xludf.DUMMYFUNCTION("""COMPUTED_VALUE"""),"for college repainting partial only")</f>
        <v>for college repainting partial only</v>
      </c>
    </row>
    <row r="165">
      <c r="A165" s="234">
        <f>IFERROR(__xludf.DUMMYFUNCTION("""COMPUTED_VALUE"""),100457.0)</f>
        <v>100457</v>
      </c>
      <c r="B165" s="235" t="str">
        <f>IFERROR(__xludf.DUMMYFUNCTION("""COMPUTED_VALUE"""),"IRISH FERNAND")</f>
        <v>IRISH FERNAND</v>
      </c>
      <c r="C165" s="235" t="str">
        <f>IFERROR(__xludf.DUMMYFUNCTION("""COMPUTED_VALUE"""),"MIS/ICT")</f>
        <v>MIS/ICT</v>
      </c>
      <c r="D165" s="196" t="str">
        <f>IFERROR(__xludf.DUMMYFUNCTION("""COMPUTED_VALUE"""),"2 PCS FILLING CABINET")</f>
        <v>2 PCS FILLING CABINET</v>
      </c>
      <c r="E165" s="196" t="str">
        <f>IFERROR(__xludf.DUMMYFUNCTION("""COMPUTED_VALUE"""),"FOR FILE SAFEKEEPING OF MIS DOCUMENTS")</f>
        <v>FOR FILE SAFEKEEPING OF MIS DOCUMENTS</v>
      </c>
    </row>
    <row r="166">
      <c r="A166" s="234">
        <f>IFERROR(__xludf.DUMMYFUNCTION("""COMPUTED_VALUE"""),100458.0)</f>
        <v>100458</v>
      </c>
      <c r="B166" s="235" t="str">
        <f>IFERROR(__xludf.DUMMYFUNCTION("""COMPUTED_VALUE"""),"SAMANTHA FEROL")</f>
        <v>SAMANTHA FEROL</v>
      </c>
      <c r="C166" s="235" t="str">
        <f>IFERROR(__xludf.DUMMYFUNCTION("""COMPUTED_VALUE"""),"LIBRARY COLLEGE")</f>
        <v>LIBRARY COLLEGE</v>
      </c>
      <c r="D166" s="196" t="str">
        <f>IFERROR(__xludf.DUMMYFUNCTION("""COMPUTED_VALUE"""),"RENEWAL SUBSCRIPTION TO BUSINESS WORLD NEWSPAPER")</f>
        <v>RENEWAL SUBSCRIPTION TO BUSINESS WORLD NEWSPAPER</v>
      </c>
      <c r="E166" s="196" t="str">
        <f>IFERROR(__xludf.DUMMYFUNCTION("""COMPUTED_VALUE"""),"PAYMENT FOR  RENEWAL OF NUSINESS WORLD NEWS PAPER")</f>
        <v>PAYMENT FOR  RENEWAL OF NUSINESS WORLD NEWS PAPER</v>
      </c>
    </row>
    <row r="167">
      <c r="A167" s="234">
        <f>IFERROR(__xludf.DUMMYFUNCTION("""COMPUTED_VALUE"""),100459.0)</f>
        <v>100459</v>
      </c>
      <c r="B167" s="235" t="str">
        <f>IFERROR(__xludf.DUMMYFUNCTION("""COMPUTED_VALUE"""),"APOLLO MANCE")</f>
        <v>APOLLO MANCE</v>
      </c>
      <c r="C167" s="235" t="str">
        <f>IFERROR(__xludf.DUMMYFUNCTION("""COMPUTED_VALUE"""),"SMC")</f>
        <v>SMC</v>
      </c>
      <c r="D167" s="196" t="str">
        <f>IFERROR(__xludf.DUMMYFUNCTION("""COMPUTED_VALUE"""),"fire fighter 14pcs./more spaghetti 46pcs./teeny tiny women44pcs.")</f>
        <v>fire fighter 14pcs./more spaghetti 46pcs./teeny tiny women44pcs.</v>
      </c>
      <c r="E167" s="196" t="str">
        <f>IFERROR(__xludf.DUMMYFUNCTION("""COMPUTED_VALUE"""),"for smc preschool basal book")</f>
        <v>for smc preschool basal book</v>
      </c>
    </row>
    <row r="168">
      <c r="A168" s="234">
        <f>IFERROR(__xludf.DUMMYFUNCTION("""COMPUTED_VALUE"""),100460.0)</f>
        <v>100460</v>
      </c>
      <c r="B168" s="235" t="str">
        <f>IFERROR(__xludf.DUMMYFUNCTION("""COMPUTED_VALUE"""),"ELYDIA REYES")</f>
        <v>ELYDIA REYES</v>
      </c>
      <c r="C168" s="235" t="str">
        <f>IFERROR(__xludf.DUMMYFUNCTION("""COMPUTED_VALUE"""),"PR &amp; MARKETING")</f>
        <v>PR &amp; MARKETING</v>
      </c>
      <c r="D168" s="196" t="str">
        <f>IFERROR(__xludf.DUMMYFUNCTION("""COMPUTED_VALUE"""),"1 PC FUTBOL FANATICS ALL GIRL TOURNAMENT TARP")</f>
        <v>1 PC FUTBOL FANATICS ALL GIRL TOURNAMENT TARP</v>
      </c>
      <c r="E168" s="196" t="str">
        <f>IFERROR(__xludf.DUMMYFUNCTION("""COMPUTED_VALUE"""),"MARKETING")</f>
        <v>MARKETING</v>
      </c>
    </row>
    <row r="169">
      <c r="A169" s="234">
        <f>IFERROR(__xludf.DUMMYFUNCTION("""COMPUTED_VALUE"""),100461.0)</f>
        <v>100461</v>
      </c>
      <c r="B169" s="235" t="str">
        <f>IFERROR(__xludf.DUMMYFUNCTION("""COMPUTED_VALUE"""),"ROMAN BALUYOT")</f>
        <v>ROMAN BALUYOT</v>
      </c>
      <c r="C169" s="235" t="str">
        <f>IFERROR(__xludf.DUMMYFUNCTION("""COMPUTED_VALUE"""),"PR &amp; MARKETING")</f>
        <v>PR &amp; MARKETING</v>
      </c>
      <c r="D169" s="196" t="str">
        <f>IFERROR(__xludf.DUMMYFUNCTION("""COMPUTED_VALUE"""),"PAOLO LOUIS ITCHON CONGRATS TARP 7X10")</f>
        <v>PAOLO LOUIS ITCHON CONGRATS TARP 7X10</v>
      </c>
      <c r="E169" s="196" t="str">
        <f>IFERROR(__xludf.DUMMYFUNCTION("""COMPUTED_VALUE"""),"MARKETING")</f>
        <v>MARKETING</v>
      </c>
    </row>
    <row r="170">
      <c r="A170" s="234">
        <f>IFERROR(__xludf.DUMMYFUNCTION("""COMPUTED_VALUE"""),100462.0)</f>
        <v>100462</v>
      </c>
      <c r="B170" s="235" t="str">
        <f>IFERROR(__xludf.DUMMYFUNCTION("""COMPUTED_VALUE"""),"MELISSA NAVAL-ODONO")</f>
        <v>MELISSA NAVAL-ODONO</v>
      </c>
      <c r="C170" s="235" t="str">
        <f>IFERROR(__xludf.DUMMYFUNCTION("""COMPUTED_VALUE"""),"LIBRARY BASIC ED")</f>
        <v>LIBRARY BASIC ED</v>
      </c>
      <c r="D170" s="196" t="str">
        <f>IFERROR(__xludf.DUMMYFUNCTION("""COMPUTED_VALUE"""),"1 PC HELPING YOUR ANGRY TEEN; 1 PC MINDFULNESS FOR TEEN DEPRESSION; 1 PC  FROM ANGER TO ACTION")</f>
        <v>1 PC HELPING YOUR ANGRY TEEN; 1 PC MINDFULNESS FOR TEEN DEPRESSION; 1 PC  FROM ANGER TO ACTION</v>
      </c>
      <c r="E170" s="196" t="str">
        <f>IFERROR(__xludf.DUMMYFUNCTION("""COMPUTED_VALUE"""),"FOR TEACHER'S USE LIBRARY'S COPY")</f>
        <v>FOR TEACHER'S USE LIBRARY'S COPY</v>
      </c>
    </row>
    <row r="171">
      <c r="A171" s="234">
        <f>IFERROR(__xludf.DUMMYFUNCTION("""COMPUTED_VALUE"""),100463.0)</f>
        <v>100463</v>
      </c>
      <c r="B171" s="235" t="str">
        <f>IFERROR(__xludf.DUMMYFUNCTION("""COMPUTED_VALUE"""),"MELISSA NAVAL-ODONO")</f>
        <v>MELISSA NAVAL-ODONO</v>
      </c>
      <c r="C171" s="235" t="str">
        <f>IFERROR(__xludf.DUMMYFUNCTION("""COMPUTED_VALUE"""),"LIBRARY STAR")</f>
        <v>LIBRARY STAR</v>
      </c>
      <c r="D171" s="196" t="str">
        <f>IFERROR(__xludf.DUMMYFUNCTION("""COMPUTED_VALUE"""),"1 SET GO MATH TEACHER EDITION W/ PLANNING GUIDE BUNDLE GRADE 1; 1 SET GO MATH TEACHER EDITION W/ PLANNING GUIDE BUNDLE GRADE 2")</f>
        <v>1 SET GO MATH TEACHER EDITION W/ PLANNING GUIDE BUNDLE GRADE 1; 1 SET GO MATH TEACHER EDITION W/ PLANNING GUIDE BUNDLE GRADE 2</v>
      </c>
      <c r="E171" s="196" t="str">
        <f>IFERROR(__xludf.DUMMYFUNCTION("""COMPUTED_VALUE"""),"TEACHER'S USE - LIBRARY COPY")</f>
        <v>TEACHER'S USE - LIBRARY COPY</v>
      </c>
    </row>
    <row r="172">
      <c r="A172" s="234">
        <f>IFERROR(__xludf.DUMMYFUNCTION("""COMPUTED_VALUE"""),100464.0)</f>
        <v>100464</v>
      </c>
      <c r="B172" s="235" t="str">
        <f>IFERROR(__xludf.DUMMYFUNCTION("""COMPUTED_VALUE"""),"MELISSA NAVAL-ODONO")</f>
        <v>MELISSA NAVAL-ODONO</v>
      </c>
      <c r="C172" s="235" t="str">
        <f>IFERROR(__xludf.DUMMYFUNCTION("""COMPUTED_VALUE"""),"LIBRARY MUNICH")</f>
        <v>LIBRARY MUNICH</v>
      </c>
      <c r="D172" s="196" t="str">
        <f>IFERROR(__xludf.DUMMYFUNCTION("""COMPUTED_VALUE"""),"1 SET GO MATH TEACHER EDITION W/ PLANNING GUIDE BUNDLE GRADE 1; 1 SET GO MATH TEACHER EDITION W/ PLANNING GUIDE BUNDLE GRADE 2")</f>
        <v>1 SET GO MATH TEACHER EDITION W/ PLANNING GUIDE BUNDLE GRADE 1; 1 SET GO MATH TEACHER EDITION W/ PLANNING GUIDE BUNDLE GRADE 2</v>
      </c>
      <c r="E172" s="196" t="str">
        <f>IFERROR(__xludf.DUMMYFUNCTION("""COMPUTED_VALUE"""),"TEACHER'S USE - LIBRARY COPY")</f>
        <v>TEACHER'S USE - LIBRARY COPY</v>
      </c>
    </row>
    <row r="173">
      <c r="A173" s="234">
        <f>IFERROR(__xludf.DUMMYFUNCTION("""COMPUTED_VALUE"""),100465.0)</f>
        <v>100465</v>
      </c>
      <c r="B173" s="235" t="str">
        <f>IFERROR(__xludf.DUMMYFUNCTION("""COMPUTED_VALUE"""),"MELISSA NAVAL-ODONO")</f>
        <v>MELISSA NAVAL-ODONO</v>
      </c>
      <c r="C173" s="235" t="str">
        <f>IFERROR(__xludf.DUMMYFUNCTION("""COMPUTED_VALUE"""),"LIBRARY MUNICH")</f>
        <v>LIBRARY MUNICH</v>
      </c>
      <c r="D173" s="196" t="str">
        <f>IFERROR(__xludf.DUMMYFUNCTION("""COMPUTED_VALUE"""),"1 CP COMPASS LOG AND VOCUBULARY &amp; GRAMMAR LEVEL 1; 1 CP COMPASS LOG AND VOCUBULARY &amp; GRAMMAR LEVEL 2; 1 CP COMPASS LOG AND VOCUBULARY &amp; GRAMMAR LEVEL 3; 1 CP COMPASS LOG AND VOCUBULARY &amp; GRAMMAR LEVEL 4; 1 CP COMPASS LOG AND VOCUBULARY &amp; GRAMMAR LEVEL 5; "&amp;"1 CP COMPASS LOG AND VOCUBULARY &amp; GRAMMAR LEVEL 6; 1 CP COMPASS READING, WRITING LOG LEVEL 1; 1 CP COMPASS READING, WRITING LOG LEVEL 2; 1 CP COMPASS READING, WRITING LOG LEVEL 3; 1 CP COMPASS READING, WRITING LOG LEVEL 4; 1 CP COMPASS READING, WRITING LO"&amp;"G LEVEL 5; 1 CP COMPASS READING, WRITING LOG LEVEL 6")</f>
        <v>1 CP COMPASS LOG AND VOCUBULARY &amp; GRAMMAR LEVEL 1; 1 CP COMPASS LOG AND VOCUBULARY &amp; GRAMMAR LEVEL 2; 1 CP COMPASS LOG AND VOCUBULARY &amp; GRAMMAR LEVEL 3; 1 CP COMPASS LOG AND VOCUBULARY &amp; GRAMMAR LEVEL 4; 1 CP COMPASS LOG AND VOCUBULARY &amp; GRAMMAR LEVEL 5; 1 CP COMPASS LOG AND VOCUBULARY &amp; GRAMMAR LEVEL 6; 1 CP COMPASS READING, WRITING LOG LEVEL 1; 1 CP COMPASS READING, WRITING LOG LEVEL 2; 1 CP COMPASS READING, WRITING LOG LEVEL 3; 1 CP COMPASS READING, WRITING LOG LEVEL 4; 1 CP COMPASS READING, WRITING LOG LEVEL 5; 1 CP COMPASS READING, WRITING LOG LEVEL 6</v>
      </c>
      <c r="E173" s="196" t="str">
        <f>IFERROR(__xludf.DUMMYFUNCTION("""COMPUTED_VALUE"""),"LIBRARY'S COPY")</f>
        <v>LIBRARY'S COPY</v>
      </c>
    </row>
    <row r="174">
      <c r="A174" s="234">
        <f>IFERROR(__xludf.DUMMYFUNCTION("""COMPUTED_VALUE"""),100466.0)</f>
        <v>100466</v>
      </c>
      <c r="B174" s="235" t="str">
        <f>IFERROR(__xludf.DUMMYFUNCTION("""COMPUTED_VALUE"""),"mark salibio")</f>
        <v>mark salibio</v>
      </c>
      <c r="C174" s="235" t="str">
        <f>IFERROR(__xludf.DUMMYFUNCTION("""COMPUTED_VALUE"""),"MIS/ICT")</f>
        <v>MIS/ICT</v>
      </c>
      <c r="D174" s="196" t="str">
        <f>IFERROR(__xludf.DUMMYFUNCTION("""COMPUTED_VALUE"""),"sfp media converte 1unit/ 5 port gigabit switch 1unit")</f>
        <v>sfp media converte 1unit/ 5 port gigabit switch 1unit</v>
      </c>
      <c r="E174" s="196"/>
    </row>
    <row r="175">
      <c r="A175" s="234">
        <f>IFERROR(__xludf.DUMMYFUNCTION("""COMPUTED_VALUE"""),100467.0)</f>
        <v>100467</v>
      </c>
      <c r="B175" s="235" t="str">
        <f>IFERROR(__xludf.DUMMYFUNCTION("""COMPUTED_VALUE"""),"CHRISTIAN")</f>
        <v>CHRISTIAN</v>
      </c>
      <c r="C175" s="235" t="str">
        <f>IFERROR(__xludf.DUMMYFUNCTION("""COMPUTED_VALUE"""),"PR &amp; MARKETING")</f>
        <v>PR &amp; MARKETING</v>
      </c>
      <c r="D175" s="196" t="str">
        <f>IFERROR(__xludf.DUMMYFUNCTION("""COMPUTED_VALUE"""),"CONTACT CEMENT RUGBY (L) 1; STEEL RULER (1METER 1)")</f>
        <v>CONTACT CEMENT RUGBY (L) 1; STEEL RULER (1METER 1)</v>
      </c>
      <c r="E175" s="196" t="str">
        <f>IFERROR(__xludf.DUMMYFUNCTION("""COMPUTED_VALUE"""),"MARKETING")</f>
        <v>MARKETING</v>
      </c>
    </row>
    <row r="176">
      <c r="A176" s="234">
        <f>IFERROR(__xludf.DUMMYFUNCTION("""COMPUTED_VALUE"""),100468.0)</f>
        <v>100468</v>
      </c>
      <c r="B176" s="235" t="str">
        <f>IFERROR(__xludf.DUMMYFUNCTION("""COMPUTED_VALUE"""),"CHRISTIAN")</f>
        <v>CHRISTIAN</v>
      </c>
      <c r="C176" s="235" t="str">
        <f>IFERROR(__xludf.DUMMYFUNCTION("""COMPUTED_VALUE"""),"PR &amp; MARKETING")</f>
        <v>PR &amp; MARKETING</v>
      </c>
      <c r="D176" s="196" t="str">
        <f>IFERROR(__xludf.DUMMYFUNCTION("""COMPUTED_VALUE"""),"10X20 FT C5 1PC; TARP WITHOUT EYELET &amp; SEAMING 1PCS")</f>
        <v>10X20 FT C5 1PC; TARP WITHOUT EYELET &amp; SEAMING 1PCS</v>
      </c>
      <c r="E176" s="196" t="str">
        <f>IFERROR(__xludf.DUMMYFUNCTION("""COMPUTED_VALUE"""),"MARKETING")</f>
        <v>MARKETING</v>
      </c>
    </row>
    <row r="177">
      <c r="A177" s="234">
        <f>IFERROR(__xludf.DUMMYFUNCTION("""COMPUTED_VALUE"""),100469.0)</f>
        <v>100469</v>
      </c>
      <c r="B177" s="235" t="str">
        <f>IFERROR(__xludf.DUMMYFUNCTION("""COMPUTED_VALUE"""),"JORALYN CASIS")</f>
        <v>JORALYN CASIS</v>
      </c>
      <c r="C177" s="235" t="str">
        <f>IFERROR(__xludf.DUMMYFUNCTION("""COMPUTED_VALUE"""),"TOURISM")</f>
        <v>TOURISM</v>
      </c>
      <c r="D177" s="196" t="str">
        <f>IFERROR(__xludf.DUMMYFUNCTION("""COMPUTED_VALUE"""),"500 PCS CALLING CARD MS. NANCY")</f>
        <v>500 PCS CALLING CARD MS. NANCY</v>
      </c>
      <c r="E177" s="196" t="str">
        <f>IFERROR(__xludf.DUMMYFUNCTION("""COMPUTED_VALUE"""),"CALLING CARD FOR MS. NANCY")</f>
        <v>CALLING CARD FOR MS. NANCY</v>
      </c>
    </row>
    <row r="178">
      <c r="A178" s="234">
        <f>IFERROR(__xludf.DUMMYFUNCTION("""COMPUTED_VALUE"""),100470.0)</f>
        <v>100470</v>
      </c>
      <c r="B178" s="235" t="str">
        <f>IFERROR(__xludf.DUMMYFUNCTION("""COMPUTED_VALUE"""),"KATE TAPEL")</f>
        <v>KATE TAPEL</v>
      </c>
      <c r="C178" s="235" t="str">
        <f>IFERROR(__xludf.DUMMYFUNCTION("""COMPUTED_VALUE"""),"PRESIDENT'S OFFICE")</f>
        <v>PRESIDENT'S OFFICE</v>
      </c>
      <c r="D178" s="196" t="str">
        <f>IFERROR(__xludf.DUMMYFUNCTION("""COMPUTED_VALUE"""),"1 UNIT DISH ORGANIZER")</f>
        <v>1 UNIT DISH ORGANIZER</v>
      </c>
      <c r="E178" s="196" t="str">
        <f>IFERROR(__xludf.DUMMYFUNCTION("""COMPUTED_VALUE"""),"FOR PRESIDENT'S OFFICE ORGANIZER")</f>
        <v>FOR PRESIDENT'S OFFICE ORGANIZER</v>
      </c>
    </row>
    <row r="179">
      <c r="A179" s="234">
        <f>IFERROR(__xludf.DUMMYFUNCTION("""COMPUTED_VALUE"""),100471.0)</f>
        <v>100471</v>
      </c>
      <c r="B179" s="235" t="str">
        <f>IFERROR(__xludf.DUMMYFUNCTION("""COMPUTED_VALUE"""),"ALFA DE LEON")</f>
        <v>ALFA DE LEON</v>
      </c>
      <c r="C179" s="235" t="str">
        <f>IFERROR(__xludf.DUMMYFUNCTION("""COMPUTED_VALUE"""),"ADMIN")</f>
        <v>ADMIN</v>
      </c>
      <c r="D179" s="196" t="str">
        <f>IFERROR(__xludf.DUMMYFUNCTION("""COMPUTED_VALUE"""),"21 PCS CLEARBOOK BLACK; 17 PCS CLEARBOOK GREY")</f>
        <v>21 PCS CLEARBOOK BLACK; 17 PCS CLEARBOOK GREY</v>
      </c>
      <c r="E179" s="196" t="str">
        <f>IFERROR(__xludf.DUMMYFUNCTION("""COMPUTED_VALUE"""),"HOUSEKEEPING STANDARDS")</f>
        <v>HOUSEKEEPING STANDARDS</v>
      </c>
    </row>
    <row r="180">
      <c r="A180" s="234">
        <f>IFERROR(__xludf.DUMMYFUNCTION("""COMPUTED_VALUE"""),100472.0)</f>
        <v>100472</v>
      </c>
      <c r="B180" s="235" t="str">
        <f>IFERROR(__xludf.DUMMYFUNCTION("""COMPUTED_VALUE"""),"dyan chavez")</f>
        <v>dyan chavez</v>
      </c>
      <c r="C180" s="235" t="str">
        <f>IFERROR(__xludf.DUMMYFUNCTION("""COMPUTED_VALUE"""),"ECED")</f>
        <v>ECED</v>
      </c>
      <c r="D180" s="196" t="str">
        <f>IFERROR(__xludf.DUMMYFUNCTION("""COMPUTED_VALUE"""),"board papaer 400pcs./clearbook folder refillable 80/file folder refill/laminating film a4(125microns) 25/display board 10")</f>
        <v>board papaer 400pcs./clearbook folder refillable 80/file folder refill/laminating film a4(125microns) 25/display board 10</v>
      </c>
      <c r="E180" s="196" t="str">
        <f>IFERROR(__xludf.DUMMYFUNCTION("""COMPUTED_VALUE"""),"for pre school visuals stars &amp; munich")</f>
        <v>for pre school visuals stars &amp; munich</v>
      </c>
    </row>
    <row r="181">
      <c r="A181" s="234">
        <f>IFERROR(__xludf.DUMMYFUNCTION("""COMPUTED_VALUE"""),100473.0)</f>
        <v>100473</v>
      </c>
      <c r="B181" s="235" t="str">
        <f>IFERROR(__xludf.DUMMYFUNCTION("""COMPUTED_VALUE"""),"CHRISTIAN ANDRES")</f>
        <v>CHRISTIAN ANDRES</v>
      </c>
      <c r="C181" s="235" t="str">
        <f>IFERROR(__xludf.DUMMYFUNCTION("""COMPUTED_VALUE"""),"PR &amp; MARKETING")</f>
        <v>PR &amp; MARKETING</v>
      </c>
      <c r="D181" s="196" t="str">
        <f>IFERROR(__xludf.DUMMYFUNCTION("""COMPUTED_VALUE"""),"LEVEL UP YOUR CAREER TARP 6.5 X 13FT 2PCS; 10X10 FT 1PC WITH SEAMING AND EYELET")</f>
        <v>LEVEL UP YOUR CAREER TARP 6.5 X 13FT 2PCS; 10X10 FT 1PC WITH SEAMING AND EYELET</v>
      </c>
      <c r="E181" s="196" t="str">
        <f>IFERROR(__xludf.DUMMYFUNCTION("""COMPUTED_VALUE"""),"MARKETING")</f>
        <v>MARKETING</v>
      </c>
    </row>
    <row r="182">
      <c r="A182" s="234">
        <f>IFERROR(__xludf.DUMMYFUNCTION("""COMPUTED_VALUE"""),100474.0)</f>
        <v>100474</v>
      </c>
      <c r="B182" s="235" t="str">
        <f>IFERROR(__xludf.DUMMYFUNCTION("""COMPUTED_VALUE"""),"george pastor")</f>
        <v>george pastor</v>
      </c>
      <c r="C182" s="235" t="str">
        <f>IFERROR(__xludf.DUMMYFUNCTION("""COMPUTED_VALUE"""),"PRINCIPAL'S OFFICE")</f>
        <v>PRINCIPAL'S OFFICE</v>
      </c>
      <c r="D182" s="196" t="str">
        <f>IFERROR(__xludf.DUMMYFUNCTION("""COMPUTED_VALUE"""),"backdrop tarp 23.1ft x 7.4ft / backdrop 23.1 ft x 7.6 ft / tarpaulin school facade 7x10 ft. 2pcs./ standees 3 x 6 ft. 4pcs.)")</f>
        <v>backdrop tarp 23.1ft x 7.4ft / backdrop 23.1 ft x 7.6 ft / tarpaulin school facade 7x10 ft. 2pcs./ standees 3 x 6 ft. 4pcs.)</v>
      </c>
      <c r="E182" s="196" t="str">
        <f>IFERROR(__xludf.DUMMYFUNCTION("""COMPUTED_VALUE"""),"for world scholars cup")</f>
        <v>for world scholars cup</v>
      </c>
    </row>
    <row r="183">
      <c r="A183" s="234">
        <f>IFERROR(__xludf.DUMMYFUNCTION("""COMPUTED_VALUE"""),100475.0)</f>
        <v>100475</v>
      </c>
      <c r="B183" s="235" t="str">
        <f>IFERROR(__xludf.DUMMYFUNCTION("""COMPUTED_VALUE"""),"roie raymundo")</f>
        <v>roie raymundo</v>
      </c>
      <c r="C183" s="235" t="str">
        <f>IFERROR(__xludf.DUMMYFUNCTION("""COMPUTED_VALUE"""),"MIS/ICT")</f>
        <v>MIS/ICT</v>
      </c>
      <c r="D183" s="196" t="str">
        <f>IFERROR(__xludf.DUMMYFUNCTION("""COMPUTED_VALUE"""),"access point ubiquity-uap-nano hd 9pcs.")</f>
        <v>access point ubiquity-uap-nano hd 9pcs.</v>
      </c>
      <c r="E183" s="196" t="str">
        <f>IFERROR(__xludf.DUMMYFUNCTION("""COMPUTED_VALUE"""),"for tropical building replacement of meru")</f>
        <v>for tropical building replacement of meru</v>
      </c>
    </row>
    <row r="184">
      <c r="A184" s="234">
        <f>IFERROR(__xludf.DUMMYFUNCTION("""COMPUTED_VALUE"""),100476.0)</f>
        <v>100476</v>
      </c>
      <c r="B184" s="235" t="str">
        <f>IFERROR(__xludf.DUMMYFUNCTION("""COMPUTED_VALUE"""),"owie par")</f>
        <v>owie par</v>
      </c>
      <c r="C184" s="235" t="str">
        <f>IFERROR(__xludf.DUMMYFUNCTION("""COMPUTED_VALUE"""),"ADMIN")</f>
        <v>ADMIN</v>
      </c>
      <c r="D184" s="196" t="str">
        <f>IFERROR(__xludf.DUMMYFUNCTION("""COMPUTED_VALUE"""),"acu daiken 2.0hp ceiling cassette inverter 1 unit")</f>
        <v>acu daiken 2.0hp ceiling cassette inverter 1 unit</v>
      </c>
      <c r="E184" s="196" t="str">
        <f>IFERROR(__xludf.DUMMYFUNCTION("""COMPUTED_VALUE"""),"for core consultant")</f>
        <v>for core consultant</v>
      </c>
    </row>
    <row r="185">
      <c r="A185" s="234">
        <f>IFERROR(__xludf.DUMMYFUNCTION("""COMPUTED_VALUE"""),100477.0)</f>
        <v>100477</v>
      </c>
      <c r="B185" s="235" t="str">
        <f>IFERROR(__xludf.DUMMYFUNCTION("""COMPUTED_VALUE"""),"owie par")</f>
        <v>owie par</v>
      </c>
      <c r="C185" s="235" t="str">
        <f>IFERROR(__xludf.DUMMYFUNCTION("""COMPUTED_VALUE"""),"ADMIN")</f>
        <v>ADMIN</v>
      </c>
      <c r="D185" s="196" t="str">
        <f>IFERROR(__xludf.DUMMYFUNCTION("""COMPUTED_VALUE"""),"floor mounted 6.0hp 1 unit")</f>
        <v>floor mounted 6.0hp 1 unit</v>
      </c>
      <c r="E185" s="196" t="str">
        <f>IFERROR(__xludf.DUMMYFUNCTION("""COMPUTED_VALUE"""),"acu replacement board rm. tropical")</f>
        <v>acu replacement board rm. tropical</v>
      </c>
    </row>
    <row r="186">
      <c r="A186" s="234">
        <f>IFERROR(__xludf.DUMMYFUNCTION("""COMPUTED_VALUE"""),100478.0)</f>
        <v>100478</v>
      </c>
      <c r="B186" s="235" t="str">
        <f>IFERROR(__xludf.DUMMYFUNCTION("""COMPUTED_VALUE"""),"owie par")</f>
        <v>owie par</v>
      </c>
      <c r="C186" s="235" t="str">
        <f>IFERROR(__xludf.DUMMYFUNCTION("""COMPUTED_VALUE"""),"ADMIN")</f>
        <v>ADMIN</v>
      </c>
      <c r="D186" s="196" t="str">
        <f>IFERROR(__xludf.DUMMYFUNCTION("""COMPUTED_VALUE"""),"wall mounted daiken 2.5 hp 5 units")</f>
        <v>wall mounted daiken 2.5 hp 5 units</v>
      </c>
      <c r="E186" s="196" t="str">
        <f>IFERROR(__xludf.DUMMYFUNCTION("""COMPUTED_VALUE"""),"stock replenish for all ACU building")</f>
        <v>stock replenish for all ACU building</v>
      </c>
    </row>
    <row r="187">
      <c r="A187" s="234">
        <f>IFERROR(__xludf.DUMMYFUNCTION("""COMPUTED_VALUE"""),100479.0)</f>
        <v>100479</v>
      </c>
      <c r="B187" s="235" t="str">
        <f>IFERROR(__xludf.DUMMYFUNCTION("""COMPUTED_VALUE"""),"RON OBLENO")</f>
        <v>RON OBLENO</v>
      </c>
      <c r="C187" s="235" t="str">
        <f>IFERROR(__xludf.DUMMYFUNCTION("""COMPUTED_VALUE"""),"MIS/ICT")</f>
        <v>MIS/ICT</v>
      </c>
      <c r="D187" s="196" t="str">
        <f>IFERROR(__xludf.DUMMYFUNCTION("""COMPUTED_VALUE"""),"3 PCS VIEWSONIC LED MONITOR 19"" VA1901")</f>
        <v>3 PCS VIEWSONIC LED MONITOR 19" VA1901</v>
      </c>
      <c r="E187" s="196" t="str">
        <f>IFERROR(__xludf.DUMMYFUNCTION("""COMPUTED_VALUE"""),"REPLACEMENT OF DEFECTIVE LED MONITOR")</f>
        <v>REPLACEMENT OF DEFECTIVE LED MONITOR</v>
      </c>
    </row>
    <row r="188">
      <c r="A188" s="234">
        <f>IFERROR(__xludf.DUMMYFUNCTION("""COMPUTED_VALUE"""),100480.0)</f>
        <v>100480</v>
      </c>
      <c r="B188" s="235" t="str">
        <f>IFERROR(__xludf.DUMMYFUNCTION("""COMPUTED_VALUE"""),"OWIE PAR")</f>
        <v>OWIE PAR</v>
      </c>
      <c r="C188" s="235" t="str">
        <f>IFERROR(__xludf.DUMMYFUNCTION("""COMPUTED_VALUE"""),"ENGINEERING")</f>
        <v>ENGINEERING</v>
      </c>
      <c r="D188" s="196" t="str">
        <f>IFERROR(__xludf.DUMMYFUNCTION("""COMPUTED_VALUE"""),"2 ROLLS THHN #14; 2 ROLLS THHN #12")</f>
        <v>2 ROLLS THHN #14; 2 ROLLS THHN #12</v>
      </c>
      <c r="E188" s="196" t="str">
        <f>IFERROR(__xludf.DUMMYFUNCTION("""COMPUTED_VALUE"""),"ADDITIONAL WIRES FOR CMLC")</f>
        <v>ADDITIONAL WIRES FOR CMLC</v>
      </c>
    </row>
    <row r="189">
      <c r="A189" s="234">
        <f>IFERROR(__xludf.DUMMYFUNCTION("""COMPUTED_VALUE"""),100481.0)</f>
        <v>100481</v>
      </c>
      <c r="B189" s="235" t="str">
        <f>IFERROR(__xludf.DUMMYFUNCTION("""COMPUTED_VALUE"""),"CARLITO DELA VEGA")</f>
        <v>CARLITO DELA VEGA</v>
      </c>
      <c r="C189" s="235" t="str">
        <f>IFERROR(__xludf.DUMMYFUNCTION("""COMPUTED_VALUE"""),"SECURITY")</f>
        <v>SECURITY</v>
      </c>
      <c r="D189" s="196" t="str">
        <f>IFERROR(__xludf.DUMMYFUNCTION("""COMPUTED_VALUE"""),"1 UNIT COLORED ICS PRINTER -EPSON L310 W/ INK")</f>
        <v>1 UNIT COLORED ICS PRINTER -EPSON L310 W/ INK</v>
      </c>
      <c r="E189" s="196" t="str">
        <f>IFERROR(__xludf.DUMMYFUNCTION("""COMPUTED_VALUE"""),"FOR PNP9 DONATION C/O SFO")</f>
        <v>FOR PNP9 DONATION C/O SFO</v>
      </c>
    </row>
    <row r="190">
      <c r="A190" s="234">
        <f>IFERROR(__xludf.DUMMYFUNCTION("""COMPUTED_VALUE"""),100482.0)</f>
        <v>100482</v>
      </c>
      <c r="B190" s="235" t="str">
        <f>IFERROR(__xludf.DUMMYFUNCTION("""COMPUTED_VALUE"""),"SAMANTHA FEROL")</f>
        <v>SAMANTHA FEROL</v>
      </c>
      <c r="C190" s="235" t="str">
        <f>IFERROR(__xludf.DUMMYFUNCTION("""COMPUTED_VALUE"""),"LIBRARY COLLEGE")</f>
        <v>LIBRARY COLLEGE</v>
      </c>
      <c r="D190" s="196" t="str">
        <f>IFERROR(__xludf.DUMMYFUNCTION("""COMPUTED_VALUE"""),"1 CO MODERN HOTEL OPERATIONS MANAGEMENT 1ST EDITION BY MICHAEL CHIBILI")</f>
        <v>1 CO MODERN HOTEL OPERATIONS MANAGEMENT 1ST EDITION BY MICHAEL CHIBILI</v>
      </c>
      <c r="E190" s="196" t="str">
        <f>IFERROR(__xludf.DUMMYFUNCTION("""COMPUTED_VALUE"""),"FOR PACUCOA LEVEL 4 ACCREDITATION BOOK ACQUISITION")</f>
        <v>FOR PACUCOA LEVEL 4 ACCREDITATION BOOK ACQUISITION</v>
      </c>
    </row>
    <row r="191">
      <c r="A191" s="234">
        <f>IFERROR(__xludf.DUMMYFUNCTION("""COMPUTED_VALUE"""),100483.0)</f>
        <v>100483</v>
      </c>
      <c r="B191" s="235" t="str">
        <f>IFERROR(__xludf.DUMMYFUNCTION("""COMPUTED_VALUE"""),"MELISSA NAVAL-ODONO")</f>
        <v>MELISSA NAVAL-ODONO</v>
      </c>
      <c r="C191" s="235" t="str">
        <f>IFERROR(__xludf.DUMMYFUNCTION("""COMPUTED_VALUE"""),"LIBRARY BASIC ED")</f>
        <v>LIBRARY BASIC ED</v>
      </c>
      <c r="D191" s="196" t="str">
        <f>IFERROR(__xludf.DUMMYFUNCTION("""COMPUTED_VALUE"""),"4 CP GO MATH 6; 1 CP GO MATH TEACHER'S GUIDE")</f>
        <v>4 CP GO MATH 6; 1 CP GO MATH TEACHER'S GUIDE</v>
      </c>
      <c r="E191" s="196" t="str">
        <f>IFERROR(__xludf.DUMMYFUNCTION("""COMPUTED_VALUE"""),"FOR TEACHER'S USE/LIBRARY'S COPY")</f>
        <v>FOR TEACHER'S USE/LIBRARY'S COPY</v>
      </c>
    </row>
    <row r="192">
      <c r="A192" s="234">
        <f>IFERROR(__xludf.DUMMYFUNCTION("""COMPUTED_VALUE"""),100484.0)</f>
        <v>100484</v>
      </c>
      <c r="B192" s="235" t="str">
        <f>IFERROR(__xludf.DUMMYFUNCTION("""COMPUTED_VALUE"""),"JOHN GEORGE PASTOR")</f>
        <v>JOHN GEORGE PASTOR</v>
      </c>
      <c r="C192" s="235" t="str">
        <f>IFERROR(__xludf.DUMMYFUNCTION("""COMPUTED_VALUE"""),"DP'S OFFICE")</f>
        <v>DP'S OFFICE</v>
      </c>
      <c r="D192" s="196" t="str">
        <f>IFERROR(__xludf.DUMMYFUNCTION("""COMPUTED_VALUE"""),"50 PCS SMALL TROPHY(20 CM); 50 PCS MEDIUM TROPHY(24 CM); 50 PCS LARGE TROPHY(27 CM)")</f>
        <v>50 PCS SMALL TROPHY(20 CM); 50 PCS MEDIUM TROPHY(24 CM); 50 PCS LARGE TROPHY(27 CM)</v>
      </c>
      <c r="E192" s="196" t="str">
        <f>IFERROR(__xludf.DUMMYFUNCTION("""COMPUTED_VALUE"""),"WORLD SCHOLAR'S CUP MANILA ROUND 2")</f>
        <v>WORLD SCHOLAR'S CUP MANILA ROUND 2</v>
      </c>
    </row>
    <row r="193">
      <c r="A193" s="234">
        <f>IFERROR(__xludf.DUMMYFUNCTION("""COMPUTED_VALUE"""),100485.0)</f>
        <v>100485</v>
      </c>
      <c r="B193" s="235" t="str">
        <f>IFERROR(__xludf.DUMMYFUNCTION("""COMPUTED_VALUE"""),"MP LOPEZ")</f>
        <v>MP LOPEZ</v>
      </c>
      <c r="C193" s="235" t="str">
        <f>IFERROR(__xludf.DUMMYFUNCTION("""COMPUTED_VALUE"""),"DISCIPLINE BED")</f>
        <v>DISCIPLINE BED</v>
      </c>
      <c r="D193" s="196" t="str">
        <f>IFERROR(__xludf.DUMMYFUNCTION("""COMPUTED_VALUE"""),"1 ID PRINTER (DUAL SIDED PRINTING)")</f>
        <v>1 ID PRINTER (DUAL SIDED PRINTING)</v>
      </c>
      <c r="E193" s="196" t="str">
        <f>IFERROR(__xludf.DUMMYFUNCTION("""COMPUTED_VALUE"""),"FETCHER'S ID PRINTER")</f>
        <v>FETCHER'S ID PRINTER</v>
      </c>
    </row>
    <row r="194">
      <c r="A194" s="234">
        <f>IFERROR(__xludf.DUMMYFUNCTION("""COMPUTED_VALUE"""),100486.0)</f>
        <v>100486</v>
      </c>
      <c r="B194" s="235" t="str">
        <f>IFERROR(__xludf.DUMMYFUNCTION("""COMPUTED_VALUE"""),"ROY BATAQUE")</f>
        <v>ROY BATAQUE</v>
      </c>
      <c r="C194" s="235" t="str">
        <f>IFERROR(__xludf.DUMMYFUNCTION("""COMPUTED_VALUE"""),"HOUSEKEEPING")</f>
        <v>HOUSEKEEPING</v>
      </c>
      <c r="D194" s="196" t="str">
        <f>IFERROR(__xludf.DUMMYFUNCTION("""COMPUTED_VALUE"""),"15 PCS STRIPPER PAD RED 3M; 20 PCS STRIPPER PAD BLACK 3M")</f>
        <v>15 PCS STRIPPER PAD RED 3M; 20 PCS STRIPPER PAD BLACK 3M</v>
      </c>
      <c r="E194" s="196" t="str">
        <f>IFERROR(__xludf.DUMMYFUNCTION("""COMPUTED_VALUE"""),"STOCK REPLENISHMENT - HSKPG")</f>
        <v>STOCK REPLENISHMENT - HSKPG</v>
      </c>
    </row>
    <row r="195">
      <c r="A195" s="234">
        <f>IFERROR(__xludf.DUMMYFUNCTION("""COMPUTED_VALUE"""),100487.0)</f>
        <v>100487</v>
      </c>
      <c r="B195" s="235" t="str">
        <f>IFERROR(__xludf.DUMMYFUNCTION("""COMPUTED_VALUE"""),"ROY BATAQUE")</f>
        <v>ROY BATAQUE</v>
      </c>
      <c r="C195" s="235" t="str">
        <f>IFERROR(__xludf.DUMMYFUNCTION("""COMPUTED_VALUE"""),"HOUSEKEEPING")</f>
        <v>HOUSEKEEPING</v>
      </c>
      <c r="D195" s="196" t="str">
        <f>IFERROR(__xludf.DUMMYFUNCTION("""COMPUTED_VALUE"""),"50 PCS SPRAY GUN")</f>
        <v>50 PCS SPRAY GUN</v>
      </c>
      <c r="E195" s="196" t="str">
        <f>IFERROR(__xludf.DUMMYFUNCTION("""COMPUTED_VALUE"""),"STOCK REPLENISHMENT - HSKPG")</f>
        <v>STOCK REPLENISHMENT - HSKPG</v>
      </c>
    </row>
    <row r="196">
      <c r="A196" s="234">
        <f>IFERROR(__xludf.DUMMYFUNCTION("""COMPUTED_VALUE"""),100488.0)</f>
        <v>100488</v>
      </c>
      <c r="B196" s="235" t="str">
        <f>IFERROR(__xludf.DUMMYFUNCTION("""COMPUTED_VALUE"""),"ROY BATAQUE")</f>
        <v>ROY BATAQUE</v>
      </c>
      <c r="C196" s="235" t="str">
        <f>IFERROR(__xludf.DUMMYFUNCTION("""COMPUTED_VALUE"""),"HOUSEKEEPING")</f>
        <v>HOUSEKEEPING</v>
      </c>
      <c r="D196" s="196" t="str">
        <f>IFERROR(__xludf.DUMMYFUNCTION("""COMPUTED_VALUE"""),"50 PCS STICK BROOM")</f>
        <v>50 PCS STICK BROOM</v>
      </c>
      <c r="E196" s="196" t="str">
        <f>IFERROR(__xludf.DUMMYFUNCTION("""COMPUTED_VALUE"""),"STOCK REPLENISHMENT - HSKPG")</f>
        <v>STOCK REPLENISHMENT - HSKPG</v>
      </c>
    </row>
    <row r="197">
      <c r="A197" s="234">
        <f>IFERROR(__xludf.DUMMYFUNCTION("""COMPUTED_VALUE"""),100489.0)</f>
        <v>100489</v>
      </c>
      <c r="B197" s="235" t="str">
        <f>IFERROR(__xludf.DUMMYFUNCTION("""COMPUTED_VALUE"""),"ROY BATAQUE")</f>
        <v>ROY BATAQUE</v>
      </c>
      <c r="C197" s="235" t="str">
        <f>IFERROR(__xludf.DUMMYFUNCTION("""COMPUTED_VALUE"""),"HOUSEKEEPING")</f>
        <v>HOUSEKEEPING</v>
      </c>
      <c r="D197" s="196" t="str">
        <f>IFERROR(__xludf.DUMMYFUNCTION("""COMPUTED_VALUE"""),"15 GAL STRIPPOL SUPER FLOOR WAX STRIPPER")</f>
        <v>15 GAL STRIPPOL SUPER FLOOR WAX STRIPPER</v>
      </c>
      <c r="E197" s="196" t="str">
        <f>IFERROR(__xludf.DUMMYFUNCTION("""COMPUTED_VALUE"""),"STOCK REPLENISHMENT - HSKPG")</f>
        <v>STOCK REPLENISHMENT - HSKPG</v>
      </c>
    </row>
    <row r="198">
      <c r="A198" s="234">
        <f>IFERROR(__xludf.DUMMYFUNCTION("""COMPUTED_VALUE"""),100490.0)</f>
        <v>100490</v>
      </c>
      <c r="B198" s="235" t="str">
        <f>IFERROR(__xludf.DUMMYFUNCTION("""COMPUTED_VALUE"""),"ROY BATAQUE")</f>
        <v>ROY BATAQUE</v>
      </c>
      <c r="C198" s="235" t="str">
        <f>IFERROR(__xludf.DUMMYFUNCTION("""COMPUTED_VALUE"""),"HOUSEKEEPING")</f>
        <v>HOUSEKEEPING</v>
      </c>
      <c r="D198" s="196" t="str">
        <f>IFERROR(__xludf.DUMMYFUNCTION("""COMPUTED_VALUE"""),"12 GALS GLOW FURNITURE CLEANER AND POLISH")</f>
        <v>12 GALS GLOW FURNITURE CLEANER AND POLISH</v>
      </c>
      <c r="E198" s="196" t="str">
        <f>IFERROR(__xludf.DUMMYFUNCTION("""COMPUTED_VALUE"""),"STOCK REPLENISHMENT - HSKPG")</f>
        <v>STOCK REPLENISHMENT - HSKPG</v>
      </c>
    </row>
    <row r="199">
      <c r="A199" s="234">
        <f>IFERROR(__xludf.DUMMYFUNCTION("""COMPUTED_VALUE"""),100491.0)</f>
        <v>100491</v>
      </c>
      <c r="B199" s="235" t="str">
        <f>IFERROR(__xludf.DUMMYFUNCTION("""COMPUTED_VALUE"""),"ROY BATAQUE")</f>
        <v>ROY BATAQUE</v>
      </c>
      <c r="C199" s="235" t="str">
        <f>IFERROR(__xludf.DUMMYFUNCTION("""COMPUTED_VALUE"""),"HOUSEKEEPING")</f>
        <v>HOUSEKEEPING</v>
      </c>
      <c r="D199" s="196" t="str">
        <f>IFERROR(__xludf.DUMMYFUNCTION("""COMPUTED_VALUE"""),"50 PCS BAYGON FLY PAPER")</f>
        <v>50 PCS BAYGON FLY PAPER</v>
      </c>
      <c r="E199" s="196" t="str">
        <f>IFERROR(__xludf.DUMMYFUNCTION("""COMPUTED_VALUE"""),"STOCK REPLENISHMENT - HSKPG")</f>
        <v>STOCK REPLENISHMENT - HSKPG</v>
      </c>
    </row>
    <row r="200">
      <c r="A200" s="234">
        <f>IFERROR(__xludf.DUMMYFUNCTION("""COMPUTED_VALUE"""),100492.0)</f>
        <v>100492</v>
      </c>
      <c r="B200" s="235" t="str">
        <f>IFERROR(__xludf.DUMMYFUNCTION("""COMPUTED_VALUE"""),"PHEN PETIN")</f>
        <v>PHEN PETIN</v>
      </c>
      <c r="C200" s="235" t="str">
        <f>IFERROR(__xludf.DUMMYFUNCTION("""COMPUTED_VALUE"""),"ADMIN")</f>
        <v>ADMIN</v>
      </c>
      <c r="D200" s="196" t="str">
        <f>IFERROR(__xludf.DUMMYFUNCTION("""COMPUTED_VALUE"""),"1 UNIT 1.5HP DAIKIN D-SMART SERIES WALL MOUNTED")</f>
        <v>1 UNIT 1.5HP DAIKIN D-SMART SERIES WALL MOUNTED</v>
      </c>
      <c r="E200" s="196" t="str">
        <f>IFERROR(__xludf.DUMMYFUNCTION("""COMPUTED_VALUE"""),"AIRCON 1.5HP ADDITTIONALL AIRCON FOR LV(SCHOOL AREA)")</f>
        <v>AIRCON 1.5HP ADDITTIONALL AIRCON FOR LV(SCHOOL AREA)</v>
      </c>
    </row>
    <row r="201">
      <c r="A201" s="234">
        <f>IFERROR(__xludf.DUMMYFUNCTION("""COMPUTED_VALUE"""),100493.0)</f>
        <v>100493</v>
      </c>
      <c r="B201" s="235" t="str">
        <f>IFERROR(__xludf.DUMMYFUNCTION("""COMPUTED_VALUE"""),"APRIL TRAJICO")</f>
        <v>APRIL TRAJICO</v>
      </c>
      <c r="C201" s="235" t="str">
        <f>IFERROR(__xludf.DUMMYFUNCTION("""COMPUTED_VALUE"""),"AMD")</f>
        <v>AMD</v>
      </c>
      <c r="D201" s="196" t="str">
        <f>IFERROR(__xludf.DUMMYFUNCTION("""COMPUTED_VALUE"""),"Ballpen, Panda Black 225PCS; Ballpen, Panda Blue 225PCS; Ballpen, Panda Red 225PCS; Eraser, Whiteboard-Sterling 225PCS; Correction Tape, Joy 225PCS; Clip, Paper (120gms/box), Prince Vinyl Coated - Big 224PCS; Pad Paper, Yellow (per pad) 100PADS; Ink, Perm"&amp;"anent Marker - Pilot Black 64BOT; Ink, Whiteboard-Pilot Black 65BOTTLES; Ink, Whiteboard-Pilot Blue 62BOTTLES;Ink, Whiteboard-Pilot Red 22BOTTLES; Marker, Whiteboard - Pilot Black 178PCS; Marker, Whiteboard - Pilot Blue 128PCS; Marker, Whiteboard - Pilot "&amp;"Red 164PCS; Marker, Pilot Permanent Fine Black 104PCS; Marker, Pilot Permanent Broad Black 144PCS")</f>
        <v>Ballpen, Panda Black 225PCS; Ballpen, Panda Blue 225PCS; Ballpen, Panda Red 225PCS; Eraser, Whiteboard-Sterling 225PCS; Correction Tape, Joy 225PCS; Clip, Paper (120gms/box), Prince Vinyl Coated - Big 224PCS; Pad Paper, Yellow (per pad) 100PADS; Ink, Permanent Marker - Pilot Black 64BOT; Ink, Whiteboard-Pilot Black 65BOTTLES; Ink, Whiteboard-Pilot Blue 62BOTTLES;Ink, Whiteboard-Pilot Red 22BOTTLES; Marker, Whiteboard - Pilot Black 178PCS; Marker, Whiteboard - Pilot Blue 128PCS; Marker, Whiteboard - Pilot Red 164PCS; Marker, Pilot Permanent Fine Black 104PCS; Marker, Pilot Permanent Broad Black 144PCS</v>
      </c>
      <c r="E201" s="196" t="str">
        <f>IFERROR(__xludf.DUMMYFUNCTION("""COMPUTED_VALUE"""),"TEACHERS SUPPLIES AY19-20")</f>
        <v>TEACHERS SUPPLIES AY19-20</v>
      </c>
    </row>
    <row r="202">
      <c r="A202" s="234">
        <f>IFERROR(__xludf.DUMMYFUNCTION("""COMPUTED_VALUE"""),100494.0)</f>
        <v>100494</v>
      </c>
      <c r="B202" s="235" t="str">
        <f>IFERROR(__xludf.DUMMYFUNCTION("""COMPUTED_VALUE"""),"APRIL TRAJICO")</f>
        <v>APRIL TRAJICO</v>
      </c>
      <c r="C202" s="235" t="str">
        <f>IFERROR(__xludf.DUMMYFUNCTION("""COMPUTED_VALUE"""),"AMD")</f>
        <v>AMD</v>
      </c>
      <c r="D202" s="196" t="str">
        <f>IFERROR(__xludf.DUMMYFUNCTION("""COMPUTED_VALUE"""),"Paper, Colored Fortune Blue 2PACKS; Paper, Colored Fortune Green 2PACKS; Paper, Colored Fortune Orange 2PACKS; Paper, Colored Fortune Pink 2; Paper, Colored Fortune Red 2; Paper, Colored Fortune Violet 2; Paper, Colored Fortune Yellow 2; Cartolina, Black "&amp;"282PCS; Cartolina, Neon Blue 282PCS; Cartolina, Neon Green 282PCS; Cartolina, Neon Orange 282PCS; Cartolina, Neon Pink 282PCS; Cartolina, White 282PCS; Cartolina, Neon Yellow 282PCS")</f>
        <v>Paper, Colored Fortune Blue 2PACKS; Paper, Colored Fortune Green 2PACKS; Paper, Colored Fortune Orange 2PACKS; Paper, Colored Fortune Pink 2; Paper, Colored Fortune Red 2; Paper, Colored Fortune Violet 2; Paper, Colored Fortune Yellow 2; Cartolina, Black 282PCS; Cartolina, Neon Blue 282PCS; Cartolina, Neon Green 282PCS; Cartolina, Neon Orange 282PCS; Cartolina, Neon Pink 282PCS; Cartolina, White 282PCS; Cartolina, Neon Yellow 282PCS</v>
      </c>
      <c r="E202" s="196" t="str">
        <f>IFERROR(__xludf.DUMMYFUNCTION("""COMPUTED_VALUE"""),"CLASSROOM DECOR AY19-20")</f>
        <v>CLASSROOM DECOR AY19-20</v>
      </c>
    </row>
    <row r="203">
      <c r="A203" s="234">
        <f>IFERROR(__xludf.DUMMYFUNCTION("""COMPUTED_VALUE"""),100495.0)</f>
        <v>100495</v>
      </c>
      <c r="B203" s="235" t="str">
        <f>IFERROR(__xludf.DUMMYFUNCTION("""COMPUTED_VALUE"""),"APRIL TRAJICO")</f>
        <v>APRIL TRAJICO</v>
      </c>
      <c r="C203" s="235" t="str">
        <f>IFERROR(__xludf.DUMMYFUNCTION("""COMPUTED_VALUE"""),"AMD")</f>
        <v>AMD</v>
      </c>
      <c r="D203" s="196" t="str">
        <f>IFERROR(__xludf.DUMMYFUNCTION("""COMPUTED_VALUE"""),"Glue, Elmer's - 130gs 94BOTTLES; Marker, Pilot Permanent Fine Black 94PCS; Marker, Pilot Permanent Fine Blue 94PCS; Marker, Pilot Permanent Fine Red 94PCS; Tape, 3M Masking Tape Big (1"") 200PCS; Tape, Scotch  3M (1"") (Transparent Tape 500 24mmx50m) 102P"&amp;"CS; Plastic Cover, Gauge 4 48'W 6ROLLS; Paintbrush, Chinese Small 92PCS; Staple Wire, Max #35- 5M (Box of 5000pcs) 94BOX; Thumb Tacks - Mitsuya /box No. 153 20g 94BOX")</f>
        <v>Glue, Elmer's - 130gs 94BOTTLES; Marker, Pilot Permanent Fine Black 94PCS; Marker, Pilot Permanent Fine Blue 94PCS; Marker, Pilot Permanent Fine Red 94PCS; Tape, 3M Masking Tape Big (1") 200PCS; Tape, Scotch  3M (1") (Transparent Tape 500 24mmx50m) 102PCS; Plastic Cover, Gauge 4 48'W 6ROLLS; Paintbrush, Chinese Small 92PCS; Staple Wire, Max #35- 5M (Box of 5000pcs) 94BOX; Thumb Tacks - Mitsuya /box No. 153 20g 94BOX</v>
      </c>
      <c r="E203" s="196" t="str">
        <f>IFERROR(__xludf.DUMMYFUNCTION("""COMPUTED_VALUE"""),"CLASSROOM DECOR AY19-20")</f>
        <v>CLASSROOM DECOR AY19-20</v>
      </c>
    </row>
    <row r="204">
      <c r="A204" s="234">
        <f>IFERROR(__xludf.DUMMYFUNCTION("""COMPUTED_VALUE"""),100496.0)</f>
        <v>100496</v>
      </c>
      <c r="B204" s="235" t="str">
        <f>IFERROR(__xludf.DUMMYFUNCTION("""COMPUTED_VALUE"""),"APRIL TRAJICO")</f>
        <v>APRIL TRAJICO</v>
      </c>
      <c r="C204" s="235" t="str">
        <f>IFERROR(__xludf.DUMMYFUNCTION("""COMPUTED_VALUE"""),"AMD")</f>
        <v>AMD</v>
      </c>
      <c r="D204" s="196" t="str">
        <f>IFERROR(__xludf.DUMMYFUNCTION("""COMPUTED_VALUE"""),"Box of Color Poster Paints - Mightee Brilliant 20ML 6's 94SETS")</f>
        <v>Box of Color Poster Paints - Mightee Brilliant 20ML 6's 94SETS</v>
      </c>
      <c r="E204" s="196" t="str">
        <f>IFERROR(__xludf.DUMMYFUNCTION("""COMPUTED_VALUE"""),"CLASSROOM DECOR AY19-20")</f>
        <v>CLASSROOM DECOR AY19-20</v>
      </c>
    </row>
    <row r="205">
      <c r="A205" s="234">
        <f>IFERROR(__xludf.DUMMYFUNCTION("""COMPUTED_VALUE"""),100497.0)</f>
        <v>100497</v>
      </c>
      <c r="B205" s="235" t="str">
        <f>IFERROR(__xludf.DUMMYFUNCTION("""COMPUTED_VALUE"""),"APRIL TRAJICO")</f>
        <v>APRIL TRAJICO</v>
      </c>
      <c r="C205" s="235" t="str">
        <f>IFERROR(__xludf.DUMMYFUNCTION("""COMPUTED_VALUE"""),"AMD")</f>
        <v>AMD</v>
      </c>
      <c r="D205" s="196" t="str">
        <f>IFERROR(__xludf.DUMMYFUNCTION("""COMPUTED_VALUE"""),"SCISSORS, STUDENTS 5' MAPED (463010 8) 640PCS; ERASER, MAPED BIG (3154140117245) 640PCS")</f>
        <v>SCISSORS, STUDENTS 5' MAPED (463010 8) 640PCS; ERASER, MAPED BIG (3154140117245) 640PCS</v>
      </c>
      <c r="E205" s="196" t="str">
        <f>IFERROR(__xludf.DUMMYFUNCTION("""COMPUTED_VALUE"""),"STUDENT MATERIALS AY19-20")</f>
        <v>STUDENT MATERIALS AY19-20</v>
      </c>
    </row>
    <row r="206">
      <c r="A206" s="234">
        <f>IFERROR(__xludf.DUMMYFUNCTION("""COMPUTED_VALUE"""),100498.0)</f>
        <v>100498</v>
      </c>
      <c r="B206" s="235" t="str">
        <f>IFERROR(__xludf.DUMMYFUNCTION("""COMPUTED_VALUE"""),"ROMAN BALUYOT")</f>
        <v>ROMAN BALUYOT</v>
      </c>
      <c r="C206" s="235" t="str">
        <f>IFERROR(__xludf.DUMMYFUNCTION("""COMPUTED_VALUE"""),"ADMISSION")</f>
        <v>ADMISSION</v>
      </c>
      <c r="D206" s="196" t="str">
        <f>IFERROR(__xludf.DUMMYFUNCTION("""COMPUTED_VALUE"""),"1 ADMISSION AND ENROLLMENT PROCEDURE BASIC ED;1 ADMISSION AND ENROLLMENT PROCEDURE COLLEGE")</f>
        <v>1 ADMISSION AND ENROLLMENT PROCEDURE BASIC ED;1 ADMISSION AND ENROLLMENT PROCEDURE COLLEGE</v>
      </c>
      <c r="E206" s="196" t="str">
        <f>IFERROR(__xludf.DUMMYFUNCTION("""COMPUTED_VALUE"""),"PR(ENROLLMENT)")</f>
        <v>PR(ENROLLMENT)</v>
      </c>
    </row>
    <row r="207">
      <c r="A207" s="234">
        <f>IFERROR(__xludf.DUMMYFUNCTION("""COMPUTED_VALUE"""),100499.0)</f>
        <v>100499</v>
      </c>
      <c r="B207" s="235" t="str">
        <f>IFERROR(__xludf.DUMMYFUNCTION("""COMPUTED_VALUE"""),"CHRISTIAN ANDRES")</f>
        <v>CHRISTIAN ANDRES</v>
      </c>
      <c r="C207" s="235" t="str">
        <f>IFERROR(__xludf.DUMMYFUNCTION("""COMPUTED_VALUE"""),"PR &amp; MARKETING")</f>
        <v>PR &amp; MARKETING</v>
      </c>
      <c r="D207" s="196" t="str">
        <f>IFERROR(__xludf.DUMMYFUNCTION("""COMPUTED_VALUE"""),"1 NURSING (100% PASSER) TARP 10X30FT")</f>
        <v>1 NURSING (100% PASSER) TARP 10X30FT</v>
      </c>
      <c r="E207" s="196" t="str">
        <f>IFERROR(__xludf.DUMMYFUNCTION("""COMPUTED_VALUE"""),"MARKETING")</f>
        <v>MARKETING</v>
      </c>
    </row>
    <row r="208">
      <c r="A208" s="234">
        <f>IFERROR(__xludf.DUMMYFUNCTION("""COMPUTED_VALUE"""),100500.0)</f>
        <v>100500</v>
      </c>
      <c r="B208" s="235" t="str">
        <f>IFERROR(__xludf.DUMMYFUNCTION("""COMPUTED_VALUE"""),"OWIE PAR")</f>
        <v>OWIE PAR</v>
      </c>
      <c r="C208" s="235" t="str">
        <f>IFERROR(__xludf.DUMMYFUNCTION("""COMPUTED_VALUE"""),"ENGINEERING")</f>
        <v>ENGINEERING</v>
      </c>
      <c r="D208" s="196" t="str">
        <f>IFERROR(__xludf.DUMMYFUNCTION("""COMPUTED_VALUE"""),"2 UNITS DUCTED SKY AIR CONDITIONER INVERTER W/ WIRE REMOTE")</f>
        <v>2 UNITS DUCTED SKY AIR CONDITIONER INVERTER W/ WIRE REMOTE</v>
      </c>
      <c r="E208" s="196" t="str">
        <f>IFERROR(__xludf.DUMMYFUNCTION("""COMPUTED_VALUE"""),"REPLACEMENT OF ACU IN TROPICAL GYM")</f>
        <v>REPLACEMENT OF ACU IN TROPICAL GYM</v>
      </c>
    </row>
    <row r="209">
      <c r="A209" s="234">
        <f>IFERROR(__xludf.DUMMYFUNCTION("""COMPUTED_VALUE"""),100501.0)</f>
        <v>100501</v>
      </c>
      <c r="B209" s="235" t="str">
        <f>IFERROR(__xludf.DUMMYFUNCTION("""COMPUTED_VALUE"""),"APRIL TRAJICO")</f>
        <v>APRIL TRAJICO</v>
      </c>
      <c r="C209" s="235" t="str">
        <f>IFERROR(__xludf.DUMMYFUNCTION("""COMPUTED_VALUE"""),"AMD")</f>
        <v>AMD</v>
      </c>
      <c r="D209" s="196" t="str">
        <f>IFERROR(__xludf.DUMMYFUNCTION("""COMPUTED_VALUE"""),"PAPER, SISIC LETTERHEAD COLORED A4 8.27X11.69in 1500PCS (NEW DESIGN)")</f>
        <v>PAPER, SISIC LETTERHEAD COLORED A4 8.27X11.69in 1500PCS (NEW DESIGN)</v>
      </c>
      <c r="E209" s="196" t="str">
        <f>IFERROR(__xludf.DUMMYFUNCTION("""COMPUTED_VALUE"""),"STOCK REPLENISHMENT - OSSUP")</f>
        <v>STOCK REPLENISHMENT - OSSUP</v>
      </c>
    </row>
    <row r="210">
      <c r="A210" s="234">
        <f>IFERROR(__xludf.DUMMYFUNCTION("""COMPUTED_VALUE"""),100502.0)</f>
        <v>100502</v>
      </c>
      <c r="B210" s="235" t="str">
        <f>IFERROR(__xludf.DUMMYFUNCTION("""COMPUTED_VALUE"""),"APRIL TRAJICO")</f>
        <v>APRIL TRAJICO</v>
      </c>
      <c r="C210" s="235" t="str">
        <f>IFERROR(__xludf.DUMMYFUNCTION("""COMPUTED_VALUE"""),"AMD")</f>
        <v>AMD</v>
      </c>
      <c r="D210" s="196" t="str">
        <f>IFERROR(__xludf.DUMMYFUNCTION("""COMPUTED_VALUE"""),"PAPER, COPY-LASER SUB.20 LONG WHITE 250REAMS; PAPER, COPY-LASER SUB.20 SHORT WHITE 350REAMS")</f>
        <v>PAPER, COPY-LASER SUB.20 LONG WHITE 250REAMS; PAPER, COPY-LASER SUB.20 SHORT WHITE 350REAMS</v>
      </c>
      <c r="E210" s="196" t="str">
        <f>IFERROR(__xludf.DUMMYFUNCTION("""COMPUTED_VALUE"""),"STOCK REPLENISHMENT - OSSUP")</f>
        <v>STOCK REPLENISHMENT - OSSUP</v>
      </c>
    </row>
    <row r="211">
      <c r="A211" s="234">
        <f>IFERROR(__xludf.DUMMYFUNCTION("""COMPUTED_VALUE"""),100503.0)</f>
        <v>100503</v>
      </c>
      <c r="B211" s="235" t="str">
        <f>IFERROR(__xludf.DUMMYFUNCTION("""COMPUTED_VALUE"""),"APRIL TRAJICO")</f>
        <v>APRIL TRAJICO</v>
      </c>
      <c r="C211" s="235" t="str">
        <f>IFERROR(__xludf.DUMMYFUNCTION("""COMPUTED_VALUE"""),"AMD")</f>
        <v>AMD</v>
      </c>
      <c r="D211" s="196" t="str">
        <f>IFERROR(__xludf.DUMMYFUNCTION("""COMPUTED_VALUE"""),"TONER, CARTRIDGE CF210A BLACK 10PCS; CF211A CYAN 10PCS; CF212A YELLOW 10PCS; CF213A MAGENTA 10PCS")</f>
        <v>TONER, CARTRIDGE CF210A BLACK 10PCS; CF211A CYAN 10PCS; CF212A YELLOW 10PCS; CF213A MAGENTA 10PCS</v>
      </c>
      <c r="E211" s="196" t="str">
        <f>IFERROR(__xludf.DUMMYFUNCTION("""COMPUTED_VALUE"""),"STOCK REPLENISHMENT - OSSUP")</f>
        <v>STOCK REPLENISHMENT - OSSUP</v>
      </c>
    </row>
    <row r="212">
      <c r="A212" s="234">
        <f>IFERROR(__xludf.DUMMYFUNCTION("""COMPUTED_VALUE"""),100504.0)</f>
        <v>100504</v>
      </c>
      <c r="B212" s="235" t="str">
        <f>IFERROR(__xludf.DUMMYFUNCTION("""COMPUTED_VALUE"""),"APRIL TRAJICO")</f>
        <v>APRIL TRAJICO</v>
      </c>
      <c r="C212" s="235" t="str">
        <f>IFERROR(__xludf.DUMMYFUNCTION("""COMPUTED_VALUE"""),"AMD")</f>
        <v>AMD</v>
      </c>
      <c r="D212" s="196" t="str">
        <f>IFERROR(__xludf.DUMMYFUNCTION("""COMPUTED_VALUE"""),"RIBBON, HDP500 YMCK RIBBON (FOR ID PRINTER HDP5000) 5PCS; FILM, HDP500 FILM (FOR ID PRINTER DHP5000) 3PCS")</f>
        <v>RIBBON, HDP500 YMCK RIBBON (FOR ID PRINTER HDP5000) 5PCS; FILM, HDP500 FILM (FOR ID PRINTER DHP5000) 3PCS</v>
      </c>
      <c r="E212" s="196" t="str">
        <f>IFERROR(__xludf.DUMMYFUNCTION("""COMPUTED_VALUE"""),"STOCK REPLENISHMENT - OSSUP")</f>
        <v>STOCK REPLENISHMENT - OSSUP</v>
      </c>
    </row>
    <row r="213">
      <c r="A213" s="234">
        <f>IFERROR(__xludf.DUMMYFUNCTION("""COMPUTED_VALUE"""),100505.0)</f>
        <v>100505</v>
      </c>
      <c r="B213" s="235" t="str">
        <f>IFERROR(__xludf.DUMMYFUNCTION("""COMPUTED_VALUE"""),"APRIL TRAJICO")</f>
        <v>APRIL TRAJICO</v>
      </c>
      <c r="C213" s="235" t="str">
        <f>IFERROR(__xludf.DUMMYFUNCTION("""COMPUTED_VALUE"""),"AMD")</f>
        <v>AMD</v>
      </c>
      <c r="D213" s="196" t="str">
        <f>IFERROR(__xludf.DUMMYFUNCTION("""COMPUTED_VALUE"""),"ENVELOPE, SISC LETTER COLORED 4000PCS")</f>
        <v>ENVELOPE, SISC LETTER COLORED 4000PCS</v>
      </c>
      <c r="E213" s="196" t="str">
        <f>IFERROR(__xludf.DUMMYFUNCTION("""COMPUTED_VALUE"""),"STOCK REPLENISHMENT - OSSUP")</f>
        <v>STOCK REPLENISHMENT - OSSUP</v>
      </c>
    </row>
    <row r="214">
      <c r="A214" s="234">
        <f>IFERROR(__xludf.DUMMYFUNCTION("""COMPUTED_VALUE"""),100506.0)</f>
        <v>100506</v>
      </c>
      <c r="B214" s="235" t="str">
        <f>IFERROR(__xludf.DUMMYFUNCTION("""COMPUTED_VALUE"""),"APRIL TRAJICO")</f>
        <v>APRIL TRAJICO</v>
      </c>
      <c r="C214" s="235" t="str">
        <f>IFERROR(__xludf.DUMMYFUNCTION("""COMPUTED_VALUE"""),"AMD")</f>
        <v>AMD</v>
      </c>
      <c r="D214" s="196" t="str">
        <f>IFERROR(__xludf.DUMMYFUNCTION("""COMPUTED_VALUE"""),"FOLDER, PRESSBOARD GREEN LONG 500PCS; BALLPEN, DONG-A MY GEL BLUE 0.5 40PCS; RECORD BOOK, 500PAGES 6PCS; SCISSORS JOY FOR EMPLOYEE (6INCHES) 30PCS; PAPER, PARCHMENT - 8.5X11 ORDINARY 500PCS")</f>
        <v>FOLDER, PRESSBOARD GREEN LONG 500PCS; BALLPEN, DONG-A MY GEL BLUE 0.5 40PCS; RECORD BOOK, 500PAGES 6PCS; SCISSORS JOY FOR EMPLOYEE (6INCHES) 30PCS; PAPER, PARCHMENT - 8.5X11 ORDINARY 500PCS</v>
      </c>
      <c r="E214" s="196" t="str">
        <f>IFERROR(__xludf.DUMMYFUNCTION("""COMPUTED_VALUE"""),"STOCK REPLENISHMENT - OSSUP")</f>
        <v>STOCK REPLENISHMENT - OSSUP</v>
      </c>
    </row>
    <row r="215">
      <c r="A215" s="234">
        <f>IFERROR(__xludf.DUMMYFUNCTION("""COMPUTED_VALUE"""),100507.0)</f>
        <v>100507</v>
      </c>
      <c r="B215" s="235" t="str">
        <f>IFERROR(__xludf.DUMMYFUNCTION("""COMPUTED_VALUE"""),"APRIL TRAJICO")</f>
        <v>APRIL TRAJICO</v>
      </c>
      <c r="C215" s="235" t="str">
        <f>IFERROR(__xludf.DUMMYFUNCTION("""COMPUTED_VALUE"""),"AMD")</f>
        <v>AMD</v>
      </c>
      <c r="D215" s="196" t="str">
        <f>IFERROR(__xludf.DUMMYFUNCTION("""COMPUTED_VALUE"""),"CLIP, ID-ALLIGATOR PLASTIC 90PCS; CLIP, PAPER (50GMS/BOX), PRINCE VINYL COATED-SMALL 45PCS; FOLDER FORTUNE WHITE LONG 500PCS; FOLDER, FORTUNE WHITE SHORT 400PCS")</f>
        <v>CLIP, ID-ALLIGATOR PLASTIC 90PCS; CLIP, PAPER (50GMS/BOX), PRINCE VINYL COATED-SMALL 45PCS; FOLDER FORTUNE WHITE LONG 500PCS; FOLDER, FORTUNE WHITE SHORT 400PCS</v>
      </c>
      <c r="E215" s="196" t="str">
        <f>IFERROR(__xludf.DUMMYFUNCTION("""COMPUTED_VALUE"""),"STOCK REPLENISHMENT - OSSUP")</f>
        <v>STOCK REPLENISHMENT - OSSUP</v>
      </c>
    </row>
    <row r="216">
      <c r="A216" s="234">
        <f>IFERROR(__xludf.DUMMYFUNCTION("""COMPUTED_VALUE"""),100508.0)</f>
        <v>100508</v>
      </c>
      <c r="B216" s="235" t="str">
        <f>IFERROR(__xludf.DUMMYFUNCTION("""COMPUTED_VALUE"""),"APRIL TRAJICO")</f>
        <v>APRIL TRAJICO</v>
      </c>
      <c r="C216" s="235" t="str">
        <f>IFERROR(__xludf.DUMMYFUNCTION("""COMPUTED_VALUE"""),"AMD")</f>
        <v>AMD</v>
      </c>
      <c r="D216" s="196" t="str">
        <f>IFERROR(__xludf.DUMMYFUNCTION("""COMPUTED_VALUE"""),"CLEARBOOK, REFILLER LONG 3-HOLES 500PCS; CLEARBOOK REFILLER SHORT 3-HOLES 500PCS")</f>
        <v>CLEARBOOK, REFILLER LONG 3-HOLES 500PCS; CLEARBOOK REFILLER SHORT 3-HOLES 500PCS</v>
      </c>
      <c r="E216" s="196" t="str">
        <f>IFERROR(__xludf.DUMMYFUNCTION("""COMPUTED_VALUE"""),"STOCK REPLENISHMENT - OSSUP")</f>
        <v>STOCK REPLENISHMENT - OSSUP</v>
      </c>
    </row>
    <row r="217">
      <c r="A217" s="234">
        <f>IFERROR(__xludf.DUMMYFUNCTION("""COMPUTED_VALUE"""),100509.0)</f>
        <v>100509</v>
      </c>
      <c r="B217" s="235" t="str">
        <f>IFERROR(__xludf.DUMMYFUNCTION("""COMPUTED_VALUE"""),"bokz calvendra")</f>
        <v>bokz calvendra</v>
      </c>
      <c r="C217" s="235" t="str">
        <f>IFERROR(__xludf.DUMMYFUNCTION("""COMPUTED_VALUE"""),"HOUSEKEEPING")</f>
        <v>HOUSEKEEPING</v>
      </c>
      <c r="D217" s="196" t="str">
        <f>IFERROR(__xludf.DUMMYFUNCTION("""COMPUTED_VALUE"""),"steam iron silverstar industrial es-300 220 volts 2 untis")</f>
        <v>steam iron silverstar industrial es-300 220 volts 2 untis</v>
      </c>
      <c r="E217" s="196" t="str">
        <f>IFERROR(__xludf.DUMMYFUNCTION("""COMPUTED_VALUE"""),"for table and chair cloth ironing")</f>
        <v>for table and chair cloth ironing</v>
      </c>
    </row>
    <row r="218">
      <c r="A218" s="234">
        <f>IFERROR(__xludf.DUMMYFUNCTION("""COMPUTED_VALUE"""),100510.0)</f>
        <v>100510</v>
      </c>
      <c r="B218" s="235" t="str">
        <f>IFERROR(__xludf.DUMMYFUNCTION("""COMPUTED_VALUE"""),"ron obleno")</f>
        <v>ron obleno</v>
      </c>
      <c r="C218" s="235" t="str">
        <f>IFERROR(__xludf.DUMMYFUNCTION("""COMPUTED_VALUE"""),"AV/MIS")</f>
        <v>AV/MIS</v>
      </c>
      <c r="D218" s="196" t="str">
        <f>IFERROR(__xludf.DUMMYFUNCTION("""COMPUTED_VALUE"""),"hdmi to vga converter 61pcs.")</f>
        <v>hdmi to vga converter 61pcs.</v>
      </c>
      <c r="E218" s="196" t="str">
        <f>IFERROR(__xludf.DUMMYFUNCTION("""COMPUTED_VALUE"""),"for new dell desktop units")</f>
        <v>for new dell desktop units</v>
      </c>
    </row>
    <row r="219">
      <c r="A219" s="234">
        <f>IFERROR(__xludf.DUMMYFUNCTION("""COMPUTED_VALUE"""),100511.0)</f>
        <v>100511</v>
      </c>
      <c r="B219" s="235" t="str">
        <f>IFERROR(__xludf.DUMMYFUNCTION("""COMPUTED_VALUE"""),"garry bataoy")</f>
        <v>garry bataoy</v>
      </c>
      <c r="C219" s="235" t="str">
        <f>IFERROR(__xludf.DUMMYFUNCTION("""COMPUTED_VALUE"""),"AV/MIS")</f>
        <v>AV/MIS</v>
      </c>
      <c r="D219" s="196" t="str">
        <f>IFERROR(__xludf.DUMMYFUNCTION("""COMPUTED_VALUE"""),"cpu casing mini tower 2 units")</f>
        <v>cpu casing mini tower 2 units</v>
      </c>
      <c r="E219" s="196" t="str">
        <f>IFERROR(__xludf.DUMMYFUNCTION("""COMPUTED_VALUE"""),"replacement of broken cpu casing")</f>
        <v>replacement of broken cpu casing</v>
      </c>
    </row>
    <row r="220">
      <c r="A220" s="234">
        <f>IFERROR(__xludf.DUMMYFUNCTION("""COMPUTED_VALUE"""),100512.0)</f>
        <v>100512</v>
      </c>
      <c r="B220" s="235" t="str">
        <f>IFERROR(__xludf.DUMMYFUNCTION("""COMPUTED_VALUE"""),"Samanta Ferol")</f>
        <v>Samanta Ferol</v>
      </c>
      <c r="C220" s="235" t="str">
        <f>IFERROR(__xludf.DUMMYFUNCTION("""COMPUTED_VALUE"""),"LIBRARY COLLEGE")</f>
        <v>LIBRARY COLLEGE</v>
      </c>
      <c r="D220" s="196" t="str">
        <f>IFERROR(__xludf.DUMMYFUNCTION("""COMPUTED_VALUE"""),"manila bulletin payment")</f>
        <v>manila bulletin payment</v>
      </c>
      <c r="E220" s="196" t="str">
        <f>IFERROR(__xludf.DUMMYFUNCTION("""COMPUTED_VALUE"""),"payment for may1- may31 2019")</f>
        <v>payment for may1- may31 2019</v>
      </c>
    </row>
    <row r="221">
      <c r="A221" s="234">
        <f>IFERROR(__xludf.DUMMYFUNCTION("""COMPUTED_VALUE"""),100513.0)</f>
        <v>100513</v>
      </c>
      <c r="B221" s="235" t="str">
        <f>IFERROR(__xludf.DUMMYFUNCTION("""COMPUTED_VALUE"""),"roman tismo")</f>
        <v>roman tismo</v>
      </c>
      <c r="C221" s="235" t="str">
        <f>IFERROR(__xludf.DUMMYFUNCTION("""COMPUTED_VALUE"""),"AV/MIS")</f>
        <v>AV/MIS</v>
      </c>
      <c r="D221" s="196" t="str">
        <f>IFERROR(__xludf.DUMMYFUNCTION("""COMPUTED_VALUE"""),"sony vegas 44 pcs.")</f>
        <v>sony vegas 44 pcs.</v>
      </c>
      <c r="E221" s="196" t="str">
        <f>IFERROR(__xludf.DUMMYFUNCTION("""COMPUTED_VALUE"""),"for it classes ")</f>
        <v>for it classes </v>
      </c>
    </row>
    <row r="222">
      <c r="A222" s="234">
        <f>IFERROR(__xludf.DUMMYFUNCTION("""COMPUTED_VALUE"""),100514.0)</f>
        <v>100514</v>
      </c>
      <c r="B222" s="235" t="str">
        <f>IFERROR(__xludf.DUMMYFUNCTION("""COMPUTED_VALUE"""),"ronnel calvendra")</f>
        <v>ronnel calvendra</v>
      </c>
      <c r="C222" s="235" t="str">
        <f>IFERROR(__xludf.DUMMYFUNCTION("""COMPUTED_VALUE"""),"HOUSEKEEPING")</f>
        <v>HOUSEKEEPING</v>
      </c>
      <c r="D222" s="196" t="str">
        <f>IFERROR(__xludf.DUMMYFUNCTION("""COMPUTED_VALUE"""),"supply and installation of blinds 188.88ft chain operated color 834")</f>
        <v>supply and installation of blinds 188.88ft chain operated color 834</v>
      </c>
      <c r="E222" s="196" t="str">
        <f>IFERROR(__xludf.DUMMYFUNCTION("""COMPUTED_VALUE"""),"additonal blinds at 4th flr. tropical gym")</f>
        <v>additonal blinds at 4th flr. tropical gym</v>
      </c>
    </row>
    <row r="223">
      <c r="A223" s="234">
        <f>IFERROR(__xludf.DUMMYFUNCTION("""COMPUTED_VALUE"""),100515.0)</f>
        <v>100515</v>
      </c>
      <c r="B223" s="235" t="str">
        <f>IFERROR(__xludf.DUMMYFUNCTION("""COMPUTED_VALUE"""),"jaquelyn samsona")</f>
        <v>jaquelyn samsona</v>
      </c>
      <c r="C223" s="235" t="str">
        <f>IFERROR(__xludf.DUMMYFUNCTION("""COMPUTED_VALUE"""),"SCIENCE LAB COLLEGE")</f>
        <v>SCIENCE LAB COLLEGE</v>
      </c>
      <c r="D223" s="196" t="str">
        <f>IFERROR(__xludf.DUMMYFUNCTION("""COMPUTED_VALUE"""),"galactose 500g/diethyl ether 1liter/5g tube flamazine (silver sulfadizine) 4 tubes/sulfuric acid (amber glass container) 2.5 liters")</f>
        <v>galactose 500g/diethyl ether 1liter/5g tube flamazine (silver sulfadizine) 4 tubes/sulfuric acid (amber glass container) 2.5 liters</v>
      </c>
      <c r="E223" s="196" t="str">
        <f>IFERROR(__xludf.DUMMYFUNCTION("""COMPUTED_VALUE"""),"for laboratory use")</f>
        <v>for laboratory use</v>
      </c>
    </row>
    <row r="224">
      <c r="A224" s="234">
        <f>IFERROR(__xludf.DUMMYFUNCTION("""COMPUTED_VALUE"""),100516.0)</f>
        <v>100516</v>
      </c>
      <c r="B224" s="235" t="str">
        <f>IFERROR(__xludf.DUMMYFUNCTION("""COMPUTED_VALUE"""),"ROIE RAYMUNDO")</f>
        <v>ROIE RAYMUNDO</v>
      </c>
      <c r="C224" s="235" t="str">
        <f>IFERROR(__xludf.DUMMYFUNCTION("""COMPUTED_VALUE"""),"MIS/ICT")</f>
        <v>MIS/ICT</v>
      </c>
      <c r="D224" s="196" t="str">
        <f>IFERROR(__xludf.DUMMYFUNCTION("""COMPUTED_VALUE"""),"2 UNITS UBIQUITY NANO-HD ACCESS POINT")</f>
        <v>2 UNITS UBIQUITY NANO-HD ACCESS POINT</v>
      </c>
      <c r="E224" s="196" t="str">
        <f>IFERROR(__xludf.DUMMYFUNCTION("""COMPUTED_VALUE"""),"FOR BRIC ROOM IN TROPICAL BUILDING")</f>
        <v>FOR BRIC ROOM IN TROPICAL BUILDING</v>
      </c>
    </row>
    <row r="225">
      <c r="A225" s="234">
        <f>IFERROR(__xludf.DUMMYFUNCTION("""COMPUTED_VALUE"""),100517.0)</f>
        <v>100517</v>
      </c>
      <c r="B225" s="235" t="str">
        <f>IFERROR(__xludf.DUMMYFUNCTION("""COMPUTED_VALUE"""),"ROIE RAYMUNDO")</f>
        <v>ROIE RAYMUNDO</v>
      </c>
      <c r="C225" s="235" t="str">
        <f>IFERROR(__xludf.DUMMYFUNCTION("""COMPUTED_VALUE"""),"MIS/ICT")</f>
        <v>MIS/ICT</v>
      </c>
      <c r="D225" s="196" t="str">
        <f>IFERROR(__xludf.DUMMYFUNCTION("""COMPUTED_VALUE"""),"1 UNIT 3D PRINTER (CREALITY CR10S)")</f>
        <v>1 UNIT 3D PRINTER (CREALITY CR10S)</v>
      </c>
      <c r="E225" s="196" t="str">
        <f>IFERROR(__xludf.DUMMYFUNCTION("""COMPUTED_VALUE"""),"FOR ENTRAP DEPARTMENT (COLLEGE STUDENTS)")</f>
        <v>FOR ENTRAP DEPARTMENT (COLLEGE STUDENTS)</v>
      </c>
    </row>
    <row r="226">
      <c r="A226" s="234">
        <f>IFERROR(__xludf.DUMMYFUNCTION("""COMPUTED_VALUE"""),100518.0)</f>
        <v>100518</v>
      </c>
      <c r="B226" s="235" t="str">
        <f>IFERROR(__xludf.DUMMYFUNCTION("""COMPUTED_VALUE"""),"RONALD OBLENO")</f>
        <v>RONALD OBLENO</v>
      </c>
      <c r="C226" s="235" t="str">
        <f>IFERROR(__xludf.DUMMYFUNCTION("""COMPUTED_VALUE"""),"MIS/ICT")</f>
        <v>MIS/ICT</v>
      </c>
      <c r="D226" s="196" t="str">
        <f>IFERROR(__xludf.DUMMYFUNCTION("""COMPUTED_VALUE"""),"2 UNITS COMPUTER SET")</f>
        <v>2 UNITS COMPUTER SET</v>
      </c>
      <c r="E226" s="196" t="str">
        <f>IFERROR(__xludf.DUMMYFUNCTION("""COMPUTED_VALUE"""),"BRIC ROOM PC")</f>
        <v>BRIC ROOM PC</v>
      </c>
    </row>
    <row r="227">
      <c r="A227" s="234">
        <f>IFERROR(__xludf.DUMMYFUNCTION("""COMPUTED_VALUE"""),100519.0)</f>
        <v>100519</v>
      </c>
      <c r="B227" s="235" t="str">
        <f>IFERROR(__xludf.DUMMYFUNCTION("""COMPUTED_VALUE"""),"RONALD OBLENO")</f>
        <v>RONALD OBLENO</v>
      </c>
      <c r="C227" s="235" t="str">
        <f>IFERROR(__xludf.DUMMYFUNCTION("""COMPUTED_VALUE"""),"MIS/ICT")</f>
        <v>MIS/ICT</v>
      </c>
      <c r="D227" s="196" t="str">
        <f>IFERROR(__xludf.DUMMYFUNCTION("""COMPUTED_VALUE"""),"1 unit TV 50"" TCL")</f>
        <v>1 unit TV 50" TCL</v>
      </c>
      <c r="E227" s="196" t="str">
        <f>IFERROR(__xludf.DUMMYFUNCTION("""COMPUTED_VALUE"""),"BRIC ROOM PROJECTOR")</f>
        <v>BRIC ROOM PROJECTOR</v>
      </c>
    </row>
    <row r="228">
      <c r="A228" s="234">
        <f>IFERROR(__xludf.DUMMYFUNCTION("""COMPUTED_VALUE"""),100520.0)</f>
        <v>100520</v>
      </c>
      <c r="B228" s="235" t="str">
        <f>IFERROR(__xludf.DUMMYFUNCTION("""COMPUTED_VALUE"""),"alfa de leon")</f>
        <v>alfa de leon</v>
      </c>
      <c r="C228" s="235" t="str">
        <f>IFERROR(__xludf.DUMMYFUNCTION("""COMPUTED_VALUE"""),"ADMIN - MUNICH")</f>
        <v>ADMIN - MUNICH</v>
      </c>
      <c r="D228" s="196" t="str">
        <f>IFERROR(__xludf.DUMMYFUNCTION("""COMPUTED_VALUE"""),"rubber matting (coin) red or black 4 rolls")</f>
        <v>rubber matting (coin) red or black 4 rolls</v>
      </c>
      <c r="E228" s="196" t="str">
        <f>IFERROR(__xludf.DUMMYFUNCTION("""COMPUTED_VALUE"""),"for student safety (ramp matting)")</f>
        <v>for student safety (ramp matting)</v>
      </c>
    </row>
    <row r="229">
      <c r="A229" s="234">
        <f>IFERROR(__xludf.DUMMYFUNCTION("""COMPUTED_VALUE"""),100521.0)</f>
        <v>100521</v>
      </c>
      <c r="B229" s="235" t="str">
        <f>IFERROR(__xludf.DUMMYFUNCTION("""COMPUTED_VALUE"""),"ISABELO LEOPOLDO")</f>
        <v>ISABELO LEOPOLDO</v>
      </c>
      <c r="C229" s="235" t="str">
        <f>IFERROR(__xludf.DUMMYFUNCTION("""COMPUTED_VALUE"""),"AV/MIS")</f>
        <v>AV/MIS</v>
      </c>
      <c r="D229" s="196" t="str">
        <f>IFERROR(__xludf.DUMMYFUNCTION("""COMPUTED_VALUE"""),"No. 12 Electrical Wire Philflex (300m)")</f>
        <v>No. 12 Electrical Wire Philflex (300m)</v>
      </c>
      <c r="E229" s="196" t="str">
        <f>IFERROR(__xludf.DUMMYFUNCTION("""COMPUTED_VALUE"""),"FOR E-CLASSROOM 5TH FLOOR L-SHAPE BUILDING")</f>
        <v>FOR E-CLASSROOM 5TH FLOOR L-SHAPE BUILDING</v>
      </c>
    </row>
    <row r="230">
      <c r="A230" s="234">
        <f>IFERROR(__xludf.DUMMYFUNCTION("""COMPUTED_VALUE"""),100522.0)</f>
        <v>100522</v>
      </c>
      <c r="B230" s="235" t="str">
        <f>IFERROR(__xludf.DUMMYFUNCTION("""COMPUTED_VALUE"""),"alfa de leon")</f>
        <v>alfa de leon</v>
      </c>
      <c r="C230" s="235" t="str">
        <f>IFERROR(__xludf.DUMMYFUNCTION("""COMPUTED_VALUE"""),"ADMIN - MUNICH")</f>
        <v>ADMIN - MUNICH</v>
      </c>
      <c r="D230" s="196" t="str">
        <f>IFERROR(__xludf.DUMMYFUNCTION("""COMPUTED_VALUE"""),"grassturf/muchroom bench/stool/board games/padded trees/floor design")</f>
        <v>grassturf/muchroom bench/stool/board games/padded trees/floor design</v>
      </c>
      <c r="E230" s="196" t="str">
        <f>IFERROR(__xludf.DUMMYFUNCTION("""COMPUTED_VALUE"""),"munich indoor redesign")</f>
        <v>munich indoor redesign</v>
      </c>
    </row>
    <row r="231">
      <c r="A231" s="234">
        <f>IFERROR(__xludf.DUMMYFUNCTION("""COMPUTED_VALUE"""),100523.0)</f>
        <v>100523</v>
      </c>
      <c r="B231" s="235" t="str">
        <f>IFERROR(__xludf.DUMMYFUNCTION("""COMPUTED_VALUE"""),"CHRISTIAN ANDRES")</f>
        <v>CHRISTIAN ANDRES</v>
      </c>
      <c r="C231" s="235" t="str">
        <f>IFERROR(__xludf.DUMMYFUNCTION("""COMPUTED_VALUE"""),"PR &amp; MARKETING")</f>
        <v>PR &amp; MARKETING</v>
      </c>
      <c r="D231" s="196" t="str">
        <f>IFERROR(__xludf.DUMMYFUNCTION("""COMPUTED_VALUE"""),"1 PC SIT TAPR 6X12 FEET W/ SEAMING &amp; EYELET ALL OVER")</f>
        <v>1 PC SIT TAPR 6X12 FEET W/ SEAMING &amp; EYELET ALL OVER</v>
      </c>
      <c r="E231" s="196" t="str">
        <f>IFERROR(__xludf.DUMMYFUNCTION("""COMPUTED_VALUE"""),"MARKETING")</f>
        <v>MARKETING</v>
      </c>
    </row>
    <row r="232">
      <c r="A232" s="234">
        <f>IFERROR(__xludf.DUMMYFUNCTION("""COMPUTED_VALUE"""),100524.0)</f>
        <v>100524</v>
      </c>
      <c r="B232" s="235" t="str">
        <f>IFERROR(__xludf.DUMMYFUNCTION("""COMPUTED_VALUE"""),"ARNEL MONTABLAN")</f>
        <v>ARNEL MONTABLAN</v>
      </c>
      <c r="C232" s="235" t="str">
        <f>IFERROR(__xludf.DUMMYFUNCTION("""COMPUTED_VALUE"""),"REGISTRATION")</f>
        <v>REGISTRATION</v>
      </c>
      <c r="D232" s="196" t="str">
        <f>IFERROR(__xludf.DUMMYFUNCTION("""COMPUTED_VALUE"""),"FILING CABINET VERTICAL 10 UNITS")</f>
        <v>FILING CABINET VERTICAL 10 UNITS</v>
      </c>
      <c r="E232" s="196" t="str">
        <f>IFERROR(__xludf.DUMMYFUNCTION("""COMPUTED_VALUE"""),"FOR PACUCOA PREPARATION")</f>
        <v>FOR PACUCOA PREPARATION</v>
      </c>
    </row>
    <row r="233">
      <c r="A233" s="234">
        <f>IFERROR(__xludf.DUMMYFUNCTION("""COMPUTED_VALUE"""),100525.0)</f>
        <v>100525</v>
      </c>
      <c r="B233" s="235" t="str">
        <f>IFERROR(__xludf.DUMMYFUNCTION("""COMPUTED_VALUE"""),"SAMANTHA FEROL")</f>
        <v>SAMANTHA FEROL</v>
      </c>
      <c r="C233" s="235" t="str">
        <f>IFERROR(__xludf.DUMMYFUNCTION("""COMPUTED_VALUE"""),"LIBRARY COLLEGE")</f>
        <v>LIBRARY COLLEGE</v>
      </c>
      <c r="D233" s="196" t="str">
        <f>IFERROR(__xludf.DUMMYFUNCTION("""COMPUTED_VALUE"""),"174 PCS PHILIPPIE STAR NEWSPAPER APRIL-JUNE 2019")</f>
        <v>174 PCS PHILIPPIE STAR NEWSPAPER APRIL-JUNE 2019</v>
      </c>
      <c r="E233" s="196" t="str">
        <f>IFERROR(__xludf.DUMMYFUNCTION("""COMPUTED_VALUE"""),"PAYMENT FOR PHIL. STAR NEWSPAPER FOR THE MONTH PF APRIL-JUNE 2019")</f>
        <v>PAYMENT FOR PHIL. STAR NEWSPAPER FOR THE MONTH PF APRIL-JUNE 2019</v>
      </c>
    </row>
    <row r="234">
      <c r="A234" s="234">
        <f>IFERROR(__xludf.DUMMYFUNCTION("""COMPUTED_VALUE"""),100526.0)</f>
        <v>100526</v>
      </c>
      <c r="B234" s="235" t="str">
        <f>IFERROR(__xludf.DUMMYFUNCTION("""COMPUTED_VALUE"""),"ABIGAIL TOBALADO")</f>
        <v>ABIGAIL TOBALADO</v>
      </c>
      <c r="C234" s="235" t="str">
        <f>IFERROR(__xludf.DUMMYFUNCTION("""COMPUTED_VALUE"""),"MIS/ICT")</f>
        <v>MIS/ICT</v>
      </c>
      <c r="D234" s="196" t="str">
        <f>IFERROR(__xludf.DUMMYFUNCTION("""COMPUTED_VALUE"""),"2 PCS SD CARD 128GB MEMORY CARD (SAN DISK)")</f>
        <v>2 PCS SD CARD 128GB MEMORY CARD (SAN DISK)</v>
      </c>
      <c r="E234" s="196" t="str">
        <f>IFERROR(__xludf.DUMMYFUNCTION("""COMPUTED_VALUE"""),"FOR NEWLY BOUGHT CAMERA")</f>
        <v>FOR NEWLY BOUGHT CAMERA</v>
      </c>
    </row>
    <row r="235">
      <c r="A235" s="234">
        <f>IFERROR(__xludf.DUMMYFUNCTION("""COMPUTED_VALUE"""),100527.0)</f>
        <v>100527</v>
      </c>
      <c r="B235" s="235" t="str">
        <f>IFERROR(__xludf.DUMMYFUNCTION("""COMPUTED_VALUE"""),"ISABELO LEOPOLDO")</f>
        <v>ISABELO LEOPOLDO</v>
      </c>
      <c r="C235" s="235" t="str">
        <f>IFERROR(__xludf.DUMMYFUNCTION("""COMPUTED_VALUE"""),"AV/MIS")</f>
        <v>AV/MIS</v>
      </c>
      <c r="D235" s="196" t="str">
        <f>IFERROR(__xludf.DUMMYFUNCTION("""COMPUTED_VALUE"""),"3 PCS HDMI CORD 20 METERS; 3 PCS HDMI PANEL")</f>
        <v>3 PCS HDMI CORD 20 METERS; 3 PCS HDMI PANEL</v>
      </c>
      <c r="E235" s="196" t="str">
        <f>IFERROR(__xludf.DUMMYFUNCTION("""COMPUTED_VALUE"""),"FOR 5TH FLOOR L-SHAPE BUILDING (CMLC OF 2 NEW CLASSROOMS)")</f>
        <v>FOR 5TH FLOOR L-SHAPE BUILDING (CMLC OF 2 NEW CLASSROOMS)</v>
      </c>
    </row>
    <row r="236">
      <c r="A236" s="234">
        <f>IFERROR(__xludf.DUMMYFUNCTION("""COMPUTED_VALUE"""),100528.0)</f>
        <v>100528</v>
      </c>
      <c r="B236" s="235" t="str">
        <f>IFERROR(__xludf.DUMMYFUNCTION("""COMPUTED_VALUE"""),"OWIE PAR")</f>
        <v>OWIE PAR</v>
      </c>
      <c r="C236" s="235" t="str">
        <f>IFERROR(__xludf.DUMMYFUNCTION("""COMPUTED_VALUE"""),"ENGINEERING")</f>
        <v>ENGINEERING</v>
      </c>
      <c r="D236" s="196" t="str">
        <f>IFERROR(__xludf.DUMMYFUNCTION("""COMPUTED_VALUE"""),"1 UNIT CIRCUIT BREAKER 60 AMP CAT TED  134060")</f>
        <v>1 UNIT CIRCUIT BREAKER 60 AMP CAT TED  134060</v>
      </c>
      <c r="E236" s="196" t="str">
        <f>IFERROR(__xludf.DUMMYFUNCTION("""COMPUTED_VALUE"""),"FOR REPLACEMENT FOR ACU AT TROPICAL GYM")</f>
        <v>FOR REPLACEMENT FOR ACU AT TROPICAL GYM</v>
      </c>
    </row>
    <row r="237">
      <c r="A237" s="234">
        <f>IFERROR(__xludf.DUMMYFUNCTION("""COMPUTED_VALUE"""),100529.0)</f>
        <v>100529</v>
      </c>
      <c r="B237" s="235" t="str">
        <f>IFERROR(__xludf.DUMMYFUNCTION("""COMPUTED_VALUE"""),"liza bulay")</f>
        <v>liza bulay</v>
      </c>
      <c r="C237" s="235" t="str">
        <f>IFERROR(__xludf.DUMMYFUNCTION("""COMPUTED_VALUE"""),"GEN. EDUCATION")</f>
        <v>GEN. EDUCATION</v>
      </c>
      <c r="D237" s="196" t="str">
        <f>IFERROR(__xludf.DUMMYFUNCTION("""COMPUTED_VALUE"""),"baketball gg7 25pcs./volleyball 25pcs/table tennis ball 50pcs/table tennis net 3pcs/soccer ball 5pcs./badminton shuttle cock 10cans/badminton racket 26pcs./ badminton net 2pcs.")</f>
        <v>baketball gg7 25pcs./volleyball 25pcs/table tennis ball 50pcs/table tennis net 3pcs/soccer ball 5pcs./badminton shuttle cock 10cans/badminton racket 26pcs./ badminton net 2pcs.</v>
      </c>
      <c r="E237" s="196" t="str">
        <f>IFERROR(__xludf.DUMMYFUNCTION("""COMPUTED_VALUE"""),"for ay 2019-2020")</f>
        <v>for ay 2019-2020</v>
      </c>
    </row>
    <row r="238">
      <c r="A238" s="234">
        <f>IFERROR(__xludf.DUMMYFUNCTION("""COMPUTED_VALUE"""),100530.0)</f>
        <v>100530</v>
      </c>
      <c r="B238" s="235" t="str">
        <f>IFERROR(__xludf.DUMMYFUNCTION("""COMPUTED_VALUE"""),"ISABELO LEOPOLDO")</f>
        <v>ISABELO LEOPOLDO</v>
      </c>
      <c r="C238" s="235" t="str">
        <f>IFERROR(__xludf.DUMMYFUNCTION("""COMPUTED_VALUE"""),"AV/MIS")</f>
        <v>AV/MIS</v>
      </c>
      <c r="D238" s="196" t="str">
        <f>IFERROR(__xludf.DUMMYFUNCTION("""COMPUTED_VALUE"""),"HDMI CARD 20 METERS(3 PCS) HDMI PANEL(3 PCS) HDMI SPLITTER")</f>
        <v>HDMI CARD 20 METERS(3 PCS) HDMI PANEL(3 PCS) HDMI SPLITTER</v>
      </c>
      <c r="E238" s="196" t="str">
        <f>IFERROR(__xludf.DUMMYFUNCTION("""COMPUTED_VALUE"""),"FOR 5TH FLOOR L-SHAPE BUILDING (CMLC OF 2 NEW CLASSROOMS)")</f>
        <v>FOR 5TH FLOOR L-SHAPE BUILDING (CMLC OF 2 NEW CLASSROOMS)</v>
      </c>
    </row>
    <row r="239">
      <c r="A239" s="234">
        <f>IFERROR(__xludf.DUMMYFUNCTION("""COMPUTED_VALUE"""),100531.0)</f>
        <v>100531</v>
      </c>
      <c r="B239" s="235" t="str">
        <f>IFERROR(__xludf.DUMMYFUNCTION("""COMPUTED_VALUE"""),"ELYDIA REYES")</f>
        <v>ELYDIA REYES</v>
      </c>
      <c r="C239" s="235" t="str">
        <f>IFERROR(__xludf.DUMMYFUNCTION("""COMPUTED_VALUE"""),"PR &amp; MARKETING")</f>
        <v>PR &amp; MARKETING</v>
      </c>
      <c r="D239" s="196" t="str">
        <f>IFERROR(__xludf.DUMMYFUNCTION("""COMPUTED_VALUE"""),"BUSINES CARD OF MISS ELYDIA REYES(REPRINT)")</f>
        <v>BUSINES CARD OF MISS ELYDIA REYES(REPRINT)</v>
      </c>
      <c r="E239" s="196" t="str">
        <f>IFERROR(__xludf.DUMMYFUNCTION("""COMPUTED_VALUE"""),"FOR INTERNATIONAL MARKETING")</f>
        <v>FOR INTERNATIONAL MARKETING</v>
      </c>
    </row>
    <row r="240">
      <c r="A240" s="234">
        <f>IFERROR(__xludf.DUMMYFUNCTION("""COMPUTED_VALUE"""),100532.0)</f>
        <v>100532</v>
      </c>
      <c r="B240" s="235" t="str">
        <f>IFERROR(__xludf.DUMMYFUNCTION("""COMPUTED_VALUE"""),"LUDY DE ASIS")</f>
        <v>LUDY DE ASIS</v>
      </c>
      <c r="C240" s="235" t="str">
        <f>IFERROR(__xludf.DUMMYFUNCTION("""COMPUTED_VALUE"""),"ADMIN - LUX")</f>
        <v>ADMIN - LUX</v>
      </c>
      <c r="D240" s="196" t="str">
        <f>IFERROR(__xludf.DUMMYFUNCTION("""COMPUTED_VALUE"""),"DESK 0.75X1.5X0.75M 4SEATER 4PCS")</f>
        <v>DESK 0.75X1.5X0.75M 4SEATER 4PCS</v>
      </c>
      <c r="E240" s="196" t="str">
        <f>IFERROR(__xludf.DUMMYFUNCTION("""COMPUTED_VALUE"""),"FOR CMLC")</f>
        <v>FOR CMLC</v>
      </c>
    </row>
    <row r="241">
      <c r="A241" s="234">
        <f>IFERROR(__xludf.DUMMYFUNCTION("""COMPUTED_VALUE"""),100533.0)</f>
        <v>100533</v>
      </c>
      <c r="B241" s="235" t="str">
        <f>IFERROR(__xludf.DUMMYFUNCTION("""COMPUTED_VALUE"""),"LUDY DE ASIS")</f>
        <v>LUDY DE ASIS</v>
      </c>
      <c r="C241" s="235" t="str">
        <f>IFERROR(__xludf.DUMMYFUNCTION("""COMPUTED_VALUE"""),"ADMIN - LUX")</f>
        <v>ADMIN - LUX</v>
      </c>
      <c r="D241" s="196" t="str">
        <f>IFERROR(__xludf.DUMMYFUNCTION("""COMPUTED_VALUE"""),"STOOL 0.45X0.45X0.48M 15PCS HEXAGON SHAPE")</f>
        <v>STOOL 0.45X0.45X0.48M 15PCS HEXAGON SHAPE</v>
      </c>
      <c r="E241" s="196" t="str">
        <f>IFERROR(__xludf.DUMMYFUNCTION("""COMPUTED_VALUE"""),"FOR CMLC")</f>
        <v>FOR CMLC</v>
      </c>
    </row>
    <row r="242">
      <c r="A242" s="234">
        <f>IFERROR(__xludf.DUMMYFUNCTION("""COMPUTED_VALUE"""),100534.0)</f>
        <v>100534</v>
      </c>
      <c r="B242" s="235" t="str">
        <f>IFERROR(__xludf.DUMMYFUNCTION("""COMPUTED_VALUE"""),"RONNEL CALVENDRA")</f>
        <v>RONNEL CALVENDRA</v>
      </c>
      <c r="C242" s="235" t="str">
        <f>IFERROR(__xludf.DUMMYFUNCTION("""COMPUTED_VALUE"""),"ADMIN - LUX")</f>
        <v>ADMIN - LUX</v>
      </c>
      <c r="D242" s="196" t="str">
        <f>IFERROR(__xludf.DUMMYFUNCTION("""COMPUTED_VALUE"""),"STOOL - 8 TEAL / 8PINK /8BEIGE")</f>
        <v>STOOL - 8 TEAL / 8PINK /8BEIGE</v>
      </c>
      <c r="E242" s="196" t="str">
        <f>IFERROR(__xludf.DUMMYFUNCTION("""COMPUTED_VALUE"""),"FOR BRIC ROOM")</f>
        <v>FOR BRIC ROOM</v>
      </c>
    </row>
    <row r="243">
      <c r="A243" s="234">
        <f>IFERROR(__xludf.DUMMYFUNCTION("""COMPUTED_VALUE"""),100535.0)</f>
        <v>100535</v>
      </c>
      <c r="B243" s="235" t="str">
        <f>IFERROR(__xludf.DUMMYFUNCTION("""COMPUTED_VALUE"""),"RONNEL CALVENDRA")</f>
        <v>RONNEL CALVENDRA</v>
      </c>
      <c r="C243" s="235" t="str">
        <f>IFERROR(__xludf.DUMMYFUNCTION("""COMPUTED_VALUE"""),"ADMIN - LUX")</f>
        <v>ADMIN - LUX</v>
      </c>
      <c r="D243" s="196" t="str">
        <f>IFERROR(__xludf.DUMMYFUNCTION("""COMPUTED_VALUE"""),"COFFEE TABLE 2 PCS, SOFA 2 PCS , STOOL 15 PCS , TURBO FAN 2 PCS")</f>
        <v>COFFEE TABLE 2 PCS, SOFA 2 PCS , STOOL 15 PCS , TURBO FAN 2 PCS</v>
      </c>
      <c r="E243" s="196" t="str">
        <f>IFERROR(__xludf.DUMMYFUNCTION("""COMPUTED_VALUE"""),"FOR CMLC")</f>
        <v>FOR CMLC</v>
      </c>
    </row>
    <row r="244">
      <c r="A244" s="234">
        <f>IFERROR(__xludf.DUMMYFUNCTION("""COMPUTED_VALUE"""),100536.0)</f>
        <v>100536</v>
      </c>
      <c r="B244" s="235" t="str">
        <f>IFERROR(__xludf.DUMMYFUNCTION("""COMPUTED_VALUE"""),"CHRISTIAN ANDRES")</f>
        <v>CHRISTIAN ANDRES</v>
      </c>
      <c r="C244" s="235" t="str">
        <f>IFERROR(__xludf.DUMMYFUNCTION("""COMPUTED_VALUE"""),"PR &amp; MARKETING")</f>
        <v>PR &amp; MARKETING</v>
      </c>
      <c r="D244" s="196" t="str">
        <f>IFERROR(__xludf.DUMMYFUNCTION("""COMPUTED_VALUE"""),"MAYOR ELI SINTRA  BOARD STANDEE (5 FEET HEIGHT) 2 PCS , LV WELCOME SINTRA BOARD STANDEE (5 FEET HEIGHT)  1 PC ")</f>
        <v>MAYOR ELI SINTRA  BOARD STANDEE (5 FEET HEIGHT) 2 PCS , LV WELCOME SINTRA BOARD STANDEE (5 FEET HEIGHT)  1 PC </v>
      </c>
      <c r="E244" s="196" t="str">
        <f>IFERROR(__xludf.DUMMYFUNCTION("""COMPUTED_VALUE"""),"FOR LEARNING VILLAGE")</f>
        <v>FOR LEARNING VILLAGE</v>
      </c>
    </row>
    <row r="245">
      <c r="A245" s="234">
        <f>IFERROR(__xludf.DUMMYFUNCTION("""COMPUTED_VALUE"""),100537.0)</f>
        <v>100537</v>
      </c>
      <c r="B245" s="235" t="str">
        <f>IFERROR(__xludf.DUMMYFUNCTION("""COMPUTED_VALUE"""),"BELOY LEOPOLDO")</f>
        <v>BELOY LEOPOLDO</v>
      </c>
      <c r="C245" s="235" t="str">
        <f>IFERROR(__xludf.DUMMYFUNCTION("""COMPUTED_VALUE"""),"AV/MIS")</f>
        <v>AV/MIS</v>
      </c>
      <c r="D245" s="196" t="str">
        <f>IFERROR(__xludf.DUMMYFUNCTION("""COMPUTED_VALUE"""),"RG6 COAXIAL CABLE 305M IT&amp;T BRAND HIGH 1 ROLL")</f>
        <v>RG6 COAXIAL CABLE 305M IT&amp;T BRAND HIGH 1 ROLL</v>
      </c>
      <c r="E245" s="196" t="str">
        <f>IFERROR(__xludf.DUMMYFUNCTION("""COMPUTED_VALUE"""),"CMLC CABLE CONNECTION")</f>
        <v>CMLC CABLE CONNECTION</v>
      </c>
    </row>
    <row r="246">
      <c r="A246" s="234">
        <f>IFERROR(__xludf.DUMMYFUNCTION("""COMPUTED_VALUE"""),100538.0)</f>
        <v>100538</v>
      </c>
      <c r="B246" s="235" t="str">
        <f>IFERROR(__xludf.DUMMYFUNCTION("""COMPUTED_VALUE"""),"RONNEL CALVENDRA")</f>
        <v>RONNEL CALVENDRA</v>
      </c>
      <c r="C246" s="235" t="str">
        <f>IFERROR(__xludf.DUMMYFUNCTION("""COMPUTED_VALUE"""),"ADMIN - LUX")</f>
        <v>ADMIN - LUX</v>
      </c>
      <c r="D246" s="196" t="str">
        <f>IFERROR(__xludf.DUMMYFUNCTION("""COMPUTED_VALUE"""),"SOFA 2 PCS ")</f>
        <v>SOFA 2 PCS </v>
      </c>
      <c r="E246" s="196" t="str">
        <f>IFERROR(__xludf.DUMMYFUNCTION("""COMPUTED_VALUE"""),"FOR CMLC")</f>
        <v>FOR CMLC</v>
      </c>
    </row>
    <row r="247">
      <c r="A247" s="234">
        <f>IFERROR(__xludf.DUMMYFUNCTION("""COMPUTED_VALUE"""),100539.0)</f>
        <v>100539</v>
      </c>
      <c r="B247" s="235" t="str">
        <f>IFERROR(__xludf.DUMMYFUNCTION("""COMPUTED_VALUE"""),"RONNEL CALVENDRA")</f>
        <v>RONNEL CALVENDRA</v>
      </c>
      <c r="C247" s="235" t="str">
        <f>IFERROR(__xludf.DUMMYFUNCTION("""COMPUTED_VALUE"""),"ADMIN - LUX")</f>
        <v>ADMIN - LUX</v>
      </c>
      <c r="D247" s="196" t="str">
        <f>IFERROR(__xludf.DUMMYFUNCTION("""COMPUTED_VALUE"""),"TURBO FAN 3 PCS")</f>
        <v>TURBO FAN 3 PCS</v>
      </c>
      <c r="E247" s="196" t="str">
        <f>IFERROR(__xludf.DUMMYFUNCTION("""COMPUTED_VALUE"""),"FOR CMLC")</f>
        <v>FOR CMLC</v>
      </c>
    </row>
    <row r="248">
      <c r="A248" s="234">
        <f>IFERROR(__xludf.DUMMYFUNCTION("""COMPUTED_VALUE"""),100540.0)</f>
        <v>100540</v>
      </c>
      <c r="B248" s="235" t="str">
        <f>IFERROR(__xludf.DUMMYFUNCTION("""COMPUTED_VALUE"""),"RONNEL CALVENDRA")</f>
        <v>RONNEL CALVENDRA</v>
      </c>
      <c r="C248" s="235" t="str">
        <f>IFERROR(__xludf.DUMMYFUNCTION("""COMPUTED_VALUE"""),"ADMIN - LUX")</f>
        <v>ADMIN - LUX</v>
      </c>
      <c r="D248" s="196" t="str">
        <f>IFERROR(__xludf.DUMMYFUNCTION("""COMPUTED_VALUE"""),"STOOL 15 CPS")</f>
        <v>STOOL 15 CPS</v>
      </c>
      <c r="E248" s="196" t="str">
        <f>IFERROR(__xludf.DUMMYFUNCTION("""COMPUTED_VALUE"""),"FOR CMLC")</f>
        <v>FOR CMLC</v>
      </c>
    </row>
    <row r="249">
      <c r="A249" s="234">
        <f>IFERROR(__xludf.DUMMYFUNCTION("""COMPUTED_VALUE"""),100541.0)</f>
        <v>100541</v>
      </c>
      <c r="B249" s="235" t="str">
        <f>IFERROR(__xludf.DUMMYFUNCTION("""COMPUTED_VALUE"""),"RONNEL CALVENDRA")</f>
        <v>RONNEL CALVENDRA</v>
      </c>
      <c r="C249" s="235" t="str">
        <f>IFERROR(__xludf.DUMMYFUNCTION("""COMPUTED_VALUE"""),"ADMIN - LUX")</f>
        <v>ADMIN - LUX</v>
      </c>
      <c r="D249" s="196" t="str">
        <f>IFERROR(__xludf.DUMMYFUNCTION("""COMPUTED_VALUE"""),"SOFA SINGLE 8 PCS ")</f>
        <v>SOFA SINGLE 8 PCS </v>
      </c>
      <c r="E249" s="196" t="str">
        <f>IFERROR(__xludf.DUMMYFUNCTION("""COMPUTED_VALUE"""),"FOR BRIC ROOM")</f>
        <v>FOR BRIC ROOM</v>
      </c>
    </row>
    <row r="250">
      <c r="A250" s="234">
        <f>IFERROR(__xludf.DUMMYFUNCTION("""COMPUTED_VALUE"""),100542.0)</f>
        <v>100542</v>
      </c>
      <c r="B250" s="235" t="str">
        <f>IFERROR(__xludf.DUMMYFUNCTION("""COMPUTED_VALUE"""),"RONNEL CALVENDRA")</f>
        <v>RONNEL CALVENDRA</v>
      </c>
      <c r="C250" s="235" t="str">
        <f>IFERROR(__xludf.DUMMYFUNCTION("""COMPUTED_VALUE"""),"ADMIN - LUX")</f>
        <v>ADMIN - LUX</v>
      </c>
      <c r="D250" s="196" t="str">
        <f>IFERROR(__xludf.DUMMYFUNCTION("""COMPUTED_VALUE"""),"ROUND TABLE 2 PCS")</f>
        <v>ROUND TABLE 2 PCS</v>
      </c>
      <c r="E250" s="196" t="str">
        <f>IFERROR(__xludf.DUMMYFUNCTION("""COMPUTED_VALUE"""),"FOR BRIC ROOM")</f>
        <v>FOR BRIC ROOM</v>
      </c>
    </row>
    <row r="251">
      <c r="A251" s="234">
        <f>IFERROR(__xludf.DUMMYFUNCTION("""COMPUTED_VALUE"""),100543.0)</f>
        <v>100543</v>
      </c>
      <c r="B251" s="235" t="str">
        <f>IFERROR(__xludf.DUMMYFUNCTION("""COMPUTED_VALUE"""),"RONNEL CALVENDRA")</f>
        <v>RONNEL CALVENDRA</v>
      </c>
      <c r="C251" s="235" t="str">
        <f>IFERROR(__xludf.DUMMYFUNCTION("""COMPUTED_VALUE"""),"ADMIN - LUX")</f>
        <v>ADMIN - LUX</v>
      </c>
      <c r="D251" s="196" t="str">
        <f>IFERROR(__xludf.DUMMYFUNCTION("""COMPUTED_VALUE"""),"BAR CHAIR 48 PCS")</f>
        <v>BAR CHAIR 48 PCS</v>
      </c>
      <c r="E251" s="196" t="str">
        <f>IFERROR(__xludf.DUMMYFUNCTION("""COMPUTED_VALUE"""),"FOR BRIC ROOM")</f>
        <v>FOR BRIC ROOM</v>
      </c>
    </row>
    <row r="252">
      <c r="A252" s="234">
        <f>IFERROR(__xludf.DUMMYFUNCTION("""COMPUTED_VALUE"""),100544.0)</f>
        <v>100544</v>
      </c>
      <c r="B252" s="235" t="str">
        <f>IFERROR(__xludf.DUMMYFUNCTION("""COMPUTED_VALUE"""),"RONNEL CALVENDRA")</f>
        <v>RONNEL CALVENDRA</v>
      </c>
      <c r="C252" s="235" t="str">
        <f>IFERROR(__xludf.DUMMYFUNCTION("""COMPUTED_VALUE"""),"ADMIN - LUX")</f>
        <v>ADMIN - LUX</v>
      </c>
      <c r="D252" s="196" t="str">
        <f>IFERROR(__xludf.DUMMYFUNCTION("""COMPUTED_VALUE"""),"LONG TABLE 0.90D X 1.80W X 0.75H")</f>
        <v>LONG TABLE 0.90D X 1.80W X 0.75H</v>
      </c>
      <c r="E252" s="196" t="str">
        <f>IFERROR(__xludf.DUMMYFUNCTION("""COMPUTED_VALUE"""),"FOR BRIC ROOM")</f>
        <v>FOR BRIC ROOM</v>
      </c>
    </row>
    <row r="253">
      <c r="A253" s="234">
        <f>IFERROR(__xludf.DUMMYFUNCTION("""COMPUTED_VALUE"""),100545.0)</f>
        <v>100545</v>
      </c>
      <c r="B253" s="235" t="str">
        <f>IFERROR(__xludf.DUMMYFUNCTION("""COMPUTED_VALUE"""),"TOM TONGOHAN")</f>
        <v>TOM TONGOHAN</v>
      </c>
      <c r="C253" s="235" t="str">
        <f>IFERROR(__xludf.DUMMYFUNCTION("""COMPUTED_VALUE"""),"FACILITIES")</f>
        <v>FACILITIES</v>
      </c>
      <c r="D253" s="196" t="str">
        <f>IFERROR(__xludf.DUMMYFUNCTION("""COMPUTED_VALUE"""),"LATEX PURPLE (READY MIX, PAINTCENTER) 8 GALLONS")</f>
        <v>LATEX PURPLE (READY MIX, PAINTCENTER) 8 GALLONS</v>
      </c>
      <c r="E253" s="196" t="str">
        <f>IFERROR(__xludf.DUMMYFUNCTION("""COMPUTED_VALUE"""),"FOR REPAINTING OF CLASSROOM BASEBOARD")</f>
        <v>FOR REPAINTING OF CLASSROOM BASEBOARD</v>
      </c>
    </row>
    <row r="254">
      <c r="A254" s="234">
        <f>IFERROR(__xludf.DUMMYFUNCTION("""COMPUTED_VALUE"""),100546.0)</f>
        <v>100546</v>
      </c>
      <c r="B254" s="235" t="str">
        <f>IFERROR(__xludf.DUMMYFUNCTION("""COMPUTED_VALUE"""),"TOM TONGOHAN")</f>
        <v>TOM TONGOHAN</v>
      </c>
      <c r="C254" s="235" t="str">
        <f>IFERROR(__xludf.DUMMYFUNCTION("""COMPUTED_VALUE"""),"FACILITIES")</f>
        <v>FACILITIES</v>
      </c>
      <c r="D254" s="196" t="str">
        <f>IFERROR(__xludf.DUMMYFUNCTION("""COMPUTED_VALUE"""),"EPOXY ENAMEL WHITE 6GAL/EPOXY REDUCER 2GAL/EPOXY ENAMEL THALO GREEN 4GAL/EPOXY ENAMEL THALO BLUE 2GAL/PAINT ROLLER#7 ACRYLON 2PCS./ PAINT BRUSH # 1 1/2 HI-TECH 5PCS./SAND PAPER #120 20PCS./ROOFGUARD BAGUIO GREEN 1TIN/COTTON RAGS 1KL.")</f>
        <v>EPOXY ENAMEL WHITE 6GAL/EPOXY REDUCER 2GAL/EPOXY ENAMEL THALO GREEN 4GAL/EPOXY ENAMEL THALO BLUE 2GAL/PAINT ROLLER#7 ACRYLON 2PCS./ PAINT BRUSH # 1 1/2 HI-TECH 5PCS./SAND PAPER #120 20PCS./ROOFGUARD BAGUIO GREEN 1TIN/COTTON RAGS 1KL.</v>
      </c>
      <c r="E254" s="196" t="str">
        <f>IFERROR(__xludf.DUMMYFUNCTION("""COMPUTED_VALUE"""),"REPAINTING OF FOOD COURT FLOORING, CLASSROOM BASEBOARD")</f>
        <v>REPAINTING OF FOOD COURT FLOORING, CLASSROOM BASEBOARD</v>
      </c>
    </row>
    <row r="255">
      <c r="A255" s="234">
        <f>IFERROR(__xludf.DUMMYFUNCTION("""COMPUTED_VALUE"""),100547.0)</f>
        <v>100547</v>
      </c>
      <c r="B255" s="235" t="str">
        <f>IFERROR(__xludf.DUMMYFUNCTION("""COMPUTED_VALUE"""),"SANDRA DUPIO")</f>
        <v>SANDRA DUPIO</v>
      </c>
      <c r="C255" s="235" t="str">
        <f>IFERROR(__xludf.DUMMYFUNCTION("""COMPUTED_VALUE"""),"LIBRARY BASIC ED")</f>
        <v>LIBRARY BASIC ED</v>
      </c>
      <c r="D255" s="196" t="str">
        <f>IFERROR(__xludf.DUMMYFUNCTION("""COMPUTED_VALUE"""),"CHINESE FOR KIDS SET1 ISBN (097124032) 1PC./ BASIC MANDARIN CHINESE: R&amp;W ISBN (0804847274) 1PC./ BASIC MANDARIN CHINESE: S&amp;L ISBN(9780804847254) 1PC./ LEARNING MANDARIN CHINESE CHARACTERS ISBN(0804844917) 1PC./ NEW HSK COMPLETE VOCABULARY LIST ISBN:(15332"&amp;"5883X) 1PC.")</f>
        <v>CHINESE FOR KIDS SET1 ISBN (097124032) 1PC./ BASIC MANDARIN CHINESE: R&amp;W ISBN (0804847274) 1PC./ BASIC MANDARIN CHINESE: S&amp;L ISBN(9780804847254) 1PC./ LEARNING MANDARIN CHINESE CHARACTERS ISBN(0804844917) 1PC./ NEW HSK COMPLETE VOCABULARY LIST ISBN:(153325883X) 1PC.</v>
      </c>
      <c r="E255" s="196" t="str">
        <f>IFERROR(__xludf.DUMMYFUNCTION("""COMPUTED_VALUE"""),"TO UPDATE LIBRARY RESOURCES FOR STUDENTS &amp; TEACHERS REFERENCE.")</f>
        <v>TO UPDATE LIBRARY RESOURCES FOR STUDENTS &amp; TEACHERS REFERENCE.</v>
      </c>
    </row>
    <row r="256">
      <c r="A256" s="234">
        <f>IFERROR(__xludf.DUMMYFUNCTION("""COMPUTED_VALUE"""),100548.0)</f>
        <v>100548</v>
      </c>
      <c r="B256" s="235" t="str">
        <f>IFERROR(__xludf.DUMMYFUNCTION("""COMPUTED_VALUE"""),"ELYDIA REYES / SARY ANN ESCUREL")</f>
        <v>ELYDIA REYES / SARY ANN ESCUREL</v>
      </c>
      <c r="C256" s="235" t="str">
        <f>IFERROR(__xludf.DUMMYFUNCTION("""COMPUTED_VALUE"""),"LIBRARY BASIC ED")</f>
        <v>LIBRARY BASIC ED</v>
      </c>
      <c r="D256" s="196" t="str">
        <f>IFERROR(__xludf.DUMMYFUNCTION("""COMPUTED_VALUE"""),"SPECIAL STUDENTS &amp; PARENTS BULLETIN 8.5 X 11 LETTER GLOSSY  2000 PCS")</f>
        <v>SPECIAL STUDENTS &amp; PARENTS BULLETIN 8.5 X 11 LETTER GLOSSY  2000 PCS</v>
      </c>
      <c r="E256" s="196" t="str">
        <f>IFERROR(__xludf.DUMMYFUNCTION("""COMPUTED_VALUE"""),"INFO POCKET FOR PARENTS")</f>
        <v>INFO POCKET FOR PARENTS</v>
      </c>
    </row>
    <row r="257">
      <c r="A257" s="234">
        <f>IFERROR(__xludf.DUMMYFUNCTION("""COMPUTED_VALUE"""),100549.0)</f>
        <v>100549</v>
      </c>
      <c r="B257" s="235" t="str">
        <f>IFERROR(__xludf.DUMMYFUNCTION("""COMPUTED_VALUE"""),"ALFA DE LEON")</f>
        <v>ALFA DE LEON</v>
      </c>
      <c r="C257" s="235" t="str">
        <f>IFERROR(__xludf.DUMMYFUNCTION("""COMPUTED_VALUE"""),"ADMIN")</f>
        <v>ADMIN</v>
      </c>
      <c r="D257" s="196" t="str">
        <f>IFERROR(__xludf.DUMMYFUNCTION("""COMPUTED_VALUE"""),"6 UNITS AIRCOOLER FANS; 8 UNIT FLOOR FANS")</f>
        <v>6 UNITS AIRCOOLER FANS; 8 UNIT FLOOR FANS</v>
      </c>
      <c r="E257" s="196" t="str">
        <f>IFERROR(__xludf.DUMMYFUNCTION("""COMPUTED_VALUE"""),"AIRCOOLER FAN FOR GYMS")</f>
        <v>AIRCOOLER FAN FOR GYMS</v>
      </c>
    </row>
    <row r="258">
      <c r="A258" s="234">
        <f>IFERROR(__xludf.DUMMYFUNCTION("""COMPUTED_VALUE"""),100550.0)</f>
        <v>100550</v>
      </c>
      <c r="B258" s="235" t="str">
        <f>IFERROR(__xludf.DUMMYFUNCTION("""COMPUTED_VALUE"""),"ALFA DE LEON")</f>
        <v>ALFA DE LEON</v>
      </c>
      <c r="C258" s="235" t="str">
        <f>IFERROR(__xludf.DUMMYFUNCTION("""COMPUTED_VALUE"""),"ADMIN")</f>
        <v>ADMIN</v>
      </c>
      <c r="D258" s="196" t="str">
        <f>IFERROR(__xludf.DUMMYFUNCTION("""COMPUTED_VALUE"""),"4 PCS TRASH BIN CART(FOR LUX,TROPICAL,COLLEGE); 1 PC TRASH BIN CART (MUNICH); 1 PC TRASH BIN CART (STAR)")</f>
        <v>4 PCS TRASH BIN CART(FOR LUX,TROPICAL,COLLEGE); 1 PC TRASH BIN CART (MUNICH); 1 PC TRASH BIN CART (STAR)</v>
      </c>
      <c r="E258" s="196" t="str">
        <f>IFERROR(__xludf.DUMMYFUNCTION("""COMPUTED_VALUE"""),"TRASH BIN CART")</f>
        <v>TRASH BIN CART</v>
      </c>
    </row>
    <row r="259">
      <c r="A259" s="234">
        <f>IFERROR(__xludf.DUMMYFUNCTION("""COMPUTED_VALUE"""),100551.0)</f>
        <v>100551</v>
      </c>
      <c r="B259" s="235" t="str">
        <f>IFERROR(__xludf.DUMMYFUNCTION("""COMPUTED_VALUE"""),"RONALD OBLENO")</f>
        <v>RONALD OBLENO</v>
      </c>
      <c r="C259" s="235" t="str">
        <f>IFERROR(__xludf.DUMMYFUNCTION("""COMPUTED_VALUE"""),"MIS/ICT")</f>
        <v>MIS/ICT</v>
      </c>
      <c r="D259" s="196" t="str">
        <f>IFERROR(__xludf.DUMMYFUNCTION("""COMPUTED_VALUE"""),"USB SPEAKER 1 PC")</f>
        <v>USB SPEAKER 1 PC</v>
      </c>
      <c r="E259" s="196" t="str">
        <f>IFERROR(__xludf.DUMMYFUNCTION("""COMPUTED_VALUE"""),"USB SPEAKER  FOR CEM LAPTOP ")</f>
        <v>USB SPEAKER  FOR CEM LAPTOP </v>
      </c>
    </row>
    <row r="260">
      <c r="A260" s="234">
        <f>IFERROR(__xludf.DUMMYFUNCTION("""COMPUTED_VALUE"""),100552.0)</f>
        <v>100552</v>
      </c>
      <c r="B260" s="235" t="str">
        <f>IFERROR(__xludf.DUMMYFUNCTION("""COMPUTED_VALUE"""),"CHRISTIAN ANDRES")</f>
        <v>CHRISTIAN ANDRES</v>
      </c>
      <c r="C260" s="235" t="str">
        <f>IFERROR(__xludf.DUMMYFUNCTION("""COMPUTED_VALUE"""),"PR &amp; MARKETING")</f>
        <v>PR &amp; MARKETING</v>
      </c>
      <c r="D260" s="196" t="str">
        <f>IFERROR(__xludf.DUMMYFUNCTION("""COMPUTED_VALUE"""),"SOUTHVILLE MATHLETE WINNERS 710 W/O SEAMING 1 PC")</f>
        <v>SOUTHVILLE MATHLETE WINNERS 710 W/O SEAMING 1 PC</v>
      </c>
      <c r="E260" s="196" t="str">
        <f>IFERROR(__xludf.DUMMYFUNCTION("""COMPUTED_VALUE"""),"MARKETING")</f>
        <v>MARKETING</v>
      </c>
    </row>
    <row r="261">
      <c r="A261" s="234">
        <f>IFERROR(__xludf.DUMMYFUNCTION("""COMPUTED_VALUE"""),100553.0)</f>
        <v>100553</v>
      </c>
      <c r="B261" s="235" t="str">
        <f>IFERROR(__xludf.DUMMYFUNCTION("""COMPUTED_VALUE"""),"ROMAN BALUYOT")</f>
        <v>ROMAN BALUYOT</v>
      </c>
      <c r="C261" s="235" t="str">
        <f>IFERROR(__xludf.DUMMYFUNCTION("""COMPUTED_VALUE"""),"PR &amp; MARKETING")</f>
        <v>PR &amp; MARKETING</v>
      </c>
      <c r="D261" s="196" t="str">
        <f>IFERROR(__xludf.DUMMYFUNCTION("""COMPUTED_VALUE"""),"INTERNATIONAL KANGAROO MATH COMPETITION WINNERS 7X10 W/O SEAMING ")</f>
        <v>INTERNATIONAL KANGAROO MATH COMPETITION WINNERS 7X10 W/O SEAMING </v>
      </c>
      <c r="E261" s="196" t="str">
        <f>IFERROR(__xludf.DUMMYFUNCTION("""COMPUTED_VALUE"""),"MARKETING")</f>
        <v>MARKETING</v>
      </c>
    </row>
    <row r="262">
      <c r="A262" s="234">
        <f>IFERROR(__xludf.DUMMYFUNCTION("""COMPUTED_VALUE"""),100554.0)</f>
        <v>100554</v>
      </c>
      <c r="B262" s="235" t="str">
        <f>IFERROR(__xludf.DUMMYFUNCTION("""COMPUTED_VALUE"""),"CHRISTIAN ANDRES")</f>
        <v>CHRISTIAN ANDRES</v>
      </c>
      <c r="C262" s="235" t="str">
        <f>IFERROR(__xludf.DUMMYFUNCTION("""COMPUTED_VALUE"""),"PR &amp; MARKETING")</f>
        <v>PR &amp; MARKETING</v>
      </c>
      <c r="D262" s="196" t="str">
        <f>IFERROR(__xludf.DUMMYFUNCTION("""COMPUTED_VALUE"""),"CHALLENGE FOR FUTURE MATHEMATICIAN NATIONAL PARALLEL WINNERS 7X10 W/O SEAMING 1 PC")</f>
        <v>CHALLENGE FOR FUTURE MATHEMATICIAN NATIONAL PARALLEL WINNERS 7X10 W/O SEAMING 1 PC</v>
      </c>
      <c r="E262" s="196" t="str">
        <f>IFERROR(__xludf.DUMMYFUNCTION("""COMPUTED_VALUE"""),"MARKETING")</f>
        <v>MARKETING</v>
      </c>
    </row>
    <row r="263">
      <c r="A263" s="234">
        <f>IFERROR(__xludf.DUMMYFUNCTION("""COMPUTED_VALUE"""),100555.0)</f>
        <v>100555</v>
      </c>
      <c r="B263" s="235" t="str">
        <f>IFERROR(__xludf.DUMMYFUNCTION("""COMPUTED_VALUE"""),"ROMAN BALUYOT")</f>
        <v>ROMAN BALUYOT</v>
      </c>
      <c r="C263" s="235" t="str">
        <f>IFERROR(__xludf.DUMMYFUNCTION("""COMPUTED_VALUE"""),"PR &amp; MARKETING")</f>
        <v>PR &amp; MARKETING</v>
      </c>
      <c r="D263" s="196" t="str">
        <f>IFERROR(__xludf.DUMMYFUNCTION("""COMPUTED_VALUE"""),"THAILAND INTERNATIONAL MATHEMATICAL OLYMPIAD WINNERS 7X10 W/O SEAMING")</f>
        <v>THAILAND INTERNATIONAL MATHEMATICAL OLYMPIAD WINNERS 7X10 W/O SEAMING</v>
      </c>
      <c r="E263" s="196" t="str">
        <f>IFERROR(__xludf.DUMMYFUNCTION("""COMPUTED_VALUE"""),"MARKETING")</f>
        <v>MARKETING</v>
      </c>
    </row>
    <row r="264">
      <c r="A264" s="234">
        <f>IFERROR(__xludf.DUMMYFUNCTION("""COMPUTED_VALUE"""),100556.0)</f>
        <v>100556</v>
      </c>
      <c r="B264" s="235" t="str">
        <f>IFERROR(__xludf.DUMMYFUNCTION("""COMPUTED_VALUE"""),"MR. JORDAN MANLAPAZ")</f>
        <v>MR. JORDAN MANLAPAZ</v>
      </c>
      <c r="C264" s="235" t="str">
        <f>IFERROR(__xludf.DUMMYFUNCTION("""COMPUTED_VALUE"""),"DCO/ISO")</f>
        <v>DCO/ISO</v>
      </c>
      <c r="D264" s="196" t="str">
        <f>IFERROR(__xludf.DUMMYFUNCTION("""COMPUTED_VALUE"""),"DOCUMENT BOXES BLACK ")</f>
        <v>DOCUMENT BOXES BLACK </v>
      </c>
      <c r="E264" s="196" t="str">
        <f>IFERROR(__xludf.DUMMYFUNCTION("""COMPUTED_VALUE"""),"FOR ISO ")</f>
        <v>FOR ISO </v>
      </c>
    </row>
    <row r="265">
      <c r="A265" s="234">
        <f>IFERROR(__xludf.DUMMYFUNCTION("""COMPUTED_VALUE"""),100557.0)</f>
        <v>100557</v>
      </c>
      <c r="B265" s="235" t="str">
        <f>IFERROR(__xludf.DUMMYFUNCTION("""COMPUTED_VALUE"""),"bokz calvendra")</f>
        <v>bokz calvendra</v>
      </c>
      <c r="C265" s="235" t="str">
        <f>IFERROR(__xludf.DUMMYFUNCTION("""COMPUTED_VALUE"""),"ADMIN")</f>
        <v>ADMIN</v>
      </c>
      <c r="D265" s="196" t="str">
        <f>IFERROR(__xludf.DUMMYFUNCTION("""COMPUTED_VALUE"""),"ARM CHAIR 4PCS")</f>
        <v>ARM CHAIR 4PCS</v>
      </c>
      <c r="E265" s="196" t="str">
        <f>IFERROR(__xludf.DUMMYFUNCTION("""COMPUTED_VALUE"""),"CMLC CHAIRS")</f>
        <v>CMLC CHAIRS</v>
      </c>
    </row>
    <row r="266">
      <c r="A266" s="234">
        <f>IFERROR(__xludf.DUMMYFUNCTION("""COMPUTED_VALUE"""),100558.0)</f>
        <v>100558</v>
      </c>
      <c r="B266" s="235" t="str">
        <f>IFERROR(__xludf.DUMMYFUNCTION("""COMPUTED_VALUE"""),"bokz calvendra")</f>
        <v>bokz calvendra</v>
      </c>
      <c r="C266" s="235" t="str">
        <f>IFERROR(__xludf.DUMMYFUNCTION("""COMPUTED_VALUE"""),"ADMIN")</f>
        <v>ADMIN</v>
      </c>
      <c r="D266" s="196" t="str">
        <f>IFERROR(__xludf.DUMMYFUNCTION("""COMPUTED_VALUE"""),"DESK CHAIR (0.45DX0.45WX0.90H) 16 PCS.")</f>
        <v>DESK CHAIR (0.45DX0.45WX0.90H) 16 PCS.</v>
      </c>
      <c r="E266" s="196" t="str">
        <f>IFERROR(__xludf.DUMMYFUNCTION("""COMPUTED_VALUE"""),"CMLC ")</f>
        <v>CMLC </v>
      </c>
    </row>
    <row r="267">
      <c r="A267" s="234">
        <f>IFERROR(__xludf.DUMMYFUNCTION("""COMPUTED_VALUE"""),100559.0)</f>
        <v>100559</v>
      </c>
      <c r="B267" s="235" t="str">
        <f>IFERROR(__xludf.DUMMYFUNCTION("""COMPUTED_VALUE"""),"bokz calvendra")</f>
        <v>bokz calvendra</v>
      </c>
      <c r="C267" s="235" t="str">
        <f>IFERROR(__xludf.DUMMYFUNCTION("""COMPUTED_VALUE"""),"ADMIN")</f>
        <v>ADMIN</v>
      </c>
      <c r="D267" s="196" t="str">
        <f>IFERROR(__xludf.DUMMYFUNCTION("""COMPUTED_VALUE"""),"TEACHERS CHAIRS 3 PCS.")</f>
        <v>TEACHERS CHAIRS 3 PCS.</v>
      </c>
      <c r="E267" s="196" t="str">
        <f>IFERROR(__xludf.DUMMYFUNCTION("""COMPUTED_VALUE"""),"CMLC ")</f>
        <v>CMLC </v>
      </c>
    </row>
    <row r="268">
      <c r="A268" s="234">
        <f>IFERROR(__xludf.DUMMYFUNCTION("""COMPUTED_VALUE"""),100560.0)</f>
        <v>100560</v>
      </c>
      <c r="B268" s="235" t="str">
        <f>IFERROR(__xludf.DUMMYFUNCTION("""COMPUTED_VALUE"""),"bokz calvendra")</f>
        <v>bokz calvendra</v>
      </c>
      <c r="C268" s="235" t="str">
        <f>IFERROR(__xludf.DUMMYFUNCTION("""COMPUTED_VALUE"""),"ADMIN")</f>
        <v>ADMIN</v>
      </c>
      <c r="D268" s="196" t="str">
        <f>IFERROR(__xludf.DUMMYFUNCTION("""COMPUTED_VALUE"""),"TEACHERS DESK 3PCS.")</f>
        <v>TEACHERS DESK 3PCS.</v>
      </c>
      <c r="E268" s="196" t="str">
        <f>IFERROR(__xludf.DUMMYFUNCTION("""COMPUTED_VALUE"""),"CMLC ")</f>
        <v>CMLC </v>
      </c>
    </row>
    <row r="269">
      <c r="A269" s="234">
        <f>IFERROR(__xludf.DUMMYFUNCTION("""COMPUTED_VALUE"""),100561.0)</f>
        <v>100561</v>
      </c>
      <c r="B269" s="235" t="str">
        <f>IFERROR(__xludf.DUMMYFUNCTION("""COMPUTED_VALUE"""),"bokz calvendra")</f>
        <v>bokz calvendra</v>
      </c>
      <c r="C269" s="235" t="str">
        <f>IFERROR(__xludf.DUMMYFUNCTION("""COMPUTED_VALUE"""),"ADMIN")</f>
        <v>ADMIN</v>
      </c>
      <c r="D269" s="196" t="str">
        <f>IFERROR(__xludf.DUMMYFUNCTION("""COMPUTED_VALUE"""),"BIG TISSUE ROLL 10PCS.")</f>
        <v>BIG TISSUE ROLL 10PCS.</v>
      </c>
      <c r="E269" s="196" t="str">
        <f>IFERROR(__xludf.DUMMYFUNCTION("""COMPUTED_VALUE"""),"CMLC ")</f>
        <v>CMLC </v>
      </c>
    </row>
    <row r="270">
      <c r="A270" s="234">
        <f>IFERROR(__xludf.DUMMYFUNCTION("""COMPUTED_VALUE"""),100562.0)</f>
        <v>100562</v>
      </c>
      <c r="B270" s="235" t="str">
        <f>IFERROR(__xludf.DUMMYFUNCTION("""COMPUTED_VALUE"""),"KATE TAPEL")</f>
        <v>KATE TAPEL</v>
      </c>
      <c r="C270" s="235" t="str">
        <f>IFERROR(__xludf.DUMMYFUNCTION("""COMPUTED_VALUE"""),"PRESIDENT'S OFFICE")</f>
        <v>PRESIDENT'S OFFICE</v>
      </c>
      <c r="D270" s="196" t="str">
        <f>IFERROR(__xludf.DUMMYFUNCTION("""COMPUTED_VALUE"""),"TRODAT FOR : SHEREE H. ESPINOSA, KATELYN T. TAPEL, AMI B. SALUNGUIT, TALA M. ALZONA, MARY JOY A. MARTINEZ, JORGE P. BALELA")</f>
        <v>TRODAT FOR : SHEREE H. ESPINOSA, KATELYN T. TAPEL, AMI B. SALUNGUIT, TALA M. ALZONA, MARY JOY A. MARTINEZ, JORGE P. BALELA</v>
      </c>
      <c r="E270" s="196" t="str">
        <f>IFERROR(__xludf.DUMMYFUNCTION("""COMPUTED_VALUE"""),"FOR OFFICE USE")</f>
        <v>FOR OFFICE USE</v>
      </c>
    </row>
    <row r="271">
      <c r="A271" s="234">
        <f>IFERROR(__xludf.DUMMYFUNCTION("""COMPUTED_VALUE"""),100563.0)</f>
        <v>100563</v>
      </c>
      <c r="B271" s="235" t="str">
        <f>IFERROR(__xludf.DUMMYFUNCTION("""COMPUTED_VALUE"""),"ALFA DE LEON")</f>
        <v>ALFA DE LEON</v>
      </c>
      <c r="C271" s="235" t="str">
        <f>IFERROR(__xludf.DUMMYFUNCTION("""COMPUTED_VALUE"""),"ADMIN")</f>
        <v>ADMIN</v>
      </c>
      <c r="D271" s="196" t="str">
        <f>IFERROR(__xludf.DUMMYFUNCTION("""COMPUTED_VALUE"""),"TOKENS FOR CAMPUS GUIDES 10 PCS , TOKENS FOR 5- STRAR AUDITORS 34 PCS")</f>
        <v>TOKENS FOR CAMPUS GUIDES 10 PCS , TOKENS FOR 5- STRAR AUDITORS 34 PCS</v>
      </c>
      <c r="E271" s="196" t="str">
        <f>IFERROR(__xludf.DUMMYFUNCTION("""COMPUTED_VALUE"""),"TOKENS FOR SGEN 5 STARS AUDITORS OF CAMPUS GUIDE")</f>
        <v>TOKENS FOR SGEN 5 STARS AUDITORS OF CAMPUS GUIDE</v>
      </c>
    </row>
    <row r="272">
      <c r="A272" s="234">
        <f>IFERROR(__xludf.DUMMYFUNCTION("""COMPUTED_VALUE"""),100564.0)</f>
        <v>100564</v>
      </c>
      <c r="B272" s="235" t="str">
        <f>IFERROR(__xludf.DUMMYFUNCTION("""COMPUTED_VALUE"""),"bokz calvendra")</f>
        <v>bokz calvendra</v>
      </c>
      <c r="C272" s="235" t="str">
        <f>IFERROR(__xludf.DUMMYFUNCTION("""COMPUTED_VALUE"""),"ADMIN")</f>
        <v>ADMIN</v>
      </c>
      <c r="D272" s="196" t="str">
        <f>IFERROR(__xludf.DUMMYFUNCTION("""COMPUTED_VALUE"""),"SIDE TABLE 2 PCS.")</f>
        <v>SIDE TABLE 2 PCS.</v>
      </c>
      <c r="E272" s="196" t="str">
        <f>IFERROR(__xludf.DUMMYFUNCTION("""COMPUTED_VALUE"""),"FOR BRIC RM.")</f>
        <v>FOR BRIC RM.</v>
      </c>
    </row>
    <row r="273">
      <c r="A273" s="234">
        <f>IFERROR(__xludf.DUMMYFUNCTION("""COMPUTED_VALUE"""),100565.0)</f>
        <v>100565</v>
      </c>
      <c r="B273" s="235" t="str">
        <f>IFERROR(__xludf.DUMMYFUNCTION("""COMPUTED_VALUE"""),"bokz calvendra")</f>
        <v>bokz calvendra</v>
      </c>
      <c r="C273" s="235" t="str">
        <f>IFERROR(__xludf.DUMMYFUNCTION("""COMPUTED_VALUE"""),"ADMIN")</f>
        <v>ADMIN</v>
      </c>
      <c r="D273" s="196" t="str">
        <f>IFERROR(__xludf.DUMMYFUNCTION("""COMPUTED_VALUE"""),"0.70D X 2.40W X 1.05H BAR TABLE 2PCS.")</f>
        <v>0.70D X 2.40W X 1.05H BAR TABLE 2PCS.</v>
      </c>
      <c r="E273" s="196" t="str">
        <f>IFERROR(__xludf.DUMMYFUNCTION("""COMPUTED_VALUE"""),"FOR BRIC PRESENTATION RM.")</f>
        <v>FOR BRIC PRESENTATION RM.</v>
      </c>
    </row>
    <row r="274">
      <c r="A274" s="234">
        <f>IFERROR(__xludf.DUMMYFUNCTION("""COMPUTED_VALUE"""),100566.0)</f>
        <v>100566</v>
      </c>
      <c r="B274" s="235" t="str">
        <f>IFERROR(__xludf.DUMMYFUNCTION("""COMPUTED_VALUE"""),"bokz calvendra")</f>
        <v>bokz calvendra</v>
      </c>
      <c r="C274" s="235" t="str">
        <f>IFERROR(__xludf.DUMMYFUNCTION("""COMPUTED_VALUE"""),"ADMIN")</f>
        <v>ADMIN</v>
      </c>
      <c r="D274" s="196" t="str">
        <f>IFERROR(__xludf.DUMMYFUNCTION("""COMPUTED_VALUE"""),"OFFICE CHAIR 12PCS.")</f>
        <v>OFFICE CHAIR 12PCS.</v>
      </c>
      <c r="E274" s="196" t="str">
        <f>IFERROR(__xludf.DUMMYFUNCTION("""COMPUTED_VALUE"""),"FOR BRIC PRESENTATION RM.")</f>
        <v>FOR BRIC PRESENTATION RM.</v>
      </c>
    </row>
    <row r="275">
      <c r="A275" s="234">
        <f>IFERROR(__xludf.DUMMYFUNCTION("""COMPUTED_VALUE"""),100567.0)</f>
        <v>100567</v>
      </c>
      <c r="B275" s="235" t="str">
        <f>IFERROR(__xludf.DUMMYFUNCTION("""COMPUTED_VALUE"""),"bokz calvendra")</f>
        <v>bokz calvendra</v>
      </c>
      <c r="C275" s="235" t="str">
        <f>IFERROR(__xludf.DUMMYFUNCTION("""COMPUTED_VALUE"""),"ADMIN")</f>
        <v>ADMIN</v>
      </c>
      <c r="D275" s="196" t="str">
        <f>IFERROR(__xludf.DUMMYFUNCTION("""COMPUTED_VALUE"""),"0.90mD X 1.80mW X 0.75m H TABLE 2 PCS.")</f>
        <v>0.90mD X 1.80mW X 0.75m H TABLE 2 PCS.</v>
      </c>
      <c r="E275" s="196" t="str">
        <f>IFERROR(__xludf.DUMMYFUNCTION("""COMPUTED_VALUE"""),"FOR BRIC PRESENTATION RM.")</f>
        <v>FOR BRIC PRESENTATION RM.</v>
      </c>
    </row>
    <row r="276">
      <c r="A276" s="234">
        <f>IFERROR(__xludf.DUMMYFUNCTION("""COMPUTED_VALUE"""),100568.0)</f>
        <v>100568</v>
      </c>
      <c r="B276" s="235" t="str">
        <f>IFERROR(__xludf.DUMMYFUNCTION("""COMPUTED_VALUE"""),"bokz calvendra")</f>
        <v>bokz calvendra</v>
      </c>
      <c r="C276" s="235" t="str">
        <f>IFERROR(__xludf.DUMMYFUNCTION("""COMPUTED_VALUE"""),"ADMIN")</f>
        <v>ADMIN</v>
      </c>
      <c r="D276" s="196" t="str">
        <f>IFERROR(__xludf.DUMMYFUNCTION("""COMPUTED_VALUE"""),"TROFFER LIGHT 6PCS")</f>
        <v>TROFFER LIGHT 6PCS</v>
      </c>
      <c r="E276" s="196" t="str">
        <f>IFERROR(__xludf.DUMMYFUNCTION("""COMPUTED_VALUE"""),"FOR 2ND FLR. LIGHTING")</f>
        <v>FOR 2ND FLR. LIGHTING</v>
      </c>
    </row>
    <row r="277">
      <c r="A277" s="234">
        <f>IFERROR(__xludf.DUMMYFUNCTION("""COMPUTED_VALUE"""),100569.0)</f>
        <v>100569</v>
      </c>
      <c r="B277" s="235" t="str">
        <f>IFERROR(__xludf.DUMMYFUNCTION("""COMPUTED_VALUE"""),"MARVIN DOMASIAN")</f>
        <v>MARVIN DOMASIAN</v>
      </c>
      <c r="C277" s="235" t="str">
        <f>IFERROR(__xludf.DUMMYFUNCTION("""COMPUTED_VALUE"""),"AV/MIS")</f>
        <v>AV/MIS</v>
      </c>
      <c r="D277" s="196" t="str">
        <f>IFERROR(__xludf.DUMMYFUNCTION("""COMPUTED_VALUE"""),"RECHAREABLE AA BATTERIES (ENELOOP) 8 PCS ")</f>
        <v>RECHAREABLE AA BATTERIES (ENELOOP) 8 PCS </v>
      </c>
      <c r="E277" s="196" t="str">
        <f>IFERROR(__xludf.DUMMYFUNCTION("""COMPUTED_VALUE"""),"FOR LAPELS &amp; WIRELESS MICROPHONES")</f>
        <v>FOR LAPELS &amp; WIRELESS MICROPHONES</v>
      </c>
    </row>
    <row r="278">
      <c r="A278" s="234">
        <f>IFERROR(__xludf.DUMMYFUNCTION("""COMPUTED_VALUE"""),100570.0)</f>
        <v>100570</v>
      </c>
      <c r="B278" s="235" t="str">
        <f>IFERROR(__xludf.DUMMYFUNCTION("""COMPUTED_VALUE"""),"MARVIN DOMASIAN")</f>
        <v>MARVIN DOMASIAN</v>
      </c>
      <c r="C278" s="235" t="str">
        <f>IFERROR(__xludf.DUMMYFUNCTION("""COMPUTED_VALUE"""),"AV/MIS")</f>
        <v>AV/MIS</v>
      </c>
      <c r="D278" s="196" t="str">
        <f>IFERROR(__xludf.DUMMYFUNCTION("""COMPUTED_VALUE"""),"STUDIO DIVA LIGHT BULBS 4 PCS")</f>
        <v>STUDIO DIVA LIGHT BULBS 4 PCS</v>
      </c>
      <c r="E278" s="196" t="str">
        <f>IFERROR(__xludf.DUMMYFUNCTION("""COMPUTED_VALUE"""),"TO REPLACE BUSTED LAMPS 4 PCS")</f>
        <v>TO REPLACE BUSTED LAMPS 4 PCS</v>
      </c>
    </row>
    <row r="279">
      <c r="A279" s="234">
        <f>IFERROR(__xludf.DUMMYFUNCTION("""COMPUTED_VALUE"""),100571.0)</f>
        <v>100571</v>
      </c>
      <c r="B279" s="235" t="str">
        <f>IFERROR(__xludf.DUMMYFUNCTION("""COMPUTED_VALUE"""),"CHRISTIAN ANDRES")</f>
        <v>CHRISTIAN ANDRES</v>
      </c>
      <c r="C279" s="235" t="str">
        <f>IFERROR(__xludf.DUMMYFUNCTION("""COMPUTED_VALUE"""),"PR &amp; MARKETING")</f>
        <v>PR &amp; MARKETING</v>
      </c>
      <c r="D279" s="196" t="str">
        <f>IFERROR(__xludf.DUMMYFUNCTION("""COMPUTED_VALUE"""),"NURSING AT TARP 1.5 X 3.5 METERS 1 PC")</f>
        <v>NURSING AT TARP 1.5 X 3.5 METERS 1 PC</v>
      </c>
      <c r="E279" s="196" t="str">
        <f>IFERROR(__xludf.DUMMYFUNCTION("""COMPUTED_VALUE"""),"FOR MARKETING")</f>
        <v>FOR MARKETING</v>
      </c>
    </row>
    <row r="280">
      <c r="A280" s="234">
        <f>IFERROR(__xludf.DUMMYFUNCTION("""COMPUTED_VALUE"""),100572.0)</f>
        <v>100572</v>
      </c>
      <c r="B280" s="235" t="str">
        <f>IFERROR(__xludf.DUMMYFUNCTION("""COMPUTED_VALUE"""),"ALFA DE LEON")</f>
        <v>ALFA DE LEON</v>
      </c>
      <c r="C280" s="235" t="str">
        <f>IFERROR(__xludf.DUMMYFUNCTION("""COMPUTED_VALUE"""),"ADMIN - MUNICH")</f>
        <v>ADMIN - MUNICH</v>
      </c>
      <c r="D280" s="196" t="str">
        <f>IFERROR(__xludf.DUMMYFUNCTION("""COMPUTED_VALUE"""),"ORBIT FANS (ASAHI) 3 PCS")</f>
        <v>ORBIT FANS (ASAHI) 3 PCS</v>
      </c>
      <c r="E280" s="196" t="str">
        <f>IFERROR(__xludf.DUMMYFUNCTION("""COMPUTED_VALUE"""),"REPLACEMENT OF BROKEN / UNREPAIRABLE ORBIT FANS - OUTDOOR PLAYGROUND ")</f>
        <v>REPLACEMENT OF BROKEN / UNREPAIRABLE ORBIT FANS - OUTDOOR PLAYGROUND </v>
      </c>
    </row>
    <row r="281">
      <c r="A281" s="234">
        <f>IFERROR(__xludf.DUMMYFUNCTION("""COMPUTED_VALUE"""),100573.0)</f>
        <v>100573</v>
      </c>
      <c r="B281" s="235" t="str">
        <f>IFERROR(__xludf.DUMMYFUNCTION("""COMPUTED_VALUE"""),"RONEL CALVENDRA ")</f>
        <v>RONEL CALVENDRA </v>
      </c>
      <c r="C281" s="235" t="str">
        <f>IFERROR(__xludf.DUMMYFUNCTION("""COMPUTED_VALUE"""),"HOUSEKEEPING")</f>
        <v>HOUSEKEEPING</v>
      </c>
      <c r="D281" s="196" t="str">
        <f>IFERROR(__xludf.DUMMYFUNCTION("""COMPUTED_VALUE"""),"ACOUSTIC BOARD FINE FISSURED  ARMSTRONG - 2FT X 4FT 50 PCS")</f>
        <v>ACOUSTIC BOARD FINE FISSURED  ARMSTRONG - 2FT X 4FT 50 PCS</v>
      </c>
      <c r="E281" s="196" t="str">
        <f>IFERROR(__xludf.DUMMYFUNCTION("""COMPUTED_VALUE"""),"REPALCEMENT OF STAINED ACOUSTIC IN BED COLLEGE AND TROPICAL BLDG  ")</f>
        <v>REPALCEMENT OF STAINED ACOUSTIC IN BED COLLEGE AND TROPICAL BLDG  </v>
      </c>
    </row>
    <row r="282">
      <c r="A282" s="234">
        <f>IFERROR(__xludf.DUMMYFUNCTION("""COMPUTED_VALUE"""),100574.0)</f>
        <v>100574</v>
      </c>
      <c r="B282" s="235" t="str">
        <f>IFERROR(__xludf.DUMMYFUNCTION("""COMPUTED_VALUE"""),"ALFA DE LEON")</f>
        <v>ALFA DE LEON</v>
      </c>
      <c r="C282" s="235" t="str">
        <f>IFERROR(__xludf.DUMMYFUNCTION("""COMPUTED_VALUE"""),"ADMIN - MUNICH")</f>
        <v>ADMIN - MUNICH</v>
      </c>
      <c r="D282" s="196" t="str">
        <f>IFERROR(__xludf.DUMMYFUNCTION("""COMPUTED_VALUE"""),"GRASS TURF 4M X 25 M 1 PC ")</f>
        <v>GRASS TURF 4M X 25 M 1 PC </v>
      </c>
      <c r="E282" s="196" t="str">
        <f>IFERROR(__xludf.DUMMYFUNCTION("""COMPUTED_VALUE"""),"FOR INDOOR PLAYGROUND IN MUNICH")</f>
        <v>FOR INDOOR PLAYGROUND IN MUNICH</v>
      </c>
    </row>
    <row r="283">
      <c r="A283" s="234">
        <f>IFERROR(__xludf.DUMMYFUNCTION("""COMPUTED_VALUE"""),100575.0)</f>
        <v>100575</v>
      </c>
      <c r="B283" s="235" t="str">
        <f>IFERROR(__xludf.DUMMYFUNCTION("""COMPUTED_VALUE"""),"PHEN PETIN")</f>
        <v>PHEN PETIN</v>
      </c>
      <c r="C283" s="235" t="str">
        <f>IFERROR(__xludf.DUMMYFUNCTION("""COMPUTED_VALUE"""),"ADMIN - STAR")</f>
        <v>ADMIN - STAR</v>
      </c>
      <c r="D283" s="196" t="str">
        <f>IFERROR(__xludf.DUMMYFUNCTION("""COMPUTED_VALUE"""),"LED PANEL LIGHT DAYLIGHTS 12 W AC 180 265V 15 PCS , LED 6 WATTS DAY LIGHTS 9 PCS")</f>
        <v>LED PANEL LIGHT DAYLIGHTS 12 W AC 180 265V 15 PCS , LED 6 WATTS DAY LIGHTS 9 PCS</v>
      </c>
      <c r="E283" s="196" t="str">
        <f>IFERROR(__xludf.DUMMYFUNCTION("""COMPUTED_VALUE"""),"FOR LEARNING VILLAGE")</f>
        <v>FOR LEARNING VILLAGE</v>
      </c>
    </row>
    <row r="284">
      <c r="A284" s="234">
        <f>IFERROR(__xludf.DUMMYFUNCTION("""COMPUTED_VALUE"""),100576.0)</f>
        <v>100576</v>
      </c>
      <c r="B284" s="235" t="str">
        <f>IFERROR(__xludf.DUMMYFUNCTION("""COMPUTED_VALUE"""),"ROMAN BALUYOT")</f>
        <v>ROMAN BALUYOT</v>
      </c>
      <c r="C284" s="235" t="str">
        <f>IFERROR(__xludf.DUMMYFUNCTION("""COMPUTED_VALUE"""),"PR &amp; MARKETING")</f>
        <v>PR &amp; MARKETING</v>
      </c>
      <c r="D284" s="196" t="str">
        <f>IFERROR(__xludf.DUMMYFUNCTION("""COMPUTED_VALUE"""),"AFSL TARP 6.5 FT BY 13.5 FT (THIS WAS PRINTED ALREADY BUT WASN'T PAID) ")</f>
        <v>AFSL TARP 6.5 FT BY 13.5 FT (THIS WAS PRINTED ALREADY BUT WASN'T PAID) </v>
      </c>
      <c r="E284" s="196" t="str">
        <f>IFERROR(__xludf.DUMMYFUNCTION("""COMPUTED_VALUE"""),"AFSL")</f>
        <v>AFSL</v>
      </c>
    </row>
    <row r="285">
      <c r="A285" s="234">
        <f>IFERROR(__xludf.DUMMYFUNCTION("""COMPUTED_VALUE"""),100577.0)</f>
        <v>100577</v>
      </c>
      <c r="B285" s="235" t="str">
        <f>IFERROR(__xludf.DUMMYFUNCTION("""COMPUTED_VALUE"""),"FEROL SAMANTHA")</f>
        <v>FEROL SAMANTHA</v>
      </c>
      <c r="C285" s="235" t="str">
        <f>IFERROR(__xludf.DUMMYFUNCTION("""COMPUTED_VALUE"""),"LIBRARY COLLEGE")</f>
        <v>LIBRARY COLLEGE</v>
      </c>
      <c r="D285" s="196" t="str">
        <f>IFERROR(__xludf.DUMMYFUNCTION("""COMPUTED_VALUE"""),"WIRED / COLORED TELEPHONE (PANASONIC KX - TS500 SINGLE LINE CORDED TELEPHONE PABX PANASONIC SYSTEM TELEPHONE")</f>
        <v>WIRED / COLORED TELEPHONE (PANASONIC KX - TS500 SINGLE LINE CORDED TELEPHONE PABX PANASONIC SYSTEM TELEPHONE</v>
      </c>
      <c r="E285" s="196" t="str">
        <f>IFERROR(__xludf.DUMMYFUNCTION("""COMPUTED_VALUE"""),"TO REPLACE DAMAGED WIRED TELEPHONE FROM LIBRARY ")</f>
        <v>TO REPLACE DAMAGED WIRED TELEPHONE FROM LIBRARY </v>
      </c>
    </row>
    <row r="286">
      <c r="A286" s="234">
        <f>IFERROR(__xludf.DUMMYFUNCTION("""COMPUTED_VALUE"""),100578.0)</f>
        <v>100578</v>
      </c>
      <c r="B286" s="235" t="str">
        <f>IFERROR(__xludf.DUMMYFUNCTION("""COMPUTED_VALUE"""),"LUCILLE BEYER ")</f>
        <v>LUCILLE BEYER </v>
      </c>
      <c r="C286" s="235" t="str">
        <f>IFERROR(__xludf.DUMMYFUNCTION("""COMPUTED_VALUE"""),"MEDICAL")</f>
        <v>MEDICAL</v>
      </c>
      <c r="D286" s="196" t="str">
        <f>IFERROR(__xludf.DUMMYFUNCTION("""COMPUTED_VALUE"""),"0.9 NSS 50 ML 10 PCS , ARM SLING 4 PCS , BP APP SET (MANUAL) 3 PCS , BP APP SET(DIGITAL) 1 PC , BROWN BAG 1 PC, ISOPROPYL ALCOHOL 1 GAL 70% 8 PCS , COTTON ROLLS 5 PCS , ELASTIC BANDAGE 3"" 25 PCS , ELASTIC BANDAGE 5 "" 20 PCS , FACE MASK 20 PCS , GAUZE BA"&amp;"NDAGE 20 PCS , GAUZE CLEAN 20 PCS , GAUZE STERILE 2 PCS , GLOVES CLEAN 5 PCS , HOT BAG 600 ML 6 PCS , HYDROGEN PEROXIDE 500ML 20 PCS , MEDICINE TRAY 4 PCS , MICROPORE 10 PCS , NEBULIZER (PORTABLE) 1 PC , NEBULIZER 1 PC, PENLIGHT 4 PCS, POVIDONE IODINE 14 "&amp;"PCS , PULSE OXIMTER 2 PCS , STERISTRIPS 3 PCS , THERMOMETER SCAN 3 PCS , TONGUE DEPRESSOR ( STERILE/ CLEAN) 6 PCS")</f>
        <v>0.9 NSS 50 ML 10 PCS , ARM SLING 4 PCS , BP APP SET (MANUAL) 3 PCS , BP APP SET(DIGITAL) 1 PC , BROWN BAG 1 PC, ISOPROPYL ALCOHOL 1 GAL 70% 8 PCS , COTTON ROLLS 5 PCS , ELASTIC BANDAGE 3" 25 PCS , ELASTIC BANDAGE 5 " 20 PCS , FACE MASK 20 PCS , GAUZE BANDAGE 20 PCS , GAUZE CLEAN 20 PCS , GAUZE STERILE 2 PCS , GLOVES CLEAN 5 PCS , HOT BAG 600 ML 6 PCS , HYDROGEN PEROXIDE 500ML 20 PCS , MEDICINE TRAY 4 PCS , MICROPORE 10 PCS , NEBULIZER (PORTABLE) 1 PC , NEBULIZER 1 PC, PENLIGHT 4 PCS, POVIDONE IODINE 14 PCS , PULSE OXIMTER 2 PCS , STERISTRIPS 3 PCS , THERMOMETER SCAN 3 PCS , TONGUE DEPRESSOR ( STERILE/ CLEAN) 6 PCS</v>
      </c>
      <c r="E286" s="196" t="str">
        <f>IFERROR(__xludf.DUMMYFUNCTION("""COMPUTED_VALUE"""),"FOR CLINIC SUPPLIES FOR THE YEAR OF 2019 - 2020")</f>
        <v>FOR CLINIC SUPPLIES FOR THE YEAR OF 2019 - 2020</v>
      </c>
    </row>
    <row r="287">
      <c r="A287" s="234">
        <f>IFERROR(__xludf.DUMMYFUNCTION("""COMPUTED_VALUE"""),100579.0)</f>
        <v>100579</v>
      </c>
      <c r="B287" s="235" t="str">
        <f>IFERROR(__xludf.DUMMYFUNCTION("""COMPUTED_VALUE"""),"OWIE PAR")</f>
        <v>OWIE PAR</v>
      </c>
      <c r="C287" s="235" t="str">
        <f>IFERROR(__xludf.DUMMYFUNCTION("""COMPUTED_VALUE"""),"ENGINEERING")</f>
        <v>ENGINEERING</v>
      </c>
      <c r="D287" s="196" t="str">
        <f>IFERROR(__xludf.DUMMYFUNCTION("""COMPUTED_VALUE"""),"POWER SPRAYER 1 SETS, POWER SPRAYER HOSE 50 METER OUTDOOR 1 SET, POWER SPRAY HOSE 20 METER INDOOR 1 SET, POWER SPRAY GUN 1 SET")</f>
        <v>POWER SPRAYER 1 SETS, POWER SPRAYER HOSE 50 METER OUTDOOR 1 SET, POWER SPRAY HOSE 20 METER INDOOR 1 SET, POWER SPRAY GUN 1 SET</v>
      </c>
      <c r="E287" s="196" t="str">
        <f>IFERROR(__xludf.DUMMYFUNCTION("""COMPUTED_VALUE"""),"FOR A.C.U")</f>
        <v>FOR A.C.U</v>
      </c>
    </row>
    <row r="288">
      <c r="A288" s="234">
        <f>IFERROR(__xludf.DUMMYFUNCTION("""COMPUTED_VALUE"""),100580.0)</f>
        <v>100580</v>
      </c>
      <c r="B288" s="235" t="str">
        <f>IFERROR(__xludf.DUMMYFUNCTION("""COMPUTED_VALUE"""),"RONALD A. OBLENO")</f>
        <v>RONALD A. OBLENO</v>
      </c>
      <c r="C288" s="235" t="str">
        <f>IFERROR(__xludf.DUMMYFUNCTION("""COMPUTED_VALUE"""),"AV/MIS")</f>
        <v>AV/MIS</v>
      </c>
      <c r="D288" s="196" t="str">
        <f>IFERROR(__xludf.DUMMYFUNCTION("""COMPUTED_VALUE"""),"DESKTOP SWITCH 8 PORT TP- LINK GIGABIT SWITCH 2 PCS")</f>
        <v>DESKTOP SWITCH 8 PORT TP- LINK GIGABIT SWITCH 2 PCS</v>
      </c>
      <c r="E288" s="196" t="str">
        <f>IFERROR(__xludf.DUMMYFUNCTION("""COMPUTED_VALUE"""),"ADDITIONAL NETWORK CONNECTION IN CEM &amp; PURCHASING DEPT")</f>
        <v>ADDITIONAL NETWORK CONNECTION IN CEM &amp; PURCHASING DEPT</v>
      </c>
    </row>
    <row r="289">
      <c r="A289" s="234">
        <f>IFERROR(__xludf.DUMMYFUNCTION("""COMPUTED_VALUE"""),100581.0)</f>
        <v>100581</v>
      </c>
      <c r="B289" s="235" t="str">
        <f>IFERROR(__xludf.DUMMYFUNCTION("""COMPUTED_VALUE"""),"RONALD A. OBLENO")</f>
        <v>RONALD A. OBLENO</v>
      </c>
      <c r="C289" s="235" t="str">
        <f>IFERROR(__xludf.DUMMYFUNCTION("""COMPUTED_VALUE"""),"AV/MIS")</f>
        <v>AV/MIS</v>
      </c>
      <c r="D289" s="196" t="str">
        <f>IFERROR(__xludf.DUMMYFUNCTION("""COMPUTED_VALUE"""),"CISCO SG95-24 1 PC")</f>
        <v>CISCO SG95-24 1 PC</v>
      </c>
      <c r="E289" s="196" t="str">
        <f>IFERROR(__xludf.DUMMYFUNCTION("""COMPUTED_VALUE"""),"NETWORK SWITCH IN STAR CAMPUS NEW COMLAB")</f>
        <v>NETWORK SWITCH IN STAR CAMPUS NEW COMLAB</v>
      </c>
    </row>
    <row r="290">
      <c r="A290" s="234">
        <f>IFERROR(__xludf.DUMMYFUNCTION("""COMPUTED_VALUE"""),100582.0)</f>
        <v>100582</v>
      </c>
      <c r="B290" s="235" t="str">
        <f>IFERROR(__xludf.DUMMYFUNCTION("""COMPUTED_VALUE"""),"APRIL D. TRAJICO")</f>
        <v>APRIL D. TRAJICO</v>
      </c>
      <c r="C290" s="235" t="str">
        <f>IFERROR(__xludf.DUMMYFUNCTION("""COMPUTED_VALUE"""),"AMD")</f>
        <v>AMD</v>
      </c>
      <c r="D290" s="196" t="str">
        <f>IFERROR(__xludf.DUMMYFUNCTION("""COMPUTED_VALUE"""),"TONER, CARTRIDGE INKONVERT TN660 FOR BROTHER HL-L2300 10 PCS")</f>
        <v>TONER, CARTRIDGE INKONVERT TN660 FOR BROTHER HL-L2300 10 PCS</v>
      </c>
      <c r="E290" s="196" t="str">
        <f>IFERROR(__xludf.DUMMYFUNCTION("""COMPUTED_VALUE"""),"STOCK REPLENISHMENT - OSSUP")</f>
        <v>STOCK REPLENISHMENT - OSSUP</v>
      </c>
    </row>
    <row r="291">
      <c r="A291" s="234">
        <f>IFERROR(__xludf.DUMMYFUNCTION("""COMPUTED_VALUE"""),100583.0)</f>
        <v>100583</v>
      </c>
      <c r="B291" s="235" t="str">
        <f>IFERROR(__xludf.DUMMYFUNCTION("""COMPUTED_VALUE"""),"APRIL D. TRAJICO")</f>
        <v>APRIL D. TRAJICO</v>
      </c>
      <c r="C291" s="235" t="str">
        <f>IFERROR(__xludf.DUMMYFUNCTION("""COMPUTED_VALUE"""),"AMD")</f>
        <v>AMD</v>
      </c>
      <c r="D291" s="196" t="str">
        <f>IFERROR(__xludf.DUMMYFUNCTION("""COMPUTED_VALUE"""),"TISSUE, ROLL BATH 2PLY (SANICARE) 480 PCS")</f>
        <v>TISSUE, ROLL BATH 2PLY (SANICARE) 480 PCS</v>
      </c>
      <c r="E291" s="196" t="str">
        <f>IFERROR(__xludf.DUMMYFUNCTION("""COMPUTED_VALUE"""),"STOCK REPLENISHMENT - OSSUP")</f>
        <v>STOCK REPLENISHMENT - OSSUP</v>
      </c>
    </row>
    <row r="292">
      <c r="A292" s="234">
        <f>IFERROR(__xludf.DUMMYFUNCTION("""COMPUTED_VALUE"""),100584.0)</f>
        <v>100584</v>
      </c>
      <c r="B292" s="235" t="str">
        <f>IFERROR(__xludf.DUMMYFUNCTION("""COMPUTED_VALUE"""),"APRIL D. TRAJICO")</f>
        <v>APRIL D. TRAJICO</v>
      </c>
      <c r="C292" s="235" t="str">
        <f>IFERROR(__xludf.DUMMYFUNCTION("""COMPUTED_VALUE"""),"AMD")</f>
        <v>AMD</v>
      </c>
      <c r="D292" s="196" t="str">
        <f>IFERROR(__xludf.DUMMYFUNCTION("""COMPUTED_VALUE"""),"CLEARBOOK, UNREFILLABLE 40'S LONG 48 PCS, HIGHLIGHTER STABILO BLUE 10 PCS , HIGHLIGHTER STABILO YELLOW 15 PCS , BALLPEN DONG -A MY GEL BLUE 0.5 20 PCS")</f>
        <v>CLEARBOOK, UNREFILLABLE 40'S LONG 48 PCS, HIGHLIGHTER STABILO BLUE 10 PCS , HIGHLIGHTER STABILO YELLOW 15 PCS , BALLPEN DONG -A MY GEL BLUE 0.5 20 PCS</v>
      </c>
      <c r="E292" s="196" t="str">
        <f>IFERROR(__xludf.DUMMYFUNCTION("""COMPUTED_VALUE"""),"STOCK REPLENISHMENT - OSSUP")</f>
        <v>STOCK REPLENISHMENT - OSSUP</v>
      </c>
    </row>
    <row r="293">
      <c r="A293" s="234">
        <f>IFERROR(__xludf.DUMMYFUNCTION("""COMPUTED_VALUE"""),100585.0)</f>
        <v>100585</v>
      </c>
      <c r="B293" s="235" t="str">
        <f>IFERROR(__xludf.DUMMYFUNCTION("""COMPUTED_VALUE"""),"PHEN PETIN")</f>
        <v>PHEN PETIN</v>
      </c>
      <c r="C293" s="235" t="str">
        <f>IFERROR(__xludf.DUMMYFUNCTION("""COMPUTED_VALUE"""),"ADMIN - STAR")</f>
        <v>ADMIN - STAR</v>
      </c>
      <c r="D293" s="196" t="str">
        <f>IFERROR(__xludf.DUMMYFUNCTION("""COMPUTED_VALUE"""),"TROFFER LIGHTS (LED) 60 X 60 24 PCS")</f>
        <v>TROFFER LIGHTS (LED) 60 X 60 24 PCS</v>
      </c>
      <c r="E293" s="196" t="str">
        <f>IFERROR(__xludf.DUMMYFUNCTION("""COMPUTED_VALUE"""),"FOR COMPUTER LABORATORY AND PULL OUT ROOM")</f>
        <v>FOR COMPUTER LABORATORY AND PULL OUT ROOM</v>
      </c>
    </row>
    <row r="294">
      <c r="A294" s="234">
        <f>IFERROR(__xludf.DUMMYFUNCTION("""COMPUTED_VALUE"""),100586.0)</f>
        <v>100586</v>
      </c>
      <c r="B294" s="235" t="str">
        <f>IFERROR(__xludf.DUMMYFUNCTION("""COMPUTED_VALUE"""),"jacqueline samsona")</f>
        <v>jacqueline samsona</v>
      </c>
      <c r="C294" s="235" t="str">
        <f>IFERROR(__xludf.DUMMYFUNCTION("""COMPUTED_VALUE"""),"SCIENCE LAB COLLEGE")</f>
        <v>SCIENCE LAB COLLEGE</v>
      </c>
      <c r="D294" s="196" t="str">
        <f>IFERROR(__xludf.DUMMYFUNCTION("""COMPUTED_VALUE"""),"bolt w/ nut 3/8"" x 1"" 10pcs. / bolt w/nut 3/8"" x 4"" 10pcs./ washer #3/8"" x 1"" 8 pcs. / washer #3/8"" x 4"" 10pcs.")</f>
        <v>bolt w/ nut 3/8" x 1" 10pcs. / bolt w/nut 3/8" x 4" 10pcs./ washer #3/8" x 1" 8 pcs. / washer #3/8" x 4" 10pcs.</v>
      </c>
      <c r="E294" s="196" t="str">
        <f>IFERROR(__xludf.DUMMYFUNCTION("""COMPUTED_VALUE"""),"for patient bed repair")</f>
        <v>for patient bed repair</v>
      </c>
    </row>
    <row r="295">
      <c r="A295" s="234">
        <f>IFERROR(__xludf.DUMMYFUNCTION("""COMPUTED_VALUE"""),100587.0)</f>
        <v>100587</v>
      </c>
      <c r="B295" s="235" t="str">
        <f>IFERROR(__xludf.DUMMYFUNCTION("""COMPUTED_VALUE"""),"samantha FEROL")</f>
        <v>samantha FEROL</v>
      </c>
      <c r="C295" s="235" t="str">
        <f>IFERROR(__xludf.DUMMYFUNCTION("""COMPUTED_VALUE"""),"LIBRARY COLLEGE")</f>
        <v>LIBRARY COLLEGE</v>
      </c>
      <c r="D295" s="196" t="str">
        <f>IFERROR(__xludf.DUMMYFUNCTION("""COMPUTED_VALUE"""),"hotel operations management 3rd edition 1pc.")</f>
        <v>hotel operations management 3rd edition 1pc.</v>
      </c>
      <c r="E295" s="196" t="str">
        <f>IFERROR(__xludf.DUMMYFUNCTION("""COMPUTED_VALUE"""),"FOR PACUCOA LEVEL 4 ACCREDITATION BOOK ACQUISITION")</f>
        <v>FOR PACUCOA LEVEL 4 ACCREDITATION BOOK ACQUISITION</v>
      </c>
    </row>
    <row r="296">
      <c r="A296" s="234">
        <f>IFERROR(__xludf.DUMMYFUNCTION("""COMPUTED_VALUE"""),100588.0)</f>
        <v>100588</v>
      </c>
      <c r="B296" s="235" t="str">
        <f>IFERROR(__xludf.DUMMYFUNCTION("""COMPUTED_VALUE"""),"LUCILLE BEYER ")</f>
        <v>LUCILLE BEYER </v>
      </c>
      <c r="C296" s="235" t="str">
        <f>IFERROR(__xludf.DUMMYFUNCTION("""COMPUTED_VALUE"""),"MEDICAL")</f>
        <v>MEDICAL</v>
      </c>
      <c r="D296" s="196" t="str">
        <f>IFERROR(__xludf.DUMMYFUNCTION("""COMPUTED_VALUE"""),"32 items of medicine ")</f>
        <v>32 items of medicine </v>
      </c>
      <c r="E296" s="196" t="str">
        <f>IFERROR(__xludf.DUMMYFUNCTION("""COMPUTED_VALUE"""),"for clinic supplies replenishment")</f>
        <v>for clinic supplies replenishment</v>
      </c>
    </row>
    <row r="297">
      <c r="A297" s="234">
        <f>IFERROR(__xludf.DUMMYFUNCTION("""COMPUTED_VALUE"""),100589.0)</f>
        <v>100589</v>
      </c>
      <c r="B297" s="235" t="str">
        <f>IFERROR(__xludf.DUMMYFUNCTION("""COMPUTED_VALUE"""),"BOKZ CALVENDRA")</f>
        <v>BOKZ CALVENDRA</v>
      </c>
      <c r="C297" s="235" t="str">
        <f>IFERROR(__xludf.DUMMYFUNCTION("""COMPUTED_VALUE"""),"ADMIN - LUX")</f>
        <v>ADMIN - LUX</v>
      </c>
      <c r="D297" s="196" t="str">
        <f>IFERROR(__xludf.DUMMYFUNCTION("""COMPUTED_VALUE"""),"BAR TABLE F-2 0.90D X 1.80W  1.05H 3 PCS , TABLE F-4 0.90D X 1.80W X 0.75H 3 PCS ")</f>
        <v>BAR TABLE F-2 0.90D X 1.80W  1.05H 3 PCS , TABLE F-4 0.90D X 1.80W X 0.75H 3 PCS </v>
      </c>
      <c r="E297" s="196" t="str">
        <f>IFERROR(__xludf.DUMMYFUNCTION("""COMPUTED_VALUE""")," BRICS ROOM USE")</f>
        <v> BRICS ROOM USE</v>
      </c>
    </row>
    <row r="298">
      <c r="A298" s="234">
        <f>IFERROR(__xludf.DUMMYFUNCTION("""COMPUTED_VALUE"""),100590.0)</f>
        <v>100590</v>
      </c>
      <c r="B298" s="235" t="str">
        <f>IFERROR(__xludf.DUMMYFUNCTION("""COMPUTED_VALUE"""),"KATE TAPEL")</f>
        <v>KATE TAPEL</v>
      </c>
      <c r="C298" s="235" t="str">
        <f>IFERROR(__xludf.DUMMYFUNCTION("""COMPUTED_VALUE"""),"PRESIDENT'S OFFICE")</f>
        <v>PRESIDENT'S OFFICE</v>
      </c>
      <c r="D298" s="196" t="str">
        <f>IFERROR(__xludf.DUMMYFUNCTION("""COMPUTED_VALUE"""),"CALLING CARD (JOCELYN P. TIZON) 2 BOXES")</f>
        <v>CALLING CARD (JOCELYN P. TIZON) 2 BOXES</v>
      </c>
      <c r="E298" s="196" t="str">
        <f>IFERROR(__xludf.DUMMYFUNCTION("""COMPUTED_VALUE"""),"FOR MS. JO REPRINTING OF CALLING CARD")</f>
        <v>FOR MS. JO REPRINTING OF CALLING CARD</v>
      </c>
    </row>
    <row r="299">
      <c r="A299" s="234">
        <f>IFERROR(__xludf.DUMMYFUNCTION("""COMPUTED_VALUE"""),100591.0)</f>
        <v>100591</v>
      </c>
      <c r="B299" s="235" t="str">
        <f>IFERROR(__xludf.DUMMYFUNCTION("""COMPUTED_VALUE"""),"WEN CHARLS MAC MAC")</f>
        <v>WEN CHARLS MAC MAC</v>
      </c>
      <c r="C299" s="235" t="str">
        <f>IFERROR(__xludf.DUMMYFUNCTION("""COMPUTED_VALUE"""),"REGISTRATION")</f>
        <v>REGISTRATION</v>
      </c>
      <c r="D299" s="196" t="str">
        <f>IFERROR(__xludf.DUMMYFUNCTION("""COMPUTED_VALUE"""),"TOR PAPER ( BASIC ED) 5 REAMS")</f>
        <v>TOR PAPER ( BASIC ED) 5 REAMS</v>
      </c>
      <c r="E299" s="196" t="str">
        <f>IFERROR(__xludf.DUMMYFUNCTION("""COMPUTED_VALUE"""),"FOR OFFICE SUPPLY")</f>
        <v>FOR OFFICE SUPPLY</v>
      </c>
    </row>
    <row r="300">
      <c r="A300" s="234">
        <f>IFERROR(__xludf.DUMMYFUNCTION("""COMPUTED_VALUE"""),100592.0)</f>
        <v>100592</v>
      </c>
      <c r="B300" s="235" t="str">
        <f>IFERROR(__xludf.DUMMYFUNCTION("""COMPUTED_VALUE"""),"ROJO CATEQUISTA")</f>
        <v>ROJO CATEQUISTA</v>
      </c>
      <c r="C300" s="235" t="str">
        <f>IFERROR(__xludf.DUMMYFUNCTION("""COMPUTED_VALUE"""),"STUFFSHOP")</f>
        <v>STUFFSHOP</v>
      </c>
      <c r="D300" s="196" t="str">
        <f>IFERROR(__xludf.DUMMYFUNCTION("""COMPUTED_VALUE"""),"LENOVO IDEAPAD 13- AMD A6 1 PC")</f>
        <v>LENOVO IDEAPAD 13- AMD A6 1 PC</v>
      </c>
      <c r="E300" s="196" t="str">
        <f>IFERROR(__xludf.DUMMYFUNCTION("""COMPUTED_VALUE"""),"GADGET APPLIANCE LOAN OF MICHAEL GRAVAMEN")</f>
        <v>GADGET APPLIANCE LOAN OF MICHAEL GRAVAMEN</v>
      </c>
    </row>
    <row r="301">
      <c r="A301" s="234">
        <f>IFERROR(__xludf.DUMMYFUNCTION("""COMPUTED_VALUE"""),100593.0)</f>
        <v>100593</v>
      </c>
      <c r="B301" s="235" t="str">
        <f>IFERROR(__xludf.DUMMYFUNCTION("""COMPUTED_VALUE"""),"ROJO CATEQUISTA")</f>
        <v>ROJO CATEQUISTA</v>
      </c>
      <c r="C301" s="235" t="str">
        <f>IFERROR(__xludf.DUMMYFUNCTION("""COMPUTED_VALUE"""),"STUFFSHOP")</f>
        <v>STUFFSHOP</v>
      </c>
      <c r="D301" s="196" t="str">
        <f>IFERROR(__xludf.DUMMYFUNCTION("""COMPUTED_VALUE"""),"LENOVO IDEAPAD 13- AMD A6 1 PC")</f>
        <v>LENOVO IDEAPAD 13- AMD A6 1 PC</v>
      </c>
      <c r="E301" s="196" t="str">
        <f>IFERROR(__xludf.DUMMYFUNCTION("""COMPUTED_VALUE"""),"GADGET APPLIANCE LOAN OF KAREN INTANO")</f>
        <v>GADGET APPLIANCE LOAN OF KAREN INTANO</v>
      </c>
    </row>
    <row r="302">
      <c r="A302" s="234">
        <f>IFERROR(__xludf.DUMMYFUNCTION("""COMPUTED_VALUE"""),100594.0)</f>
        <v>100594</v>
      </c>
      <c r="B302" s="235" t="str">
        <f>IFERROR(__xludf.DUMMYFUNCTION("""COMPUTED_VALUE"""),"TOM TONGOHAN")</f>
        <v>TOM TONGOHAN</v>
      </c>
      <c r="C302" s="235" t="str">
        <f>IFERROR(__xludf.DUMMYFUNCTION("""COMPUTED_VALUE"""),"FACILITIES")</f>
        <v>FACILITIES</v>
      </c>
      <c r="D302" s="196" t="str">
        <f>IFERROR(__xludf.DUMMYFUNCTION("""COMPUTED_VALUE"""),"TROFFER LIGHT 60 CM X 120 CM AVAILABLE IN WILCON DEPOT IN ALABANG ZAPOTE ROAD (TOYOTA) 18 PCS")</f>
        <v>TROFFER LIGHT 60 CM X 120 CM AVAILABLE IN WILCON DEPOT IN ALABANG ZAPOTE ROAD (TOYOTA) 18 PCS</v>
      </c>
      <c r="E302" s="196" t="str">
        <f>IFERROR(__xludf.DUMMYFUNCTION("""COMPUTED_VALUE"""),"FOR CMLC CLASSROOM")</f>
        <v>FOR CMLC CLASSROOM</v>
      </c>
    </row>
    <row r="303">
      <c r="A303" s="234">
        <f>IFERROR(__xludf.DUMMYFUNCTION("""COMPUTED_VALUE"""),100595.0)</f>
        <v>100595</v>
      </c>
      <c r="B303" s="235" t="str">
        <f>IFERROR(__xludf.DUMMYFUNCTION("""COMPUTED_VALUE"""),"ROMAN BALUYOT")</f>
        <v>ROMAN BALUYOT</v>
      </c>
      <c r="C303" s="235" t="str">
        <f>IFERROR(__xludf.DUMMYFUNCTION("""COMPUTED_VALUE"""),"PR &amp; MARKETING")</f>
        <v>PR &amp; MARKETING</v>
      </c>
      <c r="D303" s="196" t="str">
        <f>IFERROR(__xludf.DUMMYFUNCTION("""COMPUTED_VALUE"""),"UNIVERSITIES 10  20 1 PC")</f>
        <v>UNIVERSITIES 10  20 1 PC</v>
      </c>
      <c r="E303" s="196" t="str">
        <f>IFERROR(__xludf.DUMMYFUNCTION("""COMPUTED_VALUE"""),"PR MARKETING")</f>
        <v>PR MARKETING</v>
      </c>
    </row>
    <row r="304">
      <c r="A304" s="234">
        <f>IFERROR(__xludf.DUMMYFUNCTION("""COMPUTED_VALUE"""),100596.0)</f>
        <v>100596</v>
      </c>
      <c r="B304" s="235" t="str">
        <f>IFERROR(__xludf.DUMMYFUNCTION("""COMPUTED_VALUE"""),"ROMAN BALUYOT")</f>
        <v>ROMAN BALUYOT</v>
      </c>
      <c r="C304" s="235" t="str">
        <f>IFERROR(__xludf.DUMMYFUNCTION("""COMPUTED_VALUE"""),"PR &amp; MARKETING")</f>
        <v>PR &amp; MARKETING</v>
      </c>
      <c r="D304" s="196" t="str">
        <f>IFERROR(__xludf.DUMMYFUNCTION("""COMPUTED_VALUE"""),"XIOMI REDMI NOTE 7 FOR VR SCHOOL PRESS. 2PCS")</f>
        <v>XIOMI REDMI NOTE 7 FOR VR SCHOOL PRESS. 2PCS</v>
      </c>
      <c r="E304" s="196" t="str">
        <f>IFERROR(__xludf.DUMMYFUNCTION("""COMPUTED_VALUE"""),"MARKETING PURPOSES")</f>
        <v>MARKETING PURPOSES</v>
      </c>
    </row>
    <row r="305">
      <c r="A305" s="234">
        <f>IFERROR(__xludf.DUMMYFUNCTION("""COMPUTED_VALUE"""),100597.0)</f>
        <v>100597</v>
      </c>
      <c r="B305" s="235" t="str">
        <f>IFERROR(__xludf.DUMMYFUNCTION("""COMPUTED_VALUE"""),"ROMAN BALUYOT")</f>
        <v>ROMAN BALUYOT</v>
      </c>
      <c r="C305" s="235" t="str">
        <f>IFERROR(__xludf.DUMMYFUNCTION("""COMPUTED_VALUE"""),"PR &amp; MARKETING")</f>
        <v>PR &amp; MARKETING</v>
      </c>
      <c r="D305" s="196" t="str">
        <f>IFERROR(__xludf.DUMMYFUNCTION("""COMPUTED_VALUE"""),"DR. PARK CONGRATULATORY TARP STANDARD CONGRATULATORY  1 PC")</f>
        <v>DR. PARK CONGRATULATORY TARP STANDARD CONGRATULATORY  1 PC</v>
      </c>
      <c r="E305" s="196" t="str">
        <f>IFERROR(__xludf.DUMMYFUNCTION("""COMPUTED_VALUE"""),"PR MARKETING")</f>
        <v>PR MARKETING</v>
      </c>
    </row>
    <row r="306">
      <c r="A306" s="234">
        <f>IFERROR(__xludf.DUMMYFUNCTION("""COMPUTED_VALUE"""),100598.0)</f>
        <v>100598</v>
      </c>
      <c r="B306" s="235" t="str">
        <f>IFERROR(__xludf.DUMMYFUNCTION("""COMPUTED_VALUE"""),"RONALD VERDE")</f>
        <v>RONALD VERDE</v>
      </c>
      <c r="C306" s="235" t="str">
        <f>IFERROR(__xludf.DUMMYFUNCTION("""COMPUTED_VALUE"""),"TRANSPORTATION")</f>
        <v>TRANSPORTATION</v>
      </c>
      <c r="D306" s="196" t="str">
        <f>IFERROR(__xludf.DUMMYFUNCTION("""COMPUTED_VALUE"""),"3 SMF MOTOLITE BATTERY 2 PCS")</f>
        <v>3 SMF MOTOLITE BATTERY 2 PCS</v>
      </c>
      <c r="E306" s="196" t="str">
        <f>IFERROR(__xludf.DUMMYFUNCTION("""COMPUTED_VALUE"""),"PREVENTIVE MAINTENANCE FOR SISC COASTER ")</f>
        <v>PREVENTIVE MAINTENANCE FOR SISC COASTER </v>
      </c>
    </row>
    <row r="307">
      <c r="A307" s="234">
        <f>IFERROR(__xludf.DUMMYFUNCTION("""COMPUTED_VALUE"""),100599.0)</f>
        <v>100599</v>
      </c>
      <c r="B307" s="235" t="str">
        <f>IFERROR(__xludf.DUMMYFUNCTION("""COMPUTED_VALUE"""),"LEOPOLDO BELOY")</f>
        <v>LEOPOLDO BELOY</v>
      </c>
      <c r="C307" s="235" t="str">
        <f>IFERROR(__xludf.DUMMYFUNCTION("""COMPUTED_VALUE"""),"AV/MIS")</f>
        <v>AV/MIS</v>
      </c>
      <c r="D307" s="196" t="str">
        <f>IFERROR(__xludf.DUMMYFUNCTION("""COMPUTED_VALUE"""),"PROJECTOR EPSON BRAND 1 PC")</f>
        <v>PROJECTOR EPSON BRAND 1 PC</v>
      </c>
      <c r="E307" s="196" t="str">
        <f>IFERROR(__xludf.DUMMYFUNCTION("""COMPUTED_VALUE"""),"FOR REPLACEMENT OF BUSTED UNIT  IN ROOM 306 MUNICH")</f>
        <v>FOR REPLACEMENT OF BUSTED UNIT  IN ROOM 306 MUNICH</v>
      </c>
    </row>
    <row r="308">
      <c r="A308" s="234">
        <f>IFERROR(__xludf.DUMMYFUNCTION("""COMPUTED_VALUE"""),100600.0)</f>
        <v>100600</v>
      </c>
      <c r="B308" s="235" t="str">
        <f>IFERROR(__xludf.DUMMYFUNCTION("""COMPUTED_VALUE"""),"LEOPOLDO BELOY")</f>
        <v>LEOPOLDO BELOY</v>
      </c>
      <c r="C308" s="235" t="str">
        <f>IFERROR(__xludf.DUMMYFUNCTION("""COMPUTED_VALUE"""),"AV/MIS")</f>
        <v>AV/MIS</v>
      </c>
      <c r="D308" s="196" t="str">
        <f>IFERROR(__xludf.DUMMYFUNCTION("""COMPUTED_VALUE"""),"VGA PANEL 15 UNIT , VGA PORT 30 UNIT , BLANK COVER 50 UNIT")</f>
        <v>VGA PANEL 15 UNIT , VGA PORT 30 UNIT , BLANK COVER 50 UNIT</v>
      </c>
      <c r="E308" s="196" t="str">
        <f>IFERROR(__xludf.DUMMYFUNCTION("""COMPUTED_VALUE"""),"REPLACEMENT OF DAMAGED &amp; DEFECTIVE PANEL &amp; PORT")</f>
        <v>REPLACEMENT OF DAMAGED &amp; DEFECTIVE PANEL &amp; PORT</v>
      </c>
    </row>
    <row r="309">
      <c r="A309" s="234">
        <f>IFERROR(__xludf.DUMMYFUNCTION("""COMPUTED_VALUE"""),100601.0)</f>
        <v>100601</v>
      </c>
      <c r="B309" s="235" t="str">
        <f>IFERROR(__xludf.DUMMYFUNCTION("""COMPUTED_VALUE"""),"ROMAN BALUYOT")</f>
        <v>ROMAN BALUYOT</v>
      </c>
      <c r="C309" s="235" t="str">
        <f>IFERROR(__xludf.DUMMYFUNCTION("""COMPUTED_VALUE"""),"PR &amp; MARKETING")</f>
        <v>PR &amp; MARKETING</v>
      </c>
      <c r="D309" s="196" t="str">
        <f>IFERROR(__xludf.DUMMYFUNCTION("""COMPUTED_VALUE"""),"GENERIC FLYER (SISC X SISFU) 3000 PCS , FOR REPRINTING 8.5 X 5.5 INCHES BACK TO BACK ")</f>
        <v>GENERIC FLYER (SISC X SISFU) 3000 PCS , FOR REPRINTING 8.5 X 5.5 INCHES BACK TO BACK </v>
      </c>
      <c r="E309" s="196" t="str">
        <f>IFERROR(__xludf.DUMMYFUNCTION("""COMPUTED_VALUE"""),"FOR PROGRAM")</f>
        <v>FOR PROGRAM</v>
      </c>
    </row>
    <row r="310">
      <c r="A310" s="234">
        <f>IFERROR(__xludf.DUMMYFUNCTION("""COMPUTED_VALUE"""),100602.0)</f>
        <v>100602</v>
      </c>
      <c r="B310" s="235" t="str">
        <f>IFERROR(__xludf.DUMMYFUNCTION("""COMPUTED_VALUE"""),"ROMAN BALUYOT")</f>
        <v>ROMAN BALUYOT</v>
      </c>
      <c r="C310" s="235" t="str">
        <f>IFERROR(__xludf.DUMMYFUNCTION("""COMPUTED_VALUE"""),"PR &amp; MARKETING")</f>
        <v>PR &amp; MARKETING</v>
      </c>
      <c r="D310" s="196" t="str">
        <f>IFERROR(__xludf.DUMMYFUNCTION("""COMPUTED_VALUE"""),"1 PC STANDARD CONGRATULATORY TARP 6X9 BUT PUNTED 7X10 WITH ALLOWANCE NO EYELET AND SEAMING")</f>
        <v>1 PC STANDARD CONGRATULATORY TARP 6X9 BUT PUNTED 7X10 WITH ALLOWANCE NO EYELET AND SEAMING</v>
      </c>
      <c r="E310" s="196" t="str">
        <f>IFERROR(__xludf.DUMMYFUNCTION("""COMPUTED_VALUE"""),"FOR MARKETING")</f>
        <v>FOR MARKETING</v>
      </c>
    </row>
    <row r="311">
      <c r="A311" s="234">
        <f>IFERROR(__xludf.DUMMYFUNCTION("""COMPUTED_VALUE"""),100603.0)</f>
        <v>100603</v>
      </c>
      <c r="B311" s="235" t="str">
        <f>IFERROR(__xludf.DUMMYFUNCTION("""COMPUTED_VALUE"""),"sheree espinosa")</f>
        <v>sheree espinosa</v>
      </c>
      <c r="C311" s="235" t="str">
        <f>IFERROR(__xludf.DUMMYFUNCTION("""COMPUTED_VALUE"""),"ADMIN - LUX")</f>
        <v>ADMIN - LUX</v>
      </c>
      <c r="D311" s="196" t="str">
        <f>IFERROR(__xludf.DUMMYFUNCTION("""COMPUTED_VALUE"""),"sticker for 5th floor classroom wall 3pcs.")</f>
        <v>sticker for 5th floor classroom wall 3pcs.</v>
      </c>
      <c r="E311" s="196" t="str">
        <f>IFERROR(__xludf.DUMMYFUNCTION("""COMPUTED_VALUE"""),"classroom design")</f>
        <v>classroom design</v>
      </c>
    </row>
    <row r="312">
      <c r="A312" s="234">
        <f>IFERROR(__xludf.DUMMYFUNCTION("""COMPUTED_VALUE"""),100604.0)</f>
        <v>100604</v>
      </c>
      <c r="B312" s="235" t="str">
        <f>IFERROR(__xludf.DUMMYFUNCTION("""COMPUTED_VALUE"""),"MP LOPEZ")</f>
        <v>MP LOPEZ</v>
      </c>
      <c r="C312" s="235" t="str">
        <f>IFERROR(__xludf.DUMMYFUNCTION("""COMPUTED_VALUE"""),"DISCIPLINE BED")</f>
        <v>DISCIPLINE BED</v>
      </c>
      <c r="D312" s="196" t="str">
        <f>IFERROR(__xludf.DUMMYFUNCTION("""COMPUTED_VALUE"""),"STUDENT HAND BOOK AY 2019 - 2020  , 5.5"" X 8.5 100 PAGES 1750 PCS")</f>
        <v>STUDENT HAND BOOK AY 2019 - 2020  , 5.5" X 8.5 100 PAGES 1750 PCS</v>
      </c>
      <c r="E312" s="196" t="str">
        <f>IFERROR(__xludf.DUMMYFUNCTION("""COMPUTED_VALUE"""),"HANDBOOK FOR 19-20")</f>
        <v>HANDBOOK FOR 19-20</v>
      </c>
    </row>
    <row r="313">
      <c r="A313" s="234">
        <f>IFERROR(__xludf.DUMMYFUNCTION("""COMPUTED_VALUE"""),100605.0)</f>
        <v>100605</v>
      </c>
      <c r="B313" s="235" t="str">
        <f>IFERROR(__xludf.DUMMYFUNCTION("""COMPUTED_VALUE"""),"NOLIE DURAN")</f>
        <v>NOLIE DURAN</v>
      </c>
      <c r="C313" s="235" t="str">
        <f>IFERROR(__xludf.DUMMYFUNCTION("""COMPUTED_VALUE"""),"STUDENT AFFAIRS COLLEGE")</f>
        <v>STUDENT AFFAIRS COLLEGE</v>
      </c>
      <c r="D313" s="196" t="str">
        <f>IFERROR(__xludf.DUMMYFUNCTION("""COMPUTED_VALUE"""),"TARPAULINS: GRIT &amp; GROWTH MINDSET (CHANGE THE OLD TAPS)")</f>
        <v>TARPAULINS: GRIT &amp; GROWTH MINDSET (CHANGE THE OLD TAPS)</v>
      </c>
      <c r="E313" s="196" t="str">
        <f>IFERROR(__xludf.DUMMYFUNCTION("""COMPUTED_VALUE"""),"FOR CHANGE OF OLD TAPS")</f>
        <v>FOR CHANGE OF OLD TAPS</v>
      </c>
    </row>
    <row r="314">
      <c r="A314" s="234">
        <f>IFERROR(__xludf.DUMMYFUNCTION("""COMPUTED_VALUE"""),100606.0)</f>
        <v>100606</v>
      </c>
      <c r="B314" s="235" t="str">
        <f>IFERROR(__xludf.DUMMYFUNCTION("""COMPUTED_VALUE"""),"CHRISTIAN MARK MARBIBI")</f>
        <v>CHRISTIAN MARK MARBIBI</v>
      </c>
      <c r="C314" s="235" t="str">
        <f>IFERROR(__xludf.DUMMYFUNCTION("""COMPUTED_VALUE"""),"HOUSEKEEPING")</f>
        <v>HOUSEKEEPING</v>
      </c>
      <c r="D314" s="196" t="str">
        <f>IFERROR(__xludf.DUMMYFUNCTION("""COMPUTED_VALUE"""),"BAYGON WATER BASED INSECTKILLER 500 ML 15 PCS , HANDSOAP ANTI BACTERIAL RIVCHEM 50 PCS , RUBBER GLOVES 50 PCS ")</f>
        <v>BAYGON WATER BASED INSECTKILLER 500 ML 15 PCS , HANDSOAP ANTI BACTERIAL RIVCHEM 50 PCS , RUBBER GLOVES 50 PCS </v>
      </c>
      <c r="E314" s="196" t="str">
        <f>IFERROR(__xludf.DUMMYFUNCTION("""COMPUTED_VALUE"""),"STOCK REPLENISHMENT - HSKPG")</f>
        <v>STOCK REPLENISHMENT - HSKPG</v>
      </c>
    </row>
    <row r="315">
      <c r="A315" s="234">
        <f>IFERROR(__xludf.DUMMYFUNCTION("""COMPUTED_VALUE"""),100607.0)</f>
        <v>100607</v>
      </c>
      <c r="B315" s="235" t="str">
        <f>IFERROR(__xludf.DUMMYFUNCTION("""COMPUTED_VALUE"""),"CHRISTIAN MARK MARBIBI")</f>
        <v>CHRISTIAN MARK MARBIBI</v>
      </c>
      <c r="C315" s="235" t="str">
        <f>IFERROR(__xludf.DUMMYFUNCTION("""COMPUTED_VALUE"""),"HOUSEKEEPING")</f>
        <v>HOUSEKEEPING</v>
      </c>
      <c r="D315" s="196" t="str">
        <f>IFERROR(__xludf.DUMMYFUNCTION("""COMPUTED_VALUE"""),"FABRIC CONDITIONER (KING WASH) 20 ")</f>
        <v>FABRIC CONDITIONER (KING WASH) 20 </v>
      </c>
      <c r="E315" s="196" t="str">
        <f>IFERROR(__xludf.DUMMYFUNCTION("""COMPUTED_VALUE"""),"STOCK REPLENISHMENT - HSKPG")</f>
        <v>STOCK REPLENISHMENT - HSKPG</v>
      </c>
    </row>
    <row r="316">
      <c r="A316" s="234">
        <f>IFERROR(__xludf.DUMMYFUNCTION("""COMPUTED_VALUE"""),100608.0)</f>
        <v>100608</v>
      </c>
      <c r="B316" s="235" t="str">
        <f>IFERROR(__xludf.DUMMYFUNCTION("""COMPUTED_VALUE"""),"CHRISTIAN MARK MARBIBI")</f>
        <v>CHRISTIAN MARK MARBIBI</v>
      </c>
      <c r="C316" s="235" t="str">
        <f>IFERROR(__xludf.DUMMYFUNCTION("""COMPUTED_VALUE"""),"HOUSEKEEPING")</f>
        <v>HOUSEKEEPING</v>
      </c>
      <c r="D316" s="196" t="str">
        <f>IFERROR(__xludf.DUMMYFUNCTION("""COMPUTED_VALUE"""),"SWEET SUNSATION 8 PCS")</f>
        <v>SWEET SUNSATION 8 PCS</v>
      </c>
      <c r="E316" s="196" t="str">
        <f>IFERROR(__xludf.DUMMYFUNCTION("""COMPUTED_VALUE"""),"STOCK REPLENISHMENT - HSKPG")</f>
        <v>STOCK REPLENISHMENT - HSKPG</v>
      </c>
    </row>
    <row r="317">
      <c r="A317" s="234">
        <f>IFERROR(__xludf.DUMMYFUNCTION("""COMPUTED_VALUE"""),100609.0)</f>
        <v>100609</v>
      </c>
      <c r="B317" s="235" t="str">
        <f>IFERROR(__xludf.DUMMYFUNCTION("""COMPUTED_VALUE"""),"CHRISTIAN MARK MARBIBI")</f>
        <v>CHRISTIAN MARK MARBIBI</v>
      </c>
      <c r="C317" s="235" t="str">
        <f>IFERROR(__xludf.DUMMYFUNCTION("""COMPUTED_VALUE"""),"HOUSEKEEPING")</f>
        <v>HOUSEKEEPING</v>
      </c>
      <c r="D317" s="196" t="str">
        <f>IFERROR(__xludf.DUMMYFUNCTION("""COMPUTED_VALUE"""),"ODOR MASCANT (WISE CHOICE) 25 PCS")</f>
        <v>ODOR MASCANT (WISE CHOICE) 25 PCS</v>
      </c>
      <c r="E317" s="196" t="str">
        <f>IFERROR(__xludf.DUMMYFUNCTION("""COMPUTED_VALUE"""),"STOCK REPLENISHMENT - HSKPG")</f>
        <v>STOCK REPLENISHMENT - HSKPG</v>
      </c>
    </row>
    <row r="318">
      <c r="A318" s="234">
        <f>IFERROR(__xludf.DUMMYFUNCTION("""COMPUTED_VALUE"""),100610.0)</f>
        <v>100610</v>
      </c>
      <c r="B318" s="235" t="str">
        <f>IFERROR(__xludf.DUMMYFUNCTION("""COMPUTED_VALUE"""),"CHRISTIAN MARK MARBIBI")</f>
        <v>CHRISTIAN MARK MARBIBI</v>
      </c>
      <c r="C318" s="235" t="str">
        <f>IFERROR(__xludf.DUMMYFUNCTION("""COMPUTED_VALUE"""),"HOUSEKEEPING")</f>
        <v>HOUSEKEEPING</v>
      </c>
      <c r="D318" s="196" t="str">
        <f>IFERROR(__xludf.DUMMYFUNCTION("""COMPUTED_VALUE"""),"STATE LIME SOLVENT 10 PCS")</f>
        <v>STATE LIME SOLVENT 10 PCS</v>
      </c>
      <c r="E318" s="196" t="str">
        <f>IFERROR(__xludf.DUMMYFUNCTION("""COMPUTED_VALUE"""),"STOCK REPLENISHMENT - HSKPG")</f>
        <v>STOCK REPLENISHMENT - HSKPG</v>
      </c>
    </row>
    <row r="319">
      <c r="A319" s="234">
        <f>IFERROR(__xludf.DUMMYFUNCTION("""COMPUTED_VALUE"""),100611.0)</f>
        <v>100611</v>
      </c>
      <c r="B319" s="235" t="str">
        <f>IFERROR(__xludf.DUMMYFUNCTION("""COMPUTED_VALUE"""),"OWIE PAR")</f>
        <v>OWIE PAR</v>
      </c>
      <c r="C319" s="235" t="str">
        <f>IFERROR(__xludf.DUMMYFUNCTION("""COMPUTED_VALUE"""),"ENGINEERING")</f>
        <v>ENGINEERING</v>
      </c>
      <c r="D319" s="196" t="str">
        <f>IFERROR(__xludf.DUMMYFUNCTION("""COMPUTED_VALUE"""),"DAIKEN CEILING CASSETTE INVERTER 2.0 H.P 1 UNIT")</f>
        <v>DAIKEN CEILING CASSETTE INVERTER 2.0 H.P 1 UNIT</v>
      </c>
      <c r="E319" s="196" t="str">
        <f>IFERROR(__xludf.DUMMYFUNCTION("""COMPUTED_VALUE"""),"REPLACEMENT FOR CAPS BASIC ED TESTING AREA")</f>
        <v>REPLACEMENT FOR CAPS BASIC ED TESTING AREA</v>
      </c>
    </row>
    <row r="320">
      <c r="A320" s="234">
        <f>IFERROR(__xludf.DUMMYFUNCTION("""COMPUTED_VALUE"""),100612.0)</f>
        <v>100612</v>
      </c>
      <c r="B320" s="235" t="str">
        <f>IFERROR(__xludf.DUMMYFUNCTION("""COMPUTED_VALUE"""),"OWIE PAR")</f>
        <v>OWIE PAR</v>
      </c>
      <c r="C320" s="235" t="str">
        <f>IFERROR(__xludf.DUMMYFUNCTION("""COMPUTED_VALUE"""),"ENGINEERING")</f>
        <v>ENGINEERING</v>
      </c>
      <c r="D320" s="196" t="str">
        <f>IFERROR(__xludf.DUMMYFUNCTION("""COMPUTED_VALUE"""),"DAIKEN CEILING CASSETE INVERTER 6.0 H.P 1 UNIT ")</f>
        <v>DAIKEN CEILING CASSETE INVERTER 6.0 H.P 1 UNIT </v>
      </c>
      <c r="E320" s="196" t="str">
        <f>IFERROR(__xludf.DUMMYFUNCTION("""COMPUTED_VALUE"""),"REPLACEMENT FOR NURSING SKILL LAB COLLEGE BLDG")</f>
        <v>REPLACEMENT FOR NURSING SKILL LAB COLLEGE BLDG</v>
      </c>
    </row>
    <row r="321">
      <c r="A321" s="234">
        <f>IFERROR(__xludf.DUMMYFUNCTION("""COMPUTED_VALUE"""),100613.0)</f>
        <v>100613</v>
      </c>
      <c r="B321" s="235" t="str">
        <f>IFERROR(__xludf.DUMMYFUNCTION("""COMPUTED_VALUE"""),"EVA NOCOSIA")</f>
        <v>EVA NOCOSIA</v>
      </c>
      <c r="C321" s="235" t="str">
        <f>IFERROR(__xludf.DUMMYFUNCTION("""COMPUTED_VALUE"""),"FINANCE &amp; ACCOUNTING")</f>
        <v>FINANCE &amp; ACCOUNTING</v>
      </c>
      <c r="D321" s="196" t="str">
        <f>IFERROR(__xludf.DUMMYFUNCTION("""COMPUTED_VALUE"""),"TRODAT PRIORITY 4915 (SOUTHVILLE INTERNATIONAL SCHOOL &amp; COLLEGES 001 - 3 - 00165400 - 5")</f>
        <v>TRODAT PRIORITY 4915 (SOUTHVILLE INTERNATIONAL SCHOOL &amp; COLLEGES 001 - 3 - 00165400 - 5</v>
      </c>
      <c r="E321" s="196" t="str">
        <f>IFERROR(__xludf.DUMMYFUNCTION("""COMPUTED_VALUE"""),"FOR DOCUMENTATION")</f>
        <v>FOR DOCUMENTATION</v>
      </c>
    </row>
    <row r="322">
      <c r="A322" s="234">
        <f>IFERROR(__xludf.DUMMYFUNCTION("""COMPUTED_VALUE"""),100614.0)</f>
        <v>100614</v>
      </c>
      <c r="B322" s="235" t="str">
        <f>IFERROR(__xludf.DUMMYFUNCTION("""COMPUTED_VALUE"""),"MA. FELMA C. TRIA")</f>
        <v>MA. FELMA C. TRIA</v>
      </c>
      <c r="C322" s="235" t="str">
        <f>IFERROR(__xludf.DUMMYFUNCTION("""COMPUTED_VALUE"""),"AB COMM/MMA")</f>
        <v>AB COMM/MMA</v>
      </c>
      <c r="D322" s="196" t="str">
        <f>IFERROR(__xludf.DUMMYFUNCTION("""COMPUTED_VALUE"""),"BUSINESS CARD 2 BOXES")</f>
        <v>BUSINESS CARD 2 BOXES</v>
      </c>
      <c r="E322" s="196" t="str">
        <f>IFERROR(__xludf.DUMMYFUNCTION("""COMPUTED_VALUE"""),"BUSINESS CARD ")</f>
        <v>BUSINESS CARD </v>
      </c>
    </row>
    <row r="323">
      <c r="A323" s="234">
        <f>IFERROR(__xludf.DUMMYFUNCTION("""COMPUTED_VALUE"""),100615.0)</f>
        <v>100615</v>
      </c>
      <c r="B323" s="235" t="str">
        <f>IFERROR(__xludf.DUMMYFUNCTION("""COMPUTED_VALUE"""),"MARIELLE GALVEZ")</f>
        <v>MARIELLE GALVEZ</v>
      </c>
      <c r="C323" s="235" t="str">
        <f>IFERROR(__xludf.DUMMYFUNCTION("""COMPUTED_VALUE"""),"SPECIAL SUBJECTS")</f>
        <v>SPECIAL SUBJECTS</v>
      </c>
      <c r="D323" s="196" t="str">
        <f>IFERROR(__xludf.DUMMYFUNCTION("""COMPUTED_VALUE"""),"APRON 35PCS")</f>
        <v>APRON 35PCS</v>
      </c>
      <c r="E323" s="196" t="str">
        <f>IFERROR(__xludf.DUMMYFUNCTION("""COMPUTED_VALUE"""),"HE MATERIALS")</f>
        <v>HE MATERIALS</v>
      </c>
    </row>
    <row r="324">
      <c r="A324" s="234">
        <f>IFERROR(__xludf.DUMMYFUNCTION("""COMPUTED_VALUE"""),100616.0)</f>
        <v>100616</v>
      </c>
      <c r="B324" s="235" t="str">
        <f>IFERROR(__xludf.DUMMYFUNCTION("""COMPUTED_VALUE"""),"JOLO ARAMO")</f>
        <v>JOLO ARAMO</v>
      </c>
      <c r="C324" s="235" t="str">
        <f>IFERROR(__xludf.DUMMYFUNCTION("""COMPUTED_VALUE"""),"SPECIAL SUBJECTS")</f>
        <v>SPECIAL SUBJECTS</v>
      </c>
      <c r="D324" s="196" t="str">
        <f>IFERROR(__xludf.DUMMYFUNCTION("""COMPUTED_VALUE"""),"SIT AND REACH BOX TEST 1 PC , SKINFOLD CALIPER TEST 20 PCS , BAMBOO CASTANETS 30 PAIRS , JAPANESE PARASOL (UMBRELLA) 60 PCS , REACTION BALL (HEXAGONAL BALL) 20 PCS")</f>
        <v>SIT AND REACH BOX TEST 1 PC , SKINFOLD CALIPER TEST 20 PCS , BAMBOO CASTANETS 30 PAIRS , JAPANESE PARASOL (UMBRELLA) 60 PCS , REACTION BALL (HEXAGONAL BALL) 20 PCS</v>
      </c>
      <c r="E324" s="196" t="str">
        <f>IFERROR(__xludf.DUMMYFUNCTION("""COMPUTED_VALUE"""),"FOR PE CLASSES")</f>
        <v>FOR PE CLASSES</v>
      </c>
    </row>
    <row r="325">
      <c r="A325" s="234">
        <f>IFERROR(__xludf.DUMMYFUNCTION("""COMPUTED_VALUE"""),100617.0)</f>
        <v>100617</v>
      </c>
      <c r="B325" s="235" t="str">
        <f>IFERROR(__xludf.DUMMYFUNCTION("""COMPUTED_VALUE"""),"CHRISTIAN MARK MARBIBI")</f>
        <v>CHRISTIAN MARK MARBIBI</v>
      </c>
      <c r="C325" s="235" t="str">
        <f>IFERROR(__xludf.DUMMYFUNCTION("""COMPUTED_VALUE"""),"HOUSEKEEPING")</f>
        <v>HOUSEKEEPING</v>
      </c>
      <c r="D325" s="196" t="str">
        <f>IFERROR(__xludf.DUMMYFUNCTION("""COMPUTED_VALUE"""),"RAIN COAT 50 PCS")</f>
        <v>RAIN COAT 50 PCS</v>
      </c>
      <c r="E325" s="196" t="str">
        <f>IFERROR(__xludf.DUMMYFUNCTION("""COMPUTED_VALUE"""),"STOCK REPLENISHMENT - HSKPG")</f>
        <v>STOCK REPLENISHMENT - HSKPG</v>
      </c>
    </row>
    <row r="326">
      <c r="A326" s="234">
        <f>IFERROR(__xludf.DUMMYFUNCTION("""COMPUTED_VALUE"""),100618.0)</f>
        <v>100618</v>
      </c>
      <c r="B326" s="235" t="str">
        <f>IFERROR(__xludf.DUMMYFUNCTION("""COMPUTED_VALUE"""),"CHRISTIAN MARK MARBIBI")</f>
        <v>CHRISTIAN MARK MARBIBI</v>
      </c>
      <c r="C326" s="235" t="str">
        <f>IFERROR(__xludf.DUMMYFUNCTION("""COMPUTED_VALUE"""),"HOUSEKEEPING")</f>
        <v>HOUSEKEEPING</v>
      </c>
      <c r="D326" s="196" t="str">
        <f>IFERROR(__xludf.DUMMYFUNCTION("""COMPUTED_VALUE"""),"GEM TOILET BOWL CLEANER (RJM) 30 PCS")</f>
        <v>GEM TOILET BOWL CLEANER (RJM) 30 PCS</v>
      </c>
      <c r="E326" s="196" t="str">
        <f>IFERROR(__xludf.DUMMYFUNCTION("""COMPUTED_VALUE"""),"STOCK REPLENISHMENT - HSKPG")</f>
        <v>STOCK REPLENISHMENT - HSKPG</v>
      </c>
    </row>
    <row r="327">
      <c r="A327" s="234">
        <f>IFERROR(__xludf.DUMMYFUNCTION("""COMPUTED_VALUE"""),100619.0)</f>
        <v>100619</v>
      </c>
      <c r="B327" s="235" t="str">
        <f>IFERROR(__xludf.DUMMYFUNCTION("""COMPUTED_VALUE"""),"REA CELINE VILLA ")</f>
        <v>REA CELINE VILLA </v>
      </c>
      <c r="C327" s="235" t="str">
        <f>IFERROR(__xludf.DUMMYFUNCTION("""COMPUTED_VALUE"""),"ATHLETICS")</f>
        <v>ATHLETICS</v>
      </c>
      <c r="D327" s="196" t="str">
        <f>IFERROR(__xludf.DUMMYFUNCTION("""COMPUTED_VALUE"""),"VARSITY UNIFORMS GRADE SCHOOL VOLLEY BALL , GRADE SCHOOL FOOTBALL , GRADE SCHOOL BASKET BALL , HIGH SCHOOL VOLLEYBALL , HIGH SCHOOL FOOTBOOL, HIGH SCHOOL BASKETBALL , COLLGE VOLLEYBALL")</f>
        <v>VARSITY UNIFORMS GRADE SCHOOL VOLLEY BALL , GRADE SCHOOL FOOTBALL , GRADE SCHOOL BASKET BALL , HIGH SCHOOL VOLLEYBALL , HIGH SCHOOL FOOTBOOL, HIGH SCHOOL BASKETBALL , COLLGE VOLLEYBALL</v>
      </c>
      <c r="E327" s="196" t="str">
        <f>IFERROR(__xludf.DUMMYFUNCTION("""COMPUTED_VALUE"""),"VARSITY UNIFORMS 2019 -2020")</f>
        <v>VARSITY UNIFORMS 2019 -2020</v>
      </c>
    </row>
    <row r="328">
      <c r="A328" s="234">
        <f>IFERROR(__xludf.DUMMYFUNCTION("""COMPUTED_VALUE"""),100620.0)</f>
        <v>100620</v>
      </c>
      <c r="B328" s="235" t="str">
        <f>IFERROR(__xludf.DUMMYFUNCTION("""COMPUTED_VALUE"""),"CHRISTIAN MARK MARBIBI")</f>
        <v>CHRISTIAN MARK MARBIBI</v>
      </c>
      <c r="C328" s="235" t="str">
        <f>IFERROR(__xludf.DUMMYFUNCTION("""COMPUTED_VALUE"""),"HOUSEKEEPING")</f>
        <v>HOUSEKEEPING</v>
      </c>
      <c r="D328" s="196" t="str">
        <f>IFERROR(__xludf.DUMMYFUNCTION("""COMPUTED_VALUE"""),"TRASH BAG EXTRA EXTRALARGE (37X40) BLACK 100 PCS , TRASHBAG EXTRA LARGE BLACK 35 PCS , TRASHBAG EXTRA EXTRA LARGE GREEN 10 PCS , TRASH BAG EXTRA LARGE GREEN 10 PCS , TRASHBAG LARGE GREEN 5 PCS, TRASH BAG MEDIUM GREEN 5 PCS")</f>
        <v>TRASH BAG EXTRA EXTRALARGE (37X40) BLACK 100 PCS , TRASHBAG EXTRA LARGE BLACK 35 PCS , TRASHBAG EXTRA EXTRA LARGE GREEN 10 PCS , TRASH BAG EXTRA LARGE GREEN 10 PCS , TRASHBAG LARGE GREEN 5 PCS, TRASH BAG MEDIUM GREEN 5 PCS</v>
      </c>
      <c r="E328" s="196" t="str">
        <f>IFERROR(__xludf.DUMMYFUNCTION("""COMPUTED_VALUE"""),"STOCK REPLENISHMENT - HSKPG")</f>
        <v>STOCK REPLENISHMENT - HSKPG</v>
      </c>
    </row>
    <row r="329">
      <c r="A329" s="234">
        <f>IFERROR(__xludf.DUMMYFUNCTION("""COMPUTED_VALUE"""),100621.0)</f>
        <v>100621</v>
      </c>
      <c r="B329" s="235" t="str">
        <f>IFERROR(__xludf.DUMMYFUNCTION("""COMPUTED_VALUE"""),"APOLLO MANCE")</f>
        <v>APOLLO MANCE</v>
      </c>
      <c r="C329" s="235" t="str">
        <f>IFERROR(__xludf.DUMMYFUNCTION("""COMPUTED_VALUE"""),"ENGINEERING")</f>
        <v>ENGINEERING</v>
      </c>
      <c r="D329" s="196" t="str">
        <f>IFERROR(__xludf.DUMMYFUNCTION("""COMPUTED_VALUE"""),"LED BUB 8WATTS DAYLIGHT 100PCS.")</f>
        <v>LED BUB 8WATTS DAYLIGHT 100PCS.</v>
      </c>
      <c r="E329" s="196" t="str">
        <f>IFERROR(__xludf.DUMMYFUNCTION("""COMPUTED_VALUE"""),"STOCK REPLENISHMENT ")</f>
        <v>STOCK REPLENISHMENT </v>
      </c>
    </row>
    <row r="330">
      <c r="A330" s="234">
        <f>IFERROR(__xludf.DUMMYFUNCTION("""COMPUTED_VALUE"""),100622.0)</f>
        <v>100622</v>
      </c>
      <c r="B330" s="235" t="str">
        <f>IFERROR(__xludf.DUMMYFUNCTION("""COMPUTED_VALUE"""),"MAJ TOMAS")</f>
        <v>MAJ TOMAS</v>
      </c>
      <c r="C330" s="235" t="str">
        <f>IFERROR(__xludf.DUMMYFUNCTION("""COMPUTED_VALUE"""),"ACCREDITATION")</f>
        <v>ACCREDITATION</v>
      </c>
      <c r="D330" s="196" t="str">
        <f>IFERROR(__xludf.DUMMYFUNCTION("""COMPUTED_VALUE"""),"TARPAULIN WITH STANDEE (EVERYDAY IS PACUCOA DAY) SISZE 2.5  5.5 8 PCS")</f>
        <v>TARPAULIN WITH STANDEE (EVERYDAY IS PACUCOA DAY) SISZE 2.5  5.5 8 PCS</v>
      </c>
      <c r="E330" s="196" t="str">
        <f>IFERROR(__xludf.DUMMYFUNCTION("""COMPUTED_VALUE"""),"FOR PACUCOA USE")</f>
        <v>FOR PACUCOA USE</v>
      </c>
    </row>
    <row r="331">
      <c r="A331" s="234">
        <f>IFERROR(__xludf.DUMMYFUNCTION("""COMPUTED_VALUE"""),100623.0)</f>
        <v>100623</v>
      </c>
      <c r="B331" s="235" t="str">
        <f>IFERROR(__xludf.DUMMYFUNCTION("""COMPUTED_VALUE"""),"ALFA DE LEON")</f>
        <v>ALFA DE LEON</v>
      </c>
      <c r="C331" s="235" t="str">
        <f>IFERROR(__xludf.DUMMYFUNCTION("""COMPUTED_VALUE"""),"ADMIN - MUNICH")</f>
        <v>ADMIN - MUNICH</v>
      </c>
      <c r="D331" s="196" t="str">
        <f>IFERROR(__xludf.DUMMYFUNCTION("""COMPUTED_VALUE"""),"ORBIT FAN (ASAHI CF622) 1 PC")</f>
        <v>ORBIT FAN (ASAHI CF622) 1 PC</v>
      </c>
      <c r="E331" s="196" t="str">
        <f>IFERROR(__xludf.DUMMYFUNCTION("""COMPUTED_VALUE"""),"GROUND FLOOR LOBBY REPLACEMENT OF BROKEN FAN")</f>
        <v>GROUND FLOOR LOBBY REPLACEMENT OF BROKEN FAN</v>
      </c>
    </row>
    <row r="332">
      <c r="A332" s="234">
        <f>IFERROR(__xludf.DUMMYFUNCTION("""COMPUTED_VALUE"""),100624.0)</f>
        <v>100624</v>
      </c>
      <c r="B332" s="235" t="str">
        <f>IFERROR(__xludf.DUMMYFUNCTION("""COMPUTED_VALUE"""),"JAQUELINE SAMSONA")</f>
        <v>JAQUELINE SAMSONA</v>
      </c>
      <c r="C332" s="235" t="str">
        <f>IFERROR(__xludf.DUMMYFUNCTION("""COMPUTED_VALUE"""),"SCIENCE LAB COLLEGE")</f>
        <v>SCIENCE LAB COLLEGE</v>
      </c>
      <c r="D332" s="196" t="str">
        <f>IFERROR(__xludf.DUMMYFUNCTION("""COMPUTED_VALUE"""),"NURSING AND SCIENCE LABORATORY  FOR PURCHASER FOR 1ST SEMESTER (NURSING LABORATORY 57 ITEMS) , (SCIENCE LABORATORY  98 ITEMS)  TOTAL ITEMS 155 ITEMS")</f>
        <v>NURSING AND SCIENCE LABORATORY  FOR PURCHASER FOR 1ST SEMESTER (NURSING LABORATORY 57 ITEMS) , (SCIENCE LABORATORY  98 ITEMS)  TOTAL ITEMS 155 ITEMS</v>
      </c>
      <c r="E332" s="196" t="str">
        <f>IFERROR(__xludf.DUMMYFUNCTION("""COMPUTED_VALUE"""),"FOR REPLENISHING OF EPIRED &amp; BROKEN MATERIALS ")</f>
        <v>FOR REPLENISHING OF EPIRED &amp; BROKEN MATERIALS </v>
      </c>
    </row>
    <row r="333">
      <c r="A333" s="234">
        <f>IFERROR(__xludf.DUMMYFUNCTION("""COMPUTED_VALUE"""),100625.0)</f>
        <v>100625</v>
      </c>
      <c r="B333" s="235" t="str">
        <f>IFERROR(__xludf.DUMMYFUNCTION("""COMPUTED_VALUE"""),"ALFA DE LEON")</f>
        <v>ALFA DE LEON</v>
      </c>
      <c r="C333" s="235" t="str">
        <f>IFERROR(__xludf.DUMMYFUNCTION("""COMPUTED_VALUE"""),"ADMIN - MUNICH")</f>
        <v>ADMIN - MUNICH</v>
      </c>
      <c r="D333" s="196" t="str">
        <f>IFERROR(__xludf.DUMMYFUNCTION("""COMPUTED_VALUE"""),"FORMICA 1 PC , EDGING 20 PCS")</f>
        <v>FORMICA 1 PC , EDGING 20 PCS</v>
      </c>
      <c r="E333" s="196" t="str">
        <f>IFERROR(__xludf.DUMMYFUNCTION("""COMPUTED_VALUE"""),"REPAIR OF CAFETERIA COUNTER")</f>
        <v>REPAIR OF CAFETERIA COUNTER</v>
      </c>
    </row>
    <row r="334">
      <c r="A334" s="234">
        <f>IFERROR(__xludf.DUMMYFUNCTION("""COMPUTED_VALUE"""),100626.0)</f>
        <v>100626</v>
      </c>
      <c r="B334" s="235" t="str">
        <f>IFERROR(__xludf.DUMMYFUNCTION("""COMPUTED_VALUE"""),"MP LOPEZ")</f>
        <v>MP LOPEZ</v>
      </c>
      <c r="C334" s="235" t="str">
        <f>IFERROR(__xludf.DUMMYFUNCTION("""COMPUTED_VALUE"""),"DISCIPLINE BED")</f>
        <v>DISCIPLINE BED</v>
      </c>
      <c r="D334" s="196" t="str">
        <f>IFERROR(__xludf.DUMMYFUNCTION("""COMPUTED_VALUE"""),"ZEBRA ID PRINTER INK 5 PCS , PVC CARDS 1000 PCS")</f>
        <v>ZEBRA ID PRINTER INK 5 PCS , PVC CARDS 1000 PCS</v>
      </c>
      <c r="E334" s="196" t="str">
        <f>IFERROR(__xludf.DUMMYFUNCTION("""COMPUTED_VALUE"""),"PRINTING OF TEACHER'S ID PERMANENT ID PASS")</f>
        <v>PRINTING OF TEACHER'S ID PERMANENT ID PASS</v>
      </c>
    </row>
    <row r="335">
      <c r="A335" s="234">
        <f>IFERROR(__xludf.DUMMYFUNCTION("""COMPUTED_VALUE"""),100627.0)</f>
        <v>100627</v>
      </c>
      <c r="B335" s="235" t="str">
        <f>IFERROR(__xludf.DUMMYFUNCTION("""COMPUTED_VALUE"""),"ANN VILLARRUZ")</f>
        <v>ANN VILLARRUZ</v>
      </c>
      <c r="C335" s="235" t="str">
        <f>IFERROR(__xludf.DUMMYFUNCTION("""COMPUTED_VALUE"""),"VPAR / RESEARCH")</f>
        <v>VPAR / RESEARCH</v>
      </c>
      <c r="D335" s="196" t="str">
        <f>IFERROR(__xludf.DUMMYFUNCTION("""COMPUTED_VALUE"""),"CORDLESS PHONE PANASONIC (PREFERABLY NOT SOFT RUBBER BUTTONS 2 PCS ")</f>
        <v>CORDLESS PHONE PANASONIC (PREFERABLY NOT SOFT RUBBER BUTTONS 2 PCS </v>
      </c>
      <c r="E335" s="196" t="str">
        <f>IFERROR(__xludf.DUMMYFUNCTION("""COMPUTED_VALUE"""),"FOR NEW OFFICE ")</f>
        <v>FOR NEW OFFICE </v>
      </c>
    </row>
    <row r="336">
      <c r="A336" s="234">
        <f>IFERROR(__xludf.DUMMYFUNCTION("""COMPUTED_VALUE"""),100628.0)</f>
        <v>100628</v>
      </c>
      <c r="B336" s="235" t="str">
        <f>IFERROR(__xludf.DUMMYFUNCTION("""COMPUTED_VALUE"""),"GARRYBATAO")</f>
        <v>GARRYBATAO</v>
      </c>
      <c r="C336" s="235" t="str">
        <f>IFERROR(__xludf.DUMMYFUNCTION("""COMPUTED_VALUE"""),"AV/MIS")</f>
        <v>AV/MIS</v>
      </c>
      <c r="D336" s="196" t="str">
        <f>IFERROR(__xludf.DUMMYFUNCTION("""COMPUTED_VALUE"""),"VIEWSONIC W/ HOMI &amp; VGA PORT LED MONITOR 19 "" 3 PCS")</f>
        <v>VIEWSONIC W/ HOMI &amp; VGA PORT LED MONITOR 19 " 3 PCS</v>
      </c>
      <c r="E336" s="196" t="str">
        <f>IFERROR(__xludf.DUMMYFUNCTION("""COMPUTED_VALUE"""),"REPLACEMENT OF DEFECTIVE LED MONITOR IN TROPICAL &amp; MUNICH")</f>
        <v>REPLACEMENT OF DEFECTIVE LED MONITOR IN TROPICAL &amp; MUNICH</v>
      </c>
    </row>
    <row r="337">
      <c r="A337" s="234">
        <f>IFERROR(__xludf.DUMMYFUNCTION("""COMPUTED_VALUE"""),100629.0)</f>
        <v>100629</v>
      </c>
      <c r="B337" s="235" t="str">
        <f>IFERROR(__xludf.DUMMYFUNCTION("""COMPUTED_VALUE"""),"FEROL SAMANTHA")</f>
        <v>FEROL SAMANTHA</v>
      </c>
      <c r="C337" s="235" t="str">
        <f>IFERROR(__xludf.DUMMYFUNCTION("""COMPUTED_VALUE"""),"LIBRARY COLLEGE")</f>
        <v>LIBRARY COLLEGE</v>
      </c>
      <c r="D337" s="196" t="str">
        <f>IFERROR(__xludf.DUMMYFUNCTION("""COMPUTED_VALUE"""),"TURNITIN (RENEWAL OF SUBSCRIPTION)PAYMENT 1 PC")</f>
        <v>TURNITIN (RENEWAL OF SUBSCRIPTION)PAYMENT 1 PC</v>
      </c>
      <c r="E337" s="196" t="str">
        <f>IFERROR(__xludf.DUMMYFUNCTION("""COMPUTED_VALUE"""),"FOR RENEWAL OF / ANNUAL RENEWAL OF TURNITIN")</f>
        <v>FOR RENEWAL OF / ANNUAL RENEWAL OF TURNITIN</v>
      </c>
    </row>
    <row r="338">
      <c r="A338" s="234">
        <f>IFERROR(__xludf.DUMMYFUNCTION("""COMPUTED_VALUE"""),100630.0)</f>
        <v>100630</v>
      </c>
      <c r="B338" s="235" t="str">
        <f>IFERROR(__xludf.DUMMYFUNCTION("""COMPUTED_VALUE"""),"LUCILLE BEYER ")</f>
        <v>LUCILLE BEYER </v>
      </c>
      <c r="C338" s="235" t="str">
        <f>IFERROR(__xludf.DUMMYFUNCTION("""COMPUTED_VALUE"""),"MEDICAL")</f>
        <v>MEDICAL</v>
      </c>
      <c r="D338" s="196" t="str">
        <f>IFERROR(__xludf.DUMMYFUNCTION("""COMPUTED_VALUE"""),"CURTAIN 1PCS, CURTAIN ROD(FOR LUX AND MUNICH)2PCS")</f>
        <v>CURTAIN 1PCS, CURTAIN ROD(FOR LUX AND MUNICH)2PCS</v>
      </c>
      <c r="E338" s="196" t="str">
        <f>IFERROR(__xludf.DUMMYFUNCTION("""COMPUTED_VALUE"""),"LACTATION AREA(LUX CLINIC)")</f>
        <v>LACTATION AREA(LUX CLINIC)</v>
      </c>
    </row>
    <row r="339">
      <c r="A339" s="234">
        <f>IFERROR(__xludf.DUMMYFUNCTION("""COMPUTED_VALUE"""),100631.0)</f>
        <v>100631</v>
      </c>
      <c r="B339" s="235" t="str">
        <f>IFERROR(__xludf.DUMMYFUNCTION("""COMPUTED_VALUE"""),"CHRISTIAN MARBIBI")</f>
        <v>CHRISTIAN MARBIBI</v>
      </c>
      <c r="C339" s="235" t="str">
        <f>IFERROR(__xludf.DUMMYFUNCTION("""COMPUTED_VALUE"""),"HOUSEKEEPING")</f>
        <v>HOUSEKEEPING</v>
      </c>
      <c r="D339" s="196" t="str">
        <f>IFERROR(__xludf.DUMMYFUNCTION("""COMPUTED_VALUE"""),"ZIM GLASS CLEANER 500MM  30 PCS")</f>
        <v>ZIM GLASS CLEANER 500MM  30 PCS</v>
      </c>
      <c r="E339" s="196" t="str">
        <f>IFERROR(__xludf.DUMMYFUNCTION("""COMPUTED_VALUE"""),"STOCK REPLENISHMENT - HSKPG")</f>
        <v>STOCK REPLENISHMENT - HSKPG</v>
      </c>
    </row>
    <row r="340">
      <c r="A340" s="234">
        <f>IFERROR(__xludf.DUMMYFUNCTION("""COMPUTED_VALUE"""),100632.0)</f>
        <v>100632</v>
      </c>
      <c r="B340" s="235" t="str">
        <f>IFERROR(__xludf.DUMMYFUNCTION("""COMPUTED_VALUE"""),"CHRISTIAN MARBIBI")</f>
        <v>CHRISTIAN MARBIBI</v>
      </c>
      <c r="C340" s="235" t="str">
        <f>IFERROR(__xludf.DUMMYFUNCTION("""COMPUTED_VALUE"""),"HOUSEKEEPING")</f>
        <v>HOUSEKEEPING</v>
      </c>
      <c r="D340" s="196" t="str">
        <f>IFERROR(__xludf.DUMMYFUNCTION("""COMPUTED_VALUE"""),"FLANELLA BLUE 100 PCS")</f>
        <v>FLANELLA BLUE 100 PCS</v>
      </c>
      <c r="E340" s="196" t="str">
        <f>IFERROR(__xludf.DUMMYFUNCTION("""COMPUTED_VALUE"""),"STOCK REPLENISHMENT - HSKPG")</f>
        <v>STOCK REPLENISHMENT - HSKPG</v>
      </c>
    </row>
    <row r="341">
      <c r="A341" s="234">
        <f>IFERROR(__xludf.DUMMYFUNCTION("""COMPUTED_VALUE"""),100633.0)</f>
        <v>100633</v>
      </c>
      <c r="B341" s="235" t="str">
        <f>IFERROR(__xludf.DUMMYFUNCTION("""COMPUTED_VALUE"""),"CHRISTIAN MARBIBI")</f>
        <v>CHRISTIAN MARBIBI</v>
      </c>
      <c r="C341" s="235" t="str">
        <f>IFERROR(__xludf.DUMMYFUNCTION("""COMPUTED_VALUE"""),"HOUSEKEEPING")</f>
        <v>HOUSEKEEPING</v>
      </c>
      <c r="D341" s="196" t="str">
        <f>IFERROR(__xludf.DUMMYFUNCTION("""COMPUTED_VALUE"""),"MOP HEAD 50 PCS")</f>
        <v>MOP HEAD 50 PCS</v>
      </c>
      <c r="E341" s="196" t="str">
        <f>IFERROR(__xludf.DUMMYFUNCTION("""COMPUTED_VALUE"""),"STOCK REPLENISHMENT - HSKPG")</f>
        <v>STOCK REPLENISHMENT - HSKPG</v>
      </c>
    </row>
    <row r="342">
      <c r="A342" s="234">
        <f>IFERROR(__xludf.DUMMYFUNCTION("""COMPUTED_VALUE"""),100634.0)</f>
        <v>100634</v>
      </c>
      <c r="B342" s="235" t="str">
        <f>IFERROR(__xludf.DUMMYFUNCTION("""COMPUTED_VALUE"""),"PAUL ARAÑA")</f>
        <v>PAUL ARAÑA</v>
      </c>
      <c r="C342" s="235" t="str">
        <f>IFERROR(__xludf.DUMMYFUNCTION("""COMPUTED_VALUE"""),"MIS/ICT")</f>
        <v>MIS/ICT</v>
      </c>
      <c r="D342" s="196" t="str">
        <f>IFERROR(__xludf.DUMMYFUNCTION("""COMPUTED_VALUE"""),"5 PCS DELL LED MONITOR")</f>
        <v>5 PCS DELL LED MONITOR</v>
      </c>
      <c r="E342" s="196" t="str">
        <f>IFERROR(__xludf.DUMMYFUNCTION("""COMPUTED_VALUE"""),"FOR REPLACEMENT OF DEAD PIXEL MONITOR SCREEN IN COMLAB 3")</f>
        <v>FOR REPLACEMENT OF DEAD PIXEL MONITOR SCREEN IN COMLAB 3</v>
      </c>
    </row>
    <row r="343">
      <c r="A343" s="234">
        <f>IFERROR(__xludf.DUMMYFUNCTION("""COMPUTED_VALUE"""),100635.0)</f>
        <v>100635</v>
      </c>
      <c r="B343" s="235"/>
      <c r="C343" s="235"/>
      <c r="D343" s="196"/>
      <c r="E343" s="196"/>
    </row>
    <row r="344">
      <c r="A344" s="234">
        <f>IFERROR(__xludf.DUMMYFUNCTION("""COMPUTED_VALUE"""),100636.0)</f>
        <v>100636</v>
      </c>
      <c r="B344" s="235" t="str">
        <f>IFERROR(__xludf.DUMMYFUNCTION("""COMPUTED_VALUE"""),"APRIL TRAJICO")</f>
        <v>APRIL TRAJICO</v>
      </c>
      <c r="C344" s="235" t="str">
        <f>IFERROR(__xludf.DUMMYFUNCTION("""COMPUTED_VALUE"""),"AMD")</f>
        <v>AMD</v>
      </c>
      <c r="D344" s="196" t="str">
        <f>IFERROR(__xludf.DUMMYFUNCTION("""COMPUTED_VALUE"""),"TONER, CARTRIDGE INKONVERT LPB6000 85A 40PCS")</f>
        <v>TONER, CARTRIDGE INKONVERT LPB6000 85A 40PCS</v>
      </c>
      <c r="E344" s="196" t="str">
        <f>IFERROR(__xludf.DUMMYFUNCTION("""COMPUTED_VALUE"""),"STOCK REPLENISHMENT - OSSUP")</f>
        <v>STOCK REPLENISHMENT - OSSUP</v>
      </c>
    </row>
    <row r="345">
      <c r="A345" s="234">
        <f>IFERROR(__xludf.DUMMYFUNCTION("""COMPUTED_VALUE"""),100637.0)</f>
        <v>100637</v>
      </c>
      <c r="B345" s="235" t="str">
        <f>IFERROR(__xludf.DUMMYFUNCTION("""COMPUTED_VALUE"""),"APRIL TRAJICO")</f>
        <v>APRIL TRAJICO</v>
      </c>
      <c r="C345" s="235" t="str">
        <f>IFERROR(__xludf.DUMMYFUNCTION("""COMPUTED_VALUE"""),"AMD")</f>
        <v>AMD</v>
      </c>
      <c r="D345" s="196" t="str">
        <f>IFERROR(__xludf.DUMMYFUNCTION("""COMPUTED_VALUE"""),"TAPE, 3M MASKING TAPE 300PCS; TAPE, DOUBLE ADHESIVE W/ FOAM 1X1M 40PCS; TAPE, DUCT TAPE (2INX10M) 25PCS")</f>
        <v>TAPE, 3M MASKING TAPE 300PCS; TAPE, DOUBLE ADHESIVE W/ FOAM 1X1M 40PCS; TAPE, DUCT TAPE (2INX10M) 25PCS</v>
      </c>
      <c r="E345" s="196" t="str">
        <f>IFERROR(__xludf.DUMMYFUNCTION("""COMPUTED_VALUE"""),"STOCK REPLENISHMENT - OSSUP")</f>
        <v>STOCK REPLENISHMENT - OSSUP</v>
      </c>
    </row>
    <row r="346">
      <c r="A346" s="234">
        <f>IFERROR(__xludf.DUMMYFUNCTION("""COMPUTED_VALUE"""),100638.0)</f>
        <v>100638</v>
      </c>
      <c r="B346" s="235" t="str">
        <f>IFERROR(__xludf.DUMMYFUNCTION("""COMPUTED_VALUE"""),"APRIL TRAJICO")</f>
        <v>APRIL TRAJICO</v>
      </c>
      <c r="C346" s="235" t="str">
        <f>IFERROR(__xludf.DUMMYFUNCTION("""COMPUTED_VALUE"""),"AMD")</f>
        <v>AMD</v>
      </c>
      <c r="D346" s="196" t="str">
        <f>IFERROR(__xludf.DUMMYFUNCTION("""COMPUTED_VALUE"""),"FOLDER, PRESSBOARD GREEN SHORT PLAIN 130PCS; PAPER, MANILA 37X45 150PCS; RUBBER BAND, MULTICOLOR 50G/BOX 45PCS; PLASTIC COVER, GAUGE 4 48""W 3PCS")</f>
        <v>FOLDER, PRESSBOARD GREEN SHORT PLAIN 130PCS; PAPER, MANILA 37X45 150PCS; RUBBER BAND, MULTICOLOR 50G/BOX 45PCS; PLASTIC COVER, GAUGE 4 48"W 3PCS</v>
      </c>
      <c r="E346" s="196" t="str">
        <f>IFERROR(__xludf.DUMMYFUNCTION("""COMPUTED_VALUE"""),"STOCK REPLENISHMENT - OSSUP")</f>
        <v>STOCK REPLENISHMENT - OSSUP</v>
      </c>
    </row>
    <row r="347">
      <c r="A347" s="234">
        <f>IFERROR(__xludf.DUMMYFUNCTION("""COMPUTED_VALUE"""),100639.0)</f>
        <v>100639</v>
      </c>
      <c r="B347" s="235" t="str">
        <f>IFERROR(__xludf.DUMMYFUNCTION("""COMPUTED_VALUE"""),"APRIL TRAJICO")</f>
        <v>APRIL TRAJICO</v>
      </c>
      <c r="C347" s="235" t="str">
        <f>IFERROR(__xludf.DUMMYFUNCTION("""COMPUTED_VALUE"""),"AMD")</f>
        <v>AMD</v>
      </c>
      <c r="D347" s="196" t="str">
        <f>IFERROR(__xludf.DUMMYFUNCTION("""COMPUTED_VALUE"""),"HIGHLIGHTER, STABILO PINK 10PCS; INKS, TRODAT BLACK 1PCS; MARKER, WHITEBOARD - PILOT BLACK 60PCS; PAPER, COLORED FORTUNE GREEN 2PACKS; PAPER, COLORED FORTUNE YELLOW 2PACKS; PAPER, FORTUNE GROUNDWOVE MIMEO SHORT 4REAMS")</f>
        <v>HIGHLIGHTER, STABILO PINK 10PCS; INKS, TRODAT BLACK 1PCS; MARKER, WHITEBOARD - PILOT BLACK 60PCS; PAPER, COLORED FORTUNE GREEN 2PACKS; PAPER, COLORED FORTUNE YELLOW 2PACKS; PAPER, FORTUNE GROUNDWOVE MIMEO SHORT 4REAMS</v>
      </c>
      <c r="E347" s="196" t="str">
        <f>IFERROR(__xludf.DUMMYFUNCTION("""COMPUTED_VALUE"""),"STOCK REPLENISHMENT - OSSUP")</f>
        <v>STOCK REPLENISHMENT - OSSUP</v>
      </c>
    </row>
    <row r="348">
      <c r="A348" s="234">
        <f>IFERROR(__xludf.DUMMYFUNCTION("""COMPUTED_VALUE"""),100640.0)</f>
        <v>100640</v>
      </c>
      <c r="B348" s="235" t="str">
        <f>IFERROR(__xludf.DUMMYFUNCTION("""COMPUTED_VALUE"""),"APRIL TRAJICO")</f>
        <v>APRIL TRAJICO</v>
      </c>
      <c r="C348" s="235" t="str">
        <f>IFERROR(__xludf.DUMMYFUNCTION("""COMPUTED_VALUE"""),"AMD")</f>
        <v>AMD</v>
      </c>
      <c r="D348" s="196" t="str">
        <f>IFERROR(__xludf.DUMMYFUNCTION("""COMPUTED_VALUE"""),"FRAME, CERTIFICATE GLASS DG-11X14 BROWN 25PCS; FRAME, CERTIFICATE ORDINARY BROWN 25PCS")</f>
        <v>FRAME, CERTIFICATE GLASS DG-11X14 BROWN 25PCS; FRAME, CERTIFICATE ORDINARY BROWN 25PCS</v>
      </c>
      <c r="E348" s="196" t="str">
        <f>IFERROR(__xludf.DUMMYFUNCTION("""COMPUTED_VALUE"""),"STOCK REPLENISHMENT - OSSUP")</f>
        <v>STOCK REPLENISHMENT - OSSUP</v>
      </c>
    </row>
    <row r="349">
      <c r="A349" s="234">
        <f>IFERROR(__xludf.DUMMYFUNCTION("""COMPUTED_VALUE"""),100641.0)</f>
        <v>100641</v>
      </c>
      <c r="B349" s="235" t="str">
        <f>IFERROR(__xludf.DUMMYFUNCTION("""COMPUTED_VALUE"""),"APRIL TRAJICO")</f>
        <v>APRIL TRAJICO</v>
      </c>
      <c r="C349" s="235" t="str">
        <f>IFERROR(__xludf.DUMMYFUNCTION("""COMPUTED_VALUE"""),"AMD")</f>
        <v>AMD</v>
      </c>
      <c r="D349" s="196" t="str">
        <f>IFERROR(__xludf.DUMMYFUNCTION("""COMPUTED_VALUE"""),"ENVELOPE, EXPANDING PLASTIC LONG ADVENTURER")</f>
        <v>ENVELOPE, EXPANDING PLASTIC LONG ADVENTURER</v>
      </c>
      <c r="E349" s="196" t="str">
        <f>IFERROR(__xludf.DUMMYFUNCTION("""COMPUTED_VALUE"""),"STOCK REPLENISHMENT - 0SSUP")</f>
        <v>STOCK REPLENISHMENT - 0SSUP</v>
      </c>
    </row>
    <row r="350">
      <c r="A350" s="234">
        <f>IFERROR(__xludf.DUMMYFUNCTION("""COMPUTED_VALUE"""),100642.0)</f>
        <v>100642</v>
      </c>
      <c r="B350" s="235" t="str">
        <f>IFERROR(__xludf.DUMMYFUNCTION("""COMPUTED_VALUE"""),"APRIL TRAJICO")</f>
        <v>APRIL TRAJICO</v>
      </c>
      <c r="C350" s="235" t="str">
        <f>IFERROR(__xludf.DUMMYFUNCTION("""COMPUTED_VALUE"""),"AMD")</f>
        <v>AMD</v>
      </c>
      <c r="D350" s="196" t="str">
        <f>IFERROR(__xludf.DUMMYFUNCTION("""COMPUTED_VALUE"""),"ALCOHOL, GREEN CROSS 40% 500mL; BALLPEN PANDA BLACK 300PCS, BATTERY, ENERGIZRE SIZE AAA 60PCS; BATTERY, EVEREADY SIZE AA 90PCS; CARTOLINA, BLACK 100PCS; CLEARBOOK UNREFILLABLE 40'S SHORT 20PCS")</f>
        <v>ALCOHOL, GREEN CROSS 40% 500mL; BALLPEN PANDA BLACK 300PCS, BATTERY, ENERGIZRE SIZE AAA 60PCS; BATTERY, EVEREADY SIZE AA 90PCS; CARTOLINA, BLACK 100PCS; CLEARBOOK UNREFILLABLE 40'S SHORT 20PCS</v>
      </c>
      <c r="E350" s="196" t="str">
        <f>IFERROR(__xludf.DUMMYFUNCTION("""COMPUTED_VALUE"""),"STOCK REPLENISHMENT - OSSUP")</f>
        <v>STOCK REPLENISHMENT - OSSUP</v>
      </c>
    </row>
    <row r="351">
      <c r="A351" s="234">
        <f>IFERROR(__xludf.DUMMYFUNCTION("""COMPUTED_VALUE"""),100643.0)</f>
        <v>100643</v>
      </c>
      <c r="B351" s="235" t="str">
        <f>IFERROR(__xludf.DUMMYFUNCTION("""COMPUTED_VALUE"""),"ROMAN")</f>
        <v>ROMAN</v>
      </c>
      <c r="C351" s="235" t="str">
        <f>IFERROR(__xludf.DUMMYFUNCTION("""COMPUTED_VALUE"""),"PR &amp; MARKETING")</f>
        <v>PR &amp; MARKETING</v>
      </c>
      <c r="D351" s="196" t="str">
        <f>IFERROR(__xludf.DUMMYFUNCTION("""COMPUTED_VALUE"""),"7x10 Contratulatio Cert Public Accountants 6x9")</f>
        <v>7x10 Contratulatio Cert Public Accountants 6x9</v>
      </c>
      <c r="E351" s="196" t="str">
        <f>IFERROR(__xludf.DUMMYFUNCTION("""COMPUTED_VALUE"""),"MARKEBG")</f>
        <v>MARKEBG</v>
      </c>
    </row>
    <row r="352">
      <c r="A352" s="234">
        <f>IFERROR(__xludf.DUMMYFUNCTION("""COMPUTED_VALUE"""),100644.0)</f>
        <v>100644</v>
      </c>
      <c r="B352" s="235" t="str">
        <f>IFERROR(__xludf.DUMMYFUNCTION("""COMPUTED_VALUE"""),"BOKZ CLAVENDRA")</f>
        <v>BOKZ CLAVENDRA</v>
      </c>
      <c r="C352" s="235" t="str">
        <f>IFERROR(__xludf.DUMMYFUNCTION("""COMPUTED_VALUE"""),"HOUSEKEEPING")</f>
        <v>HOUSEKEEPING</v>
      </c>
      <c r="D352" s="196" t="str">
        <f>IFERROR(__xludf.DUMMYFUNCTION("""COMPUTED_VALUE"""),"TEACHERS CHAIR SLEDGE TYPE NOT WHEELS 3PCS")</f>
        <v>TEACHERS CHAIR SLEDGE TYPE NOT WHEELS 3PCS</v>
      </c>
      <c r="E352" s="196" t="str">
        <f>IFERROR(__xludf.DUMMYFUNCTION("""COMPUTED_VALUE"""),"CMLC USE")</f>
        <v>CMLC USE</v>
      </c>
    </row>
    <row r="353">
      <c r="A353" s="234">
        <f>IFERROR(__xludf.DUMMYFUNCTION("""COMPUTED_VALUE"""),100645.0)</f>
        <v>100645</v>
      </c>
      <c r="B353" s="235" t="str">
        <f>IFERROR(__xludf.DUMMYFUNCTION("""COMPUTED_VALUE"""),"SHERLY V MANALO")</f>
        <v>SHERLY V MANALO</v>
      </c>
      <c r="C353" s="235" t="str">
        <f>IFERROR(__xludf.DUMMYFUNCTION("""COMPUTED_VALUE"""),"ECED")</f>
        <v>ECED</v>
      </c>
      <c r="D353" s="196" t="str">
        <f>IFERROR(__xludf.DUMMYFUNCTION("""COMPUTED_VALUE"""),"KRI TARP 29.5 x 24 H")</f>
        <v>KRI TARP 29.5 x 24 H</v>
      </c>
      <c r="E353" s="196" t="str">
        <f>IFERROR(__xludf.DUMMYFUNCTION("""COMPUTED_VALUE"""),"CLASSROOM")</f>
        <v>CLASSROOM</v>
      </c>
    </row>
    <row r="354">
      <c r="A354" s="234">
        <f>IFERROR(__xludf.DUMMYFUNCTION("""COMPUTED_VALUE"""),100646.0)</f>
        <v>100646</v>
      </c>
      <c r="B354" s="235" t="str">
        <f>IFERROR(__xludf.DUMMYFUNCTION("""COMPUTED_VALUE"""),"MARIELLE JANICA B. GALVEZ")</f>
        <v>MARIELLE JANICA B. GALVEZ</v>
      </c>
      <c r="C354" s="235" t="str">
        <f>IFERROR(__xludf.DUMMYFUNCTION("""COMPUTED_VALUE"""),"SPECIAL SUBJECTS")</f>
        <v>SPECIAL SUBJECTS</v>
      </c>
      <c r="D354" s="196" t="str">
        <f>IFERROR(__xludf.DUMMYFUNCTION("""COMPUTED_VALUE"""),"HOME ECONOMICS INGREDIENTS FOR CHICKEN AND BACON FRIED SANDWICH , NACHOS , CONNAMON BREAD POTATO CHIPS , GARLIC PARMESAN CHICKEN WINGS,RED  VELVET CRINCKLES , BANANA CHIPS ")</f>
        <v>HOME ECONOMICS INGREDIENTS FOR CHICKEN AND BACON FRIED SANDWICH , NACHOS , CONNAMON BREAD POTATO CHIPS , GARLIC PARMESAN CHICKEN WINGS,RED  VELVET CRINCKLES , BANANA CHIPS </v>
      </c>
      <c r="E354" s="196" t="str">
        <f>IFERROR(__xludf.DUMMYFUNCTION("""COMPUTED_VALUE"""),"GRADE 6 - HE MATERIALS")</f>
        <v>GRADE 6 - HE MATERIALS</v>
      </c>
    </row>
    <row r="355">
      <c r="A355" s="234">
        <f>IFERROR(__xludf.DUMMYFUNCTION("""COMPUTED_VALUE"""),100647.0)</f>
        <v>100647</v>
      </c>
      <c r="B355" s="235" t="str">
        <f>IFERROR(__xludf.DUMMYFUNCTION("""COMPUTED_VALUE"""),"MARIELLE JANICA B. GALVEZ")</f>
        <v>MARIELLE JANICA B. GALVEZ</v>
      </c>
      <c r="C355" s="235" t="str">
        <f>IFERROR(__xludf.DUMMYFUNCTION("""COMPUTED_VALUE"""),"SPECIAL SUBJECTS")</f>
        <v>SPECIAL SUBJECTS</v>
      </c>
      <c r="D355" s="196" t="str">
        <f>IFERROR(__xludf.DUMMYFUNCTION("""COMPUTED_VALUE"""),"HOME ECONIMICS INGREDIENTS FOR CHURCHY BUTTER &amp; SUGAR TOAST , HASH BROWN , BACON ROLL - UPS , SAUSAGE BALLS , FRENCH TOAST , BACON AND CHEESE OMELETTE , OLD FASHIONED PANCAKE")</f>
        <v>HOME ECONIMICS INGREDIENTS FOR CHURCHY BUTTER &amp; SUGAR TOAST , HASH BROWN , BACON ROLL - UPS , SAUSAGE BALLS , FRENCH TOAST , BACON AND CHEESE OMELETTE , OLD FASHIONED PANCAKE</v>
      </c>
      <c r="E355" s="196" t="str">
        <f>IFERROR(__xludf.DUMMYFUNCTION("""COMPUTED_VALUE"""),"GRADE 7 - HE MATERIALS")</f>
        <v>GRADE 7 - HE MATERIALS</v>
      </c>
    </row>
    <row r="356">
      <c r="A356" s="234">
        <f>IFERROR(__xludf.DUMMYFUNCTION("""COMPUTED_VALUE"""),100648.0)</f>
        <v>100648</v>
      </c>
      <c r="B356" s="235" t="str">
        <f>IFERROR(__xludf.DUMMYFUNCTION("""COMPUTED_VALUE"""),"MARIELLE JANICA B. GALVEZ")</f>
        <v>MARIELLE JANICA B. GALVEZ</v>
      </c>
      <c r="C356" s="235" t="str">
        <f>IFERROR(__xludf.DUMMYFUNCTION("""COMPUTED_VALUE"""),"SPECIAL SUBJECTS")</f>
        <v>SPECIAL SUBJECTS</v>
      </c>
      <c r="D356" s="196" t="str">
        <f>IFERROR(__xludf.DUMMYFUNCTION("""COMPUTED_VALUE"""),"HOME ECONOMICS INGREDIENTS FOR SINAMPALUKANG MANOK , BANANA SPRING ROLL , CHICKEN ADOBO, CHICKEN TINOLA , PININYAHANG MANOK , OVEN BAKED PUTO , CHICKEN CALDERETA ")</f>
        <v>HOME ECONOMICS INGREDIENTS FOR SINAMPALUKANG MANOK , BANANA SPRING ROLL , CHICKEN ADOBO, CHICKEN TINOLA , PININYAHANG MANOK , OVEN BAKED PUTO , CHICKEN CALDERETA </v>
      </c>
      <c r="E356" s="196" t="str">
        <f>IFERROR(__xludf.DUMMYFUNCTION("""COMPUTED_VALUE"""),"GRADE 8 HE MATERIALS")</f>
        <v>GRADE 8 HE MATERIALS</v>
      </c>
    </row>
    <row r="357">
      <c r="A357" s="234">
        <f>IFERROR(__xludf.DUMMYFUNCTION("""COMPUTED_VALUE"""),100649.0)</f>
        <v>100649</v>
      </c>
      <c r="B357" s="235" t="str">
        <f>IFERROR(__xludf.DUMMYFUNCTION("""COMPUTED_VALUE"""),"MARIELLE JANICA B. GALVEZ")</f>
        <v>MARIELLE JANICA B. GALVEZ</v>
      </c>
      <c r="C357" s="235" t="str">
        <f>IFERROR(__xludf.DUMMYFUNCTION("""COMPUTED_VALUE"""),"SPECIAL SUBJECTS")</f>
        <v>SPECIAL SUBJECTS</v>
      </c>
      <c r="D357" s="196" t="str">
        <f>IFERROR(__xludf.DUMMYFUNCTION("""COMPUTED_VALUE"""),"HOME ECONOMIC MATERIALS NEEDS 61 ITEMS")</f>
        <v>HOME ECONOMIC MATERIALS NEEDS 61 ITEMS</v>
      </c>
      <c r="E357" s="196" t="str">
        <f>IFERROR(__xludf.DUMMYFUNCTION("""COMPUTED_VALUE"""),"GRADE 6 - 12 HE MATERIALS")</f>
        <v>GRADE 6 - 12 HE MATERIALS</v>
      </c>
    </row>
    <row r="358">
      <c r="A358" s="234">
        <f>IFERROR(__xludf.DUMMYFUNCTION("""COMPUTED_VALUE"""),100650.0)</f>
        <v>100650</v>
      </c>
      <c r="B358" s="235" t="str">
        <f>IFERROR(__xludf.DUMMYFUNCTION("""COMPUTED_VALUE"""),"MARIELLE JANICA B. GALVEZ")</f>
        <v>MARIELLE JANICA B. GALVEZ</v>
      </c>
      <c r="C358" s="235" t="str">
        <f>IFERROR(__xludf.DUMMYFUNCTION("""COMPUTED_VALUE"""),"SPECIAL SUBJECTS")</f>
        <v>SPECIAL SUBJECTS</v>
      </c>
      <c r="D358" s="196" t="str">
        <f>IFERROR(__xludf.DUMMYFUNCTION("""COMPUTED_VALUE"""),"HOME ECONOMICS INGREDIENTS FOR GROMPEREKICHELCHER , CREPE , CHICKEN ALFREDO , CHICKEN PELMENI , BOUREKIA ME ANARI , CHURROS , BALSAMIC CHICKEN ")</f>
        <v>HOME ECONOMICS INGREDIENTS FOR GROMPEREKICHELCHER , CREPE , CHICKEN ALFREDO , CHICKEN PELMENI , BOUREKIA ME ANARI , CHURROS , BALSAMIC CHICKEN </v>
      </c>
      <c r="E358" s="196" t="str">
        <f>IFERROR(__xludf.DUMMYFUNCTION("""COMPUTED_VALUE"""),"GRADE 10 HE MATERIALS")</f>
        <v>GRADE 10 HE MATERIALS</v>
      </c>
    </row>
    <row r="359">
      <c r="A359" s="234">
        <f>IFERROR(__xludf.DUMMYFUNCTION("""COMPUTED_VALUE"""),100651.0)</f>
        <v>100651</v>
      </c>
      <c r="B359" s="235" t="str">
        <f>IFERROR(__xludf.DUMMYFUNCTION("""COMPUTED_VALUE"""),"MARIELLE JANICA B. GALVEZ")</f>
        <v>MARIELLE JANICA B. GALVEZ</v>
      </c>
      <c r="C359" s="235" t="str">
        <f>IFERROR(__xludf.DUMMYFUNCTION("""COMPUTED_VALUE"""),"SPECIAL SUBJECTS")</f>
        <v>SPECIAL SUBJECTS</v>
      </c>
      <c r="D359" s="196" t="str">
        <f>IFERROR(__xludf.DUMMYFUNCTION("""COMPUTED_VALUE"""),"HOME ECONOMICS INGREDIENTS  HONEY GARLIC CHICKEN, HOTTEOK , BANH KHOAI TAY CHEIN , WANTON SOUP , PAD KRA PAO GAI , CHICKEN TONKATSU , CHINESE POT STICKERS ")</f>
        <v>HOME ECONOMICS INGREDIENTS  HONEY GARLIC CHICKEN, HOTTEOK , BANH KHOAI TAY CHEIN , WANTON SOUP , PAD KRA PAO GAI , CHICKEN TONKATSU , CHINESE POT STICKERS </v>
      </c>
      <c r="E359" s="196" t="str">
        <f>IFERROR(__xludf.DUMMYFUNCTION("""COMPUTED_VALUE"""),"GRADE  7 HE MATERIALS ")</f>
        <v>GRADE  7 HE MATERIALS </v>
      </c>
    </row>
    <row r="360">
      <c r="A360" s="234">
        <f>IFERROR(__xludf.DUMMYFUNCTION("""COMPUTED_VALUE"""),100652.0)</f>
        <v>100652</v>
      </c>
      <c r="B360" s="235" t="str">
        <f>IFERROR(__xludf.DUMMYFUNCTION("""COMPUTED_VALUE"""),"MARIELLE JANICA B. GALVEZ")</f>
        <v>MARIELLE JANICA B. GALVEZ</v>
      </c>
      <c r="C360" s="235" t="str">
        <f>IFERROR(__xludf.DUMMYFUNCTION("""COMPUTED_VALUE"""),"SPECIAL SUBJECTS")</f>
        <v>SPECIAL SUBJECTS</v>
      </c>
      <c r="D360" s="196" t="str">
        <f>IFERROR(__xludf.DUMMYFUNCTION("""COMPUTED_VALUE"""),"HOME ECONOMICS INGREDIENTS MUSHROOM EGG WHITE OMELETTE , CHAMPORADO , COUNTRY POTATO PANCAKES , CHICKEN TOCINO, SPANISH TORTILLA , ARROZ CALDO , BACON &amp; MUSHROOM OMELTTE")</f>
        <v>HOME ECONOMICS INGREDIENTS MUSHROOM EGG WHITE OMELETTE , CHAMPORADO , COUNTRY POTATO PANCAKES , CHICKEN TOCINO, SPANISH TORTILLA , ARROZ CALDO , BACON &amp; MUSHROOM OMELTTE</v>
      </c>
      <c r="E360" s="196" t="str">
        <f>IFERROR(__xludf.DUMMYFUNCTION("""COMPUTED_VALUE"""),"GRADE 9 - HE MATERIALS")</f>
        <v>GRADE 9 - HE MATERIALS</v>
      </c>
    </row>
    <row r="361">
      <c r="A361" s="234">
        <f>IFERROR(__xludf.DUMMYFUNCTION("""COMPUTED_VALUE"""),100653.0)</f>
        <v>100653</v>
      </c>
      <c r="B361" s="235" t="str">
        <f>IFERROR(__xludf.DUMMYFUNCTION("""COMPUTED_VALUE"""),"JP RAGOT")</f>
        <v>JP RAGOT</v>
      </c>
      <c r="C361" s="235" t="str">
        <f>IFERROR(__xludf.DUMMYFUNCTION("""COMPUTED_VALUE"""),"HRMD")</f>
        <v>HRMD</v>
      </c>
      <c r="D361" s="196" t="str">
        <f>IFERROR(__xludf.DUMMYFUNCTION("""COMPUTED_VALUE"""),"BLOUSE 15 PCS , LON PANTS (FEMALE) 9 PCS , POLO 2 PCS , LONG PANTS (MALE) 8 PCS")</f>
        <v>BLOUSE 15 PCS , LON PANTS (FEMALE) 9 PCS , POLO 2 PCS , LONG PANTS (MALE) 8 PCS</v>
      </c>
      <c r="E361" s="196" t="str">
        <f>IFERROR(__xludf.DUMMYFUNCTION("""COMPUTED_VALUE"""),"A &amp; M UNIFORM AY 2019 - 2020")</f>
        <v>A &amp; M UNIFORM AY 2019 - 2020</v>
      </c>
    </row>
    <row r="362">
      <c r="A362" s="234">
        <f>IFERROR(__xludf.DUMMYFUNCTION("""COMPUTED_VALUE"""),100654.0)</f>
        <v>100654</v>
      </c>
      <c r="B362" s="235" t="str">
        <f>IFERROR(__xludf.DUMMYFUNCTION("""COMPUTED_VALUE"""),"JP RAGOT")</f>
        <v>JP RAGOT</v>
      </c>
      <c r="C362" s="235" t="str">
        <f>IFERROR(__xludf.DUMMYFUNCTION("""COMPUTED_VALUE"""),"HRMD")</f>
        <v>HRMD</v>
      </c>
      <c r="D362" s="196" t="str">
        <f>IFERROR(__xludf.DUMMYFUNCTION("""COMPUTED_VALUE"""),"BLOUSE 3/4 31 PCS , BLOUSE SS 22 PCS , SKIRT 9 PCS , LONG PANTS 30 PCS , BLAZER LS 10 PCS , BLAZER 3/4 9 PCS , GALA DRESS 18 PCS")</f>
        <v>BLOUSE 3/4 31 PCS , BLOUSE SS 22 PCS , SKIRT 9 PCS , LONG PANTS 30 PCS , BLAZER LS 10 PCS , BLAZER 3/4 9 PCS , GALA DRESS 18 PCS</v>
      </c>
      <c r="E362" s="196" t="str">
        <f>IFERROR(__xludf.DUMMYFUNCTION("""COMPUTED_VALUE"""),"MANAGEMNET UNIFORM (FEMALE) AY 2019 - 2020")</f>
        <v>MANAGEMNET UNIFORM (FEMALE) AY 2019 - 2020</v>
      </c>
    </row>
    <row r="363">
      <c r="A363" s="234">
        <f>IFERROR(__xludf.DUMMYFUNCTION("""COMPUTED_VALUE"""),100655.0)</f>
        <v>100655</v>
      </c>
      <c r="B363" s="235" t="str">
        <f>IFERROR(__xludf.DUMMYFUNCTION("""COMPUTED_VALUE"""),"JP RAGOT")</f>
        <v>JP RAGOT</v>
      </c>
      <c r="C363" s="235" t="str">
        <f>IFERROR(__xludf.DUMMYFUNCTION("""COMPUTED_VALUE"""),"HRMD")</f>
        <v>HRMD</v>
      </c>
      <c r="D363" s="196" t="str">
        <f>IFERROR(__xludf.DUMMYFUNCTION("""COMPUTED_VALUE"""),"BLOUSE 38 PCS , SKIRT 10 PCS , LONGPANTS (FEMALE) 25 PCS , BLASER LS 15 PCS , BLAZER 3/4 2 PCS , POLO LS 15 PCS , LONG PANTS (MALE) 12 PCS , COAT 8 PCS ")</f>
        <v>BLOUSE 38 PCS , SKIRT 10 PCS , LONGPANTS (FEMALE) 25 PCS , BLASER LS 15 PCS , BLAZER 3/4 2 PCS , POLO LS 15 PCS , LONG PANTS (MALE) 12 PCS , COAT 8 PCS </v>
      </c>
      <c r="E363" s="196" t="str">
        <f>IFERROR(__xludf.DUMMYFUNCTION("""COMPUTED_VALUE"""),"BED FACULTY UNIFORM (NEW EMPLOYEE) AY 2019 - 2020")</f>
        <v>BED FACULTY UNIFORM (NEW EMPLOYEE) AY 2019 - 2020</v>
      </c>
    </row>
    <row r="364">
      <c r="A364" s="234">
        <f>IFERROR(__xludf.DUMMYFUNCTION("""COMPUTED_VALUE"""),100656.0)</f>
        <v>100656</v>
      </c>
      <c r="B364" s="235" t="str">
        <f>IFERROR(__xludf.DUMMYFUNCTION("""COMPUTED_VALUE"""),"JP RAGOT")</f>
        <v>JP RAGOT</v>
      </c>
      <c r="C364" s="235" t="str">
        <f>IFERROR(__xludf.DUMMYFUNCTION("""COMPUTED_VALUE"""),"HRMD")</f>
        <v>HRMD</v>
      </c>
      <c r="D364" s="196" t="str">
        <f>IFERROR(__xludf.DUMMYFUNCTION("""COMPUTED_VALUE"""),"POLO LS 19 PCS , LONG PANTS 13 PCS , COAT 2 PCS")</f>
        <v>POLO LS 19 PCS , LONG PANTS 13 PCS , COAT 2 PCS</v>
      </c>
      <c r="E364" s="196" t="str">
        <f>IFERROR(__xludf.DUMMYFUNCTION("""COMPUTED_VALUE"""),"MANAGEMENT UNIFORM (MALE) AY 2019 -2020")</f>
        <v>MANAGEMENT UNIFORM (MALE) AY 2019 -2020</v>
      </c>
    </row>
    <row r="365">
      <c r="A365" s="234">
        <f>IFERROR(__xludf.DUMMYFUNCTION("""COMPUTED_VALUE"""),100657.0)</f>
        <v>100657</v>
      </c>
      <c r="B365" s="235" t="str">
        <f>IFERROR(__xludf.DUMMYFUNCTION("""COMPUTED_VALUE"""),"JP RAGOT")</f>
        <v>JP RAGOT</v>
      </c>
      <c r="C365" s="235" t="str">
        <f>IFERROR(__xludf.DUMMYFUNCTION("""COMPUTED_VALUE"""),"HRMD")</f>
        <v>HRMD</v>
      </c>
      <c r="D365" s="196" t="str">
        <f>IFERROR(__xludf.DUMMYFUNCTION("""COMPUTED_VALUE"""),"POLO LS 51 PCS , LONG PANTS 40 PC S, COAT 8 PCS, P.E CARGO PANTS 4 PCS ")</f>
        <v>POLO LS 51 PCS , LONG PANTS 40 PC S, COAT 8 PCS, P.E CARGO PANTS 4 PCS </v>
      </c>
      <c r="E365" s="196" t="str">
        <f>IFERROR(__xludf.DUMMYFUNCTION("""COMPUTED_VALUE"""),"BED FACULTY UNIFORM (MALE) AY 2019 - 2020")</f>
        <v>BED FACULTY UNIFORM (MALE) AY 2019 - 2020</v>
      </c>
    </row>
    <row r="366">
      <c r="A366" s="234">
        <f>IFERROR(__xludf.DUMMYFUNCTION("""COMPUTED_VALUE"""),100658.0)</f>
        <v>100658</v>
      </c>
      <c r="B366" s="235" t="str">
        <f>IFERROR(__xludf.DUMMYFUNCTION("""COMPUTED_VALUE"""),"JP RAGOT")</f>
        <v>JP RAGOT</v>
      </c>
      <c r="C366" s="235" t="str">
        <f>IFERROR(__xludf.DUMMYFUNCTION("""COMPUTED_VALUE"""),"HRMD")</f>
        <v>HRMD</v>
      </c>
      <c r="D366" s="196" t="str">
        <f>IFERROR(__xludf.DUMMYFUNCTION("""COMPUTED_VALUE"""),"SCRUB SUIT SET 11 PCS ")</f>
        <v>SCRUB SUIT SET 11 PCS </v>
      </c>
      <c r="E366" s="196" t="str">
        <f>IFERROR(__xludf.DUMMYFUNCTION("""COMPUTED_VALUE"""),"NURSE UNIFORM AY 2019 - 2020")</f>
        <v>NURSE UNIFORM AY 2019 - 2020</v>
      </c>
    </row>
    <row r="367">
      <c r="A367" s="234">
        <f>IFERROR(__xludf.DUMMYFUNCTION("""COMPUTED_VALUE"""),100659.0)</f>
        <v>100659</v>
      </c>
      <c r="B367" s="235" t="str">
        <f>IFERROR(__xludf.DUMMYFUNCTION("""COMPUTED_VALUE"""),"JP RAGOT")</f>
        <v>JP RAGOT</v>
      </c>
      <c r="C367" s="235" t="str">
        <f>IFERROR(__xludf.DUMMYFUNCTION("""COMPUTED_VALUE"""),"HRMD")</f>
        <v>HRMD</v>
      </c>
      <c r="D367" s="196" t="str">
        <f>IFERROR(__xludf.DUMMYFUNCTION("""COMPUTED_VALUE"""),"BLOUSE 9 PCS , SKIRT 2 PCS , LONGPANTS (FEMALE) 8 PCS , BLAZER LS HALF - LINE 1 PC , POLO LS 5 PCS , LONG PANTS (MALE) 3 PCS")</f>
        <v>BLOUSE 9 PCS , SKIRT 2 PCS , LONGPANTS (FEMALE) 8 PCS , BLAZER LS HALF - LINE 1 PC , POLO LS 5 PCS , LONG PANTS (MALE) 3 PCS</v>
      </c>
      <c r="E367" s="196" t="str">
        <f>IFERROR(__xludf.DUMMYFUNCTION("""COMPUTED_VALUE"""),"COLLEGE FACULTY UNIFORM 2019 - 2020")</f>
        <v>COLLEGE FACULTY UNIFORM 2019 - 2020</v>
      </c>
    </row>
    <row r="368">
      <c r="A368" s="234">
        <f>IFERROR(__xludf.DUMMYFUNCTION("""COMPUTED_VALUE"""),100660.0)</f>
        <v>100660</v>
      </c>
      <c r="B368" s="235" t="str">
        <f>IFERROR(__xludf.DUMMYFUNCTION("""COMPUTED_VALUE"""),"JP RAGOT")</f>
        <v>JP RAGOT</v>
      </c>
      <c r="C368" s="235" t="str">
        <f>IFERROR(__xludf.DUMMYFUNCTION("""COMPUTED_VALUE"""),"HRMD")</f>
        <v>HRMD</v>
      </c>
      <c r="D368" s="196" t="str">
        <f>IFERROR(__xludf.DUMMYFUNCTION("""COMPUTED_VALUE"""),"BLOUSE 51 PCS , SKIRT 9 PC S, LONGPANTS 30 PCS , BLAZER LS HALF LINED 1 PC , BLAZER 3/4 HALF LINED 4 PCS")</f>
        <v>BLOUSE 51 PCS , SKIRT 9 PC S, LONGPANTS 30 PCS , BLAZER LS HALF LINED 1 PC , BLAZER 3/4 HALF LINED 4 PCS</v>
      </c>
      <c r="E368" s="196" t="str">
        <f>IFERROR(__xludf.DUMMYFUNCTION("""COMPUTED_VALUE"""),"NTE UNIFORM (FEMALE) AY 2019 - 2020")</f>
        <v>NTE UNIFORM (FEMALE) AY 2019 - 2020</v>
      </c>
    </row>
    <row r="369">
      <c r="A369" s="234">
        <f>IFERROR(__xludf.DUMMYFUNCTION("""COMPUTED_VALUE"""),100661.0)</f>
        <v>100661</v>
      </c>
      <c r="B369" s="235" t="str">
        <f>IFERROR(__xludf.DUMMYFUNCTION("""COMPUTED_VALUE"""),"JP RAGOT")</f>
        <v>JP RAGOT</v>
      </c>
      <c r="C369" s="235" t="str">
        <f>IFERROR(__xludf.DUMMYFUNCTION("""COMPUTED_VALUE"""),"HRMD")</f>
        <v>HRMD</v>
      </c>
      <c r="D369" s="196" t="str">
        <f>IFERROR(__xludf.DUMMYFUNCTION("""COMPUTED_VALUE"""),"BLOUSE 6 PC S, SKIRT 3 PCS , LONG PANTS ( FEMALE) 2 PCS , BLAZER LS 2 PCS , POLO LS 11 PCS , LONG PANTS (MALE) 10 PCS , COAT 3 PCS")</f>
        <v>BLOUSE 6 PC S, SKIRT 3 PCS , LONG PANTS ( FEMALE) 2 PCS , BLAZER LS 2 PCS , POLO LS 11 PCS , LONG PANTS (MALE) 10 PCS , COAT 3 PCS</v>
      </c>
      <c r="E369" s="196" t="str">
        <f>IFERROR(__xludf.DUMMYFUNCTION("""COMPUTED_VALUE"""),"NTE UNIFORM (NEW EMPLOYEE) AY 2019 - 2020")</f>
        <v>NTE UNIFORM (NEW EMPLOYEE) AY 2019 - 2020</v>
      </c>
    </row>
    <row r="370">
      <c r="A370" s="234">
        <f>IFERROR(__xludf.DUMMYFUNCTION("""COMPUTED_VALUE"""),100662.0)</f>
        <v>100662</v>
      </c>
      <c r="B370" s="235" t="str">
        <f>IFERROR(__xludf.DUMMYFUNCTION("""COMPUTED_VALUE"""),"JP RAGOT")</f>
        <v>JP RAGOT</v>
      </c>
      <c r="C370" s="235" t="str">
        <f>IFERROR(__xludf.DUMMYFUNCTION("""COMPUTED_VALUE"""),"HRMD")</f>
        <v>HRMD</v>
      </c>
      <c r="D370" s="196" t="str">
        <f>IFERROR(__xludf.DUMMYFUNCTION("""COMPUTED_VALUE"""),"POLO LS 37 PCS , LONG PANTS 25 PCS , COAT 4 PCS ")</f>
        <v>POLO LS 37 PCS , LONG PANTS 25 PCS , COAT 4 PCS </v>
      </c>
      <c r="E370" s="196" t="str">
        <f>IFERROR(__xludf.DUMMYFUNCTION("""COMPUTED_VALUE"""),"NTE UNIFORM (MALE) AY 2019 - 2020")</f>
        <v>NTE UNIFORM (MALE) AY 2019 - 2020</v>
      </c>
    </row>
    <row r="371">
      <c r="A371" s="234">
        <f>IFERROR(__xludf.DUMMYFUNCTION("""COMPUTED_VALUE"""),100663.0)</f>
        <v>100663</v>
      </c>
      <c r="B371" s="235" t="str">
        <f>IFERROR(__xludf.DUMMYFUNCTION("""COMPUTED_VALUE"""),"JP RAGOT")</f>
        <v>JP RAGOT</v>
      </c>
      <c r="C371" s="235" t="str">
        <f>IFERROR(__xludf.DUMMYFUNCTION("""COMPUTED_VALUE"""),"HRMD")</f>
        <v>HRMD</v>
      </c>
      <c r="D371" s="196" t="str">
        <f>IFERROR(__xludf.DUMMYFUNCTION("""COMPUTED_VALUE"""),"BLOUSE 132 PCS , SKIRT 35 PCS , LONG PANTS 126 PCS , BLAZER LS HALF - LINED 8 PCS , BLAZER 3/6 HALF LINED 18 PCS , P.E CARGO PANTS 3 PCS , PS TYPE B POLO SHIRT 1 PC , PS TYPE B LONG PANTS BEIGE 2 PCS")</f>
        <v>BLOUSE 132 PCS , SKIRT 35 PCS , LONG PANTS 126 PCS , BLAZER LS HALF - LINED 8 PCS , BLAZER 3/6 HALF LINED 18 PCS , P.E CARGO PANTS 3 PCS , PS TYPE B POLO SHIRT 1 PC , PS TYPE B LONG PANTS BEIGE 2 PCS</v>
      </c>
      <c r="E371" s="196" t="str">
        <f>IFERROR(__xludf.DUMMYFUNCTION("""COMPUTED_VALUE"""),"BED FACULTY UNIFORM(FEMALE ) AY 2019")</f>
        <v>BED FACULTY UNIFORM(FEMALE ) AY 2019</v>
      </c>
    </row>
    <row r="372">
      <c r="A372" s="234">
        <f>IFERROR(__xludf.DUMMYFUNCTION("""COMPUTED_VALUE"""),100664.0)</f>
        <v>100664</v>
      </c>
      <c r="B372" s="235" t="str">
        <f>IFERROR(__xludf.DUMMYFUNCTION("""COMPUTED_VALUE"""),"CHRISTIAN MARK MARBIBI")</f>
        <v>CHRISTIAN MARK MARBIBI</v>
      </c>
      <c r="C372" s="235" t="str">
        <f>IFERROR(__xludf.DUMMYFUNCTION("""COMPUTED_VALUE"""),"HOUSEKEEPING")</f>
        <v>HOUSEKEEPING</v>
      </c>
      <c r="D372" s="196" t="str">
        <f>IFERROR(__xludf.DUMMYFUNCTION("""COMPUTED_VALUE"""),"TRASH BAG SMALL CLEAR 45PACKS; TRASH BAG MEDIUM CLEAR 90PACKS; TRASH BAG LARGE CLEAR 20PACKS; TRASH BAG XL CLEAR 50PACKS; TRASH BAG XXL CLEAR 110PACKS")</f>
        <v>TRASH BAG SMALL CLEAR 45PACKS; TRASH BAG MEDIUM CLEAR 90PACKS; TRASH BAG LARGE CLEAR 20PACKS; TRASH BAG XL CLEAR 50PACKS; TRASH BAG XXL CLEAR 110PACKS</v>
      </c>
      <c r="E372" s="196" t="str">
        <f>IFERROR(__xludf.DUMMYFUNCTION("""COMPUTED_VALUE"""),"STOCK REPLENISHMENT - HSKPG")</f>
        <v>STOCK REPLENISHMENT - HSKPG</v>
      </c>
    </row>
    <row r="373">
      <c r="A373" s="234">
        <f>IFERROR(__xludf.DUMMYFUNCTION("""COMPUTED_VALUE"""),100665.0)</f>
        <v>100665</v>
      </c>
      <c r="B373" s="235" t="str">
        <f>IFERROR(__xludf.DUMMYFUNCTION("""COMPUTED_VALUE"""),"leopoldo isabelo")</f>
        <v>leopoldo isabelo</v>
      </c>
      <c r="C373" s="235" t="str">
        <f>IFERROR(__xludf.DUMMYFUNCTION("""COMPUTED_VALUE"""),"AV/MIS")</f>
        <v>AV/MIS</v>
      </c>
      <c r="D373" s="196" t="str">
        <f>IFERROR(__xludf.DUMMYFUNCTION("""COMPUTED_VALUE"""),"projector screen 2 units epson eb-u42")</f>
        <v>projector screen 2 units epson eb-u42</v>
      </c>
      <c r="E373" s="196" t="str">
        <f>IFERROR(__xludf.DUMMYFUNCTION("""COMPUTED_VALUE"""),"replacement for rm. 304-210 lux")</f>
        <v>replacement for rm. 304-210 lux</v>
      </c>
    </row>
    <row r="374">
      <c r="A374" s="234">
        <f>IFERROR(__xludf.DUMMYFUNCTION("""COMPUTED_VALUE"""),100666.0)</f>
        <v>100666</v>
      </c>
      <c r="B374" s="235" t="str">
        <f>IFERROR(__xludf.DUMMYFUNCTION("""COMPUTED_VALUE"""),"CHRISTIAN MARK MARBIBI")</f>
        <v>CHRISTIAN MARK MARBIBI</v>
      </c>
      <c r="C374" s="235" t="str">
        <f>IFERROR(__xludf.DUMMYFUNCTION("""COMPUTED_VALUE"""),"HOUSEKEEPING")</f>
        <v>HOUSEKEEPING</v>
      </c>
      <c r="D374" s="196" t="str">
        <f>IFERROR(__xludf.DUMMYFUNCTION("""COMPUTED_VALUE"""),"TRASH BAG , EXTRA EXTRA LARGE (BLACK) 40 PCS; TRASH BAG EXTRA LARGE (BLACK) 20 PCS")</f>
        <v>TRASH BAG , EXTRA EXTRA LARGE (BLACK) 40 PCS; TRASH BAG EXTRA LARGE (BLACK) 20 PCS</v>
      </c>
      <c r="E374" s="196" t="str">
        <f>IFERROR(__xludf.DUMMYFUNCTION("""COMPUTED_VALUE"""),"STOCK REPLENISHMENT - HSKPG")</f>
        <v>STOCK REPLENISHMENT - HSKPG</v>
      </c>
    </row>
    <row r="375">
      <c r="A375" s="234">
        <f>IFERROR(__xludf.DUMMYFUNCTION("""COMPUTED_VALUE"""),100667.0)</f>
        <v>100667</v>
      </c>
      <c r="B375" s="235" t="str">
        <f>IFERROR(__xludf.DUMMYFUNCTION("""COMPUTED_VALUE"""),"APRIL TRAJICO")</f>
        <v>APRIL TRAJICO</v>
      </c>
      <c r="C375" s="235" t="str">
        <f>IFERROR(__xludf.DUMMYFUNCTION("""COMPUTED_VALUE"""),"AMD")</f>
        <v>AMD</v>
      </c>
      <c r="D375" s="196" t="str">
        <f>IFERROR(__xludf.DUMMYFUNCTION("""COMPUTED_VALUE"""),"MIFARE 1K BIT - CONTACTLESS CARD, MODEL-IOT CRDM65 1000PCS")</f>
        <v>MIFARE 1K BIT - CONTACTLESS CARD, MODEL-IOT CRDM65 1000PCS</v>
      </c>
      <c r="E375" s="196" t="str">
        <f>IFERROR(__xludf.DUMMYFUNCTION("""COMPUTED_VALUE"""),"STOCK REPLENISHMENT - OSSUP")</f>
        <v>STOCK REPLENISHMENT - OSSUP</v>
      </c>
    </row>
    <row r="376">
      <c r="A376" s="234">
        <f>IFERROR(__xludf.DUMMYFUNCTION("""COMPUTED_VALUE"""),100668.0)</f>
        <v>100668</v>
      </c>
      <c r="B376" s="235" t="str">
        <f>IFERROR(__xludf.DUMMYFUNCTION("""COMPUTED_VALUE"""),"APRIL TRAJICO")</f>
        <v>APRIL TRAJICO</v>
      </c>
      <c r="C376" s="235" t="str">
        <f>IFERROR(__xludf.DUMMYFUNCTION("""COMPUTED_VALUE"""),"AMD")</f>
        <v>AMD</v>
      </c>
      <c r="D376" s="196" t="str">
        <f>IFERROR(__xludf.DUMMYFUNCTION("""COMPUTED_VALUE"""),"VELLUM BOARD WHITE (A4) 160PACKS")</f>
        <v>VELLUM BOARD WHITE (A4) 160PACKS</v>
      </c>
      <c r="E376" s="196" t="str">
        <f>IFERROR(__xludf.DUMMYFUNCTION("""COMPUTED_VALUE"""),"ART MATERIALS AY19-20 GRADE 9")</f>
        <v>ART MATERIALS AY19-20 GRADE 9</v>
      </c>
    </row>
    <row r="377">
      <c r="A377" s="234">
        <f>IFERROR(__xludf.DUMMYFUNCTION("""COMPUTED_VALUE"""),100669.0)</f>
        <v>100669</v>
      </c>
      <c r="B377" s="235" t="str">
        <f>IFERROR(__xludf.DUMMYFUNCTION("""COMPUTED_VALUE"""),"APRIL TRAJICO")</f>
        <v>APRIL TRAJICO</v>
      </c>
      <c r="C377" s="235" t="str">
        <f>IFERROR(__xludf.DUMMYFUNCTION("""COMPUTED_VALUE"""),"AMD")</f>
        <v>AMD</v>
      </c>
      <c r="D377" s="196" t="str">
        <f>IFERROR(__xludf.DUMMYFUNCTION("""COMPUTED_VALUE"""),"ART MATERIALS, CANVAS BAG KIT 80BAGS")</f>
        <v>ART MATERIALS, CANVAS BAG KIT 80BAGS</v>
      </c>
      <c r="E377" s="196" t="str">
        <f>IFERROR(__xludf.DUMMYFUNCTION("""COMPUTED_VALUE"""),"ART MATERIALS AY19-20 GRADE 5")</f>
        <v>ART MATERIALS AY19-20 GRADE 5</v>
      </c>
    </row>
    <row r="378">
      <c r="A378" s="234">
        <f>IFERROR(__xludf.DUMMYFUNCTION("""COMPUTED_VALUE"""),100670.0)</f>
        <v>100670</v>
      </c>
      <c r="B378" s="235" t="str">
        <f>IFERROR(__xludf.DUMMYFUNCTION("""COMPUTED_VALUE"""),"FELMA TRIA")</f>
        <v>FELMA TRIA</v>
      </c>
      <c r="C378" s="235" t="str">
        <f>IFERROR(__xludf.DUMMYFUNCTION("""COMPUTED_VALUE"""),"AB COMM/MMA")</f>
        <v>AB COMM/MMA</v>
      </c>
      <c r="D378" s="196" t="str">
        <f>IFERROR(__xludf.DUMMYFUNCTION("""COMPUTED_VALUE"""),"TRANSCEND (SHACKPROOF) - 2TB 1 PC")</f>
        <v>TRANSCEND (SHACKPROOF) - 2TB 1 PC</v>
      </c>
      <c r="E378" s="196" t="str">
        <f>IFERROR(__xludf.DUMMYFUNCTION("""COMPUTED_VALUE"""),"FOR OFFICE STORAGE (FILES)")</f>
        <v>FOR OFFICE STORAGE (FILES)</v>
      </c>
    </row>
    <row r="379">
      <c r="A379" s="234">
        <f>IFERROR(__xludf.DUMMYFUNCTION("""COMPUTED_VALUE"""),100671.0)</f>
        <v>100671</v>
      </c>
      <c r="B379" s="235" t="str">
        <f>IFERROR(__xludf.DUMMYFUNCTION("""COMPUTED_VALUE"""),"BELOY LEOPOLDO")</f>
        <v>BELOY LEOPOLDO</v>
      </c>
      <c r="C379" s="235" t="str">
        <f>IFERROR(__xludf.DUMMYFUNCTION("""COMPUTED_VALUE"""),"AV/MIS")</f>
        <v>AV/MIS</v>
      </c>
      <c r="D379" s="196" t="str">
        <f>IFERROR(__xludf.DUMMYFUNCTION("""COMPUTED_VALUE"""),"PROJECTOR BRACEKET  (UNIVERSAL CEILLING MOUNT) 3 PCS")</f>
        <v>PROJECTOR BRACEKET  (UNIVERSAL CEILLING MOUNT) 3 PCS</v>
      </c>
      <c r="E379" s="196" t="str">
        <f>IFERROR(__xludf.DUMMYFUNCTION("""COMPUTED_VALUE"""),"TO BE INSTALL IN STAR CAMPUS LAB AND SPARE PARTS")</f>
        <v>TO BE INSTALL IN STAR CAMPUS LAB AND SPARE PARTS</v>
      </c>
    </row>
    <row r="380">
      <c r="A380" s="234">
        <f>IFERROR(__xludf.DUMMYFUNCTION("""COMPUTED_VALUE"""),100672.0)</f>
        <v>100672</v>
      </c>
      <c r="B380" s="235" t="str">
        <f>IFERROR(__xludf.DUMMYFUNCTION("""COMPUTED_VALUE"""),"MARIELLE JANICA B. GALVEZ")</f>
        <v>MARIELLE JANICA B. GALVEZ</v>
      </c>
      <c r="C380" s="235" t="str">
        <f>IFERROR(__xludf.DUMMYFUNCTION("""COMPUTED_VALUE"""),"SPECIAL PROJECTS")</f>
        <v>SPECIAL PROJECTS</v>
      </c>
      <c r="D380" s="196" t="str">
        <f>IFERROR(__xludf.DUMMYFUNCTION("""COMPUTED_VALUE"""),"MONITOR - VIEWSONIC VA1901 - A 1 PC , PROJECTOR (LCD) WITH WHITE SCREEN 1PC W/ BRACKET VGA CABLE")</f>
        <v>MONITOR - VIEWSONIC VA1901 - A 1 PC , PROJECTOR (LCD) WITH WHITE SCREEN 1PC W/ BRACKET VGA CABLE</v>
      </c>
      <c r="E380" s="196" t="str">
        <f>IFERROR(__xludf.DUMMYFUNCTION("""COMPUTED_VALUE"""),"HE/ CONSUMES SCIENCE E- CLASSROOM")</f>
        <v>HE/ CONSUMES SCIENCE E- CLASSROOM</v>
      </c>
    </row>
    <row r="381">
      <c r="A381" s="234">
        <f>IFERROR(__xludf.DUMMYFUNCTION("""COMPUTED_VALUE"""),100673.0)</f>
        <v>100673</v>
      </c>
      <c r="B381" s="235" t="str">
        <f>IFERROR(__xludf.DUMMYFUNCTION("""COMPUTED_VALUE"""),"CARLITO DELA VEGA")</f>
        <v>CARLITO DELA VEGA</v>
      </c>
      <c r="C381" s="235" t="str">
        <f>IFERROR(__xludf.DUMMYFUNCTION("""COMPUTED_VALUE"""),"SECURITY")</f>
        <v>SECURITY</v>
      </c>
      <c r="D381" s="196" t="str">
        <f>IFERROR(__xludf.DUMMYFUNCTION("""COMPUTED_VALUE"""),"RECHARCHABLE BATTERY AA 2000 MAH UP 24 PCS , ORIGIGNAL BRANDED ENELOOP EST. PRICE 760 PESOS PACK OF 4 (2000 MAH) LAZADA PRICE")</f>
        <v>RECHARCHABLE BATTERY AA 2000 MAH UP 24 PCS , ORIGIGNAL BRANDED ENELOOP EST. PRICE 760 PESOS PACK OF 4 (2000 MAH) LAZADA PRICE</v>
      </c>
      <c r="E381" s="196" t="str">
        <f>IFERROR(__xludf.DUMMYFUNCTION("""COMPUTED_VALUE"""),"PAGING WIRELESS MIC LU CAMPUS")</f>
        <v>PAGING WIRELESS MIC LU CAMPUS</v>
      </c>
    </row>
    <row r="382">
      <c r="A382" s="234">
        <f>IFERROR(__xludf.DUMMYFUNCTION("""COMPUTED_VALUE"""),100674.0)</f>
        <v>100674</v>
      </c>
      <c r="B382" s="235" t="str">
        <f>IFERROR(__xludf.DUMMYFUNCTION("""COMPUTED_VALUE"""),"ROMAN BALUYOT")</f>
        <v>ROMAN BALUYOT</v>
      </c>
      <c r="C382" s="235" t="str">
        <f>IFERROR(__xludf.DUMMYFUNCTION("""COMPUTED_VALUE"""),"PR &amp; MARKETING")</f>
        <v>PR &amp; MARKETING</v>
      </c>
      <c r="D382" s="196" t="str">
        <f>IFERROR(__xludf.DUMMYFUNCTION("""COMPUTED_VALUE"""),"SISC BE AMAZING PURPLE SHIRT SMALL 100PCS, MEDIUM 150PCS, LARGE 50PCS")</f>
        <v>SISC BE AMAZING PURPLE SHIRT SMALL 100PCS, MEDIUM 150PCS, LARGE 50PCS</v>
      </c>
      <c r="E382" s="196" t="str">
        <f>IFERROR(__xludf.DUMMYFUNCTION("""COMPUTED_VALUE"""),"PROMOTIONAL GIVEAWAYS")</f>
        <v>PROMOTIONAL GIVEAWAYS</v>
      </c>
    </row>
    <row r="383">
      <c r="A383" s="234">
        <f>IFERROR(__xludf.DUMMYFUNCTION("""COMPUTED_VALUE"""),100675.0)</f>
        <v>100675</v>
      </c>
      <c r="B383" s="235" t="str">
        <f>IFERROR(__xludf.DUMMYFUNCTION("""COMPUTED_VALUE"""),"ROMAN BALUYOT")</f>
        <v>ROMAN BALUYOT</v>
      </c>
      <c r="C383" s="235" t="str">
        <f>IFERROR(__xludf.DUMMYFUNCTION("""COMPUTED_VALUE"""),"PR &amp; MARKETING")</f>
        <v>PR &amp; MARKETING</v>
      </c>
      <c r="D383" s="196" t="str">
        <f>IFERROR(__xludf.DUMMYFUNCTION("""COMPUTED_VALUE"""),"KATSA STRING BAG 200PCS")</f>
        <v>KATSA STRING BAG 200PCS</v>
      </c>
      <c r="E383" s="196" t="str">
        <f>IFERROR(__xludf.DUMMYFUNCTION("""COMPUTED_VALUE"""),"PROMOTIONAL GIVEAWAYS")</f>
        <v>PROMOTIONAL GIVEAWAYS</v>
      </c>
    </row>
    <row r="384">
      <c r="A384" s="234">
        <f>IFERROR(__xludf.DUMMYFUNCTION("""COMPUTED_VALUE"""),100676.0)</f>
        <v>100676</v>
      </c>
      <c r="B384" s="235"/>
      <c r="C384" s="235"/>
      <c r="D384" s="196"/>
      <c r="E384" s="196"/>
    </row>
    <row r="385">
      <c r="A385" s="234">
        <f>IFERROR(__xludf.DUMMYFUNCTION("""COMPUTED_VALUE"""),100677.0)</f>
        <v>100677</v>
      </c>
      <c r="B385" s="235" t="str">
        <f>IFERROR(__xludf.DUMMYFUNCTION("""COMPUTED_VALUE"""),"ABIGAIL BAY TABALADO")</f>
        <v>ABIGAIL BAY TABALADO</v>
      </c>
      <c r="C385" s="235" t="str">
        <f>IFERROR(__xludf.DUMMYFUNCTION("""COMPUTED_VALUE"""),"AV/MIS")</f>
        <v>AV/MIS</v>
      </c>
      <c r="D385" s="196" t="str">
        <f>IFERROR(__xludf.DUMMYFUNCTION("""COMPUTED_VALUE"""),"TROAT/STAMPAD (PLEASE SEE THE SAMPLE DESIGN AT THE BACK OF THE PAPER) 1 PC")</f>
        <v>TROAT/STAMPAD (PLEASE SEE THE SAMPLE DESIGN AT THE BACK OF THE PAPER) 1 PC</v>
      </c>
      <c r="E385" s="196" t="str">
        <f>IFERROR(__xludf.DUMMYFUNCTION("""COMPUTED_VALUE"""),"FOR ENCODING &amp; RELEASING OF ID")</f>
        <v>FOR ENCODING &amp; RELEASING OF ID</v>
      </c>
    </row>
    <row r="386">
      <c r="A386" s="234">
        <f>IFERROR(__xludf.DUMMYFUNCTION("""COMPUTED_VALUE"""),100678.0)</f>
        <v>100678</v>
      </c>
      <c r="B386" s="235" t="str">
        <f>IFERROR(__xludf.DUMMYFUNCTION("""COMPUTED_VALUE"""),"BETH SULLANO")</f>
        <v>BETH SULLANO</v>
      </c>
      <c r="C386" s="235" t="str">
        <f>IFERROR(__xludf.DUMMYFUNCTION("""COMPUTED_VALUE"""),"CAPS BED")</f>
        <v>CAPS BED</v>
      </c>
      <c r="D386" s="196" t="str">
        <f>IFERROR(__xludf.DUMMYFUNCTION("""COMPUTED_VALUE"""),"13 TABLETS/CAPSULE , 22 OTHER SUPPLIES")</f>
        <v>13 TABLETS/CAPSULE , 22 OTHER SUPPLIES</v>
      </c>
      <c r="E386" s="196" t="str">
        <f>IFERROR(__xludf.DUMMYFUNCTION("""COMPUTED_VALUE"""),"MEDICAL SUPPLIES FOR CGS")</f>
        <v>MEDICAL SUPPLIES FOR CGS</v>
      </c>
    </row>
    <row r="387">
      <c r="A387" s="234">
        <f>IFERROR(__xludf.DUMMYFUNCTION("""COMPUTED_VALUE"""),100679.0)</f>
        <v>100679</v>
      </c>
      <c r="B387" s="235" t="str">
        <f>IFERROR(__xludf.DUMMYFUNCTION("""COMPUTED_VALUE"""),"RONALD A. OBLENO")</f>
        <v>RONALD A. OBLENO</v>
      </c>
      <c r="C387" s="235" t="str">
        <f>IFERROR(__xludf.DUMMYFUNCTION("""COMPUTED_VALUE"""),"AV/MIS")</f>
        <v>AV/MIS</v>
      </c>
      <c r="D387" s="196" t="str">
        <f>IFERROR(__xludf.DUMMYFUNCTION("""COMPUTED_VALUE"""),"VIDEO SPLITTER 2  INPUT 2 OUTPUT 15 pcs")</f>
        <v>VIDEO SPLITTER 2  INPUT 2 OUTPUT 15 pcs</v>
      </c>
      <c r="E387" s="196" t="str">
        <f>IFERROR(__xludf.DUMMYFUNCTION("""COMPUTED_VALUE"""),"FOR - E CLASSROOM SET - UP")</f>
        <v>FOR - E CLASSROOM SET - UP</v>
      </c>
    </row>
    <row r="388">
      <c r="A388" s="234">
        <f>IFERROR(__xludf.DUMMYFUNCTION("""COMPUTED_VALUE"""),100680.0)</f>
        <v>100680</v>
      </c>
      <c r="B388" s="235" t="str">
        <f>IFERROR(__xludf.DUMMYFUNCTION("""COMPUTED_VALUE"""),"RONALD A, OBLENO")</f>
        <v>RONALD A, OBLENO</v>
      </c>
      <c r="C388" s="235" t="str">
        <f>IFERROR(__xludf.DUMMYFUNCTION("""COMPUTED_VALUE"""),"AV/MIS")</f>
        <v>AV/MIS</v>
      </c>
      <c r="D388" s="196" t="str">
        <f>IFERROR(__xludf.DUMMYFUNCTION("""COMPUTED_VALUE"""),"HDMI TO VGA CONVERTER 15 PCS")</f>
        <v>HDMI TO VGA CONVERTER 15 PCS</v>
      </c>
      <c r="E388" s="196" t="str">
        <f>IFERROR(__xludf.DUMMYFUNCTION("""COMPUTED_VALUE"""),"REPLACEMENT OF DEFECTIVE OF STOCK IN MATMAN")</f>
        <v>REPLACEMENT OF DEFECTIVE OF STOCK IN MATMAN</v>
      </c>
    </row>
    <row r="389">
      <c r="A389" s="234">
        <f>IFERROR(__xludf.DUMMYFUNCTION("""COMPUTED_VALUE"""),100681.0)</f>
        <v>100681</v>
      </c>
      <c r="B389" s="235" t="str">
        <f>IFERROR(__xludf.DUMMYFUNCTION("""COMPUTED_VALUE"""),"DALOGDOG, MARK GESSIE")</f>
        <v>DALOGDOG, MARK GESSIE</v>
      </c>
      <c r="C389" s="235" t="str">
        <f>IFERROR(__xludf.DUMMYFUNCTION("""COMPUTED_VALUE"""),"SCIENCE DEPT.")</f>
        <v>SCIENCE DEPT.</v>
      </c>
      <c r="D389" s="196" t="str">
        <f>IFERROR(__xludf.DUMMYFUNCTION("""COMPUTED_VALUE"""),"SCIENCE LAB MATERIALS 23 ITEMS")</f>
        <v>SCIENCE LAB MATERIALS 23 ITEMS</v>
      </c>
      <c r="E389" s="196" t="str">
        <f>IFERROR(__xludf.DUMMYFUNCTION("""COMPUTED_VALUE"""),"SCIENCE LAB MATERIALS (FOR LABORATORY USE)")</f>
        <v>SCIENCE LAB MATERIALS (FOR LABORATORY USE)</v>
      </c>
    </row>
    <row r="390">
      <c r="A390" s="234">
        <f>IFERROR(__xludf.DUMMYFUNCTION("""COMPUTED_VALUE"""),100682.0)</f>
        <v>100682</v>
      </c>
      <c r="B390" s="235" t="str">
        <f>IFERROR(__xludf.DUMMYFUNCTION("""COMPUTED_VALUE"""),"CHRISTIAN MARK MARBIBI")</f>
        <v>CHRISTIAN MARK MARBIBI</v>
      </c>
      <c r="C390" s="235" t="str">
        <f>IFERROR(__xludf.DUMMYFUNCTION("""COMPUTED_VALUE"""),"HOUSEKEEPING")</f>
        <v>HOUSEKEEPING</v>
      </c>
      <c r="D390" s="196" t="str">
        <f>IFERROR(__xludf.DUMMYFUNCTION("""COMPUTED_VALUE"""),"ALL PURPOSE POWDER 1 KG PER PACK CHAMPION 150 PCS")</f>
        <v>ALL PURPOSE POWDER 1 KG PER PACK CHAMPION 150 PCS</v>
      </c>
      <c r="E390" s="196" t="str">
        <f>IFERROR(__xludf.DUMMYFUNCTION("""COMPUTED_VALUE"""),"STOCK REPLENISHMENT - HSKPG")</f>
        <v>STOCK REPLENISHMENT - HSKPG</v>
      </c>
    </row>
    <row r="391">
      <c r="A391" s="234">
        <f>IFERROR(__xludf.DUMMYFUNCTION("""COMPUTED_VALUE"""),100683.0)</f>
        <v>100683</v>
      </c>
      <c r="B391" s="235" t="str">
        <f>IFERROR(__xludf.DUMMYFUNCTION("""COMPUTED_VALUE"""),"CHRISTIAN MARK MARBIBI")</f>
        <v>CHRISTIAN MARK MARBIBI</v>
      </c>
      <c r="C391" s="235" t="str">
        <f>IFERROR(__xludf.DUMMYFUNCTION("""COMPUTED_VALUE"""),"HOUSEKEEPING")</f>
        <v>HOUSEKEEPING</v>
      </c>
      <c r="D391" s="196" t="str">
        <f>IFERROR(__xludf.DUMMYFUNCTION("""COMPUTED_VALUE"""),"SCRUBING PAD, BIG (SCOTCH BRITE) 150 PCS")</f>
        <v>SCRUBING PAD, BIG (SCOTCH BRITE) 150 PCS</v>
      </c>
      <c r="E391" s="196" t="str">
        <f>IFERROR(__xludf.DUMMYFUNCTION("""COMPUTED_VALUE"""),"STOCK REPLENISHMENT - HSKPG")</f>
        <v>STOCK REPLENISHMENT - HSKPG</v>
      </c>
    </row>
    <row r="392">
      <c r="A392" s="234">
        <f>IFERROR(__xludf.DUMMYFUNCTION("""COMPUTED_VALUE"""),100684.0)</f>
        <v>100684</v>
      </c>
      <c r="B392" s="235" t="str">
        <f>IFERROR(__xludf.DUMMYFUNCTION("""COMPUTED_VALUE"""),"CHRISTIAN MARK MARBIBI")</f>
        <v>CHRISTIAN MARK MARBIBI</v>
      </c>
      <c r="C392" s="235" t="str">
        <f>IFERROR(__xludf.DUMMYFUNCTION("""COMPUTED_VALUE"""),"HOUSEKEEPING")</f>
        <v>HOUSEKEEPING</v>
      </c>
      <c r="D392" s="196" t="str">
        <f>IFERROR(__xludf.DUMMYFUNCTION("""COMPUTED_VALUE"""),"POLISHING HEAD W/ BRUSH 16"" BLACK 6 PCS")</f>
        <v>POLISHING HEAD W/ BRUSH 16" BLACK 6 PCS</v>
      </c>
      <c r="E392" s="196" t="str">
        <f>IFERROR(__xludf.DUMMYFUNCTION("""COMPUTED_VALUE"""),"STOCK REPLENISHMENT - HSKPG")</f>
        <v>STOCK REPLENISHMENT - HSKPG</v>
      </c>
    </row>
    <row r="393">
      <c r="A393" s="234">
        <f>IFERROR(__xludf.DUMMYFUNCTION("""COMPUTED_VALUE"""),100685.0)</f>
        <v>100685</v>
      </c>
      <c r="B393" s="235" t="str">
        <f>IFERROR(__xludf.DUMMYFUNCTION("""COMPUTED_VALUE"""),"CHRISTIAN MARK MARBIBI")</f>
        <v>CHRISTIAN MARK MARBIBI</v>
      </c>
      <c r="C393" s="235" t="str">
        <f>IFERROR(__xludf.DUMMYFUNCTION("""COMPUTED_VALUE"""),"HOUSEKEEPING")</f>
        <v>HOUSEKEEPING</v>
      </c>
      <c r="D393" s="196" t="str">
        <f>IFERROR(__xludf.DUMMYFUNCTION("""COMPUTED_VALUE"""),"XONROX BLEACH 1 L 5 PCS")</f>
        <v>XONROX BLEACH 1 L 5 PCS</v>
      </c>
      <c r="E393" s="196" t="str">
        <f>IFERROR(__xludf.DUMMYFUNCTION("""COMPUTED_VALUE"""),"STOCK REPLENISHMENT - HSKPG")</f>
        <v>STOCK REPLENISHMENT - HSKPG</v>
      </c>
    </row>
    <row r="394">
      <c r="A394" s="234">
        <f>IFERROR(__xludf.DUMMYFUNCTION("""COMPUTED_VALUE"""),100686.0)</f>
        <v>100686</v>
      </c>
      <c r="B394" s="235" t="str">
        <f>IFERROR(__xludf.DUMMYFUNCTION("""COMPUTED_VALUE"""),"CHRISTIAN MARK MARBIBI")</f>
        <v>CHRISTIAN MARK MARBIBI</v>
      </c>
      <c r="C394" s="235" t="str">
        <f>IFERROR(__xludf.DUMMYFUNCTION("""COMPUTED_VALUE"""),"HOUSEKEEPING")</f>
        <v>HOUSEKEEPING</v>
      </c>
      <c r="D394" s="196" t="str">
        <f>IFERROR(__xludf.DUMMYFUNCTION("""COMPUTED_VALUE"""),"SWEET SUNSATION 10 PCS")</f>
        <v>SWEET SUNSATION 10 PCS</v>
      </c>
      <c r="E394" s="196" t="str">
        <f>IFERROR(__xludf.DUMMYFUNCTION("""COMPUTED_VALUE"""),"STOCK REPLENISHMENT - HSKPG")</f>
        <v>STOCK REPLENISHMENT - HSKPG</v>
      </c>
    </row>
    <row r="395">
      <c r="A395" s="234">
        <f>IFERROR(__xludf.DUMMYFUNCTION("""COMPUTED_VALUE"""),100687.0)</f>
        <v>100687</v>
      </c>
      <c r="B395" s="235" t="str">
        <f>IFERROR(__xludf.DUMMYFUNCTION("""COMPUTED_VALUE"""),"CHRISTIAN MARK MARBIBI")</f>
        <v>CHRISTIAN MARK MARBIBI</v>
      </c>
      <c r="C395" s="235" t="str">
        <f>IFERROR(__xludf.DUMMYFUNCTION("""COMPUTED_VALUE"""),"HOUSEKEEPING")</f>
        <v>HOUSEKEEPING</v>
      </c>
      <c r="D395" s="196" t="str">
        <f>IFERROR(__xludf.DUMMYFUNCTION("""COMPUTED_VALUE"""),"STATE LIME SOLVENT 10 PCS")</f>
        <v>STATE LIME SOLVENT 10 PCS</v>
      </c>
      <c r="E395" s="196" t="str">
        <f>IFERROR(__xludf.DUMMYFUNCTION("""COMPUTED_VALUE"""),"STOCK REPLENISHMENT - HSKPG")</f>
        <v>STOCK REPLENISHMENT - HSKPG</v>
      </c>
    </row>
    <row r="396">
      <c r="A396" s="234">
        <f>IFERROR(__xludf.DUMMYFUNCTION("""COMPUTED_VALUE"""),100688.0)</f>
        <v>100688</v>
      </c>
      <c r="B396" s="235" t="str">
        <f>IFERROR(__xludf.DUMMYFUNCTION("""COMPUTED_VALUE"""),"CHRISTIAN MARK MARBIBI")</f>
        <v>CHRISTIAN MARK MARBIBI</v>
      </c>
      <c r="C396" s="235" t="str">
        <f>IFERROR(__xludf.DUMMYFUNCTION("""COMPUTED_VALUE"""),"HOUSEKEEPING")</f>
        <v>HOUSEKEEPING</v>
      </c>
      <c r="D396" s="196" t="str">
        <f>IFERROR(__xludf.DUMMYFUNCTION("""COMPUTED_VALUE"""),"SOFT BROOM 50 PCS")</f>
        <v>SOFT BROOM 50 PCS</v>
      </c>
      <c r="E396" s="196" t="str">
        <f>IFERROR(__xludf.DUMMYFUNCTION("""COMPUTED_VALUE"""),"STOCK REPLENISHMENT - HSKPG")</f>
        <v>STOCK REPLENISHMENT - HSKPG</v>
      </c>
    </row>
    <row r="397">
      <c r="A397" s="234">
        <f>IFERROR(__xludf.DUMMYFUNCTION("""COMPUTED_VALUE"""),100689.0)</f>
        <v>100689</v>
      </c>
      <c r="B397" s="235" t="str">
        <f>IFERROR(__xludf.DUMMYFUNCTION("""COMPUTED_VALUE"""),"BETH SULLANO")</f>
        <v>BETH SULLANO</v>
      </c>
      <c r="C397" s="235" t="str">
        <f>IFERROR(__xludf.DUMMYFUNCTION("""COMPUTED_VALUE"""),"CAPS BED")</f>
        <v>CAPS BED</v>
      </c>
      <c r="D397" s="196" t="str">
        <f>IFERROR(__xludf.DUMMYFUNCTION("""COMPUTED_VALUE"""),"RING BINDER 2 HOLE")</f>
        <v>RING BINDER 2 HOLE</v>
      </c>
      <c r="E397" s="196" t="str">
        <f>IFERROR(__xludf.DUMMYFUNCTION("""COMPUTED_VALUE"""),"FOR OFFICE USE ; REPLACEMENT OF OLD &amp; DILAPIDATED BINDERS")</f>
        <v>FOR OFFICE USE ; REPLACEMENT OF OLD &amp; DILAPIDATED BINDERS</v>
      </c>
    </row>
    <row r="398">
      <c r="A398" s="234">
        <f>IFERROR(__xludf.DUMMYFUNCTION("""COMPUTED_VALUE"""),100690.0)</f>
        <v>100690</v>
      </c>
      <c r="B398" s="235" t="str">
        <f>IFERROR(__xludf.DUMMYFUNCTION("""COMPUTED_VALUE"""),"APOLLO N. MANCE")</f>
        <v>APOLLO N. MANCE</v>
      </c>
      <c r="C398" s="235" t="str">
        <f>IFERROR(__xludf.DUMMYFUNCTION("""COMPUTED_VALUE"""),"AV/MIS")</f>
        <v>AV/MIS</v>
      </c>
      <c r="D398" s="196" t="str">
        <f>IFERROR(__xludf.DUMMYFUNCTION("""COMPUTED_VALUE"""),"HEADSET RAPOO")</f>
        <v>HEADSET RAPOO</v>
      </c>
      <c r="E398" s="196" t="str">
        <f>IFERROR(__xludf.DUMMYFUNCTION("""COMPUTED_VALUE"""),"STOCK REPLENISH")</f>
        <v>STOCK REPLENISH</v>
      </c>
    </row>
    <row r="399">
      <c r="A399" s="234">
        <f>IFERROR(__xludf.DUMMYFUNCTION("""COMPUTED_VALUE"""),100691.0)</f>
        <v>100691</v>
      </c>
      <c r="B399" s="235" t="str">
        <f>IFERROR(__xludf.DUMMYFUNCTION("""COMPUTED_VALUE"""),"APOLLO N. MANCE")</f>
        <v>APOLLO N. MANCE</v>
      </c>
      <c r="C399" s="235" t="str">
        <f>IFERROR(__xludf.DUMMYFUNCTION("""COMPUTED_VALUE"""),"AV/MIS")</f>
        <v>AV/MIS</v>
      </c>
      <c r="D399" s="196" t="str">
        <f>IFERROR(__xludf.DUMMYFUNCTION("""COMPUTED_VALUE"""),"EZ LEBELLER")</f>
        <v>EZ LEBELLER</v>
      </c>
      <c r="E399" s="196" t="str">
        <f>IFERROR(__xludf.DUMMYFUNCTION("""COMPUTED_VALUE"""),"STOCK REPLENISH")</f>
        <v>STOCK REPLENISH</v>
      </c>
    </row>
    <row r="400">
      <c r="A400" s="234">
        <f>IFERROR(__xludf.DUMMYFUNCTION("""COMPUTED_VALUE"""),100692.0)</f>
        <v>100692</v>
      </c>
      <c r="B400" s="235" t="str">
        <f>IFERROR(__xludf.DUMMYFUNCTION("""COMPUTED_VALUE"""),"APOLLO N. MANCE")</f>
        <v>APOLLO N. MANCE</v>
      </c>
      <c r="C400" s="235" t="str">
        <f>IFERROR(__xludf.DUMMYFUNCTION("""COMPUTED_VALUE"""),"AV/MIS")</f>
        <v>AV/MIS</v>
      </c>
      <c r="D400" s="196" t="str">
        <f>IFERROR(__xludf.DUMMYFUNCTION("""COMPUTED_VALUE"""),"USB MOUSE LOGITECH")</f>
        <v>USB MOUSE LOGITECH</v>
      </c>
      <c r="E400" s="196" t="str">
        <f>IFERROR(__xludf.DUMMYFUNCTION("""COMPUTED_VALUE"""),"STOCK REPLENISH")</f>
        <v>STOCK REPLENISH</v>
      </c>
    </row>
    <row r="401">
      <c r="A401" s="234">
        <f>IFERROR(__xludf.DUMMYFUNCTION("""COMPUTED_VALUE"""),100693.0)</f>
        <v>100693</v>
      </c>
      <c r="B401" s="235" t="str">
        <f>IFERROR(__xludf.DUMMYFUNCTION("""COMPUTED_VALUE"""),"APOLLO N. MANCE")</f>
        <v>APOLLO N. MANCE</v>
      </c>
      <c r="C401" s="235" t="str">
        <f>IFERROR(__xludf.DUMMYFUNCTION("""COMPUTED_VALUE"""),"AV/MIS")</f>
        <v>AV/MIS</v>
      </c>
      <c r="D401" s="196" t="str">
        <f>IFERROR(__xludf.DUMMYFUNCTION("""COMPUTED_VALUE"""),"LOGITECH USB KEYBOARD")</f>
        <v>LOGITECH USB KEYBOARD</v>
      </c>
      <c r="E401" s="196" t="str">
        <f>IFERROR(__xludf.DUMMYFUNCTION("""COMPUTED_VALUE"""),"STOCK REPLENISH")</f>
        <v>STOCK REPLENISH</v>
      </c>
    </row>
    <row r="402">
      <c r="A402" s="234">
        <f>IFERROR(__xludf.DUMMYFUNCTION("""COMPUTED_VALUE"""),100694.0)</f>
        <v>100694</v>
      </c>
      <c r="B402" s="235" t="str">
        <f>IFERROR(__xludf.DUMMYFUNCTION("""COMPUTED_VALUE"""),"APOLLO N. MANCE")</f>
        <v>APOLLO N. MANCE</v>
      </c>
      <c r="C402" s="235" t="str">
        <f>IFERROR(__xludf.DUMMYFUNCTION("""COMPUTED_VALUE"""),"AV/MIS")</f>
        <v>AV/MIS</v>
      </c>
      <c r="D402" s="196" t="str">
        <f>IFERROR(__xludf.DUMMYFUNCTION("""COMPUTED_VALUE"""),"POWER SUPPLY GENERIC 600 WATTS")</f>
        <v>POWER SUPPLY GENERIC 600 WATTS</v>
      </c>
      <c r="E402" s="196" t="str">
        <f>IFERROR(__xludf.DUMMYFUNCTION("""COMPUTED_VALUE"""),"STOCK REPLENISH")</f>
        <v>STOCK REPLENISH</v>
      </c>
    </row>
    <row r="403">
      <c r="A403" s="234">
        <f>IFERROR(__xludf.DUMMYFUNCTION("""COMPUTED_VALUE"""),100695.0)</f>
        <v>100695</v>
      </c>
      <c r="B403" s="235" t="str">
        <f>IFERROR(__xludf.DUMMYFUNCTION("""COMPUTED_VALUE"""),"APOLLO N. MANCE")</f>
        <v>APOLLO N. MANCE</v>
      </c>
      <c r="C403" s="235" t="str">
        <f>IFERROR(__xludf.DUMMYFUNCTION("""COMPUTED_VALUE"""),"AV/MIS")</f>
        <v>AV/MIS</v>
      </c>
      <c r="D403" s="196" t="str">
        <f>IFERROR(__xludf.DUMMYFUNCTION("""COMPUTED_VALUE"""),"TIE WRAP 8"" (STRIP WIRE) TIE WRAP 4"" (STRIP WIRE)")</f>
        <v>TIE WRAP 8" (STRIP WIRE) TIE WRAP 4" (STRIP WIRE)</v>
      </c>
      <c r="E403" s="196" t="str">
        <f>IFERROR(__xludf.DUMMYFUNCTION("""COMPUTED_VALUE"""),"STOCK REPLENISH")</f>
        <v>STOCK REPLENISH</v>
      </c>
    </row>
    <row r="404">
      <c r="A404" s="234">
        <f>IFERROR(__xludf.DUMMYFUNCTION("""COMPUTED_VALUE"""),100696.0)</f>
        <v>100696</v>
      </c>
      <c r="B404" s="235" t="str">
        <f>IFERROR(__xludf.DUMMYFUNCTION("""COMPUTED_VALUE"""),"NESSIE LUMBRES")</f>
        <v>NESSIE LUMBRES</v>
      </c>
      <c r="C404" s="235" t="str">
        <f>IFERROR(__xludf.DUMMYFUNCTION("""COMPUTED_VALUE"""),"SPECIAL PROJECTS")</f>
        <v>SPECIAL PROJECTS</v>
      </c>
      <c r="D404" s="196" t="str">
        <f>IFERROR(__xludf.DUMMYFUNCTION("""COMPUTED_VALUE"""),"YEARBOOK FOR AY2018-2019 GRADE 109PCS, GRADE 12 153PCS, IB2 53PCS, SK 72PCS")</f>
        <v>YEARBOOK FOR AY2018-2019 GRADE 109PCS, GRADE 12 153PCS, IB2 53PCS, SK 72PCS</v>
      </c>
      <c r="E404" s="196" t="str">
        <f>IFERROR(__xludf.DUMMYFUNCTION("""COMPUTED_VALUE"""),"YEARBOOK PRINTING AY18-19")</f>
        <v>YEARBOOK PRINTING AY18-19</v>
      </c>
    </row>
    <row r="405">
      <c r="A405" s="234">
        <f>IFERROR(__xludf.DUMMYFUNCTION("""COMPUTED_VALUE"""),100697.0)</f>
        <v>100697</v>
      </c>
      <c r="B405" s="235" t="str">
        <f>IFERROR(__xludf.DUMMYFUNCTION("""COMPUTED_VALUE"""),"CRISMARIE ESPINOSA")</f>
        <v>CRISMARIE ESPINOSA</v>
      </c>
      <c r="C405" s="235" t="str">
        <f>IFERROR(__xludf.DUMMYFUNCTION("""COMPUTED_VALUE"""),"GLT SCHOLARS")</f>
        <v>GLT SCHOLARS</v>
      </c>
      <c r="D405" s="196" t="str">
        <f>IFERROR(__xludf.DUMMYFUNCTION("""COMPUTED_VALUE"""),"IRONING BOARD/IRON STAND 1PC; FLAT IRON 1PC")</f>
        <v>IRONING BOARD/IRON STAND 1PC; FLAT IRON 1PC</v>
      </c>
      <c r="E405" s="196" t="str">
        <f>IFERROR(__xludf.DUMMYFUNCTION("""COMPUTED_VALUE"""),"FOR SCHOLARS HOUSE - YOKOHAMA GIRLS")</f>
        <v>FOR SCHOLARS HOUSE - YOKOHAMA GIRLS</v>
      </c>
    </row>
    <row r="406">
      <c r="A406" s="234">
        <f>IFERROR(__xludf.DUMMYFUNCTION("""COMPUTED_VALUE"""),100698.0)</f>
        <v>100698</v>
      </c>
      <c r="B406" s="235" t="str">
        <f>IFERROR(__xludf.DUMMYFUNCTION("""COMPUTED_VALUE"""),"APOLLO N. MANCE")</f>
        <v>APOLLO N. MANCE</v>
      </c>
      <c r="C406" s="235" t="str">
        <f>IFERROR(__xludf.DUMMYFUNCTION("""COMPUTED_VALUE"""),"ENGINEERING")</f>
        <v>ENGINEERING</v>
      </c>
      <c r="D406" s="196" t="str">
        <f>IFERROR(__xludf.DUMMYFUNCTION("""COMPUTED_VALUE"""),"FLEXIBLE HOSE 1/2 x 1/2, FLEXIBLE HOSE 1/2 x 3/8, FLEXIBLE HOSE 1/2 x 1/4")</f>
        <v>FLEXIBLE HOSE 1/2 x 1/2, FLEXIBLE HOSE 1/2 x 3/8, FLEXIBLE HOSE 1/2 x 1/4</v>
      </c>
      <c r="E406" s="196" t="str">
        <f>IFERROR(__xludf.DUMMYFUNCTION("""COMPUTED_VALUE"""),"AMD")</f>
        <v>AMD</v>
      </c>
    </row>
    <row r="407">
      <c r="A407" s="234">
        <f>IFERROR(__xludf.DUMMYFUNCTION("""COMPUTED_VALUE"""),100699.0)</f>
        <v>100699</v>
      </c>
      <c r="B407" s="235" t="str">
        <f>IFERROR(__xludf.DUMMYFUNCTION("""COMPUTED_VALUE"""),"APOLLO N. MANCE")</f>
        <v>APOLLO N. MANCE</v>
      </c>
      <c r="C407" s="235" t="str">
        <f>IFERROR(__xludf.DUMMYFUNCTION("""COMPUTED_VALUE"""),"ENGINEERING")</f>
        <v>ENGINEERING</v>
      </c>
      <c r="D407" s="196" t="str">
        <f>IFERROR(__xludf.DUMMYFUNCTION("""COMPUTED_VALUE"""),"UNIVERSAL ADAPTOR")</f>
        <v>UNIVERSAL ADAPTOR</v>
      </c>
      <c r="E407" s="196" t="str">
        <f>IFERROR(__xludf.DUMMYFUNCTION("""COMPUTED_VALUE"""),"STOCK REPLENISH")</f>
        <v>STOCK REPLENISH</v>
      </c>
    </row>
    <row r="408">
      <c r="A408" s="234">
        <f>IFERROR(__xludf.DUMMYFUNCTION("""COMPUTED_VALUE"""),100700.0)</f>
        <v>100700</v>
      </c>
      <c r="B408" s="235" t="str">
        <f>IFERROR(__xludf.DUMMYFUNCTION("""COMPUTED_VALUE"""),"APOLLO N. MANCE")</f>
        <v>APOLLO N. MANCE</v>
      </c>
      <c r="C408" s="235" t="str">
        <f>IFERROR(__xludf.DUMMYFUNCTION("""COMPUTED_VALUE"""),"ENGINEERING")</f>
        <v>ENGINEERING</v>
      </c>
      <c r="D408" s="196" t="str">
        <f>IFERROR(__xludf.DUMMYFUNCTION("""COMPUTED_VALUE"""),"DOOR KNOB")</f>
        <v>DOOR KNOB</v>
      </c>
      <c r="E408" s="196" t="str">
        <f>IFERROR(__xludf.DUMMYFUNCTION("""COMPUTED_VALUE"""),"STOCK REPLENISH")</f>
        <v>STOCK REPLENISH</v>
      </c>
    </row>
    <row r="409">
      <c r="A409" s="234">
        <f>IFERROR(__xludf.DUMMYFUNCTION("""COMPUTED_VALUE"""),100701.0)</f>
        <v>100701</v>
      </c>
      <c r="B409" s="235" t="str">
        <f>IFERROR(__xludf.DUMMYFUNCTION("""COMPUTED_VALUE"""),"APOLLO N. MANCE")</f>
        <v>APOLLO N. MANCE</v>
      </c>
      <c r="C409" s="235" t="str">
        <f>IFERROR(__xludf.DUMMYFUNCTION("""COMPUTED_VALUE"""),"ENGINEERING")</f>
        <v>ENGINEERING</v>
      </c>
      <c r="D409" s="196" t="str">
        <f>IFERROR(__xludf.DUMMYFUNCTION("""COMPUTED_VALUE"""),"ELECTRICAL TAPE")</f>
        <v>ELECTRICAL TAPE</v>
      </c>
      <c r="E409" s="196" t="str">
        <f>IFERROR(__xludf.DUMMYFUNCTION("""COMPUTED_VALUE"""),"STOCK REPLENISH")</f>
        <v>STOCK REPLENISH</v>
      </c>
    </row>
    <row r="410">
      <c r="A410" s="234">
        <f>IFERROR(__xludf.DUMMYFUNCTION("""COMPUTED_VALUE"""),100702.0)</f>
        <v>100702</v>
      </c>
      <c r="B410" s="235" t="str">
        <f>IFERROR(__xludf.DUMMYFUNCTION("""COMPUTED_VALUE"""),"CHRISTIAN MARK MARBIBI")</f>
        <v>CHRISTIAN MARK MARBIBI</v>
      </c>
      <c r="C410" s="235" t="str">
        <f>IFERROR(__xludf.DUMMYFUNCTION("""COMPUTED_VALUE"""),"HOUSEKEEPING")</f>
        <v>HOUSEKEEPING</v>
      </c>
      <c r="D410" s="196" t="str">
        <f>IFERROR(__xludf.DUMMYFUNCTION("""COMPUTED_VALUE"""),"CHLORINE  1KG PER PACK")</f>
        <v>CHLORINE  1KG PER PACK</v>
      </c>
      <c r="E410" s="196" t="str">
        <f>IFERROR(__xludf.DUMMYFUNCTION("""COMPUTED_VALUE"""),"STOCK REPLENISH")</f>
        <v>STOCK REPLENISH</v>
      </c>
    </row>
    <row r="411">
      <c r="A411" s="234">
        <f>IFERROR(__xludf.DUMMYFUNCTION("""COMPUTED_VALUE"""),100703.0)</f>
        <v>100703</v>
      </c>
      <c r="B411" s="235" t="str">
        <f>IFERROR(__xludf.DUMMYFUNCTION("""COMPUTED_VALUE"""),"ABIGAIL BAY TABALADO")</f>
        <v>ABIGAIL BAY TABALADO</v>
      </c>
      <c r="C411" s="235" t="str">
        <f>IFERROR(__xludf.DUMMYFUNCTION("""COMPUTED_VALUE"""),"MIS/ICT")</f>
        <v>MIS/ICT</v>
      </c>
      <c r="D411" s="196" t="str">
        <f>IFERROR(__xludf.DUMMYFUNCTION("""COMPUTED_VALUE"""),"WATERPROOF CAMERA BAG FOR CANON DSLR EOS 1300D 1PC")</f>
        <v>WATERPROOF CAMERA BAG FOR CANON DSLR EOS 1300D 1PC</v>
      </c>
      <c r="E411" s="196" t="str">
        <f>IFERROR(__xludf.DUMMYFUNCTION("""COMPUTED_VALUE"""),"TO PROTECT THE ID PRINTING CAMERA")</f>
        <v>TO PROTECT THE ID PRINTING CAMERA</v>
      </c>
    </row>
    <row r="412">
      <c r="A412" s="234">
        <f>IFERROR(__xludf.DUMMYFUNCTION("""COMPUTED_VALUE"""),100704.0)</f>
        <v>100704</v>
      </c>
      <c r="B412" s="235" t="str">
        <f>IFERROR(__xludf.DUMMYFUNCTION("""COMPUTED_VALUE"""),"BENJO DELA CRUZ")</f>
        <v>BENJO DELA CRUZ</v>
      </c>
      <c r="C412" s="235" t="str">
        <f>IFERROR(__xludf.DUMMYFUNCTION("""COMPUTED_VALUE"""),"FOOD SERVICES")</f>
        <v>FOOD SERVICES</v>
      </c>
      <c r="D412" s="196" t="str">
        <f>IFERROR(__xludf.DUMMYFUNCTION("""COMPUTED_VALUE"""),"1 ORBIT FAN")</f>
        <v>1 ORBIT FAN</v>
      </c>
      <c r="E412" s="196" t="str">
        <f>IFERROR(__xludf.DUMMYFUNCTION("""COMPUTED_VALUE"""),"FOR REPLACEMENT OF BROKERN CEILING FAN IN FOODCOURT")</f>
        <v>FOR REPLACEMENT OF BROKERN CEILING FAN IN FOODCOURT</v>
      </c>
    </row>
    <row r="413">
      <c r="A413" s="234">
        <f>IFERROR(__xludf.DUMMYFUNCTION("""COMPUTED_VALUE"""),100705.0)</f>
        <v>100705</v>
      </c>
      <c r="B413" s="235" t="str">
        <f>IFERROR(__xludf.DUMMYFUNCTION("""COMPUTED_VALUE"""),"ADRIAN DE GUINTO")</f>
        <v>ADRIAN DE GUINTO</v>
      </c>
      <c r="C413" s="235" t="str">
        <f>IFERROR(__xludf.DUMMYFUNCTION("""COMPUTED_VALUE"""),"PR &amp; MARKETING")</f>
        <v>PR &amp; MARKETING</v>
      </c>
      <c r="D413" s="196">
        <f>IFERROR(__xludf.DUMMYFUNCTION("""COMPUTED_VALUE"""),0.0)</f>
        <v>0</v>
      </c>
      <c r="E413" s="196" t="str">
        <f>IFERROR(__xludf.DUMMYFUNCTION("""COMPUTED_VALUE"""),"FOR MARKETING ADVERTISEMENT - REPLACEMENT")</f>
        <v>FOR MARKETING ADVERTISEMENT - REPLACEMENT</v>
      </c>
    </row>
    <row r="414">
      <c r="A414" s="234">
        <f>IFERROR(__xludf.DUMMYFUNCTION("""COMPUTED_VALUE"""),100706.0)</f>
        <v>100706</v>
      </c>
      <c r="B414" s="235"/>
      <c r="C414" s="235"/>
      <c r="D414" s="196"/>
      <c r="E414" s="196"/>
    </row>
    <row r="415">
      <c r="A415" s="234">
        <f>IFERROR(__xludf.DUMMYFUNCTION("""COMPUTED_VALUE"""),100707.0)</f>
        <v>100707</v>
      </c>
      <c r="B415" s="235" t="str">
        <f>IFERROR(__xludf.DUMMYFUNCTION("""COMPUTED_VALUE"""),"SAMANTHA FEROL")</f>
        <v>SAMANTHA FEROL</v>
      </c>
      <c r="C415" s="235" t="str">
        <f>IFERROR(__xludf.DUMMYFUNCTION("""COMPUTED_VALUE"""),"LIBRARY COLLEGE")</f>
        <v>LIBRARY COLLEGE</v>
      </c>
      <c r="D415" s="196" t="str">
        <f>IFERROR(__xludf.DUMMYFUNCTION("""COMPUTED_VALUE"""),"DIGITAL LOGIC DESIGN, CSS AND NETWORKING, PYTHON PROGRAMMING,INTRODUCTION COMPUTER PROGRAMMING")</f>
        <v>DIGITAL LOGIC DESIGN, CSS AND NETWORKING, PYTHON PROGRAMMING,INTRODUCTION COMPUTER PROGRAMMING</v>
      </c>
      <c r="E415" s="196" t="str">
        <f>IFERROR(__xludf.DUMMYFUNCTION("""COMPUTED_VALUE"""),"FOR PACUCOA LEVEL 4 ACCREDITATION")</f>
        <v>FOR PACUCOA LEVEL 4 ACCREDITATION</v>
      </c>
    </row>
    <row r="416">
      <c r="A416" s="234">
        <f>IFERROR(__xludf.DUMMYFUNCTION("""COMPUTED_VALUE"""),100708.0)</f>
        <v>100708</v>
      </c>
      <c r="B416" s="235" t="str">
        <f>IFERROR(__xludf.DUMMYFUNCTION("""COMPUTED_VALUE"""),"SAMANTHA FEROL")</f>
        <v>SAMANTHA FEROL</v>
      </c>
      <c r="C416" s="235" t="str">
        <f>IFERROR(__xludf.DUMMYFUNCTION("""COMPUTED_VALUE"""),"LIBRARY COLLEGE")</f>
        <v>LIBRARY COLLEGE</v>
      </c>
      <c r="D416" s="196" t="str">
        <f>IFERROR(__xludf.DUMMYFUNCTION("""COMPUTED_VALUE"""),"OPERATIONS RESEARCH FOR BUS., THE SOUTH CHINA SEA ARBITRATION, COST ACCOUNTIN + CONTROL, OUTCOME-BASED LEARNING")</f>
        <v>OPERATIONS RESEARCH FOR BUS., THE SOUTH CHINA SEA ARBITRATION, COST ACCOUNTIN + CONTROL, OUTCOME-BASED LEARNING</v>
      </c>
      <c r="E416" s="196" t="str">
        <f>IFERROR(__xludf.DUMMYFUNCTION("""COMPUTED_VALUE"""),"FOR PACCUCOA LEVEL 4 ACCREDITATION")</f>
        <v>FOR PACCUCOA LEVEL 4 ACCREDITATION</v>
      </c>
    </row>
    <row r="417">
      <c r="A417" s="234">
        <f>IFERROR(__xludf.DUMMYFUNCTION("""COMPUTED_VALUE"""),100709.0)</f>
        <v>100709</v>
      </c>
      <c r="B417" s="235" t="str">
        <f>IFERROR(__xludf.DUMMYFUNCTION("""COMPUTED_VALUE"""),"SAMANTHA FEROL")</f>
        <v>SAMANTHA FEROL</v>
      </c>
      <c r="C417" s="235" t="str">
        <f>IFERROR(__xludf.DUMMYFUNCTION("""COMPUTED_VALUE"""),"LIBRARY COLLEGE")</f>
        <v>LIBRARY COLLEGE</v>
      </c>
      <c r="D417" s="196" t="str">
        <f>IFERROR(__xludf.DUMMYFUNCTION("""COMPUTED_VALUE"""),"ACTIVE RESEARCH, THE TEACHING PROFESSION, THE ART OF CTRITICAL THINKING, THESIS PROPOSAL IN EDUCATION")</f>
        <v>ACTIVE RESEARCH, THE TEACHING PROFESSION, THE ART OF CTRITICAL THINKING, THESIS PROPOSAL IN EDUCATION</v>
      </c>
      <c r="E417" s="196" t="str">
        <f>IFERROR(__xludf.DUMMYFUNCTION("""COMPUTED_VALUE"""),"FOR PACCUCOA LEVEL ACCREDITATION")</f>
        <v>FOR PACCUCOA LEVEL ACCREDITATION</v>
      </c>
    </row>
    <row r="418">
      <c r="A418" s="234">
        <f>IFERROR(__xludf.DUMMYFUNCTION("""COMPUTED_VALUE"""),100710.0)</f>
        <v>100710</v>
      </c>
      <c r="B418" s="235" t="str">
        <f>IFERROR(__xludf.DUMMYFUNCTION("""COMPUTED_VALUE"""),"CHRISTIAN S. ANDRES")</f>
        <v>CHRISTIAN S. ANDRES</v>
      </c>
      <c r="C418" s="235" t="str">
        <f>IFERROR(__xludf.DUMMYFUNCTION("""COMPUTED_VALUE"""),"PR &amp; MARKETING")</f>
        <v>PR &amp; MARKETING</v>
      </c>
      <c r="D418" s="196" t="str">
        <f>IFERROR(__xludf.DUMMYFUNCTION("""COMPUTED_VALUE"""),"AAVA POSTER")</f>
        <v>AAVA POSTER</v>
      </c>
      <c r="E418" s="196" t="str">
        <f>IFERROR(__xludf.DUMMYFUNCTION("""COMPUTED_VALUE"""),"MARKETING")</f>
        <v>MARKETING</v>
      </c>
    </row>
    <row r="419">
      <c r="A419" s="234">
        <f>IFERROR(__xludf.DUMMYFUNCTION("""COMPUTED_VALUE"""),100711.0)</f>
        <v>100711</v>
      </c>
      <c r="B419" s="235" t="str">
        <f>IFERROR(__xludf.DUMMYFUNCTION("""COMPUTED_VALUE"""),"MAJ TOMAS")</f>
        <v>MAJ TOMAS</v>
      </c>
      <c r="C419" s="235" t="str">
        <f>IFERROR(__xludf.DUMMYFUNCTION("""COMPUTED_VALUE"""),"ACCREDITATION")</f>
        <v>ACCREDITATION</v>
      </c>
      <c r="D419" s="196" t="str">
        <f>IFERROR(__xludf.DUMMYFUNCTION("""COMPUTED_VALUE"""),"ID LACE, ID HOLDER")</f>
        <v>ID LACE, ID HOLDER</v>
      </c>
      <c r="E419" s="196" t="str">
        <f>IFERROR(__xludf.DUMMYFUNCTION("""COMPUTED_VALUE"""),"FOR PACCUCOA USE")</f>
        <v>FOR PACCUCOA USE</v>
      </c>
    </row>
    <row r="420">
      <c r="A420" s="234">
        <f>IFERROR(__xludf.DUMMYFUNCTION("""COMPUTED_VALUE"""),100712.0)</f>
        <v>100712</v>
      </c>
      <c r="B420" s="235" t="str">
        <f>IFERROR(__xludf.DUMMYFUNCTION("""COMPUTED_VALUE"""),"MAJ TOMAS")</f>
        <v>MAJ TOMAS</v>
      </c>
      <c r="C420" s="235" t="str">
        <f>IFERROR(__xludf.DUMMYFUNCTION("""COMPUTED_VALUE"""),"ACCREDITATION")</f>
        <v>ACCREDITATION</v>
      </c>
      <c r="D420" s="196" t="str">
        <f>IFERROR(__xludf.DUMMYFUNCTION("""COMPUTED_VALUE"""),"BINDER TAB, STICKER, PLASTIC FILLER")</f>
        <v>BINDER TAB, STICKER, PLASTIC FILLER</v>
      </c>
      <c r="E420" s="196" t="str">
        <f>IFERROR(__xludf.DUMMYFUNCTION("""COMPUTED_VALUE"""),"FOR PACCUCOA USE")</f>
        <v>FOR PACCUCOA USE</v>
      </c>
    </row>
    <row r="421">
      <c r="A421" s="234">
        <f>IFERROR(__xludf.DUMMYFUNCTION("""COMPUTED_VALUE"""),100713.0)</f>
        <v>100713</v>
      </c>
      <c r="B421" s="235" t="str">
        <f>IFERROR(__xludf.DUMMYFUNCTION("""COMPUTED_VALUE"""),"CARLITO DELA VEGA")</f>
        <v>CARLITO DELA VEGA</v>
      </c>
      <c r="C421" s="235" t="str">
        <f>IFERROR(__xludf.DUMMYFUNCTION("""COMPUTED_VALUE"""),"SECURITY")</f>
        <v>SECURITY</v>
      </c>
      <c r="D421" s="196" t="str">
        <f>IFERROR(__xludf.DUMMYFUNCTION("""COMPUTED_VALUE"""),"DOOR ALARM AVAILABLE @ACE HARDWARE")</f>
        <v>DOOR ALARM AVAILABLE @ACE HARDWARE</v>
      </c>
      <c r="E421" s="196" t="str">
        <f>IFERROR(__xludf.DUMMYFUNCTION("""COMPUTED_VALUE"""),"SECURITY OF EMERGENCY EXIT")</f>
        <v>SECURITY OF EMERGENCY EXIT</v>
      </c>
    </row>
    <row r="422">
      <c r="A422" s="234">
        <f>IFERROR(__xludf.DUMMYFUNCTION("""COMPUTED_VALUE"""),100714.0)</f>
        <v>100714</v>
      </c>
      <c r="B422" s="235" t="str">
        <f>IFERROR(__xludf.DUMMYFUNCTION("""COMPUTED_VALUE"""),"BONG DULAWAN")</f>
        <v>BONG DULAWAN</v>
      </c>
      <c r="C422" s="235" t="str">
        <f>IFERROR(__xludf.DUMMYFUNCTION("""COMPUTED_VALUE"""),"ADMIN")</f>
        <v>ADMIN</v>
      </c>
      <c r="D422" s="196" t="str">
        <f>IFERROR(__xludf.DUMMYFUNCTION("""COMPUTED_VALUE"""),"12 PCS STEEL DRUM W/COVER; 12 PCS PLASTIC PALLETS")</f>
        <v>12 PCS STEEL DRUM W/COVER; 12 PCS PLASTIC PALLETS</v>
      </c>
      <c r="E422" s="196" t="str">
        <f>IFERROR(__xludf.DUMMYFUNCTION("""COMPUTED_VALUE"""),"FOR DENR REQUIREMENT OF WASTE TOXIC DISPOSAL")</f>
        <v>FOR DENR REQUIREMENT OF WASTE TOXIC DISPOSAL</v>
      </c>
    </row>
    <row r="423">
      <c r="A423" s="234">
        <f>IFERROR(__xludf.DUMMYFUNCTION("""COMPUTED_VALUE"""),100715.0)</f>
        <v>100715</v>
      </c>
      <c r="B423" s="235" t="str">
        <f>IFERROR(__xludf.DUMMYFUNCTION("""COMPUTED_VALUE"""),"ALFA DE LEON")</f>
        <v>ALFA DE LEON</v>
      </c>
      <c r="C423" s="235" t="str">
        <f>IFERROR(__xludf.DUMMYFUNCTION("""COMPUTED_VALUE"""),"ADMIN - MUNICH")</f>
        <v>ADMIN - MUNICH</v>
      </c>
      <c r="D423" s="196" t="str">
        <f>IFERROR(__xludf.DUMMYFUNCTION("""COMPUTED_VALUE"""),"FAULTLESS AUTOMATIC HYDRAULIC DOOR CLOSER")</f>
        <v>FAULTLESS AUTOMATIC HYDRAULIC DOOR CLOSER</v>
      </c>
      <c r="E423" s="196" t="str">
        <f>IFERROR(__xludf.DUMMYFUNCTION("""COMPUTED_VALUE"""),"GR 1 +2 CLASSROOM 204, 206")</f>
        <v>GR 1 +2 CLASSROOM 204, 206</v>
      </c>
    </row>
    <row r="424">
      <c r="A424" s="234">
        <f>IFERROR(__xludf.DUMMYFUNCTION("""COMPUTED_VALUE"""),100716.0)</f>
        <v>100716</v>
      </c>
      <c r="B424" s="235" t="str">
        <f>IFERROR(__xludf.DUMMYFUNCTION("""COMPUTED_VALUE"""),"ALFA DE LEON")</f>
        <v>ALFA DE LEON</v>
      </c>
      <c r="C424" s="235" t="str">
        <f>IFERROR(__xludf.DUMMYFUNCTION("""COMPUTED_VALUE"""),"ADMIN - MUNICH")</f>
        <v>ADMIN - MUNICH</v>
      </c>
      <c r="D424" s="196" t="str">
        <f>IFERROR(__xludf.DUMMYFUNCTION("""COMPUTED_VALUE"""),"CEILING EXHAUST FAN")</f>
        <v>CEILING EXHAUST FAN</v>
      </c>
      <c r="E424" s="196" t="str">
        <f>IFERROR(__xludf.DUMMYFUNCTION("""COMPUTED_VALUE"""),"TO REMOVE THE FOUL SMELL IN THE CONFERENCE ROOM")</f>
        <v>TO REMOVE THE FOUL SMELL IN THE CONFERENCE ROOM</v>
      </c>
    </row>
    <row r="425">
      <c r="A425" s="234">
        <f>IFERROR(__xludf.DUMMYFUNCTION("""COMPUTED_VALUE"""),100717.0)</f>
        <v>100717</v>
      </c>
      <c r="B425" s="235" t="str">
        <f>IFERROR(__xludf.DUMMYFUNCTION("""COMPUTED_VALUE"""),"BELOY LEOPOLDO")</f>
        <v>BELOY LEOPOLDO</v>
      </c>
      <c r="C425" s="235" t="str">
        <f>IFERROR(__xludf.DUMMYFUNCTION("""COMPUTED_VALUE"""),"AV/MIS")</f>
        <v>AV/MIS</v>
      </c>
      <c r="D425" s="196" t="str">
        <f>IFERROR(__xludf.DUMMYFUNCTION("""COMPUTED_VALUE"""),"TV BRACKET FOR G5 INCH TV (FIELD PURCHASE WILL DO)")</f>
        <v>TV BRACKET FOR G5 INCH TV (FIELD PURCHASE WILL DO)</v>
      </c>
      <c r="E425" s="196" t="str">
        <f>IFERROR(__xludf.DUMMYFUNCTION("""COMPUTED_VALUE"""),"CMCC TV")</f>
        <v>CMCC TV</v>
      </c>
    </row>
    <row r="426">
      <c r="A426" s="234">
        <f>IFERROR(__xludf.DUMMYFUNCTION("""COMPUTED_VALUE"""),100718.0)</f>
        <v>100718</v>
      </c>
      <c r="B426" s="235" t="str">
        <f>IFERROR(__xludf.DUMMYFUNCTION("""COMPUTED_VALUE"""),"DABERETH BALLER")</f>
        <v>DABERETH BALLER</v>
      </c>
      <c r="C426" s="235" t="str">
        <f>IFERROR(__xludf.DUMMYFUNCTION("""COMPUTED_VALUE"""),"SPECIAL SUBJECTS")</f>
        <v>SPECIAL SUBJECTS</v>
      </c>
      <c r="D426" s="196" t="str">
        <f>IFERROR(__xludf.DUMMYFUNCTION("""COMPUTED_VALUE"""),"GRADE 7, GRADE 8, GRADE 9, GRADE 10")</f>
        <v>GRADE 7, GRADE 8, GRADE 9, GRADE 10</v>
      </c>
      <c r="E426" s="196" t="str">
        <f>IFERROR(__xludf.DUMMYFUNCTION("""COMPUTED_VALUE"""),"HIGH SCHOOL BATCH JERSEY")</f>
        <v>HIGH SCHOOL BATCH JERSEY</v>
      </c>
    </row>
    <row r="427">
      <c r="A427" s="234">
        <f>IFERROR(__xludf.DUMMYFUNCTION("""COMPUTED_VALUE"""),100719.0)</f>
        <v>100719</v>
      </c>
      <c r="B427" s="235" t="str">
        <f>IFERROR(__xludf.DUMMYFUNCTION("""COMPUTED_VALUE"""),"GARRY M. BATAO-EY")</f>
        <v>GARRY M. BATAO-EY</v>
      </c>
      <c r="C427" s="235" t="str">
        <f>IFERROR(__xludf.DUMMYFUNCTION("""COMPUTED_VALUE"""),"AV/MIS")</f>
        <v>AV/MIS</v>
      </c>
      <c r="D427" s="196" t="str">
        <f>IFERROR(__xludf.DUMMYFUNCTION("""COMPUTED_VALUE"""),"VIEWSONIC (VA1903A)")</f>
        <v>VIEWSONIC (VA1903A)</v>
      </c>
      <c r="E427" s="196" t="str">
        <f>IFERROR(__xludf.DUMMYFUNCTION("""COMPUTED_VALUE"""),"REPLACEMENT OF DEFECTIVE MONITOR IN ELIZALDE COMLAB")</f>
        <v>REPLACEMENT OF DEFECTIVE MONITOR IN ELIZALDE COMLAB</v>
      </c>
    </row>
    <row r="428">
      <c r="A428" s="234">
        <f>IFERROR(__xludf.DUMMYFUNCTION("""COMPUTED_VALUE"""),100720.0)</f>
        <v>100720</v>
      </c>
      <c r="B428" s="235" t="str">
        <f>IFERROR(__xludf.DUMMYFUNCTION("""COMPUTED_VALUE"""),"VYE C/O DEAN CARMEL")</f>
        <v>VYE C/O DEAN CARMEL</v>
      </c>
      <c r="C428" s="235" t="str">
        <f>IFERROR(__xludf.DUMMYFUNCTION("""COMPUTED_VALUE"""),"NURSING")</f>
        <v>NURSING</v>
      </c>
      <c r="D428" s="196" t="str">
        <f>IFERROR(__xludf.DUMMYFUNCTION("""COMPUTED_VALUE"""),"BSN STUDENT PRIMER 135 CM X 215 CM SAME AS COLLEGE HANDBOOK")</f>
        <v>BSN STUDENT PRIMER 135 CM X 215 CM SAME AS COLLEGE HANDBOOK</v>
      </c>
      <c r="E428" s="196" t="str">
        <f>IFERROR(__xludf.DUMMYFUNCTION("""COMPUTED_VALUE"""),"WILL SERVE AS BSN STUDENT HANDBOOK")</f>
        <v>WILL SERVE AS BSN STUDENT HANDBOOK</v>
      </c>
    </row>
    <row r="429">
      <c r="A429" s="234">
        <f>IFERROR(__xludf.DUMMYFUNCTION("""COMPUTED_VALUE"""),100721.0)</f>
        <v>100721</v>
      </c>
      <c r="B429" s="235" t="str">
        <f>IFERROR(__xludf.DUMMYFUNCTION("""COMPUTED_VALUE"""),"KEI GABUTERO")</f>
        <v>KEI GABUTERO</v>
      </c>
      <c r="C429" s="235" t="str">
        <f>IFERROR(__xludf.DUMMYFUNCTION("""COMPUTED_VALUE"""),"COLLEGE DIRECTOR")</f>
        <v>COLLEGE DIRECTOR</v>
      </c>
      <c r="D429" s="196" t="str">
        <f>IFERROR(__xludf.DUMMYFUNCTION("""COMPUTED_VALUE"""),"A4 SIZE MATTE FINISH 60 PAGES INCLUDING FRONT AND BACK COVER ")</f>
        <v>A4 SIZE MATTE FINISH 60 PAGES INCLUDING FRONT AND BACK COVER </v>
      </c>
      <c r="E429" s="196" t="str">
        <f>IFERROR(__xludf.DUMMYFUNCTION("""COMPUTED_VALUE"""),"PRINTING OF CM VOL. 7 ISSUE 01 (1ST SEM AY 18-19)")</f>
        <v>PRINTING OF CM VOL. 7 ISSUE 01 (1ST SEM AY 18-19)</v>
      </c>
    </row>
    <row r="430">
      <c r="A430" s="234">
        <f>IFERROR(__xludf.DUMMYFUNCTION("""COMPUTED_VALUE"""),100722.0)</f>
        <v>100722</v>
      </c>
      <c r="B430" s="235"/>
      <c r="C430" s="235"/>
      <c r="D430" s="196"/>
      <c r="E430" s="196"/>
    </row>
    <row r="431">
      <c r="A431" s="234">
        <f>IFERROR(__xludf.DUMMYFUNCTION("""COMPUTED_VALUE"""),100723.0)</f>
        <v>100723</v>
      </c>
      <c r="B431" s="235" t="str">
        <f>IFERROR(__xludf.DUMMYFUNCTION("""COMPUTED_VALUE"""),"ARNEL MONTABLAN")</f>
        <v>ARNEL MONTABLAN</v>
      </c>
      <c r="C431" s="235" t="str">
        <f>IFERROR(__xludf.DUMMYFUNCTION("""COMPUTED_VALUE"""),"REGISTRATION")</f>
        <v>REGISTRATION</v>
      </c>
      <c r="D431" s="196" t="str">
        <f>IFERROR(__xludf.DUMMYFUNCTION("""COMPUTED_VALUE"""),"1000 PCS SISC ENVELOPE")</f>
        <v>1000 PCS SISC ENVELOPE</v>
      </c>
      <c r="E431" s="196" t="str">
        <f>IFERROR(__xludf.DUMMYFUNCTION("""COMPUTED_VALUE"""),"FOR ENROLLMENT/CREDENTIAL REQUEST OF SOUTHVILLE")</f>
        <v>FOR ENROLLMENT/CREDENTIAL REQUEST OF SOUTHVILLE</v>
      </c>
    </row>
    <row r="432">
      <c r="A432" s="234">
        <f>IFERROR(__xludf.DUMMYFUNCTION("""COMPUTED_VALUE"""),100724.0)</f>
        <v>100724</v>
      </c>
      <c r="B432" s="235" t="str">
        <f>IFERROR(__xludf.DUMMYFUNCTION("""COMPUTED_VALUE"""),"DABERETH BALLER")</f>
        <v>DABERETH BALLER</v>
      </c>
      <c r="C432" s="235" t="str">
        <f>IFERROR(__xludf.DUMMYFUNCTION("""COMPUTED_VALUE"""),"SPECIAL SUBJECTS")</f>
        <v>SPECIAL SUBJECTS</v>
      </c>
      <c r="D432" s="196" t="str">
        <f>IFERROR(__xludf.DUMMYFUNCTION("""COMPUTED_VALUE"""),"GRADE 3 101 PCS, GRADE 4 98 PCS, GRADE 5 82 PCS, GRADE 6 107 PCS")</f>
        <v>GRADE 3 101 PCS, GRADE 4 98 PCS, GRADE 5 82 PCS, GRADE 6 107 PCS</v>
      </c>
      <c r="E432" s="196" t="str">
        <f>IFERROR(__xludf.DUMMYFUNCTION("""COMPUTED_VALUE"""),"GRADESCHOOL BATCH JERSEY")</f>
        <v>GRADESCHOOL BATCH JERSEY</v>
      </c>
    </row>
    <row r="433">
      <c r="A433" s="234">
        <f>IFERROR(__xludf.DUMMYFUNCTION("""COMPUTED_VALUE"""),100725.0)</f>
        <v>100725</v>
      </c>
      <c r="B433" s="235" t="str">
        <f>IFERROR(__xludf.DUMMYFUNCTION("""COMPUTED_VALUE"""),"BOKZ CALVENDRA")</f>
        <v>BOKZ CALVENDRA</v>
      </c>
      <c r="C433" s="235" t="str">
        <f>IFERROR(__xludf.DUMMYFUNCTION("""COMPUTED_VALUE"""),"HOUSEKEEPING")</f>
        <v>HOUSEKEEPING</v>
      </c>
      <c r="D433" s="196" t="str">
        <f>IFERROR(__xludf.DUMMYFUNCTION("""COMPUTED_VALUE"""),"POLARIS INSTANT ID SYSTEM (PET)")</f>
        <v>POLARIS INSTANT ID SYSTEM (PET)</v>
      </c>
      <c r="E433" s="196" t="str">
        <f>IFERROR(__xludf.DUMMYFUNCTION("""COMPUTED_VALUE"""),"REPLENISHMENT OF STOCKS")</f>
        <v>REPLENISHMENT OF STOCKS</v>
      </c>
    </row>
    <row r="434">
      <c r="A434" s="234">
        <f>IFERROR(__xludf.DUMMYFUNCTION("""COMPUTED_VALUE"""),100726.0)</f>
        <v>100726</v>
      </c>
      <c r="B434" s="235" t="str">
        <f>IFERROR(__xludf.DUMMYFUNCTION("""COMPUTED_VALUE"""),"GARRY BATAO EY")</f>
        <v>GARRY BATAO EY</v>
      </c>
      <c r="C434" s="235" t="str">
        <f>IFERROR(__xludf.DUMMYFUNCTION("""COMPUTED_VALUE"""),"AV/MIS")</f>
        <v>AV/MIS</v>
      </c>
      <c r="D434" s="196" t="str">
        <f>IFERROR(__xludf.DUMMYFUNCTION("""COMPUTED_VALUE"""),"PROJECTOR (STAR CAMPUS) REPLACEMENT")</f>
        <v>PROJECTOR (STAR CAMPUS) REPLACEMENT</v>
      </c>
      <c r="E434" s="196" t="str">
        <f>IFERROR(__xludf.DUMMYFUNCTION("""COMPUTED_VALUE"""),"REPLACEMET OF OLD PROJECTOR")</f>
        <v>REPLACEMET OF OLD PROJECTOR</v>
      </c>
    </row>
    <row r="435">
      <c r="A435" s="234">
        <f>IFERROR(__xludf.DUMMYFUNCTION("""COMPUTED_VALUE"""),100727.0)</f>
        <v>100727</v>
      </c>
      <c r="B435" s="235" t="str">
        <f>IFERROR(__xludf.DUMMYFUNCTION("""COMPUTED_VALUE"""),"BELOY LEOPOLDO")</f>
        <v>BELOY LEOPOLDO</v>
      </c>
      <c r="C435" s="235" t="str">
        <f>IFERROR(__xludf.DUMMYFUNCTION("""COMPUTED_VALUE"""),"AV/MIS")</f>
        <v>AV/MIS</v>
      </c>
      <c r="D435" s="196" t="str">
        <f>IFERROR(__xludf.DUMMYFUNCTION("""COMPUTED_VALUE"""),"HDMI CABLE 20 MTRS, HDMI CABLE 1.5 M, HDMI SPLITTER 4 OUTPUT")</f>
        <v>HDMI CABLE 20 MTRS, HDMI CABLE 1.5 M, HDMI SPLITTER 4 OUTPUT</v>
      </c>
      <c r="E435" s="196" t="str">
        <f>IFERROR(__xludf.DUMMYFUNCTION("""COMPUTED_VALUE"""),"MOBILE SET UP")</f>
        <v>MOBILE SET UP</v>
      </c>
    </row>
    <row r="436">
      <c r="A436" s="234">
        <f>IFERROR(__xludf.DUMMYFUNCTION("""COMPUTED_VALUE"""),100728.0)</f>
        <v>100728</v>
      </c>
      <c r="B436" s="235" t="str">
        <f>IFERROR(__xludf.DUMMYFUNCTION("""COMPUTED_VALUE"""),"BELOY LEOPOLDO")</f>
        <v>BELOY LEOPOLDO</v>
      </c>
      <c r="C436" s="235" t="str">
        <f>IFERROR(__xludf.DUMMYFUNCTION("""COMPUTED_VALUE"""),"AV/MIS")</f>
        <v>AV/MIS</v>
      </c>
      <c r="D436" s="196" t="str">
        <f>IFERROR(__xludf.DUMMYFUNCTION("""COMPUTED_VALUE"""),"NEC LAMP NP40 LP")</f>
        <v>NEC LAMP NP40 LP</v>
      </c>
      <c r="E436" s="196" t="str">
        <f>IFERROR(__xludf.DUMMYFUNCTION("""COMPUTED_VALUE"""),"REPLACEMENT OF BUSTED LAMP IN ROOM 204 LU")</f>
        <v>REPLACEMENT OF BUSTED LAMP IN ROOM 204 LU</v>
      </c>
    </row>
    <row r="437">
      <c r="A437" s="234">
        <f>IFERROR(__xludf.DUMMYFUNCTION("""COMPUTED_VALUE"""),100729.0)</f>
        <v>100729</v>
      </c>
      <c r="B437" s="235" t="str">
        <f>IFERROR(__xludf.DUMMYFUNCTION("""COMPUTED_VALUE"""),"BELOY LEOPOLDO")</f>
        <v>BELOY LEOPOLDO</v>
      </c>
      <c r="C437" s="235" t="str">
        <f>IFERROR(__xludf.DUMMYFUNCTION("""COMPUTED_VALUE"""),"AV/MIS")</f>
        <v>AV/MIS</v>
      </c>
      <c r="D437" s="196" t="str">
        <f>IFERROR(__xludf.DUMMYFUNCTION("""COMPUTED_VALUE"""),"TOAVM-2240 PA SYSTEM")</f>
        <v>TOAVM-2240 PA SYSTEM</v>
      </c>
      <c r="E437" s="196" t="str">
        <f>IFERROR(__xludf.DUMMYFUNCTION("""COMPUTED_VALUE"""),"PA IMPROVEMENT IN COLLEGE BUILDING")</f>
        <v>PA IMPROVEMENT IN COLLEGE BUILDING</v>
      </c>
    </row>
    <row r="438">
      <c r="A438" s="234">
        <f>IFERROR(__xludf.DUMMYFUNCTION("""COMPUTED_VALUE"""),100730.0)</f>
        <v>100730</v>
      </c>
      <c r="B438" s="235" t="str">
        <f>IFERROR(__xludf.DUMMYFUNCTION("""COMPUTED_VALUE"""),"ELYDS REYES")</f>
        <v>ELYDS REYES</v>
      </c>
      <c r="C438" s="235" t="str">
        <f>IFERROR(__xludf.DUMMYFUNCTION("""COMPUTED_VALUE"""),"PR &amp; MARKETING")</f>
        <v>PR &amp; MARKETING</v>
      </c>
      <c r="D438" s="196" t="str">
        <f>IFERROR(__xludf.DUMMYFUNCTION("""COMPUTED_VALUE"""),"5000 PCS SGEN FLYERS SIZE 8.5 X 5.5")</f>
        <v>5000 PCS SGEN FLYERS SIZE 8.5 X 5.5</v>
      </c>
      <c r="E438" s="196" t="str">
        <f>IFERROR(__xludf.DUMMYFUNCTION("""COMPUTED_VALUE"""),"MARKETING")</f>
        <v>MARKETING</v>
      </c>
    </row>
    <row r="439">
      <c r="A439" s="234">
        <f>IFERROR(__xludf.DUMMYFUNCTION("""COMPUTED_VALUE"""),100731.0)</f>
        <v>100731</v>
      </c>
      <c r="B439" s="235" t="str">
        <f>IFERROR(__xludf.DUMMYFUNCTION("""COMPUTED_VALUE"""),"BELOY LEOPOLDO")</f>
        <v>BELOY LEOPOLDO</v>
      </c>
      <c r="C439" s="235" t="str">
        <f>IFERROR(__xludf.DUMMYFUNCTION("""COMPUTED_VALUE"""),"AV/MIS")</f>
        <v>AV/MIS</v>
      </c>
      <c r="D439" s="196" t="str">
        <f>IFERROR(__xludf.DUMMYFUNCTION("""COMPUTED_VALUE"""),"EPSON EB -1142")</f>
        <v>EPSON EB -1142</v>
      </c>
      <c r="E439" s="196" t="str">
        <f>IFERROR(__xludf.DUMMYFUNCTION("""COMPUTED_VALUE"""),"REPLACEMENT OF PROJECTOR IN ROOM 301 LU")</f>
        <v>REPLACEMENT OF PROJECTOR IN ROOM 301 LU</v>
      </c>
    </row>
    <row r="440">
      <c r="A440" s="234">
        <f>IFERROR(__xludf.DUMMYFUNCTION("""COMPUTED_VALUE"""),100732.0)</f>
        <v>100732</v>
      </c>
      <c r="B440" s="235" t="str">
        <f>IFERROR(__xludf.DUMMYFUNCTION("""COMPUTED_VALUE"""),"BELOY LEOPOLDO")</f>
        <v>BELOY LEOPOLDO</v>
      </c>
      <c r="C440" s="235" t="str">
        <f>IFERROR(__xludf.DUMMYFUNCTION("""COMPUTED_VALUE"""),"AV/MIS")</f>
        <v>AV/MIS</v>
      </c>
      <c r="D440" s="196" t="str">
        <f>IFERROR(__xludf.DUMMYFUNCTION("""COMPUTED_VALUE"""),"TOAVM-2240 PA SYSTEM")</f>
        <v>TOAVM-2240 PA SYSTEM</v>
      </c>
      <c r="E440" s="196" t="str">
        <f>IFERROR(__xludf.DUMMYFUNCTION("""COMPUTED_VALUE"""),"PA IMPROVEMENT IN COLLEGE BUILDING")</f>
        <v>PA IMPROVEMENT IN COLLEGE BUILDING</v>
      </c>
    </row>
    <row r="441">
      <c r="A441" s="234">
        <f>IFERROR(__xludf.DUMMYFUNCTION("""COMPUTED_VALUE"""),100733.0)</f>
        <v>100733</v>
      </c>
      <c r="B441" s="235" t="str">
        <f>IFERROR(__xludf.DUMMYFUNCTION("""COMPUTED_VALUE"""),"BENKO DELA CRUZ")</f>
        <v>BENKO DELA CRUZ</v>
      </c>
      <c r="C441" s="235" t="str">
        <f>IFERROR(__xludf.DUMMYFUNCTION("""COMPUTED_VALUE"""),"FOOD SERVICES")</f>
        <v>FOOD SERVICES</v>
      </c>
      <c r="D441" s="196" t="str">
        <f>IFERROR(__xludf.DUMMYFUNCTION("""COMPUTED_VALUE"""),"SUB METER DIGITAL (CL 200 240 V 3W FM2S)")</f>
        <v>SUB METER DIGITAL (CL 200 240 V 3W FM2S)</v>
      </c>
      <c r="E441" s="196" t="str">
        <f>IFERROR(__xludf.DUMMYFUNCTION("""COMPUTED_VALUE"""),"REPLACEMENT OF SUBMETER (POTATO CORNER)")</f>
        <v>REPLACEMENT OF SUBMETER (POTATO CORNER)</v>
      </c>
    </row>
    <row r="442">
      <c r="A442" s="234">
        <f>IFERROR(__xludf.DUMMYFUNCTION("""COMPUTED_VALUE"""),100734.0)</f>
        <v>100734</v>
      </c>
      <c r="B442" s="235" t="str">
        <f>IFERROR(__xludf.DUMMYFUNCTION("""COMPUTED_VALUE"""),"ROMAN BALUYOT")</f>
        <v>ROMAN BALUYOT</v>
      </c>
      <c r="C442" s="235" t="str">
        <f>IFERROR(__xludf.DUMMYFUNCTION("""COMPUTED_VALUE"""),"PR &amp; MARKETING")</f>
        <v>PR &amp; MARKETING</v>
      </c>
      <c r="D442" s="196" t="str">
        <f>IFERROR(__xludf.DUMMYFUNCTION("""COMPUTED_VALUE"""),"TOPS TARP 6.5 X 13.5 FT ")</f>
        <v>TOPS TARP 6.5 X 13.5 FT </v>
      </c>
      <c r="E442" s="196" t="str">
        <f>IFERROR(__xludf.DUMMYFUNCTION("""COMPUTED_VALUE"""),"PROMOTION")</f>
        <v>PROMOTION</v>
      </c>
    </row>
    <row r="443">
      <c r="A443" s="234">
        <f>IFERROR(__xludf.DUMMYFUNCTION("""COMPUTED_VALUE"""),100735.0)</f>
        <v>100735</v>
      </c>
      <c r="B443" s="235" t="str">
        <f>IFERROR(__xludf.DUMMYFUNCTION("""COMPUTED_VALUE"""),"RONALD A. OBLENO")</f>
        <v>RONALD A. OBLENO</v>
      </c>
      <c r="C443" s="235" t="str">
        <f>IFERROR(__xludf.DUMMYFUNCTION("""COMPUTED_VALUE"""),"AV/MIS")</f>
        <v>AV/MIS</v>
      </c>
      <c r="D443" s="196" t="str">
        <f>IFERROR(__xludf.DUMMYFUNCTION("""COMPUTED_VALUE"""),"PUSH CART 350 TO 400")</f>
        <v>PUSH CART 350 TO 400</v>
      </c>
      <c r="E443" s="196" t="str">
        <f>IFERROR(__xludf.DUMMYFUNCTION("""COMPUTED_VALUE"""),"REPLACEMENT OF DEFECTIVE PUSH CART OF MIS")</f>
        <v>REPLACEMENT OF DEFECTIVE PUSH CART OF MIS</v>
      </c>
    </row>
    <row r="444">
      <c r="A444" s="234">
        <f>IFERROR(__xludf.DUMMYFUNCTION("""COMPUTED_VALUE"""),100736.0)</f>
        <v>100736</v>
      </c>
      <c r="B444" s="235" t="str">
        <f>IFERROR(__xludf.DUMMYFUNCTION("""COMPUTED_VALUE"""),"RONALD A. OBLENO")</f>
        <v>RONALD A. OBLENO</v>
      </c>
      <c r="C444" s="235" t="str">
        <f>IFERROR(__xludf.DUMMYFUNCTION("""COMPUTED_VALUE"""),"AV/MIS")</f>
        <v>AV/MIS</v>
      </c>
      <c r="D444" s="196" t="str">
        <f>IFERROR(__xludf.DUMMYFUNCTION("""COMPUTED_VALUE"""),"LUGGAGE BAG TROLLEY")</f>
        <v>LUGGAGE BAG TROLLEY</v>
      </c>
      <c r="E444" s="196" t="str">
        <f>IFERROR(__xludf.DUMMYFUNCTION("""COMPUTED_VALUE"""),"REPLACEMENT OF DEFECTIVE BAG")</f>
        <v>REPLACEMENT OF DEFECTIVE BAG</v>
      </c>
    </row>
    <row r="445">
      <c r="A445" s="234">
        <f>IFERROR(__xludf.DUMMYFUNCTION("""COMPUTED_VALUE"""),100737.0)</f>
        <v>100737</v>
      </c>
      <c r="B445" s="235" t="str">
        <f>IFERROR(__xludf.DUMMYFUNCTION("""COMPUTED_VALUE"""),"T. BELLE")</f>
        <v>T. BELLE</v>
      </c>
      <c r="C445" s="235" t="str">
        <f>IFERROR(__xludf.DUMMYFUNCTION("""COMPUTED_VALUE"""),"LANDSCAPING")</f>
        <v>LANDSCAPING</v>
      </c>
      <c r="D445" s="196" t="str">
        <f>IFERROR(__xludf.DUMMYFUNCTION("""COMPUTED_VALUE"""),"BEARING SMALL 12PCS; BIG 6PCS")</f>
        <v>BEARING SMALL 12PCS; BIG 6PCS</v>
      </c>
      <c r="E445" s="196" t="str">
        <f>IFERROR(__xludf.DUMMYFUNCTION("""COMPUTED_VALUE"""),"FOR REPLACEMENT OF BEARING FOR 5 KARITONS")</f>
        <v>FOR REPLACEMENT OF BEARING FOR 5 KARITONS</v>
      </c>
    </row>
    <row r="446">
      <c r="A446" s="234">
        <f>IFERROR(__xludf.DUMMYFUNCTION("""COMPUTED_VALUE"""),100738.0)</f>
        <v>100738</v>
      </c>
      <c r="B446" s="235" t="str">
        <f>IFERROR(__xludf.DUMMYFUNCTION("""COMPUTED_VALUE"""),"JORGE PALELA/LIA ARCAINA")</f>
        <v>JORGE PALELA/LIA ARCAINA</v>
      </c>
      <c r="C446" s="235" t="str">
        <f>IFERROR(__xludf.DUMMYFUNCTION("""COMPUTED_VALUE"""),"STUDENT AFFAIRS BED")</f>
        <v>STUDENT AFFAIRS BED</v>
      </c>
      <c r="D446" s="196" t="str">
        <f>IFERROR(__xludf.DUMMYFUNCTION("""COMPUTED_VALUE"""),"PARADE OF NATIONS COSTUMES FOR GRADES 3-6 PLEASE SEE ATTACHED DESIGN AND QUANTITY")</f>
        <v>PARADE OF NATIONS COSTUMES FOR GRADES 3-6 PLEASE SEE ATTACHED DESIGN AND QUANTITY</v>
      </c>
      <c r="E446" s="196" t="str">
        <f>IFERROR(__xludf.DUMMYFUNCTION("""COMPUTED_VALUE"""),"FOR PARADE OF NATIONS OF GRADE SCHOOL")</f>
        <v>FOR PARADE OF NATIONS OF GRADE SCHOOL</v>
      </c>
    </row>
    <row r="447">
      <c r="A447" s="234">
        <f>IFERROR(__xludf.DUMMYFUNCTION("""COMPUTED_VALUE"""),100739.0)</f>
        <v>100739</v>
      </c>
      <c r="B447" s="235" t="str">
        <f>IFERROR(__xludf.DUMMYFUNCTION("""COMPUTED_VALUE"""),"JUDE CUNTAPAY/ JORGE PALELA")</f>
        <v>JUDE CUNTAPAY/ JORGE PALELA</v>
      </c>
      <c r="C447" s="235" t="str">
        <f>IFERROR(__xludf.DUMMYFUNCTION("""COMPUTED_VALUE"""),"STUDENT AFFAIRS BED")</f>
        <v>STUDENT AFFAIRS BED</v>
      </c>
      <c r="D447" s="196" t="str">
        <f>IFERROR(__xludf.DUMMYFUNCTION("""COMPUTED_VALUE"""),"PASSPORT AROUND THE WOLRD SHIRTS FOR GRADE 7-12 PLEASE SEE ATTACHED DESIGN AND QUANTITY ")</f>
        <v>PASSPORT AROUND THE WOLRD SHIRTS FOR GRADE 7-12 PLEASE SEE ATTACHED DESIGN AND QUANTITY </v>
      </c>
      <c r="E447" s="196" t="str">
        <f>IFERROR(__xludf.DUMMYFUNCTION("""COMPUTED_VALUE"""),"PASSPORT AROUND THE WORLD SHIRTS 2018-19")</f>
        <v>PASSPORT AROUND THE WORLD SHIRTS 2018-19</v>
      </c>
    </row>
    <row r="448">
      <c r="A448" s="234">
        <f>IFERROR(__xludf.DUMMYFUNCTION("""COMPUTED_VALUE"""),100740.0)</f>
        <v>100740</v>
      </c>
      <c r="B448" s="235" t="str">
        <f>IFERROR(__xludf.DUMMYFUNCTION("""COMPUTED_VALUE"""),"PHEN PETIN")</f>
        <v>PHEN PETIN</v>
      </c>
      <c r="C448" s="235" t="str">
        <f>IFERROR(__xludf.DUMMYFUNCTION("""COMPUTED_VALUE"""),"ADMIN - STAR")</f>
        <v>ADMIN - STAR</v>
      </c>
      <c r="D448" s="196" t="str">
        <f>IFERROR(__xludf.DUMMYFUNCTION("""COMPUTED_VALUE"""),"WALL FAN 18"" (ASAHI MOCCA COLOR)")</f>
        <v>WALL FAN 18" (ASAHI MOCCA COLOR)</v>
      </c>
      <c r="E448" s="196" t="str">
        <f>IFERROR(__xludf.DUMMYFUNCTION("""COMPUTED_VALUE"""),"FOR YAYA'S AREA AND FRONT GATE")</f>
        <v>FOR YAYA'S AREA AND FRONT GATE</v>
      </c>
    </row>
    <row r="449">
      <c r="A449" s="234">
        <f>IFERROR(__xludf.DUMMYFUNCTION("""COMPUTED_VALUE"""),100741.0)</f>
        <v>100741</v>
      </c>
      <c r="B449" s="235" t="str">
        <f>IFERROR(__xludf.DUMMYFUNCTION("""COMPUTED_VALUE"""),"LIA ARCAINA")</f>
        <v>LIA ARCAINA</v>
      </c>
      <c r="C449" s="235" t="str">
        <f>IFERROR(__xludf.DUMMYFUNCTION("""COMPUTED_VALUE"""),"STUDENT AFFAIRS BED")</f>
        <v>STUDENT AFFAIRS BED</v>
      </c>
      <c r="D449" s="196" t="str">
        <f>IFERROR(__xludf.DUMMYFUNCTION("""COMPUTED_VALUE"""),"FLOWERS FOR MEMORIAL SERVICE TO BE DELIVERED FOR CAPT. CARLOS D. GUANZON ADDRESS SANTUARIO DIVINO MOLINO BACOOR CAVITE")</f>
        <v>FLOWERS FOR MEMORIAL SERVICE TO BE DELIVERED FOR CAPT. CARLOS D. GUANZON ADDRESS SANTUARIO DIVINO MOLINO BACOOR CAVITE</v>
      </c>
      <c r="E449" s="196" t="str">
        <f>IFERROR(__xludf.DUMMYFUNCTION("""COMPUTED_VALUE"""),"FOR THE FATHER OF OF A GRADE 11 STUDENT (ROMAN GUANZON)")</f>
        <v>FOR THE FATHER OF OF A GRADE 11 STUDENT (ROMAN GUANZON)</v>
      </c>
    </row>
    <row r="450">
      <c r="A450" s="234">
        <f>IFERROR(__xludf.DUMMYFUNCTION("""COMPUTED_VALUE"""),100742.0)</f>
        <v>100742</v>
      </c>
      <c r="B450" s="235" t="str">
        <f>IFERROR(__xludf.DUMMYFUNCTION("""COMPUTED_VALUE"""),"BENJO DELA CRUZ")</f>
        <v>BENJO DELA CRUZ</v>
      </c>
      <c r="C450" s="235" t="str">
        <f>IFERROR(__xludf.DUMMYFUNCTION("""COMPUTED_VALUE"""),"ABU")</f>
        <v>ABU</v>
      </c>
      <c r="D450" s="196" t="str">
        <f>IFERROR(__xludf.DUMMYFUNCTION("""COMPUTED_VALUE"""),"ASAHI ORBIT FAN")</f>
        <v>ASAHI ORBIT FAN</v>
      </c>
      <c r="E450" s="196" t="str">
        <f>IFERROR(__xludf.DUMMYFUNCTION("""COMPUTED_VALUE"""),"ADDITIONAL ORBIT FAN IN MUNICH ")</f>
        <v>ADDITIONAL ORBIT FAN IN MUNICH </v>
      </c>
    </row>
    <row r="451">
      <c r="A451" s="234">
        <f>IFERROR(__xludf.DUMMYFUNCTION("""COMPUTED_VALUE"""),100743.0)</f>
        <v>100743</v>
      </c>
      <c r="B451" s="235" t="str">
        <f>IFERROR(__xludf.DUMMYFUNCTION("""COMPUTED_VALUE"""),"MELISSA NAVAL ODONO")</f>
        <v>MELISSA NAVAL ODONO</v>
      </c>
      <c r="C451" s="235" t="str">
        <f>IFERROR(__xludf.DUMMYFUNCTION("""COMPUTED_VALUE"""),"LIBRARY MUNICH")</f>
        <v>LIBRARY MUNICH</v>
      </c>
      <c r="D451" s="196" t="str">
        <f>IFERROR(__xludf.DUMMYFUNCTION("""COMPUTED_VALUE"""),"NOTE: BOOKS ARE PHYSICALLY AVAILABLE IN MUNCH LABRIARY")</f>
        <v>NOTE: BOOKS ARE PHYSICALLY AVAILABLE IN MUNCH LABRIARY</v>
      </c>
      <c r="E451" s="196" t="str">
        <f>IFERROR(__xludf.DUMMYFUNCTION("""COMPUTED_VALUE"""),"FOR LIBRARY COPY")</f>
        <v>FOR LIBRARY COPY</v>
      </c>
    </row>
    <row r="452">
      <c r="A452" s="234">
        <f>IFERROR(__xludf.DUMMYFUNCTION("""COMPUTED_VALUE"""),100744.0)</f>
        <v>100744</v>
      </c>
      <c r="B452" s="235" t="str">
        <f>IFERROR(__xludf.DUMMYFUNCTION("""COMPUTED_VALUE"""),"CARLITO DELA VEGA")</f>
        <v>CARLITO DELA VEGA</v>
      </c>
      <c r="C452" s="235" t="str">
        <f>IFERROR(__xludf.DUMMYFUNCTION("""COMPUTED_VALUE"""),"SECURITY")</f>
        <v>SECURITY</v>
      </c>
      <c r="D452" s="196" t="str">
        <f>IFERROR(__xludf.DUMMYFUNCTION("""COMPUTED_VALUE"""),"CAMERA USPEC ABZ8525A37 ")</f>
        <v>CAMERA USPEC ABZ8525A37 </v>
      </c>
      <c r="E452" s="196" t="str">
        <f>IFERROR(__xludf.DUMMYFUNCTION("""COMPUTED_VALUE"""),"REPAIR AND REPLACEMENT OF  DEFECTIVE CAMERA")</f>
        <v>REPAIR AND REPLACEMENT OF  DEFECTIVE CAMERA</v>
      </c>
    </row>
    <row r="453">
      <c r="A453" s="234">
        <f>IFERROR(__xludf.DUMMYFUNCTION("""COMPUTED_VALUE"""),100745.0)</f>
        <v>100745</v>
      </c>
      <c r="B453" s="235" t="str">
        <f>IFERROR(__xludf.DUMMYFUNCTION("""COMPUTED_VALUE"""),"FEROL SAMANTHA ")</f>
        <v>FEROL SAMANTHA </v>
      </c>
      <c r="C453" s="235" t="str">
        <f>IFERROR(__xludf.DUMMYFUNCTION("""COMPUTED_VALUE"""),"LIBRARY COLLEGE")</f>
        <v>LIBRARY COLLEGE</v>
      </c>
      <c r="D453" s="196" t="str">
        <f>IFERROR(__xludf.DUMMYFUNCTION("""COMPUTED_VALUE"""),"SEE ATTACHED FILE  ATENEO PRESS")</f>
        <v>SEE ATTACHED FILE  ATENEO PRESS</v>
      </c>
      <c r="E453" s="196" t="str">
        <f>IFERROR(__xludf.DUMMYFUNCTION("""COMPUTED_VALUE"""),"FOR PACUCOA LEVEL 4 ACCREDITATION BOOK ACQUISTION")</f>
        <v>FOR PACUCOA LEVEL 4 ACCREDITATION BOOK ACQUISTION</v>
      </c>
    </row>
    <row r="454">
      <c r="A454" s="234">
        <f>IFERROR(__xludf.DUMMYFUNCTION("""COMPUTED_VALUE"""),100746.0)</f>
        <v>100746</v>
      </c>
      <c r="B454" s="235" t="str">
        <f>IFERROR(__xludf.DUMMYFUNCTION("""COMPUTED_VALUE"""),"KEI GABUTERO")</f>
        <v>KEI GABUTERO</v>
      </c>
      <c r="C454" s="235" t="str">
        <f>IFERROR(__xludf.DUMMYFUNCTION("""COMPUTED_VALUE"""),"AB COMM/MMA")</f>
        <v>AB COMM/MMA</v>
      </c>
      <c r="D454" s="196" t="str">
        <f>IFERROR(__xludf.DUMMYFUNCTION("""COMPUTED_VALUE"""),"1 MELTON LOW BACK OFFICE CHAIR(MANDAUE FOAM); 1 2073 OFFICE TABLE WENGE (FURNITURE MANILA)")</f>
        <v>1 MELTON LOW BACK OFFICE CHAIR(MANDAUE FOAM); 1 2073 OFFICE TABLE WENGE (FURNITURE MANILA)</v>
      </c>
      <c r="E454" s="196" t="str">
        <f>IFERROR(__xludf.DUMMYFUNCTION("""COMPUTED_VALUE"""),"FOR OFFICE USE (MS. KEI GABUTERO USE) MMA")</f>
        <v>FOR OFFICE USE (MS. KEI GABUTERO USE) MMA</v>
      </c>
    </row>
    <row r="455">
      <c r="A455" s="234">
        <f>IFERROR(__xludf.DUMMYFUNCTION("""COMPUTED_VALUE"""),100747.0)</f>
        <v>100747</v>
      </c>
      <c r="B455" s="235" t="str">
        <f>IFERROR(__xludf.DUMMYFUNCTION("""COMPUTED_VALUE"""),"VYE REVOLTAR")</f>
        <v>VYE REVOLTAR</v>
      </c>
      <c r="C455" s="235" t="str">
        <f>IFERROR(__xludf.DUMMYFUNCTION("""COMPUTED_VALUE"""),"CEM OFFICE")</f>
        <v>CEM OFFICE</v>
      </c>
      <c r="D455" s="196" t="str">
        <f>IFERROR(__xludf.DUMMYFUNCTION("""COMPUTED_VALUE"""),"BACKUP PLUS SLIM PORTABLE DRIVE (SEAGALE) SLIM METAL DESIGN 1TB/TO USB 3.0")</f>
        <v>BACKUP PLUS SLIM PORTABLE DRIVE (SEAGALE) SLIM METAL DESIGN 1TB/TO USB 3.0</v>
      </c>
      <c r="E455" s="196" t="str">
        <f>IFERROR(__xludf.DUMMYFUNCTION("""COMPUTED_VALUE"""),"REPLACE OLD/BROKEN ONE")</f>
        <v>REPLACE OLD/BROKEN ONE</v>
      </c>
    </row>
    <row r="456">
      <c r="A456" s="234">
        <f>IFERROR(__xludf.DUMMYFUNCTION("""COMPUTED_VALUE"""),100748.0)</f>
        <v>100748</v>
      </c>
      <c r="B456" s="235" t="str">
        <f>IFERROR(__xludf.DUMMYFUNCTION("""COMPUTED_VALUE"""),"TOM TONGOHAN")</f>
        <v>TOM TONGOHAN</v>
      </c>
      <c r="C456" s="235" t="str">
        <f>IFERROR(__xludf.DUMMYFUNCTION("""COMPUTED_VALUE"""),"ADMIN")</f>
        <v>ADMIN</v>
      </c>
      <c r="D456" s="196" t="str">
        <f>IFERROR(__xludf.DUMMYFUNCTION("""COMPUTED_VALUE"""),"FAUX GRASS TUG (GREEN) CARPET TURF SIZE 2.40M DIAMETER NOTE PROVIDE PIPING FOR EDGES")</f>
        <v>FAUX GRASS TUG (GREEN) CARPET TURF SIZE 2.40M DIAMETER NOTE PROVIDE PIPING FOR EDGES</v>
      </c>
      <c r="E456" s="196" t="str">
        <f>IFERROR(__xludf.DUMMYFUNCTION("""COMPUTED_VALUE"""),"FOR COLLEGE DEPT STUDENT USE @ THE PRAYER ROOM")</f>
        <v>FOR COLLEGE DEPT STUDENT USE @ THE PRAYER ROOM</v>
      </c>
    </row>
    <row r="457">
      <c r="A457" s="234">
        <f>IFERROR(__xludf.DUMMYFUNCTION("""COMPUTED_VALUE"""),100749.0)</f>
        <v>100749</v>
      </c>
      <c r="B457" s="235" t="str">
        <f>IFERROR(__xludf.DUMMYFUNCTION("""COMPUTED_VALUE"""),"ROMAN BALUYOT")</f>
        <v>ROMAN BALUYOT</v>
      </c>
      <c r="C457" s="235" t="str">
        <f>IFERROR(__xludf.DUMMYFUNCTION("""COMPUTED_VALUE"""),"PR &amp; MARKETING")</f>
        <v>PR &amp; MARKETING</v>
      </c>
      <c r="D457" s="196" t="str">
        <f>IFERROR(__xludf.DUMMYFUNCTION("""COMPUTED_VALUE""")," ")</f>
        <v> </v>
      </c>
      <c r="E457" s="196"/>
    </row>
    <row r="458">
      <c r="A458" s="234">
        <f>IFERROR(__xludf.DUMMYFUNCTION("""COMPUTED_VALUE"""),100750.0)</f>
        <v>100750</v>
      </c>
      <c r="B458" s="235" t="str">
        <f>IFERROR(__xludf.DUMMYFUNCTION("""COMPUTED_VALUE"""),"MP LOPEZ")</f>
        <v>MP LOPEZ</v>
      </c>
      <c r="C458" s="235" t="str">
        <f>IFERROR(__xludf.DUMMYFUNCTION("""COMPUTED_VALUE"""),"STUDENT AFFAIRS BED")</f>
        <v>STUDENT AFFAIRS BED</v>
      </c>
      <c r="D458" s="196" t="str">
        <f>IFERROR(__xludf.DUMMYFUNCTION("""COMPUTED_VALUE"""),"5 PCS ZEBRA INK YMCKOK SERIES 3")</f>
        <v>5 PCS ZEBRA INK YMCKOK SERIES 3</v>
      </c>
      <c r="E458" s="196" t="str">
        <f>IFERROR(__xludf.DUMMYFUNCTION("""COMPUTED_VALUE"""),"PRINTING OF FETCHER'S ID")</f>
        <v>PRINTING OF FETCHER'S ID</v>
      </c>
    </row>
    <row r="459">
      <c r="A459" s="234">
        <f>IFERROR(__xludf.DUMMYFUNCTION("""COMPUTED_VALUE"""),100751.0)</f>
        <v>100751</v>
      </c>
      <c r="B459" s="235" t="str">
        <f>IFERROR(__xludf.DUMMYFUNCTION("""COMPUTED_VALUE"""),"FEROL SAMANTHA ")</f>
        <v>FEROL SAMANTHA </v>
      </c>
      <c r="C459" s="235" t="str">
        <f>IFERROR(__xludf.DUMMYFUNCTION("""COMPUTED_VALUE"""),"LIBRARY COLLEGE")</f>
        <v>LIBRARY COLLEGE</v>
      </c>
      <c r="D459" s="196" t="str">
        <f>IFERROR(__xludf.DUMMYFUNCTION("""COMPUTED_VALUE"""),"SECURITY DOOR ALARM")</f>
        <v>SECURITY DOOR ALARM</v>
      </c>
      <c r="E459" s="196" t="str">
        <f>IFERROR(__xludf.DUMMYFUNCTION("""COMPUTED_VALUE"""),"REQUEST REPLACEMENT OF THE BROKEN SECURITY ALARM SYSTEM IN THE FIRE EXIT")</f>
        <v>REQUEST REPLACEMENT OF THE BROKEN SECURITY ALARM SYSTEM IN THE FIRE EXIT</v>
      </c>
    </row>
    <row r="460">
      <c r="A460" s="234">
        <f>IFERROR(__xludf.DUMMYFUNCTION("""COMPUTED_VALUE"""),100752.0)</f>
        <v>100752</v>
      </c>
      <c r="B460" s="235" t="str">
        <f>IFERROR(__xludf.DUMMYFUNCTION("""COMPUTED_VALUE"""),"PAUL ARAÑA")</f>
        <v>PAUL ARAÑA</v>
      </c>
      <c r="C460" s="235" t="str">
        <f>IFERROR(__xludf.DUMMYFUNCTION("""COMPUTED_VALUE"""),"MIS/ICT")</f>
        <v>MIS/ICT</v>
      </c>
      <c r="D460" s="196" t="str">
        <f>IFERROR(__xludf.DUMMYFUNCTION("""COMPUTED_VALUE"""),"1 UNIT EPSON PROJECTOR EB-U42")</f>
        <v>1 UNIT EPSON PROJECTOR EB-U42</v>
      </c>
      <c r="E460" s="196" t="str">
        <f>IFERROR(__xludf.DUMMYFUNCTION("""COMPUTED_VALUE"""),"FOR REPLACEMENT OF PROJECTOR IN COMLAB 2 COLLEGE")</f>
        <v>FOR REPLACEMENT OF PROJECTOR IN COMLAB 2 COLLEGE</v>
      </c>
    </row>
    <row r="461">
      <c r="A461" s="234">
        <f>IFERROR(__xludf.DUMMYFUNCTION("""COMPUTED_VALUE"""),100753.0)</f>
        <v>100753</v>
      </c>
      <c r="B461" s="235" t="str">
        <f>IFERROR(__xludf.DUMMYFUNCTION("""COMPUTED_VALUE"""),"OWIE PAR")</f>
        <v>OWIE PAR</v>
      </c>
      <c r="C461" s="235" t="str">
        <f>IFERROR(__xludf.DUMMYFUNCTION("""COMPUTED_VALUE"""),"ENGINEERING")</f>
        <v>ENGINEERING</v>
      </c>
      <c r="D461" s="196" t="str">
        <f>IFERROR(__xludf.DUMMYFUNCTION("""COMPUTED_VALUE"""),"COPPER TUBE. 28 X 5/8  COPPER TUBE 28. X 1/4 INSULATION 3/4 X 5/8 COPPER ELBOW 5/8  TOX 3 SCREW #8 WHITE FILM NITROGAS  ")</f>
        <v>COPPER TUBE. 28 X 5/8  COPPER TUBE 28. X 1/4 INSULATION 3/4 X 5/8 COPPER ELBOW 5/8  TOX 3 SCREW #8 WHITE FILM NITROGAS  </v>
      </c>
      <c r="E461" s="196" t="str">
        <f>IFERROR(__xludf.DUMMYFUNCTION("""COMPUTED_VALUE"""),"FOR/ACU INSTALLATION ")</f>
        <v>FOR/ACU INSTALLATION </v>
      </c>
    </row>
    <row r="462">
      <c r="A462" s="234">
        <f>IFERROR(__xludf.DUMMYFUNCTION("""COMPUTED_VALUE"""),100754.0)</f>
        <v>100754</v>
      </c>
      <c r="B462" s="235" t="str">
        <f>IFERROR(__xludf.DUMMYFUNCTION("""COMPUTED_VALUE"""),"OWIE PAR")</f>
        <v>OWIE PAR</v>
      </c>
      <c r="C462" s="235" t="str">
        <f>IFERROR(__xludf.DUMMYFUNCTION("""COMPUTED_VALUE"""),"ENGINEERING")</f>
        <v>ENGINEERING</v>
      </c>
      <c r="D462" s="196" t="str">
        <f>IFERROR(__xludf.DUMMYFUNCTION("""COMPUTED_VALUE"""),"BUSHING REDUCER 1 1/4  3/4 PPR MALE ADAPTOR 3/4 PPR ELBOW 3/4 PVC  PIPE 3/4  PVC COUPLING REDUCER 3/4 ,1/2 PVC FEMALE ADAPTOR 3/4 PVC END CUP 3/4  SOLVENT CEMENT NELTEX 400CC ")</f>
        <v>BUSHING REDUCER 1 1/4  3/4 PPR MALE ADAPTOR 3/4 PPR ELBOW 3/4 PVC  PIPE 3/4  PVC COUPLING REDUCER 3/4 ,1/2 PVC FEMALE ADAPTOR 3/4 PVC END CUP 3/4  SOLVENT CEMENT NELTEX 400CC </v>
      </c>
      <c r="E462" s="196" t="str">
        <f>IFERROR(__xludf.DUMMYFUNCTION("""COMPUTED_VALUE"""),"FOR SUPPLY OF 4TH FLOOR SCI LAB")</f>
        <v>FOR SUPPLY OF 4TH FLOOR SCI LAB</v>
      </c>
    </row>
    <row r="463">
      <c r="A463" s="234">
        <f>IFERROR(__xludf.DUMMYFUNCTION("""COMPUTED_VALUE"""),100755.0)</f>
        <v>100755</v>
      </c>
      <c r="B463" s="235" t="str">
        <f>IFERROR(__xludf.DUMMYFUNCTION("""COMPUTED_VALUE"""),"BOKZ CALVENDRA")</f>
        <v>BOKZ CALVENDRA</v>
      </c>
      <c r="C463" s="235" t="str">
        <f>IFERROR(__xludf.DUMMYFUNCTION("""COMPUTED_VALUE"""),"HOUSEKEEPING")</f>
        <v>HOUSEKEEPING</v>
      </c>
      <c r="D463" s="196" t="str">
        <f>IFERROR(__xludf.DUMMYFUNCTION("""COMPUTED_VALUE"""),"5C'S MISSION AND VISION")</f>
        <v>5C'S MISSION AND VISION</v>
      </c>
      <c r="E463" s="196" t="str">
        <f>IFERROR(__xludf.DUMMYFUNCTION("""COMPUTED_VALUE"""),"FOR CMLC")</f>
        <v>FOR CMLC</v>
      </c>
    </row>
    <row r="464">
      <c r="A464" s="234">
        <f>IFERROR(__xludf.DUMMYFUNCTION("""COMPUTED_VALUE"""),100756.0)</f>
        <v>100756</v>
      </c>
      <c r="B464" s="235" t="str">
        <f>IFERROR(__xludf.DUMMYFUNCTION("""COMPUTED_VALUE"""),"BOKZ VALVENDRA")</f>
        <v>BOKZ VALVENDRA</v>
      </c>
      <c r="C464" s="235" t="str">
        <f>IFERROR(__xludf.DUMMYFUNCTION("""COMPUTED_VALUE"""),"HOUSEKEEPING")</f>
        <v>HOUSEKEEPING</v>
      </c>
      <c r="D464" s="196" t="str">
        <f>IFERROR(__xludf.DUMMYFUNCTION("""COMPUTED_VALUE"""),"TEACHERS TABLE (SAME SPECS AS CMLC)")</f>
        <v>TEACHERS TABLE (SAME SPECS AS CMLC)</v>
      </c>
      <c r="E464" s="196" t="str">
        <f>IFERROR(__xludf.DUMMYFUNCTION("""COMPUTED_VALUE"""),"FOR BRIC ROOM")</f>
        <v>FOR BRIC ROOM</v>
      </c>
    </row>
    <row r="465">
      <c r="A465" s="234">
        <f>IFERROR(__xludf.DUMMYFUNCTION("""COMPUTED_VALUE"""),100757.0)</f>
        <v>100757</v>
      </c>
      <c r="B465" s="235" t="str">
        <f>IFERROR(__xludf.DUMMYFUNCTION("""COMPUTED_VALUE"""),"BOKZ CALVENDRA")</f>
        <v>BOKZ CALVENDRA</v>
      </c>
      <c r="C465" s="235" t="str">
        <f>IFERROR(__xludf.DUMMYFUNCTION("""COMPUTED_VALUE"""),"HOUSEKEEPING")</f>
        <v>HOUSEKEEPING</v>
      </c>
      <c r="D465" s="196" t="str">
        <f>IFERROR(__xludf.DUMMYFUNCTION("""COMPUTED_VALUE"""),"TEACHERS CHAIR (SAME SPECS AS CMLC)")</f>
        <v>TEACHERS CHAIR (SAME SPECS AS CMLC)</v>
      </c>
      <c r="E465" s="196" t="str">
        <f>IFERROR(__xludf.DUMMYFUNCTION("""COMPUTED_VALUE"""),"FOR BRIC ROOM")</f>
        <v>FOR BRIC ROOM</v>
      </c>
    </row>
    <row r="466">
      <c r="A466" s="234">
        <f>IFERROR(__xludf.DUMMYFUNCTION("""COMPUTED_VALUE"""),100758.0)</f>
        <v>100758</v>
      </c>
      <c r="B466" s="235" t="str">
        <f>IFERROR(__xludf.DUMMYFUNCTION("""COMPUTED_VALUE"""),"SANDRA CLAIRE DUPIO")</f>
        <v>SANDRA CLAIRE DUPIO</v>
      </c>
      <c r="C466" s="235" t="str">
        <f>IFERROR(__xludf.DUMMYFUNCTION("""COMPUTED_VALUE"""),"LIBRARY BASIC ED")</f>
        <v>LIBRARY BASIC ED</v>
      </c>
      <c r="D466" s="196" t="str">
        <f>IFERROR(__xludf.DUMMYFUNCTION("""COMPUTED_VALUE"""),"1 CP WHEN COMPUTERS BECOME HUMAN: A KIDS GUIDE TO THE FUTURE OF ARTIFICIAL INTELLIGENCE; 1 CP MACHINE LEARNING FOR BABIES AND TODDLERS; 1 CP LIFE3.0:BEING HUMAN BEING IN THE AGE OF ARTIFICIAL INTELLIGENCE")</f>
        <v>1 CP WHEN COMPUTERS BECOME HUMAN: A KIDS GUIDE TO THE FUTURE OF ARTIFICIAL INTELLIGENCE; 1 CP MACHINE LEARNING FOR BABIES AND TODDLERS; 1 CP LIFE3.0:BEING HUMAN BEING IN THE AGE OF ARTIFICIAL INTELLIGENCE</v>
      </c>
      <c r="E466" s="196" t="str">
        <f>IFERROR(__xludf.DUMMYFUNCTION("""COMPUTED_VALUE"""),"FOR TEACHER'S REFERENCES ( ARTIFICIAL INTELLIGENCE)/LIBRARY'S COPY")</f>
        <v>FOR TEACHER'S REFERENCES ( ARTIFICIAL INTELLIGENCE)/LIBRARY'S COPY</v>
      </c>
    </row>
    <row r="467">
      <c r="A467" s="234">
        <f>IFERROR(__xludf.DUMMYFUNCTION("""COMPUTED_VALUE"""),100759.0)</f>
        <v>100759</v>
      </c>
      <c r="B467" s="235" t="str">
        <f>IFERROR(__xludf.DUMMYFUNCTION("""COMPUTED_VALUE"""),"BOKZ VCALVENDRA")</f>
        <v>BOKZ VCALVENDRA</v>
      </c>
      <c r="C467" s="235" t="str">
        <f>IFERROR(__xludf.DUMMYFUNCTION("""COMPUTED_VALUE"""),"ADMIN")</f>
        <v>ADMIN</v>
      </c>
      <c r="D467" s="196" t="str">
        <f>IFERROR(__xludf.DUMMYFUNCTION("""COMPUTED_VALUE"""),"STOOL (SEE ATTACHED SPECS)")</f>
        <v>STOOL (SEE ATTACHED SPECS)</v>
      </c>
      <c r="E467" s="196" t="str">
        <f>IFERROR(__xludf.DUMMYFUNCTION("""COMPUTED_VALUE"""),"PRAYER ROOM COLLEGE")</f>
        <v>PRAYER ROOM COLLEGE</v>
      </c>
    </row>
    <row r="468">
      <c r="A468" s="234">
        <f>IFERROR(__xludf.DUMMYFUNCTION("""COMPUTED_VALUE"""),100760.0)</f>
        <v>100760</v>
      </c>
      <c r="B468" s="235" t="str">
        <f>IFERROR(__xludf.DUMMYFUNCTION("""COMPUTED_VALUE"""),"CHOY JAMIAS")</f>
        <v>CHOY JAMIAS</v>
      </c>
      <c r="C468" s="235" t="str">
        <f>IFERROR(__xludf.DUMMYFUNCTION("""COMPUTED_VALUE"""),"ALUMNI")</f>
        <v>ALUMNI</v>
      </c>
      <c r="D468" s="196" t="str">
        <f>IFERROR(__xludf.DUMMYFUNCTION("""COMPUTED_VALUE"""),"FLOWERS 1PC")</f>
        <v>FLOWERS 1PC</v>
      </c>
      <c r="E468" s="196" t="str">
        <f>IFERROR(__xludf.DUMMYFUNCTION("""COMPUTED_VALUE"""),"FLOWERS FOR ANGELO CAPILO - BSN WHO DIED LAST FRIDAY")</f>
        <v>FLOWERS FOR ANGELO CAPILO - BSN WHO DIED LAST FRIDAY</v>
      </c>
    </row>
    <row r="469">
      <c r="A469" s="234">
        <f>IFERROR(__xludf.DUMMYFUNCTION("""COMPUTED_VALUE"""),100761.0)</f>
        <v>100761</v>
      </c>
      <c r="B469" s="235" t="str">
        <f>IFERROR(__xludf.DUMMYFUNCTION("""COMPUTED_VALUE"""),"FEROL SAMANTHA ")</f>
        <v>FEROL SAMANTHA </v>
      </c>
      <c r="C469" s="235" t="str">
        <f>IFERROR(__xludf.DUMMYFUNCTION("""COMPUTED_VALUE"""),"LIBRARY COLLEGE")</f>
        <v>LIBRARY COLLEGE</v>
      </c>
      <c r="D469" s="196" t="str">
        <f>IFERROR(__xludf.DUMMYFUNCTION("""COMPUTED_VALUE"""),"WIRELESS TELEPHONE (PANASONIC KX-T64021N LANDLINE CORDLES SYSTEM TELEPHONE)")</f>
        <v>WIRELESS TELEPHONE (PANASONIC KX-T64021N LANDLINE CORDLES SYSTEM TELEPHONE)</v>
      </c>
      <c r="E469" s="196" t="str">
        <f>IFERROR(__xludf.DUMMYFUNCTION("""COMPUTED_VALUE"""),"UPON RECOMMENDATION: NEEDED TO REPLACE THE WIRELESS PHONE")</f>
        <v>UPON RECOMMENDATION: NEEDED TO REPLACE THE WIRELESS PHONE</v>
      </c>
    </row>
    <row r="470">
      <c r="A470" s="234">
        <f>IFERROR(__xludf.DUMMYFUNCTION("""COMPUTED_VALUE"""),100762.0)</f>
        <v>100762</v>
      </c>
      <c r="B470" s="235" t="str">
        <f>IFERROR(__xludf.DUMMYFUNCTION("""COMPUTED_VALUE"""),"FEROL SAMANTHA ")</f>
        <v>FEROL SAMANTHA </v>
      </c>
      <c r="C470" s="235" t="str">
        <f>IFERROR(__xludf.DUMMYFUNCTION("""COMPUTED_VALUE"""),"LIBRARY COLLEGE")</f>
        <v>LIBRARY COLLEGE</v>
      </c>
      <c r="D470" s="196" t="str">
        <f>IFERROR(__xludf.DUMMYFUNCTION("""COMPUTED_VALUE"""),"OFFICE DESK CALL BELL")</f>
        <v>OFFICE DESK CALL BELL</v>
      </c>
      <c r="E470" s="196" t="str">
        <f>IFERROR(__xludf.DUMMYFUNCTION("""COMPUTED_VALUE"""),"TO BE USED FOR CIRCULATION AREA OF THE COLLEGE LIBRARY")</f>
        <v>TO BE USED FOR CIRCULATION AREA OF THE COLLEGE LIBRARY</v>
      </c>
    </row>
    <row r="471">
      <c r="A471" s="234">
        <f>IFERROR(__xludf.DUMMYFUNCTION("""COMPUTED_VALUE"""),100763.0)</f>
        <v>100763</v>
      </c>
      <c r="B471" s="235" t="str">
        <f>IFERROR(__xludf.DUMMYFUNCTION("""COMPUTED_VALUE"""),"APRIL D. TRAJICO")</f>
        <v>APRIL D. TRAJICO</v>
      </c>
      <c r="C471" s="235" t="str">
        <f>IFERROR(__xludf.DUMMYFUNCTION("""COMPUTED_VALUE"""),"AMD")</f>
        <v>AMD</v>
      </c>
      <c r="D471" s="196" t="str">
        <f>IFERROR(__xludf.DUMMYFUNCTION("""COMPUTED_VALUE"""),"PAPER, SISC LETTERHEAD COLORED SHORT (8.5 X 11 IN)")</f>
        <v>PAPER, SISC LETTERHEAD COLORED SHORT (8.5 X 11 IN)</v>
      </c>
      <c r="E471" s="196" t="str">
        <f>IFERROR(__xludf.DUMMYFUNCTION("""COMPUTED_VALUE"""),"STOCK REPLENISHMENT - OSSUP")</f>
        <v>STOCK REPLENISHMENT - OSSUP</v>
      </c>
    </row>
    <row r="472">
      <c r="A472" s="234">
        <f>IFERROR(__xludf.DUMMYFUNCTION("""COMPUTED_VALUE"""),100764.0)</f>
        <v>100764</v>
      </c>
      <c r="B472" s="235" t="str">
        <f>IFERROR(__xludf.DUMMYFUNCTION("""COMPUTED_VALUE"""),"APRIL D. TRAJICO")</f>
        <v>APRIL D. TRAJICO</v>
      </c>
      <c r="C472" s="235" t="str">
        <f>IFERROR(__xludf.DUMMYFUNCTION("""COMPUTED_VALUE"""),"AMD")</f>
        <v>AMD</v>
      </c>
      <c r="D472" s="196" t="str">
        <f>IFERROR(__xludf.DUMMYFUNCTION("""COMPUTED_VALUE"""),"TONER CARTRIDGE INKONVERT TN660 FOR BROTHER HL-L2300D")</f>
        <v>TONER CARTRIDGE INKONVERT TN660 FOR BROTHER HL-L2300D</v>
      </c>
      <c r="E472" s="196" t="str">
        <f>IFERROR(__xludf.DUMMYFUNCTION("""COMPUTED_VALUE"""),"STOCK REPLENISHMENT - OSSUP")</f>
        <v>STOCK REPLENISHMENT - OSSUP</v>
      </c>
    </row>
    <row r="473">
      <c r="A473" s="234">
        <f>IFERROR(__xludf.DUMMYFUNCTION("""COMPUTED_VALUE"""),100765.0)</f>
        <v>100765</v>
      </c>
      <c r="B473" s="235" t="str">
        <f>IFERROR(__xludf.DUMMYFUNCTION("""COMPUTED_VALUE"""),"APRIL D. TRAJICO")</f>
        <v>APRIL D. TRAJICO</v>
      </c>
      <c r="C473" s="235" t="str">
        <f>IFERROR(__xludf.DUMMYFUNCTION("""COMPUTED_VALUE"""),"AMD")</f>
        <v>AMD</v>
      </c>
      <c r="D473" s="196" t="str">
        <f>IFERROR(__xludf.DUMMYFUNCTION("""COMPUTED_VALUE"""),"FOLDER, FORTUNE WHITE LONG FOLDER, PRESSBOARD GREEN LONG, PAPER FORTUNE GROUNDWOVE MIMEO LONG 500 PCS, RIBBON, CARTRIDGE EPSON LQ 2180 #15531 RIBBON CARTRIDGE EPSON LX300 + #8750")</f>
        <v>FOLDER, FORTUNE WHITE LONG FOLDER, PRESSBOARD GREEN LONG, PAPER FORTUNE GROUNDWOVE MIMEO LONG 500 PCS, RIBBON, CARTRIDGE EPSON LQ 2180 #15531 RIBBON CARTRIDGE EPSON LX300 + #8750</v>
      </c>
      <c r="E473" s="196" t="str">
        <f>IFERROR(__xludf.DUMMYFUNCTION("""COMPUTED_VALUE"""),"STOCK REPLENISHMENT - OSSUP")</f>
        <v>STOCK REPLENISHMENT - OSSUP</v>
      </c>
    </row>
    <row r="474">
      <c r="A474" s="234">
        <f>IFERROR(__xludf.DUMMYFUNCTION("""COMPUTED_VALUE"""),100766.0)</f>
        <v>100766</v>
      </c>
      <c r="B474" s="235" t="str">
        <f>IFERROR(__xludf.DUMMYFUNCTION("""COMPUTED_VALUE"""),"APRIL D. TRAJICO")</f>
        <v>APRIL D. TRAJICO</v>
      </c>
      <c r="C474" s="235" t="str">
        <f>IFERROR(__xludf.DUMMYFUNCTION("""COMPUTED_VALUE"""),"AMD")</f>
        <v>AMD</v>
      </c>
      <c r="D474" s="196" t="str">
        <f>IFERROR(__xludf.DUMMYFUNCTION("""COMPUTED_VALUE"""),"CORKBOARD -23 (1/4T)")</f>
        <v>CORKBOARD -23 (1/4T)</v>
      </c>
      <c r="E474" s="196" t="str">
        <f>IFERROR(__xludf.DUMMYFUNCTION("""COMPUTED_VALUE"""),"STOCK REPLENISHMENT - OSSUP")</f>
        <v>STOCK REPLENISHMENT - OSSUP</v>
      </c>
    </row>
    <row r="475">
      <c r="A475" s="234">
        <f>IFERROR(__xludf.DUMMYFUNCTION("""COMPUTED_VALUE"""),100767.0)</f>
        <v>100767</v>
      </c>
      <c r="B475" s="235" t="str">
        <f>IFERROR(__xludf.DUMMYFUNCTION("""COMPUTED_VALUE"""),"APRIL D. TRAJICO")</f>
        <v>APRIL D. TRAJICO</v>
      </c>
      <c r="C475" s="235" t="str">
        <f>IFERROR(__xludf.DUMMYFUNCTION("""COMPUTED_VALUE"""),"AMD")</f>
        <v>AMD</v>
      </c>
      <c r="D475" s="196" t="str">
        <f>IFERROR(__xludf.DUMMYFUNCTION("""COMPUTED_VALUE"""),"WALL CLOCK ANALOG ASAHI, MODEL:HC2011-BLACK")</f>
        <v>WALL CLOCK ANALOG ASAHI, MODEL:HC2011-BLACK</v>
      </c>
      <c r="E475" s="196" t="str">
        <f>IFERROR(__xludf.DUMMYFUNCTION("""COMPUTED_VALUE"""),"STOCK REPLENISHMENT - OSSUP")</f>
        <v>STOCK REPLENISHMENT - OSSUP</v>
      </c>
    </row>
    <row r="476">
      <c r="A476" s="234">
        <f>IFERROR(__xludf.DUMMYFUNCTION("""COMPUTED_VALUE"""),100768.0)</f>
        <v>100768</v>
      </c>
      <c r="B476" s="235" t="str">
        <f>IFERROR(__xludf.DUMMYFUNCTION("""COMPUTED_VALUE"""),"APRIL D. TRAJICO")</f>
        <v>APRIL D. TRAJICO</v>
      </c>
      <c r="C476" s="235" t="str">
        <f>IFERROR(__xludf.DUMMYFUNCTION("""COMPUTED_VALUE"""),"AMD")</f>
        <v>AMD</v>
      </c>
      <c r="D476" s="196" t="str">
        <f>IFERROR(__xludf.DUMMYFUNCTION("""COMPUTED_VALUE"""),"ENVELOPE, LONG W/ SISC LOGO W/ WINDOW")</f>
        <v>ENVELOPE, LONG W/ SISC LOGO W/ WINDOW</v>
      </c>
      <c r="E476" s="196" t="str">
        <f>IFERROR(__xludf.DUMMYFUNCTION("""COMPUTED_VALUE"""),"STOCK REPLENISHMENT - OSSUP")</f>
        <v>STOCK REPLENISHMENT - OSSUP</v>
      </c>
    </row>
    <row r="477">
      <c r="A477" s="234">
        <f>IFERROR(__xludf.DUMMYFUNCTION("""COMPUTED_VALUE"""),100769.0)</f>
        <v>100769</v>
      </c>
      <c r="B477" s="235" t="str">
        <f>IFERROR(__xludf.DUMMYFUNCTION("""COMPUTED_VALUE"""),"APRIL D. TRAJICO")</f>
        <v>APRIL D. TRAJICO</v>
      </c>
      <c r="C477" s="235" t="str">
        <f>IFERROR(__xludf.DUMMYFUNCTION("""COMPUTED_VALUE"""),"AMD")</f>
        <v>AMD</v>
      </c>
      <c r="D477" s="196" t="str">
        <f>IFERROR(__xludf.DUMMYFUNCTION("""COMPUTED_VALUE"""),"TONER, CARTRIDGE INKONVERT LBP6000 85A 40PCS")</f>
        <v>TONER, CARTRIDGE INKONVERT LBP6000 85A 40PCS</v>
      </c>
      <c r="E477" s="196" t="str">
        <f>IFERROR(__xludf.DUMMYFUNCTION("""COMPUTED_VALUE"""),"STOCK REPLENISHMENT - OSSUP")</f>
        <v>STOCK REPLENISHMENT - OSSUP</v>
      </c>
    </row>
    <row r="478">
      <c r="A478" s="234">
        <f>IFERROR(__xludf.DUMMYFUNCTION("""COMPUTED_VALUE"""),100770.0)</f>
        <v>100770</v>
      </c>
      <c r="B478" s="235" t="str">
        <f>IFERROR(__xludf.DUMMYFUNCTION("""COMPUTED_VALUE"""),"MAJ THOMAS")</f>
        <v>MAJ THOMAS</v>
      </c>
      <c r="C478" s="235" t="str">
        <f>IFERROR(__xludf.DUMMYFUNCTION("""COMPUTED_VALUE"""),"ACCREDITATION")</f>
        <v>ACCREDITATION</v>
      </c>
      <c r="D478" s="196" t="str">
        <f>IFERROR(__xludf.DUMMYFUNCTION("""COMPUTED_VALUE"""),"ACCREDITATION PORTFOLIO (WITH NOTEPAD PEN INSIDE)")</f>
        <v>ACCREDITATION PORTFOLIO (WITH NOTEPAD PEN INSIDE)</v>
      </c>
      <c r="E478" s="196" t="str">
        <f>IFERROR(__xludf.DUMMYFUNCTION("""COMPUTED_VALUE"""),"FOR ACCREDITATION")</f>
        <v>FOR ACCREDITATION</v>
      </c>
    </row>
    <row r="479">
      <c r="A479" s="234">
        <f>IFERROR(__xludf.DUMMYFUNCTION("""COMPUTED_VALUE"""),100771.0)</f>
        <v>100771</v>
      </c>
      <c r="B479" s="235" t="str">
        <f>IFERROR(__xludf.DUMMYFUNCTION("""COMPUTED_VALUE"""),"MAJ THOMAS")</f>
        <v>MAJ THOMAS</v>
      </c>
      <c r="C479" s="235" t="str">
        <f>IFERROR(__xludf.DUMMYFUNCTION("""COMPUTED_VALUE"""),"ACCREDITATION")</f>
        <v>ACCREDITATION</v>
      </c>
      <c r="D479" s="196" t="str">
        <f>IFERROR(__xludf.DUMMYFUNCTION("""COMPUTED_VALUE"""),"SABLAY (FOR ACCREDITATION) SOUTHVILLE BUTTONS (PINS) MALTE (SEE ATTACHED SAMPLE)")</f>
        <v>SABLAY (FOR ACCREDITATION) SOUTHVILLE BUTTONS (PINS) MALTE (SEE ATTACHED SAMPLE)</v>
      </c>
      <c r="E479" s="196" t="str">
        <f>IFERROR(__xludf.DUMMYFUNCTION("""COMPUTED_VALUE"""),"FOR PACCUCOA")</f>
        <v>FOR PACCUCOA</v>
      </c>
    </row>
    <row r="480">
      <c r="A480" s="234">
        <f>IFERROR(__xludf.DUMMYFUNCTION("""COMPUTED_VALUE"""),100772.0)</f>
        <v>100772</v>
      </c>
      <c r="B480" s="235" t="str">
        <f>IFERROR(__xludf.DUMMYFUNCTION("""COMPUTED_VALUE"""),"MAJ THOMAS")</f>
        <v>MAJ THOMAS</v>
      </c>
      <c r="C480" s="235" t="str">
        <f>IFERROR(__xludf.DUMMYFUNCTION("""COMPUTED_VALUE"""),"ACCREDITATION")</f>
        <v>ACCREDITATION</v>
      </c>
      <c r="D480" s="196" t="str">
        <f>IFERROR(__xludf.DUMMYFUNCTION("""COMPUTED_VALUE"""),"ACCREDITATION HYGIENE KIT 
-POUCH
-TOOTHPASTE
-TOOTHBRUSH
-HAND SANITIZER
-MOUTHWASH
-DRY TISSUE
-WET TISSUE")</f>
        <v>ACCREDITATION HYGIENE KIT 
-POUCH
-TOOTHPASTE
-TOOTHBRUSH
-HAND SANITIZER
-MOUTHWASH
-DRY TISSUE
-WET TISSUE</v>
      </c>
      <c r="E480" s="196"/>
    </row>
    <row r="481">
      <c r="A481" s="234">
        <f>IFERROR(__xludf.DUMMYFUNCTION("""COMPUTED_VALUE"""),100773.0)</f>
        <v>100773</v>
      </c>
      <c r="B481" s="235" t="str">
        <f>IFERROR(__xludf.DUMMYFUNCTION("""COMPUTED_VALUE""")," MP LOPEZ")</f>
        <v> MP LOPEZ</v>
      </c>
      <c r="C481" s="235" t="str">
        <f>IFERROR(__xludf.DUMMYFUNCTION("""COMPUTED_VALUE"""),"DISCIPLINE BED")</f>
        <v>DISCIPLINE BED</v>
      </c>
      <c r="D481" s="196" t="str">
        <f>IFERROR(__xludf.DUMMYFUNCTION("""COMPUTED_VALUE"""),"DVC CARDS (ZEBRA)")</f>
        <v>DVC CARDS (ZEBRA)</v>
      </c>
      <c r="E481" s="196" t="str">
        <f>IFERROR(__xludf.DUMMYFUNCTION("""COMPUTED_VALUE"""),"PRINTING OF FETCHERS ID")</f>
        <v>PRINTING OF FETCHERS ID</v>
      </c>
    </row>
    <row r="482">
      <c r="A482" s="234">
        <f>IFERROR(__xludf.DUMMYFUNCTION("""COMPUTED_VALUE"""),100774.0)</f>
        <v>100774</v>
      </c>
      <c r="B482" s="235" t="str">
        <f>IFERROR(__xludf.DUMMYFUNCTION("""COMPUTED_VALUE"""),"ELYDS REYES")</f>
        <v>ELYDS REYES</v>
      </c>
      <c r="C482" s="235" t="str">
        <f>IFERROR(__xludf.DUMMYFUNCTION("""COMPUTED_VALUE"""),"PR &amp; MARKETING")</f>
        <v>PR &amp; MARKETING</v>
      </c>
      <c r="D482" s="196" t="str">
        <f>IFERROR(__xludf.DUMMYFUNCTION("""COMPUTED_VALUE"""),"HANGING FILE FOLDER")</f>
        <v>HANGING FILE FOLDER</v>
      </c>
      <c r="E482" s="196" t="str">
        <f>IFERROR(__xludf.DUMMYFUNCTION("""COMPUTED_VALUE"""),"FOR OFFICE PURPOSE AND 5'S")</f>
        <v>FOR OFFICE PURPOSE AND 5'S</v>
      </c>
    </row>
    <row r="483">
      <c r="A483" s="234">
        <f>IFERROR(__xludf.DUMMYFUNCTION("""COMPUTED_VALUE"""),100775.0)</f>
        <v>100775</v>
      </c>
      <c r="B483" s="235" t="str">
        <f>IFERROR(__xludf.DUMMYFUNCTION("""COMPUTED_VALUE"""),"KEI GABUTERO")</f>
        <v>KEI GABUTERO</v>
      </c>
      <c r="C483" s="235" t="str">
        <f>IFERROR(__xludf.DUMMYFUNCTION("""COMPUTED_VALUE"""),"AB COMM/MMA")</f>
        <v>AB COMM/MMA</v>
      </c>
      <c r="D483" s="196" t="str">
        <f>IFERROR(__xludf.DUMMYFUNCTION("""COMPUTED_VALUE"""),"MELTON LOWBACK OFFICE CHAIR (MANDAVE FOAM) 2073 OFFICE TABLE-WENGE (FURNITURE MANILA)")</f>
        <v>MELTON LOWBACK OFFICE CHAIR (MANDAVE FOAM) 2073 OFFICE TABLE-WENGE (FURNITURE MANILA)</v>
      </c>
      <c r="E483" s="196" t="str">
        <f>IFERROR(__xludf.DUMMYFUNCTION("""COMPUTED_VALUE"""),"FOR OFFICE USE (MS. KEI GABUTERO USE ) MMA")</f>
        <v>FOR OFFICE USE (MS. KEI GABUTERO USE ) MMA</v>
      </c>
    </row>
    <row r="484">
      <c r="A484" s="234">
        <f>IFERROR(__xludf.DUMMYFUNCTION("""COMPUTED_VALUE"""),100776.0)</f>
        <v>100776</v>
      </c>
      <c r="B484" s="235" t="str">
        <f>IFERROR(__xludf.DUMMYFUNCTION("""COMPUTED_VALUE"""),"SAMANTHA FEROL")</f>
        <v>SAMANTHA FEROL</v>
      </c>
      <c r="C484" s="235" t="str">
        <f>IFERROR(__xludf.DUMMYFUNCTION("""COMPUTED_VALUE"""),"LIBRARY COLLEGE")</f>
        <v>LIBRARY COLLEGE</v>
      </c>
      <c r="D484" s="196" t="str">
        <f>IFERROR(__xludf.DUMMYFUNCTION("""COMPUTED_VALUE"""),"INTRODUCTION TO PSYCHOLOGY A SIMPLIFIED APPROACH 2018 J. PELAYO")</f>
        <v>INTRODUCTION TO PSYCHOLOGY A SIMPLIFIED APPROACH 2018 J. PELAYO</v>
      </c>
      <c r="E484" s="196" t="str">
        <f>IFERROR(__xludf.DUMMYFUNCTION("""COMPUTED_VALUE"""),"FOR PACUCOA LEVEL 4 ACCREDITATION : BOOK ACQUISITION")</f>
        <v>FOR PACUCOA LEVEL 4 ACCREDITATION : BOOK ACQUISITION</v>
      </c>
    </row>
    <row r="485">
      <c r="A485" s="234">
        <f>IFERROR(__xludf.DUMMYFUNCTION("""COMPUTED_VALUE"""),100777.0)</f>
        <v>100777</v>
      </c>
      <c r="B485" s="235" t="str">
        <f>IFERROR(__xludf.DUMMYFUNCTION("""COMPUTED_VALUE"""),"SAMANTHA FEROL")</f>
        <v>SAMANTHA FEROL</v>
      </c>
      <c r="C485" s="235" t="str">
        <f>IFERROR(__xludf.DUMMYFUNCTION("""COMPUTED_VALUE"""),"LIBRARY COLLEGE")</f>
        <v>LIBRARY COLLEGE</v>
      </c>
      <c r="D485" s="196" t="str">
        <f>IFERROR(__xludf.DUMMYFUNCTION("""COMPUTED_VALUE"""),"1 UNDERSTANDING TRAVEL AND FORMS ESSENTIALS RER.ED 
2 RISK MGT AS APPLIED TO SAFETY SECURITY AND SANITATION 2019
3 MICRO RESPECTIVE IN TOURISM AND HOSPITALITY 2019
4 MACRO PRESPECTIVE TOURISM AND HOSPITATLITY 2019")</f>
        <v>1 UNDERSTANDING TRAVEL AND FORMS ESSENTIALS RER.ED 
2 RISK MGT AS APPLIED TO SAFETY SECURITY AND SANITATION 2019
3 MICRO RESPECTIVE IN TOURISM AND HOSPITALITY 2019
4 MACRO PRESPECTIVE TOURISM AND HOSPITATLITY 2019</v>
      </c>
      <c r="E485" s="196" t="str">
        <f>IFERROR(__xludf.DUMMYFUNCTION("""COMPUTED_VALUE"""),"FOR PACUCOA LEVEL 4 ACCREDITATION : BOOK ACQUISITION")</f>
        <v>FOR PACUCOA LEVEL 4 ACCREDITATION : BOOK ACQUISITION</v>
      </c>
    </row>
    <row r="486">
      <c r="A486" s="234">
        <f>IFERROR(__xludf.DUMMYFUNCTION("""COMPUTED_VALUE"""),100778.0)</f>
        <v>100778</v>
      </c>
      <c r="B486" s="235" t="str">
        <f>IFERROR(__xludf.DUMMYFUNCTION("""COMPUTED_VALUE"""),"SAMANTHA FEROL")</f>
        <v>SAMANTHA FEROL</v>
      </c>
      <c r="C486" s="235" t="str">
        <f>IFERROR(__xludf.DUMMYFUNCTION("""COMPUTED_VALUE"""),"LIBRARY COLLEGE")</f>
        <v>LIBRARY COLLEGE</v>
      </c>
      <c r="D486" s="196" t="str">
        <f>IFERROR(__xludf.DUMMYFUNCTION("""COMPUTED_VALUE"""),"1.MGT CONCEPT ORGANICATION 2019 
2.INTRODUCTION TO PROGRAMMING 2019 
3.WEB APPLICATION PROGRAMMING 2019
4.BEGINNERS GUIDE TO C++ PROGRAMING 2019")</f>
        <v>1.MGT CONCEPT ORGANICATION 2019 
2.INTRODUCTION TO PROGRAMMING 2019 
3.WEB APPLICATION PROGRAMMING 2019
4.BEGINNERS GUIDE TO C++ PROGRAMING 2019</v>
      </c>
      <c r="E486" s="196" t="str">
        <f>IFERROR(__xludf.DUMMYFUNCTION("""COMPUTED_VALUE"""),"FOR PACUCOA LEVEL 4 ACCREDITATION : BOOK ACQUISITION")</f>
        <v>FOR PACUCOA LEVEL 4 ACCREDITATION : BOOK ACQUISITION</v>
      </c>
    </row>
    <row r="487">
      <c r="A487" s="234">
        <f>IFERROR(__xludf.DUMMYFUNCTION("""COMPUTED_VALUE"""),100779.0)</f>
        <v>100779</v>
      </c>
      <c r="B487" s="235" t="str">
        <f>IFERROR(__xludf.DUMMYFUNCTION("""COMPUTED_VALUE"""),"SAMANTHA FEROL")</f>
        <v>SAMANTHA FEROL</v>
      </c>
      <c r="C487" s="235" t="str">
        <f>IFERROR(__xludf.DUMMYFUNCTION("""COMPUTED_VALUE"""),"LIBRARY COLLEGE")</f>
        <v>LIBRARY COLLEGE</v>
      </c>
      <c r="D487" s="196" t="str">
        <f>IFERROR(__xludf.DUMMYFUNCTION("""COMPUTED_VALUE"""),"1 ART APPLICATION 2019 
2 UNDERSTANDING THE SELF 2018
3 SCIENCE TECHNOLOGY AND SOCIETY 2019 
4 PURPOSIVE COMMUNICATION 2019")</f>
        <v>1 ART APPLICATION 2019 
2 UNDERSTANDING THE SELF 2018
3 SCIENCE TECHNOLOGY AND SOCIETY 2019 
4 PURPOSIVE COMMUNICATION 2019</v>
      </c>
      <c r="E487" s="196" t="str">
        <f>IFERROR(__xludf.DUMMYFUNCTION("""COMPUTED_VALUE"""),"FOR PACUCOA LEVEL 4 ACCREDITATION : BOOK ACQUISITION")</f>
        <v>FOR PACUCOA LEVEL 4 ACCREDITATION : BOOK ACQUISITION</v>
      </c>
    </row>
    <row r="488">
      <c r="A488" s="234">
        <f>IFERROR(__xludf.DUMMYFUNCTION("""COMPUTED_VALUE"""),100780.0)</f>
        <v>100780</v>
      </c>
      <c r="B488" s="235" t="str">
        <f>IFERROR(__xludf.DUMMYFUNCTION("""COMPUTED_VALUE"""),"BENJO DELA CRUZ")</f>
        <v>BENJO DELA CRUZ</v>
      </c>
      <c r="C488" s="235" t="str">
        <f>IFERROR(__xludf.DUMMYFUNCTION("""COMPUTED_VALUE"""),"FOOD SERVICES")</f>
        <v>FOOD SERVICES</v>
      </c>
      <c r="D488" s="196" t="str">
        <f>IFERROR(__xludf.DUMMYFUNCTION("""COMPUTED_VALUE"""),"TARP (69X48 INCHES) 5PCS")</f>
        <v>TARP (69X48 INCHES) 5PCS</v>
      </c>
      <c r="E488" s="196" t="str">
        <f>IFERROR(__xludf.DUMMYFUNCTION("""COMPUTED_VALUE"""),"BACKDROP DESIGN FOR FOODCOURT")</f>
        <v>BACKDROP DESIGN FOR FOODCOURT</v>
      </c>
    </row>
    <row r="489">
      <c r="A489" s="234">
        <f>IFERROR(__xludf.DUMMYFUNCTION("""COMPUTED_VALUE"""),100781.0)</f>
        <v>100781</v>
      </c>
      <c r="B489" s="235" t="str">
        <f>IFERROR(__xludf.DUMMYFUNCTION("""COMPUTED_VALUE"""),"SANDRA CLAIRE DUPIO")</f>
        <v>SANDRA CLAIRE DUPIO</v>
      </c>
      <c r="C489" s="235" t="str">
        <f>IFERROR(__xludf.DUMMYFUNCTION("""COMPUTED_VALUE"""),"LIBRARY BASIC ED")</f>
        <v>LIBRARY BASIC ED</v>
      </c>
      <c r="D489" s="196" t="str">
        <f>IFERROR(__xludf.DUMMYFUNCTION("""COMPUTED_VALUE"""),"FUNDAMENTALS OF PSYCHOLOGY 
PSYCHOLOGY  
LIFE-SPAN DEVELOPMENT
ESSENTIALS OF ABNORMAL PSYCHOLOGY
NOTE: PHYSICAL COPIES ARE IN THE LIBRARY ; 2 BOOKS ARE HARD-BOUND")</f>
        <v>FUNDAMENTALS OF PSYCHOLOGY 
PSYCHOLOGY  
LIFE-SPAN DEVELOPMENT
ESSENTIALS OF ABNORMAL PSYCHOLOGY
NOTE: PHYSICAL COPIES ARE IN THE LIBRARY ; 2 BOOKS ARE HARD-BOUND</v>
      </c>
      <c r="E489" s="196" t="str">
        <f>IFERROR(__xludf.DUMMYFUNCTION("""COMPUTED_VALUE"""),"PSYCHOLOGY TEACHERS AND STUDENTS REFERENCE'S/ LIBRARY COPY")</f>
        <v>PSYCHOLOGY TEACHERS AND STUDENTS REFERENCE'S/ LIBRARY COPY</v>
      </c>
    </row>
    <row r="490">
      <c r="A490" s="234">
        <f>IFERROR(__xludf.DUMMYFUNCTION("""COMPUTED_VALUE"""),100782.0)</f>
        <v>100782</v>
      </c>
      <c r="B490" s="235" t="str">
        <f>IFERROR(__xludf.DUMMYFUNCTION("""COMPUTED_VALUE"""),"SANDRA CLAIRE DUPIO")</f>
        <v>SANDRA CLAIRE DUPIO</v>
      </c>
      <c r="C490" s="235" t="str">
        <f>IFERROR(__xludf.DUMMYFUNCTION("""COMPUTED_VALUE"""),"LIBRARY BASIC ED")</f>
        <v>LIBRARY BASIC ED</v>
      </c>
      <c r="D490" s="196" t="str">
        <f>IFERROR(__xludf.DUMMYFUNCTION("""COMPUTED_VALUE"""),"GLOBAL WEST: CONNECTIONS AND IDENTITIES HISTORY AND HISTORIOGRAPHY
HUMAN GEOGRAPHY: LANDSCAPES OF HUMAN ACTIVITIES 
ANTHROPOLOGY: APPRECIATING HUMAN DIVERSITY
UNDERSTRAND NUTRITION
WARDLAW'S CONTEMPORARY NUTRITION 
UNDERSTANDING BUSINESS
MATH FOR BUSINESS"&amp;" AND FINANCE")</f>
        <v>GLOBAL WEST: CONNECTIONS AND IDENTITIES HISTORY AND HISTORIOGRAPHY
HUMAN GEOGRAPHY: LANDSCAPES OF HUMAN ACTIVITIES 
ANTHROPOLOGY: APPRECIATING HUMAN DIVERSITY
UNDERSTRAND NUTRITION
WARDLAW'S CONTEMPORARY NUTRITION 
UNDERSTANDING BUSINESS
MATH FOR BUSINESS AND FINANCE</v>
      </c>
      <c r="E490" s="196" t="str">
        <f>IFERROR(__xludf.DUMMYFUNCTION("""COMPUTED_VALUE"""),"FOR TEACHERS AND STUDENT REFERENCES (SLGE/HUMMS) / LIBRARY'S COPY")</f>
        <v>FOR TEACHERS AND STUDENT REFERENCES (SLGE/HUMMS) / LIBRARY'S COPY</v>
      </c>
    </row>
    <row r="491">
      <c r="A491" s="234">
        <f>IFERROR(__xludf.DUMMYFUNCTION("""COMPUTED_VALUE"""),100783.0)</f>
        <v>100783</v>
      </c>
      <c r="B491" s="235" t="str">
        <f>IFERROR(__xludf.DUMMYFUNCTION("""COMPUTED_VALUE"""),"SANDRA CLAIRE DUPIO")</f>
        <v>SANDRA CLAIRE DUPIO</v>
      </c>
      <c r="C491" s="235" t="str">
        <f>IFERROR(__xludf.DUMMYFUNCTION("""COMPUTED_VALUE"""),"LIBRARY BASIC ED")</f>
        <v>LIBRARY BASIC ED</v>
      </c>
      <c r="D491" s="196" t="str">
        <f>IFERROR(__xludf.DUMMYFUNCTION("""COMPUTED_VALUE"""),"BUSINESS FINANCE FOR SHS BUSINESS PLANNING 
MANAGEMENT ACCOUNTING FOR NON ACCOUNTANTS
METHODS OF RESEARCH IN BUSINESS EDUCATION 
MERCHANDISING FOR NON ACCOUNTANTS
STRATEGIC HUMAN RESOURCE MANAGEMENT 
RESEARCH METHODS AND TECHNIQUES
METHODS IN WRITTING A R"&amp;"ESEARCH PAPER")</f>
        <v>BUSINESS FINANCE FOR SHS BUSINESS PLANNING 
MANAGEMENT ACCOUNTING FOR NON ACCOUNTANTS
METHODS OF RESEARCH IN BUSINESS EDUCATION 
MERCHANDISING FOR NON ACCOUNTANTS
STRATEGIC HUMAN RESOURCE MANAGEMENT 
RESEARCH METHODS AND TECHNIQUES
METHODS IN WRITTING A RESEARCH PAPER</v>
      </c>
      <c r="E491" s="196" t="str">
        <f>IFERROR(__xludf.DUMMYFUNCTION("""COMPUTED_VALUE"""),"FOR TEAHCERS AND STUDENTS REFERENCE (BUSINESS) /LIBRARY COPY")</f>
        <v>FOR TEAHCERS AND STUDENTS REFERENCE (BUSINESS) /LIBRARY COPY</v>
      </c>
    </row>
    <row r="492">
      <c r="A492" s="234">
        <f>IFERROR(__xludf.DUMMYFUNCTION("""COMPUTED_VALUE"""),100784.0)</f>
        <v>100784</v>
      </c>
      <c r="B492" s="235" t="str">
        <f>IFERROR(__xludf.DUMMYFUNCTION("""COMPUTED_VALUE"""),"SANDRA CLAIRE DUPIO")</f>
        <v>SANDRA CLAIRE DUPIO</v>
      </c>
      <c r="C492" s="235" t="str">
        <f>IFERROR(__xludf.DUMMYFUNCTION("""COMPUTED_VALUE"""),"LIBRARY BASIC ED")</f>
        <v>LIBRARY BASIC ED</v>
      </c>
      <c r="D492" s="196" t="str">
        <f>IFERROR(__xludf.DUMMYFUNCTION("""COMPUTED_VALUE"""),"SECURITY DOOR ALARM (PLS SEE ATTACHED FILE) FOR FIRE EXIT")</f>
        <v>SECURITY DOOR ALARM (PLS SEE ATTACHED FILE) FOR FIRE EXIT</v>
      </c>
      <c r="E492" s="196" t="str">
        <f>IFERROR(__xludf.DUMMYFUNCTION("""COMPUTED_VALUE"""),"REPLACEMENT OF BROKEN SECURITY ALARM IN FIRE EXIT")</f>
        <v>REPLACEMENT OF BROKEN SECURITY ALARM IN FIRE EXIT</v>
      </c>
    </row>
    <row r="493">
      <c r="A493" s="234">
        <f>IFERROR(__xludf.DUMMYFUNCTION("""COMPUTED_VALUE"""),100785.0)</f>
        <v>100785</v>
      </c>
      <c r="B493" s="235" t="str">
        <f>IFERROR(__xludf.DUMMYFUNCTION("""COMPUTED_VALUE"""),"ELYDS REYES")</f>
        <v>ELYDS REYES</v>
      </c>
      <c r="C493" s="235" t="str">
        <f>IFERROR(__xludf.DUMMYFUNCTION("""COMPUTED_VALUE"""),"PR &amp; MARKETING")</f>
        <v>PR &amp; MARKETING</v>
      </c>
      <c r="D493" s="196" t="str">
        <f>IFERROR(__xludf.DUMMYFUNCTION("""COMPUTED_VALUE"""),"SGEN LEARNING VILLAGE TARP 104X90"" 1PCS.")</f>
        <v>SGEN LEARNING VILLAGE TARP 104X90" 1PCS.</v>
      </c>
      <c r="E493" s="196" t="str">
        <f>IFERROR(__xludf.DUMMYFUNCTION("""COMPUTED_VALUE"""),"FOR MARKETING PURPOSES")</f>
        <v>FOR MARKETING PURPOSES</v>
      </c>
    </row>
    <row r="494">
      <c r="A494" s="234">
        <f>IFERROR(__xludf.DUMMYFUNCTION("""COMPUTED_VALUE"""),100786.0)</f>
        <v>100786</v>
      </c>
      <c r="B494" s="235" t="str">
        <f>IFERROR(__xludf.DUMMYFUNCTION("""COMPUTED_VALUE"""),"ELYDS REYES")</f>
        <v>ELYDS REYES</v>
      </c>
      <c r="C494" s="235" t="str">
        <f>IFERROR(__xludf.DUMMYFUNCTION("""COMPUTED_VALUE"""),"PR &amp; MARKETING")</f>
        <v>PR &amp; MARKETING</v>
      </c>
      <c r="D494" s="196" t="str">
        <f>IFERROR(__xludf.DUMMYFUNCTION("""COMPUTED_VALUE"""),"NOTEPAD WITH 25 SHEETS /  1/4")</f>
        <v>NOTEPAD WITH 25 SHEETS /  1/4</v>
      </c>
      <c r="E494" s="196"/>
    </row>
    <row r="495">
      <c r="A495" s="234">
        <f>IFERROR(__xludf.DUMMYFUNCTION("""COMPUTED_VALUE"""),100787.0)</f>
        <v>100787</v>
      </c>
      <c r="B495" s="235" t="str">
        <f>IFERROR(__xludf.DUMMYFUNCTION("""COMPUTED_VALUE"""),"JAQUELINE SAMSCNA/OWIE PAR")</f>
        <v>JAQUELINE SAMSCNA/OWIE PAR</v>
      </c>
      <c r="C495" s="235" t="str">
        <f>IFERROR(__xludf.DUMMYFUNCTION("""COMPUTED_VALUE"""),"ENGINEERING")</f>
        <v>ENGINEERING</v>
      </c>
      <c r="D495" s="196" t="str">
        <f>IFERROR(__xludf.DUMMYFUNCTION("""COMPUTED_VALUE"""),"ORBIT FAN 3D 16 INCHES")</f>
        <v>ORBIT FAN 3D 16 INCHES</v>
      </c>
      <c r="E495" s="196" t="str">
        <f>IFERROR(__xludf.DUMMYFUNCTION("""COMPUTED_VALUE"""),"FOR COLLEGE ")</f>
        <v>FOR COLLEGE </v>
      </c>
    </row>
    <row r="496">
      <c r="A496" s="234">
        <f>IFERROR(__xludf.DUMMYFUNCTION("""COMPUTED_VALUE"""),100788.0)</f>
        <v>100788</v>
      </c>
      <c r="B496" s="235" t="str">
        <f>IFERROR(__xludf.DUMMYFUNCTION("""COMPUTED_VALUE"""),"BOKZ CALVENDRA")</f>
        <v>BOKZ CALVENDRA</v>
      </c>
      <c r="C496" s="235" t="str">
        <f>IFERROR(__xludf.DUMMYFUNCTION("""COMPUTED_VALUE"""),"HOUSEKEEPING")</f>
        <v>HOUSEKEEPING</v>
      </c>
      <c r="D496" s="196" t="str">
        <f>IFERROR(__xludf.DUMMYFUNCTION("""COMPUTED_VALUE"""),"TUKULAR BAR #2.0X2 ""2X2""
PLYWOOD # 3/4X4 x8
RUBBER CASTER #2 
WELDING ROD (SPECIAL)")</f>
        <v>TUKULAR BAR #2.0X2 "2X2"
PLYWOOD # 3/4X4 x8
RUBBER CASTER #2 
WELDING ROD (SPECIAL)</v>
      </c>
      <c r="E496" s="196" t="str">
        <f>IFERROR(__xludf.DUMMYFUNCTION("""COMPUTED_VALUE"""),"FOR 3D PRINTER TABLE FOR BRICK ROOM ")</f>
        <v>FOR 3D PRINTER TABLE FOR BRICK ROOM </v>
      </c>
    </row>
    <row r="497">
      <c r="A497" s="234">
        <f>IFERROR(__xludf.DUMMYFUNCTION("""COMPUTED_VALUE"""),100789.0)</f>
        <v>100789</v>
      </c>
      <c r="B497" s="235" t="str">
        <f>IFERROR(__xludf.DUMMYFUNCTION("""COMPUTED_VALUE"""),"BOKZ CALVENDRA")</f>
        <v>BOKZ CALVENDRA</v>
      </c>
      <c r="C497" s="235" t="str">
        <f>IFERROR(__xludf.DUMMYFUNCTION("""COMPUTED_VALUE"""),"HOUSEKEEPING")</f>
        <v>HOUSEKEEPING</v>
      </c>
      <c r="D497" s="196" t="str">
        <f>IFERROR(__xludf.DUMMYFUNCTION("""COMPUTED_VALUE"""),"1""X2"" X 8'
MAKING PLYWOOD- 1/4X4'X8'
COMMON NAIL-1 INCH
FINISHING NAIL-2 INCHES")</f>
        <v>1"X2" X 8'
MAKING PLYWOOD- 1/4X4'X8'
COMMON NAIL-1 INCH
FINISHING NAIL-2 INCHES</v>
      </c>
      <c r="E497" s="196" t="str">
        <f>IFERROR(__xludf.DUMMYFUNCTION("""COMPUTED_VALUE"""),"FABRICATION OF KRI BCARD IN 5/F CLASSROOMS")</f>
        <v>FABRICATION OF KRI BCARD IN 5/F CLASSROOMS</v>
      </c>
    </row>
    <row r="498">
      <c r="A498" s="234">
        <f>IFERROR(__xludf.DUMMYFUNCTION("""COMPUTED_VALUE"""),100790.0)</f>
        <v>100790</v>
      </c>
      <c r="B498" s="235" t="str">
        <f>IFERROR(__xludf.DUMMYFUNCTION("""COMPUTED_VALUE"""),"LEAH P BUHAY")</f>
        <v>LEAH P BUHAY</v>
      </c>
      <c r="C498" s="235" t="str">
        <f>IFERROR(__xludf.DUMMYFUNCTION("""COMPUTED_VALUE"""),"PURCHASING")</f>
        <v>PURCHASING</v>
      </c>
      <c r="D498" s="196" t="str">
        <f>IFERROR(__xludf.DUMMYFUNCTION("""COMPUTED_VALUE"""),"TRODAT ""4910""-SIZE ")</f>
        <v>TRODAT "4910"-SIZE </v>
      </c>
      <c r="E498" s="196" t="str">
        <f>IFERROR(__xludf.DUMMYFUNCTION("""COMPUTED_VALUE"""),"OFFICE USE (SIGNING OF PRF AND SRF")</f>
        <v>OFFICE USE (SIGNING OF PRF AND SRF</v>
      </c>
    </row>
    <row r="499">
      <c r="A499" s="234">
        <f>IFERROR(__xludf.DUMMYFUNCTION("""COMPUTED_VALUE"""),100791.0)</f>
        <v>100791</v>
      </c>
      <c r="B499" s="235" t="str">
        <f>IFERROR(__xludf.DUMMYFUNCTION("""COMPUTED_VALUE"""),"LEAH P BUHAY")</f>
        <v>LEAH P BUHAY</v>
      </c>
      <c r="C499" s="235" t="str">
        <f>IFERROR(__xludf.DUMMYFUNCTION("""COMPUTED_VALUE"""),"PURCHASING")</f>
        <v>PURCHASING</v>
      </c>
      <c r="D499" s="196" t="str">
        <f>IFERROR(__xludf.DUMMYFUNCTION("""COMPUTED_VALUE"""),"CALLING CARD")</f>
        <v>CALLING CARD</v>
      </c>
      <c r="E499" s="196" t="str">
        <f>IFERROR(__xludf.DUMMYFUNCTION("""COMPUTED_VALUE"""),"CALLING CARDS TO BE GIVEN TO SUPPLIERS")</f>
        <v>CALLING CARDS TO BE GIVEN TO SUPPLIERS</v>
      </c>
    </row>
    <row r="500">
      <c r="A500" s="234">
        <f>IFERROR(__xludf.DUMMYFUNCTION("""COMPUTED_VALUE"""),100792.0)</f>
        <v>100792</v>
      </c>
      <c r="B500" s="235" t="str">
        <f>IFERROR(__xludf.DUMMYFUNCTION("""COMPUTED_VALUE"""),"BOKZ CALVENDRA")</f>
        <v>BOKZ CALVENDRA</v>
      </c>
      <c r="C500" s="235" t="str">
        <f>IFERROR(__xludf.DUMMYFUNCTION("""COMPUTED_VALUE"""),"HOUSEKEEPING")</f>
        <v>HOUSEKEEPING</v>
      </c>
      <c r="D500" s="196" t="str">
        <f>IFERROR(__xludf.DUMMYFUNCTION("""COMPUTED_VALUE"""),"EXTENSION CORD FOR WIRE MANAGEMENT IN TABLES OF CMLC (AMD TO PROVIDE PICTURE)")</f>
        <v>EXTENSION CORD FOR WIRE MANAGEMENT IN TABLES OF CMLC (AMD TO PROVIDE PICTURE)</v>
      </c>
      <c r="E500" s="196"/>
    </row>
    <row r="501">
      <c r="A501" s="234">
        <f>IFERROR(__xludf.DUMMYFUNCTION("""COMPUTED_VALUE"""),100793.0)</f>
        <v>100793</v>
      </c>
      <c r="B501" s="235" t="str">
        <f>IFERROR(__xludf.DUMMYFUNCTION("""COMPUTED_VALUE"""),"NOLIE DURAN/ARIS IGNACIO")</f>
        <v>NOLIE DURAN/ARIS IGNACIO</v>
      </c>
      <c r="C501" s="235" t="str">
        <f>IFERROR(__xludf.DUMMYFUNCTION("""COMPUTED_VALUE"""),"BS IT")</f>
        <v>BS IT</v>
      </c>
      <c r="D501" s="196" t="str">
        <f>IFERROR(__xludf.DUMMYFUNCTION("""COMPUTED_VALUE"""),"2X3X10 - S4S, KD
3/4X4X8 - ORDINARY PLYWOOD
1/2X1X10 -S4S -KD
STICKWELL 
CONCEALED HINGES #1
STAINLESS HANDLE - #4
FINISHING NAIL- 2INCH &amp; 1 INCH")</f>
        <v>2X3X10 - S4S, KD
3/4X4X8 - ORDINARY PLYWOOD
1/2X1X10 -S4S -KD
STICKWELL 
CONCEALED HINGES #1
STAINLESS HANDLE - #4
FINISHING NAIL- 2INCH &amp; 1 INCH</v>
      </c>
      <c r="E501" s="196" t="str">
        <f>IFERROR(__xludf.DUMMYFUNCTION("""COMPUTED_VALUE"""),"FABRICATEN OF CABINET FOR IT DEPARTMENT")</f>
        <v>FABRICATEN OF CABINET FOR IT DEPARTMENT</v>
      </c>
    </row>
    <row r="502">
      <c r="A502" s="234">
        <f>IFERROR(__xludf.DUMMYFUNCTION("""COMPUTED_VALUE"""),100794.0)</f>
        <v>100794</v>
      </c>
      <c r="B502" s="235" t="str">
        <f>IFERROR(__xludf.DUMMYFUNCTION("""COMPUTED_VALUE"""),"MARVIN DOMASIAN")</f>
        <v>MARVIN DOMASIAN</v>
      </c>
      <c r="C502" s="235" t="str">
        <f>IFERROR(__xludf.DUMMYFUNCTION("""COMPUTED_VALUE"""),"AB COMM/MMA")</f>
        <v>AB COMM/MMA</v>
      </c>
      <c r="D502" s="196" t="str">
        <f>IFERROR(__xludf.DUMMYFUNCTION("""COMPUTED_VALUE"""),"3/4X4X8 - ORDINARY PLYWOOD
1/2X2X8 ")</f>
        <v>3/4X4X8 - ORDINARY PLYWOOD
1/2X2X8 </v>
      </c>
      <c r="E502" s="196" t="str">
        <f>IFERROR(__xludf.DUMMYFUNCTION("""COMPUTED_VALUE"""),"FRABRICATION OF UNITS DRAWING BCAROS")</f>
        <v>FRABRICATION OF UNITS DRAWING BCAROS</v>
      </c>
    </row>
    <row r="503">
      <c r="A503" s="234">
        <f>IFERROR(__xludf.DUMMYFUNCTION("""COMPUTED_VALUE"""),100795.0)</f>
        <v>100795</v>
      </c>
      <c r="B503" s="235" t="str">
        <f>IFERROR(__xludf.DUMMYFUNCTION("""COMPUTED_VALUE"""),"REA VILLA")</f>
        <v>REA VILLA</v>
      </c>
      <c r="C503" s="235" t="str">
        <f>IFERROR(__xludf.DUMMYFUNCTION("""COMPUTED_VALUE"""),"ATHLETICS")</f>
        <v>ATHLETICS</v>
      </c>
      <c r="D503" s="196" t="str">
        <f>IFERROR(__xludf.DUMMYFUNCTION("""COMPUTED_VALUE"""),"COLLEGE VOLLEYBALL UNIFORM 30/COLLEGE FOOTBALL UNIFORM 34/ COLLEGE BASKETBALL UNIFORM 20")</f>
        <v>COLLEGE VOLLEYBALL UNIFORM 30/COLLEGE FOOTBALL UNIFORM 34/ COLLEGE BASKETBALL UNIFORM 20</v>
      </c>
      <c r="E503" s="196" t="str">
        <f>IFERROR(__xludf.DUMMYFUNCTION("""COMPUTED_VALUE"""),"FOR COLLEGE VARSITY UNIFORM")</f>
        <v>FOR COLLEGE VARSITY UNIFORM</v>
      </c>
    </row>
    <row r="504">
      <c r="A504" s="234">
        <f>IFERROR(__xludf.DUMMYFUNCTION("""COMPUTED_VALUE"""),100796.0)</f>
        <v>100796</v>
      </c>
      <c r="B504" s="235" t="str">
        <f>IFERROR(__xludf.DUMMYFUNCTION("""COMPUTED_VALUE"""),"GLADYS MINTU/LIA ARCAINA")</f>
        <v>GLADYS MINTU/LIA ARCAINA</v>
      </c>
      <c r="C504" s="235" t="str">
        <f>IFERROR(__xludf.DUMMYFUNCTION("""COMPUTED_VALUE"""),"DP'S OFFICE")</f>
        <v>DP'S OFFICE</v>
      </c>
      <c r="D504" s="196" t="str">
        <f>IFERROR(__xludf.DUMMYFUNCTION("""COMPUTED_VALUE"""),"PERCOLATOR 2PCS; TABLE TENNIS RACKET 8PCS; PING-PONG TABLE 4PCS; PINGPONG BALLS 10PCS; VOLLEYBALL 4PCS; BASKETBALL 4PCS; SHUTTLECOCKS 8PCS; BADMINTON RACKETS 6PCS")</f>
        <v>PERCOLATOR 2PCS; TABLE TENNIS RACKET 8PCS; PING-PONG TABLE 4PCS; PINGPONG BALLS 10PCS; VOLLEYBALL 4PCS; BASKETBALL 4PCS; SHUTTLECOCKS 8PCS; BADMINTON RACKETS 6PCS</v>
      </c>
      <c r="E504" s="196" t="str">
        <f>IFERROR(__xludf.DUMMYFUNCTION("""COMPUTED_VALUE"""),"MUFTI FUND PROJECT AY2018-2019")</f>
        <v>MUFTI FUND PROJECT AY2018-2019</v>
      </c>
    </row>
    <row r="505">
      <c r="A505" s="234">
        <f>IFERROR(__xludf.DUMMYFUNCTION("""COMPUTED_VALUE"""),100797.0)</f>
        <v>100797</v>
      </c>
      <c r="B505" s="235" t="str">
        <f>IFERROR(__xludf.DUMMYFUNCTION("""COMPUTED_VALUE"""),"SANDRA CLAIRE DUPIO")</f>
        <v>SANDRA CLAIRE DUPIO</v>
      </c>
      <c r="C505" s="235" t="str">
        <f>IFERROR(__xludf.DUMMYFUNCTION("""COMPUTED_VALUE"""),"LIBRARY BASIC ED")</f>
        <v>LIBRARY BASIC ED</v>
      </c>
      <c r="D505" s="196" t="str">
        <f>IFERROR(__xludf.DUMMYFUNCTION("""COMPUTED_VALUE"""),"WOMAN AT POINT ZERO BY NAWAL EL SAADAWI 1PC")</f>
        <v>WOMAN AT POINT ZERO BY NAWAL EL SAADAWI 1PC</v>
      </c>
      <c r="E505" s="196" t="str">
        <f>IFERROR(__xludf.DUMMYFUNCTION("""COMPUTED_VALUE"""),"RECOMMENDED IB REFERENCE FOR LIBRARY'S COPY")</f>
        <v>RECOMMENDED IB REFERENCE FOR LIBRARY'S COPY</v>
      </c>
    </row>
    <row r="506">
      <c r="A506" s="234">
        <f>IFERROR(__xludf.DUMMYFUNCTION("""COMPUTED_VALUE"""),100798.0)</f>
        <v>100798</v>
      </c>
      <c r="B506" s="235" t="str">
        <f>IFERROR(__xludf.DUMMYFUNCTION("""COMPUTED_VALUE"""),"SHEREE ESPINOSA")</f>
        <v>SHEREE ESPINOSA</v>
      </c>
      <c r="C506" s="235" t="str">
        <f>IFERROR(__xludf.DUMMYFUNCTION("""COMPUTED_VALUE"""),"HOUSEKEEPING")</f>
        <v>HOUSEKEEPING</v>
      </c>
      <c r="D506" s="196" t="str">
        <f>IFERROR(__xludf.DUMMYFUNCTION("""COMPUTED_VALUE"""),"9 UNIT WASHING MACHINE")</f>
        <v>9 UNIT WASHING MACHINE</v>
      </c>
      <c r="E506" s="196" t="str">
        <f>IFERROR(__xludf.DUMMYFUNCTION("""COMPUTED_VALUE"""),"FOR WASHING OF TABLES AND CHAIRS COVER FOR ACTIVITIES")</f>
        <v>FOR WASHING OF TABLES AND CHAIRS COVER FOR ACTIVITIES</v>
      </c>
    </row>
    <row r="507">
      <c r="A507" s="234">
        <f>IFERROR(__xludf.DUMMYFUNCTION("""COMPUTED_VALUE"""),100799.0)</f>
        <v>100799</v>
      </c>
      <c r="B507" s="235" t="str">
        <f>IFERROR(__xludf.DUMMYFUNCTION("""COMPUTED_VALUE"""),"CHRISTIAN ANDRES")</f>
        <v>CHRISTIAN ANDRES</v>
      </c>
      <c r="C507" s="235" t="str">
        <f>IFERROR(__xludf.DUMMYFUNCTION("""COMPUTED_VALUE"""),"PR &amp; MARKETING")</f>
        <v>PR &amp; MARKETING</v>
      </c>
      <c r="D507" s="196" t="str">
        <f>IFERROR(__xludf.DUMMYFUNCTION("""COMPUTED_VALUE"""),"S4S KD #2X3X12 2 PCS; S4S KD 2X2X8 7 PCS; COMMON NAIL #3 1KL; G.I WIRE #18 1KL")</f>
        <v>S4S KD #2X3X12 2 PCS; S4S KD 2X2X8 7 PCS; COMMON NAIL #3 1KL; G.I WIRE #18 1KL</v>
      </c>
      <c r="E507" s="196" t="str">
        <f>IFERROR(__xludf.DUMMYFUNCTION("""COMPUTED_VALUE"""),"TARP FRAME RENEW")</f>
        <v>TARP FRAME RENEW</v>
      </c>
    </row>
    <row r="508">
      <c r="A508" s="234">
        <f>IFERROR(__xludf.DUMMYFUNCTION("""COMPUTED_VALUE"""),100800.0)</f>
        <v>100800</v>
      </c>
      <c r="B508" s="235" t="str">
        <f>IFERROR(__xludf.DUMMYFUNCTION("""COMPUTED_VALUE"""),"CHRISTIAN ANDRES")</f>
        <v>CHRISTIAN ANDRES</v>
      </c>
      <c r="C508" s="235" t="str">
        <f>IFERROR(__xludf.DUMMYFUNCTION("""COMPUTED_VALUE"""),"PR &amp; MARKETING")</f>
        <v>PR &amp; MARKETING</v>
      </c>
      <c r="D508" s="196" t="str">
        <f>IFERROR(__xludf.DUMMYFUNCTION("""COMPUTED_VALUE"""),"5000 PCS SGEN INCLUDING SSLC AND SISFU FYLERS SIZE 8.5 X 5.5")</f>
        <v>5000 PCS SGEN INCLUDING SSLC AND SISFU FYLERS SIZE 8.5 X 5.5</v>
      </c>
      <c r="E508" s="196" t="str">
        <f>IFERROR(__xludf.DUMMYFUNCTION("""COMPUTED_VALUE"""),"MARKETING SP")</f>
        <v>MARKETING SP</v>
      </c>
    </row>
    <row r="509">
      <c r="A509" s="234">
        <f>IFERROR(__xludf.DUMMYFUNCTION("""COMPUTED_VALUE"""),100801.0)</f>
        <v>100801</v>
      </c>
      <c r="B509" s="235" t="str">
        <f>IFERROR(__xludf.DUMMYFUNCTION("""COMPUTED_VALUE"""),"JIENELLE GALLARDO")</f>
        <v>JIENELLE GALLARDO</v>
      </c>
      <c r="C509" s="235" t="str">
        <f>IFERROR(__xludf.DUMMYFUNCTION("""COMPUTED_VALUE"""),"FINANCE &amp; ACCOUNTING")</f>
        <v>FINANCE &amp; ACCOUNTING</v>
      </c>
      <c r="D509" s="196" t="str">
        <f>IFERROR(__xludf.DUMMYFUNCTION("""COMPUTED_VALUE"""),"20 BOOKLETS COLLEGE EXAM PERMITS ")</f>
        <v>20 BOOKLETS COLLEGE EXAM PERMITS </v>
      </c>
      <c r="E509" s="196" t="str">
        <f>IFERROR(__xludf.DUMMYFUNCTION("""COMPUTED_VALUE"""),"COLLEGE EXAMINATION")</f>
        <v>COLLEGE EXAMINATION</v>
      </c>
    </row>
    <row r="510">
      <c r="A510" s="234">
        <f>IFERROR(__xludf.DUMMYFUNCTION("""COMPUTED_VALUE"""),100802.0)</f>
        <v>100802</v>
      </c>
      <c r="B510" s="235" t="str">
        <f>IFERROR(__xludf.DUMMYFUNCTION("""COMPUTED_VALUE"""),"BOKZ CALVENDRA")</f>
        <v>BOKZ CALVENDRA</v>
      </c>
      <c r="C510" s="235" t="str">
        <f>IFERROR(__xludf.DUMMYFUNCTION("""COMPUTED_VALUE"""),"ADMIN")</f>
        <v>ADMIN</v>
      </c>
      <c r="D510" s="196" t="str">
        <f>IFERROR(__xludf.DUMMYFUNCTION("""COMPUTED_VALUE"""),"5 UNITS BLACK CHAIRS")</f>
        <v>5 UNITS BLACK CHAIRS</v>
      </c>
      <c r="E510" s="196" t="str">
        <f>IFERROR(__xludf.DUMMYFUNCTION("""COMPUTED_VALUE"""),"FOR CONSULTATION ROOM")</f>
        <v>FOR CONSULTATION ROOM</v>
      </c>
    </row>
    <row r="511">
      <c r="A511" s="234">
        <f>IFERROR(__xludf.DUMMYFUNCTION("""COMPUTED_VALUE"""),100803.0)</f>
        <v>100803</v>
      </c>
      <c r="B511" s="235" t="str">
        <f>IFERROR(__xludf.DUMMYFUNCTION("""COMPUTED_VALUE"""),"FEROL SAMANTHA ")</f>
        <v>FEROL SAMANTHA </v>
      </c>
      <c r="C511" s="235" t="str">
        <f>IFERROR(__xludf.DUMMYFUNCTION("""COMPUTED_VALUE"""),"LIBRARY COLLEGE")</f>
        <v>LIBRARY COLLEGE</v>
      </c>
      <c r="D511" s="196" t="str">
        <f>IFERROR(__xludf.DUMMYFUNCTION("""COMPUTED_VALUE"""),"ARMSTRONG HANDBOOK OF REWARD
BLOCKCHAIN
THE LOGISTICS AND SUPPLY CHAIN
INTERNATIONAL SUPPLY CHAIN
ADVANCED FINANCIAL
HUMAN RELATIONS")</f>
        <v>ARMSTRONG HANDBOOK OF REWARD
BLOCKCHAIN
THE LOGISTICS AND SUPPLY CHAIN
INTERNATIONAL SUPPLY CHAIN
ADVANCED FINANCIAL
HUMAN RELATIONS</v>
      </c>
      <c r="E511" s="196" t="str">
        <f>IFERROR(__xludf.DUMMYFUNCTION("""COMPUTED_VALUE"""),"BOOK ACQUISITION (PACUCOA ACREDITATION)")</f>
        <v>BOOK ACQUISITION (PACUCOA ACREDITATION)</v>
      </c>
    </row>
    <row r="512">
      <c r="A512" s="234">
        <f>IFERROR(__xludf.DUMMYFUNCTION("""COMPUTED_VALUE"""),100804.0)</f>
        <v>100804</v>
      </c>
      <c r="B512" s="235" t="str">
        <f>IFERROR(__xludf.DUMMYFUNCTION("""COMPUTED_VALUE"""),"FEROL SAMANTHA ")</f>
        <v>FEROL SAMANTHA </v>
      </c>
      <c r="C512" s="235" t="str">
        <f>IFERROR(__xludf.DUMMYFUNCTION("""COMPUTED_VALUE"""),"LIBRARY COLLEGE")</f>
        <v>LIBRARY COLLEGE</v>
      </c>
      <c r="D512" s="196" t="str">
        <f>IFERROR(__xludf.DUMMYFUNCTION("""COMPUTED_VALUE"""),"THE ROAD TO HOSPITALITY 4E")</f>
        <v>THE ROAD TO HOSPITALITY 4E</v>
      </c>
      <c r="E512" s="196" t="str">
        <f>IFERROR(__xludf.DUMMYFUNCTION("""COMPUTED_VALUE"""),"BOOK ACQUISITION (PACUCOA ACREDITATION)")</f>
        <v>BOOK ACQUISITION (PACUCOA ACREDITATION)</v>
      </c>
    </row>
    <row r="513">
      <c r="A513" s="234">
        <f>IFERROR(__xludf.DUMMYFUNCTION("""COMPUTED_VALUE"""),100805.0)</f>
        <v>100805</v>
      </c>
      <c r="B513" s="235" t="str">
        <f>IFERROR(__xludf.DUMMYFUNCTION("""COMPUTED_VALUE"""),"FEROL SAMANTHA ")</f>
        <v>FEROL SAMANTHA </v>
      </c>
      <c r="C513" s="235" t="str">
        <f>IFERROR(__xludf.DUMMYFUNCTION("""COMPUTED_VALUE"""),"LIBRARY COLLEGE")</f>
        <v>LIBRARY COLLEGE</v>
      </c>
      <c r="D513" s="196" t="str">
        <f>IFERROR(__xludf.DUMMYFUNCTION("""COMPUTED_VALUE""")," ")</f>
        <v> </v>
      </c>
      <c r="E513" s="196" t="str">
        <f>IFERROR(__xludf.DUMMYFUNCTION("""COMPUTED_VALUE"""),"BOOK ACQUISITION (PACUCOA ACREDITATION)")</f>
        <v>BOOK ACQUISITION (PACUCOA ACREDITATION)</v>
      </c>
    </row>
    <row r="514">
      <c r="A514" s="234">
        <f>IFERROR(__xludf.DUMMYFUNCTION("""COMPUTED_VALUE"""),100806.0)</f>
        <v>100806</v>
      </c>
      <c r="B514" s="235" t="str">
        <f>IFERROR(__xludf.DUMMYFUNCTION("""COMPUTED_VALUE"""),"FEROL SAMANTHA ")</f>
        <v>FEROL SAMANTHA </v>
      </c>
      <c r="C514" s="235" t="str">
        <f>IFERROR(__xludf.DUMMYFUNCTION("""COMPUTED_VALUE"""),"LIBRARY COLLEGE")</f>
        <v>LIBRARY COLLEGE</v>
      </c>
      <c r="D514" s="196" t="str">
        <f>IFERROR(__xludf.DUMMYFUNCTION("""COMPUTED_VALUE"""),"ABNORMAL PSYCHOLOGY 
DOING QUALITATIVE RESEARCH IN PSYCHOLOGY
CHILDREN
SOCIOLOGY
ESSENTIALS")</f>
        <v>ABNORMAL PSYCHOLOGY 
DOING QUALITATIVE RESEARCH IN PSYCHOLOGY
CHILDREN
SOCIOLOGY
ESSENTIALS</v>
      </c>
      <c r="E514" s="196" t="str">
        <f>IFERROR(__xludf.DUMMYFUNCTION("""COMPUTED_VALUE"""),"BOOK ACQUISITION (PACUCOA ACREDITATION)")</f>
        <v>BOOK ACQUISITION (PACUCOA ACREDITATION)</v>
      </c>
    </row>
    <row r="515">
      <c r="A515" s="234">
        <f>IFERROR(__xludf.DUMMYFUNCTION("""COMPUTED_VALUE"""),100807.0)</f>
        <v>100807</v>
      </c>
      <c r="B515" s="235" t="str">
        <f>IFERROR(__xludf.DUMMYFUNCTION("""COMPUTED_VALUE"""),"FEROL SAMANTHA ")</f>
        <v>FEROL SAMANTHA </v>
      </c>
      <c r="C515" s="235" t="str">
        <f>IFERROR(__xludf.DUMMYFUNCTION("""COMPUTED_VALUE"""),"LIBRARY COLLEGE")</f>
        <v>LIBRARY COLLEGE</v>
      </c>
      <c r="D515" s="196" t="str">
        <f>IFERROR(__xludf.DUMMYFUNCTION("""COMPUTED_VALUE"""),"DIRECTING SCREEN PERFORMANCES
DISRUPTIVE BRANDING HOW TO WIN TIMES OF CHANGE
FILM HISTORY
STOP MOTION FILMMAKING
APPLIED THEATRE CREATIVE AGEING
VISUAL ETHICS")</f>
        <v>DIRECTING SCREEN PERFORMANCES
DISRUPTIVE BRANDING HOW TO WIN TIMES OF CHANGE
FILM HISTORY
STOP MOTION FILMMAKING
APPLIED THEATRE CREATIVE AGEING
VISUAL ETHICS</v>
      </c>
      <c r="E515" s="196" t="str">
        <f>IFERROR(__xludf.DUMMYFUNCTION("""COMPUTED_VALUE"""),"BOOK ACQUISITION (PACUCOA ACREDITATION)")</f>
        <v>BOOK ACQUISITION (PACUCOA ACREDITATION)</v>
      </c>
    </row>
    <row r="516">
      <c r="A516" s="234">
        <f>IFERROR(__xludf.DUMMYFUNCTION("""COMPUTED_VALUE"""),100808.0)</f>
        <v>100808</v>
      </c>
      <c r="B516" s="235" t="str">
        <f>IFERROR(__xludf.DUMMYFUNCTION("""COMPUTED_VALUE"""),"FEROL SAMANTHA ")</f>
        <v>FEROL SAMANTHA </v>
      </c>
      <c r="C516" s="235" t="str">
        <f>IFERROR(__xludf.DUMMYFUNCTION("""COMPUTED_VALUE"""),"LIBRARY COLLEGE")</f>
        <v>LIBRARY COLLEGE</v>
      </c>
      <c r="D516" s="196" t="str">
        <f>IFERROR(__xludf.DUMMYFUNCTION("""COMPUTED_VALUE"""),"INCREMENTAL SOFTWARE ARCHITECTURAL ISBN:9781119117643SP
COMPUTING ESSENTIALS 2019 27TH EDITTION ISBN:978126009856SP")</f>
        <v>INCREMENTAL SOFTWARE ARCHITECTURAL ISBN:9781119117643SP
COMPUTING ESSENTIALS 2019 27TH EDITTION ISBN:978126009856SP</v>
      </c>
      <c r="E516" s="196" t="str">
        <f>IFERROR(__xludf.DUMMYFUNCTION("""COMPUTED_VALUE"""),"BOOK ACQUISITION (PACUCOA ACREDITATION)")</f>
        <v>BOOK ACQUISITION (PACUCOA ACREDITATION)</v>
      </c>
    </row>
    <row r="517">
      <c r="A517" s="234">
        <f>IFERROR(__xludf.DUMMYFUNCTION("""COMPUTED_VALUE"""),100809.0)</f>
        <v>100809</v>
      </c>
      <c r="B517" s="235" t="str">
        <f>IFERROR(__xludf.DUMMYFUNCTION("""COMPUTED_VALUE"""),"FEROL SAMANTHA ")</f>
        <v>FEROL SAMANTHA </v>
      </c>
      <c r="C517" s="235" t="str">
        <f>IFERROR(__xludf.DUMMYFUNCTION("""COMPUTED_VALUE"""),"LIBRARY COLLEGE")</f>
        <v>LIBRARY COLLEGE</v>
      </c>
      <c r="D517" s="196" t="str">
        <f>IFERROR(__xludf.DUMMYFUNCTION("""COMPUTED_VALUE"""),"SAKUNANG DARATING
MGA TALA NG ISANG SUPER PAN
BAGETS
A READER PHILIPPINE FILM
MODERNISMO SA SINING MUSIKA")</f>
        <v>SAKUNANG DARATING
MGA TALA NG ISANG SUPER PAN
BAGETS
A READER PHILIPPINE FILM
MODERNISMO SA SINING MUSIKA</v>
      </c>
      <c r="E517" s="196" t="str">
        <f>IFERROR(__xludf.DUMMYFUNCTION("""COMPUTED_VALUE"""),"BOOK ACQUISITION (PACUCOA ACREDITATION)")</f>
        <v>BOOK ACQUISITION (PACUCOA ACREDITATION)</v>
      </c>
    </row>
    <row r="518">
      <c r="A518" s="234">
        <f>IFERROR(__xludf.DUMMYFUNCTION("""COMPUTED_VALUE"""),100810.0)</f>
        <v>100810</v>
      </c>
      <c r="B518" s="235" t="str">
        <f>IFERROR(__xludf.DUMMYFUNCTION("""COMPUTED_VALUE"""),"FEROL SAMANTHA ")</f>
        <v>FEROL SAMANTHA </v>
      </c>
      <c r="C518" s="235" t="str">
        <f>IFERROR(__xludf.DUMMYFUNCTION("""COMPUTED_VALUE"""),"LIBRARY COLLEGE")</f>
        <v>LIBRARY COLLEGE</v>
      </c>
      <c r="D518" s="196" t="str">
        <f>IFERROR(__xludf.DUMMYFUNCTION("""COMPUTED_VALUE"""),"FOUNDATION OF ADULT 2ND EDITION
NURSING FUNDAMENTALS DEMYSTIFIED 2ND EDITION
EVIDENCE BASED PRACTICE FOR NURSES AND HEALTH CARE PROFESSIONALS 4TH EDITION
")</f>
        <v>FOUNDATION OF ADULT 2ND EDITION
NURSING FUNDAMENTALS DEMYSTIFIED 2ND EDITION
EVIDENCE BASED PRACTICE FOR NURSES AND HEALTH CARE PROFESSIONALS 4TH EDITION
</v>
      </c>
      <c r="E518" s="196" t="str">
        <f>IFERROR(__xludf.DUMMYFUNCTION("""COMPUTED_VALUE"""),"BOOK ACQUISITION (PACUCOA ACREDITATION)")</f>
        <v>BOOK ACQUISITION (PACUCOA ACREDITATION)</v>
      </c>
    </row>
    <row r="519">
      <c r="A519" s="234">
        <f>IFERROR(__xludf.DUMMYFUNCTION("""COMPUTED_VALUE"""),100811.0)</f>
        <v>100811</v>
      </c>
      <c r="B519" s="235" t="str">
        <f>IFERROR(__xludf.DUMMYFUNCTION("""COMPUTED_VALUE"""),"DABERETH BALLER")</f>
        <v>DABERETH BALLER</v>
      </c>
      <c r="C519" s="235" t="str">
        <f>IFERROR(__xludf.DUMMYFUNCTION("""COMPUTED_VALUE"""),"I.B.")</f>
        <v>I.B.</v>
      </c>
      <c r="D519" s="196" t="str">
        <f>IFERROR(__xludf.DUMMYFUNCTION("""COMPUTED_VALUE"""),"ALUMINUM PAINTING EASEL")</f>
        <v>ALUMINUM PAINTING EASEL</v>
      </c>
      <c r="E519" s="196" t="str">
        <f>IFERROR(__xludf.DUMMYFUNCTION("""COMPUTED_VALUE"""),"MATERIALS FOR IB VISUAL ARTS CLASS")</f>
        <v>MATERIALS FOR IB VISUAL ARTS CLASS</v>
      </c>
    </row>
    <row r="520">
      <c r="A520" s="234">
        <f>IFERROR(__xludf.DUMMYFUNCTION("""COMPUTED_VALUE"""),100812.0)</f>
        <v>100812</v>
      </c>
      <c r="B520" s="235" t="str">
        <f>IFERROR(__xludf.DUMMYFUNCTION("""COMPUTED_VALUE"""),"ELYDIA REYES")</f>
        <v>ELYDIA REYES</v>
      </c>
      <c r="C520" s="235" t="str">
        <f>IFERROR(__xludf.DUMMYFUNCTION("""COMPUTED_VALUE"""),"PR &amp; MARKETING")</f>
        <v>PR &amp; MARKETING</v>
      </c>
      <c r="D520" s="196" t="str">
        <f>IFERROR(__xludf.DUMMYFUNCTION("""COMPUTED_VALUE"""),"SISC BALLERS")</f>
        <v>SISC BALLERS</v>
      </c>
      <c r="E520" s="196" t="str">
        <f>IFERROR(__xludf.DUMMYFUNCTION("""COMPUTED_VALUE"""),"MARKERTING")</f>
        <v>MARKERTING</v>
      </c>
    </row>
    <row r="521">
      <c r="A521" s="234">
        <f>IFERROR(__xludf.DUMMYFUNCTION("""COMPUTED_VALUE"""),100813.0)</f>
        <v>100813</v>
      </c>
      <c r="B521" s="235" t="str">
        <f>IFERROR(__xludf.DUMMYFUNCTION("""COMPUTED_VALUE"""),"PHEN PETIN")</f>
        <v>PHEN PETIN</v>
      </c>
      <c r="C521" s="235" t="str">
        <f>IFERROR(__xludf.DUMMYFUNCTION("""COMPUTED_VALUE"""),"ADMIN - STAR")</f>
        <v>ADMIN - STAR</v>
      </c>
      <c r="D521" s="196" t="str">
        <f>IFERROR(__xludf.DUMMYFUNCTION("""COMPUTED_VALUE"""),"NX LED 10 W FLOOD LIGHT")</f>
        <v>NX LED 10 W FLOOD LIGHT</v>
      </c>
      <c r="E521" s="196" t="str">
        <f>IFERROR(__xludf.DUMMYFUNCTION("""COMPUTED_VALUE"""),"FOR FRONT GATE AREA ")</f>
        <v>FOR FRONT GATE AREA </v>
      </c>
    </row>
    <row r="522">
      <c r="A522" s="234">
        <f>IFERROR(__xludf.DUMMYFUNCTION("""COMPUTED_VALUE"""),100814.0)</f>
        <v>100814</v>
      </c>
      <c r="B522" s="235" t="str">
        <f>IFERROR(__xludf.DUMMYFUNCTION("""COMPUTED_VALUE"""),"PHEN PETIN")</f>
        <v>PHEN PETIN</v>
      </c>
      <c r="C522" s="235" t="str">
        <f>IFERROR(__xludf.DUMMYFUNCTION("""COMPUTED_VALUE"""),"ADMIN")</f>
        <v>ADMIN</v>
      </c>
      <c r="D522" s="196" t="str">
        <f>IFERROR(__xludf.DUMMYFUNCTION("""COMPUTED_VALUE"""),"ACOUSTIC BOARD 2X4 ")</f>
        <v>ACOUSTIC BOARD 2X4 </v>
      </c>
      <c r="E522" s="196" t="str">
        <f>IFERROR(__xludf.DUMMYFUNCTION("""COMPUTED_VALUE"""),"REPLACE FOR 3F 2F HALLWAYS")</f>
        <v>REPLACE FOR 3F 2F HALLWAYS</v>
      </c>
    </row>
    <row r="523">
      <c r="A523" s="234">
        <f>IFERROR(__xludf.DUMMYFUNCTION("""COMPUTED_VALUE"""),100815.0)</f>
        <v>100815</v>
      </c>
      <c r="B523" s="235" t="str">
        <f>IFERROR(__xludf.DUMMYFUNCTION("""COMPUTED_VALUE"""),"PHEN PETIN")</f>
        <v>PHEN PETIN</v>
      </c>
      <c r="C523" s="235" t="str">
        <f>IFERROR(__xludf.DUMMYFUNCTION("""COMPUTED_VALUE"""),"ADMIN - STAR")</f>
        <v>ADMIN - STAR</v>
      </c>
      <c r="D523" s="196" t="str">
        <f>IFERROR(__xludf.DUMMYFUNCTION("""COMPUTED_VALUE"""),"PIN LIGHTS CASING")</f>
        <v>PIN LIGHTS CASING</v>
      </c>
      <c r="E523" s="196" t="str">
        <f>IFERROR(__xludf.DUMMYFUNCTION("""COMPUTED_VALUE"""),"FOR LEARNING VILLAGE")</f>
        <v>FOR LEARNING VILLAGE</v>
      </c>
    </row>
    <row r="524">
      <c r="A524" s="234">
        <f>IFERROR(__xludf.DUMMYFUNCTION("""COMPUTED_VALUE"""),100816.0)</f>
        <v>100816</v>
      </c>
      <c r="B524" s="235" t="str">
        <f>IFERROR(__xludf.DUMMYFUNCTION("""COMPUTED_VALUE"""),"PAUL ARAÑA")</f>
        <v>PAUL ARAÑA</v>
      </c>
      <c r="C524" s="235" t="str">
        <f>IFERROR(__xludf.DUMMYFUNCTION("""COMPUTED_VALUE"""),"VPAR / RESEARCH")</f>
        <v>VPAR / RESEARCH</v>
      </c>
      <c r="D524" s="196">
        <f>IFERROR(__xludf.DUMMYFUNCTION("""COMPUTED_VALUE"""),719.0)</f>
        <v>719</v>
      </c>
      <c r="E524" s="196" t="str">
        <f>IFERROR(__xludf.DUMMYFUNCTION("""COMPUTED_VALUE"""),"FOR REPLACEMENT OF DEFECTIVE MONITOR OF MS ANN UNIT IN VPAR OFFICE AND SIR OBET IN SEED OFFICE")</f>
        <v>FOR REPLACEMENT OF DEFECTIVE MONITOR OF MS ANN UNIT IN VPAR OFFICE AND SIR OBET IN SEED OFFICE</v>
      </c>
    </row>
    <row r="525">
      <c r="A525" s="234">
        <f>IFERROR(__xludf.DUMMYFUNCTION("""COMPUTED_VALUE"""),100817.0)</f>
        <v>100817</v>
      </c>
      <c r="B525" s="235" t="str">
        <f>IFERROR(__xludf.DUMMYFUNCTION("""COMPUTED_VALUE"""),"SANDRA CLAIRE DUPIO")</f>
        <v>SANDRA CLAIRE DUPIO</v>
      </c>
      <c r="C525" s="235" t="str">
        <f>IFERROR(__xludf.DUMMYFUNCTION("""COMPUTED_VALUE"""),"LIBRARY BASIC ED")</f>
        <v>LIBRARY BASIC ED</v>
      </c>
      <c r="D525" s="196" t="str">
        <f>IFERROR(__xludf.DUMMYFUNCTION("""COMPUTED_VALUE"""),"MINDFULNESS ON THE GO
CALM MINDFULLNESS FOR KIDS
WRITTING MATTERS
THE COLLEGE WRITER
GREAT WRITTING
PAINLESS GEOMETRY
FRENCH GRAMMAR
LEARN MANDRIN")</f>
        <v>MINDFULNESS ON THE GO
CALM MINDFULLNESS FOR KIDS
WRITTING MATTERS
THE COLLEGE WRITER
GREAT WRITTING
PAINLESS GEOMETRY
FRENCH GRAMMAR
LEARN MANDRIN</v>
      </c>
      <c r="E525" s="196" t="str">
        <f>IFERROR(__xludf.DUMMYFUNCTION("""COMPUTED_VALUE"""),"STUDENT TEACHERS REFERENCE LIBRARY'S COPY")</f>
        <v>STUDENT TEACHERS REFERENCE LIBRARY'S COPY</v>
      </c>
    </row>
    <row r="526">
      <c r="A526" s="234">
        <f>IFERROR(__xludf.DUMMYFUNCTION("""COMPUTED_VALUE"""),100818.0)</f>
        <v>100818</v>
      </c>
      <c r="B526" s="235" t="str">
        <f>IFERROR(__xludf.DUMMYFUNCTION("""COMPUTED_VALUE"""),"JEROME BONIFACIO")</f>
        <v>JEROME BONIFACIO</v>
      </c>
      <c r="C526" s="235" t="str">
        <f>IFERROR(__xludf.DUMMYFUNCTION("""COMPUTED_VALUE"""),"SPECIAL SUBJECTS")</f>
        <v>SPECIAL SUBJECTS</v>
      </c>
      <c r="D526" s="196" t="str">
        <f>IFERROR(__xludf.DUMMYFUNCTION("""COMPUTED_VALUE"""),"HEAVY DUTY EXTENTION CORD ASSEMBLY")</f>
        <v>HEAVY DUTY EXTENTION CORD ASSEMBLY</v>
      </c>
      <c r="E526" s="196" t="str">
        <f>IFERROR(__xludf.DUMMYFUNCTION("""COMPUTED_VALUE"""),"PROJECT FOR GRADE 10")</f>
        <v>PROJECT FOR GRADE 10</v>
      </c>
    </row>
    <row r="527">
      <c r="A527" s="234">
        <f>IFERROR(__xludf.DUMMYFUNCTION("""COMPUTED_VALUE"""),100819.0)</f>
        <v>100819</v>
      </c>
      <c r="B527" s="235" t="str">
        <f>IFERROR(__xludf.DUMMYFUNCTION("""COMPUTED_VALUE"""),"JEROME BONIFACIO")</f>
        <v>JEROME BONIFACIO</v>
      </c>
      <c r="C527" s="235" t="str">
        <f>IFERROR(__xludf.DUMMYFUNCTION("""COMPUTED_VALUE"""),"SPECIAL SUBJECTS")</f>
        <v>SPECIAL SUBJECTS</v>
      </c>
      <c r="D527" s="196" t="str">
        <f>IFERROR(__xludf.DUMMYFUNCTION("""COMPUTED_VALUE"""),"THREE DRAWER CABINET")</f>
        <v>THREE DRAWER CABINET</v>
      </c>
      <c r="E527" s="196" t="str">
        <f>IFERROR(__xludf.DUMMYFUNCTION("""COMPUTED_VALUE"""),"PROJECT FOR GRADE 9")</f>
        <v>PROJECT FOR GRADE 9</v>
      </c>
    </row>
    <row r="528">
      <c r="A528" s="234">
        <f>IFERROR(__xludf.DUMMYFUNCTION("""COMPUTED_VALUE"""),100820.0)</f>
        <v>100820</v>
      </c>
      <c r="B528" s="235" t="str">
        <f>IFERROR(__xludf.DUMMYFUNCTION("""COMPUTED_VALUE"""),"JEROME BONIFACIO")</f>
        <v>JEROME BONIFACIO</v>
      </c>
      <c r="C528" s="235" t="str">
        <f>IFERROR(__xludf.DUMMYFUNCTION("""COMPUTED_VALUE"""),"SPECIAL SUBJECTS")</f>
        <v>SPECIAL SUBJECTS</v>
      </c>
      <c r="D528" s="196" t="str">
        <f>IFERROR(__xludf.DUMMYFUNCTION("""COMPUTED_VALUE"""),"PUZZLE TRAY ICE CREAM GART")</f>
        <v>PUZZLE TRAY ICE CREAM GART</v>
      </c>
      <c r="E528" s="196" t="str">
        <f>IFERROR(__xludf.DUMMYFUNCTION("""COMPUTED_VALUE"""),"PROJECT FOR GRADE 7")</f>
        <v>PROJECT FOR GRADE 7</v>
      </c>
    </row>
    <row r="529">
      <c r="A529" s="234">
        <f>IFERROR(__xludf.DUMMYFUNCTION("""COMPUTED_VALUE"""),100821.0)</f>
        <v>100821</v>
      </c>
      <c r="B529" s="235" t="str">
        <f>IFERROR(__xludf.DUMMYFUNCTION("""COMPUTED_VALUE"""),"JEROME BONIFACIO")</f>
        <v>JEROME BONIFACIO</v>
      </c>
      <c r="C529" s="235" t="str">
        <f>IFERROR(__xludf.DUMMYFUNCTION("""COMPUTED_VALUE"""),"SPECIAL SUBJECTS")</f>
        <v>SPECIAL SUBJECTS</v>
      </c>
      <c r="D529" s="196" t="str">
        <f>IFERROR(__xludf.DUMMYFUNCTION("""COMPUTED_VALUE"""),"STOCKED WOOD LAMPSHAPE KIT W/ ELECTRICAL DEVICE 
TISSUE HOLDER (SMILEY DESIGN)")</f>
        <v>STOCKED WOOD LAMPSHAPE KIT W/ ELECTRICAL DEVICE 
TISSUE HOLDER (SMILEY DESIGN)</v>
      </c>
      <c r="E529" s="196" t="str">
        <f>IFERROR(__xludf.DUMMYFUNCTION("""COMPUTED_VALUE"""),"PROJECT FOR GRADE 8")</f>
        <v>PROJECT FOR GRADE 8</v>
      </c>
    </row>
    <row r="530">
      <c r="A530" s="234">
        <f>IFERROR(__xludf.DUMMYFUNCTION("""COMPUTED_VALUE"""),100822.0)</f>
        <v>100822</v>
      </c>
      <c r="B530" s="235" t="str">
        <f>IFERROR(__xludf.DUMMYFUNCTION("""COMPUTED_VALUE"""),"APRIL D. TRAJICO")</f>
        <v>APRIL D. TRAJICO</v>
      </c>
      <c r="C530" s="235" t="str">
        <f>IFERROR(__xludf.DUMMYFUNCTION("""COMPUTED_VALUE"""),"AMD")</f>
        <v>AMD</v>
      </c>
      <c r="D530" s="196" t="str">
        <f>IFERROR(__xludf.DUMMYFUNCTION("""COMPUTED_VALUE"""),"CARTOLINA, WHITE 100PCS; ENVELOPE BROWN LONG 500PCS; ENVELOPE BROWN SHORT 500PCS; GLUE, ELMER'S 130gs 60PCS")</f>
        <v>CARTOLINA, WHITE 100PCS; ENVELOPE BROWN LONG 500PCS; ENVELOPE BROWN SHORT 500PCS; GLUE, ELMER'S 130gs 60PCS</v>
      </c>
      <c r="E530" s="196" t="str">
        <f>IFERROR(__xludf.DUMMYFUNCTION("""COMPUTED_VALUE"""),"STOCK REPLENISHMENT - OSSUP")</f>
        <v>STOCK REPLENISHMENT - OSSUP</v>
      </c>
    </row>
    <row r="531">
      <c r="A531" s="234">
        <f>IFERROR(__xludf.DUMMYFUNCTION("""COMPUTED_VALUE"""),100823.0)</f>
        <v>100823</v>
      </c>
      <c r="B531" s="235" t="str">
        <f>IFERROR(__xludf.DUMMYFUNCTION("""COMPUTED_VALUE"""),"APRIL D. TRAJICO")</f>
        <v>APRIL D. TRAJICO</v>
      </c>
      <c r="C531" s="235" t="str">
        <f>IFERROR(__xludf.DUMMYFUNCTION("""COMPUTED_VALUE"""),"AMD")</f>
        <v>AMD</v>
      </c>
      <c r="D531" s="196" t="str">
        <f>IFERROR(__xludf.DUMMYFUNCTION("""COMPUTED_VALUE"""),"INKS, TRODAT BLACK 2PCS; MARKER, WHITEBOARD - PILOT BLACK 60PCS; PUNCHER PAPER - HD 2 HOLE BIG PRINCE 10PCS")</f>
        <v>INKS, TRODAT BLACK 2PCS; MARKER, WHITEBOARD - PILOT BLACK 60PCS; PUNCHER PAPER - HD 2 HOLE BIG PRINCE 10PCS</v>
      </c>
      <c r="E531" s="196" t="str">
        <f>IFERROR(__xludf.DUMMYFUNCTION("""COMPUTED_VALUE"""),"STOCK REPLENISHMENT - OSSUP")</f>
        <v>STOCK REPLENISHMENT - OSSUP</v>
      </c>
    </row>
    <row r="532">
      <c r="A532" s="234">
        <f>IFERROR(__xludf.DUMMYFUNCTION("""COMPUTED_VALUE"""),100824.0)</f>
        <v>100824</v>
      </c>
      <c r="B532" s="235" t="str">
        <f>IFERROR(__xludf.DUMMYFUNCTION("""COMPUTED_VALUE"""),"APRIL D. TRAJICO")</f>
        <v>APRIL D. TRAJICO</v>
      </c>
      <c r="C532" s="235" t="str">
        <f>IFERROR(__xludf.DUMMYFUNCTION("""COMPUTED_VALUE"""),"AMD")</f>
        <v>AMD</v>
      </c>
      <c r="D532" s="196" t="str">
        <f>IFERROR(__xludf.DUMMYFUNCTION("""COMPUTED_VALUE"""),"RIBBON, CARTRIDGE EPSON LX300+ #8750 5PCS; TAPE DOUBLE SIDED TAPE W/O FOAM 20PCS")</f>
        <v>RIBBON, CARTRIDGE EPSON LX300+ #8750 5PCS; TAPE DOUBLE SIDED TAPE W/O FOAM 20PCS</v>
      </c>
      <c r="E532" s="196" t="str">
        <f>IFERROR(__xludf.DUMMYFUNCTION("""COMPUTED_VALUE"""),"STOCK REPLENISHMENT - OSSUP")</f>
        <v>STOCK REPLENISHMENT - OSSUP</v>
      </c>
    </row>
    <row r="533">
      <c r="A533" s="234">
        <f>IFERROR(__xludf.DUMMYFUNCTION("""COMPUTED_VALUE"""),100825.0)</f>
        <v>100825</v>
      </c>
      <c r="B533" s="235" t="str">
        <f>IFERROR(__xludf.DUMMYFUNCTION("""COMPUTED_VALUE"""),"APRIL D. TRAJICO")</f>
        <v>APRIL D. TRAJICO</v>
      </c>
      <c r="C533" s="235" t="str">
        <f>IFERROR(__xludf.DUMMYFUNCTION("""COMPUTED_VALUE"""),"AMD")</f>
        <v>AMD</v>
      </c>
      <c r="D533" s="196" t="str">
        <f>IFERROR(__xludf.DUMMYFUNCTION("""COMPUTED_VALUE"""),"RIBBON, HDP500 YMCK RIBBON FOR ID PRINTER HPD5000 5PCS")</f>
        <v>RIBBON, HDP500 YMCK RIBBON FOR ID PRINTER HPD5000 5PCS</v>
      </c>
      <c r="E533" s="196" t="str">
        <f>IFERROR(__xludf.DUMMYFUNCTION("""COMPUTED_VALUE"""),"STOCK REPLENISHMENT - OSSUP")</f>
        <v>STOCK REPLENISHMENT - OSSUP</v>
      </c>
    </row>
    <row r="534">
      <c r="A534" s="234">
        <f>IFERROR(__xludf.DUMMYFUNCTION("""COMPUTED_VALUE"""),100826.0)</f>
        <v>100826</v>
      </c>
      <c r="B534" s="235" t="str">
        <f>IFERROR(__xludf.DUMMYFUNCTION("""COMPUTED_VALUE"""),"APRIL D. TRAJICO")</f>
        <v>APRIL D. TRAJICO</v>
      </c>
      <c r="C534" s="235" t="str">
        <f>IFERROR(__xludf.DUMMYFUNCTION("""COMPUTED_VALUE"""),"AMD")</f>
        <v>AMD</v>
      </c>
      <c r="D534" s="196" t="str">
        <f>IFERROR(__xludf.DUMMYFUNCTION("""COMPUTED_VALUE"""),"TOILET BOWL BRUSH W/ HOLDER")</f>
        <v>TOILET BOWL BRUSH W/ HOLDER</v>
      </c>
      <c r="E534" s="196" t="str">
        <f>IFERROR(__xludf.DUMMYFUNCTION("""COMPUTED_VALUE"""),"STOCK REPLENISHMENT - TOKENS")</f>
        <v>STOCK REPLENISHMENT - TOKENS</v>
      </c>
    </row>
    <row r="535">
      <c r="A535" s="234">
        <f>IFERROR(__xludf.DUMMYFUNCTION("""COMPUTED_VALUE"""),100827.0)</f>
        <v>100827</v>
      </c>
      <c r="B535" s="235" t="str">
        <f>IFERROR(__xludf.DUMMYFUNCTION("""COMPUTED_VALUE"""),"CHRISTIAN MARK MARBIBI")</f>
        <v>CHRISTIAN MARK MARBIBI</v>
      </c>
      <c r="C535" s="235" t="str">
        <f>IFERROR(__xludf.DUMMYFUNCTION("""COMPUTED_VALUE"""),"HOUSEKEEPING")</f>
        <v>HOUSEKEEPING</v>
      </c>
      <c r="D535" s="196"/>
      <c r="E535" s="196" t="str">
        <f>IFERROR(__xludf.DUMMYFUNCTION("""COMPUTED_VALUE"""),"STOCK REPLENISH ")</f>
        <v>STOCK REPLENISH </v>
      </c>
    </row>
    <row r="536">
      <c r="A536" s="234">
        <f>IFERROR(__xludf.DUMMYFUNCTION("""COMPUTED_VALUE"""),100828.0)</f>
        <v>100828</v>
      </c>
      <c r="B536" s="235" t="str">
        <f>IFERROR(__xludf.DUMMYFUNCTION("""COMPUTED_VALUE"""),"CHRISTIAN MARK MARBIBI")</f>
        <v>CHRISTIAN MARK MARBIBI</v>
      </c>
      <c r="C536" s="235" t="str">
        <f>IFERROR(__xludf.DUMMYFUNCTION("""COMPUTED_VALUE"""),"HOUSEKEEPING")</f>
        <v>HOUSEKEEPING</v>
      </c>
      <c r="D536" s="196" t="str">
        <f>IFERROR(__xludf.DUMMYFUNCTION("""COMPUTED_VALUE"""),"MOP HEAD")</f>
        <v>MOP HEAD</v>
      </c>
      <c r="E536" s="196" t="str">
        <f>IFERROR(__xludf.DUMMYFUNCTION("""COMPUTED_VALUE"""),"STOCK REPLENISH")</f>
        <v>STOCK REPLENISH</v>
      </c>
    </row>
    <row r="537">
      <c r="A537" s="234">
        <f>IFERROR(__xludf.DUMMYFUNCTION("""COMPUTED_VALUE"""),100829.0)</f>
        <v>100829</v>
      </c>
      <c r="B537" s="235" t="str">
        <f>IFERROR(__xludf.DUMMYFUNCTION("""COMPUTED_VALUE"""),"CHRISTIAN MARK MARBIBI")</f>
        <v>CHRISTIAN MARK MARBIBI</v>
      </c>
      <c r="C537" s="235" t="str">
        <f>IFERROR(__xludf.DUMMYFUNCTION("""COMPUTED_VALUE"""),"HOUSEKEEPING")</f>
        <v>HOUSEKEEPING</v>
      </c>
      <c r="D537" s="196" t="str">
        <f>IFERROR(__xludf.DUMMYFUNCTION("""COMPUTED_VALUE"""),"FACE MASK COTTON")</f>
        <v>FACE MASK COTTON</v>
      </c>
      <c r="E537" s="196" t="str">
        <f>IFERROR(__xludf.DUMMYFUNCTION("""COMPUTED_VALUE"""),"STOCK REPLENISH")</f>
        <v>STOCK REPLENISH</v>
      </c>
    </row>
    <row r="538">
      <c r="A538" s="234">
        <f>IFERROR(__xludf.DUMMYFUNCTION("""COMPUTED_VALUE"""),100830.0)</f>
        <v>100830</v>
      </c>
      <c r="B538" s="235" t="str">
        <f>IFERROR(__xludf.DUMMYFUNCTION("""COMPUTED_VALUE"""),"CHRISTIAN MARK MARBIBI")</f>
        <v>CHRISTIAN MARK MARBIBI</v>
      </c>
      <c r="C538" s="235" t="str">
        <f>IFERROR(__xludf.DUMMYFUNCTION("""COMPUTED_VALUE"""),"HOUSEKEEPING")</f>
        <v>HOUSEKEEPING</v>
      </c>
      <c r="D538" s="196" t="str">
        <f>IFERROR(__xludf.DUMMYFUNCTION("""COMPUTED_VALUE"""),"MOP HANDLE 4FT BLUE
MOP HANDLE 4TH GREEN
MOP HANDLE 4TH RED
MOP HANDLE 4TH YELLOW")</f>
        <v>MOP HANDLE 4FT BLUE
MOP HANDLE 4TH GREEN
MOP HANDLE 4TH RED
MOP HANDLE 4TH YELLOW</v>
      </c>
      <c r="E538" s="196" t="str">
        <f>IFERROR(__xludf.DUMMYFUNCTION("""COMPUTED_VALUE"""),"STOCK REPLENISH")</f>
        <v>STOCK REPLENISH</v>
      </c>
    </row>
    <row r="539">
      <c r="A539" s="234">
        <f>IFERROR(__xludf.DUMMYFUNCTION("""COMPUTED_VALUE"""),100831.0)</f>
        <v>100831</v>
      </c>
      <c r="B539" s="235" t="str">
        <f>IFERROR(__xludf.DUMMYFUNCTION("""COMPUTED_VALUE"""),"CHRISTIAN MARK MARBIBI")</f>
        <v>CHRISTIAN MARK MARBIBI</v>
      </c>
      <c r="C539" s="235" t="str">
        <f>IFERROR(__xludf.DUMMYFUNCTION("""COMPUTED_VALUE"""),"HOUSEKEEPING")</f>
        <v>HOUSEKEEPING</v>
      </c>
      <c r="D539" s="196" t="str">
        <f>IFERROR(__xludf.DUMMYFUNCTION("""COMPUTED_VALUE"""),"ZONRO BLEACH 1.9L")</f>
        <v>ZONRO BLEACH 1.9L</v>
      </c>
      <c r="E539" s="196" t="str">
        <f>IFERROR(__xludf.DUMMYFUNCTION("""COMPUTED_VALUE"""),"STOCK REPLENISH")</f>
        <v>STOCK REPLENISH</v>
      </c>
    </row>
    <row r="540">
      <c r="A540" s="234">
        <f>IFERROR(__xludf.DUMMYFUNCTION("""COMPUTED_VALUE"""),100832.0)</f>
        <v>100832</v>
      </c>
      <c r="B540" s="235" t="str">
        <f>IFERROR(__xludf.DUMMYFUNCTION("""COMPUTED_VALUE"""),"CHRISTIAN MARK MARBIBI")</f>
        <v>CHRISTIAN MARK MARBIBI</v>
      </c>
      <c r="C540" s="235" t="str">
        <f>IFERROR(__xludf.DUMMYFUNCTION("""COMPUTED_VALUE"""),"HOUSEKEEPING")</f>
        <v>HOUSEKEEPING</v>
      </c>
      <c r="D540" s="196" t="str">
        <f>IFERROR(__xludf.DUMMYFUNCTION("""COMPUTED_VALUE"""),"RUBBER CHAMOIS")</f>
        <v>RUBBER CHAMOIS</v>
      </c>
      <c r="E540" s="196" t="str">
        <f>IFERROR(__xludf.DUMMYFUNCTION("""COMPUTED_VALUE"""),"STOCK  REPLENISH")</f>
        <v>STOCK  REPLENISH</v>
      </c>
    </row>
    <row r="541">
      <c r="A541" s="234">
        <f>IFERROR(__xludf.DUMMYFUNCTION("""COMPUTED_VALUE"""),100833.0)</f>
        <v>100833</v>
      </c>
      <c r="B541" s="235" t="str">
        <f>IFERROR(__xludf.DUMMYFUNCTION("""COMPUTED_VALUE"""),"CHRISTIAN MARK MARBIBI")</f>
        <v>CHRISTIAN MARK MARBIBI</v>
      </c>
      <c r="C541" s="235" t="str">
        <f>IFERROR(__xludf.DUMMYFUNCTION("""COMPUTED_VALUE"""),"HOUSEKEEPING")</f>
        <v>HOUSEKEEPING</v>
      </c>
      <c r="D541" s="196" t="str">
        <f>IFERROR(__xludf.DUMMYFUNCTION("""COMPUTED_VALUE"""),"RAIN COAT")</f>
        <v>RAIN COAT</v>
      </c>
      <c r="E541" s="196" t="str">
        <f>IFERROR(__xludf.DUMMYFUNCTION("""COMPUTED_VALUE"""),"STOCK REPLENISH")</f>
        <v>STOCK REPLENISH</v>
      </c>
    </row>
    <row r="542">
      <c r="A542" s="234">
        <f>IFERROR(__xludf.DUMMYFUNCTION("""COMPUTED_VALUE"""),100834.0)</f>
        <v>100834</v>
      </c>
      <c r="B542" s="235" t="str">
        <f>IFERROR(__xludf.DUMMYFUNCTION("""COMPUTED_VALUE"""),"CHRISTIAN MARK MARBIBI")</f>
        <v>CHRISTIAN MARK MARBIBI</v>
      </c>
      <c r="C542" s="235" t="str">
        <f>IFERROR(__xludf.DUMMYFUNCTION("""COMPUTED_VALUE"""),"HOUSEKEEPING")</f>
        <v>HOUSEKEEPING</v>
      </c>
      <c r="D542" s="196" t="str">
        <f>IFERROR(__xludf.DUMMYFUNCTION("""COMPUTED_VALUE"""),"DUST PAN")</f>
        <v>DUST PAN</v>
      </c>
      <c r="E542" s="196" t="str">
        <f>IFERROR(__xludf.DUMMYFUNCTION("""COMPUTED_VALUE"""),"STOCK REPLENISH")</f>
        <v>STOCK REPLENISH</v>
      </c>
    </row>
    <row r="543">
      <c r="A543" s="234">
        <f>IFERROR(__xludf.DUMMYFUNCTION("""COMPUTED_VALUE"""),100835.0)</f>
        <v>100835</v>
      </c>
      <c r="B543" s="235" t="str">
        <f>IFERROR(__xludf.DUMMYFUNCTION("""COMPUTED_VALUE"""),"CHRISTIAN MARK MARBIBI")</f>
        <v>CHRISTIAN MARK MARBIBI</v>
      </c>
      <c r="C543" s="235" t="str">
        <f>IFERROR(__xludf.DUMMYFUNCTION("""COMPUTED_VALUE"""),"HOUSEKEEPING")</f>
        <v>HOUSEKEEPING</v>
      </c>
      <c r="D543" s="196" t="str">
        <f>IFERROR(__xludf.DUMMYFUNCTION("""COMPUTED_VALUE"""),"ARIEL WASHING DETERGENT POWDER 3KG")</f>
        <v>ARIEL WASHING DETERGENT POWDER 3KG</v>
      </c>
      <c r="E543" s="196" t="str">
        <f>IFERROR(__xludf.DUMMYFUNCTION("""COMPUTED_VALUE"""),"STOCK REPLENISH")</f>
        <v>STOCK REPLENISH</v>
      </c>
    </row>
    <row r="544">
      <c r="A544" s="234">
        <f>IFERROR(__xludf.DUMMYFUNCTION("""COMPUTED_VALUE"""),100836.0)</f>
        <v>100836</v>
      </c>
      <c r="B544" s="235" t="str">
        <f>IFERROR(__xludf.DUMMYFUNCTION("""COMPUTED_VALUE"""),"CHRISTIAN MARK MARBIBI")</f>
        <v>CHRISTIAN MARK MARBIBI</v>
      </c>
      <c r="C544" s="235" t="str">
        <f>IFERROR(__xludf.DUMMYFUNCTION("""COMPUTED_VALUE"""),"HOUSEKEEPING")</f>
        <v>HOUSEKEEPING</v>
      </c>
      <c r="D544" s="196" t="str">
        <f>IFERROR(__xludf.DUMMYFUNCTION("""COMPUTED_VALUE"""),"FLO SOFT SOAP DISPENSER")</f>
        <v>FLO SOFT SOAP DISPENSER</v>
      </c>
      <c r="E544" s="196" t="str">
        <f>IFERROR(__xludf.DUMMYFUNCTION("""COMPUTED_VALUE"""),"STOCK REPLENISH")</f>
        <v>STOCK REPLENISH</v>
      </c>
    </row>
    <row r="545">
      <c r="A545" s="234">
        <f>IFERROR(__xludf.DUMMYFUNCTION("""COMPUTED_VALUE"""),100837.0)</f>
        <v>100837</v>
      </c>
      <c r="B545" s="235" t="str">
        <f>IFERROR(__xludf.DUMMYFUNCTION("""COMPUTED_VALUE"""),"REA VILLA")</f>
        <v>REA VILLA</v>
      </c>
      <c r="C545" s="235" t="str">
        <f>IFERROR(__xludf.DUMMYFUNCTION("""COMPUTED_VALUE"""),"ATHLETICS")</f>
        <v>ATHLETICS</v>
      </c>
      <c r="D545" s="196" t="str">
        <f>IFERROR(__xludf.DUMMYFUNCTION("""COMPUTED_VALUE"""),"FOOTBALL NET IIASIDE FOOTBALL NET 7-2 SIDE")</f>
        <v>FOOTBALL NET IIASIDE FOOTBALL NET 7-2 SIDE</v>
      </c>
      <c r="E545" s="196" t="str">
        <f>IFERROR(__xludf.DUMMYFUNCTION("""COMPUTED_VALUE"""),"FOR VARSITY/PE USE")</f>
        <v>FOR VARSITY/PE USE</v>
      </c>
    </row>
    <row r="546">
      <c r="A546" s="234">
        <f>IFERROR(__xludf.DUMMYFUNCTION("""COMPUTED_VALUE"""),100838.0)</f>
        <v>100838</v>
      </c>
      <c r="B546" s="235" t="str">
        <f>IFERROR(__xludf.DUMMYFUNCTION("""COMPUTED_VALUE"""),"BELEN MANDIN")</f>
        <v>BELEN MANDIN</v>
      </c>
      <c r="C546" s="235" t="str">
        <f>IFERROR(__xludf.DUMMYFUNCTION("""COMPUTED_VALUE"""),"CAPS COLLEGE")</f>
        <v>CAPS COLLEGE</v>
      </c>
      <c r="D546" s="196" t="str">
        <f>IFERROR(__xludf.DUMMYFUNCTION("""COMPUTED_VALUE"""),"ADVIL
ALAXAN
BIO-FLU
BIOGESIC
38 MEDICAL SUPPLIES")</f>
        <v>ADVIL
ALAXAN
BIO-FLU
BIOGESIC
38 MEDICAL SUPPLIES</v>
      </c>
      <c r="E546" s="196" t="str">
        <f>IFERROR(__xludf.DUMMYFUNCTION("""COMPUTED_VALUE"""),"1C3 -CGS MEDICAL SUPPLIES")</f>
        <v>1C3 -CGS MEDICAL SUPPLIES</v>
      </c>
    </row>
    <row r="547">
      <c r="A547" s="234">
        <f>IFERROR(__xludf.DUMMYFUNCTION("""COMPUTED_VALUE"""),100839.0)</f>
        <v>100839</v>
      </c>
      <c r="B547" s="235" t="str">
        <f>IFERROR(__xludf.DUMMYFUNCTION("""COMPUTED_VALUE"""),"SHEREE ESPINOSA")</f>
        <v>SHEREE ESPINOSA</v>
      </c>
      <c r="C547" s="235" t="str">
        <f>IFERROR(__xludf.DUMMYFUNCTION("""COMPUTED_VALUE"""),"ADMIN")</f>
        <v>ADMIN</v>
      </c>
      <c r="D547" s="196" t="str">
        <f>IFERROR(__xludf.DUMMYFUNCTION("""COMPUTED_VALUE"""),"ROBOTICS CHAIRS")</f>
        <v>ROBOTICS CHAIRS</v>
      </c>
      <c r="E547" s="196" t="str">
        <f>IFERROR(__xludf.DUMMYFUNCTION("""COMPUTED_VALUE"""),"LUX ROBOTICS ROOM")</f>
        <v>LUX ROBOTICS ROOM</v>
      </c>
    </row>
    <row r="548">
      <c r="A548" s="234">
        <f>IFERROR(__xludf.DUMMYFUNCTION("""COMPUTED_VALUE"""),100840.0)</f>
        <v>100840</v>
      </c>
      <c r="B548" s="235" t="str">
        <f>IFERROR(__xludf.DUMMYFUNCTION("""COMPUTED_VALUE"""),"CARLITO DELA VEGA")</f>
        <v>CARLITO DELA VEGA</v>
      </c>
      <c r="C548" s="235" t="str">
        <f>IFERROR(__xludf.DUMMYFUNCTION("""COMPUTED_VALUE"""),"ADMIN")</f>
        <v>ADMIN</v>
      </c>
      <c r="D548" s="196" t="str">
        <f>IFERROR(__xludf.DUMMYFUNCTION("""COMPUTED_VALUE"""),"GENERATOR SET MITSUWEL JAPAN
-1O KVA
-DIESEL
-KEYSTART
-SINGLE PHASE
-SUPPLIER CONTACT")</f>
        <v>GENERATOR SET MITSUWEL JAPAN
-1O KVA
-DIESEL
-KEYSTART
-SINGLE PHASE
-SUPPLIER CONTACT</v>
      </c>
      <c r="E548" s="196" t="str">
        <f>IFERROR(__xludf.DUMMYFUNCTION("""COMPUTED_VALUE"""),"EMERGENCY USE")</f>
        <v>EMERGENCY USE</v>
      </c>
    </row>
    <row r="549">
      <c r="A549" s="234">
        <f>IFERROR(__xludf.DUMMYFUNCTION("""COMPUTED_VALUE"""),100841.0)</f>
        <v>100841</v>
      </c>
      <c r="B549" s="235" t="str">
        <f>IFERROR(__xludf.DUMMYFUNCTION("""COMPUTED_VALUE"""),"FEROL SAMANTHA ")</f>
        <v>FEROL SAMANTHA </v>
      </c>
      <c r="C549" s="235" t="str">
        <f>IFERROR(__xludf.DUMMYFUNCTION("""COMPUTED_VALUE"""),"CAPS COLLEGE")</f>
        <v>CAPS COLLEGE</v>
      </c>
      <c r="D549" s="196" t="str">
        <f>IFERROR(__xludf.DUMMYFUNCTION("""COMPUTED_VALUE"""),"INVESTMENT MANAGEMENT IN PHILIPINE SETTING 3RD ED ISBN 978-9258032
CORPORATE FNANCE VOL 1 TET AND PHILIPPINE CASES; ISBN 978-971-9258025
CASES OF STRATEGIC MANAGEMENT ISBN:978-621-955825")</f>
        <v>INVESTMENT MANAGEMENT IN PHILIPINE SETTING 3RD ED ISBN 978-9258032
CORPORATE FNANCE VOL 1 TET AND PHILIPPINE CASES; ISBN 978-971-9258025
CASES OF STRATEGIC MANAGEMENT ISBN:978-621-955825</v>
      </c>
      <c r="E549" s="196" t="str">
        <f>IFERROR(__xludf.DUMMYFUNCTION("""COMPUTED_VALUE"""),"BOOK ACQUISITION (PACUCOA ACREDITATION)")</f>
        <v>BOOK ACQUISITION (PACUCOA ACREDITATION)</v>
      </c>
    </row>
    <row r="550">
      <c r="A550" s="234">
        <f>IFERROR(__xludf.DUMMYFUNCTION("""COMPUTED_VALUE"""),100842.0)</f>
        <v>100842</v>
      </c>
      <c r="B550" s="235" t="str">
        <f>IFERROR(__xludf.DUMMYFUNCTION("""COMPUTED_VALUE"""),"BOKZ CALVENDRA")</f>
        <v>BOKZ CALVENDRA</v>
      </c>
      <c r="C550" s="235" t="str">
        <f>IFERROR(__xludf.DUMMYFUNCTION("""COMPUTED_VALUE"""),"HOUSEKEEPING")</f>
        <v>HOUSEKEEPING</v>
      </c>
      <c r="D550" s="196" t="str">
        <f>IFERROR(__xludf.DUMMYFUNCTION("""COMPUTED_VALUE"""),"5CS'S MISSION VISION STICKER 
50 INCHES LENGTH 65 INCHES HEIGHT")</f>
        <v>5CS'S MISSION VISION STICKER 
50 INCHES LENGTH 65 INCHES HEIGHT</v>
      </c>
      <c r="E550" s="196" t="str">
        <f>IFERROR(__xludf.DUMMYFUNCTION("""COMPUTED_VALUE"""),"FOR CMLC")</f>
        <v>FOR CMLC</v>
      </c>
    </row>
    <row r="551">
      <c r="A551" s="234">
        <f>IFERROR(__xludf.DUMMYFUNCTION("""COMPUTED_VALUE"""),100843.0)</f>
        <v>100843</v>
      </c>
      <c r="B551" s="235" t="str">
        <f>IFERROR(__xludf.DUMMYFUNCTION("""COMPUTED_VALUE"""),"CARLITO DELA VEGA")</f>
        <v>CARLITO DELA VEGA</v>
      </c>
      <c r="C551" s="235" t="str">
        <f>IFERROR(__xludf.DUMMYFUNCTION("""COMPUTED_VALUE"""),"SECURITY")</f>
        <v>SECURITY</v>
      </c>
      <c r="D551" s="196" t="str">
        <f>IFERROR(__xludf.DUMMYFUNCTION("""COMPUTED_VALUE"""),"REFLECTORIZED TRAFFIC PAINT")</f>
        <v>REFLECTORIZED TRAFFIC PAINT</v>
      </c>
      <c r="E551" s="196" t="str">
        <f>IFERROR(__xludf.DUMMYFUNCTION("""COMPUTED_VALUE"""),"FOR PAINTING OF PEDESTRIAN AND WALKWAY LANE IN LUX/TROPICAL")</f>
        <v>FOR PAINTING OF PEDESTRIAN AND WALKWAY LANE IN LUX/TROPICAL</v>
      </c>
    </row>
    <row r="552">
      <c r="A552" s="234">
        <f>IFERROR(__xludf.DUMMYFUNCTION("""COMPUTED_VALUE"""),100844.0)</f>
        <v>100844</v>
      </c>
      <c r="B552" s="235" t="str">
        <f>IFERROR(__xludf.DUMMYFUNCTION("""COMPUTED_VALUE"""),"OWIE PAR")</f>
        <v>OWIE PAR</v>
      </c>
      <c r="C552" s="235" t="str">
        <f>IFERROR(__xludf.DUMMYFUNCTION("""COMPUTED_VALUE"""),"ENGINEERING")</f>
        <v>ENGINEERING</v>
      </c>
      <c r="D552" s="196" t="str">
        <f>IFERROR(__xludf.DUMMYFUNCTION("""COMPUTED_VALUE"""),"ALUMINUM SULFATE ANFLOC POLUMER")</f>
        <v>ALUMINUM SULFATE ANFLOC POLUMER</v>
      </c>
      <c r="E552" s="196" t="str">
        <f>IFERROR(__xludf.DUMMYFUNCTION("""COMPUTED_VALUE"""),"FOR WASTE WATER TREATMENT CHEMICAL ")</f>
        <v>FOR WASTE WATER TREATMENT CHEMICAL </v>
      </c>
    </row>
    <row r="553">
      <c r="A553" s="234">
        <f>IFERROR(__xludf.DUMMYFUNCTION("""COMPUTED_VALUE"""),100845.0)</f>
        <v>100845</v>
      </c>
      <c r="B553" s="235" t="str">
        <f>IFERROR(__xludf.DUMMYFUNCTION("""COMPUTED_VALUE"""),"ROMAN BALUYOT")</f>
        <v>ROMAN BALUYOT</v>
      </c>
      <c r="C553" s="235" t="str">
        <f>IFERROR(__xludf.DUMMYFUNCTION("""COMPUTED_VALUE"""),"PR &amp; MARKETING")</f>
        <v>PR &amp; MARKETING</v>
      </c>
      <c r="D553" s="196" t="str">
        <f>IFERROR(__xludf.DUMMYFUNCTION("""COMPUTED_VALUE"""),"STICKY NOTE (3X4 INCH)")</f>
        <v>STICKY NOTE (3X4 INCH)</v>
      </c>
      <c r="E553" s="196" t="str">
        <f>IFERROR(__xludf.DUMMYFUNCTION("""COMPUTED_VALUE"""),"PROMOTIONAL ")</f>
        <v>PROMOTIONAL </v>
      </c>
    </row>
    <row r="554">
      <c r="A554" s="234">
        <f>IFERROR(__xludf.DUMMYFUNCTION("""COMPUTED_VALUE"""),100846.0)</f>
        <v>100846</v>
      </c>
      <c r="B554" s="235" t="str">
        <f>IFERROR(__xludf.DUMMYFUNCTION("""COMPUTED_VALUE"""),"APRIL D. TRAJICO")</f>
        <v>APRIL D. TRAJICO</v>
      </c>
      <c r="C554" s="235" t="str">
        <f>IFERROR(__xludf.DUMMYFUNCTION("""COMPUTED_VALUE"""),"AMD")</f>
        <v>AMD</v>
      </c>
      <c r="D554" s="196" t="str">
        <f>IFERROR(__xludf.DUMMYFUNCTION("""COMPUTED_VALUE"""),"TONER CATRIDGE INKONVERT LBP6000 85A 2PCS")</f>
        <v>TONER CATRIDGE INKONVERT LBP6000 85A 2PCS</v>
      </c>
      <c r="E554" s="196" t="str">
        <f>IFERROR(__xludf.DUMMYFUNCTION("""COMPUTED_VALUE"""),"FOR NEW PRINTER IN ODL")</f>
        <v>FOR NEW PRINTER IN ODL</v>
      </c>
    </row>
    <row r="555">
      <c r="A555" s="234">
        <f>IFERROR(__xludf.DUMMYFUNCTION("""COMPUTED_VALUE"""),100847.0)</f>
        <v>100847</v>
      </c>
      <c r="B555" s="235" t="str">
        <f>IFERROR(__xludf.DUMMYFUNCTION("""COMPUTED_VALUE"""),"ADRIAN/ ROMAN")</f>
        <v>ADRIAN/ ROMAN</v>
      </c>
      <c r="C555" s="235" t="str">
        <f>IFERROR(__xludf.DUMMYFUNCTION("""COMPUTED_VALUE"""),"PR &amp; MARKETING")</f>
        <v>PR &amp; MARKETING</v>
      </c>
      <c r="D555" s="196" t="str">
        <f>IFERROR(__xludf.DUMMYFUNCTION("""COMPUTED_VALUE"""),"LIGHTED SIGNAGE  
1 5X10 HYO SANG
2 5X10 MIGUEL
3 40X60 INCH
4 40X60 INCHES DONGLIM")</f>
        <v>LIGHTED SIGNAGE  
1 5X10 HYO SANG
2 5X10 MIGUEL
3 40X60 INCH
4 40X60 INCHES DONGLIM</v>
      </c>
      <c r="E555" s="196" t="str">
        <f>IFERROR(__xludf.DUMMYFUNCTION("""COMPUTED_VALUE"""),"LIGHTED SIGNAGE MATERIALS")</f>
        <v>LIGHTED SIGNAGE MATERIALS</v>
      </c>
    </row>
    <row r="556">
      <c r="A556" s="234">
        <f>IFERROR(__xludf.DUMMYFUNCTION("""COMPUTED_VALUE"""),100848.0)</f>
        <v>100848</v>
      </c>
      <c r="B556" s="235" t="str">
        <f>IFERROR(__xludf.DUMMYFUNCTION("""COMPUTED_VALUE"""),"MP LOPEZ")</f>
        <v>MP LOPEZ</v>
      </c>
      <c r="C556" s="235" t="str">
        <f>IFERROR(__xludf.DUMMYFUNCTION("""COMPUTED_VALUE"""),"DISCIPLINE BED")</f>
        <v>DISCIPLINE BED</v>
      </c>
      <c r="D556" s="196" t="str">
        <f>IFERROR(__xludf.DUMMYFUNCTION("""COMPUTED_VALUE"""),"CLEANING KIT ID PRINTER")</f>
        <v>CLEANING KIT ID PRINTER</v>
      </c>
      <c r="E556" s="196" t="str">
        <f>IFERROR(__xludf.DUMMYFUNCTION("""COMPUTED_VALUE"""),"CLEANING OF THE ID PRINTER")</f>
        <v>CLEANING OF THE ID PRINTER</v>
      </c>
    </row>
    <row r="557">
      <c r="A557" s="234">
        <f>IFERROR(__xludf.DUMMYFUNCTION("""COMPUTED_VALUE"""),100849.0)</f>
        <v>100849</v>
      </c>
      <c r="B557" s="235" t="str">
        <f>IFERROR(__xludf.DUMMYFUNCTION("""COMPUTED_VALUE"""),"REA VILLA")</f>
        <v>REA VILLA</v>
      </c>
      <c r="C557" s="235" t="str">
        <f>IFERROR(__xludf.DUMMYFUNCTION("""COMPUTED_VALUE"""),"ATHLETICS")</f>
        <v>ATHLETICS</v>
      </c>
      <c r="D557" s="196" t="str">
        <f>IFERROR(__xludf.DUMMYFUNCTION("""COMPUTED_VALUE"""),"VOLEY BALL NETS WHITE
VOLLEYBALL MUA 200 MODEL
VOLLEYBALL ATENENA OFFICIAL ")</f>
        <v>VOLEY BALL NETS WHITE
VOLLEYBALL MUA 200 MODEL
VOLLEYBALL ATENENA OFFICIAL </v>
      </c>
      <c r="E557" s="196" t="str">
        <f>IFERROR(__xludf.DUMMYFUNCTION("""COMPUTED_VALUE"""),"ISAC")</f>
        <v>ISAC</v>
      </c>
    </row>
    <row r="558">
      <c r="A558" s="234">
        <f>IFERROR(__xludf.DUMMYFUNCTION("""COMPUTED_VALUE"""),100850.0)</f>
        <v>100850</v>
      </c>
      <c r="B558" s="235" t="str">
        <f>IFERROR(__xludf.DUMMYFUNCTION("""COMPUTED_VALUE"""),"ADRIAN DE GUINTO")</f>
        <v>ADRIAN DE GUINTO</v>
      </c>
      <c r="C558" s="235" t="str">
        <f>IFERROR(__xludf.DUMMYFUNCTION("""COMPUTED_VALUE"""),"PR &amp; MARKETING")</f>
        <v>PR &amp; MARKETING</v>
      </c>
      <c r="D558" s="196" t="str">
        <f>IFERROR(__xludf.DUMMYFUNCTION("""COMPUTED_VALUE"""),"CONGRATULATORY TARP OF NUS WINNERS 6X9 FT 7X10 
W/ALLOWANCE")</f>
        <v>CONGRATULATORY TARP OF NUS WINNERS 6X9 FT 7X10 
W/ALLOWANCE</v>
      </c>
      <c r="E558" s="196" t="str">
        <f>IFERROR(__xludf.DUMMYFUNCTION("""COMPUTED_VALUE"""),"MARKETING ADVERTISMENT")</f>
        <v>MARKETING ADVERTISMENT</v>
      </c>
    </row>
    <row r="559">
      <c r="A559" s="234">
        <f>IFERROR(__xludf.DUMMYFUNCTION("""COMPUTED_VALUE"""),100851.0)</f>
        <v>100851</v>
      </c>
      <c r="B559" s="235" t="str">
        <f>IFERROR(__xludf.DUMMYFUNCTION("""COMPUTED_VALUE"""),"WILBERT BELTRAN ")</f>
        <v>WILBERT BELTRAN </v>
      </c>
      <c r="C559" s="235" t="str">
        <f>IFERROR(__xludf.DUMMYFUNCTION("""COMPUTED_VALUE"""),"AV/MIS")</f>
        <v>AV/MIS</v>
      </c>
      <c r="D559" s="196" t="str">
        <f>IFERROR(__xludf.DUMMYFUNCTION("""COMPUTED_VALUE"""),"DFR DUINO UNO R3 (2PCS)
PROTOTYPING SHIELD FOR ARDUINO (2PCS)
SOLDER LESS BREADBOARD(1PC)
AMBIENT LIGHT SENSOR(20PCS)
LM35 TEMP SENSOR(20PCS)
IR RECEIVER (20PCS)
10K POTENTIOMETER (6PCS)
RGB LED 5MM (50PCS)
BUZZER (20 PCS)")</f>
        <v>DFR DUINO UNO R3 (2PCS)
PROTOTYPING SHIELD FOR ARDUINO (2PCS)
SOLDER LESS BREADBOARD(1PC)
AMBIENT LIGHT SENSOR(20PCS)
LM35 TEMP SENSOR(20PCS)
IR RECEIVER (20PCS)
10K POTENTIOMETER (6PCS)
RGB LED 5MM (50PCS)
BUZZER (20 PCS)</v>
      </c>
      <c r="E559" s="196" t="str">
        <f>IFERROR(__xludf.DUMMYFUNCTION("""COMPUTED_VALUE"""),"REPLACEMENT OF THE DEFECTIVE/MISSING PARTS -ARDUING")</f>
        <v>REPLACEMENT OF THE DEFECTIVE/MISSING PARTS -ARDUING</v>
      </c>
    </row>
    <row r="560">
      <c r="A560" s="234">
        <f>IFERROR(__xludf.DUMMYFUNCTION("""COMPUTED_VALUE"""),100852.0)</f>
        <v>100852</v>
      </c>
      <c r="B560" s="235" t="str">
        <f>IFERROR(__xludf.DUMMYFUNCTION("""COMPUTED_VALUE"""),"WILBERT BELTRAN ")</f>
        <v>WILBERT BELTRAN </v>
      </c>
      <c r="C560" s="235" t="str">
        <f>IFERROR(__xludf.DUMMYFUNCTION("""COMPUTED_VALUE"""),"AV/MIS")</f>
        <v>AV/MIS</v>
      </c>
      <c r="D560" s="196" t="str">
        <f>IFERROR(__xludf.DUMMYFUNCTION("""COMPUTED_VALUE"""),"ROBOT BATTERY
WHEEL KIT
PLASTIC SHAFT BASE PACK
SMART MOTOR
BASIC MOTION ACCESSORY PACK
CPU BLOCK
DC MOTOR-100 RPM
FUNNY CARD PACK 2
FUNNY CARD PACK 1
LED BLOCK(RED)
CROSS CONNECTION BLOCK
CROSS CONNECTION AXLE
SUPPORT BLOCK")</f>
        <v>ROBOT BATTERY
WHEEL KIT
PLASTIC SHAFT BASE PACK
SMART MOTOR
BASIC MOTION ACCESSORY PACK
CPU BLOCK
DC MOTOR-100 RPM
FUNNY CARD PACK 2
FUNNY CARD PACK 1
LED BLOCK(RED)
CROSS CONNECTION BLOCK
CROSS CONNECTION AXLE
SUPPORT BLOCK</v>
      </c>
      <c r="E560" s="196" t="str">
        <f>IFERROR(__xludf.DUMMYFUNCTION("""COMPUTED_VALUE"""),"REPLACEMET OF MISSING/DEFECTIVE PARTS")</f>
        <v>REPLACEMET OF MISSING/DEFECTIVE PARTS</v>
      </c>
    </row>
    <row r="561">
      <c r="A561" s="234">
        <f>IFERROR(__xludf.DUMMYFUNCTION("""COMPUTED_VALUE"""),100853.0)</f>
        <v>100853</v>
      </c>
      <c r="B561" s="235" t="str">
        <f>IFERROR(__xludf.DUMMYFUNCTION("""COMPUTED_VALUE"""),"WILBERT BELTRAN ")</f>
        <v>WILBERT BELTRAN </v>
      </c>
      <c r="C561" s="235" t="str">
        <f>IFERROR(__xludf.DUMMYFUNCTION("""COMPUTED_VALUE"""),"MIS/ICT")</f>
        <v>MIS/ICT</v>
      </c>
      <c r="D561" s="196" t="str">
        <f>IFERROR(__xludf.DUMMYFUNCTION("""COMPUTED_VALUE"""),"VR EYE MASK")</f>
        <v>VR EYE MASK</v>
      </c>
      <c r="E561" s="196" t="str">
        <f>IFERROR(__xludf.DUMMYFUNCTION("""COMPUTED_VALUE"""),"FOR ROBOTICS USE")</f>
        <v>FOR ROBOTICS USE</v>
      </c>
    </row>
    <row r="562">
      <c r="A562" s="234">
        <f>IFERROR(__xludf.DUMMYFUNCTION("""COMPUTED_VALUE"""),100854.0)</f>
        <v>100854</v>
      </c>
      <c r="B562" s="235" t="str">
        <f>IFERROR(__xludf.DUMMYFUNCTION("""COMPUTED_VALUE"""),"WILBERT BELTRAN ")</f>
        <v>WILBERT BELTRAN </v>
      </c>
      <c r="C562" s="235" t="str">
        <f>IFERROR(__xludf.DUMMYFUNCTION("""COMPUTED_VALUE"""),"MIS/ICT")</f>
        <v>MIS/ICT</v>
      </c>
      <c r="D562" s="196" t="str">
        <f>IFERROR(__xludf.DUMMYFUNCTION("""COMPUTED_VALUE"""),"COZMO ROBOT")</f>
        <v>COZMO ROBOT</v>
      </c>
      <c r="E562" s="196" t="str">
        <f>IFERROR(__xludf.DUMMYFUNCTION("""COMPUTED_VALUE"""),"FOR ROBOTICS USE")</f>
        <v>FOR ROBOTICS USE</v>
      </c>
    </row>
    <row r="563">
      <c r="A563" s="234">
        <f>IFERROR(__xludf.DUMMYFUNCTION("""COMPUTED_VALUE"""),100855.0)</f>
        <v>100855</v>
      </c>
      <c r="B563" s="235" t="str">
        <f>IFERROR(__xludf.DUMMYFUNCTION("""COMPUTED_VALUE"""),"ADRIAN DE GUINTO")</f>
        <v>ADRIAN DE GUINTO</v>
      </c>
      <c r="C563" s="235" t="str">
        <f>IFERROR(__xludf.DUMMYFUNCTION("""COMPUTED_VALUE"""),"PR &amp; MARKETING")</f>
        <v>PR &amp; MARKETING</v>
      </c>
      <c r="D563" s="196" t="str">
        <f>IFERROR(__xludf.DUMMYFUNCTION("""COMPUTED_VALUE"""),"CONGRATULATORY TARP OF MS LIA AMOR 6X9")</f>
        <v>CONGRATULATORY TARP OF MS LIA AMOR 6X9</v>
      </c>
      <c r="E563" s="196" t="str">
        <f>IFERROR(__xludf.DUMMYFUNCTION("""COMPUTED_VALUE"""),"MARKETING ADVERTISMENT")</f>
        <v>MARKETING ADVERTISMENT</v>
      </c>
    </row>
    <row r="564">
      <c r="A564" s="234">
        <f>IFERROR(__xludf.DUMMYFUNCTION("""COMPUTED_VALUE"""),100856.0)</f>
        <v>100856</v>
      </c>
      <c r="B564" s="235" t="str">
        <f>IFERROR(__xludf.DUMMYFUNCTION("""COMPUTED_VALUE"""),"FEROL SAMANTHA ")</f>
        <v>FEROL SAMANTHA </v>
      </c>
      <c r="C564" s="235" t="str">
        <f>IFERROR(__xludf.DUMMYFUNCTION("""COMPUTED_VALUE"""),"LIBRARY COLLEGE")</f>
        <v>LIBRARY COLLEGE</v>
      </c>
      <c r="D564" s="196" t="str">
        <f>IFERROR(__xludf.DUMMYFUNCTION("""COMPUTED_VALUE"""),"strategic question in food and beverage 2019 2nd edition")</f>
        <v>strategic question in food and beverage 2019 2nd edition</v>
      </c>
      <c r="E564" s="196" t="str">
        <f>IFERROR(__xludf.DUMMYFUNCTION("""COMPUTED_VALUE"""),"for pacucoa requirements")</f>
        <v>for pacucoa requirements</v>
      </c>
    </row>
    <row r="565">
      <c r="A565" s="234">
        <f>IFERROR(__xludf.DUMMYFUNCTION("""COMPUTED_VALUE"""),100857.0)</f>
        <v>100857</v>
      </c>
      <c r="B565" s="235" t="str">
        <f>IFERROR(__xludf.DUMMYFUNCTION("""COMPUTED_VALUE"""),"FEROL SAMANTHA ")</f>
        <v>FEROL SAMANTHA </v>
      </c>
      <c r="C565" s="235" t="str">
        <f>IFERROR(__xludf.DUMMYFUNCTION("""COMPUTED_VALUE"""),"LIBRARY COLLEGE")</f>
        <v>LIBRARY COLLEGE</v>
      </c>
      <c r="D565" s="196" t="str">
        <f>IFERROR(__xludf.DUMMYFUNCTION("""COMPUTED_VALUE"""),"organizational bevhavior /desinging qualitative research 2nd ed/mindfullness-based intevention reseach/case studies in social psychology")</f>
        <v>organizational bevhavior /desinging qualitative research 2nd ed/mindfullness-based intevention reseach/case studies in social psychology</v>
      </c>
      <c r="E565" s="196" t="str">
        <f>IFERROR(__xludf.DUMMYFUNCTION("""COMPUTED_VALUE"""),"for pacucoa requirements")</f>
        <v>for pacucoa requirements</v>
      </c>
    </row>
    <row r="566">
      <c r="A566" s="234">
        <f>IFERROR(__xludf.DUMMYFUNCTION("""COMPUTED_VALUE"""),100858.0)</f>
        <v>100858</v>
      </c>
      <c r="B566" s="235" t="str">
        <f>IFERROR(__xludf.DUMMYFUNCTION("""COMPUTED_VALUE"""),"FEROL SAMANTHA ")</f>
        <v>FEROL SAMANTHA </v>
      </c>
      <c r="C566" s="235" t="str">
        <f>IFERROR(__xludf.DUMMYFUNCTION("""COMPUTED_VALUE"""),"LIBRARY COLLEGE")</f>
        <v>LIBRARY COLLEGE</v>
      </c>
      <c r="D566" s="196" t="str">
        <f>IFERROR(__xludf.DUMMYFUNCTION("""COMPUTED_VALUE"""),"deep learning/SQL/adobe analytic ")</f>
        <v>deep learning/SQL/adobe analytic </v>
      </c>
      <c r="E566" s="196" t="str">
        <f>IFERROR(__xludf.DUMMYFUNCTION("""COMPUTED_VALUE"""),"for pacucoa requirements")</f>
        <v>for pacucoa requirements</v>
      </c>
    </row>
    <row r="567">
      <c r="A567" s="234">
        <f>IFERROR(__xludf.DUMMYFUNCTION("""COMPUTED_VALUE"""),100859.0)</f>
        <v>100859</v>
      </c>
      <c r="B567" s="235" t="str">
        <f>IFERROR(__xludf.DUMMYFUNCTION("""COMPUTED_VALUE"""),"FEROL SAMANTHA ")</f>
        <v>FEROL SAMANTHA </v>
      </c>
      <c r="C567" s="235" t="str">
        <f>IFERROR(__xludf.DUMMYFUNCTION("""COMPUTED_VALUE"""),"LIBRARY COLLEGE")</f>
        <v>LIBRARY COLLEGE</v>
      </c>
      <c r="D567" s="196" t="str">
        <f>IFERROR(__xludf.DUMMYFUNCTION("""COMPUTED_VALUE"""),"cryptocurrency/day trading/reading financial report/personal finance")</f>
        <v>cryptocurrency/day trading/reading financial report/personal finance</v>
      </c>
      <c r="E567" s="196" t="str">
        <f>IFERROR(__xludf.DUMMYFUNCTION("""COMPUTED_VALUE"""),"for pacucoa requirements")</f>
        <v>for pacucoa requirements</v>
      </c>
    </row>
    <row r="568">
      <c r="A568" s="234">
        <f>IFERROR(__xludf.DUMMYFUNCTION("""COMPUTED_VALUE"""),100860.0)</f>
        <v>100860</v>
      </c>
      <c r="B568" s="235" t="str">
        <f>IFERROR(__xludf.DUMMYFUNCTION("""COMPUTED_VALUE"""),"FEROL SAMANTHA ")</f>
        <v>FEROL SAMANTHA </v>
      </c>
      <c r="C568" s="235" t="str">
        <f>IFERROR(__xludf.DUMMYFUNCTION("""COMPUTED_VALUE"""),"LIBRARY COLLEGE")</f>
        <v>LIBRARY COLLEGE</v>
      </c>
      <c r="D568" s="196" t="str">
        <f>IFERROR(__xludf.DUMMYFUNCTION("""COMPUTED_VALUE"""),"the ingredient for great teaching/the short story of modern art pocket guide to movements,works themes &amp; techniques")</f>
        <v>the ingredient for great teaching/the short story of modern art pocket guide to movements,works themes &amp; techniques</v>
      </c>
      <c r="E568" s="196" t="str">
        <f>IFERROR(__xludf.DUMMYFUNCTION("""COMPUTED_VALUE"""),"for pacucoa requirements")</f>
        <v>for pacucoa requirements</v>
      </c>
    </row>
    <row r="569">
      <c r="A569" s="234">
        <f>IFERROR(__xludf.DUMMYFUNCTION("""COMPUTED_VALUE"""),100861.0)</f>
        <v>100861</v>
      </c>
      <c r="B569" s="235" t="str">
        <f>IFERROR(__xludf.DUMMYFUNCTION("""COMPUTED_VALUE"""),"FEROL SAMANTHA ")</f>
        <v>FEROL SAMANTHA </v>
      </c>
      <c r="C569" s="235" t="str">
        <f>IFERROR(__xludf.DUMMYFUNCTION("""COMPUTED_VALUE"""),"LIBRARY COLLEGE")</f>
        <v>LIBRARY COLLEGE</v>
      </c>
      <c r="D569" s="196" t="str">
        <f>IFERROR(__xludf.DUMMYFUNCTION("""COMPUTED_VALUE"""),"beginning programming with python for dummies")</f>
        <v>beginning programming with python for dummies</v>
      </c>
      <c r="E569" s="196" t="str">
        <f>IFERROR(__xludf.DUMMYFUNCTION("""COMPUTED_VALUE"""),"for pacucoa requirements")</f>
        <v>for pacucoa requirements</v>
      </c>
    </row>
    <row r="570">
      <c r="A570" s="234">
        <f>IFERROR(__xludf.DUMMYFUNCTION("""COMPUTED_VALUE"""),100862.0)</f>
        <v>100862</v>
      </c>
      <c r="B570" s="235" t="str">
        <f>IFERROR(__xludf.DUMMYFUNCTION("""COMPUTED_VALUE"""),"FEROL SAMANTHA ")</f>
        <v>FEROL SAMANTHA </v>
      </c>
      <c r="C570" s="235" t="str">
        <f>IFERROR(__xludf.DUMMYFUNCTION("""COMPUTED_VALUE"""),"LIBRARY COLLEGE")</f>
        <v>LIBRARY COLLEGE</v>
      </c>
      <c r="D570" s="196" t="str">
        <f>IFERROR(__xludf.DUMMYFUNCTION("""COMPUTED_VALUE"""),"the student leadership challenge/career guide: librarian 2nd ed/career guide: information technology 2nd ed/administrative secretary by 3g")</f>
        <v>the student leadership challenge/career guide: librarian 2nd ed/career guide: information technology 2nd ed/administrative secretary by 3g</v>
      </c>
      <c r="E570" s="196" t="str">
        <f>IFERROR(__xludf.DUMMYFUNCTION("""COMPUTED_VALUE"""),"for pacucoa requirements")</f>
        <v>for pacucoa requirements</v>
      </c>
    </row>
    <row r="571">
      <c r="A571" s="234">
        <f>IFERROR(__xludf.DUMMYFUNCTION("""COMPUTED_VALUE"""),100863.0)</f>
        <v>100863</v>
      </c>
      <c r="B571" s="235" t="str">
        <f>IFERROR(__xludf.DUMMYFUNCTION("""COMPUTED_VALUE"""),"nessie lumbres")</f>
        <v>nessie lumbres</v>
      </c>
      <c r="C571" s="235" t="str">
        <f>IFERROR(__xludf.DUMMYFUNCTION("""COMPUTED_VALUE"""),"DP SPECIAL PROGRAMS")</f>
        <v>DP SPECIAL PROGRAMS</v>
      </c>
      <c r="D571" s="196" t="str">
        <f>IFERROR(__xludf.DUMMYFUNCTION("""COMPUTED_VALUE"""),"perculator 1 unit")</f>
        <v>perculator 1 unit</v>
      </c>
      <c r="E571" s="196" t="str">
        <f>IFERROR(__xludf.DUMMYFUNCTION("""COMPUTED_VALUE"""),"for basic ed coffee chat and other major events")</f>
        <v>for basic ed coffee chat and other major events</v>
      </c>
    </row>
    <row r="572">
      <c r="A572" s="234">
        <f>IFERROR(__xludf.DUMMYFUNCTION("""COMPUTED_VALUE"""),100864.0)</f>
        <v>100864</v>
      </c>
      <c r="B572" s="235" t="str">
        <f>IFERROR(__xludf.DUMMYFUNCTION("""COMPUTED_VALUE"""),"christian anones")</f>
        <v>christian anones</v>
      </c>
      <c r="C572" s="235" t="str">
        <f>IFERROR(__xludf.DUMMYFUNCTION("""COMPUTED_VALUE"""),"PR &amp; MARKETING")</f>
        <v>PR &amp; MARKETING</v>
      </c>
      <c r="D572" s="196" t="str">
        <f>IFERROR(__xludf.DUMMYFUNCTION("""COMPUTED_VALUE"""),"gatchalian tarp 10x10 ft. w/eyelet all over 1pc./ dr. almelor 67x123"" 1 pc.")</f>
        <v>gatchalian tarp 10x10 ft. w/eyelet all over 1pc./ dr. almelor 67x123" 1 pc.</v>
      </c>
      <c r="E572" s="196" t="str">
        <f>IFERROR(__xludf.DUMMYFUNCTION("""COMPUTED_VALUE"""),"marketing purposes")</f>
        <v>marketing purposes</v>
      </c>
    </row>
    <row r="573">
      <c r="A573" s="234">
        <f>IFERROR(__xludf.DUMMYFUNCTION("""COMPUTED_VALUE"""),100865.0)</f>
        <v>100865</v>
      </c>
      <c r="B573" s="235" t="str">
        <f>IFERROR(__xludf.DUMMYFUNCTION("""COMPUTED_VALUE"""),"ronald ariate")</f>
        <v>ronald ariate</v>
      </c>
      <c r="C573" s="235" t="str">
        <f>IFERROR(__xludf.DUMMYFUNCTION("""COMPUTED_VALUE"""),"FINANCE &amp; ACCOUNTING")</f>
        <v>FINANCE &amp; ACCOUNTING</v>
      </c>
      <c r="D573" s="196" t="str">
        <f>IFERROR(__xludf.DUMMYFUNCTION("""COMPUTED_VALUE"""),"assessment form 5 boxes / statement of account form 5 boxes")</f>
        <v>assessment form 5 boxes / statement of account form 5 boxes</v>
      </c>
      <c r="E573" s="196" t="str">
        <f>IFERROR(__xludf.DUMMYFUNCTION("""COMPUTED_VALUE"""),"for SOA and assessment form ")</f>
        <v>for SOA and assessment form </v>
      </c>
    </row>
    <row r="574">
      <c r="A574" s="234">
        <f>IFERROR(__xludf.DUMMYFUNCTION("""COMPUTED_VALUE"""),100866.0)</f>
        <v>100866</v>
      </c>
      <c r="B574" s="235" t="str">
        <f>IFERROR(__xludf.DUMMYFUNCTION("""COMPUTED_VALUE"""),"BENJO DELA CRUZ")</f>
        <v>BENJO DELA CRUZ</v>
      </c>
      <c r="C574" s="235" t="str">
        <f>IFERROR(__xludf.DUMMYFUNCTION("""COMPUTED_VALUE"""),"FOOD SERVICES")</f>
        <v>FOOD SERVICES</v>
      </c>
      <c r="D574" s="196" t="str">
        <f>IFERROR(__xludf.DUMMYFUNCTION("""COMPUTED_VALUE"""),"2 UNIT ASAHI ORBIT FAN (GRAY)")</f>
        <v>2 UNIT ASAHI ORBIT FAN (GRAY)</v>
      </c>
      <c r="E574" s="196" t="str">
        <f>IFERROR(__xludf.DUMMYFUNCTION("""COMPUTED_VALUE"""),"REPLACEMENT OF ORBIT FAN INSIDE CAFETERIA KITCHEN")</f>
        <v>REPLACEMENT OF ORBIT FAN INSIDE CAFETERIA KITCHEN</v>
      </c>
    </row>
    <row r="575">
      <c r="A575" s="234">
        <f>IFERROR(__xludf.DUMMYFUNCTION("""COMPUTED_VALUE"""),100867.0)</f>
        <v>100867</v>
      </c>
      <c r="B575" s="235" t="str">
        <f>IFERROR(__xludf.DUMMYFUNCTION("""COMPUTED_VALUE"""),"FEROL SAMANTHA ")</f>
        <v>FEROL SAMANTHA </v>
      </c>
      <c r="C575" s="235" t="str">
        <f>IFERROR(__xludf.DUMMYFUNCTION("""COMPUTED_VALUE"""),"LIBRARY COLLEGE")</f>
        <v>LIBRARY COLLEGE</v>
      </c>
      <c r="D575" s="196" t="str">
        <f>IFERROR(__xludf.DUMMYFUNCTION("""COMPUTED_VALUE"""),"COMMUNICATION WITH INNOVATIONS: A JOURNEY WITH EV ROGERS
BOB GILL ILLUSTRATION
ILLUSTRATION: A THEORETICAL CONTEXTUAL PERSPECTIVE")</f>
        <v>COMMUNICATION WITH INNOVATIONS: A JOURNEY WITH EV ROGERS
BOB GILL ILLUSTRATION
ILLUSTRATION: A THEORETICAL CONTEXTUAL PERSPECTIVE</v>
      </c>
      <c r="E575" s="196" t="str">
        <f>IFERROR(__xludf.DUMMYFUNCTION("""COMPUTED_VALUE"""),"BOOK ACQUISITION (PACUCOA ACREDITATION)")</f>
        <v>BOOK ACQUISITION (PACUCOA ACREDITATION)</v>
      </c>
    </row>
    <row r="576">
      <c r="A576" s="234">
        <f>IFERROR(__xludf.DUMMYFUNCTION("""COMPUTED_VALUE"""),100868.0)</f>
        <v>100868</v>
      </c>
      <c r="B576" s="235" t="str">
        <f>IFERROR(__xludf.DUMMYFUNCTION("""COMPUTED_VALUE"""),"FEROL SAMANTHA ")</f>
        <v>FEROL SAMANTHA </v>
      </c>
      <c r="C576" s="235" t="str">
        <f>IFERROR(__xludf.DUMMYFUNCTION("""COMPUTED_VALUE"""),"LIBRARY COLLEGE")</f>
        <v>LIBRARY COLLEGE</v>
      </c>
      <c r="D576" s="196" t="str">
        <f>IFERROR(__xludf.DUMMYFUNCTION("""COMPUTED_VALUE"""),"ENGLISH TOURISM HOSPITATLITY
OXFORD ENGLISH FOR CAREERS
TOURISM PRINCIPLES AND PRACTICE 6TH EDITION")</f>
        <v>ENGLISH TOURISM HOSPITATLITY
OXFORD ENGLISH FOR CAREERS
TOURISM PRINCIPLES AND PRACTICE 6TH EDITION</v>
      </c>
      <c r="E576" s="196" t="str">
        <f>IFERROR(__xludf.DUMMYFUNCTION("""COMPUTED_VALUE"""),"BOOK ACQUISITION (PACUCOA ACREDITATION)")</f>
        <v>BOOK ACQUISITION (PACUCOA ACREDITATION)</v>
      </c>
    </row>
    <row r="577">
      <c r="A577" s="234">
        <f>IFERROR(__xludf.DUMMYFUNCTION("""COMPUTED_VALUE"""),100869.0)</f>
        <v>100869</v>
      </c>
      <c r="B577" s="235" t="str">
        <f>IFERROR(__xludf.DUMMYFUNCTION("""COMPUTED_VALUE"""),"FEROL SAMANTHA ")</f>
        <v>FEROL SAMANTHA </v>
      </c>
      <c r="C577" s="235" t="str">
        <f>IFERROR(__xludf.DUMMYFUNCTION("""COMPUTED_VALUE"""),"LIBRARY COLLEGE")</f>
        <v>LIBRARY COLLEGE</v>
      </c>
      <c r="D577" s="196" t="str">
        <f>IFERROR(__xludf.DUMMYFUNCTION("""COMPUTED_VALUE"""),"30 BOOKS FOR PACUCOA")</f>
        <v>30 BOOKS FOR PACUCOA</v>
      </c>
      <c r="E577" s="196" t="str">
        <f>IFERROR(__xludf.DUMMYFUNCTION("""COMPUTED_VALUE"""),"BOOK ACQUISITION (PACUCOA ACREDITATION)")</f>
        <v>BOOK ACQUISITION (PACUCOA ACREDITATION)</v>
      </c>
    </row>
    <row r="578">
      <c r="A578" s="234">
        <f>IFERROR(__xludf.DUMMYFUNCTION("""COMPUTED_VALUE"""),100870.0)</f>
        <v>100870</v>
      </c>
      <c r="B578" s="235" t="str">
        <f>IFERROR(__xludf.DUMMYFUNCTION("""COMPUTED_VALUE"""),"FEROL SAMANTHA ")</f>
        <v>FEROL SAMANTHA </v>
      </c>
      <c r="C578" s="235" t="str">
        <f>IFERROR(__xludf.DUMMYFUNCTION("""COMPUTED_VALUE"""),"LIBRARY COLLEGE")</f>
        <v>LIBRARY COLLEGE</v>
      </c>
      <c r="D578" s="196" t="str">
        <f>IFERROR(__xludf.DUMMYFUNCTION("""COMPUTED_VALUE"""),"GENDER AND SOCIETY: THE WHYS OF WOMEN 
HUMAN DEVELOPMENT
STATICS FOR THE BEHAVIOR SCIENCE")</f>
        <v>GENDER AND SOCIETY: THE WHYS OF WOMEN 
HUMAN DEVELOPMENT
STATICS FOR THE BEHAVIOR SCIENCE</v>
      </c>
      <c r="E578" s="196" t="str">
        <f>IFERROR(__xludf.DUMMYFUNCTION("""COMPUTED_VALUE"""),"BOOK ACQUISITION (PACUCOA ACREDITATION)")</f>
        <v>BOOK ACQUISITION (PACUCOA ACREDITATION)</v>
      </c>
    </row>
    <row r="579">
      <c r="A579" s="234">
        <f>IFERROR(__xludf.DUMMYFUNCTION("""COMPUTED_VALUE"""),100871.0)</f>
        <v>100871</v>
      </c>
      <c r="B579" s="235" t="str">
        <f>IFERROR(__xludf.DUMMYFUNCTION("""COMPUTED_VALUE"""),"FEROL SAMANTHA ")</f>
        <v>FEROL SAMANTHA </v>
      </c>
      <c r="C579" s="235" t="str">
        <f>IFERROR(__xludf.DUMMYFUNCTION("""COMPUTED_VALUE"""),"LIBRARY COLLEGE")</f>
        <v>LIBRARY COLLEGE</v>
      </c>
      <c r="D579" s="196" t="str">
        <f>IFERROR(__xludf.DUMMYFUNCTION("""COMPUTED_VALUE"""),"DIGITAL LOGIC AND MICROPROCESSOR DESIGN WITH INTERFACING 2ND ED
DATA MANAGEMENT ESSENTIALS USING SAS JMP
GUIDE TO OPERATING SYSTEM
DISCOVERING COMPUTERS
C# PROGRAMMING INCLUDING DATA STRUCTURE
JAVA PROGRAMMING 
NEW PERSPECTIVES ON HTML CSS AND JAVASCRIPT")</f>
        <v>DIGITAL LOGIC AND MICROPROCESSOR DESIGN WITH INTERFACING 2ND ED
DATA MANAGEMENT ESSENTIALS USING SAS JMP
GUIDE TO OPERATING SYSTEM
DISCOVERING COMPUTERS
C# PROGRAMMING INCLUDING DATA STRUCTURE
JAVA PROGRAMMING 
NEW PERSPECTIVES ON HTML CSS AND JAVASCRIPT</v>
      </c>
      <c r="E579" s="196" t="str">
        <f>IFERROR(__xludf.DUMMYFUNCTION("""COMPUTED_VALUE"""),"BOOK ACQUISITION (PACUCOA ACREDITATION)")</f>
        <v>BOOK ACQUISITION (PACUCOA ACREDITATION)</v>
      </c>
    </row>
    <row r="580">
      <c r="A580" s="234">
        <f>IFERROR(__xludf.DUMMYFUNCTION("""COMPUTED_VALUE"""),100872.0)</f>
        <v>100872</v>
      </c>
      <c r="B580" s="235" t="str">
        <f>IFERROR(__xludf.DUMMYFUNCTION("""COMPUTED_VALUE"""),"NESSIE LUMBRES")</f>
        <v>NESSIE LUMBRES</v>
      </c>
      <c r="C580" s="235" t="str">
        <f>IFERROR(__xludf.DUMMYFUNCTION("""COMPUTED_VALUE"""),"DP SPECIAL PROGRAMS")</f>
        <v>DP SPECIAL PROGRAMS</v>
      </c>
      <c r="D580" s="196" t="str">
        <f>IFERROR(__xludf.DUMMYFUNCTION("""COMPUTED_VALUE"""),"CLASSROOM INDIVIDUAL TABLES CHAIRS PER STUDENT")</f>
        <v>CLASSROOM INDIVIDUAL TABLES CHAIRS PER STUDENT</v>
      </c>
      <c r="E580" s="196" t="str">
        <f>IFERROR(__xludf.DUMMYFUNCTION("""COMPUTED_VALUE"""),"INNOVE CLASSES GR 6-12")</f>
        <v>INNOVE CLASSES GR 6-12</v>
      </c>
    </row>
    <row r="581">
      <c r="A581" s="234">
        <f>IFERROR(__xludf.DUMMYFUNCTION("""COMPUTED_VALUE"""),100873.0)</f>
        <v>100873</v>
      </c>
      <c r="B581" s="235" t="str">
        <f>IFERROR(__xludf.DUMMYFUNCTION("""COMPUTED_VALUE"""),"LIA AMOR G ARCAINA")</f>
        <v>LIA AMOR G ARCAINA</v>
      </c>
      <c r="C581" s="235" t="str">
        <f>IFERROR(__xludf.DUMMYFUNCTION("""COMPUTED_VALUE"""),"STUDENT AFFAIRS BED")</f>
        <v>STUDENT AFFAIRS BED</v>
      </c>
      <c r="D581" s="196" t="str">
        <f>IFERROR(__xludf.DUMMYFUNCTION("""COMPUTED_VALUE"""),"TICKETS FOR G9,10,11,12 IB 1&amp;2")</f>
        <v>TICKETS FOR G9,10,11,12 IB 1&amp;2</v>
      </c>
      <c r="E581" s="196" t="str">
        <f>IFERROR(__xludf.DUMMYFUNCTION("""COMPUTED_VALUE"""),"CULTURAL SHOW")</f>
        <v>CULTURAL SHOW</v>
      </c>
    </row>
    <row r="582">
      <c r="A582" s="234">
        <f>IFERROR(__xludf.DUMMYFUNCTION("""COMPUTED_VALUE"""),100874.0)</f>
        <v>100874</v>
      </c>
      <c r="B582" s="235" t="str">
        <f>IFERROR(__xludf.DUMMYFUNCTION("""COMPUTED_VALUE"""),"OWIE PAR")</f>
        <v>OWIE PAR</v>
      </c>
      <c r="C582" s="235" t="str">
        <f>IFERROR(__xludf.DUMMYFUNCTION("""COMPUTED_VALUE"""),"ENGINEERING")</f>
        <v>ENGINEERING</v>
      </c>
      <c r="D582" s="196" t="str">
        <f>IFERROR(__xludf.DUMMYFUNCTION("""COMPUTED_VALUE"""),"PPR PIPE
PPR ELBOW
PPR COUPLING
PPR FEMALE ADAPTOR
TEPLON TAPE")</f>
        <v>PPR PIPE
PPR ELBOW
PPR COUPLING
PPR FEMALE ADAPTOR
TEPLON TAPE</v>
      </c>
      <c r="E582" s="196" t="str">
        <f>IFERROR(__xludf.DUMMYFUNCTION("""COMPUTED_VALUE"""),"FOR WATER LINE DOWNFEED OF EAST WING BLDG")</f>
        <v>FOR WATER LINE DOWNFEED OF EAST WING BLDG</v>
      </c>
    </row>
    <row r="583">
      <c r="A583" s="234">
        <f>IFERROR(__xludf.DUMMYFUNCTION("""COMPUTED_VALUE"""),100875.0)</f>
        <v>100875</v>
      </c>
      <c r="B583" s="235" t="str">
        <f>IFERROR(__xludf.DUMMYFUNCTION("""COMPUTED_VALUE"""),"APRIL D. TRAJICO")</f>
        <v>APRIL D. TRAJICO</v>
      </c>
      <c r="C583" s="235" t="str">
        <f>IFERROR(__xludf.DUMMYFUNCTION("""COMPUTED_VALUE"""),"AMD")</f>
        <v>AMD</v>
      </c>
      <c r="D583" s="196" t="str">
        <f>IFERROR(__xludf.DUMMYFUNCTION("""COMPUTED_VALUE"""),"EVERGRAIN GRAPEFRUIT 
MALDIRES TULIP")</f>
        <v>EVERGRAIN GRAPEFRUIT 
MALDIRES TULIP</v>
      </c>
      <c r="E583" s="196" t="str">
        <f>IFERROR(__xludf.DUMMYFUNCTION("""COMPUTED_VALUE"""),"ADDITIONAL CLOTH (CMLC 5TH FLOOR LOUNGE BRICS)")</f>
        <v>ADDITIONAL CLOTH (CMLC 5TH FLOOR LOUNGE BRICS)</v>
      </c>
    </row>
    <row r="584">
      <c r="A584" s="234">
        <f>IFERROR(__xludf.DUMMYFUNCTION("""COMPUTED_VALUE"""),100876.0)</f>
        <v>100876</v>
      </c>
      <c r="B584" s="235" t="str">
        <f>IFERROR(__xludf.DUMMYFUNCTION("""COMPUTED_VALUE"""),"ELYDS REYES")</f>
        <v>ELYDS REYES</v>
      </c>
      <c r="C584" s="235" t="str">
        <f>IFERROR(__xludf.DUMMYFUNCTION("""COMPUTED_VALUE"""),"PR &amp; MARKETING")</f>
        <v>PR &amp; MARKETING</v>
      </c>
      <c r="D584" s="196" t="str">
        <f>IFERROR(__xludf.DUMMYFUNCTION("""COMPUTED_VALUE"""),"7X10 CONGRATULATORY TARP GWYNETH, KRISTNER, ERVIN")</f>
        <v>7X10 CONGRATULATORY TARP GWYNETH, KRISTNER, ERVIN</v>
      </c>
      <c r="E584" s="196" t="str">
        <f>IFERROR(__xludf.DUMMYFUNCTION("""COMPUTED_VALUE"""),"CONGRATULATORY TARP")</f>
        <v>CONGRATULATORY TARP</v>
      </c>
    </row>
    <row r="585">
      <c r="A585" s="234">
        <f>IFERROR(__xludf.DUMMYFUNCTION("""COMPUTED_VALUE"""),100877.0)</f>
        <v>100877</v>
      </c>
      <c r="B585" s="235" t="str">
        <f>IFERROR(__xludf.DUMMYFUNCTION("""COMPUTED_VALUE"""),"MELISSA NAVAL ODONO")</f>
        <v>MELISSA NAVAL ODONO</v>
      </c>
      <c r="C585" s="235" t="str">
        <f>IFERROR(__xludf.DUMMYFUNCTION("""COMPUTED_VALUE"""),"LIBRARY MUNICH")</f>
        <v>LIBRARY MUNICH</v>
      </c>
      <c r="D585" s="196" t="str">
        <f>IFERROR(__xludf.DUMMYFUNCTION("""COMPUTED_VALUE"""),"assorted 11 books")</f>
        <v>assorted 11 books</v>
      </c>
      <c r="E585" s="196" t="str">
        <f>IFERROR(__xludf.DUMMYFUNCTION("""COMPUTED_VALUE"""),"for teacher use")</f>
        <v>for teacher use</v>
      </c>
    </row>
    <row r="586">
      <c r="A586" s="234">
        <f>IFERROR(__xludf.DUMMYFUNCTION("""COMPUTED_VALUE"""),100878.0)</f>
        <v>100878</v>
      </c>
      <c r="B586" s="235" t="str">
        <f>IFERROR(__xludf.DUMMYFUNCTION("""COMPUTED_VALUE"""),"NESSIE LUMBRES")</f>
        <v>NESSIE LUMBRES</v>
      </c>
      <c r="C586" s="235" t="str">
        <f>IFERROR(__xludf.DUMMYFUNCTION("""COMPUTED_VALUE"""),"DP SPECIAL PROGRAMS")</f>
        <v>DP SPECIAL PROGRAMS</v>
      </c>
      <c r="D586" s="196" t="str">
        <f>IFERROR(__xludf.DUMMYFUNCTION("""COMPUTED_VALUE"""),"YEARBOOK PRINTING GR.12&amp;IB2")</f>
        <v>YEARBOOK PRINTING GR.12&amp;IB2</v>
      </c>
      <c r="E586" s="196" t="str">
        <f>IFERROR(__xludf.DUMMYFUNCTION("""COMPUTED_VALUE"""),"YEARBOOK FOR GR.12 AND IB AY 2019-2020")</f>
        <v>YEARBOOK FOR GR.12 AND IB AY 2019-2020</v>
      </c>
    </row>
    <row r="587">
      <c r="A587" s="234">
        <f>IFERROR(__xludf.DUMMYFUNCTION("""COMPUTED_VALUE"""),100879.0)</f>
        <v>100879</v>
      </c>
      <c r="B587" s="235" t="str">
        <f>IFERROR(__xludf.DUMMYFUNCTION("""COMPUTED_VALUE"""),"NESSIE LUMBRES")</f>
        <v>NESSIE LUMBRES</v>
      </c>
      <c r="C587" s="235" t="str">
        <f>IFERROR(__xludf.DUMMYFUNCTION("""COMPUTED_VALUE"""),"DP SPECIAL PROGRAMS")</f>
        <v>DP SPECIAL PROGRAMS</v>
      </c>
      <c r="D587" s="196" t="str">
        <f>IFERROR(__xludf.DUMMYFUNCTION("""COMPUTED_VALUE"""),"YEARBOOK PRINTING SK&amp;GR.6")</f>
        <v>YEARBOOK PRINTING SK&amp;GR.6</v>
      </c>
      <c r="E587" s="196" t="str">
        <f>IFERROR(__xludf.DUMMYFUNCTION("""COMPUTED_VALUE"""),"YEARBOOK FOR SK AND GR.6 AY 2019-2020")</f>
        <v>YEARBOOK FOR SK AND GR.6 AY 2019-2020</v>
      </c>
    </row>
    <row r="588">
      <c r="A588" s="234">
        <f>IFERROR(__xludf.DUMMYFUNCTION("""COMPUTED_VALUE"""),100880.0)</f>
        <v>100880</v>
      </c>
      <c r="B588" s="235" t="str">
        <f>IFERROR(__xludf.DUMMYFUNCTION("""COMPUTED_VALUE"""),"ROIE RAYMUNDO")</f>
        <v>ROIE RAYMUNDO</v>
      </c>
      <c r="C588" s="235" t="str">
        <f>IFERROR(__xludf.DUMMYFUNCTION("""COMPUTED_VALUE"""),"AV/MIS")</f>
        <v>AV/MIS</v>
      </c>
      <c r="D588" s="196" t="str">
        <f>IFERROR(__xludf.DUMMYFUNCTION("""COMPUTED_VALUE"""),"PLA FILAMENTS (COLORS:RED,WHITE, GREEN, BLUE &amp; ICE (TRANSPARENT) 5 PCS")</f>
        <v>PLA FILAMENTS (COLORS:RED,WHITE, GREEN, BLUE &amp; ICE (TRANSPARENT) 5 PCS</v>
      </c>
      <c r="E588" s="196" t="str">
        <f>IFERROR(__xludf.DUMMYFUNCTION("""COMPUTED_VALUE"""),"STOCKS FORM 3D PRINTER(BASIC ED)")</f>
        <v>STOCKS FORM 3D PRINTER(BASIC ED)</v>
      </c>
    </row>
    <row r="589">
      <c r="A589" s="234">
        <f>IFERROR(__xludf.DUMMYFUNCTION("""COMPUTED_VALUE"""),100881.0)</f>
        <v>100881</v>
      </c>
      <c r="B589" s="235" t="str">
        <f>IFERROR(__xludf.DUMMYFUNCTION("""COMPUTED_VALUE"""),"BOKZ CALVENDRA")</f>
        <v>BOKZ CALVENDRA</v>
      </c>
      <c r="C589" s="235" t="str">
        <f>IFERROR(__xludf.DUMMYFUNCTION("""COMPUTED_VALUE"""),"ADMIN")</f>
        <v>ADMIN</v>
      </c>
      <c r="D589" s="196" t="str">
        <f>IFERROR(__xludf.DUMMYFUNCTION("""COMPUTED_VALUE"""),"F2- TABLE 0.90M DX1.80MWX 0.75M H
F4- BAR TABLE 0-70DX2.40WX1.05 H")</f>
        <v>F2- TABLE 0.90M DX1.80MWX 0.75M H
F4- BAR TABLE 0-70DX2.40WX1.05 H</v>
      </c>
      <c r="E589" s="196" t="str">
        <f>IFERROR(__xludf.DUMMYFUNCTION("""COMPUTED_VALUE"""),"BRICS PRESENTATION ROOM")</f>
        <v>BRICS PRESENTATION ROOM</v>
      </c>
    </row>
    <row r="590">
      <c r="A590" s="234">
        <f>IFERROR(__xludf.DUMMYFUNCTION("""COMPUTED_VALUE"""),100882.0)</f>
        <v>100882</v>
      </c>
      <c r="B590" s="235"/>
      <c r="C590" s="235"/>
      <c r="D590" s="196"/>
      <c r="E590" s="196"/>
    </row>
    <row r="591">
      <c r="A591" s="234">
        <f>IFERROR(__xludf.DUMMYFUNCTION("""COMPUTED_VALUE"""),100883.0)</f>
        <v>100883</v>
      </c>
      <c r="B591" s="235" t="str">
        <f>IFERROR(__xludf.DUMMYFUNCTION("""COMPUTED_VALUE"""),"SAMANTHA FEROL")</f>
        <v>SAMANTHA FEROL</v>
      </c>
      <c r="C591" s="235" t="str">
        <f>IFERROR(__xludf.DUMMYFUNCTION("""COMPUTED_VALUE"""),"LIBRARY COLLEGE")</f>
        <v>LIBRARY COLLEGE</v>
      </c>
      <c r="D591" s="196" t="str">
        <f>IFERROR(__xludf.DUMMYFUNCTION("""COMPUTED_VALUE"""),"BACKUP PLUS SLIM PORTABLE DRIVE (SEAGALE) SLIM METAL DESIGN 1TB/TO USB 3.0")</f>
        <v>BACKUP PLUS SLIM PORTABLE DRIVE (SEAGALE) SLIM METAL DESIGN 1TB/TO USB 3.0</v>
      </c>
      <c r="E591" s="196"/>
    </row>
    <row r="592">
      <c r="A592" s="234">
        <f>IFERROR(__xludf.DUMMYFUNCTION("""COMPUTED_VALUE"""),100884.0)</f>
        <v>100884</v>
      </c>
      <c r="B592" s="235" t="str">
        <f>IFERROR(__xludf.DUMMYFUNCTION("""COMPUTED_VALUE"""),"SAMANTHA FEROL")</f>
        <v>SAMANTHA FEROL</v>
      </c>
      <c r="C592" s="235" t="str">
        <f>IFERROR(__xludf.DUMMYFUNCTION("""COMPUTED_VALUE"""),"LIBRARY COLLEGE")</f>
        <v>LIBRARY COLLEGE</v>
      </c>
      <c r="D592" s="196" t="str">
        <f>IFERROR(__xludf.DUMMYFUNCTION("""COMPUTED_VALUE"""),"BASIC UNDERSTANDING AND TOURISM
HOTEL AND RESORT FRONT 
FRONT OFFICE
RESEARCH WRITING
FOOD+BEVERAGE SERVICE 
TOURISM PLANNING
RISK MAT 
TOURISM IMPACT
ECO TOURISM")</f>
        <v>BASIC UNDERSTANDING AND TOURISM
HOTEL AND RESORT FRONT 
FRONT OFFICE
RESEARCH WRITING
FOOD+BEVERAGE SERVICE 
TOURISM PLANNING
RISK MAT 
TOURISM IMPACT
ECO TOURISM</v>
      </c>
      <c r="E592" s="196" t="str">
        <f>IFERROR(__xludf.DUMMYFUNCTION("""COMPUTED_VALUE"""),"FOR PACUCOA LEVEL 4 ACCREDITATION")</f>
        <v>FOR PACUCOA LEVEL 4 ACCREDITATION</v>
      </c>
    </row>
    <row r="593">
      <c r="A593" s="234">
        <f>IFERROR(__xludf.DUMMYFUNCTION("""COMPUTED_VALUE"""),100885.0)</f>
        <v>100885</v>
      </c>
      <c r="B593" s="235" t="str">
        <f>IFERROR(__xludf.DUMMYFUNCTION("""COMPUTED_VALUE"""),"SAMANTHA FEROL")</f>
        <v>SAMANTHA FEROL</v>
      </c>
      <c r="C593" s="235" t="str">
        <f>IFERROR(__xludf.DUMMYFUNCTION("""COMPUTED_VALUE"""),"LIBRARY COLLEGE")</f>
        <v>LIBRARY COLLEGE</v>
      </c>
      <c r="D593" s="196" t="str">
        <f>IFERROR(__xludf.DUMMYFUNCTION("""COMPUTED_VALUE"""),"POINTERS IN BUS 
OUTERMS BASED LEARNING
METHODS OF RESEARCH
STRATIGIC MARKETING
BUSINESS ETHICS 
STRATEGICS HUMAN RESOURCE 
MERCHANDISING 
LABOR LAWS
HUMAN RESOURCE FORCASTING PLANNING 
JOB ANALYST
BUS POLICY
CONSUME BEHAVIOR 
LABOR LAWS
CORPORAT"&amp;"E SOCIAL RESPONSIBILITY
IN DEPT
MGT ACCTG FOR NUN ACCOUNTING
BUS. FINANCE ")</f>
        <v>POINTERS IN BUS 
OUTERMS BASED LEARNING
METHODS OF RESEARCH
STRATIGIC MARKETING
BUSINESS ETHICS 
STRATEGICS HUMAN RESOURCE 
MERCHANDISING 
LABOR LAWS
HUMAN RESOURCE FORCASTING PLANNING 
JOB ANALYST
BUS POLICY
CONSUME BEHAVIOR 
LABOR LAWS
CORPORATE SOCIAL RESPONSIBILITY
IN DEPT
MGT ACCTG FOR NUN ACCOUNTING
BUS. FINANCE </v>
      </c>
      <c r="E593" s="196" t="str">
        <f>IFERROR(__xludf.DUMMYFUNCTION("""COMPUTED_VALUE"""),"FOR PACUCOA LEVEL 4 ACCREDITATION")</f>
        <v>FOR PACUCOA LEVEL 4 ACCREDITATION</v>
      </c>
    </row>
    <row r="594">
      <c r="A594" s="234">
        <f>IFERROR(__xludf.DUMMYFUNCTION("""COMPUTED_VALUE"""),100886.0)</f>
        <v>100886</v>
      </c>
      <c r="B594" s="235"/>
      <c r="C594" s="235"/>
      <c r="D594" s="196"/>
      <c r="E594" s="196"/>
    </row>
    <row r="595">
      <c r="A595" s="234">
        <f>IFERROR(__xludf.DUMMYFUNCTION("""COMPUTED_VALUE"""),100887.0)</f>
        <v>100887</v>
      </c>
      <c r="B595" s="235"/>
      <c r="C595" s="235"/>
      <c r="D595" s="196"/>
      <c r="E595" s="196"/>
    </row>
    <row r="596">
      <c r="A596" s="234">
        <f>IFERROR(__xludf.DUMMYFUNCTION("""COMPUTED_VALUE"""),100888.0)</f>
        <v>100888</v>
      </c>
      <c r="B596" s="235"/>
      <c r="C596" s="235"/>
      <c r="D596" s="196"/>
      <c r="E596" s="196"/>
    </row>
    <row r="597">
      <c r="A597" s="234">
        <f>IFERROR(__xludf.DUMMYFUNCTION("""COMPUTED_VALUE"""),100889.0)</f>
        <v>100889</v>
      </c>
      <c r="B597" s="235" t="str">
        <f>IFERROR(__xludf.DUMMYFUNCTION("""COMPUTED_VALUE"""),"SAMANTHA FEROL")</f>
        <v>SAMANTHA FEROL</v>
      </c>
      <c r="C597" s="235" t="str">
        <f>IFERROR(__xludf.DUMMYFUNCTION("""COMPUTED_VALUE"""),"LIBRARY COLLEGE")</f>
        <v>LIBRARY COLLEGE</v>
      </c>
      <c r="D597" s="196" t="str">
        <f>IFERROR(__xludf.DUMMYFUNCTION("""COMPUTED_VALUE"""),"PHILIPPINE COMMUNICATION")</f>
        <v>PHILIPPINE COMMUNICATION</v>
      </c>
      <c r="E597" s="196" t="str">
        <f>IFERROR(__xludf.DUMMYFUNCTION("""COMPUTED_VALUE"""),"FOR PACUCOA LEVEL 4 ACCREDITATION")</f>
        <v>FOR PACUCOA LEVEL 4 ACCREDITATION</v>
      </c>
    </row>
    <row r="598">
      <c r="A598" s="234">
        <f>IFERROR(__xludf.DUMMYFUNCTION("""COMPUTED_VALUE"""),100890.0)</f>
        <v>100890</v>
      </c>
      <c r="B598" s="235" t="str">
        <f>IFERROR(__xludf.DUMMYFUNCTION("""COMPUTED_VALUE"""),"FEROL SAMANTHA ")</f>
        <v>FEROL SAMANTHA </v>
      </c>
      <c r="C598" s="235" t="str">
        <f>IFERROR(__xludf.DUMMYFUNCTION("""COMPUTED_VALUE"""),"LIBRARY COLLEGE")</f>
        <v>LIBRARY COLLEGE</v>
      </c>
      <c r="D598" s="196" t="str">
        <f>IFERROR(__xludf.DUMMYFUNCTION("""COMPUTED_VALUE"""),"FINANCIAL STATEMENTS
HUMAN RESOURCE
THE STRATEGY
30 BOOKS")</f>
        <v>FINANCIAL STATEMENTS
HUMAN RESOURCE
THE STRATEGY
30 BOOKS</v>
      </c>
      <c r="E598" s="196" t="str">
        <f>IFERROR(__xludf.DUMMYFUNCTION("""COMPUTED_VALUE"""),"FOR PACUCOA LEVEL 4 ACCREDITATION")</f>
        <v>FOR PACUCOA LEVEL 4 ACCREDITATION</v>
      </c>
    </row>
    <row r="599">
      <c r="A599" s="234">
        <f>IFERROR(__xludf.DUMMYFUNCTION("""COMPUTED_VALUE"""),100891.0)</f>
        <v>100891</v>
      </c>
      <c r="B599" s="235" t="str">
        <f>IFERROR(__xludf.DUMMYFUNCTION("""COMPUTED_VALUE"""),"RON OBLENO")</f>
        <v>RON OBLENO</v>
      </c>
      <c r="C599" s="235" t="str">
        <f>IFERROR(__xludf.DUMMYFUNCTION("""COMPUTED_VALUE"""),"MIS/ICT")</f>
        <v>MIS/ICT</v>
      </c>
      <c r="D599" s="196" t="str">
        <f>IFERROR(__xludf.DUMMYFUNCTION("""COMPUTED_VALUE"""),"REMOTE CONTROL SECURITY")</f>
        <v>REMOTE CONTROL SECURITY</v>
      </c>
      <c r="E599" s="196" t="str">
        <f>IFERROR(__xludf.DUMMYFUNCTION("""COMPUTED_VALUE"""),"TO PREVENT MISPLACED AND DAMAGED OF PROJECTOR REMOTE CONTROL")</f>
        <v>TO PREVENT MISPLACED AND DAMAGED OF PROJECTOR REMOTE CONTROL</v>
      </c>
    </row>
    <row r="600">
      <c r="A600" s="234">
        <f>IFERROR(__xludf.DUMMYFUNCTION("""COMPUTED_VALUE"""),100892.0)</f>
        <v>100892</v>
      </c>
      <c r="B600" s="235" t="str">
        <f>IFERROR(__xludf.DUMMYFUNCTION("""COMPUTED_VALUE"""),"FEROL SAMANTHA ")</f>
        <v>FEROL SAMANTHA </v>
      </c>
      <c r="C600" s="235" t="str">
        <f>IFERROR(__xludf.DUMMYFUNCTION("""COMPUTED_VALUE"""),"LIBRARY COLLEGE")</f>
        <v>LIBRARY COLLEGE</v>
      </c>
      <c r="D600" s="196" t="str">
        <f>IFERROR(__xludf.DUMMYFUNCTION("""COMPUTED_VALUE"""),"GLOBALIZATION IN THE CONTEMPORARY WORLD 
")</f>
        <v>GLOBALIZATION IN THE CONTEMPORARY WORLD 
</v>
      </c>
      <c r="E600" s="196" t="str">
        <f>IFERROR(__xludf.DUMMYFUNCTION("""COMPUTED_VALUE"""),"STUDENTS TETBOOK FOR 1ST SEM AY 2019-2020")</f>
        <v>STUDENTS TETBOOK FOR 1ST SEM AY 2019-2020</v>
      </c>
    </row>
    <row r="601">
      <c r="A601" s="234">
        <f>IFERROR(__xludf.DUMMYFUNCTION("""COMPUTED_VALUE"""),100893.0)</f>
        <v>100893</v>
      </c>
      <c r="B601" s="235" t="str">
        <f>IFERROR(__xludf.DUMMYFUNCTION("""COMPUTED_VALUE"""),"owie par")</f>
        <v>owie par</v>
      </c>
      <c r="C601" s="235" t="str">
        <f>IFERROR(__xludf.DUMMYFUNCTION("""COMPUTED_VALUE"""),"ENGINEERING")</f>
        <v>ENGINEERING</v>
      </c>
      <c r="D601" s="196" t="str">
        <f>IFERROR(__xludf.DUMMYFUNCTION("""COMPUTED_VALUE"""),"6.0 ceiling cassette inverter ACU")</f>
        <v>6.0 ceiling cassette inverter ACU</v>
      </c>
      <c r="E601" s="196" t="str">
        <f>IFERROR(__xludf.DUMMYFUNCTION("""COMPUTED_VALUE"""),"replacement for 3rd floor nursing lecure room college")</f>
        <v>replacement for 3rd floor nursing lecure room college</v>
      </c>
    </row>
    <row r="602">
      <c r="A602" s="234">
        <f>IFERROR(__xludf.DUMMYFUNCTION("""COMPUTED_VALUE"""),100894.0)</f>
        <v>100894</v>
      </c>
      <c r="B602" s="235" t="str">
        <f>IFERROR(__xludf.DUMMYFUNCTION("""COMPUTED_VALUE"""),"apollo mance")</f>
        <v>apollo mance</v>
      </c>
      <c r="C602" s="235" t="str">
        <f>IFERROR(__xludf.DUMMYFUNCTION("""COMPUTED_VALUE"""),"AMD")</f>
        <v>AMD</v>
      </c>
      <c r="D602" s="196" t="str">
        <f>IFERROR(__xludf.DUMMYFUNCTION("""COMPUTED_VALUE"""),"chrome tube 3/4 or  1""  size 10ft. long 50pcs.")</f>
        <v>chrome tube 3/4 or  1"  size 10ft. long 50pcs.</v>
      </c>
      <c r="E602" s="196" t="str">
        <f>IFERROR(__xludf.DUMMYFUNCTION("""COMPUTED_VALUE"""),"for PON ")</f>
        <v>for PON </v>
      </c>
    </row>
    <row r="603">
      <c r="A603" s="234">
        <f>IFERROR(__xludf.DUMMYFUNCTION("""COMPUTED_VALUE"""),100895.0)</f>
        <v>100895</v>
      </c>
      <c r="B603" s="235" t="str">
        <f>IFERROR(__xludf.DUMMYFUNCTION("""COMPUTED_VALUE"""),"apollo mance")</f>
        <v>apollo mance</v>
      </c>
      <c r="C603" s="235" t="str">
        <f>IFERROR(__xludf.DUMMYFUNCTION("""COMPUTED_VALUE"""),"AMD")</f>
        <v>AMD</v>
      </c>
      <c r="D603" s="196" t="str">
        <f>IFERROR(__xludf.DUMMYFUNCTION("""COMPUTED_VALUE"""),"3x5 ft.  vatican city / ghana flag")</f>
        <v>3x5 ft.  vatican city / ghana flag</v>
      </c>
      <c r="E603" s="196" t="str">
        <f>IFERROR(__xludf.DUMMYFUNCTION("""COMPUTED_VALUE"""),"for PON ")</f>
        <v>for PON </v>
      </c>
    </row>
    <row r="604">
      <c r="A604" s="234">
        <f>IFERROR(__xludf.DUMMYFUNCTION("""COMPUTED_VALUE"""),100896.0)</f>
        <v>100896</v>
      </c>
      <c r="B604" s="235" t="str">
        <f>IFERROR(__xludf.DUMMYFUNCTION("""COMPUTED_VALUE"""),"SHEREE ESPINOSA")</f>
        <v>SHEREE ESPINOSA</v>
      </c>
      <c r="C604" s="235" t="str">
        <f>IFERROR(__xludf.DUMMYFUNCTION("""COMPUTED_VALUE"""),"HOUSEKEEPING")</f>
        <v>HOUSEKEEPING</v>
      </c>
      <c r="D604" s="196" t="str">
        <f>IFERROR(__xludf.DUMMYFUNCTION("""COMPUTED_VALUE"""),"URINAL CLEMATIS MODEL
URINAL CARTRIDGE - VELOCITY
URINAL INSTALLATION")</f>
        <v>URINAL CLEMATIS MODEL
URINAL CARTRIDGE - VELOCITY
URINAL INSTALLATION</v>
      </c>
      <c r="E604" s="196" t="str">
        <f>IFERROR(__xludf.DUMMYFUNCTION("""COMPUTED_VALUE"""),"REPLACEMENT OF BROKEN WATERLESS URINAL IN BED GROUND FLOOR BOYS CR")</f>
        <v>REPLACEMENT OF BROKEN WATERLESS URINAL IN BED GROUND FLOOR BOYS CR</v>
      </c>
    </row>
    <row r="605">
      <c r="A605" s="234">
        <f>IFERROR(__xludf.DUMMYFUNCTION("""COMPUTED_VALUE"""),100897.0)</f>
        <v>100897</v>
      </c>
      <c r="B605" s="235" t="str">
        <f>IFERROR(__xludf.DUMMYFUNCTION("""COMPUTED_VALUE"""),"ROMAN TISMO")</f>
        <v>ROMAN TISMO</v>
      </c>
      <c r="C605" s="235" t="str">
        <f>IFERROR(__xludf.DUMMYFUNCTION("""COMPUTED_VALUE"""),"MIS/ICT")</f>
        <v>MIS/ICT</v>
      </c>
      <c r="D605" s="196" t="str">
        <f>IFERROR(__xludf.DUMMYFUNCTION("""COMPUTED_VALUE"""),"HDMI SPLITTER")</f>
        <v>HDMI SPLITTER</v>
      </c>
      <c r="E605" s="196" t="str">
        <f>IFERROR(__xludf.DUMMYFUNCTION("""COMPUTED_VALUE"""),"CMLC TV CONNECTION")</f>
        <v>CMLC TV CONNECTION</v>
      </c>
    </row>
    <row r="606">
      <c r="A606" s="234">
        <f>IFERROR(__xludf.DUMMYFUNCTION("""COMPUTED_VALUE"""),100898.0)</f>
        <v>100898</v>
      </c>
      <c r="B606" s="235" t="str">
        <f>IFERROR(__xludf.DUMMYFUNCTION("""COMPUTED_VALUE"""),"MELISSA NAVAL ODONO")</f>
        <v>MELISSA NAVAL ODONO</v>
      </c>
      <c r="C606" s="235" t="str">
        <f>IFERROR(__xludf.DUMMYFUNCTION("""COMPUTED_VALUE"""),"LIBRARY MUNICH")</f>
        <v>LIBRARY MUNICH</v>
      </c>
      <c r="D606" s="196" t="str">
        <f>IFERROR(__xludf.DUMMYFUNCTION("""COMPUTED_VALUE"""),"ASSORTED TITLES OF CHILDREN")</f>
        <v>ASSORTED TITLES OF CHILDREN</v>
      </c>
      <c r="E606" s="196" t="str">
        <f>IFERROR(__xludf.DUMMYFUNCTION("""COMPUTED_VALUE"""),"LIBRARY COPY")</f>
        <v>LIBRARY COPY</v>
      </c>
    </row>
    <row r="607">
      <c r="A607" s="234">
        <f>IFERROR(__xludf.DUMMYFUNCTION("""COMPUTED_VALUE"""),100899.0)</f>
        <v>100899</v>
      </c>
      <c r="B607" s="235" t="str">
        <f>IFERROR(__xludf.DUMMYFUNCTION("""COMPUTED_VALUE"""),"MELISSA NAVAL ODONO")</f>
        <v>MELISSA NAVAL ODONO</v>
      </c>
      <c r="C607" s="235" t="str">
        <f>IFERROR(__xludf.DUMMYFUNCTION("""COMPUTED_VALUE"""),"LIBRARY MUNICH")</f>
        <v>LIBRARY MUNICH</v>
      </c>
      <c r="D607" s="196" t="str">
        <f>IFERROR(__xludf.DUMMYFUNCTION("""COMPUTED_VALUE"""),"ASSORTED TCHILDRENS BOOKS FOR STUDENTS/ TEACHERS USE")</f>
        <v>ASSORTED TCHILDRENS BOOKS FOR STUDENTS/ TEACHERS USE</v>
      </c>
      <c r="E607" s="196" t="str">
        <f>IFERROR(__xludf.DUMMYFUNCTION("""COMPUTED_VALUE"""),"LIBRARY COPY")</f>
        <v>LIBRARY COPY</v>
      </c>
    </row>
    <row r="608">
      <c r="A608" s="234">
        <f>IFERROR(__xludf.DUMMYFUNCTION("""COMPUTED_VALUE"""),100900.0)</f>
        <v>100900</v>
      </c>
      <c r="B608" s="235" t="str">
        <f>IFERROR(__xludf.DUMMYFUNCTION("""COMPUTED_VALUE"""),"MELISSA NAVAL ODONO")</f>
        <v>MELISSA NAVAL ODONO</v>
      </c>
      <c r="C608" s="235" t="str">
        <f>IFERROR(__xludf.DUMMYFUNCTION("""COMPUTED_VALUE"""),"LIBRARY MUNICH")</f>
        <v>LIBRARY MUNICH</v>
      </c>
      <c r="D608" s="196" t="str">
        <f>IFERROR(__xludf.DUMMYFUNCTION("""COMPUTED_VALUE"""),"ASSORTED TITLES FOR SAS/SHS STUDENT/TEACHERS")</f>
        <v>ASSORTED TITLES FOR SAS/SHS STUDENT/TEACHERS</v>
      </c>
      <c r="E608" s="196" t="str">
        <f>IFERROR(__xludf.DUMMYFUNCTION("""COMPUTED_VALUE"""),"LIBRARY COPY")</f>
        <v>LIBRARY COPY</v>
      </c>
    </row>
    <row r="609">
      <c r="A609" s="234">
        <f>IFERROR(__xludf.DUMMYFUNCTION("""COMPUTED_VALUE"""),100901.0)</f>
        <v>100901</v>
      </c>
      <c r="B609" s="235" t="str">
        <f>IFERROR(__xludf.DUMMYFUNCTION("""COMPUTED_VALUE"""),"MELISSA NAVAL ODONO")</f>
        <v>MELISSA NAVAL ODONO</v>
      </c>
      <c r="C609" s="235" t="str">
        <f>IFERROR(__xludf.DUMMYFUNCTION("""COMPUTED_VALUE"""),"LIBRARY MUNICH")</f>
        <v>LIBRARY MUNICH</v>
      </c>
      <c r="D609" s="196" t="str">
        <f>IFERROR(__xludf.DUMMYFUNCTION("""COMPUTED_VALUE"""),"ASSORTED TITLES FOR GS SHS STUDENTS")</f>
        <v>ASSORTED TITLES FOR GS SHS STUDENTS</v>
      </c>
      <c r="E609" s="196" t="str">
        <f>IFERROR(__xludf.DUMMYFUNCTION("""COMPUTED_VALUE"""),"LIBRARY COPY")</f>
        <v>LIBRARY COPY</v>
      </c>
    </row>
    <row r="610">
      <c r="A610" s="234">
        <f>IFERROR(__xludf.DUMMYFUNCTION("""COMPUTED_VALUE"""),100902.0)</f>
        <v>100902</v>
      </c>
      <c r="B610" s="235" t="str">
        <f>IFERROR(__xludf.DUMMYFUNCTION("""COMPUTED_VALUE"""),"MELISSA NAVAL ODONO")</f>
        <v>MELISSA NAVAL ODONO</v>
      </c>
      <c r="C610" s="235" t="str">
        <f>IFERROR(__xludf.DUMMYFUNCTION("""COMPUTED_VALUE"""),"LIBRARY MUNICH")</f>
        <v>LIBRARY MUNICH</v>
      </c>
      <c r="D610" s="196" t="str">
        <f>IFERROR(__xludf.DUMMYFUNCTION("""COMPUTED_VALUE"""),"ASSORTED TITLES")</f>
        <v>ASSORTED TITLES</v>
      </c>
      <c r="E610" s="196" t="str">
        <f>IFERROR(__xludf.DUMMYFUNCTION("""COMPUTED_VALUE"""),"LIBRARY COPY")</f>
        <v>LIBRARY COPY</v>
      </c>
    </row>
    <row r="611">
      <c r="A611" s="234">
        <f>IFERROR(__xludf.DUMMYFUNCTION("""COMPUTED_VALUE"""),100903.0)</f>
        <v>100903</v>
      </c>
      <c r="B611" s="235" t="str">
        <f>IFERROR(__xludf.DUMMYFUNCTION("""COMPUTED_VALUE"""),"MELISSA NAVAL ODONO")</f>
        <v>MELISSA NAVAL ODONO</v>
      </c>
      <c r="C611" s="235" t="str">
        <f>IFERROR(__xludf.DUMMYFUNCTION("""COMPUTED_VALUE"""),"LIBRARY MUNICH")</f>
        <v>LIBRARY MUNICH</v>
      </c>
      <c r="D611" s="196" t="str">
        <f>IFERROR(__xludf.DUMMYFUNCTION("""COMPUTED_VALUE"""),"THE ESSENCE OF BUDDHA")</f>
        <v>THE ESSENCE OF BUDDHA</v>
      </c>
      <c r="E611" s="196" t="str">
        <f>IFERROR(__xludf.DUMMYFUNCTION("""COMPUTED_VALUE"""),"LIBRARY COPY")</f>
        <v>LIBRARY COPY</v>
      </c>
    </row>
    <row r="612">
      <c r="A612" s="234">
        <f>IFERROR(__xludf.DUMMYFUNCTION("""COMPUTED_VALUE"""),100904.0)</f>
        <v>100904</v>
      </c>
      <c r="B612" s="235" t="str">
        <f>IFERROR(__xludf.DUMMYFUNCTION("""COMPUTED_VALUE"""),"MELISSA NAVAL ODONO")</f>
        <v>MELISSA NAVAL ODONO</v>
      </c>
      <c r="C612" s="235" t="str">
        <f>IFERROR(__xludf.DUMMYFUNCTION("""COMPUTED_VALUE"""),"LIBRARY MUNICH")</f>
        <v>LIBRARY MUNICH</v>
      </c>
      <c r="D612" s="196" t="str">
        <f>IFERROR(__xludf.DUMMYFUNCTION("""COMPUTED_VALUE"""),"JOSE RIZAL")</f>
        <v>JOSE RIZAL</v>
      </c>
      <c r="E612" s="196" t="str">
        <f>IFERROR(__xludf.DUMMYFUNCTION("""COMPUTED_VALUE"""),"LIBRARY COPY")</f>
        <v>LIBRARY COPY</v>
      </c>
    </row>
    <row r="613">
      <c r="A613" s="234">
        <f>IFERROR(__xludf.DUMMYFUNCTION("""COMPUTED_VALUE"""),100905.0)</f>
        <v>100905</v>
      </c>
      <c r="B613" s="235" t="str">
        <f>IFERROR(__xludf.DUMMYFUNCTION("""COMPUTED_VALUE"""),"MELISSA NAVAL ODONO")</f>
        <v>MELISSA NAVAL ODONO</v>
      </c>
      <c r="C613" s="235" t="str">
        <f>IFERROR(__xludf.DUMMYFUNCTION("""COMPUTED_VALUE"""),"LIBRARY MUNICH")</f>
        <v>LIBRARY MUNICH</v>
      </c>
      <c r="D613" s="196" t="str">
        <f>IFERROR(__xludf.DUMMYFUNCTION("""COMPUTED_VALUE"""),"CHINESE ALPHABET CHART")</f>
        <v>CHINESE ALPHABET CHART</v>
      </c>
      <c r="E613" s="196" t="str">
        <f>IFERROR(__xludf.DUMMYFUNCTION("""COMPUTED_VALUE"""),"LIBRARY COPY")</f>
        <v>LIBRARY COPY</v>
      </c>
    </row>
    <row r="614">
      <c r="A614" s="234">
        <f>IFERROR(__xludf.DUMMYFUNCTION("""COMPUTED_VALUE"""),100906.0)</f>
        <v>100906</v>
      </c>
      <c r="B614" s="235" t="str">
        <f>IFERROR(__xludf.DUMMYFUNCTION("""COMPUTED_VALUE"""),"EVA M NECOSIA")</f>
        <v>EVA M NECOSIA</v>
      </c>
      <c r="C614" s="235" t="str">
        <f>IFERROR(__xludf.DUMMYFUNCTION("""COMPUTED_VALUE"""),"FINANCE &amp; ACCOUNTING")</f>
        <v>FINANCE &amp; ACCOUNTING</v>
      </c>
      <c r="D614" s="196" t="str">
        <f>IFERROR(__xludf.DUMMYFUNCTION("""COMPUTED_VALUE"""),"CASIO CALCULATOR STANDARD
MS-20UC GREEN
MS-20UC RED")</f>
        <v>CASIO CALCULATOR STANDARD
MS-20UC GREEN
MS-20UC RED</v>
      </c>
      <c r="E614" s="196" t="str">
        <f>IFERROR(__xludf.DUMMYFUNCTION("""COMPUTED_VALUE"""),"OFFICE USE")</f>
        <v>OFFICE USE</v>
      </c>
    </row>
    <row r="615">
      <c r="A615" s="234">
        <f>IFERROR(__xludf.DUMMYFUNCTION("""COMPUTED_VALUE"""),100907.0)</f>
        <v>100907</v>
      </c>
      <c r="B615" s="235" t="str">
        <f>IFERROR(__xludf.DUMMYFUNCTION("""COMPUTED_VALUE"""),"sheree esPINOSA")</f>
        <v>sheree esPINOSA</v>
      </c>
      <c r="C615" s="235" t="str">
        <f>IFERROR(__xludf.DUMMYFUNCTION("""COMPUTED_VALUE"""),"ADMIN")</f>
        <v>ADMIN</v>
      </c>
      <c r="D615" s="196" t="str">
        <f>IFERROR(__xludf.DUMMYFUNCTION("""COMPUTED_VALUE"""),"PANEL CURTAINS")</f>
        <v>PANEL CURTAINS</v>
      </c>
      <c r="E615" s="196" t="str">
        <f>IFERROR(__xludf.DUMMYFUNCTION("""COMPUTED_VALUE"""),"FOR DRESSINGS CUBICLES")</f>
        <v>FOR DRESSINGS CUBICLES</v>
      </c>
    </row>
    <row r="616">
      <c r="A616" s="234">
        <f>IFERROR(__xludf.DUMMYFUNCTION("""COMPUTED_VALUE"""),100908.0)</f>
        <v>100908</v>
      </c>
      <c r="B616" s="235" t="str">
        <f>IFERROR(__xludf.DUMMYFUNCTION("""COMPUTED_VALUE"""),"sheree esPINOSA")</f>
        <v>sheree esPINOSA</v>
      </c>
      <c r="C616" s="235" t="str">
        <f>IFERROR(__xludf.DUMMYFUNCTION("""COMPUTED_VALUE"""),"ADMIN")</f>
        <v>ADMIN</v>
      </c>
      <c r="D616" s="196" t="str">
        <f>IFERROR(__xludf.DUMMYFUNCTION("""COMPUTED_VALUE"""),"DIGITAL CLOCK 
LUX-6PCS
COLLEGE-6PCS
TROPICAL-8PCS")</f>
        <v>DIGITAL CLOCK 
LUX-6PCS
COLLEGE-6PCS
TROPICAL-8PCS</v>
      </c>
      <c r="E616" s="196" t="str">
        <f>IFERROR(__xludf.DUMMYFUNCTION("""COMPUTED_VALUE"""),"TO BE NOUNTED IN ALL CAMPUSES ENTRANCE AND LOBBIES")</f>
        <v>TO BE NOUNTED IN ALL CAMPUSES ENTRANCE AND LOBBIES</v>
      </c>
    </row>
    <row r="617">
      <c r="A617" s="234">
        <f>IFERROR(__xludf.DUMMYFUNCTION("""COMPUTED_VALUE"""),100909.0)</f>
        <v>100909</v>
      </c>
      <c r="B617" s="235" t="str">
        <f>IFERROR(__xludf.DUMMYFUNCTION("""COMPUTED_VALUE"""),"roman baluyot")</f>
        <v>roman baluyot</v>
      </c>
      <c r="C617" s="235" t="str">
        <f>IFERROR(__xludf.DUMMYFUNCTION("""COMPUTED_VALUE"""),"PR &amp; MARKETING")</f>
        <v>PR &amp; MARKETING</v>
      </c>
      <c r="D617" s="196" t="str">
        <f>IFERROR(__xludf.DUMMYFUNCTION("""COMPUTED_VALUE"""),"vr kit")</f>
        <v>vr kit</v>
      </c>
      <c r="E617" s="196" t="str">
        <f>IFERROR(__xludf.DUMMYFUNCTION("""COMPUTED_VALUE"""),"career exhibit/ talk vr kits")</f>
        <v>career exhibit/ talk vr kits</v>
      </c>
    </row>
    <row r="618">
      <c r="A618" s="234">
        <f>IFERROR(__xludf.DUMMYFUNCTION("""COMPUTED_VALUE"""),100910.0)</f>
        <v>100910</v>
      </c>
      <c r="B618" s="235" t="str">
        <f>IFERROR(__xludf.DUMMYFUNCTION("""COMPUTED_VALUE"""),"APRIL D. TRAJICO")</f>
        <v>APRIL D. TRAJICO</v>
      </c>
      <c r="C618" s="235" t="str">
        <f>IFERROR(__xludf.DUMMYFUNCTION("""COMPUTED_VALUE"""),"AMD")</f>
        <v>AMD</v>
      </c>
      <c r="D618" s="196" t="str">
        <f>IFERROR(__xludf.DUMMYFUNCTION("""COMPUTED_VALUE"""),"toner cartridge cf21ca  black
toner cartridge cf213a magenta")</f>
        <v>toner cartridge cf21ca  black
toner cartridge cf213a magenta</v>
      </c>
      <c r="E618" s="196" t="str">
        <f>IFERROR(__xludf.DUMMYFUNCTION("""COMPUTED_VALUE"""),"STOCK REPLENISHMENT - OSSUP")</f>
        <v>STOCK REPLENISHMENT - OSSUP</v>
      </c>
    </row>
    <row r="619">
      <c r="A619" s="234">
        <f>IFERROR(__xludf.DUMMYFUNCTION("""COMPUTED_VALUE"""),100911.0)</f>
        <v>100911</v>
      </c>
      <c r="B619" s="235" t="str">
        <f>IFERROR(__xludf.DUMMYFUNCTION("""COMPUTED_VALUE"""),"APRIL D. TRAJICO")</f>
        <v>APRIL D. TRAJICO</v>
      </c>
      <c r="C619" s="235" t="str">
        <f>IFERROR(__xludf.DUMMYFUNCTION("""COMPUTED_VALUE"""),"AMD")</f>
        <v>AMD</v>
      </c>
      <c r="D619" s="196" t="str">
        <f>IFERROR(__xludf.DUMMYFUNCTION("""COMPUTED_VALUE"""),"battery energizer size 9v
battery energizer seze aa
cartolina black
clearbook 20s long unrefillable 20s
tape, duct tape")</f>
        <v>battery energizer size 9v
battery energizer seze aa
cartolina black
clearbook 20s long unrefillable 20s
tape, duct tape</v>
      </c>
      <c r="E619" s="196" t="str">
        <f>IFERROR(__xludf.DUMMYFUNCTION("""COMPUTED_VALUE"""),"STOCK REPLENISHMENT - OSSUP")</f>
        <v>STOCK REPLENISHMENT - OSSUP</v>
      </c>
    </row>
    <row r="620">
      <c r="A620" s="234">
        <f>IFERROR(__xludf.DUMMYFUNCTION("""COMPUTED_VALUE"""),100912.0)</f>
        <v>100912</v>
      </c>
      <c r="B620" s="235" t="str">
        <f>IFERROR(__xludf.DUMMYFUNCTION("""COMPUTED_VALUE"""),"SAMANTHA FEROL")</f>
        <v>SAMANTHA FEROL</v>
      </c>
      <c r="C620" s="235" t="str">
        <f>IFERROR(__xludf.DUMMYFUNCTION("""COMPUTED_VALUE"""),"LIBRARY COLLEGE")</f>
        <v>LIBRARY COLLEGE</v>
      </c>
      <c r="D620" s="196" t="str">
        <f>IFERROR(__xludf.DUMMYFUNCTION("""COMPUTED_VALUE"""),"MANILA BULLETIN(JUNE 1 TO 30 , 2019")</f>
        <v>MANILA BULLETIN(JUNE 1 TO 30 , 2019</v>
      </c>
      <c r="E620" s="196" t="str">
        <f>IFERROR(__xludf.DUMMYFUNCTION("""COMPUTED_VALUE"""),"PAYMENT FOR MANILA BULLETIN")</f>
        <v>PAYMENT FOR MANILA BULLETIN</v>
      </c>
    </row>
    <row r="621">
      <c r="A621" s="234">
        <f>IFERROR(__xludf.DUMMYFUNCTION("""COMPUTED_VALUE"""),100913.0)</f>
        <v>100913</v>
      </c>
      <c r="B621" s="235" t="str">
        <f>IFERROR(__xludf.DUMMYFUNCTION("""COMPUTED_VALUE"""),"SAMANTHA FEROL")</f>
        <v>SAMANTHA FEROL</v>
      </c>
      <c r="C621" s="235" t="str">
        <f>IFERROR(__xludf.DUMMYFUNCTION("""COMPUTED_VALUE"""),"LIBRARY COLLEGE")</f>
        <v>LIBRARY COLLEGE</v>
      </c>
      <c r="D621" s="196" t="str">
        <f>IFERROR(__xludf.DUMMYFUNCTION("""COMPUTED_VALUE"""),"MANILA BULLETIN(JULY 1-31,2019")</f>
        <v>MANILA BULLETIN(JULY 1-31,2019</v>
      </c>
      <c r="E621" s="196" t="str">
        <f>IFERROR(__xludf.DUMMYFUNCTION("""COMPUTED_VALUE"""),"PAYMENT FOR MANILA BULLETIN")</f>
        <v>PAYMENT FOR MANILA BULLETIN</v>
      </c>
    </row>
    <row r="622">
      <c r="A622" s="234">
        <f>IFERROR(__xludf.DUMMYFUNCTION("""COMPUTED_VALUE"""),100914.0)</f>
        <v>100914</v>
      </c>
      <c r="B622" s="235" t="str">
        <f>IFERROR(__xludf.DUMMYFUNCTION("""COMPUTED_VALUE"""),"SAMANTHA FEROL")</f>
        <v>SAMANTHA FEROL</v>
      </c>
      <c r="C622" s="235" t="str">
        <f>IFERROR(__xludf.DUMMYFUNCTION("""COMPUTED_VALUE"""),"LIBRARY COLLEGE")</f>
        <v>LIBRARY COLLEGE</v>
      </c>
      <c r="D622" s="196" t="str">
        <f>IFERROR(__xludf.DUMMYFUNCTION("""COMPUTED_VALUE"""),"MANILA BULLETIN(AUGUST 1-31,2019)")</f>
        <v>MANILA BULLETIN(AUGUST 1-31,2019)</v>
      </c>
      <c r="E622" s="196" t="str">
        <f>IFERROR(__xludf.DUMMYFUNCTION("""COMPUTED_VALUE"""),"PAYMENT FOR MANILA BULLETIN")</f>
        <v>PAYMENT FOR MANILA BULLETIN</v>
      </c>
    </row>
    <row r="623">
      <c r="A623" s="234">
        <f>IFERROR(__xludf.DUMMYFUNCTION("""COMPUTED_VALUE"""),100915.0)</f>
        <v>100915</v>
      </c>
      <c r="B623" s="235" t="str">
        <f>IFERROR(__xludf.DUMMYFUNCTION("""COMPUTED_VALUE"""),"RONALD BERDE")</f>
        <v>RONALD BERDE</v>
      </c>
      <c r="C623" s="235" t="str">
        <f>IFERROR(__xludf.DUMMYFUNCTION("""COMPUTED_VALUE"""),"TRANSPORTATION")</f>
        <v>TRANSPORTATION</v>
      </c>
      <c r="D623" s="196" t="str">
        <f>IFERROR(__xludf.DUMMYFUNCTION("""COMPUTED_VALUE"""),"YOKOHAMA TIRE 7.00-16 116/114 l")</f>
        <v>YOKOHAMA TIRE 7.00-16 116/114 l</v>
      </c>
      <c r="E623" s="196" t="str">
        <f>IFERROR(__xludf.DUMMYFUNCTION("""COMPUTED_VALUE"""),"REPLACEMENT FOR 1 DAMAGE TIRE COASTER")</f>
        <v>REPLACEMENT FOR 1 DAMAGE TIRE COASTER</v>
      </c>
    </row>
    <row r="624">
      <c r="A624" s="234">
        <f>IFERROR(__xludf.DUMMYFUNCTION("""COMPUTED_VALUE"""),100916.0)</f>
        <v>100916</v>
      </c>
      <c r="B624" s="235" t="str">
        <f>IFERROR(__xludf.DUMMYFUNCTION("""COMPUTED_VALUE"""),"PHEN PETIN")</f>
        <v>PHEN PETIN</v>
      </c>
      <c r="C624" s="235" t="str">
        <f>IFERROR(__xludf.DUMMYFUNCTION("""COMPUTED_VALUE"""),"ADMIN - STAR")</f>
        <v>ADMIN - STAR</v>
      </c>
      <c r="D624" s="196" t="str">
        <f>IFERROR(__xludf.DUMMYFUNCTION("""COMPUTED_VALUE"""),"RUBBER MATTING 
WIDTH-6FT X 20 YARDS
THICK -2MM
COLOR RED")</f>
        <v>RUBBER MATTING 
WIDTH-6FT X 20 YARDS
THICK -2MM
COLOR RED</v>
      </c>
      <c r="E624" s="196" t="str">
        <f>IFERROR(__xludf.DUMMYFUNCTION("""COMPUTED_VALUE"""),"REPLACE THE OLD MANS RAMP ARE")</f>
        <v>REPLACE THE OLD MANS RAMP ARE</v>
      </c>
    </row>
    <row r="625">
      <c r="A625" s="234">
        <f>IFERROR(__xludf.DUMMYFUNCTION("""COMPUTED_VALUE"""),100917.0)</f>
        <v>100917</v>
      </c>
      <c r="B625" s="235" t="str">
        <f>IFERROR(__xludf.DUMMYFUNCTION("""COMPUTED_VALUE"""),"LEOLPO BELOY")</f>
        <v>LEOLPO BELOY</v>
      </c>
      <c r="C625" s="235" t="str">
        <f>IFERROR(__xludf.DUMMYFUNCTION("""COMPUTED_VALUE"""),"AV/MIS")</f>
        <v>AV/MIS</v>
      </c>
      <c r="D625" s="196" t="str">
        <f>IFERROR(__xludf.DUMMYFUNCTION("""COMPUTED_VALUE"""),"PROJECTOR EPSON ")</f>
        <v>PROJECTOR EPSON </v>
      </c>
      <c r="E625" s="196" t="str">
        <f>IFERROR(__xludf.DUMMYFUNCTION("""COMPUTED_VALUE"""),"BUSTED FOR REPLACEMENT IN ROOM 305 MUNICH AND ROOM 307 LUX")</f>
        <v>BUSTED FOR REPLACEMENT IN ROOM 305 MUNICH AND ROOM 307 LUX</v>
      </c>
    </row>
    <row r="626">
      <c r="A626" s="234">
        <f>IFERROR(__xludf.DUMMYFUNCTION("""COMPUTED_VALUE"""),100918.0)</f>
        <v>100918</v>
      </c>
      <c r="B626" s="235" t="str">
        <f>IFERROR(__xludf.DUMMYFUNCTION("""COMPUTED_VALUE"""),"TEACHER BELLE")</f>
        <v>TEACHER BELLE</v>
      </c>
      <c r="C626" s="235" t="str">
        <f>IFERROR(__xludf.DUMMYFUNCTION("""COMPUTED_VALUE"""),"LANDSCAPING")</f>
        <v>LANDSCAPING</v>
      </c>
      <c r="D626" s="196" t="str">
        <f>IFERROR(__xludf.DUMMYFUNCTION("""COMPUTED_VALUE"""),"30 PCS RUBBER POTS EXTRA LARGE")</f>
        <v>30 PCS RUBBER POTS EXTRA LARGE</v>
      </c>
      <c r="E626" s="196" t="str">
        <f>IFERROR(__xludf.DUMMYFUNCTION("""COMPUTED_VALUE"""),"REPLACEMENT OF POTS")</f>
        <v>REPLACEMENT OF POTS</v>
      </c>
    </row>
    <row r="627">
      <c r="A627" s="234">
        <f>IFERROR(__xludf.DUMMYFUNCTION("""COMPUTED_VALUE"""),100919.0)</f>
        <v>100919</v>
      </c>
      <c r="B627" s="235" t="str">
        <f>IFERROR(__xludf.DUMMYFUNCTION("""COMPUTED_VALUE"""),"SHEREE ESPINOSA")</f>
        <v>SHEREE ESPINOSA</v>
      </c>
      <c r="C627" s="235" t="str">
        <f>IFERROR(__xludf.DUMMYFUNCTION("""COMPUTED_VALUE"""),"ADMIN")</f>
        <v>ADMIN</v>
      </c>
      <c r="D627" s="196" t="str">
        <f>IFERROR(__xludf.DUMMYFUNCTION("""COMPUTED_VALUE"""),"FLAMELESS CANDLES BATTERY ")</f>
        <v>FLAMELESS CANDLES BATTERY </v>
      </c>
      <c r="E627" s="196" t="str">
        <f>IFERROR(__xludf.DUMMYFUNCTION("""COMPUTED_VALUE"""),"FOR PRAYER ROOM")</f>
        <v>FOR PRAYER ROOM</v>
      </c>
    </row>
    <row r="628">
      <c r="A628" s="234">
        <f>IFERROR(__xludf.DUMMYFUNCTION("""COMPUTED_VALUE"""),100920.0)</f>
        <v>100920</v>
      </c>
      <c r="B628" s="235" t="str">
        <f>IFERROR(__xludf.DUMMYFUNCTION("""COMPUTED_VALUE"""),"DYAN CHAVEZ")</f>
        <v>DYAN CHAVEZ</v>
      </c>
      <c r="C628" s="235" t="str">
        <f>IFERROR(__xludf.DUMMYFUNCTION("""COMPUTED_VALUE"""),"ECED")</f>
        <v>ECED</v>
      </c>
      <c r="D628" s="196" t="str">
        <f>IFERROR(__xludf.DUMMYFUNCTION("""COMPUTED_VALUE"""),"3 HOLE BINDER 1-1/2 "" (SPINE) X 13-3/4"" H X 11 W
BLACK BINDER W/ ONE COLOR PRINT OF SCHOOL NAME ON SPINE W/ INSIDE POCKET WITH FULL COLOR PRINT OF SCHOOL LOGO
LAMINATION ALL OVER OPEN TOP")</f>
        <v>3 HOLE BINDER 1-1/2 " (SPINE) X 13-3/4" H X 11 W
BLACK BINDER W/ ONE COLOR PRINT OF SCHOOL NAME ON SPINE W/ INSIDE POCKET WITH FULL COLOR PRINT OF SCHOOL LOGO
LAMINATION ALL OVER OPEN TOP</v>
      </c>
      <c r="E628" s="196" t="str">
        <f>IFERROR(__xludf.DUMMYFUNCTION("""COMPUTED_VALUE"""),"PRESCHOOL BINDERS FOR MUNICH")</f>
        <v>PRESCHOOL BINDERS FOR MUNICH</v>
      </c>
    </row>
    <row r="629">
      <c r="A629" s="234">
        <f>IFERROR(__xludf.DUMMYFUNCTION("""COMPUTED_VALUE"""),100921.0)</f>
        <v>100921</v>
      </c>
      <c r="B629" s="235" t="str">
        <f>IFERROR(__xludf.DUMMYFUNCTION("""COMPUTED_VALUE"""),"CHRISTIAN MARK MARBIBI")</f>
        <v>CHRISTIAN MARK MARBIBI</v>
      </c>
      <c r="C629" s="235" t="str">
        <f>IFERROR(__xludf.DUMMYFUNCTION("""COMPUTED_VALUE"""),"HOUSEKEEPING")</f>
        <v>HOUSEKEEPING</v>
      </c>
      <c r="D629" s="196" t="str">
        <f>IFERROR(__xludf.DUMMYFUNCTION("""COMPUTED_VALUE"""),"12 PCS ECOLUTION DISINFECTANT")</f>
        <v>12 PCS ECOLUTION DISINFECTANT</v>
      </c>
      <c r="E629" s="196" t="str">
        <f>IFERROR(__xludf.DUMMYFUNCTION("""COMPUTED_VALUE"""),"STOCK REPLENISHMENT - HOUSEKEEPING")</f>
        <v>STOCK REPLENISHMENT - HOUSEKEEPING</v>
      </c>
    </row>
    <row r="630">
      <c r="A630" s="234">
        <f>IFERROR(__xludf.DUMMYFUNCTION("""COMPUTED_VALUE"""),100922.0)</f>
        <v>100922</v>
      </c>
      <c r="B630" s="235" t="str">
        <f>IFERROR(__xludf.DUMMYFUNCTION("""COMPUTED_VALUE"""),"DYAN CHAVEZ")</f>
        <v>DYAN CHAVEZ</v>
      </c>
      <c r="C630" s="235" t="str">
        <f>IFERROR(__xludf.DUMMYFUNCTION("""COMPUTED_VALUE"""),"ECED")</f>
        <v>ECED</v>
      </c>
      <c r="D630" s="196" t="str">
        <f>IFERROR(__xludf.DUMMYFUNCTION("""COMPUTED_VALUE"""),"3 HOLE BINDER 1-1/2 "" (SPINE) X 13-3/4"" H X 11 W
BLACK BINDER W/ ONE COLOR PRINT OF SCHOOL NAME ON SPINE W/ INSIDE POCKET WITH FULL COLOR PRINT OF SCHOOL LOGO
LAMINATION ALL OVER OPEN TOP")</f>
        <v>3 HOLE BINDER 1-1/2 " (SPINE) X 13-3/4" H X 11 W
BLACK BINDER W/ ONE COLOR PRINT OF SCHOOL NAME ON SPINE W/ INSIDE POCKET WITH FULL COLOR PRINT OF SCHOOL LOGO
LAMINATION ALL OVER OPEN TOP</v>
      </c>
      <c r="E630" s="196" t="str">
        <f>IFERROR(__xludf.DUMMYFUNCTION("""COMPUTED_VALUE"""),"PRESCHOOL BINDERS FOR MUNICH")</f>
        <v>PRESCHOOL BINDERS FOR MUNICH</v>
      </c>
    </row>
    <row r="631">
      <c r="A631" s="234">
        <f>IFERROR(__xludf.DUMMYFUNCTION("""COMPUTED_VALUE"""),100923.0)</f>
        <v>100923</v>
      </c>
      <c r="B631" s="235" t="str">
        <f>IFERROR(__xludf.DUMMYFUNCTION("""COMPUTED_VALUE"""),"apollo mance")</f>
        <v>apollo mance</v>
      </c>
      <c r="C631" s="235" t="str">
        <f>IFERROR(__xludf.DUMMYFUNCTION("""COMPUTED_VALUE"""),"ENGINEERING")</f>
        <v>ENGINEERING</v>
      </c>
      <c r="D631" s="196" t="str">
        <f>IFERROR(__xludf.DUMMYFUNCTION("""COMPUTED_VALUE"""),"flourescent led tube 16watts daylight 100pcs")</f>
        <v>flourescent led tube 16watts daylight 100pcs</v>
      </c>
      <c r="E631" s="196" t="str">
        <f>IFERROR(__xludf.DUMMYFUNCTION("""COMPUTED_VALUE"""),"stock replenishment")</f>
        <v>stock replenishment</v>
      </c>
    </row>
    <row r="632">
      <c r="A632" s="234">
        <f>IFERROR(__xludf.DUMMYFUNCTION("""COMPUTED_VALUE"""),100924.0)</f>
        <v>100924</v>
      </c>
      <c r="B632" s="235" t="str">
        <f>IFERROR(__xludf.DUMMYFUNCTION("""COMPUTED_VALUE"""),"RON OBLENO")</f>
        <v>RON OBLENO</v>
      </c>
      <c r="C632" s="235" t="str">
        <f>IFERROR(__xludf.DUMMYFUNCTION("""COMPUTED_VALUE"""),"AV/MIS")</f>
        <v>AV/MIS</v>
      </c>
      <c r="D632" s="196" t="str">
        <f>IFERROR(__xludf.DUMMYFUNCTION("""COMPUTED_VALUE"""),"BARSTOOLS")</f>
        <v>BARSTOOLS</v>
      </c>
      <c r="E632" s="196" t="str">
        <f>IFERROR(__xludf.DUMMYFUNCTION("""COMPUTED_VALUE"""),"REPLACEMENT OF DEFECTIVE CHAIRS IN LUX SOUND BOOTH")</f>
        <v>REPLACEMENT OF DEFECTIVE CHAIRS IN LUX SOUND BOOTH</v>
      </c>
    </row>
    <row r="633">
      <c r="A633" s="234">
        <f>IFERROR(__xludf.DUMMYFUNCTION("""COMPUTED_VALUE"""),100925.0)</f>
        <v>100925</v>
      </c>
      <c r="B633" s="235" t="str">
        <f>IFERROR(__xludf.DUMMYFUNCTION("""COMPUTED_VALUE"""),"K-ANNE ")</f>
        <v>K-ANNE </v>
      </c>
      <c r="C633" s="235" t="str">
        <f>IFERROR(__xludf.DUMMYFUNCTION("""COMPUTED_VALUE"""),"HRMD")</f>
        <v>HRMD</v>
      </c>
      <c r="D633" s="196" t="str">
        <f>IFERROR(__xludf.DUMMYFUNCTION("""COMPUTED_VALUE"""),"FIEST HAM PRICE OF LAST YEAR ORDER -486.76/PC 379 PCS")</f>
        <v>FIEST HAM PRICE OF LAST YEAR ORDER -486.76/PC 379 PCS</v>
      </c>
      <c r="E633" s="196" t="str">
        <f>IFERROR(__xludf.DUMMYFUNCTION("""COMPUTED_VALUE"""),"CHRISTMAS PARTY HAM")</f>
        <v>CHRISTMAS PARTY HAM</v>
      </c>
    </row>
    <row r="634">
      <c r="A634" s="234">
        <f>IFERROR(__xludf.DUMMYFUNCTION("""COMPUTED_VALUE"""),100926.0)</f>
        <v>100926</v>
      </c>
      <c r="B634" s="235" t="str">
        <f>IFERROR(__xludf.DUMMYFUNCTION("""COMPUTED_VALUE"""),"REA VILLA")</f>
        <v>REA VILLA</v>
      </c>
      <c r="C634" s="235" t="str">
        <f>IFERROR(__xludf.DUMMYFUNCTION("""COMPUTED_VALUE"""),"ATHLETICS")</f>
        <v>ATHLETICS</v>
      </c>
      <c r="D634" s="196" t="str">
        <f>IFERROR(__xludf.DUMMYFUNCTION("""COMPUTED_VALUE"""),"ISAC HOODIE
1. SEASON 1 VOLLEYBALL BOYS N GIRLS FOR OCTOBER 2019
2. SEASON 2 BASKETBALL 
    FOOTBALL BOYS-
3. SEASON 3 BASKETBALL BOYS 
FOOTBALL GIRLS FOR MARCH 2020")</f>
        <v>ISAC HOODIE
1. SEASON 1 VOLLEYBALL BOYS N GIRLS FOR OCTOBER 2019
2. SEASON 2 BASKETBALL 
    FOOTBALL BOYS-
3. SEASON 3 BASKETBALL BOYS 
FOOTBALL GIRLS FOR MARCH 2020</v>
      </c>
      <c r="E634" s="196" t="str">
        <f>IFERROR(__xludf.DUMMYFUNCTION("""COMPUTED_VALUE"""),"ISAC ONE HOODIE (BUDGET - STUDENTS PER 70% SCHOOL PAYS 30 %)")</f>
        <v>ISAC ONE HOODIE (BUDGET - STUDENTS PER 70% SCHOOL PAYS 30 %)</v>
      </c>
    </row>
    <row r="635">
      <c r="A635" s="234">
        <f>IFERROR(__xludf.DUMMYFUNCTION("""COMPUTED_VALUE"""),100927.0)</f>
        <v>100927</v>
      </c>
      <c r="B635" s="235" t="str">
        <f>IFERROR(__xludf.DUMMYFUNCTION("""COMPUTED_VALUE"""),"REA VILLA")</f>
        <v>REA VILLA</v>
      </c>
      <c r="C635" s="235" t="str">
        <f>IFERROR(__xludf.DUMMYFUNCTION("""COMPUTED_VALUE"""),"ATHLETICS")</f>
        <v>ATHLETICS</v>
      </c>
      <c r="D635" s="196" t="str">
        <f>IFERROR(__xludf.DUMMYFUNCTION("""COMPUTED_VALUE"""),"ISAC BAGS
1. SEASON 1 (VOLLEYBALL BOYS AND GIRLS)
FOR OCTOBER 2019
2.SEASON 2 (BASKETBALL GIRLS AND FOOTBALL BOYS FOR JAN 2020)
3. SEASON 3(BASKETBALL BOYS AND FOOTBALL GIRLS- FOR MARCH 2020")</f>
        <v>ISAC BAGS
1. SEASON 1 (VOLLEYBALL BOYS AND GIRLS)
FOR OCTOBER 2019
2.SEASON 2 (BASKETBALL GIRLS AND FOOTBALL BOYS FOR JAN 2020)
3. SEASON 3(BASKETBALL BOYS AND FOOTBALL GIRLS- FOR MARCH 2020</v>
      </c>
      <c r="E635" s="196" t="str">
        <f>IFERROR(__xludf.DUMMYFUNCTION("""COMPUTED_VALUE"""),"ISAC ON TEAM BOYS (BUDGETE STUDENT PAYS 70% SCHOOL PAYS 30%)")</f>
        <v>ISAC ON TEAM BOYS (BUDGETE STUDENT PAYS 70% SCHOOL PAYS 30%)</v>
      </c>
    </row>
    <row r="636">
      <c r="A636" s="234">
        <f>IFERROR(__xludf.DUMMYFUNCTION("""COMPUTED_VALUE"""),100928.0)</f>
        <v>100928</v>
      </c>
      <c r="B636" s="235" t="str">
        <f>IFERROR(__xludf.DUMMYFUNCTION("""COMPUTED_VALUE"""),"REA VILLA")</f>
        <v>REA VILLA</v>
      </c>
      <c r="C636" s="235" t="str">
        <f>IFERROR(__xludf.DUMMYFUNCTION("""COMPUTED_VALUE"""),"ATHLETICS")</f>
        <v>ATHLETICS</v>
      </c>
      <c r="D636" s="196" t="str">
        <f>IFERROR(__xludf.DUMMYFUNCTION("""COMPUTED_VALUE"""),"ISAC ONE TEAM SHIRT 
1 SEASON 1 (VOLLEYBALL BOYS AND GIRLS)
FOR OCTOBER 2019
2 SEASON 2 (BASKETBALL GIRLS 
FOOTBALL BOYS- FOR JAN 2020
3 SEASON 3 (BASKETBALL BOYS AND FOOTBALL GIRLS FOR MARCH 2020")</f>
        <v>ISAC ONE TEAM SHIRT 
1 SEASON 1 (VOLLEYBALL BOYS AND GIRLS)
FOR OCTOBER 2019
2 SEASON 2 (BASKETBALL GIRLS 
FOOTBALL BOYS- FOR JAN 2020
3 SEASON 3 (BASKETBALL BOYS AND FOOTBALL GIRLS FOR MARCH 2020</v>
      </c>
      <c r="E636" s="196" t="str">
        <f>IFERROR(__xludf.DUMMYFUNCTION("""COMPUTED_VALUE"""),"ISAC ONE TEAM SHIRT (BUDGET STUDENTS 70% SCHOOL PAYS 30%)")</f>
        <v>ISAC ONE TEAM SHIRT (BUDGET STUDENTS 70% SCHOOL PAYS 30%)</v>
      </c>
    </row>
    <row r="637">
      <c r="A637" s="234">
        <f>IFERROR(__xludf.DUMMYFUNCTION("""COMPUTED_VALUE"""),100929.0)</f>
        <v>100929</v>
      </c>
      <c r="B637" s="235" t="str">
        <f>IFERROR(__xludf.DUMMYFUNCTION("""COMPUTED_VALUE"""),"REA VILLA")</f>
        <v>REA VILLA</v>
      </c>
      <c r="C637" s="235" t="str">
        <f>IFERROR(__xludf.DUMMYFUNCTION("""COMPUTED_VALUE"""),"ATHLETICS")</f>
        <v>ATHLETICS</v>
      </c>
      <c r="D637" s="196" t="str">
        <f>IFERROR(__xludf.DUMMYFUNCTION("""COMPUTED_VALUE"""),"COACHING SHIRT WITH COLLAR
COACHING SHIRT WITHOUT COLLAR
HOODIE")</f>
        <v>COACHING SHIRT WITH COLLAR
COACHING SHIRT WITHOUT COLLAR
HOODIE</v>
      </c>
      <c r="E637" s="196" t="str">
        <f>IFERROR(__xludf.DUMMYFUNCTION("""COMPUTED_VALUE"""),"COACHES ISAC TOURNAMENTS")</f>
        <v>COACHES ISAC TOURNAMENTS</v>
      </c>
    </row>
    <row r="638">
      <c r="A638" s="234">
        <f>IFERROR(__xludf.DUMMYFUNCTION("""COMPUTED_VALUE"""),100930.0)</f>
        <v>100930</v>
      </c>
      <c r="B638" s="235" t="str">
        <f>IFERROR(__xludf.DUMMYFUNCTION("""COMPUTED_VALUE"""),"MELISSA NAVAL ODONO")</f>
        <v>MELISSA NAVAL ODONO</v>
      </c>
      <c r="C638" s="235" t="str">
        <f>IFERROR(__xludf.DUMMYFUNCTION("""COMPUTED_VALUE"""),"CEM OFFICE")</f>
        <v>CEM OFFICE</v>
      </c>
      <c r="D638" s="196" t="str">
        <f>IFERROR(__xludf.DUMMYFUNCTION("""COMPUTED_VALUE"""),"ASSORTED TITLES 
WHEN ZERO LEFT NUMBER LAND
DIEGO AND MARIE
THE MOON IS MY FRIEND
POLLIWOGS WIGGLE
PAANO KUMAIN NG KULAY
JUST ADD DIRT
MY FAMILY
OVER AND UNDER
MASAYA AKO
ARAW SA PALENGKE
BONGS DAY
A THIRSTY SPARROW
GO
BRAVE LITTLE BABY DAN
MAGIC MAT
ANG "&amp;"MABAIT NA KALABAW
PARADISE OF THE ANIMALS
THE MONKEY ABD THE TURTLE
MARIOS SPECIAL DAY")</f>
        <v>ASSORTED TITLES 
WHEN ZERO LEFT NUMBER LAND
DIEGO AND MARIE
THE MOON IS MY FRIEND
POLLIWOGS WIGGLE
PAANO KUMAIN NG KULAY
JUST ADD DIRT
MY FAMILY
OVER AND UNDER
MASAYA AKO
ARAW SA PALENGKE
BONGS DAY
A THIRSTY SPARROW
GO
BRAVE LITTLE BABY DAN
MAGIC MAT
ANG MABAIT NA KALABAW
PARADISE OF THE ANIMALS
THE MONKEY ABD THE TURTLE
MARIOS SPECIAL DAY</v>
      </c>
      <c r="E638" s="196"/>
    </row>
    <row r="639">
      <c r="A639" s="234">
        <f>IFERROR(__xludf.DUMMYFUNCTION("""COMPUTED_VALUE"""),100931.0)</f>
        <v>100931</v>
      </c>
      <c r="B639" s="235" t="str">
        <f>IFERROR(__xludf.DUMMYFUNCTION("""COMPUTED_VALUE"""),"apollo mance")</f>
        <v>apollo mance</v>
      </c>
      <c r="C639" s="235" t="str">
        <f>IFERROR(__xludf.DUMMYFUNCTION("""COMPUTED_VALUE"""),"AMD")</f>
        <v>AMD</v>
      </c>
      <c r="D639" s="196" t="str">
        <f>IFERROR(__xludf.DUMMYFUNCTION("""COMPUTED_VALUE"""),"rubber footing for midback chair 100pcs.")</f>
        <v>rubber footing for midback chair 100pcs.</v>
      </c>
      <c r="E639" s="196" t="str">
        <f>IFERROR(__xludf.DUMMYFUNCTION("""COMPUTED_VALUE"""),"for damage footing for midback chairs")</f>
        <v>for damage footing for midback chairs</v>
      </c>
    </row>
    <row r="640">
      <c r="A640" s="234">
        <f>IFERROR(__xludf.DUMMYFUNCTION("""COMPUTED_VALUE"""),100932.0)</f>
        <v>100932</v>
      </c>
      <c r="B640" s="235" t="str">
        <f>IFERROR(__xludf.DUMMYFUNCTION("""COMPUTED_VALUE"""),"RUEL CAJILI")</f>
        <v>RUEL CAJILI</v>
      </c>
      <c r="C640" s="235" t="str">
        <f>IFERROR(__xludf.DUMMYFUNCTION("""COMPUTED_VALUE"""),"PSYCHOLOGY")</f>
        <v>PSYCHOLOGY</v>
      </c>
      <c r="D640" s="196" t="str">
        <f>IFERROR(__xludf.DUMMYFUNCTION("""COMPUTED_VALUE"""),"TRANSCEND EXTERNAL HARD DRIVE (2TB)")</f>
        <v>TRANSCEND EXTERNAL HARD DRIVE (2TB)</v>
      </c>
      <c r="E640" s="196" t="str">
        <f>IFERROR(__xludf.DUMMYFUNCTION("""COMPUTED_VALUE"""),"ISO/TQM/DCO/PSYCHOLOGY BSP/MAP STAGE")</f>
        <v>ISO/TQM/DCO/PSYCHOLOGY BSP/MAP STAGE</v>
      </c>
    </row>
    <row r="641">
      <c r="A641" s="234">
        <f>IFERROR(__xludf.DUMMYFUNCTION("""COMPUTED_VALUE"""),100933.0)</f>
        <v>100933</v>
      </c>
      <c r="B641" s="235" t="str">
        <f>IFERROR(__xludf.DUMMYFUNCTION("""COMPUTED_VALUE"""),"FEROL SAMANTHA ")</f>
        <v>FEROL SAMANTHA </v>
      </c>
      <c r="C641" s="235" t="str">
        <f>IFERROR(__xludf.DUMMYFUNCTION("""COMPUTED_VALUE"""),"LIBRARY COLLEGE")</f>
        <v>LIBRARY COLLEGE</v>
      </c>
      <c r="D641" s="196" t="str">
        <f>IFERROR(__xludf.DUMMYFUNCTION("""COMPUTED_VALUE"""),"1.HISTORY OF BISAYAN PEOPLE IN THE PHIL. ISLANDS VOL. iii 
2.HISTORY OF BISAYAN PEOPLE IN THE PHIL ISLANDS VOL. iii 
3.HISTORY OF BISAYAN PEOPLE IN THE PHIL ISLANDS VOL. i
4.HISTORY OF BISAYAN PEOPLE IN THE PHIL ISLANDS VOL. i
5.HISTORY OF BISAYAN PEOPLE "&amp;"IN THE PHIL ISLANDS VOL. ii
6.HISTORY OF BISAYAN PEOPLE IN THE PHIL ISLANDS VOL. ii
7.REVALUATION-ESSAYS ON PHILIPPINE LITERATURE CINEMA POPULAR CULTURE")</f>
        <v>1.HISTORY OF BISAYAN PEOPLE IN THE PHIL. ISLANDS VOL. iii 
2.HISTORY OF BISAYAN PEOPLE IN THE PHIL ISLANDS VOL. iii 
3.HISTORY OF BISAYAN PEOPLE IN THE PHIL ISLANDS VOL. i
4.HISTORY OF BISAYAN PEOPLE IN THE PHIL ISLANDS VOL. i
5.HISTORY OF BISAYAN PEOPLE IN THE PHIL ISLANDS VOL. ii
6.HISTORY OF BISAYAN PEOPLE IN THE PHIL ISLANDS VOL. ii
7.REVALUATION-ESSAYS ON PHILIPPINE LITERATURE CINEMA POPULAR CULTURE</v>
      </c>
      <c r="E641" s="196" t="str">
        <f>IFERROR(__xludf.DUMMYFUNCTION("""COMPUTED_VALUE"""),"BOOK ACQUISITION(PAUCOA ACCREDITATION)")</f>
        <v>BOOK ACQUISITION(PAUCOA ACCREDITATION)</v>
      </c>
    </row>
    <row r="642">
      <c r="A642" s="234">
        <f>IFERROR(__xludf.DUMMYFUNCTION("""COMPUTED_VALUE"""),100934.0)</f>
        <v>100934</v>
      </c>
      <c r="B642" s="235" t="str">
        <f>IFERROR(__xludf.DUMMYFUNCTION("""COMPUTED_VALUE"""),"FEROL SAMANTHA ")</f>
        <v>FEROL SAMANTHA </v>
      </c>
      <c r="C642" s="235" t="str">
        <f>IFERROR(__xludf.DUMMYFUNCTION("""COMPUTED_VALUE"""),"LIBRARY COLLEGE")</f>
        <v>LIBRARY COLLEGE</v>
      </c>
      <c r="D642" s="196" t="str">
        <f>IFERROR(__xludf.DUMMYFUNCTION("""COMPUTED_VALUE"""),"1.ETHICS OF HEALTH CARE: A GUIDE FOR CLINICAL PRACTICE 
2.ESSENTIAL OF PHARMACOLOGY FOR HEALTH PROFESSION 8TH ED")</f>
        <v>1.ETHICS OF HEALTH CARE: A GUIDE FOR CLINICAL PRACTICE 
2.ESSENTIAL OF PHARMACOLOGY FOR HEALTH PROFESSION 8TH ED</v>
      </c>
      <c r="E642" s="196" t="str">
        <f>IFERROR(__xludf.DUMMYFUNCTION("""COMPUTED_VALUE"""),"BOOK ACQUISITION(PAUCOA ACCREDITATION)")</f>
        <v>BOOK ACQUISITION(PAUCOA ACCREDITATION)</v>
      </c>
    </row>
    <row r="643">
      <c r="A643" s="234">
        <f>IFERROR(__xludf.DUMMYFUNCTION("""COMPUTED_VALUE"""),100935.0)</f>
        <v>100935</v>
      </c>
      <c r="B643" s="235" t="str">
        <f>IFERROR(__xludf.DUMMYFUNCTION("""COMPUTED_VALUE"""),"CHRISTIAN MARK MARBIBI")</f>
        <v>CHRISTIAN MARK MARBIBI</v>
      </c>
      <c r="C643" s="235" t="str">
        <f>IFERROR(__xludf.DUMMYFUNCTION("""COMPUTED_VALUE"""),"HOUSEKEEPING")</f>
        <v>HOUSEKEEPING</v>
      </c>
      <c r="D643" s="196" t="str">
        <f>IFERROR(__xludf.DUMMYFUNCTION("""COMPUTED_VALUE"""),"TRASHBAG EXTRA EXTRA LARGE BLACK")</f>
        <v>TRASHBAG EXTRA EXTRA LARGE BLACK</v>
      </c>
      <c r="E643" s="196" t="str">
        <f>IFERROR(__xludf.DUMMYFUNCTION("""COMPUTED_VALUE"""),"STOCK REPLENISH")</f>
        <v>STOCK REPLENISH</v>
      </c>
    </row>
    <row r="644">
      <c r="A644" s="234">
        <f>IFERROR(__xludf.DUMMYFUNCTION("""COMPUTED_VALUE"""),100936.0)</f>
        <v>100936</v>
      </c>
      <c r="B644" s="235" t="str">
        <f>IFERROR(__xludf.DUMMYFUNCTION("""COMPUTED_VALUE"""),"CHRISTIAN MARK MARBIBI")</f>
        <v>CHRISTIAN MARK MARBIBI</v>
      </c>
      <c r="C644" s="235" t="str">
        <f>IFERROR(__xludf.DUMMYFUNCTION("""COMPUTED_VALUE"""),"HOUSEKEEPING")</f>
        <v>HOUSEKEEPING</v>
      </c>
      <c r="D644" s="196" t="str">
        <f>IFERROR(__xludf.DUMMYFUNCTION("""COMPUTED_VALUE"""),"SPRAY GUN 
(PLEASE GET FROM LWZ ENTERPRISE AS THE REQUISTIONER ARE COMPLAINING ABOUT THE QUALITY OF SPRAY GUN FROM RIVCHEM)")</f>
        <v>SPRAY GUN 
(PLEASE GET FROM LWZ ENTERPRISE AS THE REQUISTIONER ARE COMPLAINING ABOUT THE QUALITY OF SPRAY GUN FROM RIVCHEM)</v>
      </c>
      <c r="E644" s="196" t="str">
        <f>IFERROR(__xludf.DUMMYFUNCTION("""COMPUTED_VALUE"""),"STOCK REPLENISH")</f>
        <v>STOCK REPLENISH</v>
      </c>
    </row>
    <row r="645">
      <c r="A645" s="234">
        <f>IFERROR(__xludf.DUMMYFUNCTION("""COMPUTED_VALUE"""),100937.0)</f>
        <v>100937</v>
      </c>
      <c r="B645" s="235" t="str">
        <f>IFERROR(__xludf.DUMMYFUNCTION("""COMPUTED_VALUE"""),"PHEN PETIN")</f>
        <v>PHEN PETIN</v>
      </c>
      <c r="C645" s="235" t="str">
        <f>IFERROR(__xludf.DUMMYFUNCTION("""COMPUTED_VALUE"""),"ADMIN - STAR")</f>
        <v>ADMIN - STAR</v>
      </c>
      <c r="D645" s="196" t="str">
        <f>IFERROR(__xludf.DUMMYFUNCTION("""COMPUTED_VALUE"""),"TABLES CHAIRS")</f>
        <v>TABLES CHAIRS</v>
      </c>
      <c r="E645" s="196" t="str">
        <f>IFERROR(__xludf.DUMMYFUNCTION("""COMPUTED_VALUE"""),"FOR ADDITIONAL PRESCHOOL CLASSROOM SENIOR KINDER")</f>
        <v>FOR ADDITIONAL PRESCHOOL CLASSROOM SENIOR KINDER</v>
      </c>
    </row>
    <row r="646">
      <c r="A646" s="234">
        <f>IFERROR(__xludf.DUMMYFUNCTION("""COMPUTED_VALUE"""),100938.0)</f>
        <v>100938</v>
      </c>
      <c r="B646" s="235" t="str">
        <f>IFERROR(__xludf.DUMMYFUNCTION("""COMPUTED_VALUE"""),"LUCILLE N BEYER")</f>
        <v>LUCILLE N BEYER</v>
      </c>
      <c r="C646" s="235" t="str">
        <f>IFERROR(__xludf.DUMMYFUNCTION("""COMPUTED_VALUE"""),"MEDICAL")</f>
        <v>MEDICAL</v>
      </c>
      <c r="D646" s="196" t="str">
        <f>IFERROR(__xludf.DUMMYFUNCTION("""COMPUTED_VALUE"""),"1) 100 PCS ADVIL 
2) 50 PCS ALAXAN
3) 50 PCS BIOFLU
4) 50 PCS DIATABS
5) 10 PCS CATAPERS 75MG
6) 150 PCS lTERAX/CETIRIZINE
7) 100 PCS NEOZEP NON-DROWZE
8) 100 PCS KREMIL S
9) 100 PCS MEFENAMIC ACID RITEMED
10) 200 PCS BIOGESIC
11) 10 BAND AID MEDIPLAST 
1"&amp;"2) 3 BOXES STREPSILS 24'S
13) 3 BOTS/170G LYSOL SPRAY(PINK)
14) 2 BOTS NEOZEP SYRUP (KIDS)
15) 10 PCS ELASTIC BANDAGE 3""
16) 10 PCS ELASTIC BANDAGE 4""
17) 10 PCS ELASTIC BANDAGE 2""
18) 4 BOTS VICKS VAPORUB 50G 
19) 100 PCS GAUZE BANDAGE 4X4
20) 2 PACKS"&amp;"/5S VENTOLIN NEBULE
21) 2 BOTTLE/LITER JOY DISHWASHING
22) 15 BOTTLES WHITE FLOWER 20 ML
23) 10 BOXES SALONPAS
24) 2 TUBES/5MG FLAMMAZINE CREAM
25) 5 BOTTLES BACTIDOL 500 ML")</f>
        <v>1) 100 PCS ADVIL 
2) 50 PCS ALAXAN
3) 50 PCS BIOFLU
4) 50 PCS DIATABS
5) 10 PCS CATAPERS 75MG
6) 150 PCS lTERAX/CETIRIZINE
7) 100 PCS NEOZEP NON-DROWZE
8) 100 PCS KREMIL S
9) 100 PCS MEFENAMIC ACID RITEMED
10) 200 PCS BIOGESIC
11) 10 BAND AID MEDIPLAST 
12) 3 BOXES STREPSILS 24'S
13) 3 BOTS/170G LYSOL SPRAY(PINK)
14) 2 BOTS NEOZEP SYRUP (KIDS)
15) 10 PCS ELASTIC BANDAGE 3"
16) 10 PCS ELASTIC BANDAGE 4"
17) 10 PCS ELASTIC BANDAGE 2"
18) 4 BOTS VICKS VAPORUB 50G 
19) 100 PCS GAUZE BANDAGE 4X4
20) 2 PACKS/5S VENTOLIN NEBULE
21) 2 BOTTLE/LITER JOY DISHWASHING
22) 15 BOTTLES WHITE FLOWER 20 ML
23) 10 BOXES SALONPAS
24) 2 TUBES/5MG FLAMMAZINE CREAM
25) 5 BOTTLES BACTIDOL 500 ML</v>
      </c>
      <c r="E646" s="196" t="str">
        <f>IFERROR(__xludf.DUMMYFUNCTION("""COMPUTED_VALUE"""),"FOR REPLENISHMENT OF CLINIC SUPPLIES")</f>
        <v>FOR REPLENISHMENT OF CLINIC SUPPLIES</v>
      </c>
    </row>
    <row r="647">
      <c r="A647" s="234">
        <f>IFERROR(__xludf.DUMMYFUNCTION("""COMPUTED_VALUE"""),100939.0)</f>
        <v>100939</v>
      </c>
      <c r="B647" s="235" t="str">
        <f>IFERROR(__xludf.DUMMYFUNCTION("""COMPUTED_VALUE"""),"FEROL SAMANTHA ")</f>
        <v>FEROL SAMANTHA </v>
      </c>
      <c r="C647" s="235" t="str">
        <f>IFERROR(__xludf.DUMMYFUNCTION("""COMPUTED_VALUE"""),"LIBRARY COLLEGE")</f>
        <v>LIBRARY COLLEGE</v>
      </c>
      <c r="D647" s="196" t="str">
        <f>IFERROR(__xludf.DUMMYFUNCTION("""COMPUTED_VALUE"""),"PAYMENT FOR PHILIPPINE STAR (JULY-SEPTEMBER 2019)")</f>
        <v>PAYMENT FOR PHILIPPINE STAR (JULY-SEPTEMBER 2019)</v>
      </c>
      <c r="E647" s="196" t="str">
        <f>IFERROR(__xludf.DUMMYFUNCTION("""COMPUTED_VALUE"""),"PAYMAN FOR NEWSPAPER PHILIPPINE STAR")</f>
        <v>PAYMAN FOR NEWSPAPER PHILIPPINE STAR</v>
      </c>
    </row>
    <row r="648">
      <c r="A648" s="234">
        <f>IFERROR(__xludf.DUMMYFUNCTION("""COMPUTED_VALUE"""),100940.0)</f>
        <v>100940</v>
      </c>
      <c r="B648" s="235" t="str">
        <f>IFERROR(__xludf.DUMMYFUNCTION("""COMPUTED_VALUE"""),"owie par")</f>
        <v>owie par</v>
      </c>
      <c r="C648" s="235" t="str">
        <f>IFERROR(__xludf.DUMMYFUNCTION("""COMPUTED_VALUE"""),"ENGINEERING")</f>
        <v>ENGINEERING</v>
      </c>
      <c r="D648" s="196" t="str">
        <f>IFERROR(__xludf.DUMMYFUNCTION("""COMPUTED_VALUE"""),"centrifugal pump gould 3phase 3hp 230volts 1 unit")</f>
        <v>centrifugal pump gould 3phase 3hp 230volts 1 unit</v>
      </c>
      <c r="E648" s="196" t="str">
        <f>IFERROR(__xludf.DUMMYFUNCTION("""COMPUTED_VALUE"""),"replacement of pump for college cistern")</f>
        <v>replacement of pump for college cistern</v>
      </c>
    </row>
    <row r="649">
      <c r="A649" s="234">
        <f>IFERROR(__xludf.DUMMYFUNCTION("""COMPUTED_VALUE"""),100941.0)</f>
        <v>100941</v>
      </c>
      <c r="B649" s="235" t="str">
        <f>IFERROR(__xludf.DUMMYFUNCTION("""COMPUTED_VALUE"""),"SHEREE ESPINOSA")</f>
        <v>SHEREE ESPINOSA</v>
      </c>
      <c r="C649" s="235" t="str">
        <f>IFERROR(__xludf.DUMMYFUNCTION("""COMPUTED_VALUE"""),"HOUSEKEEPING")</f>
        <v>HOUSEKEEPING</v>
      </c>
      <c r="D649" s="196" t="str">
        <f>IFERROR(__xludf.DUMMYFUNCTION("""COMPUTED_VALUE"""),"WATER GALOON (5 LITERS)")</f>
        <v>WATER GALOON (5 LITERS)</v>
      </c>
      <c r="E649" s="196" t="str">
        <f>IFERROR(__xludf.DUMMYFUNCTION("""COMPUTED_VALUE"""),"FOR THE PREPARATION OF ISAC")</f>
        <v>FOR THE PREPARATION OF ISAC</v>
      </c>
    </row>
    <row r="650">
      <c r="A650" s="234">
        <f>IFERROR(__xludf.DUMMYFUNCTION("""COMPUTED_VALUE"""),100942.0)</f>
        <v>100942</v>
      </c>
      <c r="B650" s="235" t="str">
        <f>IFERROR(__xludf.DUMMYFUNCTION("""COMPUTED_VALUE"""),"ADRIAN DE GUINTO")</f>
        <v>ADRIAN DE GUINTO</v>
      </c>
      <c r="C650" s="235" t="str">
        <f>IFERROR(__xludf.DUMMYFUNCTION("""COMPUTED_VALUE"""),"PR &amp; MARKETING")</f>
        <v>PR &amp; MARKETING</v>
      </c>
      <c r="D650" s="196" t="str">
        <f>IFERROR(__xludf.DUMMYFUNCTION("""COMPUTED_VALUE"""),"CANNONIZADO CONGRATULATORY TARPAULIN
6X9 LAYOUT
7X10 W/ ALLOWANCE")</f>
        <v>CANNONIZADO CONGRATULATORY TARPAULIN
6X9 LAYOUT
7X10 W/ ALLOWANCE</v>
      </c>
      <c r="E650" s="196" t="str">
        <f>IFERROR(__xludf.DUMMYFUNCTION("""COMPUTED_VALUE"""),"MARKETING APPRECCIATION")</f>
        <v>MARKETING APPRECCIATION</v>
      </c>
    </row>
    <row r="651">
      <c r="A651" s="234">
        <f>IFERROR(__xludf.DUMMYFUNCTION("""COMPUTED_VALUE"""),100943.0)</f>
        <v>100943</v>
      </c>
      <c r="B651" s="235" t="str">
        <f>IFERROR(__xludf.DUMMYFUNCTION("""COMPUTED_VALUE"""),"ADRIAN DE GUINTO")</f>
        <v>ADRIAN DE GUINTO</v>
      </c>
      <c r="C651" s="235" t="str">
        <f>IFERROR(__xludf.DUMMYFUNCTION("""COMPUTED_VALUE"""),"PR &amp; MARKETING")</f>
        <v>PR &amp; MARKETING</v>
      </c>
      <c r="D651" s="196" t="str">
        <f>IFERROR(__xludf.DUMMYFUNCTION("""COMPUTED_VALUE"""),"CONGRATULATORY TARP OF MODEL UNITED NATIONS LOCHLS
6X9
7X10 W/ALLOWANCE")</f>
        <v>CONGRATULATORY TARP OF MODEL UNITED NATIONS LOCHLS
6X9
7X10 W/ALLOWANCE</v>
      </c>
      <c r="E651" s="196" t="str">
        <f>IFERROR(__xludf.DUMMYFUNCTION("""COMPUTED_VALUE"""),"MARKETING APPRECCIATION")</f>
        <v>MARKETING APPRECCIATION</v>
      </c>
    </row>
    <row r="652">
      <c r="A652" s="234">
        <f>IFERROR(__xludf.DUMMYFUNCTION("""COMPUTED_VALUE"""),100944.0)</f>
        <v>100944</v>
      </c>
      <c r="B652" s="235" t="str">
        <f>IFERROR(__xludf.DUMMYFUNCTION("""COMPUTED_VALUE"""),"ROMAN BALUYOT")</f>
        <v>ROMAN BALUYOT</v>
      </c>
      <c r="C652" s="235" t="str">
        <f>IFERROR(__xludf.DUMMYFUNCTION("""COMPUTED_VALUE"""),"PR &amp; MARKETING")</f>
        <v>PR &amp; MARKETING</v>
      </c>
      <c r="D652" s="196" t="str">
        <f>IFERROR(__xludf.DUMMYFUNCTION("""COMPUTED_VALUE"""),"LUGAGE
LARGE (16 X 24 X 10)
SMALL(15 X 20 X 8)")</f>
        <v>LUGAGE
LARGE (16 X 24 X 10)
SMALL(15 X 20 X 8)</v>
      </c>
      <c r="E652" s="196" t="str">
        <f>IFERROR(__xludf.DUMMYFUNCTION("""COMPUTED_VALUE"""),"PR AND MARKETING PRE SUPPLIES")</f>
        <v>PR AND MARKETING PRE SUPPLIES</v>
      </c>
    </row>
    <row r="653">
      <c r="A653" s="234">
        <f>IFERROR(__xludf.DUMMYFUNCTION("""COMPUTED_VALUE"""),100945.0)</f>
        <v>100945</v>
      </c>
      <c r="B653" s="235" t="str">
        <f>IFERROR(__xludf.DUMMYFUNCTION("""COMPUTED_VALUE"""),"FEROL SAMANTHA ")</f>
        <v>FEROL SAMANTHA </v>
      </c>
      <c r="C653" s="235" t="str">
        <f>IFERROR(__xludf.DUMMYFUNCTION("""COMPUTED_VALUE"""),"LIBRARY COLLEGE")</f>
        <v>LIBRARY COLLEGE</v>
      </c>
      <c r="D653" s="196" t="str">
        <f>IFERROR(__xludf.DUMMYFUNCTION("""COMPUTED_VALUE"""),"1. PRACTICAL QUALITATIVE RESEARCH WRITING 
2. 21ST CENTURY LITERATURE FORM THE PHIL. THE WOLRD
3. READING IN PHIL HISTORY 
4. RESEARCH METHOD TECHNIQUES
5. SCIENCE TECHNOLOGY AND SOCIETY EDINA. DE REALA
6. SCIENCE TECHNOLOGY AND SOCIETY (BENJAMIN D DONA
7"&amp;". MATHEMATICS IN THE MODERN WORLD
8.THE CONTEMPORARY WORLD""
9. PHYSICAL EDUC. 1 
10. VALUES EDUCATION LEGAL ETHICAL PERSPECTIVE 
11. ETHICS (DR.MARIANO M ARIOLA
12.MATHEMATICS IN THE MODERN WORLD 
13. ART APPRECIATION
14. FUNDAMENTALS OF ART
15. SCIENCE "&amp;"TECHNOLOGY SOCIETY
16. MATHEMATICS IN THE MODERN WORLD""
17. MATHEMATICS IN THE MODERN WORLD
18. SCIENCE TECHNOLOGY AND SOCIETY
19. COMPREHENSIVE REVIEW 
20. CREATIVE WRITTING TO K TO 12 CURRICULUM""
21. UNDERSTANDING THE SELF (DR MARIANO M ARIOLA)
22. UN"&amp;"DERSTANDING THE SELF A TEXT 
23.  PRACTICAL RESEARCH 1 
24.  INTRODUCTION UNDERSTANDING THE SELF
25. UNDERSTANDING THE SELF DEVELOPING SELF SKILLS 
26. A REVIEWER IN GEN EDUC PROFESSIONAL EDUC
27. REVIEWER LICENSE FOR TEACHER
28. LICENSE EXAM FOR TEACHERS"&amp;" GEN EDUC.""
29. THE CONTEMPORARY WORLD A TEXT MANUAL FOR THE 21ST CENTURY 
30. PURPOSIVE COMMUNICATION IN THE 21ST CENTURY
31 THE TEACHER AND THE COMMUNITY SCHOOL/CULTURE ORGANIZATION
32. WORK TEXT IN THE CONTEMPORARY WORLD ""
33. PHYSICAL EDUC 3 BOOK 1 "&amp;"INDIVIDUAL BOOKS
34. PHYSICAL EDUC 3 BOOK 1 INDIVIDUAL SPORTS
35. COVERGANCE A COLL. TEXTBOOK IN CONTEMPORARY WORLD
36. ORAL COMMUNICATION IN VARIES CONTEXT""")</f>
        <v>1. PRACTICAL QUALITATIVE RESEARCH WRITING 
2. 21ST CENTURY LITERATURE FORM THE PHIL. THE WOLRD
3. READING IN PHIL HISTORY 
4. RESEARCH METHOD TECHNIQUES
5. SCIENCE TECHNOLOGY AND SOCIETY EDINA. DE REALA
6. SCIENCE TECHNOLOGY AND SOCIETY (BENJAMIN D DONA
7. MATHEMATICS IN THE MODERN WORLD
8.THE CONTEMPORARY WORLD"
9. PHYSICAL EDUC. 1 
10. VALUES EDUCATION LEGAL ETHICAL PERSPECTIVE 
11. ETHICS (DR.MARIANO M ARIOLA
12.MATHEMATICS IN THE MODERN WORLD 
13. ART APPRECIATION
14. FUNDAMENTALS OF ART
15. SCIENCE TECHNOLOGY SOCIETY
16. MATHEMATICS IN THE MODERN WORLD"
17. MATHEMATICS IN THE MODERN WORLD
18. SCIENCE TECHNOLOGY AND SOCIETY
19. COMPREHENSIVE REVIEW 
20. CREATIVE WRITTING TO K TO 12 CURRICULUM"
21. UNDERSTANDING THE SELF (DR MARIANO M ARIOLA)
22. UNDERSTANDING THE SELF A TEXT 
23.  PRACTICAL RESEARCH 1 
24.  INTRODUCTION UNDERSTANDING THE SELF
25. UNDERSTANDING THE SELF DEVELOPING SELF SKILLS 
26. A REVIEWER IN GEN EDUC PROFESSIONAL EDUC
27. REVIEWER LICENSE FOR TEACHER
28. LICENSE EXAM FOR TEACHERS GEN EDUC."
29. THE CONTEMPORARY WORLD A TEXT MANUAL FOR THE 21ST CENTURY 
30. PURPOSIVE COMMUNICATION IN THE 21ST CENTURY
31 THE TEACHER AND THE COMMUNITY SCHOOL/CULTURE ORGANIZATION
32. WORK TEXT IN THE CONTEMPORARY WORLD "
33. PHYSICAL EDUC 3 BOOK 1 INDIVIDUAL BOOKS
34. PHYSICAL EDUC 3 BOOK 1 INDIVIDUAL SPORTS
35. COVERGANCE A COLL. TEXTBOOK IN CONTEMPORARY WORLD
36. ORAL COMMUNICATION IN VARIES CONTEXT"</v>
      </c>
      <c r="E653" s="196" t="str">
        <f>IFERROR(__xludf.DUMMYFUNCTION("""COMPUTED_VALUE"""),"FOR PACUCOA LEVEL 4 ACCREDITATION ")</f>
        <v>FOR PACUCOA LEVEL 4 ACCREDITATION </v>
      </c>
    </row>
    <row r="654">
      <c r="A654" s="234">
        <f>IFERROR(__xludf.DUMMYFUNCTION("""COMPUTED_VALUE"""),100946.0)</f>
        <v>100946</v>
      </c>
      <c r="B654" s="235" t="str">
        <f>IFERROR(__xludf.DUMMYFUNCTION("""COMPUTED_VALUE"""),"owie par")</f>
        <v>owie par</v>
      </c>
      <c r="C654" s="235" t="str">
        <f>IFERROR(__xludf.DUMMYFUNCTION("""COMPUTED_VALUE"""),"ENGINEERING")</f>
        <v>ENGINEERING</v>
      </c>
      <c r="D654" s="196" t="str">
        <f>IFERROR(__xludf.DUMMYFUNCTION("""COMPUTED_VALUE"""),"MARINE PLYWOOD 3/4X4X8 MARINE PLYWOOD- 1/2X4X8")</f>
        <v>MARINE PLYWOOD 3/4X4X8 MARINE PLYWOOD- 1/2X4X8</v>
      </c>
      <c r="E654" s="196" t="str">
        <f>IFERROR(__xludf.DUMMYFUNCTION("""COMPUTED_VALUE"""),"IMMEDIATE CARPENTICY WORK IN MMA AREA")</f>
        <v>IMMEDIATE CARPENTICY WORK IN MMA AREA</v>
      </c>
    </row>
    <row r="655">
      <c r="A655" s="234">
        <f>IFERROR(__xludf.DUMMYFUNCTION("""COMPUTED_VALUE"""),100947.0)</f>
        <v>100947</v>
      </c>
      <c r="B655" s="235" t="str">
        <f>IFERROR(__xludf.DUMMYFUNCTION("""COMPUTED_VALUE"""),"REA VILLA")</f>
        <v>REA VILLA</v>
      </c>
      <c r="C655" s="235" t="str">
        <f>IFERROR(__xludf.DUMMYFUNCTION("""COMPUTED_VALUE"""),"ATHLETICS")</f>
        <v>ATHLETICS</v>
      </c>
      <c r="D655" s="196" t="str">
        <f>IFERROR(__xludf.DUMMYFUNCTION("""COMPUTED_VALUE"""),"200 PCS ISAC PATCHES")</f>
        <v>200 PCS ISAC PATCHES</v>
      </c>
      <c r="E655" s="196" t="str">
        <f>IFERROR(__xludf.DUMMYFUNCTION("""COMPUTED_VALUE"""),"ISAC PATCHES - INCLUDED IN THE WORKING BUDGET")</f>
        <v>ISAC PATCHES - INCLUDED IN THE WORKING BUDGET</v>
      </c>
    </row>
    <row r="656">
      <c r="A656" s="234">
        <f>IFERROR(__xludf.DUMMYFUNCTION("""COMPUTED_VALUE"""),100948.0)</f>
        <v>100948</v>
      </c>
      <c r="B656" s="235" t="str">
        <f>IFERROR(__xludf.DUMMYFUNCTION("""COMPUTED_VALUE"""),"REA VILLA")</f>
        <v>REA VILLA</v>
      </c>
      <c r="C656" s="235" t="str">
        <f>IFERROR(__xludf.DUMMYFUNCTION("""COMPUTED_VALUE"""),"ATHLETICS")</f>
        <v>ATHLETICS</v>
      </c>
      <c r="D656" s="196" t="str">
        <f>IFERROR(__xludf.DUMMYFUNCTION("""COMPUTED_VALUE"""),"180 PCS ISAC TUMBLER")</f>
        <v>180 PCS ISAC TUMBLER</v>
      </c>
      <c r="E656" s="196" t="str">
        <f>IFERROR(__xludf.DUMMYFUNCTION("""COMPUTED_VALUE"""),"ISAC TUMBLER")</f>
        <v>ISAC TUMBLER</v>
      </c>
    </row>
    <row r="657">
      <c r="A657" s="234">
        <f>IFERROR(__xludf.DUMMYFUNCTION("""COMPUTED_VALUE"""),100949.0)</f>
        <v>100949</v>
      </c>
      <c r="B657" s="235" t="str">
        <f>IFERROR(__xludf.DUMMYFUNCTION("""COMPUTED_VALUE"""),"OWIE PAR")</f>
        <v>OWIE PAR</v>
      </c>
      <c r="C657" s="235" t="str">
        <f>IFERROR(__xludf.DUMMYFUNCTION("""COMPUTED_VALUE"""),"ENGINEERING")</f>
        <v>ENGINEERING</v>
      </c>
      <c r="D657" s="196" t="str">
        <f>IFERROR(__xludf.DUMMYFUNCTION("""COMPUTED_VALUE"""),"GE CIRCUIT BREAKER 175 AMP")</f>
        <v>GE CIRCUIT BREAKER 175 AMP</v>
      </c>
      <c r="E657" s="196" t="str">
        <f>IFERROR(__xludf.DUMMYFUNCTION("""COMPUTED_VALUE"""),"FOR COL LIBRARY MAIN BREAKER FOR ACU")</f>
        <v>FOR COL LIBRARY MAIN BREAKER FOR ACU</v>
      </c>
    </row>
    <row r="658">
      <c r="A658" s="234">
        <f>IFERROR(__xludf.DUMMYFUNCTION("""COMPUTED_VALUE"""),100950.0)</f>
        <v>100950</v>
      </c>
      <c r="B658" s="235" t="str">
        <f>IFERROR(__xludf.DUMMYFUNCTION("""COMPUTED_VALUE"""),"T BELLEE")</f>
        <v>T BELLEE</v>
      </c>
      <c r="C658" s="235" t="str">
        <f>IFERROR(__xludf.DUMMYFUNCTION("""COMPUTED_VALUE"""),"LANDSCAPING")</f>
        <v>LANDSCAPING</v>
      </c>
      <c r="D658" s="196" t="str">
        <f>IFERROR(__xludf.DUMMYFUNCTION("""COMPUTED_VALUE"""),"PLASTIC POTS")</f>
        <v>PLASTIC POTS</v>
      </c>
      <c r="E658" s="196" t="str">
        <f>IFERROR(__xludf.DUMMYFUNCTION("""COMPUTED_VALUE"""),"ADDITIONAL POTS FOR LUX")</f>
        <v>ADDITIONAL POTS FOR LUX</v>
      </c>
    </row>
    <row r="659">
      <c r="A659" s="234">
        <f>IFERROR(__xludf.DUMMYFUNCTION("""COMPUTED_VALUE"""),100951.0)</f>
        <v>100951</v>
      </c>
      <c r="B659" s="235" t="str">
        <f>IFERROR(__xludf.DUMMYFUNCTION("""COMPUTED_VALUE"""),"SHEREE ESPINOSA")</f>
        <v>SHEREE ESPINOSA</v>
      </c>
      <c r="C659" s="235" t="str">
        <f>IFERROR(__xludf.DUMMYFUNCTION("""COMPUTED_VALUE"""),"ADMIN")</f>
        <v>ADMIN</v>
      </c>
      <c r="D659" s="196" t="str">
        <f>IFERROR(__xludf.DUMMYFUNCTION("""COMPUTED_VALUE"""),"SOFA ROTAN")</f>
        <v>SOFA ROTAN</v>
      </c>
      <c r="E659" s="196" t="str">
        <f>IFERROR(__xludf.DUMMYFUNCTION("""COMPUTED_VALUE"""),"FOR 2ND FLOOR COLLEGE LOUNGE")</f>
        <v>FOR 2ND FLOOR COLLEGE LOUNGE</v>
      </c>
    </row>
    <row r="660">
      <c r="A660" s="234">
        <f>IFERROR(__xludf.DUMMYFUNCTION("""COMPUTED_VALUE"""),100952.0)</f>
        <v>100952</v>
      </c>
      <c r="B660" s="235" t="str">
        <f>IFERROR(__xludf.DUMMYFUNCTION("""COMPUTED_VALUE"""),"SHEREE ESPINOSA")</f>
        <v>SHEREE ESPINOSA</v>
      </c>
      <c r="C660" s="235" t="str">
        <f>IFERROR(__xludf.DUMMYFUNCTION("""COMPUTED_VALUE"""),"ADMIN")</f>
        <v>ADMIN</v>
      </c>
      <c r="D660" s="196" t="str">
        <f>IFERROR(__xludf.DUMMYFUNCTION("""COMPUTED_VALUE"""),"F2 TABLE F4 TABLE")</f>
        <v>F2 TABLE F4 TABLE</v>
      </c>
      <c r="E660" s="196" t="str">
        <f>IFERROR(__xludf.DUMMYFUNCTION("""COMPUTED_VALUE"""),"FOR BRICS (PRESENTATION ROOM)")</f>
        <v>FOR BRICS (PRESENTATION ROOM)</v>
      </c>
    </row>
    <row r="661">
      <c r="A661" s="234">
        <f>IFERROR(__xludf.DUMMYFUNCTION("""COMPUTED_VALUE"""),100953.0)</f>
        <v>100953</v>
      </c>
      <c r="B661" s="235" t="str">
        <f>IFERROR(__xludf.DUMMYFUNCTION("""COMPUTED_VALUE"""),"SHEREE ESPINOSA")</f>
        <v>SHEREE ESPINOSA</v>
      </c>
      <c r="C661" s="235" t="str">
        <f>IFERROR(__xludf.DUMMYFUNCTION("""COMPUTED_VALUE"""),"HOUSEKEEPING")</f>
        <v>HOUSEKEEPING</v>
      </c>
      <c r="D661" s="196" t="str">
        <f>IFERROR(__xludf.DUMMYFUNCTION("""COMPUTED_VALUE"""),"PALMERAS PLANTS 
RUBBERED POTS")</f>
        <v>PALMERAS PLANTS 
RUBBERED POTS</v>
      </c>
      <c r="E661" s="196" t="str">
        <f>IFERROR(__xludf.DUMMYFUNCTION("""COMPUTED_VALUE"""),"FOR LUXEMBOURG PARKING PLANT IN")</f>
        <v>FOR LUXEMBOURG PARKING PLANT IN</v>
      </c>
    </row>
    <row r="662">
      <c r="A662" s="234">
        <f>IFERROR(__xludf.DUMMYFUNCTION("""COMPUTED_VALUE"""),100954.0)</f>
        <v>100954</v>
      </c>
      <c r="B662" s="235" t="str">
        <f>IFERROR(__xludf.DUMMYFUNCTION("""COMPUTED_VALUE"""),"SHEREE ESPINOSA")</f>
        <v>SHEREE ESPINOSA</v>
      </c>
      <c r="C662" s="235" t="str">
        <f>IFERROR(__xludf.DUMMYFUNCTION("""COMPUTED_VALUE"""),"HOUSEKEEPING")</f>
        <v>HOUSEKEEPING</v>
      </c>
      <c r="D662" s="196" t="str">
        <f>IFERROR(__xludf.DUMMYFUNCTION("""COMPUTED_VALUE"""),"BLINDS")</f>
        <v>BLINDS</v>
      </c>
      <c r="E662" s="196" t="str">
        <f>IFERROR(__xludf.DUMMYFUNCTION("""COMPUTED_VALUE"""),"FOR BRICS (PRESENTATION AND LAB ROOM")</f>
        <v>FOR BRICS (PRESENTATION AND LAB ROOM</v>
      </c>
    </row>
    <row r="663">
      <c r="A663" s="234">
        <f>IFERROR(__xludf.DUMMYFUNCTION("""COMPUTED_VALUE"""),100955.0)</f>
        <v>100955</v>
      </c>
      <c r="B663" s="235" t="str">
        <f>IFERROR(__xludf.DUMMYFUNCTION("""COMPUTED_VALUE"""),"SHEREE ESPINOSA")</f>
        <v>SHEREE ESPINOSA</v>
      </c>
      <c r="C663" s="235" t="str">
        <f>IFERROR(__xludf.DUMMYFUNCTION("""COMPUTED_VALUE"""),"HOUSEKEEPING")</f>
        <v>HOUSEKEEPING</v>
      </c>
      <c r="D663" s="196" t="str">
        <f>IFERROR(__xludf.DUMMYFUNCTION("""COMPUTED_VALUE"""),"FROESTED STICKER")</f>
        <v>FROESTED STICKER</v>
      </c>
      <c r="E663" s="196" t="str">
        <f>IFERROR(__xludf.DUMMYFUNCTION("""COMPUTED_VALUE"""),"FOR GLASS ")</f>
        <v>FOR GLASS </v>
      </c>
    </row>
    <row r="664">
      <c r="A664" s="234">
        <f>IFERROR(__xludf.DUMMYFUNCTION("""COMPUTED_VALUE"""),100956.0)</f>
        <v>100956</v>
      </c>
      <c r="B664" s="235" t="str">
        <f>IFERROR(__xludf.DUMMYFUNCTION("""COMPUTED_VALUE"""),"PENELOPE B AGUSTIN")</f>
        <v>PENELOPE B AGUSTIN</v>
      </c>
      <c r="C664" s="235" t="str">
        <f>IFERROR(__xludf.DUMMYFUNCTION("""COMPUTED_VALUE"""),"FINANCE &amp; ACCOUNTING")</f>
        <v>FINANCE &amp; ACCOUNTING</v>
      </c>
      <c r="D664" s="196" t="str">
        <f>IFERROR(__xludf.DUMMYFUNCTION("""COMPUTED_VALUE"""),"CONFIDENTIAL PAYSLIP")</f>
        <v>CONFIDENTIAL PAYSLIP</v>
      </c>
      <c r="E664" s="196" t="str">
        <f>IFERROR(__xludf.DUMMYFUNCTION("""COMPUTED_VALUE"""),"PLAYROLL PURPOSES")</f>
        <v>PLAYROLL PURPOSES</v>
      </c>
    </row>
    <row r="665">
      <c r="A665" s="234">
        <f>IFERROR(__xludf.DUMMYFUNCTION("""COMPUTED_VALUE"""),100957.0)</f>
        <v>100957</v>
      </c>
      <c r="B665" s="235" t="str">
        <f>IFERROR(__xludf.DUMMYFUNCTION("""COMPUTED_VALUE"""),"CHRISTIAN MARK MARBIBI")</f>
        <v>CHRISTIAN MARK MARBIBI</v>
      </c>
      <c r="C665" s="235" t="str">
        <f>IFERROR(__xludf.DUMMYFUNCTION("""COMPUTED_VALUE"""),"HOUSEKEEPING")</f>
        <v>HOUSEKEEPING</v>
      </c>
      <c r="D665" s="196" t="str">
        <f>IFERROR(__xludf.DUMMYFUNCTION("""COMPUTED_VALUE"""),"ZONRO BLEACH 1 GAL")</f>
        <v>ZONRO BLEACH 1 GAL</v>
      </c>
      <c r="E665" s="196" t="str">
        <f>IFERROR(__xludf.DUMMYFUNCTION("""COMPUTED_VALUE"""),"STOCK REPLENISH")</f>
        <v>STOCK REPLENISH</v>
      </c>
    </row>
    <row r="666">
      <c r="A666" s="234">
        <f>IFERROR(__xludf.DUMMYFUNCTION("""COMPUTED_VALUE"""),100958.0)</f>
        <v>100958</v>
      </c>
      <c r="B666" s="235" t="str">
        <f>IFERROR(__xludf.DUMMYFUNCTION("""COMPUTED_VALUE"""),"CHRISTIAN MARK MARBIBI")</f>
        <v>CHRISTIAN MARK MARBIBI</v>
      </c>
      <c r="C666" s="235" t="str">
        <f>IFERROR(__xludf.DUMMYFUNCTION("""COMPUTED_VALUE"""),"HOUSEKEEPING")</f>
        <v>HOUSEKEEPING</v>
      </c>
      <c r="D666" s="196" t="str">
        <f>IFERROR(__xludf.DUMMYFUNCTION("""COMPUTED_VALUE"""),"ZIM CLASS CLEANER 500 ML")</f>
        <v>ZIM CLASS CLEANER 500 ML</v>
      </c>
      <c r="E666" s="196" t="str">
        <f>IFERROR(__xludf.DUMMYFUNCTION("""COMPUTED_VALUE"""),"STOCK REPLENISH")</f>
        <v>STOCK REPLENISH</v>
      </c>
    </row>
    <row r="667">
      <c r="A667" s="234">
        <f>IFERROR(__xludf.DUMMYFUNCTION("""COMPUTED_VALUE"""),100959.0)</f>
        <v>100959</v>
      </c>
      <c r="B667" s="235" t="str">
        <f>IFERROR(__xludf.DUMMYFUNCTION("""COMPUTED_VALUE"""),"CHRISTIAN MARK MARBIBI")</f>
        <v>CHRISTIAN MARK MARBIBI</v>
      </c>
      <c r="C667" s="235" t="str">
        <f>IFERROR(__xludf.DUMMYFUNCTION("""COMPUTED_VALUE"""),"HOUSEKEEPING")</f>
        <v>HOUSEKEEPING</v>
      </c>
      <c r="D667" s="196" t="str">
        <f>IFERROR(__xludf.DUMMYFUNCTION("""COMPUTED_VALUE"""),"SWEET SENSATION")</f>
        <v>SWEET SENSATION</v>
      </c>
      <c r="E667" s="196" t="str">
        <f>IFERROR(__xludf.DUMMYFUNCTION("""COMPUTED_VALUE"""),"STOCK REPLENISH")</f>
        <v>STOCK REPLENISH</v>
      </c>
    </row>
    <row r="668">
      <c r="A668" s="234">
        <f>IFERROR(__xludf.DUMMYFUNCTION("""COMPUTED_VALUE"""),100960.0)</f>
        <v>100960</v>
      </c>
      <c r="B668" s="235" t="str">
        <f>IFERROR(__xludf.DUMMYFUNCTION("""COMPUTED_VALUE"""),"CHRISTIAN MARK MARBIBI")</f>
        <v>CHRISTIAN MARK MARBIBI</v>
      </c>
      <c r="C668" s="235" t="str">
        <f>IFERROR(__xludf.DUMMYFUNCTION("""COMPUTED_VALUE"""),"HOUSEKEEPING")</f>
        <v>HOUSEKEEPING</v>
      </c>
      <c r="D668" s="196" t="str">
        <f>IFERROR(__xludf.DUMMYFUNCTION("""COMPUTED_VALUE"""),"SPOTLESS HOUSEHOLD CLEANING PASTE")</f>
        <v>SPOTLESS HOUSEHOLD CLEANING PASTE</v>
      </c>
      <c r="E668" s="196" t="str">
        <f>IFERROR(__xludf.DUMMYFUNCTION("""COMPUTED_VALUE"""),"STOCK REPLENISH")</f>
        <v>STOCK REPLENISH</v>
      </c>
    </row>
    <row r="669">
      <c r="A669" s="234">
        <f>IFERROR(__xludf.DUMMYFUNCTION("""COMPUTED_VALUE"""),100961.0)</f>
        <v>100961</v>
      </c>
      <c r="B669" s="235" t="str">
        <f>IFERROR(__xludf.DUMMYFUNCTION("""COMPUTED_VALUE"""),"CHRISTIAN MARK MARBIBI")</f>
        <v>CHRISTIAN MARK MARBIBI</v>
      </c>
      <c r="C669" s="235" t="str">
        <f>IFERROR(__xludf.DUMMYFUNCTION("""COMPUTED_VALUE"""),"HOUSEKEEPING")</f>
        <v>HOUSEKEEPING</v>
      </c>
      <c r="D669" s="196" t="str">
        <f>IFERROR(__xludf.DUMMYFUNCTION("""COMPUTED_VALUE"""),"FLANELLA PINK
FLANELLA YELLOW")</f>
        <v>FLANELLA PINK
FLANELLA YELLOW</v>
      </c>
      <c r="E669" s="196" t="str">
        <f>IFERROR(__xludf.DUMMYFUNCTION("""COMPUTED_VALUE"""),"STOCK REPLENISH")</f>
        <v>STOCK REPLENISH</v>
      </c>
    </row>
    <row r="670">
      <c r="A670" s="234">
        <f>IFERROR(__xludf.DUMMYFUNCTION("""COMPUTED_VALUE"""),100962.0)</f>
        <v>100962</v>
      </c>
      <c r="B670" s="235" t="str">
        <f>IFERROR(__xludf.DUMMYFUNCTION("""COMPUTED_VALUE"""),"CHRISTIAN MARK MARBIBI")</f>
        <v>CHRISTIAN MARK MARBIBI</v>
      </c>
      <c r="C670" s="235" t="str">
        <f>IFERROR(__xludf.DUMMYFUNCTION("""COMPUTED_VALUE"""),"HOUSEKEEPING")</f>
        <v>HOUSEKEEPING</v>
      </c>
      <c r="D670" s="196" t="str">
        <f>IFERROR(__xludf.DUMMYFUNCTION("""COMPUTED_VALUE"""),"STICK BROOM")</f>
        <v>STICK BROOM</v>
      </c>
      <c r="E670" s="196" t="str">
        <f>IFERROR(__xludf.DUMMYFUNCTION("""COMPUTED_VALUE"""),"STOCK REPLENISH")</f>
        <v>STOCK REPLENISH</v>
      </c>
    </row>
    <row r="671">
      <c r="A671" s="234">
        <f>IFERROR(__xludf.DUMMYFUNCTION("""COMPUTED_VALUE"""),100963.0)</f>
        <v>100963</v>
      </c>
      <c r="B671" s="235" t="str">
        <f>IFERROR(__xludf.DUMMYFUNCTION("""COMPUTED_VALUE"""),"CHRISTIAN MARK MARBIBI")</f>
        <v>CHRISTIAN MARK MARBIBI</v>
      </c>
      <c r="C671" s="235" t="str">
        <f>IFERROR(__xludf.DUMMYFUNCTION("""COMPUTED_VALUE"""),"HOUSEKEEPING")</f>
        <v>HOUSEKEEPING</v>
      </c>
      <c r="D671" s="196" t="str">
        <f>IFERROR(__xludf.DUMMYFUNCTION("""COMPUTED_VALUE"""),"TOILET RUBBER PUMP BLACK")</f>
        <v>TOILET RUBBER PUMP BLACK</v>
      </c>
      <c r="E671" s="196" t="str">
        <f>IFERROR(__xludf.DUMMYFUNCTION("""COMPUTED_VALUE"""),"STOCK REPLENISH")</f>
        <v>STOCK REPLENISH</v>
      </c>
    </row>
    <row r="672">
      <c r="A672" s="234">
        <f>IFERROR(__xludf.DUMMYFUNCTION("""COMPUTED_VALUE"""),100964.0)</f>
        <v>100964</v>
      </c>
      <c r="B672" s="235" t="str">
        <f>IFERROR(__xludf.DUMMYFUNCTION("""COMPUTED_VALUE"""),"CHRISTIAN MARK MARBIBI")</f>
        <v>CHRISTIAN MARK MARBIBI</v>
      </c>
      <c r="C672" s="235" t="str">
        <f>IFERROR(__xludf.DUMMYFUNCTION("""COMPUTED_VALUE"""),"HOUSEKEEPING")</f>
        <v>HOUSEKEEPING</v>
      </c>
      <c r="D672" s="196" t="str">
        <f>IFERROR(__xludf.DUMMYFUNCTION("""COMPUTED_VALUE"""),"FLOOR/LAUNDRY BRUSH")</f>
        <v>FLOOR/LAUNDRY BRUSH</v>
      </c>
      <c r="E672" s="196" t="str">
        <f>IFERROR(__xludf.DUMMYFUNCTION("""COMPUTED_VALUE"""),"STOCK REPLENISH")</f>
        <v>STOCK REPLENISH</v>
      </c>
    </row>
    <row r="673">
      <c r="A673" s="234">
        <f>IFERROR(__xludf.DUMMYFUNCTION("""COMPUTED_VALUE"""),100965.0)</f>
        <v>100965</v>
      </c>
      <c r="B673" s="235" t="str">
        <f>IFERROR(__xludf.DUMMYFUNCTION("""COMPUTED_VALUE"""),"MAJ THOMAS ")</f>
        <v>MAJ THOMAS </v>
      </c>
      <c r="C673" s="235" t="str">
        <f>IFERROR(__xludf.DUMMYFUNCTION("""COMPUTED_VALUE"""),"ACCREDITATION")</f>
        <v>ACCREDITATION</v>
      </c>
      <c r="D673" s="196" t="str">
        <f>IFERROR(__xludf.DUMMYFUNCTION("""COMPUTED_VALUE"""),"ADDITIONAL BINDER TAB PVC SELF ADHESIVE INDY
SIZE 6' X1/2 ")</f>
        <v>ADDITIONAL BINDER TAB PVC SELF ADHESIVE INDY
SIZE 6' X1/2 </v>
      </c>
      <c r="E673" s="196" t="str">
        <f>IFERROR(__xludf.DUMMYFUNCTION("""COMPUTED_VALUE"""),"TO BE USED FOR PRESENTATION")</f>
        <v>TO BE USED FOR PRESENTATION</v>
      </c>
    </row>
    <row r="674">
      <c r="A674" s="234">
        <f>IFERROR(__xludf.DUMMYFUNCTION("""COMPUTED_VALUE"""),100966.0)</f>
        <v>100966</v>
      </c>
      <c r="B674" s="235" t="str">
        <f>IFERROR(__xludf.DUMMYFUNCTION("""COMPUTED_VALUE"""),"RUEL CAJILI")</f>
        <v>RUEL CAJILI</v>
      </c>
      <c r="C674" s="235" t="str">
        <f>IFERROR(__xludf.DUMMYFUNCTION("""COMPUTED_VALUE"""),"PSYCHOLOGY")</f>
        <v>PSYCHOLOGY</v>
      </c>
      <c r="D674" s="196" t="str">
        <f>IFERROR(__xludf.DUMMYFUNCTION("""COMPUTED_VALUE"""),"1 MIXER
2 HANGING MICROPHONE
3 HEADWARN MICROPHONE
4 WIRELESS MIC
5 BOOM MIC STAND
6 SPEAKERS
7 10 RV EQUIMENT RACK")</f>
        <v>1 MIXER
2 HANGING MICROPHONE
3 HEADWARN MICROPHONE
4 WIRELESS MIC
5 BOOM MIC STAND
6 SPEAKERS
7 10 RV EQUIMENT RACK</v>
      </c>
      <c r="E674" s="196" t="str">
        <f>IFERROR(__xludf.DUMMYFUNCTION("""COMPUTED_VALUE"""),"ISOLATION SOUND PROOF ROOM")</f>
        <v>ISOLATION SOUND PROOF ROOM</v>
      </c>
    </row>
    <row r="675">
      <c r="A675" s="234">
        <f>IFERROR(__xludf.DUMMYFUNCTION("""COMPUTED_VALUE"""),100967.0)</f>
        <v>100967</v>
      </c>
      <c r="B675" s="235" t="str">
        <f>IFERROR(__xludf.DUMMYFUNCTION("""COMPUTED_VALUE"""),"RUEL CAJILI")</f>
        <v>RUEL CAJILI</v>
      </c>
      <c r="C675" s="235" t="str">
        <f>IFERROR(__xludf.DUMMYFUNCTION("""COMPUTED_VALUE"""),"PSYCHOLOGY")</f>
        <v>PSYCHOLOGY</v>
      </c>
      <c r="D675" s="196" t="str">
        <f>IFERROR(__xludf.DUMMYFUNCTION("""COMPUTED_VALUE"""),"ACOUSTIC PANEL")</f>
        <v>ACOUSTIC PANEL</v>
      </c>
      <c r="E675" s="196" t="str">
        <f>IFERROR(__xludf.DUMMYFUNCTION("""COMPUTED_VALUE"""),"SOUND PROOFING PSYCH LAB")</f>
        <v>SOUND PROOFING PSYCH LAB</v>
      </c>
    </row>
    <row r="676">
      <c r="A676" s="234">
        <f>IFERROR(__xludf.DUMMYFUNCTION("""COMPUTED_VALUE"""),100968.0)</f>
        <v>100968</v>
      </c>
      <c r="B676" s="235" t="str">
        <f>IFERROR(__xludf.DUMMYFUNCTION("""COMPUTED_VALUE"""),"MELISSA NAVAL ODONO")</f>
        <v>MELISSA NAVAL ODONO</v>
      </c>
      <c r="C676" s="235" t="str">
        <f>IFERROR(__xludf.DUMMYFUNCTION("""COMPUTED_VALUE"""),"LIBRARY MUNICH")</f>
        <v>LIBRARY MUNICH</v>
      </c>
      <c r="D676" s="196" t="str">
        <f>IFERROR(__xludf.DUMMYFUNCTION("""COMPUTED_VALUE"""),"ASSORTED TITLES
WEATHER AND NATURAL DISASTERS
DISCOVER CHEMISTRY
SAVING PLANET EARTH
DISCOVER GLOBAL WARMING AND CLIMATE CHANGE
DISCOVER GEOLOGY
DISCOVER GEOGRAPHY")</f>
        <v>ASSORTED TITLES
WEATHER AND NATURAL DISASTERS
DISCOVER CHEMISTRY
SAVING PLANET EARTH
DISCOVER GLOBAL WARMING AND CLIMATE CHANGE
DISCOVER GEOLOGY
DISCOVER GEOGRAPHY</v>
      </c>
      <c r="E676" s="196" t="str">
        <f>IFERROR(__xludf.DUMMYFUNCTION("""COMPUTED_VALUE"""),"LIBRARYS COPY")</f>
        <v>LIBRARYS COPY</v>
      </c>
    </row>
    <row r="677">
      <c r="A677" s="234">
        <f>IFERROR(__xludf.DUMMYFUNCTION("""COMPUTED_VALUE"""),100969.0)</f>
        <v>100969</v>
      </c>
      <c r="B677" s="235" t="str">
        <f>IFERROR(__xludf.DUMMYFUNCTION("""COMPUTED_VALUE"""),"MELISSA NAVAL ODONO")</f>
        <v>MELISSA NAVAL ODONO</v>
      </c>
      <c r="C677" s="235" t="str">
        <f>IFERROR(__xludf.DUMMYFUNCTION("""COMPUTED_VALUE"""),"LIBRARY MUNICH")</f>
        <v>LIBRARY MUNICH</v>
      </c>
      <c r="D677" s="196" t="str">
        <f>IFERROR(__xludf.DUMMYFUNCTION("""COMPUTED_VALUE"""),"ASSORTED TITLE 
TAHO TAHO TAHO TAHOOOIEY (BIGBOOKS)
MAY PASOK BA SA PAARALAN BUKAS?
SINE MADYIKA
ANG SAKIM NA APARADOR
THE GIRL WHO ALWAYS LOODKED AT PEOPLES SHOES
INHALE EHALE
BUMBILITA
TAHO TAHO TAHO TAHOOOIEYY! BOOKS
MAGKAKAKULAY
ANG PAMBIHIRANG BABAEN"&amp;"G HINDE UMUUPO")</f>
        <v>ASSORTED TITLE 
TAHO TAHO TAHO TAHOOOIEY (BIGBOOKS)
MAY PASOK BA SA PAARALAN BUKAS?
SINE MADYIKA
ANG SAKIM NA APARADOR
THE GIRL WHO ALWAYS LOODKED AT PEOPLES SHOES
INHALE EHALE
BUMBILITA
TAHO TAHO TAHO TAHOOOIEYY! BOOKS
MAGKAKAKULAY
ANG PAMBIHIRANG BABAENG HINDE UMUUPO</v>
      </c>
      <c r="E677" s="196" t="str">
        <f>IFERROR(__xludf.DUMMYFUNCTION("""COMPUTED_VALUE"""),"LIBRARYS COPY")</f>
        <v>LIBRARYS COPY</v>
      </c>
    </row>
    <row r="678">
      <c r="A678" s="234">
        <f>IFERROR(__xludf.DUMMYFUNCTION("""COMPUTED_VALUE"""),100970.0)</f>
        <v>100970</v>
      </c>
      <c r="B678" s="235" t="str">
        <f>IFERROR(__xludf.DUMMYFUNCTION("""COMPUTED_VALUE"""),"ROMAN BALUYOT")</f>
        <v>ROMAN BALUYOT</v>
      </c>
      <c r="C678" s="235" t="str">
        <f>IFERROR(__xludf.DUMMYFUNCTION("""COMPUTED_VALUE"""),"PR &amp; MARKETING")</f>
        <v>PR &amp; MARKETING</v>
      </c>
      <c r="D678" s="196" t="str">
        <f>IFERROR(__xludf.DUMMYFUNCTION("""COMPUTED_VALUE"""),"LIGHTED SIGNAGE DESIGN 
5FT X 10FT
40 INCHES WITH INSTALLATION")</f>
        <v>LIGHTED SIGNAGE DESIGN 
5FT X 10FT
40 INCHES WITH INSTALLATION</v>
      </c>
      <c r="E678" s="196" t="str">
        <f>IFERROR(__xludf.DUMMYFUNCTION("""COMPUTED_VALUE"""),"FOR MARKETING")</f>
        <v>FOR MARKETING</v>
      </c>
    </row>
    <row r="679">
      <c r="A679" s="234">
        <f>IFERROR(__xludf.DUMMYFUNCTION("""COMPUTED_VALUE"""),100971.0)</f>
        <v>100971</v>
      </c>
      <c r="B679" s="235" t="str">
        <f>IFERROR(__xludf.DUMMYFUNCTION("""COMPUTED_VALUE"""),"ROMAN BALUYOT")</f>
        <v>ROMAN BALUYOT</v>
      </c>
      <c r="C679" s="235" t="str">
        <f>IFERROR(__xludf.DUMMYFUNCTION("""COMPUTED_VALUE"""),"PR &amp; MARKETING")</f>
        <v>PR &amp; MARKETING</v>
      </c>
      <c r="D679" s="196" t="str">
        <f>IFERROR(__xludf.DUMMYFUNCTION("""COMPUTED_VALUE"""),"OB MONTERSSORI TARPUALIN 
5X8 WITH SEANING AND EYELET ALL OVER")</f>
        <v>OB MONTERSSORI TARPUALIN 
5X8 WITH SEANING AND EYELET ALL OVER</v>
      </c>
      <c r="E679" s="196" t="str">
        <f>IFERROR(__xludf.DUMMYFUNCTION("""COMPUTED_VALUE"""),"FOR MARKETING")</f>
        <v>FOR MARKETING</v>
      </c>
    </row>
    <row r="680">
      <c r="A680" s="234">
        <f>IFERROR(__xludf.DUMMYFUNCTION("""COMPUTED_VALUE"""),100972.0)</f>
        <v>100972</v>
      </c>
      <c r="B680" s="235" t="str">
        <f>IFERROR(__xludf.DUMMYFUNCTION("""COMPUTED_VALUE"""),"SANDRA CLAIRE DUPIO")</f>
        <v>SANDRA CLAIRE DUPIO</v>
      </c>
      <c r="C680" s="235" t="str">
        <f>IFERROR(__xludf.DUMMYFUNCTION("""COMPUTED_VALUE"""),"LIBRARY BASIC ED")</f>
        <v>LIBRARY BASIC ED</v>
      </c>
      <c r="D680" s="196" t="str">
        <f>IFERROR(__xludf.DUMMYFUNCTION("""COMPUTED_VALUE"""),"100 IDEAS FOR PRIMARY TEACHERS CODING COLLABORATIVE PROFESSIONALISM")</f>
        <v>100 IDEAS FOR PRIMARY TEACHERS CODING COLLABORATIVE PROFESSIONALISM</v>
      </c>
      <c r="E680" s="196" t="str">
        <f>IFERROR(__xludf.DUMMYFUNCTION("""COMPUTED_VALUE"""),"TEACHERS REFERENCES")</f>
        <v>TEACHERS REFERENCES</v>
      </c>
    </row>
    <row r="681">
      <c r="A681" s="234">
        <f>IFERROR(__xludf.DUMMYFUNCTION("""COMPUTED_VALUE"""),100973.0)</f>
        <v>100973</v>
      </c>
      <c r="B681" s="235" t="str">
        <f>IFERROR(__xludf.DUMMYFUNCTION("""COMPUTED_VALUE"""),"S HEREE ESPINOSA")</f>
        <v>S HEREE ESPINOSA</v>
      </c>
      <c r="C681" s="235" t="str">
        <f>IFERROR(__xludf.DUMMYFUNCTION("""COMPUTED_VALUE"""),"HOUSEKEEPING")</f>
        <v>HOUSEKEEPING</v>
      </c>
      <c r="D681" s="196" t="str">
        <f>IFERROR(__xludf.DUMMYFUNCTION("""COMPUTED_VALUE"""),"PIN LIGHTS (WHITE)
VLN R480072 TWIN 
DIE CAST ALIMINUM
DIRECTION SPOTLIGHT
300K 900 LM W TRIBUNIC PHASE DIM DRIVER")</f>
        <v>PIN LIGHTS (WHITE)
VLN R480072 TWIN 
DIE CAST ALIMINUM
DIRECTION SPOTLIGHT
300K 900 LM W TRIBUNIC PHASE DIM DRIVER</v>
      </c>
      <c r="E681" s="196" t="str">
        <f>IFERROR(__xludf.DUMMYFUNCTION("""COMPUTED_VALUE"""),"FOR CMLC ROOM")</f>
        <v>FOR CMLC ROOM</v>
      </c>
    </row>
    <row r="682">
      <c r="A682" s="234">
        <f>IFERROR(__xludf.DUMMYFUNCTION("""COMPUTED_VALUE"""),100974.0)</f>
        <v>100974</v>
      </c>
      <c r="B682" s="235" t="str">
        <f>IFERROR(__xludf.DUMMYFUNCTION("""COMPUTED_VALUE"""),"SHEREE ESPINOSA")</f>
        <v>SHEREE ESPINOSA</v>
      </c>
      <c r="C682" s="235" t="str">
        <f>IFERROR(__xludf.DUMMYFUNCTION("""COMPUTED_VALUE"""),"HOUSEKEEPING")</f>
        <v>HOUSEKEEPING</v>
      </c>
      <c r="D682" s="196" t="str">
        <f>IFERROR(__xludf.DUMMYFUNCTION("""COMPUTED_VALUE"""),"GLASS DOOR TEMPERED")</f>
        <v>GLASS DOOR TEMPERED</v>
      </c>
      <c r="E682" s="196" t="str">
        <f>IFERROR(__xludf.DUMMYFUNCTION("""COMPUTED_VALUE"""),"REPLACEMNT FOR SOF SOUND BOOTH BROKEN GLASS GLASS BOARD")</f>
        <v>REPLACEMNT FOR SOF SOUND BOOTH BROKEN GLASS GLASS BOARD</v>
      </c>
    </row>
    <row r="683">
      <c r="A683" s="234">
        <f>IFERROR(__xludf.DUMMYFUNCTION("""COMPUTED_VALUE"""),100975.0)</f>
        <v>100975</v>
      </c>
      <c r="B683" s="235" t="str">
        <f>IFERROR(__xludf.DUMMYFUNCTION("""COMPUTED_VALUE"""),"SHEREE ESPINOSA")</f>
        <v>SHEREE ESPINOSA</v>
      </c>
      <c r="C683" s="235" t="str">
        <f>IFERROR(__xludf.DUMMYFUNCTION("""COMPUTED_VALUE"""),"HOUSEKEEPING")</f>
        <v>HOUSEKEEPING</v>
      </c>
      <c r="D683" s="196" t="str">
        <f>IFERROR(__xludf.DUMMYFUNCTION("""COMPUTED_VALUE"""),"GLASS BOARD ")</f>
        <v>GLASS BOARD </v>
      </c>
      <c r="E683" s="196" t="str">
        <f>IFERROR(__xludf.DUMMYFUNCTION("""COMPUTED_VALUE"""),"FOR CMLC 2 CLASSROOMS 5TH FLR")</f>
        <v>FOR CMLC 2 CLASSROOMS 5TH FLR</v>
      </c>
    </row>
    <row r="684">
      <c r="A684" s="234">
        <f>IFERROR(__xludf.DUMMYFUNCTION("""COMPUTED_VALUE"""),100976.0)</f>
        <v>100976</v>
      </c>
      <c r="B684" s="235" t="str">
        <f>IFERROR(__xludf.DUMMYFUNCTION("""COMPUTED_VALUE"""),"SHEREE ESPINOSA")</f>
        <v>SHEREE ESPINOSA</v>
      </c>
      <c r="C684" s="235" t="str">
        <f>IFERROR(__xludf.DUMMYFUNCTION("""COMPUTED_VALUE"""),"HOUSEKEEPING")</f>
        <v>HOUSEKEEPING</v>
      </c>
      <c r="D684" s="196" t="str">
        <f>IFERROR(__xludf.DUMMYFUNCTION("""COMPUTED_VALUE"""),"T5 LIGHTS CONTINUOUS SURFACE MOUNTED T5 LED LAMP WARM WHITE")</f>
        <v>T5 LIGHTS CONTINUOUS SURFACE MOUNTED T5 LED LAMP WARM WHITE</v>
      </c>
      <c r="E684" s="196" t="str">
        <f>IFERROR(__xludf.DUMMYFUNCTION("""COMPUTED_VALUE"""),"FOR CMLC 5TH FLOOR CLASSROMS HALLWAY")</f>
        <v>FOR CMLC 5TH FLOOR CLASSROMS HALLWAY</v>
      </c>
    </row>
    <row r="685">
      <c r="A685" s="234">
        <f>IFERROR(__xludf.DUMMYFUNCTION("""COMPUTED_VALUE"""),100977.0)</f>
        <v>100977</v>
      </c>
      <c r="B685" s="235" t="str">
        <f>IFERROR(__xludf.DUMMYFUNCTION("""COMPUTED_VALUE"""),"SANDRA CLAIRE DUPIO")</f>
        <v>SANDRA CLAIRE DUPIO</v>
      </c>
      <c r="C685" s="235" t="str">
        <f>IFERROR(__xludf.DUMMYFUNCTION("""COMPUTED_VALUE"""),"LIBRARY BASIC ED")</f>
        <v>LIBRARY BASIC ED</v>
      </c>
      <c r="D685" s="196" t="str">
        <f>IFERROR(__xludf.DUMMYFUNCTION("""COMPUTED_VALUE"""),"HD QUALITY VIDEO OF DEATH IN VENICE (1971)")</f>
        <v>HD QUALITY VIDEO OF DEATH IN VENICE (1971)</v>
      </c>
      <c r="E685" s="196" t="str">
        <f>IFERROR(__xludf.DUMMYFUNCTION("""COMPUTED_VALUE"""),"TEACHERS USE/ LIBARARY COPY")</f>
        <v>TEACHERS USE/ LIBARARY COPY</v>
      </c>
    </row>
    <row r="686">
      <c r="A686" s="234">
        <f>IFERROR(__xludf.DUMMYFUNCTION("""COMPUTED_VALUE"""),100978.0)</f>
        <v>100978</v>
      </c>
      <c r="B686" s="235" t="str">
        <f>IFERROR(__xludf.DUMMYFUNCTION("""COMPUTED_VALUE"""),"SANDRA CLAIRE DUPIO")</f>
        <v>SANDRA CLAIRE DUPIO</v>
      </c>
      <c r="C686" s="235" t="str">
        <f>IFERROR(__xludf.DUMMYFUNCTION("""COMPUTED_VALUE"""),"LIBRARY BASIC ED")</f>
        <v>LIBRARY BASIC ED</v>
      </c>
      <c r="D686" s="196" t="str">
        <f>IFERROR(__xludf.DUMMYFUNCTION("""COMPUTED_VALUE"""),"DEAR WORLD A SYRIANS GIRLS STORY OF WAR AND PLEA FOR PEACE
RISE OF THE ROBOTS
GENDER YOUR GUIDE
ENGLISH FOR EVERYONE : VOCABULARY BUILDER
ENGLISH FOR EVERYONE  BUSINESS ENGLISH
ENGLISH FOR EVERYONE: BUSINESS LELVL 1 ENGLISH
ENGLISH FOR EVERYONE COURSE LEV"&amp;"EL 2 BOOK LEVEL 4")</f>
        <v>DEAR WORLD A SYRIANS GIRLS STORY OF WAR AND PLEA FOR PEACE
RISE OF THE ROBOTS
GENDER YOUR GUIDE
ENGLISH FOR EVERYONE : VOCABULARY BUILDER
ENGLISH FOR EVERYONE  BUSINESS ENGLISH
ENGLISH FOR EVERYONE: BUSINESS LELVL 1 ENGLISH
ENGLISH FOR EVERYONE COURSE LEVEL 2 BOOK LEVEL 4</v>
      </c>
      <c r="E686" s="196" t="str">
        <f>IFERROR(__xludf.DUMMYFUNCTION("""COMPUTED_VALUE"""),"FOR TEACHERS AND STUDENT REFERENCES/ENGLISH")</f>
        <v>FOR TEACHERS AND STUDENT REFERENCES/ENGLISH</v>
      </c>
    </row>
    <row r="687">
      <c r="A687" s="234">
        <f>IFERROR(__xludf.DUMMYFUNCTION("""COMPUTED_VALUE"""),100979.0)</f>
        <v>100979</v>
      </c>
      <c r="B687" s="235" t="str">
        <f>IFERROR(__xludf.DUMMYFUNCTION("""COMPUTED_VALUE"""),"MAJ THOMAS ")</f>
        <v>MAJ THOMAS </v>
      </c>
      <c r="C687" s="235" t="str">
        <f>IFERROR(__xludf.DUMMYFUNCTION("""COMPUTED_VALUE"""),"ACCREDITATION")</f>
        <v>ACCREDITATION</v>
      </c>
      <c r="D687" s="196" t="str">
        <f>IFERROR(__xludf.DUMMYFUNCTION("""COMPUTED_VALUE"""),"PLASTIC FILLERS")</f>
        <v>PLASTIC FILLERS</v>
      </c>
      <c r="E687" s="196" t="str">
        <f>IFERROR(__xludf.DUMMYFUNCTION("""COMPUTED_VALUE"""),"FOR PACUCOA ")</f>
        <v>FOR PACUCOA </v>
      </c>
    </row>
    <row r="688">
      <c r="A688" s="234">
        <f>IFERROR(__xludf.DUMMYFUNCTION("""COMPUTED_VALUE"""),100980.0)</f>
        <v>100980</v>
      </c>
      <c r="B688" s="235" t="str">
        <f>IFERROR(__xludf.DUMMYFUNCTION("""COMPUTED_VALUE"""),"JOHN WRAITH")</f>
        <v>JOHN WRAITH</v>
      </c>
      <c r="C688" s="235" t="str">
        <f>IFERROR(__xludf.DUMMYFUNCTION("""COMPUTED_VALUE"""),"I.B.")</f>
        <v>I.B.</v>
      </c>
      <c r="D688" s="196" t="str">
        <f>IFERROR(__xludf.DUMMYFUNCTION("""COMPUTED_VALUE"""),"CALLING CARD")</f>
        <v>CALLING CARD</v>
      </c>
      <c r="E688" s="196" t="str">
        <f>IFERROR(__xludf.DUMMYFUNCTION("""COMPUTED_VALUE"""),"GIVE TO PARENTS")</f>
        <v>GIVE TO PARENTS</v>
      </c>
    </row>
    <row r="689">
      <c r="A689" s="234">
        <f>IFERROR(__xludf.DUMMYFUNCTION("""COMPUTED_VALUE"""),100981.0)</f>
        <v>100981</v>
      </c>
      <c r="B689" s="235" t="str">
        <f>IFERROR(__xludf.DUMMYFUNCTION("""COMPUTED_VALUE"""),"OWIE PAR")</f>
        <v>OWIE PAR</v>
      </c>
      <c r="C689" s="235" t="str">
        <f>IFERROR(__xludf.DUMMYFUNCTION("""COMPUTED_VALUE"""),"ENGINEERING")</f>
        <v>ENGINEERING</v>
      </c>
      <c r="D689" s="196" t="str">
        <f>IFERROR(__xludf.DUMMYFUNCTION("""COMPUTED_VALUE"""),"FLOAT SWITCH ")</f>
        <v>FLOAT SWITCH </v>
      </c>
      <c r="E689" s="196" t="str">
        <f>IFERROR(__xludf.DUMMYFUNCTION("""COMPUTED_VALUE"""),"FOR COL AND LUX OVER HEAD TANK")</f>
        <v>FOR COL AND LUX OVER HEAD TANK</v>
      </c>
    </row>
    <row r="690">
      <c r="A690" s="234">
        <f>IFERROR(__xludf.DUMMYFUNCTION("""COMPUTED_VALUE"""),100982.0)</f>
        <v>100982</v>
      </c>
      <c r="B690" s="235" t="str">
        <f>IFERROR(__xludf.DUMMYFUNCTION("""COMPUTED_VALUE"""),"OWIE PAR")</f>
        <v>OWIE PAR</v>
      </c>
      <c r="C690" s="235" t="str">
        <f>IFERROR(__xludf.DUMMYFUNCTION("""COMPUTED_VALUE"""),"ENGINEERING")</f>
        <v>ENGINEERING</v>
      </c>
      <c r="D690" s="196" t="str">
        <f>IFERROR(__xludf.DUMMYFUNCTION("""COMPUTED_VALUE"""),"CIRCUIT BREAKER 30AMP ")</f>
        <v>CIRCUIT BREAKER 30AMP </v>
      </c>
      <c r="E690" s="196" t="str">
        <f>IFERROR(__xludf.DUMMYFUNCTION("""COMPUTED_VALUE"""),"FOR COL 503 AND 510 ACU")</f>
        <v>FOR COL 503 AND 510 ACU</v>
      </c>
    </row>
    <row r="691">
      <c r="A691" s="234">
        <f>IFERROR(__xludf.DUMMYFUNCTION("""COMPUTED_VALUE"""),100983.0)</f>
        <v>100983</v>
      </c>
      <c r="B691" s="235" t="str">
        <f>IFERROR(__xludf.DUMMYFUNCTION("""COMPUTED_VALUE"""),"MAJ THOMAS ")</f>
        <v>MAJ THOMAS </v>
      </c>
      <c r="C691" s="235" t="str">
        <f>IFERROR(__xludf.DUMMYFUNCTION("""COMPUTED_VALUE"""),"ACCREDITATION")</f>
        <v>ACCREDITATION</v>
      </c>
      <c r="D691" s="196" t="str">
        <f>IFERROR(__xludf.DUMMYFUNCTION("""COMPUTED_VALUE"""),"BINDERS TAB (BINDER MAX)
PVC SELF ADHESIVE
INDEX TALL
SIZE 6""X1/2""
QTY 25 PACKS
COLOR CLEAN")</f>
        <v>BINDERS TAB (BINDER MAX)
PVC SELF ADHESIVE
INDEX TALL
SIZE 6"X1/2"
QTY 25 PACKS
COLOR CLEAN</v>
      </c>
      <c r="E691" s="196" t="str">
        <f>IFERROR(__xludf.DUMMYFUNCTION("""COMPUTED_VALUE"""),"TO BE USED FOR DOCUMENTATION")</f>
        <v>TO BE USED FOR DOCUMENTATION</v>
      </c>
    </row>
    <row r="692">
      <c r="A692" s="234">
        <f>IFERROR(__xludf.DUMMYFUNCTION("""COMPUTED_VALUE"""),100984.0)</f>
        <v>100984</v>
      </c>
      <c r="B692" s="235" t="str">
        <f>IFERROR(__xludf.DUMMYFUNCTION("""COMPUTED_VALUE"""),"MAJ THOMAS ")</f>
        <v>MAJ THOMAS </v>
      </c>
      <c r="C692" s="235" t="str">
        <f>IFERROR(__xludf.DUMMYFUNCTION("""COMPUTED_VALUE"""),"ACCREDITATION")</f>
        <v>ACCREDITATION</v>
      </c>
      <c r="D692" s="196" t="str">
        <f>IFERROR(__xludf.DUMMYFUNCTION("""COMPUTED_VALUE"""),"BINDERS TAB (BINDER MAX)
PVC SELF ADHESIVE
INDEX TALL
SIZE 6""X1/2""
QTY 25 PACKS
COLOR CLEAN")</f>
        <v>BINDERS TAB (BINDER MAX)
PVC SELF ADHESIVE
INDEX TALL
SIZE 6"X1/2"
QTY 25 PACKS
COLOR CLEAN</v>
      </c>
      <c r="E692" s="196" t="str">
        <f>IFERROR(__xludf.DUMMYFUNCTION("""COMPUTED_VALUE"""),"TO BE USED FOR DOCUMENTATION")</f>
        <v>TO BE USED FOR DOCUMENTATION</v>
      </c>
    </row>
    <row r="693">
      <c r="A693" s="234">
        <f>IFERROR(__xludf.DUMMYFUNCTION("""COMPUTED_VALUE"""),100985.0)</f>
        <v>100985</v>
      </c>
      <c r="B693" s="235" t="str">
        <f>IFERROR(__xludf.DUMMYFUNCTION("""COMPUTED_VALUE"""),"GERLIE MONTELLANO")</f>
        <v>GERLIE MONTELLANO</v>
      </c>
      <c r="C693" s="235" t="str">
        <f>IFERROR(__xludf.DUMMYFUNCTION("""COMPUTED_VALUE"""),"PR &amp; MARKETING")</f>
        <v>PR &amp; MARKETING</v>
      </c>
      <c r="D693" s="196" t="str">
        <f>IFERROR(__xludf.DUMMYFUNCTION("""COMPUTED_VALUE"""),"16 GB FLASHDRIVE ; CLICKER")</f>
        <v>16 GB FLASHDRIVE ; CLICKER</v>
      </c>
      <c r="E693" s="196" t="str">
        <f>IFERROR(__xludf.DUMMYFUNCTION("""COMPUTED_VALUE"""),"CAREER PRESENTATION STORAGE")</f>
        <v>CAREER PRESENTATION STORAGE</v>
      </c>
    </row>
    <row r="694">
      <c r="A694" s="234">
        <f>IFERROR(__xludf.DUMMYFUNCTION("""COMPUTED_VALUE"""),100986.0)</f>
        <v>100986</v>
      </c>
      <c r="B694" s="235" t="str">
        <f>IFERROR(__xludf.DUMMYFUNCTION("""COMPUTED_VALUE"""),"SHEREE ESPINOSA")</f>
        <v>SHEREE ESPINOSA</v>
      </c>
      <c r="C694" s="235" t="str">
        <f>IFERROR(__xludf.DUMMYFUNCTION("""COMPUTED_VALUE"""),"ADMIN")</f>
        <v>ADMIN</v>
      </c>
      <c r="D694" s="196" t="str">
        <f>IFERROR(__xludf.DUMMYFUNCTION("""COMPUTED_VALUE"""),"COFFEE TABLE")</f>
        <v>COFFEE TABLE</v>
      </c>
      <c r="E694" s="196" t="str">
        <f>IFERROR(__xludf.DUMMYFUNCTION("""COMPUTED_VALUE"""),"FOR 2ND FLOOR COLLEGE LOUNGE")</f>
        <v>FOR 2ND FLOOR COLLEGE LOUNGE</v>
      </c>
    </row>
    <row r="695">
      <c r="A695" s="234">
        <f>IFERROR(__xludf.DUMMYFUNCTION("""COMPUTED_VALUE"""),100987.0)</f>
        <v>100987</v>
      </c>
      <c r="B695" s="235" t="str">
        <f>IFERROR(__xludf.DUMMYFUNCTION("""COMPUTED_VALUE"""),"OWIE PAR")</f>
        <v>OWIE PAR</v>
      </c>
      <c r="C695" s="235" t="str">
        <f>IFERROR(__xludf.DUMMYFUNCTION("""COMPUTED_VALUE"""),"ENGINEERING")</f>
        <v>ENGINEERING</v>
      </c>
      <c r="D695" s="196" t="str">
        <f>IFERROR(__xludf.DUMMYFUNCTION("""COMPUTED_VALUE"""),"MATERIALS FOR REPAINTING OF COURT IN OPEN AREA LUX CAMPUS")</f>
        <v>MATERIALS FOR REPAINTING OF COURT IN OPEN AREA LUX CAMPUS</v>
      </c>
      <c r="E695" s="196" t="str">
        <f>IFERROR(__xludf.DUMMYFUNCTION("""COMPUTED_VALUE"""),"REPAINTING OF COURT IN OPEN AREA LUX CAMPUS")</f>
        <v>REPAINTING OF COURT IN OPEN AREA LUX CAMPUS</v>
      </c>
    </row>
    <row r="696">
      <c r="A696" s="234">
        <f>IFERROR(__xludf.DUMMYFUNCTION("""COMPUTED_VALUE"""),100988.0)</f>
        <v>100988</v>
      </c>
      <c r="B696" s="235" t="str">
        <f>IFERROR(__xludf.DUMMYFUNCTION("""COMPUTED_VALUE"""),"SHEREE ESPINOSA")</f>
        <v>SHEREE ESPINOSA</v>
      </c>
      <c r="C696" s="235" t="str">
        <f>IFERROR(__xludf.DUMMYFUNCTION("""COMPUTED_VALUE"""),"HOUSEKEEPING")</f>
        <v>HOUSEKEEPING</v>
      </c>
      <c r="D696" s="196" t="str">
        <f>IFERROR(__xludf.DUMMYFUNCTION("""COMPUTED_VALUE"""),"glass board  6x4 1pc.")</f>
        <v>glass board  6x4 1pc.</v>
      </c>
      <c r="E696" s="196" t="str">
        <f>IFERROR(__xludf.DUMMYFUNCTION("""COMPUTED_VALUE"""),"replacement of galssboard at college rm. 205")</f>
        <v>replacement of galssboard at college rm. 205</v>
      </c>
    </row>
    <row r="697">
      <c r="A697" s="234">
        <f>IFERROR(__xludf.DUMMYFUNCTION("""COMPUTED_VALUE"""),100989.0)</f>
        <v>100989</v>
      </c>
      <c r="B697" s="235" t="str">
        <f>IFERROR(__xludf.DUMMYFUNCTION("""COMPUTED_VALUE"""),"APRIL D. TRAJICO")</f>
        <v>APRIL D. TRAJICO</v>
      </c>
      <c r="C697" s="235" t="str">
        <f>IFERROR(__xludf.DUMMYFUNCTION("""COMPUTED_VALUE"""),"AMD")</f>
        <v>AMD</v>
      </c>
      <c r="D697" s="196" t="str">
        <f>IFERROR(__xludf.DUMMYFUNCTION("""COMPUTED_VALUE"""),"ART MATERIALS, BEAD ART KIT 115SETS")</f>
        <v>ART MATERIALS, BEAD ART KIT 115SETS</v>
      </c>
      <c r="E697" s="196" t="str">
        <f>IFERROR(__xludf.DUMMYFUNCTION("""COMPUTED_VALUE"""),"ART MATERIALS AY19-20 GRADE 6 (2ND TERM)")</f>
        <v>ART MATERIALS AY19-20 GRADE 6 (2ND TERM)</v>
      </c>
    </row>
    <row r="698">
      <c r="A698" s="234">
        <f>IFERROR(__xludf.DUMMYFUNCTION("""COMPUTED_VALUE"""),100990.0)</f>
        <v>100990</v>
      </c>
      <c r="B698" s="235" t="str">
        <f>IFERROR(__xludf.DUMMYFUNCTION("""COMPUTED_VALUE"""),"APRIL D. TRAJICO")</f>
        <v>APRIL D. TRAJICO</v>
      </c>
      <c r="C698" s="235" t="str">
        <f>IFERROR(__xludf.DUMMYFUNCTION("""COMPUTED_VALUE"""),"AMD")</f>
        <v>AMD</v>
      </c>
      <c r="D698" s="196" t="str">
        <f>IFERROR(__xludf.DUMMYFUNCTION("""COMPUTED_VALUE"""),"ART MATERIALS, PAPER CLAY KIT 132SETS")</f>
        <v>ART MATERIALS, PAPER CLAY KIT 132SETS</v>
      </c>
      <c r="E698" s="196" t="str">
        <f>IFERROR(__xludf.DUMMYFUNCTION("""COMPUTED_VALUE"""),"ART MATERIALS AY19-20 GRADE 7 (2ND TERM)")</f>
        <v>ART MATERIALS AY19-20 GRADE 7 (2ND TERM)</v>
      </c>
    </row>
    <row r="699">
      <c r="A699" s="234">
        <f>IFERROR(__xludf.DUMMYFUNCTION("""COMPUTED_VALUE"""),100991.0)</f>
        <v>100991</v>
      </c>
      <c r="B699" s="235" t="str">
        <f>IFERROR(__xludf.DUMMYFUNCTION("""COMPUTED_VALUE"""),"APRIL D. TRAJICO")</f>
        <v>APRIL D. TRAJICO</v>
      </c>
      <c r="C699" s="235" t="str">
        <f>IFERROR(__xludf.DUMMYFUNCTION("""COMPUTED_VALUE"""),"AMD")</f>
        <v>AMD</v>
      </c>
      <c r="D699" s="196" t="str">
        <f>IFERROR(__xludf.DUMMYFUNCTION("""COMPUTED_VALUE"""),"ART MATERIALS, PAPER CLAY TISSUE HOLDER (OCTAGON SHAPE) 100SETS")</f>
        <v>ART MATERIALS, PAPER CLAY TISSUE HOLDER (OCTAGON SHAPE) 100SETS</v>
      </c>
      <c r="E699" s="196" t="str">
        <f>IFERROR(__xludf.DUMMYFUNCTION("""COMPUTED_VALUE"""),"ART MATERIALS AY19-20 GRADE 3 (2ND TERM)")</f>
        <v>ART MATERIALS AY19-20 GRADE 3 (2ND TERM)</v>
      </c>
    </row>
    <row r="700">
      <c r="A700" s="234">
        <f>IFERROR(__xludf.DUMMYFUNCTION("""COMPUTED_VALUE"""),100992.0)</f>
        <v>100992</v>
      </c>
      <c r="B700" s="235" t="str">
        <f>IFERROR(__xludf.DUMMYFUNCTION("""COMPUTED_VALUE"""),"APRIL D. TRAJICO")</f>
        <v>APRIL D. TRAJICO</v>
      </c>
      <c r="C700" s="235" t="str">
        <f>IFERROR(__xludf.DUMMYFUNCTION("""COMPUTED_VALUE"""),"AMD")</f>
        <v>AMD</v>
      </c>
      <c r="D700" s="196" t="str">
        <f>IFERROR(__xludf.DUMMYFUNCTION("""COMPUTED_VALUE"""),"ART MATERIALS, FACE MASK KIT 100PCS")</f>
        <v>ART MATERIALS, FACE MASK KIT 100PCS</v>
      </c>
      <c r="E700" s="196" t="str">
        <f>IFERROR(__xludf.DUMMYFUNCTION("""COMPUTED_VALUE"""),"ART MATERIALS AY19-20 GRADE 4 (2ND TERM)")</f>
        <v>ART MATERIALS AY19-20 GRADE 4 (2ND TERM)</v>
      </c>
    </row>
    <row r="701">
      <c r="A701" s="234">
        <f>IFERROR(__xludf.DUMMYFUNCTION("""COMPUTED_VALUE"""),100993.0)</f>
        <v>100993</v>
      </c>
      <c r="B701" s="235" t="str">
        <f>IFERROR(__xludf.DUMMYFUNCTION("""COMPUTED_VALUE"""),"APRIL D. TRAJICO")</f>
        <v>APRIL D. TRAJICO</v>
      </c>
      <c r="C701" s="235" t="str">
        <f>IFERROR(__xludf.DUMMYFUNCTION("""COMPUTED_VALUE"""),"AMD")</f>
        <v>AMD</v>
      </c>
      <c r="D701" s="196" t="str">
        <f>IFERROR(__xludf.DUMMYFUNCTION("""COMPUTED_VALUE"""),"OIL PASTEL, CRAY PASS 12PCS LI'L HANDS 170PCS")</f>
        <v>OIL PASTEL, CRAY PASS 12PCS LI'L HANDS 170PCS</v>
      </c>
      <c r="E701" s="196" t="str">
        <f>IFERROR(__xludf.DUMMYFUNCTION("""COMPUTED_VALUE"""),"ART MATERIALS AY19-20 GRADES 3&amp;4 (2ND TERM)")</f>
        <v>ART MATERIALS AY19-20 GRADES 3&amp;4 (2ND TERM)</v>
      </c>
    </row>
    <row r="702">
      <c r="A702" s="234">
        <f>IFERROR(__xludf.DUMMYFUNCTION("""COMPUTED_VALUE"""),100994.0)</f>
        <v>100994</v>
      </c>
      <c r="B702" s="235" t="str">
        <f>IFERROR(__xludf.DUMMYFUNCTION("""COMPUTED_VALUE"""),"APRIL D. TRAJICO")</f>
        <v>APRIL D. TRAJICO</v>
      </c>
      <c r="C702" s="235" t="str">
        <f>IFERROR(__xludf.DUMMYFUNCTION("""COMPUTED_VALUE"""),"AMD")</f>
        <v>AMD</v>
      </c>
      <c r="D702" s="196" t="str">
        <f>IFERROR(__xludf.DUMMYFUNCTION("""COMPUTED_VALUE"""),"WATER COLOR, PRANG 16'S 150SETS; PAPER, WATER COLOR PAPER CANSON A4 (10PCS/PACK) 200GSM 150SETS; PAINT BRUSH NYLON SOFT BRUSH FLAT #10 150PCS; PAINT BRUSH NYLON SOFT BRUSH ROUND #3 150PCS")</f>
        <v>WATER COLOR, PRANG 16'S 150SETS; PAPER, WATER COLOR PAPER CANSON A4 (10PCS/PACK) 200GSM 150SETS; PAINT BRUSH NYLON SOFT BRUSH FLAT #10 150PCS; PAINT BRUSH NYLON SOFT BRUSH ROUND #3 150PCS</v>
      </c>
      <c r="E702" s="196" t="str">
        <f>IFERROR(__xludf.DUMMYFUNCTION("""COMPUTED_VALUE"""),"ART MATERIALS AY19-20 GRADE 10 (3RD TERM)")</f>
        <v>ART MATERIALS AY19-20 GRADE 10 (3RD TERM)</v>
      </c>
    </row>
    <row r="703">
      <c r="A703" s="234">
        <f>IFERROR(__xludf.DUMMYFUNCTION("""COMPUTED_VALUE"""),100995.0)</f>
        <v>100995</v>
      </c>
      <c r="B703" s="235" t="str">
        <f>IFERROR(__xludf.DUMMYFUNCTION("""COMPUTED_VALUE"""),"ADRIAN DE GUINTO")</f>
        <v>ADRIAN DE GUINTO</v>
      </c>
      <c r="C703" s="235" t="str">
        <f>IFERROR(__xludf.DUMMYFUNCTION("""COMPUTED_VALUE"""),"PR &amp; MARKETING")</f>
        <v>PR &amp; MARKETING</v>
      </c>
      <c r="D703" s="196" t="str">
        <f>IFERROR(__xludf.DUMMYFUNCTION("""COMPUTED_VALUE"""),"WSC DELEGATES CONGRATULATORY TARP
6X9
7X10 W/ ALLOWANCE")</f>
        <v>WSC DELEGATES CONGRATULATORY TARP
6X9
7X10 W/ ALLOWANCE</v>
      </c>
      <c r="E703" s="196" t="str">
        <f>IFERROR(__xludf.DUMMYFUNCTION("""COMPUTED_VALUE"""),"MARKETING ADVERTISMENT")</f>
        <v>MARKETING ADVERTISMENT</v>
      </c>
    </row>
    <row r="704">
      <c r="A704" s="234">
        <f>IFERROR(__xludf.DUMMYFUNCTION("""COMPUTED_VALUE"""),100996.0)</f>
        <v>100996</v>
      </c>
      <c r="B704" s="235" t="str">
        <f>IFERROR(__xludf.DUMMYFUNCTION("""COMPUTED_VALUE"""),"BELOY LEOPOLDO")</f>
        <v>BELOY LEOPOLDO</v>
      </c>
      <c r="C704" s="235" t="str">
        <f>IFERROR(__xludf.DUMMYFUNCTION("""COMPUTED_VALUE"""),"MIS/ICT")</f>
        <v>MIS/ICT</v>
      </c>
      <c r="D704" s="196" t="str">
        <f>IFERROR(__xludf.DUMMYFUNCTION("""COMPUTED_VALUE"""),"PROJECTOR EB-442")</f>
        <v>PROJECTOR EB-442</v>
      </c>
      <c r="E704" s="196" t="str">
        <f>IFERROR(__xludf.DUMMYFUNCTION("""COMPUTED_VALUE"""),"REPLACEMENT OF PROJECTOR IN ROOM 308,307,309,310,311,312")</f>
        <v>REPLACEMENT OF PROJECTOR IN ROOM 308,307,309,310,311,312</v>
      </c>
    </row>
    <row r="705">
      <c r="A705" s="234">
        <f>IFERROR(__xludf.DUMMYFUNCTION("""COMPUTED_VALUE"""),100997.0)</f>
        <v>100997</v>
      </c>
      <c r="B705" s="235" t="str">
        <f>IFERROR(__xludf.DUMMYFUNCTION("""COMPUTED_VALUE"""),"SHEREE ESPINOSA")</f>
        <v>SHEREE ESPINOSA</v>
      </c>
      <c r="C705" s="235" t="str">
        <f>IFERROR(__xludf.DUMMYFUNCTION("""COMPUTED_VALUE"""),"HOUSEKEEPING")</f>
        <v>HOUSEKEEPING</v>
      </c>
      <c r="D705" s="196" t="str">
        <f>IFERROR(__xludf.DUMMYFUNCTION("""COMPUTED_VALUE"""),"QOUTE FOR THE WALL ")</f>
        <v>QOUTE FOR THE WALL </v>
      </c>
      <c r="E705" s="196" t="str">
        <f>IFERROR(__xludf.DUMMYFUNCTION("""COMPUTED_VALUE"""),"FOR PRAYER ROOM")</f>
        <v>FOR PRAYER ROOM</v>
      </c>
    </row>
    <row r="706">
      <c r="A706" s="234">
        <f>IFERROR(__xludf.DUMMYFUNCTION("""COMPUTED_VALUE"""),100998.0)</f>
        <v>100998</v>
      </c>
      <c r="B706" s="235" t="str">
        <f>IFERROR(__xludf.DUMMYFUNCTION("""COMPUTED_VALUE"""),"apollo mance")</f>
        <v>apollo mance</v>
      </c>
      <c r="C706" s="235" t="str">
        <f>IFERROR(__xludf.DUMMYFUNCTION("""COMPUTED_VALUE"""),"ENGINEERING")</f>
        <v>ENGINEERING</v>
      </c>
      <c r="D706" s="196" t="str">
        <f>IFERROR(__xludf.DUMMYFUNCTION("""COMPUTED_VALUE"""),"capacitor 60/50/40/30uf 20pcs. each")</f>
        <v>capacitor 60/50/40/30uf 20pcs. each</v>
      </c>
      <c r="E706" s="196" t="str">
        <f>IFERROR(__xludf.DUMMYFUNCTION("""COMPUTED_VALUE"""),"stock replenish and additional capacitor variant")</f>
        <v>stock replenish and additional capacitor variant</v>
      </c>
    </row>
    <row r="707">
      <c r="A707" s="234">
        <f>IFERROR(__xludf.DUMMYFUNCTION("""COMPUTED_VALUE"""),100999.0)</f>
        <v>100999</v>
      </c>
      <c r="B707" s="235" t="str">
        <f>IFERROR(__xludf.DUMMYFUNCTION("""COMPUTED_VALUE"""),"ROMAN BALUYOT")</f>
        <v>ROMAN BALUYOT</v>
      </c>
      <c r="C707" s="235" t="str">
        <f>IFERROR(__xludf.DUMMYFUNCTION("""COMPUTED_VALUE"""),"PR &amp; MARKETING")</f>
        <v>PR &amp; MARKETING</v>
      </c>
      <c r="D707" s="196" t="str">
        <f>IFERROR(__xludf.DUMMYFUNCTION("""COMPUTED_VALUE"""),"SOUTHVILLE/PIN
SGEN 1X1 IN LOGO WILL BE USED")</f>
        <v>SOUTHVILLE/PIN
SGEN 1X1 IN LOGO WILL BE USED</v>
      </c>
      <c r="E707" s="196" t="str">
        <f>IFERROR(__xludf.DUMMYFUNCTION("""COMPUTED_VALUE"""),"MARKETING")</f>
        <v>MARKETING</v>
      </c>
    </row>
    <row r="708">
      <c r="A708" s="234">
        <f>IFERROR(__xludf.DUMMYFUNCTION("""COMPUTED_VALUE"""),101000.0)</f>
        <v>101000</v>
      </c>
      <c r="B708" s="235" t="str">
        <f>IFERROR(__xludf.DUMMYFUNCTION("""COMPUTED_VALUE"""),"LEOLPO BELOY")</f>
        <v>LEOLPO BELOY</v>
      </c>
      <c r="C708" s="235" t="str">
        <f>IFERROR(__xludf.DUMMYFUNCTION("""COMPUTED_VALUE"""),"MIS/ICT")</f>
        <v>MIS/ICT</v>
      </c>
      <c r="D708" s="196" t="str">
        <f>IFERROR(__xludf.DUMMYFUNCTION("""COMPUTED_VALUE"""),"HDMI PORT")</f>
        <v>HDMI PORT</v>
      </c>
      <c r="E708" s="196" t="str">
        <f>IFERROR(__xludf.DUMMYFUNCTION("""COMPUTED_VALUE"""),"FOR CMLC INSTALLATION")</f>
        <v>FOR CMLC INSTALLATION</v>
      </c>
    </row>
    <row r="709">
      <c r="A709" s="234">
        <f>IFERROR(__xludf.DUMMYFUNCTION("""COMPUTED_VALUE"""),101001.0)</f>
        <v>101001</v>
      </c>
      <c r="B709" s="235" t="str">
        <f>IFERROR(__xludf.DUMMYFUNCTION("""COMPUTED_VALUE"""),"apollo mance")</f>
        <v>apollo mance</v>
      </c>
      <c r="C709" s="235" t="str">
        <f>IFERROR(__xludf.DUMMYFUNCTION("""COMPUTED_VALUE"""),"AMD")</f>
        <v>AMD</v>
      </c>
      <c r="D709" s="196" t="str">
        <f>IFERROR(__xludf.DUMMYFUNCTION("""COMPUTED_VALUE"""),"SILICON SEALANT 
SEALANT GUN")</f>
        <v>SILICON SEALANT 
SEALANT GUN</v>
      </c>
      <c r="E709" s="196" t="str">
        <f>IFERROR(__xludf.DUMMYFUNCTION("""COMPUTED_VALUE"""),"FOR OLD MATMAN OFFICE")</f>
        <v>FOR OLD MATMAN OFFICE</v>
      </c>
    </row>
    <row r="710">
      <c r="A710" s="234">
        <f>IFERROR(__xludf.DUMMYFUNCTION("""COMPUTED_VALUE"""),101002.0)</f>
        <v>101002</v>
      </c>
      <c r="B710" s="235" t="str">
        <f>IFERROR(__xludf.DUMMYFUNCTION("""COMPUTED_VALUE"""),"CHRISTIAN ANDRES")</f>
        <v>CHRISTIAN ANDRES</v>
      </c>
      <c r="C710" s="235" t="str">
        <f>IFERROR(__xludf.DUMMYFUNCTION("""COMPUTED_VALUE"""),"PR &amp; MARKETING")</f>
        <v>PR &amp; MARKETING</v>
      </c>
      <c r="D710" s="196" t="str">
        <f>IFERROR(__xludf.DUMMYFUNCTION("""COMPUTED_VALUE"""),"COLLEGE INFORMATION PACKET")</f>
        <v>COLLEGE INFORMATION PACKET</v>
      </c>
      <c r="E710" s="196" t="str">
        <f>IFERROR(__xludf.DUMMYFUNCTION("""COMPUTED_VALUE"""),"MARKETING")</f>
        <v>MARKETING</v>
      </c>
    </row>
    <row r="711">
      <c r="A711" s="234">
        <f>IFERROR(__xludf.DUMMYFUNCTION("""COMPUTED_VALUE"""),101003.0)</f>
        <v>101003</v>
      </c>
      <c r="B711" s="235" t="str">
        <f>IFERROR(__xludf.DUMMYFUNCTION("""COMPUTED_VALUE"""),"JHON WRAITH")</f>
        <v>JHON WRAITH</v>
      </c>
      <c r="C711" s="235" t="str">
        <f>IFERROR(__xludf.DUMMYFUNCTION("""COMPUTED_VALUE"""),"I.B.")</f>
        <v>I.B.</v>
      </c>
      <c r="D711" s="196" t="str">
        <f>IFERROR(__xludf.DUMMYFUNCTION("""COMPUTED_VALUE"""),"HAZARDOUS LIQUID CHEMICLAS CONTAINER")</f>
        <v>HAZARDOUS LIQUID CHEMICLAS CONTAINER</v>
      </c>
      <c r="E711" s="196" t="str">
        <f>IFERROR(__xludf.DUMMYFUNCTION("""COMPUTED_VALUE"""),"FOR LABORATORY USE")</f>
        <v>FOR LABORATORY USE</v>
      </c>
    </row>
    <row r="712">
      <c r="A712" s="234">
        <f>IFERROR(__xludf.DUMMYFUNCTION("""COMPUTED_VALUE"""),101004.0)</f>
        <v>101004</v>
      </c>
      <c r="B712" s="235" t="str">
        <f>IFERROR(__xludf.DUMMYFUNCTION("""COMPUTED_VALUE"""),"JAQUELINE SAMSONA")</f>
        <v>JAQUELINE SAMSONA</v>
      </c>
      <c r="C712" s="235" t="str">
        <f>IFERROR(__xludf.DUMMYFUNCTION("""COMPUTED_VALUE"""),"SCIENCE LAB COLLEGE")</f>
        <v>SCIENCE LAB COLLEGE</v>
      </c>
      <c r="D712" s="196" t="str">
        <f>IFERROR(__xludf.DUMMYFUNCTION("""COMPUTED_VALUE"""),"2 DURABOX; 4 SMALL CONTAINER; 1 BAND-AID; 5 ADAPTOR")</f>
        <v>2 DURABOX; 4 SMALL CONTAINER; 1 BAND-AID; 5 ADAPTOR</v>
      </c>
      <c r="E712" s="196" t="str">
        <f>IFERROR(__xludf.DUMMYFUNCTION("""COMPUTED_VALUE"""),"FOR ADDITIONAL SUPPLIES")</f>
        <v>FOR ADDITIONAL SUPPLIES</v>
      </c>
    </row>
    <row r="713">
      <c r="A713" s="234">
        <f>IFERROR(__xludf.DUMMYFUNCTION("""COMPUTED_VALUE"""),101005.0)</f>
        <v>101005</v>
      </c>
      <c r="B713" s="235" t="str">
        <f>IFERROR(__xludf.DUMMYFUNCTION("""COMPUTED_VALUE"""),"SYRA LAGATOC")</f>
        <v>SYRA LAGATOC</v>
      </c>
      <c r="C713" s="235" t="str">
        <f>IFERROR(__xludf.DUMMYFUNCTION("""COMPUTED_VALUE"""),"ENGLISH BED")</f>
        <v>ENGLISH BED</v>
      </c>
      <c r="D713" s="196" t="str">
        <f>IFERROR(__xludf.DUMMYFUNCTION("""COMPUTED_VALUE"""),"PRE-SCHOOL TO GRADE SCHOOL GR 5 
COVER PAGE
BACK COVER (FULL COLOR)
BOOK PAGES 
WHOLE SET
HIGH SCHOOL COVER PAGE (FULL COLOR)
BACK COVER (FULL COLOR)
BOOK PAGES 
WHOLE SET")</f>
        <v>PRE-SCHOOL TO GRADE SCHOOL GR 5 
COVER PAGE
BACK COVER (FULL COLOR)
BOOK PAGES 
WHOLE SET
HIGH SCHOOL COVER PAGE (FULL COLOR)
BACK COVER (FULL COLOR)
BOOK PAGES 
WHOLE SET</v>
      </c>
      <c r="E713" s="196" t="str">
        <f>IFERROR(__xludf.DUMMYFUNCTION("""COMPUTED_VALUE"""),"DOZMI PUBLICATION")</f>
        <v>DOZMI PUBLICATION</v>
      </c>
    </row>
    <row r="714">
      <c r="A714" s="234">
        <f>IFERROR(__xludf.DUMMYFUNCTION("""COMPUTED_VALUE"""),101006.0)</f>
        <v>101006</v>
      </c>
      <c r="B714" s="235" t="str">
        <f>IFERROR(__xludf.DUMMYFUNCTION("""COMPUTED_VALUE"""),"NESSIE LUMBRES ")</f>
        <v>NESSIE LUMBRES </v>
      </c>
      <c r="C714" s="235" t="str">
        <f>IFERROR(__xludf.DUMMYFUNCTION("""COMPUTED_VALUE"""),"SPECIAL PROJECTS")</f>
        <v>SPECIAL PROJECTS</v>
      </c>
      <c r="D714" s="196" t="str">
        <f>IFERROR(__xludf.DUMMYFUNCTION("""COMPUTED_VALUE"""),"1 UNIT TERABYTE SLIM BACK UP EXTERNAL DRIVE")</f>
        <v>1 UNIT TERABYTE SLIM BACK UP EXTERNAL DRIVE</v>
      </c>
      <c r="E714" s="196" t="str">
        <f>IFERROR(__xludf.DUMMYFUNCTION("""COMPUTED_VALUE"""),"YEAR BOOK FILES BACK UP")</f>
        <v>YEAR BOOK FILES BACK UP</v>
      </c>
    </row>
    <row r="715">
      <c r="A715" s="234">
        <f>IFERROR(__xludf.DUMMYFUNCTION("""COMPUTED_VALUE"""),101007.0)</f>
        <v>101007</v>
      </c>
      <c r="B715" s="235" t="str">
        <f>IFERROR(__xludf.DUMMYFUNCTION("""COMPUTED_VALUE"""),"SHEREE ESPINOSA")</f>
        <v>SHEREE ESPINOSA</v>
      </c>
      <c r="C715" s="235" t="str">
        <f>IFERROR(__xludf.DUMMYFUNCTION("""COMPUTED_VALUE"""),"HOUSEKEEPING")</f>
        <v>HOUSEKEEPING</v>
      </c>
      <c r="D715" s="196" t="str">
        <f>IFERROR(__xludf.DUMMYFUNCTION("""COMPUTED_VALUE"""),"BLACK NEKO SWISS M9 9W
TF2 ROUND DIRECTIONAL LED
DOWN LIGHT COOL WHITE WITH TRIDONIC 
ON/OFF (WHITE REFLECTOR) AND 
VLN R480072 TWIN DIE CAST ALUMINUM
DIRECTIONAL SPOTLIGHT WITH NEKO SWISS
M2 2.9W COOL WHITE TRIDONIC PHASE
")</f>
        <v>BLACK NEKO SWISS M9 9W
TF2 ROUND DIRECTIONAL LED
DOWN LIGHT COOL WHITE WITH TRIDONIC 
ON/OFF (WHITE REFLECTOR) AND 
VLN R480072 TWIN DIE CAST ALUMINUM
DIRECTIONAL SPOTLIGHT WITH NEKO SWISS
M2 2.9W COOL WHITE TRIDONIC PHASE
</v>
      </c>
      <c r="E715" s="196" t="str">
        <f>IFERROR(__xludf.DUMMYFUNCTION("""COMPUTED_VALUE"""),"FOR BRICS ROOM (PRESNTATION &amp; LABORATORY)")</f>
        <v>FOR BRICS ROOM (PRESNTATION &amp; LABORATORY)</v>
      </c>
    </row>
    <row r="716">
      <c r="A716" s="234">
        <f>IFERROR(__xludf.DUMMYFUNCTION("""COMPUTED_VALUE"""),101008.0)</f>
        <v>101008</v>
      </c>
      <c r="B716" s="235" t="str">
        <f>IFERROR(__xludf.DUMMYFUNCTION("""COMPUTED_VALUE"""),"SHEREE ESPINOSA")</f>
        <v>SHEREE ESPINOSA</v>
      </c>
      <c r="C716" s="235" t="str">
        <f>IFERROR(__xludf.DUMMYFUNCTION("""COMPUTED_VALUE"""),"ADMIN")</f>
        <v>ADMIN</v>
      </c>
      <c r="D716" s="196" t="str">
        <f>IFERROR(__xludf.DUMMYFUNCTION("""COMPUTED_VALUE"""),"EXTENSION CORD (SAME IN CMLC)")</f>
        <v>EXTENSION CORD (SAME IN CMLC)</v>
      </c>
      <c r="E716" s="196" t="str">
        <f>IFERROR(__xludf.DUMMYFUNCTION("""COMPUTED_VALUE"""),"FOR BRIC (LABORATORY)")</f>
        <v>FOR BRIC (LABORATORY)</v>
      </c>
    </row>
    <row r="717">
      <c r="A717" s="234">
        <f>IFERROR(__xludf.DUMMYFUNCTION("""COMPUTED_VALUE"""),101009.0)</f>
        <v>101009</v>
      </c>
      <c r="B717" s="235" t="str">
        <f>IFERROR(__xludf.DUMMYFUNCTION("""COMPUTED_VALUE"""),"SHEREE ESPINOSA")</f>
        <v>SHEREE ESPINOSA</v>
      </c>
      <c r="C717" s="235" t="str">
        <f>IFERROR(__xludf.DUMMYFUNCTION("""COMPUTED_VALUE"""),"ADMIN")</f>
        <v>ADMIN</v>
      </c>
      <c r="D717" s="196" t="str">
        <f>IFERROR(__xludf.DUMMYFUNCTION("""COMPUTED_VALUE"""),"SIGNAGE 
BRIC LABORATORY
BRIC PRESENTATION
PRAYER ROOM
CMLC
INITATIVE(STEM)
GRIT(STEM)")</f>
        <v>SIGNAGE 
BRIC LABORATORY
BRIC PRESENTATION
PRAYER ROOM
CMLC
INITATIVE(STEM)
GRIT(STEM)</v>
      </c>
      <c r="E717" s="196" t="str">
        <f>IFERROR(__xludf.DUMMYFUNCTION("""COMPUTED_VALUE"""),"FOR BIC ROOM ,PRAYER ROOM,CMCL,5TH FLOOR CLASSROOM")</f>
        <v>FOR BIC ROOM ,PRAYER ROOM,CMCL,5TH FLOOR CLASSROOM</v>
      </c>
    </row>
    <row r="718">
      <c r="A718" s="234">
        <f>IFERROR(__xludf.DUMMYFUNCTION("""COMPUTED_VALUE"""),101010.0)</f>
        <v>101010</v>
      </c>
      <c r="B718" s="235" t="str">
        <f>IFERROR(__xludf.DUMMYFUNCTION("""COMPUTED_VALUE"""),"JP RAGOT ")</f>
        <v>JP RAGOT </v>
      </c>
      <c r="C718" s="235" t="str">
        <f>IFERROR(__xludf.DUMMYFUNCTION("""COMPUTED_VALUE"""),"HRMD")</f>
        <v>HRMD</v>
      </c>
      <c r="D718" s="196" t="str">
        <f>IFERROR(__xludf.DUMMYFUNCTION("""COMPUTED_VALUE"""),"NTE BLOUSE
NTE SKIRT
NTE FEMALE LONGPANTS
NTE BLAZERS LS
NTE POLO LS
NTE MALE LONGPANTS
NTE COAT")</f>
        <v>NTE BLOUSE
NTE SKIRT
NTE FEMALE LONGPANTS
NTE BLAZERS LS
NTE POLO LS
NTE MALE LONGPANTS
NTE COAT</v>
      </c>
      <c r="E718" s="196" t="str">
        <f>IFERROR(__xludf.DUMMYFUNCTION("""COMPUTED_VALUE"""),"NTE UNIFORM 2ND BATCH")</f>
        <v>NTE UNIFORM 2ND BATCH</v>
      </c>
    </row>
    <row r="719">
      <c r="A719" s="234">
        <f>IFERROR(__xludf.DUMMYFUNCTION("""COMPUTED_VALUE"""),101011.0)</f>
        <v>101011</v>
      </c>
      <c r="B719" s="235" t="str">
        <f>IFERROR(__xludf.DUMMYFUNCTION("""COMPUTED_VALUE"""),"JP RAGOT ")</f>
        <v>JP RAGOT </v>
      </c>
      <c r="C719" s="235" t="str">
        <f>IFERROR(__xludf.DUMMYFUNCTION("""COMPUTED_VALUE"""),"HRMD")</f>
        <v>HRMD</v>
      </c>
      <c r="D719" s="196" t="str">
        <f>IFERROR(__xludf.DUMMYFUNCTION("""COMPUTED_VALUE"""),"TYPE B POLO SHIRT
SMALL 6
MEDIUM 9
LARGE 3
XL 5
2XL 2
TYPE B LONGPANTS BEIGE")</f>
        <v>TYPE B POLO SHIRT
SMALL 6
MEDIUM 9
LARGE 3
XL 5
2XL 2
TYPE B LONGPANTS BEIGE</v>
      </c>
      <c r="E719" s="196" t="str">
        <f>IFERROR(__xludf.DUMMYFUNCTION("""COMPUTED_VALUE"""),"PRE SCHOOL TEACHER TYPE B UNIFORM ")</f>
        <v>PRE SCHOOL TEACHER TYPE B UNIFORM </v>
      </c>
    </row>
    <row r="720">
      <c r="A720" s="234">
        <f>IFERROR(__xludf.DUMMYFUNCTION("""COMPUTED_VALUE"""),101012.0)</f>
        <v>101012</v>
      </c>
      <c r="B720" s="235" t="str">
        <f>IFERROR(__xludf.DUMMYFUNCTION("""COMPUTED_VALUE"""),"JP RAGOT ")</f>
        <v>JP RAGOT </v>
      </c>
      <c r="C720" s="235" t="str">
        <f>IFERROR(__xludf.DUMMYFUNCTION("""COMPUTED_VALUE"""),"HRMD")</f>
        <v>HRMD</v>
      </c>
      <c r="D720" s="196" t="str">
        <f>IFERROR(__xludf.DUMMYFUNCTION("""COMPUTED_VALUE"""),"BLOUSE
SKIRT
FEMALE LONGPANTS
BLAZERS LS
BLAZER 3/4
P.E CARGO PANTS
POLO LS
LONGPANTS MALE 
COAT")</f>
        <v>BLOUSE
SKIRT
FEMALE LONGPANTS
BLAZERS LS
BLAZER 3/4
P.E CARGO PANTS
POLO LS
LONGPANTS MALE 
COAT</v>
      </c>
      <c r="E720" s="196" t="str">
        <f>IFERROR(__xludf.DUMMYFUNCTION("""COMPUTED_VALUE"""),"BED FACULTY UNIFORM 2ND BATCH")</f>
        <v>BED FACULTY UNIFORM 2ND BATCH</v>
      </c>
    </row>
    <row r="721">
      <c r="A721" s="234">
        <f>IFERROR(__xludf.DUMMYFUNCTION("""COMPUTED_VALUE"""),101013.0)</f>
        <v>101013</v>
      </c>
      <c r="B721" s="235" t="str">
        <f>IFERROR(__xludf.DUMMYFUNCTION("""COMPUTED_VALUE"""),"JP RAGOT ")</f>
        <v>JP RAGOT </v>
      </c>
      <c r="C721" s="235" t="str">
        <f>IFERROR(__xludf.DUMMYFUNCTION("""COMPUTED_VALUE"""),"HRMD")</f>
        <v>HRMD</v>
      </c>
      <c r="D721" s="196" t="str">
        <f>IFERROR(__xludf.DUMMYFUNCTION("""COMPUTED_VALUE"""),"MATERNITY DRESS")</f>
        <v>MATERNITY DRESS</v>
      </c>
      <c r="E721" s="196" t="str">
        <f>IFERROR(__xludf.DUMMYFUNCTION("""COMPUTED_VALUE"""),"MATERNITY DRESS UNIFORM OF ARNELLE MIKHAEL OQUENO")</f>
        <v>MATERNITY DRESS UNIFORM OF ARNELLE MIKHAEL OQUENO</v>
      </c>
    </row>
    <row r="722">
      <c r="A722" s="234">
        <f>IFERROR(__xludf.DUMMYFUNCTION("""COMPUTED_VALUE"""),101014.0)</f>
        <v>101014</v>
      </c>
      <c r="B722" s="235" t="str">
        <f>IFERROR(__xludf.DUMMYFUNCTION("""COMPUTED_VALUE"""),"JP RAGOT ")</f>
        <v>JP RAGOT </v>
      </c>
      <c r="C722" s="235" t="str">
        <f>IFERROR(__xludf.DUMMYFUNCTION("""COMPUTED_VALUE"""),"HRMD")</f>
        <v>HRMD</v>
      </c>
      <c r="D722" s="196" t="str">
        <f>IFERROR(__xludf.DUMMYFUNCTION("""COMPUTED_VALUE"""),"BLOUSE 3/4
BLOUSE SS
SKIRT
LONG PANTS FEMALE
BLAZER LS
BLAZER 3/4
GALA DRESS
COAT")</f>
        <v>BLOUSE 3/4
BLOUSE SS
SKIRT
LONG PANTS FEMALE
BLAZER LS
BLAZER 3/4
GALA DRESS
COAT</v>
      </c>
      <c r="E722" s="196" t="str">
        <f>IFERROR(__xludf.DUMMYFUNCTION("""COMPUTED_VALUE"""),"MANAGEMENT UNIFORM")</f>
        <v>MANAGEMENT UNIFORM</v>
      </c>
    </row>
    <row r="723">
      <c r="A723" s="234">
        <f>IFERROR(__xludf.DUMMYFUNCTION("""COMPUTED_VALUE"""),101015.0)</f>
        <v>101015</v>
      </c>
      <c r="B723" s="235" t="str">
        <f>IFERROR(__xludf.DUMMYFUNCTION("""COMPUTED_VALUE"""),"ELYDS REYES")</f>
        <v>ELYDS REYES</v>
      </c>
      <c r="C723" s="235" t="str">
        <f>IFERROR(__xludf.DUMMYFUNCTION("""COMPUTED_VALUE"""),"PR &amp; MARKETING")</f>
        <v>PR &amp; MARKETING</v>
      </c>
      <c r="D723" s="196" t="str">
        <f>IFERROR(__xludf.DUMMYFUNCTION("""COMPUTED_VALUE"""),"6.5X13.5 TARP
12 OUNCES ONLY
")</f>
        <v>6.5X13.5 TARP
12 OUNCES ONLY
</v>
      </c>
      <c r="E723" s="196" t="str">
        <f>IFERROR(__xludf.DUMMYFUNCTION("""COMPUTED_VALUE"""),"MARKETING")</f>
        <v>MARKETING</v>
      </c>
    </row>
    <row r="724">
      <c r="A724" s="234">
        <f>IFERROR(__xludf.DUMMYFUNCTION("""COMPUTED_VALUE"""),101016.0)</f>
        <v>101016</v>
      </c>
      <c r="B724" s="235" t="str">
        <f>IFERROR(__xludf.DUMMYFUNCTION("""COMPUTED_VALUE"""),"ADRIAN DE GUINTO")</f>
        <v>ADRIAN DE GUINTO</v>
      </c>
      <c r="C724" s="235" t="str">
        <f>IFERROR(__xludf.DUMMYFUNCTION("""COMPUTED_VALUE"""),"PR &amp; MARKETING")</f>
        <v>PR &amp; MARKETING</v>
      </c>
      <c r="D724" s="196" t="str">
        <f>IFERROR(__xludf.DUMMYFUNCTION("""COMPUTED_VALUE"""),"X-STAND 12PCS. TARP 2.5X6' 12PCS WITH SEAMING AND EYELET ALL OVER")</f>
        <v>X-STAND 12PCS. TARP 2.5X6' 12PCS WITH SEAMING AND EYELET ALL OVER</v>
      </c>
      <c r="E724" s="196" t="str">
        <f>IFERROR(__xludf.DUMMYFUNCTION("""COMPUTED_VALUE"""),"FOR MARKETING ADVERTISEMENT")</f>
        <v>FOR MARKETING ADVERTISEMENT</v>
      </c>
    </row>
    <row r="725">
      <c r="A725" s="234">
        <f>IFERROR(__xludf.DUMMYFUNCTION("""COMPUTED_VALUE"""),101017.0)</f>
        <v>101017</v>
      </c>
      <c r="B725" s="235" t="str">
        <f>IFERROR(__xludf.DUMMYFUNCTION("""COMPUTED_VALUE"""),"BELEN MANDIN")</f>
        <v>BELEN MANDIN</v>
      </c>
      <c r="C725" s="235" t="str">
        <f>IFERROR(__xludf.DUMMYFUNCTION("""COMPUTED_VALUE"""),"CAPS COLLEGE")</f>
        <v>CAPS COLLEGE</v>
      </c>
      <c r="D725" s="196" t="str">
        <f>IFERROR(__xludf.DUMMYFUNCTION("""COMPUTED_VALUE"""),"CALLING CARDS FOR CAPS PERSONNEL (3 PERSONNEL) 1BOX EACH")</f>
        <v>CALLING CARDS FOR CAPS PERSONNEL (3 PERSONNEL) 1BOX EACH</v>
      </c>
      <c r="E725" s="196" t="str">
        <f>IFERROR(__xludf.DUMMYFUNCTION("""COMPUTED_VALUE"""),"FOR CAREER FAIR 2019")</f>
        <v>FOR CAREER FAIR 2019</v>
      </c>
    </row>
    <row r="726">
      <c r="A726" s="234">
        <f>IFERROR(__xludf.DUMMYFUNCTION("""COMPUTED_VALUE"""),101018.0)</f>
        <v>101018</v>
      </c>
      <c r="B726" s="235" t="str">
        <f>IFERROR(__xludf.DUMMYFUNCTION("""COMPUTED_VALUE"""),"SHEREE ESPINOSA")</f>
        <v>SHEREE ESPINOSA</v>
      </c>
      <c r="C726" s="235" t="str">
        <f>IFERROR(__xludf.DUMMYFUNCTION("""COMPUTED_VALUE"""),"HOUSEKEEPING")</f>
        <v>HOUSEKEEPING</v>
      </c>
      <c r="D726" s="196" t="str">
        <f>IFERROR(__xludf.DUMMYFUNCTION("""COMPUTED_VALUE"""),"GARDEN MATERIALS
 ")</f>
        <v>GARDEN MATERIALS
 </v>
      </c>
      <c r="E726" s="196" t="str">
        <f>IFERROR(__xludf.DUMMYFUNCTION("""COMPUTED_VALUE"""),"FOR MONARCHS GARDEN (FOR ISAC)")</f>
        <v>FOR MONARCHS GARDEN (FOR ISAC)</v>
      </c>
    </row>
    <row r="727">
      <c r="A727" s="234">
        <f>IFERROR(__xludf.DUMMYFUNCTION("""COMPUTED_VALUE"""),101019.0)</f>
        <v>101019</v>
      </c>
      <c r="B727" s="235" t="str">
        <f>IFERROR(__xludf.DUMMYFUNCTION("""COMPUTED_VALUE"""),"OWIE PAR")</f>
        <v>OWIE PAR</v>
      </c>
      <c r="C727" s="235" t="str">
        <f>IFERROR(__xludf.DUMMYFUNCTION("""COMPUTED_VALUE"""),"ENGINEERING")</f>
        <v>ENGINEERING</v>
      </c>
      <c r="D727" s="196" t="str">
        <f>IFERROR(__xludf.DUMMYFUNCTION("""COMPUTED_VALUE"""),"60 HP DAIKEN CEILING CASSETTE INVERTER")</f>
        <v>60 HP DAIKEN CEILING CASSETTE INVERTER</v>
      </c>
      <c r="E727" s="196" t="str">
        <f>IFERROR(__xludf.DUMMYFUNCTION("""COMPUTED_VALUE"""),"FOR 2ND FLOR COL BLDG")</f>
        <v>FOR 2ND FLOR COL BLDG</v>
      </c>
    </row>
    <row r="728">
      <c r="A728" s="234">
        <f>IFERROR(__xludf.DUMMYFUNCTION("""COMPUTED_VALUE"""),101020.0)</f>
        <v>101020</v>
      </c>
      <c r="B728" s="235" t="str">
        <f>IFERROR(__xludf.DUMMYFUNCTION("""COMPUTED_VALUE"""),"SAMANTHA FEROL")</f>
        <v>SAMANTHA FEROL</v>
      </c>
      <c r="C728" s="235" t="str">
        <f>IFERROR(__xludf.DUMMYFUNCTION("""COMPUTED_VALUE"""),"LIBRARY COLLEGE")</f>
        <v>LIBRARY COLLEGE</v>
      </c>
      <c r="D728" s="196" t="str">
        <f>IFERROR(__xludf.DUMMYFUNCTION("""COMPUTED_VALUE"""),"MANILA BULLETIN (SEPTEMBER 01-30 2019)")</f>
        <v>MANILA BULLETIN (SEPTEMBER 01-30 2019)</v>
      </c>
      <c r="E728" s="196" t="str">
        <f>IFERROR(__xludf.DUMMYFUNCTION("""COMPUTED_VALUE"""),"PAYMENT FOR MANILA BULLETIN THE")</f>
        <v>PAYMENT FOR MANILA BULLETIN THE</v>
      </c>
    </row>
    <row r="729">
      <c r="A729" s="234">
        <f>IFERROR(__xludf.DUMMYFUNCTION("""COMPUTED_VALUE"""),101021.0)</f>
        <v>101021</v>
      </c>
      <c r="B729" s="235" t="str">
        <f>IFERROR(__xludf.DUMMYFUNCTION("""COMPUTED_VALUE"""),"PHEN PETIN")</f>
        <v>PHEN PETIN</v>
      </c>
      <c r="C729" s="235" t="str">
        <f>IFERROR(__xludf.DUMMYFUNCTION("""COMPUTED_VALUE"""),"ADMIN - STAR")</f>
        <v>ADMIN - STAR</v>
      </c>
      <c r="D729" s="196" t="str">
        <f>IFERROR(__xludf.DUMMYFUNCTION("""COMPUTED_VALUE"""),"GAREN HOSE")</f>
        <v>GAREN HOSE</v>
      </c>
      <c r="E729" s="196" t="str">
        <f>IFERROR(__xludf.DUMMYFUNCTION("""COMPUTED_VALUE"""),"CHANGE THE OLD HOSE A LOT OF HOLES ALREADY FOR FRONT GATE,ANNEX,ROOFDECK,BACKGATE")</f>
        <v>CHANGE THE OLD HOSE A LOT OF HOLES ALREADY FOR FRONT GATE,ANNEX,ROOFDECK,BACKGATE</v>
      </c>
    </row>
    <row r="730">
      <c r="A730" s="234">
        <f>IFERROR(__xludf.DUMMYFUNCTION("""COMPUTED_VALUE"""),101022.0)</f>
        <v>101022</v>
      </c>
      <c r="B730" s="235" t="str">
        <f>IFERROR(__xludf.DUMMYFUNCTION("""COMPUTED_VALUE"""),"APRIL D. TRAJICO")</f>
        <v>APRIL D. TRAJICO</v>
      </c>
      <c r="C730" s="235" t="str">
        <f>IFERROR(__xludf.DUMMYFUNCTION("""COMPUTED_VALUE"""),"AMD")</f>
        <v>AMD</v>
      </c>
      <c r="D730" s="196" t="str">
        <f>IFERROR(__xludf.DUMMYFUNCTION("""COMPUTED_VALUE"""),"TONER CARTRIDGE CF210A BLACK
TONER CARTRIDGE CF211A CYAN
TONER CARTRIDGE CF212A YELLOW
TONER CARTRIDGE CF213A MAGENTA")</f>
        <v>TONER CARTRIDGE CF210A BLACK
TONER CARTRIDGE CF211A CYAN
TONER CARTRIDGE CF212A YELLOW
TONER CARTRIDGE CF213A MAGENTA</v>
      </c>
      <c r="E730" s="196" t="str">
        <f>IFERROR(__xludf.DUMMYFUNCTION("""COMPUTED_VALUE"""),"STOCK REPLENISH ")</f>
        <v>STOCK REPLENISH </v>
      </c>
    </row>
    <row r="731">
      <c r="A731" s="234">
        <f>IFERROR(__xludf.DUMMYFUNCTION("""COMPUTED_VALUE"""),101023.0)</f>
        <v>101023</v>
      </c>
      <c r="B731" s="235" t="str">
        <f>IFERROR(__xludf.DUMMYFUNCTION("""COMPUTED_VALUE"""),"JENNIFER O. FONIE/SHERLY MANALO")</f>
        <v>JENNIFER O. FONIE/SHERLY MANALO</v>
      </c>
      <c r="C731" s="235" t="str">
        <f>IFERROR(__xludf.DUMMYFUNCTION("""COMPUTED_VALUE"""),"DP MUNICH")</f>
        <v>DP MUNICH</v>
      </c>
      <c r="D731" s="196" t="str">
        <f>IFERROR(__xludf.DUMMYFUNCTION("""COMPUTED_VALUE"""),"BULB CCTV (MUNICHS AND STAR) ")</f>
        <v>BULB CCTV (MUNICHS AND STAR) </v>
      </c>
      <c r="E731" s="196" t="str">
        <f>IFERROR(__xludf.DUMMYFUNCTION("""COMPUTED_VALUE"""),"SAFETY AND SECURITY")</f>
        <v>SAFETY AND SECURITY</v>
      </c>
    </row>
    <row r="732">
      <c r="A732" s="234">
        <f>IFERROR(__xludf.DUMMYFUNCTION("""COMPUTED_VALUE"""),101024.0)</f>
        <v>101024</v>
      </c>
      <c r="B732" s="235" t="str">
        <f>IFERROR(__xludf.DUMMYFUNCTION("""COMPUTED_VALUE"""),"CHRISTIAN MARK MARBIBI")</f>
        <v>CHRISTIAN MARK MARBIBI</v>
      </c>
      <c r="C732" s="235" t="str">
        <f>IFERROR(__xludf.DUMMYFUNCTION("""COMPUTED_VALUE"""),"HOUSEKEEPING")</f>
        <v>HOUSEKEEPING</v>
      </c>
      <c r="D732" s="196" t="str">
        <f>IFERROR(__xludf.DUMMYFUNCTION("""COMPUTED_VALUE"""),"TOP LUSTER HIGH GRADE LIQUID WAX")</f>
        <v>TOP LUSTER HIGH GRADE LIQUID WAX</v>
      </c>
      <c r="E732" s="196" t="str">
        <f>IFERROR(__xludf.DUMMYFUNCTION("""COMPUTED_VALUE"""),"STOCK REPLENISMENT")</f>
        <v>STOCK REPLENISMENT</v>
      </c>
    </row>
    <row r="733">
      <c r="A733" s="234">
        <f>IFERROR(__xludf.DUMMYFUNCTION("""COMPUTED_VALUE"""),101025.0)</f>
        <v>101025</v>
      </c>
      <c r="B733" s="235" t="str">
        <f>IFERROR(__xludf.DUMMYFUNCTION("""COMPUTED_VALUE"""),"SHEREE ESPINOSA")</f>
        <v>SHEREE ESPINOSA</v>
      </c>
      <c r="C733" s="235" t="str">
        <f>IFERROR(__xludf.DUMMYFUNCTION("""COMPUTED_VALUE"""),"HOUSEKEEPING")</f>
        <v>HOUSEKEEPING</v>
      </c>
      <c r="D733" s="196" t="str">
        <f>IFERROR(__xludf.DUMMYFUNCTION("""COMPUTED_VALUE"""),"QUIBLA")</f>
        <v>QUIBLA</v>
      </c>
      <c r="E733" s="196" t="str">
        <f>IFERROR(__xludf.DUMMYFUNCTION("""COMPUTED_VALUE"""),"FOR PRAYER ROOM")</f>
        <v>FOR PRAYER ROOM</v>
      </c>
    </row>
    <row r="734">
      <c r="A734" s="234">
        <f>IFERROR(__xludf.DUMMYFUNCTION("""COMPUTED_VALUE"""),101026.0)</f>
        <v>101026</v>
      </c>
      <c r="B734" s="235" t="str">
        <f>IFERROR(__xludf.DUMMYFUNCTION("""COMPUTED_VALUE"""),"SHEREE ESPINOSA")</f>
        <v>SHEREE ESPINOSA</v>
      </c>
      <c r="C734" s="235" t="str">
        <f>IFERROR(__xludf.DUMMYFUNCTION("""COMPUTED_VALUE"""),"HOUSEKEEPING")</f>
        <v>HOUSEKEEPING</v>
      </c>
      <c r="D734" s="196" t="str">
        <f>IFERROR(__xludf.DUMMYFUNCTION("""COMPUTED_VALUE"""),"TRASH BIN 
-TROPICAL
-MONARCHS")</f>
        <v>TRASH BIN 
-TROPICAL
-MONARCHS</v>
      </c>
      <c r="E734" s="196" t="str">
        <f>IFERROR(__xludf.DUMMYFUNCTION("""COMPUTED_VALUE"""),"FOR TROPICAL AND MONARCHS GYM CR")</f>
        <v>FOR TROPICAL AND MONARCHS GYM CR</v>
      </c>
    </row>
    <row r="735">
      <c r="A735" s="234">
        <f>IFERROR(__xludf.DUMMYFUNCTION("""COMPUTED_VALUE"""),101027.0)</f>
        <v>101027</v>
      </c>
      <c r="B735" s="235" t="str">
        <f>IFERROR(__xludf.DUMMYFUNCTION("""COMPUTED_VALUE"""),"DABERETH BALLER")</f>
        <v>DABERETH BALLER</v>
      </c>
      <c r="C735" s="235" t="str">
        <f>IFERROR(__xludf.DUMMYFUNCTION("""COMPUTED_VALUE"""),"SPECIAL SUBJECTS")</f>
        <v>SPECIAL SUBJECTS</v>
      </c>
      <c r="D735" s="196" t="str">
        <f>IFERROR(__xludf.DUMMYFUNCTION("""COMPUTED_VALUE"""),"GRADE 11 INTRAMS SHIRT
GRADE 12 INTRAMS SHIRT")</f>
        <v>GRADE 11 INTRAMS SHIRT
GRADE 12 INTRAMS SHIRT</v>
      </c>
      <c r="E735" s="196" t="str">
        <f>IFERROR(__xludf.DUMMYFUNCTION("""COMPUTED_VALUE"""),"SENIOR HIGH INTRAMUSRALS 2019 SHIRT ")</f>
        <v>SENIOR HIGH INTRAMUSRALS 2019 SHIRT </v>
      </c>
    </row>
    <row r="736">
      <c r="A736" s="234">
        <f>IFERROR(__xludf.DUMMYFUNCTION("""COMPUTED_VALUE"""),101028.0)</f>
        <v>101028</v>
      </c>
      <c r="B736" s="235" t="str">
        <f>IFERROR(__xludf.DUMMYFUNCTION("""COMPUTED_VALUE"""),"SELENA VISTA ")</f>
        <v>SELENA VISTA </v>
      </c>
      <c r="C736" s="235" t="str">
        <f>IFERROR(__xludf.DUMMYFUNCTION("""COMPUTED_VALUE"""),"LEARNING VILLAGE")</f>
        <v>LEARNING VILLAGE</v>
      </c>
      <c r="D736" s="196" t="str">
        <f>IFERROR(__xludf.DUMMYFUNCTION("""COMPUTED_VALUE"""),"LAMINATING FILM A4 OR LEGAL SIZE UK OFFICE BRAND")</f>
        <v>LAMINATING FILM A4 OR LEGAL SIZE UK OFFICE BRAND</v>
      </c>
      <c r="E736" s="196" t="str">
        <f>IFERROR(__xludf.DUMMYFUNCTION("""COMPUTED_VALUE"""),"OFFICE MATERIALS")</f>
        <v>OFFICE MATERIALS</v>
      </c>
    </row>
    <row r="737">
      <c r="A737" s="234">
        <f>IFERROR(__xludf.DUMMYFUNCTION("""COMPUTED_VALUE"""),101029.0)</f>
        <v>101029</v>
      </c>
      <c r="B737" s="235" t="str">
        <f>IFERROR(__xludf.DUMMYFUNCTION("""COMPUTED_VALUE"""),"SELENA VISTA ")</f>
        <v>SELENA VISTA </v>
      </c>
      <c r="C737" s="235" t="str">
        <f>IFERROR(__xludf.DUMMYFUNCTION("""COMPUTED_VALUE"""),"LEARNING VILLAGE")</f>
        <v>LEARNING VILLAGE</v>
      </c>
      <c r="D737" s="196" t="str">
        <f>IFERROR(__xludf.DUMMYFUNCTION("""COMPUTED_VALUE"""),"BOARD PAPER 
BRAND : WORK X (8.5 X 11) 200GSM")</f>
        <v>BOARD PAPER 
BRAND : WORK X (8.5 X 11) 200GSM</v>
      </c>
      <c r="E737" s="196" t="str">
        <f>IFERROR(__xludf.DUMMYFUNCTION("""COMPUTED_VALUE"""),"VOUCHERS AND ARTS AND CRAFTS MATERIALS")</f>
        <v>VOUCHERS AND ARTS AND CRAFTS MATERIALS</v>
      </c>
    </row>
    <row r="738">
      <c r="A738" s="234">
        <f>IFERROR(__xludf.DUMMYFUNCTION("""COMPUTED_VALUE"""),101030.0)</f>
        <v>101030</v>
      </c>
      <c r="B738" s="235" t="str">
        <f>IFERROR(__xludf.DUMMYFUNCTION("""COMPUTED_VALUE"""),"CHRISTIAN MARK MARBIBI")</f>
        <v>CHRISTIAN MARK MARBIBI</v>
      </c>
      <c r="C738" s="235" t="str">
        <f>IFERROR(__xludf.DUMMYFUNCTION("""COMPUTED_VALUE"""),"HOUSEKEEPING")</f>
        <v>HOUSEKEEPING</v>
      </c>
      <c r="D738" s="196" t="str">
        <f>IFERROR(__xludf.DUMMYFUNCTION("""COMPUTED_VALUE"""),"D-STROY 12 GALS")</f>
        <v>D-STROY 12 GALS</v>
      </c>
      <c r="E738" s="196" t="str">
        <f>IFERROR(__xludf.DUMMYFUNCTION("""COMPUTED_VALUE"""),"STOCK REPLENISHMENT - HSKPG")</f>
        <v>STOCK REPLENISHMENT - HSKPG</v>
      </c>
    </row>
    <row r="739">
      <c r="A739" s="234">
        <f>IFERROR(__xludf.DUMMYFUNCTION("""COMPUTED_VALUE"""),101031.0)</f>
        <v>101031</v>
      </c>
      <c r="B739" s="235" t="str">
        <f>IFERROR(__xludf.DUMMYFUNCTION("""COMPUTED_VALUE"""),"SHEREE ESPINOSA")</f>
        <v>SHEREE ESPINOSA</v>
      </c>
      <c r="C739" s="235" t="str">
        <f>IFERROR(__xludf.DUMMYFUNCTION("""COMPUTED_VALUE"""),"HOUSEKEEPING")</f>
        <v>HOUSEKEEPING</v>
      </c>
      <c r="D739" s="196" t="str">
        <f>IFERROR(__xludf.DUMMYFUNCTION("""COMPUTED_VALUE"""),"POLARIS INSTANT ID SYSTEM (PET) 5BOXES")</f>
        <v>POLARIS INSTANT ID SYSTEM (PET) 5BOXES</v>
      </c>
      <c r="E739" s="196" t="str">
        <f>IFERROR(__xludf.DUMMYFUNCTION("""COMPUTED_VALUE"""),"FOR SIGNAGES AND LABELING FOR CLASSROOMS")</f>
        <v>FOR SIGNAGES AND LABELING FOR CLASSROOMS</v>
      </c>
    </row>
    <row r="740">
      <c r="A740" s="234">
        <f>IFERROR(__xludf.DUMMYFUNCTION("""COMPUTED_VALUE"""),101032.0)</f>
        <v>101032</v>
      </c>
      <c r="B740" s="235" t="str">
        <f>IFERROR(__xludf.DUMMYFUNCTION("""COMPUTED_VALUE"""),"OWIE PAR")</f>
        <v>OWIE PAR</v>
      </c>
      <c r="C740" s="235" t="str">
        <f>IFERROR(__xludf.DUMMYFUNCTION("""COMPUTED_VALUE"""),"ENGINEERING")</f>
        <v>ENGINEERING</v>
      </c>
      <c r="D740" s="196" t="str">
        <f>IFERROR(__xludf.DUMMYFUNCTION("""COMPUTED_VALUE"""),"1 PAIR CIRCUIT BREAKER 40 AMP 2 POLE BOLT ON")</f>
        <v>1 PAIR CIRCUIT BREAKER 40 AMP 2 POLE BOLT ON</v>
      </c>
      <c r="E740" s="196" t="str">
        <f>IFERROR(__xludf.DUMMYFUNCTION("""COMPUTED_VALUE"""),"FOR NEW ACU AT 2ND FLR HALLWAY COLLEGE BLDG")</f>
        <v>FOR NEW ACU AT 2ND FLR HALLWAY COLLEGE BLDG</v>
      </c>
    </row>
    <row r="741">
      <c r="A741" s="234">
        <f>IFERROR(__xludf.DUMMYFUNCTION("""COMPUTED_VALUE"""),101033.0)</f>
        <v>101033</v>
      </c>
      <c r="B741" s="235" t="str">
        <f>IFERROR(__xludf.DUMMYFUNCTION("""COMPUTED_VALUE"""),"APRIL D. TRAJICO")</f>
        <v>APRIL D. TRAJICO</v>
      </c>
      <c r="C741" s="235" t="str">
        <f>IFERROR(__xludf.DUMMYFUNCTION("""COMPUTED_VALUE"""),"AMD")</f>
        <v>AMD</v>
      </c>
      <c r="D741" s="196" t="str">
        <f>IFERROR(__xludf.DUMMYFUNCTION("""COMPUTED_VALUE"""),"TONER, CARTRIDGE INKONVERT LBP6000 85A 40PCS; TONER, CARTRIDGE INKONVERT TN660 FOR BROTHER HL-2300D 11PCS")</f>
        <v>TONER, CARTRIDGE INKONVERT LBP6000 85A 40PCS; TONER, CARTRIDGE INKONVERT TN660 FOR BROTHER HL-2300D 11PCS</v>
      </c>
      <c r="E741" s="196" t="str">
        <f>IFERROR(__xludf.DUMMYFUNCTION("""COMPUTED_VALUE"""),"STOCK REPLENISHMENT - OSSUP")</f>
        <v>STOCK REPLENISHMENT - OSSUP</v>
      </c>
    </row>
    <row r="742">
      <c r="A742" s="234">
        <f>IFERROR(__xludf.DUMMYFUNCTION("""COMPUTED_VALUE"""),101034.0)</f>
        <v>101034</v>
      </c>
      <c r="B742" s="235" t="str">
        <f>IFERROR(__xludf.DUMMYFUNCTION("""COMPUTED_VALUE"""),"APRIL D. TRAJICO")</f>
        <v>APRIL D. TRAJICO</v>
      </c>
      <c r="C742" s="235" t="str">
        <f>IFERROR(__xludf.DUMMYFUNCTION("""COMPUTED_VALUE"""),"AMD")</f>
        <v>AMD</v>
      </c>
      <c r="D742" s="196" t="str">
        <f>IFERROR(__xludf.DUMMYFUNCTION("""COMPUTED_VALUE"""),"BOX OF PAPER, CONTINUOUS 11X9.5 4PLY 5BOXES CLEARBOOK, UNREFILLABLE 40'S SHORT 40PCS; CLIP, BINDER JOY 1"" 120PCS; CLIP, BINDER JOY 2"" 120PCS; CLIP, ID-ALLIGATOR PLASTIC 60PCS; TAPE, PACKAGING TAPE 2"" 20PCS")</f>
        <v>BOX OF PAPER, CONTINUOUS 11X9.5 4PLY 5BOXES CLEARBOOK, UNREFILLABLE 40'S SHORT 40PCS; CLIP, BINDER JOY 1" 120PCS; CLIP, BINDER JOY 2" 120PCS; CLIP, ID-ALLIGATOR PLASTIC 60PCS; TAPE, PACKAGING TAPE 2" 20PCS</v>
      </c>
      <c r="E742" s="196" t="str">
        <f>IFERROR(__xludf.DUMMYFUNCTION("""COMPUTED_VALUE"""),"STOCK REPLENISHMENT - OSSUP")</f>
        <v>STOCK REPLENISHMENT - OSSUP</v>
      </c>
    </row>
    <row r="743">
      <c r="A743" s="234">
        <f>IFERROR(__xludf.DUMMYFUNCTION("""COMPUTED_VALUE"""),101035.0)</f>
        <v>101035</v>
      </c>
      <c r="B743" s="235" t="str">
        <f>IFERROR(__xludf.DUMMYFUNCTION("""COMPUTED_VALUE"""),"APRIL D. TRAJICO")</f>
        <v>APRIL D. TRAJICO</v>
      </c>
      <c r="C743" s="235" t="str">
        <f>IFERROR(__xludf.DUMMYFUNCTION("""COMPUTED_VALUE"""),"AMD")</f>
        <v>AMD</v>
      </c>
      <c r="D743" s="196" t="str">
        <f>IFERROR(__xludf.DUMMYFUNCTION("""COMPUTED_VALUE"""),"PAPER, PARCHMENT - 8.5X11 ORDINARY 500PCS; RECORD BOOK 300PAGES 10PCS; RECORD BOOK 500PAGES 10PCS; RIBBON, INK CARTRIDGE CE-315150 (SINGLE COLOR) 5PCS; SCISSORS, JOY FOR EMPLOYEE 6INCHES 20PCS; SHARPENER, PENCIL - CARD ANGEL 5 10PCS")</f>
        <v>PAPER, PARCHMENT - 8.5X11 ORDINARY 500PCS; RECORD BOOK 300PAGES 10PCS; RECORD BOOK 500PAGES 10PCS; RIBBON, INK CARTRIDGE CE-315150 (SINGLE COLOR) 5PCS; SCISSORS, JOY FOR EMPLOYEE 6INCHES 20PCS; SHARPENER, PENCIL - CARD ANGEL 5 10PCS</v>
      </c>
      <c r="E743" s="196" t="str">
        <f>IFERROR(__xludf.DUMMYFUNCTION("""COMPUTED_VALUE"""),"STOCK REPLENISHMENT - OSSUP")</f>
        <v>STOCK REPLENISHMENT - OSSUP</v>
      </c>
    </row>
    <row r="744">
      <c r="A744" s="234">
        <f>IFERROR(__xludf.DUMMYFUNCTION("""COMPUTED_VALUE"""),101036.0)</f>
        <v>101036</v>
      </c>
      <c r="B744" s="235" t="str">
        <f>IFERROR(__xludf.DUMMYFUNCTION("""COMPUTED_VALUE"""),"APRIL D. TRAJICO")</f>
        <v>APRIL D. TRAJICO</v>
      </c>
      <c r="C744" s="235" t="str">
        <f>IFERROR(__xludf.DUMMYFUNCTION("""COMPUTED_VALUE"""),"AMD")</f>
        <v>AMD</v>
      </c>
      <c r="D744" s="196" t="str">
        <f>IFERROR(__xludf.DUMMYFUNCTION("""COMPUTED_VALUE"""),"GLUE, MIGHTY BOND 40PCS; HIGHLIGHTER, STABILO PINK 10PCS; PAPER, CARBON PAPER LONG 100PCS; PAPER, FORTUNE GROUNDWOVE MIMEO SHORT (500PCS) 5REAMS/ PAPER, FORTUNE GROUNDWOVE MIMEO LONG (500PCS) 10REAMS")</f>
        <v>GLUE, MIGHTY BOND 40PCS; HIGHLIGHTER, STABILO PINK 10PCS; PAPER, CARBON PAPER LONG 100PCS; PAPER, FORTUNE GROUNDWOVE MIMEO SHORT (500PCS) 5REAMS/ PAPER, FORTUNE GROUNDWOVE MIMEO LONG (500PCS) 10REAMS</v>
      </c>
      <c r="E744" s="196" t="str">
        <f>IFERROR(__xludf.DUMMYFUNCTION("""COMPUTED_VALUE"""),"STOCK REPLENISHMNET - OSSUP")</f>
        <v>STOCK REPLENISHMNET - OSSUP</v>
      </c>
    </row>
    <row r="745">
      <c r="A745" s="234">
        <f>IFERROR(__xludf.DUMMYFUNCTION("""COMPUTED_VALUE"""),101037.0)</f>
        <v>101037</v>
      </c>
      <c r="B745" s="235" t="str">
        <f>IFERROR(__xludf.DUMMYFUNCTION("""COMPUTED_VALUE"""),"APRIL D. TRAJICO")</f>
        <v>APRIL D. TRAJICO</v>
      </c>
      <c r="C745" s="235" t="str">
        <f>IFERROR(__xludf.DUMMYFUNCTION("""COMPUTED_VALUE"""),"AMD")</f>
        <v>AMD</v>
      </c>
      <c r="D745" s="196" t="str">
        <f>IFERROR(__xludf.DUMMYFUNCTION("""COMPUTED_VALUE"""),"FRAME, CERTIFICATE GLASS DG-11X14 BROWN 50PCS; FRAME, CERTIFICATE ORDINARY - BROWN 50PCS")</f>
        <v>FRAME, CERTIFICATE GLASS DG-11X14 BROWN 50PCS; FRAME, CERTIFICATE ORDINARY - BROWN 50PCS</v>
      </c>
      <c r="E745" s="196" t="str">
        <f>IFERROR(__xludf.DUMMYFUNCTION("""COMPUTED_VALUE"""),"STOCK REPLENISHMENT - OSSUP")</f>
        <v>STOCK REPLENISHMENT - OSSUP</v>
      </c>
    </row>
    <row r="746">
      <c r="A746" s="234">
        <f>IFERROR(__xludf.DUMMYFUNCTION("""COMPUTED_VALUE"""),101038.0)</f>
        <v>101038</v>
      </c>
      <c r="B746" s="235" t="str">
        <f>IFERROR(__xludf.DUMMYFUNCTION("""COMPUTED_VALUE"""),"APRIL D. TRAJICO")</f>
        <v>APRIL D. TRAJICO</v>
      </c>
      <c r="C746" s="235" t="str">
        <f>IFERROR(__xludf.DUMMYFUNCTION("""COMPUTED_VALUE"""),"AMD")</f>
        <v>AMD</v>
      </c>
      <c r="D746" s="196" t="str">
        <f>IFERROR(__xludf.DUMMYFUNCTION("""COMPUTED_VALUE"""),"DISPENSER, TAPE BIG JOY BLACK 20PCS; DVD BLANK TAPE DVD-R SONY W/ CASE 30PCS; FOLDER, PLASTIC SLIDE LONG 24PCS; FOLDER, PLASTIC SLIDE SHORT 24PCS; FOLDER, PRESSBOARD GREEN SHORT PLAIN 200PCS")</f>
        <v>DISPENSER, TAPE BIG JOY BLACK 20PCS; DVD BLANK TAPE DVD-R SONY W/ CASE 30PCS; FOLDER, PLASTIC SLIDE LONG 24PCS; FOLDER, PLASTIC SLIDE SHORT 24PCS; FOLDER, PRESSBOARD GREEN SHORT PLAIN 200PCS</v>
      </c>
      <c r="E746" s="196" t="str">
        <f>IFERROR(__xludf.DUMMYFUNCTION("""COMPUTED_VALUE"""),"STOCK REPLENISHMENT - OSSUP")</f>
        <v>STOCK REPLENISHMENT - OSSUP</v>
      </c>
    </row>
    <row r="747">
      <c r="A747" s="234">
        <f>IFERROR(__xludf.DUMMYFUNCTION("""COMPUTED_VALUE"""),101039.0)</f>
        <v>101039</v>
      </c>
      <c r="B747" s="235" t="str">
        <f>IFERROR(__xludf.DUMMYFUNCTION("""COMPUTED_VALUE"""),"SHEREE ESPINOSA")</f>
        <v>SHEREE ESPINOSA</v>
      </c>
      <c r="C747" s="235" t="str">
        <f>IFERROR(__xludf.DUMMYFUNCTION("""COMPUTED_VALUE"""),"HOUSEKEEPING")</f>
        <v>HOUSEKEEPING</v>
      </c>
      <c r="D747" s="196" t="str">
        <f>IFERROR(__xludf.DUMMYFUNCTION("""COMPUTED_VALUE"""),"TISSUE (BIG ROLE)")</f>
        <v>TISSUE (BIG ROLE)</v>
      </c>
      <c r="E747" s="196" t="str">
        <f>IFERROR(__xludf.DUMMYFUNCTION("""COMPUTED_VALUE"""),"FOR ISAC USE")</f>
        <v>FOR ISAC USE</v>
      </c>
    </row>
    <row r="748">
      <c r="A748" s="234">
        <f>IFERROR(__xludf.DUMMYFUNCTION("""COMPUTED_VALUE"""),101040.0)</f>
        <v>101040</v>
      </c>
      <c r="B748" s="235" t="str">
        <f>IFERROR(__xludf.DUMMYFUNCTION("""COMPUTED_VALUE"""),"ALFA DE LEON")</f>
        <v>ALFA DE LEON</v>
      </c>
      <c r="C748" s="235" t="str">
        <f>IFERROR(__xludf.DUMMYFUNCTION("""COMPUTED_VALUE"""),"ADMIN - MUNICH")</f>
        <v>ADMIN - MUNICH</v>
      </c>
      <c r="D748" s="196" t="str">
        <f>IFERROR(__xludf.DUMMYFUNCTION("""COMPUTED_VALUE"""),"POTS XL/BIG")</f>
        <v>POTS XL/BIG</v>
      </c>
      <c r="E748" s="196" t="str">
        <f>IFERROR(__xludf.DUMMYFUNCTION("""COMPUTED_VALUE"""),"GARDENING/REPLACEMENT OF BROKEN POITS")</f>
        <v>GARDENING/REPLACEMENT OF BROKEN POITS</v>
      </c>
    </row>
    <row r="749">
      <c r="A749" s="234">
        <f>IFERROR(__xludf.DUMMYFUNCTION("""COMPUTED_VALUE"""),101041.0)</f>
        <v>101041</v>
      </c>
      <c r="B749" s="235" t="str">
        <f>IFERROR(__xludf.DUMMYFUNCTION("""COMPUTED_VALUE"""),"OWIE PAR")</f>
        <v>OWIE PAR</v>
      </c>
      <c r="C749" s="235" t="str">
        <f>IFERROR(__xludf.DUMMYFUNCTION("""COMPUTED_VALUE"""),"ENGINEERING")</f>
        <v>ENGINEERING</v>
      </c>
      <c r="D749" s="196" t="str">
        <f>IFERROR(__xludf.DUMMYFUNCTION("""COMPUTED_VALUE"""),"PARKING LIGHTS 50 WATTS LED 
SOCCER FIELD LIGHTS 70 WATTS LED")</f>
        <v>PARKING LIGHTS 50 WATTS LED 
SOCCER FIELD LIGHTS 70 WATTS LED</v>
      </c>
      <c r="E749" s="196" t="str">
        <f>IFERROR(__xludf.DUMMYFUNCTION("""COMPUTED_VALUE"""),"SOCCER FIELD MUNICH BIG TARF")</f>
        <v>SOCCER FIELD MUNICH BIG TARF</v>
      </c>
    </row>
    <row r="750">
      <c r="A750" s="234">
        <f>IFERROR(__xludf.DUMMYFUNCTION("""COMPUTED_VALUE"""),101042.0)</f>
        <v>101042</v>
      </c>
      <c r="B750" s="235" t="str">
        <f>IFERROR(__xludf.DUMMYFUNCTION("""COMPUTED_VALUE"""),"SHEREE ESPINOSA")</f>
        <v>SHEREE ESPINOSA</v>
      </c>
      <c r="C750" s="235" t="str">
        <f>IFERROR(__xludf.DUMMYFUNCTION("""COMPUTED_VALUE"""),"HOUSEKEEPING")</f>
        <v>HOUSEKEEPING</v>
      </c>
      <c r="D750" s="196" t="str">
        <f>IFERROR(__xludf.DUMMYFUNCTION("""COMPUTED_VALUE"""),"EUGENIA")</f>
        <v>EUGENIA</v>
      </c>
      <c r="E750" s="196" t="str">
        <f>IFERROR(__xludf.DUMMYFUNCTION("""COMPUTED_VALUE"""),"FOR MONARCHS    ")</f>
        <v>FOR MONARCHS    </v>
      </c>
    </row>
    <row r="751">
      <c r="A751" s="234">
        <f>IFERROR(__xludf.DUMMYFUNCTION("""COMPUTED_VALUE"""),101043.0)</f>
        <v>101043</v>
      </c>
      <c r="B751" s="235" t="str">
        <f>IFERROR(__xludf.DUMMYFUNCTION("""COMPUTED_VALUE"""),"SHEREE ESPINOSA")</f>
        <v>SHEREE ESPINOSA</v>
      </c>
      <c r="C751" s="235" t="str">
        <f>IFERROR(__xludf.DUMMYFUNCTION("""COMPUTED_VALUE"""),"HOUSEKEEPING")</f>
        <v>HOUSEKEEPING</v>
      </c>
      <c r="D751" s="196" t="str">
        <f>IFERROR(__xludf.DUMMYFUNCTION("""COMPUTED_VALUE"""),"CHAIRS")</f>
        <v>CHAIRS</v>
      </c>
      <c r="E751" s="196" t="str">
        <f>IFERROR(__xludf.DUMMYFUNCTION("""COMPUTED_VALUE"""),"FOR COLLEGE LOUNGE")</f>
        <v>FOR COLLEGE LOUNGE</v>
      </c>
    </row>
    <row r="752">
      <c r="A752" s="234">
        <f>IFERROR(__xludf.DUMMYFUNCTION("""COMPUTED_VALUE"""),101044.0)</f>
        <v>101044</v>
      </c>
      <c r="B752" s="235" t="str">
        <f>IFERROR(__xludf.DUMMYFUNCTION("""COMPUTED_VALUE"""),"SANDRA CLAIRE DUPIO")</f>
        <v>SANDRA CLAIRE DUPIO</v>
      </c>
      <c r="C752" s="235" t="str">
        <f>IFERROR(__xludf.DUMMYFUNCTION("""COMPUTED_VALUE"""),"LIBRARY BASIC ED")</f>
        <v>LIBRARY BASIC ED</v>
      </c>
      <c r="D752" s="196" t="str">
        <f>IFERROR(__xludf.DUMMYFUNCTION("""COMPUTED_VALUE"""),"30 ASSORTED TITLES 
1.START WITH WHY: HOW GREAT LEADERS INSPIRE EVERYONE TO TAKE
2.GRIT: THE POWER AND PASSION AND PERSEVERANCE 
3.SECRETS OF A MILLIONAIRE MIND
4.THINK AND GROW: WHY SOME TEAMS PULL TOGETHER AND OTHER'S DON'T
5.THINGS YOU CAN SEE ONLY WHE"&amp;"N YOU SLOW DOWN: HOW TO BE CALM
6.INVESTING 101: FROM STOCKS AND BONDS TO ETFS AND IPOS
7.DAVUD AND GOLIATH: UNDERDOGS MISSFITS AND THE ART OF BATTLING
8.ELON MUSK INTL: TESLA SPACEX AND THE QUESWT FOR A FANTASTIC
9.MANAGEMENT 101 FROM HIRING AND FIRING I"&amp;"MPARTING NEW SKILLS
10.MONTERSSORI TODDLER: A PARENTS GUIDE TO RAISING A CURIOUS AND
")</f>
        <v>30 ASSORTED TITLES 
1.START WITH WHY: HOW GREAT LEADERS INSPIRE EVERYONE TO TAKE
2.GRIT: THE POWER AND PASSION AND PERSEVERANCE 
3.SECRETS OF A MILLIONAIRE MIND
4.THINK AND GROW: WHY SOME TEAMS PULL TOGETHER AND OTHER'S DON'T
5.THINGS YOU CAN SEE ONLY WHEN YOU SLOW DOWN: HOW TO BE CALM
6.INVESTING 101: FROM STOCKS AND BONDS TO ETFS AND IPOS
7.DAVUD AND GOLIATH: UNDERDOGS MISSFITS AND THE ART OF BATTLING
8.ELON MUSK INTL: TESLA SPACEX AND THE QUESWT FOR A FANTASTIC
9.MANAGEMENT 101 FROM HIRING AND FIRING IMPARTING NEW SKILLS
10.MONTERSSORI TODDLER: A PARENTS GUIDE TO RAISING A CURIOUS AND
</v>
      </c>
      <c r="E752" s="196" t="str">
        <f>IFERROR(__xludf.DUMMYFUNCTION("""COMPUTED_VALUE"""),"REFERENCES AND FICTION NOVELS FOR TEACHERS AND STUDENTS")</f>
        <v>REFERENCES AND FICTION NOVELS FOR TEACHERS AND STUDENTS</v>
      </c>
    </row>
    <row r="753">
      <c r="A753" s="234">
        <f>IFERROR(__xludf.DUMMYFUNCTION("""COMPUTED_VALUE"""),101045.0)</f>
        <v>101045</v>
      </c>
      <c r="B753" s="235" t="str">
        <f>IFERROR(__xludf.DUMMYFUNCTION("""COMPUTED_VALUE"""),"SHEREE ESPINOSA")</f>
        <v>SHEREE ESPINOSA</v>
      </c>
      <c r="C753" s="235" t="str">
        <f>IFERROR(__xludf.DUMMYFUNCTION("""COMPUTED_VALUE"""),"HOUSEKEEPING")</f>
        <v>HOUSEKEEPING</v>
      </c>
      <c r="D753" s="196" t="str">
        <f>IFERROR(__xludf.DUMMYFUNCTION("""COMPUTED_VALUE"""),"FROSTED STICKER")</f>
        <v>FROSTED STICKER</v>
      </c>
      <c r="E753" s="196" t="str">
        <f>IFERROR(__xludf.DUMMYFUNCTION("""COMPUTED_VALUE"""),"FOR PRAYER ROOM")</f>
        <v>FOR PRAYER ROOM</v>
      </c>
    </row>
    <row r="754">
      <c r="A754" s="234">
        <f>IFERROR(__xludf.DUMMYFUNCTION("""COMPUTED_VALUE"""),101046.0)</f>
        <v>101046</v>
      </c>
      <c r="B754" s="235" t="str">
        <f>IFERROR(__xludf.DUMMYFUNCTION("""COMPUTED_VALUE"""),"SAMANTHA FEROL")</f>
        <v>SAMANTHA FEROL</v>
      </c>
      <c r="C754" s="235" t="str">
        <f>IFERROR(__xludf.DUMMYFUNCTION("""COMPUTED_VALUE"""),"LIBRARY COLLEGE")</f>
        <v>LIBRARY COLLEGE</v>
      </c>
      <c r="D754" s="196" t="str">
        <f>IFERROR(__xludf.DUMMYFUNCTION("""COMPUTED_VALUE"""),"1.WORRIED ABOUT THE WRONG THINGS: YOUTH,  RISK, AND OPPORTUNITY IN THE DIGITAL WORLD
2.HANDS-ON TEST MANAGEMENT WITH JIRA: END TO END TEST MANAGEMENT WITH ZEPHYR,SYNAPRT AND JENKINS IN JIRA
3.LEARNING PHYTON NETWORKING(SECOND EDITION): A COMPLETE GUIDE TO"&amp;" BUILD AND DEPLOY STRONG NETWORKING CAPABILITIES USING PHYTON 3.7 AND ANSILBE
4.DIGITAL LUXURY: TRANSFORMING BRANDS AND CONSUMER EXPERIENCES
5.PLAY BY WOMEN FROM THE CONTEMPORARY AMERICAN THEATER FESTIVAL")</f>
        <v>1.WORRIED ABOUT THE WRONG THINGS: YOUTH,  RISK, AND OPPORTUNITY IN THE DIGITAL WORLD
2.HANDS-ON TEST MANAGEMENT WITH JIRA: END TO END TEST MANAGEMENT WITH ZEPHYR,SYNAPRT AND JENKINS IN JIRA
3.LEARNING PHYTON NETWORKING(SECOND EDITION): A COMPLETE GUIDE TO BUILD AND DEPLOY STRONG NETWORKING CAPABILITIES USING PHYTON 3.7 AND ANSILBE
4.DIGITAL LUXURY: TRANSFORMING BRANDS AND CONSUMER EXPERIENCES
5.PLAY BY WOMEN FROM THE CONTEMPORARY AMERICAN THEATER FESTIVAL</v>
      </c>
      <c r="E754" s="196" t="str">
        <f>IFERROR(__xludf.DUMMYFUNCTION("""COMPUTED_VALUE"""),"BOOK ACQUISTION ")</f>
        <v>BOOK ACQUISTION </v>
      </c>
    </row>
    <row r="755">
      <c r="A755" s="234">
        <f>IFERROR(__xludf.DUMMYFUNCTION("""COMPUTED_VALUE"""),101047.0)</f>
        <v>101047</v>
      </c>
      <c r="B755" s="235" t="str">
        <f>IFERROR(__xludf.DUMMYFUNCTION("""COMPUTED_VALUE"""),"SAMANTHA FEROL")</f>
        <v>SAMANTHA FEROL</v>
      </c>
      <c r="C755" s="235" t="str">
        <f>IFERROR(__xludf.DUMMYFUNCTION("""COMPUTED_VALUE"""),"LIBRARY COLLEGE")</f>
        <v>LIBRARY COLLEGE</v>
      </c>
      <c r="D755" s="196" t="str">
        <f>IFERROR(__xludf.DUMMYFUNCTION("""COMPUTED_VALUE"""),"1.THE EYE HOW THE WORLD'S MOST INFLUENTIAL CREATIVE DIRECTORS DEVELOP THEIR VISION
2.CLINICAL NURSE EDUCATOR COMPENTENCIES
3.THE ART OF THE START 2.0: THE TIMED-TESTED, BATTLE-HARDENED GUIDE FOR ANYONE STARTING ANTHING
4.SUCCESSFUL EVENT MANAGEMENT
5.OWN "&amp;"ANY OCASSION: MASTERING THE ART F SPEAKING AND PRESNTING")</f>
        <v>1.THE EYE HOW THE WORLD'S MOST INFLUENTIAL CREATIVE DIRECTORS DEVELOP THEIR VISION
2.CLINICAL NURSE EDUCATOR COMPENTENCIES
3.THE ART OF THE START 2.0: THE TIMED-TESTED, BATTLE-HARDENED GUIDE FOR ANYONE STARTING ANTHING
4.SUCCESSFUL EVENT MANAGEMENT
5.OWN ANY OCASSION: MASTERING THE ART F SPEAKING AND PRESNTING</v>
      </c>
      <c r="E755" s="196" t="str">
        <f>IFERROR(__xludf.DUMMYFUNCTION("""COMPUTED_VALUE"""),"BOOK ACQUISTION ")</f>
        <v>BOOK ACQUISTION </v>
      </c>
    </row>
    <row r="756">
      <c r="A756" s="234">
        <f>IFERROR(__xludf.DUMMYFUNCTION("""COMPUTED_VALUE"""),101048.0)</f>
        <v>101048</v>
      </c>
      <c r="B756" s="235" t="str">
        <f>IFERROR(__xludf.DUMMYFUNCTION("""COMPUTED_VALUE"""),"JAIREL MARASIGAN")</f>
        <v>JAIREL MARASIGAN</v>
      </c>
      <c r="C756" s="235" t="str">
        <f>IFERROR(__xludf.DUMMYFUNCTION("""COMPUTED_VALUE"""),"PR &amp; MARKETING")</f>
        <v>PR &amp; MARKETING</v>
      </c>
      <c r="D756" s="196" t="str">
        <f>IFERROR(__xludf.DUMMYFUNCTION("""COMPUTED_VALUE"""),"BALLOON DECOR 
BALLOON ARCH")</f>
        <v>BALLOON DECOR 
BALLOON ARCH</v>
      </c>
      <c r="E756" s="196" t="str">
        <f>IFERROR(__xludf.DUMMYFUNCTION("""COMPUTED_VALUE"""),"FOR  BE A BUDDY NOT A BULLY EVENT")</f>
        <v>FOR  BE A BUDDY NOT A BULLY EVENT</v>
      </c>
    </row>
    <row r="757">
      <c r="A757" s="234">
        <f>IFERROR(__xludf.DUMMYFUNCTION("""COMPUTED_VALUE"""),101049.0)</f>
        <v>101049</v>
      </c>
      <c r="B757" s="235" t="str">
        <f>IFERROR(__xludf.DUMMYFUNCTION("""COMPUTED_VALUE"""),"SAMANTHA FEROL")</f>
        <v>SAMANTHA FEROL</v>
      </c>
      <c r="C757" s="235" t="str">
        <f>IFERROR(__xludf.DUMMYFUNCTION("""COMPUTED_VALUE"""),"LIBRARY COLLEGE")</f>
        <v>LIBRARY COLLEGE</v>
      </c>
      <c r="D757" s="196" t="str">
        <f>IFERROR(__xludf.DUMMYFUNCTION("""COMPUTED_VALUE"""),"1.BEVERAGE KNOWLEDGE: AN INTRODUCTION TO BAR OPERATION
2.CRUISE TOURISM
3.GENERAL PSYCHOLOGY 
4.LABORATORY MANUAL LINEAR ALGERBRA WITH MATLAB
5.POLITICS AND GOVERANCE WITH PHILIPPINE CONSTITUTION
")</f>
        <v>1.BEVERAGE KNOWLEDGE: AN INTRODUCTION TO BAR OPERATION
2.CRUISE TOURISM
3.GENERAL PSYCHOLOGY 
4.LABORATORY MANUAL LINEAR ALGERBRA WITH MATLAB
5.POLITICS AND GOVERANCE WITH PHILIPPINE CONSTITUTION
</v>
      </c>
      <c r="E757" s="196" t="str">
        <f>IFERROR(__xludf.DUMMYFUNCTION("""COMPUTED_VALUE"""),"BOOK ACQUISTION ")</f>
        <v>BOOK ACQUISTION </v>
      </c>
    </row>
    <row r="758">
      <c r="A758" s="234">
        <f>IFERROR(__xludf.DUMMYFUNCTION("""COMPUTED_VALUE"""),101050.0)</f>
        <v>101050</v>
      </c>
      <c r="B758" s="235" t="str">
        <f>IFERROR(__xludf.DUMMYFUNCTION("""COMPUTED_VALUE"""),"SAMANTHA FEROL")</f>
        <v>SAMANTHA FEROL</v>
      </c>
      <c r="C758" s="235" t="str">
        <f>IFERROR(__xludf.DUMMYFUNCTION("""COMPUTED_VALUE"""),"LIBRARY COLLEGE")</f>
        <v>LIBRARY COLLEGE</v>
      </c>
      <c r="D758" s="196" t="str">
        <f>IFERROR(__xludf.DUMMYFUNCTION("""COMPUTED_VALUE"""),"1 ADVANCE DATA BASE MANAGEMENT SYSTEMS
2 ARTIFICIAL INTELLIGENCE IN PRACTICE: HOW 50
3 COMMUNICATION SKILLS: HOW TO MASTER THE 
4 COMPUTERS FOR HOTEL MANAGEMENT(WITH DVD)
5 CAST AND MATERIALS MANAGEMENT IN THE FOOD SERVICE INDUSTRY")</f>
        <v>1 ADVANCE DATA BASE MANAGEMENT SYSTEMS
2 ARTIFICIAL INTELLIGENCE IN PRACTICE: HOW 50
3 COMMUNICATION SKILLS: HOW TO MASTER THE 
4 COMPUTERS FOR HOTEL MANAGEMENT(WITH DVD)
5 CAST AND MATERIALS MANAGEMENT IN THE FOOD SERVICE INDUSTRY</v>
      </c>
      <c r="E758" s="196" t="str">
        <f>IFERROR(__xludf.DUMMYFUNCTION("""COMPUTED_VALUE"""),"BOOK ACQUISTION ")</f>
        <v>BOOK ACQUISTION </v>
      </c>
    </row>
    <row r="759">
      <c r="A759" s="234">
        <f>IFERROR(__xludf.DUMMYFUNCTION("""COMPUTED_VALUE"""),101051.0)</f>
        <v>101051</v>
      </c>
      <c r="B759" s="235" t="str">
        <f>IFERROR(__xludf.DUMMYFUNCTION("""COMPUTED_VALUE"""),"SAMANTHA FEROL")</f>
        <v>SAMANTHA FEROL</v>
      </c>
      <c r="C759" s="235" t="str">
        <f>IFERROR(__xludf.DUMMYFUNCTION("""COMPUTED_VALUE"""),"LIBRARY COLLEGE")</f>
        <v>LIBRARY COLLEGE</v>
      </c>
      <c r="D759" s="196" t="str">
        <f>IFERROR(__xludf.DUMMYFUNCTION("""COMPUTED_VALUE"""),"1 HUMAN RESOURCE MANAGEMENT (REVISED EDITION)
2 STRATEGIC OPERATIONS MANAGEMENT
3 TOTAL QUALITY MANAGEMENT
4 FUNDAMENTALS OF ADVERTISING
5 CORPORATE SOCIAL RESPONSIBILITY, GOOD GOVERNANCE, AND ENVIRONMENTAL ACCOUNTABILITY: A TRI-FOCAL APPROACH TO THE PHIL"&amp;"ISOPHY")</f>
        <v>1 HUMAN RESOURCE MANAGEMENT (REVISED EDITION)
2 STRATEGIC OPERATIONS MANAGEMENT
3 TOTAL QUALITY MANAGEMENT
4 FUNDAMENTALS OF ADVERTISING
5 CORPORATE SOCIAL RESPONSIBILITY, GOOD GOVERNANCE, AND ENVIRONMENTAL ACCOUNTABILITY: A TRI-FOCAL APPROACH TO THE PHILISOPHY</v>
      </c>
      <c r="E759" s="196" t="str">
        <f>IFERROR(__xludf.DUMMYFUNCTION("""COMPUTED_VALUE"""),"BOOK ACQUISTION ")</f>
        <v>BOOK ACQUISTION </v>
      </c>
    </row>
    <row r="760">
      <c r="A760" s="234">
        <f>IFERROR(__xludf.DUMMYFUNCTION("""COMPUTED_VALUE"""),101052.0)</f>
        <v>101052</v>
      </c>
      <c r="B760" s="235" t="str">
        <f>IFERROR(__xludf.DUMMYFUNCTION("""COMPUTED_VALUE"""),"SAMANTHA FEROL")</f>
        <v>SAMANTHA FEROL</v>
      </c>
      <c r="C760" s="235" t="str">
        <f>IFERROR(__xludf.DUMMYFUNCTION("""COMPUTED_VALUE"""),"LIBRARY COLLEGE")</f>
        <v>LIBRARY COLLEGE</v>
      </c>
      <c r="D760" s="196" t="str">
        <f>IFERROR(__xludf.DUMMYFUNCTION("""COMPUTED_VALUE"""),"1 CHILD FROM BIRTH TO ADOLESCENT 
2 EXPERIENCE PSYCHOLOGY: FOURTH EDITION
3 PREDICTIVE HR ANALYTICS: MASTERING THE HR METRIC
4 CASE STUDIES IN SOCIAL PSYCHOLOGY: CRITICAL THINKING AND APPLICATION
5 FOUNDATION OF ADULT NURSING")</f>
        <v>1 CHILD FROM BIRTH TO ADOLESCENT 
2 EXPERIENCE PSYCHOLOGY: FOURTH EDITION
3 PREDICTIVE HR ANALYTICS: MASTERING THE HR METRIC
4 CASE STUDIES IN SOCIAL PSYCHOLOGY: CRITICAL THINKING AND APPLICATION
5 FOUNDATION OF ADULT NURSING</v>
      </c>
      <c r="E760" s="196" t="str">
        <f>IFERROR(__xludf.DUMMYFUNCTION("""COMPUTED_VALUE"""),"BOOK ACQUISTION ")</f>
        <v>BOOK ACQUISTION </v>
      </c>
    </row>
    <row r="761">
      <c r="A761" s="234">
        <f>IFERROR(__xludf.DUMMYFUNCTION("""COMPUTED_VALUE"""),101053.0)</f>
        <v>101053</v>
      </c>
      <c r="B761" s="235" t="str">
        <f>IFERROR(__xludf.DUMMYFUNCTION("""COMPUTED_VALUE"""),"apollo mance")</f>
        <v>apollo mance</v>
      </c>
      <c r="C761" s="235" t="str">
        <f>IFERROR(__xludf.DUMMYFUNCTION("""COMPUTED_VALUE"""),"MIS/ICT")</f>
        <v>MIS/ICT</v>
      </c>
      <c r="D761" s="196" t="str">
        <f>IFERROR(__xludf.DUMMYFUNCTION("""COMPUTED_VALUE"""),"AVR GENERIC INTEX (220 ALL OUTLET) 100PCS.")</f>
        <v>AVR GENERIC INTEX (220 ALL OUTLET) 100PCS.</v>
      </c>
      <c r="E761" s="196" t="str">
        <f>IFERROR(__xludf.DUMMYFUNCTION("""COMPUTED_VALUE"""),"STOCK REPLENISHMENT")</f>
        <v>STOCK REPLENISHMENT</v>
      </c>
    </row>
    <row r="762">
      <c r="A762" s="234">
        <f>IFERROR(__xludf.DUMMYFUNCTION("""COMPUTED_VALUE"""),101054.0)</f>
        <v>101054</v>
      </c>
      <c r="B762" s="235" t="str">
        <f>IFERROR(__xludf.DUMMYFUNCTION("""COMPUTED_VALUE"""),"ADRIAN DE GUINTO")</f>
        <v>ADRIAN DE GUINTO</v>
      </c>
      <c r="C762" s="235" t="str">
        <f>IFERROR(__xludf.DUMMYFUNCTION("""COMPUTED_VALUE"""),"PR &amp; MARKETING")</f>
        <v>PR &amp; MARKETING</v>
      </c>
      <c r="D762" s="196" t="str">
        <f>IFERROR(__xludf.DUMMYFUNCTION("""COMPUTED_VALUE"""),"CALLING CARDS
1.MONTELLANO
2.REYES
3.MARASIGAN
4.BALUYOT
5.DE GUZMAN
6.DE GUINTO")</f>
        <v>CALLING CARDS
1.MONTELLANO
2.REYES
3.MARASIGAN
4.BALUYOT
5.DE GUZMAN
6.DE GUINTO</v>
      </c>
      <c r="E762" s="196" t="str">
        <f>IFERROR(__xludf.DUMMYFUNCTION("""COMPUTED_VALUE"""),"FOR MARKETING")</f>
        <v>FOR MARKETING</v>
      </c>
    </row>
    <row r="763">
      <c r="A763" s="234">
        <f>IFERROR(__xludf.DUMMYFUNCTION("""COMPUTED_VALUE"""),101055.0)</f>
        <v>101055</v>
      </c>
      <c r="B763" s="235" t="str">
        <f>IFERROR(__xludf.DUMMYFUNCTION("""COMPUTED_VALUE"""),"ADRIAN DE GUINTO")</f>
        <v>ADRIAN DE GUINTO</v>
      </c>
      <c r="C763" s="235" t="str">
        <f>IFERROR(__xludf.DUMMYFUNCTION("""COMPUTED_VALUE"""),"PR &amp; MARKETING")</f>
        <v>PR &amp; MARKETING</v>
      </c>
      <c r="D763" s="196" t="str">
        <f>IFERROR(__xludf.DUMMYFUNCTION("""COMPUTED_VALUE"""),"OB MONTERSSORI GEN MARK 5X8 FT
WITH SEARNING AND EYELET ALL OVER")</f>
        <v>OB MONTERSSORI GEN MARK 5X8 FT
WITH SEARNING AND EYELET ALL OVER</v>
      </c>
      <c r="E763" s="196" t="str">
        <f>IFERROR(__xludf.DUMMYFUNCTION("""COMPUTED_VALUE"""),"FOR MARKETING")</f>
        <v>FOR MARKETING</v>
      </c>
    </row>
    <row r="764">
      <c r="A764" s="234">
        <f>IFERROR(__xludf.DUMMYFUNCTION("""COMPUTED_VALUE"""),101056.0)</f>
        <v>101056</v>
      </c>
      <c r="B764" s="235" t="str">
        <f>IFERROR(__xludf.DUMMYFUNCTION("""COMPUTED_VALUE"""),"JOHN WRAITH")</f>
        <v>JOHN WRAITH</v>
      </c>
      <c r="C764" s="235" t="str">
        <f>IFERROR(__xludf.DUMMYFUNCTION("""COMPUTED_VALUE"""),"I.B.")</f>
        <v>I.B.</v>
      </c>
      <c r="D764" s="196" t="str">
        <f>IFERROR(__xludf.DUMMYFUNCTION("""COMPUTED_VALUE"""),"TOURNIQUET
GAUZE PAD(PACK)
EYE PAD (PACK)
COTTON(PACK)
BAND AID (PACK)")</f>
        <v>TOURNIQUET
GAUZE PAD(PACK)
EYE PAD (PACK)
COTTON(PACK)
BAND AID (PACK)</v>
      </c>
      <c r="E764" s="196" t="str">
        <f>IFERROR(__xludf.DUMMYFUNCTION("""COMPUTED_VALUE"""),"FOR FIRST AID KIT")</f>
        <v>FOR FIRST AID KIT</v>
      </c>
    </row>
    <row r="765">
      <c r="A765" s="234">
        <f>IFERROR(__xludf.DUMMYFUNCTION("""COMPUTED_VALUE"""),101057.0)</f>
        <v>101057</v>
      </c>
      <c r="B765" s="235" t="str">
        <f>IFERROR(__xludf.DUMMYFUNCTION("""COMPUTED_VALUE"""),"SAMANTHA FEROL")</f>
        <v>SAMANTHA FEROL</v>
      </c>
      <c r="C765" s="235" t="str">
        <f>IFERROR(__xludf.DUMMYFUNCTION("""COMPUTED_VALUE"""),"LIBRARY COLLEGE")</f>
        <v>LIBRARY COLLEGE</v>
      </c>
      <c r="D765" s="196" t="str">
        <f>IFERROR(__xludf.DUMMYFUNCTION("""COMPUTED_VALUE"""),"GREEN BINDER FOLDER LONG (3HOLES)")</f>
        <v>GREEN BINDER FOLDER LONG (3HOLES)</v>
      </c>
      <c r="E765" s="196" t="str">
        <f>IFERROR(__xludf.DUMMYFUNCTION("""COMPUTED_VALUE"""),"FOR PACUCOA ACCREDITATION FILES")</f>
        <v>FOR PACUCOA ACCREDITATION FILES</v>
      </c>
    </row>
    <row r="766">
      <c r="A766" s="234">
        <f>IFERROR(__xludf.DUMMYFUNCTION("""COMPUTED_VALUE"""),101058.0)</f>
        <v>101058</v>
      </c>
      <c r="B766" s="235" t="str">
        <f>IFERROR(__xludf.DUMMYFUNCTION("""COMPUTED_VALUE"""),"ELYDS REYES")</f>
        <v>ELYDS REYES</v>
      </c>
      <c r="C766" s="235" t="str">
        <f>IFERROR(__xludf.DUMMYFUNCTION("""COMPUTED_VALUE"""),"PR &amp; MARKETING")</f>
        <v>PR &amp; MARKETING</v>
      </c>
      <c r="D766" s="196" t="str">
        <f>IFERROR(__xludf.DUMMYFUNCTION("""COMPUTED_VALUE"""),"S4S KD # 2X2X10
S4S KD 2X2X8")</f>
        <v>S4S KD # 2X2X10
S4S KD 2X2X8</v>
      </c>
      <c r="E766" s="196" t="str">
        <f>IFERROR(__xludf.DUMMYFUNCTION("""COMPUTED_VALUE"""),"FRAMING OF TARPS")</f>
        <v>FRAMING OF TARPS</v>
      </c>
    </row>
    <row r="767">
      <c r="A767" s="234">
        <f>IFERROR(__xludf.DUMMYFUNCTION("""COMPUTED_VALUE"""),101059.0)</f>
        <v>101059</v>
      </c>
      <c r="B767" s="235" t="str">
        <f>IFERROR(__xludf.DUMMYFUNCTION("""COMPUTED_VALUE"""),"APRIL D. TRAJICO")</f>
        <v>APRIL D. TRAJICO</v>
      </c>
      <c r="C767" s="235" t="str">
        <f>IFERROR(__xludf.DUMMYFUNCTION("""COMPUTED_VALUE"""),"AMD")</f>
        <v>AMD</v>
      </c>
      <c r="D767" s="196" t="str">
        <f>IFERROR(__xludf.DUMMYFUNCTION("""COMPUTED_VALUE"""),"PAPER BAG BROWN #20 200PCS")</f>
        <v>PAPER BAG BROWN #20 200PCS</v>
      </c>
      <c r="E767" s="196" t="str">
        <f>IFERROR(__xludf.DUMMYFUNCTION("""COMPUTED_VALUE"""),"FOR RELEASING OF SUPPLIES / OFFICE USE")</f>
        <v>FOR RELEASING OF SUPPLIES / OFFICE USE</v>
      </c>
    </row>
    <row r="768">
      <c r="A768" s="234">
        <f>IFERROR(__xludf.DUMMYFUNCTION("""COMPUTED_VALUE"""),101060.0)</f>
        <v>101060</v>
      </c>
      <c r="B768" s="235" t="str">
        <f>IFERROR(__xludf.DUMMYFUNCTION("""COMPUTED_VALUE"""),"APRIL D. TRAJICO")</f>
        <v>APRIL D. TRAJICO</v>
      </c>
      <c r="C768" s="235" t="str">
        <f>IFERROR(__xludf.DUMMYFUNCTION("""COMPUTED_VALUE"""),"AMD")</f>
        <v>AMD</v>
      </c>
      <c r="D768" s="196" t="str">
        <f>IFERROR(__xludf.DUMMYFUNCTION("""COMPUTED_VALUE"""),"LAMINATING FILM, DL951 FRONT/BACK 3M 10BOXES")</f>
        <v>LAMINATING FILM, DL951 FRONT/BACK 3M 10BOXES</v>
      </c>
      <c r="E768" s="196" t="str">
        <f>IFERROR(__xludf.DUMMYFUNCTION("""COMPUTED_VALUE"""),"STOCK REPLENISHMENT - OSSUP")</f>
        <v>STOCK REPLENISHMENT - OSSUP</v>
      </c>
    </row>
    <row r="769">
      <c r="A769" s="234">
        <f>IFERROR(__xludf.DUMMYFUNCTION("""COMPUTED_VALUE"""),101061.0)</f>
        <v>101061</v>
      </c>
      <c r="B769" s="235" t="str">
        <f>IFERROR(__xludf.DUMMYFUNCTION("""COMPUTED_VALUE"""),"APRIL D. TRAJICO")</f>
        <v>APRIL D. TRAJICO</v>
      </c>
      <c r="C769" s="235" t="str">
        <f>IFERROR(__xludf.DUMMYFUNCTION("""COMPUTED_VALUE"""),"AMD")</f>
        <v>AMD</v>
      </c>
      <c r="D769" s="196" t="str">
        <f>IFERROR(__xludf.DUMMYFUNCTION("""COMPUTED_VALUE"""),"INKS, PRINTER 811 COLORED 10PCS; INKS, PRINTER 810 BLACK 5PCS")</f>
        <v>INKS, PRINTER 811 COLORED 10PCS; INKS, PRINTER 810 BLACK 5PCS</v>
      </c>
      <c r="E769" s="196" t="str">
        <f>IFERROR(__xludf.DUMMYFUNCTION("""COMPUTED_VALUE"""),"STOCK REPLENISHMENT - OSSUP")</f>
        <v>STOCK REPLENISHMENT - OSSUP</v>
      </c>
    </row>
    <row r="770">
      <c r="A770" s="234">
        <f>IFERROR(__xludf.DUMMYFUNCTION("""COMPUTED_VALUE"""),101062.0)</f>
        <v>101062</v>
      </c>
      <c r="B770" s="235" t="str">
        <f>IFERROR(__xludf.DUMMYFUNCTION("""COMPUTED_VALUE"""),"CHRISTIAN ANDRES")</f>
        <v>CHRISTIAN ANDRES</v>
      </c>
      <c r="C770" s="235" t="str">
        <f>IFERROR(__xludf.DUMMYFUNCTION("""COMPUTED_VALUE"""),"PR &amp; MARKETING")</f>
        <v>PR &amp; MARKETING</v>
      </c>
      <c r="D770" s="196" t="str">
        <f>IFERROR(__xludf.DUMMYFUNCTION("""COMPUTED_VALUE"""),"3000 PCS 8.5X11 BASIC ED INFOPOCKET - SPREAD AND SAME SPECS")</f>
        <v>3000 PCS 8.5X11 BASIC ED INFOPOCKET - SPREAD AND SAME SPECS</v>
      </c>
      <c r="E770" s="196" t="str">
        <f>IFERROR(__xludf.DUMMYFUNCTION("""COMPUTED_VALUE"""),"OUT OF STOCK NEED TO RESUPPLY THE NEW DESIGN")</f>
        <v>OUT OF STOCK NEED TO RESUPPLY THE NEW DESIGN</v>
      </c>
    </row>
    <row r="771">
      <c r="A771" s="234">
        <f>IFERROR(__xludf.DUMMYFUNCTION("""COMPUTED_VALUE"""),101063.0)</f>
        <v>101063</v>
      </c>
      <c r="B771" s="235" t="str">
        <f>IFERROR(__xludf.DUMMYFUNCTION("""COMPUTED_VALUE"""),"OWIE PAR")</f>
        <v>OWIE PAR</v>
      </c>
      <c r="C771" s="235" t="str">
        <f>IFERROR(__xludf.DUMMYFUNCTION("""COMPUTED_VALUE"""),"ENGINEERING")</f>
        <v>ENGINEERING</v>
      </c>
      <c r="D771" s="196" t="str">
        <f>IFERROR(__xludf.DUMMYFUNCTION("""COMPUTED_VALUE"""),"53 PCS FOOTLIGHTS FOR PACUCOA PANELBOARDS")</f>
        <v>53 PCS FOOTLIGHTS FOR PACUCOA PANELBOARDS</v>
      </c>
      <c r="E771" s="196" t="str">
        <f>IFERROR(__xludf.DUMMYFUNCTION("""COMPUTED_VALUE"""),"LIGHT FOR THE PANEL BOARD EXHIBIT")</f>
        <v>LIGHT FOR THE PANEL BOARD EXHIBIT</v>
      </c>
    </row>
    <row r="772">
      <c r="A772" s="234">
        <f>IFERROR(__xludf.DUMMYFUNCTION("""COMPUTED_VALUE"""),101064.0)</f>
        <v>101064</v>
      </c>
      <c r="B772" s="235" t="str">
        <f>IFERROR(__xludf.DUMMYFUNCTION("""COMPUTED_VALUE"""),"OWIE PAR")</f>
        <v>OWIE PAR</v>
      </c>
      <c r="C772" s="235" t="str">
        <f>IFERROR(__xludf.DUMMYFUNCTION("""COMPUTED_VALUE"""),"ENGINEERING")</f>
        <v>ENGINEERING</v>
      </c>
      <c r="D772" s="196" t="str">
        <f>IFERROR(__xludf.DUMMYFUNCTION("""COMPUTED_VALUE"""),"2X2X8 S4S KD 160 PCS; MARINE PLYWOOD 1/4X4X8 40 PCS; COMMON NAIL #1 INCH 3 KGS; FINISHING NAIL #2 INCHES 3 KLS; FLAT WALL ENAMEL WHIE 1 TIN; PAINT THINNER 1 GAL; STICKWELL 1 GAL; CLAW HAMMER SMALL 2 PCS")</f>
        <v>2X2X8 S4S KD 160 PCS; MARINE PLYWOOD 1/4X4X8 40 PCS; COMMON NAIL #1 INCH 3 KGS; FINISHING NAIL #2 INCHES 3 KLS; FLAT WALL ENAMEL WHIE 1 TIN; PAINT THINNER 1 GAL; STICKWELL 1 GAL; CLAW HAMMER SMALL 2 PCS</v>
      </c>
      <c r="E772" s="196" t="str">
        <f>IFERROR(__xludf.DUMMYFUNCTION("""COMPUTED_VALUE"""),"FABRICATION OF PANEL BOARD FOR PACUCOA")</f>
        <v>FABRICATION OF PANEL BOARD FOR PACUCOA</v>
      </c>
    </row>
    <row r="773">
      <c r="A773" s="234">
        <f>IFERROR(__xludf.DUMMYFUNCTION("""COMPUTED_VALUE"""),101065.0)</f>
        <v>101065</v>
      </c>
      <c r="B773" s="235" t="str">
        <f>IFERROR(__xludf.DUMMYFUNCTION("""COMPUTED_VALUE"""),"APRIL D. TRAJICO")</f>
        <v>APRIL D. TRAJICO</v>
      </c>
      <c r="C773" s="235" t="str">
        <f>IFERROR(__xludf.DUMMYFUNCTION("""COMPUTED_VALUE"""),"AMD")</f>
        <v>AMD</v>
      </c>
      <c r="D773" s="196" t="str">
        <f>IFERROR(__xludf.DUMMYFUNCTION("""COMPUTED_VALUE"""),"TISSUE, ROLL BATH 2PLY (SANICARE) 480PCS")</f>
        <v>TISSUE, ROLL BATH 2PLY (SANICARE) 480PCS</v>
      </c>
      <c r="E773" s="196" t="str">
        <f>IFERROR(__xludf.DUMMYFUNCTION("""COMPUTED_VALUE"""),"STOCK REPLENISHMENT - OSSUP")</f>
        <v>STOCK REPLENISHMENT - OSSUP</v>
      </c>
    </row>
    <row r="774">
      <c r="A774" s="234">
        <f>IFERROR(__xludf.DUMMYFUNCTION("""COMPUTED_VALUE"""),101066.0)</f>
        <v>101066</v>
      </c>
      <c r="B774" s="235" t="str">
        <f>IFERROR(__xludf.DUMMYFUNCTION("""COMPUTED_VALUE"""),"BELOY LEOPOLDO")</f>
        <v>BELOY LEOPOLDO</v>
      </c>
      <c r="C774" s="235" t="str">
        <f>IFERROR(__xludf.DUMMYFUNCTION("""COMPUTED_VALUE"""),"MIS/ICT")</f>
        <v>MIS/ICT</v>
      </c>
      <c r="D774" s="196" t="str">
        <f>IFERROR(__xludf.DUMMYFUNCTION("""COMPUTED_VALUE"""),"LCD PROJECTOR EPSON")</f>
        <v>LCD PROJECTOR EPSON</v>
      </c>
      <c r="E774" s="196" t="str">
        <f>IFERROR(__xludf.DUMMYFUNCTION("""COMPUTED_VALUE"""),"REPLACEMENT OF OLDAND BLURRED LCD PROJECTOR IN NSK-COLLEGE")</f>
        <v>REPLACEMENT OF OLDAND BLURRED LCD PROJECTOR IN NSK-COLLEGE</v>
      </c>
    </row>
    <row r="775">
      <c r="A775" s="234">
        <f>IFERROR(__xludf.DUMMYFUNCTION("""COMPUTED_VALUE"""),101067.0)</f>
        <v>101067</v>
      </c>
      <c r="B775" s="235" t="str">
        <f>IFERROR(__xludf.DUMMYFUNCTION("""COMPUTED_VALUE"""),"ADRIAN DE GUINTO")</f>
        <v>ADRIAN DE GUINTO</v>
      </c>
      <c r="C775" s="235" t="str">
        <f>IFERROR(__xludf.DUMMYFUNCTION("""COMPUTED_VALUE"""),"PR &amp; MARKETING")</f>
        <v>PR &amp; MARKETING</v>
      </c>
      <c r="D775" s="196" t="str">
        <f>IFERROR(__xludf.DUMMYFUNCTION("""COMPUTED_VALUE"""),"6.5X13.5 FT W/ EYELEF AND SEAMING PQA TARP")</f>
        <v>6.5X13.5 FT W/ EYELEF AND SEAMING PQA TARP</v>
      </c>
      <c r="E775" s="196" t="str">
        <f>IFERROR(__xludf.DUMMYFUNCTION("""COMPUTED_VALUE"""),"MARKETING")</f>
        <v>MARKETING</v>
      </c>
    </row>
    <row r="776">
      <c r="A776" s="234">
        <f>IFERROR(__xludf.DUMMYFUNCTION("""COMPUTED_VALUE"""),101068.0)</f>
        <v>101068</v>
      </c>
      <c r="B776" s="235" t="str">
        <f>IFERROR(__xludf.DUMMYFUNCTION("""COMPUTED_VALUE"""),"OWIE PAR")</f>
        <v>OWIE PAR</v>
      </c>
      <c r="C776" s="235" t="str">
        <f>IFERROR(__xludf.DUMMYFUNCTION("""COMPUTED_VALUE"""),"ENGINEERING")</f>
        <v>ENGINEERING</v>
      </c>
      <c r="D776" s="196" t="str">
        <f>IFERROR(__xludf.DUMMYFUNCTION("""COMPUTED_VALUE"""),"FLOAT VALVE 1 1/2 BRASS")</f>
        <v>FLOAT VALVE 1 1/2 BRASS</v>
      </c>
      <c r="E776" s="196" t="str">
        <f>IFERROR(__xludf.DUMMYFUNCTION("""COMPUTED_VALUE"""),"FOR COL BLDG ")</f>
        <v>FOR COL BLDG </v>
      </c>
    </row>
    <row r="777">
      <c r="A777" s="234">
        <f>IFERROR(__xludf.DUMMYFUNCTION("""COMPUTED_VALUE"""),101069.0)</f>
        <v>101069</v>
      </c>
      <c r="B777" s="235" t="str">
        <f>IFERROR(__xludf.DUMMYFUNCTION("""COMPUTED_VALUE"""),"SHEREE ESPINOSA")</f>
        <v>SHEREE ESPINOSA</v>
      </c>
      <c r="C777" s="235" t="str">
        <f>IFERROR(__xludf.DUMMYFUNCTION("""COMPUTED_VALUE"""),"HOUSEKEEPING")</f>
        <v>HOUSEKEEPING</v>
      </c>
      <c r="D777" s="196" t="str">
        <f>IFERROR(__xludf.DUMMYFUNCTION("""COMPUTED_VALUE"""),"T5 PIN LIGHTS -(PLS SEE ATTACHED SAMPLE)")</f>
        <v>T5 PIN LIGHTS -(PLS SEE ATTACHED SAMPLE)</v>
      </c>
      <c r="E777" s="196" t="str">
        <f>IFERROR(__xludf.DUMMYFUNCTION("""COMPUTED_VALUE"""),"FOR 5TH FLOOR HALLWAY")</f>
        <v>FOR 5TH FLOOR HALLWAY</v>
      </c>
    </row>
    <row r="778">
      <c r="A778" s="234">
        <f>IFERROR(__xludf.DUMMYFUNCTION("""COMPUTED_VALUE"""),101070.0)</f>
        <v>101070</v>
      </c>
      <c r="B778" s="235" t="str">
        <f>IFERROR(__xludf.DUMMYFUNCTION("""COMPUTED_VALUE"""),"SHEREE ESPINOSA")</f>
        <v>SHEREE ESPINOSA</v>
      </c>
      <c r="C778" s="235" t="str">
        <f>IFERROR(__xludf.DUMMYFUNCTION("""COMPUTED_VALUE"""),"HOUSEKEEPING")</f>
        <v>HOUSEKEEPING</v>
      </c>
      <c r="D778" s="196" t="str">
        <f>IFERROR(__xludf.DUMMYFUNCTION("""COMPUTED_VALUE"""),"ASSORTED APPLIANCES/KITCHEN WARE
RECEPIENTS: BFP (LAS PINAS PARANAQUE DASMA)
POLICE LAS PINAS (2)
BRGY PARANAQUE (1)
CAA BRGY (1)")</f>
        <v>ASSORTED APPLIANCES/KITCHEN WARE
RECEPIENTS: BFP (LAS PINAS PARANAQUE DASMA)
POLICE LAS PINAS (2)
BRGY PARANAQUE (1)
CAA BRGY (1)</v>
      </c>
      <c r="E778" s="196" t="str">
        <f>IFERROR(__xludf.DUMMYFUNCTION("""COMPUTED_VALUE"""),"FOR CHRISMASRAFFLE (BRGY, GOVT OFFICES)")</f>
        <v>FOR CHRISMASRAFFLE (BRGY, GOVT OFFICES)</v>
      </c>
    </row>
    <row r="779">
      <c r="A779" s="234">
        <f>IFERROR(__xludf.DUMMYFUNCTION("""COMPUTED_VALUE"""),101071.0)</f>
        <v>101071</v>
      </c>
      <c r="B779" s="235" t="str">
        <f>IFERROR(__xludf.DUMMYFUNCTION("""COMPUTED_VALUE"""),"AINA DELA CRUZ")</f>
        <v>AINA DELA CRUZ</v>
      </c>
      <c r="C779" s="235" t="str">
        <f>IFERROR(__xludf.DUMMYFUNCTION("""COMPUTED_VALUE"""),"ADMIN")</f>
        <v>ADMIN</v>
      </c>
      <c r="D779" s="196" t="str">
        <f>IFERROR(__xludf.DUMMYFUNCTION("""COMPUTED_VALUE"""),"VOILET RIBBON WITH SISC PRINT (SEE ATTACHED)
(WILL BE USED IN WRAPPING CHRISTMAS GIVEAWAYS)")</f>
        <v>VOILET RIBBON WITH SISC PRINT (SEE ATTACHED)
(WILL BE USED IN WRAPPING CHRISTMAS GIVEAWAYS)</v>
      </c>
      <c r="E779" s="196" t="str">
        <f>IFERROR(__xludf.DUMMYFUNCTION("""COMPUTED_VALUE"""),"WILL USE FOR WRAPPING CHRISTMAS GIVEAWAYS ")</f>
        <v>WILL USE FOR WRAPPING CHRISTMAS GIVEAWAYS </v>
      </c>
    </row>
    <row r="780">
      <c r="A780" s="234">
        <f>IFERROR(__xludf.DUMMYFUNCTION("""COMPUTED_VALUE"""),101072.0)</f>
        <v>101072</v>
      </c>
      <c r="B780" s="235" t="str">
        <f>IFERROR(__xludf.DUMMYFUNCTION("""COMPUTED_VALUE"""),"AINA DELA CRUZ")</f>
        <v>AINA DELA CRUZ</v>
      </c>
      <c r="C780" s="235" t="str">
        <f>IFERROR(__xludf.DUMMYFUNCTION("""COMPUTED_VALUE"""),"ADMIN")</f>
        <v>ADMIN</v>
      </c>
      <c r="D780" s="196" t="str">
        <f>IFERROR(__xludf.DUMMYFUNCTION("""COMPUTED_VALUE"""),"BAMBOO TUMBLER AHRCEL
ANTI SPILL TUMBLER - WHITE ONLY
INSOLATED LUNCH BAG-ASSORTED COLOR
WHEAT STRAW LUNCH BAG-ASSORTED COLOR
GROCERY HAMPER 250 ROBINSONS
GROCERY HAMPER 300 SM
GROCERY HAMPER 500 SM
UMBRELLA ")</f>
        <v>BAMBOO TUMBLER AHRCEL
ANTI SPILL TUMBLER - WHITE ONLY
INSOLATED LUNCH BAG-ASSORTED COLOR
WHEAT STRAW LUNCH BAG-ASSORTED COLOR
GROCERY HAMPER 250 ROBINSONS
GROCERY HAMPER 300 SM
GROCERY HAMPER 500 SM
UMBRELLA </v>
      </c>
      <c r="E780" s="196" t="str">
        <f>IFERROR(__xludf.DUMMYFUNCTION("""COMPUTED_VALUE"""),"CHRISTMAS GIFT GIVING 2019")</f>
        <v>CHRISTMAS GIFT GIVING 2019</v>
      </c>
    </row>
    <row r="781">
      <c r="A781" s="234">
        <f>IFERROR(__xludf.DUMMYFUNCTION("""COMPUTED_VALUE"""),101073.0)</f>
        <v>101073</v>
      </c>
      <c r="B781" s="235" t="str">
        <f>IFERROR(__xludf.DUMMYFUNCTION("""COMPUTED_VALUE"""),"CHRISTIAN MARK MARBIBI")</f>
        <v>CHRISTIAN MARK MARBIBI</v>
      </c>
      <c r="C781" s="235" t="str">
        <f>IFERROR(__xludf.DUMMYFUNCTION("""COMPUTED_VALUE"""),"HOUSEKEEPING")</f>
        <v>HOUSEKEEPING</v>
      </c>
      <c r="D781" s="196" t="str">
        <f>IFERROR(__xludf.DUMMYFUNCTION("""COMPUTED_VALUE"""),"BABY OIL 125ML")</f>
        <v>BABY OIL 125ML</v>
      </c>
      <c r="E781" s="196" t="str">
        <f>IFERROR(__xludf.DUMMYFUNCTION("""COMPUTED_VALUE"""),"STOCK REPLENISHMENT - HSKPG")</f>
        <v>STOCK REPLENISHMENT - HSKPG</v>
      </c>
    </row>
    <row r="782">
      <c r="A782" s="234">
        <f>IFERROR(__xludf.DUMMYFUNCTION("""COMPUTED_VALUE"""),101074.0)</f>
        <v>101074</v>
      </c>
      <c r="B782" s="235" t="str">
        <f>IFERROR(__xludf.DUMMYFUNCTION("""COMPUTED_VALUE"""),"CHRISTIAN MARK MARBIBI")</f>
        <v>CHRISTIAN MARK MARBIBI</v>
      </c>
      <c r="C782" s="235" t="str">
        <f>IFERROR(__xludf.DUMMYFUNCTION("""COMPUTED_VALUE"""),"HOUSEKEEPING")</f>
        <v>HOUSEKEEPING</v>
      </c>
      <c r="D782" s="196" t="str">
        <f>IFERROR(__xludf.DUMMYFUNCTION("""COMPUTED_VALUE"""),"CHLORINE 1KG PER PACK ")</f>
        <v>CHLORINE 1KG PER PACK </v>
      </c>
      <c r="E782" s="196" t="str">
        <f>IFERROR(__xludf.DUMMYFUNCTION("""COMPUTED_VALUE"""),"STOCK REPLENISHMENT - HSKPG")</f>
        <v>STOCK REPLENISHMENT - HSKPG</v>
      </c>
    </row>
    <row r="783">
      <c r="A783" s="234">
        <f>IFERROR(__xludf.DUMMYFUNCTION("""COMPUTED_VALUE"""),101075.0)</f>
        <v>101075</v>
      </c>
      <c r="B783" s="235" t="str">
        <f>IFERROR(__xludf.DUMMYFUNCTION("""COMPUTED_VALUE"""),"CHRISTIAN MARK MARBIBI")</f>
        <v>CHRISTIAN MARK MARBIBI</v>
      </c>
      <c r="C783" s="235" t="str">
        <f>IFERROR(__xludf.DUMMYFUNCTION("""COMPUTED_VALUE"""),"HOUSEKEEPING")</f>
        <v>HOUSEKEEPING</v>
      </c>
      <c r="D783" s="196" t="str">
        <f>IFERROR(__xludf.DUMMYFUNCTION("""COMPUTED_VALUE"""),"SOFT BROOM")</f>
        <v>SOFT BROOM</v>
      </c>
      <c r="E783" s="196" t="str">
        <f>IFERROR(__xludf.DUMMYFUNCTION("""COMPUTED_VALUE"""),"STOCK REPLENISHMENT - HSKPG")</f>
        <v>STOCK REPLENISHMENT - HSKPG</v>
      </c>
    </row>
    <row r="784">
      <c r="A784" s="234">
        <f>IFERROR(__xludf.DUMMYFUNCTION("""COMPUTED_VALUE"""),101076.0)</f>
        <v>101076</v>
      </c>
      <c r="B784" s="235" t="str">
        <f>IFERROR(__xludf.DUMMYFUNCTION("""COMPUTED_VALUE"""),"CHRISTIAN MARK MARBIBI")</f>
        <v>CHRISTIAN MARK MARBIBI</v>
      </c>
      <c r="C784" s="235" t="str">
        <f>IFERROR(__xludf.DUMMYFUNCTION("""COMPUTED_VALUE"""),"HOUSEKEEPING")</f>
        <v>HOUSEKEEPING</v>
      </c>
      <c r="D784" s="196" t="str">
        <f>IFERROR(__xludf.DUMMYFUNCTION("""COMPUTED_VALUE"""),"BIDET RINSE TECH HERITAGE MODEL")</f>
        <v>BIDET RINSE TECH HERITAGE MODEL</v>
      </c>
      <c r="E784" s="196" t="str">
        <f>IFERROR(__xludf.DUMMYFUNCTION("""COMPUTED_VALUE"""),"STOCK REPLENISHMENT - HSKPG")</f>
        <v>STOCK REPLENISHMENT - HSKPG</v>
      </c>
    </row>
    <row r="785">
      <c r="A785" s="234">
        <f>IFERROR(__xludf.DUMMYFUNCTION("""COMPUTED_VALUE"""),101077.0)</f>
        <v>101077</v>
      </c>
      <c r="B785" s="235" t="str">
        <f>IFERROR(__xludf.DUMMYFUNCTION("""COMPUTED_VALUE"""),"CHRISTIAN MARK MARBIBI")</f>
        <v>CHRISTIAN MARK MARBIBI</v>
      </c>
      <c r="C785" s="235" t="str">
        <f>IFERROR(__xludf.DUMMYFUNCTION("""COMPUTED_VALUE"""),"HOUSEKEEPING")</f>
        <v>HOUSEKEEPING</v>
      </c>
      <c r="D785" s="196" t="str">
        <f>IFERROR(__xludf.DUMMYFUNCTION("""COMPUTED_VALUE"""),"GEM TOILET BOWL CLEANER")</f>
        <v>GEM TOILET BOWL CLEANER</v>
      </c>
      <c r="E785" s="196" t="str">
        <f>IFERROR(__xludf.DUMMYFUNCTION("""COMPUTED_VALUE"""),"STOCK REPLENISHMENT - HSKPG")</f>
        <v>STOCK REPLENISHMENT - HSKPG</v>
      </c>
    </row>
    <row r="786">
      <c r="A786" s="234">
        <f>IFERROR(__xludf.DUMMYFUNCTION("""COMPUTED_VALUE"""),101078.0)</f>
        <v>101078</v>
      </c>
      <c r="B786" s="235" t="str">
        <f>IFERROR(__xludf.DUMMYFUNCTION("""COMPUTED_VALUE"""),"CHRISTIAN MARK MARBIBI")</f>
        <v>CHRISTIAN MARK MARBIBI</v>
      </c>
      <c r="C786" s="235" t="str">
        <f>IFERROR(__xludf.DUMMYFUNCTION("""COMPUTED_VALUE"""),"HOUSEKEEPING")</f>
        <v>HOUSEKEEPING</v>
      </c>
      <c r="D786" s="196" t="str">
        <f>IFERROR(__xludf.DUMMYFUNCTION("""COMPUTED_VALUE"""),"SPOTLESS HOUSEHOLD CLEANING PASTE")</f>
        <v>SPOTLESS HOUSEHOLD CLEANING PASTE</v>
      </c>
      <c r="E786" s="196" t="str">
        <f>IFERROR(__xludf.DUMMYFUNCTION("""COMPUTED_VALUE"""),"STOCK REPLENISHMENT - HSKPG")</f>
        <v>STOCK REPLENISHMENT - HSKPG</v>
      </c>
    </row>
    <row r="787">
      <c r="A787" s="234">
        <f>IFERROR(__xludf.DUMMYFUNCTION("""COMPUTED_VALUE"""),101079.0)</f>
        <v>101079</v>
      </c>
      <c r="B787" s="235" t="str">
        <f>IFERROR(__xludf.DUMMYFUNCTION("""COMPUTED_VALUE"""),"CHRISTIAN MARK MARBIBI")</f>
        <v>CHRISTIAN MARK MARBIBI</v>
      </c>
      <c r="C787" s="235" t="str">
        <f>IFERROR(__xludf.DUMMYFUNCTION("""COMPUTED_VALUE"""),"HOUSEKEEPING")</f>
        <v>HOUSEKEEPING</v>
      </c>
      <c r="D787" s="196" t="str">
        <f>IFERROR(__xludf.DUMMYFUNCTION("""COMPUTED_VALUE"""),"ODOR MASCANT (WISECHOICE) PLEASANT AEROSENSE")</f>
        <v>ODOR MASCANT (WISECHOICE) PLEASANT AEROSENSE</v>
      </c>
      <c r="E787" s="196" t="str">
        <f>IFERROR(__xludf.DUMMYFUNCTION("""COMPUTED_VALUE"""),"STOCK REPLENISHMENT - HSKPG")</f>
        <v>STOCK REPLENISHMENT - HSKPG</v>
      </c>
    </row>
    <row r="788">
      <c r="A788" s="234">
        <f>IFERROR(__xludf.DUMMYFUNCTION("""COMPUTED_VALUE"""),101080.0)</f>
        <v>101080</v>
      </c>
      <c r="B788" s="235" t="str">
        <f>IFERROR(__xludf.DUMMYFUNCTION("""COMPUTED_VALUE"""),"CHRISTIAN MARK MARBIBI")</f>
        <v>CHRISTIAN MARK MARBIBI</v>
      </c>
      <c r="C788" s="235" t="str">
        <f>IFERROR(__xludf.DUMMYFUNCTION("""COMPUTED_VALUE"""),"HOUSEKEEPING")</f>
        <v>HOUSEKEEPING</v>
      </c>
      <c r="D788" s="196" t="str">
        <f>IFERROR(__xludf.DUMMYFUNCTION("""COMPUTED_VALUE"""),"RUBBER GLOVES")</f>
        <v>RUBBER GLOVES</v>
      </c>
      <c r="E788" s="196" t="str">
        <f>IFERROR(__xludf.DUMMYFUNCTION("""COMPUTED_VALUE"""),"STOCK REPLENISHMENT - HSKPG")</f>
        <v>STOCK REPLENISHMENT - HSKPG</v>
      </c>
    </row>
    <row r="789">
      <c r="A789" s="234">
        <f>IFERROR(__xludf.DUMMYFUNCTION("""COMPUTED_VALUE"""),101081.0)</f>
        <v>101081</v>
      </c>
      <c r="B789" s="235" t="str">
        <f>IFERROR(__xludf.DUMMYFUNCTION("""COMPUTED_VALUE"""),"CHRISTIAN MARK MARBIBI")</f>
        <v>CHRISTIAN MARK MARBIBI</v>
      </c>
      <c r="C789" s="235" t="str">
        <f>IFERROR(__xludf.DUMMYFUNCTION("""COMPUTED_VALUE"""),"HOUSEKEEPING")</f>
        <v>HOUSEKEEPING</v>
      </c>
      <c r="D789" s="196" t="str">
        <f>IFERROR(__xludf.DUMMYFUNCTION("""COMPUTED_VALUE"""),"MOP HEAD")</f>
        <v>MOP HEAD</v>
      </c>
      <c r="E789" s="196" t="str">
        <f>IFERROR(__xludf.DUMMYFUNCTION("""COMPUTED_VALUE"""),"STOCK REPLENISHMENT - HSKPG")</f>
        <v>STOCK REPLENISHMENT - HSKPG</v>
      </c>
    </row>
    <row r="790">
      <c r="A790" s="234">
        <f>IFERROR(__xludf.DUMMYFUNCTION("""COMPUTED_VALUE"""),101082.0)</f>
        <v>101082</v>
      </c>
      <c r="B790" s="235" t="str">
        <f>IFERROR(__xludf.DUMMYFUNCTION("""COMPUTED_VALUE"""),"JAIREL MARVIN MARASIGAN ")</f>
        <v>JAIREL MARVIN MARASIGAN </v>
      </c>
      <c r="C790" s="235" t="str">
        <f>IFERROR(__xludf.DUMMYFUNCTION("""COMPUTED_VALUE"""),"PR &amp; MARKETING")</f>
        <v>PR &amp; MARKETING</v>
      </c>
      <c r="D790" s="196" t="str">
        <f>IFERROR(__xludf.DUMMYFUNCTION("""COMPUTED_VALUE"""),"6.5X13.5 NOW ACCEPTING W/ SEANING AND EYELED ALL OVER")</f>
        <v>6.5X13.5 NOW ACCEPTING W/ SEANING AND EYELED ALL OVER</v>
      </c>
      <c r="E790" s="196" t="str">
        <f>IFERROR(__xludf.DUMMYFUNCTION("""COMPUTED_VALUE"""),"FOR 2ND SEMESTER ADMINSSION AWARNESS")</f>
        <v>FOR 2ND SEMESTER ADMINSSION AWARNESS</v>
      </c>
    </row>
    <row r="791">
      <c r="A791" s="234">
        <f>IFERROR(__xludf.DUMMYFUNCTION("""COMPUTED_VALUE"""),101083.0)</f>
        <v>101083</v>
      </c>
      <c r="B791" s="235" t="str">
        <f>IFERROR(__xludf.DUMMYFUNCTION("""COMPUTED_VALUE"""),"DALOGDOG MARK GESSIE")</f>
        <v>DALOGDOG MARK GESSIE</v>
      </c>
      <c r="C791" s="235" t="str">
        <f>IFERROR(__xludf.DUMMYFUNCTION("""COMPUTED_VALUE"""),"SCIENCE DEPT.")</f>
        <v>SCIENCE DEPT.</v>
      </c>
      <c r="D791" s="196" t="str">
        <f>IFERROR(__xludf.DUMMYFUNCTION("""COMPUTED_VALUE"""),"WHITE MALAYSIAN MUMS (FLOWER) 30 PCS OF FLOWER")</f>
        <v>WHITE MALAYSIAN MUMS (FLOWER) 30 PCS OF FLOWER</v>
      </c>
      <c r="E791" s="196" t="str">
        <f>IFERROR(__xludf.DUMMYFUNCTION("""COMPUTED_VALUE"""),"FOR SCIENCE LABORATORY EXPERIMENT")</f>
        <v>FOR SCIENCE LABORATORY EXPERIMENT</v>
      </c>
    </row>
    <row r="792">
      <c r="A792" s="234">
        <f>IFERROR(__xludf.DUMMYFUNCTION("""COMPUTED_VALUE"""),101084.0)</f>
        <v>101084</v>
      </c>
      <c r="B792" s="235" t="str">
        <f>IFERROR(__xludf.DUMMYFUNCTION("""COMPUTED_VALUE"""),"FEROL SAMANTHA ")</f>
        <v>FEROL SAMANTHA </v>
      </c>
      <c r="C792" s="235" t="str">
        <f>IFERROR(__xludf.DUMMYFUNCTION("""COMPUTED_VALUE"""),"LIBRARY COLLEGE")</f>
        <v>LIBRARY COLLEGE</v>
      </c>
      <c r="D792" s="196" t="str">
        <f>IFERROR(__xludf.DUMMYFUNCTION("""COMPUTED_VALUE"""),"RESOURCE MANUAL BACHELOR OF SCIENCE
IN NURSING OUTCOMES-BASEDEDUCATION 
CURRICULUM: INSTRUCTIONAL DESIGN FOR 
PROFESSIONAL NURSING COURSE: VOLUME 2: BSN LEVEL 3 AND BSN LEVEL 4")</f>
        <v>RESOURCE MANUAL BACHELOR OF SCIENCE
IN NURSING OUTCOMES-BASEDEDUCATION 
CURRICULUM: INSTRUCTIONAL DESIGN FOR 
PROFESSIONAL NURSING COURSE: VOLUME 2: BSN LEVEL 3 AND BSN LEVEL 4</v>
      </c>
      <c r="E792" s="196" t="str">
        <f>IFERROR(__xludf.DUMMYFUNCTION("""COMPUTED_VALUE"""),"ACQUISITION OF REFENCE")</f>
        <v>ACQUISITION OF REFENCE</v>
      </c>
    </row>
    <row r="793">
      <c r="A793" s="234">
        <f>IFERROR(__xludf.DUMMYFUNCTION("""COMPUTED_VALUE"""),101085.0)</f>
        <v>101085</v>
      </c>
      <c r="B793" s="235" t="str">
        <f>IFERROR(__xludf.DUMMYFUNCTION("""COMPUTED_VALUE"""),"SHEREE ESPINOSA")</f>
        <v>SHEREE ESPINOSA</v>
      </c>
      <c r="C793" s="235" t="str">
        <f>IFERROR(__xludf.DUMMYFUNCTION("""COMPUTED_VALUE"""),"HOUSEKEEPING")</f>
        <v>HOUSEKEEPING</v>
      </c>
      <c r="D793" s="196" t="str">
        <f>IFERROR(__xludf.DUMMYFUNCTION("""COMPUTED_VALUE"""),"JOHNSON WAX 
FLOUR STRIPPER
FLOOR FINISH
FLOOR CLEANER")</f>
        <v>JOHNSON WAX 
FLOUR STRIPPER
FLOOR FINISH
FLOOR CLEANER</v>
      </c>
      <c r="E793" s="196" t="str">
        <f>IFERROR(__xludf.DUMMYFUNCTION("""COMPUTED_VALUE"""),"FOR 5TH FLOOR L-SHAPE BLDG FLOORING")</f>
        <v>FOR 5TH FLOOR L-SHAPE BLDG FLOORING</v>
      </c>
    </row>
    <row r="794">
      <c r="A794" s="234">
        <f>IFERROR(__xludf.DUMMYFUNCTION("""COMPUTED_VALUE"""),101086.0)</f>
        <v>101086</v>
      </c>
      <c r="B794" s="235" t="str">
        <f>IFERROR(__xludf.DUMMYFUNCTION("""COMPUTED_VALUE"""),"RUSSELLE JOLO ARAMO")</f>
        <v>RUSSELLE JOLO ARAMO</v>
      </c>
      <c r="C794" s="235" t="str">
        <f>IFERROR(__xludf.DUMMYFUNCTION("""COMPUTED_VALUE"""),"SPECIAL SUBJECTS")</f>
        <v>SPECIAL SUBJECTS</v>
      </c>
      <c r="D794" s="196" t="str">
        <f>IFERROR(__xludf.DUMMYFUNCTION("""COMPUTED_VALUE"""),"HEAD PROTECTOR (2 READ,2BLUE)
BODY ARMOR (2RED,2BLUE)
GROIN GUARD(2 FOR MEN, 2 FOR WOMEN)
ARM GUARD(6 RED 6 BLUE)
LEG GUARD(6 RED, 6 BLUE)
HAND GLOVES
PADDED STICKS ( 10 BLUE, 10 RED)
ARNIS STICKS (WITH CASE)")</f>
        <v>HEAD PROTECTOR (2 READ,2BLUE)
BODY ARMOR (2RED,2BLUE)
GROIN GUARD(2 FOR MEN, 2 FOR WOMEN)
ARM GUARD(6 RED 6 BLUE)
LEG GUARD(6 RED, 6 BLUE)
HAND GLOVES
PADDED STICKS ( 10 BLUE, 10 RED)
ARNIS STICKS (WITH CASE)</v>
      </c>
      <c r="E794" s="196" t="str">
        <f>IFERROR(__xludf.DUMMYFUNCTION("""COMPUTED_VALUE"""),"ARNIS CLUB EQUIPMENT")</f>
        <v>ARNIS CLUB EQUIPMENT</v>
      </c>
    </row>
    <row r="795">
      <c r="A795" s="234">
        <f>IFERROR(__xludf.DUMMYFUNCTION("""COMPUTED_VALUE"""),101087.0)</f>
        <v>101087</v>
      </c>
      <c r="B795" s="235" t="str">
        <f>IFERROR(__xludf.DUMMYFUNCTION("""COMPUTED_VALUE"""),"CHRISTIAN S ANDRES")</f>
        <v>CHRISTIAN S ANDRES</v>
      </c>
      <c r="C795" s="235" t="str">
        <f>IFERROR(__xludf.DUMMYFUNCTION("""COMPUTED_VALUE"""),"PR &amp; MARKETING")</f>
        <v>PR &amp; MARKETING</v>
      </c>
      <c r="D795" s="196" t="str">
        <f>IFERROR(__xludf.DUMMYFUNCTION("""COMPUTED_VALUE"""),"MML FLYER SPECS- SAME AS GENERIC 
5.5x8.5")</f>
        <v>MML FLYER SPECS- SAME AS GENERIC 
5.5x8.5</v>
      </c>
      <c r="E795" s="196" t="str">
        <f>IFERROR(__xludf.DUMMYFUNCTION("""COMPUTED_VALUE"""),"MARKETING")</f>
        <v>MARKETING</v>
      </c>
    </row>
    <row r="796">
      <c r="A796" s="234">
        <f>IFERROR(__xludf.DUMMYFUNCTION("""COMPUTED_VALUE"""),101088.0)</f>
        <v>101088</v>
      </c>
      <c r="B796" s="235" t="str">
        <f>IFERROR(__xludf.DUMMYFUNCTION("""COMPUTED_VALUE"""),"OWIE PAR")</f>
        <v>OWIE PAR</v>
      </c>
      <c r="C796" s="235" t="str">
        <f>IFERROR(__xludf.DUMMYFUNCTION("""COMPUTED_VALUE"""),"ENGINEERING")</f>
        <v>ENGINEERING</v>
      </c>
      <c r="D796" s="196" t="str">
        <f>IFERROR(__xludf.DUMMYFUNCTION("""COMPUTED_VALUE"""),"PPR PIPE 1 1/2 
PPR MALE ADAPTOR 1 1/2
PPR UNION PATENTE 1 1/2
PPR ELBOW 1 1/2
PVC COUPLING 1 1/2
PVC PIPE 1/2 ORANGE
THHN #14
 TEPLON TAPE")</f>
        <v>PPR PIPE 1 1/2 
PPR MALE ADAPTOR 1 1/2
PPR UNION PATENTE 1 1/2
PPR ELBOW 1 1/2
PVC COUPLING 1 1/2
PVC PIPE 1/2 ORANGE
THHN #14
 TEPLON TAPE</v>
      </c>
      <c r="E796" s="196" t="str">
        <f>IFERROR(__xludf.DUMMYFUNCTION("""COMPUTED_VALUE"""),"FOR LUX &amp; COL RISER AND  AND DOWN FEED PIPE ")</f>
        <v>FOR LUX &amp; COL RISER AND  AND DOWN FEED PIPE </v>
      </c>
    </row>
    <row r="797">
      <c r="A797" s="234">
        <f>IFERROR(__xludf.DUMMYFUNCTION("""COMPUTED_VALUE"""),101089.0)</f>
        <v>101089</v>
      </c>
      <c r="B797" s="235" t="str">
        <f>IFERROR(__xludf.DUMMYFUNCTION("""COMPUTED_VALUE"""),"JHUN PAUL ARANA")</f>
        <v>JHUN PAUL ARANA</v>
      </c>
      <c r="C797" s="235" t="str">
        <f>IFERROR(__xludf.DUMMYFUNCTION("""COMPUTED_VALUE"""),"MIS/ICT")</f>
        <v>MIS/ICT</v>
      </c>
      <c r="D797" s="196" t="str">
        <f>IFERROR(__xludf.DUMMYFUNCTION("""COMPUTED_VALUE"""),"SWIVEL CHAIR")</f>
        <v>SWIVEL CHAIR</v>
      </c>
      <c r="E797" s="196" t="str">
        <f>IFERROR(__xludf.DUMMYFUNCTION("""COMPUTED_VALUE"""),"REPLACEMENT OF DEFECTIVE SWIVEL ON TEAHCERS COMPUTER")</f>
        <v>REPLACEMENT OF DEFECTIVE SWIVEL ON TEAHCERS COMPUTER</v>
      </c>
    </row>
    <row r="798">
      <c r="A798" s="234">
        <f>IFERROR(__xludf.DUMMYFUNCTION("""COMPUTED_VALUE"""),101090.0)</f>
        <v>101090</v>
      </c>
      <c r="B798" s="235" t="str">
        <f>IFERROR(__xludf.DUMMYFUNCTION("""COMPUTED_VALUE"""),"TOM TONGOHAN")</f>
        <v>TOM TONGOHAN</v>
      </c>
      <c r="C798" s="235" t="str">
        <f>IFERROR(__xludf.DUMMYFUNCTION("""COMPUTED_VALUE"""),"ADMIN")</f>
        <v>ADMIN</v>
      </c>
      <c r="D798" s="196" t="str">
        <f>IFERROR(__xludf.DUMMYFUNCTION("""COMPUTED_VALUE"""),"LOOSE CUSHION 4""
")</f>
        <v>LOOSE CUSHION 4"
</v>
      </c>
      <c r="E798" s="196" t="str">
        <f>IFERROR(__xludf.DUMMYFUNCTION("""COMPUTED_VALUE"""),"FOR PACUCOA REQUIRMENTS OF COLLEGE BRIC ROOM")</f>
        <v>FOR PACUCOA REQUIRMENTS OF COLLEGE BRIC ROOM</v>
      </c>
    </row>
    <row r="799">
      <c r="A799" s="234">
        <f>IFERROR(__xludf.DUMMYFUNCTION("""COMPUTED_VALUE"""),101091.0)</f>
        <v>101091</v>
      </c>
      <c r="B799" s="235" t="str">
        <f>IFERROR(__xludf.DUMMYFUNCTION("""COMPUTED_VALUE"""),"CLARISSA SORIA")</f>
        <v>CLARISSA SORIA</v>
      </c>
      <c r="C799" s="235" t="str">
        <f>IFERROR(__xludf.DUMMYFUNCTION("""COMPUTED_VALUE"""),"HRMD")</f>
        <v>HRMD</v>
      </c>
      <c r="D799" s="196" t="str">
        <f>IFERROR(__xludf.DUMMYFUNCTION("""COMPUTED_VALUE"""),"TIME CARD")</f>
        <v>TIME CARD</v>
      </c>
      <c r="E799" s="196" t="str">
        <f>IFERROR(__xludf.DUMMYFUNCTION("""COMPUTED_VALUE"""),"FOR TIME IN AND OUT OF SCHOLARS OUTSOURCE")</f>
        <v>FOR TIME IN AND OUT OF SCHOLARS OUTSOURCE</v>
      </c>
    </row>
    <row r="800">
      <c r="A800" s="234">
        <f>IFERROR(__xludf.DUMMYFUNCTION("""COMPUTED_VALUE"""),101092.0)</f>
        <v>101092</v>
      </c>
      <c r="B800" s="235" t="str">
        <f>IFERROR(__xludf.DUMMYFUNCTION("""COMPUTED_VALUE"""),"SELENA VISTA ")</f>
        <v>SELENA VISTA </v>
      </c>
      <c r="C800" s="235" t="str">
        <f>IFERROR(__xludf.DUMMYFUNCTION("""COMPUTED_VALUE"""),"LEARNING VILLAGE")</f>
        <v>LEARNING VILLAGE</v>
      </c>
      <c r="D800" s="196" t="str">
        <f>IFERROR(__xludf.DUMMYFUNCTION("""COMPUTED_VALUE"""),"CRAYOLA (JUMBO) (8PCS)
MONGOL JUMBO PENCIL")</f>
        <v>CRAYOLA (JUMBO) (8PCS)
MONGOL JUMBO PENCIL</v>
      </c>
      <c r="E800" s="196" t="str">
        <f>IFERROR(__xludf.DUMMYFUNCTION("""COMPUTED_VALUE"""),"LV MATERIALS FOR FIXED CLASS")</f>
        <v>LV MATERIALS FOR FIXED CLASS</v>
      </c>
    </row>
    <row r="801">
      <c r="A801" s="234">
        <f>IFERROR(__xludf.DUMMYFUNCTION("""COMPUTED_VALUE"""),101093.0)</f>
        <v>101093</v>
      </c>
      <c r="B801" s="235" t="str">
        <f>IFERROR(__xludf.DUMMYFUNCTION("""COMPUTED_VALUE"""),"SELENA VISTA ")</f>
        <v>SELENA VISTA </v>
      </c>
      <c r="C801" s="235" t="str">
        <f>IFERROR(__xludf.DUMMYFUNCTION("""COMPUTED_VALUE"""),"LEARNING VILLAGE")</f>
        <v>LEARNING VILLAGE</v>
      </c>
      <c r="D801" s="196" t="str">
        <f>IFERROR(__xludf.DUMMYFUNCTION("""COMPUTED_VALUE"""),"WIGGLY EYES YARN
PAINT PALLETTE 
FUZZY WIRE")</f>
        <v>WIGGLY EYES YARN
PAINT PALLETTE 
FUZZY WIRE</v>
      </c>
      <c r="E801" s="196" t="str">
        <f>IFERROR(__xludf.DUMMYFUNCTION("""COMPUTED_VALUE"""),"ARTS AND MATERIALS")</f>
        <v>ARTS AND MATERIALS</v>
      </c>
    </row>
    <row r="802">
      <c r="A802" s="234">
        <f>IFERROR(__xludf.DUMMYFUNCTION("""COMPUTED_VALUE"""),101094.0)</f>
        <v>101094</v>
      </c>
      <c r="B802" s="235" t="str">
        <f>IFERROR(__xludf.DUMMYFUNCTION("""COMPUTED_VALUE"""),"SELENA VISTA ")</f>
        <v>SELENA VISTA </v>
      </c>
      <c r="C802" s="235" t="str">
        <f>IFERROR(__xludf.DUMMYFUNCTION("""COMPUTED_VALUE"""),"LEARNING VILLAGE")</f>
        <v>LEARNING VILLAGE</v>
      </c>
      <c r="D802" s="196" t="str">
        <f>IFERROR(__xludf.DUMMYFUNCTION("""COMPUTED_VALUE"""),"FIRE STATION FLASHLIGH, FIRE EXTINGUISHER,WHISTLES,AXES,HAMMERS")</f>
        <v>FIRE STATION FLASHLIGH, FIRE EXTINGUISHER,WHISTLES,AXES,HAMMERS</v>
      </c>
      <c r="E802" s="196" t="str">
        <f>IFERROR(__xludf.DUMMYFUNCTION("""COMPUTED_VALUE"""),"FIRESTATION TOYS")</f>
        <v>FIRESTATION TOYS</v>
      </c>
    </row>
    <row r="803">
      <c r="A803" s="234">
        <f>IFERROR(__xludf.DUMMYFUNCTION("""COMPUTED_VALUE"""),101095.0)</f>
        <v>101095</v>
      </c>
      <c r="B803" s="235" t="str">
        <f>IFERROR(__xludf.DUMMYFUNCTION("""COMPUTED_VALUE"""),"SELENA VISTA ")</f>
        <v>SELENA VISTA </v>
      </c>
      <c r="C803" s="235" t="str">
        <f>IFERROR(__xludf.DUMMYFUNCTION("""COMPUTED_VALUE"""),"LEARNING VILLAGE")</f>
        <v>LEARNING VILLAGE</v>
      </c>
      <c r="D803" s="196" t="str">
        <f>IFERROR(__xludf.DUMMYFUNCTION("""COMPUTED_VALUE"""),"CASH REGISTER")</f>
        <v>CASH REGISTER</v>
      </c>
      <c r="E803" s="196" t="str">
        <f>IFERROR(__xludf.DUMMYFUNCTION("""COMPUTED_VALUE"""),"GROCCERY STATION TOYS")</f>
        <v>GROCCERY STATION TOYS</v>
      </c>
    </row>
    <row r="804">
      <c r="A804" s="234">
        <f>IFERROR(__xludf.DUMMYFUNCTION("""COMPUTED_VALUE"""),101096.0)</f>
        <v>101096</v>
      </c>
      <c r="B804" s="235" t="str">
        <f>IFERROR(__xludf.DUMMYFUNCTION("""COMPUTED_VALUE"""),"SELENA VISTA ")</f>
        <v>SELENA VISTA </v>
      </c>
      <c r="C804" s="235" t="str">
        <f>IFERROR(__xludf.DUMMYFUNCTION("""COMPUTED_VALUE"""),"LEARNING VILLAGE")</f>
        <v>LEARNING VILLAGE</v>
      </c>
      <c r="D804" s="196" t="str">
        <f>IFERROR(__xludf.DUMMYFUNCTION("""COMPUTED_VALUE"""),"KINECTIC SAND")</f>
        <v>KINECTIC SAND</v>
      </c>
      <c r="E804" s="196" t="str">
        <f>IFERROR(__xludf.DUMMYFUNCTION("""COMPUTED_VALUE"""),"LV MANIPULATIVES")</f>
        <v>LV MANIPULATIVES</v>
      </c>
    </row>
    <row r="805">
      <c r="A805" s="234">
        <f>IFERROR(__xludf.DUMMYFUNCTION("""COMPUTED_VALUE"""),101097.0)</f>
        <v>101097</v>
      </c>
      <c r="B805" s="235" t="str">
        <f>IFERROR(__xludf.DUMMYFUNCTION("""COMPUTED_VALUE"""),"SELENA VISTA ")</f>
        <v>SELENA VISTA </v>
      </c>
      <c r="C805" s="235" t="str">
        <f>IFERROR(__xludf.DUMMYFUNCTION("""COMPUTED_VALUE"""),"LEARNING VILLAGE")</f>
        <v>LEARNING VILLAGE</v>
      </c>
      <c r="D805" s="196" t="str">
        <f>IFERROR(__xludf.DUMMYFUNCTION("""COMPUTED_VALUE"""),"COLORED PAPER (AVIA) ")</f>
        <v>COLORED PAPER (AVIA) </v>
      </c>
      <c r="E805" s="196"/>
    </row>
    <row r="806">
      <c r="A806" s="234">
        <f>IFERROR(__xludf.DUMMYFUNCTION("""COMPUTED_VALUE"""),101098.0)</f>
        <v>101098</v>
      </c>
      <c r="B806" s="235" t="str">
        <f>IFERROR(__xludf.DUMMYFUNCTION("""COMPUTED_VALUE"""),"CHRISTIAN ANDRES")</f>
        <v>CHRISTIAN ANDRES</v>
      </c>
      <c r="C806" s="235" t="str">
        <f>IFERROR(__xludf.DUMMYFUNCTION("""COMPUTED_VALUE"""),"PR &amp; MARKETING")</f>
        <v>PR &amp; MARKETING</v>
      </c>
      <c r="D806" s="196" t="str">
        <f>IFERROR(__xludf.DUMMYFUNCTION("""COMPUTED_VALUE"""),"WELCOME TARP AS A SPECIAL GUEST
2.5x6")</f>
        <v>WELCOME TARP AS A SPECIAL GUEST
2.5x6</v>
      </c>
      <c r="E806" s="196" t="str">
        <f>IFERROR(__xludf.DUMMYFUNCTION("""COMPUTED_VALUE"""),"MARKETING")</f>
        <v>MARKETING</v>
      </c>
    </row>
    <row r="807">
      <c r="A807" s="234">
        <f>IFERROR(__xludf.DUMMYFUNCTION("""COMPUTED_VALUE"""),101099.0)</f>
        <v>101099</v>
      </c>
      <c r="B807" s="235" t="str">
        <f>IFERROR(__xludf.DUMMYFUNCTION("""COMPUTED_VALUE"""),"ALFA DE LEON")</f>
        <v>ALFA DE LEON</v>
      </c>
      <c r="C807" s="235" t="str">
        <f>IFERROR(__xludf.DUMMYFUNCTION("""COMPUTED_VALUE"""),"ADMIN - MUNICH")</f>
        <v>ADMIN - MUNICH</v>
      </c>
      <c r="D807" s="196" t="str">
        <f>IFERROR(__xludf.DUMMYFUNCTION("""COMPUTED_VALUE"""),"TOWER FAN")</f>
        <v>TOWER FAN</v>
      </c>
      <c r="E807" s="196" t="str">
        <f>IFERROR(__xludf.DUMMYFUNCTION("""COMPUTED_VALUE"""),"REPLACEMENT OF BROKEN TOWER FAN FOR PARENTS LOUNGE")</f>
        <v>REPLACEMENT OF BROKEN TOWER FAN FOR PARENTS LOUNGE</v>
      </c>
    </row>
    <row r="808">
      <c r="A808" s="234">
        <f>IFERROR(__xludf.DUMMYFUNCTION("""COMPUTED_VALUE"""),101100.0)</f>
        <v>101100</v>
      </c>
      <c r="B808" s="235" t="str">
        <f>IFERROR(__xludf.DUMMYFUNCTION("""COMPUTED_VALUE"""),"ALFA DE LEON")</f>
        <v>ALFA DE LEON</v>
      </c>
      <c r="C808" s="235" t="str">
        <f>IFERROR(__xludf.DUMMYFUNCTION("""COMPUTED_VALUE"""),"ADMIN - MUNICH")</f>
        <v>ADMIN - MUNICH</v>
      </c>
      <c r="D808" s="196" t="str">
        <f>IFERROR(__xludf.DUMMYFUNCTION("""COMPUTED_VALUE"""),"ORBIT FAN ")</f>
        <v>ORBIT FAN </v>
      </c>
      <c r="E808" s="196" t="str">
        <f>IFERROR(__xludf.DUMMYFUNCTION("""COMPUTED_VALUE"""),"REPLACEMENT OF ORBIT FAN ")</f>
        <v>REPLACEMENT OF ORBIT FAN </v>
      </c>
    </row>
    <row r="809">
      <c r="A809" s="234">
        <f>IFERROR(__xludf.DUMMYFUNCTION("""COMPUTED_VALUE"""),101101.0)</f>
        <v>101101</v>
      </c>
      <c r="B809" s="235" t="str">
        <f>IFERROR(__xludf.DUMMYFUNCTION("""COMPUTED_VALUE"""),"SANDRA CLAIRE DUPIO")</f>
        <v>SANDRA CLAIRE DUPIO</v>
      </c>
      <c r="C809" s="235" t="str">
        <f>IFERROR(__xludf.DUMMYFUNCTION("""COMPUTED_VALUE"""),"LIBRARY BASIC ED")</f>
        <v>LIBRARY BASIC ED</v>
      </c>
      <c r="D809" s="196" t="str">
        <f>IFERROR(__xludf.DUMMYFUNCTION("""COMPUTED_VALUE"""),"BOOK CARD
BOOK POCKET")</f>
        <v>BOOK CARD
BOOK POCKET</v>
      </c>
      <c r="E809" s="196" t="str">
        <f>IFERROR(__xludf.DUMMYFUNCTION("""COMPUTED_VALUE"""),"REPLENISH STOCK OF BOOK POCKET CARDS LIBRARY USE")</f>
        <v>REPLENISH STOCK OF BOOK POCKET CARDS LIBRARY USE</v>
      </c>
    </row>
    <row r="810">
      <c r="A810" s="234">
        <f>IFERROR(__xludf.DUMMYFUNCTION("""COMPUTED_VALUE"""),101102.0)</f>
        <v>101102</v>
      </c>
      <c r="B810" s="235" t="str">
        <f>IFERROR(__xludf.DUMMYFUNCTION("""COMPUTED_VALUE"""),"JP RAGOT ")</f>
        <v>JP RAGOT </v>
      </c>
      <c r="C810" s="235" t="str">
        <f>IFERROR(__xludf.DUMMYFUNCTION("""COMPUTED_VALUE"""),"HRMD")</f>
        <v>HRMD</v>
      </c>
      <c r="D810" s="196" t="str">
        <f>IFERROR(__xludf.DUMMYFUNCTION("""COMPUTED_VALUE"""),"BLOUSE
SKIRT
POLO LS
LONG PANTS-MALE")</f>
        <v>BLOUSE
SKIRT
POLO LS
LONG PANTS-MALE</v>
      </c>
      <c r="E810" s="196" t="str">
        <f>IFERROR(__xludf.DUMMYFUNCTION("""COMPUTED_VALUE"""),"NTE UNIFORM(3RD BATCH) FORMS QUEENE BALAORO &amp; MR EUDIER YOINGCO")</f>
        <v>NTE UNIFORM(3RD BATCH) FORMS QUEENE BALAORO &amp; MR EUDIER YOINGCO</v>
      </c>
    </row>
    <row r="811">
      <c r="A811" s="234">
        <f>IFERROR(__xludf.DUMMYFUNCTION("""COMPUTED_VALUE"""),101103.0)</f>
        <v>101103</v>
      </c>
      <c r="B811" s="235" t="str">
        <f>IFERROR(__xludf.DUMMYFUNCTION("""COMPUTED_VALUE"""),"MAJ THOMAS ")</f>
        <v>MAJ THOMAS </v>
      </c>
      <c r="C811" s="235" t="str">
        <f>IFERROR(__xludf.DUMMYFUNCTION("""COMPUTED_VALUE"""),"ACCREDITATION")</f>
        <v>ACCREDITATION</v>
      </c>
      <c r="D811" s="196" t="str">
        <f>IFERROR(__xludf.DUMMYFUNCTION("""COMPUTED_VALUE"""),"DENTAL FLOS (HYGIENE KIT)")</f>
        <v>DENTAL FLOS (HYGIENE KIT)</v>
      </c>
      <c r="E811" s="196" t="str">
        <f>IFERROR(__xludf.DUMMYFUNCTION("""COMPUTED_VALUE"""),"FOR PACUCOA USE")</f>
        <v>FOR PACUCOA USE</v>
      </c>
    </row>
    <row r="812">
      <c r="A812" s="234">
        <f>IFERROR(__xludf.DUMMYFUNCTION("""COMPUTED_VALUE"""),101104.0)</f>
        <v>101104</v>
      </c>
      <c r="B812" s="235" t="str">
        <f>IFERROR(__xludf.DUMMYFUNCTION("""COMPUTED_VALUE"""),"SHEREE ESPINOSA")</f>
        <v>SHEREE ESPINOSA</v>
      </c>
      <c r="C812" s="235" t="str">
        <f>IFERROR(__xludf.DUMMYFUNCTION("""COMPUTED_VALUE"""),"ADMIN")</f>
        <v>ADMIN</v>
      </c>
      <c r="D812" s="196" t="str">
        <f>IFERROR(__xludf.DUMMYFUNCTION("""COMPUTED_VALUE"""),"VLN R480072 TWIN DIE CAST ALUMINUM DIRECTIONAL SPOTLIGHT WITH NEKO SWISS M2 2.9W COOL WHITE TRINONIC PHASE 6PCS")</f>
        <v>VLN R480072 TWIN DIE CAST ALUMINUM DIRECTIONAL SPOTLIGHT WITH NEKO SWISS M2 2.9W COOL WHITE TRINONIC PHASE 6PCS</v>
      </c>
      <c r="E812" s="196" t="str">
        <f>IFERROR(__xludf.DUMMYFUNCTION("""COMPUTED_VALUE"""),"ADDITIONAL LIGHTS FOR CMLC")</f>
        <v>ADDITIONAL LIGHTS FOR CMLC</v>
      </c>
    </row>
    <row r="813">
      <c r="A813" s="234">
        <f>IFERROR(__xludf.DUMMYFUNCTION("""COMPUTED_VALUE"""),101105.0)</f>
        <v>101105</v>
      </c>
      <c r="B813" s="235" t="str">
        <f>IFERROR(__xludf.DUMMYFUNCTION("""COMPUTED_VALUE"""),"OWIE PAR")</f>
        <v>OWIE PAR</v>
      </c>
      <c r="C813" s="235" t="str">
        <f>IFERROR(__xludf.DUMMYFUNCTION("""COMPUTED_VALUE"""),"ENGINEERING")</f>
        <v>ENGINEERING</v>
      </c>
      <c r="D813" s="196" t="str">
        <f>IFERROR(__xludf.DUMMYFUNCTION("""COMPUTED_VALUE"""),"60 HP DAIKEN CELINGCAS INVERTER")</f>
        <v>60 HP DAIKEN CELINGCAS INVERTER</v>
      </c>
      <c r="E813" s="196" t="str">
        <f>IFERROR(__xludf.DUMMYFUNCTION("""COMPUTED_VALUE"""),"FOR 304 TROPICALBLDG")</f>
        <v>FOR 304 TROPICALBLDG</v>
      </c>
    </row>
    <row r="814">
      <c r="A814" s="234">
        <f>IFERROR(__xludf.DUMMYFUNCTION("""COMPUTED_VALUE"""),101106.0)</f>
        <v>101106</v>
      </c>
      <c r="B814" s="235" t="str">
        <f>IFERROR(__xludf.DUMMYFUNCTION("""COMPUTED_VALUE"""),"apollo mance")</f>
        <v>apollo mance</v>
      </c>
      <c r="C814" s="235" t="str">
        <f>IFERROR(__xludf.DUMMYFUNCTION("""COMPUTED_VALUE"""),"AV/MIS")</f>
        <v>AV/MIS</v>
      </c>
      <c r="D814" s="196" t="str">
        <f>IFERROR(__xludf.DUMMYFUNCTION("""COMPUTED_VALUE"""),"500gb harddisk seagate brand 10pcs.")</f>
        <v>500gb harddisk seagate brand 10pcs.</v>
      </c>
      <c r="E814" s="196" t="str">
        <f>IFERROR(__xludf.DUMMYFUNCTION("""COMPUTED_VALUE"""),"sotck replenishment")</f>
        <v>sotck replenishment</v>
      </c>
    </row>
    <row r="815">
      <c r="A815" s="234">
        <f>IFERROR(__xludf.DUMMYFUNCTION("""COMPUTED_VALUE"""),101107.0)</f>
        <v>101107</v>
      </c>
      <c r="B815" s="235" t="str">
        <f>IFERROR(__xludf.DUMMYFUNCTION("""COMPUTED_VALUE"""),"SHEREE ESPINOSA")</f>
        <v>SHEREE ESPINOSA</v>
      </c>
      <c r="C815" s="235" t="str">
        <f>IFERROR(__xludf.DUMMYFUNCTION("""COMPUTED_VALUE"""),"HOUSEKEEPING")</f>
        <v>HOUSEKEEPING</v>
      </c>
      <c r="D815" s="196" t="str">
        <f>IFERROR(__xludf.DUMMYFUNCTION("""COMPUTED_VALUE"""),"EUGENIA
GREEN POTS
GARDEN FOILS
INSECTEUDE
FROG GRASS")</f>
        <v>EUGENIA
GREEN POTS
GARDEN FOILS
INSECTEUDE
FROG GRASS</v>
      </c>
      <c r="E815" s="196" t="str">
        <f>IFERROR(__xludf.DUMMYFUNCTION("""COMPUTED_VALUE"""),"FOR GARDENING")</f>
        <v>FOR GARDENING</v>
      </c>
    </row>
    <row r="816">
      <c r="A816" s="234">
        <f>IFERROR(__xludf.DUMMYFUNCTION("""COMPUTED_VALUE"""),101108.0)</f>
        <v>101108</v>
      </c>
      <c r="B816" s="235" t="str">
        <f>IFERROR(__xludf.DUMMYFUNCTION("""COMPUTED_VALUE"""),"SHEREE ESPINOSA")</f>
        <v>SHEREE ESPINOSA</v>
      </c>
      <c r="C816" s="235" t="str">
        <f>IFERROR(__xludf.DUMMYFUNCTION("""COMPUTED_VALUE"""),"HOUSEKEEPING")</f>
        <v>HOUSEKEEPING</v>
      </c>
      <c r="D816" s="196" t="str">
        <f>IFERROR(__xludf.DUMMYFUNCTION("""COMPUTED_VALUE"""),"KUSOT
GARDEN SOIL")</f>
        <v>KUSOT
GARDEN SOIL</v>
      </c>
      <c r="E816" s="196" t="str">
        <f>IFERROR(__xludf.DUMMYFUNCTION("""COMPUTED_VALUE"""),"GARDEN MATERIALS REPLENISHMENT")</f>
        <v>GARDEN MATERIALS REPLENISHMENT</v>
      </c>
    </row>
    <row r="817">
      <c r="A817" s="234">
        <f>IFERROR(__xludf.DUMMYFUNCTION("""COMPUTED_VALUE"""),101109.0)</f>
        <v>101109</v>
      </c>
      <c r="B817" s="235" t="str">
        <f>IFERROR(__xludf.DUMMYFUNCTION("""COMPUTED_VALUE"""),"RAE REYMONDE")</f>
        <v>RAE REYMONDE</v>
      </c>
      <c r="C817" s="235" t="str">
        <f>IFERROR(__xludf.DUMMYFUNCTION("""COMPUTED_VALUE"""),"MIS/ICT")</f>
        <v>MIS/ICT</v>
      </c>
      <c r="D817" s="196" t="str">
        <f>IFERROR(__xludf.DUMMYFUNCTION("""COMPUTED_VALUE"""),"ACOUSTIC FOAM WALL (ONLINE ORDER LAZADA)")</f>
        <v>ACOUSTIC FOAM WALL (ONLINE ORDER LAZADA)</v>
      </c>
      <c r="E817" s="196" t="str">
        <f>IFERROR(__xludf.DUMMYFUNCTION("""COMPUTED_VALUE"""),"PSYCH LAB SOUND PROOFING")</f>
        <v>PSYCH LAB SOUND PROOFING</v>
      </c>
    </row>
    <row r="818">
      <c r="A818" s="234">
        <f>IFERROR(__xludf.DUMMYFUNCTION("""COMPUTED_VALUE"""),101110.0)</f>
        <v>101110</v>
      </c>
      <c r="B818" s="235" t="str">
        <f>IFERROR(__xludf.DUMMYFUNCTION("""COMPUTED_VALUE"""),"RON OBLENO")</f>
        <v>RON OBLENO</v>
      </c>
      <c r="C818" s="235" t="str">
        <f>IFERROR(__xludf.DUMMYFUNCTION("""COMPUTED_VALUE"""),"MIS/ICT")</f>
        <v>MIS/ICT</v>
      </c>
      <c r="D818" s="196" t="str">
        <f>IFERROR(__xludf.DUMMYFUNCTION("""COMPUTED_VALUE"""),"VIEWSONIC 19"" 2PCS VA1903A")</f>
        <v>VIEWSONIC 19" 2PCS VA1903A</v>
      </c>
      <c r="E818" s="196" t="str">
        <f>IFERROR(__xludf.DUMMYFUNCTION("""COMPUTED_VALUE"""),"REPLACEMENT OF DEFECTIVE MONITOR IN CLINIC &amp; ADDITIONAL MONITOR IN HR FOR NEW STAFF")</f>
        <v>REPLACEMENT OF DEFECTIVE MONITOR IN CLINIC &amp; ADDITIONAL MONITOR IN HR FOR NEW STAFF</v>
      </c>
    </row>
    <row r="819">
      <c r="A819" s="234">
        <f>IFERROR(__xludf.DUMMYFUNCTION("""COMPUTED_VALUE"""),101111.0)</f>
        <v>101111</v>
      </c>
      <c r="B819" s="235" t="str">
        <f>IFERROR(__xludf.DUMMYFUNCTION("""COMPUTED_VALUE"""),"APRIL D. TRAJICO")</f>
        <v>APRIL D. TRAJICO</v>
      </c>
      <c r="C819" s="235" t="str">
        <f>IFERROR(__xludf.DUMMYFUNCTION("""COMPUTED_VALUE"""),"AMD")</f>
        <v>AMD</v>
      </c>
      <c r="D819" s="196" t="str">
        <f>IFERROR(__xludf.DUMMYFUNCTION("""COMPUTED_VALUE"""),"100 PACKS STICKER PAPER A4 10SHEETS PER PACK; 50 PCS PACKAGING")</f>
        <v>100 PACKS STICKER PAPER A4 10SHEETS PER PACK; 50 PCS PACKAGING</v>
      </c>
      <c r="E819" s="196" t="str">
        <f>IFERROR(__xludf.DUMMYFUNCTION("""COMPUTED_VALUE"""),"FOR YEARBOOK FOR EMERGENCY")</f>
        <v>FOR YEARBOOK FOR EMERGENCY</v>
      </c>
    </row>
    <row r="820">
      <c r="A820" s="234">
        <f>IFERROR(__xludf.DUMMYFUNCTION("""COMPUTED_VALUE"""),101112.0)</f>
        <v>101112</v>
      </c>
      <c r="B820" s="235" t="str">
        <f>IFERROR(__xludf.DUMMYFUNCTION("""COMPUTED_VALUE"""),"SAMANTHA FEROL")</f>
        <v>SAMANTHA FEROL</v>
      </c>
      <c r="C820" s="235" t="str">
        <f>IFERROR(__xludf.DUMMYFUNCTION("""COMPUTED_VALUE"""),"LIBRARY COLLEGE")</f>
        <v>LIBRARY COLLEGE</v>
      </c>
      <c r="D820" s="196" t="str">
        <f>IFERROR(__xludf.DUMMYFUNCTION("""COMPUTED_VALUE"""),"COLORED TV 
SAMSUNG N4300 LED TV
32 INCH")</f>
        <v>COLORED TV 
SAMSUNG N4300 LED TV
32 INCH</v>
      </c>
      <c r="E820" s="196" t="str">
        <f>IFERROR(__xludf.DUMMYFUNCTION("""COMPUTED_VALUE"""),"IN PREPARATION FORTHE PACUCOA VISIT")</f>
        <v>IN PREPARATION FORTHE PACUCOA VISIT</v>
      </c>
    </row>
    <row r="821">
      <c r="A821" s="234">
        <f>IFERROR(__xludf.DUMMYFUNCTION("""COMPUTED_VALUE"""),101113.0)</f>
        <v>101113</v>
      </c>
      <c r="B821" s="235" t="str">
        <f>IFERROR(__xludf.DUMMYFUNCTION("""COMPUTED_VALUE"""),"MAJ THOMAS ")</f>
        <v>MAJ THOMAS </v>
      </c>
      <c r="C821" s="235" t="str">
        <f>IFERROR(__xludf.DUMMYFUNCTION("""COMPUTED_VALUE"""),"ACCREDITATION")</f>
        <v>ACCREDITATION</v>
      </c>
      <c r="D821" s="196" t="str">
        <f>IFERROR(__xludf.DUMMYFUNCTION("""COMPUTED_VALUE"""),"TARPAULIN 
(2.6X5.2)
ASK SUPPLIER FOR AN ALLOWANCE
WELCOME TARPAULIN
6.5 X13.5 FT")</f>
        <v>TARPAULIN 
(2.6X5.2)
ASK SUPPLIER FOR AN ALLOWANCE
WELCOME TARPAULIN
6.5 X13.5 FT</v>
      </c>
      <c r="E821" s="196" t="str">
        <f>IFERROR(__xludf.DUMMYFUNCTION("""COMPUTED_VALUE"""),"FOR PACUCOA USE")</f>
        <v>FOR PACUCOA USE</v>
      </c>
    </row>
    <row r="822">
      <c r="A822" s="234">
        <f>IFERROR(__xludf.DUMMYFUNCTION("""COMPUTED_VALUE"""),101114.0)</f>
        <v>101114</v>
      </c>
      <c r="B822" s="235" t="str">
        <f>IFERROR(__xludf.DUMMYFUNCTION("""COMPUTED_VALUE"""),"GILBERT H. MAGALLANES")</f>
        <v>GILBERT H. MAGALLANES</v>
      </c>
      <c r="C822" s="235" t="str">
        <f>IFERROR(__xludf.DUMMYFUNCTION("""COMPUTED_VALUE"""),"REGISTRATION")</f>
        <v>REGISTRATION</v>
      </c>
      <c r="D822" s="196" t="str">
        <f>IFERROR(__xludf.DUMMYFUNCTION("""COMPUTED_VALUE"""),"CONQUEROR PAPER
8-1/2 "" X 13'1
")</f>
        <v>CONQUEROR PAPER
8-1/2 " X 13'1
</v>
      </c>
      <c r="E822" s="196" t="str">
        <f>IFERROR(__xludf.DUMMYFUNCTION("""COMPUTED_VALUE"""),"FOR REGISTRATION USE(PRINTING CREDENTIALS)")</f>
        <v>FOR REGISTRATION USE(PRINTING CREDENTIALS)</v>
      </c>
    </row>
    <row r="823">
      <c r="A823" s="234">
        <f>IFERROR(__xludf.DUMMYFUNCTION("""COMPUTED_VALUE"""),101115.0)</f>
        <v>101115</v>
      </c>
      <c r="B823" s="235" t="str">
        <f>IFERROR(__xludf.DUMMYFUNCTION("""COMPUTED_VALUE"""),"TOM TONGOHAN")</f>
        <v>TOM TONGOHAN</v>
      </c>
      <c r="C823" s="235" t="str">
        <f>IFERROR(__xludf.DUMMYFUNCTION("""COMPUTED_VALUE"""),"ADMIN")</f>
        <v>ADMIN</v>
      </c>
      <c r="D823" s="196" t="str">
        <f>IFERROR(__xludf.DUMMYFUNCTION("""COMPUTED_VALUE"""),"NELKO SWISS (BULB ONLY)
                          DAY LIGHT")</f>
        <v>NELKO SWISS (BULB ONLY)
                          DAY LIGHT</v>
      </c>
      <c r="E823" s="196" t="str">
        <f>IFERROR(__xludf.DUMMYFUNCTION("""COMPUTED_VALUE"""),"ADDITIONAL LIGHTING FIXTURE")</f>
        <v>ADDITIONAL LIGHTING FIXTURE</v>
      </c>
    </row>
    <row r="824">
      <c r="A824" s="234">
        <f>IFERROR(__xludf.DUMMYFUNCTION("""COMPUTED_VALUE"""),101116.0)</f>
        <v>101116</v>
      </c>
      <c r="B824" s="235" t="str">
        <f>IFERROR(__xludf.DUMMYFUNCTION("""COMPUTED_VALUE"""),"SANDRA DUPIO ")</f>
        <v>SANDRA DUPIO </v>
      </c>
      <c r="C824" s="235" t="str">
        <f>IFERROR(__xludf.DUMMYFUNCTION("""COMPUTED_VALUE"""),"LIBRARY BASIC ED")</f>
        <v>LIBRARY BASIC ED</v>
      </c>
      <c r="D824" s="196" t="str">
        <f>IFERROR(__xludf.DUMMYFUNCTION("""COMPUTED_VALUE"""),"WIND ENERGY: HARVESTING MOVING AIR
REDICE, REUSE, AND RECYCLE
F SCOOTFITZGERALDS THE GREAT GATSBY
ART IN THE PAST (RIGBY STAR)
EXTREME SPORTS")</f>
        <v>WIND ENERGY: HARVESTING MOVING AIR
REDICE, REUSE, AND RECYCLE
F SCOOTFITZGERALDS THE GREAT GATSBY
ART IN THE PAST (RIGBY STAR)
EXTREME SPORTS</v>
      </c>
      <c r="E824" s="196" t="str">
        <f>IFERROR(__xludf.DUMMYFUNCTION("""COMPUTED_VALUE"""),"SHS AND HS STUDENTS REFERENCE")</f>
        <v>SHS AND HS STUDENTS REFERENCE</v>
      </c>
    </row>
    <row r="825">
      <c r="A825" s="234">
        <f>IFERROR(__xludf.DUMMYFUNCTION("""COMPUTED_VALUE"""),101117.0)</f>
        <v>101117</v>
      </c>
      <c r="B825" s="235" t="str">
        <f>IFERROR(__xludf.DUMMYFUNCTION("""COMPUTED_VALUE"""),"ALFA, SHEREE,PHEN")</f>
        <v>ALFA, SHEREE,PHEN</v>
      </c>
      <c r="C825" s="235" t="str">
        <f>IFERROR(__xludf.DUMMYFUNCTION("""COMPUTED_VALUE"""),"HOUSEKEEPING")</f>
        <v>HOUSEKEEPING</v>
      </c>
      <c r="D825" s="196" t="str">
        <f>IFERROR(__xludf.DUMMYFUNCTION("""COMPUTED_VALUE"""),"CHRISTMAS LIGHTS 
LUX
MUNICH
STAR
DECORS-BALLS FLOWERS
ROPE LIGHTS ")</f>
        <v>CHRISTMAS LIGHTS 
LUX
MUNICH
STAR
DECORS-BALLS FLOWERS
ROPE LIGHTS </v>
      </c>
      <c r="E825" s="196" t="str">
        <f>IFERROR(__xludf.DUMMYFUNCTION("""COMPUTED_VALUE"""),"CHRISTMAS DECORS")</f>
        <v>CHRISTMAS DECORS</v>
      </c>
    </row>
    <row r="826">
      <c r="A826" s="234">
        <f>IFERROR(__xludf.DUMMYFUNCTION("""COMPUTED_VALUE"""),101118.0)</f>
        <v>101118</v>
      </c>
      <c r="B826" s="235" t="str">
        <f>IFERROR(__xludf.DUMMYFUNCTION("""COMPUTED_VALUE"""),"TOM TONGOHAN")</f>
        <v>TOM TONGOHAN</v>
      </c>
      <c r="C826" s="235" t="str">
        <f>IFERROR(__xludf.DUMMYFUNCTION("""COMPUTED_VALUE"""),"ADMIN")</f>
        <v>ADMIN</v>
      </c>
      <c r="D826" s="196" t="str">
        <f>IFERROR(__xludf.DUMMYFUNCTION("""COMPUTED_VALUE"""),"MATTEWHITE SAMSUNG 
ROUND SURFACE MOUNTED
DOWNLIGHT IP20 8 W 3000K
230V WARM WHITE")</f>
        <v>MATTEWHITE SAMSUNG 
ROUND SURFACE MOUNTED
DOWNLIGHT IP20 8 W 3000K
230V WARM WHITE</v>
      </c>
      <c r="E826" s="196" t="str">
        <f>IFERROR(__xludf.DUMMYFUNCTION("""COMPUTED_VALUE"""),"FOR COMPLENTION OF BRIC ROOM (PRESENTATION)")</f>
        <v>FOR COMPLENTION OF BRIC ROOM (PRESENTATION)</v>
      </c>
    </row>
    <row r="827">
      <c r="A827" s="234">
        <f>IFERROR(__xludf.DUMMYFUNCTION("""COMPUTED_VALUE"""),101119.0)</f>
        <v>101119</v>
      </c>
      <c r="B827" s="235" t="str">
        <f>IFERROR(__xludf.DUMMYFUNCTION("""COMPUTED_VALUE"""),"ADRIAN DE GUINTO")</f>
        <v>ADRIAN DE GUINTO</v>
      </c>
      <c r="C827" s="235" t="str">
        <f>IFERROR(__xludf.DUMMYFUNCTION("""COMPUTED_VALUE"""),"PR &amp; MARKETING")</f>
        <v>PR &amp; MARKETING</v>
      </c>
      <c r="D827" s="196" t="str">
        <f>IFERROR(__xludf.DUMMYFUNCTION("""COMPUTED_VALUE"""),"AUTONMOUSE TARP
6.5 X13.5")</f>
        <v>AUTONMOUSE TARP
6.5 X13.5</v>
      </c>
      <c r="E827" s="196" t="str">
        <f>IFERROR(__xludf.DUMMYFUNCTION("""COMPUTED_VALUE"""),"FOR MARKETING ADVERTISEMENT")</f>
        <v>FOR MARKETING ADVERTISEMENT</v>
      </c>
    </row>
    <row r="828">
      <c r="A828" s="234">
        <f>IFERROR(__xludf.DUMMYFUNCTION("""COMPUTED_VALUE"""),101120.0)</f>
        <v>101120</v>
      </c>
      <c r="B828" s="235" t="str">
        <f>IFERROR(__xludf.DUMMYFUNCTION("""COMPUTED_VALUE"""),"CHRISTIAN S ANDRES")</f>
        <v>CHRISTIAN S ANDRES</v>
      </c>
      <c r="C828" s="235" t="str">
        <f>IFERROR(__xludf.DUMMYFUNCTION("""COMPUTED_VALUE"""),"PR &amp; MARKETING")</f>
        <v>PR &amp; MARKETING</v>
      </c>
      <c r="D828" s="196" t="str">
        <f>IFERROR(__xludf.DUMMYFUNCTION("""COMPUTED_VALUE"""),"SPECIAL ISSUE PMNT OUT 
COLLEGE INFOPACKET
FOR PACUCOA")</f>
        <v>SPECIAL ISSUE PMNT OUT 
COLLEGE INFOPACKET
FOR PACUCOA</v>
      </c>
      <c r="E828" s="196" t="str">
        <f>IFERROR(__xludf.DUMMYFUNCTION("""COMPUTED_VALUE"""),"FOR PACUCOA USE")</f>
        <v>FOR PACUCOA USE</v>
      </c>
    </row>
    <row r="829">
      <c r="A829" s="234">
        <f>IFERROR(__xludf.DUMMYFUNCTION("""COMPUTED_VALUE"""),101121.0)</f>
        <v>101121</v>
      </c>
      <c r="B829" s="235" t="str">
        <f>IFERROR(__xludf.DUMMYFUNCTION("""COMPUTED_VALUE"""),"TOM TONGOHAN")</f>
        <v>TOM TONGOHAN</v>
      </c>
      <c r="C829" s="235" t="str">
        <f>IFERROR(__xludf.DUMMYFUNCTION("""COMPUTED_VALUE"""),"ADMIN")</f>
        <v>ADMIN</v>
      </c>
      <c r="D829" s="196" t="str">
        <f>IFERROR(__xludf.DUMMYFUNCTION("""COMPUTED_VALUE"""),"PHOTOLUMINESCENT PAPER")</f>
        <v>PHOTOLUMINESCENT PAPER</v>
      </c>
      <c r="E829" s="196" t="str">
        <f>IFERROR(__xludf.DUMMYFUNCTION("""COMPUTED_VALUE"""),"EVACPLAN (CMLC)")</f>
        <v>EVACPLAN (CMLC)</v>
      </c>
    </row>
    <row r="830">
      <c r="A830" s="234">
        <f>IFERROR(__xludf.DUMMYFUNCTION("""COMPUTED_VALUE"""),101122.0)</f>
        <v>101122</v>
      </c>
      <c r="B830" s="235" t="str">
        <f>IFERROR(__xludf.DUMMYFUNCTION("""COMPUTED_VALUE"""),"PHEN PETIN")</f>
        <v>PHEN PETIN</v>
      </c>
      <c r="C830" s="235" t="str">
        <f>IFERROR(__xludf.DUMMYFUNCTION("""COMPUTED_VALUE"""),"ADMIN")</f>
        <v>ADMIN</v>
      </c>
      <c r="D830" s="196" t="str">
        <f>IFERROR(__xludf.DUMMYFUNCTION("""COMPUTED_VALUE"""),"PANASONIC (SEALED RECHARGEABLE BATTERY NP 12-7 (12 V 7.2 AH/20 HR)")</f>
        <v>PANASONIC (SEALED RECHARGEABLE BATTERY NP 12-7 (12 V 7.2 AH/20 HR)</v>
      </c>
      <c r="E830" s="196" t="str">
        <f>IFERROR(__xludf.DUMMYFUNCTION("""COMPUTED_VALUE"""),"CHANGE OF BATTERY FIRE ALARM PANEL")</f>
        <v>CHANGE OF BATTERY FIRE ALARM PANEL</v>
      </c>
    </row>
    <row r="831">
      <c r="A831" s="234">
        <f>IFERROR(__xludf.DUMMYFUNCTION("""COMPUTED_VALUE"""),101123.0)</f>
        <v>101123</v>
      </c>
      <c r="B831" s="235" t="str">
        <f>IFERROR(__xludf.DUMMYFUNCTION("""COMPUTED_VALUE"""),"APRIL D. TRAJICO")</f>
        <v>APRIL D. TRAJICO</v>
      </c>
      <c r="C831" s="235" t="str">
        <f>IFERROR(__xludf.DUMMYFUNCTION("""COMPUTED_VALUE"""),"AMD")</f>
        <v>AMD</v>
      </c>
      <c r="D831" s="196" t="str">
        <f>IFERROR(__xludf.DUMMYFUNCTION("""COMPUTED_VALUE"""),"ENVELOPE EXPANDING PLASTIC LONG ADVENTURE")</f>
        <v>ENVELOPE EXPANDING PLASTIC LONG ADVENTURE</v>
      </c>
      <c r="E831" s="196" t="str">
        <f>IFERROR(__xludf.DUMMYFUNCTION("""COMPUTED_VALUE"""),"STOCK REPLENISHMENT - OSSUP")</f>
        <v>STOCK REPLENISHMENT - OSSUP</v>
      </c>
    </row>
    <row r="832">
      <c r="A832" s="234">
        <f>IFERROR(__xludf.DUMMYFUNCTION("""COMPUTED_VALUE"""),101124.0)</f>
        <v>101124</v>
      </c>
      <c r="B832" s="235" t="str">
        <f>IFERROR(__xludf.DUMMYFUNCTION("""COMPUTED_VALUE"""),"APRIL D. TRAJICO")</f>
        <v>APRIL D. TRAJICO</v>
      </c>
      <c r="C832" s="235" t="str">
        <f>IFERROR(__xludf.DUMMYFUNCTION("""COMPUTED_VALUE"""),"AMD")</f>
        <v>AMD</v>
      </c>
      <c r="D832" s="196" t="str">
        <f>IFERROR(__xludf.DUMMYFUNCTION("""COMPUTED_VALUE"""),"CARTOLINA WHITE; CD BLANK TAPE W/ CASE; CLEARBOOK, UNFILLABLE 20'S LONG; PAPER FORTUNE GROUNDWOVE  MIMEO SHORT (500 PCS); RIBBON CARTRIDGE EPSON LX310 SO15632; TAPE DOUBLE SISDED TAPE W/O FOAM")</f>
        <v>CARTOLINA WHITE; CD BLANK TAPE W/ CASE; CLEARBOOK, UNFILLABLE 20'S LONG; PAPER FORTUNE GROUNDWOVE  MIMEO SHORT (500 PCS); RIBBON CARTRIDGE EPSON LX310 SO15632; TAPE DOUBLE SISDED TAPE W/O FOAM</v>
      </c>
      <c r="E832" s="196" t="str">
        <f>IFERROR(__xludf.DUMMYFUNCTION("""COMPUTED_VALUE"""),"STOCK REPLENISHMENT - OSSUP")</f>
        <v>STOCK REPLENISHMENT - OSSUP</v>
      </c>
    </row>
    <row r="833">
      <c r="A833" s="234">
        <f>IFERROR(__xludf.DUMMYFUNCTION("""COMPUTED_VALUE"""),101125.0)</f>
        <v>101125</v>
      </c>
      <c r="B833" s="235" t="str">
        <f>IFERROR(__xludf.DUMMYFUNCTION("""COMPUTED_VALUE"""),"APRIL D. TRAJICO")</f>
        <v>APRIL D. TRAJICO</v>
      </c>
      <c r="C833" s="235" t="str">
        <f>IFERROR(__xludf.DUMMYFUNCTION("""COMPUTED_VALUE"""),"AMD")</f>
        <v>AMD</v>
      </c>
      <c r="D833" s="196" t="str">
        <f>IFERROR(__xludf.DUMMYFUNCTION("""COMPUTED_VALUE"""),"ALCOHOL GREEN CROSS 40% 500ML; BALLPEN PANDA BLUE; BALLPEN PANDA RED; PEN OVERHEAD PROJECTOR PILOT BLACK; BATTERY ENERGIZER SIZE AA; BATTERY EVEREADY SIZE AA")</f>
        <v>ALCOHOL GREEN CROSS 40% 500ML; BALLPEN PANDA BLUE; BALLPEN PANDA RED; PEN OVERHEAD PROJECTOR PILOT BLACK; BATTERY ENERGIZER SIZE AA; BATTERY EVEREADY SIZE AA</v>
      </c>
      <c r="E833" s="196" t="str">
        <f>IFERROR(__xludf.DUMMYFUNCTION("""COMPUTED_VALUE"""),"STOCK REPLENISHMENT - OSSUP")</f>
        <v>STOCK REPLENISHMENT - OSSUP</v>
      </c>
    </row>
    <row r="834">
      <c r="A834" s="234">
        <f>IFERROR(__xludf.DUMMYFUNCTION("""COMPUTED_VALUE"""),101126.0)</f>
        <v>101126</v>
      </c>
      <c r="B834" s="235" t="str">
        <f>IFERROR(__xludf.DUMMYFUNCTION("""COMPUTED_VALUE"""),"APRIL D. TRAJICO")</f>
        <v>APRIL D. TRAJICO</v>
      </c>
      <c r="C834" s="235" t="str">
        <f>IFERROR(__xludf.DUMMYFUNCTION("""COMPUTED_VALUE"""),"AMD")</f>
        <v>AMD</v>
      </c>
      <c r="D834" s="196" t="str">
        <f>IFERROR(__xludf.DUMMYFUNCTION("""COMPUTED_VALUE"""),"TOWEL HAND GOOD MORNING")</f>
        <v>TOWEL HAND GOOD MORNING</v>
      </c>
      <c r="E834" s="196" t="str">
        <f>IFERROR(__xludf.DUMMYFUNCTION("""COMPUTED_VALUE"""),"STOCK REPLENISHMENT - OSSUP")</f>
        <v>STOCK REPLENISHMENT - OSSUP</v>
      </c>
    </row>
    <row r="835">
      <c r="A835" s="234">
        <f>IFERROR(__xludf.DUMMYFUNCTION("""COMPUTED_VALUE"""),101127.0)</f>
        <v>101127</v>
      </c>
      <c r="B835" s="235" t="str">
        <f>IFERROR(__xludf.DUMMYFUNCTION("""COMPUTED_VALUE"""),"CARLITO DELA VEGA")</f>
        <v>CARLITO DELA VEGA</v>
      </c>
      <c r="C835" s="235" t="str">
        <f>IFERROR(__xludf.DUMMYFUNCTION("""COMPUTED_VALUE"""),"SECURITY")</f>
        <v>SECURITY</v>
      </c>
      <c r="D835" s="196" t="str">
        <f>IFERROR(__xludf.DUMMYFUNCTION("""COMPUTED_VALUE"""),"TELEPHONE WIRED 5PCS.")</f>
        <v>TELEPHONE WIRED 5PCS.</v>
      </c>
      <c r="E835" s="196" t="str">
        <f>IFERROR(__xludf.DUMMYFUNCTION("""COMPUTED_VALUE"""),"REPLACEMENT FOR EVERY SECURITY POST WITH TELEPHONE")</f>
        <v>REPLACEMENT FOR EVERY SECURITY POST WITH TELEPHONE</v>
      </c>
    </row>
    <row r="836">
      <c r="A836" s="234">
        <f>IFERROR(__xludf.DUMMYFUNCTION("""COMPUTED_VALUE"""),101128.0)</f>
        <v>101128</v>
      </c>
      <c r="B836" s="235" t="str">
        <f>IFERROR(__xludf.DUMMYFUNCTION("""COMPUTED_VALUE"""),"ADRIAN DE GUINTO")</f>
        <v>ADRIAN DE GUINTO</v>
      </c>
      <c r="C836" s="235" t="str">
        <f>IFERROR(__xludf.DUMMYFUNCTION("""COMPUTED_VALUE"""),"PR &amp; MARKETING")</f>
        <v>PR &amp; MARKETING</v>
      </c>
      <c r="D836" s="196" t="str">
        <f>IFERROR(__xludf.DUMMYFUNCTION("""COMPUTED_VALUE"""),"SISC COMMITED TO EXCELLENCE 6.5*13.5 1")</f>
        <v>SISC COMMITED TO EXCELLENCE 6.5*13.5 1</v>
      </c>
      <c r="E836" s="196" t="str">
        <f>IFERROR(__xludf.DUMMYFUNCTION("""COMPUTED_VALUE"""),"FOR MARKETING ADVERTISEMENT")</f>
        <v>FOR MARKETING ADVERTISEMENT</v>
      </c>
    </row>
    <row r="837">
      <c r="A837" s="234">
        <f>IFERROR(__xludf.DUMMYFUNCTION("""COMPUTED_VALUE"""),101129.0)</f>
        <v>101129</v>
      </c>
      <c r="B837" s="235" t="str">
        <f>IFERROR(__xludf.DUMMYFUNCTION("""COMPUTED_VALUE"""),"MELISSA NAVAL ODONO")</f>
        <v>MELISSA NAVAL ODONO</v>
      </c>
      <c r="C837" s="235" t="str">
        <f>IFERROR(__xludf.DUMMYFUNCTION("""COMPUTED_VALUE"""),"LIBRARY MUNICH")</f>
        <v>LIBRARY MUNICH</v>
      </c>
      <c r="D837" s="196" t="str">
        <f>IFERROR(__xludf.DUMMYFUNCTION("""COMPUTED_VALUE"""),"ASSORTED BOOKS 84 PCS.")</f>
        <v>ASSORTED BOOKS 84 PCS.</v>
      </c>
      <c r="E837" s="196" t="str">
        <f>IFERROR(__xludf.DUMMYFUNCTION("""COMPUTED_VALUE"""),"PURCHASE BOOKS OUTRIGHT DURING MIBF")</f>
        <v>PURCHASE BOOKS OUTRIGHT DURING MIBF</v>
      </c>
    </row>
    <row r="838">
      <c r="A838" s="234">
        <f>IFERROR(__xludf.DUMMYFUNCTION("""COMPUTED_VALUE"""),101130.0)</f>
        <v>101130</v>
      </c>
      <c r="B838" s="235" t="str">
        <f>IFERROR(__xludf.DUMMYFUNCTION("""COMPUTED_VALUE"""),"MELISSA NAVAL ODONO")</f>
        <v>MELISSA NAVAL ODONO</v>
      </c>
      <c r="C838" s="235" t="str">
        <f>IFERROR(__xludf.DUMMYFUNCTION("""COMPUTED_VALUE"""),"LIBRARY MUNICH")</f>
        <v>LIBRARY MUNICH</v>
      </c>
      <c r="D838" s="196" t="str">
        <f>IFERROR(__xludf.DUMMYFUNCTION("""COMPUTED_VALUE"""),"ASSORTED BOOKS 20 PCS.")</f>
        <v>ASSORTED BOOKS 20 PCS.</v>
      </c>
      <c r="E838" s="196" t="str">
        <f>IFERROR(__xludf.DUMMYFUNCTION("""COMPUTED_VALUE"""),"PURCHASE BOOKS OUTRIGHT DURING MIBF")</f>
        <v>PURCHASE BOOKS OUTRIGHT DURING MIBF</v>
      </c>
    </row>
    <row r="839">
      <c r="A839" s="234">
        <f>IFERROR(__xludf.DUMMYFUNCTION("""COMPUTED_VALUE"""),101131.0)</f>
        <v>101131</v>
      </c>
      <c r="B839" s="235" t="str">
        <f>IFERROR(__xludf.DUMMYFUNCTION("""COMPUTED_VALUE"""),"MELISSA NAVAL ODONO")</f>
        <v>MELISSA NAVAL ODONO</v>
      </c>
      <c r="C839" s="235" t="str">
        <f>IFERROR(__xludf.DUMMYFUNCTION("""COMPUTED_VALUE"""),"LIBRARY MUNICH")</f>
        <v>LIBRARY MUNICH</v>
      </c>
      <c r="D839" s="196" t="str">
        <f>IFERROR(__xludf.DUMMYFUNCTION("""COMPUTED_VALUE"""),"ASSORTED BOOKS 10 PCS.")</f>
        <v>ASSORTED BOOKS 10 PCS.</v>
      </c>
      <c r="E839" s="196" t="str">
        <f>IFERROR(__xludf.DUMMYFUNCTION("""COMPUTED_VALUE"""),"PURCHASE BOOKS OUTRIGHT DURING MIBF")</f>
        <v>PURCHASE BOOKS OUTRIGHT DURING MIBF</v>
      </c>
    </row>
    <row r="840">
      <c r="A840" s="234">
        <f>IFERROR(__xludf.DUMMYFUNCTION("""COMPUTED_VALUE"""),101132.0)</f>
        <v>101132</v>
      </c>
      <c r="B840" s="235" t="str">
        <f>IFERROR(__xludf.DUMMYFUNCTION("""COMPUTED_VALUE"""),"MELISSA NAVAL ODONO")</f>
        <v>MELISSA NAVAL ODONO</v>
      </c>
      <c r="C840" s="235" t="str">
        <f>IFERROR(__xludf.DUMMYFUNCTION("""COMPUTED_VALUE"""),"LIBRARY MUNICH")</f>
        <v>LIBRARY MUNICH</v>
      </c>
      <c r="D840" s="196" t="str">
        <f>IFERROR(__xludf.DUMMYFUNCTION("""COMPUTED_VALUE"""),"ASSORTED BOOKS 16 PCS.")</f>
        <v>ASSORTED BOOKS 16 PCS.</v>
      </c>
      <c r="E840" s="196" t="str">
        <f>IFERROR(__xludf.DUMMYFUNCTION("""COMPUTED_VALUE"""),"PURCHASE BOOKS OUTRIGHT DURING MIBF")</f>
        <v>PURCHASE BOOKS OUTRIGHT DURING MIBF</v>
      </c>
    </row>
    <row r="841">
      <c r="A841" s="234">
        <f>IFERROR(__xludf.DUMMYFUNCTION("""COMPUTED_VALUE"""),101133.0)</f>
        <v>101133</v>
      </c>
      <c r="B841" s="235" t="str">
        <f>IFERROR(__xludf.DUMMYFUNCTION("""COMPUTED_VALUE"""),"ALFA DE LEON")</f>
        <v>ALFA DE LEON</v>
      </c>
      <c r="C841" s="235" t="str">
        <f>IFERROR(__xludf.DUMMYFUNCTION("""COMPUTED_VALUE"""),"ADMIN - MUNICH")</f>
        <v>ADMIN - MUNICH</v>
      </c>
      <c r="D841" s="196" t="str">
        <f>IFERROR(__xludf.DUMMYFUNCTION("""COMPUTED_VALUE"""),"FOOTPRINTS STICKER 16PCS. HIGH GRADE GLOSS VINYL ")</f>
        <v>FOOTPRINTS STICKER 16PCS. HIGH GRADE GLOSS VINYL </v>
      </c>
      <c r="E841" s="196" t="str">
        <f>IFERROR(__xludf.DUMMYFUNCTION("""COMPUTED_VALUE"""),"INDOOR PLAYGROUND")</f>
        <v>INDOOR PLAYGROUND</v>
      </c>
    </row>
    <row r="842">
      <c r="A842" s="234">
        <f>IFERROR(__xludf.DUMMYFUNCTION("""COMPUTED_VALUE"""),101134.0)</f>
        <v>101134</v>
      </c>
      <c r="B842" s="235" t="str">
        <f>IFERROR(__xludf.DUMMYFUNCTION("""COMPUTED_VALUE"""),"ALFA / SHEREE / PHEN")</f>
        <v>ALFA / SHEREE / PHEN</v>
      </c>
      <c r="C842" s="235" t="str">
        <f>IFERROR(__xludf.DUMMYFUNCTION("""COMPUTED_VALUE"""),"ADMIN - LUX")</f>
        <v>ADMIN - LUX</v>
      </c>
      <c r="D842" s="196" t="str">
        <f>IFERROR(__xludf.DUMMYFUNCTION("""COMPUTED_VALUE"""),"ROPE LIGHTS (WARM WHITE) 1 ROLL; ROPE LIGHT - RED 10 METERS, BLUE 5METERS, YELLOW 5 METERS, GREEN 10 METERS; CONTROLLER 35PCS; FLAT CORD ""18 2ROLL")</f>
        <v>ROPE LIGHTS (WARM WHITE) 1 ROLL; ROPE LIGHT - RED 10 METERS, BLUE 5METERS, YELLOW 5 METERS, GREEN 10 METERS; CONTROLLER 35PCS; FLAT CORD "18 2ROLL</v>
      </c>
      <c r="E842" s="196" t="str">
        <f>IFERROR(__xludf.DUMMYFUNCTION("""COMPUTED_VALUE"""),"CHRISTMAS DECOR FOR LUX, MUNICH, STAR CAMPUS / REPAIR OF PAROLS")</f>
        <v>CHRISTMAS DECOR FOR LUX, MUNICH, STAR CAMPUS / REPAIR OF PAROLS</v>
      </c>
    </row>
    <row r="843">
      <c r="A843" s="234">
        <f>IFERROR(__xludf.DUMMYFUNCTION("""COMPUTED_VALUE"""),101135.0)</f>
        <v>101135</v>
      </c>
      <c r="B843" s="235" t="str">
        <f>IFERROR(__xludf.DUMMYFUNCTION("""COMPUTED_VALUE"""),"NOLIE DURAN/ARIS IGNACIO")</f>
        <v>NOLIE DURAN/ARIS IGNACIO</v>
      </c>
      <c r="C843" s="235" t="str">
        <f>IFERROR(__xludf.DUMMYFUNCTION("""COMPUTED_VALUE"""),"BS IT")</f>
        <v>BS IT</v>
      </c>
      <c r="D843" s="196" t="str">
        <f>IFERROR(__xludf.DUMMYFUNCTION("""COMPUTED_VALUE"""),"EDGING WOOD")</f>
        <v>EDGING WOOD</v>
      </c>
      <c r="E843" s="196" t="str">
        <f>IFERROR(__xludf.DUMMYFUNCTION("""COMPUTED_VALUE"""),"FABRICATIONFOR IT DEPARTMENT")</f>
        <v>FABRICATIONFOR IT DEPARTMENT</v>
      </c>
    </row>
    <row r="844">
      <c r="A844" s="234">
        <f>IFERROR(__xludf.DUMMYFUNCTION("""COMPUTED_VALUE"""),101136.0)</f>
        <v>101136</v>
      </c>
      <c r="B844" s="235" t="str">
        <f>IFERROR(__xludf.DUMMYFUNCTION("""COMPUTED_VALUE"""),"JAHREL TAMPIL")</f>
        <v>JAHREL TAMPIL</v>
      </c>
      <c r="C844" s="235" t="str">
        <f>IFERROR(__xludf.DUMMYFUNCTION("""COMPUTED_VALUE"""),"VPAR / RESEARCH")</f>
        <v>VPAR / RESEARCH</v>
      </c>
      <c r="D844" s="196" t="str">
        <f>IFERROR(__xludf.DUMMYFUNCTION("""COMPUTED_VALUE"""),"KAIZEN (SUPPLIER) JARM PRINTING PRESS FOR PACUCOA")</f>
        <v>KAIZEN (SUPPLIER) JARM PRINTING PRESS FOR PACUCOA</v>
      </c>
      <c r="E844" s="196" t="str">
        <f>IFERROR(__xludf.DUMMYFUNCTION("""COMPUTED_VALUE"""),"KAIZEN PRINTING")</f>
        <v>KAIZEN PRINTING</v>
      </c>
    </row>
    <row r="845">
      <c r="A845" s="234">
        <f>IFERROR(__xludf.DUMMYFUNCTION("""COMPUTED_VALUE"""),101137.0)</f>
        <v>101137</v>
      </c>
      <c r="B845" s="235" t="str">
        <f>IFERROR(__xludf.DUMMYFUNCTION("""COMPUTED_VALUE"""),"jacqueline samsona")</f>
        <v>jacqueline samsona</v>
      </c>
      <c r="C845" s="235" t="str">
        <f>IFERROR(__xludf.DUMMYFUNCTION("""COMPUTED_VALUE"""),"SCIENCE LAB BASIC ED.")</f>
        <v>SCIENCE LAB BASIC ED.</v>
      </c>
      <c r="D845" s="196" t="str">
        <f>IFERROR(__xludf.DUMMYFUNCTION("""COMPUTED_VALUE"""),"bolt w/mit 3/8 x 4 washer")</f>
        <v>bolt w/mit 3/8 x 4 washer</v>
      </c>
      <c r="E845" s="196" t="str">
        <f>IFERROR(__xludf.DUMMYFUNCTION("""COMPUTED_VALUE"""),"for patient bed repair")</f>
        <v>for patient bed repair</v>
      </c>
    </row>
    <row r="846">
      <c r="A846" s="234">
        <f>IFERROR(__xludf.DUMMYFUNCTION("""COMPUTED_VALUE"""),101138.0)</f>
        <v>101138</v>
      </c>
      <c r="B846" s="235" t="str">
        <f>IFERROR(__xludf.DUMMYFUNCTION("""COMPUTED_VALUE"""),"SANDRA DUPIO ")</f>
        <v>SANDRA DUPIO </v>
      </c>
      <c r="C846" s="235" t="str">
        <f>IFERROR(__xludf.DUMMYFUNCTION("""COMPUTED_VALUE"""),"LIBRARY BASIC ED")</f>
        <v>LIBRARY BASIC ED</v>
      </c>
      <c r="D846" s="196" t="str">
        <f>IFERROR(__xludf.DUMMYFUNCTION("""COMPUTED_VALUE"""),"barrons ap psychology
successful social articles into adulthood 
the early years movement handbook")</f>
        <v>barrons ap psychology
successful social articles into adulthood 
the early years movement handbook</v>
      </c>
      <c r="E846" s="196" t="str">
        <f>IFERROR(__xludf.DUMMYFUNCTION("""COMPUTED_VALUE"""),"student reference")</f>
        <v>student reference</v>
      </c>
    </row>
    <row r="847">
      <c r="A847" s="234">
        <f>IFERROR(__xludf.DUMMYFUNCTION("""COMPUTED_VALUE"""),101139.0)</f>
        <v>101139</v>
      </c>
      <c r="B847" s="235" t="str">
        <f>IFERROR(__xludf.DUMMYFUNCTION("""COMPUTED_VALUE"""),"AINA DELA CRUZ")</f>
        <v>AINA DELA CRUZ</v>
      </c>
      <c r="C847" s="235" t="str">
        <f>IFERROR(__xludf.DUMMYFUNCTION("""COMPUTED_VALUE"""),"ADMIN")</f>
        <v>ADMIN</v>
      </c>
      <c r="D847" s="196" t="str">
        <f>IFERROR(__xludf.DUMMYFUNCTION("""COMPUTED_VALUE"""),"TRODAT KATRINA V. DELA CRUZ
TRODAT RONALDO D. VERDE
SEAGULL PRESENTATION BINDER (ARCH FILE) 2 RING A4
")</f>
        <v>TRODAT KATRINA V. DELA CRUZ
TRODAT RONALDO D. VERDE
SEAGULL PRESENTATION BINDER (ARCH FILE) 2 RING A4
</v>
      </c>
      <c r="E847" s="196" t="str">
        <f>IFERROR(__xludf.DUMMYFUNCTION("""COMPUTED_VALUE"""),"OFFICE SUPPLIES")</f>
        <v>OFFICE SUPPLIES</v>
      </c>
    </row>
    <row r="848">
      <c r="A848" s="234">
        <f>IFERROR(__xludf.DUMMYFUNCTION("""COMPUTED_VALUE"""),101140.0)</f>
        <v>101140</v>
      </c>
      <c r="B848" s="235" t="str">
        <f>IFERROR(__xludf.DUMMYFUNCTION("""COMPUTED_VALUE"""),"CHRISTIAN MARK MARBIBI")</f>
        <v>CHRISTIAN MARK MARBIBI</v>
      </c>
      <c r="C848" s="235" t="str">
        <f>IFERROR(__xludf.DUMMYFUNCTION("""COMPUTED_VALUE"""),"HOUSEKEEPING")</f>
        <v>HOUSEKEEPING</v>
      </c>
      <c r="D848" s="196" t="str">
        <f>IFERROR(__xludf.DUMMYFUNCTION("""COMPUTED_VALUE"""),"ALL PURPOSE POWDER 800 GRAMS")</f>
        <v>ALL PURPOSE POWDER 800 GRAMS</v>
      </c>
      <c r="E848" s="196" t="str">
        <f>IFERROR(__xludf.DUMMYFUNCTION("""COMPUTED_VALUE"""),"STOCK REPLENISHMENT ")</f>
        <v>STOCK REPLENISHMENT </v>
      </c>
    </row>
    <row r="849">
      <c r="A849" s="234">
        <f>IFERROR(__xludf.DUMMYFUNCTION("""COMPUTED_VALUE"""),101141.0)</f>
        <v>101141</v>
      </c>
      <c r="B849" s="235" t="str">
        <f>IFERROR(__xludf.DUMMYFUNCTION("""COMPUTED_VALUE"""),"CHRISTIAN MARK MARBIBI")</f>
        <v>CHRISTIAN MARK MARBIBI</v>
      </c>
      <c r="C849" s="235" t="str">
        <f>IFERROR(__xludf.DUMMYFUNCTION("""COMPUTED_VALUE"""),"HOUSEKEEPING")</f>
        <v>HOUSEKEEPING</v>
      </c>
      <c r="D849" s="196" t="str">
        <f>IFERROR(__xludf.DUMMYFUNCTION("""COMPUTED_VALUE"""),"RUBBER GLOVES")</f>
        <v>RUBBER GLOVES</v>
      </c>
      <c r="E849" s="196" t="str">
        <f>IFERROR(__xludf.DUMMYFUNCTION("""COMPUTED_VALUE"""),"STOCK REPLENISHMENT")</f>
        <v>STOCK REPLENISHMENT</v>
      </c>
    </row>
    <row r="850">
      <c r="A850" s="234">
        <f>IFERROR(__xludf.DUMMYFUNCTION("""COMPUTED_VALUE"""),101142.0)</f>
        <v>101142</v>
      </c>
      <c r="B850" s="235" t="str">
        <f>IFERROR(__xludf.DUMMYFUNCTION("""COMPUTED_VALUE"""),"MARK GESSIE DALOGDOG")</f>
        <v>MARK GESSIE DALOGDOG</v>
      </c>
      <c r="C850" s="235" t="str">
        <f>IFERROR(__xludf.DUMMYFUNCTION("""COMPUTED_VALUE"""),"SCIENCE LAB BASIC ED.")</f>
        <v>SCIENCE LAB BASIC ED.</v>
      </c>
      <c r="D850" s="196" t="str">
        <f>IFERROR(__xludf.DUMMYFUNCTION("""COMPUTED_VALUE"""),"ASSORTED SEEDS")</f>
        <v>ASSORTED SEEDS</v>
      </c>
      <c r="E850" s="196" t="str">
        <f>IFERROR(__xludf.DUMMYFUNCTION("""COMPUTED_VALUE"""),"FOR SCIENCE PERFORMANCE TASK GRADE SCHOOL (MUNICH)")</f>
        <v>FOR SCIENCE PERFORMANCE TASK GRADE SCHOOL (MUNICH)</v>
      </c>
    </row>
    <row r="851">
      <c r="A851" s="234">
        <f>IFERROR(__xludf.DUMMYFUNCTION("""COMPUTED_VALUE"""),101143.0)</f>
        <v>101143</v>
      </c>
      <c r="B851" s="235" t="str">
        <f>IFERROR(__xludf.DUMMYFUNCTION("""COMPUTED_VALUE"""),"CHRISTIAN ANDRES")</f>
        <v>CHRISTIAN ANDRES</v>
      </c>
      <c r="C851" s="235" t="str">
        <f>IFERROR(__xludf.DUMMYFUNCTION("""COMPUTED_VALUE"""),"PR &amp; MARKETING")</f>
        <v>PR &amp; MARKETING</v>
      </c>
      <c r="D851" s="196" t="str">
        <f>IFERROR(__xludf.DUMMYFUNCTION("""COMPUTED_VALUE"""),"MATERIALS FOR GATCHALIAN FRAME")</f>
        <v>MATERIALS FOR GATCHALIAN FRAME</v>
      </c>
      <c r="E851" s="196" t="str">
        <f>IFERROR(__xludf.DUMMYFUNCTION("""COMPUTED_VALUE"""),"GATCHALIAN FRAME FOR MARKETING")</f>
        <v>GATCHALIAN FRAME FOR MARKETING</v>
      </c>
    </row>
    <row r="852">
      <c r="A852" s="234">
        <f>IFERROR(__xludf.DUMMYFUNCTION("""COMPUTED_VALUE"""),101144.0)</f>
        <v>101144</v>
      </c>
      <c r="B852" s="235" t="str">
        <f>IFERROR(__xludf.DUMMYFUNCTION("""COMPUTED_VALUE"""),"MAJ THOMAS ")</f>
        <v>MAJ THOMAS </v>
      </c>
      <c r="C852" s="235" t="str">
        <f>IFERROR(__xludf.DUMMYFUNCTION("""COMPUTED_VALUE"""),"ACCREDITATION")</f>
        <v>ACCREDITATION</v>
      </c>
      <c r="D852" s="196" t="str">
        <f>IFERROR(__xludf.DUMMYFUNCTION("""COMPUTED_VALUE"""),"ADDITIONAL TARP 2.6 X 5.2")</f>
        <v>ADDITIONAL TARP 2.6 X 5.2</v>
      </c>
      <c r="E852" s="196" t="str">
        <f>IFERROR(__xludf.DUMMYFUNCTION("""COMPUTED_VALUE"""),"FOR EXHIBIT USE")</f>
        <v>FOR EXHIBIT USE</v>
      </c>
    </row>
    <row r="853">
      <c r="A853" s="234">
        <f>IFERROR(__xludf.DUMMYFUNCTION("""COMPUTED_VALUE"""),101145.0)</f>
        <v>101145</v>
      </c>
      <c r="B853" s="235" t="str">
        <f>IFERROR(__xludf.DUMMYFUNCTION("""COMPUTED_VALUE"""),"AUGGIE BUHAY")</f>
        <v>AUGGIE BUHAY</v>
      </c>
      <c r="C853" s="235" t="str">
        <f>IFERROR(__xludf.DUMMYFUNCTION("""COMPUTED_VALUE"""),"ADMIN")</f>
        <v>ADMIN</v>
      </c>
      <c r="D853" s="196" t="str">
        <f>IFERROR(__xludf.DUMMYFUNCTION("""COMPUTED_VALUE"""),"FLAT CORD FOR EXTENSION ; OUTLET 2 GANG; MALE PLUG HD; TRACH FOR THE LIGHTS; LIGHTS FOR POWERCORD")</f>
        <v>FLAT CORD FOR EXTENSION ; OUTLET 2 GANG; MALE PLUG HD; TRACH FOR THE LIGHTS; LIGHTS FOR POWERCORD</v>
      </c>
      <c r="E853" s="196" t="str">
        <f>IFERROR(__xludf.DUMMYFUNCTION("""COMPUTED_VALUE"""),"FOR PACUCOA USE")</f>
        <v>FOR PACUCOA USE</v>
      </c>
    </row>
    <row r="854">
      <c r="A854" s="234">
        <f>IFERROR(__xludf.DUMMYFUNCTION("""COMPUTED_VALUE"""),101146.0)</f>
        <v>101146</v>
      </c>
      <c r="B854" s="235" t="str">
        <f>IFERROR(__xludf.DUMMYFUNCTION("""COMPUTED_VALUE"""),"RONALD OBLENO")</f>
        <v>RONALD OBLENO</v>
      </c>
      <c r="C854" s="235" t="str">
        <f>IFERROR(__xludf.DUMMYFUNCTION("""COMPUTED_VALUE"""),"AV/MIS")</f>
        <v>AV/MIS</v>
      </c>
      <c r="D854" s="196" t="str">
        <f>IFERROR(__xludf.DUMMYFUNCTION("""COMPUTED_VALUE"""),"MINI TOWER CPU CASING BLACK")</f>
        <v>MINI TOWER CPU CASING BLACK</v>
      </c>
      <c r="E854" s="196" t="str">
        <f>IFERROR(__xludf.DUMMYFUNCTION("""COMPUTED_VALUE"""),"REPLACEMENT OF DEFECTIVE CPU CASINGSTOCK IN MATMAN")</f>
        <v>REPLACEMENT OF DEFECTIVE CPU CASINGSTOCK IN MATMAN</v>
      </c>
    </row>
    <row r="855">
      <c r="A855" s="234">
        <f>IFERROR(__xludf.DUMMYFUNCTION("""COMPUTED_VALUE"""),101147.0)</f>
        <v>101147</v>
      </c>
      <c r="B855" s="235" t="str">
        <f>IFERROR(__xludf.DUMMYFUNCTION("""COMPUTED_VALUE"""),"RONALD OBLENO")</f>
        <v>RONALD OBLENO</v>
      </c>
      <c r="C855" s="235" t="str">
        <f>IFERROR(__xludf.DUMMYFUNCTION("""COMPUTED_VALUE"""),"MIS/ICT")</f>
        <v>MIS/ICT</v>
      </c>
      <c r="D855" s="196" t="str">
        <f>IFERROR(__xludf.DUMMYFUNCTION("""COMPUTED_VALUE"""),"HDMI TO VGA ADAPTER")</f>
        <v>HDMI TO VGA ADAPTER</v>
      </c>
      <c r="E855" s="196" t="str">
        <f>IFERROR(__xludf.DUMMYFUNCTION("""COMPUTED_VALUE"""),"REPLACEMENT OF DEFECTIVE ADAPATER STOCK IN MATMAN")</f>
        <v>REPLACEMENT OF DEFECTIVE ADAPATER STOCK IN MATMAN</v>
      </c>
    </row>
    <row r="856">
      <c r="A856" s="234">
        <f>IFERROR(__xludf.DUMMYFUNCTION("""COMPUTED_VALUE"""),101148.0)</f>
        <v>101148</v>
      </c>
      <c r="B856" s="235" t="str">
        <f>IFERROR(__xludf.DUMMYFUNCTION("""COMPUTED_VALUE"""),"RONALD OBLENO")</f>
        <v>RONALD OBLENO</v>
      </c>
      <c r="C856" s="235" t="str">
        <f>IFERROR(__xludf.DUMMYFUNCTION("""COMPUTED_VALUE"""),"MIS/ICT")</f>
        <v>MIS/ICT</v>
      </c>
      <c r="D856" s="196" t="str">
        <f>IFERROR(__xludf.DUMMYFUNCTION("""COMPUTED_VALUE"""),"LED MONITOR 19 INCH")</f>
        <v>LED MONITOR 19 INCH</v>
      </c>
      <c r="E856" s="196" t="str">
        <f>IFERROR(__xludf.DUMMYFUNCTION("""COMPUTED_VALUE"""),"MOBILE MONITOR STOCK IN MATMAN")</f>
        <v>MOBILE MONITOR STOCK IN MATMAN</v>
      </c>
    </row>
    <row r="857">
      <c r="A857" s="234">
        <f>IFERROR(__xludf.DUMMYFUNCTION("""COMPUTED_VALUE"""),101149.0)</f>
        <v>101149</v>
      </c>
      <c r="B857" s="235" t="str">
        <f>IFERROR(__xludf.DUMMYFUNCTION("""COMPUTED_VALUE"""),"RONALD OBLENO")</f>
        <v>RONALD OBLENO</v>
      </c>
      <c r="C857" s="235" t="str">
        <f>IFERROR(__xludf.DUMMYFUNCTION("""COMPUTED_VALUE"""),"MIS/ICT")</f>
        <v>MIS/ICT</v>
      </c>
      <c r="D857" s="196" t="str">
        <f>IFERROR(__xludf.DUMMYFUNCTION("""COMPUTED_VALUE"""),"SUBWOOPER SPEAKER")</f>
        <v>SUBWOOPER SPEAKER</v>
      </c>
      <c r="E857" s="196" t="str">
        <f>IFERROR(__xludf.DUMMYFUNCTION("""COMPUTED_VALUE"""),"REPLACEMENT SPEAKER IN E-CLASSROOM")</f>
        <v>REPLACEMENT SPEAKER IN E-CLASSROOM</v>
      </c>
    </row>
    <row r="858">
      <c r="A858" s="234">
        <f>IFERROR(__xludf.DUMMYFUNCTION("""COMPUTED_VALUE"""),101150.0)</f>
        <v>101150</v>
      </c>
      <c r="B858" s="235" t="str">
        <f>IFERROR(__xludf.DUMMYFUNCTION("""COMPUTED_VALUE"""),"RONALD OBLENO")</f>
        <v>RONALD OBLENO</v>
      </c>
      <c r="C858" s="235" t="str">
        <f>IFERROR(__xludf.DUMMYFUNCTION("""COMPUTED_VALUE"""),"MIS/ICT")</f>
        <v>MIS/ICT</v>
      </c>
      <c r="D858" s="196" t="str">
        <f>IFERROR(__xludf.DUMMYFUNCTION("""COMPUTED_VALUE"""),"MEDIA POINTER CLICKER")</f>
        <v>MEDIA POINTER CLICKER</v>
      </c>
      <c r="E858" s="196" t="str">
        <f>IFERROR(__xludf.DUMMYFUNCTION("""COMPUTED_VALUE"""),"REPLACEMENT OF DEFECTIVE MEDIA POINTER")</f>
        <v>REPLACEMENT OF DEFECTIVE MEDIA POINTER</v>
      </c>
    </row>
    <row r="859">
      <c r="A859" s="234">
        <f>IFERROR(__xludf.DUMMYFUNCTION("""COMPUTED_VALUE"""),101151.0)</f>
        <v>101151</v>
      </c>
      <c r="B859" s="235" t="str">
        <f>IFERROR(__xludf.DUMMYFUNCTION("""COMPUTED_VALUE"""),"OWIE PAR")</f>
        <v>OWIE PAR</v>
      </c>
      <c r="C859" s="235" t="str">
        <f>IFERROR(__xludf.DUMMYFUNCTION("""COMPUTED_VALUE"""),"ENGINEERING")</f>
        <v>ENGINEERING</v>
      </c>
      <c r="D859" s="196" t="str">
        <f>IFERROR(__xludf.DUMMYFUNCTION("""COMPUTED_VALUE"""),"ENZYME BLOCK ")</f>
        <v>ENZYME BLOCK </v>
      </c>
      <c r="E859" s="196" t="str">
        <f>IFERROR(__xludf.DUMMYFUNCTION("""COMPUTED_VALUE"""),"FOR WASTE WATER TO CORRECT 2 PARAMETERS")</f>
        <v>FOR WASTE WATER TO CORRECT 2 PARAMETERS</v>
      </c>
    </row>
    <row r="860">
      <c r="A860" s="234">
        <f>IFERROR(__xludf.DUMMYFUNCTION("""COMPUTED_VALUE"""),101152.0)</f>
        <v>101152</v>
      </c>
      <c r="B860" s="235" t="str">
        <f>IFERROR(__xludf.DUMMYFUNCTION("""COMPUTED_VALUE"""),"K.ANNE GUMATAY")</f>
        <v>K.ANNE GUMATAY</v>
      </c>
      <c r="C860" s="235" t="str">
        <f>IFERROR(__xludf.DUMMYFUNCTION("""COMPUTED_VALUE"""),"HRMD")</f>
        <v>HRMD</v>
      </c>
      <c r="D860" s="196" t="str">
        <f>IFERROR(__xludf.DUMMYFUNCTION("""COMPUTED_VALUE"""),"SPAGHETTI PACK 1KG SAUCE 900G PASTA
CHRISTMAS WRAPPERS")</f>
        <v>SPAGHETTI PACK 1KG SAUCE 900G PASTA
CHRISTMAS WRAPPERS</v>
      </c>
      <c r="E860" s="196" t="str">
        <f>IFERROR(__xludf.DUMMYFUNCTION("""COMPUTED_VALUE"""),"CHRISTMAS PARTY DOOR PRIZE ")</f>
        <v>CHRISTMAS PARTY DOOR PRIZE </v>
      </c>
    </row>
    <row r="861">
      <c r="A861" s="234">
        <f>IFERROR(__xludf.DUMMYFUNCTION("""COMPUTED_VALUE"""),101153.0)</f>
        <v>101153</v>
      </c>
      <c r="B861" s="235" t="str">
        <f>IFERROR(__xludf.DUMMYFUNCTION("""COMPUTED_VALUE"""),"JP RAGOT ")</f>
        <v>JP RAGOT </v>
      </c>
      <c r="C861" s="235" t="str">
        <f>IFERROR(__xludf.DUMMYFUNCTION("""COMPUTED_VALUE"""),"AMD")</f>
        <v>AMD</v>
      </c>
      <c r="D861" s="196" t="str">
        <f>IFERROR(__xludf.DUMMYFUNCTION("""COMPUTED_VALUE"""),"BEST BUY STICKER PAPER ")</f>
        <v>BEST BUY STICKER PAPER </v>
      </c>
      <c r="E861" s="196" t="str">
        <f>IFERROR(__xludf.DUMMYFUNCTION("""COMPUTED_VALUE"""),"TO RETURN BORROWED STICKER PAPER FROM HR USED FOR EMERGENCY BOOKS (YEARBOOK)")</f>
        <v>TO RETURN BORROWED STICKER PAPER FROM HR USED FOR EMERGENCY BOOKS (YEARBOOK)</v>
      </c>
    </row>
    <row r="862">
      <c r="A862" s="234">
        <f>IFERROR(__xludf.DUMMYFUNCTION("""COMPUTED_VALUE"""),101154.0)</f>
        <v>101154</v>
      </c>
      <c r="B862" s="235" t="str">
        <f>IFERROR(__xludf.DUMMYFUNCTION("""COMPUTED_VALUE"""),"DONNA ROSE OCAMPO")</f>
        <v>DONNA ROSE OCAMPO</v>
      </c>
      <c r="C862" s="235" t="str">
        <f>IFERROR(__xludf.DUMMYFUNCTION("""COMPUTED_VALUE"""),"FINANCE &amp; ACCOUNTING")</f>
        <v>FINANCE &amp; ACCOUNTING</v>
      </c>
      <c r="D862" s="196" t="str">
        <f>IFERROR(__xludf.DUMMYFUNCTION("""COMPUTED_VALUE"""),"SISC CHECK VOUCHERS 
J5 #61377
9 1/2 X 11
DCFI DATA COMPUTER FORMS INC
")</f>
        <v>SISC CHECK VOUCHERS 
J5 #61377
9 1/2 X 11
DCFI DATA COMPUTER FORMS INC
</v>
      </c>
      <c r="E862" s="196" t="str">
        <f>IFERROR(__xludf.DUMMYFUNCTION("""COMPUTED_VALUE"""),"CHECK PREPERATION USE")</f>
        <v>CHECK PREPERATION USE</v>
      </c>
    </row>
    <row r="863">
      <c r="A863" s="234">
        <f>IFERROR(__xludf.DUMMYFUNCTION("""COMPUTED_VALUE"""),101155.0)</f>
        <v>101155</v>
      </c>
      <c r="B863" s="235" t="str">
        <f>IFERROR(__xludf.DUMMYFUNCTION("""COMPUTED_VALUE"""),"SHEREE ESPINOSA")</f>
        <v>SHEREE ESPINOSA</v>
      </c>
      <c r="C863" s="235" t="str">
        <f>IFERROR(__xludf.DUMMYFUNCTION("""COMPUTED_VALUE"""),"HOUSEKEEPING")</f>
        <v>HOUSEKEEPING</v>
      </c>
      <c r="D863" s="196" t="str">
        <f>IFERROR(__xludf.DUMMYFUNCTION("""COMPUTED_VALUE"""),"BLINDS (COMBI BLINDS) ")</f>
        <v>BLINDS (COMBI BLINDS) </v>
      </c>
      <c r="E863" s="196" t="str">
        <f>IFERROR(__xludf.DUMMYFUNCTION("""COMPUTED_VALUE"""),"additional blinds for bric laboratory room")</f>
        <v>additional blinds for bric laboratory room</v>
      </c>
    </row>
    <row r="864">
      <c r="A864" s="234">
        <f>IFERROR(__xludf.DUMMYFUNCTION("""COMPUTED_VALUE"""),101156.0)</f>
        <v>101156</v>
      </c>
      <c r="B864" s="235" t="str">
        <f>IFERROR(__xludf.DUMMYFUNCTION("""COMPUTED_VALUE"""),"APRIL D. TRAJICO")</f>
        <v>APRIL D. TRAJICO</v>
      </c>
      <c r="C864" s="235" t="str">
        <f>IFERROR(__xludf.DUMMYFUNCTION("""COMPUTED_VALUE"""),"AMD")</f>
        <v>AMD</v>
      </c>
      <c r="D864" s="196" t="str">
        <f>IFERROR(__xludf.DUMMYFUNCTION("""COMPUTED_VALUE"""),"BALLPEN DONG-A MY GEL BLACK 0.5 
RIBBON, INK CARTRIDGE 
CE-315150(SINGLE COLOR)")</f>
        <v>BALLPEN DONG-A MY GEL BLACK 0.5 
RIBBON, INK CARTRIDGE 
CE-315150(SINGLE COLOR)</v>
      </c>
      <c r="E864" s="196" t="str">
        <f>IFERROR(__xludf.DUMMYFUNCTION("""COMPUTED_VALUE"""),"STOCK REPLENISHMENT - OSSUP")</f>
        <v>STOCK REPLENISHMENT - OSSUP</v>
      </c>
    </row>
    <row r="865">
      <c r="A865" s="234">
        <f>IFERROR(__xludf.DUMMYFUNCTION("""COMPUTED_VALUE"""),101157.0)</f>
        <v>101157</v>
      </c>
      <c r="B865" s="235" t="str">
        <f>IFERROR(__xludf.DUMMYFUNCTION("""COMPUTED_VALUE"""),"APRIL D. TRAJICO")</f>
        <v>APRIL D. TRAJICO</v>
      </c>
      <c r="C865" s="235" t="str">
        <f>IFERROR(__xludf.DUMMYFUNCTION("""COMPUTED_VALUE"""),"AMD")</f>
        <v>AMD</v>
      </c>
      <c r="D865" s="196" t="str">
        <f>IFERROR(__xludf.DUMMYFUNCTION("""COMPUTED_VALUE"""),"CLIP BINDER JOY 3/4 CORRECTION,TAPE,JOY
ENVELOPE BROWN LONG FASTENER PLASTIC COATED PRINCE 
PAPER CARBON PAPER SHORT")</f>
        <v>CLIP BINDER JOY 3/4 CORRECTION,TAPE,JOY
ENVELOPE BROWN LONG FASTENER PLASTIC COATED PRINCE 
PAPER CARBON PAPER SHORT</v>
      </c>
      <c r="E865" s="196" t="str">
        <f>IFERROR(__xludf.DUMMYFUNCTION("""COMPUTED_VALUE"""),"STOCK REPLENISHMENT - OSSUP")</f>
        <v>STOCK REPLENISHMENT - OSSUP</v>
      </c>
    </row>
    <row r="866">
      <c r="A866" s="234">
        <f>IFERROR(__xludf.DUMMYFUNCTION("""COMPUTED_VALUE"""),101158.0)</f>
        <v>101158</v>
      </c>
      <c r="B866" s="235" t="str">
        <f>IFERROR(__xludf.DUMMYFUNCTION("""COMPUTED_VALUE"""),"APRIL D. TRAJICO")</f>
        <v>APRIL D. TRAJICO</v>
      </c>
      <c r="C866" s="235" t="str">
        <f>IFERROR(__xludf.DUMMYFUNCTION("""COMPUTED_VALUE"""),"AMD")</f>
        <v>AMD</v>
      </c>
      <c r="D866" s="196" t="str">
        <f>IFERROR(__xludf.DUMMYFUNCTION("""COMPUTED_VALUE"""),"PAPER COPY -LASER SUB 20 LONG WHITE
PAPER COPY LASER SUB 20 SHORT WHITE
PAPER COPY LASER A4 WHITE")</f>
        <v>PAPER COPY -LASER SUB 20 LONG WHITE
PAPER COPY LASER SUB 20 SHORT WHITE
PAPER COPY LASER A4 WHITE</v>
      </c>
      <c r="E866" s="196" t="str">
        <f>IFERROR(__xludf.DUMMYFUNCTION("""COMPUTED_VALUE"""),"STOCK REPLENISHMENT - OSSUP")</f>
        <v>STOCK REPLENISHMENT - OSSUP</v>
      </c>
    </row>
    <row r="867">
      <c r="A867" s="234">
        <f>IFERROR(__xludf.DUMMYFUNCTION("""COMPUTED_VALUE"""),101159.0)</f>
        <v>101159</v>
      </c>
      <c r="B867" s="235" t="str">
        <f>IFERROR(__xludf.DUMMYFUNCTION("""COMPUTED_VALUE"""),"APRIL D. TRAJICO")</f>
        <v>APRIL D. TRAJICO</v>
      </c>
      <c r="C867" s="235" t="str">
        <f>IFERROR(__xludf.DUMMYFUNCTION("""COMPUTED_VALUE"""),"AMD")</f>
        <v>AMD</v>
      </c>
      <c r="D867" s="196" t="str">
        <f>IFERROR(__xludf.DUMMYFUNCTION("""COMPUTED_VALUE"""),"TONER CARTRIDGE INKONVERT LBP6000 85A
TONER CARTRIDGE INKONVERT TN660 FOR BROTHER HL-L2300D")</f>
        <v>TONER CARTRIDGE INKONVERT LBP6000 85A
TONER CARTRIDGE INKONVERT TN660 FOR BROTHER HL-L2300D</v>
      </c>
      <c r="E867" s="196" t="str">
        <f>IFERROR(__xludf.DUMMYFUNCTION("""COMPUTED_VALUE"""),"STOCK REPLENISHMENT - OSSUP")</f>
        <v>STOCK REPLENISHMENT - OSSUP</v>
      </c>
    </row>
    <row r="868">
      <c r="A868" s="234">
        <f>IFERROR(__xludf.DUMMYFUNCTION("""COMPUTED_VALUE"""),101160.0)</f>
        <v>101160</v>
      </c>
      <c r="B868" s="235" t="str">
        <f>IFERROR(__xludf.DUMMYFUNCTION("""COMPUTED_VALUE"""),"OWIE PAR")</f>
        <v>OWIE PAR</v>
      </c>
      <c r="C868" s="235" t="str">
        <f>IFERROR(__xludf.DUMMYFUNCTION("""COMPUTED_VALUE"""),"ENGINEERING")</f>
        <v>ENGINEERING</v>
      </c>
      <c r="D868" s="196" t="str">
        <f>IFERROR(__xludf.DUMMYFUNCTION("""COMPUTED_VALUE"""),"THHN # 3.5MM PVC ELBOW 1/2
PVC PIPE 1/2")</f>
        <v>THHN # 3.5MM PVC ELBOW 1/2
PVC PIPE 1/2</v>
      </c>
      <c r="E868" s="196" t="str">
        <f>IFERROR(__xludf.DUMMYFUNCTION("""COMPUTED_VALUE"""),"REWIRING OF SISC SIGNATURE COR TROPICAL MUNICH (SOCCER FIELD)")</f>
        <v>REWIRING OF SISC SIGNATURE COR TROPICAL MUNICH (SOCCER FIELD)</v>
      </c>
    </row>
    <row r="869">
      <c r="A869" s="234">
        <f>IFERROR(__xludf.DUMMYFUNCTION("""COMPUTED_VALUE"""),101161.0)</f>
        <v>101161</v>
      </c>
      <c r="B869" s="235" t="str">
        <f>IFERROR(__xludf.DUMMYFUNCTION("""COMPUTED_VALUE"""),"ADRIAN DE GUINTO")</f>
        <v>ADRIAN DE GUINTO</v>
      </c>
      <c r="C869" s="235" t="str">
        <f>IFERROR(__xludf.DUMMYFUNCTION("""COMPUTED_VALUE"""),"PR &amp; MARKETING")</f>
        <v>PR &amp; MARKETING</v>
      </c>
      <c r="D869" s="196" t="str">
        <f>IFERROR(__xludf.DUMMYFUNCTION("""COMPUTED_VALUE"""),"SOLID CAREER TARP 6.5X13.5FT WITH EYLET W/ SEAMING ALL OVER 1PC")</f>
        <v>SOLID CAREER TARP 6.5X13.5FT WITH EYLET W/ SEAMING ALL OVER 1PC</v>
      </c>
      <c r="E869" s="196" t="str">
        <f>IFERROR(__xludf.DUMMYFUNCTION("""COMPUTED_VALUE"""),"FOR MARKETING ADVERTISEMENT")</f>
        <v>FOR MARKETING ADVERTISEMENT</v>
      </c>
    </row>
    <row r="870">
      <c r="A870" s="234">
        <f>IFERROR(__xludf.DUMMYFUNCTION("""COMPUTED_VALUE"""),101162.0)</f>
        <v>101162</v>
      </c>
      <c r="B870" s="235" t="str">
        <f>IFERROR(__xludf.DUMMYFUNCTION("""COMPUTED_VALUE"""),"paul arana")</f>
        <v>paul arana</v>
      </c>
      <c r="C870" s="235" t="str">
        <f>IFERROR(__xludf.DUMMYFUNCTION("""COMPUTED_VALUE"""),"AV/MIS")</f>
        <v>AV/MIS</v>
      </c>
      <c r="D870" s="196" t="str">
        <f>IFERROR(__xludf.DUMMYFUNCTION("""COMPUTED_VALUE"""),"led dell monitor model:d1918h 18.5 1 unit")</f>
        <v>led dell monitor model:d1918h 18.5 1 unit</v>
      </c>
      <c r="E870" s="196" t="str">
        <f>IFERROR(__xludf.DUMMYFUNCTION("""COMPUTED_VALUE"""),"for nsk college classroom")</f>
        <v>for nsk college classroom</v>
      </c>
    </row>
    <row r="871">
      <c r="A871" s="234">
        <f>IFERROR(__xludf.DUMMYFUNCTION("""COMPUTED_VALUE"""),101163.0)</f>
        <v>101163</v>
      </c>
      <c r="B871" s="235" t="str">
        <f>IFERROR(__xludf.DUMMYFUNCTION("""COMPUTED_VALUE"""),"Clarissa Soriao")</f>
        <v>Clarissa Soriao</v>
      </c>
      <c r="C871" s="235" t="str">
        <f>IFERROR(__xludf.DUMMYFUNCTION("""COMPUTED_VALUE"""),"HRMD")</f>
        <v>HRMD</v>
      </c>
      <c r="D871" s="196" t="str">
        <f>IFERROR(__xludf.DUMMYFUNCTION("""COMPUTED_VALUE"""),"Flower Wreath ")</f>
        <v>Flower Wreath </v>
      </c>
      <c r="E871" s="196" t="str">
        <f>IFERROR(__xludf.DUMMYFUNCTION("""COMPUTED_VALUE"""),"bereavement assistance")</f>
        <v>bereavement assistance</v>
      </c>
    </row>
    <row r="872">
      <c r="A872" s="234">
        <f>IFERROR(__xludf.DUMMYFUNCTION("""COMPUTED_VALUE"""),101164.0)</f>
        <v>101164</v>
      </c>
      <c r="B872" s="235" t="str">
        <f>IFERROR(__xludf.DUMMYFUNCTION("""COMPUTED_VALUE"""),"CARLITO DELA VEGA")</f>
        <v>CARLITO DELA VEGA</v>
      </c>
      <c r="C872" s="235" t="str">
        <f>IFERROR(__xludf.DUMMYFUNCTION("""COMPUTED_VALUE"""),"ADMIN")</f>
        <v>ADMIN</v>
      </c>
      <c r="D872" s="196" t="str">
        <f>IFERROR(__xludf.DUMMYFUNCTION("""COMPUTED_VALUE"""),"FLEXSIBLE PIPE 1/2
THHN #10")</f>
        <v>FLEXSIBLE PIPE 1/2
THHN #10</v>
      </c>
      <c r="E872" s="196" t="str">
        <f>IFERROR(__xludf.DUMMYFUNCTION("""COMPUTED_VALUE"""),"TROPICAL VACANT LOT ELECTRICAL ")</f>
        <v>TROPICAL VACANT LOT ELECTRICAL </v>
      </c>
    </row>
    <row r="873">
      <c r="A873" s="234">
        <f>IFERROR(__xludf.DUMMYFUNCTION("""COMPUTED_VALUE"""),101165.0)</f>
        <v>101165</v>
      </c>
      <c r="B873" s="235" t="str">
        <f>IFERROR(__xludf.DUMMYFUNCTION("""COMPUTED_VALUE"""),"SHEREE ESPINOSA")</f>
        <v>SHEREE ESPINOSA</v>
      </c>
      <c r="C873" s="235" t="str">
        <f>IFERROR(__xludf.DUMMYFUNCTION("""COMPUTED_VALUE"""),"HOUSEKEEPING")</f>
        <v>HOUSEKEEPING</v>
      </c>
      <c r="D873" s="196" t="str">
        <f>IFERROR(__xludf.DUMMYFUNCTION("""COMPUTED_VALUE"""),"TABLE RUNNER 
PURPLE
ASSORTED COLOR")</f>
        <v>TABLE RUNNER 
PURPLE
ASSORTED COLOR</v>
      </c>
      <c r="E873" s="196" t="str">
        <f>IFERROR(__xludf.DUMMYFUNCTION("""COMPUTED_VALUE"""),"FOR PACUCOA VISIT (TABLE USE FOR EXHIBIT)")</f>
        <v>FOR PACUCOA VISIT (TABLE USE FOR EXHIBIT)</v>
      </c>
    </row>
    <row r="874">
      <c r="A874" s="234">
        <f>IFERROR(__xludf.DUMMYFUNCTION("""COMPUTED_VALUE"""),101166.0)</f>
        <v>101166</v>
      </c>
      <c r="B874" s="235" t="str">
        <f>IFERROR(__xludf.DUMMYFUNCTION("""COMPUTED_VALUE"""),"SHEREE ESPINOSA")</f>
        <v>SHEREE ESPINOSA</v>
      </c>
      <c r="C874" s="235" t="str">
        <f>IFERROR(__xludf.DUMMYFUNCTION("""COMPUTED_VALUE"""),"HOUSEKEEPING")</f>
        <v>HOUSEKEEPING</v>
      </c>
      <c r="D874" s="196" t="str">
        <f>IFERROR(__xludf.DUMMYFUNCTION("""COMPUTED_VALUE"""),"MISSION-VISSION 1X1-5
MISSION-VISSION 2X2.5
MISSION-VISSION 2X3 FT
SITE DEV'T PLAN 2X3 FT
SITE DEV'T PLAN 1X1-5 FT
ORGCHART 30X89
5CS STICKER TARP 47X62.5
BLDG. DIRECTORY")</f>
        <v>MISSION-VISSION 1X1-5
MISSION-VISSION 2X2.5
MISSION-VISSION 2X3 FT
SITE DEV'T PLAN 2X3 FT
SITE DEV'T PLAN 1X1-5 FT
ORGCHART 30X89
5CS STICKER TARP 47X62.5
BLDG. DIRECTORY</v>
      </c>
      <c r="E874" s="196" t="str">
        <f>IFERROR(__xludf.DUMMYFUNCTION("""COMPUTED_VALUE"""),"TARP FOR PACUCOA")</f>
        <v>TARP FOR PACUCOA</v>
      </c>
    </row>
    <row r="875">
      <c r="A875" s="234">
        <f>IFERROR(__xludf.DUMMYFUNCTION("""COMPUTED_VALUE"""),101167.0)</f>
        <v>101167</v>
      </c>
      <c r="B875" s="235" t="str">
        <f>IFERROR(__xludf.DUMMYFUNCTION("""COMPUTED_VALUE"""),"OWIE PAR")</f>
        <v>OWIE PAR</v>
      </c>
      <c r="C875" s="235" t="str">
        <f>IFERROR(__xludf.DUMMYFUNCTION("""COMPUTED_VALUE"""),"ADMIN")</f>
        <v>ADMIN</v>
      </c>
      <c r="D875" s="196" t="str">
        <f>IFERROR(__xludf.DUMMYFUNCTION("""COMPUTED_VALUE"""),"2.5 HP DAIKIN D-SMART SERIES
")</f>
        <v>2.5 HP DAIKIN D-SMART SERIES
</v>
      </c>
      <c r="E875" s="196" t="str">
        <f>IFERROR(__xludf.DUMMYFUNCTION("""COMPUTED_VALUE"""),"FOR MONARCH GYM ATHLECTIC ROOM")</f>
        <v>FOR MONARCH GYM ATHLECTIC ROOM</v>
      </c>
    </row>
    <row r="876">
      <c r="A876" s="234">
        <f>IFERROR(__xludf.DUMMYFUNCTION("""COMPUTED_VALUE"""),101168.0)</f>
        <v>101168</v>
      </c>
      <c r="B876" s="235" t="str">
        <f>IFERROR(__xludf.DUMMYFUNCTION("""COMPUTED_VALUE"""),"BELOY LEOPOLDO")</f>
        <v>BELOY LEOPOLDO</v>
      </c>
      <c r="C876" s="235" t="str">
        <f>IFERROR(__xludf.DUMMYFUNCTION("""COMPUTED_VALUE"""),"ADMIN")</f>
        <v>ADMIN</v>
      </c>
      <c r="D876" s="196" t="str">
        <f>IFERROR(__xludf.DUMMYFUNCTION("""COMPUTED_VALUE"""),"AUDIO MIXER")</f>
        <v>AUDIO MIXER</v>
      </c>
      <c r="E876" s="196" t="str">
        <f>IFERROR(__xludf.DUMMYFUNCTION("""COMPUTED_VALUE"""),"MIXER FOR REPLACEMENT")</f>
        <v>MIXER FOR REPLACEMENT</v>
      </c>
    </row>
    <row r="877">
      <c r="A877" s="234">
        <f>IFERROR(__xludf.DUMMYFUNCTION("""COMPUTED_VALUE"""),101169.0)</f>
        <v>101169</v>
      </c>
      <c r="B877" s="235" t="str">
        <f>IFERROR(__xludf.DUMMYFUNCTION("""COMPUTED_VALUE"""),"SHEREE ESPINOSA")</f>
        <v>SHEREE ESPINOSA</v>
      </c>
      <c r="C877" s="235" t="str">
        <f>IFERROR(__xludf.DUMMYFUNCTION("""COMPUTED_VALUE"""),"HOUSEKEEPING")</f>
        <v>HOUSEKEEPING</v>
      </c>
      <c r="D877" s="196" t="str">
        <f>IFERROR(__xludf.DUMMYFUNCTION("""COMPUTED_VALUE"""),"EAG;E 2 GANG OUTLET 
EAGLE PLUG
ABC TILEGROUT
2X2X8 S4S
1X2X10
MARINE PLYWOOD")</f>
        <v>EAG;E 2 GANG OUTLET 
EAGLE PLUG
ABC TILEGROUT
2X2X8 S4S
1X2X10
MARINE PLYWOOD</v>
      </c>
      <c r="E877" s="196" t="str">
        <f>IFERROR(__xludf.DUMMYFUNCTION("""COMPUTED_VALUE"""),"FOR PACUCOA VISIT ")</f>
        <v>FOR PACUCOA VISIT </v>
      </c>
    </row>
    <row r="878">
      <c r="A878" s="234">
        <f>IFERROR(__xludf.DUMMYFUNCTION("""COMPUTED_VALUE"""),101170.0)</f>
        <v>101170</v>
      </c>
      <c r="B878" s="235" t="str">
        <f>IFERROR(__xludf.DUMMYFUNCTION("""COMPUTED_VALUE"""),"BELOY LEOPOLDO")</f>
        <v>BELOY LEOPOLDO</v>
      </c>
      <c r="C878" s="235" t="str">
        <f>IFERROR(__xludf.DUMMYFUNCTION("""COMPUTED_VALUE"""),"HOUSEKEEPING")</f>
        <v>HOUSEKEEPING</v>
      </c>
      <c r="D878" s="196" t="str">
        <f>IFERROR(__xludf.DUMMYFUNCTION("""COMPUTED_VALUE"""),"AUDIO MIXER CHANNELS")</f>
        <v>AUDIO MIXER CHANNELS</v>
      </c>
      <c r="E878" s="196" t="str">
        <f>IFERROR(__xludf.DUMMYFUNCTION("""COMPUTED_VALUE"""),"MIXER FOR THE FARM")</f>
        <v>MIXER FOR THE FARM</v>
      </c>
    </row>
    <row r="879">
      <c r="A879" s="234">
        <f>IFERROR(__xludf.DUMMYFUNCTION("""COMPUTED_VALUE"""),101171.0)</f>
        <v>101171</v>
      </c>
      <c r="B879" s="235" t="str">
        <f>IFERROR(__xludf.DUMMYFUNCTION("""COMPUTED_VALUE"""),"MELISSA NAVAL ODONO")</f>
        <v>MELISSA NAVAL ODONO</v>
      </c>
      <c r="C879" s="235" t="str">
        <f>IFERROR(__xludf.DUMMYFUNCTION("""COMPUTED_VALUE"""),"LIBRARY MUNICH")</f>
        <v>LIBRARY MUNICH</v>
      </c>
      <c r="D879" s="196" t="str">
        <f>IFERROR(__xludf.DUMMYFUNCTION("""COMPUTED_VALUE"""),"A. SRA READING LABORATORY NEW EDITION ")</f>
        <v>A. SRA READING LABORATORY NEW EDITION </v>
      </c>
      <c r="E879" s="196" t="str">
        <f>IFERROR(__xludf.DUMMYFUNCTION("""COMPUTED_VALUE"""),"FOR LIBRARY COPY")</f>
        <v>FOR LIBRARY COPY</v>
      </c>
    </row>
    <row r="880">
      <c r="A880" s="234">
        <f>IFERROR(__xludf.DUMMYFUNCTION("""COMPUTED_VALUE"""),101172.0)</f>
        <v>101172</v>
      </c>
      <c r="B880" s="235" t="str">
        <f>IFERROR(__xludf.DUMMYFUNCTION("""COMPUTED_VALUE"""),"SHEREE ESPINOSA")</f>
        <v>SHEREE ESPINOSA</v>
      </c>
      <c r="C880" s="235" t="str">
        <f>IFERROR(__xludf.DUMMYFUNCTION("""COMPUTED_VALUE"""),"HOUSEKEEPING")</f>
        <v>HOUSEKEEPING</v>
      </c>
      <c r="D880" s="196" t="str">
        <f>IFERROR(__xludf.DUMMYFUNCTION("""COMPUTED_VALUE"""),"ACOUSTIC BOARD 2X4
FINE FIXTURE")</f>
        <v>ACOUSTIC BOARD 2X4
FINE FIXTURE</v>
      </c>
      <c r="E880" s="196" t="str">
        <f>IFERROR(__xludf.DUMMYFUNCTION("""COMPUTED_VALUE"""),"FOR 5 STAR AUDIT")</f>
        <v>FOR 5 STAR AUDIT</v>
      </c>
    </row>
    <row r="881">
      <c r="A881" s="234">
        <f>IFERROR(__xludf.DUMMYFUNCTION("""COMPUTED_VALUE"""),101173.0)</f>
        <v>101173</v>
      </c>
      <c r="B881" s="235" t="str">
        <f>IFERROR(__xludf.DUMMYFUNCTION("""COMPUTED_VALUE"""),"RONALDO VERDE")</f>
        <v>RONALDO VERDE</v>
      </c>
      <c r="C881" s="235" t="str">
        <f>IFERROR(__xludf.DUMMYFUNCTION("""COMPUTED_VALUE"""),"TRANSPORTATION")</f>
        <v>TRANSPORTATION</v>
      </c>
      <c r="D881" s="196" t="str">
        <f>IFERROR(__xludf.DUMMYFUNCTION("""COMPUTED_VALUE"""),"YOKOHAMA TIRES")</f>
        <v>YOKOHAMA TIRES</v>
      </c>
      <c r="E881" s="196" t="str">
        <f>IFERROR(__xludf.DUMMYFUNCTION("""COMPUTED_VALUE"""),"TIRES FOR SISC VIOS (SERVICE OF MS BENG)")</f>
        <v>TIRES FOR SISC VIOS (SERVICE OF MS BENG)</v>
      </c>
    </row>
    <row r="882">
      <c r="A882" s="234">
        <f>IFERROR(__xludf.DUMMYFUNCTION("""COMPUTED_VALUE"""),101174.0)</f>
        <v>101174</v>
      </c>
      <c r="B882" s="235" t="str">
        <f>IFERROR(__xludf.DUMMYFUNCTION("""COMPUTED_VALUE"""),"SHEREE ESPINOSA")</f>
        <v>SHEREE ESPINOSA</v>
      </c>
      <c r="C882" s="235" t="str">
        <f>IFERROR(__xludf.DUMMYFUNCTION("""COMPUTED_VALUE"""),"HOUSEKEEPING")</f>
        <v>HOUSEKEEPING</v>
      </c>
      <c r="D882" s="196" t="str">
        <f>IFERROR(__xludf.DUMMYFUNCTION("""COMPUTED_VALUE"""),"SANTA CLAUS DECORS")</f>
        <v>SANTA CLAUS DECORS</v>
      </c>
      <c r="E882" s="196" t="str">
        <f>IFERROR(__xludf.DUMMYFUNCTION("""COMPUTED_VALUE"""),"CHRISTMAS DECORS FOR LUX,COLLEGE,TROPICAL,MUNICH &amp; STAR CAMPUS")</f>
        <v>CHRISTMAS DECORS FOR LUX,COLLEGE,TROPICAL,MUNICH &amp; STAR CAMPUS</v>
      </c>
    </row>
    <row r="883">
      <c r="A883" s="234">
        <f>IFERROR(__xludf.DUMMYFUNCTION("""COMPUTED_VALUE"""),101175.0)</f>
        <v>101175</v>
      </c>
      <c r="B883" s="235" t="str">
        <f>IFERROR(__xludf.DUMMYFUNCTION("""COMPUTED_VALUE"""),"SHEREE ESPINOSA")</f>
        <v>SHEREE ESPINOSA</v>
      </c>
      <c r="C883" s="235" t="str">
        <f>IFERROR(__xludf.DUMMYFUNCTION("""COMPUTED_VALUE"""),"HOUSEKEEPING")</f>
        <v>HOUSEKEEPING</v>
      </c>
      <c r="D883" s="196" t="str">
        <f>IFERROR(__xludf.DUMMYFUNCTION("""COMPUTED_VALUE"""),"3 PCS STICKER ON SINTRA
INTERFAITH AND PRAYER ROOM
BRIC 1
BRIC 2")</f>
        <v>3 PCS STICKER ON SINTRA
INTERFAITH AND PRAYER ROOM
BRIC 1
BRIC 2</v>
      </c>
      <c r="E883" s="196" t="str">
        <f>IFERROR(__xludf.DUMMYFUNCTION("""COMPUTED_VALUE"""),"TEMPORARY SIGNAGEFOR PRAYER ROOM AND BRIC ROOM 1 AND 2")</f>
        <v>TEMPORARY SIGNAGEFOR PRAYER ROOM AND BRIC ROOM 1 AND 2</v>
      </c>
    </row>
    <row r="884">
      <c r="A884" s="234">
        <f>IFERROR(__xludf.DUMMYFUNCTION("""COMPUTED_VALUE"""),101176.0)</f>
        <v>101176</v>
      </c>
      <c r="B884" s="235" t="str">
        <f>IFERROR(__xludf.DUMMYFUNCTION("""COMPUTED_VALUE"""),"AVIC SUAREZ")</f>
        <v>AVIC SUAREZ</v>
      </c>
      <c r="C884" s="235" t="str">
        <f>IFERROR(__xludf.DUMMYFUNCTION("""COMPUTED_VALUE"""),"PRINCIPAL'S OFFICE")</f>
        <v>PRINCIPAL'S OFFICE</v>
      </c>
      <c r="D884" s="196" t="str">
        <f>IFERROR(__xludf.DUMMYFUNCTION("""COMPUTED_VALUE"""),"SPORTS JACKET
S-QTY 5
M-QTY 10
LQ-TY 1
XLQ-TY5
2XL-QTY 6
3XL-QTY 4")</f>
        <v>SPORTS JACKET
S-QTY 5
M-QTY 10
LQ-TY 1
XLQ-TY5
2XL-QTY 6
3XL-QTY 4</v>
      </c>
      <c r="E884" s="196" t="str">
        <f>IFERROR(__xludf.DUMMYFUNCTION("""COMPUTED_VALUE"""),"REPLACEMENT OF THE JACKET FROM THE STUFFSHOP")</f>
        <v>REPLACEMENT OF THE JACKET FROM THE STUFFSHOP</v>
      </c>
    </row>
    <row r="885">
      <c r="A885" s="234">
        <f>IFERROR(__xludf.DUMMYFUNCTION("""COMPUTED_VALUE"""),101177.0)</f>
        <v>101177</v>
      </c>
      <c r="B885" s="235" t="str">
        <f>IFERROR(__xludf.DUMMYFUNCTION("""COMPUTED_VALUE"""),"SHEREE ESPINOSA")</f>
        <v>SHEREE ESPINOSA</v>
      </c>
      <c r="C885" s="235" t="str">
        <f>IFERROR(__xludf.DUMMYFUNCTION("""COMPUTED_VALUE"""),"HOUSEKEEPING")</f>
        <v>HOUSEKEEPING</v>
      </c>
      <c r="D885" s="196" t="str">
        <f>IFERROR(__xludf.DUMMYFUNCTION("""COMPUTED_VALUE"""),"CHRISTMAS PAROL")</f>
        <v>CHRISTMAS PAROL</v>
      </c>
      <c r="E885" s="196" t="str">
        <f>IFERROR(__xludf.DUMMYFUNCTION("""COMPUTED_VALUE"""),"ADDITIONAL CHRISTMAS DECOR COLLEGE")</f>
        <v>ADDITIONAL CHRISTMAS DECOR COLLEGE</v>
      </c>
    </row>
    <row r="886">
      <c r="A886" s="234">
        <f>IFERROR(__xludf.DUMMYFUNCTION("""COMPUTED_VALUE"""),101178.0)</f>
        <v>101178</v>
      </c>
      <c r="B886" s="235" t="str">
        <f>IFERROR(__xludf.DUMMYFUNCTION("""COMPUTED_VALUE"""),"ALFA PHEN")</f>
        <v>ALFA PHEN</v>
      </c>
      <c r="C886" s="235" t="str">
        <f>IFERROR(__xludf.DUMMYFUNCTION("""COMPUTED_VALUE"""),"ADMIN - MUNICH")</f>
        <v>ADMIN - MUNICH</v>
      </c>
      <c r="D886" s="196" t="str">
        <f>IFERROR(__xludf.DUMMYFUNCTION("""COMPUTED_VALUE"""),"REPAINTING OF TRASH BIN MUNICH 
STAR CAMPUS")</f>
        <v>REPAINTING OF TRASH BIN MUNICH 
STAR CAMPUS</v>
      </c>
      <c r="E886" s="196" t="str">
        <f>IFERROR(__xludf.DUMMYFUNCTION("""COMPUTED_VALUE"""),"REPAINTING")</f>
        <v>REPAINTING</v>
      </c>
    </row>
    <row r="887">
      <c r="A887" s="234">
        <f>IFERROR(__xludf.DUMMYFUNCTION("""COMPUTED_VALUE"""),101179.0)</f>
        <v>101179</v>
      </c>
      <c r="B887" s="235" t="str">
        <f>IFERROR(__xludf.DUMMYFUNCTION("""COMPUTED_VALUE"""),"FEROL SAMANTHA ")</f>
        <v>FEROL SAMANTHA </v>
      </c>
      <c r="C887" s="235" t="str">
        <f>IFERROR(__xludf.DUMMYFUNCTION("""COMPUTED_VALUE"""),"LIBRARY COLLEGE")</f>
        <v>LIBRARY COLLEGE</v>
      </c>
      <c r="D887" s="196" t="str">
        <f>IFERROR(__xludf.DUMMYFUNCTION("""COMPUTED_VALUE"""),"LOGIC THE ART OF DEFINING &amp; REASONING")</f>
        <v>LOGIC THE ART OF DEFINING &amp; REASONING</v>
      </c>
      <c r="E887" s="196" t="str">
        <f>IFERROR(__xludf.DUMMYFUNCTION("""COMPUTED_VALUE"""),"BOOKS ACQUISITION COMPLIANCE TO PACUCOA REQUIRMENT")</f>
        <v>BOOKS ACQUISITION COMPLIANCE TO PACUCOA REQUIRMENT</v>
      </c>
    </row>
    <row r="888">
      <c r="A888" s="234">
        <f>IFERROR(__xludf.DUMMYFUNCTION("""COMPUTED_VALUE"""),101180.0)</f>
        <v>101180</v>
      </c>
      <c r="B888" s="235" t="str">
        <f>IFERROR(__xludf.DUMMYFUNCTION("""COMPUTED_VALUE"""),"CHRISTIAN MARK MARBIBI")</f>
        <v>CHRISTIAN MARK MARBIBI</v>
      </c>
      <c r="C888" s="235" t="str">
        <f>IFERROR(__xludf.DUMMYFUNCTION("""COMPUTED_VALUE"""),"HOUSEKEEPING")</f>
        <v>HOUSEKEEPING</v>
      </c>
      <c r="D888" s="196" t="str">
        <f>IFERROR(__xludf.DUMMYFUNCTION("""COMPUTED_VALUE"""),"POLISHER HEAD WITH BRUSH, 16"" BLACK")</f>
        <v>POLISHER HEAD WITH BRUSH, 16" BLACK</v>
      </c>
      <c r="E888" s="196" t="str">
        <f>IFERROR(__xludf.DUMMYFUNCTION("""COMPUTED_VALUE"""),"STOCK REPLENISHMENT  - HSKPG")</f>
        <v>STOCK REPLENISHMENT  - HSKPG</v>
      </c>
    </row>
    <row r="889">
      <c r="A889" s="234">
        <f>IFERROR(__xludf.DUMMYFUNCTION("""COMPUTED_VALUE"""),101181.0)</f>
        <v>101181</v>
      </c>
      <c r="B889" s="235" t="str">
        <f>IFERROR(__xludf.DUMMYFUNCTION("""COMPUTED_VALUE"""),"JAIREL MARVIN MARASIGAN ")</f>
        <v>JAIREL MARVIN MARASIGAN </v>
      </c>
      <c r="C889" s="235" t="str">
        <f>IFERROR(__xludf.DUMMYFUNCTION("""COMPUTED_VALUE"""),"PR &amp; MARKETING")</f>
        <v>PR &amp; MARKETING</v>
      </c>
      <c r="D889" s="196" t="str">
        <f>IFERROR(__xludf.DUMMYFUNCTION("""COMPUTED_VALUE"""),"PLANNER (ANY COLOR)")</f>
        <v>PLANNER (ANY COLOR)</v>
      </c>
      <c r="E889" s="196" t="str">
        <f>IFERROR(__xludf.DUMMYFUNCTION("""COMPUTED_VALUE"""),"GIVEAWAYS FOR GUIDANCE COUNSELORS OF PRESENTED SCHOOL")</f>
        <v>GIVEAWAYS FOR GUIDANCE COUNSELORS OF PRESENTED SCHOOL</v>
      </c>
    </row>
    <row r="890">
      <c r="A890" s="234">
        <f>IFERROR(__xludf.DUMMYFUNCTION("""COMPUTED_VALUE"""),101182.0)</f>
        <v>101182</v>
      </c>
      <c r="B890" s="235" t="str">
        <f>IFERROR(__xludf.DUMMYFUNCTION("""COMPUTED_VALUE"""),"ALFA DE LEON")</f>
        <v>ALFA DE LEON</v>
      </c>
      <c r="C890" s="235" t="str">
        <f>IFERROR(__xludf.DUMMYFUNCTION("""COMPUTED_VALUE"""),"ADMIN - MUNICH")</f>
        <v>ADMIN - MUNICH</v>
      </c>
      <c r="D890" s="196" t="str">
        <f>IFERROR(__xludf.DUMMYFUNCTION("""COMPUTED_VALUE"""),"POLISHER (WILSON)")</f>
        <v>POLISHER (WILSON)</v>
      </c>
      <c r="E890" s="196" t="str">
        <f>IFERROR(__xludf.DUMMYFUNCTION("""COMPUTED_VALUE"""),"REPLACEMENT OF BROKEN POLISHER")</f>
        <v>REPLACEMENT OF BROKEN POLISHER</v>
      </c>
    </row>
    <row r="891">
      <c r="A891" s="234">
        <f>IFERROR(__xludf.DUMMYFUNCTION("""COMPUTED_VALUE"""),101183.0)</f>
        <v>101183</v>
      </c>
      <c r="B891" s="235" t="str">
        <f>IFERROR(__xludf.DUMMYFUNCTION("""COMPUTED_VALUE"""),"AINA DELA CRUZ")</f>
        <v>AINA DELA CRUZ</v>
      </c>
      <c r="C891" s="235" t="str">
        <f>IFERROR(__xludf.DUMMYFUNCTION("""COMPUTED_VALUE"""),"ADMIN")</f>
        <v>ADMIN</v>
      </c>
      <c r="D891" s="196" t="str">
        <f>IFERROR(__xludf.DUMMYFUNCTION("""COMPUTED_VALUE"""),"GROCERY 300 - ADDITIONAL 15 PEOPLE (FARM)")</f>
        <v>GROCERY 300 - ADDITIONAL 15 PEOPLE (FARM)</v>
      </c>
      <c r="E891" s="196" t="str">
        <f>IFERROR(__xludf.DUMMYFUNCTION("""COMPUTED_VALUE"""),"CHRISTMAS 2019")</f>
        <v>CHRISTMAS 2019</v>
      </c>
    </row>
    <row r="892">
      <c r="A892" s="234">
        <f>IFERROR(__xludf.DUMMYFUNCTION("""COMPUTED_VALUE"""),101184.0)</f>
        <v>101184</v>
      </c>
      <c r="B892" s="235" t="str">
        <f>IFERROR(__xludf.DUMMYFUNCTION("""COMPUTED_VALUE"""),"AINA DELA CRUZ")</f>
        <v>AINA DELA CRUZ</v>
      </c>
      <c r="C892" s="235" t="str">
        <f>IFERROR(__xludf.DUMMYFUNCTION("""COMPUTED_VALUE"""),"ADMIN")</f>
        <v>ADMIN</v>
      </c>
      <c r="D892" s="196" t="str">
        <f>IFERROR(__xludf.DUMMYFUNCTION("""COMPUTED_VALUE"""),"SISC GIFT WRAPPER 200 PCS")</f>
        <v>SISC GIFT WRAPPER 200 PCS</v>
      </c>
      <c r="E892" s="196" t="str">
        <f>IFERROR(__xludf.DUMMYFUNCTION("""COMPUTED_VALUE"""),"CHRISTMAS TOKEN 2019")</f>
        <v>CHRISTMAS TOKEN 2019</v>
      </c>
    </row>
    <row r="893">
      <c r="A893" s="234">
        <f>IFERROR(__xludf.DUMMYFUNCTION("""COMPUTED_VALUE"""),101185.0)</f>
        <v>101185</v>
      </c>
      <c r="B893" s="235" t="str">
        <f>IFERROR(__xludf.DUMMYFUNCTION("""COMPUTED_VALUE"""),"AINA DELA CRUZ")</f>
        <v>AINA DELA CRUZ</v>
      </c>
      <c r="C893" s="235" t="str">
        <f>IFERROR(__xludf.DUMMYFUNCTION("""COMPUTED_VALUE"""),"ADMIN")</f>
        <v>ADMIN</v>
      </c>
      <c r="D893" s="196" t="str">
        <f>IFERROR(__xludf.DUMMYFUNCTION("""COMPUTED_VALUE"""),"CHRISTMAS GIFT CARD 400 PCS")</f>
        <v>CHRISTMAS GIFT CARD 400 PCS</v>
      </c>
      <c r="E893" s="196" t="str">
        <f>IFERROR(__xludf.DUMMYFUNCTION("""COMPUTED_VALUE"""),"CHRISTMAS TOKEN 2019")</f>
        <v>CHRISTMAS TOKEN 2019</v>
      </c>
    </row>
    <row r="894">
      <c r="A894" s="234">
        <f>IFERROR(__xludf.DUMMYFUNCTION("""COMPUTED_VALUE"""),101186.0)</f>
        <v>101186</v>
      </c>
      <c r="B894" s="235" t="str">
        <f>IFERROR(__xludf.DUMMYFUNCTION("""COMPUTED_VALUE"""),"CHRISTIAN ANDRES")</f>
        <v>CHRISTIAN ANDRES</v>
      </c>
      <c r="C894" s="235" t="str">
        <f>IFERROR(__xludf.DUMMYFUNCTION("""COMPUTED_VALUE"""),"PR &amp; MARKETING")</f>
        <v>PR &amp; MARKETING</v>
      </c>
      <c r="D894" s="196" t="str">
        <f>IFERROR(__xludf.DUMMYFUNCTION("""COMPUTED_VALUE"""),"ISAC 3 PEAT CHAMPION
6X9 (7X10 WITH ALLOWANCE)
STANDARD CONGRATULATORY TARP")</f>
        <v>ISAC 3 PEAT CHAMPION
6X9 (7X10 WITH ALLOWANCE)
STANDARD CONGRATULATORY TARP</v>
      </c>
      <c r="E894" s="196" t="str">
        <f>IFERROR(__xludf.DUMMYFUNCTION("""COMPUTED_VALUE"""),"MARKETING")</f>
        <v>MARKETING</v>
      </c>
    </row>
    <row r="895">
      <c r="A895" s="234">
        <f>IFERROR(__xludf.DUMMYFUNCTION("""COMPUTED_VALUE"""),101187.0)</f>
        <v>101187</v>
      </c>
      <c r="B895" s="235" t="str">
        <f>IFERROR(__xludf.DUMMYFUNCTION("""COMPUTED_VALUE"""),"CHRISTIAN ANDRES")</f>
        <v>CHRISTIAN ANDRES</v>
      </c>
      <c r="C895" s="235" t="str">
        <f>IFERROR(__xludf.DUMMYFUNCTION("""COMPUTED_VALUE"""),"PR &amp; MARKETING")</f>
        <v>PR &amp; MARKETING</v>
      </c>
      <c r="D895" s="196" t="str">
        <f>IFERROR(__xludf.DUMMYFUNCTION("""COMPUTED_VALUE"""),"SGEN LEARNING VILLAGE 
LETTER SIZE ")</f>
        <v>SGEN LEARNING VILLAGE 
LETTER SIZE </v>
      </c>
      <c r="E895" s="196" t="str">
        <f>IFERROR(__xludf.DUMMYFUNCTION("""COMPUTED_VALUE"""),"MARKETING")</f>
        <v>MARKETING</v>
      </c>
    </row>
    <row r="896">
      <c r="A896" s="234">
        <f>IFERROR(__xludf.DUMMYFUNCTION("""COMPUTED_VALUE"""),101188.0)</f>
        <v>101188</v>
      </c>
      <c r="B896" s="235" t="str">
        <f>IFERROR(__xludf.DUMMYFUNCTION("""COMPUTED_VALUE"""),"RONALD OBLENO")</f>
        <v>RONALD OBLENO</v>
      </c>
      <c r="C896" s="235" t="str">
        <f>IFERROR(__xludf.DUMMYFUNCTION("""COMPUTED_VALUE"""),"MIS/ICT")</f>
        <v>MIS/ICT</v>
      </c>
      <c r="D896" s="196" t="str">
        <f>IFERROR(__xludf.DUMMYFUNCTION("""COMPUTED_VALUE"""),"TP-LINK TL-WN781ND")</f>
        <v>TP-LINK TL-WN781ND</v>
      </c>
      <c r="E896" s="196" t="str">
        <f>IFERROR(__xludf.DUMMYFUNCTION("""COMPUTED_VALUE"""),"FOR BRIC PRESENTATION BRIC LAB UNIT FOR WIFI CONNECTION")</f>
        <v>FOR BRIC PRESENTATION BRIC LAB UNIT FOR WIFI CONNECTION</v>
      </c>
    </row>
    <row r="897">
      <c r="A897" s="234">
        <f>IFERROR(__xludf.DUMMYFUNCTION("""COMPUTED_VALUE"""),101189.0)</f>
        <v>101189</v>
      </c>
      <c r="B897" s="235" t="str">
        <f>IFERROR(__xludf.DUMMYFUNCTION("""COMPUTED_VALUE"""),"RONALD OBLENO")</f>
        <v>RONALD OBLENO</v>
      </c>
      <c r="C897" s="235" t="str">
        <f>IFERROR(__xludf.DUMMYFUNCTION("""COMPUTED_VALUE"""),"MIS/ICT")</f>
        <v>MIS/ICT</v>
      </c>
      <c r="D897" s="196" t="str">
        <f>IFERROR(__xludf.DUMMYFUNCTION("""COMPUTED_VALUE"""),"RAPOO H120 USB STEREO
RAPOO H100 WIRED STEREO HEADSET
AUDIO LINE 3.5 MM Y SPLITTER 2 MALE TP 1 FEMALE")</f>
        <v>RAPOO H120 USB STEREO
RAPOO H100 WIRED STEREO HEADSET
AUDIO LINE 3.5 MM Y SPLITTER 2 MALE TP 1 FEMALE</v>
      </c>
      <c r="E897" s="196" t="str">
        <f>IFERROR(__xludf.DUMMYFUNCTION("""COMPUTED_VALUE"""),"REPLACEMENT OF DEFECTIVE HEADSET AND STOCK IN ASSET")</f>
        <v>REPLACEMENT OF DEFECTIVE HEADSET AND STOCK IN ASSET</v>
      </c>
    </row>
    <row r="898">
      <c r="A898" s="234">
        <f>IFERROR(__xludf.DUMMYFUNCTION("""COMPUTED_VALUE"""),101190.0)</f>
        <v>101190</v>
      </c>
      <c r="B898" s="235" t="str">
        <f>IFERROR(__xludf.DUMMYFUNCTION("""COMPUTED_VALUE"""),"RONALD OBLENO")</f>
        <v>RONALD OBLENO</v>
      </c>
      <c r="C898" s="235" t="str">
        <f>IFERROR(__xludf.DUMMYFUNCTION("""COMPUTED_VALUE"""),"MIS/ICT")</f>
        <v>MIS/ICT</v>
      </c>
      <c r="D898" s="196" t="str">
        <f>IFERROR(__xludf.DUMMYFUNCTION("""COMPUTED_VALUE"""),"TV STAND MOVABLE ")</f>
        <v>TV STAND MOVABLE </v>
      </c>
      <c r="E898" s="196" t="str">
        <f>IFERROR(__xludf.DUMMYFUNCTION("""COMPUTED_VALUE"""),"FOR BRIC LABORATORY ROOM TV STAND (SMART TV)")</f>
        <v>FOR BRIC LABORATORY ROOM TV STAND (SMART TV)</v>
      </c>
    </row>
    <row r="899">
      <c r="A899" s="234">
        <f>IFERROR(__xludf.DUMMYFUNCTION("""COMPUTED_VALUE"""),101191.0)</f>
        <v>101191</v>
      </c>
      <c r="B899" s="235" t="str">
        <f>IFERROR(__xludf.DUMMYFUNCTION("""COMPUTED_VALUE"""),"RONALD OBLENO")</f>
        <v>RONALD OBLENO</v>
      </c>
      <c r="C899" s="235" t="str">
        <f>IFERROR(__xludf.DUMMYFUNCTION("""COMPUTED_VALUE"""),"MIS/ICT")</f>
        <v>MIS/ICT</v>
      </c>
      <c r="D899" s="196" t="str">
        <f>IFERROR(__xludf.DUMMYFUNCTION("""COMPUTED_VALUE"""),"SAMSUNG SMART TV")</f>
        <v>SAMSUNG SMART TV</v>
      </c>
      <c r="E899" s="196" t="str">
        <f>IFERROR(__xludf.DUMMYFUNCTION("""COMPUTED_VALUE"""),"FOR BRIC LABORATORY ROOM PRESENTATION DISPLAY DEVICE")</f>
        <v>FOR BRIC LABORATORY ROOM PRESENTATION DISPLAY DEVICE</v>
      </c>
    </row>
    <row r="900">
      <c r="A900" s="234">
        <f>IFERROR(__xludf.DUMMYFUNCTION("""COMPUTED_VALUE"""),101192.0)</f>
        <v>101192</v>
      </c>
      <c r="B900" s="235" t="str">
        <f>IFERROR(__xludf.DUMMYFUNCTION("""COMPUTED_VALUE"""),"RONALD OBLENO")</f>
        <v>RONALD OBLENO</v>
      </c>
      <c r="C900" s="235" t="str">
        <f>IFERROR(__xludf.DUMMYFUNCTION("""COMPUTED_VALUE"""),"MIS/ICT")</f>
        <v>MIS/ICT</v>
      </c>
      <c r="D900" s="196" t="str">
        <f>IFERROR(__xludf.DUMMYFUNCTION("""COMPUTED_VALUE"""),"DELL MONITOR 19")</f>
        <v>DELL MONITOR 19</v>
      </c>
      <c r="E900" s="196" t="str">
        <f>IFERROR(__xludf.DUMMYFUNCTION("""COMPUTED_VALUE"""),"REPLACEMENT OF OLD/SMALL SCREEN SIZE OF LCD MONITOR")</f>
        <v>REPLACEMENT OF OLD/SMALL SCREEN SIZE OF LCD MONITOR</v>
      </c>
    </row>
    <row r="901">
      <c r="A901" s="234">
        <f>IFERROR(__xludf.DUMMYFUNCTION("""COMPUTED_VALUE"""),101193.0)</f>
        <v>101193</v>
      </c>
      <c r="B901" s="235" t="str">
        <f>IFERROR(__xludf.DUMMYFUNCTION("""COMPUTED_VALUE"""),"RONALD OBLENO")</f>
        <v>RONALD OBLENO</v>
      </c>
      <c r="C901" s="235" t="str">
        <f>IFERROR(__xludf.DUMMYFUNCTION("""COMPUTED_VALUE"""),"MIS/ICT")</f>
        <v>MIS/ICT</v>
      </c>
      <c r="D901" s="196" t="str">
        <f>IFERROR(__xludf.DUMMYFUNCTION("""COMPUTED_VALUE"""),"GOOGLE CHROMECAST ")</f>
        <v>GOOGLE CHROMECAST </v>
      </c>
      <c r="E901" s="196" t="str">
        <f>IFERROR(__xludf.DUMMYFUNCTION("""COMPUTED_VALUE"""),"FOR DESKTOP MIRRORING ")</f>
        <v>FOR DESKTOP MIRRORING </v>
      </c>
    </row>
    <row r="902">
      <c r="A902" s="234">
        <f>IFERROR(__xludf.DUMMYFUNCTION("""COMPUTED_VALUE"""),101194.0)</f>
        <v>101194</v>
      </c>
      <c r="B902" s="235" t="str">
        <f>IFERROR(__xludf.DUMMYFUNCTION("""COMPUTED_VALUE"""),"ASTRID DE LEON")</f>
        <v>ASTRID DE LEON</v>
      </c>
      <c r="C902" s="235" t="str">
        <f>IFERROR(__xludf.DUMMYFUNCTION("""COMPUTED_VALUE"""),"NURSING")</f>
        <v>NURSING</v>
      </c>
      <c r="D902" s="196" t="str">
        <f>IFERROR(__xludf.DUMMYFUNCTION("""COMPUTED_VALUE"""),"NURSING PINS 
ELSA GREGORIO
C/O JOY ORACION
E16 METAL ENGRAVER")</f>
        <v>NURSING PINS 
ELSA GREGORIO
C/O JOY ORACION
E16 METAL ENGRAVER</v>
      </c>
      <c r="E902" s="196" t="str">
        <f>IFERROR(__xludf.DUMMYFUNCTION("""COMPUTED_VALUE"""),"BSN CANDLELIGHTING CEREMONY")</f>
        <v>BSN CANDLELIGHTING CEREMONY</v>
      </c>
    </row>
    <row r="903">
      <c r="A903" s="234">
        <f>IFERROR(__xludf.DUMMYFUNCTION("""COMPUTED_VALUE"""),101195.0)</f>
        <v>101195</v>
      </c>
      <c r="B903" s="235" t="str">
        <f>IFERROR(__xludf.DUMMYFUNCTION("""COMPUTED_VALUE"""),"TOM TONGOHAN")</f>
        <v>TOM TONGOHAN</v>
      </c>
      <c r="C903" s="235" t="str">
        <f>IFERROR(__xludf.DUMMYFUNCTION("""COMPUTED_VALUE"""),"ADMIN")</f>
        <v>ADMIN</v>
      </c>
      <c r="D903" s="196" t="str">
        <f>IFERROR(__xludf.DUMMYFUNCTION("""COMPUTED_VALUE"""),"PHELP DODGE
2.0MM THHN WIRE
ELECTRICAL TAPE")</f>
        <v>PHELP DODGE
2.0MM THHN WIRE
ELECTRICAL TAPE</v>
      </c>
      <c r="E903" s="196" t="str">
        <f>IFERROR(__xludf.DUMMYFUNCTION("""COMPUTED_VALUE"""),"FOR ADDITIONAL LIGHTING IN CMLC")</f>
        <v>FOR ADDITIONAL LIGHTING IN CMLC</v>
      </c>
    </row>
    <row r="904">
      <c r="A904" s="234">
        <f>IFERROR(__xludf.DUMMYFUNCTION("""COMPUTED_VALUE"""),101196.0)</f>
        <v>101196</v>
      </c>
      <c r="B904" s="235" t="str">
        <f>IFERROR(__xludf.DUMMYFUNCTION("""COMPUTED_VALUE"""),"apollo mance")</f>
        <v>apollo mance</v>
      </c>
      <c r="C904" s="235" t="str">
        <f>IFERROR(__xludf.DUMMYFUNCTION("""COMPUTED_VALUE"""),"ENGINEERING")</f>
        <v>ENGINEERING</v>
      </c>
      <c r="D904" s="196" t="str">
        <f>IFERROR(__xludf.DUMMYFUNCTION("""COMPUTED_VALUE"""),"esl led bulb 8watts dl 50pcs./led tube 16 watts dl 50/ledtube 9 watts dl 50pcs.")</f>
        <v>esl led bulb 8watts dl 50pcs./led tube 16 watts dl 50/ledtube 9 watts dl 50pcs.</v>
      </c>
      <c r="E904" s="196" t="str">
        <f>IFERROR(__xludf.DUMMYFUNCTION("""COMPUTED_VALUE"""),"stocl replenishment")</f>
        <v>stocl replenishment</v>
      </c>
    </row>
    <row r="905">
      <c r="A905" s="234">
        <f>IFERROR(__xludf.DUMMYFUNCTION("""COMPUTED_VALUE"""),101197.0)</f>
        <v>101197</v>
      </c>
      <c r="B905" s="235" t="str">
        <f>IFERROR(__xludf.DUMMYFUNCTION("""COMPUTED_VALUE"""),"apollo mance")</f>
        <v>apollo mance</v>
      </c>
      <c r="C905" s="235" t="str">
        <f>IFERROR(__xludf.DUMMYFUNCTION("""COMPUTED_VALUE"""),"ENGINEERING")</f>
        <v>ENGINEERING</v>
      </c>
      <c r="D905" s="196" t="str">
        <f>IFERROR(__xludf.DUMMYFUNCTION("""COMPUTED_VALUE"""),"gooseneck faucet creston 10pcs./ fluid master w/ fillvalve model: fm900cs 10pcs.")</f>
        <v>gooseneck faucet creston 10pcs./ fluid master w/ fillvalve model: fm900cs 10pcs.</v>
      </c>
      <c r="E905" s="196" t="str">
        <f>IFERROR(__xludf.DUMMYFUNCTION("""COMPUTED_VALUE"""),"stock replenishment")</f>
        <v>stock replenishment</v>
      </c>
    </row>
    <row r="906">
      <c r="A906" s="234">
        <f>IFERROR(__xludf.DUMMYFUNCTION("""COMPUTED_VALUE"""),101198.0)</f>
        <v>101198</v>
      </c>
      <c r="B906" s="235" t="str">
        <f>IFERROR(__xludf.DUMMYFUNCTION("""COMPUTED_VALUE"""),"apollo mance")</f>
        <v>apollo mance</v>
      </c>
      <c r="C906" s="235" t="str">
        <f>IFERROR(__xludf.DUMMYFUNCTION("""COMPUTED_VALUE"""),"AV/MIS")</f>
        <v>AV/MIS</v>
      </c>
      <c r="D906" s="196" t="str">
        <f>IFERROR(__xludf.DUMMYFUNCTION("""COMPUTED_VALUE"""),"cmos battery ct2032 50pcs./ddr4 2666mhz memory 4gb 5pcs./ddr3 12800 4gb memory (kingston brand) 10pcs.")</f>
        <v>cmos battery ct2032 50pcs./ddr4 2666mhz memory 4gb 5pcs./ddr3 12800 4gb memory (kingston brand) 10pcs.</v>
      </c>
      <c r="E906" s="196" t="str">
        <f>IFERROR(__xludf.DUMMYFUNCTION("""COMPUTED_VALUE"""),"stock replenishment")</f>
        <v>stock replenishment</v>
      </c>
    </row>
    <row r="907">
      <c r="A907" s="234">
        <f>IFERROR(__xludf.DUMMYFUNCTION("""COMPUTED_VALUE"""),101199.0)</f>
        <v>101199</v>
      </c>
      <c r="B907" s="235" t="str">
        <f>IFERROR(__xludf.DUMMYFUNCTION("""COMPUTED_VALUE"""),"CARL SASOT ")</f>
        <v>CARL SASOT </v>
      </c>
      <c r="C907" s="235" t="str">
        <f>IFERROR(__xludf.DUMMYFUNCTION("""COMPUTED_VALUE"""),"AUDIT")</f>
        <v>AUDIT</v>
      </c>
      <c r="D907" s="196" t="str">
        <f>IFERROR(__xludf.DUMMYFUNCTION("""COMPUTED_VALUE"""),"4 DRAWER  STEEL FILING CABINET (BLACK)")</f>
        <v>4 DRAWER  STEEL FILING CABINET (BLACK)</v>
      </c>
      <c r="E907" s="196" t="str">
        <f>IFERROR(__xludf.DUMMYFUNCTION("""COMPUTED_VALUE"""),"FILING CABINET - CARL JAEZEL AND DAN")</f>
        <v>FILING CABINET - CARL JAEZEL AND DAN</v>
      </c>
    </row>
    <row r="908">
      <c r="A908" s="234">
        <f>IFERROR(__xludf.DUMMYFUNCTION("""COMPUTED_VALUE"""),101200.0)</f>
        <v>101200</v>
      </c>
      <c r="B908" s="235" t="str">
        <f>IFERROR(__xludf.DUMMYFUNCTION("""COMPUTED_VALUE"""),"ALFA/SHEREE")</f>
        <v>ALFA/SHEREE</v>
      </c>
      <c r="C908" s="235" t="str">
        <f>IFERROR(__xludf.DUMMYFUNCTION("""COMPUTED_VALUE"""),"HOUSEKEEPING")</f>
        <v>HOUSEKEEPING</v>
      </c>
      <c r="D908" s="196" t="str">
        <f>IFERROR(__xludf.DUMMYFUNCTION("""COMPUTED_VALUE"""),"RED VELVET ROPE COVER")</f>
        <v>RED VELVET ROPE COVER</v>
      </c>
      <c r="E908" s="196" t="str">
        <f>IFERROR(__xludf.DUMMYFUNCTION("""COMPUTED_VALUE"""),"EVENTS USE IN SPORTFEST FAMILY DAY")</f>
        <v>EVENTS USE IN SPORTFEST FAMILY DAY</v>
      </c>
    </row>
    <row r="909">
      <c r="A909" s="234">
        <f>IFERROR(__xludf.DUMMYFUNCTION("""COMPUTED_VALUE"""),101201.0)</f>
        <v>101201</v>
      </c>
      <c r="B909" s="235" t="str">
        <f>IFERROR(__xludf.DUMMYFUNCTION("""COMPUTED_VALUE"""),"CZARINA CABRERA")</f>
        <v>CZARINA CABRERA</v>
      </c>
      <c r="C909" s="235" t="str">
        <f>IFERROR(__xludf.DUMMYFUNCTION("""COMPUTED_VALUE"""),"HRMD")</f>
        <v>HRMD</v>
      </c>
      <c r="D909" s="196" t="str">
        <f>IFERROR(__xludf.DUMMYFUNCTION("""COMPUTED_VALUE"""),"DOCUMENT ENVELOPE 
GREEN PUCH
BLACK BALLPEN
STICKY PAD")</f>
        <v>DOCUMENT ENVELOPE 
GREEN PUCH
BLACK BALLPEN
STICKY PAD</v>
      </c>
      <c r="E909" s="196" t="str">
        <f>IFERROR(__xludf.DUMMYFUNCTION("""COMPUTED_VALUE"""),"WELCOMEKITS FOR NEW EMPLOYESS")</f>
        <v>WELCOMEKITS FOR NEW EMPLOYESS</v>
      </c>
    </row>
    <row r="910">
      <c r="A910" s="234">
        <f>IFERROR(__xludf.DUMMYFUNCTION("""COMPUTED_VALUE"""),101202.0)</f>
        <v>101202</v>
      </c>
      <c r="B910" s="235" t="str">
        <f>IFERROR(__xludf.DUMMYFUNCTION("""COMPUTED_VALUE"""),"LUCILLE BEYER ")</f>
        <v>LUCILLE BEYER </v>
      </c>
      <c r="C910" s="235" t="str">
        <f>IFERROR(__xludf.DUMMYFUNCTION("""COMPUTED_VALUE"""),"MEDICAL")</f>
        <v>MEDICAL</v>
      </c>
      <c r="D910" s="196" t="str">
        <f>IFERROR(__xludf.DUMMYFUNCTION("""COMPUTED_VALUE"""),"ADVIL
TUSERAN FORTE
BIOFLU
DIATABS
DECOLGEN-NON DROWSE")</f>
        <v>ADVIL
TUSERAN FORTE
BIOFLU
DIATABS
DECOLGEN-NON DROWSE</v>
      </c>
      <c r="E910" s="196" t="str">
        <f>IFERROR(__xludf.DUMMYFUNCTION("""COMPUTED_VALUE"""),"REPLENISH OFMEDICINE CLINIC SUPPLIES")</f>
        <v>REPLENISH OFMEDICINE CLINIC SUPPLIES</v>
      </c>
    </row>
    <row r="911">
      <c r="A911" s="234">
        <f>IFERROR(__xludf.DUMMYFUNCTION("""COMPUTED_VALUE"""),101168.0)</f>
        <v>101168</v>
      </c>
      <c r="B911" s="235" t="str">
        <f>IFERROR(__xludf.DUMMYFUNCTION("""COMPUTED_VALUE"""),"FELMA/MARK SALIBIO")</f>
        <v>FELMA/MARK SALIBIO</v>
      </c>
      <c r="C911" s="235" t="str">
        <f>IFERROR(__xludf.DUMMYFUNCTION("""COMPUTED_VALUE"""),"MIS/ICT")</f>
        <v>MIS/ICT</v>
      </c>
      <c r="D911" s="196" t="str">
        <f>IFERROR(__xludf.DUMMYFUNCTION("""COMPUTED_VALUE"""),"SSL CERT
(SECURE SOCKET LAYER)")</f>
        <v>SSL CERT
(SECURE SOCKET LAYER)</v>
      </c>
      <c r="E911" s="196" t="str">
        <f>IFERROR(__xludf.DUMMYFUNCTION("""COMPUTED_VALUE"""),"FOR ODV WEBSITE")</f>
        <v>FOR ODV WEBSITE</v>
      </c>
    </row>
    <row r="912">
      <c r="A912" s="234">
        <f>IFERROR(__xludf.DUMMYFUNCTION("""COMPUTED_VALUE"""),101203.0)</f>
        <v>101203</v>
      </c>
      <c r="B912" s="235" t="str">
        <f>IFERROR(__xludf.DUMMYFUNCTION("""COMPUTED_VALUE"""),"MARVIN MARASIGAN")</f>
        <v>MARVIN MARASIGAN</v>
      </c>
      <c r="C912" s="235" t="str">
        <f>IFERROR(__xludf.DUMMYFUNCTION("""COMPUTED_VALUE"""),"PR &amp; MARKETING")</f>
        <v>PR &amp; MARKETING</v>
      </c>
      <c r="D912" s="196" t="str">
        <f>IFERROR(__xludf.DUMMYFUNCTION("""COMPUTED_VALUE"""),"SISC NOTEPAD 85X5.5
100 LEAVES
WITH BOX IF POSSIBLE")</f>
        <v>SISC NOTEPAD 85X5.5
100 LEAVES
WITH BOX IF POSSIBLE</v>
      </c>
      <c r="E912" s="196" t="str">
        <f>IFERROR(__xludf.DUMMYFUNCTION("""COMPUTED_VALUE"""),"GIFTS FOR GC")</f>
        <v>GIFTS FOR GC</v>
      </c>
    </row>
    <row r="913">
      <c r="A913" s="234">
        <f>IFERROR(__xludf.DUMMYFUNCTION("""COMPUTED_VALUE"""),101204.0)</f>
        <v>101204</v>
      </c>
      <c r="B913" s="235" t="str">
        <f>IFERROR(__xludf.DUMMYFUNCTION("""COMPUTED_VALUE"""),"CHRISTIAN MARK MARBIBI")</f>
        <v>CHRISTIAN MARK MARBIBI</v>
      </c>
      <c r="C913" s="235" t="str">
        <f>IFERROR(__xludf.DUMMYFUNCTION("""COMPUTED_VALUE"""),"HOUSEKEEPING")</f>
        <v>HOUSEKEEPING</v>
      </c>
      <c r="D913" s="196" t="str">
        <f>IFERROR(__xludf.DUMMYFUNCTION("""COMPUTED_VALUE"""),"ECOLUTION DISINFECTANT 10 GALS")</f>
        <v>ECOLUTION DISINFECTANT 10 GALS</v>
      </c>
      <c r="E913" s="196" t="str">
        <f>IFERROR(__xludf.DUMMYFUNCTION("""COMPUTED_VALUE"""),"STOCK REPLENISHMENT - HSKPG")</f>
        <v>STOCK REPLENISHMENT - HSKPG</v>
      </c>
    </row>
    <row r="914">
      <c r="A914" s="234">
        <f>IFERROR(__xludf.DUMMYFUNCTION("""COMPUTED_VALUE"""),101205.0)</f>
        <v>101205</v>
      </c>
      <c r="B914" s="235" t="str">
        <f>IFERROR(__xludf.DUMMYFUNCTION("""COMPUTED_VALUE"""),"CHRISTIAN MARK MARBIBI")</f>
        <v>CHRISTIAN MARK MARBIBI</v>
      </c>
      <c r="C914" s="235" t="str">
        <f>IFERROR(__xludf.DUMMYFUNCTION("""COMPUTED_VALUE"""),"HOUSEKEEPING")</f>
        <v>HOUSEKEEPING</v>
      </c>
      <c r="D914" s="196" t="str">
        <f>IFERROR(__xludf.DUMMYFUNCTION("""COMPUTED_VALUE"""),"HAND SOAP ANTIBACTERIAL (RIVCHEM)")</f>
        <v>HAND SOAP ANTIBACTERIAL (RIVCHEM)</v>
      </c>
      <c r="E914" s="196" t="str">
        <f>IFERROR(__xludf.DUMMYFUNCTION("""COMPUTED_VALUE"""),"STOCK REPLENISHMENT - HSKPG")</f>
        <v>STOCK REPLENISHMENT - HSKPG</v>
      </c>
    </row>
    <row r="915">
      <c r="A915" s="234">
        <f>IFERROR(__xludf.DUMMYFUNCTION("""COMPUTED_VALUE"""),101206.0)</f>
        <v>101206</v>
      </c>
      <c r="B915" s="235" t="str">
        <f>IFERROR(__xludf.DUMMYFUNCTION("""COMPUTED_VALUE"""),"CHRISTIAN MARK MARBIBI")</f>
        <v>CHRISTIAN MARK MARBIBI</v>
      </c>
      <c r="C915" s="235" t="str">
        <f>IFERROR(__xludf.DUMMYFUNCTION("""COMPUTED_VALUE"""),"HOUSEKEEPING")</f>
        <v>HOUSEKEEPING</v>
      </c>
      <c r="D915" s="196" t="str">
        <f>IFERROR(__xludf.DUMMYFUNCTION("""COMPUTED_VALUE"""),"TRASH BAG 2XL; LARGE; SMALL")</f>
        <v>TRASH BAG 2XL; LARGE; SMALL</v>
      </c>
      <c r="E915" s="196" t="str">
        <f>IFERROR(__xludf.DUMMYFUNCTION("""COMPUTED_VALUE"""),"STOCK REPLENISHMENT - HSKPG")</f>
        <v>STOCK REPLENISHMENT - HSKPG</v>
      </c>
    </row>
    <row r="916">
      <c r="A916" s="234">
        <f>IFERROR(__xludf.DUMMYFUNCTION("""COMPUTED_VALUE"""),101207.0)</f>
        <v>101207</v>
      </c>
      <c r="B916" s="235" t="str">
        <f>IFERROR(__xludf.DUMMYFUNCTION("""COMPUTED_VALUE"""),"ASTRID DE LEON")</f>
        <v>ASTRID DE LEON</v>
      </c>
      <c r="C916" s="235" t="str">
        <f>IFERROR(__xludf.DUMMYFUNCTION("""COMPUTED_VALUE"""),"NURSING")</f>
        <v>NURSING</v>
      </c>
      <c r="D916" s="196" t="str">
        <f>IFERROR(__xludf.DUMMYFUNCTION("""COMPUTED_VALUE"""),"NAMEPLATES 
ELSA GREGORIO C/O JOY ORACION ELS METAL ENGRAVER")</f>
        <v>NAMEPLATES 
ELSA GREGORIO C/O JOY ORACION ELS METAL ENGRAVER</v>
      </c>
      <c r="E916" s="196" t="str">
        <f>IFERROR(__xludf.DUMMYFUNCTION("""COMPUTED_VALUE"""),"BSN CANDLELIGHTING CEREMONY")</f>
        <v>BSN CANDLELIGHTING CEREMONY</v>
      </c>
    </row>
    <row r="917">
      <c r="A917" s="234">
        <f>IFERROR(__xludf.DUMMYFUNCTION("""COMPUTED_VALUE"""),101208.0)</f>
        <v>101208</v>
      </c>
      <c r="B917" s="235" t="str">
        <f>IFERROR(__xludf.DUMMYFUNCTION("""COMPUTED_VALUE"""),"ASTRID DE LEON")</f>
        <v>ASTRID DE LEON</v>
      </c>
      <c r="C917" s="235" t="str">
        <f>IFERROR(__xludf.DUMMYFUNCTION("""COMPUTED_VALUE"""),"NURSING")</f>
        <v>NURSING</v>
      </c>
      <c r="D917" s="196" t="str">
        <f>IFERROR(__xludf.DUMMYFUNCTION("""COMPUTED_VALUE"""),"CAPPING INVITATIONS
8.5 X 11 SPREAD 
8.5 X 5.5 FOLDED
FOLD 2 PANELS
C/O LUMINAIRE PRINTING 4/4 (SASHA)
COROLLA PENTAGRAM 4/4
CMYK W/ 1 FOLD 2 PANELS")</f>
        <v>CAPPING INVITATIONS
8.5 X 11 SPREAD 
8.5 X 5.5 FOLDED
FOLD 2 PANELS
C/O LUMINAIRE PRINTING 4/4 (SASHA)
COROLLA PENTAGRAM 4/4
CMYK W/ 1 FOLD 2 PANELS</v>
      </c>
      <c r="E917" s="196" t="str">
        <f>IFERROR(__xludf.DUMMYFUNCTION("""COMPUTED_VALUE"""),"BSN CANDLELIGHTING CEREMONY")</f>
        <v>BSN CANDLELIGHTING CEREMONY</v>
      </c>
    </row>
    <row r="918">
      <c r="A918" s="234">
        <f>IFERROR(__xludf.DUMMYFUNCTION("""COMPUTED_VALUE"""),101209.0)</f>
        <v>101209</v>
      </c>
      <c r="B918" s="235" t="str">
        <f>IFERROR(__xludf.DUMMYFUNCTION("""COMPUTED_VALUE"""),"ASTRID DE LEON")</f>
        <v>ASTRID DE LEON</v>
      </c>
      <c r="C918" s="235" t="str">
        <f>IFERROR(__xludf.DUMMYFUNCTION("""COMPUTED_VALUE"""),"NURSING")</f>
        <v>NURSING</v>
      </c>
      <c r="D918" s="196" t="str">
        <f>IFERROR(__xludf.DUMMYFUNCTION("""COMPUTED_VALUE"""),"NURSING CAPS W/ CASE
C/O JOY ORACION")</f>
        <v>NURSING CAPS W/ CASE
C/O JOY ORACION</v>
      </c>
      <c r="E918" s="196" t="str">
        <f>IFERROR(__xludf.DUMMYFUNCTION("""COMPUTED_VALUE"""),"BSN CANDLELIGHTING CEREMONY")</f>
        <v>BSN CANDLELIGHTING CEREMONY</v>
      </c>
    </row>
    <row r="919">
      <c r="A919" s="234">
        <f>IFERROR(__xludf.DUMMYFUNCTION("""COMPUTED_VALUE"""),101210.0)</f>
        <v>101210</v>
      </c>
      <c r="B919" s="235" t="str">
        <f>IFERROR(__xludf.DUMMYFUNCTION("""COMPUTED_VALUE"""),"ASTRID DE LEON")</f>
        <v>ASTRID DE LEON</v>
      </c>
      <c r="C919" s="235" t="str">
        <f>IFERROR(__xludf.DUMMYFUNCTION("""COMPUTED_VALUE"""),"NURSING")</f>
        <v>NURSING</v>
      </c>
      <c r="D919" s="196" t="str">
        <f>IFERROR(__xludf.DUMMYFUNCTION("""COMPUTED_VALUE"""),"FLOWERS
JAHRE GABRIT ON PREFERRED
SUPPLIER 09167550227/0961125699")</f>
        <v>FLOWERS
JAHRE GABRIT ON PREFERRED
SUPPLIER 09167550227/0961125699</v>
      </c>
      <c r="E919" s="196" t="str">
        <f>IFERROR(__xludf.DUMMYFUNCTION("""COMPUTED_VALUE"""),"BSN CANDLELIGHTING CEREMONY")</f>
        <v>BSN CANDLELIGHTING CEREMONY</v>
      </c>
    </row>
    <row r="920">
      <c r="A920" s="234">
        <f>IFERROR(__xludf.DUMMYFUNCTION("""COMPUTED_VALUE"""),101211.0)</f>
        <v>101211</v>
      </c>
      <c r="B920" s="235" t="str">
        <f>IFERROR(__xludf.DUMMYFUNCTION("""COMPUTED_VALUE"""),"ASTRID DE LEON")</f>
        <v>ASTRID DE LEON</v>
      </c>
      <c r="C920" s="235" t="str">
        <f>IFERROR(__xludf.DUMMYFUNCTION("""COMPUTED_VALUE"""),"NURSING")</f>
        <v>NURSING</v>
      </c>
      <c r="D920" s="196" t="str">
        <f>IFERROR(__xludf.DUMMYFUNCTION("""COMPUTED_VALUE"""),"CEREMONIAL LAMPS W/ CANDLES 
C/O JOY ORACION")</f>
        <v>CEREMONIAL LAMPS W/ CANDLES 
C/O JOY ORACION</v>
      </c>
      <c r="E920" s="196" t="str">
        <f>IFERROR(__xludf.DUMMYFUNCTION("""COMPUTED_VALUE"""),"BSN CANDLELIGHTING CEREMONY")</f>
        <v>BSN CANDLELIGHTING CEREMONY</v>
      </c>
    </row>
    <row r="921">
      <c r="A921" s="234">
        <f>IFERROR(__xludf.DUMMYFUNCTION("""COMPUTED_VALUE"""),101212.0)</f>
        <v>101212</v>
      </c>
      <c r="B921" s="235" t="str">
        <f>IFERROR(__xludf.DUMMYFUNCTION("""COMPUTED_VALUE"""),"ROMAN BALUYOT")</f>
        <v>ROMAN BALUYOT</v>
      </c>
      <c r="C921" s="235" t="str">
        <f>IFERROR(__xludf.DUMMYFUNCTION("""COMPUTED_VALUE"""),"PR &amp; MARKETING")</f>
        <v>PR &amp; MARKETING</v>
      </c>
      <c r="D921" s="196" t="str">
        <f>IFERROR(__xludf.DUMMYFUNCTION("""COMPUTED_VALUE"""),"SKYWAY BILLBOARD (SOUTHBOUND)
SIZE: 40'(H) x 60'(W)
SKYWAY BILLBOARD (NORTHBOUND)
SIZE: 30;(H) x 50'(W)")</f>
        <v>SKYWAY BILLBOARD (SOUTHBOUND)
SIZE: 40'(H) x 60'(W)
SKYWAY BILLBOARD (NORTHBOUND)
SIZE: 30;(H) x 50'(W)</v>
      </c>
      <c r="E921" s="196" t="str">
        <f>IFERROR(__xludf.DUMMYFUNCTION("""COMPUTED_VALUE"""),"PR AND MARKETING")</f>
        <v>PR AND MARKETING</v>
      </c>
    </row>
    <row r="922">
      <c r="A922" s="234">
        <f>IFERROR(__xludf.DUMMYFUNCTION("""COMPUTED_VALUE"""),101213.0)</f>
        <v>101213</v>
      </c>
      <c r="B922" s="235" t="str">
        <f>IFERROR(__xludf.DUMMYFUNCTION("""COMPUTED_VALUE"""),"ROMAN BALUYOT")</f>
        <v>ROMAN BALUYOT</v>
      </c>
      <c r="C922" s="235" t="str">
        <f>IFERROR(__xludf.DUMMYFUNCTION("""COMPUTED_VALUE"""),"PR &amp; MARKETING")</f>
        <v>PR &amp; MARKETING</v>
      </c>
      <c r="D922" s="196" t="str">
        <f>IFERROR(__xludf.DUMMYFUNCTION("""COMPUTED_VALUE"""),"SKYWAY BILLBOARD SITE RENTAL")</f>
        <v>SKYWAY BILLBOARD SITE RENTAL</v>
      </c>
      <c r="E922" s="196" t="str">
        <f>IFERROR(__xludf.DUMMYFUNCTION("""COMPUTED_VALUE"""),"PROMOTION")</f>
        <v>PROMOTION</v>
      </c>
    </row>
    <row r="923">
      <c r="A923" s="234">
        <f>IFERROR(__xludf.DUMMYFUNCTION("""COMPUTED_VALUE"""),101214.0)</f>
        <v>101214</v>
      </c>
      <c r="B923" s="235" t="str">
        <f>IFERROR(__xludf.DUMMYFUNCTION("""COMPUTED_VALUE"""),"FELMA/MARK SALIBIO")</f>
        <v>FELMA/MARK SALIBIO</v>
      </c>
      <c r="C923" s="235" t="str">
        <f>IFERROR(__xludf.DUMMYFUNCTION("""COMPUTED_VALUE"""),"MIS/ICT")</f>
        <v>MIS/ICT</v>
      </c>
      <c r="D923" s="196" t="str">
        <f>IFERROR(__xludf.DUMMYFUNCTION("""COMPUTED_VALUE"""),"SSL CERT
(SECURE SOCKET LAYER)")</f>
        <v>SSL CERT
(SECURE SOCKET LAYER)</v>
      </c>
      <c r="E923" s="196" t="str">
        <f>IFERROR(__xludf.DUMMYFUNCTION("""COMPUTED_VALUE"""),"FOR ODV WEBSITE")</f>
        <v>FOR ODV WEBSITE</v>
      </c>
    </row>
    <row r="924">
      <c r="A924" s="234">
        <f>IFERROR(__xludf.DUMMYFUNCTION("""COMPUTED_VALUE"""),101215.0)</f>
        <v>101215</v>
      </c>
      <c r="B924" s="235" t="str">
        <f>IFERROR(__xludf.DUMMYFUNCTION("""COMPUTED_VALUE"""),"JP RAGOT ")</f>
        <v>JP RAGOT </v>
      </c>
      <c r="C924" s="235" t="str">
        <f>IFERROR(__xludf.DUMMYFUNCTION("""COMPUTED_VALUE"""),"AMD")</f>
        <v>AMD</v>
      </c>
      <c r="D924" s="196" t="str">
        <f>IFERROR(__xludf.DUMMYFUNCTION("""COMPUTED_VALUE"""),"OFFICE TRAY SUPPLIES ORGANIZER SMALL AND BIG (10 INCHES X 13 INCHES)")</f>
        <v>OFFICE TRAY SUPPLIES ORGANIZER SMALL AND BIG (10 INCHES X 13 INCHES)</v>
      </c>
      <c r="E924" s="196" t="str">
        <f>IFERROR(__xludf.DUMMYFUNCTION("""COMPUTED_VALUE"""),"SUPPLIES ORGANIZER IN SUPPLIES WAREHOUSE 5S")</f>
        <v>SUPPLIES ORGANIZER IN SUPPLIES WAREHOUSE 5S</v>
      </c>
    </row>
    <row r="925">
      <c r="A925" s="234">
        <f>IFERROR(__xludf.DUMMYFUNCTION("""COMPUTED_VALUE"""),101216.0)</f>
        <v>101216</v>
      </c>
      <c r="B925" s="235" t="str">
        <f>IFERROR(__xludf.DUMMYFUNCTION("""COMPUTED_VALUE"""),"ADRIAN DE GUINTO")</f>
        <v>ADRIAN DE GUINTO</v>
      </c>
      <c r="C925" s="235" t="str">
        <f>IFERROR(__xludf.DUMMYFUNCTION("""COMPUTED_VALUE"""),"PR &amp; MARKETING")</f>
        <v>PR &amp; MARKETING</v>
      </c>
      <c r="D925" s="196" t="str">
        <f>IFERROR(__xludf.DUMMYFUNCTION("""COMPUTED_VALUE"""),"1 PC ACCOUNTANCY TARP; 1 PC PSYCH TARP; 1 PC PSYCH BULLETIN")</f>
        <v>1 PC ACCOUNTANCY TARP; 1 PC PSYCH TARP; 1 PC PSYCH BULLETIN</v>
      </c>
      <c r="E925" s="196" t="str">
        <f>IFERROR(__xludf.DUMMYFUNCTION("""COMPUTED_VALUE"""),"MARKETING FOR CONGRATULATORY TARP")</f>
        <v>MARKETING FOR CONGRATULATORY TARP</v>
      </c>
    </row>
    <row r="926">
      <c r="A926" s="234">
        <f>IFERROR(__xludf.DUMMYFUNCTION("""COMPUTED_VALUE"""),101217.0)</f>
        <v>101217</v>
      </c>
      <c r="B926" s="235" t="str">
        <f>IFERROR(__xludf.DUMMYFUNCTION("""COMPUTED_VALUE"""),"CHRISTIAN S ANDRES")</f>
        <v>CHRISTIAN S ANDRES</v>
      </c>
      <c r="C926" s="235" t="str">
        <f>IFERROR(__xludf.DUMMYFUNCTION("""COMPUTED_VALUE"""),"PR &amp; MARKETING")</f>
        <v>PR &amp; MARKETING</v>
      </c>
      <c r="D926" s="196" t="str">
        <f>IFERROR(__xludf.DUMMYFUNCTION("""COMPUTED_VALUE"""),"S4S K.D #2X2X8
COMMON NAIL#3
G-I WIRE #6")</f>
        <v>S4S K.D #2X2X8
COMMON NAIL#3
G-I WIRE #6</v>
      </c>
      <c r="E926" s="196" t="str">
        <f>IFERROR(__xludf.DUMMYFUNCTION("""COMPUTED_VALUE"""),"MARKETING")</f>
        <v>MARKETING</v>
      </c>
    </row>
    <row r="927">
      <c r="A927" s="234">
        <f>IFERROR(__xludf.DUMMYFUNCTION("""COMPUTED_VALUE"""),101218.0)</f>
        <v>101218</v>
      </c>
      <c r="B927" s="235" t="str">
        <f>IFERROR(__xludf.DUMMYFUNCTION("""COMPUTED_VALUE"""),"JP RAGOT ")</f>
        <v>JP RAGOT </v>
      </c>
      <c r="C927" s="235" t="str">
        <f>IFERROR(__xludf.DUMMYFUNCTION("""COMPUTED_VALUE"""),"AMD")</f>
        <v>AMD</v>
      </c>
      <c r="D927" s="196" t="str">
        <f>IFERROR(__xludf.DUMMYFUNCTION("""COMPUTED_VALUE"""),"1 PLYWOOOD FORMICA WOOD")</f>
        <v>1 PLYWOOOD FORMICA WOOD</v>
      </c>
      <c r="E927" s="196" t="str">
        <f>IFERROR(__xludf.DUMMYFUNCTION("""COMPUTED_VALUE"""),"MATERIAL FOR FIXING TABLES IN PRINTING OFFICE")</f>
        <v>MATERIAL FOR FIXING TABLES IN PRINTING OFFICE</v>
      </c>
    </row>
    <row r="928">
      <c r="A928" s="234">
        <f>IFERROR(__xludf.DUMMYFUNCTION("""COMPUTED_VALUE"""),101219.0)</f>
        <v>101219</v>
      </c>
      <c r="B928" s="235" t="str">
        <f>IFERROR(__xludf.DUMMYFUNCTION("""COMPUTED_VALUE"""),"JP RAGOT ")</f>
        <v>JP RAGOT </v>
      </c>
      <c r="C928" s="235" t="str">
        <f>IFERROR(__xludf.DUMMYFUNCTION("""COMPUTED_VALUE"""),"AMD")</f>
        <v>AMD</v>
      </c>
      <c r="D928" s="196" t="str">
        <f>IFERROR(__xludf.DUMMYFUNCTION("""COMPUTED_VALUE"""),"WATER DISPENSER")</f>
        <v>WATER DISPENSER</v>
      </c>
      <c r="E928" s="196" t="str">
        <f>IFERROR(__xludf.DUMMYFUNCTION("""COMPUTED_VALUE"""),"TO REPLACE WRECKED WATER DISPENSER IN AMD AND PRINTING OFFICE")</f>
        <v>TO REPLACE WRECKED WATER DISPENSER IN AMD AND PRINTING OFFICE</v>
      </c>
    </row>
    <row r="929">
      <c r="A929" s="234">
        <f>IFERROR(__xludf.DUMMYFUNCTION("""COMPUTED_VALUE"""),101220.0)</f>
        <v>101220</v>
      </c>
      <c r="B929" s="235" t="str">
        <f>IFERROR(__xludf.DUMMYFUNCTION("""COMPUTED_VALUE"""),"VIOLETA REVOLTAR")</f>
        <v>VIOLETA REVOLTAR</v>
      </c>
      <c r="C929" s="235" t="str">
        <f>IFERROR(__xludf.DUMMYFUNCTION("""COMPUTED_VALUE"""),"CEM OFFICE")</f>
        <v>CEM OFFICE</v>
      </c>
      <c r="D929" s="196" t="str">
        <f>IFERROR(__xludf.DUMMYFUNCTION("""COMPUTED_VALUE"""),"HOT AND COLD WATER DISPENSER")</f>
        <v>HOT AND COLD WATER DISPENSER</v>
      </c>
      <c r="E929" s="196" t="str">
        <f>IFERROR(__xludf.DUMMYFUNCTION("""COMPUTED_VALUE"""),"REPLACEMENT OF THE OLDWATERDISPENSER")</f>
        <v>REPLACEMENT OF THE OLDWATERDISPENSER</v>
      </c>
    </row>
    <row r="930">
      <c r="A930" s="234">
        <f>IFERROR(__xludf.DUMMYFUNCTION("""COMPUTED_VALUE"""),101221.0)</f>
        <v>101221</v>
      </c>
      <c r="B930" s="235" t="str">
        <f>IFERROR(__xludf.DUMMYFUNCTION("""COMPUTED_VALUE"""),"SHEREE ESPINOSA")</f>
        <v>SHEREE ESPINOSA</v>
      </c>
      <c r="C930" s="235" t="str">
        <f>IFERROR(__xludf.DUMMYFUNCTION("""COMPUTED_VALUE"""),"HOUSEKEEPING")</f>
        <v>HOUSEKEEPING</v>
      </c>
      <c r="D930" s="196" t="str">
        <f>IFERROR(__xludf.DUMMYFUNCTION("""COMPUTED_VALUE"""),"CHRISTMAS DECORS")</f>
        <v>CHRISTMAS DECORS</v>
      </c>
      <c r="E930" s="196" t="str">
        <f>IFERROR(__xludf.DUMMYFUNCTION("""COMPUTED_VALUE"""),"FORAMDDECORS")</f>
        <v>FORAMDDECORS</v>
      </c>
    </row>
    <row r="931">
      <c r="A931" s="234">
        <f>IFERROR(__xludf.DUMMYFUNCTION("""COMPUTED_VALUE"""),101222.0)</f>
        <v>101222</v>
      </c>
      <c r="B931" s="235" t="str">
        <f>IFERROR(__xludf.DUMMYFUNCTION("""COMPUTED_VALUE"""),"SHEREE ESPINOSA")</f>
        <v>SHEREE ESPINOSA</v>
      </c>
      <c r="C931" s="235" t="str">
        <f>IFERROR(__xludf.DUMMYFUNCTION("""COMPUTED_VALUE"""),"HOUSEKEEPING")</f>
        <v>HOUSEKEEPING</v>
      </c>
      <c r="D931" s="196" t="str">
        <f>IFERROR(__xludf.DUMMYFUNCTION("""COMPUTED_VALUE"""),"WALL QUOTE")</f>
        <v>WALL QUOTE</v>
      </c>
      <c r="E931" s="196" t="str">
        <f>IFERROR(__xludf.DUMMYFUNCTION("""COMPUTED_VALUE"""),"FOR PRAYER ROOM")</f>
        <v>FOR PRAYER ROOM</v>
      </c>
    </row>
    <row r="932">
      <c r="A932" s="234">
        <f>IFERROR(__xludf.DUMMYFUNCTION("""COMPUTED_VALUE"""),101223.0)</f>
        <v>101223</v>
      </c>
      <c r="B932" s="235" t="str">
        <f>IFERROR(__xludf.DUMMYFUNCTION("""COMPUTED_VALUE"""),"OWIE PAR")</f>
        <v>OWIE PAR</v>
      </c>
      <c r="C932" s="235" t="str">
        <f>IFERROR(__xludf.DUMMYFUNCTION("""COMPUTED_VALUE"""),"ENGINEERING")</f>
        <v>ENGINEERING</v>
      </c>
      <c r="D932" s="196" t="str">
        <f>IFERROR(__xludf.DUMMYFUNCTION("""COMPUTED_VALUE"""),"STATE SCRAM DECLOGGER")</f>
        <v>STATE SCRAM DECLOGGER</v>
      </c>
      <c r="E932" s="196" t="str">
        <f>IFERROR(__xludf.DUMMYFUNCTION("""COMPUTED_VALUE"""),"FOR DE CLOGGING PURPOSE ")</f>
        <v>FOR DE CLOGGING PURPOSE </v>
      </c>
    </row>
    <row r="933">
      <c r="A933" s="234">
        <f>IFERROR(__xludf.DUMMYFUNCTION("""COMPUTED_VALUE"""),101224.0)</f>
        <v>101224</v>
      </c>
      <c r="B933" s="235" t="str">
        <f>IFERROR(__xludf.DUMMYFUNCTION("""COMPUTED_VALUE"""),"OWIE PAR")</f>
        <v>OWIE PAR</v>
      </c>
      <c r="C933" s="235" t="str">
        <f>IFERROR(__xludf.DUMMYFUNCTION("""COMPUTED_VALUE"""),"ENGINEERING")</f>
        <v>ENGINEERING</v>
      </c>
      <c r="D933" s="196" t="str">
        <f>IFERROR(__xludf.DUMMYFUNCTION("""COMPUTED_VALUE"""),"6.0 HP DAIKEN CEILING CASSETTE SKY")</f>
        <v>6.0 HP DAIKEN CEILING CASSETTE SKY</v>
      </c>
      <c r="E933" s="196" t="str">
        <f>IFERROR(__xludf.DUMMYFUNCTION("""COMPUTED_VALUE"""),"FOR COL RM 406 REPLACEMENT")</f>
        <v>FOR COL RM 406 REPLACEMENT</v>
      </c>
    </row>
    <row r="934">
      <c r="A934" s="234">
        <f>IFERROR(__xludf.DUMMYFUNCTION("""COMPUTED_VALUE"""),101225.0)</f>
        <v>101225</v>
      </c>
      <c r="B934" s="235" t="str">
        <f>IFERROR(__xludf.DUMMYFUNCTION("""COMPUTED_VALUE"""),"OWIE PAR")</f>
        <v>OWIE PAR</v>
      </c>
      <c r="C934" s="235" t="str">
        <f>IFERROR(__xludf.DUMMYFUNCTION("""COMPUTED_VALUE"""),"ENGINEERING")</f>
        <v>ENGINEERING</v>
      </c>
      <c r="D934" s="196" t="str">
        <f>IFERROR(__xludf.DUMMYFUNCTION("""COMPUTED_VALUE"""),"BLADDER TANK W MOTOR")</f>
        <v>BLADDER TANK W MOTOR</v>
      </c>
      <c r="E934" s="196" t="str">
        <f>IFERROR(__xludf.DUMMYFUNCTION("""COMPUTED_VALUE"""),"FOR REPLACEMENT FO BUSTED TANK OF WATER PURIFIER")</f>
        <v>FOR REPLACEMENT FO BUSTED TANK OF WATER PURIFIER</v>
      </c>
    </row>
    <row r="935">
      <c r="A935" s="234">
        <f>IFERROR(__xludf.DUMMYFUNCTION("""COMPUTED_VALUE"""),101226.0)</f>
        <v>101226</v>
      </c>
      <c r="B935" s="235" t="str">
        <f>IFERROR(__xludf.DUMMYFUNCTION("""COMPUTED_VALUE"""),"CLARISSA SORIAO")</f>
        <v>CLARISSA SORIAO</v>
      </c>
      <c r="C935" s="235" t="str">
        <f>IFERROR(__xludf.DUMMYFUNCTION("""COMPUTED_VALUE"""),"HRMD")</f>
        <v>HRMD</v>
      </c>
      <c r="D935" s="196" t="str">
        <f>IFERROR(__xludf.DUMMYFUNCTION("""COMPUTED_VALUE"""),"POLO LS
MALE LONG PANTS
COAT")</f>
        <v>POLO LS
MALE LONG PANTS
COAT</v>
      </c>
      <c r="E935" s="196" t="str">
        <f>IFERROR(__xludf.DUMMYFUNCTION("""COMPUTED_VALUE"""),"NTE UNIFORM (4TH BATCH)")</f>
        <v>NTE UNIFORM (4TH BATCH)</v>
      </c>
    </row>
    <row r="936">
      <c r="A936" s="234">
        <f>IFERROR(__xludf.DUMMYFUNCTION("""COMPUTED_VALUE"""),101227.0)</f>
        <v>101227</v>
      </c>
      <c r="B936" s="235" t="str">
        <f>IFERROR(__xludf.DUMMYFUNCTION("""COMPUTED_VALUE"""),"CLARISSA SORIAO")</f>
        <v>CLARISSA SORIAO</v>
      </c>
      <c r="C936" s="235" t="str">
        <f>IFERROR(__xludf.DUMMYFUNCTION("""COMPUTED_VALUE"""),"HRMD")</f>
        <v>HRMD</v>
      </c>
      <c r="D936" s="196" t="str">
        <f>IFERROR(__xludf.DUMMYFUNCTION("""COMPUTED_VALUE"""),"BLOUSE
SKIRT
LONGPANTS
P.E CARGO PANTS")</f>
        <v>BLOUSE
SKIRT
LONGPANTS
P.E CARGO PANTS</v>
      </c>
      <c r="E936" s="196" t="str">
        <f>IFERROR(__xludf.DUMMYFUNCTION("""COMPUTED_VALUE"""),"BED FACULTY UNIFORM(3RD BATCH)")</f>
        <v>BED FACULTY UNIFORM(3RD BATCH)</v>
      </c>
    </row>
    <row r="937">
      <c r="A937" s="234">
        <f>IFERROR(__xludf.DUMMYFUNCTION("""COMPUTED_VALUE"""),101228.0)</f>
        <v>101228</v>
      </c>
      <c r="B937" s="235" t="str">
        <f>IFERROR(__xludf.DUMMYFUNCTION("""COMPUTED_VALUE"""),"CLARISSA SORIAO")</f>
        <v>CLARISSA SORIAO</v>
      </c>
      <c r="C937" s="235" t="str">
        <f>IFERROR(__xludf.DUMMYFUNCTION("""COMPUTED_VALUE"""),"HRMD")</f>
        <v>HRMD</v>
      </c>
      <c r="D937" s="196" t="str">
        <f>IFERROR(__xludf.DUMMYFUNCTION("""COMPUTED_VALUE"""),"BLOUSE 
SKIRT
LONGPANTS
BLAZER LS
BLAZER 3/4")</f>
        <v>BLOUSE 
SKIRT
LONGPANTS
BLAZER LS
BLAZER 3/4</v>
      </c>
      <c r="E937" s="196" t="str">
        <f>IFERROR(__xludf.DUMMYFUNCTION("""COMPUTED_VALUE"""),"NTE UNIFORM 5TH BATCH")</f>
        <v>NTE UNIFORM 5TH BATCH</v>
      </c>
    </row>
    <row r="938">
      <c r="A938" s="234">
        <f>IFERROR(__xludf.DUMMYFUNCTION("""COMPUTED_VALUE"""),101229.0)</f>
        <v>101229</v>
      </c>
      <c r="B938" s="235" t="str">
        <f>IFERROR(__xludf.DUMMYFUNCTION("""COMPUTED_VALUE"""),"LEOPOLDO BELOY")</f>
        <v>LEOPOLDO BELOY</v>
      </c>
      <c r="C938" s="235" t="str">
        <f>IFERROR(__xludf.DUMMYFUNCTION("""COMPUTED_VALUE"""),"MIS/ICT")</f>
        <v>MIS/ICT</v>
      </c>
      <c r="D938" s="196" t="str">
        <f>IFERROR(__xludf.DUMMYFUNCTION("""COMPUTED_VALUE"""),"VGA PANEL")</f>
        <v>VGA PANEL</v>
      </c>
      <c r="E938" s="196" t="str">
        <f>IFERROR(__xludf.DUMMYFUNCTION("""COMPUTED_VALUE"""),"VGA PANE,VGA PORT FOR INSTALLATION IN E CLASS ROOM")</f>
        <v>VGA PANE,VGA PORT FOR INSTALLATION IN E CLASS ROOM</v>
      </c>
    </row>
    <row r="939">
      <c r="A939" s="234">
        <f>IFERROR(__xludf.DUMMYFUNCTION("""COMPUTED_VALUE"""),101230.0)</f>
        <v>101230</v>
      </c>
      <c r="B939" s="235" t="str">
        <f>IFERROR(__xludf.DUMMYFUNCTION("""COMPUTED_VALUE"""),"LEOPOLDO BELOY")</f>
        <v>LEOPOLDO BELOY</v>
      </c>
      <c r="C939" s="235" t="str">
        <f>IFERROR(__xludf.DUMMYFUNCTION("""COMPUTED_VALUE"""),"MIS/ICT")</f>
        <v>MIS/ICT</v>
      </c>
      <c r="D939" s="196" t="str">
        <f>IFERROR(__xludf.DUMMYFUNCTION("""COMPUTED_VALUE"""),"PROJECTOR EPSON")</f>
        <v>PROJECTOR EPSON</v>
      </c>
      <c r="E939" s="196" t="str">
        <f>IFERROR(__xludf.DUMMYFUNCTION("""COMPUTED_VALUE"""),"OLD PROJECTOR REPLACEMENT IN COLLEGE ROM504,506,508 LUX ROM304
MUNICH COMLAB ")</f>
        <v>OLD PROJECTOR REPLACEMENT IN COLLEGE ROM504,506,508 LUX ROM304
MUNICH COMLAB </v>
      </c>
    </row>
    <row r="940">
      <c r="A940" s="234">
        <f>IFERROR(__xludf.DUMMYFUNCTION("""COMPUTED_VALUE"""),101231.0)</f>
        <v>101231</v>
      </c>
      <c r="B940" s="235" t="str">
        <f>IFERROR(__xludf.DUMMYFUNCTION("""COMPUTED_VALUE"""),"ELYDS REYES")</f>
        <v>ELYDS REYES</v>
      </c>
      <c r="C940" s="235" t="str">
        <f>IFERROR(__xludf.DUMMYFUNCTION("""COMPUTED_VALUE"""),"PR &amp; MARKETING")</f>
        <v>PR &amp; MARKETING</v>
      </c>
      <c r="D940" s="196" t="str">
        <f>IFERROR(__xludf.DUMMYFUNCTION("""COMPUTED_VALUE"""),"10X20 FEET
WSC CONGRATULATORY RAT WITH SEAMING AND EYELET ALL OVER")</f>
        <v>10X20 FEET
WSC CONGRATULATORY RAT WITH SEAMING AND EYELET ALL OVER</v>
      </c>
      <c r="E940" s="196" t="str">
        <f>IFERROR(__xludf.DUMMYFUNCTION("""COMPUTED_VALUE"""),"MARKETING")</f>
        <v>MARKETING</v>
      </c>
    </row>
    <row r="941">
      <c r="A941" s="234">
        <f>IFERROR(__xludf.DUMMYFUNCTION("""COMPUTED_VALUE"""),101232.0)</f>
        <v>101232</v>
      </c>
      <c r="B941" s="235" t="str">
        <f>IFERROR(__xludf.DUMMYFUNCTION("""COMPUTED_VALUE"""),"DEAN CARMELITA")</f>
        <v>DEAN CARMELITA</v>
      </c>
      <c r="C941" s="235" t="str">
        <f>IFERROR(__xludf.DUMMYFUNCTION("""COMPUTED_VALUE"""),"NURSING")</f>
        <v>NURSING</v>
      </c>
      <c r="D941" s="196" t="str">
        <f>IFERROR(__xludf.DUMMYFUNCTION("""COMPUTED_VALUE"""),"SISC PLAQUE
MEDIUM SIZE (PIC IN CEMS OFFICE)")</f>
        <v>SISC PLAQUE
MEDIUM SIZE (PIC IN CEMS OFFICE)</v>
      </c>
      <c r="E941" s="196" t="str">
        <f>IFERROR(__xludf.DUMMYFUNCTION("""COMPUTED_VALUE"""),"TO BE WARDED TO DISTINGUISHED BOARD OF ADMISER IN US")</f>
        <v>TO BE WARDED TO DISTINGUISHED BOARD OF ADMISER IN US</v>
      </c>
    </row>
    <row r="942">
      <c r="A942" s="234">
        <f>IFERROR(__xludf.DUMMYFUNCTION("""COMPUTED_VALUE"""),101233.0)</f>
        <v>101233</v>
      </c>
      <c r="B942" s="235" t="str">
        <f>IFERROR(__xludf.DUMMYFUNCTION("""COMPUTED_VALUE"""),"CRISMARIE ESPINOSA")</f>
        <v>CRISMARIE ESPINOSA</v>
      </c>
      <c r="C942" s="235" t="str">
        <f>IFERROR(__xludf.DUMMYFUNCTION("""COMPUTED_VALUE"""),"PRESIDENT'S OFFICE")</f>
        <v>PRESIDENT'S OFFICE</v>
      </c>
      <c r="D942" s="196" t="str">
        <f>IFERROR(__xludf.DUMMYFUNCTION("""COMPUTED_VALUE"""),"CT-016 CRYSTAL DIAMOND W/ ENGRAVE DESIGN 4.5 TALL 950 PC
(PURPLE)")</f>
        <v>CT-016 CRYSTAL DIAMOND W/ ENGRAVE DESIGN 4.5 TALL 950 PC
(PURPLE)</v>
      </c>
      <c r="E942" s="196" t="str">
        <f>IFERROR(__xludf.DUMMYFUNCTION("""COMPUTED_VALUE"""),"PLAQUE FOR PQA MENTORS")</f>
        <v>PLAQUE FOR PQA MENTORS</v>
      </c>
    </row>
    <row r="943">
      <c r="A943" s="234">
        <f>IFERROR(__xludf.DUMMYFUNCTION("""COMPUTED_VALUE"""),101234.0)</f>
        <v>101234</v>
      </c>
      <c r="B943" s="235" t="str">
        <f>IFERROR(__xludf.DUMMYFUNCTION("""COMPUTED_VALUE"""),"SHEREE ESPINOSA")</f>
        <v>SHEREE ESPINOSA</v>
      </c>
      <c r="C943" s="235" t="str">
        <f>IFERROR(__xludf.DUMMYFUNCTION("""COMPUTED_VALUE"""),"HOUSEKEEPING")</f>
        <v>HOUSEKEEPING</v>
      </c>
      <c r="D943" s="196" t="str">
        <f>IFERROR(__xludf.DUMMYFUNCTION("""COMPUTED_VALUE"""),"CERAMIC TILES 60 CM
STIKWELL")</f>
        <v>CERAMIC TILES 60 CM
STIKWELL</v>
      </c>
      <c r="E943" s="196" t="str">
        <f>IFERROR(__xludf.DUMMYFUNCTION("""COMPUTED_VALUE"""),"REPLACEMENT OF KAPOT AND BROKEN TILES IN BED BLDG")</f>
        <v>REPLACEMENT OF KAPOT AND BROKEN TILES IN BED BLDG</v>
      </c>
    </row>
    <row r="944">
      <c r="A944" s="234">
        <f>IFERROR(__xludf.DUMMYFUNCTION("""COMPUTED_VALUE"""),101235.0)</f>
        <v>101235</v>
      </c>
      <c r="B944" s="235" t="str">
        <f>IFERROR(__xludf.DUMMYFUNCTION("""COMPUTED_VALUE"""),"TALA ALZONA")</f>
        <v>TALA ALZONA</v>
      </c>
      <c r="C944" s="235" t="str">
        <f>IFERROR(__xludf.DUMMYFUNCTION("""COMPUTED_VALUE"""),"PRESIDENT'S OFFICE")</f>
        <v>PRESIDENT'S OFFICE</v>
      </c>
      <c r="D944" s="196" t="str">
        <f>IFERROR(__xludf.DUMMYFUNCTION("""COMPUTED_VALUE"""),"ASSORTED TOKENS FOR COMMITTEE
PAPER FOR CERTIFICATES
CERTIFICATE HOLDER (5X7) (3X5)")</f>
        <v>ASSORTED TOKENS FOR COMMITTEE
PAPER FOR CERTIFICATES
CERTIFICATE HOLDER (5X7) (3X5)</v>
      </c>
      <c r="E944" s="196" t="str">
        <f>IFERROR(__xludf.DUMMYFUNCTION("""COMPUTED_VALUE"""),"P2A CELEBRATION AWARDING -DEC 10 2019")</f>
        <v>P2A CELEBRATION AWARDING -DEC 10 2019</v>
      </c>
    </row>
    <row r="945">
      <c r="A945" s="234">
        <f>IFERROR(__xludf.DUMMYFUNCTION("""COMPUTED_VALUE"""),101236.0)</f>
        <v>101236</v>
      </c>
      <c r="B945" s="235" t="str">
        <f>IFERROR(__xludf.DUMMYFUNCTION("""COMPUTED_VALUE"""),"ADRIAN DE GUINTO")</f>
        <v>ADRIAN DE GUINTO</v>
      </c>
      <c r="C945" s="235" t="str">
        <f>IFERROR(__xludf.DUMMYFUNCTION("""COMPUTED_VALUE"""),"PR &amp; MARKETING")</f>
        <v>PR &amp; MARKETING</v>
      </c>
      <c r="D945" s="196" t="str">
        <f>IFERROR(__xludf.DUMMYFUNCTION("""COMPUTED_VALUE"""),"WSC 2019 
BACK TO BACK TOP 1 FILIPINO SCHOLAR
6X9 
7X10")</f>
        <v>WSC 2019 
BACK TO BACK TOP 1 FILIPINO SCHOLAR
6X9 
7X10</v>
      </c>
      <c r="E945" s="196" t="str">
        <f>IFERROR(__xludf.DUMMYFUNCTION("""COMPUTED_VALUE"""),"FOR MARKETING ADVERTISEMENT")</f>
        <v>FOR MARKETING ADVERTISEMENT</v>
      </c>
    </row>
    <row r="946">
      <c r="A946" s="234">
        <f>IFERROR(__xludf.DUMMYFUNCTION("""COMPUTED_VALUE"""),101237.0)</f>
        <v>101237</v>
      </c>
      <c r="B946" s="235" t="str">
        <f>IFERROR(__xludf.DUMMYFUNCTION("""COMPUTED_VALUE"""),"JACQUELINE SAMSONA")</f>
        <v>JACQUELINE SAMSONA</v>
      </c>
      <c r="C946" s="235" t="str">
        <f>IFERROR(__xludf.DUMMYFUNCTION("""COMPUTED_VALUE"""),"SCIENCE LAB COLLEGE")</f>
        <v>SCIENCE LAB COLLEGE</v>
      </c>
      <c r="D946" s="196" t="str">
        <f>IFERROR(__xludf.DUMMYFUNCTION("""COMPUTED_VALUE"""),"A4 STICKER PAPER 100PCS
PACKAGING TAPE ( TRANSPARENT )")</f>
        <v>A4 STICKER PAPER 100PCS
PACKAGING TAPE ( TRANSPARENT )</v>
      </c>
      <c r="E946" s="196" t="str">
        <f>IFERROR(__xludf.DUMMYFUNCTION("""COMPUTED_VALUE"""),"FOR LABELING OF CHEMICALS DURING DISPOSAL AND STORAGE")</f>
        <v>FOR LABELING OF CHEMICALS DURING DISPOSAL AND STORAGE</v>
      </c>
    </row>
    <row r="947">
      <c r="A947" s="234">
        <f>IFERROR(__xludf.DUMMYFUNCTION("""COMPUTED_VALUE"""),101238.0)</f>
        <v>101238</v>
      </c>
      <c r="B947" s="235" t="str">
        <f>IFERROR(__xludf.DUMMYFUNCTION("""COMPUTED_VALUE"""),"JACQUELINE SAMSONA")</f>
        <v>JACQUELINE SAMSONA</v>
      </c>
      <c r="C947" s="235" t="str">
        <f>IFERROR(__xludf.DUMMYFUNCTION("""COMPUTED_VALUE"""),"SCIENCE LAB COLLEGE")</f>
        <v>SCIENCE LAB COLLEGE</v>
      </c>
      <c r="D947" s="196" t="str">
        <f>IFERROR(__xludf.DUMMYFUNCTION("""COMPUTED_VALUE"""),"NURSING AND SCIENCE ( COLLEGE) LABORATORY MATERIALS AND CHEMICALS FOR 2ND SEMESTER")</f>
        <v>NURSING AND SCIENCE ( COLLEGE) LABORATORY MATERIALS AND CHEMICALS FOR 2ND SEMESTER</v>
      </c>
      <c r="E947" s="196" t="str">
        <f>IFERROR(__xludf.DUMMYFUNCTION("""COMPUTED_VALUE"""),"FOR REPLENISHMENT OF MATERIALS TO BE USED FOR 2ND SEMESTER")</f>
        <v>FOR REPLENISHMENT OF MATERIALS TO BE USED FOR 2ND SEMESTER</v>
      </c>
    </row>
    <row r="948">
      <c r="A948" s="234">
        <f>IFERROR(__xludf.DUMMYFUNCTION("""COMPUTED_VALUE"""),101239.0)</f>
        <v>101239</v>
      </c>
      <c r="B948" s="235" t="str">
        <f>IFERROR(__xludf.DUMMYFUNCTION("""COMPUTED_VALUE"""),"ALFA DE LEON")</f>
        <v>ALFA DE LEON</v>
      </c>
      <c r="C948" s="235" t="str">
        <f>IFERROR(__xludf.DUMMYFUNCTION("""COMPUTED_VALUE"""),"ADMIN - MUNICH")</f>
        <v>ADMIN - MUNICH</v>
      </c>
      <c r="D948" s="196" t="str">
        <f>IFERROR(__xludf.DUMMYFUNCTION("""COMPUTED_VALUE"""),"STAINLESS PRESSUREWATER TANK
82 GALLONS")</f>
        <v>STAINLESS PRESSUREWATER TANK
82 GALLONS</v>
      </c>
      <c r="E948" s="196" t="str">
        <f>IFERROR(__xludf.DUMMYFUNCTION("""COMPUTED_VALUE"""),"EXISTING WATER TANK IS ALREADY FOR REPAIRS ")</f>
        <v>EXISTING WATER TANK IS ALREADY FOR REPAIRS </v>
      </c>
    </row>
    <row r="949">
      <c r="A949" s="234">
        <f>IFERROR(__xludf.DUMMYFUNCTION("""COMPUTED_VALUE"""),101240.0)</f>
        <v>101240</v>
      </c>
      <c r="B949" s="235" t="str">
        <f>IFERROR(__xludf.DUMMYFUNCTION("""COMPUTED_VALUE"""),"lia amor g arcaina ")</f>
        <v>lia amor g arcaina </v>
      </c>
      <c r="C949" s="235" t="str">
        <f>IFERROR(__xludf.DUMMYFUNCTION("""COMPUTED_VALUE"""),"STUDENT AFFAIRS BED")</f>
        <v>STUDENT AFFAIRS BED</v>
      </c>
      <c r="D949" s="196" t="str">
        <f>IFERROR(__xludf.DUMMYFUNCTION("""COMPUTED_VALUE"""),"flowers for ryan anthony cruz 
to be delivered to 
holy trinity 2nd floor san isidro labrador chapel")</f>
        <v>flowers for ryan anthony cruz 
to be delivered to 
holy trinity 2nd floor san isidro labrador chapel</v>
      </c>
      <c r="E949" s="196" t="str">
        <f>IFERROR(__xludf.DUMMYFUNCTION("""COMPUTED_VALUE"""),"father of our grade 8 student passed away")</f>
        <v>father of our grade 8 student passed away</v>
      </c>
    </row>
    <row r="950">
      <c r="A950" s="234">
        <f>IFERROR(__xludf.DUMMYFUNCTION("""COMPUTED_VALUE"""),101241.0)</f>
        <v>101241</v>
      </c>
      <c r="B950" s="235" t="str">
        <f>IFERROR(__xludf.DUMMYFUNCTION("""COMPUTED_VALUE"""),"ADRIAN DE GUINTO")</f>
        <v>ADRIAN DE GUINTO</v>
      </c>
      <c r="C950" s="235" t="str">
        <f>IFERROR(__xludf.DUMMYFUNCTION("""COMPUTED_VALUE"""),"PR &amp; MARKETING")</f>
        <v>PR &amp; MARKETING</v>
      </c>
      <c r="D950" s="196" t="str">
        <f>IFERROR(__xludf.DUMMYFUNCTION("""COMPUTED_VALUE"""),"1 PC LET BOARD PASSED TARP")</f>
        <v>1 PC LET BOARD PASSED TARP</v>
      </c>
      <c r="E950" s="196" t="str">
        <f>IFERROR(__xludf.DUMMYFUNCTION("""COMPUTED_VALUE"""),"FOR MARKETING ADVERTISEMENT")</f>
        <v>FOR MARKETING ADVERTISEMENT</v>
      </c>
    </row>
    <row r="951">
      <c r="A951" s="234">
        <f>IFERROR(__xludf.DUMMYFUNCTION("""COMPUTED_VALUE"""),101242.0)</f>
        <v>101242</v>
      </c>
      <c r="B951" s="235" t="str">
        <f>IFERROR(__xludf.DUMMYFUNCTION("""COMPUTED_VALUE"""),"OWIE PAR")</f>
        <v>OWIE PAR</v>
      </c>
      <c r="C951" s="235" t="str">
        <f>IFERROR(__xludf.DUMMYFUNCTION("""COMPUTED_VALUE"""),"ENGINEERING")</f>
        <v>ENGINEERING</v>
      </c>
      <c r="D951" s="196" t="str">
        <f>IFERROR(__xludf.DUMMYFUNCTION("""COMPUTED_VALUE"""),"MATERIALS FOR CHRISTMAS BREAK PROJECT")</f>
        <v>MATERIALS FOR CHRISTMAS BREAK PROJECT</v>
      </c>
      <c r="E951" s="196" t="str">
        <f>IFERROR(__xludf.DUMMYFUNCTION("""COMPUTED_VALUE"""),"CHRISTMAS BREAK PROJECT")</f>
        <v>CHRISTMAS BREAK PROJECT</v>
      </c>
    </row>
    <row r="952">
      <c r="A952" s="234">
        <f>IFERROR(__xludf.DUMMYFUNCTION("""COMPUTED_VALUE"""),101243.0)</f>
        <v>101243</v>
      </c>
      <c r="B952" s="235" t="str">
        <f>IFERROR(__xludf.DUMMYFUNCTION("""COMPUTED_VALUE"""),"T. BELLE ")</f>
        <v>T. BELLE </v>
      </c>
      <c r="C952" s="235" t="str">
        <f>IFERROR(__xludf.DUMMYFUNCTION("""COMPUTED_VALUE"""),"LANDSCAPING")</f>
        <v>LANDSCAPING</v>
      </c>
      <c r="D952" s="196" t="str">
        <f>IFERROR(__xludf.DUMMYFUNCTION("""COMPUTED_VALUE"""),"POTS")</f>
        <v>POTS</v>
      </c>
      <c r="E952" s="196" t="str">
        <f>IFERROR(__xludf.DUMMYFUNCTION("""COMPUTED_VALUE"""),"REPLACEMENT OF POTS")</f>
        <v>REPLACEMENT OF POTS</v>
      </c>
    </row>
    <row r="953">
      <c r="A953" s="234">
        <f>IFERROR(__xludf.DUMMYFUNCTION("""COMPUTED_VALUE"""),101244.0)</f>
        <v>101244</v>
      </c>
      <c r="B953" s="235" t="str">
        <f>IFERROR(__xludf.DUMMYFUNCTION("""COMPUTED_VALUE"""),"EDGAR REBELLON")</f>
        <v>EDGAR REBELLON</v>
      </c>
      <c r="C953" s="235" t="str">
        <f>IFERROR(__xludf.DUMMYFUNCTION("""COMPUTED_VALUE"""),"ADMIN")</f>
        <v>ADMIN</v>
      </c>
      <c r="D953" s="196" t="str">
        <f>IFERROR(__xludf.DUMMYFUNCTION("""COMPUTED_VALUE"""),"SAND 10 SACKS; TWIST TIE BACK 5 ROLLS")</f>
        <v>SAND 10 SACKS; TWIST TIE BACK 5 ROLLS</v>
      </c>
      <c r="E953" s="196" t="str">
        <f>IFERROR(__xludf.DUMMYFUNCTION("""COMPUTED_VALUE"""),"MATERIALS FOR THE WATER CONSERVATION PROJECT")</f>
        <v>MATERIALS FOR THE WATER CONSERVATION PROJECT</v>
      </c>
    </row>
    <row r="954">
      <c r="A954" s="234">
        <f>IFERROR(__xludf.DUMMYFUNCTION("""COMPUTED_VALUE"""),101245.0)</f>
        <v>101245</v>
      </c>
      <c r="B954" s="235" t="str">
        <f>IFERROR(__xludf.DUMMYFUNCTION("""COMPUTED_VALUE"""),"EDGAR REBELLON")</f>
        <v>EDGAR REBELLON</v>
      </c>
      <c r="C954" s="235" t="str">
        <f>IFERROR(__xludf.DUMMYFUNCTION("""COMPUTED_VALUE"""),"ADMIN")</f>
        <v>ADMIN</v>
      </c>
      <c r="D954" s="196" t="str">
        <f>IFERROR(__xludf.DUMMYFUNCTION("""COMPUTED_VALUE"""),"JERSEY MALE 27 PCS; JERSEY FEMALE 31 PCS")</f>
        <v>JERSEY MALE 27 PCS; JERSEY FEMALE 31 PCS</v>
      </c>
      <c r="E954" s="196" t="str">
        <f>IFERROR(__xludf.DUMMYFUNCTION("""COMPUTED_VALUE"""),"ADMIN COSTUMES FOR THE CHRISTMAS PARTY - SALARY DEDUCTION")</f>
        <v>ADMIN COSTUMES FOR THE CHRISTMAS PARTY - SALARY DEDUCTION</v>
      </c>
    </row>
    <row r="955">
      <c r="A955" s="234">
        <f>IFERROR(__xludf.DUMMYFUNCTION("""COMPUTED_VALUE"""),101246.0)</f>
        <v>101246</v>
      </c>
      <c r="B955" s="235" t="str">
        <f>IFERROR(__xludf.DUMMYFUNCTION("""COMPUTED_VALUE"""),"MARVIN MARASIGAN")</f>
        <v>MARVIN MARASIGAN</v>
      </c>
      <c r="C955" s="235" t="str">
        <f>IFERROR(__xludf.DUMMYFUNCTION("""COMPUTED_VALUE"""),"PR &amp; MARKETING")</f>
        <v>PR &amp; MARKETING</v>
      </c>
      <c r="D955" s="196" t="str">
        <f>IFERROR(__xludf.DUMMYFUNCTION("""COMPUTED_VALUE"""),"NEW FOLDER PROPOSAL")</f>
        <v>NEW FOLDER PROPOSAL</v>
      </c>
      <c r="E955" s="196" t="str">
        <f>IFERROR(__xludf.DUMMYFUNCTION("""COMPUTED_VALUE"""),"FOLDER IMPROVEMENT FOR ADMISSION RELATED")</f>
        <v>FOLDER IMPROVEMENT FOR ADMISSION RELATED</v>
      </c>
    </row>
    <row r="956">
      <c r="A956" s="234">
        <f>IFERROR(__xludf.DUMMYFUNCTION("""COMPUTED_VALUE"""),101247.0)</f>
        <v>101247</v>
      </c>
      <c r="B956" s="235" t="str">
        <f>IFERROR(__xludf.DUMMYFUNCTION("""COMPUTED_VALUE"""),"vye revoltar")</f>
        <v>vye revoltar</v>
      </c>
      <c r="C956" s="235" t="str">
        <f>IFERROR(__xludf.DUMMYFUNCTION("""COMPUTED_VALUE"""),"CEM OFFICE")</f>
        <v>CEM OFFICE</v>
      </c>
      <c r="D956" s="196" t="str">
        <f>IFERROR(__xludf.DUMMYFUNCTION("""COMPUTED_VALUE"""),"hammer 
flat nose pliers
long nesed
screw drivers
philips
non philips
assorted size nails -finish
not finishing")</f>
        <v>hammer 
flat nose pliers
long nesed
screw drivers
philips
non philips
assorted size nails -finish
not finishing</v>
      </c>
      <c r="E956" s="196" t="str">
        <f>IFERROR(__xludf.DUMMYFUNCTION("""COMPUTED_VALUE"""),"for use of cem office")</f>
        <v>for use of cem office</v>
      </c>
    </row>
    <row r="957">
      <c r="A957" s="234">
        <f>IFERROR(__xludf.DUMMYFUNCTION("""COMPUTED_VALUE"""),101248.0)</f>
        <v>101248</v>
      </c>
      <c r="B957" s="235" t="str">
        <f>IFERROR(__xludf.DUMMYFUNCTION("""COMPUTED_VALUE"""),"NESSIE LUMBRES")</f>
        <v>NESSIE LUMBRES</v>
      </c>
      <c r="C957" s="235" t="str">
        <f>IFERROR(__xludf.DUMMYFUNCTION("""COMPUTED_VALUE"""),"PRINCIPAL'S OFFICE")</f>
        <v>PRINCIPAL'S OFFICE</v>
      </c>
      <c r="D957" s="196" t="str">
        <f>IFERROR(__xludf.DUMMYFUNCTION("""COMPUTED_VALUE"""),"BATCH SHIRT")</f>
        <v>BATCH SHIRT</v>
      </c>
      <c r="E957" s="196" t="str">
        <f>IFERROR(__xludf.DUMMYFUNCTION("""COMPUTED_VALUE"""),"BATCH SHIRT FOR NEW STUDENTS")</f>
        <v>BATCH SHIRT FOR NEW STUDENTS</v>
      </c>
    </row>
    <row r="958">
      <c r="A958" s="234">
        <f>IFERROR(__xludf.DUMMYFUNCTION("""COMPUTED_VALUE"""),101249.0)</f>
        <v>101249</v>
      </c>
      <c r="B958" s="235" t="str">
        <f>IFERROR(__xludf.DUMMYFUNCTION("""COMPUTED_VALUE"""),"SHEREE ESPINOSA")</f>
        <v>SHEREE ESPINOSA</v>
      </c>
      <c r="C958" s="235" t="str">
        <f>IFERROR(__xludf.DUMMYFUNCTION("""COMPUTED_VALUE"""),"HOUSEKEEPING")</f>
        <v>HOUSEKEEPING</v>
      </c>
      <c r="D958" s="196" t="str">
        <f>IFERROR(__xludf.DUMMYFUNCTION("""COMPUTED_VALUE"""),"TRASH BIN HOODED TYPE 
TRASH BIN SWING TYPE")</f>
        <v>TRASH BIN HOODED TYPE 
TRASH BIN SWING TYPE</v>
      </c>
      <c r="E958" s="196" t="str">
        <f>IFERROR(__xludf.DUMMYFUNCTION("""COMPUTED_VALUE"""),"FOR LUX CAMPUS- WASTE")</f>
        <v>FOR LUX CAMPUS- WASTE</v>
      </c>
    </row>
    <row r="959">
      <c r="A959" s="234">
        <f>IFERROR(__xludf.DUMMYFUNCTION("""COMPUTED_VALUE"""),101250.0)</f>
        <v>101250</v>
      </c>
      <c r="B959" s="235" t="str">
        <f>IFERROR(__xludf.DUMMYFUNCTION("""COMPUTED_VALUE"""),"ALFA DE LEON")</f>
        <v>ALFA DE LEON</v>
      </c>
      <c r="C959" s="235" t="str">
        <f>IFERROR(__xludf.DUMMYFUNCTION("""COMPUTED_VALUE"""),"HOUSEKEEPING")</f>
        <v>HOUSEKEEPING</v>
      </c>
      <c r="D959" s="196" t="str">
        <f>IFERROR(__xludf.DUMMYFUNCTION("""COMPUTED_VALUE"""),"TRASH BIN - HANDED TYPE")</f>
        <v>TRASH BIN - HANDED TYPE</v>
      </c>
      <c r="E959" s="196" t="str">
        <f>IFERROR(__xludf.DUMMYFUNCTION("""COMPUTED_VALUE"""),"FOR MUNICH CAMPUS WASTE SEGREGATION")</f>
        <v>FOR MUNICH CAMPUS WASTE SEGREGATION</v>
      </c>
    </row>
    <row r="960">
      <c r="A960" s="234">
        <f>IFERROR(__xludf.DUMMYFUNCTION("""COMPUTED_VALUE"""),101251.0)</f>
        <v>101251</v>
      </c>
      <c r="B960" s="235" t="str">
        <f>IFERROR(__xludf.DUMMYFUNCTION("""COMPUTED_VALUE"""),"SHEREE ESPINOSA")</f>
        <v>SHEREE ESPINOSA</v>
      </c>
      <c r="C960" s="235" t="str">
        <f>IFERROR(__xludf.DUMMYFUNCTION("""COMPUTED_VALUE"""),"ADMIN")</f>
        <v>ADMIN</v>
      </c>
      <c r="D960" s="196" t="str">
        <f>IFERROR(__xludf.DUMMYFUNCTION("""COMPUTED_VALUE"""),"PERCOLATOR IMARFLE")</f>
        <v>PERCOLATOR IMARFLE</v>
      </c>
      <c r="E960" s="196" t="str">
        <f>IFERROR(__xludf.DUMMYFUNCTION("""COMPUTED_VALUE"""),"FOR LUX CAMPUS ")</f>
        <v>FOR LUX CAMPUS </v>
      </c>
    </row>
    <row r="961">
      <c r="A961" s="234">
        <f>IFERROR(__xludf.DUMMYFUNCTION("""COMPUTED_VALUE"""),101252.0)</f>
        <v>101252</v>
      </c>
      <c r="B961" s="235" t="str">
        <f>IFERROR(__xludf.DUMMYFUNCTION("""COMPUTED_VALUE"""),"CHRISTIAN ANDRES")</f>
        <v>CHRISTIAN ANDRES</v>
      </c>
      <c r="C961" s="235" t="str">
        <f>IFERROR(__xludf.DUMMYFUNCTION("""COMPUTED_VALUE"""),"PR &amp; MARKETING")</f>
        <v>PR &amp; MARKETING</v>
      </c>
      <c r="D961" s="196" t="str">
        <f>IFERROR(__xludf.DUMMYFUNCTION("""COMPUTED_VALUE"""),"SISC BASIC ED WFO POCKET
(7.104 X 11) - SIZE
")</f>
        <v>SISC BASIC ED WFO POCKET
(7.104 X 11) - SIZE
</v>
      </c>
      <c r="E961" s="196" t="str">
        <f>IFERROR(__xludf.DUMMYFUNCTION("""COMPUTED_VALUE"""),"MARKETING")</f>
        <v>MARKETING</v>
      </c>
    </row>
    <row r="962">
      <c r="A962" s="234">
        <f>IFERROR(__xludf.DUMMYFUNCTION("""COMPUTED_VALUE"""),101253.0)</f>
        <v>101253</v>
      </c>
      <c r="B962" s="235" t="str">
        <f>IFERROR(__xludf.DUMMYFUNCTION("""COMPUTED_VALUE"""),"PHEN PETIN")</f>
        <v>PHEN PETIN</v>
      </c>
      <c r="C962" s="235" t="str">
        <f>IFERROR(__xludf.DUMMYFUNCTION("""COMPUTED_VALUE"""),"ADMIN")</f>
        <v>ADMIN</v>
      </c>
      <c r="D962" s="196" t="str">
        <f>IFERROR(__xludf.DUMMYFUNCTION("""COMPUTED_VALUE"""),"TRASH BIN SMALL")</f>
        <v>TRASH BIN SMALL</v>
      </c>
      <c r="E962" s="196" t="str">
        <f>IFERROR(__xludf.DUMMYFUNCTION("""COMPUTED_VALUE"""),"ADDITONAL TRASH CAN FOR ANNE PARKING")</f>
        <v>ADDITONAL TRASH CAN FOR ANNE PARKING</v>
      </c>
    </row>
    <row r="963">
      <c r="A963" s="234">
        <f>IFERROR(__xludf.DUMMYFUNCTION("""COMPUTED_VALUE"""),101254.0)</f>
        <v>101254</v>
      </c>
      <c r="B963" s="235" t="str">
        <f>IFERROR(__xludf.DUMMYFUNCTION("""COMPUTED_VALUE"""),"SHEREE ESPINOSA")</f>
        <v>SHEREE ESPINOSA</v>
      </c>
      <c r="C963" s="235" t="str">
        <f>IFERROR(__xludf.DUMMYFUNCTION("""COMPUTED_VALUE"""),"HOUSEKEEPING")</f>
        <v>HOUSEKEEPING</v>
      </c>
      <c r="D963" s="196" t="str">
        <f>IFERROR(__xludf.DUMMYFUNCTION("""COMPUTED_VALUE"""),"TISSUE HOLDER
SIDE TABLE
SOAP DISPENSER
TRASH CAN")</f>
        <v>TISSUE HOLDER
SIDE TABLE
SOAP DISPENSER
TRASH CAN</v>
      </c>
      <c r="E963" s="196" t="str">
        <f>IFERROR(__xludf.DUMMYFUNCTION("""COMPUTED_VALUE"""),"FOR PRESIDENTS OFFICE")</f>
        <v>FOR PRESIDENTS OFFICE</v>
      </c>
    </row>
    <row r="964">
      <c r="A964" s="234">
        <f>IFERROR(__xludf.DUMMYFUNCTION("""COMPUTED_VALUE"""),101255.0)</f>
        <v>101255</v>
      </c>
      <c r="B964" s="235" t="str">
        <f>IFERROR(__xludf.DUMMYFUNCTION("""COMPUTED_VALUE"""),"OWIE PAR")</f>
        <v>OWIE PAR</v>
      </c>
      <c r="C964" s="235" t="str">
        <f>IFERROR(__xludf.DUMMYFUNCTION("""COMPUTED_VALUE"""),"ENGINEERING")</f>
        <v>ENGINEERING</v>
      </c>
      <c r="D964" s="196" t="str">
        <f>IFERROR(__xludf.DUMMYFUNCTION("""COMPUTED_VALUE"""),"EXIT SIGNAGE
EMERGENCY LIGHTS
FIRE EXITINGUISHER
SMOKE DETECTOR")</f>
        <v>EXIT SIGNAGE
EMERGENCY LIGHTS
FIRE EXITINGUISHER
SMOKE DETECTOR</v>
      </c>
      <c r="E964" s="196" t="str">
        <f>IFERROR(__xludf.DUMMYFUNCTION("""COMPUTED_VALUE"""),"FOR ACT FARM")</f>
        <v>FOR ACT FARM</v>
      </c>
    </row>
    <row r="965">
      <c r="A965" s="234">
        <f>IFERROR(__xludf.DUMMYFUNCTION("""COMPUTED_VALUE"""),101256.0)</f>
        <v>101256</v>
      </c>
      <c r="B965" s="235" t="str">
        <f>IFERROR(__xludf.DUMMYFUNCTION("""COMPUTED_VALUE"""),"SHEREE ESPINOSA")</f>
        <v>SHEREE ESPINOSA</v>
      </c>
      <c r="C965" s="235" t="str">
        <f>IFERROR(__xludf.DUMMYFUNCTION("""COMPUTED_VALUE"""),"HOUSEKEEPING")</f>
        <v>HOUSEKEEPING</v>
      </c>
      <c r="D965" s="196" t="str">
        <f>IFERROR(__xludf.DUMMYFUNCTION("""COMPUTED_VALUE"""),"TWO SEATER SOFA")</f>
        <v>TWO SEATER SOFA</v>
      </c>
      <c r="E965" s="196" t="str">
        <f>IFERROR(__xludf.DUMMYFUNCTION("""COMPUTED_VALUE"""),"FOR PRESIDENTS OFFICE")</f>
        <v>FOR PRESIDENTS OFFICE</v>
      </c>
    </row>
    <row r="966">
      <c r="A966" s="234">
        <f>IFERROR(__xludf.DUMMYFUNCTION("""COMPUTED_VALUE"""),101257.0)</f>
        <v>101257</v>
      </c>
      <c r="B966" s="235" t="str">
        <f>IFERROR(__xludf.DUMMYFUNCTION("""COMPUTED_VALUE"""),"SHEREE ESPINOSA")</f>
        <v>SHEREE ESPINOSA</v>
      </c>
      <c r="C966" s="235" t="str">
        <f>IFERROR(__xludf.DUMMYFUNCTION("""COMPUTED_VALUE"""),"HOUSEKEEPING")</f>
        <v>HOUSEKEEPING</v>
      </c>
      <c r="D966" s="196" t="str">
        <f>IFERROR(__xludf.DUMMYFUNCTION("""COMPUTED_VALUE"""),"BLINDS (COMBI BLINDS) ")</f>
        <v>BLINDS (COMBI BLINDS) </v>
      </c>
      <c r="E966" s="196" t="str">
        <f>IFERROR(__xludf.DUMMYFUNCTION("""COMPUTED_VALUE"""),"FOR PRESIDENTS OFFICE")</f>
        <v>FOR PRESIDENTS OFFICE</v>
      </c>
    </row>
    <row r="967">
      <c r="A967" s="234">
        <f>IFERROR(__xludf.DUMMYFUNCTION("""COMPUTED_VALUE"""),101258.0)</f>
        <v>101258</v>
      </c>
      <c r="B967" s="235" t="str">
        <f>IFERROR(__xludf.DUMMYFUNCTION("""COMPUTED_VALUE"""),"APRIL D. TRAJICO")</f>
        <v>APRIL D. TRAJICO</v>
      </c>
      <c r="C967" s="235" t="str">
        <f>IFERROR(__xludf.DUMMYFUNCTION("""COMPUTED_VALUE"""),"AMD")</f>
        <v>AMD</v>
      </c>
      <c r="D967" s="196" t="str">
        <f>IFERROR(__xludf.DUMMYFUNCTION("""COMPUTED_VALUE"""),"BATTERY, ENERGIZER SIZE 9V 70PCS; BATTERY, ENERGIZER SIZE AA 120PCS; CLIP, PAPER (50GMS/BOX),PRINCE VINYL COATED-SMALL 45BOXES; GLUE, ELMER'S - 130GS 60PCS; CUTTER, HANDY-BIG 6300 GRP 10PCS")</f>
        <v>BATTERY, ENERGIZER SIZE 9V 70PCS; BATTERY, ENERGIZER SIZE AA 120PCS; CLIP, PAPER (50GMS/BOX),PRINCE VINYL COATED-SMALL 45BOXES; GLUE, ELMER'S - 130GS 60PCS; CUTTER, HANDY-BIG 6300 GRP 10PCS</v>
      </c>
      <c r="E967" s="196" t="str">
        <f>IFERROR(__xludf.DUMMYFUNCTION("""COMPUTED_VALUE"""),"STOCK REPLENISHMENT - OSSUP")</f>
        <v>STOCK REPLENISHMENT - OSSUP</v>
      </c>
    </row>
    <row r="968">
      <c r="A968" s="234">
        <f>IFERROR(__xludf.DUMMYFUNCTION("""COMPUTED_VALUE"""),101259.0)</f>
        <v>101259</v>
      </c>
      <c r="B968" s="235" t="str">
        <f>IFERROR(__xludf.DUMMYFUNCTION("""COMPUTED_VALUE"""),"APRIL D. TRAJICO")</f>
        <v>APRIL D. TRAJICO</v>
      </c>
      <c r="C968" s="235" t="str">
        <f>IFERROR(__xludf.DUMMYFUNCTION("""COMPUTED_VALUE"""),"AMD")</f>
        <v>AMD</v>
      </c>
      <c r="D968" s="196" t="str">
        <f>IFERROR(__xludf.DUMMYFUNCTION("""COMPUTED_VALUE"""),"INK, STAMP PAD - EVEREADY PURPLE 2PCS, BLUE 2PCS, BLACK 2PCS; PUSH PINS 30'S 10BOXES; TAPE, DUCT TAPE (2INX10M 25PCS)")</f>
        <v>INK, STAMP PAD - EVEREADY PURPLE 2PCS, BLUE 2PCS, BLACK 2PCS; PUSH PINS 30'S 10BOXES; TAPE, DUCT TAPE (2INX10M 25PCS)</v>
      </c>
      <c r="E968" s="196" t="str">
        <f>IFERROR(__xludf.DUMMYFUNCTION("""COMPUTED_VALUE"""),"STOCK REPLENISHMENT - OSSUP")</f>
        <v>STOCK REPLENISHMENT - OSSUP</v>
      </c>
    </row>
    <row r="969">
      <c r="A969" s="234">
        <f>IFERROR(__xludf.DUMMYFUNCTION("""COMPUTED_VALUE"""),101260.0)</f>
        <v>101260</v>
      </c>
      <c r="B969" s="235" t="str">
        <f>IFERROR(__xludf.DUMMYFUNCTION("""COMPUTED_VALUE"""),"APRIL D. TRAJICO")</f>
        <v>APRIL D. TRAJICO</v>
      </c>
      <c r="C969" s="235" t="str">
        <f>IFERROR(__xludf.DUMMYFUNCTION("""COMPUTED_VALUE"""),"AMD")</f>
        <v>AMD</v>
      </c>
      <c r="D969" s="196" t="str">
        <f>IFERROR(__xludf.DUMMYFUNCTION("""COMPUTED_VALUE"""),"MIFARE 1K BIT - CONTACTLESS CARD, MODEL - IOT CRDM65 1000PCS")</f>
        <v>MIFARE 1K BIT - CONTACTLESS CARD, MODEL - IOT CRDM65 1000PCS</v>
      </c>
      <c r="E969" s="196" t="str">
        <f>IFERROR(__xludf.DUMMYFUNCTION("""COMPUTED_VALUE"""),"STOCK REPLENISHMENT - OSSUP")</f>
        <v>STOCK REPLENISHMENT - OSSUP</v>
      </c>
    </row>
    <row r="970">
      <c r="A970" s="234">
        <f>IFERROR(__xludf.DUMMYFUNCTION("""COMPUTED_VALUE"""),101261.0)</f>
        <v>101261</v>
      </c>
      <c r="B970" s="235" t="str">
        <f>IFERROR(__xludf.DUMMYFUNCTION("""COMPUTED_VALUE"""),"SHEREE ESPINOSA")</f>
        <v>SHEREE ESPINOSA</v>
      </c>
      <c r="C970" s="235" t="str">
        <f>IFERROR(__xludf.DUMMYFUNCTION("""COMPUTED_VALUE"""),"HOUSEKEEPING")</f>
        <v>HOUSEKEEPING</v>
      </c>
      <c r="D970" s="196" t="str">
        <f>IFERROR(__xludf.DUMMYFUNCTION("""COMPUTED_VALUE"""),"CURTAIN")</f>
        <v>CURTAIN</v>
      </c>
      <c r="E970" s="196" t="str">
        <f>IFERROR(__xludf.DUMMYFUNCTION("""COMPUTED_VALUE"""),"FOR PRESIDENTS OFFICE")</f>
        <v>FOR PRESIDENTS OFFICE</v>
      </c>
    </row>
    <row r="971">
      <c r="A971" s="234">
        <f>IFERROR(__xludf.DUMMYFUNCTION("""COMPUTED_VALUE"""),101262.0)</f>
        <v>101262</v>
      </c>
      <c r="B971" s="235" t="str">
        <f>IFERROR(__xludf.DUMMYFUNCTION("""COMPUTED_VALUE"""),"SHEREE ESPINOSA")</f>
        <v>SHEREE ESPINOSA</v>
      </c>
      <c r="C971" s="235" t="str">
        <f>IFERROR(__xludf.DUMMYFUNCTION("""COMPUTED_VALUE"""),"HOUSEKEEPING")</f>
        <v>HOUSEKEEPING</v>
      </c>
      <c r="D971" s="196" t="str">
        <f>IFERROR(__xludf.DUMMYFUNCTION("""COMPUTED_VALUE"""),"TEMPERED GLASS DORR")</f>
        <v>TEMPERED GLASS DORR</v>
      </c>
      <c r="E971" s="196" t="str">
        <f>IFERROR(__xludf.DUMMYFUNCTION("""COMPUTED_VALUE"""),"FOR OPEN COURT CR")</f>
        <v>FOR OPEN COURT CR</v>
      </c>
    </row>
    <row r="972">
      <c r="A972" s="234">
        <f>IFERROR(__xludf.DUMMYFUNCTION("""COMPUTED_VALUE"""),101263.0)</f>
        <v>101263</v>
      </c>
      <c r="B972" s="235" t="str">
        <f>IFERROR(__xludf.DUMMYFUNCTION("""COMPUTED_VALUE"""),"SHEREE ESPINOSA")</f>
        <v>SHEREE ESPINOSA</v>
      </c>
      <c r="C972" s="235" t="str">
        <f>IFERROR(__xludf.DUMMYFUNCTION("""COMPUTED_VALUE"""),"HOUSEKEEPING")</f>
        <v>HOUSEKEEPING</v>
      </c>
      <c r="D972" s="196" t="str">
        <f>IFERROR(__xludf.DUMMYFUNCTION("""COMPUTED_VALUE"""),"1.20 M X 0.15 M SURFACE
MOUNTED TROFFER LIGHTS
1.20 M X 0.15 RECESSEN
MOUNTED TRIFFER LIGHT")</f>
        <v>1.20 M X 0.15 M SURFACE
MOUNTED TROFFER LIGHTS
1.20 M X 0.15 RECESSEN
MOUNTED TRIFFER LIGHT</v>
      </c>
      <c r="E972" s="196" t="str">
        <f>IFERROR(__xludf.DUMMYFUNCTION("""COMPUTED_VALUE"""),"FOR WEIGHTS ROOM")</f>
        <v>FOR WEIGHTS ROOM</v>
      </c>
    </row>
    <row r="973">
      <c r="A973" s="234">
        <f>IFERROR(__xludf.DUMMYFUNCTION("""COMPUTED_VALUE"""),101264.0)</f>
        <v>101264</v>
      </c>
      <c r="B973" s="235" t="str">
        <f>IFERROR(__xludf.DUMMYFUNCTION("""COMPUTED_VALUE"""),"SHEREE ESPINOSA")</f>
        <v>SHEREE ESPINOSA</v>
      </c>
      <c r="C973" s="235" t="str">
        <f>IFERROR(__xludf.DUMMYFUNCTION("""COMPUTED_VALUE"""),"HOUSEKEEPING")</f>
        <v>HOUSEKEEPING</v>
      </c>
      <c r="D973" s="196" t="str">
        <f>IFERROR(__xludf.DUMMYFUNCTION("""COMPUTED_VALUE"""),"WALL STICKER")</f>
        <v>WALL STICKER</v>
      </c>
      <c r="E973" s="196" t="str">
        <f>IFERROR(__xludf.DUMMYFUNCTION("""COMPUTED_VALUE"""),"FOR WEIGHTS ROOM")</f>
        <v>FOR WEIGHTS ROOM</v>
      </c>
    </row>
    <row r="974">
      <c r="A974" s="234">
        <f>IFERROR(__xludf.DUMMYFUNCTION("""COMPUTED_VALUE"""),101265.0)</f>
        <v>101265</v>
      </c>
      <c r="B974" s="235" t="str">
        <f>IFERROR(__xludf.DUMMYFUNCTION("""COMPUTED_VALUE"""),"SHEREE ESPINOSA")</f>
        <v>SHEREE ESPINOSA</v>
      </c>
      <c r="C974" s="235" t="str">
        <f>IFERROR(__xludf.DUMMYFUNCTION("""COMPUTED_VALUE"""),"HOUSEKEEPING")</f>
        <v>HOUSEKEEPING</v>
      </c>
      <c r="D974" s="196" t="str">
        <f>IFERROR(__xludf.DUMMYFUNCTION("""COMPUTED_VALUE"""),"12  W SURFACE MOUNTED DOWNLIGHT MDEG SQUARE
COOL WHITE
0.17 X 0.17M 12W RECESSED 
TYPE DOWNLIGHT")</f>
        <v>12  W SURFACE MOUNTED DOWNLIGHT MDEG SQUARE
COOL WHITE
0.17 X 0.17M 12W RECESSED 
TYPE DOWNLIGHT</v>
      </c>
      <c r="E974" s="196" t="str">
        <f>IFERROR(__xludf.DUMMYFUNCTION("""COMPUTED_VALUE"""),"FOR COACHES ROOM")</f>
        <v>FOR COACHES ROOM</v>
      </c>
    </row>
    <row r="975">
      <c r="A975" s="234">
        <f>IFERROR(__xludf.DUMMYFUNCTION("""COMPUTED_VALUE"""),101266.0)</f>
        <v>101266</v>
      </c>
      <c r="B975" s="235" t="str">
        <f>IFERROR(__xludf.DUMMYFUNCTION("""COMPUTED_VALUE"""),"SHEREE ESPINOSA")</f>
        <v>SHEREE ESPINOSA</v>
      </c>
      <c r="C975" s="235" t="str">
        <f>IFERROR(__xludf.DUMMYFUNCTION("""COMPUTED_VALUE"""),"HOUSEKEEPING")</f>
        <v>HOUSEKEEPING</v>
      </c>
      <c r="D975" s="196" t="str">
        <f>IFERROR(__xludf.DUMMYFUNCTION("""COMPUTED_VALUE"""),"GUEST CHAIRS")</f>
        <v>GUEST CHAIRS</v>
      </c>
      <c r="E975" s="196" t="str">
        <f>IFERROR(__xludf.DUMMYFUNCTION("""COMPUTED_VALUE"""),"FOR PRESIDENT OFFICE")</f>
        <v>FOR PRESIDENT OFFICE</v>
      </c>
    </row>
    <row r="976">
      <c r="A976" s="234">
        <f>IFERROR(__xludf.DUMMYFUNCTION("""COMPUTED_VALUE"""),101267.0)</f>
        <v>101267</v>
      </c>
      <c r="B976" s="235" t="str">
        <f>IFERROR(__xludf.DUMMYFUNCTION("""COMPUTED_VALUE"""),"SHEREE ESPINOSA")</f>
        <v>SHEREE ESPINOSA</v>
      </c>
      <c r="C976" s="235" t="str">
        <f>IFERROR(__xludf.DUMMYFUNCTION("""COMPUTED_VALUE"""),"HOUSEKEEPING")</f>
        <v>HOUSEKEEPING</v>
      </c>
      <c r="D976" s="196" t="str">
        <f>IFERROR(__xludf.DUMMYFUNCTION("""COMPUTED_VALUE"""),"TISSUE HOLDER BIG")</f>
        <v>TISSUE HOLDER BIG</v>
      </c>
      <c r="E976" s="196" t="str">
        <f>IFERROR(__xludf.DUMMYFUNCTION("""COMPUTED_VALUE"""),"FOR OPEN COURT CR")</f>
        <v>FOR OPEN COURT CR</v>
      </c>
    </row>
    <row r="977">
      <c r="A977" s="234">
        <f>IFERROR(__xludf.DUMMYFUNCTION("""COMPUTED_VALUE"""),101268.0)</f>
        <v>101268</v>
      </c>
      <c r="B977" s="235" t="str">
        <f>IFERROR(__xludf.DUMMYFUNCTION("""COMPUTED_VALUE"""),"SHEREE ESPINOSA")</f>
        <v>SHEREE ESPINOSA</v>
      </c>
      <c r="C977" s="235" t="str">
        <f>IFERROR(__xludf.DUMMYFUNCTION("""COMPUTED_VALUE"""),"HOUSEKEEPING")</f>
        <v>HOUSEKEEPING</v>
      </c>
      <c r="D977" s="196" t="str">
        <f>IFERROR(__xludf.DUMMYFUNCTION("""COMPUTED_VALUE"""),"SLOPE SINK CABINET")</f>
        <v>SLOPE SINK CABINET</v>
      </c>
      <c r="E977" s="196" t="str">
        <f>IFERROR(__xludf.DUMMYFUNCTION("""COMPUTED_VALUE"""),"FOR OPEN COURT CR")</f>
        <v>FOR OPEN COURT CR</v>
      </c>
    </row>
    <row r="978">
      <c r="A978" s="234">
        <f>IFERROR(__xludf.DUMMYFUNCTION("""COMPUTED_VALUE"""),101269.0)</f>
        <v>101269</v>
      </c>
      <c r="B978" s="235" t="str">
        <f>IFERROR(__xludf.DUMMYFUNCTION("""COMPUTED_VALUE"""),"SAMANTHA FEROL")</f>
        <v>SAMANTHA FEROL</v>
      </c>
      <c r="C978" s="235" t="str">
        <f>IFERROR(__xludf.DUMMYFUNCTION("""COMPUTED_VALUE"""),"LIBRARY COLLEGE")</f>
        <v>LIBRARY COLLEGE</v>
      </c>
      <c r="D978" s="196" t="str">
        <f>IFERROR(__xludf.DUMMYFUNCTION("""COMPUTED_VALUE"""),"THE EDUCATION ACT: A COMPENDIUM OF THE PHILIPPINE EDUCATIONAL LAW, JURISPRUDENCFE, PRACTICES, POLICIES &amp; REGULATIONS. ISBON: 9786210402032 2019 BY JOSEPH NOEL M. ESTRADA (REX BOOKSTORE)")</f>
        <v>THE EDUCATION ACT: A COMPENDIUM OF THE PHILIPPINE EDUCATIONAL LAW, JURISPRUDENCFE, PRACTICES, POLICIES &amp; REGULATIONS. ISBON: 9786210402032 2019 BY JOSEPH NOEL M. ESTRADA (REX BOOKSTORE)</v>
      </c>
      <c r="E978" s="196" t="str">
        <f>IFERROR(__xludf.DUMMYFUNCTION("""COMPUTED_VALUE"""),"BOOK ACQUISITION")</f>
        <v>BOOK ACQUISITION</v>
      </c>
    </row>
    <row r="979">
      <c r="A979" s="234">
        <f>IFERROR(__xludf.DUMMYFUNCTION("""COMPUTED_VALUE"""),101270.0)</f>
        <v>101270</v>
      </c>
      <c r="B979" s="235" t="str">
        <f>IFERROR(__xludf.DUMMYFUNCTION("""COMPUTED_VALUE"""),"ALFA DE LEON")</f>
        <v>ALFA DE LEON</v>
      </c>
      <c r="C979" s="235" t="str">
        <f>IFERROR(__xludf.DUMMYFUNCTION("""COMPUTED_VALUE"""),"HOUSEKEEPING")</f>
        <v>HOUSEKEEPING</v>
      </c>
      <c r="D979" s="196" t="str">
        <f>IFERROR(__xludf.DUMMYFUNCTION("""COMPUTED_VALUE"""),"CHESS RUBBER MAT/ SNAKES AND LADDERS")</f>
        <v>CHESS RUBBER MAT/ SNAKES AND LADDERS</v>
      </c>
      <c r="E979" s="196" t="str">
        <f>IFERROR(__xludf.DUMMYFUNCTION("""COMPUTED_VALUE"""),"BOARD GAMES FOR INDOOR PLAYGROUND")</f>
        <v>BOARD GAMES FOR INDOOR PLAYGROUND</v>
      </c>
    </row>
    <row r="980">
      <c r="A980" s="234">
        <f>IFERROR(__xludf.DUMMYFUNCTION("""COMPUTED_VALUE"""),101271.0)</f>
        <v>101271</v>
      </c>
      <c r="B980" s="235" t="str">
        <f>IFERROR(__xludf.DUMMYFUNCTION("""COMPUTED_VALUE"""),"CARLITO DELA VEGA")</f>
        <v>CARLITO DELA VEGA</v>
      </c>
      <c r="C980" s="235" t="str">
        <f>IFERROR(__xludf.DUMMYFUNCTION("""COMPUTED_VALUE"""),"ADMIN - LUX")</f>
        <v>ADMIN - LUX</v>
      </c>
      <c r="D980" s="196" t="str">
        <f>IFERROR(__xludf.DUMMYFUNCTION("""COMPUTED_VALUE"""),"WIRE THIN #14")</f>
        <v>WIRE THIN #14</v>
      </c>
      <c r="E980" s="196" t="str">
        <f>IFERROR(__xludf.DUMMYFUNCTION("""COMPUTED_VALUE"""),"SECURITY- MUNICH CCTV USE, POWER SUPPLY")</f>
        <v>SECURITY- MUNICH CCTV USE, POWER SUPPLY</v>
      </c>
    </row>
    <row r="981">
      <c r="A981" s="234">
        <f>IFERROR(__xludf.DUMMYFUNCTION("""COMPUTED_VALUE"""),101272.0)</f>
        <v>101272</v>
      </c>
      <c r="B981" s="235" t="str">
        <f>IFERROR(__xludf.DUMMYFUNCTION("""COMPUTED_VALUE"""),"JIENELLE GALLARDO")</f>
        <v>JIENELLE GALLARDO</v>
      </c>
      <c r="C981" s="235" t="str">
        <f>IFERROR(__xludf.DUMMYFUNCTION("""COMPUTED_VALUE"""),"FINANCE &amp; ACCOUNTING")</f>
        <v>FINANCE &amp; ACCOUNTING</v>
      </c>
      <c r="D981" s="196" t="str">
        <f>IFERROR(__xludf.DUMMYFUNCTION("""COMPUTED_VALUE"""),"EXAM PERMIT BOOKLET")</f>
        <v>EXAM PERMIT BOOKLET</v>
      </c>
      <c r="E981" s="196" t="str">
        <f>IFERROR(__xludf.DUMMYFUNCTION("""COMPUTED_VALUE"""),"FOR ASSESSMENT ")</f>
        <v>FOR ASSESSMENT </v>
      </c>
    </row>
    <row r="982">
      <c r="A982" s="234">
        <f>IFERROR(__xludf.DUMMYFUNCTION("""COMPUTED_VALUE"""),101273.0)</f>
        <v>101273</v>
      </c>
      <c r="B982" s="235" t="str">
        <f>IFERROR(__xludf.DUMMYFUNCTION("""COMPUTED_VALUE"""),"KATE TAPEL")</f>
        <v>KATE TAPEL</v>
      </c>
      <c r="C982" s="235" t="str">
        <f>IFERROR(__xludf.DUMMYFUNCTION("""COMPUTED_VALUE"""),"PRESIDENT'S OFFICE")</f>
        <v>PRESIDENT'S OFFICE</v>
      </c>
      <c r="D982" s="196" t="str">
        <f>IFERROR(__xludf.DUMMYFUNCTION("""COMPUTED_VALUE"""),"TARPAULIN FOR PACUCOA 30""X89"" BOARDER 1"" 1PC")</f>
        <v>TARPAULIN FOR PACUCOA 30"X89" BOARDER 1" 1PC</v>
      </c>
      <c r="E982" s="196" t="str">
        <f>IFERROR(__xludf.DUMMYFUNCTION("""COMPUTED_VALUE"""),"TARP FOR PACUCOA")</f>
        <v>TARP FOR PACUCOA</v>
      </c>
    </row>
    <row r="983">
      <c r="A983" s="234">
        <f>IFERROR(__xludf.DUMMYFUNCTION("""COMPUTED_VALUE"""),101274.0)</f>
        <v>101274</v>
      </c>
      <c r="B983" s="235" t="str">
        <f>IFERROR(__xludf.DUMMYFUNCTION("""COMPUTED_VALUE"""),"CHRISTIAN ANDRES")</f>
        <v>CHRISTIAN ANDRES</v>
      </c>
      <c r="C983" s="235" t="str">
        <f>IFERROR(__xludf.DUMMYFUNCTION("""COMPUTED_VALUE"""),"PR &amp; MARKETING")</f>
        <v>PR &amp; MARKETING</v>
      </c>
      <c r="D983" s="196" t="str">
        <f>IFERROR(__xludf.DUMMYFUNCTION("""COMPUTED_VALUE"""),"1 TB EXTERNAL DRIVE 2PCS")</f>
        <v>1 TB EXTERNAL DRIVE 2PCS</v>
      </c>
      <c r="E983" s="196" t="str">
        <f>IFERROR(__xludf.DUMMYFUNCTION("""COMPUTED_VALUE"""),"MARKETING/FOR SAVING")</f>
        <v>MARKETING/FOR SAVING</v>
      </c>
    </row>
    <row r="984">
      <c r="A984" s="234">
        <f>IFERROR(__xludf.DUMMYFUNCTION("""COMPUTED_VALUE"""),101275.0)</f>
        <v>101275</v>
      </c>
      <c r="B984" s="235" t="str">
        <f>IFERROR(__xludf.DUMMYFUNCTION("""COMPUTED_VALUE"""),"QUEENE BALAORO")</f>
        <v>QUEENE BALAORO</v>
      </c>
      <c r="C984" s="235" t="str">
        <f>IFERROR(__xludf.DUMMYFUNCTION("""COMPUTED_VALUE"""),"FINANCE &amp; ACCOUNTING")</f>
        <v>FINANCE &amp; ACCOUNTING</v>
      </c>
      <c r="D984" s="196" t="str">
        <f>IFERROR(__xludf.DUMMYFUNCTION("""COMPUTED_VALUE"""),"WATER DISPENSER")</f>
        <v>WATER DISPENSER</v>
      </c>
      <c r="E984" s="196" t="str">
        <f>IFERROR(__xludf.DUMMYFUNCTION("""COMPUTED_VALUE"""),"REPLACEMENT OF OLD WATER DISPENSER")</f>
        <v>REPLACEMENT OF OLD WATER DISPENSER</v>
      </c>
    </row>
    <row r="985">
      <c r="A985" s="234">
        <f>IFERROR(__xludf.DUMMYFUNCTION("""COMPUTED_VALUE"""),101276.0)</f>
        <v>101276</v>
      </c>
      <c r="B985" s="235" t="str">
        <f>IFERROR(__xludf.DUMMYFUNCTION("""COMPUTED_VALUE"""),"roie raymundo")</f>
        <v>roie raymundo</v>
      </c>
      <c r="C985" s="235" t="str">
        <f>IFERROR(__xludf.DUMMYFUNCTION("""COMPUTED_VALUE"""),"MIS/ICT")</f>
        <v>MIS/ICT</v>
      </c>
      <c r="D985" s="196" t="str">
        <f>IFERROR(__xludf.DUMMYFUNCTION("""COMPUTED_VALUE"""),"cisco air ap18321 under admin badget supplier replacement")</f>
        <v>cisco air ap18321 under admin badget supplier replacement</v>
      </c>
      <c r="E985" s="196" t="str">
        <f>IFERROR(__xludf.DUMMYFUNCTION("""COMPUTED_VALUE"""),"for replacement of cisco ap (defective)")</f>
        <v>for replacement of cisco ap (defective)</v>
      </c>
    </row>
    <row r="986">
      <c r="A986" s="234">
        <f>IFERROR(__xludf.DUMMYFUNCTION("""COMPUTED_VALUE"""),101277.0)</f>
        <v>101277</v>
      </c>
      <c r="B986" s="235" t="str">
        <f>IFERROR(__xludf.DUMMYFUNCTION("""COMPUTED_VALUE"""),"CHRISTIAN ANDRES")</f>
        <v>CHRISTIAN ANDRES</v>
      </c>
      <c r="C986" s="235" t="str">
        <f>IFERROR(__xludf.DUMMYFUNCTION("""COMPUTED_VALUE"""),"PR &amp; MARKETING")</f>
        <v>PR &amp; MARKETING</v>
      </c>
      <c r="D986" s="196" t="str">
        <f>IFERROR(__xludf.DUMMYFUNCTION("""COMPUTED_VALUE"""),"RUGBY 1 GALLON (3 GALLONS)")</f>
        <v>RUGBY 1 GALLON (3 GALLONS)</v>
      </c>
      <c r="E986" s="196" t="str">
        <f>IFERROR(__xludf.DUMMYFUNCTION("""COMPUTED_VALUE"""),"MARKETING / FOR TARP INSTALLATION")</f>
        <v>MARKETING / FOR TARP INSTALLATION</v>
      </c>
    </row>
    <row r="987">
      <c r="A987" s="234">
        <f>IFERROR(__xludf.DUMMYFUNCTION("""COMPUTED_VALUE"""),101278.0)</f>
        <v>101278</v>
      </c>
      <c r="B987" s="235" t="str">
        <f>IFERROR(__xludf.DUMMYFUNCTION("""COMPUTED_VALUE"""),"SAMANTHA FEROL")</f>
        <v>SAMANTHA FEROL</v>
      </c>
      <c r="C987" s="235" t="str">
        <f>IFERROR(__xludf.DUMMYFUNCTION("""COMPUTED_VALUE"""),"LIBRARY COLLEGE")</f>
        <v>LIBRARY COLLEGE</v>
      </c>
      <c r="D987" s="196" t="str">
        <f>IFERROR(__xludf.DUMMYFUNCTION("""COMPUTED_VALUE"""),"college library book pocket")</f>
        <v>college library book pocket</v>
      </c>
      <c r="E987" s="196" t="str">
        <f>IFERROR(__xludf.DUMMYFUNCTION("""COMPUTED_VALUE"""),"library book pocket")</f>
        <v>library book pocket</v>
      </c>
    </row>
    <row r="988">
      <c r="A988" s="234">
        <f>IFERROR(__xludf.DUMMYFUNCTION("""COMPUTED_VALUE"""),101279.0)</f>
        <v>101279</v>
      </c>
      <c r="B988" s="235" t="str">
        <f>IFERROR(__xludf.DUMMYFUNCTION("""COMPUTED_VALUE"""),"elaine mejos")</f>
        <v>elaine mejos</v>
      </c>
      <c r="C988" s="235" t="str">
        <f>IFERROR(__xludf.DUMMYFUNCTION("""COMPUTED_VALUE"""),"HRMD")</f>
        <v>HRMD</v>
      </c>
      <c r="D988" s="196" t="str">
        <f>IFERROR(__xludf.DUMMYFUNCTION("""COMPUTED_VALUE"""),"Flower Wreath ")</f>
        <v>Flower Wreath </v>
      </c>
      <c r="E988" s="196" t="str">
        <f>IFERROR(__xludf.DUMMYFUNCTION("""COMPUTED_VALUE"""),"Flower Wreath for the mother of Ms. Jojie")</f>
        <v>Flower Wreath for the mother of Ms. Jojie</v>
      </c>
    </row>
    <row r="989">
      <c r="A989" s="234">
        <f>IFERROR(__xludf.DUMMYFUNCTION("""COMPUTED_VALUE"""),101280.0)</f>
        <v>101280</v>
      </c>
      <c r="B989" s="235" t="str">
        <f>IFERROR(__xludf.DUMMYFUNCTION("""COMPUTED_VALUE"""),"elaine mejos")</f>
        <v>elaine mejos</v>
      </c>
      <c r="C989" s="235" t="str">
        <f>IFERROR(__xludf.DUMMYFUNCTION("""COMPUTED_VALUE"""),"HRMD")</f>
        <v>HRMD</v>
      </c>
      <c r="D989" s="196" t="str">
        <f>IFERROR(__xludf.DUMMYFUNCTION("""COMPUTED_VALUE"""),"Flower Wreath ")</f>
        <v>Flower Wreath </v>
      </c>
      <c r="E989" s="196" t="str">
        <f>IFERROR(__xludf.DUMMYFUNCTION("""COMPUTED_VALUE"""),"Flower Wreath for the mother of Ms. MP")</f>
        <v>Flower Wreath for the mother of Ms. MP</v>
      </c>
    </row>
    <row r="990">
      <c r="A990" s="234">
        <f>IFERROR(__xludf.DUMMYFUNCTION("""COMPUTED_VALUE"""),101281.0)</f>
        <v>101281</v>
      </c>
      <c r="B990" s="235" t="str">
        <f>IFERROR(__xludf.DUMMYFUNCTION("""COMPUTED_VALUE"""),"JacquELINE SAMSONA")</f>
        <v>JacquELINE SAMSONA</v>
      </c>
      <c r="C990" s="235" t="str">
        <f>IFERROR(__xludf.DUMMYFUNCTION("""COMPUTED_VALUE"""),"SCIENCE LAB COLLEGE")</f>
        <v>SCIENCE LAB COLLEGE</v>
      </c>
      <c r="D990" s="196" t="str">
        <f>IFERROR(__xludf.DUMMYFUNCTION("""COMPUTED_VALUE"""),"Nursing and Science ( COLLEGE) LABORATORY MATERIALS AND CHEMICALS FOR 2ND SEMESTER (Patagonian Enterprise)")</f>
        <v>Nursing and Science ( COLLEGE) LABORATORY MATERIALS AND CHEMICALS FOR 2ND SEMESTER (Patagonian Enterprise)</v>
      </c>
      <c r="E990" s="196" t="str">
        <f>IFERROR(__xludf.DUMMYFUNCTION("""COMPUTED_VALUE"""),"FOR REPLENISHMENT OF MATERIALS TO BE USED FOR 2ND SEMESTER")</f>
        <v>FOR REPLENISHMENT OF MATERIALS TO BE USED FOR 2ND SEMESTER</v>
      </c>
    </row>
    <row r="991">
      <c r="A991" s="234">
        <f>IFERROR(__xludf.DUMMYFUNCTION("""COMPUTED_VALUE"""),101282.0)</f>
        <v>101282</v>
      </c>
      <c r="B991" s="235" t="str">
        <f>IFERROR(__xludf.DUMMYFUNCTION("""COMPUTED_VALUE"""),"JacquELINE SAMSONA")</f>
        <v>JacquELINE SAMSONA</v>
      </c>
      <c r="C991" s="235" t="str">
        <f>IFERROR(__xludf.DUMMYFUNCTION("""COMPUTED_VALUE"""),"SCIENCE LAB COLLEGE")</f>
        <v>SCIENCE LAB COLLEGE</v>
      </c>
      <c r="D991" s="196" t="str">
        <f>IFERROR(__xludf.DUMMYFUNCTION("""COMPUTED_VALUE"""),"Nursing and Science ( COLLEGE) LABORATORY MATERIALS AND CHEMICALS FOR 2ND SEMESTER (Patagonian Enterprise)")</f>
        <v>Nursing and Science ( COLLEGE) LABORATORY MATERIALS AND CHEMICALS FOR 2ND SEMESTER (Patagonian Enterprise)</v>
      </c>
      <c r="E991" s="196" t="str">
        <f>IFERROR(__xludf.DUMMYFUNCTION("""COMPUTED_VALUE"""),"FOR REPLENISHMENT OF MATERIALS TO BE USED FOR 2ND SEMESTER")</f>
        <v>FOR REPLENISHMENT OF MATERIALS TO BE USED FOR 2ND SEMESTER</v>
      </c>
    </row>
    <row r="992">
      <c r="A992" s="234">
        <f>IFERROR(__xludf.DUMMYFUNCTION("""COMPUTED_VALUE"""),101283.0)</f>
        <v>101283</v>
      </c>
      <c r="B992" s="235" t="str">
        <f>IFERROR(__xludf.DUMMYFUNCTION("""COMPUTED_VALUE"""),"TOM TONGOHAN")</f>
        <v>TOM TONGOHAN</v>
      </c>
      <c r="C992" s="235" t="str">
        <f>IFERROR(__xludf.DUMMYFUNCTION("""COMPUTED_VALUE"""),"ADMIN - LUX")</f>
        <v>ADMIN - LUX</v>
      </c>
      <c r="D992" s="196" t="str">
        <f>IFERROR(__xludf.DUMMYFUNCTION("""COMPUTED_VALUE"""),".50X.50 EPDM TILE .25 MM THK GRAY COLOR AND .50X.50M EPDM TILE .25MM THK TEAL BLUE WITH GRAPHIC PAINT")</f>
        <v>.50X.50 EPDM TILE .25 MM THK GRAY COLOR AND .50X.50M EPDM TILE .25MM THK TEAL BLUE WITH GRAPHIC PAINT</v>
      </c>
      <c r="E992" s="196" t="str">
        <f>IFERROR(__xludf.DUMMYFUNCTION("""COMPUTED_VALUE"""),"FOR WEIGHTS ROOM FLOORING")</f>
        <v>FOR WEIGHTS ROOM FLOORING</v>
      </c>
    </row>
    <row r="993">
      <c r="A993" s="234">
        <f>IFERROR(__xludf.DUMMYFUNCTION("""COMPUTED_VALUE"""),101284.0)</f>
        <v>101284</v>
      </c>
      <c r="B993" s="235" t="str">
        <f>IFERROR(__xludf.DUMMYFUNCTION("""COMPUTED_VALUE"""),"LUCILLE BEYER")</f>
        <v>LUCILLE BEYER</v>
      </c>
      <c r="C993" s="235" t="str">
        <f>IFERROR(__xludf.DUMMYFUNCTION("""COMPUTED_VALUE"""),"MEDICAL")</f>
        <v>MEDICAL</v>
      </c>
      <c r="D993" s="196" t="str">
        <f>IFERROR(__xludf.DUMMYFUNCTION("""COMPUTED_VALUE"""),"LAUNDRY BASKET WITH COVER / TELEPHONE HANDSET / STORAGE BOX WITH COVER / OROCAN ICE BOX 8 LITERS")</f>
        <v>LAUNDRY BASKET WITH COVER / TELEPHONE HANDSET / STORAGE BOX WITH COVER / OROCAN ICE BOX 8 LITERS</v>
      </c>
      <c r="E993" s="196" t="str">
        <f>IFERROR(__xludf.DUMMYFUNCTION("""COMPUTED_VALUE"""),"FOR MEDICAL USE")</f>
        <v>FOR MEDICAL USE</v>
      </c>
    </row>
    <row r="994">
      <c r="A994" s="234">
        <f>IFERROR(__xludf.DUMMYFUNCTION("""COMPUTED_VALUE"""),101285.0)</f>
        <v>101285</v>
      </c>
      <c r="B994" s="235" t="str">
        <f>IFERROR(__xludf.DUMMYFUNCTION("""COMPUTED_VALUE"""),"SAMANTHA FEROL")</f>
        <v>SAMANTHA FEROL</v>
      </c>
      <c r="C994" s="235" t="str">
        <f>IFERROR(__xludf.DUMMYFUNCTION("""COMPUTED_VALUE"""),"LIBRARY COLLEGE")</f>
        <v>LIBRARY COLLEGE</v>
      </c>
      <c r="D994" s="196" t="str">
        <f>IFERROR(__xludf.DUMMYFUNCTION("""COMPUTED_VALUE"""),"133 PCS AMAZON BOOKS")</f>
        <v>133 PCS AMAZON BOOKS</v>
      </c>
      <c r="E994" s="196" t="str">
        <f>IFERROR(__xludf.DUMMYFUNCTION("""COMPUTED_VALUE"""),"SELECTED BOOKS BY THE COLLEGE DEPARTMENT")</f>
        <v>SELECTED BOOKS BY THE COLLEGE DEPARTMENT</v>
      </c>
    </row>
    <row r="995">
      <c r="A995" s="234">
        <f>IFERROR(__xludf.DUMMYFUNCTION("""COMPUTED_VALUE"""),101286.0)</f>
        <v>101286</v>
      </c>
      <c r="B995" s="235" t="str">
        <f>IFERROR(__xludf.DUMMYFUNCTION("""COMPUTED_VALUE"""),"SAMANTHA FEROL")</f>
        <v>SAMANTHA FEROL</v>
      </c>
      <c r="C995" s="235" t="str">
        <f>IFERROR(__xludf.DUMMYFUNCTION("""COMPUTED_VALUE"""),"LIBRARY COLLEGE")</f>
        <v>LIBRARY COLLEGE</v>
      </c>
      <c r="D995" s="196" t="str">
        <f>IFERROR(__xludf.DUMMYFUNCTION("""COMPUTED_VALUE"""),"BUSINESS COMMUNICATION: A PROBLEM SOLVING; OPERATIONS MANAGEMENT")</f>
        <v>BUSINESS COMMUNICATION: A PROBLEM SOLVING; OPERATIONS MANAGEMENT</v>
      </c>
      <c r="E995" s="196" t="str">
        <f>IFERROR(__xludf.DUMMYFUNCTION("""COMPUTED_VALUE"""),"SELECTED BOOKS BY THE COLLEGE DEPARTMENT PACUCOA COMPLIANCE")</f>
        <v>SELECTED BOOKS BY THE COLLEGE DEPARTMENT PACUCOA COMPLIANCE</v>
      </c>
    </row>
    <row r="996">
      <c r="A996" s="234">
        <f>IFERROR(__xludf.DUMMYFUNCTION("""COMPUTED_VALUE"""),101287.0)</f>
        <v>101287</v>
      </c>
      <c r="B996" s="235" t="str">
        <f>IFERROR(__xludf.DUMMYFUNCTION("""COMPUTED_VALUE"""),"MELISSA NAVAL ODONO")</f>
        <v>MELISSA NAVAL ODONO</v>
      </c>
      <c r="C996" s="235" t="str">
        <f>IFERROR(__xludf.DUMMYFUNCTION("""COMPUTED_VALUE"""),"LIBRARY MUNICH")</f>
        <v>LIBRARY MUNICH</v>
      </c>
      <c r="D996" s="196" t="str">
        <f>IFERROR(__xludf.DUMMYFUNCTION("""COMPUTED_VALUE"""),"COMPASS LOG LANGUAGE G1 TO G6 - 679
GO MATH G1 TO G6 - 985
EQUIPPE NOUVELLE 1 &amp; 2 - 75")</f>
        <v>COMPASS LOG LANGUAGE G1 TO G6 - 679
GO MATH G1 TO G6 - 985
EQUIPPE NOUVELLE 1 &amp; 2 - 75</v>
      </c>
      <c r="E996" s="196" t="str">
        <f>IFERROR(__xludf.DUMMYFUNCTION("""COMPUTED_VALUE"""),"STUDENT TEXTBOOKS A.Y 2020-2021")</f>
        <v>STUDENT TEXTBOOKS A.Y 2020-2021</v>
      </c>
    </row>
    <row r="997">
      <c r="A997" s="234">
        <f>IFERROR(__xludf.DUMMYFUNCTION("""COMPUTED_VALUE"""),101288.0)</f>
        <v>101288</v>
      </c>
      <c r="B997" s="235" t="str">
        <f>IFERROR(__xludf.DUMMYFUNCTION("""COMPUTED_VALUE"""),"MELISSA NAVAL ODONO")</f>
        <v>MELISSA NAVAL ODONO</v>
      </c>
      <c r="C997" s="235" t="str">
        <f>IFERROR(__xludf.DUMMYFUNCTION("""COMPUTED_VALUE"""),"LIBRARY MUNICH")</f>
        <v>LIBRARY MUNICH</v>
      </c>
      <c r="D997" s="196" t="str">
        <f>IFERROR(__xludf.DUMMYFUNCTION("""COMPUTED_VALUE"""),"STARS - 85")</f>
        <v>STARS - 85</v>
      </c>
      <c r="E997" s="196" t="str">
        <f>IFERROR(__xludf.DUMMYFUNCTION("""COMPUTED_VALUE"""),"STUDENTS TEXTBOOKS A.Y 2020-2021")</f>
        <v>STUDENTS TEXTBOOKS A.Y 2020-2021</v>
      </c>
    </row>
    <row r="998">
      <c r="A998" s="234">
        <f>IFERROR(__xludf.DUMMYFUNCTION("""COMPUTED_VALUE"""),101289.0)</f>
        <v>101289</v>
      </c>
      <c r="B998" s="235" t="str">
        <f>IFERROR(__xludf.DUMMYFUNCTION("""COMPUTED_VALUE"""),"MELISSA NAVAL ODONO")</f>
        <v>MELISSA NAVAL ODONO</v>
      </c>
      <c r="C998" s="235" t="str">
        <f>IFERROR(__xludf.DUMMYFUNCTION("""COMPUTED_VALUE"""),"LIBRARY MUNICH")</f>
        <v>LIBRARY MUNICH</v>
      </c>
      <c r="D998" s="196" t="str">
        <f>IFERROR(__xludf.DUMMYFUNCTION("""COMPUTED_VALUE"""),"SCIENCE: A CLOSER LOOK G1 TO G6 - 509")</f>
        <v>SCIENCE: A CLOSER LOOK G1 TO G6 - 509</v>
      </c>
      <c r="E998" s="196" t="str">
        <f>IFERROR(__xludf.DUMMYFUNCTION("""COMPUTED_VALUE"""),"STUDENTS TEXTBOOKS A.Y 2020-2021")</f>
        <v>STUDENTS TEXTBOOKS A.Y 2020-2021</v>
      </c>
    </row>
    <row r="999">
      <c r="A999" s="234">
        <f>IFERROR(__xludf.DUMMYFUNCTION("""COMPUTED_VALUE"""),101290.0)</f>
        <v>101290</v>
      </c>
      <c r="B999" s="235" t="str">
        <f>IFERROR(__xludf.DUMMYFUNCTION("""COMPUTED_VALUE"""),"MELISSA NAVAL ODONO")</f>
        <v>MELISSA NAVAL ODONO</v>
      </c>
      <c r="C999" s="235" t="str">
        <f>IFERROR(__xludf.DUMMYFUNCTION("""COMPUTED_VALUE"""),"LIBRARY MUNICH")</f>
        <v>LIBRARY MUNICH</v>
      </c>
      <c r="D999" s="196" t="str">
        <f>IFERROR(__xludf.DUMMYFUNCTION("""COMPUTED_VALUE"""),"LEARNING ZONE: STUDENT BOOK/WORK BOOK 1, 3, 4")</f>
        <v>LEARNING ZONE: STUDENT BOOK/WORK BOOK 1, 3, 4</v>
      </c>
      <c r="E999" s="196" t="str">
        <f>IFERROR(__xludf.DUMMYFUNCTION("""COMPUTED_VALUE"""),"STUDENTS TEXTBOOKS A.Y 2020-2021")</f>
        <v>STUDENTS TEXTBOOKS A.Y 2020-2021</v>
      </c>
    </row>
    <row r="1000">
      <c r="A1000" s="234">
        <f>IFERROR(__xludf.DUMMYFUNCTION("""COMPUTED_VALUE"""),101291.0)</f>
        <v>101291</v>
      </c>
      <c r="B1000" s="235" t="str">
        <f>IFERROR(__xludf.DUMMYFUNCTION("""COMPUTED_VALUE"""),"MELISSA NAVAL ODONO")</f>
        <v>MELISSA NAVAL ODONO</v>
      </c>
      <c r="C1000" s="235" t="str">
        <f>IFERROR(__xludf.DUMMYFUNCTION("""COMPUTED_VALUE"""),"LIBRARY MUNICH")</f>
        <v>LIBRARY MUNICH</v>
      </c>
      <c r="D1000" s="196" t="str">
        <f>IFERROR(__xludf.DUMMYFUNCTION("""COMPUTED_VALUE"""),"BAYBAYIN: WIKA AT PANITIKAN G7 TO G10 W/ E.ACCESS - 280
NEW SYLLABUS MATHEMATICS G8 TO 10 (E-BOOK) - 394")</f>
        <v>BAYBAYIN: WIKA AT PANITIKAN G7 TO G10 W/ E.ACCESS - 280
NEW SYLLABUS MATHEMATICS G8 TO 10 (E-BOOK) - 394</v>
      </c>
      <c r="E1000" s="196" t="str">
        <f>IFERROR(__xludf.DUMMYFUNCTION("""COMPUTED_VALUE"""),"STUDENTS TEXTBOOKS A.Y 2020-2021")</f>
        <v>STUDENTS TEXTBOOKS A.Y 2020-2021</v>
      </c>
    </row>
    <row r="1001">
      <c r="A1001" s="234">
        <f>IFERROR(__xludf.DUMMYFUNCTION("""COMPUTED_VALUE"""),101292.0)</f>
        <v>101292</v>
      </c>
      <c r="B1001" s="235" t="str">
        <f>IFERROR(__xludf.DUMMYFUNCTION("""COMPUTED_VALUE"""),"ALFA DE LEON")</f>
        <v>ALFA DE LEON</v>
      </c>
      <c r="C1001" s="235" t="str">
        <f>IFERROR(__xludf.DUMMYFUNCTION("""COMPUTED_VALUE"""),"ADMIN - MUNICH")</f>
        <v>ADMIN - MUNICH</v>
      </c>
      <c r="D1001" s="196" t="str">
        <f>IFERROR(__xludf.DUMMYFUNCTION("""COMPUTED_VALUE"""),"CIRCUIT BREAKER 30 AMP 2 POLE BOLT ON")</f>
        <v>CIRCUIT BREAKER 30 AMP 2 POLE BOLT ON</v>
      </c>
      <c r="E1001" s="196" t="str">
        <f>IFERROR(__xludf.DUMMYFUNCTION("""COMPUTED_VALUE"""),"G/F ACU PANEL BOARD REPLACEMENT FOR THE LOOSE THREAD CIRCUIT BREAKER")</f>
        <v>G/F ACU PANEL BOARD REPLACEMENT FOR THE LOOSE THREAD CIRCUIT BREAKER</v>
      </c>
    </row>
    <row r="1002">
      <c r="A1002" s="234">
        <f>IFERROR(__xludf.DUMMYFUNCTION("""COMPUTED_VALUE"""),101293.0)</f>
        <v>101293</v>
      </c>
      <c r="B1002" s="235" t="str">
        <f>IFERROR(__xludf.DUMMYFUNCTION("""COMPUTED_VALUE"""),"OWIE PAR")</f>
        <v>OWIE PAR</v>
      </c>
      <c r="C1002" s="235" t="str">
        <f>IFERROR(__xludf.DUMMYFUNCTION("""COMPUTED_VALUE"""),"ENGINEERING")</f>
        <v>ENGINEERING</v>
      </c>
      <c r="D1002" s="196" t="str">
        <f>IFERROR(__xludf.DUMMYFUNCTION("""COMPUTED_VALUE"""),"CIRCUIT BREKER 30 AMP PLUG IN 2P G.E / PVL PIPE 3.25 ORANGE / THHN #10 / ELECTRICAL TAPE / PVC ELBOW SHORT BENT 3/4")</f>
        <v>CIRCUIT BREKER 30 AMP PLUG IN 2P G.E / PVL PIPE 3.25 ORANGE / THHN #10 / ELECTRICAL TAPE / PVC ELBOW SHORT BENT 3/4</v>
      </c>
      <c r="E1002" s="196" t="str">
        <f>IFERROR(__xludf.DUMMYFUNCTION("""COMPUTED_VALUE"""),"FOR ELECTRICAL POWER SUPPLY OF ACU IN CRS NEAR CLINIC")</f>
        <v>FOR ELECTRICAL POWER SUPPLY OF ACU IN CRS NEAR CLINIC</v>
      </c>
    </row>
    <row r="1003">
      <c r="A1003" s="234">
        <f>IFERROR(__xludf.DUMMYFUNCTION("""COMPUTED_VALUE"""),101294.0)</f>
        <v>101294</v>
      </c>
      <c r="B1003" s="235" t="str">
        <f>IFERROR(__xludf.DUMMYFUNCTION("""COMPUTED_VALUE"""),"OWIE PAR")</f>
        <v>OWIE PAR</v>
      </c>
      <c r="C1003" s="235" t="str">
        <f>IFERROR(__xludf.DUMMYFUNCTION("""COMPUTED_VALUE"""),"ENGINEERING")</f>
        <v>ENGINEERING</v>
      </c>
      <c r="D1003" s="196" t="str">
        <f>IFERROR(__xludf.DUMMYFUNCTION("""COMPUTED_VALUE"""),"60 hp daiken ceiling suspended airconditionning unit inverter")</f>
        <v>60 hp daiken ceiling suspended airconditionning unit inverter</v>
      </c>
      <c r="E1003" s="196" t="str">
        <f>IFERROR(__xludf.DUMMYFUNCTION("""COMPUTED_VALUE"""),"ACU REPLACEMENT FOR COLLEGE ANATOMY / MICROBIOLOGY LAB")</f>
        <v>ACU REPLACEMENT FOR COLLEGE ANATOMY / MICROBIOLOGY LAB</v>
      </c>
    </row>
    <row r="1004">
      <c r="A1004" s="234">
        <f>IFERROR(__xludf.DUMMYFUNCTION("""COMPUTED_VALUE"""),101295.0)</f>
        <v>101295</v>
      </c>
      <c r="B1004" s="235" t="str">
        <f>IFERROR(__xludf.DUMMYFUNCTION("""COMPUTED_VALUE"""),"SAMANTHA FEROL")</f>
        <v>SAMANTHA FEROL</v>
      </c>
      <c r="C1004" s="235" t="str">
        <f>IFERROR(__xludf.DUMMYFUNCTION("""COMPUTED_VALUE"""),"LIBRARY COLLEGE")</f>
        <v>LIBRARY COLLEGE</v>
      </c>
      <c r="D1004" s="196" t="str">
        <f>IFERROR(__xludf.DUMMYFUNCTION("""COMPUTED_VALUE"""),"MANILA BULLETIN")</f>
        <v>MANILA BULLETIN</v>
      </c>
      <c r="E1004" s="196" t="str">
        <f>IFERROR(__xludf.DUMMYFUNCTION("""COMPUTED_VALUE"""),"PAYMENT FOR MANILA BULLETIN FOR THE MONTH OF OCTOBER 2019")</f>
        <v>PAYMENT FOR MANILA BULLETIN FOR THE MONTH OF OCTOBER 2019</v>
      </c>
    </row>
    <row r="1005">
      <c r="A1005" s="234">
        <f>IFERROR(__xludf.DUMMYFUNCTION("""COMPUTED_VALUE"""),101296.0)</f>
        <v>101296</v>
      </c>
      <c r="B1005" s="235" t="str">
        <f>IFERROR(__xludf.DUMMYFUNCTION("""COMPUTED_VALUE"""),"SAMANTHA FEROL")</f>
        <v>SAMANTHA FEROL</v>
      </c>
      <c r="C1005" s="235" t="str">
        <f>IFERROR(__xludf.DUMMYFUNCTION("""COMPUTED_VALUE"""),"LIBRARY COLLEGE")</f>
        <v>LIBRARY COLLEGE</v>
      </c>
      <c r="D1005" s="196" t="str">
        <f>IFERROR(__xludf.DUMMYFUNCTION("""COMPUTED_VALUE"""),"MANILA BULLETIN")</f>
        <v>MANILA BULLETIN</v>
      </c>
      <c r="E1005" s="196" t="str">
        <f>IFERROR(__xludf.DUMMYFUNCTION("""COMPUTED_VALUE"""),"PAYMENT FOR MANILA BULLETIN FOR THE MONTH OF NOVEMBER 2019")</f>
        <v>PAYMENT FOR MANILA BULLETIN FOR THE MONTH OF NOVEMBER 2019</v>
      </c>
    </row>
    <row r="1006">
      <c r="A1006" s="234">
        <f>IFERROR(__xludf.DUMMYFUNCTION("""COMPUTED_VALUE"""),101297.0)</f>
        <v>101297</v>
      </c>
      <c r="B1006" s="235" t="str">
        <f>IFERROR(__xludf.DUMMYFUNCTION("""COMPUTED_VALUE"""),"OWIE PAR")</f>
        <v>OWIE PAR</v>
      </c>
      <c r="C1006" s="235" t="str">
        <f>IFERROR(__xludf.DUMMYFUNCTION("""COMPUTED_VALUE"""),"ENGINEERING")</f>
        <v>ENGINEERING</v>
      </c>
      <c r="D1006" s="196" t="str">
        <f>IFERROR(__xludf.DUMMYFUNCTION("""COMPUTED_VALUE"""),"S4S KD # 1X2X8 - 40
SAND PAPER #120 - 10
BLACK SCREW WOOD #1/2 - 200
CONCRETE DRILL BIT #3/16 - 2")</f>
        <v>S4S KD # 1X2X8 - 40
SAND PAPER #120 - 10
BLACK SCREW WOOD #1/2 - 200
CONCRETE DRILL BIT #3/16 - 2</v>
      </c>
      <c r="E1006" s="196" t="str">
        <f>IFERROR(__xludf.DUMMYFUNCTION("""COMPUTED_VALUE"""),"ADDITIONAL MATERIALS FOR COLLEGE GLASSBOARD")</f>
        <v>ADDITIONAL MATERIALS FOR COLLEGE GLASSBOARD</v>
      </c>
    </row>
    <row r="1007">
      <c r="A1007" s="234">
        <f>IFERROR(__xludf.DUMMYFUNCTION("""COMPUTED_VALUE"""),101298.0)</f>
        <v>101298</v>
      </c>
      <c r="B1007" s="235" t="str">
        <f>IFERROR(__xludf.DUMMYFUNCTION("""COMPUTED_VALUE"""),"ALFA DE LEON")</f>
        <v>ALFA DE LEON</v>
      </c>
      <c r="C1007" s="235" t="str">
        <f>IFERROR(__xludf.DUMMYFUNCTION("""COMPUTED_VALUE"""),"ADMIN - MUNICH")</f>
        <v>ADMIN - MUNICH</v>
      </c>
      <c r="D1007" s="196" t="str">
        <f>IFERROR(__xludf.DUMMYFUNCTION("""COMPUTED_VALUE"""),"ORBIT FAN - 2")</f>
        <v>ORBIT FAN - 2</v>
      </c>
      <c r="E1007" s="196" t="str">
        <f>IFERROR(__xludf.DUMMYFUNCTION("""COMPUTED_VALUE"""),"REPLACEMENT OF UNREPAIRABLE ORBIT FAN IN CLASSROOM 101 &amp; 106")</f>
        <v>REPLACEMENT OF UNREPAIRABLE ORBIT FAN IN CLASSROOM 101 &amp; 106</v>
      </c>
    </row>
    <row r="1008">
      <c r="A1008" s="234">
        <f>IFERROR(__xludf.DUMMYFUNCTION("""COMPUTED_VALUE"""),101299.0)</f>
        <v>101299</v>
      </c>
      <c r="B1008" s="235" t="str">
        <f>IFERROR(__xludf.DUMMYFUNCTION("""COMPUTED_VALUE"""),"SHEREE ESPINOSA/ALFA DE LEON")</f>
        <v>SHEREE ESPINOSA/ALFA DE LEON</v>
      </c>
      <c r="C1008" s="235" t="str">
        <f>IFERROR(__xludf.DUMMYFUNCTION("""COMPUTED_VALUE"""),"HOUSEKEEPING")</f>
        <v>HOUSEKEEPING</v>
      </c>
      <c r="D1008" s="196" t="str">
        <f>IFERROR(__xludf.DUMMYFUNCTION("""COMPUTED_VALUE"""),"TRASHBIN MEDIUM
10 LUX
4 MUN
1 STAR")</f>
        <v>TRASHBIN MEDIUM
10 LUX
4 MUN
1 STAR</v>
      </c>
      <c r="E1008" s="196" t="str">
        <f>IFERROR(__xludf.DUMMYFUNCTION("""COMPUTED_VALUE"""),"TRASH BIN(LUX, MUNICH, STAR CAMPUS)")</f>
        <v>TRASH BIN(LUX, MUNICH, STAR CAMPUS)</v>
      </c>
    </row>
    <row r="1009">
      <c r="A1009" s="234">
        <f>IFERROR(__xludf.DUMMYFUNCTION("""COMPUTED_VALUE"""),101300.0)</f>
        <v>101300</v>
      </c>
      <c r="B1009" s="235" t="str">
        <f>IFERROR(__xludf.DUMMYFUNCTION("""COMPUTED_VALUE"""),"ALFA DE LEON")</f>
        <v>ALFA DE LEON</v>
      </c>
      <c r="C1009" s="235" t="str">
        <f>IFERROR(__xludf.DUMMYFUNCTION("""COMPUTED_VALUE"""),"ADMIN - MUNICH")</f>
        <v>ADMIN - MUNICH</v>
      </c>
      <c r="D1009" s="196" t="str">
        <f>IFERROR(__xludf.DUMMYFUNCTION("""COMPUTED_VALUE"""),"SILICON 30PCS")</f>
        <v>SILICON 30PCS</v>
      </c>
      <c r="E1009" s="196" t="str">
        <f>IFERROR(__xludf.DUMMYFUNCTION("""COMPUTED_VALUE"""),"FOR REPAIRS OF GLASS WINDOWS TO PREVENT LEAKS")</f>
        <v>FOR REPAIRS OF GLASS WINDOWS TO PREVENT LEAKS</v>
      </c>
    </row>
    <row r="1010">
      <c r="A1010" s="234">
        <f>IFERROR(__xludf.DUMMYFUNCTION("""COMPUTED_VALUE"""),101301.0)</f>
        <v>101301</v>
      </c>
      <c r="B1010" s="235" t="str">
        <f>IFERROR(__xludf.DUMMYFUNCTION("""COMPUTED_VALUE"""),"ALFA DE LEON")</f>
        <v>ALFA DE LEON</v>
      </c>
      <c r="C1010" s="235" t="str">
        <f>IFERROR(__xludf.DUMMYFUNCTION("""COMPUTED_VALUE"""),"ADMIN - MUNICH")</f>
        <v>ADMIN - MUNICH</v>
      </c>
      <c r="D1010" s="196" t="str">
        <f>IFERROR(__xludf.DUMMYFUNCTION("""COMPUTED_VALUE"""),"WALL FAN 2PCS")</f>
        <v>WALL FAN 2PCS</v>
      </c>
      <c r="E1010" s="196" t="str">
        <f>IFERROR(__xludf.DUMMYFUNCTION("""COMPUTED_VALUE"""),"REPLACEMENT OF BROKEN WALL FAN IN 2F STORAGE HALLWAY")</f>
        <v>REPLACEMENT OF BROKEN WALL FAN IN 2F STORAGE HALLWAY</v>
      </c>
    </row>
    <row r="1011">
      <c r="A1011" s="234">
        <f>IFERROR(__xludf.DUMMYFUNCTION("""COMPUTED_VALUE"""),10.0)</f>
        <v>10</v>
      </c>
      <c r="B1011" s="235" t="str">
        <f>IFERROR(__xludf.DUMMYFUNCTION("""COMPUTED_VALUE"""),"JP RAGOT ")</f>
        <v>JP RAGOT </v>
      </c>
      <c r="C1011" s="235" t="str">
        <f>IFERROR(__xludf.DUMMYFUNCTION("""COMPUTED_VALUE"""),"AMD")</f>
        <v>AMD</v>
      </c>
      <c r="D1011" s="196" t="str">
        <f>IFERROR(__xludf.DUMMYFUNCTION("""COMPUTED_VALUE"""),"M.R 16 5 WATTS 220 VOLTS")</f>
        <v>M.R 16 5 WATTS 220 VOLTS</v>
      </c>
      <c r="E1011" s="196" t="str">
        <f>IFERROR(__xludf.DUMMYFUNCTION("""COMPUTED_VALUE"""),"STOCK REPLENISHMENT")</f>
        <v>STOCK REPLENISHMENT</v>
      </c>
    </row>
    <row r="1012">
      <c r="A1012" s="234">
        <f>IFERROR(__xludf.DUMMYFUNCTION("""COMPUTED_VALUE"""),101303.0)</f>
        <v>101303</v>
      </c>
      <c r="B1012" s="235" t="str">
        <f>IFERROR(__xludf.DUMMYFUNCTION("""COMPUTED_VALUE"""),"SHEREE ESPINOSA")</f>
        <v>SHEREE ESPINOSA</v>
      </c>
      <c r="C1012" s="235" t="str">
        <f>IFERROR(__xludf.DUMMYFUNCTION("""COMPUTED_VALUE"""),"HOUSEKEEPING")</f>
        <v>HOUSEKEEPING</v>
      </c>
      <c r="D1012" s="196" t="str">
        <f>IFERROR(__xludf.DUMMYFUNCTION("""COMPUTED_VALUE"""),"MEGABOX 155L")</f>
        <v>MEGABOX 155L</v>
      </c>
      <c r="E1012" s="196" t="str">
        <f>IFERROR(__xludf.DUMMYFUNCTION("""COMPUTED_VALUE"""),"STORAGE BOX FOR CHRISTMAS DECORS AND CLOTH(SEAT COVER AND TABLE COVER)")</f>
        <v>STORAGE BOX FOR CHRISTMAS DECORS AND CLOTH(SEAT COVER AND TABLE COVER)</v>
      </c>
    </row>
    <row r="1013">
      <c r="A1013" s="234">
        <f>IFERROR(__xludf.DUMMYFUNCTION("""COMPUTED_VALUE"""),101304.0)</f>
        <v>101304</v>
      </c>
      <c r="B1013" s="235" t="str">
        <f>IFERROR(__xludf.DUMMYFUNCTION("""COMPUTED_VALUE"""),"APRIL D. TRAJICO")</f>
        <v>APRIL D. TRAJICO</v>
      </c>
      <c r="C1013" s="235" t="str">
        <f>IFERROR(__xludf.DUMMYFUNCTION("""COMPUTED_VALUE"""),"AMD")</f>
        <v>AMD</v>
      </c>
      <c r="D1013" s="196" t="str">
        <f>IFERROR(__xludf.DUMMYFUNCTION("""COMPUTED_VALUE"""),"TONER, CARTRIDGE CF210A BLACK 5PCS; CF211A CYAN 5PCS")</f>
        <v>TONER, CARTRIDGE CF210A BLACK 5PCS; CF211A CYAN 5PCS</v>
      </c>
      <c r="E1013" s="196" t="str">
        <f>IFERROR(__xludf.DUMMYFUNCTION("""COMPUTED_VALUE"""),"STOCK REPLENISHMENT - OSSUP")</f>
        <v>STOCK REPLENISHMENT - OSSUP</v>
      </c>
    </row>
    <row r="1014">
      <c r="A1014" s="234">
        <f>IFERROR(__xludf.DUMMYFUNCTION("""COMPUTED_VALUE"""),101305.0)</f>
        <v>101305</v>
      </c>
      <c r="B1014" s="235" t="str">
        <f>IFERROR(__xludf.DUMMYFUNCTION("""COMPUTED_VALUE"""),"APRIL D. TRAJICO")</f>
        <v>APRIL D. TRAJICO</v>
      </c>
      <c r="C1014" s="235" t="str">
        <f>IFERROR(__xludf.DUMMYFUNCTION("""COMPUTED_VALUE"""),"AMD")</f>
        <v>AMD</v>
      </c>
      <c r="D1014" s="196" t="str">
        <f>IFERROR(__xludf.DUMMYFUNCTION("""COMPUTED_VALUE"""),"TONER, CARTRIDGE INKONVERT TN660 FOR BROTHER HL-2300D 11PCS")</f>
        <v>TONER, CARTRIDGE INKONVERT TN660 FOR BROTHER HL-2300D 11PCS</v>
      </c>
      <c r="E1014" s="196" t="str">
        <f>IFERROR(__xludf.DUMMYFUNCTION("""COMPUTED_VALUE"""),"STOCK REPLENISHMENT - OSSUP")</f>
        <v>STOCK REPLENISHMENT - OSSUP</v>
      </c>
    </row>
    <row r="1015">
      <c r="A1015" s="234">
        <f>IFERROR(__xludf.DUMMYFUNCTION("""COMPUTED_VALUE"""),101306.0)</f>
        <v>101306</v>
      </c>
      <c r="B1015" s="235" t="str">
        <f>IFERROR(__xludf.DUMMYFUNCTION("""COMPUTED_VALUE"""),"APRIL D. TRAJICO")</f>
        <v>APRIL D. TRAJICO</v>
      </c>
      <c r="C1015" s="235" t="str">
        <f>IFERROR(__xludf.DUMMYFUNCTION("""COMPUTED_VALUE"""),"AMD")</f>
        <v>AMD</v>
      </c>
      <c r="D1015" s="196" t="str">
        <f>IFERROR(__xludf.DUMMYFUNCTION("""COMPUTED_VALUE"""),"TAPE, PACKAGING TAPE (2"") 10PCS; TAPE, SCOTCH 3M (1"") (TRANSPARENT TAPE 500 24mmx50m) 100PCS")</f>
        <v>TAPE, PACKAGING TAPE (2") 10PCS; TAPE, SCOTCH 3M (1") (TRANSPARENT TAPE 500 24mmx50m) 100PCS</v>
      </c>
      <c r="E1015" s="196" t="str">
        <f>IFERROR(__xludf.DUMMYFUNCTION("""COMPUTED_VALUE"""),"STOCK REPLENISHMENT - OSSUP")</f>
        <v>STOCK REPLENISHMENT - OSSUP</v>
      </c>
    </row>
    <row r="1016">
      <c r="A1016" s="234">
        <f>IFERROR(__xludf.DUMMYFUNCTION("""COMPUTED_VALUE"""),101307.0)</f>
        <v>101307</v>
      </c>
      <c r="B1016" s="235" t="str">
        <f>IFERROR(__xludf.DUMMYFUNCTION("""COMPUTED_VALUE"""),"APRIL D. TRAJICO")</f>
        <v>APRIL D. TRAJICO</v>
      </c>
      <c r="C1016" s="235" t="str">
        <f>IFERROR(__xludf.DUMMYFUNCTION("""COMPUTED_VALUE"""),"AMD")</f>
        <v>AMD</v>
      </c>
      <c r="D1016" s="196" t="str">
        <f>IFERROR(__xludf.DUMMYFUNCTION("""COMPUTED_VALUE"""),"STAPLE WIRE, MAX #35-5M (BOX OF 5000PCS) 60BOXES; STAPLER, MAX HD-50 (USE WITH #35 STAPLE WIRE) W/ STAPLE WIRE REMOVER 20PCS; TAPE, 3M MASKING TAPE BIG (1"") 300PCS; TAPE, DOUBLE SIDED W/O FOAM 30PCS")</f>
        <v>STAPLE WIRE, MAX #35-5M (BOX OF 5000PCS) 60BOXES; STAPLER, MAX HD-50 (USE WITH #35 STAPLE WIRE) W/ STAPLE WIRE REMOVER 20PCS; TAPE, 3M MASKING TAPE BIG (1") 300PCS; TAPE, DOUBLE SIDED W/O FOAM 30PCS</v>
      </c>
      <c r="E1016" s="196" t="str">
        <f>IFERROR(__xludf.DUMMYFUNCTION("""COMPUTED_VALUE"""),"STOCK REPLENISHMENT - OSSUP")</f>
        <v>STOCK REPLENISHMENT - OSSUP</v>
      </c>
    </row>
    <row r="1017">
      <c r="A1017" s="234">
        <f>IFERROR(__xludf.DUMMYFUNCTION("""COMPUTED_VALUE"""),101308.0)</f>
        <v>101308</v>
      </c>
      <c r="B1017" s="235" t="str">
        <f>IFERROR(__xludf.DUMMYFUNCTION("""COMPUTED_VALUE"""),"APRIL D. TRAJICO")</f>
        <v>APRIL D. TRAJICO</v>
      </c>
      <c r="C1017" s="235" t="str">
        <f>IFERROR(__xludf.DUMMYFUNCTION("""COMPUTED_VALUE"""),"AMD")</f>
        <v>AMD</v>
      </c>
      <c r="D1017" s="196" t="str">
        <f>IFERROR(__xludf.DUMMYFUNCTION("""COMPUTED_VALUE"""),"ENVELOPE, LONG WITH SISC LOGO WITH WINDOW 3000PCS")</f>
        <v>ENVELOPE, LONG WITH SISC LOGO WITH WINDOW 3000PCS</v>
      </c>
      <c r="E1017" s="196" t="str">
        <f>IFERROR(__xludf.DUMMYFUNCTION("""COMPUTED_VALUE"""),"STOCK REPLENISHMENT - OSSUP")</f>
        <v>STOCK REPLENISHMENT - OSSUP</v>
      </c>
    </row>
    <row r="1018">
      <c r="A1018" s="234">
        <f>IFERROR(__xludf.DUMMYFUNCTION("""COMPUTED_VALUE"""),101309.0)</f>
        <v>101309</v>
      </c>
      <c r="B1018" s="235" t="str">
        <f>IFERROR(__xludf.DUMMYFUNCTION("""COMPUTED_VALUE"""),"APRIL D. TRAJICO")</f>
        <v>APRIL D. TRAJICO</v>
      </c>
      <c r="C1018" s="235" t="str">
        <f>IFERROR(__xludf.DUMMYFUNCTION("""COMPUTED_VALUE"""),"AMD")</f>
        <v>AMD</v>
      </c>
      <c r="D1018" s="196" t="str">
        <f>IFERROR(__xludf.DUMMYFUNCTION("""COMPUTED_VALUE"""),"ENVELOPE, EXPANDING PLASTIC - SHORT, ADVENTURER E-411-S 200PCS")</f>
        <v>ENVELOPE, EXPANDING PLASTIC - SHORT, ADVENTURER E-411-S 200PCS</v>
      </c>
      <c r="E1018" s="196" t="str">
        <f>IFERROR(__xludf.DUMMYFUNCTION("""COMPUTED_VALUE"""),"STOCK REPLENISHMENT - OSSUP")</f>
        <v>STOCK REPLENISHMENT - OSSUP</v>
      </c>
    </row>
    <row r="1019">
      <c r="A1019" s="234">
        <f>IFERROR(__xludf.DUMMYFUNCTION("""COMPUTED_VALUE"""),101310.0)</f>
        <v>101310</v>
      </c>
      <c r="B1019" s="235" t="str">
        <f>IFERROR(__xludf.DUMMYFUNCTION("""COMPUTED_VALUE"""),"APRIL D. TRAJICO")</f>
        <v>APRIL D. TRAJICO</v>
      </c>
      <c r="C1019" s="235" t="str">
        <f>IFERROR(__xludf.DUMMYFUNCTION("""COMPUTED_VALUE"""),"AMD")</f>
        <v>AMD</v>
      </c>
      <c r="D1019" s="196" t="str">
        <f>IFERROR(__xludf.DUMMYFUNCTION("""COMPUTED_VALUE"""),"DISPENSER, TAPE BIG JOY 10PCS; FASTERNER, PLASTIC COATED - PRINCE 20PACKS; GLUE, MIGHTY BOND 20PCS, INK, TRODAT PURPLE 1PC; INK, TRODAT BLACK 1PC; SCISSORS, JOY FOR EMPLOYEE (6INCHES) 30PCS")</f>
        <v>DISPENSER, TAPE BIG JOY 10PCS; FASTERNER, PLASTIC COATED - PRINCE 20PACKS; GLUE, MIGHTY BOND 20PCS, INK, TRODAT PURPLE 1PC; INK, TRODAT BLACK 1PC; SCISSORS, JOY FOR EMPLOYEE (6INCHES) 30PCS</v>
      </c>
      <c r="E1019" s="196" t="str">
        <f>IFERROR(__xludf.DUMMYFUNCTION("""COMPUTED_VALUE"""),"STOCK REPLENISHMENT - OSSUP")</f>
        <v>STOCK REPLENISHMENT - OSSUP</v>
      </c>
    </row>
    <row r="1020">
      <c r="A1020" s="234">
        <f>IFERROR(__xludf.DUMMYFUNCTION("""COMPUTED_VALUE"""),101311.0)</f>
        <v>101311</v>
      </c>
      <c r="B1020" s="235" t="str">
        <f>IFERROR(__xludf.DUMMYFUNCTION("""COMPUTED_VALUE"""),"APRIL D. TRAJICO")</f>
        <v>APRIL D. TRAJICO</v>
      </c>
      <c r="C1020" s="235" t="str">
        <f>IFERROR(__xludf.DUMMYFUNCTION("""COMPUTED_VALUE"""),"AMD")</f>
        <v>AMD</v>
      </c>
      <c r="D1020" s="196" t="str">
        <f>IFERROR(__xludf.DUMMYFUNCTION("""COMPUTED_VALUE"""),"CARTOLINA, BLACK 100PCS; CARTOLINA, RED 100PCS; CD BLANK TAPE 20PCS; CLEARBOOK, UNREFILLABLE 20'S LONG 50PCS, UNREFILLABLE 40'S LONG 20PCS; CORRECTION TAPE, JOY 120PCS")</f>
        <v>CARTOLINA, BLACK 100PCS; CARTOLINA, RED 100PCS; CD BLANK TAPE 20PCS; CLEARBOOK, UNREFILLABLE 20'S LONG 50PCS, UNREFILLABLE 40'S LONG 20PCS; CORRECTION TAPE, JOY 120PCS</v>
      </c>
      <c r="E1020" s="196" t="str">
        <f>IFERROR(__xludf.DUMMYFUNCTION("""COMPUTED_VALUE"""),"STOCK REPLENISHMENT - OSSUP")</f>
        <v>STOCK REPLENISHMENT - OSSUP</v>
      </c>
    </row>
    <row r="1021">
      <c r="A1021" s="234">
        <f>IFERROR(__xludf.DUMMYFUNCTION("""COMPUTED_VALUE"""),101312.0)</f>
        <v>101312</v>
      </c>
      <c r="B1021" s="235" t="str">
        <f>IFERROR(__xludf.DUMMYFUNCTION("""COMPUTED_VALUE"""),"APRIL D. TRAJICO")</f>
        <v>APRIL D. TRAJICO</v>
      </c>
      <c r="C1021" s="235" t="str">
        <f>IFERROR(__xludf.DUMMYFUNCTION("""COMPUTED_VALUE"""),"AMD")</f>
        <v>AMD</v>
      </c>
      <c r="D1021" s="196" t="str">
        <f>IFERROR(__xludf.DUMMYFUNCTION("""COMPUTED_VALUE"""),"TOWEL, HAND - GOOD MORNING 120PCS")</f>
        <v>TOWEL, HAND - GOOD MORNING 120PCS</v>
      </c>
      <c r="E1021" s="196" t="str">
        <f>IFERROR(__xludf.DUMMYFUNCTION("""COMPUTED_VALUE"""),"STOCK REPLENISHMENT - OSSUP")</f>
        <v>STOCK REPLENISHMENT - OSSUP</v>
      </c>
    </row>
    <row r="1022">
      <c r="A1022" s="234">
        <f>IFERROR(__xludf.DUMMYFUNCTION("""COMPUTED_VALUE"""),101313.0)</f>
        <v>101313</v>
      </c>
      <c r="B1022" s="235" t="str">
        <f>IFERROR(__xludf.DUMMYFUNCTION("""COMPUTED_VALUE"""),"BENJO P. DELA CRUZ")</f>
        <v>BENJO P. DELA CRUZ</v>
      </c>
      <c r="C1022" s="235" t="str">
        <f>IFERROR(__xludf.DUMMYFUNCTION("""COMPUTED_VALUE"""),"AMD")</f>
        <v>AMD</v>
      </c>
      <c r="D1022" s="196" t="str">
        <f>IFERROR(__xludf.DUMMYFUNCTION("""COMPUTED_VALUE"""),"PROPERTY STICKER
SERIES NO: 63007 - 66007
HEIGHT: 4.5CM
WIDTH: 7.5CM
WATER RESISTANT AND GETS DESTROYED WHEN REMOVED
QUANTITY : 3000 PCS")</f>
        <v>PROPERTY STICKER
SERIES NO: 63007 - 66007
HEIGHT: 4.5CM
WIDTH: 7.5CM
WATER RESISTANT AND GETS DESTROYED WHEN REMOVED
QUANTITY : 3000 PCS</v>
      </c>
      <c r="E1022" s="196" t="str">
        <f>IFERROR(__xludf.DUMMYFUNCTION("""COMPUTED_VALUE"""),"FOR PROPERTY TAGGING")</f>
        <v>FOR PROPERTY TAGGING</v>
      </c>
    </row>
    <row r="1023">
      <c r="A1023" s="234">
        <f>IFERROR(__xludf.DUMMYFUNCTION("""COMPUTED_VALUE"""),101314.0)</f>
        <v>101314</v>
      </c>
      <c r="B1023" s="235" t="str">
        <f>IFERROR(__xludf.DUMMYFUNCTION("""COMPUTED_VALUE"""),"CHARMAGNE VIDALLON")</f>
        <v>CHARMAGNE VIDALLON</v>
      </c>
      <c r="C1023" s="235" t="str">
        <f>IFERROR(__xludf.DUMMYFUNCTION("""COMPUTED_VALUE"""),"PR &amp; MARKETING")</f>
        <v>PR &amp; MARKETING</v>
      </c>
      <c r="D1023" s="196" t="str">
        <f>IFERROR(__xludf.DUMMYFUNCTION("""COMPUTED_VALUE"""),"MICROPHONE POLE/ HANDLE")</f>
        <v>MICROPHONE POLE/ HANDLE</v>
      </c>
      <c r="E1023" s="196" t="str">
        <f>IFERROR(__xludf.DUMMYFUNCTION("""COMPUTED_VALUE"""),"FOR BETTER AUDIO QUALITY PR VIDEO CONTENT")</f>
        <v>FOR BETTER AUDIO QUALITY PR VIDEO CONTENT</v>
      </c>
    </row>
    <row r="1024">
      <c r="A1024" s="234">
        <f>IFERROR(__xludf.DUMMYFUNCTION("""COMPUTED_VALUE"""),101315.0)</f>
        <v>101315</v>
      </c>
      <c r="B1024" s="235" t="str">
        <f>IFERROR(__xludf.DUMMYFUNCTION("""COMPUTED_VALUE"""),"MELISSA NAVAL ODONO")</f>
        <v>MELISSA NAVAL ODONO</v>
      </c>
      <c r="C1024" s="235" t="str">
        <f>IFERROR(__xludf.DUMMYFUNCTION("""COMPUTED_VALUE"""),"LIBRARY BASIC ED")</f>
        <v>LIBRARY BASIC ED</v>
      </c>
      <c r="D1024" s="196" t="str">
        <f>IFERROR(__xludf.DUMMYFUNCTION("""COMPUTED_VALUE"""),"PUT YOUR FEELINGS HERE; A CREATIVE DBT JOURNAL; THE MINDEFULNESS WORKBOOK FOR TEENS SELF-HARM; BOUNCING BACK FROM REJECTION: BUILD THE RESILIENCE YOU NEED TO GET BACK UP WHEN LIFE KNOCKS YOU DOWN; NEEDING TO KNOW FOR SURE: A CBT-BASED GUIDE TO OVERCOMING "&amp;"COMPULSIVE CHECKING AND REASSURANCE SEEKING; BE MIGHTY: A WOMAN'S GUIDE TO LIBERATION FROM ANXIETY, WORRY AND STRESS USING MINDFULNESS AND ACCEPTANCE; THE STRESS SURVIVAL GUIDE FOR TEENS")</f>
        <v>PUT YOUR FEELINGS HERE; A CREATIVE DBT JOURNAL; THE MINDEFULNESS WORKBOOK FOR TEENS SELF-HARM; BOUNCING BACK FROM REJECTION: BUILD THE RESILIENCE YOU NEED TO GET BACK UP WHEN LIFE KNOCKS YOU DOWN; NEEDING TO KNOW FOR SURE: A CBT-BASED GUIDE TO OVERCOMING COMPULSIVE CHECKING AND REASSURANCE SEEKING; BE MIGHTY: A WOMAN'S GUIDE TO LIBERATION FROM ANXIETY, WORRY AND STRESS USING MINDFULNESS AND ACCEPTANCE; THE STRESS SURVIVAL GUIDE FOR TEENS</v>
      </c>
      <c r="E1024" s="196" t="str">
        <f>IFERROR(__xludf.DUMMYFUNCTION("""COMPUTED_VALUE"""),"FOR TEACHER'S USE / LIBRARY'S COPY")</f>
        <v>FOR TEACHER'S USE / LIBRARY'S COPY</v>
      </c>
    </row>
    <row r="1025">
      <c r="A1025" s="234">
        <f>IFERROR(__xludf.DUMMYFUNCTION("""COMPUTED_VALUE"""),101316.0)</f>
        <v>101316</v>
      </c>
      <c r="B1025" s="235" t="str">
        <f>IFERROR(__xludf.DUMMYFUNCTION("""COMPUTED_VALUE"""),"WILBERT BELTRAN")</f>
        <v>WILBERT BELTRAN</v>
      </c>
      <c r="C1025" s="235" t="str">
        <f>IFERROR(__xludf.DUMMYFUNCTION("""COMPUTED_VALUE"""),"MIS/ICT")</f>
        <v>MIS/ICT</v>
      </c>
      <c r="D1025" s="196" t="str">
        <f>IFERROR(__xludf.DUMMYFUNCTION("""COMPUTED_VALUE"""),"STORAGE BOX 1PC (CAN BE PURCHASED FROM ACE HARDWARE ")</f>
        <v>STORAGE BOX 1PC (CAN BE PURCHASED FROM ACE HARDWARE </v>
      </c>
      <c r="E1025" s="196" t="str">
        <f>IFERROR(__xludf.DUMMYFUNCTION("""COMPUTED_VALUE"""),"FOR VR KITS STORAGE")</f>
        <v>FOR VR KITS STORAGE</v>
      </c>
    </row>
    <row r="1026">
      <c r="A1026" s="234">
        <f>IFERROR(__xludf.DUMMYFUNCTION("""COMPUTED_VALUE"""),101317.0)</f>
        <v>101317</v>
      </c>
      <c r="B1026" s="235" t="str">
        <f>IFERROR(__xludf.DUMMYFUNCTION("""COMPUTED_VALUE"""),"CHRISTIAN ANDRES")</f>
        <v>CHRISTIAN ANDRES</v>
      </c>
      <c r="C1026" s="235" t="str">
        <f>IFERROR(__xludf.DUMMYFUNCTION("""COMPUTED_VALUE"""),"PR &amp; MARKETING")</f>
        <v>PR &amp; MARKETING</v>
      </c>
      <c r="D1026" s="196" t="str">
        <f>IFERROR(__xludf.DUMMYFUNCTION("""COMPUTED_VALUE"""),"ODL TARP 6.5X13.5 1PC WITH EYELET AND SEAMING ")</f>
        <v>ODL TARP 6.5X13.5 1PC WITH EYELET AND SEAMING </v>
      </c>
      <c r="E1026" s="196" t="str">
        <f>IFERROR(__xludf.DUMMYFUNCTION("""COMPUTED_VALUE"""),"MARKETING")</f>
        <v>MARKETING</v>
      </c>
    </row>
    <row r="1027">
      <c r="A1027" s="234">
        <f>IFERROR(__xludf.DUMMYFUNCTION("""COMPUTED_VALUE"""),101318.0)</f>
        <v>101318</v>
      </c>
      <c r="B1027" s="235" t="str">
        <f>IFERROR(__xludf.DUMMYFUNCTION("""COMPUTED_VALUE"""),"CHARMAGNE VIDALLON")</f>
        <v>CHARMAGNE VIDALLON</v>
      </c>
      <c r="C1027" s="235" t="str">
        <f>IFERROR(__xludf.DUMMYFUNCTION("""COMPUTED_VALUE"""),"PR &amp; MARKETING")</f>
        <v>PR &amp; MARKETING</v>
      </c>
      <c r="D1027" s="196" t="str">
        <f>IFERROR(__xludf.DUMMYFUNCTION("""COMPUTED_VALUE"""),"SFO TARP 6X9FT")</f>
        <v>SFO TARP 6X9FT</v>
      </c>
      <c r="E1027" s="196" t="str">
        <f>IFERROR(__xludf.DUMMYFUNCTION("""COMPUTED_VALUE"""),"FOR ADVERTISEMENT")</f>
        <v>FOR ADVERTISEMENT</v>
      </c>
    </row>
    <row r="1028">
      <c r="A1028" s="234">
        <f>IFERROR(__xludf.DUMMYFUNCTION("""COMPUTED_VALUE"""),101319.0)</f>
        <v>101319</v>
      </c>
      <c r="B1028" s="235" t="str">
        <f>IFERROR(__xludf.DUMMYFUNCTION("""COMPUTED_VALUE"""),"DYAN CHAVEZ")</f>
        <v>DYAN CHAVEZ</v>
      </c>
      <c r="C1028" s="235" t="str">
        <f>IFERROR(__xludf.DUMMYFUNCTION("""COMPUTED_VALUE"""),"ECED")</f>
        <v>ECED</v>
      </c>
      <c r="D1028" s="196" t="str">
        <f>IFERROR(__xludf.DUMMYFUNCTION("""COMPUTED_VALUE"""),"PURPLE SHIRTS 115 PCS; PINK SHIRT 115 PCS; GREEN SHIRT 115 PCS")</f>
        <v>PURPLE SHIRTS 115 PCS; PINK SHIRT 115 PCS; GREEN SHIRT 115 PCS</v>
      </c>
      <c r="E1028" s="196" t="str">
        <f>IFERROR(__xludf.DUMMYFUNCTION("""COMPUTED_VALUE"""),"ECED SPORTSFEST")</f>
        <v>ECED SPORTSFEST</v>
      </c>
    </row>
    <row r="1029">
      <c r="A1029" s="234">
        <f>IFERROR(__xludf.DUMMYFUNCTION("""COMPUTED_VALUE"""),101320.0)</f>
        <v>101320</v>
      </c>
      <c r="B1029" s="235" t="str">
        <f>IFERROR(__xludf.DUMMYFUNCTION("""COMPUTED_VALUE"""),"OWIE PAR")</f>
        <v>OWIE PAR</v>
      </c>
      <c r="C1029" s="235" t="str">
        <f>IFERROR(__xludf.DUMMYFUNCTION("""COMPUTED_VALUE"""),"ENGINEERING")</f>
        <v>ENGINEERING</v>
      </c>
      <c r="D1029" s="196" t="str">
        <f>IFERROR(__xludf.DUMMYFUNCTION("""COMPUTED_VALUE"""),"BASKETBALL RING (SAME IN TROPICAL)")</f>
        <v>BASKETBALL RING (SAME IN TROPICAL)</v>
      </c>
      <c r="E1029" s="196" t="str">
        <f>IFERROR(__xludf.DUMMYFUNCTION("""COMPUTED_VALUE"""),"FOR MONARCH GYM")</f>
        <v>FOR MONARCH GYM</v>
      </c>
    </row>
    <row r="1030">
      <c r="A1030" s="234">
        <f>IFERROR(__xludf.DUMMYFUNCTION("""COMPUTED_VALUE"""),101321.0)</f>
        <v>101321</v>
      </c>
      <c r="B1030" s="235" t="str">
        <f>IFERROR(__xludf.DUMMYFUNCTION("""COMPUTED_VALUE"""),"OWIE PAR")</f>
        <v>OWIE PAR</v>
      </c>
      <c r="C1030" s="235" t="str">
        <f>IFERROR(__xludf.DUMMYFUNCTION("""COMPUTED_VALUE"""),"ENGINEERING")</f>
        <v>ENGINEERING</v>
      </c>
      <c r="D1030" s="196" t="str">
        <f>IFERROR(__xludf.DUMMYFUNCTION("""COMPUTED_VALUE"""),"SPOTLIGHT 70 - 100 WATTS LED SQUARE- 4PCS
THHN#12 2 ROLLS")</f>
        <v>SPOTLIGHT 70 - 100 WATTS LED SQUARE- 4PCS
THHN#12 2 ROLLS</v>
      </c>
      <c r="E1030" s="196" t="str">
        <f>IFERROR(__xludf.DUMMYFUNCTION("""COMPUTED_VALUE"""),"ADDITIONAL LIGHTS IN THE SOCCER FIELD")</f>
        <v>ADDITIONAL LIGHTS IN THE SOCCER FIELD</v>
      </c>
    </row>
    <row r="1031">
      <c r="A1031" s="234">
        <f>IFERROR(__xludf.DUMMYFUNCTION("""COMPUTED_VALUE"""),101322.0)</f>
        <v>101322</v>
      </c>
      <c r="B1031" s="235" t="str">
        <f>IFERROR(__xludf.DUMMYFUNCTION("""COMPUTED_VALUE"""),"OWIE PAR")</f>
        <v>OWIE PAR</v>
      </c>
      <c r="C1031" s="235" t="str">
        <f>IFERROR(__xludf.DUMMYFUNCTION("""COMPUTED_VALUE"""),"ENGINEERING")</f>
        <v>ENGINEERING</v>
      </c>
      <c r="D1031" s="196" t="str">
        <f>IFERROR(__xludf.DUMMYFUNCTION("""COMPUTED_VALUE"""),"THHN#12 3 ROLLS
PVC PIPE 3/4 - ORANGE - 20 LENGTH
JUNCTION BOX - 10PCS
SHORT BEND ELBOW 3/4 - 10PCS
ELECTRICAL TAPE - 3ROLLS")</f>
        <v>THHN#12 3 ROLLS
PVC PIPE 3/4 - ORANGE - 20 LENGTH
JUNCTION BOX - 10PCS
SHORT BEND ELBOW 3/4 - 10PCS
ELECTRICAL TAPE - 3ROLLS</v>
      </c>
      <c r="E1031" s="196" t="str">
        <f>IFERROR(__xludf.DUMMYFUNCTION("""COMPUTED_VALUE"""),"FOR SOCCER FIELD PERIMETER LIGHTS GROUNDED REWIRING")</f>
        <v>FOR SOCCER FIELD PERIMETER LIGHTS GROUNDED REWIRING</v>
      </c>
    </row>
    <row r="1032">
      <c r="A1032" s="234">
        <f>IFERROR(__xludf.DUMMYFUNCTION("""COMPUTED_VALUE"""),101323.0)</f>
        <v>101323</v>
      </c>
      <c r="B1032" s="235" t="str">
        <f>IFERROR(__xludf.DUMMYFUNCTION("""COMPUTED_VALUE"""),"josellie opao")</f>
        <v>josellie opao</v>
      </c>
      <c r="C1032" s="235" t="str">
        <f>IFERROR(__xludf.DUMMYFUNCTION("""COMPUTED_VALUE"""),"Business and Financial Literacy")</f>
        <v>Business and Financial Literacy</v>
      </c>
      <c r="D1032" s="196" t="str">
        <f>IFERROR(__xludf.DUMMYFUNCTION("""COMPUTED_VALUE"""),"clock (black)
pst bell
interon phone")</f>
        <v>clock (black)
pst bell
interon phone</v>
      </c>
      <c r="E1032" s="196" t="str">
        <f>IFERROR(__xludf.DUMMYFUNCTION("""COMPUTED_VALUE"""),"cmlc faculty")</f>
        <v>cmlc faculty</v>
      </c>
    </row>
    <row r="1033">
      <c r="A1033" s="234">
        <f>IFERROR(__xludf.DUMMYFUNCTION("""COMPUTED_VALUE"""),101324.0)</f>
        <v>101324</v>
      </c>
      <c r="B1033" s="235" t="str">
        <f>IFERROR(__xludf.DUMMYFUNCTION("""COMPUTED_VALUE"""),"ALFA DE LEON")</f>
        <v>ALFA DE LEON</v>
      </c>
      <c r="C1033" s="235" t="str">
        <f>IFERROR(__xludf.DUMMYFUNCTION("""COMPUTED_VALUE"""),"ADMIN - MUNICH")</f>
        <v>ADMIN - MUNICH</v>
      </c>
      <c r="D1033" s="196" t="str">
        <f>IFERROR(__xludf.DUMMYFUNCTION("""COMPUTED_VALUE"""),"SUPPLY AND INSTALLATION OF HOPSCOTH AND FOOTPRINTS")</f>
        <v>SUPPLY AND INSTALLATION OF HOPSCOTH AND FOOTPRINTS</v>
      </c>
      <c r="E1033" s="196" t="str">
        <f>IFERROR(__xludf.DUMMYFUNCTION("""COMPUTED_VALUE"""),"INDOOR PLAYGROUND")</f>
        <v>INDOOR PLAYGROUND</v>
      </c>
    </row>
    <row r="1034">
      <c r="A1034" s="234">
        <f>IFERROR(__xludf.DUMMYFUNCTION("""COMPUTED_VALUE"""),101325.0)</f>
        <v>101325</v>
      </c>
      <c r="B1034" s="235" t="str">
        <f>IFERROR(__xludf.DUMMYFUNCTION("""COMPUTED_VALUE"""),"BELOY LEOPOLDO ")</f>
        <v>BELOY LEOPOLDO </v>
      </c>
      <c r="C1034" s="235" t="str">
        <f>IFERROR(__xludf.DUMMYFUNCTION("""COMPUTED_VALUE"""),"AV/MIS")</f>
        <v>AV/MIS</v>
      </c>
      <c r="D1034" s="196" t="str">
        <f>IFERROR(__xludf.DUMMYFUNCTION("""COMPUTED_VALUE"""),"MPH COLLEGE AUDIO UPGRADE")</f>
        <v>MPH COLLEGE AUDIO UPGRADE</v>
      </c>
      <c r="E1034" s="196" t="str">
        <f>IFERROR(__xludf.DUMMYFUNCTION("""COMPUTED_VALUE"""),"AV UPGRADE")</f>
        <v>AV UPGRADE</v>
      </c>
    </row>
    <row r="1035">
      <c r="A1035" s="234">
        <f>IFERROR(__xludf.DUMMYFUNCTION("""COMPUTED_VALUE"""),101326.0)</f>
        <v>101326</v>
      </c>
      <c r="B1035" s="235" t="str">
        <f>IFERROR(__xludf.DUMMYFUNCTION("""COMPUTED_VALUE"""),"BELOY LEOPOLDDO")</f>
        <v>BELOY LEOPOLDDO</v>
      </c>
      <c r="C1035" s="235" t="str">
        <f>IFERROR(__xludf.DUMMYFUNCTION("""COMPUTED_VALUE"""),"AV/MIS")</f>
        <v>AV/MIS</v>
      </c>
      <c r="D1035" s="196" t="str">
        <f>IFERROR(__xludf.DUMMYFUNCTION("""COMPUTED_VALUE"""),"MINI THEATRE AUDIO UPGRADE ")</f>
        <v>MINI THEATRE AUDIO UPGRADE </v>
      </c>
      <c r="E1035" s="196" t="str">
        <f>IFERROR(__xludf.DUMMYFUNCTION("""COMPUTED_VALUE"""),"AV UPGRADE")</f>
        <v>AV UPGRADE</v>
      </c>
    </row>
    <row r="1036">
      <c r="A1036" s="234">
        <f>IFERROR(__xludf.DUMMYFUNCTION("""COMPUTED_VALUE"""),101327.0)</f>
        <v>101327</v>
      </c>
      <c r="B1036" s="235" t="str">
        <f>IFERROR(__xludf.DUMMYFUNCTION("""COMPUTED_VALUE"""),"lia amor g arcaina ")</f>
        <v>lia amor g arcaina </v>
      </c>
      <c r="C1036" s="235" t="str">
        <f>IFERROR(__xludf.DUMMYFUNCTION("""COMPUTED_VALUE"""),"STUDENT AFFAIRS BED")</f>
        <v>STUDENT AFFAIRS BED</v>
      </c>
      <c r="D1036" s="196" t="str">
        <f>IFERROR(__xludf.DUMMYFUNCTION("""COMPUTED_VALUE"""),"FLOWERS RIBBON CUTTING ")</f>
        <v>FLOWERS RIBBON CUTTING </v>
      </c>
      <c r="E1036" s="196" t="str">
        <f>IFERROR(__xludf.DUMMYFUNCTION("""COMPUTED_VALUE"""),"CMLC LAUNCHING")</f>
        <v>CMLC LAUNCHING</v>
      </c>
    </row>
    <row r="1037">
      <c r="A1037" s="234">
        <f>IFERROR(__xludf.DUMMYFUNCTION("""COMPUTED_VALUE"""),101328.0)</f>
        <v>101328</v>
      </c>
      <c r="B1037" s="235" t="str">
        <f>IFERROR(__xludf.DUMMYFUNCTION("""COMPUTED_VALUE"""),"CHRISTIAN ANDRES")</f>
        <v>CHRISTIAN ANDRES</v>
      </c>
      <c r="C1037" s="235" t="str">
        <f>IFERROR(__xludf.DUMMYFUNCTION("""COMPUTED_VALUE"""),"PR &amp; MARKETING")</f>
        <v>PR &amp; MARKETING</v>
      </c>
      <c r="D1037" s="196" t="str">
        <f>IFERROR(__xludf.DUMMYFUNCTION("""COMPUTED_VALUE"""),"MUNICH GIANT TARP W/ EYELET &amp; SEAMING (BLACK OUT) 1PC")</f>
        <v>MUNICH GIANT TARP W/ EYELET &amp; SEAMING (BLACK OUT) 1PC</v>
      </c>
      <c r="E1037" s="196" t="str">
        <f>IFERROR(__xludf.DUMMYFUNCTION("""COMPUTED_VALUE"""),"MARKETING")</f>
        <v>MARKETING</v>
      </c>
    </row>
    <row r="1038">
      <c r="A1038" s="234">
        <f>IFERROR(__xludf.DUMMYFUNCTION("""COMPUTED_VALUE"""),101329.0)</f>
        <v>101329</v>
      </c>
      <c r="B1038" s="235" t="str">
        <f>IFERROR(__xludf.DUMMYFUNCTION("""COMPUTED_VALUE"""),"owie PAR")</f>
        <v>owie PAR</v>
      </c>
      <c r="C1038" s="235" t="str">
        <f>IFERROR(__xludf.DUMMYFUNCTION("""COMPUTED_VALUE"""),"ENGINEERING")</f>
        <v>ENGINEERING</v>
      </c>
      <c r="D1038" s="196" t="str">
        <f>IFERROR(__xludf.DUMMYFUNCTION("""COMPUTED_VALUE"""),"pvc moulding 1/2
led lights
tox screw #6
")</f>
        <v>pvc moulding 1/2
led lights
tox screw #6
</v>
      </c>
      <c r="E1038" s="196" t="str">
        <f>IFERROR(__xludf.DUMMYFUNCTION("""COMPUTED_VALUE"""),"4th floor col lib additional lights")</f>
        <v>4th floor col lib additional lights</v>
      </c>
    </row>
    <row r="1039">
      <c r="A1039" s="234">
        <f>IFERROR(__xludf.DUMMYFUNCTION("""COMPUTED_VALUE"""),101330.0)</f>
        <v>101330</v>
      </c>
      <c r="B1039" s="235" t="str">
        <f>IFERROR(__xludf.DUMMYFUNCTION("""COMPUTED_VALUE"""),"samaNTHA FEROL")</f>
        <v>samaNTHA FEROL</v>
      </c>
      <c r="C1039" s="235" t="str">
        <f>IFERROR(__xludf.DUMMYFUNCTION("""COMPUTED_VALUE"""),"LIBRARY COLLEGE")</f>
        <v>LIBRARY COLLEGE</v>
      </c>
      <c r="D1039" s="196" t="str">
        <f>IFERROR(__xludf.DUMMYFUNCTION("""COMPUTED_VALUE"""),"MANILA BULLETIN (DECEMBER 01-31 2019)")</f>
        <v>MANILA BULLETIN (DECEMBER 01-31 2019)</v>
      </c>
      <c r="E1039" s="196" t="str">
        <f>IFERROR(__xludf.DUMMYFUNCTION("""COMPUTED_VALUE"""),"PAYMENT FOR FOR MANILA BULLETIN")</f>
        <v>PAYMENT FOR FOR MANILA BULLETIN</v>
      </c>
    </row>
    <row r="1040">
      <c r="A1040" s="234">
        <f>IFERROR(__xludf.DUMMYFUNCTION("""COMPUTED_VALUE"""),101331.0)</f>
        <v>101331</v>
      </c>
      <c r="B1040" s="235" t="str">
        <f>IFERROR(__xludf.DUMMYFUNCTION("""COMPUTED_VALUE"""),"CHRISTIAN ANDRES")</f>
        <v>CHRISTIAN ANDRES</v>
      </c>
      <c r="C1040" s="235" t="str">
        <f>IFERROR(__xludf.DUMMYFUNCTION("""COMPUTED_VALUE"""),"PR &amp; MARKETING")</f>
        <v>PR &amp; MARKETING</v>
      </c>
      <c r="D1040" s="196" t="str">
        <f>IFERROR(__xludf.DUMMYFUNCTION("""COMPUTED_VALUE"""),"ATC AUTONOMOUS BANNER(1.5 X 3.5 METER)
W/REAMINA AND EYELET FROM CORNERS
")</f>
        <v>ATC AUTONOMOUS BANNER(1.5 X 3.5 METER)
W/REAMINA AND EYELET FROM CORNERS
</v>
      </c>
      <c r="E1040" s="196" t="str">
        <f>IFERROR(__xludf.DUMMYFUNCTION("""COMPUTED_VALUE"""),"MARKETING")</f>
        <v>MARKETING</v>
      </c>
    </row>
    <row r="1041">
      <c r="A1041" s="234">
        <f>IFERROR(__xludf.DUMMYFUNCTION("""COMPUTED_VALUE"""),101332.0)</f>
        <v>101332</v>
      </c>
      <c r="B1041" s="235" t="str">
        <f>IFERROR(__xludf.DUMMYFUNCTION("""COMPUTED_VALUE"""),"MARK GESSIE DALOGDOG")</f>
        <v>MARK GESSIE DALOGDOG</v>
      </c>
      <c r="C1041" s="235" t="str">
        <f>IFERROR(__xludf.DUMMYFUNCTION("""COMPUTED_VALUE"""),"SCIENCE LAB BASIC ED.")</f>
        <v>SCIENCE LAB BASIC ED.</v>
      </c>
      <c r="D1041" s="196" t="str">
        <f>IFERROR(__xludf.DUMMYFUNCTION("""COMPUTED_VALUE"""),"BEAKER 1000ML, 500ML, 250ML, 150ML, 50ML
")</f>
        <v>BEAKER 1000ML, 500ML, 250ML, 150ML, 50ML
</v>
      </c>
      <c r="E1041" s="196" t="str">
        <f>IFERROR(__xludf.DUMMYFUNCTION("""COMPUTED_VALUE"""),"FOR SCIENE LAB EXPERIMENT")</f>
        <v>FOR SCIENE LAB EXPERIMENT</v>
      </c>
    </row>
    <row r="1042">
      <c r="A1042" s="234">
        <f>IFERROR(__xludf.DUMMYFUNCTION("""COMPUTED_VALUE"""),101333.0)</f>
        <v>101333</v>
      </c>
      <c r="B1042" s="235" t="str">
        <f>IFERROR(__xludf.DUMMYFUNCTION("""COMPUTED_VALUE"""),"MELISSA NAVAL ODONO")</f>
        <v>MELISSA NAVAL ODONO</v>
      </c>
      <c r="C1042" s="235" t="str">
        <f>IFERROR(__xludf.DUMMYFUNCTION("""COMPUTED_VALUE"""),"LIBRARY MUNICH")</f>
        <v>LIBRARY MUNICH</v>
      </c>
      <c r="D1042" s="196" t="str">
        <f>IFERROR(__xludf.DUMMYFUNCTION("""COMPUTED_VALUE"""),"READING MATERIALS")</f>
        <v>READING MATERIALS</v>
      </c>
      <c r="E1042" s="196" t="str">
        <f>IFERROR(__xludf.DUMMYFUNCTION("""COMPUTED_VALUE"""),"STUDENTS' READING BOOKS")</f>
        <v>STUDENTS' READING BOOKS</v>
      </c>
    </row>
    <row r="1043">
      <c r="A1043" s="234">
        <f>IFERROR(__xludf.DUMMYFUNCTION("""COMPUTED_VALUE"""),101334.0)</f>
        <v>101334</v>
      </c>
      <c r="B1043" s="235" t="str">
        <f>IFERROR(__xludf.DUMMYFUNCTION("""COMPUTED_VALUE"""),"JOHN WRAITH")</f>
        <v>JOHN WRAITH</v>
      </c>
      <c r="C1043" s="235" t="str">
        <f>IFERROR(__xludf.DUMMYFUNCTION("""COMPUTED_VALUE"""),"I.B.")</f>
        <v>I.B.</v>
      </c>
      <c r="D1043" s="196" t="str">
        <f>IFERROR(__xludf.DUMMYFUNCTION("""COMPUTED_VALUE"""),"PIGS HEART (FRESH, WHOLE) 6 PCS")</f>
        <v>PIGS HEART (FRESH, WHOLE) 6 PCS</v>
      </c>
      <c r="E1043" s="196" t="str">
        <f>IFERROR(__xludf.DUMMYFUNCTION("""COMPUTED_VALUE"""),"LABORATORY PRACTICALS")</f>
        <v>LABORATORY PRACTICALS</v>
      </c>
    </row>
    <row r="1044">
      <c r="A1044" s="234">
        <f>IFERROR(__xludf.DUMMYFUNCTION("""COMPUTED_VALUE"""),101335.0)</f>
        <v>101335</v>
      </c>
      <c r="B1044" s="235" t="str">
        <f>IFERROR(__xludf.DUMMYFUNCTION("""COMPUTED_VALUE"""),"APRIL D. TRAJICO")</f>
        <v>APRIL D. TRAJICO</v>
      </c>
      <c r="C1044" s="235" t="str">
        <f>IFERROR(__xludf.DUMMYFUNCTION("""COMPUTED_VALUE"""),"AMD")</f>
        <v>AMD</v>
      </c>
      <c r="D1044" s="196" t="str">
        <f>IFERROR(__xludf.DUMMYFUNCTION("""COMPUTED_VALUE"""),"Ballpen, HBW Ballpoint Stick 2000 Black Fine 175 pcs, Clearbook, Spiral Refillable 20's Black Long 680 pcs, Correction Tape, Joy 425 pcs, Glue, Elmer's - 130gs 55 pcs, Fastener, Plastic Coated - Prince 4729 pcs, Illustration Board - Blk/Wh (1/8) 10X15 352"&amp;" pcs, Pad paper, Fortune Quiz Pad Whole, Intermediate (80 leaves) 325 pcs")</f>
        <v>Ballpen, HBW Ballpoint Stick 2000 Black Fine 175 pcs, Clearbook, Spiral Refillable 20's Black Long 680 pcs, Correction Tape, Joy 425 pcs, Glue, Elmer's - 130gs 55 pcs, Fastener, Plastic Coated - Prince 4729 pcs, Illustration Board - Blk/Wh (1/8) 10X15 352 pcs, Pad paper, Fortune Quiz Pad Whole, Intermediate (80 leaves) 325 pcs</v>
      </c>
      <c r="E1044" s="196" t="str">
        <f>IFERROR(__xludf.DUMMYFUNCTION("""COMPUTED_VALUE"""),"STUDENT MATERIALS FOR AY20-21")</f>
        <v>STUDENT MATERIALS FOR AY20-21</v>
      </c>
    </row>
    <row r="1045">
      <c r="A1045" s="234">
        <f>IFERROR(__xludf.DUMMYFUNCTION("""COMPUTED_VALUE"""),101336.0)</f>
        <v>101336</v>
      </c>
      <c r="B1045" s="235" t="str">
        <f>IFERROR(__xludf.DUMMYFUNCTION("""COMPUTED_VALUE"""),"APRIL D. TRAJICO")</f>
        <v>APRIL D. TRAJICO</v>
      </c>
      <c r="C1045" s="235" t="str">
        <f>IFERROR(__xludf.DUMMYFUNCTION("""COMPUTED_VALUE"""),"AMD")</f>
        <v>AMD</v>
      </c>
      <c r="D1045" s="196" t="str">
        <f>IFERROR(__xludf.DUMMYFUNCTION("""COMPUTED_VALUE"""),"Marker, Pilot Permanent Fine Black 660 pcs, Paper, Book Long 20/pk 362 pks, Paper, Book Short 20/pk 362 pks, Paper, Construction -Asstd. Color (20pcs) 1053 pks, Paper, Oslo (Drawing) Fortune (20's) 860 pks, Periodic Table of Elements, Big 80pcs, Popsicle "&amp;"Stick, pack (100 sticks) 31 pks")</f>
        <v>Marker, Pilot Permanent Fine Black 660 pcs, Paper, Book Long 20/pk 362 pks, Paper, Book Short 20/pk 362 pks, Paper, Construction -Asstd. Color (20pcs) 1053 pks, Paper, Oslo (Drawing) Fortune (20's) 860 pks, Periodic Table of Elements, Big 80pcs, Popsicle Stick, pack (100 sticks) 31 pks</v>
      </c>
      <c r="E1045" s="196" t="str">
        <f>IFERROR(__xludf.DUMMYFUNCTION("""COMPUTED_VALUE"""),"STUDENT MATERIALS FOR AY20-21")</f>
        <v>STUDENT MATERIALS FOR AY20-21</v>
      </c>
    </row>
    <row r="1046">
      <c r="A1046" s="234">
        <f>IFERROR(__xludf.DUMMYFUNCTION("""COMPUTED_VALUE"""),101337.0)</f>
        <v>101337</v>
      </c>
      <c r="B1046" s="235" t="str">
        <f>IFERROR(__xludf.DUMMYFUNCTION("""COMPUTED_VALUE"""),"APRIL D. TRAJICO")</f>
        <v>APRIL D. TRAJICO</v>
      </c>
      <c r="C1046" s="235" t="str">
        <f>IFERROR(__xludf.DUMMYFUNCTION("""COMPUTED_VALUE"""),"AMD")</f>
        <v>AMD</v>
      </c>
      <c r="D1046" s="196" t="str">
        <f>IFERROR(__xludf.DUMMYFUNCTION("""COMPUTED_VALUE"""),"Lil Hand Modelling Clay Scented Neon Colors 10s 180g 306pks , Box of Crayons - Crayola Jumbo 8s 23 pks, Box of Crayons - Crayola Double (16pcs) 745pks, Pencil, Colored (12's) Li'l Hands160 pks")</f>
        <v>Lil Hand Modelling Clay Scented Neon Colors 10s 180g 306pks , Box of Crayons - Crayola Jumbo 8s 23 pks, Box of Crayons - Crayola Double (16pcs) 745pks, Pencil, Colored (12's) Li'l Hands160 pks</v>
      </c>
      <c r="E1046" s="196" t="str">
        <f>IFERROR(__xludf.DUMMYFUNCTION("""COMPUTED_VALUE"""),"STUDENT MATERIALS FOR AY20-21")</f>
        <v>STUDENT MATERIALS FOR AY20-21</v>
      </c>
    </row>
    <row r="1047">
      <c r="A1047" s="234">
        <f>IFERROR(__xludf.DUMMYFUNCTION("""COMPUTED_VALUE"""),101338.0)</f>
        <v>101338</v>
      </c>
      <c r="B1047" s="235" t="str">
        <f>IFERROR(__xludf.DUMMYFUNCTION("""COMPUTED_VALUE"""),"APRIL D. TRAJICO")</f>
        <v>APRIL D. TRAJICO</v>
      </c>
      <c r="C1047" s="235" t="str">
        <f>IFERROR(__xludf.DUMMYFUNCTION("""COMPUTED_VALUE"""),"AMD")</f>
        <v>AMD</v>
      </c>
      <c r="D1047" s="196" t="str">
        <f>IFERROR(__xludf.DUMMYFUNCTION("""COMPUTED_VALUE"""),"Envelope, Expanding Plastic-Long, Adventurer (E-411-L) 235 pcs, Paint Palette (Mixing Plate #1 R-SML) SKU#11645 67 pcs")</f>
        <v>Envelope, Expanding Plastic-Long, Adventurer (E-411-L) 235 pcs, Paint Palette (Mixing Plate #1 R-SML) SKU#11645 67 pcs</v>
      </c>
      <c r="E1047" s="196" t="str">
        <f>IFERROR(__xludf.DUMMYFUNCTION("""COMPUTED_VALUE"""),"STUDENT MATERIALS FOR AY20-21")</f>
        <v>STUDENT MATERIALS FOR AY20-21</v>
      </c>
    </row>
    <row r="1048">
      <c r="A1048" s="234">
        <f>IFERROR(__xludf.DUMMYFUNCTION("""COMPUTED_VALUE"""),101339.0)</f>
        <v>101339</v>
      </c>
      <c r="B1048" s="235" t="str">
        <f>IFERROR(__xludf.DUMMYFUNCTION("""COMPUTED_VALUE"""),"APRIL D. TRAJICO")</f>
        <v>APRIL D. TRAJICO</v>
      </c>
      <c r="C1048" s="235" t="str">
        <f>IFERROR(__xludf.DUMMYFUNCTION("""COMPUTED_VALUE"""),"AMD")</f>
        <v>AMD</v>
      </c>
      <c r="D1048" s="196" t="str">
        <f>IFERROR(__xludf.DUMMYFUNCTION("""COMPUTED_VALUE"""),"Box of Color Poster Paints - Mightee Brilliant 20ML 12's 450 pcs")</f>
        <v>Box of Color Poster Paints - Mightee Brilliant 20ML 12's 450 pcs</v>
      </c>
      <c r="E1048" s="196" t="str">
        <f>IFERROR(__xludf.DUMMYFUNCTION("""COMPUTED_VALUE"""),"STUDENT MATERIALS FOR AY20-21")</f>
        <v>STUDENT MATERIALS FOR AY20-21</v>
      </c>
    </row>
    <row r="1049">
      <c r="A1049" s="234">
        <f>IFERROR(__xludf.DUMMYFUNCTION("""COMPUTED_VALUE"""),101340.0)</f>
        <v>101340</v>
      </c>
      <c r="B1049" s="235" t="str">
        <f>IFERROR(__xludf.DUMMYFUNCTION("""COMPUTED_VALUE"""),"APRIL D. TRAJICO")</f>
        <v>APRIL D. TRAJICO</v>
      </c>
      <c r="C1049" s="235" t="str">
        <f>IFERROR(__xludf.DUMMYFUNCTION("""COMPUTED_VALUE"""),"AMD")</f>
        <v>AMD</v>
      </c>
      <c r="D1049" s="196" t="str">
        <f>IFERROR(__xludf.DUMMYFUNCTION("""COMPUTED_VALUE"""),"Ruler, Plastic - Orion 12 inches 95 pcs, Eraser, Maped (Big) (3154140117245) 380 pcs, Scissors, Students 5', Maped (463010 8) 375 pcs")</f>
        <v>Ruler, Plastic - Orion 12 inches 95 pcs, Eraser, Maped (Big) (3154140117245) 380 pcs, Scissors, Students 5', Maped (463010 8) 375 pcs</v>
      </c>
      <c r="E1049" s="196" t="str">
        <f>IFERROR(__xludf.DUMMYFUNCTION("""COMPUTED_VALUE"""),"STUDENT MATERIALS FOR AY20-21")</f>
        <v>STUDENT MATERIALS FOR AY20-21</v>
      </c>
    </row>
    <row r="1050">
      <c r="A1050" s="234">
        <f>IFERROR(__xludf.DUMMYFUNCTION("""COMPUTED_VALUE"""),101341.0)</f>
        <v>101341</v>
      </c>
      <c r="B1050" s="235" t="str">
        <f>IFERROR(__xludf.DUMMYFUNCTION("""COMPUTED_VALUE"""),"APRIL D. TRAJICO")</f>
        <v>APRIL D. TRAJICO</v>
      </c>
      <c r="C1050" s="235" t="str">
        <f>IFERROR(__xludf.DUMMYFUNCTION("""COMPUTED_VALUE"""),"AMD")</f>
        <v>AMD</v>
      </c>
      <c r="D1050" s="196" t="str">
        <f>IFERROR(__xludf.DUMMYFUNCTION("""COMPUTED_VALUE"""),"Envelope, leather SISC long w/ Handle Lilac (Purple) 557 pcs, Envelope, leather SISC long w/ Handle navy blue 481 pcs ")</f>
        <v>Envelope, leather SISC long w/ Handle Lilac (Purple) 557 pcs, Envelope, leather SISC long w/ Handle navy blue 481 pcs </v>
      </c>
      <c r="E1050" s="196" t="str">
        <f>IFERROR(__xludf.DUMMYFUNCTION("""COMPUTED_VALUE"""),"STUDENT MATERIALS FOR AY20-21")</f>
        <v>STUDENT MATERIALS FOR AY20-21</v>
      </c>
    </row>
    <row r="1051">
      <c r="A1051" s="234">
        <f>IFERROR(__xludf.DUMMYFUNCTION("""COMPUTED_VALUE"""),101342.0)</f>
        <v>101342</v>
      </c>
      <c r="B1051" s="235" t="str">
        <f>IFERROR(__xludf.DUMMYFUNCTION("""COMPUTED_VALUE"""),"APRIL D. TRAJICO")</f>
        <v>APRIL D. TRAJICO</v>
      </c>
      <c r="C1051" s="235" t="str">
        <f>IFERROR(__xludf.DUMMYFUNCTION("""COMPUTED_VALUE"""),"AMD")</f>
        <v>AMD</v>
      </c>
      <c r="D1051" s="196" t="str">
        <f>IFERROR(__xludf.DUMMYFUNCTION("""COMPUTED_VALUE"""),"Notebook, Mathematics SISC Big SQ. Purple (Gr. 1-4) 206 pcs, Notebook, Writing SISC R/B Lines Purple Portrait 1315 pcs, Notebooklet, Writing SISC Landscape Purple 135 pcs, Notebook, Mathematics SISC Small SQ. Purple (Gr. 5-6) 69 pcs, Notebook, Composition"&amp;" SISC Blue Lines Purple 795 pcs, Booklet, Spelling Gr. 1-3 SISC 186 pcs")</f>
        <v>Notebook, Mathematics SISC Big SQ. Purple (Gr. 1-4) 206 pcs, Notebook, Writing SISC R/B Lines Purple Portrait 1315 pcs, Notebooklet, Writing SISC Landscape Purple 135 pcs, Notebook, Mathematics SISC Small SQ. Purple (Gr. 5-6) 69 pcs, Notebook, Composition SISC Blue Lines Purple 795 pcs, Booklet, Spelling Gr. 1-3 SISC 186 pcs</v>
      </c>
      <c r="E1051" s="196" t="str">
        <f>IFERROR(__xludf.DUMMYFUNCTION("""COMPUTED_VALUE"""),"STUDENT MATERIALS FOR AY20-21")</f>
        <v>STUDENT MATERIALS FOR AY20-21</v>
      </c>
    </row>
    <row r="1052">
      <c r="A1052" s="234">
        <f>IFERROR(__xludf.DUMMYFUNCTION("""COMPUTED_VALUE"""),101343.0)</f>
        <v>101343</v>
      </c>
      <c r="B1052" s="235" t="str">
        <f>IFERROR(__xludf.DUMMYFUNCTION("""COMPUTED_VALUE"""),"APRIL D. TRAJICO")</f>
        <v>APRIL D. TRAJICO</v>
      </c>
      <c r="C1052" s="235" t="str">
        <f>IFERROR(__xludf.DUMMYFUNCTION("""COMPUTED_VALUE"""),"AMD")</f>
        <v>AMD</v>
      </c>
      <c r="D1052" s="196" t="str">
        <f>IFERROR(__xludf.DUMMYFUNCTION("""COMPUTED_VALUE"""),"Notebook, High School Mathematics Purple 481 pcs, Notebook, High School Composition Purple 1463 pcs, Folder, White Long w/ SISC Logo 4992 pcs, Folder, Plastic/Cover long 1263 pcs, Diary, Preparatory (Pre-K to SK) 43 pcs")</f>
        <v>Notebook, High School Mathematics Purple 481 pcs, Notebook, High School Composition Purple 1463 pcs, Folder, White Long w/ SISC Logo 4992 pcs, Folder, Plastic/Cover long 1263 pcs, Diary, Preparatory (Pre-K to SK) 43 pcs</v>
      </c>
      <c r="E1052" s="196" t="str">
        <f>IFERROR(__xludf.DUMMYFUNCTION("""COMPUTED_VALUE"""),"STUDENT MATERIALS FOR AY20-21")</f>
        <v>STUDENT MATERIALS FOR AY20-21</v>
      </c>
    </row>
    <row r="1053">
      <c r="A1053" s="234">
        <f>IFERROR(__xludf.DUMMYFUNCTION("""COMPUTED_VALUE"""),101344.0)</f>
        <v>101344</v>
      </c>
      <c r="B1053" s="235" t="str">
        <f>IFERROR(__xludf.DUMMYFUNCTION("""COMPUTED_VALUE"""),"APRIL D. TRAJICO")</f>
        <v>APRIL D. TRAJICO</v>
      </c>
      <c r="C1053" s="235" t="str">
        <f>IFERROR(__xludf.DUMMYFUNCTION("""COMPUTED_VALUE"""),"AMD")</f>
        <v>AMD</v>
      </c>
      <c r="D1053" s="196" t="str">
        <f>IFERROR(__xludf.DUMMYFUNCTION("""COMPUTED_VALUE"""),"Pencil, SISC Purple 3000 pcs")</f>
        <v>Pencil, SISC Purple 3000 pcs</v>
      </c>
      <c r="E1053" s="196" t="str">
        <f>IFERROR(__xludf.DUMMYFUNCTION("""COMPUTED_VALUE"""),"STUDENT MATERIALS FOR AY20-21")</f>
        <v>STUDENT MATERIALS FOR AY20-21</v>
      </c>
    </row>
    <row r="1054">
      <c r="A1054" s="234">
        <f>IFERROR(__xludf.DUMMYFUNCTION("""COMPUTED_VALUE"""),101345.0)</f>
        <v>101345</v>
      </c>
      <c r="B1054" s="235" t="str">
        <f>IFERROR(__xludf.DUMMYFUNCTION("""COMPUTED_VALUE"""),"APRIL D. TRAJICO")</f>
        <v>APRIL D. TRAJICO</v>
      </c>
      <c r="C1054" s="235" t="str">
        <f>IFERROR(__xludf.DUMMYFUNCTION("""COMPUTED_VALUE"""),"AMD")</f>
        <v>AMD</v>
      </c>
      <c r="D1054" s="196" t="str">
        <f>IFERROR(__xludf.DUMMYFUNCTION("""COMPUTED_VALUE"""),"Diary, Grade 1&amp;2 132 pcs, Diary, Grade 3-10 Set A Silver August to December 804pcs, Diary, Grade 3-10 Set B Gold January to May 807 pcs, Diary, SHS Apple Green Linen August to May 233 pcs")</f>
        <v>Diary, Grade 1&amp;2 132 pcs, Diary, Grade 3-10 Set A Silver August to December 804pcs, Diary, Grade 3-10 Set B Gold January to May 807 pcs, Diary, SHS Apple Green Linen August to May 233 pcs</v>
      </c>
      <c r="E1054" s="196" t="str">
        <f>IFERROR(__xludf.DUMMYFUNCTION("""COMPUTED_VALUE"""),"STUDENT MATERIALS FOR AY20-21")</f>
        <v>STUDENT MATERIALS FOR AY20-21</v>
      </c>
    </row>
    <row r="1055">
      <c r="A1055" s="234">
        <f>IFERROR(__xludf.DUMMYFUNCTION("""COMPUTED_VALUE"""),101346.0)</f>
        <v>101346</v>
      </c>
      <c r="B1055" s="235"/>
      <c r="C1055" s="235"/>
      <c r="D1055" s="196"/>
      <c r="E1055" s="196"/>
    </row>
    <row r="1056">
      <c r="A1056" s="234">
        <f>IFERROR(__xludf.DUMMYFUNCTION("""COMPUTED_VALUE"""),101347.0)</f>
        <v>101347</v>
      </c>
      <c r="B1056" s="235" t="str">
        <f>IFERROR(__xludf.DUMMYFUNCTION("""COMPUTED_VALUE"""),"CHRISTIAN ANDRES")</f>
        <v>CHRISTIAN ANDRES</v>
      </c>
      <c r="C1056" s="235" t="str">
        <f>IFERROR(__xludf.DUMMYFUNCTION("""COMPUTED_VALUE"""),"PR &amp; MARKETING")</f>
        <v>PR &amp; MARKETING</v>
      </c>
      <c r="D1056" s="196" t="str">
        <f>IFERROR(__xludf.DUMMYFUNCTION("""COMPUTED_VALUE"""),"6.5X13.5FT CARNIVAL TARP W/ SEAMING AND EYELET ALL OVER 2PCS")</f>
        <v>6.5X13.5FT CARNIVAL TARP W/ SEAMING AND EYELET ALL OVER 2PCS</v>
      </c>
      <c r="E1056" s="196" t="str">
        <f>IFERROR(__xludf.DUMMYFUNCTION("""COMPUTED_VALUE"""),"MARKETING ")</f>
        <v>MARKETING </v>
      </c>
    </row>
    <row r="1057">
      <c r="A1057" s="234">
        <f>IFERROR(__xludf.DUMMYFUNCTION("""COMPUTED_VALUE"""),101348.0)</f>
        <v>101348</v>
      </c>
      <c r="B1057" s="235" t="str">
        <f>IFERROR(__xludf.DUMMYFUNCTION("""COMPUTED_VALUE"""),"CHRISTIAN ANDRES")</f>
        <v>CHRISTIAN ANDRES</v>
      </c>
      <c r="C1057" s="235" t="str">
        <f>IFERROR(__xludf.DUMMYFUNCTION("""COMPUTED_VALUE"""),"PR &amp; MARKETING")</f>
        <v>PR &amp; MARKETING</v>
      </c>
      <c r="D1057" s="196" t="str">
        <f>IFERROR(__xludf.DUMMYFUNCTION("""COMPUTED_VALUE"""),"SEAN BORJA 7X10 W/ SEAMING ONLY 1PC")</f>
        <v>SEAN BORJA 7X10 W/ SEAMING ONLY 1PC</v>
      </c>
      <c r="E1057" s="196" t="str">
        <f>IFERROR(__xludf.DUMMYFUNCTION("""COMPUTED_VALUE"""),"MARKETING")</f>
        <v>MARKETING</v>
      </c>
    </row>
    <row r="1058">
      <c r="A1058" s="234">
        <f>IFERROR(__xludf.DUMMYFUNCTION("""COMPUTED_VALUE"""),101349.0)</f>
        <v>101349</v>
      </c>
      <c r="B1058" s="235" t="str">
        <f>IFERROR(__xludf.DUMMYFUNCTION("""COMPUTED_VALUE"""),"FEROL SAMANTHA ")</f>
        <v>FEROL SAMANTHA </v>
      </c>
      <c r="C1058" s="235" t="str">
        <f>IFERROR(__xludf.DUMMYFUNCTION("""COMPUTED_VALUE"""),"LIBRARY COLLEGE")</f>
        <v>LIBRARY COLLEGE</v>
      </c>
      <c r="D1058" s="196" t="str">
        <f>IFERROR(__xludf.DUMMYFUNCTION("""COMPUTED_VALUE"""),"MONEY QUEST: A NEW PERSPECTIVE ON SPENDING, SAVING, AND INVESTING BY PANTASTICO, JOCS ISBN: 9781642371734 C 2019")</f>
        <v>MONEY QUEST: A NEW PERSPECTIVE ON SPENDING, SAVING, AND INVESTING BY PANTASTICO, JOCS ISBN: 9781642371734 C 2019</v>
      </c>
      <c r="E1058" s="196" t="str">
        <f>IFERROR(__xludf.DUMMYFUNCTION("""COMPUTED_VALUE"""),"BOOK ACQUISITION")</f>
        <v>BOOK ACQUISITION</v>
      </c>
    </row>
    <row r="1059">
      <c r="A1059" s="234">
        <f>IFERROR(__xludf.DUMMYFUNCTION("""COMPUTED_VALUE"""),101350.0)</f>
        <v>101350</v>
      </c>
      <c r="B1059" s="235" t="str">
        <f>IFERROR(__xludf.DUMMYFUNCTION("""COMPUTED_VALUE"""),"FEROL SAMANTHA ")</f>
        <v>FEROL SAMANTHA </v>
      </c>
      <c r="C1059" s="235" t="str">
        <f>IFERROR(__xludf.DUMMYFUNCTION("""COMPUTED_VALUE"""),"LIBRARY COLLEGE")</f>
        <v>LIBRARY COLLEGE</v>
      </c>
      <c r="D1059" s="196" t="str">
        <f>IFERROR(__xludf.DUMMYFUNCTION("""COMPUTED_VALUE"""),"OET PREPARATION NURSING ISBN: 9781108726443 BY LEYSHON, CATHERIN 2PCS")</f>
        <v>OET PREPARATION NURSING ISBN: 9781108726443 BY LEYSHON, CATHERIN 2PCS</v>
      </c>
      <c r="E1059" s="196" t="str">
        <f>IFERROR(__xludf.DUMMYFUNCTION("""COMPUTED_VALUE"""),"BOOK ACQUISITION")</f>
        <v>BOOK ACQUISITION</v>
      </c>
    </row>
    <row r="1060">
      <c r="A1060" s="234">
        <f>IFERROR(__xludf.DUMMYFUNCTION("""COMPUTED_VALUE"""),101351.0)</f>
        <v>101351</v>
      </c>
      <c r="B1060" s="235" t="str">
        <f>IFERROR(__xludf.DUMMYFUNCTION("""COMPUTED_VALUE"""),"MP LOPEZ")</f>
        <v>MP LOPEZ</v>
      </c>
      <c r="C1060" s="235" t="str">
        <f>IFERROR(__xludf.DUMMYFUNCTION("""COMPUTED_VALUE"""),"DISCIPLINE BED")</f>
        <v>DISCIPLINE BED</v>
      </c>
      <c r="D1060" s="196" t="str">
        <f>IFERROR(__xludf.DUMMYFUNCTION("""COMPUTED_VALUE"""),"ZEBRA INK 3PCS; ZEBRA CARDS / PVC CARDS 300PCS")</f>
        <v>ZEBRA INK 3PCS; ZEBRA CARDS / PVC CARDS 300PCS</v>
      </c>
      <c r="E1060" s="196" t="str">
        <f>IFERROR(__xludf.DUMMYFUNCTION("""COMPUTED_VALUE"""),"PRINTING FETCHERS ID &amp; PERMANENT GATE ID")</f>
        <v>PRINTING FETCHERS ID &amp; PERMANENT GATE ID</v>
      </c>
    </row>
    <row r="1061">
      <c r="A1061" s="234">
        <f>IFERROR(__xludf.DUMMYFUNCTION("""COMPUTED_VALUE"""),101352.0)</f>
        <v>101352</v>
      </c>
      <c r="B1061" s="235" t="str">
        <f>IFERROR(__xludf.DUMMYFUNCTION("""COMPUTED_VALUE"""),"JP RAGOT ")</f>
        <v>JP RAGOT </v>
      </c>
      <c r="C1061" s="235" t="str">
        <f>IFERROR(__xludf.DUMMYFUNCTION("""COMPUTED_VALUE"""),"AMD")</f>
        <v>AMD</v>
      </c>
      <c r="D1061" s="196" t="str">
        <f>IFERROR(__xludf.DUMMYFUNCTION("""COMPUTED_VALUE"""),"YALE DOOR CLOSER Y604H (BUILT-IN HOLD OPEN FUNCTION)")</f>
        <v>YALE DOOR CLOSER Y604H (BUILT-IN HOLD OPEN FUNCTION)</v>
      </c>
      <c r="E1061" s="196" t="str">
        <f>IFERROR(__xludf.DUMMYFUNCTION("""COMPUTED_VALUE"""),"STOCK REPLENISHMENT")</f>
        <v>STOCK REPLENISHMENT</v>
      </c>
    </row>
    <row r="1062">
      <c r="A1062" s="234">
        <f>IFERROR(__xludf.DUMMYFUNCTION("""COMPUTED_VALUE"""),101353.0)</f>
        <v>101353</v>
      </c>
      <c r="B1062" s="235" t="str">
        <f>IFERROR(__xludf.DUMMYFUNCTION("""COMPUTED_VALUE"""),"JP RAGOT ")</f>
        <v>JP RAGOT </v>
      </c>
      <c r="C1062" s="235" t="str">
        <f>IFERROR(__xludf.DUMMYFUNCTION("""COMPUTED_VALUE"""),"AMD")</f>
        <v>AMD</v>
      </c>
      <c r="D1062" s="196" t="str">
        <f>IFERROR(__xludf.DUMMYFUNCTION("""COMPUTED_VALUE"""),"LED TUBE 16W DAYLIGHT PHILIPS AND LED TUBE 9W DAYLGHT PHILIPS")</f>
        <v>LED TUBE 16W DAYLIGHT PHILIPS AND LED TUBE 9W DAYLGHT PHILIPS</v>
      </c>
      <c r="E1062" s="196" t="str">
        <f>IFERROR(__xludf.DUMMYFUNCTION("""COMPUTED_VALUE"""),"STOCK REPLENISHMENT")</f>
        <v>STOCK REPLENISHMENT</v>
      </c>
    </row>
    <row r="1063">
      <c r="A1063" s="234">
        <f>IFERROR(__xludf.DUMMYFUNCTION("""COMPUTED_VALUE"""),101354.0)</f>
        <v>101354</v>
      </c>
      <c r="B1063" s="235" t="str">
        <f>IFERROR(__xludf.DUMMYFUNCTION("""COMPUTED_VALUE"""),"JP RAGOT ")</f>
        <v>JP RAGOT </v>
      </c>
      <c r="C1063" s="235" t="str">
        <f>IFERROR(__xludf.DUMMYFUNCTION("""COMPUTED_VALUE"""),"AMD")</f>
        <v>AMD</v>
      </c>
      <c r="D1063" s="196" t="str">
        <f>IFERROR(__xludf.DUMMYFUNCTION("""COMPUTED_VALUE"""),"MALE PLUG AND YALE PADLOCK 25MM")</f>
        <v>MALE PLUG AND YALE PADLOCK 25MM</v>
      </c>
      <c r="E1063" s="196" t="str">
        <f>IFERROR(__xludf.DUMMYFUNCTION("""COMPUTED_VALUE"""),"STOCK REPLENISHMENT")</f>
        <v>STOCK REPLENISHMENT</v>
      </c>
    </row>
    <row r="1064">
      <c r="A1064" s="234">
        <f>IFERROR(__xludf.DUMMYFUNCTION("""COMPUTED_VALUE"""),101355.0)</f>
        <v>101355</v>
      </c>
      <c r="B1064" s="235" t="str">
        <f>IFERROR(__xludf.DUMMYFUNCTION("""COMPUTED_VALUE"""),"JP RAGOT ")</f>
        <v>JP RAGOT </v>
      </c>
      <c r="C1064" s="235" t="str">
        <f>IFERROR(__xludf.DUMMYFUNCTION("""COMPUTED_VALUE"""),"AMD")</f>
        <v>AMD</v>
      </c>
      <c r="D1064" s="196" t="str">
        <f>IFERROR(__xludf.DUMMYFUNCTION("""COMPUTED_VALUE"""),"BALLAST 32 WATTS AND HOLIDAY EPOXY")</f>
        <v>BALLAST 32 WATTS AND HOLIDAY EPOXY</v>
      </c>
      <c r="E1064" s="196" t="str">
        <f>IFERROR(__xludf.DUMMYFUNCTION("""COMPUTED_VALUE"""),"STOCK REPLESNISHMENT")</f>
        <v>STOCK REPLESNISHMENT</v>
      </c>
    </row>
    <row r="1065">
      <c r="A1065" s="234">
        <f>IFERROR(__xludf.DUMMYFUNCTION("""COMPUTED_VALUE"""),101356.0)</f>
        <v>101356</v>
      </c>
      <c r="B1065" s="235" t="str">
        <f>IFERROR(__xludf.DUMMYFUNCTION("""COMPUTED_VALUE"""),"JP RAGOT ")</f>
        <v>JP RAGOT </v>
      </c>
      <c r="C1065" s="235" t="str">
        <f>IFERROR(__xludf.DUMMYFUNCTION("""COMPUTED_VALUE"""),"AMD")</f>
        <v>AMD</v>
      </c>
      <c r="D1065" s="196" t="str">
        <f>IFERROR(__xludf.DUMMYFUNCTION("""COMPUTED_VALUE"""),"P-TRAP STAINLESS / DOUBLE ACTION VALVE 1/2X1/2X1/2 /FILL VALVE")</f>
        <v>P-TRAP STAINLESS / DOUBLE ACTION VALVE 1/2X1/2X1/2 /FILL VALVE</v>
      </c>
      <c r="E1065" s="196" t="str">
        <f>IFERROR(__xludf.DUMMYFUNCTION("""COMPUTED_VALUE"""),"STOCK REPLENISHMENT")</f>
        <v>STOCK REPLENISHMENT</v>
      </c>
    </row>
    <row r="1066">
      <c r="A1066" s="234">
        <f>IFERROR(__xludf.DUMMYFUNCTION("""COMPUTED_VALUE"""),101357.0)</f>
        <v>101357</v>
      </c>
      <c r="B1066" s="235" t="str">
        <f>IFERROR(__xludf.DUMMYFUNCTION("""COMPUTED_VALUE"""),"LUCILLE BEYER")</f>
        <v>LUCILLE BEYER</v>
      </c>
      <c r="C1066" s="235" t="str">
        <f>IFERROR(__xludf.DUMMYFUNCTION("""COMPUTED_VALUE"""),"MEDICAL")</f>
        <v>MEDICAL</v>
      </c>
      <c r="D1066" s="196" t="str">
        <f>IFERROR(__xludf.DUMMYFUNCTION("""COMPUTED_VALUE"""),"MEDICAL SUPPLIES FOR FEB-MARCH 2020")</f>
        <v>MEDICAL SUPPLIES FOR FEB-MARCH 2020</v>
      </c>
      <c r="E1066" s="196" t="str">
        <f>IFERROR(__xludf.DUMMYFUNCTION("""COMPUTED_VALUE"""),"FOR REPLENISHMENT OF CLINIC MEDICINE AND SUPPLIES")</f>
        <v>FOR REPLENISHMENT OF CLINIC MEDICINE AND SUPPLIES</v>
      </c>
    </row>
    <row r="1067">
      <c r="A1067" s="234">
        <f>IFERROR(__xludf.DUMMYFUNCTION("""COMPUTED_VALUE"""),101358.0)</f>
        <v>101358</v>
      </c>
      <c r="B1067" s="235" t="str">
        <f>IFERROR(__xludf.DUMMYFUNCTION("""COMPUTED_VALUE"""),"MARK GESSIE DALOGDOG")</f>
        <v>MARK GESSIE DALOGDOG</v>
      </c>
      <c r="C1067" s="235" t="str">
        <f>IFERROR(__xludf.DUMMYFUNCTION("""COMPUTED_VALUE"""),"SCIENCE LAB BASIC ED.")</f>
        <v>SCIENCE LAB BASIC ED.</v>
      </c>
      <c r="D1067" s="196" t="str">
        <f>IFERROR(__xludf.DUMMYFUNCTION("""COMPUTED_VALUE"""),"BINOCULAR MICROSCOPE LB-220 (LABOMED, INC) WITH 4PCS OBJECTIVE LENS 3UNITS")</f>
        <v>BINOCULAR MICROSCOPE LB-220 (LABOMED, INC) WITH 4PCS OBJECTIVE LENS 3UNITS</v>
      </c>
      <c r="E1067" s="196" t="str">
        <f>IFERROR(__xludf.DUMMYFUNCTION("""COMPUTED_VALUE"""),"FOR SCIENCE LABORATORY EXPERIMENT / USAGES")</f>
        <v>FOR SCIENCE LABORATORY EXPERIMENT / USAGES</v>
      </c>
    </row>
    <row r="1068">
      <c r="A1068" s="234">
        <f>IFERROR(__xludf.DUMMYFUNCTION("""COMPUTED_VALUE"""),101359.0)</f>
        <v>101359</v>
      </c>
      <c r="B1068" s="235" t="str">
        <f>IFERROR(__xludf.DUMMYFUNCTION("""COMPUTED_VALUE"""),"MARK GESSIE DALOGDOG")</f>
        <v>MARK GESSIE DALOGDOG</v>
      </c>
      <c r="C1068" s="235" t="str">
        <f>IFERROR(__xludf.DUMMYFUNCTION("""COMPUTED_VALUE"""),"SCIENCE LAB BASIC ED.")</f>
        <v>SCIENCE LAB BASIC ED.</v>
      </c>
      <c r="D1068" s="196" t="str">
        <f>IFERROR(__xludf.DUMMYFUNCTION("""COMPUTED_VALUE"""),"HOT PLATE (WITH MAGNETIC STIRRER) PC-420D (CORNING) 2UNITS")</f>
        <v>HOT PLATE (WITH MAGNETIC STIRRER) PC-420D (CORNING) 2UNITS</v>
      </c>
      <c r="E1068" s="196" t="str">
        <f>IFERROR(__xludf.DUMMYFUNCTION("""COMPUTED_VALUE"""),"FOR SCIENCE LABORATORY EXPERIMENT / USAGES")</f>
        <v>FOR SCIENCE LABORATORY EXPERIMENT / USAGES</v>
      </c>
    </row>
    <row r="1069">
      <c r="A1069" s="234">
        <f>IFERROR(__xludf.DUMMYFUNCTION("""COMPUTED_VALUE"""),101360.0)</f>
        <v>101360</v>
      </c>
      <c r="B1069" s="235" t="str">
        <f>IFERROR(__xludf.DUMMYFUNCTION("""COMPUTED_VALUE"""),"MARK GESSIE DALOGDOG")</f>
        <v>MARK GESSIE DALOGDOG</v>
      </c>
      <c r="C1069" s="235" t="str">
        <f>IFERROR(__xludf.DUMMYFUNCTION("""COMPUTED_VALUE"""),"SCIENCE LAB BASIC ED.")</f>
        <v>SCIENCE LAB BASIC ED.</v>
      </c>
      <c r="D1069" s="196" t="str">
        <f>IFERROR(__xludf.DUMMYFUNCTION("""COMPUTED_VALUE"""),"FIELD PURCHASE:
SUGAR CUBE, DRINKING STRAWS HARD, CHAOIS CLOTH 20PCS; CORN STARCH 1PC; MONGO SEED 500GM; COFFEE FILTER PAPER 10BOX; CANDLE (SMALL) 30PCS; CANDLE BIG 30PCS; KITCHEN LIGHTER 5PCS; BALLOON BIG &amp; SMALL 3PACKS; PLASTIC CUP 5PACKS (SEE ATTACHED)")</f>
        <v>FIELD PURCHASE:
SUGAR CUBE, DRINKING STRAWS HARD, CHAOIS CLOTH 20PCS; CORN STARCH 1PC; MONGO SEED 500GM; COFFEE FILTER PAPER 10BOX; CANDLE (SMALL) 30PCS; CANDLE BIG 30PCS; KITCHEN LIGHTER 5PCS; BALLOON BIG &amp; SMALL 3PACKS; PLASTIC CUP 5PACKS (SEE ATTACHED)</v>
      </c>
      <c r="E1069" s="196" t="str">
        <f>IFERROR(__xludf.DUMMYFUNCTION("""COMPUTED_VALUE"""),"FOR SCIENCE LABORATORY EXPERIMENT / USAGES")</f>
        <v>FOR SCIENCE LABORATORY EXPERIMENT / USAGES</v>
      </c>
    </row>
    <row r="1070">
      <c r="A1070" s="234">
        <f>IFERROR(__xludf.DUMMYFUNCTION("""COMPUTED_VALUE"""),101361.0)</f>
        <v>101361</v>
      </c>
      <c r="B1070" s="235" t="str">
        <f>IFERROR(__xludf.DUMMYFUNCTION("""COMPUTED_VALUE"""),"MARK GESSIE DALOGDOG")</f>
        <v>MARK GESSIE DALOGDOG</v>
      </c>
      <c r="C1070" s="235" t="str">
        <f>IFERROR(__xludf.DUMMYFUNCTION("""COMPUTED_VALUE"""),"SCIENCE LAB BASIC ED.")</f>
        <v>SCIENCE LAB BASIC ED.</v>
      </c>
      <c r="D1070" s="196" t="str">
        <f>IFERROR(__xludf.DUMMYFUNCTION("""COMPUTED_VALUE"""),"SCIENCE LAB EQUIPMENT:
BEAKER; TEST TUBE, PORCELAIN SPATULA; STIRRING ROD, BATTERY; RUBBER STOPPER; FILTER PAPER; WIRE GAUZE; SURGICAL GLOVES; SURGICAL MASK; N95MASK; COTTON SWAB")</f>
        <v>SCIENCE LAB EQUIPMENT:
BEAKER; TEST TUBE, PORCELAIN SPATULA; STIRRING ROD, BATTERY; RUBBER STOPPER; FILTER PAPER; WIRE GAUZE; SURGICAL GLOVES; SURGICAL MASK; N95MASK; COTTON SWAB</v>
      </c>
      <c r="E1070" s="196" t="str">
        <f>IFERROR(__xludf.DUMMYFUNCTION("""COMPUTED_VALUE"""),"FOR SCIENCE LABORATORY EXPERIMENT / USAGES")</f>
        <v>FOR SCIENCE LABORATORY EXPERIMENT / USAGES</v>
      </c>
    </row>
    <row r="1071">
      <c r="A1071" s="234">
        <f>IFERROR(__xludf.DUMMYFUNCTION("""COMPUTED_VALUE"""),101362.0)</f>
        <v>101362</v>
      </c>
      <c r="B1071" s="235" t="str">
        <f>IFERROR(__xludf.DUMMYFUNCTION("""COMPUTED_VALUE"""),"RUTH ONATO")</f>
        <v>RUTH ONATO</v>
      </c>
      <c r="C1071" s="235" t="str">
        <f>IFERROR(__xludf.DUMMYFUNCTION("""COMPUTED_VALUE"""),"CAPS BED")</f>
        <v>CAPS BED</v>
      </c>
      <c r="D1071" s="196" t="str">
        <f>IFERROR(__xludf.DUMMYFUNCTION("""COMPUTED_VALUE"""),"3-HOLDE BINDER (LEGAL 2"" THICK) 5PCS")</f>
        <v>3-HOLDE BINDER (LEGAL 2" THICK) 5PCS</v>
      </c>
      <c r="E1071" s="196" t="str">
        <f>IFERROR(__xludf.DUMMYFUNCTION("""COMPUTED_VALUE"""),"OFFICE USE; COMPILING TEST PROFILES &amp; OTHER DOCUMENTS")</f>
        <v>OFFICE USE; COMPILING TEST PROFILES &amp; OTHER DOCUMENTS</v>
      </c>
    </row>
    <row r="1072">
      <c r="A1072" s="234">
        <f>IFERROR(__xludf.DUMMYFUNCTION("""COMPUTED_VALUE"""),101363.0)</f>
        <v>101363</v>
      </c>
      <c r="B1072" s="235" t="str">
        <f>IFERROR(__xludf.DUMMYFUNCTION("""COMPUTED_VALUE"""),"OWIE PAR")</f>
        <v>OWIE PAR</v>
      </c>
      <c r="C1072" s="235" t="str">
        <f>IFERROR(__xludf.DUMMYFUNCTION("""COMPUTED_VALUE"""),"ENGINEERING")</f>
        <v>ENGINEERING</v>
      </c>
      <c r="D1072" s="196" t="str">
        <f>IFERROR(__xludf.DUMMYFUNCTION("""COMPUTED_VALUE"""),"EMERGENCY LIGHTS 15UNITS (LUX - 9; COL 4; MUNICH - 1; TROPICAL - 1)")</f>
        <v>EMERGENCY LIGHTS 15UNITS (LUX - 9; COL 4; MUNICH - 1; TROPICAL - 1)</v>
      </c>
      <c r="E1072" s="196" t="str">
        <f>IFERROR(__xludf.DUMMYFUNCTION("""COMPUTED_VALUE"""),"REPLACEMENT")</f>
        <v>REPLACEMENT</v>
      </c>
    </row>
    <row r="1073">
      <c r="A1073" s="234">
        <f>IFERROR(__xludf.DUMMYFUNCTION("""COMPUTED_VALUE"""),101364.0)</f>
        <v>101364</v>
      </c>
      <c r="B1073" s="235" t="str">
        <f>IFERROR(__xludf.DUMMYFUNCTION("""COMPUTED_VALUE"""),"SHEREE ESPINOSA")</f>
        <v>SHEREE ESPINOSA</v>
      </c>
      <c r="C1073" s="235" t="str">
        <f>IFERROR(__xludf.DUMMYFUNCTION("""COMPUTED_VALUE"""),"HOUSEKEEPING")</f>
        <v>HOUSEKEEPING</v>
      </c>
      <c r="D1073" s="196" t="str">
        <f>IFERROR(__xludf.DUMMYFUNCTION("""COMPUTED_VALUE"""),"ACRYLIC CUT-OUT LETTERS SMALL LETTERS 5; CAPITAL LETTER 5PCS")</f>
        <v>ACRYLIC CUT-OUT LETTERS SMALL LETTERS 5; CAPITAL LETTER 5PCS</v>
      </c>
      <c r="E1073" s="196" t="str">
        <f>IFERROR(__xludf.DUMMYFUNCTION("""COMPUTED_VALUE"""),"FOR MISSING LETTERS AND ADDITIONAL (MISSION - VISION)")</f>
        <v>FOR MISSING LETTERS AND ADDITIONAL (MISSION - VISION)</v>
      </c>
    </row>
    <row r="1074">
      <c r="A1074" s="234">
        <f>IFERROR(__xludf.DUMMYFUNCTION("""COMPUTED_VALUE"""),101365.0)</f>
        <v>101365</v>
      </c>
      <c r="B1074" s="235" t="str">
        <f>IFERROR(__xludf.DUMMYFUNCTION("""COMPUTED_VALUE"""),"T. BELLE")</f>
        <v>T. BELLE</v>
      </c>
      <c r="C1074" s="235" t="str">
        <f>IFERROR(__xludf.DUMMYFUNCTION("""COMPUTED_VALUE"""),"LANDSCAPING")</f>
        <v>LANDSCAPING</v>
      </c>
      <c r="D1074" s="196" t="str">
        <f>IFERROR(__xludf.DUMMYFUNCTION("""COMPUTED_VALUE"""),"HANGING PLANSTS 32; SANTAN 20")</f>
        <v>HANGING PLANSTS 32; SANTAN 20</v>
      </c>
      <c r="E1074" s="196" t="str">
        <f>IFERROR(__xludf.DUMMYFUNCTION("""COMPUTED_VALUE"""),"FOR REPLACEMENT OF PLANTS OUTSIDE &amp; HANGING ALONG THE CR")</f>
        <v>FOR REPLACEMENT OF PLANTS OUTSIDE &amp; HANGING ALONG THE CR</v>
      </c>
    </row>
    <row r="1075">
      <c r="A1075" s="234">
        <f>IFERROR(__xludf.DUMMYFUNCTION("""COMPUTED_VALUE"""),101366.0)</f>
        <v>101366</v>
      </c>
      <c r="B1075" s="235" t="str">
        <f>IFERROR(__xludf.DUMMYFUNCTION("""COMPUTED_VALUE"""),"AUGGIE BUHAY")</f>
        <v>AUGGIE BUHAY</v>
      </c>
      <c r="C1075" s="235" t="str">
        <f>IFERROR(__xludf.DUMMYFUNCTION("""COMPUTED_VALUE"""),"ADMIN")</f>
        <v>ADMIN</v>
      </c>
      <c r="D1075" s="196" t="str">
        <f>IFERROR(__xludf.DUMMYFUNCTION("""COMPUTED_VALUE"""),"GRINDER - MAKITA BROWN")</f>
        <v>GRINDER - MAKITA BROWN</v>
      </c>
      <c r="E1075" s="196" t="str">
        <f>IFERROR(__xludf.DUMMYFUNCTION("""COMPUTED_VALUE"""),"FOR ENGINEERING/CARPENTRY USE - REPLACEMENT OF DEFECTIVE")</f>
        <v>FOR ENGINEERING/CARPENTRY USE - REPLACEMENT OF DEFECTIVE</v>
      </c>
    </row>
    <row r="1076">
      <c r="A1076" s="234">
        <f>IFERROR(__xludf.DUMMYFUNCTION("""COMPUTED_VALUE"""),101367.0)</f>
        <v>101367</v>
      </c>
      <c r="B1076" s="235" t="str">
        <f>IFERROR(__xludf.DUMMYFUNCTION("""COMPUTED_VALUE"""),"MARK ERNEST ISABELO")</f>
        <v>MARK ERNEST ISABELO</v>
      </c>
      <c r="C1076" s="235" t="str">
        <f>IFERROR(__xludf.DUMMYFUNCTION("""COMPUTED_VALUE"""),"SCIENCE LAB BASIC ED.")</f>
        <v>SCIENCE LAB BASIC ED.</v>
      </c>
      <c r="D1076" s="196" t="str">
        <f>IFERROR(__xludf.DUMMYFUNCTION("""COMPUTED_VALUE"""),"ESSENTIAL OILS (ANY) / DENATURED ALCOHOL")</f>
        <v>ESSENTIAL OILS (ANY) / DENATURED ALCOHOL</v>
      </c>
      <c r="E1076" s="196" t="str">
        <f>IFERROR(__xludf.DUMMYFUNCTION("""COMPUTED_VALUE"""),"GRASPS OF GRADE 9")</f>
        <v>GRASPS OF GRADE 9</v>
      </c>
    </row>
    <row r="1077">
      <c r="A1077" s="234">
        <f>IFERROR(__xludf.DUMMYFUNCTION("""COMPUTED_VALUE"""),101368.0)</f>
        <v>101368</v>
      </c>
      <c r="B1077" s="235" t="str">
        <f>IFERROR(__xludf.DUMMYFUNCTION("""COMPUTED_VALUE"""),"CHRISTIAN MARK MARBIBI")</f>
        <v>CHRISTIAN MARK MARBIBI</v>
      </c>
      <c r="C1077" s="235" t="str">
        <f>IFERROR(__xludf.DUMMYFUNCTION("""COMPUTED_VALUE"""),"HOUSEKEEPING")</f>
        <v>HOUSEKEEPING</v>
      </c>
      <c r="D1077" s="196" t="str">
        <f>IFERROR(__xludf.DUMMYFUNCTION("""COMPUTED_VALUE"""),"TRASHBAG EXTRA EXTRA LARGE BLACK")</f>
        <v>TRASHBAG EXTRA EXTRA LARGE BLACK</v>
      </c>
      <c r="E1077" s="196" t="str">
        <f>IFERROR(__xludf.DUMMYFUNCTION("""COMPUTED_VALUE"""),"STOCK REPLENISHMENT")</f>
        <v>STOCK REPLENISHMENT</v>
      </c>
    </row>
    <row r="1078">
      <c r="A1078" s="234">
        <f>IFERROR(__xludf.DUMMYFUNCTION("""COMPUTED_VALUE"""),101369.0)</f>
        <v>101369</v>
      </c>
      <c r="B1078" s="235" t="str">
        <f>IFERROR(__xludf.DUMMYFUNCTION("""COMPUTED_VALUE"""),"CHRISTIAN MARK MARBIBI")</f>
        <v>CHRISTIAN MARK MARBIBI</v>
      </c>
      <c r="C1078" s="235" t="str">
        <f>IFERROR(__xludf.DUMMYFUNCTION("""COMPUTED_VALUE"""),"HOUSEKEEPING")</f>
        <v>HOUSEKEEPING</v>
      </c>
      <c r="D1078" s="196" t="str">
        <f>IFERROR(__xludf.DUMMYFUNCTION("""COMPUTED_VALUE"""),"SWEET SUNSATION")</f>
        <v>SWEET SUNSATION</v>
      </c>
      <c r="E1078" s="196" t="str">
        <f>IFERROR(__xludf.DUMMYFUNCTION("""COMPUTED_VALUE"""),"STOCK REPLENISMENT")</f>
        <v>STOCK REPLENISMENT</v>
      </c>
    </row>
    <row r="1079">
      <c r="A1079" s="234">
        <f>IFERROR(__xludf.DUMMYFUNCTION("""COMPUTED_VALUE"""),101370.0)</f>
        <v>101370</v>
      </c>
      <c r="B1079" s="235" t="str">
        <f>IFERROR(__xludf.DUMMYFUNCTION("""COMPUTED_VALUE"""),"APRIL D. TRAJICO")</f>
        <v>APRIL D. TRAJICO</v>
      </c>
      <c r="C1079" s="235" t="str">
        <f>IFERROR(__xludf.DUMMYFUNCTION("""COMPUTED_VALUE"""),"AMD")</f>
        <v>AMD</v>
      </c>
      <c r="D1079" s="196" t="str">
        <f>IFERROR(__xludf.DUMMYFUNCTION("""COMPUTED_VALUE"""),"MARKER, WHITEBOARD - PILOT BLACK 225PCS")</f>
        <v>MARKER, WHITEBOARD - PILOT BLACK 225PCS</v>
      </c>
      <c r="E1079" s="196" t="str">
        <f>IFERROR(__xludf.DUMMYFUNCTION("""COMPUTED_VALUE"""),"STOCK REPLENISHMENT - OSSUP")</f>
        <v>STOCK REPLENISHMENT - OSSUP</v>
      </c>
    </row>
    <row r="1080">
      <c r="A1080" s="234">
        <f>IFERROR(__xludf.DUMMYFUNCTION("""COMPUTED_VALUE"""),101371.0)</f>
        <v>101371</v>
      </c>
      <c r="B1080" s="235" t="str">
        <f>IFERROR(__xludf.DUMMYFUNCTION("""COMPUTED_VALUE"""),"ADRIAN GUINTO")</f>
        <v>ADRIAN GUINTO</v>
      </c>
      <c r="C1080" s="235" t="str">
        <f>IFERROR(__xludf.DUMMYFUNCTION("""COMPUTED_VALUE"""),"PR &amp; MARKETING")</f>
        <v>PR &amp; MARKETING</v>
      </c>
      <c r="D1080" s="196" t="str">
        <f>IFERROR(__xludf.DUMMYFUNCTION("""COMPUTED_VALUE"""),"REPRINT OF POSTER FOR MARKETING")</f>
        <v>REPRINT OF POSTER FOR MARKETING</v>
      </c>
      <c r="E1080" s="196" t="str">
        <f>IFERROR(__xludf.DUMMYFUNCTION("""COMPUTED_VALUE"""),"PR FOR MARKETING ADVERTISEMENT")</f>
        <v>PR FOR MARKETING ADVERTISEMENT</v>
      </c>
    </row>
    <row r="1081">
      <c r="A1081" s="234">
        <f>IFERROR(__xludf.DUMMYFUNCTION("""COMPUTED_VALUE"""),101372.0)</f>
        <v>101372</v>
      </c>
      <c r="B1081" s="235" t="str">
        <f>IFERROR(__xludf.DUMMYFUNCTION("""COMPUTED_VALUE"""),"OWIE PAR")</f>
        <v>OWIE PAR</v>
      </c>
      <c r="C1081" s="235" t="str">
        <f>IFERROR(__xludf.DUMMYFUNCTION("""COMPUTED_VALUE"""),"ENGINEERING")</f>
        <v>ENGINEERING</v>
      </c>
      <c r="D1081" s="196" t="str">
        <f>IFERROR(__xludf.DUMMYFUNCTION("""COMPUTED_VALUE"""),"ACUT OUTDOOR PCB AND LABOR COST")</f>
        <v>ACUT OUTDOOR PCB AND LABOR COST</v>
      </c>
      <c r="E1081" s="196" t="str">
        <f>IFERROR(__xludf.DUMMYFUNCTION("""COMPUTED_VALUE"""),"REPAIR ACU 205 COLLEGE")</f>
        <v>REPAIR ACU 205 COLLEGE</v>
      </c>
    </row>
    <row r="1082">
      <c r="A1082" s="234">
        <f>IFERROR(__xludf.DUMMYFUNCTION("""COMPUTED_VALUE"""),101373.0)</f>
        <v>101373</v>
      </c>
      <c r="B1082" s="235" t="str">
        <f>IFERROR(__xludf.DUMMYFUNCTION("""COMPUTED_VALUE"""),"RONALDO VERDE")</f>
        <v>RONALDO VERDE</v>
      </c>
      <c r="C1082" s="235" t="str">
        <f>IFERROR(__xludf.DUMMYFUNCTION("""COMPUTED_VALUE"""),"TRANSPORTATION")</f>
        <v>TRANSPORTATION</v>
      </c>
      <c r="D1082" s="196" t="str">
        <f>IFERROR(__xludf.DUMMYFUNCTION("""COMPUTED_VALUE"""),"YOKOHAMA TIRES 700-16 116/114L")</f>
        <v>YOKOHAMA TIRES 700-16 116/114L</v>
      </c>
      <c r="E1082" s="196" t="str">
        <f>IFERROR(__xludf.DUMMYFUNCTION("""COMPUTED_VALUE"""),"TIRES FOR SISC COASTER (AAH6661)")</f>
        <v>TIRES FOR SISC COASTER (AAH6661)</v>
      </c>
    </row>
    <row r="1083">
      <c r="A1083" s="234">
        <f>IFERROR(__xludf.DUMMYFUNCTION("""COMPUTED_VALUE"""),101374.0)</f>
        <v>101374</v>
      </c>
      <c r="B1083" s="235" t="str">
        <f>IFERROR(__xludf.DUMMYFUNCTION("""COMPUTED_VALUE"""),"SHEREE ESPINOSA")</f>
        <v>SHEREE ESPINOSA</v>
      </c>
      <c r="C1083" s="235" t="str">
        <f>IFERROR(__xludf.DUMMYFUNCTION("""COMPUTED_VALUE"""),"HOUSEKEEPING")</f>
        <v>HOUSEKEEPING</v>
      </c>
      <c r="D1083" s="196" t="str">
        <f>IFERROR(__xludf.DUMMYFUNCTION("""COMPUTED_VALUE"""),"GUEST CHAIR")</f>
        <v>GUEST CHAIR</v>
      </c>
      <c r="E1083" s="196" t="str">
        <f>IFERROR(__xludf.DUMMYFUNCTION("""COMPUTED_VALUE"""),"FOR COACHES ROOM")</f>
        <v>FOR COACHES ROOM</v>
      </c>
    </row>
    <row r="1084">
      <c r="A1084" s="234">
        <f>IFERROR(__xludf.DUMMYFUNCTION("""COMPUTED_VALUE"""),101375.0)</f>
        <v>101375</v>
      </c>
      <c r="B1084" s="235" t="str">
        <f>IFERROR(__xludf.DUMMYFUNCTION("""COMPUTED_VALUE"""),"SHEREE ESPINOSA")</f>
        <v>SHEREE ESPINOSA</v>
      </c>
      <c r="C1084" s="235" t="str">
        <f>IFERROR(__xludf.DUMMYFUNCTION("""COMPUTED_VALUE"""),"HOUSEKEEPING")</f>
        <v>HOUSEKEEPING</v>
      </c>
      <c r="D1084" s="196" t="str">
        <f>IFERROR(__xludf.DUMMYFUNCTION("""COMPUTED_VALUE"""),"THREE SEATER SOFA")</f>
        <v>THREE SEATER SOFA</v>
      </c>
      <c r="E1084" s="196" t="str">
        <f>IFERROR(__xludf.DUMMYFUNCTION("""COMPUTED_VALUE"""),"FOR COACHES ROOM")</f>
        <v>FOR COACHES ROOM</v>
      </c>
    </row>
    <row r="1085">
      <c r="A1085" s="234">
        <f>IFERROR(__xludf.DUMMYFUNCTION("""COMPUTED_VALUE"""),101376.0)</f>
        <v>101376</v>
      </c>
      <c r="B1085" s="235" t="str">
        <f>IFERROR(__xludf.DUMMYFUNCTION("""COMPUTED_VALUE"""),"SHEREE ESPINOSA")</f>
        <v>SHEREE ESPINOSA</v>
      </c>
      <c r="C1085" s="235" t="str">
        <f>IFERROR(__xludf.DUMMYFUNCTION("""COMPUTED_VALUE"""),"HOUSEKEEPING")</f>
        <v>HOUSEKEEPING</v>
      </c>
      <c r="D1085" s="196" t="str">
        <f>IFERROR(__xludf.DUMMYFUNCTION("""COMPUTED_VALUE"""),"OFFICE CHAIR")</f>
        <v>OFFICE CHAIR</v>
      </c>
      <c r="E1085" s="196" t="str">
        <f>IFERROR(__xludf.DUMMYFUNCTION("""COMPUTED_VALUE"""),"FOR COACHES ROOM")</f>
        <v>FOR COACHES ROOM</v>
      </c>
    </row>
    <row r="1086">
      <c r="A1086" s="234">
        <f>IFERROR(__xludf.DUMMYFUNCTION("""COMPUTED_VALUE"""),101377.0)</f>
        <v>101377</v>
      </c>
      <c r="B1086" s="235" t="str">
        <f>IFERROR(__xludf.DUMMYFUNCTION("""COMPUTED_VALUE"""),"SHEREE ESPINOSA")</f>
        <v>SHEREE ESPINOSA</v>
      </c>
      <c r="C1086" s="235" t="str">
        <f>IFERROR(__xludf.DUMMYFUNCTION("""COMPUTED_VALUE"""),"HOUSEKEEPING")</f>
        <v>HOUSEKEEPING</v>
      </c>
      <c r="D1086" s="196" t="str">
        <f>IFERROR(__xludf.DUMMYFUNCTION("""COMPUTED_VALUE"""),"CONFERENCE CHAIR")</f>
        <v>CONFERENCE CHAIR</v>
      </c>
      <c r="E1086" s="196" t="str">
        <f>IFERROR(__xludf.DUMMYFUNCTION("""COMPUTED_VALUE"""),"FOR COACHES ROOM")</f>
        <v>FOR COACHES ROOM</v>
      </c>
    </row>
    <row r="1087">
      <c r="A1087" s="234">
        <f>IFERROR(__xludf.DUMMYFUNCTION("""COMPUTED_VALUE"""),101378.0)</f>
        <v>101378</v>
      </c>
      <c r="B1087" s="235" t="str">
        <f>IFERROR(__xludf.DUMMYFUNCTION("""COMPUTED_VALUE"""),"SHEREE ESPINOSA")</f>
        <v>SHEREE ESPINOSA</v>
      </c>
      <c r="C1087" s="235" t="str">
        <f>IFERROR(__xludf.DUMMYFUNCTION("""COMPUTED_VALUE"""),"HOUSEKEEPING")</f>
        <v>HOUSEKEEPING</v>
      </c>
      <c r="D1087" s="196" t="str">
        <f>IFERROR(__xludf.DUMMYFUNCTION("""COMPUTED_VALUE"""),"TELEPHONE  UNIT")</f>
        <v>TELEPHONE  UNIT</v>
      </c>
      <c r="E1087" s="196" t="str">
        <f>IFERROR(__xludf.DUMMYFUNCTION("""COMPUTED_VALUE"""),"FOR COACHES ROOM")</f>
        <v>FOR COACHES ROOM</v>
      </c>
    </row>
    <row r="1088">
      <c r="A1088" s="234">
        <f>IFERROR(__xludf.DUMMYFUNCTION("""COMPUTED_VALUE"""),101379.0)</f>
        <v>101379</v>
      </c>
      <c r="B1088" s="235" t="str">
        <f>IFERROR(__xludf.DUMMYFUNCTION("""COMPUTED_VALUE"""),"SHEREE ESPINOSA")</f>
        <v>SHEREE ESPINOSA</v>
      </c>
      <c r="C1088" s="235" t="str">
        <f>IFERROR(__xludf.DUMMYFUNCTION("""COMPUTED_VALUE"""),"HOUSEKEEPING")</f>
        <v>HOUSEKEEPING</v>
      </c>
      <c r="D1088" s="196" t="str">
        <f>IFERROR(__xludf.DUMMYFUNCTION("""COMPUTED_VALUE"""),"BLINDS (MATERIAL AND INSTALLATION)")</f>
        <v>BLINDS (MATERIAL AND INSTALLATION)</v>
      </c>
      <c r="E1088" s="196" t="str">
        <f>IFERROR(__xludf.DUMMYFUNCTION("""COMPUTED_VALUE"""),"FOR COACHES ROOM")</f>
        <v>FOR COACHES ROOM</v>
      </c>
    </row>
    <row r="1089">
      <c r="A1089" s="234">
        <f>IFERROR(__xludf.DUMMYFUNCTION("""COMPUTED_VALUE"""),101380.0)</f>
        <v>101380</v>
      </c>
      <c r="B1089" s="235" t="str">
        <f>IFERROR(__xludf.DUMMYFUNCTION("""COMPUTED_VALUE"""),"APRIL D. TRAJICO")</f>
        <v>APRIL D. TRAJICO</v>
      </c>
      <c r="C1089" s="235" t="str">
        <f>IFERROR(__xludf.DUMMYFUNCTION("""COMPUTED_VALUE"""),"AMD")</f>
        <v>AMD</v>
      </c>
      <c r="D1089" s="196" t="str">
        <f>IFERROR(__xludf.DUMMYFUNCTION("""COMPUTED_VALUE"""),"TONER CARTRIDGE INKONVERT LBP6000 85A")</f>
        <v>TONER CARTRIDGE INKONVERT LBP6000 85A</v>
      </c>
      <c r="E1089" s="196" t="str">
        <f>IFERROR(__xludf.DUMMYFUNCTION("""COMPUTED_VALUE"""),"STOCK REPLENISHMENT - OSSUP")</f>
        <v>STOCK REPLENISHMENT - OSSUP</v>
      </c>
    </row>
    <row r="1090">
      <c r="A1090" s="234">
        <f>IFERROR(__xludf.DUMMYFUNCTION("""COMPUTED_VALUE"""),101381.0)</f>
        <v>101381</v>
      </c>
      <c r="B1090" s="235" t="str">
        <f>IFERROR(__xludf.DUMMYFUNCTION("""COMPUTED_VALUE"""),"APRIL D. TRAJICO")</f>
        <v>APRIL D. TRAJICO</v>
      </c>
      <c r="C1090" s="235" t="str">
        <f>IFERROR(__xludf.DUMMYFUNCTION("""COMPUTED_VALUE"""),"AMD")</f>
        <v>AMD</v>
      </c>
      <c r="D1090" s="196" t="str">
        <f>IFERROR(__xludf.DUMMYFUNCTION("""COMPUTED_VALUE"""),"PAPER CARBON PAPER SHORT
PAPER CARBON PAPER LONG
PAPER FORTUNE GROUNDWAVE MIMEO LONG 
PAPER FORTUNE GROUNDWAVEMIMEO SHORT 
500 PCS")</f>
        <v>PAPER CARBON PAPER SHORT
PAPER CARBON PAPER LONG
PAPER FORTUNE GROUNDWAVE MIMEO LONG 
PAPER FORTUNE GROUNDWAVEMIMEO SHORT 
500 PCS</v>
      </c>
      <c r="E1090" s="196" t="str">
        <f>IFERROR(__xludf.DUMMYFUNCTION("""COMPUTED_VALUE"""),"STOCK REPLENISHMENT - OSSUP")</f>
        <v>STOCK REPLENISHMENT - OSSUP</v>
      </c>
    </row>
    <row r="1091">
      <c r="A1091" s="234">
        <f>IFERROR(__xludf.DUMMYFUNCTION("""COMPUTED_VALUE"""),101382.0)</f>
        <v>101382</v>
      </c>
      <c r="B1091" s="235" t="str">
        <f>IFERROR(__xludf.DUMMYFUNCTION("""COMPUTED_VALUE"""),"APRIL D. TRAJICO")</f>
        <v>APRIL D. TRAJICO</v>
      </c>
      <c r="C1091" s="235" t="str">
        <f>IFERROR(__xludf.DUMMYFUNCTION("""COMPUTED_VALUE"""),"AMD")</f>
        <v>AMD</v>
      </c>
      <c r="D1091" s="196" t="str">
        <f>IFERROR(__xludf.DUMMYFUNCTION("""COMPUTED_VALUE"""),"FOLDER PRESSBOARD GREEN LONG
GLUE MIGHTY BOND
HIGHLIGHTER STABILO BLUE AND GREEN")</f>
        <v>FOLDER PRESSBOARD GREEN LONG
GLUE MIGHTY BOND
HIGHLIGHTER STABILO BLUE AND GREEN</v>
      </c>
      <c r="E1091" s="196" t="str">
        <f>IFERROR(__xludf.DUMMYFUNCTION("""COMPUTED_VALUE"""),"STOCK REPLENISHMENT - OSSUP")</f>
        <v>STOCK REPLENISHMENT - OSSUP</v>
      </c>
    </row>
    <row r="1092">
      <c r="A1092" s="234">
        <f>IFERROR(__xludf.DUMMYFUNCTION("""COMPUTED_VALUE"""),101383.0)</f>
        <v>101383</v>
      </c>
      <c r="B1092" s="235" t="str">
        <f>IFERROR(__xludf.DUMMYFUNCTION("""COMPUTED_VALUE"""),"SHEREE ESPINOSA")</f>
        <v>SHEREE ESPINOSA</v>
      </c>
      <c r="C1092" s="235" t="str">
        <f>IFERROR(__xludf.DUMMYFUNCTION("""COMPUTED_VALUE"""),"HOUSEKEEPING")</f>
        <v>HOUSEKEEPING</v>
      </c>
      <c r="D1092" s="196" t="str">
        <f>IFERROR(__xludf.DUMMYFUNCTION("""COMPUTED_VALUE"""),"LIGHTS
TRASH BIN
TISSUE HOLDER")</f>
        <v>LIGHTS
TRASH BIN
TISSUE HOLDER</v>
      </c>
      <c r="E1092" s="196" t="str">
        <f>IFERROR(__xludf.DUMMYFUNCTION("""COMPUTED_VALUE"""),"FOR OPEN COURT CR")</f>
        <v>FOR OPEN COURT CR</v>
      </c>
    </row>
    <row r="1093">
      <c r="A1093" s="234">
        <f>IFERROR(__xludf.DUMMYFUNCTION("""COMPUTED_VALUE"""),101384.0)</f>
        <v>101384</v>
      </c>
      <c r="B1093" s="235" t="str">
        <f>IFERROR(__xludf.DUMMYFUNCTION("""COMPUTED_VALUE"""),"SHEREE ESPINOSA")</f>
        <v>SHEREE ESPINOSA</v>
      </c>
      <c r="C1093" s="235" t="str">
        <f>IFERROR(__xludf.DUMMYFUNCTION("""COMPUTED_VALUE"""),"HOUSEKEEPING")</f>
        <v>HOUSEKEEPING</v>
      </c>
      <c r="D1093" s="196" t="str">
        <f>IFERROR(__xludf.DUMMYFUNCTION("""COMPUTED_VALUE"""),"HANGING PLANTS ")</f>
        <v>HANGING PLANTS </v>
      </c>
      <c r="E1093" s="196" t="str">
        <f>IFERROR(__xludf.DUMMYFUNCTION("""COMPUTED_VALUE"""),"FOR OPEN COURT CR")</f>
        <v>FOR OPEN COURT CR</v>
      </c>
    </row>
    <row r="1094">
      <c r="A1094" s="234">
        <f>IFERROR(__xludf.DUMMYFUNCTION("""COMPUTED_VALUE"""),101385.0)</f>
        <v>101385</v>
      </c>
      <c r="B1094" s="235" t="str">
        <f>IFERROR(__xludf.DUMMYFUNCTION("""COMPUTED_VALUE"""),"SHEREE ESPINOSA")</f>
        <v>SHEREE ESPINOSA</v>
      </c>
      <c r="C1094" s="235" t="str">
        <f>IFERROR(__xludf.DUMMYFUNCTION("""COMPUTED_VALUE"""),"HOUSEKEEPING")</f>
        <v>HOUSEKEEPING</v>
      </c>
      <c r="D1094" s="196" t="str">
        <f>IFERROR(__xludf.DUMMYFUNCTION("""COMPUTED_VALUE"""),"OUT STICKER COMLAB")</f>
        <v>OUT STICKER COMLAB</v>
      </c>
      <c r="E1094" s="196" t="str">
        <f>IFERROR(__xludf.DUMMYFUNCTION("""COMPUTED_VALUE"""),"FOR MMA COMPLAB")</f>
        <v>FOR MMA COMPLAB</v>
      </c>
    </row>
    <row r="1095">
      <c r="A1095" s="234">
        <f>IFERROR(__xludf.DUMMYFUNCTION("""COMPUTED_VALUE"""),101386.0)</f>
        <v>101386</v>
      </c>
      <c r="B1095" s="235" t="str">
        <f>IFERROR(__xludf.DUMMYFUNCTION("""COMPUTED_VALUE"""),"PAUL ARANA")</f>
        <v>PAUL ARANA</v>
      </c>
      <c r="C1095" s="235" t="str">
        <f>IFERROR(__xludf.DUMMYFUNCTION("""COMPUTED_VALUE"""),"MIS/ICT")</f>
        <v>MIS/ICT</v>
      </c>
      <c r="D1095" s="196" t="str">
        <f>IFERROR(__xludf.DUMMYFUNCTION("""COMPUTED_VALUE"""),"PANASONIC CORDED LANDLINE")</f>
        <v>PANASONIC CORDED LANDLINE</v>
      </c>
      <c r="E1095" s="196" t="str">
        <f>IFERROR(__xludf.DUMMYFUNCTION("""COMPUTED_VALUE"""),"FOR REPLACEMENT OF TELEPHONE LANDLINE IN MIS COLLEGE")</f>
        <v>FOR REPLACEMENT OF TELEPHONE LANDLINE IN MIS COLLEGE</v>
      </c>
    </row>
    <row r="1096">
      <c r="A1096" s="234">
        <f>IFERROR(__xludf.DUMMYFUNCTION("""COMPUTED_VALUE"""),101387.0)</f>
        <v>101387</v>
      </c>
      <c r="B1096" s="235" t="str">
        <f>IFERROR(__xludf.DUMMYFUNCTION("""COMPUTED_VALUE"""),"JAQUELINE SAMSONA")</f>
        <v>JAQUELINE SAMSONA</v>
      </c>
      <c r="C1096" s="235" t="str">
        <f>IFERROR(__xludf.DUMMYFUNCTION("""COMPUTED_VALUE"""),"SCIENCE LAB COLLEGE")</f>
        <v>SCIENCE LAB COLLEGE</v>
      </c>
      <c r="D1096" s="196" t="str">
        <f>IFERROR(__xludf.DUMMYFUNCTION("""COMPUTED_VALUE"""),"7 CUBIC FT REFRIGERATOR")</f>
        <v>7 CUBIC FT REFRIGERATOR</v>
      </c>
      <c r="E1096" s="196" t="str">
        <f>IFERROR(__xludf.DUMMYFUNCTION("""COMPUTED_VALUE"""),"FOR REPLACEMENT OF BROKEN REFRIGERATOR")</f>
        <v>FOR REPLACEMENT OF BROKEN REFRIGERATOR</v>
      </c>
    </row>
    <row r="1097">
      <c r="A1097" s="234">
        <f>IFERROR(__xludf.DUMMYFUNCTION("""COMPUTED_VALUE"""),101388.0)</f>
        <v>101388</v>
      </c>
      <c r="B1097" s="235" t="str">
        <f>IFERROR(__xludf.DUMMYFUNCTION("""COMPUTED_VALUE"""),"RON OBLENO")</f>
        <v>RON OBLENO</v>
      </c>
      <c r="C1097" s="235" t="str">
        <f>IFERROR(__xludf.DUMMYFUNCTION("""COMPUTED_VALUE"""),"MIS/ICT")</f>
        <v>MIS/ICT</v>
      </c>
      <c r="D1097" s="196" t="str">
        <f>IFERROR(__xludf.DUMMYFUNCTION("""COMPUTED_VALUE"""),"HDMI CABLE 7PCS
HDMI SPLITTER 7PCS - ONHOLD  AS PER SIR RON ")</f>
        <v>HDMI CABLE 7PCS
HDMI SPLITTER 7PCS - ONHOLD  AS PER SIR RON </v>
      </c>
      <c r="E1097" s="196" t="str">
        <f>IFERROR(__xludf.DUMMYFUNCTION("""COMPUTED_VALUE"""),"CMLC RIBBON CUTTING")</f>
        <v>CMLC RIBBON CUTTING</v>
      </c>
    </row>
    <row r="1098">
      <c r="A1098" s="234">
        <f>IFERROR(__xludf.DUMMYFUNCTION("""COMPUTED_VALUE"""),101389.0)</f>
        <v>101389</v>
      </c>
      <c r="B1098" s="235" t="str">
        <f>IFERROR(__xludf.DUMMYFUNCTION("""COMPUTED_VALUE"""),"HAZEL DE GUZMAN/ELYDS REYES")</f>
        <v>HAZEL DE GUZMAN/ELYDS REYES</v>
      </c>
      <c r="C1098" s="235" t="str">
        <f>IFERROR(__xludf.DUMMYFUNCTION("""COMPUTED_VALUE"""),"LEARNING VILLAGE")</f>
        <v>LEARNING VILLAGE</v>
      </c>
      <c r="D1098" s="196" t="str">
        <f>IFERROR(__xludf.DUMMYFUNCTION("""COMPUTED_VALUE"""),"PAPER FAN 100 PCS")</f>
        <v>PAPER FAN 100 PCS</v>
      </c>
      <c r="E1098" s="196" t="str">
        <f>IFERROR(__xludf.DUMMYFUNCTION("""COMPUTED_VALUE"""),"FOR BE A BUDDY NOT A BULLY GIVEAWAYS")</f>
        <v>FOR BE A BUDDY NOT A BULLY GIVEAWAYS</v>
      </c>
    </row>
    <row r="1099">
      <c r="A1099" s="234">
        <f>IFERROR(__xludf.DUMMYFUNCTION("""COMPUTED_VALUE"""),101390.0)</f>
        <v>101390</v>
      </c>
      <c r="B1099" s="235" t="str">
        <f>IFERROR(__xludf.DUMMYFUNCTION("""COMPUTED_VALUE"""),"HAROLD SABANAL")</f>
        <v>HAROLD SABANAL</v>
      </c>
      <c r="C1099" s="235" t="str">
        <f>IFERROR(__xludf.DUMMYFUNCTION("""COMPUTED_VALUE"""),"MIS/ICT")</f>
        <v>MIS/ICT</v>
      </c>
      <c r="D1099" s="196" t="str">
        <f>IFERROR(__xludf.DUMMYFUNCTION("""COMPUTED_VALUE"""),"HARD DRIVE 2TB 12 PCS")</f>
        <v>HARD DRIVE 2TB 12 PCS</v>
      </c>
      <c r="E1099" s="196" t="str">
        <f>IFERROR(__xludf.DUMMYFUNCTION("""COMPUTED_VALUE"""),"REPLACEMENT OF NETWORK HARD DRIVES MORE THAN 8 YEARS")</f>
        <v>REPLACEMENT OF NETWORK HARD DRIVES MORE THAN 8 YEARS</v>
      </c>
    </row>
    <row r="1100">
      <c r="A1100" s="234">
        <f>IFERROR(__xludf.DUMMYFUNCTION("""COMPUTED_VALUE"""),101391.0)</f>
        <v>101391</v>
      </c>
      <c r="B1100" s="235" t="str">
        <f>IFERROR(__xludf.DUMMYFUNCTION("""COMPUTED_VALUE"""),"ADRIAN GUINTO")</f>
        <v>ADRIAN GUINTO</v>
      </c>
      <c r="C1100" s="235" t="str">
        <f>IFERROR(__xludf.DUMMYFUNCTION("""COMPUTED_VALUE"""),"PR &amp; MARKETING")</f>
        <v>PR &amp; MARKETING</v>
      </c>
      <c r="D1100" s="196" t="str">
        <f>IFERROR(__xludf.DUMMYFUNCTION("""COMPUTED_VALUE"""),"FREE ADMISSION EXAM TARP 
6.5 X 13.5")</f>
        <v>FREE ADMISSION EXAM TARP 
6.5 X 13.5</v>
      </c>
      <c r="E1100" s="196" t="str">
        <f>IFERROR(__xludf.DUMMYFUNCTION("""COMPUTED_VALUE"""),"FOR MARKETING")</f>
        <v>FOR MARKETING</v>
      </c>
    </row>
    <row r="1101">
      <c r="A1101" s="234">
        <f>IFERROR(__xludf.DUMMYFUNCTION("""COMPUTED_VALUE"""),101392.0)</f>
        <v>101392</v>
      </c>
      <c r="B1101" s="235" t="str">
        <f>IFERROR(__xludf.DUMMYFUNCTION("""COMPUTED_VALUE"""),"LUCILLE BEYER")</f>
        <v>LUCILLE BEYER</v>
      </c>
      <c r="C1101" s="235" t="str">
        <f>IFERROR(__xludf.DUMMYFUNCTION("""COMPUTED_VALUE"""),"MEDICAL")</f>
        <v>MEDICAL</v>
      </c>
      <c r="D1101" s="196" t="str">
        <f>IFERROR(__xludf.DUMMYFUNCTION("""COMPUTED_VALUE"""),"BODY INFAHRED THERMOMETER TEMPERATURE GUN")</f>
        <v>BODY INFAHRED THERMOMETER TEMPERATURE GUN</v>
      </c>
      <c r="E1101" s="196" t="str">
        <f>IFERROR(__xludf.DUMMYFUNCTION("""COMPUTED_VALUE"""),"URGENT PLEASE (FAST TRACK)")</f>
        <v>URGENT PLEASE (FAST TRACK)</v>
      </c>
    </row>
    <row r="1102">
      <c r="A1102" s="234">
        <f>IFERROR(__xludf.DUMMYFUNCTION("""COMPUTED_VALUE"""),101393.0)</f>
        <v>101393</v>
      </c>
      <c r="B1102" s="235" t="str">
        <f>IFERROR(__xludf.DUMMYFUNCTION("""COMPUTED_VALUE"""),"ALFA DE LEON/CAROL LACERNA")</f>
        <v>ALFA DE LEON/CAROL LACERNA</v>
      </c>
      <c r="C1102" s="235" t="str">
        <f>IFERROR(__xludf.DUMMYFUNCTION("""COMPUTED_VALUE"""),"MEDICAL")</f>
        <v>MEDICAL</v>
      </c>
      <c r="D1102" s="196" t="str">
        <f>IFERROR(__xludf.DUMMYFUNCTION("""COMPUTED_VALUE"""),"HARD SANITIZER ALCOHOL  REFILE - 10 GALS")</f>
        <v>HARD SANITIZER ALCOHOL  REFILE - 10 GALS</v>
      </c>
      <c r="E1102" s="196" t="str">
        <f>IFERROR(__xludf.DUMMYFUNCTION("""COMPUTED_VALUE"""),"EMERGENCY NEED OF HARD SANITIZE IN ALL COMMON ARE DUE TO CORONA VIRUS")</f>
        <v>EMERGENCY NEED OF HARD SANITIZE IN ALL COMMON ARE DUE TO CORONA VIRUS</v>
      </c>
    </row>
    <row r="1103">
      <c r="A1103" s="234">
        <f>IFERROR(__xludf.DUMMYFUNCTION("""COMPUTED_VALUE"""),101394.0)</f>
        <v>101394</v>
      </c>
      <c r="B1103" s="235"/>
      <c r="C1103" s="235"/>
      <c r="D1103" s="196"/>
      <c r="E1103" s="196"/>
    </row>
    <row r="1104">
      <c r="A1104" s="234">
        <f>IFERROR(__xludf.DUMMYFUNCTION("""COMPUTED_VALUE"""),101395.0)</f>
        <v>101395</v>
      </c>
      <c r="B1104" s="235" t="str">
        <f>IFERROR(__xludf.DUMMYFUNCTION("""COMPUTED_VALUE"""),"CHRISTIAN MARK MARBIBI")</f>
        <v>CHRISTIAN MARK MARBIBI</v>
      </c>
      <c r="C1104" s="235" t="str">
        <f>IFERROR(__xludf.DUMMYFUNCTION("""COMPUTED_VALUE"""),"HOUSEKEEPING")</f>
        <v>HOUSEKEEPING</v>
      </c>
      <c r="D1104" s="196" t="str">
        <f>IFERROR(__xludf.DUMMYFUNCTION("""COMPUTED_VALUE"""),"ECOLUTION DISENFECTANT")</f>
        <v>ECOLUTION DISENFECTANT</v>
      </c>
      <c r="E1104" s="196" t="str">
        <f>IFERROR(__xludf.DUMMYFUNCTION("""COMPUTED_VALUE"""),"PREVENTIVE MEASURE FOR CORANA VIRUS")</f>
        <v>PREVENTIVE MEASURE FOR CORANA VIRUS</v>
      </c>
    </row>
    <row r="1105">
      <c r="A1105" s="234">
        <f>IFERROR(__xludf.DUMMYFUNCTION("""COMPUTED_VALUE"""),101396.0)</f>
        <v>101396</v>
      </c>
      <c r="B1105" s="235" t="str">
        <f>IFERROR(__xludf.DUMMYFUNCTION("""COMPUTED_VALUE"""),"CHRISTIAN MARK MARBIBI")</f>
        <v>CHRISTIAN MARK MARBIBI</v>
      </c>
      <c r="C1105" s="235" t="str">
        <f>IFERROR(__xludf.DUMMYFUNCTION("""COMPUTED_VALUE"""),"HOUSEKEEPING")</f>
        <v>HOUSEKEEPING</v>
      </c>
      <c r="D1105" s="196" t="str">
        <f>IFERROR(__xludf.DUMMYFUNCTION("""COMPUTED_VALUE"""),"SPRAY GUN")</f>
        <v>SPRAY GUN</v>
      </c>
      <c r="E1105" s="196" t="str">
        <f>IFERROR(__xludf.DUMMYFUNCTION("""COMPUTED_VALUE"""),"STOCK REPLENISMENT")</f>
        <v>STOCK REPLENISMENT</v>
      </c>
    </row>
    <row r="1106">
      <c r="A1106" s="234">
        <f>IFERROR(__xludf.DUMMYFUNCTION("""COMPUTED_VALUE"""),101397.0)</f>
        <v>101397</v>
      </c>
      <c r="B1106" s="235" t="str">
        <f>IFERROR(__xludf.DUMMYFUNCTION("""COMPUTED_VALUE"""),"CHRISTIAN MARK MARBIBI")</f>
        <v>CHRISTIAN MARK MARBIBI</v>
      </c>
      <c r="C1106" s="235" t="str">
        <f>IFERROR(__xludf.DUMMYFUNCTION("""COMPUTED_VALUE"""),"HOUSEKEEPING")</f>
        <v>HOUSEKEEPING</v>
      </c>
      <c r="D1106" s="196" t="str">
        <f>IFERROR(__xludf.DUMMYFUNCTION("""COMPUTED_VALUE"""),"BABY OIL 125 ML (JOHNSON &amp; JOHNSON)")</f>
        <v>BABY OIL 125 ML (JOHNSON &amp; JOHNSON)</v>
      </c>
      <c r="E1106" s="196" t="str">
        <f>IFERROR(__xludf.DUMMYFUNCTION("""COMPUTED_VALUE"""),"STOCK REPLENISMENT")</f>
        <v>STOCK REPLENISMENT</v>
      </c>
    </row>
    <row r="1107">
      <c r="A1107" s="234">
        <f>IFERROR(__xludf.DUMMYFUNCTION("""COMPUTED_VALUE"""),101398.0)</f>
        <v>101398</v>
      </c>
      <c r="B1107" s="235" t="str">
        <f>IFERROR(__xludf.DUMMYFUNCTION("""COMPUTED_VALUE"""),"CHRISTIAN MARK MARBIBI")</f>
        <v>CHRISTIAN MARK MARBIBI</v>
      </c>
      <c r="C1107" s="235" t="str">
        <f>IFERROR(__xludf.DUMMYFUNCTION("""COMPUTED_VALUE"""),"HOUSEKEEPING")</f>
        <v>HOUSEKEEPING</v>
      </c>
      <c r="D1107" s="196" t="str">
        <f>IFERROR(__xludf.DUMMYFUNCTION("""COMPUTED_VALUE"""),"TOILET RUBBER PUMP")</f>
        <v>TOILET RUBBER PUMP</v>
      </c>
      <c r="E1107" s="196" t="str">
        <f>IFERROR(__xludf.DUMMYFUNCTION("""COMPUTED_VALUE"""),"STOCK REPLENISMENT")</f>
        <v>STOCK REPLENISMENT</v>
      </c>
    </row>
    <row r="1108">
      <c r="A1108" s="234">
        <f>IFERROR(__xludf.DUMMYFUNCTION("""COMPUTED_VALUE"""),101399.0)</f>
        <v>101399</v>
      </c>
      <c r="B1108" s="235" t="str">
        <f>IFERROR(__xludf.DUMMYFUNCTION("""COMPUTED_VALUE"""),"CHRISTIAN MARK MARBIBI")</f>
        <v>CHRISTIAN MARK MARBIBI</v>
      </c>
      <c r="C1108" s="235" t="str">
        <f>IFERROR(__xludf.DUMMYFUNCTION("""COMPUTED_VALUE"""),"HOUSEKEEPING")</f>
        <v>HOUSEKEEPING</v>
      </c>
      <c r="D1108" s="196" t="str">
        <f>IFERROR(__xludf.DUMMYFUNCTION("""COMPUTED_VALUE"""),"HAND WASH ANTI BACTERIAL")</f>
        <v>HAND WASH ANTI BACTERIAL</v>
      </c>
      <c r="E1108" s="196" t="str">
        <f>IFERROR(__xludf.DUMMYFUNCTION("""COMPUTED_VALUE"""),"STOCK REPLENISMENT")</f>
        <v>STOCK REPLENISMENT</v>
      </c>
    </row>
    <row r="1109">
      <c r="A1109" s="234">
        <f>IFERROR(__xludf.DUMMYFUNCTION("""COMPUTED_VALUE"""),101400.0)</f>
        <v>101400</v>
      </c>
      <c r="B1109" s="235" t="str">
        <f>IFERROR(__xludf.DUMMYFUNCTION("""COMPUTED_VALUE"""),"CHRISTIAN MARK MARBIBI")</f>
        <v>CHRISTIAN MARK MARBIBI</v>
      </c>
      <c r="C1109" s="235" t="str">
        <f>IFERROR(__xludf.DUMMYFUNCTION("""COMPUTED_VALUE"""),"HOUSEKEEPING")</f>
        <v>HOUSEKEEPING</v>
      </c>
      <c r="D1109" s="196" t="str">
        <f>IFERROR(__xludf.DUMMYFUNCTION("""COMPUTED_VALUE"""),"SCENTED - BAYGON PROTECTOR MULTI INSECT KILL 500 ML CAN")</f>
        <v>SCENTED - BAYGON PROTECTOR MULTI INSECT KILL 500 ML CAN</v>
      </c>
      <c r="E1109" s="196" t="str">
        <f>IFERROR(__xludf.DUMMYFUNCTION("""COMPUTED_VALUE"""),"STOCK REPLENISMENT")</f>
        <v>STOCK REPLENISMENT</v>
      </c>
    </row>
    <row r="1110">
      <c r="A1110" s="234">
        <f>IFERROR(__xludf.DUMMYFUNCTION("""COMPUTED_VALUE"""),101401.0)</f>
        <v>101401</v>
      </c>
      <c r="B1110" s="235" t="str">
        <f>IFERROR(__xludf.DUMMYFUNCTION("""COMPUTED_VALUE"""),"CHRISTIAN MARK MARBIBI")</f>
        <v>CHRISTIAN MARK MARBIBI</v>
      </c>
      <c r="C1110" s="235" t="str">
        <f>IFERROR(__xludf.DUMMYFUNCTION("""COMPUTED_VALUE"""),"HOUSEKEEPING")</f>
        <v>HOUSEKEEPING</v>
      </c>
      <c r="D1110" s="196" t="str">
        <f>IFERROR(__xludf.DUMMYFUNCTION("""COMPUTED_VALUE"""),"GLASS CLEANER")</f>
        <v>GLASS CLEANER</v>
      </c>
      <c r="E1110" s="196" t="str">
        <f>IFERROR(__xludf.DUMMYFUNCTION("""COMPUTED_VALUE"""),"STOCK REPLENISMENT")</f>
        <v>STOCK REPLENISMENT</v>
      </c>
    </row>
    <row r="1111">
      <c r="A1111" s="234">
        <f>IFERROR(__xludf.DUMMYFUNCTION("""COMPUTED_VALUE"""),101402.0)</f>
        <v>101402</v>
      </c>
      <c r="B1111" s="235" t="str">
        <f>IFERROR(__xludf.DUMMYFUNCTION("""COMPUTED_VALUE"""),"CHRISTIAN MARK MARBIBI")</f>
        <v>CHRISTIAN MARK MARBIBI</v>
      </c>
      <c r="C1111" s="235" t="str">
        <f>IFERROR(__xludf.DUMMYFUNCTION("""COMPUTED_VALUE"""),"HOUSEKEEPING")</f>
        <v>HOUSEKEEPING</v>
      </c>
      <c r="D1111" s="196" t="str">
        <f>IFERROR(__xludf.DUMMYFUNCTION("""COMPUTED_VALUE"""),"ALL PURPOSE POWDER 800 GRAMS PER PACKS CHAMPION")</f>
        <v>ALL PURPOSE POWDER 800 GRAMS PER PACKS CHAMPION</v>
      </c>
      <c r="E1111" s="196" t="str">
        <f>IFERROR(__xludf.DUMMYFUNCTION("""COMPUTED_VALUE"""),"STOCK REPLENISMENT")</f>
        <v>STOCK REPLENISMENT</v>
      </c>
    </row>
    <row r="1112">
      <c r="A1112" s="234">
        <f>IFERROR(__xludf.DUMMYFUNCTION("""COMPUTED_VALUE"""),101403.0)</f>
        <v>101403</v>
      </c>
      <c r="B1112" s="235" t="str">
        <f>IFERROR(__xludf.DUMMYFUNCTION("""COMPUTED_VALUE"""),"CHRISTIAN MARK MARBIBI")</f>
        <v>CHRISTIAN MARK MARBIBI</v>
      </c>
      <c r="C1112" s="235" t="str">
        <f>IFERROR(__xludf.DUMMYFUNCTION("""COMPUTED_VALUE"""),"HOUSEKEEPING")</f>
        <v>HOUSEKEEPING</v>
      </c>
      <c r="D1112" s="196" t="str">
        <f>IFERROR(__xludf.DUMMYFUNCTION("""COMPUTED_VALUE"""),"TRASHBAG EXTRALARGE ( 36-40) CLEAR")</f>
        <v>TRASHBAG EXTRALARGE ( 36-40) CLEAR</v>
      </c>
      <c r="E1112" s="196" t="str">
        <f>IFERROR(__xludf.DUMMYFUNCTION("""COMPUTED_VALUE"""),"STOCK REPLENISMENT")</f>
        <v>STOCK REPLENISMENT</v>
      </c>
    </row>
    <row r="1113">
      <c r="A1113" s="234">
        <f>IFERROR(__xludf.DUMMYFUNCTION("""COMPUTED_VALUE"""),101404.0)</f>
        <v>101404</v>
      </c>
      <c r="B1113" s="235" t="str">
        <f>IFERROR(__xludf.DUMMYFUNCTION("""COMPUTED_VALUE"""),"CHRISTIAN MARK MARBIBI")</f>
        <v>CHRISTIAN MARK MARBIBI</v>
      </c>
      <c r="C1113" s="235" t="str">
        <f>IFERROR(__xludf.DUMMYFUNCTION("""COMPUTED_VALUE"""),"HOUSEKEEPING")</f>
        <v>HOUSEKEEPING</v>
      </c>
      <c r="D1113" s="196" t="str">
        <f>IFERROR(__xludf.DUMMYFUNCTION("""COMPUTED_VALUE"""),"HERITAGE MODEL CREAM")</f>
        <v>HERITAGE MODEL CREAM</v>
      </c>
      <c r="E1113" s="196" t="str">
        <f>IFERROR(__xludf.DUMMYFUNCTION("""COMPUTED_VALUE"""),"STOCK REPLENISMENT")</f>
        <v>STOCK REPLENISMENT</v>
      </c>
    </row>
    <row r="1114">
      <c r="A1114" s="234">
        <f>IFERROR(__xludf.DUMMYFUNCTION("""COMPUTED_VALUE"""),101405.0)</f>
        <v>101405</v>
      </c>
      <c r="B1114" s="235" t="str">
        <f>IFERROR(__xludf.DUMMYFUNCTION("""COMPUTED_VALUE"""),"JORGE BALELA")</f>
        <v>JORGE BALELA</v>
      </c>
      <c r="C1114" s="235" t="str">
        <f>IFERROR(__xludf.DUMMYFUNCTION("""COMPUTED_VALUE"""),"MEDICAL")</f>
        <v>MEDICAL</v>
      </c>
      <c r="D1114" s="196" t="str">
        <f>IFERROR(__xludf.DUMMYFUNCTION("""COMPUTED_VALUE"""),"LYSOL FOR ALL CLINIC 
SANITATION
SURGICAL MASK
N95 MASK GOGGLES FOR PROTECTION OF NURSE AS RECOMMENDED BY DEAN CARMEL")</f>
        <v>LYSOL FOR ALL CLINIC 
SANITATION
SURGICAL MASK
N95 MASK GOGGLES FOR PROTECTION OF NURSE AS RECOMMENDED BY DEAN CARMEL</v>
      </c>
      <c r="E1114" s="196" t="str">
        <f>IFERROR(__xludf.DUMMYFUNCTION("""COMPUTED_VALUE"""),"FIELD PURCHASED  CORONA VIRUS PREVENTION")</f>
        <v>FIELD PURCHASED  CORONA VIRUS PREVENTION</v>
      </c>
    </row>
    <row r="1115">
      <c r="A1115" s="234">
        <f>IFERROR(__xludf.DUMMYFUNCTION("""COMPUTED_VALUE"""),101406.0)</f>
        <v>101406</v>
      </c>
      <c r="B1115" s="235" t="str">
        <f>IFERROR(__xludf.DUMMYFUNCTION("""COMPUTED_VALUE"""),"JP RAGOT ")</f>
        <v>JP RAGOT </v>
      </c>
      <c r="C1115" s="235" t="str">
        <f>IFERROR(__xludf.DUMMYFUNCTION("""COMPUTED_VALUE"""),"AMD")</f>
        <v>AMD</v>
      </c>
      <c r="D1115" s="196" t="str">
        <f>IFERROR(__xludf.DUMMYFUNCTION("""COMPUTED_VALUE"""),"TOILET FLUSH (FLUID MASTER BRAND)
TOILET COVER SCREW WITH GASKET (FLUSH MASTER BRAND)
DOUBLE ANGLE VALUE
CAPACITOR (OMNI BRAND0
SOFTBROOM(RUBERMAID BOARD)
BIDET
TOILET BOWL CARE (GEM BRAND )")</f>
        <v>TOILET FLUSH (FLUID MASTER BRAND)
TOILET COVER SCREW WITH GASKET (FLUSH MASTER BRAND)
DOUBLE ANGLE VALUE
CAPACITOR (OMNI BRAND0
SOFTBROOM(RUBERMAID BOARD)
BIDET
TOILET BOWL CARE (GEM BRAND )</v>
      </c>
      <c r="E1115" s="196" t="str">
        <f>IFERROR(__xludf.DUMMYFUNCTION("""COMPUTED_VALUE"""),"FOR EVALUATION")</f>
        <v>FOR EVALUATION</v>
      </c>
    </row>
    <row r="1116">
      <c r="A1116" s="234">
        <f>IFERROR(__xludf.DUMMYFUNCTION("""COMPUTED_VALUE"""),101407.0)</f>
        <v>101407</v>
      </c>
      <c r="B1116" s="235" t="str">
        <f>IFERROR(__xludf.DUMMYFUNCTION("""COMPUTED_VALUE"""),"CARLITO DELA VEGA")</f>
        <v>CARLITO DELA VEGA</v>
      </c>
      <c r="C1116" s="235" t="str">
        <f>IFERROR(__xludf.DUMMYFUNCTION("""COMPUTED_VALUE"""),"ADMIN")</f>
        <v>ADMIN</v>
      </c>
      <c r="D1116" s="196" t="str">
        <f>IFERROR(__xludf.DUMMYFUNCTION("""COMPUTED_VALUE"""),"CCTV INSTALLATION 
LUX CAMPUS
MUNICH CAMPUS
ELIZALDE CAMPUS")</f>
        <v>CCTV INSTALLATION 
LUX CAMPUS
MUNICH CAMPUS
ELIZALDE CAMPUS</v>
      </c>
      <c r="E1116" s="196" t="str">
        <f>IFERROR(__xludf.DUMMYFUNCTION("""COMPUTED_VALUE"""),"SAFETY SECURITY")</f>
        <v>SAFETY SECURITY</v>
      </c>
    </row>
    <row r="1117">
      <c r="A1117" s="234">
        <f>IFERROR(__xludf.DUMMYFUNCTION("""COMPUTED_VALUE"""),101408.0)</f>
        <v>101408</v>
      </c>
      <c r="B1117" s="235" t="str">
        <f>IFERROR(__xludf.DUMMYFUNCTION("""COMPUTED_VALUE"""),"CHRISTIAN MARK MARBIBI")</f>
        <v>CHRISTIAN MARK MARBIBI</v>
      </c>
      <c r="C1117" s="235" t="str">
        <f>IFERROR(__xludf.DUMMYFUNCTION("""COMPUTED_VALUE"""),"HOUSEKEEPING")</f>
        <v>HOUSEKEEPING</v>
      </c>
      <c r="D1117" s="196" t="str">
        <f>IFERROR(__xludf.DUMMYFUNCTION("""COMPUTED_VALUE"""),"DESTROY DRAIN MAINTAINER AND DEODRIZER")</f>
        <v>DESTROY DRAIN MAINTAINER AND DEODRIZER</v>
      </c>
      <c r="E1117" s="196" t="str">
        <f>IFERROR(__xludf.DUMMYFUNCTION("""COMPUTED_VALUE"""),"STOCK REPLENISMENT")</f>
        <v>STOCK REPLENISMENT</v>
      </c>
    </row>
    <row r="1118">
      <c r="A1118" s="234">
        <f>IFERROR(__xludf.DUMMYFUNCTION("""COMPUTED_VALUE"""),101409.0)</f>
        <v>101409</v>
      </c>
      <c r="B1118" s="235" t="str">
        <f>IFERROR(__xludf.DUMMYFUNCTION("""COMPUTED_VALUE"""),"CHRISTIAN MARK MARBIBI")</f>
        <v>CHRISTIAN MARK MARBIBI</v>
      </c>
      <c r="C1118" s="235" t="str">
        <f>IFERROR(__xludf.DUMMYFUNCTION("""COMPUTED_VALUE"""),"HOUSEKEEPING")</f>
        <v>HOUSEKEEPING</v>
      </c>
      <c r="D1118" s="196" t="str">
        <f>IFERROR(__xludf.DUMMYFUNCTION("""COMPUTED_VALUE"""),"LIME SOLVENT")</f>
        <v>LIME SOLVENT</v>
      </c>
      <c r="E1118" s="196" t="str">
        <f>IFERROR(__xludf.DUMMYFUNCTION("""COMPUTED_VALUE"""),"STOCK REPLENISMENT")</f>
        <v>STOCK REPLENISMENT</v>
      </c>
    </row>
    <row r="1119">
      <c r="A1119" s="234">
        <f>IFERROR(__xludf.DUMMYFUNCTION("""COMPUTED_VALUE"""),101410.0)</f>
        <v>101410</v>
      </c>
      <c r="B1119" s="235" t="str">
        <f>IFERROR(__xludf.DUMMYFUNCTION("""COMPUTED_VALUE"""),"CHRISTIAN MARK MARBIBI")</f>
        <v>CHRISTIAN MARK MARBIBI</v>
      </c>
      <c r="C1119" s="235" t="str">
        <f>IFERROR(__xludf.DUMMYFUNCTION("""COMPUTED_VALUE"""),"HOUSEKEEPING")</f>
        <v>HOUSEKEEPING</v>
      </c>
      <c r="D1119" s="196" t="str">
        <f>IFERROR(__xludf.DUMMYFUNCTION("""COMPUTED_VALUE"""),"CHLORINE 1KG PER PACK")</f>
        <v>CHLORINE 1KG PER PACK</v>
      </c>
      <c r="E1119" s="196" t="str">
        <f>IFERROR(__xludf.DUMMYFUNCTION("""COMPUTED_VALUE"""),"STOCK REPLENISMENT")</f>
        <v>STOCK REPLENISMENT</v>
      </c>
    </row>
    <row r="1120">
      <c r="A1120" s="234">
        <f>IFERROR(__xludf.DUMMYFUNCTION("""COMPUTED_VALUE"""),101411.0)</f>
        <v>101411</v>
      </c>
      <c r="B1120" s="235" t="str">
        <f>IFERROR(__xludf.DUMMYFUNCTION("""COMPUTED_VALUE"""),"SARY ESCRUREL AND ELYDS REYES")</f>
        <v>SARY ESCRUREL AND ELYDS REYES</v>
      </c>
      <c r="C1120" s="235" t="str">
        <f>IFERROR(__xludf.DUMMYFUNCTION("""COMPUTED_VALUE"""),"PRINCIPAL'S OFFICE")</f>
        <v>PRINCIPAL'S OFFICE</v>
      </c>
      <c r="D1120" s="196" t="str">
        <f>IFERROR(__xludf.DUMMYFUNCTION("""COMPUTED_VALUE"""),"SPECIAL STUDENTS AND PARENTS BULLETIN AY 20 - 21")</f>
        <v>SPECIAL STUDENTS AND PARENTS BULLETIN AY 20 - 21</v>
      </c>
      <c r="E1120" s="196" t="str">
        <f>IFERROR(__xludf.DUMMYFUNCTION("""COMPUTED_VALUE"""),"SPECIAL SPB FOR PARENTS FOR AY 20 - 21")</f>
        <v>SPECIAL SPB FOR PARENTS FOR AY 20 - 21</v>
      </c>
    </row>
    <row r="1121">
      <c r="A1121" s="234">
        <f>IFERROR(__xludf.DUMMYFUNCTION("""COMPUTED_VALUE"""),101412.0)</f>
        <v>101412</v>
      </c>
      <c r="B1121" s="235" t="str">
        <f>IFERROR(__xludf.DUMMYFUNCTION("""COMPUTED_VALUE"""),"MARVIN MARASIGAN ")</f>
        <v>MARVIN MARASIGAN </v>
      </c>
      <c r="C1121" s="235" t="str">
        <f>IFERROR(__xludf.DUMMYFUNCTION("""COMPUTED_VALUE"""),"PR &amp; MARKETING")</f>
        <v>PR &amp; MARKETING</v>
      </c>
      <c r="D1121" s="196" t="str">
        <f>IFERROR(__xludf.DUMMYFUNCTION("""COMPUTED_VALUE"""),"BE AMAZING BE SOUTHVILLE SHIRT")</f>
        <v>BE AMAZING BE SOUTHVILLE SHIRT</v>
      </c>
      <c r="E1121" s="196" t="str">
        <f>IFERROR(__xludf.DUMMYFUNCTION("""COMPUTED_VALUE"""),"GIVE AWAY")</f>
        <v>GIVE AWAY</v>
      </c>
    </row>
    <row r="1122">
      <c r="A1122" s="234">
        <f>IFERROR(__xludf.DUMMYFUNCTION("""COMPUTED_VALUE"""),101413.0)</f>
        <v>101413</v>
      </c>
      <c r="B1122" s="235" t="str">
        <f>IFERROR(__xludf.DUMMYFUNCTION("""COMPUTED_VALUE"""),"MARVIN MARASIGAN ")</f>
        <v>MARVIN MARASIGAN </v>
      </c>
      <c r="C1122" s="235" t="str">
        <f>IFERROR(__xludf.DUMMYFUNCTION("""COMPUTED_VALUE"""),"PR &amp; MARKETING")</f>
        <v>PR &amp; MARKETING</v>
      </c>
      <c r="D1122" s="196" t="str">
        <f>IFERROR(__xludf.DUMMYFUNCTION("""COMPUTED_VALUE"""),"NOTEPAD 30TH YEAR ")</f>
        <v>NOTEPAD 30TH YEAR </v>
      </c>
      <c r="E1122" s="196" t="str">
        <f>IFERROR(__xludf.DUMMYFUNCTION("""COMPUTED_VALUE"""),"GIVE AWAY")</f>
        <v>GIVE AWAY</v>
      </c>
    </row>
    <row r="1123">
      <c r="A1123" s="234">
        <f>IFERROR(__xludf.DUMMYFUNCTION("""COMPUTED_VALUE"""),101414.0)</f>
        <v>101414</v>
      </c>
      <c r="B1123" s="235" t="str">
        <f>IFERROR(__xludf.DUMMYFUNCTION("""COMPUTED_VALUE"""),"ADRIAN ")</f>
        <v>ADRIAN </v>
      </c>
      <c r="C1123" s="235" t="str">
        <f>IFERROR(__xludf.DUMMYFUNCTION("""COMPUTED_VALUE"""),"PR &amp; MARKETING")</f>
        <v>PR &amp; MARKETING</v>
      </c>
      <c r="D1123" s="196" t="str">
        <f>IFERROR(__xludf.DUMMYFUNCTION("""COMPUTED_VALUE"""),"CONGRATULATORY TARP")</f>
        <v>CONGRATULATORY TARP</v>
      </c>
      <c r="E1123" s="196" t="str">
        <f>IFERROR(__xludf.DUMMYFUNCTION("""COMPUTED_VALUE"""),"FOR ADVERTISEMENT")</f>
        <v>FOR ADVERTISEMENT</v>
      </c>
    </row>
    <row r="1124">
      <c r="A1124" s="234">
        <f>IFERROR(__xludf.DUMMYFUNCTION("""COMPUTED_VALUE"""),101415.0)</f>
        <v>101415</v>
      </c>
      <c r="B1124" s="235" t="str">
        <f>IFERROR(__xludf.DUMMYFUNCTION("""COMPUTED_VALUE"""),"ALFA DE LEON ")</f>
        <v>ALFA DE LEON </v>
      </c>
      <c r="C1124" s="235" t="str">
        <f>IFERROR(__xludf.DUMMYFUNCTION("""COMPUTED_VALUE"""),"ADMIN - MUNICH")</f>
        <v>ADMIN - MUNICH</v>
      </c>
      <c r="D1124" s="196" t="str">
        <f>IFERROR(__xludf.DUMMYFUNCTION("""COMPUTED_VALUE"""),"PANASONIC WINDOW TYPE ACU BASIC 2.0 HP NOT INVERTER")</f>
        <v>PANASONIC WINDOW TYPE ACU BASIC 2.0 HP NOT INVERTER</v>
      </c>
      <c r="E1124" s="196" t="str">
        <f>IFERROR(__xludf.DUMMYFUNCTION("""COMPUTED_VALUE"""),"REPLACEMENT OF OLD WINDOW TYPE ACU")</f>
        <v>REPLACEMENT OF OLD WINDOW TYPE ACU</v>
      </c>
    </row>
    <row r="1125">
      <c r="A1125" s="234">
        <f>IFERROR(__xludf.DUMMYFUNCTION("""COMPUTED_VALUE"""),101416.0)</f>
        <v>101416</v>
      </c>
      <c r="B1125" s="235" t="str">
        <f>IFERROR(__xludf.DUMMYFUNCTION("""COMPUTED_VALUE"""),"SHEREE ESPINOSA")</f>
        <v>SHEREE ESPINOSA</v>
      </c>
      <c r="C1125" s="235" t="str">
        <f>IFERROR(__xludf.DUMMYFUNCTION("""COMPUTED_VALUE"""),"HOUSEKEEPING")</f>
        <v>HOUSEKEEPING</v>
      </c>
      <c r="D1125" s="196" t="str">
        <f>IFERROR(__xludf.DUMMYFUNCTION("""COMPUTED_VALUE"""),"HAND SANITIZER")</f>
        <v>HAND SANITIZER</v>
      </c>
      <c r="E1125" s="196" t="str">
        <f>IFERROR(__xludf.DUMMYFUNCTION("""COMPUTED_VALUE"""),"REFILL FOR SANITIZER FOR ALL CAMPUSES")</f>
        <v>REFILL FOR SANITIZER FOR ALL CAMPUSES</v>
      </c>
    </row>
    <row r="1126">
      <c r="A1126" s="234">
        <f>IFERROR(__xludf.DUMMYFUNCTION("""COMPUTED_VALUE"""),101417.0)</f>
        <v>101417</v>
      </c>
      <c r="B1126" s="235" t="str">
        <f>IFERROR(__xludf.DUMMYFUNCTION("""COMPUTED_VALUE"""),"RONALD VERDE")</f>
        <v>RONALD VERDE</v>
      </c>
      <c r="C1126" s="235" t="str">
        <f>IFERROR(__xludf.DUMMYFUNCTION("""COMPUTED_VALUE"""),"TRANSPORTATION")</f>
        <v>TRANSPORTATION</v>
      </c>
      <c r="D1126" s="196" t="str">
        <f>IFERROR(__xludf.DUMMYFUNCTION("""COMPUTED_VALUE"""),"ISUZU TRUCK  (NLR77 TILT) 4200 KG ")</f>
        <v>ISUZU TRUCK  (NLR77 TILT) 4200 KG </v>
      </c>
      <c r="E1126" s="196" t="str">
        <f>IFERROR(__xludf.DUMMYFUNCTION("""COMPUTED_VALUE"""),"SERVICE TRUCK ")</f>
        <v>SERVICE TRUCK </v>
      </c>
    </row>
    <row r="1127">
      <c r="A1127" s="234">
        <f>IFERROR(__xludf.DUMMYFUNCTION("""COMPUTED_VALUE"""),101418.0)</f>
        <v>101418</v>
      </c>
      <c r="B1127" s="235" t="str">
        <f>IFERROR(__xludf.DUMMYFUNCTION("""COMPUTED_VALUE"""),"APRIL TRAJICO")</f>
        <v>APRIL TRAJICO</v>
      </c>
      <c r="C1127" s="235" t="str">
        <f>IFERROR(__xludf.DUMMYFUNCTION("""COMPUTED_VALUE"""),"AMD")</f>
        <v>AMD</v>
      </c>
      <c r="D1127" s="196" t="str">
        <f>IFERROR(__xludf.DUMMYFUNCTION("""COMPUTED_VALUE"""),"MIFARE 1K BIT - CONTACTLESS CARD, MODEL - IOT CRDM665 2800PCS")</f>
        <v>MIFARE 1K BIT - CONTACTLESS CARD, MODEL - IOT CRDM665 2800PCS</v>
      </c>
      <c r="E1127" s="196" t="str">
        <f>IFERROR(__xludf.DUMMYFUNCTION("""COMPUTED_VALUE"""),"STUDENT IDs FOR AY20-21")</f>
        <v>STUDENT IDs FOR AY20-21</v>
      </c>
    </row>
    <row r="1128">
      <c r="A1128" s="234">
        <f>IFERROR(__xludf.DUMMYFUNCTION("""COMPUTED_VALUE"""),101419.0)</f>
        <v>101419</v>
      </c>
      <c r="B1128" s="235" t="str">
        <f>IFERROR(__xludf.DUMMYFUNCTION("""COMPUTED_VALUE"""),"APRIL TRAJICO")</f>
        <v>APRIL TRAJICO</v>
      </c>
      <c r="C1128" s="235" t="str">
        <f>IFERROR(__xludf.DUMMYFUNCTION("""COMPUTED_VALUE"""),"AMD")</f>
        <v>AMD</v>
      </c>
      <c r="D1128" s="196" t="str">
        <f>IFERROR(__xludf.DUMMYFUNCTION("""COMPUTED_VALUE"""),"FILM, HDP500 FILM (FOR ID PRINTER HDP5000) 8PCS; RIBBON, HDP500 YMCK RIBBON (FOR ID PRINTER HDP5000) 10PCS")</f>
        <v>FILM, HDP500 FILM (FOR ID PRINTER HDP5000) 8PCS; RIBBON, HDP500 YMCK RIBBON (FOR ID PRINTER HDP5000) 10PCS</v>
      </c>
      <c r="E1128" s="196" t="str">
        <f>IFERROR(__xludf.DUMMYFUNCTION("""COMPUTED_VALUE"""),"STUDENT IDs FOR AY20-21")</f>
        <v>STUDENT IDs FOR AY20-21</v>
      </c>
    </row>
    <row r="1129">
      <c r="A1129" s="234">
        <f>IFERROR(__xludf.DUMMYFUNCTION("""COMPUTED_VALUE"""),101420.0)</f>
        <v>101420</v>
      </c>
      <c r="B1129" s="235" t="str">
        <f>IFERROR(__xludf.DUMMYFUNCTION("""COMPUTED_VALUE"""),"APRIL TRAJICO")</f>
        <v>APRIL TRAJICO</v>
      </c>
      <c r="C1129" s="235" t="str">
        <f>IFERROR(__xludf.DUMMYFUNCTION("""COMPUTED_VALUE"""),"AMD")</f>
        <v>AMD</v>
      </c>
      <c r="D1129" s="196" t="str">
        <f>IFERROR(__xludf.DUMMYFUNCTION("""COMPUTED_VALUE"""),"UMBRELLA, GOLF UMBRELLA PURPLE (30 YEARS) 4000PCS")</f>
        <v>UMBRELLA, GOLF UMBRELLA PURPLE (30 YEARS) 4000PCS</v>
      </c>
      <c r="E1129" s="196" t="str">
        <f>IFERROR(__xludf.DUMMYFUNCTION("""COMPUTED_VALUE"""),"UMBRELLA FOR AY20-21 (GIVEAWAYS FOR STUDENTS)")</f>
        <v>UMBRELLA FOR AY20-21 (GIVEAWAYS FOR STUDENTS)</v>
      </c>
    </row>
    <row r="1130">
      <c r="A1130" s="234">
        <f>IFERROR(__xludf.DUMMYFUNCTION("""COMPUTED_VALUE"""),101421.0)</f>
        <v>101421</v>
      </c>
      <c r="B1130" s="235" t="str">
        <f>IFERROR(__xludf.DUMMYFUNCTION("""COMPUTED_VALUE"""),"SHEREE ESPINOSA")</f>
        <v>SHEREE ESPINOSA</v>
      </c>
      <c r="C1130" s="235" t="str">
        <f>IFERROR(__xludf.DUMMYFUNCTION("""COMPUTED_VALUE"""),"HOUSEKEEPING")</f>
        <v>HOUSEKEEPING</v>
      </c>
      <c r="D1130" s="196" t="str">
        <f>IFERROR(__xludf.DUMMYFUNCTION("""COMPUTED_VALUE"""),"WATER DISPENSER  HANABISHI HFSWB -700 WATER DISPENSER")</f>
        <v>WATER DISPENSER  HANABISHI HFSWB -700 WATER DISPENSER</v>
      </c>
      <c r="E1130" s="196" t="str">
        <f>IFERROR(__xludf.DUMMYFUNCTION("""COMPUTED_VALUE"""),"FOR LUX CAMPUS RESERVE ")</f>
        <v>FOR LUX CAMPUS RESERVE </v>
      </c>
    </row>
    <row r="1131">
      <c r="A1131" s="234">
        <f>IFERROR(__xludf.DUMMYFUNCTION("""COMPUTED_VALUE"""),101422.0)</f>
        <v>101422</v>
      </c>
      <c r="B1131" s="235" t="str">
        <f>IFERROR(__xludf.DUMMYFUNCTION("""COMPUTED_VALUE"""),"LIA ARCAINA")</f>
        <v>LIA ARCAINA</v>
      </c>
      <c r="C1131" s="235" t="str">
        <f>IFERROR(__xludf.DUMMYFUNCTION("""COMPUTED_VALUE"""),"STUDENT AFFAIRS BED")</f>
        <v>STUDENT AFFAIRS BED</v>
      </c>
      <c r="D1131" s="196" t="str">
        <f>IFERROR(__xludf.DUMMYFUNCTION("""COMPUTED_VALUE"""),"JS PROM INVITATION")</f>
        <v>JS PROM INVITATION</v>
      </c>
      <c r="E1131" s="196" t="str">
        <f>IFERROR(__xludf.DUMMYFUNCTION("""COMPUTED_VALUE"""),"INVATATIONS FOR JS PROM")</f>
        <v>INVATATIONS FOR JS PROM</v>
      </c>
    </row>
    <row r="1132">
      <c r="A1132" s="234">
        <f>IFERROR(__xludf.DUMMYFUNCTION("""COMPUTED_VALUE"""),101423.0)</f>
        <v>101423</v>
      </c>
      <c r="B1132" s="235" t="str">
        <f>IFERROR(__xludf.DUMMYFUNCTION("""COMPUTED_VALUE"""),"ALFA DE LEON ")</f>
        <v>ALFA DE LEON </v>
      </c>
      <c r="C1132" s="235" t="str">
        <f>IFERROR(__xludf.DUMMYFUNCTION("""COMPUTED_VALUE"""),"HOUSEKEEPING")</f>
        <v>HOUSEKEEPING</v>
      </c>
      <c r="D1132" s="196" t="str">
        <f>IFERROR(__xludf.DUMMYFUNCTION("""COMPUTED_VALUE"""),"LABELS/TARPAULIN/WET/DIY/PLASTIC TARP")</f>
        <v>LABELS/TARPAULIN/WET/DIY/PLASTIC TARP</v>
      </c>
      <c r="E1132" s="196" t="str">
        <f>IFERROR(__xludf.DUMMYFUNCTION("""COMPUTED_VALUE"""),"waste segregation")</f>
        <v>waste segregation</v>
      </c>
    </row>
    <row r="1133">
      <c r="A1133" s="234">
        <f>IFERROR(__xludf.DUMMYFUNCTION("""COMPUTED_VALUE"""),101424.0)</f>
        <v>101424</v>
      </c>
      <c r="B1133" s="235" t="str">
        <f>IFERROR(__xludf.DUMMYFUNCTION("""COMPUTED_VALUE"""),"ROIE RAYMUNDO")</f>
        <v>ROIE RAYMUNDO</v>
      </c>
      <c r="C1133" s="235" t="str">
        <f>IFERROR(__xludf.DUMMYFUNCTION("""COMPUTED_VALUE"""),"MIS/ICT")</f>
        <v>MIS/ICT</v>
      </c>
      <c r="D1133" s="196" t="str">
        <f>IFERROR(__xludf.DUMMYFUNCTION("""COMPUTED_VALUE"""),"*HP PROCURVE SWITCH 2650 OR UP / CISCO Catalyst Switch / cisco switch")</f>
        <v>*HP PROCURVE SWITCH 2650 OR UP / CISCO Catalyst Switch / cisco switch</v>
      </c>
      <c r="E1133" s="196" t="str">
        <f>IFERROR(__xludf.DUMMYFUNCTION("""COMPUTED_VALUE"""),"ACQUISITION of switches")</f>
        <v>ACQUISITION of switches</v>
      </c>
    </row>
    <row r="1134">
      <c r="A1134" s="234">
        <f>IFERROR(__xludf.DUMMYFUNCTION("""COMPUTED_VALUE"""),101425.0)</f>
        <v>101425</v>
      </c>
      <c r="B1134" s="235" t="str">
        <f>IFERROR(__xludf.DUMMYFUNCTION("""COMPUTED_VALUE"""),"ROIE RAYMUNDO")</f>
        <v>ROIE RAYMUNDO</v>
      </c>
      <c r="C1134" s="235" t="str">
        <f>IFERROR(__xludf.DUMMYFUNCTION("""COMPUTED_VALUE"""),"MIS/ICT")</f>
        <v>MIS/ICT</v>
      </c>
      <c r="D1134" s="196" t="str">
        <f>IFERROR(__xludf.DUMMYFUNCTION("""COMPUTED_VALUE"""),"APC SMART  UPS")</f>
        <v>APC SMART  UPS</v>
      </c>
      <c r="E1134" s="196" t="str">
        <f>IFERROR(__xludf.DUMMYFUNCTION("""COMPUTED_VALUE"""),"ACQUISITION")</f>
        <v>ACQUISITION</v>
      </c>
    </row>
    <row r="1135">
      <c r="A1135" s="234">
        <f>IFERROR(__xludf.DUMMYFUNCTION("""COMPUTED_VALUE"""),101426.0)</f>
        <v>101426</v>
      </c>
      <c r="B1135" s="235" t="str">
        <f>IFERROR(__xludf.DUMMYFUNCTION("""COMPUTED_VALUE"""),"OWIE PAR")</f>
        <v>OWIE PAR</v>
      </c>
      <c r="C1135" s="235" t="str">
        <f>IFERROR(__xludf.DUMMYFUNCTION("""COMPUTED_VALUE"""),"ENGINEERING")</f>
        <v>ENGINEERING</v>
      </c>
      <c r="D1135" s="196" t="str">
        <f>IFERROR(__xludf.DUMMYFUNCTION("""COMPUTED_VALUE"""),"FIRE EXTIGUISHER DRY ")</f>
        <v>FIRE EXTIGUISHER DRY </v>
      </c>
      <c r="E1135" s="196" t="str">
        <f>IFERROR(__xludf.DUMMYFUNCTION("""COMPUTED_VALUE"""),"FOR COACH RM AND CONDITION RM")</f>
        <v>FOR COACH RM AND CONDITION RM</v>
      </c>
    </row>
    <row r="1136">
      <c r="A1136" s="234">
        <f>IFERROR(__xludf.DUMMYFUNCTION("""COMPUTED_VALUE"""),101427.0)</f>
        <v>101427</v>
      </c>
      <c r="B1136" s="235" t="str">
        <f>IFERROR(__xludf.DUMMYFUNCTION("""COMPUTED_VALUE"""),"TOM TONGOHAN")</f>
        <v>TOM TONGOHAN</v>
      </c>
      <c r="C1136" s="235" t="str">
        <f>IFERROR(__xludf.DUMMYFUNCTION("""COMPUTED_VALUE"""),"ADMIN")</f>
        <v>ADMIN</v>
      </c>
      <c r="D1136" s="196" t="str">
        <f>IFERROR(__xludf.DUMMYFUNCTION("""COMPUTED_VALUE"""),"GYM EQUIPMENT FOR STUDENTS USE ")</f>
        <v>GYM EQUIPMENT FOR STUDENTS USE </v>
      </c>
      <c r="E1136" s="196" t="str">
        <f>IFERROR(__xludf.DUMMYFUNCTION("""COMPUTED_VALUE"""),"FORMONARCHS GYM SPORTS CONDITIONING CONTEX")</f>
        <v>FORMONARCHS GYM SPORTS CONDITIONING CONTEX</v>
      </c>
    </row>
    <row r="1137">
      <c r="A1137" s="234">
        <f>IFERROR(__xludf.DUMMYFUNCTION("""COMPUTED_VALUE"""),101428.0)</f>
        <v>101428</v>
      </c>
      <c r="B1137" s="235" t="str">
        <f>IFERROR(__xludf.DUMMYFUNCTION("""COMPUTED_VALUE"""),"APRIL D. TRAJICO")</f>
        <v>APRIL D. TRAJICO</v>
      </c>
      <c r="C1137" s="235" t="str">
        <f>IFERROR(__xludf.DUMMYFUNCTION("""COMPUTED_VALUE"""),"AMD")</f>
        <v>AMD</v>
      </c>
      <c r="D1137" s="196" t="str">
        <f>IFERROR(__xludf.DUMMYFUNCTION("""COMPUTED_VALUE"""),"Ballpen, Panda Black 225 pcs, Ballpen, Panda Blue 225 pcs, Ballpen, Panda Red 225 pcs, Eraser, Whiteboard-Sterling 25 pcs, Correction Tape, Joy 225 pcs, Clip, Paper (120gms/box), Prince Vinyl Coated - Big 25 bxs")</f>
        <v>Ballpen, Panda Black 225 pcs, Ballpen, Panda Blue 225 pcs, Ballpen, Panda Red 225 pcs, Eraser, Whiteboard-Sterling 25 pcs, Correction Tape, Joy 225 pcs, Clip, Paper (120gms/box), Prince Vinyl Coated - Big 25 bxs</v>
      </c>
      <c r="E1137" s="196" t="str">
        <f>IFERROR(__xludf.DUMMYFUNCTION("""COMPUTED_VALUE"""),"FACULTY &amp; DEPARTMENTAL OPENING SUPPLIES AY20-21")</f>
        <v>FACULTY &amp; DEPARTMENTAL OPENING SUPPLIES AY20-21</v>
      </c>
    </row>
    <row r="1138">
      <c r="A1138" s="234">
        <f>IFERROR(__xludf.DUMMYFUNCTION("""COMPUTED_VALUE"""),101429.0)</f>
        <v>101429</v>
      </c>
      <c r="B1138" s="235" t="str">
        <f>IFERROR(__xludf.DUMMYFUNCTION("""COMPUTED_VALUE"""),"APRIL D. TRAJICO")</f>
        <v>APRIL D. TRAJICO</v>
      </c>
      <c r="C1138" s="235" t="str">
        <f>IFERROR(__xludf.DUMMYFUNCTION("""COMPUTED_VALUE"""),"AMD")</f>
        <v>AMD</v>
      </c>
      <c r="D1138" s="196" t="str">
        <f>IFERROR(__xludf.DUMMYFUNCTION("""COMPUTED_VALUE"""),"Pad Paper, Yellow (per pad) 40 pads, Ink, Permanent Marker - Pilot Black 12 pcs, Ink, Whiteboard-Pilot Black 48 pcs, Ink, Whiteboard-Pilot Blue 48 pcs, Ink, Whiteboard-Pilot Red 18 pcs, Marker, Whiteboard - Pilot Black 180 pcs")</f>
        <v>Pad Paper, Yellow (per pad) 40 pads, Ink, Permanent Marker - Pilot Black 12 pcs, Ink, Whiteboard-Pilot Black 48 pcs, Ink, Whiteboard-Pilot Blue 48 pcs, Ink, Whiteboard-Pilot Red 18 pcs, Marker, Whiteboard - Pilot Black 180 pcs</v>
      </c>
      <c r="E1138" s="196" t="str">
        <f>IFERROR(__xludf.DUMMYFUNCTION("""COMPUTED_VALUE"""),"FACULTY &amp; DEPARTMENTAL OPENING SUPPLIES AY20-21")</f>
        <v>FACULTY &amp; DEPARTMENTAL OPENING SUPPLIES AY20-21</v>
      </c>
    </row>
    <row r="1139">
      <c r="A1139" s="234">
        <f>IFERROR(__xludf.DUMMYFUNCTION("""COMPUTED_VALUE"""),101430.0)</f>
        <v>101430</v>
      </c>
      <c r="B1139" s="235" t="str">
        <f>IFERROR(__xludf.DUMMYFUNCTION("""COMPUTED_VALUE"""),"APRIL D. TRAJICO")</f>
        <v>APRIL D. TRAJICO</v>
      </c>
      <c r="C1139" s="235" t="str">
        <f>IFERROR(__xludf.DUMMYFUNCTION("""COMPUTED_VALUE"""),"AMD")</f>
        <v>AMD</v>
      </c>
      <c r="D1139" s="196" t="str">
        <f>IFERROR(__xludf.DUMMYFUNCTION("""COMPUTED_VALUE"""),"Marker, Whiteboard - Pilot Red 84 pcs, Marker, Pilot Permanent Broad Black 144 pcs, Marker, Whiteboard - Pilot Blue 120 pcs")</f>
        <v>Marker, Whiteboard - Pilot Red 84 pcs, Marker, Pilot Permanent Broad Black 144 pcs, Marker, Whiteboard - Pilot Blue 120 pcs</v>
      </c>
      <c r="E1139" s="196" t="str">
        <f>IFERROR(__xludf.DUMMYFUNCTION("""COMPUTED_VALUE"""),"FACULTY &amp; DEPARTMENTAL OPENING SUPPLIES AY20-21")</f>
        <v>FACULTY &amp; DEPARTMENTAL OPENING SUPPLIES AY20-21</v>
      </c>
    </row>
    <row r="1140">
      <c r="A1140" s="234">
        <f>IFERROR(__xludf.DUMMYFUNCTION("""COMPUTED_VALUE"""),101431.0)</f>
        <v>101431</v>
      </c>
      <c r="B1140" s="235" t="str">
        <f>IFERROR(__xludf.DUMMYFUNCTION("""COMPUTED_VALUE"""),"APRIL D. TRAJICO")</f>
        <v>APRIL D. TRAJICO</v>
      </c>
      <c r="C1140" s="235" t="str">
        <f>IFERROR(__xludf.DUMMYFUNCTION("""COMPUTED_VALUE"""),"AMD")</f>
        <v>AMD</v>
      </c>
      <c r="D1140" s="196" t="str">
        <f>IFERROR(__xludf.DUMMYFUNCTION("""COMPUTED_VALUE"""),"Paper, Colored Fortune Blue 1250 pcs, Paper, Colored Fortune Green 1250 pcs, Paper, Colored Fortune Orange 1250 pcs, Paper, Colored Fortune Pink 1250 pcs, Paper, Colored Fortune Red 1250 pcs, Paper, Colored Fortune Violet 1250 pcs, Paper, Colored Fortune "&amp;"Yellow 1250 pcs")</f>
        <v>Paper, Colored Fortune Blue 1250 pcs, Paper, Colored Fortune Green 1250 pcs, Paper, Colored Fortune Orange 1250 pcs, Paper, Colored Fortune Pink 1250 pcs, Paper, Colored Fortune Red 1250 pcs, Paper, Colored Fortune Violet 1250 pcs, Paper, Colored Fortune Yellow 1250 pcs</v>
      </c>
      <c r="E1140" s="196" t="str">
        <f>IFERROR(__xludf.DUMMYFUNCTION("""COMPUTED_VALUE"""),"CLASSROOM PREPARATION &amp; OPENING MATERIALS (CLASSROOM DÉCOR) AY20-21")</f>
        <v>CLASSROOM PREPARATION &amp; OPENING MATERIALS (CLASSROOM DÉCOR) AY20-21</v>
      </c>
    </row>
    <row r="1141">
      <c r="A1141" s="234">
        <f>IFERROR(__xludf.DUMMYFUNCTION("""COMPUTED_VALUE"""),101432.0)</f>
        <v>101432</v>
      </c>
      <c r="B1141" s="235" t="str">
        <f>IFERROR(__xludf.DUMMYFUNCTION("""COMPUTED_VALUE"""),"APRIL D. TRAJICO")</f>
        <v>APRIL D. TRAJICO</v>
      </c>
      <c r="C1141" s="235" t="str">
        <f>IFERROR(__xludf.DUMMYFUNCTION("""COMPUTED_VALUE"""),"AMD")</f>
        <v>AMD</v>
      </c>
      <c r="D1141" s="196" t="str">
        <f>IFERROR(__xludf.DUMMYFUNCTION("""COMPUTED_VALUE"""),"Cartolina, Black 600 pcs, Cartolina, Neon Blue 500 pcs, Cartolina, Neon Green 400 pcs, Cartolina, Neon Orange 400 pcs, Cartolina, Neon Pink 400 pcs, Cartolina, White 400 pcs, Cartolina, Neon Yellow 400 pcs")</f>
        <v>Cartolina, Black 600 pcs, Cartolina, Neon Blue 500 pcs, Cartolina, Neon Green 400 pcs, Cartolina, Neon Orange 400 pcs, Cartolina, Neon Pink 400 pcs, Cartolina, White 400 pcs, Cartolina, Neon Yellow 400 pcs</v>
      </c>
      <c r="E1141" s="196" t="str">
        <f>IFERROR(__xludf.DUMMYFUNCTION("""COMPUTED_VALUE"""),"CLASSROOM PREPARATION &amp; OPENING MATERIALS (CLASSROOM DÉCOR) AY20-21")</f>
        <v>CLASSROOM PREPARATION &amp; OPENING MATERIALS (CLASSROOM DÉCOR) AY20-21</v>
      </c>
    </row>
    <row r="1142">
      <c r="A1142" s="234">
        <f>IFERROR(__xludf.DUMMYFUNCTION("""COMPUTED_VALUE"""),101433.0)</f>
        <v>101433</v>
      </c>
      <c r="B1142" s="235" t="str">
        <f>IFERROR(__xludf.DUMMYFUNCTION("""COMPUTED_VALUE"""),"APRIL D. TRAJICO")</f>
        <v>APRIL D. TRAJICO</v>
      </c>
      <c r="C1142" s="235" t="str">
        <f>IFERROR(__xludf.DUMMYFUNCTION("""COMPUTED_VALUE"""),"AMD")</f>
        <v>AMD</v>
      </c>
      <c r="D1142" s="196" t="str">
        <f>IFERROR(__xludf.DUMMYFUNCTION("""COMPUTED_VALUE"""),"Glue, Elmer's - 130gs 220 pcs, Marker, Pilot Permanent Fine Black 107 pcs, Marker, Pilot Permanent Fine Blue 107 pcs, Marker, Pilot Permanent Fine Red 107 pcs, Tape, 3M Masking Tape Big (1"") 230 pcs, Tape, Scotch  3M (1"") (Transparent Tape 500 24mmx50m)"&amp;" 120 pcs")</f>
        <v>Glue, Elmer's - 130gs 220 pcs, Marker, Pilot Permanent Fine Black 107 pcs, Marker, Pilot Permanent Fine Blue 107 pcs, Marker, Pilot Permanent Fine Red 107 pcs, Tape, 3M Masking Tape Big (1") 230 pcs, Tape, Scotch  3M (1") (Transparent Tape 500 24mmx50m) 120 pcs</v>
      </c>
      <c r="E1142" s="196" t="str">
        <f>IFERROR(__xludf.DUMMYFUNCTION("""COMPUTED_VALUE"""),"CLASSROOM PREPARATION &amp; OPENING MATERIALS (CLASSROOM DÉCOR) AY20-21")</f>
        <v>CLASSROOM PREPARATION &amp; OPENING MATERIALS (CLASSROOM DÉCOR) AY20-21</v>
      </c>
    </row>
    <row r="1143">
      <c r="A1143" s="234">
        <f>IFERROR(__xludf.DUMMYFUNCTION("""COMPUTED_VALUE"""),101434.0)</f>
        <v>101434</v>
      </c>
      <c r="B1143" s="235" t="str">
        <f>IFERROR(__xludf.DUMMYFUNCTION("""COMPUTED_VALUE"""),"APRIL D. TRAJICO")</f>
        <v>APRIL D. TRAJICO</v>
      </c>
      <c r="C1143" s="235" t="str">
        <f>IFERROR(__xludf.DUMMYFUNCTION("""COMPUTED_VALUE"""),"AMD")</f>
        <v>AMD</v>
      </c>
      <c r="D1143" s="196" t="str">
        <f>IFERROR(__xludf.DUMMYFUNCTION("""COMPUTED_VALUE"""),"Plastic Cover, Gauge 4 48'W 7 rolls, Paintbrush, Chinese Small 50 pcs, Staple Wire, Max #35- 5M (Box of 5000pcs) 107 pcs, Thumb Tacks - Mitsuya /box No. 153 20g 50 pcs")</f>
        <v>Plastic Cover, Gauge 4 48'W 7 rolls, Paintbrush, Chinese Small 50 pcs, Staple Wire, Max #35- 5M (Box of 5000pcs) 107 pcs, Thumb Tacks - Mitsuya /box No. 153 20g 50 pcs</v>
      </c>
      <c r="E1143" s="196" t="str">
        <f>IFERROR(__xludf.DUMMYFUNCTION("""COMPUTED_VALUE"""),"CLASSROOM PREPARATION &amp; OPENING MATERIALS (CLASSROOM DÉCOR) AY20-21")</f>
        <v>CLASSROOM PREPARATION &amp; OPENING MATERIALS (CLASSROOM DÉCOR) AY20-21</v>
      </c>
    </row>
    <row r="1144">
      <c r="A1144" s="234">
        <f>IFERROR(__xludf.DUMMYFUNCTION("""COMPUTED_VALUE"""),101435.0)</f>
        <v>101435</v>
      </c>
      <c r="B1144" s="235" t="str">
        <f>IFERROR(__xludf.DUMMYFUNCTION("""COMPUTED_VALUE"""),"CLARISSA SORIAO")</f>
        <v>CLARISSA SORIAO</v>
      </c>
      <c r="C1144" s="235" t="str">
        <f>IFERROR(__xludf.DUMMYFUNCTION("""COMPUTED_VALUE"""),"HRMD")</f>
        <v>HRMD</v>
      </c>
      <c r="D1144" s="196" t="str">
        <f>IFERROR(__xludf.DUMMYFUNCTION("""COMPUTED_VALUE"""),"PR BLOUSE - 5
POLO LS - 10
LONGPANTS - 5
COAT - 3")</f>
        <v>PR BLOUSE - 5
POLO LS - 10
LONGPANTS - 5
COAT - 3</v>
      </c>
      <c r="E1144" s="196" t="str">
        <f>IFERROR(__xludf.DUMMYFUNCTION("""COMPUTED_VALUE"""),"PR UNIFORM ( AY 2019 - 2020)")</f>
        <v>PR UNIFORM ( AY 2019 - 2020)</v>
      </c>
    </row>
    <row r="1145">
      <c r="A1145" s="234">
        <f>IFERROR(__xludf.DUMMYFUNCTION("""COMPUTED_VALUE"""),101436.0)</f>
        <v>101436</v>
      </c>
      <c r="B1145" s="235" t="str">
        <f>IFERROR(__xludf.DUMMYFUNCTION("""COMPUTED_VALUE"""),"CLARISSA SORIAO")</f>
        <v>CLARISSA SORIAO</v>
      </c>
      <c r="C1145" s="235" t="str">
        <f>IFERROR(__xludf.DUMMYFUNCTION("""COMPUTED_VALUE"""),"HRMD")</f>
        <v>HRMD</v>
      </c>
      <c r="D1145" s="196" t="str">
        <f>IFERROR(__xludf.DUMMYFUNCTION("""COMPUTED_VALUE"""),"SCRUB SUIT - 11")</f>
        <v>SCRUB SUIT - 11</v>
      </c>
      <c r="E1145" s="196" t="str">
        <f>IFERROR(__xludf.DUMMYFUNCTION("""COMPUTED_VALUE"""),"NURSE UNIFORM")</f>
        <v>NURSE UNIFORM</v>
      </c>
    </row>
    <row r="1146">
      <c r="A1146" s="234">
        <f>IFERROR(__xludf.DUMMYFUNCTION("""COMPUTED_VALUE"""),101437.0)</f>
        <v>101437</v>
      </c>
      <c r="B1146" s="235" t="str">
        <f>IFERROR(__xludf.DUMMYFUNCTION("""COMPUTED_VALUE"""),"CLARISSA SORIAO")</f>
        <v>CLARISSA SORIAO</v>
      </c>
      <c r="C1146" s="235" t="str">
        <f>IFERROR(__xludf.DUMMYFUNCTION("""COMPUTED_VALUE"""),"HRMD")</f>
        <v>HRMD</v>
      </c>
      <c r="D1146" s="196" t="str">
        <f>IFERROR(__xludf.DUMMYFUNCTION("""COMPUTED_VALUE"""),"COAT - 2
LONG PANTS - 2")</f>
        <v>COAT - 2
LONG PANTS - 2</v>
      </c>
      <c r="E1146" s="196" t="str">
        <f>IFERROR(__xludf.DUMMYFUNCTION("""COMPUTED_VALUE"""),"COLLEGE FACULTY UNIFORM - MALE")</f>
        <v>COLLEGE FACULTY UNIFORM - MALE</v>
      </c>
    </row>
    <row r="1147">
      <c r="A1147" s="234">
        <f>IFERROR(__xludf.DUMMYFUNCTION("""COMPUTED_VALUE"""),101438.0)</f>
        <v>101438</v>
      </c>
      <c r="B1147" s="235" t="str">
        <f>IFERROR(__xludf.DUMMYFUNCTION("""COMPUTED_VALUE"""),"CLARISSA SORIAO")</f>
        <v>CLARISSA SORIAO</v>
      </c>
      <c r="C1147" s="235" t="str">
        <f>IFERROR(__xludf.DUMMYFUNCTION("""COMPUTED_VALUE"""),"HRMD")</f>
        <v>HRMD</v>
      </c>
      <c r="D1147" s="196" t="str">
        <f>IFERROR(__xludf.DUMMYFUNCTION("""COMPUTED_VALUE"""),"BLOUSE 3/4 - 8
BLOUSE SS - 6
SKIRT - 3
LONG PANTS - 11
BLOUSE LS - 6
BLAZER 3/4 - 2
GALA DRESS - 4")</f>
        <v>BLOUSE 3/4 - 8
BLOUSE SS - 6
SKIRT - 3
LONG PANTS - 11
BLOUSE LS - 6
BLAZER 3/4 - 2
GALA DRESS - 4</v>
      </c>
      <c r="E1147" s="196" t="str">
        <f>IFERROR(__xludf.DUMMYFUNCTION("""COMPUTED_VALUE"""),"UNIFORM MANAGEMENT FEMALE")</f>
        <v>UNIFORM MANAGEMENT FEMALE</v>
      </c>
    </row>
    <row r="1148">
      <c r="A1148" s="234">
        <f>IFERROR(__xludf.DUMMYFUNCTION("""COMPUTED_VALUE"""),101439.0)</f>
        <v>101439</v>
      </c>
      <c r="B1148" s="235" t="str">
        <f>IFERROR(__xludf.DUMMYFUNCTION("""COMPUTED_VALUE"""),"CLARISSA SORIAO")</f>
        <v>CLARISSA SORIAO</v>
      </c>
      <c r="C1148" s="235" t="str">
        <f>IFERROR(__xludf.DUMMYFUNCTION("""COMPUTED_VALUE"""),"HRMD")</f>
        <v>HRMD</v>
      </c>
      <c r="D1148" s="196" t="str">
        <f>IFERROR(__xludf.DUMMYFUNCTION("""COMPUTED_VALUE"""),"BLOUSE - 3
SKIRT - 1
LONG PANTS - 4
BLAZER 3/4 - 1")</f>
        <v>BLOUSE - 3
SKIRT - 1
LONG PANTS - 4
BLAZER 3/4 - 1</v>
      </c>
      <c r="E1148" s="196" t="str">
        <f>IFERROR(__xludf.DUMMYFUNCTION("""COMPUTED_VALUE"""),"NTE AND FACULTY UNIFORMS")</f>
        <v>NTE AND FACULTY UNIFORMS</v>
      </c>
    </row>
    <row r="1149">
      <c r="A1149" s="234">
        <f>IFERROR(__xludf.DUMMYFUNCTION("""COMPUTED_VALUE"""),101440.0)</f>
        <v>101440</v>
      </c>
      <c r="B1149" s="235" t="str">
        <f>IFERROR(__xludf.DUMMYFUNCTION("""COMPUTED_VALUE"""),"CLARISSA SORIAO")</f>
        <v>CLARISSA SORIAO</v>
      </c>
      <c r="C1149" s="235" t="str">
        <f>IFERROR(__xludf.DUMMYFUNCTION("""COMPUTED_VALUE"""),"HRMD")</f>
        <v>HRMD</v>
      </c>
      <c r="D1149" s="196" t="str">
        <f>IFERROR(__xludf.DUMMYFUNCTION("""COMPUTED_VALUE"""),"FLOWER WREATH")</f>
        <v>FLOWER WREATH</v>
      </c>
      <c r="E1149" s="196"/>
    </row>
    <row r="1150">
      <c r="A1150" s="234">
        <f>IFERROR(__xludf.DUMMYFUNCTION("""COMPUTED_VALUE"""),101441.0)</f>
        <v>101441</v>
      </c>
      <c r="B1150" s="235" t="str">
        <f>IFERROR(__xludf.DUMMYFUNCTION("""COMPUTED_VALUE"""),"PHEN PETIN")</f>
        <v>PHEN PETIN</v>
      </c>
      <c r="C1150" s="235" t="str">
        <f>IFERROR(__xludf.DUMMYFUNCTION("""COMPUTED_VALUE"""),"ADMIN - STAR")</f>
        <v>ADMIN - STAR</v>
      </c>
      <c r="D1150" s="196" t="str">
        <f>IFERROR(__xludf.DUMMYFUNCTION("""COMPUTED_VALUE"""),"YUASA BATTERY
(NP7.2 - 12 12V, 7.2Ah")</f>
        <v>YUASA BATTERY
(NP7.2 - 12 12V, 7.2Ah</v>
      </c>
      <c r="E1150" s="196" t="str">
        <f>IFERROR(__xludf.DUMMYFUNCTION("""COMPUTED_VALUE"""),"FOR FIRE ALARM PANEL BOARD")</f>
        <v>FOR FIRE ALARM PANEL BOARD</v>
      </c>
    </row>
    <row r="1151">
      <c r="A1151" s="234">
        <f>IFERROR(__xludf.DUMMYFUNCTION("""COMPUTED_VALUE"""),101442.0)</f>
        <v>101442</v>
      </c>
      <c r="B1151" s="235" t="str">
        <f>IFERROR(__xludf.DUMMYFUNCTION("""COMPUTED_VALUE"""),"JOHN WRAITH")</f>
        <v>JOHN WRAITH</v>
      </c>
      <c r="C1151" s="235" t="str">
        <f>IFERROR(__xludf.DUMMYFUNCTION("""COMPUTED_VALUE"""),"I.B.")</f>
        <v>I.B.</v>
      </c>
      <c r="D1151" s="196" t="str">
        <f>IFERROR(__xludf.DUMMYFUNCTION("""COMPUTED_VALUE"""),"STANDARD SIZE HANGERS")</f>
        <v>STANDARD SIZE HANGERS</v>
      </c>
      <c r="E1151" s="196" t="str">
        <f>IFERROR(__xludf.DUMMYFUNCTION("""COMPUTED_VALUE"""),"FOR LABORATORY GOWNS")</f>
        <v>FOR LABORATORY GOWNS</v>
      </c>
    </row>
    <row r="1152">
      <c r="A1152" s="234">
        <f>IFERROR(__xludf.DUMMYFUNCTION("""COMPUTED_VALUE"""),101443.0)</f>
        <v>101443</v>
      </c>
      <c r="B1152" s="235" t="str">
        <f>IFERROR(__xludf.DUMMYFUNCTION("""COMPUTED_VALUE"""),"JP RAGOT ")</f>
        <v>JP RAGOT </v>
      </c>
      <c r="C1152" s="235" t="str">
        <f>IFERROR(__xludf.DUMMYFUNCTION("""COMPUTED_VALUE"""),"AMD")</f>
        <v>AMD</v>
      </c>
      <c r="D1152" s="196" t="str">
        <f>IFERROR(__xludf.DUMMYFUNCTION("""COMPUTED_VALUE"""),"LEDTUBE 16WATTS DAYLIGHT PHILIPS")</f>
        <v>LEDTUBE 16WATTS DAYLIGHT PHILIPS</v>
      </c>
      <c r="E1152" s="196" t="str">
        <f>IFERROR(__xludf.DUMMYFUNCTION("""COMPUTED_VALUE"""),"STOCK REPLENISHMENT")</f>
        <v>STOCK REPLENISHMENT</v>
      </c>
    </row>
    <row r="1153">
      <c r="A1153" s="234">
        <f>IFERROR(__xludf.DUMMYFUNCTION("""COMPUTED_VALUE"""),101444.0)</f>
        <v>101444</v>
      </c>
      <c r="B1153" s="235" t="str">
        <f>IFERROR(__xludf.DUMMYFUNCTION("""COMPUTED_VALUE"""),"CHRISTIAN S ANDRES")</f>
        <v>CHRISTIAN S ANDRES</v>
      </c>
      <c r="C1153" s="235" t="str">
        <f>IFERROR(__xludf.DUMMYFUNCTION("""COMPUTED_VALUE"""),"PR &amp; MARKETING")</f>
        <v>PR &amp; MARKETING</v>
      </c>
      <c r="D1153" s="196" t="str">
        <f>IFERROR(__xludf.DUMMYFUNCTION("""COMPUTED_VALUE"""),"CONGRATULATORY TARP
COLLEGE OF EDUCATION")</f>
        <v>CONGRATULATORY TARP
COLLEGE OF EDUCATION</v>
      </c>
      <c r="E1153" s="196" t="str">
        <f>IFERROR(__xludf.DUMMYFUNCTION("""COMPUTED_VALUE"""),"MARKETING")</f>
        <v>MARKETING</v>
      </c>
    </row>
    <row r="1154">
      <c r="A1154" s="234">
        <f>IFERROR(__xludf.DUMMYFUNCTION("""COMPUTED_VALUE"""),101445.0)</f>
        <v>101445</v>
      </c>
      <c r="B1154" s="235" t="str">
        <f>IFERROR(__xludf.DUMMYFUNCTION("""COMPUTED_VALUE"""),"JEROME BONIFACIO")</f>
        <v>JEROME BONIFACIO</v>
      </c>
      <c r="C1154" s="235" t="str">
        <f>IFERROR(__xludf.DUMMYFUNCTION("""COMPUTED_VALUE"""),"SPECIAL SUBJECTS")</f>
        <v>SPECIAL SUBJECTS</v>
      </c>
      <c r="D1154" s="196" t="str">
        <f>IFERROR(__xludf.DUMMYFUNCTION("""COMPUTED_VALUE"""),"VOLLEYBALL(MIKASA)")</f>
        <v>VOLLEYBALL(MIKASA)</v>
      </c>
      <c r="E1154" s="196" t="str">
        <f>IFERROR(__xludf.DUMMYFUNCTION("""COMPUTED_VALUE"""),"PE EQUIPMENT")</f>
        <v>PE EQUIPMENT</v>
      </c>
    </row>
    <row r="1155">
      <c r="A1155" s="234">
        <f>IFERROR(__xludf.DUMMYFUNCTION("""COMPUTED_VALUE"""),101446.0)</f>
        <v>101446</v>
      </c>
      <c r="B1155" s="235" t="str">
        <f>IFERROR(__xludf.DUMMYFUNCTION("""COMPUTED_VALUE"""),"APRIL D. TRAJICO")</f>
        <v>APRIL D. TRAJICO</v>
      </c>
      <c r="C1155" s="235" t="str">
        <f>IFERROR(__xludf.DUMMYFUNCTION("""COMPUTED_VALUE"""),"AMD")</f>
        <v>AMD</v>
      </c>
      <c r="D1155" s="196" t="str">
        <f>IFERROR(__xludf.DUMMYFUNCTION("""COMPUTED_VALUE"""),"BATTERY, ENELOOP SIZE AAA RECHARGABLE 20PCS")</f>
        <v>BATTERY, ENELOOP SIZE AAA RECHARGABLE 20PCS</v>
      </c>
      <c r="E1155" s="196" t="str">
        <f>IFERROR(__xludf.DUMMYFUNCTION("""COMPUTED_VALUE"""),"STOCK REPLENISHMENT - OSSUP")</f>
        <v>STOCK REPLENISHMENT - OSSUP</v>
      </c>
    </row>
    <row r="1156">
      <c r="A1156" s="234">
        <f>IFERROR(__xludf.DUMMYFUNCTION("""COMPUTED_VALUE"""),101447.0)</f>
        <v>101447</v>
      </c>
      <c r="B1156" s="235" t="str">
        <f>IFERROR(__xludf.DUMMYFUNCTION("""COMPUTED_VALUE"""),"APRIL D. TRAJICO")</f>
        <v>APRIL D. TRAJICO</v>
      </c>
      <c r="C1156" s="235" t="str">
        <f>IFERROR(__xludf.DUMMYFUNCTION("""COMPUTED_VALUE"""),"AMD")</f>
        <v>AMD</v>
      </c>
      <c r="D1156" s="196" t="str">
        <f>IFERROR(__xludf.DUMMYFUNCTION("""COMPUTED_VALUE"""),"TONER, CARTRIDGE INKONVERT TN660 FOR BROTHER HL-L200D 11PCS; TONER, CARTRIDGE INKONVERT LPB6000 85A 40PCS")</f>
        <v>TONER, CARTRIDGE INKONVERT TN660 FOR BROTHER HL-L200D 11PCS; TONER, CARTRIDGE INKONVERT LPB6000 85A 40PCS</v>
      </c>
      <c r="E1156" s="196" t="str">
        <f>IFERROR(__xludf.DUMMYFUNCTION("""COMPUTED_VALUE"""),"STOCK REPLENISHMENT - OSSUP")</f>
        <v>STOCK REPLENISHMENT - OSSUP</v>
      </c>
    </row>
    <row r="1157">
      <c r="A1157" s="234">
        <f>IFERROR(__xludf.DUMMYFUNCTION("""COMPUTED_VALUE"""),101448.0)</f>
        <v>101448</v>
      </c>
      <c r="B1157" s="235" t="str">
        <f>IFERROR(__xludf.DUMMYFUNCTION("""COMPUTED_VALUE"""),"APRIL D. TRAJICO")</f>
        <v>APRIL D. TRAJICO</v>
      </c>
      <c r="C1157" s="235" t="str">
        <f>IFERROR(__xludf.DUMMYFUNCTION("""COMPUTED_VALUE"""),"AMD")</f>
        <v>AMD</v>
      </c>
      <c r="D1157" s="196" t="str">
        <f>IFERROR(__xludf.DUMMYFUNCTION("""COMPUTED_VALUE"""),"TISSUE, ROLL BATH 2 PLY (SANICARE) 480PCS")</f>
        <v>TISSUE, ROLL BATH 2 PLY (SANICARE) 480PCS</v>
      </c>
      <c r="E1157" s="196" t="str">
        <f>IFERROR(__xludf.DUMMYFUNCTION("""COMPUTED_VALUE"""),"STOCK REPLENISHMENT - OSSUP")</f>
        <v>STOCK REPLENISHMENT - OSSUP</v>
      </c>
    </row>
    <row r="1158">
      <c r="A1158" s="234">
        <f>IFERROR(__xludf.DUMMYFUNCTION("""COMPUTED_VALUE"""),101449.0)</f>
        <v>101449</v>
      </c>
      <c r="B1158" s="235" t="str">
        <f>IFERROR(__xludf.DUMMYFUNCTION("""COMPUTED_VALUE"""),"APRIL D. TRAJICO")</f>
        <v>APRIL D. TRAJICO</v>
      </c>
      <c r="C1158" s="235" t="str">
        <f>IFERROR(__xludf.DUMMYFUNCTION("""COMPUTED_VALUE"""),"AMD")</f>
        <v>AMD</v>
      </c>
      <c r="D1158" s="196" t="str">
        <f>IFERROR(__xludf.DUMMYFUNCTION("""COMPUTED_VALUE"""),"PAPER, SISC LETTERHEAD COLORED SHORT (8.5X11in) 1500PCS")</f>
        <v>PAPER, SISC LETTERHEAD COLORED SHORT (8.5X11in) 1500PCS</v>
      </c>
      <c r="E1158" s="196" t="str">
        <f>IFERROR(__xludf.DUMMYFUNCTION("""COMPUTED_VALUE"""),"STOCK REPLENISHMENT - OSSUP")</f>
        <v>STOCK REPLENISHMENT - OSSUP</v>
      </c>
    </row>
    <row r="1159">
      <c r="A1159" s="234">
        <f>IFERROR(__xludf.DUMMYFUNCTION("""COMPUTED_VALUE"""),101450.0)</f>
        <v>101450</v>
      </c>
      <c r="B1159" s="235" t="str">
        <f>IFERROR(__xludf.DUMMYFUNCTION("""COMPUTED_VALUE"""),"APRIL D. TRAJICO")</f>
        <v>APRIL D. TRAJICO</v>
      </c>
      <c r="C1159" s="235" t="str">
        <f>IFERROR(__xludf.DUMMYFUNCTION("""COMPUTED_VALUE"""),"AMD")</f>
        <v>AMD</v>
      </c>
      <c r="D1159" s="196" t="str">
        <f>IFERROR(__xludf.DUMMYFUNCTION("""COMPUTED_VALUE"""),"FOLDER, FORTUNE WHITE LONG 800PCS; FOLDER FORTUNE WHITE SHORT 400PCS; FOLDER, PRESSBOARD GREEN SHORT PLAIN 200PCS; INK, WHITEBOARD - PILOT BLACK 24PCS; PAPER, COLORED FORTUNE BLUE 500PCS; PAPER, COLORED FORTUNE VIOLET 500PCS")</f>
        <v>FOLDER, FORTUNE WHITE LONG 800PCS; FOLDER FORTUNE WHITE SHORT 400PCS; FOLDER, PRESSBOARD GREEN SHORT PLAIN 200PCS; INK, WHITEBOARD - PILOT BLACK 24PCS; PAPER, COLORED FORTUNE BLUE 500PCS; PAPER, COLORED FORTUNE VIOLET 500PCS</v>
      </c>
      <c r="E1159" s="196" t="str">
        <f>IFERROR(__xludf.DUMMYFUNCTION("""COMPUTED_VALUE"""),"STOCK REPLENISHMENT - OSSUP")</f>
        <v>STOCK REPLENISHMENT - OSSUP</v>
      </c>
    </row>
    <row r="1160">
      <c r="A1160" s="234">
        <f>IFERROR(__xludf.DUMMYFUNCTION("""COMPUTED_VALUE"""),101451.0)</f>
        <v>101451</v>
      </c>
      <c r="B1160" s="235" t="str">
        <f>IFERROR(__xludf.DUMMYFUNCTION("""COMPUTED_VALUE"""),"APRIL D. TRAJICO")</f>
        <v>APRIL D. TRAJICO</v>
      </c>
      <c r="C1160" s="235" t="str">
        <f>IFERROR(__xludf.DUMMYFUNCTION("""COMPUTED_VALUE"""),"AMD")</f>
        <v>AMD</v>
      </c>
      <c r="D1160" s="196" t="str">
        <f>IFERROR(__xludf.DUMMYFUNCTION("""COMPUTED_VALUE"""),"CORKBOARD - 2X3 (1/4T)mmmm 10PCS; ENVELOPE, BROWN LONG 1750PCS; ENVELOPE, BROWN SHORT 600PCS; FASTENER, PLASTIC COATED - PRINCE 20PACKS")</f>
        <v>CORKBOARD - 2X3 (1/4T)mmmm 10PCS; ENVELOPE, BROWN LONG 1750PCS; ENVELOPE, BROWN SHORT 600PCS; FASTENER, PLASTIC COATED - PRINCE 20PACKS</v>
      </c>
      <c r="E1160" s="196" t="str">
        <f>IFERROR(__xludf.DUMMYFUNCTION("""COMPUTED_VALUE"""),"STOCK REPLENISHMENT - OSSUP")</f>
        <v>STOCK REPLENISHMENT - OSSUP</v>
      </c>
    </row>
    <row r="1161">
      <c r="A1161" s="234">
        <f>IFERROR(__xludf.DUMMYFUNCTION("""COMPUTED_VALUE"""),101452.0)</f>
        <v>101452</v>
      </c>
      <c r="B1161" s="235" t="str">
        <f>IFERROR(__xludf.DUMMYFUNCTION("""COMPUTED_VALUE"""),"APRIL D. TRAJICO")</f>
        <v>APRIL D. TRAJICO</v>
      </c>
      <c r="C1161" s="235" t="str">
        <f>IFERROR(__xludf.DUMMYFUNCTION("""COMPUTED_VALUE"""),"AMD")</f>
        <v>AMD</v>
      </c>
      <c r="D1161" s="196" t="str">
        <f>IFERROR(__xludf.DUMMYFUNCTION("""COMPUTED_VALUE"""),"BATTERY, EVEREADY SIZE AA 90PCS; CLEARBOOK, UNREFILLABLE 40'S SHORT 10PCS; CLIP, BINDER JOY 1"" 240PCS; CLIP, BINDER JOY 2"" 120PCS; CLIP, BINDER JOY 3/4"" 240PCS")</f>
        <v>BATTERY, EVEREADY SIZE AA 90PCS; CLEARBOOK, UNREFILLABLE 40'S SHORT 10PCS; CLIP, BINDER JOY 1" 240PCS; CLIP, BINDER JOY 2" 120PCS; CLIP, BINDER JOY 3/4" 240PCS</v>
      </c>
      <c r="E1161" s="196" t="str">
        <f>IFERROR(__xludf.DUMMYFUNCTION("""COMPUTED_VALUE"""),"STOCK REPLENISHMENT - OSSUP")</f>
        <v>STOCK REPLENISHMENT - OSSUP</v>
      </c>
    </row>
    <row r="1162">
      <c r="A1162" s="234">
        <f>IFERROR(__xludf.DUMMYFUNCTION("""COMPUTED_VALUE"""),101453.0)</f>
        <v>101453</v>
      </c>
      <c r="B1162" s="235" t="str">
        <f>IFERROR(__xludf.DUMMYFUNCTION("""COMPUTED_VALUE"""),"APRIL D. TRAJICO")</f>
        <v>APRIL D. TRAJICO</v>
      </c>
      <c r="C1162" s="235" t="str">
        <f>IFERROR(__xludf.DUMMYFUNCTION("""COMPUTED_VALUE"""),"AMD")</f>
        <v>AMD</v>
      </c>
      <c r="D1162" s="196" t="str">
        <f>IFERROR(__xludf.DUMMYFUNCTION("""COMPUTED_VALUE"""),"ALCOHOL, GREEN CROSS 70% 500ML 50PCS; BALLPEN, PANDA BLACK 300PCS; BALLPEN, PANDA BLUE 80PCS; BALLPEN, PANDA RED 90PCS; BATTERY, ENERGIZER SIZE AA 315PCS; BATTERY, ENERGIZER SIZE AAA 125PCS")</f>
        <v>ALCOHOL, GREEN CROSS 70% 500ML 50PCS; BALLPEN, PANDA BLACK 300PCS; BALLPEN, PANDA BLUE 80PCS; BALLPEN, PANDA RED 90PCS; BATTERY, ENERGIZER SIZE AA 315PCS; BATTERY, ENERGIZER SIZE AAA 125PCS</v>
      </c>
      <c r="E1162" s="196" t="str">
        <f>IFERROR(__xludf.DUMMYFUNCTION("""COMPUTED_VALUE"""),"STOCK REPLENISHMENT - OSSUP")</f>
        <v>STOCK REPLENISHMENT - OSSUP</v>
      </c>
    </row>
    <row r="1163">
      <c r="A1163" s="234">
        <f>IFERROR(__xludf.DUMMYFUNCTION("""COMPUTED_VALUE"""),101454.0)</f>
        <v>101454</v>
      </c>
      <c r="B1163" s="235" t="str">
        <f>IFERROR(__xludf.DUMMYFUNCTION("""COMPUTED_VALUE"""),"NESSIE LUMBRES ")</f>
        <v>NESSIE LUMBRES </v>
      </c>
      <c r="C1163" s="235" t="str">
        <f>IFERROR(__xludf.DUMMYFUNCTION("""COMPUTED_VALUE"""),"DP SPECIAL PROGRAMS")</f>
        <v>DP SPECIAL PROGRAMS</v>
      </c>
      <c r="D1163" s="196" t="str">
        <f>IFERROR(__xludf.DUMMYFUNCTION("""COMPUTED_VALUE"""),"EXTERNAL HARD DRIVE 10 TB COLO")</f>
        <v>EXTERNAL HARD DRIVE 10 TB COLO</v>
      </c>
      <c r="E1163" s="196" t="str">
        <f>IFERROR(__xludf.DUMMYFUNCTION("""COMPUTED_VALUE"""),"YEARBOOK AND MONARCS MOVERS")</f>
        <v>YEARBOOK AND MONARCS MOVERS</v>
      </c>
    </row>
    <row r="1164">
      <c r="A1164" s="234">
        <f>IFERROR(__xludf.DUMMYFUNCTION("""COMPUTED_VALUE"""),101455.0)</f>
        <v>101455</v>
      </c>
      <c r="B1164" s="235" t="str">
        <f>IFERROR(__xludf.DUMMYFUNCTION("""COMPUTED_VALUE"""),"OWIE PAR")</f>
        <v>OWIE PAR</v>
      </c>
      <c r="C1164" s="235" t="str">
        <f>IFERROR(__xludf.DUMMYFUNCTION("""COMPUTED_VALUE"""),"ENGINEERING")</f>
        <v>ENGINEERING</v>
      </c>
      <c r="D1164" s="196" t="str">
        <f>IFERROR(__xludf.DUMMYFUNCTION("""COMPUTED_VALUE"""),"C.B 150 AMP 3 POLE C.B 2 POLE")</f>
        <v>C.B 150 AMP 3 POLE C.B 2 POLE</v>
      </c>
      <c r="E1164" s="196" t="str">
        <f>IFERROR(__xludf.DUMMYFUNCTION("""COMPUTED_VALUE"""),"FOR 3RD FLOOR BE LIB ACU DISTRIBUTION")</f>
        <v>FOR 3RD FLOOR BE LIB ACU DISTRIBUTION</v>
      </c>
    </row>
    <row r="1165">
      <c r="A1165" s="234">
        <f>IFERROR(__xludf.DUMMYFUNCTION("""COMPUTED_VALUE"""),101456.0)</f>
        <v>101456</v>
      </c>
      <c r="B1165" s="235" t="str">
        <f>IFERROR(__xludf.DUMMYFUNCTION("""COMPUTED_VALUE"""),"MYLENE F MANALO")</f>
        <v>MYLENE F MANALO</v>
      </c>
      <c r="C1165" s="235" t="str">
        <f>IFERROR(__xludf.DUMMYFUNCTION("""COMPUTED_VALUE"""),"AB COMM/MMA")</f>
        <v>AB COMM/MMA</v>
      </c>
      <c r="D1165" s="196" t="str">
        <f>IFERROR(__xludf.DUMMYFUNCTION("""COMPUTED_VALUE"""),"FOR REWARDING")</f>
        <v>FOR REWARDING</v>
      </c>
      <c r="E1165" s="196" t="str">
        <f>IFERROR(__xludf.DUMMYFUNCTION("""COMPUTED_VALUE"""),"TROPHY MEDALS")</f>
        <v>TROPHY MEDALS</v>
      </c>
    </row>
    <row r="1166">
      <c r="A1166" s="234">
        <f>IFERROR(__xludf.DUMMYFUNCTION("""COMPUTED_VALUE"""),101457.0)</f>
        <v>101457</v>
      </c>
      <c r="B1166" s="235" t="str">
        <f>IFERROR(__xludf.DUMMYFUNCTION("""COMPUTED_VALUE"""),"ALFA DE LEON ")</f>
        <v>ALFA DE LEON </v>
      </c>
      <c r="C1166" s="235" t="str">
        <f>IFERROR(__xludf.DUMMYFUNCTION("""COMPUTED_VALUE"""),"ADMIN - MUNICH")</f>
        <v>ADMIN - MUNICH</v>
      </c>
      <c r="D1166" s="196" t="str">
        <f>IFERROR(__xludf.DUMMYFUNCTION("""COMPUTED_VALUE"""),"PRESSURE TANK 315 GALLONS")</f>
        <v>PRESSURE TANK 315 GALLONS</v>
      </c>
      <c r="E1166" s="196" t="str">
        <f>IFERROR(__xludf.DUMMYFUNCTION("""COMPUTED_VALUE"""),"REPLACEMENT OF BROKEN PRESSURE TANK")</f>
        <v>REPLACEMENT OF BROKEN PRESSURE TANK</v>
      </c>
    </row>
    <row r="1167">
      <c r="A1167" s="234">
        <f>IFERROR(__xludf.DUMMYFUNCTION("""COMPUTED_VALUE"""),101458.0)</f>
        <v>101458</v>
      </c>
      <c r="B1167" s="235" t="str">
        <f>IFERROR(__xludf.DUMMYFUNCTION("""COMPUTED_VALUE"""),"REI GABUTERO")</f>
        <v>REI GABUTERO</v>
      </c>
      <c r="C1167" s="235" t="str">
        <f>IFERROR(__xludf.DUMMYFUNCTION("""COMPUTED_VALUE"""),"AB COMM/MMA")</f>
        <v>AB COMM/MMA</v>
      </c>
      <c r="D1167" s="196" t="str">
        <f>IFERROR(__xludf.DUMMYFUNCTION("""COMPUTED_VALUE"""),"PLAQUE ")</f>
        <v>PLAQUE </v>
      </c>
      <c r="E1167" s="196" t="str">
        <f>IFERROR(__xludf.DUMMYFUNCTION("""COMPUTED_VALUE"""),"FOR MONARCHS ")</f>
        <v>FOR MONARCHS </v>
      </c>
    </row>
    <row r="1168">
      <c r="A1168" s="234">
        <f>IFERROR(__xludf.DUMMYFUNCTION("""COMPUTED_VALUE"""),101459.0)</f>
        <v>101459</v>
      </c>
      <c r="B1168" s="235" t="str">
        <f>IFERROR(__xludf.DUMMYFUNCTION("""COMPUTED_VALUE"""),"OWIE PAR")</f>
        <v>OWIE PAR</v>
      </c>
      <c r="C1168" s="235" t="str">
        <f>IFERROR(__xludf.DUMMYFUNCTION("""COMPUTED_VALUE"""),"ENGINEERING")</f>
        <v>ENGINEERING</v>
      </c>
      <c r="D1168" s="196" t="str">
        <f>IFERROR(__xludf.DUMMYFUNCTION("""COMPUTED_VALUE"""),"EMERGENCY LIGHT 1PC")</f>
        <v>EMERGENCY LIGHT 1PC</v>
      </c>
      <c r="E1168" s="196" t="str">
        <f>IFERROR(__xludf.DUMMYFUNCTION("""COMPUTED_VALUE"""),"FOR TROPICAL GROUND FLR(EAST)")</f>
        <v>FOR TROPICAL GROUND FLR(EAST)</v>
      </c>
    </row>
    <row r="1169">
      <c r="A1169" s="234">
        <f>IFERROR(__xludf.DUMMYFUNCTION("""COMPUTED_VALUE"""),101460.0)</f>
        <v>101460</v>
      </c>
      <c r="B1169" s="235" t="str">
        <f>IFERROR(__xludf.DUMMYFUNCTION("""COMPUTED_VALUE"""),"APRIL D. TRAJICO")</f>
        <v>APRIL D. TRAJICO</v>
      </c>
      <c r="C1169" s="235" t="str">
        <f>IFERROR(__xludf.DUMMYFUNCTION("""COMPUTED_VALUE"""),"AMD")</f>
        <v>AMD</v>
      </c>
      <c r="D1169" s="196" t="str">
        <f>IFERROR(__xludf.DUMMYFUNCTION("""COMPUTED_VALUE"""),"PAPER, COPY-LASER SUB.20 SHORT WHITE 140REAMS")</f>
        <v>PAPER, COPY-LASER SUB.20 SHORT WHITE 140REAMS</v>
      </c>
      <c r="E1169" s="196" t="str">
        <f>IFERROR(__xludf.DUMMYFUNCTION("""COMPUTED_VALUE"""),"STOCK REPLENISHMENT - OSSUP")</f>
        <v>STOCK REPLENISHMENT - OSSUP</v>
      </c>
    </row>
    <row r="1170">
      <c r="A1170" s="234">
        <f>IFERROR(__xludf.DUMMYFUNCTION("""COMPUTED_VALUE"""),101461.0)</f>
        <v>101461</v>
      </c>
      <c r="B1170" s="235" t="str">
        <f>IFERROR(__xludf.DUMMYFUNCTION("""COMPUTED_VALUE"""),"ELYDIA REYES")</f>
        <v>ELYDIA REYES</v>
      </c>
      <c r="C1170" s="235" t="str">
        <f>IFERROR(__xludf.DUMMYFUNCTION("""COMPUTED_VALUE"""),"PR &amp; MARKETING")</f>
        <v>PR &amp; MARKETING</v>
      </c>
      <c r="D1170" s="196" t="str">
        <f>IFERROR(__xludf.DUMMYFUNCTION("""COMPUTED_VALUE"""),"6X9 LET PASSER TARP")</f>
        <v>6X9 LET PASSER TARP</v>
      </c>
      <c r="E1170" s="196" t="str">
        <f>IFERROR(__xludf.DUMMYFUNCTION("""COMPUTED_VALUE"""),"CONGRATULATORY")</f>
        <v>CONGRATULATORY</v>
      </c>
    </row>
    <row r="1171">
      <c r="A1171" s="234">
        <f>IFERROR(__xludf.DUMMYFUNCTION("""COMPUTED_VALUE"""),101462.0)</f>
        <v>101462</v>
      </c>
      <c r="B1171" s="235" t="str">
        <f>IFERROR(__xludf.DUMMYFUNCTION("""COMPUTED_VALUE"""),"BENJO DELA CRUZ")</f>
        <v>BENJO DELA CRUZ</v>
      </c>
      <c r="C1171" s="235" t="str">
        <f>IFERROR(__xludf.DUMMYFUNCTION("""COMPUTED_VALUE"""),"AMD")</f>
        <v>AMD</v>
      </c>
      <c r="D1171" s="196" t="str">
        <f>IFERROR(__xludf.DUMMYFUNCTION("""COMPUTED_VALUE"""),"GI PIPE #3/4 WELDING ROD (SPECIAL)
CONCRETE DRILL BIT #3/16
EPOTY PRIMER GRAY ")</f>
        <v>GI PIPE #3/4 WELDING ROD (SPECIAL)
CONCRETE DRILL BIT #3/16
EPOTY PRIMER GRAY </v>
      </c>
      <c r="E1171" s="196" t="str">
        <f>IFERROR(__xludf.DUMMYFUNCTION("""COMPUTED_VALUE"""),"FOR ADDITIONAL HANGER RACK IN OLD MATMAN")</f>
        <v>FOR ADDITIONAL HANGER RACK IN OLD MATMAN</v>
      </c>
    </row>
    <row r="1172">
      <c r="A1172" s="234">
        <f>IFERROR(__xludf.DUMMYFUNCTION("""COMPUTED_VALUE"""),101463.0)</f>
        <v>101463</v>
      </c>
      <c r="B1172" s="235" t="str">
        <f>IFERROR(__xludf.DUMMYFUNCTION("""COMPUTED_VALUE"""),"CHRISTIAN MARK MARBIBI")</f>
        <v>CHRISTIAN MARK MARBIBI</v>
      </c>
      <c r="C1172" s="235" t="str">
        <f>IFERROR(__xludf.DUMMYFUNCTION("""COMPUTED_VALUE"""),"AMD")</f>
        <v>AMD</v>
      </c>
      <c r="D1172" s="196" t="str">
        <f>IFERROR(__xludf.DUMMYFUNCTION("""COMPUTED_VALUE"""),"PLYWOOD #1/4X4X8; S4S KD 2X3X8; FINISHING NAIL 2#; FINISHING NAIL #1")</f>
        <v>PLYWOOD #1/4X4X8; S4S KD 2X3X8; FINISHING NAIL 2#; FINISHING NAIL #1</v>
      </c>
      <c r="E1172" s="196" t="str">
        <f>IFERROR(__xludf.DUMMYFUNCTION("""COMPUTED_VALUE"""),"MATERIALS FOR OLD MATMAN OSSUP &amp; HSKPG PARTITION")</f>
        <v>MATERIALS FOR OLD MATMAN OSSUP &amp; HSKPG PARTITION</v>
      </c>
    </row>
    <row r="1173">
      <c r="A1173" s="234">
        <f>IFERROR(__xludf.DUMMYFUNCTION("""COMPUTED_VALUE"""),101464.0)</f>
        <v>101464</v>
      </c>
      <c r="B1173" s="235" t="str">
        <f>IFERROR(__xludf.DUMMYFUNCTION("""COMPUTED_VALUE"""),"OWIE PAR")</f>
        <v>OWIE PAR</v>
      </c>
      <c r="C1173" s="235" t="str">
        <f>IFERROR(__xludf.DUMMYFUNCTION("""COMPUTED_VALUE"""),"ENGINEERING")</f>
        <v>ENGINEERING</v>
      </c>
      <c r="D1173" s="196" t="str">
        <f>IFERROR(__xludf.DUMMYFUNCTION("""COMPUTED_VALUE"""),"DAIKIN CEILING CONCEALED DUCTED INVERTER TYPE R-32 REFRIGERANT MODEL")</f>
        <v>DAIKIN CEILING CONCEALED DUCTED INVERTER TYPE R-32 REFRIGERANT MODEL</v>
      </c>
      <c r="E1173" s="196" t="str">
        <f>IFERROR(__xludf.DUMMYFUNCTION("""COMPUTED_VALUE"""),"ACU UNIT FOR LUX HALL (PHASE 3)")</f>
        <v>ACU UNIT FOR LUX HALL (PHASE 3)</v>
      </c>
    </row>
    <row r="1174">
      <c r="A1174" s="234">
        <f>IFERROR(__xludf.DUMMYFUNCTION("""COMPUTED_VALUE"""),101465.0)</f>
        <v>101465</v>
      </c>
      <c r="B1174" s="235" t="str">
        <f>IFERROR(__xludf.DUMMYFUNCTION("""COMPUTED_VALUE"""),"ROIE RAYMUNDO")</f>
        <v>ROIE RAYMUNDO</v>
      </c>
      <c r="C1174" s="235" t="str">
        <f>IFERROR(__xludf.DUMMYFUNCTION("""COMPUTED_VALUE"""),"MIS/ICT")</f>
        <v>MIS/ICT</v>
      </c>
      <c r="D1174" s="196" t="str">
        <f>IFERROR(__xludf.DUMMYFUNCTION("""COMPUTED_VALUE"""),"LCD PROJECTOR UNIT SPECIFICATION 6000 LUMENS OF HIGHER")</f>
        <v>LCD PROJECTOR UNIT SPECIFICATION 6000 LUMENS OF HIGHER</v>
      </c>
      <c r="E1174" s="196" t="str">
        <f>IFERROR(__xludf.DUMMYFUNCTION("""COMPUTED_VALUE"""),"REPLACEMENT OF PROJECTOR UNIT IN LUX HALL")</f>
        <v>REPLACEMENT OF PROJECTOR UNIT IN LUX HALL</v>
      </c>
    </row>
    <row r="1175">
      <c r="A1175" s="234">
        <f>IFERROR(__xludf.DUMMYFUNCTION("""COMPUTED_VALUE"""),101466.0)</f>
        <v>101466</v>
      </c>
      <c r="B1175" s="235" t="str">
        <f>IFERROR(__xludf.DUMMYFUNCTION("""COMPUTED_VALUE"""),"MARY JOY MARTINEZ")</f>
        <v>MARY JOY MARTINEZ</v>
      </c>
      <c r="C1175" s="235" t="str">
        <f>IFERROR(__xludf.DUMMYFUNCTION("""COMPUTED_VALUE"""),"REGISTRATION")</f>
        <v>REGISTRATION</v>
      </c>
      <c r="D1175" s="196" t="str">
        <f>IFERROR(__xludf.DUMMYFUNCTION("""COMPUTED_VALUE"""),"E-TABLET")</f>
        <v>E-TABLET</v>
      </c>
      <c r="E1175" s="196" t="str">
        <f>IFERROR(__xludf.DUMMYFUNCTION("""COMPUTED_VALUE"""),"FOR ENROLMENT PURPOSE")</f>
        <v>FOR ENROLMENT PURPOSE</v>
      </c>
    </row>
    <row r="1176">
      <c r="A1176" s="234">
        <f>IFERROR(__xludf.DUMMYFUNCTION("""COMPUTED_VALUE"""),101467.0)</f>
        <v>101467</v>
      </c>
      <c r="B1176" s="235" t="str">
        <f>IFERROR(__xludf.DUMMYFUNCTION("""COMPUTED_VALUE"""),"APRIL D. TRAJICO")</f>
        <v>APRIL D. TRAJICO</v>
      </c>
      <c r="C1176" s="235" t="str">
        <f>IFERROR(__xludf.DUMMYFUNCTION("""COMPUTED_VALUE"""),"AMD")</f>
        <v>AMD</v>
      </c>
      <c r="D1176" s="196" t="str">
        <f>IFERROR(__xludf.DUMMYFUNCTION("""COMPUTED_VALUE"""),"PEN HOLDER BLACK SQAURE 18PCS")</f>
        <v>PEN HOLDER BLACK SQAURE 18PCS</v>
      </c>
      <c r="E1176" s="196" t="str">
        <f>IFERROR(__xludf.DUMMYFUNCTION("""COMPUTED_VALUE"""),"FOR WAREHOUSE 5S (FOR MARKERS &amp; PENS)")</f>
        <v>FOR WAREHOUSE 5S (FOR MARKERS &amp; PENS)</v>
      </c>
    </row>
    <row r="1177">
      <c r="A1177" s="234">
        <f>IFERROR(__xludf.DUMMYFUNCTION("""COMPUTED_VALUE"""),101468.0)</f>
        <v>101468</v>
      </c>
      <c r="B1177" s="235" t="str">
        <f>IFERROR(__xludf.DUMMYFUNCTION("""COMPUTED_VALUE"""),"MELISSA NAVAL-ODONO")</f>
        <v>MELISSA NAVAL-ODONO</v>
      </c>
      <c r="C1177" s="235" t="str">
        <f>IFERROR(__xludf.DUMMYFUNCTION("""COMPUTED_VALUE"""),"LIBRARY BASIC ED")</f>
        <v>LIBRARY BASIC ED</v>
      </c>
      <c r="D1177" s="196" t="str">
        <f>IFERROR(__xludf.DUMMYFUNCTION("""COMPUTED_VALUE"""),"CREATIVE CODING ")</f>
        <v>CREATIVE CODING </v>
      </c>
      <c r="E1177" s="196"/>
    </row>
    <row r="1178">
      <c r="A1178" s="234">
        <f>IFERROR(__xludf.DUMMYFUNCTION("""COMPUTED_VALUE"""),101469.0)</f>
        <v>101469</v>
      </c>
      <c r="B1178" s="235" t="str">
        <f>IFERROR(__xludf.DUMMYFUNCTION("""COMPUTED_VALUE"""),"OWIE PAR")</f>
        <v>OWIE PAR</v>
      </c>
      <c r="C1178" s="235" t="str">
        <f>IFERROR(__xludf.DUMMYFUNCTION("""COMPUTED_VALUE"""),"ENGINEERING")</f>
        <v>ENGINEERING</v>
      </c>
      <c r="D1178" s="196" t="str">
        <f>IFERROR(__xludf.DUMMYFUNCTION("""COMPUTED_VALUE"""),"HACK SAW BLADE , TEPLON TAPE, SOLVENT CEMENT , PVC P TRAP ,BALL VALVE , GI TEE, END CUP, MALE ADAPTOR, PVC ELBOW, END CUP, PVC TEE, PVC PIPE")</f>
        <v>HACK SAW BLADE , TEPLON TAPE, SOLVENT CEMENT , PVC P TRAP ,BALL VALVE , GI TEE, END CUP, MALE ADAPTOR, PVC ELBOW, END CUP, PVC TEE, PVC PIPE</v>
      </c>
      <c r="E1178" s="196" t="str">
        <f>IFERROR(__xludf.DUMMYFUNCTION("""COMPUTED_VALUE"""),"FOR ENOUGH H20 SUPPLY")</f>
        <v>FOR ENOUGH H20 SUPPLY</v>
      </c>
    </row>
    <row r="1179">
      <c r="A1179" s="234">
        <f>IFERROR(__xludf.DUMMYFUNCTION("""COMPUTED_VALUE"""),101470.0)</f>
        <v>101470</v>
      </c>
      <c r="B1179" s="235" t="str">
        <f>IFERROR(__xludf.DUMMYFUNCTION("""COMPUTED_VALUE"""),"OWIE PAR")</f>
        <v>OWIE PAR</v>
      </c>
      <c r="C1179" s="235" t="str">
        <f>IFERROR(__xludf.DUMMYFUNCTION("""COMPUTED_VALUE"""),"ENGINEERING")</f>
        <v>ENGINEERING</v>
      </c>
      <c r="D1179" s="196" t="str">
        <f>IFERROR(__xludf.DUMMYFUNCTION("""COMPUTED_VALUE"""),"BALL VALVE")</f>
        <v>BALL VALVE</v>
      </c>
      <c r="E1179" s="196" t="str">
        <f>IFERROR(__xludf.DUMMYFUNCTION("""COMPUTED_VALUE"""),"FOR ENOUGH H20 SUPPLY")</f>
        <v>FOR ENOUGH H20 SUPPLY</v>
      </c>
    </row>
    <row r="1180">
      <c r="A1180" s="234">
        <f>IFERROR(__xludf.DUMMYFUNCTION("""COMPUTED_VALUE"""),101471.0)</f>
        <v>101471</v>
      </c>
      <c r="B1180" s="235" t="str">
        <f>IFERROR(__xludf.DUMMYFUNCTION("""COMPUTED_VALUE"""),"OWIE PAR")</f>
        <v>OWIE PAR</v>
      </c>
      <c r="C1180" s="235" t="str">
        <f>IFERROR(__xludf.DUMMYFUNCTION("""COMPUTED_VALUE"""),"ENGINEERING")</f>
        <v>ENGINEERING</v>
      </c>
      <c r="D1180" s="196" t="str">
        <f>IFERROR(__xludf.DUMMYFUNCTION("""COMPUTED_VALUE"""),"PPR PIPE 1/2 
PPR PIPE 3/4
PPR ADAPTOR 1/2
PPR COUPLING REDUCER 1/2 X 3/4""GI TEE 1/2 
GI NIPPLE 1/2 X 2
GI NIPPLE 1/2 X 1
TEPLON TAPE
GI ELBOW 1/2 """)</f>
        <v>PPR PIPE 1/2 
PPR PIPE 3/4
PPR ADAPTOR 1/2
PPR COUPLING REDUCER 1/2 X 3/4"GI TEE 1/2 
GI NIPPLE 1/2 X 2
GI NIPPLE 1/2 X 1
TEPLON TAPE
GI ELBOW 1/2 "</v>
      </c>
      <c r="E1180" s="196" t="str">
        <f>IFERROR(__xludf.DUMMYFUNCTION("""COMPUTED_VALUE"""),"FOR SEGREGATION OF H20")</f>
        <v>FOR SEGREGATION OF H20</v>
      </c>
    </row>
    <row r="1181">
      <c r="A1181" s="234">
        <f>IFERROR(__xludf.DUMMYFUNCTION("""COMPUTED_VALUE"""),101472.0)</f>
        <v>101472</v>
      </c>
      <c r="B1181" s="235" t="str">
        <f>IFERROR(__xludf.DUMMYFUNCTION("""COMPUTED_VALUE"""),"OWIE PAR")</f>
        <v>OWIE PAR</v>
      </c>
      <c r="C1181" s="235" t="str">
        <f>IFERROR(__xludf.DUMMYFUNCTION("""COMPUTED_VALUE"""),"ENGINEERING")</f>
        <v>ENGINEERING</v>
      </c>
      <c r="D1181" s="196" t="str">
        <f>IFERROR(__xludf.DUMMYFUNCTION("""COMPUTED_VALUE"""),"GI TEE 1/2 
GI NIPPLE 1/2 X 2
GI NIPPLE 1/2 X 1
TEPLON TAPE
GI ELBOW 1/2 ")</f>
        <v>GI TEE 1/2 
GI NIPPLE 1/2 X 2
GI NIPPLE 1/2 X 1
TEPLON TAPE
GI ELBOW 1/2 </v>
      </c>
      <c r="E1181" s="196" t="str">
        <f>IFERROR(__xludf.DUMMYFUNCTION("""COMPUTED_VALUE"""),"FOR SEGREGATION OF H20")</f>
        <v>FOR SEGREGATION OF H20</v>
      </c>
    </row>
    <row r="1182">
      <c r="A1182" s="234">
        <f>IFERROR(__xludf.DUMMYFUNCTION("""COMPUTED_VALUE"""),101473.0)</f>
        <v>101473</v>
      </c>
      <c r="B1182" s="235" t="str">
        <f>IFERROR(__xludf.DUMMYFUNCTION("""COMPUTED_VALUE"""),"FEROL SAMATHA")</f>
        <v>FEROL SAMATHA</v>
      </c>
      <c r="C1182" s="235" t="str">
        <f>IFERROR(__xludf.DUMMYFUNCTION("""COMPUTED_VALUE"""),"LIBRARY COLLEGE")</f>
        <v>LIBRARY COLLEGE</v>
      </c>
      <c r="D1182" s="196" t="str">
        <f>IFERROR(__xludf.DUMMYFUNCTION("""COMPUTED_VALUE"""),"BOOKS 
DISTRIBUTOR REX BOOKSTORE")</f>
        <v>BOOKS 
DISTRIBUTOR REX BOOKSTORE</v>
      </c>
      <c r="E1182" s="196" t="str">
        <f>IFERROR(__xludf.DUMMYFUNCTION("""COMPUTED_VALUE"""),"BOOK ACQUISITION")</f>
        <v>BOOK ACQUISITION</v>
      </c>
    </row>
    <row r="1183">
      <c r="A1183" s="234">
        <f>IFERROR(__xludf.DUMMYFUNCTION("""COMPUTED_VALUE"""),101474.0)</f>
        <v>101474</v>
      </c>
      <c r="B1183" s="235" t="str">
        <f>IFERROR(__xludf.DUMMYFUNCTION("""COMPUTED_VALUE"""),"MARK GESSIE")</f>
        <v>MARK GESSIE</v>
      </c>
      <c r="C1183" s="235" t="str">
        <f>IFERROR(__xludf.DUMMYFUNCTION("""COMPUTED_VALUE"""),"SCIENCE DEPT.")</f>
        <v>SCIENCE DEPT.</v>
      </c>
      <c r="D1183" s="196" t="str">
        <f>IFERROR(__xludf.DUMMYFUNCTION("""COMPUTED_VALUE"""),"BUNSEN BURNER AND HOSE")</f>
        <v>BUNSEN BURNER AND HOSE</v>
      </c>
      <c r="E1183" s="196" t="str">
        <f>IFERROR(__xludf.DUMMYFUNCTION("""COMPUTED_VALUE"""),"REPLACEMENT FOR AN OLD ")</f>
        <v>REPLACEMENT FOR AN OLD </v>
      </c>
    </row>
    <row r="1184">
      <c r="A1184" s="234">
        <f>IFERROR(__xludf.DUMMYFUNCTION("""COMPUTED_VALUE"""),101475.0)</f>
        <v>101475</v>
      </c>
      <c r="B1184" s="235" t="str">
        <f>IFERROR(__xludf.DUMMYFUNCTION("""COMPUTED_VALUE"""),"ROMAN BALUYOT")</f>
        <v>ROMAN BALUYOT</v>
      </c>
      <c r="C1184" s="235" t="str">
        <f>IFERROR(__xludf.DUMMYFUNCTION("""COMPUTED_VALUE"""),"PR &amp; MARKETING")</f>
        <v>PR &amp; MARKETING</v>
      </c>
      <c r="D1184" s="196" t="str">
        <f>IFERROR(__xludf.DUMMYFUNCTION("""COMPUTED_VALUE"""),"BILLBOARD TARP PRINTING (60 IT X 40 W FT)")</f>
        <v>BILLBOARD TARP PRINTING (60 IT X 40 W FT)</v>
      </c>
      <c r="E1184" s="196" t="str">
        <f>IFERROR(__xludf.DUMMYFUNCTION("""COMPUTED_VALUE"""),"PROMOTION")</f>
        <v>PROMOTION</v>
      </c>
    </row>
    <row r="1185">
      <c r="A1185" s="234">
        <f>IFERROR(__xludf.DUMMYFUNCTION("""COMPUTED_VALUE"""),101476.0)</f>
        <v>101476</v>
      </c>
      <c r="B1185" s="235" t="str">
        <f>IFERROR(__xludf.DUMMYFUNCTION("""COMPUTED_VALUE"""),"CHRISTIAN MARK MARBIBI")</f>
        <v>CHRISTIAN MARK MARBIBI</v>
      </c>
      <c r="C1185" s="235" t="str">
        <f>IFERROR(__xludf.DUMMYFUNCTION("""COMPUTED_VALUE"""),"AMD")</f>
        <v>AMD</v>
      </c>
      <c r="D1185" s="196" t="str">
        <f>IFERROR(__xludf.DUMMYFUNCTION("""COMPUTED_VALUE"""),"VTECH VT1301 BASIC CORDLESS WITH SPEAKER PHONE LANDLINE")</f>
        <v>VTECH VT1301 BASIC CORDLESS WITH SPEAKER PHONE LANDLINE</v>
      </c>
      <c r="E1185" s="196" t="str">
        <f>IFERROR(__xludf.DUMMYFUNCTION("""COMPUTED_VALUE"""),"REPLACEMENT OF DEFECTIVE TELEPHONE UNIT")</f>
        <v>REPLACEMENT OF DEFECTIVE TELEPHONE UNIT</v>
      </c>
    </row>
    <row r="1186">
      <c r="A1186" s="234">
        <f>IFERROR(__xludf.DUMMYFUNCTION("""COMPUTED_VALUE"""),101477.0)</f>
        <v>101477</v>
      </c>
      <c r="B1186" s="235" t="str">
        <f>IFERROR(__xludf.DUMMYFUNCTION("""COMPUTED_VALUE"""),"SHEREE ESPINOSA")</f>
        <v>SHEREE ESPINOSA</v>
      </c>
      <c r="C1186" s="235" t="str">
        <f>IFERROR(__xludf.DUMMYFUNCTION("""COMPUTED_VALUE"""),"ADMIN - LUX")</f>
        <v>ADMIN - LUX</v>
      </c>
      <c r="D1186" s="196" t="str">
        <f>IFERROR(__xludf.DUMMYFUNCTION("""COMPUTED_VALUE"""),"OFFICE TABLE")</f>
        <v>OFFICE TABLE</v>
      </c>
      <c r="E1186" s="196" t="str">
        <f>IFERROR(__xludf.DUMMYFUNCTION("""COMPUTED_VALUE"""),"TALBE FORM MS.KEI GABUTERO")</f>
        <v>TALBE FORM MS.KEI GABUTERO</v>
      </c>
    </row>
    <row r="1187">
      <c r="A1187" s="234">
        <f>IFERROR(__xludf.DUMMYFUNCTION("""COMPUTED_VALUE"""),101478.0)</f>
        <v>101478</v>
      </c>
      <c r="B1187" s="235" t="str">
        <f>IFERROR(__xludf.DUMMYFUNCTION("""COMPUTED_VALUE"""),"CHRISTIAN ANDRES")</f>
        <v>CHRISTIAN ANDRES</v>
      </c>
      <c r="C1187" s="235" t="str">
        <f>IFERROR(__xludf.DUMMYFUNCTION("""COMPUTED_VALUE"""),"PR &amp; MARKETING")</f>
        <v>PR &amp; MARKETING</v>
      </c>
      <c r="D1187" s="196" t="str">
        <f>IFERROR(__xludf.DUMMYFUNCTION("""COMPUTED_VALUE"""),"INDIVIDUAL FLYERS")</f>
        <v>INDIVIDUAL FLYERS</v>
      </c>
      <c r="E1187" s="196" t="str">
        <f>IFERROR(__xludf.DUMMYFUNCTION("""COMPUTED_VALUE"""),"MARKETING")</f>
        <v>MARKETING</v>
      </c>
    </row>
    <row r="1188">
      <c r="A1188" s="234">
        <f>IFERROR(__xludf.DUMMYFUNCTION("""COMPUTED_VALUE"""),101479.0)</f>
        <v>101479</v>
      </c>
      <c r="B1188" s="235" t="str">
        <f>IFERROR(__xludf.DUMMYFUNCTION("""COMPUTED_VALUE"""),"SAMANTHA FEROL")</f>
        <v>SAMANTHA FEROL</v>
      </c>
      <c r="C1188" s="235" t="str">
        <f>IFERROR(__xludf.DUMMYFUNCTION("""COMPUTED_VALUE"""),"LIBRARY COLLEGE")</f>
        <v>LIBRARY COLLEGE</v>
      </c>
      <c r="D1188" s="196" t="str">
        <f>IFERROR(__xludf.DUMMYFUNCTION("""COMPUTED_VALUE"""),"MANILA BULLETIN (JANUARY 1-31, 2020)")</f>
        <v>MANILA BULLETIN (JANUARY 1-31, 2020)</v>
      </c>
      <c r="E1188" s="196" t="str">
        <f>IFERROR(__xludf.DUMMYFUNCTION("""COMPUTED_VALUE"""),"PAYMENT FOR MANILA BULLETIN NEWSPAPER MONTH OF JANUARY")</f>
        <v>PAYMENT FOR MANILA BULLETIN NEWSPAPER MONTH OF JANUARY</v>
      </c>
    </row>
    <row r="1189">
      <c r="A1189" s="234">
        <f>IFERROR(__xludf.DUMMYFUNCTION("""COMPUTED_VALUE"""),101480.0)</f>
        <v>101480</v>
      </c>
      <c r="B1189" s="235" t="str">
        <f>IFERROR(__xludf.DUMMYFUNCTION("""COMPUTED_VALUE"""),"PHEN PETIN")</f>
        <v>PHEN PETIN</v>
      </c>
      <c r="C1189" s="235" t="str">
        <f>IFERROR(__xludf.DUMMYFUNCTION("""COMPUTED_VALUE"""),"ADMIN - STAR")</f>
        <v>ADMIN - STAR</v>
      </c>
      <c r="D1189" s="196" t="str">
        <f>IFERROR(__xludf.DUMMYFUNCTION("""COMPUTED_VALUE"""),"4X8 1/4 THICK GLASS WHITE BOARD W/ INSTALLATION")</f>
        <v>4X8 1/4 THICK GLASS WHITE BOARD W/ INSTALLATION</v>
      </c>
      <c r="E1189" s="196" t="str">
        <f>IFERROR(__xludf.DUMMYFUNCTION("""COMPUTED_VALUE"""),"REPLACEMENT OF GLASS BOARD @ ROOM 301")</f>
        <v>REPLACEMENT OF GLASS BOARD @ ROOM 301</v>
      </c>
    </row>
    <row r="1190">
      <c r="A1190" s="234">
        <f>IFERROR(__xludf.DUMMYFUNCTION("""COMPUTED_VALUE"""),101481.0)</f>
        <v>101481</v>
      </c>
      <c r="B1190" s="235" t="str">
        <f>IFERROR(__xludf.DUMMYFUNCTION("""COMPUTED_VALUE"""),"OWIE PAR")</f>
        <v>OWIE PAR</v>
      </c>
      <c r="C1190" s="235" t="str">
        <f>IFERROR(__xludf.DUMMYFUNCTION("""COMPUTED_VALUE"""),"ENGINEERING")</f>
        <v>ENGINEERING</v>
      </c>
      <c r="D1190" s="196" t="str">
        <f>IFERROR(__xludf.DUMMYFUNCTION("""COMPUTED_VALUE"""),"OUTDOOR PCB 1 UNIT")</f>
        <v>OUTDOOR PCB 1 UNIT</v>
      </c>
      <c r="E1190" s="196" t="str">
        <f>IFERROR(__xludf.DUMMYFUNCTION("""COMPUTED_VALUE"""),"FOR ACU REPAIR RM 208 TROPICAL")</f>
        <v>FOR ACU REPAIR RM 208 TROPICAL</v>
      </c>
    </row>
    <row r="1191">
      <c r="A1191" s="234">
        <f>IFERROR(__xludf.DUMMYFUNCTION("""COMPUTED_VALUE"""),101482.0)</f>
        <v>101482</v>
      </c>
      <c r="B1191" s="235" t="str">
        <f>IFERROR(__xludf.DUMMYFUNCTION("""COMPUTED_VALUE"""),"OWIE PAR")</f>
        <v>OWIE PAR</v>
      </c>
      <c r="C1191" s="235" t="str">
        <f>IFERROR(__xludf.DUMMYFUNCTION("""COMPUTED_VALUE"""),"ENGINEERING")</f>
        <v>ENGINEERING</v>
      </c>
      <c r="D1191" s="196" t="str">
        <f>IFERROR(__xludf.DUMMYFUNCTION("""COMPUTED_VALUE"""),"OUTDOOR PCB 1 UNIT")</f>
        <v>OUTDOOR PCB 1 UNIT</v>
      </c>
      <c r="E1191" s="196" t="str">
        <f>IFERROR(__xludf.DUMMYFUNCTION("""COMPUTED_VALUE"""),"FOR ACU REPAIR RM 505 COLLEGE")</f>
        <v>FOR ACU REPAIR RM 505 COLLEGE</v>
      </c>
    </row>
    <row r="1192">
      <c r="A1192" s="234">
        <f>IFERROR(__xludf.DUMMYFUNCTION("""COMPUTED_VALUE"""),101483.0)</f>
        <v>101483</v>
      </c>
      <c r="B1192" s="235" t="str">
        <f>IFERROR(__xludf.DUMMYFUNCTION("""COMPUTED_VALUE"""),"ARIS IGNACIO")</f>
        <v>ARIS IGNACIO</v>
      </c>
      <c r="C1192" s="235" t="str">
        <f>IFERROR(__xludf.DUMMYFUNCTION("""COMPUTED_VALUE"""),"BS IT")</f>
        <v>BS IT</v>
      </c>
      <c r="D1192" s="196" t="str">
        <f>IFERROR(__xludf.DUMMYFUNCTION("""COMPUTED_VALUE"""),"CONVOCATION AWARD PLAQUE")</f>
        <v>CONVOCATION AWARD PLAQUE</v>
      </c>
      <c r="E1192" s="196" t="str">
        <f>IFERROR(__xludf.DUMMYFUNCTION("""COMPUTED_VALUE"""),"CONVOCATION AWARDS")</f>
        <v>CONVOCATION AWARDS</v>
      </c>
    </row>
    <row r="1193">
      <c r="A1193" s="234">
        <f>IFERROR(__xludf.DUMMYFUNCTION("""COMPUTED_VALUE"""),101484.0)</f>
        <v>101484</v>
      </c>
      <c r="B1193" s="235" t="str">
        <f>IFERROR(__xludf.DUMMYFUNCTION("""COMPUTED_VALUE"""),"OWIE PAR")</f>
        <v>OWIE PAR</v>
      </c>
      <c r="C1193" s="235" t="str">
        <f>IFERROR(__xludf.DUMMYFUNCTION("""COMPUTED_VALUE"""),"ENGINEERING")</f>
        <v>ENGINEERING</v>
      </c>
      <c r="D1193" s="196" t="str">
        <f>IFERROR(__xludf.DUMMYFUNCTION("""COMPUTED_VALUE"""),"ALUMINUM SULFATE, ANFLOC POLYMER")</f>
        <v>ALUMINUM SULFATE, ANFLOC POLYMER</v>
      </c>
      <c r="E1193" s="196" t="str">
        <f>IFERROR(__xludf.DUMMYFUNCTION("""COMPUTED_VALUE"""),"FOR WASTE WATER MANAGEMENT")</f>
        <v>FOR WASTE WATER MANAGEMENT</v>
      </c>
    </row>
    <row r="1194">
      <c r="A1194" s="234">
        <f>IFERROR(__xludf.DUMMYFUNCTION("""COMPUTED_VALUE"""),101485.0)</f>
        <v>101485</v>
      </c>
      <c r="B1194" s="235" t="str">
        <f>IFERROR(__xludf.DUMMYFUNCTION("""COMPUTED_VALUE"""),"CHRISTIAN  ANDRES")</f>
        <v>CHRISTIAN  ANDRES</v>
      </c>
      <c r="C1194" s="235" t="str">
        <f>IFERROR(__xludf.DUMMYFUNCTION("""COMPUTED_VALUE"""),"PR &amp; MARKETING")</f>
        <v>PR &amp; MARKETING</v>
      </c>
      <c r="D1194" s="196" t="str">
        <f>IFERROR(__xludf.DUMMYFUNCTION("""COMPUTED_VALUE"""),"MAGNETIC BOOKMARK
SIZE: 1.5 INCH X 6.5 INCH
1000PCS")</f>
        <v>MAGNETIC BOOKMARK
SIZE: 1.5 INCH X 6.5 INCH
1000PCS</v>
      </c>
      <c r="E1194" s="196" t="str">
        <f>IFERROR(__xludf.DUMMYFUNCTION("""COMPUTED_VALUE"""),"MARKETING")</f>
        <v>MARKETING</v>
      </c>
    </row>
    <row r="1195">
      <c r="A1195" s="234">
        <f>IFERROR(__xludf.DUMMYFUNCTION("""COMPUTED_VALUE"""),101486.0)</f>
        <v>101486</v>
      </c>
      <c r="B1195" s="235" t="str">
        <f>IFERROR(__xludf.DUMMYFUNCTION("""COMPUTED_VALUE"""),"CHRISITAN MARK MARBIBI")</f>
        <v>CHRISITAN MARK MARBIBI</v>
      </c>
      <c r="C1195" s="235" t="str">
        <f>IFERROR(__xludf.DUMMYFUNCTION("""COMPUTED_VALUE"""),"AMD")</f>
        <v>AMD</v>
      </c>
      <c r="D1195" s="196" t="str">
        <f>IFERROR(__xludf.DUMMYFUNCTION("""COMPUTED_VALUE"""),"NAPKIN MEGASOFT FROM VENDO MACHINE TISSUE PAPERTECH FRESHIES POCKET TISSUES (VENDO)")</f>
        <v>NAPKIN MEGASOFT FROM VENDO MACHINE TISSUE PAPERTECH FRESHIES POCKET TISSUES (VENDO)</v>
      </c>
      <c r="E1195" s="196" t="str">
        <f>IFERROR(__xludf.DUMMYFUNCTION("""COMPUTED_VALUE"""),"STOCK REPLENISHMENT")</f>
        <v>STOCK REPLENISHMENT</v>
      </c>
    </row>
    <row r="1196">
      <c r="A1196" s="234">
        <f>IFERROR(__xludf.DUMMYFUNCTION("""COMPUTED_VALUE"""),101487.0)</f>
        <v>101487</v>
      </c>
      <c r="B1196" s="235" t="str">
        <f>IFERROR(__xludf.DUMMYFUNCTION("""COMPUTED_VALUE"""),"CHRISTIAN MARK MARBIBI")</f>
        <v>CHRISTIAN MARK MARBIBI</v>
      </c>
      <c r="C1196" s="235" t="str">
        <f>IFERROR(__xludf.DUMMYFUNCTION("""COMPUTED_VALUE"""),"HOUSEKEEPING")</f>
        <v>HOUSEKEEPING</v>
      </c>
      <c r="D1196" s="196" t="str">
        <f>IFERROR(__xludf.DUMMYFUNCTION("""COMPUTED_VALUE"""),"STATE SHARK")</f>
        <v>STATE SHARK</v>
      </c>
      <c r="E1196" s="196" t="str">
        <f>IFERROR(__xludf.DUMMYFUNCTION("""COMPUTED_VALUE"""),"STOCK REPLENISHMENT")</f>
        <v>STOCK REPLENISHMENT</v>
      </c>
    </row>
    <row r="1197">
      <c r="A1197" s="234">
        <f>IFERROR(__xludf.DUMMYFUNCTION("""COMPUTED_VALUE"""),101488.0)</f>
        <v>101488</v>
      </c>
      <c r="B1197" s="235" t="str">
        <f>IFERROR(__xludf.DUMMYFUNCTION("""COMPUTED_VALUE"""),"CHRISTIAN MARK MARBIBI")</f>
        <v>CHRISTIAN MARK MARBIBI</v>
      </c>
      <c r="C1197" s="235" t="str">
        <f>IFERROR(__xludf.DUMMYFUNCTION("""COMPUTED_VALUE"""),"HOUSEKEEPING")</f>
        <v>HOUSEKEEPING</v>
      </c>
      <c r="D1197" s="196" t="str">
        <f>IFERROR(__xludf.DUMMYFUNCTION("""COMPUTED_VALUE"""),"SWEET SUNSATION")</f>
        <v>SWEET SUNSATION</v>
      </c>
      <c r="E1197" s="196" t="str">
        <f>IFERROR(__xludf.DUMMYFUNCTION("""COMPUTED_VALUE"""),"STOCK REPLENISHMENT")</f>
        <v>STOCK REPLENISHMENT</v>
      </c>
    </row>
    <row r="1198">
      <c r="A1198" s="234">
        <f>IFERROR(__xludf.DUMMYFUNCTION("""COMPUTED_VALUE"""),101489.0)</f>
        <v>101489</v>
      </c>
      <c r="B1198" s="235" t="str">
        <f>IFERROR(__xludf.DUMMYFUNCTION("""COMPUTED_VALUE"""),"APRIL D. TRAJICO")</f>
        <v>APRIL D. TRAJICO</v>
      </c>
      <c r="C1198" s="235" t="str">
        <f>IFERROR(__xludf.DUMMYFUNCTION("""COMPUTED_VALUE"""),"AMD")</f>
        <v>AMD</v>
      </c>
      <c r="D1198" s="196" t="str">
        <f>IFERROR(__xludf.DUMMYFUNCTION("""COMPUTED_VALUE"""),"TONER, CARTRIDGE CF212A YELLOW 10PCS; TONER, CARTRIDGE CF213A MAGENTA 10PCS")</f>
        <v>TONER, CARTRIDGE CF212A YELLOW 10PCS; TONER, CARTRIDGE CF213A MAGENTA 10PCS</v>
      </c>
      <c r="E1198" s="196" t="str">
        <f>IFERROR(__xludf.DUMMYFUNCTION("""COMPUTED_VALUE"""),"STOCK REPLENISHMENT - OSSUP")</f>
        <v>STOCK REPLENISHMENT - OSSUP</v>
      </c>
    </row>
    <row r="1199">
      <c r="A1199" s="234">
        <f>IFERROR(__xludf.DUMMYFUNCTION("""COMPUTED_VALUE"""),101490.0)</f>
        <v>101490</v>
      </c>
      <c r="B1199" s="235" t="str">
        <f>IFERROR(__xludf.DUMMYFUNCTION("""COMPUTED_VALUE"""),"APRIL D. TRAJICO")</f>
        <v>APRIL D. TRAJICO</v>
      </c>
      <c r="C1199" s="235" t="str">
        <f>IFERROR(__xludf.DUMMYFUNCTION("""COMPUTED_VALUE"""),"AMD")</f>
        <v>AMD</v>
      </c>
      <c r="D1199" s="196" t="str">
        <f>IFERROR(__xludf.DUMMYFUNCTION("""COMPUTED_VALUE"""),"; PAPER, COLORED FORTUNE PINK 750PCS; TAPE, 3M MASKING TAPE BIG (1"") 50PCS; TAPE, DOUBLE ADHESIVE W/ FOAM 1X1M 75PCS")</f>
        <v>; PAPER, COLORED FORTUNE PINK 750PCS; TAPE, 3M MASKING TAPE BIG (1") 50PCS; TAPE, DOUBLE ADHESIVE W/ FOAM 1X1M 75PCS</v>
      </c>
      <c r="E1199" s="196" t="str">
        <f>IFERROR(__xludf.DUMMYFUNCTION("""COMPUTED_VALUE"""),"STOCK REPLENISHMENT - OSSUP")</f>
        <v>STOCK REPLENISHMENT - OSSUP</v>
      </c>
    </row>
    <row r="1200">
      <c r="A1200" s="234">
        <f>IFERROR(__xludf.DUMMYFUNCTION("""COMPUTED_VALUE"""),101491.0)</f>
        <v>101491</v>
      </c>
      <c r="B1200" s="235" t="str">
        <f>IFERROR(__xludf.DUMMYFUNCTION("""COMPUTED_VALUE"""),"APRIL D. TRAJICO")</f>
        <v>APRIL D. TRAJICO</v>
      </c>
      <c r="C1200" s="235" t="str">
        <f>IFERROR(__xludf.DUMMYFUNCTION("""COMPUTED_VALUE"""),"AMD")</f>
        <v>AMD</v>
      </c>
      <c r="D1200" s="196" t="str">
        <f>IFERROR(__xludf.DUMMYFUNCTION("""COMPUTED_VALUE"""),"TONER, CARTRIDGE CF210A BLACK 15PCS; CF212A CYAN 15PCS; CF212A YELLOW 15PCS; CF213A MAGENTA 15PCS
(FOR GRADUATION/RECOGNITION PREPARATION)")</f>
        <v>TONER, CARTRIDGE CF210A BLACK 15PCS; CF212A CYAN 15PCS; CF212A YELLOW 15PCS; CF213A MAGENTA 15PCS
(FOR GRADUATION/RECOGNITION PREPARATION)</v>
      </c>
      <c r="E1200" s="196" t="str">
        <f>IFERROR(__xludf.DUMMYFUNCTION("""COMPUTED_VALUE"""),"STOCK REPLENISHMENT - OSSUP")</f>
        <v>STOCK REPLENISHMENT - OSSUP</v>
      </c>
    </row>
    <row r="1201">
      <c r="A1201" s="234">
        <f>IFERROR(__xludf.DUMMYFUNCTION("""COMPUTED_VALUE"""),101492.0)</f>
        <v>101492</v>
      </c>
      <c r="B1201" s="235" t="str">
        <f>IFERROR(__xludf.DUMMYFUNCTION("""COMPUTED_VALUE"""),"JOHN WRAITH")</f>
        <v>JOHN WRAITH</v>
      </c>
      <c r="C1201" s="235" t="str">
        <f>IFERROR(__xludf.DUMMYFUNCTION("""COMPUTED_VALUE"""),"I.B.")</f>
        <v>I.B.</v>
      </c>
      <c r="D1201" s="196" t="str">
        <f>IFERROR(__xludf.DUMMYFUNCTION("""COMPUTED_VALUE"""),"CALLING CARD FOR MR JOHN WRAITH")</f>
        <v>CALLING CARD FOR MR JOHN WRAITH</v>
      </c>
      <c r="E1201" s="196" t="str">
        <f>IFERROR(__xludf.DUMMYFUNCTION("""COMPUTED_VALUE"""),"FOR BUSINESS SCHOOL PURPOSE ")</f>
        <v>FOR BUSINESS SCHOOL PURPOSE </v>
      </c>
    </row>
    <row r="1202">
      <c r="A1202" s="234">
        <f>IFERROR(__xludf.DUMMYFUNCTION("""COMPUTED_VALUE"""),101493.0)</f>
        <v>101493</v>
      </c>
      <c r="B1202" s="235" t="str">
        <f>IFERROR(__xludf.DUMMYFUNCTION("""COMPUTED_VALUE"""),"SHEREE ESPINOSA")</f>
        <v>SHEREE ESPINOSA</v>
      </c>
      <c r="C1202" s="235" t="str">
        <f>IFERROR(__xludf.DUMMYFUNCTION("""COMPUTED_VALUE"""),"ADMIN")</f>
        <v>ADMIN</v>
      </c>
      <c r="D1202" s="196" t="str">
        <f>IFERROR(__xludf.DUMMYFUNCTION("""COMPUTED_VALUE"""),"TISSUE ROLL (FOR BIG DISPENSER)")</f>
        <v>TISSUE ROLL (FOR BIG DISPENSER)</v>
      </c>
      <c r="E1202" s="196" t="str">
        <f>IFERROR(__xludf.DUMMYFUNCTION("""COMPUTED_VALUE"""),"FOR OPEN COURT/CONSUMPTION 1 MONTH")</f>
        <v>FOR OPEN COURT/CONSUMPTION 1 MONTH</v>
      </c>
    </row>
    <row r="1203">
      <c r="A1203" s="234">
        <f>IFERROR(__xludf.DUMMYFUNCTION("""COMPUTED_VALUE"""),101494.0)</f>
        <v>101494</v>
      </c>
      <c r="B1203" s="235" t="str">
        <f>IFERROR(__xludf.DUMMYFUNCTION("""COMPUTED_VALUE"""),"ADRIAN DE GUINTO")</f>
        <v>ADRIAN DE GUINTO</v>
      </c>
      <c r="C1203" s="235" t="str">
        <f>IFERROR(__xludf.DUMMYFUNCTION("""COMPUTED_VALUE"""),"PR &amp; MARKETING")</f>
        <v>PR &amp; MARKETING</v>
      </c>
      <c r="D1203" s="196" t="str">
        <f>IFERROR(__xludf.DUMMYFUNCTION("""COMPUTED_VALUE"""),"FREE ADMISSION EXAM TARP 6.5 X 13.5 FT WITH SEAMING AND EYELET ALL OVER")</f>
        <v>FREE ADMISSION EXAM TARP 6.5 X 13.5 FT WITH SEAMING AND EYELET ALL OVER</v>
      </c>
      <c r="E1203" s="196" t="str">
        <f>IFERROR(__xludf.DUMMYFUNCTION("""COMPUTED_VALUE"""),"FOR MARKETING ADVERTISEMENT")</f>
        <v>FOR MARKETING ADVERTISEMENT</v>
      </c>
    </row>
    <row r="1204">
      <c r="A1204" s="234">
        <f>IFERROR(__xludf.DUMMYFUNCTION("""COMPUTED_VALUE"""),101495.0)</f>
        <v>101495</v>
      </c>
      <c r="B1204" s="235" t="str">
        <f>IFERROR(__xludf.DUMMYFUNCTION("""COMPUTED_VALUE"""),"VYE REVOLTAR")</f>
        <v>VYE REVOLTAR</v>
      </c>
      <c r="C1204" s="235" t="str">
        <f>IFERROR(__xludf.DUMMYFUNCTION("""COMPUTED_VALUE"""),"CEM OFFICE")</f>
        <v>CEM OFFICE</v>
      </c>
      <c r="D1204" s="196" t="str">
        <f>IFERROR(__xludf.DUMMYFUNCTION("""COMPUTED_VALUE"""),"TELEPHONE WIRELESS/ TELEPHONE DIRECT LINE")</f>
        <v>TELEPHONE WIRELESS/ TELEPHONE DIRECT LINE</v>
      </c>
      <c r="E1204" s="196" t="str">
        <f>IFERROR(__xludf.DUMMYFUNCTION("""COMPUTED_VALUE"""),"REPLACEMENT OF OLD UNIT")</f>
        <v>REPLACEMENT OF OLD UNIT</v>
      </c>
    </row>
    <row r="1205">
      <c r="A1205" s="234">
        <f>IFERROR(__xludf.DUMMYFUNCTION("""COMPUTED_VALUE"""),101496.0)</f>
        <v>101496</v>
      </c>
      <c r="B1205" s="235" t="str">
        <f>IFERROR(__xludf.DUMMYFUNCTION("""COMPUTED_VALUE"""),"RONALD VERDE")</f>
        <v>RONALD VERDE</v>
      </c>
      <c r="C1205" s="235" t="str">
        <f>IFERROR(__xludf.DUMMYFUNCTION("""COMPUTED_VALUE"""),"MIS/ICT")</f>
        <v>MIS/ICT</v>
      </c>
      <c r="D1205" s="196" t="str">
        <f>IFERROR(__xludf.DUMMYFUNCTION("""COMPUTED_VALUE"""),"HIGH RESOLUTION LCD PROJECTION ( EPSON BRAND) 3 PCS")</f>
        <v>HIGH RESOLUTION LCD PROJECTION ( EPSON BRAND) 3 PCS</v>
      </c>
      <c r="E1205" s="196" t="str">
        <f>IFERROR(__xludf.DUMMYFUNCTION("""COMPUTED_VALUE"""),"MOBILE UNITS FOR SISC EVENTS")</f>
        <v>MOBILE UNITS FOR SISC EVENTS</v>
      </c>
    </row>
    <row r="1206">
      <c r="A1206" s="234">
        <f>IFERROR(__xludf.DUMMYFUNCTION("""COMPUTED_VALUE"""),101497.0)</f>
        <v>101497</v>
      </c>
      <c r="B1206" s="235" t="str">
        <f>IFERROR(__xludf.DUMMYFUNCTION("""COMPUTED_VALUE"""),"RAQUEL COLANGOY")</f>
        <v>RAQUEL COLANGOY</v>
      </c>
      <c r="C1206" s="235" t="str">
        <f>IFERROR(__xludf.DUMMYFUNCTION("""COMPUTED_VALUE"""),"SCIENCE DEPT.")</f>
        <v>SCIENCE DEPT.</v>
      </c>
      <c r="D1206" s="196" t="str">
        <f>IFERROR(__xludf.DUMMYFUNCTION("""COMPUTED_VALUE"""),"LONG BINDERS")</f>
        <v>LONG BINDERS</v>
      </c>
      <c r="E1206" s="196" t="str">
        <f>IFERROR(__xludf.DUMMYFUNCTION("""COMPUTED_VALUE"""),"BINDER FOR FILIPINO DEPARTMENT")</f>
        <v>BINDER FOR FILIPINO DEPARTMENT</v>
      </c>
    </row>
    <row r="1207">
      <c r="A1207" s="234">
        <f>IFERROR(__xludf.DUMMYFUNCTION("""COMPUTED_VALUE"""),101498.0)</f>
        <v>101498</v>
      </c>
      <c r="B1207" s="235" t="str">
        <f>IFERROR(__xludf.DUMMYFUNCTION("""COMPUTED_VALUE"""),"FEROL SAMATHA")</f>
        <v>FEROL SAMATHA</v>
      </c>
      <c r="C1207" s="235" t="str">
        <f>IFERROR(__xludf.DUMMYFUNCTION("""COMPUTED_VALUE"""),"LIBRARY COLLEGE")</f>
        <v>LIBRARY COLLEGE</v>
      </c>
      <c r="D1207" s="196" t="str">
        <f>IFERROR(__xludf.DUMMYFUNCTION("""COMPUTED_VALUE"""),"C&amp;E PUB (HED PRICELIST)")</f>
        <v>C&amp;E PUB (HED PRICELIST)</v>
      </c>
      <c r="E1207" s="196" t="str">
        <f>IFERROR(__xludf.DUMMYFUNCTION("""COMPUTED_VALUE"""),"BOOK ACQUISITION")</f>
        <v>BOOK ACQUISITION</v>
      </c>
    </row>
    <row r="1208">
      <c r="A1208" s="234">
        <f>IFERROR(__xludf.DUMMYFUNCTION("""COMPUTED_VALUE"""),101499.0)</f>
        <v>101499</v>
      </c>
      <c r="B1208" s="235" t="str">
        <f>IFERROR(__xludf.DUMMYFUNCTION("""COMPUTED_VALUE"""),"CHRISTIAN MARK MARBIBI")</f>
        <v>CHRISTIAN MARK MARBIBI</v>
      </c>
      <c r="C1208" s="235" t="str">
        <f>IFERROR(__xludf.DUMMYFUNCTION("""COMPUTED_VALUE"""),"HOUSEKEEPING")</f>
        <v>HOUSEKEEPING</v>
      </c>
      <c r="D1208" s="196" t="str">
        <f>IFERROR(__xludf.DUMMYFUNCTION("""COMPUTED_VALUE"""),"TRASH BAG, MEDIUM (22"" x 24"") CLEAR
TRASH BAG, LARGE (26"" x 32"") CLEAR
TRASH BAG, EXTRA EXTRA LARGE (37"" x 40"") CLEAR
")</f>
        <v>TRASH BAG, MEDIUM (22" x 24") CLEAR
TRASH BAG, LARGE (26" x 32") CLEAR
TRASH BAG, EXTRA EXTRA LARGE (37" x 40") CLEAR
</v>
      </c>
      <c r="E1208" s="196" t="str">
        <f>IFERROR(__xludf.DUMMYFUNCTION("""COMPUTED_VALUE"""),"STOCK REPLENISHMENT")</f>
        <v>STOCK REPLENISHMENT</v>
      </c>
    </row>
    <row r="1209">
      <c r="A1209" s="234">
        <f>IFERROR(__xludf.DUMMYFUNCTION("""COMPUTED_VALUE"""),101500.0)</f>
        <v>101500</v>
      </c>
      <c r="B1209" s="235" t="str">
        <f>IFERROR(__xludf.DUMMYFUNCTION("""COMPUTED_VALUE"""),"CHRISTIAN MARK MARBIBI")</f>
        <v>CHRISTIAN MARK MARBIBI</v>
      </c>
      <c r="C1209" s="235" t="str">
        <f>IFERROR(__xludf.DUMMYFUNCTION("""COMPUTED_VALUE"""),"HOUSEKEEPING")</f>
        <v>HOUSEKEEPING</v>
      </c>
      <c r="D1209" s="196" t="str">
        <f>IFERROR(__xludf.DUMMYFUNCTION("""COMPUTED_VALUE"""),"Face Mask, Cotton")</f>
        <v>Face Mask, Cotton</v>
      </c>
      <c r="E1209" s="196" t="str">
        <f>IFERROR(__xludf.DUMMYFUNCTION("""COMPUTED_VALUE"""),"STOCK REPLENISHMENT")</f>
        <v>STOCK REPLENISHMENT</v>
      </c>
    </row>
    <row r="1210">
      <c r="A1210" s="234">
        <f>IFERROR(__xludf.DUMMYFUNCTION("""COMPUTED_VALUE"""),101501.0)</f>
        <v>101501</v>
      </c>
      <c r="B1210" s="235" t="str">
        <f>IFERROR(__xludf.DUMMYFUNCTION("""COMPUTED_VALUE"""),"CHRISTIAN MARK MARBIBI")</f>
        <v>CHRISTIAN MARK MARBIBI</v>
      </c>
      <c r="C1210" s="235" t="str">
        <f>IFERROR(__xludf.DUMMYFUNCTION("""COMPUTED_VALUE"""),"HOUSEKEEPING")</f>
        <v>HOUSEKEEPING</v>
      </c>
      <c r="D1210" s="196" t="str">
        <f>IFERROR(__xludf.DUMMYFUNCTION("""COMPUTED_VALUE"""),"Falcon Waterless Urinal Cartridge")</f>
        <v>Falcon Waterless Urinal Cartridge</v>
      </c>
      <c r="E1210" s="196" t="str">
        <f>IFERROR(__xludf.DUMMYFUNCTION("""COMPUTED_VALUE"""),"STOCK REPLENISHMENT")</f>
        <v>STOCK REPLENISHMENT</v>
      </c>
    </row>
    <row r="1211">
      <c r="A1211" s="234">
        <f>IFERROR(__xludf.DUMMYFUNCTION("""COMPUTED_VALUE"""),101502.0)</f>
        <v>101502</v>
      </c>
      <c r="B1211" s="235" t="str">
        <f>IFERROR(__xludf.DUMMYFUNCTION("""COMPUTED_VALUE"""),"CHRISTIAN MARK MARBIBI")</f>
        <v>CHRISTIAN MARK MARBIBI</v>
      </c>
      <c r="C1211" s="235" t="str">
        <f>IFERROR(__xludf.DUMMYFUNCTION("""COMPUTED_VALUE"""),"HOUSEKEEPING")</f>
        <v>HOUSEKEEPING</v>
      </c>
      <c r="D1211" s="196" t="str">
        <f>IFERROR(__xludf.DUMMYFUNCTION("""COMPUTED_VALUE"""),"SWEET SUNSATION")</f>
        <v>SWEET SUNSATION</v>
      </c>
      <c r="E1211" s="196" t="str">
        <f>IFERROR(__xludf.DUMMYFUNCTION("""COMPUTED_VALUE"""),"STOCK REPLENISHMENT")</f>
        <v>STOCK REPLENISHMENT</v>
      </c>
    </row>
    <row r="1212">
      <c r="A1212" s="234">
        <f>IFERROR(__xludf.DUMMYFUNCTION("""COMPUTED_VALUE"""),101503.0)</f>
        <v>101503</v>
      </c>
      <c r="B1212" s="235" t="str">
        <f>IFERROR(__xludf.DUMMYFUNCTION("""COMPUTED_VALUE"""),"CHRISTIAN MARK MARBIBI")</f>
        <v>CHRISTIAN MARK MARBIBI</v>
      </c>
      <c r="C1212" s="235" t="str">
        <f>IFERROR(__xludf.DUMMYFUNCTION("""COMPUTED_VALUE"""),"HOUSEKEEPING")</f>
        <v>HOUSEKEEPING</v>
      </c>
      <c r="D1212" s="196" t="str">
        <f>IFERROR(__xludf.DUMMYFUNCTION("""COMPUTED_VALUE"""),"Cleanviro Cleaning Solution, 1 L")</f>
        <v>Cleanviro Cleaning Solution, 1 L</v>
      </c>
      <c r="E1212" s="196" t="str">
        <f>IFERROR(__xludf.DUMMYFUNCTION("""COMPUTED_VALUE"""),"STOCK REPLENISHMENT")</f>
        <v>STOCK REPLENISHMENT</v>
      </c>
    </row>
    <row r="1213">
      <c r="A1213" s="234">
        <f>IFERROR(__xludf.DUMMYFUNCTION("""COMPUTED_VALUE"""),101504.0)</f>
        <v>101504</v>
      </c>
      <c r="B1213" s="235" t="str">
        <f>IFERROR(__xludf.DUMMYFUNCTION("""COMPUTED_VALUE"""),"CHRISTIAN MARK MARBIBI")</f>
        <v>CHRISTIAN MARK MARBIBI</v>
      </c>
      <c r="C1213" s="235" t="str">
        <f>IFERROR(__xludf.DUMMYFUNCTION("""COMPUTED_VALUE"""),"HOUSEKEEPING")</f>
        <v>HOUSEKEEPING</v>
      </c>
      <c r="D1213" s="196" t="str">
        <f>IFERROR(__xludf.DUMMYFUNCTION("""COMPUTED_VALUE"""),"STATE SHARK")</f>
        <v>STATE SHARK</v>
      </c>
      <c r="E1213" s="196" t="str">
        <f>IFERROR(__xludf.DUMMYFUNCTION("""COMPUTED_VALUE"""),"STOCK REPLENISHMENT")</f>
        <v>STOCK REPLENISHMENT</v>
      </c>
    </row>
    <row r="1214">
      <c r="A1214" s="234">
        <f>IFERROR(__xludf.DUMMYFUNCTION("""COMPUTED_VALUE"""),101505.0)</f>
        <v>101505</v>
      </c>
      <c r="B1214" s="235" t="str">
        <f>IFERROR(__xludf.DUMMYFUNCTION("""COMPUTED_VALUE"""),"CHRISTIAN MARK MARBIBI")</f>
        <v>CHRISTIAN MARK MARBIBI</v>
      </c>
      <c r="C1214" s="235" t="str">
        <f>IFERROR(__xludf.DUMMYFUNCTION("""COMPUTED_VALUE"""),"HOUSEKEEPING")</f>
        <v>HOUSEKEEPING</v>
      </c>
      <c r="D1214" s="196" t="str">
        <f>IFERROR(__xludf.DUMMYFUNCTION("""COMPUTED_VALUE"""),"STATE SCRAM")</f>
        <v>STATE SCRAM</v>
      </c>
      <c r="E1214" s="196" t="str">
        <f>IFERROR(__xludf.DUMMYFUNCTION("""COMPUTED_VALUE"""),"STOCK REPLENISHMENT")</f>
        <v>STOCK REPLENISHMENT</v>
      </c>
    </row>
    <row r="1215">
      <c r="A1215" s="234">
        <f>IFERROR(__xludf.DUMMYFUNCTION("""COMPUTED_VALUE"""),101506.0)</f>
        <v>101506</v>
      </c>
      <c r="B1215" s="235" t="str">
        <f>IFERROR(__xludf.DUMMYFUNCTION("""COMPUTED_VALUE"""),"CHRISTIAN MARK MARBIBI")</f>
        <v>CHRISTIAN MARK MARBIBI</v>
      </c>
      <c r="C1215" s="235" t="str">
        <f>IFERROR(__xludf.DUMMYFUNCTION("""COMPUTED_VALUE"""),"HOUSEKEEPING")</f>
        <v>HOUSEKEEPING</v>
      </c>
      <c r="D1215" s="196" t="str">
        <f>IFERROR(__xludf.DUMMYFUNCTION("""COMPUTED_VALUE"""),"Scrubbing Pad, Big (Scotch Brite)")</f>
        <v>Scrubbing Pad, Big (Scotch Brite)</v>
      </c>
      <c r="E1215" s="196" t="str">
        <f>IFERROR(__xludf.DUMMYFUNCTION("""COMPUTED_VALUE"""),"STOCK REPLENISHMENT")</f>
        <v>STOCK REPLENISHMENT</v>
      </c>
    </row>
    <row r="1216">
      <c r="A1216" s="234">
        <f>IFERROR(__xludf.DUMMYFUNCTION("""COMPUTED_VALUE"""),101507.0)</f>
        <v>101507</v>
      </c>
      <c r="B1216" s="235" t="str">
        <f>IFERROR(__xludf.DUMMYFUNCTION("""COMPUTED_VALUE"""),"CHRISTIAN MARK MARBIBI")</f>
        <v>CHRISTIAN MARK MARBIBI</v>
      </c>
      <c r="C1216" s="235" t="str">
        <f>IFERROR(__xludf.DUMMYFUNCTION("""COMPUTED_VALUE"""),"HOUSEKEEPING")</f>
        <v>HOUSEKEEPING</v>
      </c>
      <c r="D1216" s="196" t="str">
        <f>IFERROR(__xludf.DUMMYFUNCTION("""COMPUTED_VALUE"""),"Carpet Stain Remover (State Pile Driver)")</f>
        <v>Carpet Stain Remover (State Pile Driver)</v>
      </c>
      <c r="E1216" s="196" t="str">
        <f>IFERROR(__xludf.DUMMYFUNCTION("""COMPUTED_VALUE"""),"STOCK REPLENISHMENT")</f>
        <v>STOCK REPLENISHMENT</v>
      </c>
    </row>
    <row r="1217">
      <c r="A1217" s="234">
        <f>IFERROR(__xludf.DUMMYFUNCTION("""COMPUTED_VALUE"""),101508.0)</f>
        <v>101508</v>
      </c>
      <c r="B1217" s="235" t="str">
        <f>IFERROR(__xludf.DUMMYFUNCTION("""COMPUTED_VALUE"""),"CHRISTIAN MARK MARBIBI")</f>
        <v>CHRISTIAN MARK MARBIBI</v>
      </c>
      <c r="C1217" s="235" t="str">
        <f>IFERROR(__xludf.DUMMYFUNCTION("""COMPUTED_VALUE"""),"HOUSEKEEPING")</f>
        <v>HOUSEKEEPING</v>
      </c>
      <c r="D1217" s="196" t="str">
        <f>IFERROR(__xludf.DUMMYFUNCTION("""COMPUTED_VALUE"""),"Odor Mascant (Wise Choice) - Pleasant Aerosense")</f>
        <v>Odor Mascant (Wise Choice) - Pleasant Aerosense</v>
      </c>
      <c r="E1217" s="196" t="str">
        <f>IFERROR(__xludf.DUMMYFUNCTION("""COMPUTED_VALUE"""),"STOCK REPLENISHMENT")</f>
        <v>STOCK REPLENISHMENT</v>
      </c>
    </row>
    <row r="1218">
      <c r="A1218" s="234">
        <f>IFERROR(__xludf.DUMMYFUNCTION("""COMPUTED_VALUE"""),101509.0)</f>
        <v>101509</v>
      </c>
      <c r="B1218" s="235" t="str">
        <f>IFERROR(__xludf.DUMMYFUNCTION("""COMPUTED_VALUE"""),"CHRISTIAN MARK MARBIBI")</f>
        <v>CHRISTIAN MARK MARBIBI</v>
      </c>
      <c r="C1218" s="235" t="str">
        <f>IFERROR(__xludf.DUMMYFUNCTION("""COMPUTED_VALUE"""),"HOUSEKEEPING")</f>
        <v>HOUSEKEEPING</v>
      </c>
      <c r="D1218" s="196" t="str">
        <f>IFERROR(__xludf.DUMMYFUNCTION("""COMPUTED_VALUE"""),"Toilet Bowl Brush with Holder
Dust Pan
Zim Glass Cleaner, 500ml
")</f>
        <v>Toilet Bowl Brush with Holder
Dust Pan
Zim Glass Cleaner, 500ml
</v>
      </c>
      <c r="E1218" s="196" t="str">
        <f>IFERROR(__xludf.DUMMYFUNCTION("""COMPUTED_VALUE"""),"STOCK REPLENISHMENT")</f>
        <v>STOCK REPLENISHMENT</v>
      </c>
    </row>
    <row r="1219">
      <c r="A1219" s="234">
        <f>IFERROR(__xludf.DUMMYFUNCTION("""COMPUTED_VALUE"""),101510.0)</f>
        <v>101510</v>
      </c>
      <c r="B1219" s="235" t="str">
        <f>IFERROR(__xludf.DUMMYFUNCTION("""COMPUTED_VALUE"""),"CHRISTIAN MARK MARBIBI")</f>
        <v>CHRISTIAN MARK MARBIBI</v>
      </c>
      <c r="C1219" s="235" t="str">
        <f>IFERROR(__xludf.DUMMYFUNCTION("""COMPUTED_VALUE"""),"HOUSEKEEPING")</f>
        <v>HOUSEKEEPING</v>
      </c>
      <c r="D1219" s="196" t="str">
        <f>IFERROR(__xludf.DUMMYFUNCTION("""COMPUTED_VALUE"""),"Topluster High Grade Liquid Wax")</f>
        <v>Topluster High Grade Liquid Wax</v>
      </c>
      <c r="E1219" s="196" t="str">
        <f>IFERROR(__xludf.DUMMYFUNCTION("""COMPUTED_VALUE"""),"STOCK REPLENISHMENT")</f>
        <v>STOCK REPLENISHMENT</v>
      </c>
    </row>
    <row r="1220">
      <c r="A1220" s="234">
        <f>IFERROR(__xludf.DUMMYFUNCTION("""COMPUTED_VALUE"""),101511.0)</f>
        <v>101511</v>
      </c>
      <c r="B1220" s="235" t="str">
        <f>IFERROR(__xludf.DUMMYFUNCTION("""COMPUTED_VALUE"""),"JP RAGOT ")</f>
        <v>JP RAGOT </v>
      </c>
      <c r="C1220" s="235" t="str">
        <f>IFERROR(__xludf.DUMMYFUNCTION("""COMPUTED_VALUE"""),"ENGINEERING")</f>
        <v>ENGINEERING</v>
      </c>
      <c r="D1220" s="196" t="str">
        <f>IFERROR(__xludf.DUMMYFUNCTION("""COMPUTED_VALUE"""),"DRAWER LOCK")</f>
        <v>DRAWER LOCK</v>
      </c>
      <c r="E1220" s="196" t="str">
        <f>IFERROR(__xludf.DUMMYFUNCTION("""COMPUTED_VALUE"""),"STOCK REPLENISHMENT")</f>
        <v>STOCK REPLENISHMENT</v>
      </c>
    </row>
    <row r="1221">
      <c r="A1221" s="234">
        <f>IFERROR(__xludf.DUMMYFUNCTION("""COMPUTED_VALUE"""),101512.0)</f>
        <v>101512</v>
      </c>
      <c r="B1221" s="235" t="str">
        <f>IFERROR(__xludf.DUMMYFUNCTION("""COMPUTED_VALUE"""),"RONALD ARIATE")</f>
        <v>RONALD ARIATE</v>
      </c>
      <c r="C1221" s="235" t="str">
        <f>IFERROR(__xludf.DUMMYFUNCTION("""COMPUTED_VALUE"""),"FINANCE &amp; ACCOUNTING")</f>
        <v>FINANCE &amp; ACCOUNTING</v>
      </c>
      <c r="D1221" s="196" t="str">
        <f>IFERROR(__xludf.DUMMYFUNCTION("""COMPUTED_VALUE"""),"AUTOBRIGHTS LIFT-OFF LEMON 89GSM 8.5 X 11 - 1 REAM
AUTOBRIGHTS SOLAR YELLOW 89GSM 8.5 X 11 - 1 REAM
AUTOBRIGHTS TERRA GREEN 89GSM 8.5 X 11 - 1 REAM
AUTOBRIGHTS TERRESTRIAL TEAL 89GSM 8.5 X 11 - 1 REAM")</f>
        <v>AUTOBRIGHTS LIFT-OFF LEMON 89GSM 8.5 X 11 - 1 REAM
AUTOBRIGHTS SOLAR YELLOW 89GSM 8.5 X 11 - 1 REAM
AUTOBRIGHTS TERRA GREEN 89GSM 8.5 X 11 - 1 REAM
AUTOBRIGHTS TERRESTRIAL TEAL 89GSM 8.5 X 11 - 1 REAM</v>
      </c>
      <c r="E1221" s="196" t="str">
        <f>IFERROR(__xludf.DUMMYFUNCTION("""COMPUTED_VALUE"""),"FOR ENROLLMENT")</f>
        <v>FOR ENROLLMENT</v>
      </c>
    </row>
    <row r="1222">
      <c r="A1222" s="234">
        <f>IFERROR(__xludf.DUMMYFUNCTION("""COMPUTED_VALUE"""),101513.0)</f>
        <v>101513</v>
      </c>
      <c r="B1222" s="235" t="str">
        <f>IFERROR(__xludf.DUMMYFUNCTION("""COMPUTED_VALUE"""),"SANDRA DUPIO")</f>
        <v>SANDRA DUPIO</v>
      </c>
      <c r="C1222" s="235" t="str">
        <f>IFERROR(__xludf.DUMMYFUNCTION("""COMPUTED_VALUE"""),"LIBRARY BASIC ED")</f>
        <v>LIBRARY BASIC ED</v>
      </c>
      <c r="D1222" s="196" t="str">
        <f>IFERROR(__xludf.DUMMYFUNCTION("""COMPUTED_VALUE"""),"GLASSBOARD 4X5")</f>
        <v>GLASSBOARD 4X5</v>
      </c>
      <c r="E1222" s="196" t="str">
        <f>IFERROR(__xludf.DUMMYFUNCTION("""COMPUTED_VALUE"""),"FOR IB INSPECTION ON MAY 2020")</f>
        <v>FOR IB INSPECTION ON MAY 2020</v>
      </c>
    </row>
    <row r="1223">
      <c r="A1223" s="234">
        <f>IFERROR(__xludf.DUMMYFUNCTION("""COMPUTED_VALUE"""),101514.0)</f>
        <v>101514</v>
      </c>
      <c r="B1223" s="235" t="str">
        <f>IFERROR(__xludf.DUMMYFUNCTION("""COMPUTED_VALUE"""),"DALOGDOG MARKGESSIE ")</f>
        <v>DALOGDOG MARKGESSIE </v>
      </c>
      <c r="C1223" s="235" t="str">
        <f>IFERROR(__xludf.DUMMYFUNCTION("""COMPUTED_VALUE"""),"SCIENCE LAB BASIC ED.")</f>
        <v>SCIENCE LAB BASIC ED.</v>
      </c>
      <c r="D1223" s="196" t="str">
        <f>IFERROR(__xludf.DUMMYFUNCTION("""COMPUTED_VALUE"""),"TEST TUBE HOLDER
TONG (FOR BEAKERS)
IRON RING
IRON STAND
INOCULATING LOOP")</f>
        <v>TEST TUBE HOLDER
TONG (FOR BEAKERS)
IRON RING
IRON STAND
INOCULATING LOOP</v>
      </c>
      <c r="E1223" s="196" t="str">
        <f>IFERROR(__xludf.DUMMYFUNCTION("""COMPUTED_VALUE"""),"TO REPLACE THE REQUEST ITEMS ")</f>
        <v>TO REPLACE THE REQUEST ITEMS </v>
      </c>
    </row>
    <row r="1224">
      <c r="A1224" s="234">
        <f>IFERROR(__xludf.DUMMYFUNCTION("""COMPUTED_VALUE"""),101515.0)</f>
        <v>101515</v>
      </c>
      <c r="B1224" s="235" t="str">
        <f>IFERROR(__xludf.DUMMYFUNCTION("""COMPUTED_VALUE"""),"TOM TONGOHAN")</f>
        <v>TOM TONGOHAN</v>
      </c>
      <c r="C1224" s="235" t="str">
        <f>IFERROR(__xludf.DUMMYFUNCTION("""COMPUTED_VALUE"""),"ADMIN - LUX")</f>
        <v>ADMIN - LUX</v>
      </c>
      <c r="D1224" s="196" t="str">
        <f>IFERROR(__xludf.DUMMYFUNCTION("""COMPUTED_VALUE"""),"TARPAULINE FOR SPORTS CONDITIONING ROOM")</f>
        <v>TARPAULINE FOR SPORTS CONDITIONING ROOM</v>
      </c>
      <c r="E1224" s="196" t="str">
        <f>IFERROR(__xludf.DUMMYFUNCTION("""COMPUTED_VALUE"""),"SPORTS CONDITIONING ROOM")</f>
        <v>SPORTS CONDITIONING ROOM</v>
      </c>
    </row>
    <row r="1225">
      <c r="A1225" s="234">
        <f>IFERROR(__xludf.DUMMYFUNCTION("""COMPUTED_VALUE"""),101516.0)</f>
        <v>101516</v>
      </c>
      <c r="B1225" s="235" t="str">
        <f>IFERROR(__xludf.DUMMYFUNCTION("""COMPUTED_VALUE"""),"ANN VILLARUZ/FELMA TRIA")</f>
        <v>ANN VILLARUZ/FELMA TRIA</v>
      </c>
      <c r="C1225" s="235" t="str">
        <f>IFERROR(__xludf.DUMMYFUNCTION("""COMPUTED_VALUE"""),"COLLEGE DIRECTOR")</f>
        <v>COLLEGE DIRECTOR</v>
      </c>
      <c r="D1225" s="196" t="str">
        <f>IFERROR(__xludf.DUMMYFUNCTION("""COMPUTED_VALUE"""),"KEYNOTE  SPEAKER PLAQUE")</f>
        <v>KEYNOTE  SPEAKER PLAQUE</v>
      </c>
      <c r="E1225" s="196" t="str">
        <f>IFERROR(__xludf.DUMMYFUNCTION("""COMPUTED_VALUE"""),"IRC 2020")</f>
        <v>IRC 2020</v>
      </c>
    </row>
    <row r="1226">
      <c r="A1226" s="234">
        <f>IFERROR(__xludf.DUMMYFUNCTION("""COMPUTED_VALUE"""),101517.0)</f>
        <v>101517</v>
      </c>
      <c r="B1226" s="235" t="str">
        <f>IFERROR(__xludf.DUMMYFUNCTION("""COMPUTED_VALUE"""),"SHEREE ESPINOSA")</f>
        <v>SHEREE ESPINOSA</v>
      </c>
      <c r="C1226" s="235" t="str">
        <f>IFERROR(__xludf.DUMMYFUNCTION("""COMPUTED_VALUE"""),"HOUSEKEEPING")</f>
        <v>HOUSEKEEPING</v>
      </c>
      <c r="D1226" s="196" t="str">
        <f>IFERROR(__xludf.DUMMYFUNCTION("""COMPUTED_VALUE"""),"NEON LIGHTS ""WE BLEED PURPLE""")</f>
        <v>NEON LIGHTS "WE BLEED PURPLE"</v>
      </c>
      <c r="E1226" s="196" t="str">
        <f>IFERROR(__xludf.DUMMYFUNCTION("""COMPUTED_VALUE"""),"FOR WEIGHTS ROOM")</f>
        <v>FOR WEIGHTS ROOM</v>
      </c>
    </row>
    <row r="1227">
      <c r="A1227" s="234">
        <f>IFERROR(__xludf.DUMMYFUNCTION("""COMPUTED_VALUE"""),101518.0)</f>
        <v>101518</v>
      </c>
      <c r="B1227" s="235" t="str">
        <f>IFERROR(__xludf.DUMMYFUNCTION("""COMPUTED_VALUE"""),"SHEREE ESPINOSA")</f>
        <v>SHEREE ESPINOSA</v>
      </c>
      <c r="C1227" s="235" t="str">
        <f>IFERROR(__xludf.DUMMYFUNCTION("""COMPUTED_VALUE"""),"HOUSEKEEPING")</f>
        <v>HOUSEKEEPING</v>
      </c>
      <c r="D1227" s="196" t="str">
        <f>IFERROR(__xludf.DUMMYFUNCTION("""COMPUTED_VALUE"""),"LED SMART TV ")</f>
        <v>LED SMART TV </v>
      </c>
      <c r="E1227" s="196" t="str">
        <f>IFERROR(__xludf.DUMMYFUNCTION("""COMPUTED_VALUE"""),"FOR WEIGHTS ROOM")</f>
        <v>FOR WEIGHTS ROOM</v>
      </c>
    </row>
    <row r="1228">
      <c r="A1228" s="234">
        <f>IFERROR(__xludf.DUMMYFUNCTION("""COMPUTED_VALUE"""),101519.0)</f>
        <v>101519</v>
      </c>
      <c r="B1228" s="235" t="str">
        <f>IFERROR(__xludf.DUMMYFUNCTION("""COMPUTED_VALUE"""),"SHEREE ESPINOSA")</f>
        <v>SHEREE ESPINOSA</v>
      </c>
      <c r="C1228" s="235" t="str">
        <f>IFERROR(__xludf.DUMMYFUNCTION("""COMPUTED_VALUE"""),"HOUSEKEEPING")</f>
        <v>HOUSEKEEPING</v>
      </c>
      <c r="D1228" s="196" t="str">
        <f>IFERROR(__xludf.DUMMYFUNCTION("""COMPUTED_VALUE"""),"SIGNAGE ""SPORTS CONDITIONING CENTER""")</f>
        <v>SIGNAGE "SPORTS CONDITIONING CENTER"</v>
      </c>
      <c r="E1228" s="196" t="str">
        <f>IFERROR(__xludf.DUMMYFUNCTION("""COMPUTED_VALUE"""),"FOR WEIGHTS ROOM")</f>
        <v>FOR WEIGHTS ROOM</v>
      </c>
    </row>
    <row r="1229">
      <c r="A1229" s="234">
        <f>IFERROR(__xludf.DUMMYFUNCTION("""COMPUTED_VALUE"""),101520.0)</f>
        <v>101520</v>
      </c>
      <c r="B1229" s="235" t="str">
        <f>IFERROR(__xludf.DUMMYFUNCTION("""COMPUTED_VALUE"""),"RONALD OBLENO")</f>
        <v>RONALD OBLENO</v>
      </c>
      <c r="C1229" s="235" t="str">
        <f>IFERROR(__xludf.DUMMYFUNCTION("""COMPUTED_VALUE"""),"MIS/ICT")</f>
        <v>MIS/ICT</v>
      </c>
      <c r="D1229" s="196" t="str">
        <f>IFERROR(__xludf.DUMMYFUNCTION("""COMPUTED_VALUE"""),"INTEX AVR 350 PCS")</f>
        <v>INTEX AVR 350 PCS</v>
      </c>
      <c r="E1229" s="196" t="str">
        <f>IFERROR(__xludf.DUMMYFUNCTION("""COMPUTED_VALUE"""),"REPLACEMENT OF OLD AUTOVOLT REGULATOR UNIT IN ALL OFFICE, E-CLASSROON &amp; COMLAB")</f>
        <v>REPLACEMENT OF OLD AUTOVOLT REGULATOR UNIT IN ALL OFFICE, E-CLASSROON &amp; COMLAB</v>
      </c>
    </row>
    <row r="1230">
      <c r="A1230" s="234">
        <f>IFERROR(__xludf.DUMMYFUNCTION("""COMPUTED_VALUE"""),101521.0)</f>
        <v>101521</v>
      </c>
      <c r="B1230" s="235" t="str">
        <f>IFERROR(__xludf.DUMMYFUNCTION("""COMPUTED_VALUE"""),"CRISMARIE ESPINOSA")</f>
        <v>CRISMARIE ESPINOSA</v>
      </c>
      <c r="C1230" s="235" t="str">
        <f>IFERROR(__xludf.DUMMYFUNCTION("""COMPUTED_VALUE"""),"CEM OFFICE")</f>
        <v>CEM OFFICE</v>
      </c>
      <c r="D1230" s="196" t="str">
        <f>IFERROR(__xludf.DUMMYFUNCTION("""COMPUTED_VALUE"""),"DIGITAL INFRARED THERMOMETER")</f>
        <v>DIGITAL INFRARED THERMOMETER</v>
      </c>
      <c r="E1230" s="196" t="str">
        <f>IFERROR(__xludf.DUMMYFUNCTION("""COMPUTED_VALUE"""),"FOR SCHOLARS' HOUSE")</f>
        <v>FOR SCHOLARS' HOUSE</v>
      </c>
    </row>
    <row r="1231">
      <c r="A1231" s="234">
        <f>IFERROR(__xludf.DUMMYFUNCTION("""COMPUTED_VALUE"""),101522.0)</f>
        <v>101522</v>
      </c>
      <c r="B1231" s="235" t="str">
        <f>IFERROR(__xludf.DUMMYFUNCTION("""COMPUTED_VALUE"""),"SHEREE ESPINOSA")</f>
        <v>SHEREE ESPINOSA</v>
      </c>
      <c r="C1231" s="235" t="str">
        <f>IFERROR(__xludf.DUMMYFUNCTION("""COMPUTED_VALUE"""),"HOUSEKEEPING")</f>
        <v>HOUSEKEEPING</v>
      </c>
      <c r="D1231" s="196" t="str">
        <f>IFERROR(__xludf.DUMMYFUNCTION("""COMPUTED_VALUE"""),"HAND SANITIZER")</f>
        <v>HAND SANITIZER</v>
      </c>
      <c r="E1231" s="196" t="str">
        <f>IFERROR(__xludf.DUMMYFUNCTION("""COMPUTED_VALUE"""),"FOR ALL CAMPUSES")</f>
        <v>FOR ALL CAMPUSES</v>
      </c>
    </row>
    <row r="1232">
      <c r="A1232" s="234">
        <f>IFERROR(__xludf.DUMMYFUNCTION("""COMPUTED_VALUE"""),101523.0)</f>
        <v>101523</v>
      </c>
      <c r="B1232" s="235" t="str">
        <f>IFERROR(__xludf.DUMMYFUNCTION("""COMPUTED_VALUE"""),"OWIE PAR")</f>
        <v>OWIE PAR</v>
      </c>
      <c r="C1232" s="235" t="str">
        <f>IFERROR(__xludf.DUMMYFUNCTION("""COMPUTED_VALUE"""),"ENGINEERING")</f>
        <v>ENGINEERING</v>
      </c>
      <c r="D1232" s="196" t="str">
        <f>IFERROR(__xludf.DUMMYFUNCTION("""COMPUTED_VALUE"""),"GREASE TRAP MAINTAINER")</f>
        <v>GREASE TRAP MAINTAINER</v>
      </c>
      <c r="E1232" s="196" t="str">
        <f>IFERROR(__xludf.DUMMYFUNCTION("""COMPUTED_VALUE"""),"FOR GREASE TRAP CLEANOING")</f>
        <v>FOR GREASE TRAP CLEANOING</v>
      </c>
    </row>
    <row r="1233">
      <c r="A1233" s="234">
        <f>IFERROR(__xludf.DUMMYFUNCTION("""COMPUTED_VALUE"""),101524.0)</f>
        <v>101524</v>
      </c>
      <c r="B1233" s="235" t="str">
        <f>IFERROR(__xludf.DUMMYFUNCTION("""COMPUTED_VALUE"""),"ELYDIA REYES")</f>
        <v>ELYDIA REYES</v>
      </c>
      <c r="C1233" s="235" t="str">
        <f>IFERROR(__xludf.DUMMYFUNCTION("""COMPUTED_VALUE"""),"PR &amp; MARKETING")</f>
        <v>PR &amp; MARKETING</v>
      </c>
      <c r="D1233" s="196" t="str">
        <f>IFERROR(__xludf.DUMMYFUNCTION("""COMPUTED_VALUE"""),"IRC TARP 6.5X13.5 TARPAULIN WITH SEAMING AND EYELET ALL OVER 1PC")</f>
        <v>IRC TARP 6.5X13.5 TARPAULIN WITH SEAMING AND EYELET ALL OVER 1PC</v>
      </c>
      <c r="E1233" s="196" t="str">
        <f>IFERROR(__xludf.DUMMYFUNCTION("""COMPUTED_VALUE"""),"MARKETING")</f>
        <v>MARKETING</v>
      </c>
    </row>
    <row r="1234">
      <c r="A1234" s="234">
        <f>IFERROR(__xludf.DUMMYFUNCTION("""COMPUTED_VALUE"""),101525.0)</f>
        <v>101525</v>
      </c>
      <c r="B1234" s="235" t="str">
        <f>IFERROR(__xludf.DUMMYFUNCTION("""COMPUTED_VALUE"""),"REA VILLA")</f>
        <v>REA VILLA</v>
      </c>
      <c r="C1234" s="235" t="str">
        <f>IFERROR(__xludf.DUMMYFUNCTION("""COMPUTED_VALUE"""),"ATHLETICS")</f>
        <v>ATHLETICS</v>
      </c>
      <c r="D1234" s="196" t="str">
        <f>IFERROR(__xludf.DUMMYFUNCTION("""COMPUTED_VALUE"""),"ONE TEAM SHIRT AND JACKET")</f>
        <v>ONE TEAM SHIRT AND JACKET</v>
      </c>
      <c r="E1234" s="196" t="str">
        <f>IFERROR(__xludf.DUMMYFUNCTION("""COMPUTED_VALUE"""),"ISAC")</f>
        <v>ISAC</v>
      </c>
    </row>
    <row r="1235">
      <c r="A1235" s="234">
        <f>IFERROR(__xludf.DUMMYFUNCTION("""COMPUTED_VALUE"""),101526.0)</f>
        <v>101526</v>
      </c>
      <c r="B1235" s="235" t="str">
        <f>IFERROR(__xludf.DUMMYFUNCTION("""COMPUTED_VALUE"""),"JP RAGOT")</f>
        <v>JP RAGOT</v>
      </c>
      <c r="C1235" s="235" t="str">
        <f>IFERROR(__xludf.DUMMYFUNCTION("""COMPUTED_VALUE"""),"AMD")</f>
        <v>AMD</v>
      </c>
      <c r="D1235" s="196" t="str">
        <f>IFERROR(__xludf.DUMMYFUNCTION("""COMPUTED_VALUE"""),"AVR INTEX")</f>
        <v>AVR INTEX</v>
      </c>
      <c r="E1235" s="196" t="str">
        <f>IFERROR(__xludf.DUMMYFUNCTION("""COMPUTED_VALUE"""),"STOCK REPLENISHMENT- ")</f>
        <v>STOCK REPLENISHMENT- </v>
      </c>
    </row>
    <row r="1236">
      <c r="A1236" s="234">
        <f>IFERROR(__xludf.DUMMYFUNCTION("""COMPUTED_VALUE"""),101527.0)</f>
        <v>101527</v>
      </c>
      <c r="B1236" s="235" t="str">
        <f>IFERROR(__xludf.DUMMYFUNCTION("""COMPUTED_VALUE"""),"LEAH P BUHAY")</f>
        <v>LEAH P BUHAY</v>
      </c>
      <c r="C1236" s="235" t="str">
        <f>IFERROR(__xludf.DUMMYFUNCTION("""COMPUTED_VALUE"""),"PURCHASING")</f>
        <v>PURCHASING</v>
      </c>
      <c r="D1236" s="196" t="str">
        <f>IFERROR(__xludf.DUMMYFUNCTION("""COMPUTED_VALUE"""),"6 SLOT MONEY ORGANIZER")</f>
        <v>6 SLOT MONEY ORGANIZER</v>
      </c>
      <c r="E1236" s="196" t="str">
        <f>IFERROR(__xludf.DUMMYFUNCTION("""COMPUTED_VALUE"""),"TO ORGANIZE ADVANCE FIELD PURCHASE")</f>
        <v>TO ORGANIZE ADVANCE FIELD PURCHASE</v>
      </c>
    </row>
    <row r="1237">
      <c r="A1237" s="234">
        <f>IFERROR(__xludf.DUMMYFUNCTION("""COMPUTED_VALUE"""),101528.0)</f>
        <v>101528</v>
      </c>
      <c r="B1237" s="235" t="str">
        <f>IFERROR(__xludf.DUMMYFUNCTION("""COMPUTED_VALUE"""),"LUCILLE BEYER")</f>
        <v>LUCILLE BEYER</v>
      </c>
      <c r="C1237" s="235" t="str">
        <f>IFERROR(__xludf.DUMMYFUNCTION("""COMPUTED_VALUE"""),"MEDICAL")</f>
        <v>MEDICAL</v>
      </c>
      <c r="D1237" s="196" t="str">
        <f>IFERROR(__xludf.DUMMYFUNCTION("""COMPUTED_VALUE"""),"ADVIL
TUSERAN FORTE
BIOFLU
DIATABS
DECOLGEN-NON DROWSE
SOLMUX CAPSULE
TEMPRA
MEFENAMIC ACID
BIOGESIC
BAND AID
STREPSILS
VOLTAREN
BROWN PAPER BAG 
ICE CANDY BAG
EYEPAD
HIRUDOID
VICKS VAPORUB
GAUZE BANDAGE 
VENTOLIN NEBULE
BACTIDOL")</f>
        <v>ADVIL
TUSERAN FORTE
BIOFLU
DIATABS
DECOLGEN-NON DROWSE
SOLMUX CAPSULE
TEMPRA
MEFENAMIC ACID
BIOGESIC
BAND AID
STREPSILS
VOLTAREN
BROWN PAPER BAG 
ICE CANDY BAG
EYEPAD
HIRUDOID
VICKS VAPORUB
GAUZE BANDAGE 
VENTOLIN NEBULE
BACTIDOL</v>
      </c>
      <c r="E1237" s="196" t="str">
        <f>IFERROR(__xludf.DUMMYFUNCTION("""COMPUTED_VALUE"""),"REPLENISMENT")</f>
        <v>REPLENISMENT</v>
      </c>
    </row>
    <row r="1238">
      <c r="A1238" s="234">
        <f>IFERROR(__xludf.DUMMYFUNCTION("""COMPUTED_VALUE"""),101529.0)</f>
        <v>101529</v>
      </c>
      <c r="B1238" s="235" t="str">
        <f>IFERROR(__xludf.DUMMYFUNCTION("""COMPUTED_VALUE"""),"OWIE PAR")</f>
        <v>OWIE PAR</v>
      </c>
      <c r="C1238" s="235" t="str">
        <f>IFERROR(__xludf.DUMMYFUNCTION("""COMPUTED_VALUE"""),"ENGINEERING")</f>
        <v>ENGINEERING</v>
      </c>
      <c r="D1238" s="196" t="str">
        <f>IFERROR(__xludf.DUMMYFUNCTION("""COMPUTED_VALUE"""),"ANGEL BAR #1/4 X 1 1/2 X 5 METERS")</f>
        <v>ANGEL BAR #1/4 X 1 1/2 X 5 METERS</v>
      </c>
      <c r="E1238" s="196" t="str">
        <f>IFERROR(__xludf.DUMMYFUNCTION("""COMPUTED_VALUE"""),"IMMEDIATE REPAIR ")</f>
        <v>IMMEDIATE REPAIR </v>
      </c>
    </row>
    <row r="1239">
      <c r="A1239" s="234">
        <f>IFERROR(__xludf.DUMMYFUNCTION("""COMPUTED_VALUE"""),101530.0)</f>
        <v>101530</v>
      </c>
      <c r="B1239" s="235" t="str">
        <f>IFERROR(__xludf.DUMMYFUNCTION("""COMPUTED_VALUE"""),"PHEN PETIN")</f>
        <v>PHEN PETIN</v>
      </c>
      <c r="C1239" s="235" t="str">
        <f>IFERROR(__xludf.DUMMYFUNCTION("""COMPUTED_VALUE"""),"ADMIN")</f>
        <v>ADMIN</v>
      </c>
      <c r="D1239" s="196" t="str">
        <f>IFERROR(__xludf.DUMMYFUNCTION("""COMPUTED_VALUE"""),"CHANGE FILTER")</f>
        <v>CHANGE FILTER</v>
      </c>
      <c r="E1239" s="196" t="str">
        <f>IFERROR(__xludf.DUMMYFUNCTION("""COMPUTED_VALUE"""),"CHANGE FILTER")</f>
        <v>CHANGE FILTER</v>
      </c>
    </row>
    <row r="1240">
      <c r="A1240" s="234">
        <f>IFERROR(__xludf.DUMMYFUNCTION("""COMPUTED_VALUE"""),101531.0)</f>
        <v>101531</v>
      </c>
      <c r="B1240" s="235"/>
      <c r="C1240" s="235"/>
      <c r="D1240" s="196"/>
      <c r="E1240" s="196"/>
    </row>
    <row r="1241">
      <c r="A1241" s="234">
        <f>IFERROR(__xludf.DUMMYFUNCTION("""COMPUTED_VALUE"""),101532.0)</f>
        <v>101532</v>
      </c>
      <c r="B1241" s="235" t="str">
        <f>IFERROR(__xludf.DUMMYFUNCTION("""COMPUTED_VALUE"""),"OWIE PAR")</f>
        <v>OWIE PAR</v>
      </c>
      <c r="C1241" s="235" t="str">
        <f>IFERROR(__xludf.DUMMYFUNCTION("""COMPUTED_VALUE"""),"ENGINEERING")</f>
        <v>ENGINEERING</v>
      </c>
      <c r="D1241" s="196" t="str">
        <f>IFERROR(__xludf.DUMMYFUNCTION("""COMPUTED_VALUE"""),"ALUMINUM SULFATE 100 KLS ; ANFLOC POLYMER ")</f>
        <v>ALUMINUM SULFATE 100 KLS ; ANFLOC POLYMER </v>
      </c>
      <c r="E1241" s="196" t="str">
        <f>IFERROR(__xludf.DUMMYFUNCTION("""COMPUTED_VALUE"""),"FOR WASTE WATER TREATMENT")</f>
        <v>FOR WASTE WATER TREATMENT</v>
      </c>
    </row>
    <row r="1242">
      <c r="A1242" s="234">
        <f>IFERROR(__xludf.DUMMYFUNCTION("""COMPUTED_VALUE"""),101533.0)</f>
        <v>101533</v>
      </c>
      <c r="B1242" s="235" t="str">
        <f>IFERROR(__xludf.DUMMYFUNCTION("""COMPUTED_VALUE"""),"OWIE PAR")</f>
        <v>OWIE PAR</v>
      </c>
      <c r="C1242" s="235" t="str">
        <f>IFERROR(__xludf.DUMMYFUNCTION("""COMPUTED_VALUE"""),"ENGINEERING")</f>
        <v>ENGINEERING</v>
      </c>
      <c r="D1242" s="196" t="str">
        <f>IFERROR(__xludf.DUMMYFUNCTION("""COMPUTED_VALUE"""),"COPPER TUBE 5/8 , COPPER TUBE 1/2, COPPER TUBE 1/4, INSULATION 5/8, INSULATION 1/2, INSULATION 1/4, INSULATION 3/8/ white film")</f>
        <v>COPPER TUBE 5/8 , COPPER TUBE 1/2, COPPER TUBE 1/4, INSULATION 5/8, INSULATION 1/2, INSULATION 1/4, INSULATION 3/8/ white film</v>
      </c>
      <c r="E1242" s="196" t="str">
        <f>IFERROR(__xludf.DUMMYFUNCTION("""COMPUTED_VALUE"""),"FOR ACU INSTALLATION")</f>
        <v>FOR ACU INSTALLATION</v>
      </c>
    </row>
    <row r="1243">
      <c r="A1243" s="234">
        <f>IFERROR(__xludf.DUMMYFUNCTION("""COMPUTED_VALUE"""),101534.0)</f>
        <v>101534</v>
      </c>
      <c r="B1243" s="235" t="str">
        <f>IFERROR(__xludf.DUMMYFUNCTION("""COMPUTED_VALUE"""),"OWIE PAR")</f>
        <v>OWIE PAR</v>
      </c>
      <c r="C1243" s="235" t="str">
        <f>IFERROR(__xludf.DUMMYFUNCTION("""COMPUTED_VALUE"""),"ENGINEERING")</f>
        <v>ENGINEERING</v>
      </c>
      <c r="D1243" s="196" t="str">
        <f>IFERROR(__xludf.DUMMYFUNCTION("""COMPUTED_VALUE"""),"CIRCUIT BREAKER 30 AMP WITH ENCLOSURE / THHN 12 (GREEN, YELLOW, BLACK, RED, BLUE) , PVC PIPE, ELECTRICAL TAPE")</f>
        <v>CIRCUIT BREAKER 30 AMP WITH ENCLOSURE / THHN 12 (GREEN, YELLOW, BLACK, RED, BLUE) , PVC PIPE, ELECTRICAL TAPE</v>
      </c>
      <c r="E1243" s="196" t="str">
        <f>IFERROR(__xludf.DUMMYFUNCTION("""COMPUTED_VALUE"""),"FOR ACU INSTALLATION COACHER RM")</f>
        <v>FOR ACU INSTALLATION COACHER RM</v>
      </c>
    </row>
    <row r="1244">
      <c r="A1244" s="234">
        <f>IFERROR(__xludf.DUMMYFUNCTION("""COMPUTED_VALUE"""),101535.0)</f>
        <v>101535</v>
      </c>
      <c r="B1244" s="235" t="str">
        <f>IFERROR(__xludf.DUMMYFUNCTION("""COMPUTED_VALUE"""),"JORA CASIS")</f>
        <v>JORA CASIS</v>
      </c>
      <c r="C1244" s="235" t="str">
        <f>IFERROR(__xludf.DUMMYFUNCTION("""COMPUTED_VALUE"""),"Business and Financial Literacy")</f>
        <v>Business and Financial Literacy</v>
      </c>
      <c r="D1244" s="196" t="str">
        <f>IFERROR(__xludf.DUMMYFUNCTION("""COMPUTED_VALUE"""),"CALLING CARD")</f>
        <v>CALLING CARD</v>
      </c>
      <c r="E1244" s="196" t="str">
        <f>IFERROR(__xludf.DUMMYFUNCTION("""COMPUTED_VALUE"""),"FOR DR VIC CALLING CARD")</f>
        <v>FOR DR VIC CALLING CARD</v>
      </c>
    </row>
    <row r="1245">
      <c r="A1245" s="234">
        <f>IFERROR(__xludf.DUMMYFUNCTION("""COMPUTED_VALUE"""),101536.0)</f>
        <v>101536</v>
      </c>
      <c r="B1245" s="235" t="str">
        <f>IFERROR(__xludf.DUMMYFUNCTION("""COMPUTED_VALUE"""),"Nessie lumbres")</f>
        <v>Nessie lumbres</v>
      </c>
      <c r="C1245" s="235" t="str">
        <f>IFERROR(__xludf.DUMMYFUNCTION("""COMPUTED_VALUE"""),"DP SPECIAL PROGRAMS")</f>
        <v>DP SPECIAL PROGRAMS</v>
      </c>
      <c r="D1245" s="196" t="str">
        <f>IFERROR(__xludf.DUMMYFUNCTION("""COMPUTED_VALUE"""),"PRINTING OF SCHOOL DIGEST ")</f>
        <v>PRINTING OF SCHOOL DIGEST </v>
      </c>
      <c r="E1245" s="196" t="str">
        <f>IFERROR(__xludf.DUMMYFUNCTION("""COMPUTED_VALUE"""),"PRINTING")</f>
        <v>PRINTING</v>
      </c>
    </row>
    <row r="1246">
      <c r="A1246" s="234">
        <f>IFERROR(__xludf.DUMMYFUNCTION("""COMPUTED_VALUE"""),101537.0)</f>
        <v>101537</v>
      </c>
      <c r="B1246" s="235" t="str">
        <f>IFERROR(__xludf.DUMMYFUNCTION("""COMPUTED_VALUE"""),"BENJO DELA CRUZ")</f>
        <v>BENJO DELA CRUZ</v>
      </c>
      <c r="C1246" s="235" t="str">
        <f>IFERROR(__xludf.DUMMYFUNCTION("""COMPUTED_VALUE"""),"AMD")</f>
        <v>AMD</v>
      </c>
      <c r="D1246" s="196" t="str">
        <f>IFERROR(__xludf.DUMMYFUNCTION("""COMPUTED_VALUE"""),"A4 STICKER PAPER MATTE 30 PACKS AND PACKAGING TAPE (10 PCS)")</f>
        <v>A4 STICKER PAPER MATTE 30 PACKS AND PACKAGING TAPE (10 PCS)</v>
      </c>
      <c r="E1246" s="196" t="str">
        <f>IFERROR(__xludf.DUMMYFUNCTION("""COMPUTED_VALUE"""),"EMERGENCY YEARBOOKS")</f>
        <v>EMERGENCY YEARBOOKS</v>
      </c>
    </row>
    <row r="1247">
      <c r="A1247" s="234">
        <f>IFERROR(__xludf.DUMMYFUNCTION("""COMPUTED_VALUE"""),101538.0)</f>
        <v>101538</v>
      </c>
      <c r="B1247" s="235" t="str">
        <f>IFERROR(__xludf.DUMMYFUNCTION("""COMPUTED_VALUE"""),"APRIL D. TRAJICO")</f>
        <v>APRIL D. TRAJICO</v>
      </c>
      <c r="C1247" s="235" t="str">
        <f>IFERROR(__xludf.DUMMYFUNCTION("""COMPUTED_VALUE"""),"AMD")</f>
        <v>AMD</v>
      </c>
      <c r="D1247" s="196" t="str">
        <f>IFERROR(__xludf.DUMMYFUNCTION("""COMPUTED_VALUE"""),"ENVELOPE, SISC LETTER COLORED 6500PCS")</f>
        <v>ENVELOPE, SISC LETTER COLORED 6500PCS</v>
      </c>
      <c r="E1247" s="196" t="str">
        <f>IFERROR(__xludf.DUMMYFUNCTION("""COMPUTED_VALUE"""),"STOCK REPLENISHMENT - OSSUP")</f>
        <v>STOCK REPLENISHMENT - OSSUP</v>
      </c>
    </row>
    <row r="1248">
      <c r="A1248" s="234">
        <f>IFERROR(__xludf.DUMMYFUNCTION("""COMPUTED_VALUE"""),101539.0)</f>
        <v>101539</v>
      </c>
      <c r="B1248" s="235" t="str">
        <f>IFERROR(__xludf.DUMMYFUNCTION("""COMPUTED_VALUE"""),"APRIL D. TRAJICO")</f>
        <v>APRIL D. TRAJICO</v>
      </c>
      <c r="C1248" s="235" t="str">
        <f>IFERROR(__xludf.DUMMYFUNCTION("""COMPUTED_VALUE"""),"AMD")</f>
        <v>AMD</v>
      </c>
      <c r="D1248" s="196" t="str">
        <f>IFERROR(__xludf.DUMMYFUNCTION("""COMPUTED_VALUE"""),"HIGHLIGHTER, STABILO ORANGE 10PCS; HIGHLIGHTER STABILO YELLOW 30PCS; PAPER, COLORED FORTUNE YELLOW 1000PCS (3PACKS); FOLDER, PLASTIC SLIDE SHORT 36PCS; TAPE, DOUBLE SIDED TAPE W/O FOAM 60PCS")</f>
        <v>HIGHLIGHTER, STABILO ORANGE 10PCS; HIGHLIGHTER STABILO YELLOW 30PCS; PAPER, COLORED FORTUNE YELLOW 1000PCS (3PACKS); FOLDER, PLASTIC SLIDE SHORT 36PCS; TAPE, DOUBLE SIDED TAPE W/O FOAM 60PCS</v>
      </c>
      <c r="E1248" s="196" t="str">
        <f>IFERROR(__xludf.DUMMYFUNCTION("""COMPUTED_VALUE"""),"STOCK REPLENISHMENT - OSSUP")</f>
        <v>STOCK REPLENISHMENT - OSSUP</v>
      </c>
    </row>
    <row r="1249">
      <c r="A1249" s="234">
        <f>IFERROR(__xludf.DUMMYFUNCTION("""COMPUTED_VALUE"""),101540.0)</f>
        <v>101540</v>
      </c>
      <c r="B1249" s="235" t="str">
        <f>IFERROR(__xludf.DUMMYFUNCTION("""COMPUTED_VALUE"""),"APRIL D. TRAJICO")</f>
        <v>APRIL D. TRAJICO</v>
      </c>
      <c r="C1249" s="235" t="str">
        <f>IFERROR(__xludf.DUMMYFUNCTION("""COMPUTED_VALUE"""),"AMD")</f>
        <v>AMD</v>
      </c>
      <c r="D1249" s="196" t="str">
        <f>IFERROR(__xludf.DUMMYFUNCTION("""COMPUTED_VALUE"""),"PAPER, COPY-LASER A4 SUB. 20 WHITE 45REAMS")</f>
        <v>PAPER, COPY-LASER A4 SUB. 20 WHITE 45REAMS</v>
      </c>
      <c r="E1249" s="196" t="str">
        <f>IFERROR(__xludf.DUMMYFUNCTION("""COMPUTED_VALUE"""),"STOCK REPLENISHMENT - OSSUP")</f>
        <v>STOCK REPLENISHMENT - OSSUP</v>
      </c>
    </row>
    <row r="1250">
      <c r="A1250" s="234">
        <f>IFERROR(__xludf.DUMMYFUNCTION("""COMPUTED_VALUE"""),101541.0)</f>
        <v>101541</v>
      </c>
      <c r="B1250" s="235" t="str">
        <f>IFERROR(__xludf.DUMMYFUNCTION("""COMPUTED_VALUE"""),"APRIL D. TRAJICO")</f>
        <v>APRIL D. TRAJICO</v>
      </c>
      <c r="C1250" s="235" t="str">
        <f>IFERROR(__xludf.DUMMYFUNCTION("""COMPUTED_VALUE"""),"AMD")</f>
        <v>AMD</v>
      </c>
      <c r="D1250" s="196" t="str">
        <f>IFERROR(__xludf.DUMMYFUNCTION("""COMPUTED_VALUE"""),"ALCOHOL, GREEN CROSS 70% 500mL ANTISEPTIC 50PCS (ISOPROPYL ALCOHOL)")</f>
        <v>ALCOHOL, GREEN CROSS 70% 500mL ANTISEPTIC 50PCS (ISOPROPYL ALCOHOL)</v>
      </c>
      <c r="E1250" s="196" t="str">
        <f>IFERROR(__xludf.DUMMYFUNCTION("""COMPUTED_VALUE"""),"STOCK REPLENISHMENT - OSSUP")</f>
        <v>STOCK REPLENISHMENT - OSSUP</v>
      </c>
    </row>
    <row r="1251">
      <c r="A1251" s="234">
        <f>IFERROR(__xludf.DUMMYFUNCTION("""COMPUTED_VALUE"""),101542.0)</f>
        <v>101542</v>
      </c>
      <c r="B1251" s="235" t="str">
        <f>IFERROR(__xludf.DUMMYFUNCTION("""COMPUTED_VALUE"""),"OWIE PAR")</f>
        <v>OWIE PAR</v>
      </c>
      <c r="C1251" s="235" t="str">
        <f>IFERROR(__xludf.DUMMYFUNCTION("""COMPUTED_VALUE"""),"ENGINEERING")</f>
        <v>ENGINEERING</v>
      </c>
      <c r="D1251" s="196" t="str">
        <f>IFERROR(__xludf.DUMMYFUNCTION("""COMPUTED_VALUE"""),"1.5 HO PORTABLE AIRCON ABENSON")</f>
        <v>1.5 HO PORTABLE AIRCON ABENSON</v>
      </c>
      <c r="E1251" s="196" t="str">
        <f>IFERROR(__xludf.DUMMYFUNCTION("""COMPUTED_VALUE"""),"BACK UP ACU FOR THE CLASSROOM IN CASE ACU WONT BE FUNCTIONING")</f>
        <v>BACK UP ACU FOR THE CLASSROOM IN CASE ACU WONT BE FUNCTIONING</v>
      </c>
    </row>
    <row r="1252">
      <c r="A1252" s="234">
        <f>IFERROR(__xludf.DUMMYFUNCTION("""COMPUTED_VALUE"""),101543.0)</f>
        <v>101543</v>
      </c>
      <c r="B1252" s="235" t="str">
        <f>IFERROR(__xludf.DUMMYFUNCTION("""COMPUTED_VALUE"""),"ADRIAN GE GUINTO")</f>
        <v>ADRIAN GE GUINTO</v>
      </c>
      <c r="C1252" s="235" t="str">
        <f>IFERROR(__xludf.DUMMYFUNCTION("""COMPUTED_VALUE"""),"PR &amp; MARKETING")</f>
        <v>PR &amp; MARKETING</v>
      </c>
      <c r="D1252" s="196" t="str">
        <f>IFERROR(__xludf.DUMMYFUNCTION("""COMPUTED_VALUE"""),"PRE-ADMISSION EXAM FEE 6.5 X 13.5 FT")</f>
        <v>PRE-ADMISSION EXAM FEE 6.5 X 13.5 FT</v>
      </c>
      <c r="E1252" s="196" t="str">
        <f>IFERROR(__xludf.DUMMYFUNCTION("""COMPUTED_VALUE"""),"FOR MARKETING PURPOSES")</f>
        <v>FOR MARKETING PURPOSES</v>
      </c>
    </row>
    <row r="1253">
      <c r="A1253" s="234">
        <f>IFERROR(__xludf.DUMMYFUNCTION("""COMPUTED_VALUE"""),101544.0)</f>
        <v>101544</v>
      </c>
      <c r="B1253" s="235" t="str">
        <f>IFERROR(__xludf.DUMMYFUNCTION("""COMPUTED_VALUE"""),"OWIE PAR")</f>
        <v>OWIE PAR</v>
      </c>
      <c r="C1253" s="235" t="str">
        <f>IFERROR(__xludf.DUMMYFUNCTION("""COMPUTED_VALUE"""),"ENGINEERING")</f>
        <v>ENGINEERING</v>
      </c>
      <c r="D1253" s="196" t="str">
        <f>IFERROR(__xludf.DUMMYFUNCTION("""COMPUTED_VALUE"""),"ACU 60 HP CEILING CASSETTE")</f>
        <v>ACU 60 HP CEILING CASSETTE</v>
      </c>
      <c r="E1253" s="196" t="str">
        <f>IFERROR(__xludf.DUMMYFUNCTION("""COMPUTED_VALUE"""),"FOR COL MPH")</f>
        <v>FOR COL MPH</v>
      </c>
    </row>
    <row r="1254">
      <c r="A1254" s="234">
        <f>IFERROR(__xludf.DUMMYFUNCTION("""COMPUTED_VALUE"""),101545.0)</f>
        <v>101545</v>
      </c>
      <c r="B1254" s="235" t="str">
        <f>IFERROR(__xludf.DUMMYFUNCTION("""COMPUTED_VALUE"""),"KATE TAPEL")</f>
        <v>KATE TAPEL</v>
      </c>
      <c r="C1254" s="235" t="str">
        <f>IFERROR(__xludf.DUMMYFUNCTION("""COMPUTED_VALUE"""),"PRESIDENT'S OFFICE")</f>
        <v>PRESIDENT'S OFFICE</v>
      </c>
      <c r="D1254" s="196" t="str">
        <f>IFERROR(__xludf.DUMMYFUNCTION("""COMPUTED_VALUE"""),"FELT FOLDER (PURPLE)")</f>
        <v>FELT FOLDER (PURPLE)</v>
      </c>
      <c r="E1254" s="196" t="str">
        <f>IFERROR(__xludf.DUMMYFUNCTION("""COMPUTED_VALUE"""),"FOR MOA SIGNING/FUTURE USES")</f>
        <v>FOR MOA SIGNING/FUTURE USES</v>
      </c>
    </row>
    <row r="1255">
      <c r="A1255" s="234">
        <f>IFERROR(__xludf.DUMMYFUNCTION("""COMPUTED_VALUE"""),101546.0)</f>
        <v>101546</v>
      </c>
      <c r="B1255" s="235" t="str">
        <f>IFERROR(__xludf.DUMMYFUNCTION("""COMPUTED_VALUE"""),"JP RAGOT")</f>
        <v>JP RAGOT</v>
      </c>
      <c r="C1255" s="235" t="str">
        <f>IFERROR(__xludf.DUMMYFUNCTION("""COMPUTED_VALUE"""),"AMD")</f>
        <v>AMD</v>
      </c>
      <c r="D1255" s="196" t="str">
        <f>IFERROR(__xludf.DUMMYFUNCTION("""COMPUTED_VALUE"""),"CPU CASE / HARD DISK 1TB / HARD DISK 2TB")</f>
        <v>CPU CASE / HARD DISK 1TB / HARD DISK 2TB</v>
      </c>
      <c r="E1255" s="196" t="str">
        <f>IFERROR(__xludf.DUMMYFUNCTION("""COMPUTED_VALUE"""),"STOCK REPLENISHMENT- MIS")</f>
        <v>STOCK REPLENISHMENT- MIS</v>
      </c>
    </row>
    <row r="1256">
      <c r="A1256" s="234">
        <f>IFERROR(__xludf.DUMMYFUNCTION("""COMPUTED_VALUE"""),101547.0)</f>
        <v>101547</v>
      </c>
      <c r="B1256" s="235" t="str">
        <f>IFERROR(__xludf.DUMMYFUNCTION("""COMPUTED_VALUE"""),"JP RAGOT")</f>
        <v>JP RAGOT</v>
      </c>
      <c r="C1256" s="235" t="str">
        <f>IFERROR(__xludf.DUMMYFUNCTION("""COMPUTED_VALUE"""),"AMD")</f>
        <v>AMD</v>
      </c>
      <c r="D1256" s="196" t="str">
        <f>IFERROR(__xludf.DUMMYFUNCTION("""COMPUTED_VALUE"""),"EZ LABELLER")</f>
        <v>EZ LABELLER</v>
      </c>
      <c r="E1256" s="196"/>
    </row>
    <row r="1257">
      <c r="A1257" s="234">
        <f>IFERROR(__xludf.DUMMYFUNCTION("""COMPUTED_VALUE"""),101548.0)</f>
        <v>101548</v>
      </c>
      <c r="B1257" s="235" t="str">
        <f>IFERROR(__xludf.DUMMYFUNCTION("""COMPUTED_VALUE"""),"JP RAGOT")</f>
        <v>JP RAGOT</v>
      </c>
      <c r="C1257" s="235" t="str">
        <f>IFERROR(__xludf.DUMMYFUNCTION("""COMPUTED_VALUE"""),"AMD")</f>
        <v>AMD</v>
      </c>
      <c r="D1257" s="196" t="str">
        <f>IFERROR(__xludf.DUMMYFUNCTION("""COMPUTED_VALUE"""),"HEADSET LOGITECH")</f>
        <v>HEADSET LOGITECH</v>
      </c>
      <c r="E1257" s="196" t="str">
        <f>IFERROR(__xludf.DUMMYFUNCTION("""COMPUTED_VALUE"""),"STOCK REPLENISHMENT- MIS")</f>
        <v>STOCK REPLENISHMENT- MIS</v>
      </c>
    </row>
    <row r="1258">
      <c r="A1258" s="234">
        <f>IFERROR(__xludf.DUMMYFUNCTION("""COMPUTED_VALUE"""),101549.0)</f>
        <v>101549</v>
      </c>
      <c r="B1258" s="235" t="str">
        <f>IFERROR(__xludf.DUMMYFUNCTION("""COMPUTED_VALUE"""),"JP RAGOT")</f>
        <v>JP RAGOT</v>
      </c>
      <c r="C1258" s="235" t="str">
        <f>IFERROR(__xludf.DUMMYFUNCTION("""COMPUTED_VALUE"""),"AMD")</f>
        <v>AMD</v>
      </c>
      <c r="D1258" s="196" t="str">
        <f>IFERROR(__xludf.DUMMYFUNCTION("""COMPUTED_VALUE"""),"LAN CARD PCI / LAN CARD PCIE / VGA CORD 1.8METERS")</f>
        <v>LAN CARD PCI / LAN CARD PCIE / VGA CORD 1.8METERS</v>
      </c>
      <c r="E1258" s="196" t="str">
        <f>IFERROR(__xludf.DUMMYFUNCTION("""COMPUTED_VALUE"""),"STOCK REPLENISHMENT- MIS")</f>
        <v>STOCK REPLENISHMENT- MIS</v>
      </c>
    </row>
    <row r="1259">
      <c r="A1259" s="234">
        <f>IFERROR(__xludf.DUMMYFUNCTION("""COMPUTED_VALUE"""),101550.0)</f>
        <v>101550</v>
      </c>
      <c r="B1259" s="235" t="str">
        <f>IFERROR(__xludf.DUMMYFUNCTION("""COMPUTED_VALUE"""),"JP RAGOT")</f>
        <v>JP RAGOT</v>
      </c>
      <c r="C1259" s="235" t="str">
        <f>IFERROR(__xludf.DUMMYFUNCTION("""COMPUTED_VALUE"""),"AMD")</f>
        <v>AMD</v>
      </c>
      <c r="D1259" s="196" t="str">
        <f>IFERROR(__xludf.DUMMYFUNCTION("""COMPUTED_VALUE"""),"WIFI CARD PCIE")</f>
        <v>WIFI CARD PCIE</v>
      </c>
      <c r="E1259" s="196" t="str">
        <f>IFERROR(__xludf.DUMMYFUNCTION("""COMPUTED_VALUE"""),"STOCK REPLENISHMENT - MIS")</f>
        <v>STOCK REPLENISHMENT - MIS</v>
      </c>
    </row>
    <row r="1260">
      <c r="A1260" s="234">
        <f>IFERROR(__xludf.DUMMYFUNCTION("""COMPUTED_VALUE"""),101551.0)</f>
        <v>101551</v>
      </c>
      <c r="B1260" s="235" t="str">
        <f>IFERROR(__xludf.DUMMYFUNCTION("""COMPUTED_VALUE"""),"MARVIN MARASIGAN")</f>
        <v>MARVIN MARASIGAN</v>
      </c>
      <c r="C1260" s="235" t="str">
        <f>IFERROR(__xludf.DUMMYFUNCTION("""COMPUTED_VALUE"""),"PR &amp; MARKETING")</f>
        <v>PR &amp; MARKETING</v>
      </c>
      <c r="D1260" s="196" t="str">
        <f>IFERROR(__xludf.DUMMYFUNCTION("""COMPUTED_VALUE"""),"ACRYLIC FLYER HOLDER / QUATER SIZE ACRYLIC HOLDER / FULL LETTER SIZE ACCRYLIC HOLDER")</f>
        <v>ACRYLIC FLYER HOLDER / QUATER SIZE ACRYLIC HOLDER / FULL LETTER SIZE ACCRYLIC HOLDER</v>
      </c>
      <c r="E1260" s="196" t="str">
        <f>IFERROR(__xludf.DUMMYFUNCTION("""COMPUTED_VALUE"""),"FOR INFORMATION DISSEMINATION REGARDING COVID19")</f>
        <v>FOR INFORMATION DISSEMINATION REGARDING COVID19</v>
      </c>
    </row>
    <row r="1261">
      <c r="A1261" s="234">
        <f>IFERROR(__xludf.DUMMYFUNCTION("""COMPUTED_VALUE"""),101552.0)</f>
        <v>101552</v>
      </c>
      <c r="B1261" s="235" t="str">
        <f>IFERROR(__xludf.DUMMYFUNCTION("""COMPUTED_VALUE"""),"CHRISTIAN MARK MARBIBI")</f>
        <v>CHRISTIAN MARK MARBIBI</v>
      </c>
      <c r="C1261" s="235" t="str">
        <f>IFERROR(__xludf.DUMMYFUNCTION("""COMPUTED_VALUE"""),"HOUSEKEEPING")</f>
        <v>HOUSEKEEPING</v>
      </c>
      <c r="D1261" s="196" t="str">
        <f>IFERROR(__xludf.DUMMYFUNCTION("""COMPUTED_VALUE"""),"30 GAL ECOLUTION DISINFECTANT; 20 GAL SWEET SUNSATION")</f>
        <v>30 GAL ECOLUTION DISINFECTANT; 20 GAL SWEET SUNSATION</v>
      </c>
      <c r="E1261" s="196" t="str">
        <f>IFERROR(__xludf.DUMMYFUNCTION("""COMPUTED_VALUE"""),"PREVENTIVE MEASURE FOR CORONA VIRUS DISEASE-19")</f>
        <v>PREVENTIVE MEASURE FOR CORONA VIRUS DISEASE-19</v>
      </c>
    </row>
    <row r="1262">
      <c r="A1262" s="234">
        <f>IFERROR(__xludf.DUMMYFUNCTION("""COMPUTED_VALUE"""),101553.0)</f>
        <v>101553</v>
      </c>
      <c r="B1262" s="235" t="str">
        <f>IFERROR(__xludf.DUMMYFUNCTION("""COMPUTED_VALUE"""),"BENJO DELA CRUZ")</f>
        <v>BENJO DELA CRUZ</v>
      </c>
      <c r="C1262" s="235" t="str">
        <f>IFERROR(__xludf.DUMMYFUNCTION("""COMPUTED_VALUE"""),"AMD")</f>
        <v>AMD</v>
      </c>
      <c r="D1262" s="196" t="str">
        <f>IFERROR(__xludf.DUMMYFUNCTION("""COMPUTED_VALUE"""),"TOGA
XS - 56
S - 32
M - 27
L - 20
XL - 17")</f>
        <v>TOGA
XS - 56
S - 32
M - 27
L - 20
XL - 17</v>
      </c>
      <c r="E1262" s="196" t="str">
        <f>IFERROR(__xludf.DUMMYFUNCTION("""COMPUTED_VALUE"""),"NEW TOGA FOR GRADE 12")</f>
        <v>NEW TOGA FOR GRADE 12</v>
      </c>
    </row>
    <row r="1263">
      <c r="A1263" s="234">
        <f>IFERROR(__xludf.DUMMYFUNCTION("""COMPUTED_VALUE"""),101554.0)</f>
        <v>101554</v>
      </c>
      <c r="B1263" s="235" t="str">
        <f>IFERROR(__xludf.DUMMYFUNCTION("""COMPUTED_VALUE"""),"CHRISTIAN MARK MARBIBI")</f>
        <v>CHRISTIAN MARK MARBIBI</v>
      </c>
      <c r="C1263" s="235" t="str">
        <f>IFERROR(__xludf.DUMMYFUNCTION("""COMPUTED_VALUE"""),"HOUSEKEEPING")</f>
        <v>HOUSEKEEPING</v>
      </c>
      <c r="D1263" s="196" t="str">
        <f>IFERROR(__xludf.DUMMYFUNCTION("""COMPUTED_VALUE"""),"50 PACKS CHLORINE 1KG; 50 PCS SPRAY GUN; 200 PCS RUBBER GLOVES;200 PCS FLANELA BLUE: 200 PCS FLANELA PINK; 200 PCS YELLOW; 100 PCS MOP HEAD")</f>
        <v>50 PACKS CHLORINE 1KG; 50 PCS SPRAY GUN; 200 PCS RUBBER GLOVES;200 PCS FLANELA BLUE: 200 PCS FLANELA PINK; 200 PCS YELLOW; 100 PCS MOP HEAD</v>
      </c>
      <c r="E1263" s="196" t="str">
        <f>IFERROR(__xludf.DUMMYFUNCTION("""COMPUTED_VALUE"""),"PREVENTIVE MEASURE FOR CORONA VIRUS DISEASE-19")</f>
        <v>PREVENTIVE MEASURE FOR CORONA VIRUS DISEASE-19</v>
      </c>
    </row>
    <row r="1264">
      <c r="A1264" s="234">
        <f>IFERROR(__xludf.DUMMYFUNCTION("""COMPUTED_VALUE"""),101555.0)</f>
        <v>101555</v>
      </c>
      <c r="B1264" s="235" t="str">
        <f>IFERROR(__xludf.DUMMYFUNCTION("""COMPUTED_VALUE"""),"CHRISTIAN MARK MARBIBI")</f>
        <v>CHRISTIAN MARK MARBIBI</v>
      </c>
      <c r="C1264" s="235" t="str">
        <f>IFERROR(__xludf.DUMMYFUNCTION("""COMPUTED_VALUE"""),"HOUSEKEEPING")</f>
        <v>HOUSEKEEPING</v>
      </c>
      <c r="D1264" s="196" t="str">
        <f>IFERROR(__xludf.DUMMYFUNCTION("""COMPUTED_VALUE"""),"20 GAL ZONROX BLEACH 1GAL")</f>
        <v>20 GAL ZONROX BLEACH 1GAL</v>
      </c>
      <c r="E1264" s="196" t="str">
        <f>IFERROR(__xludf.DUMMYFUNCTION("""COMPUTED_VALUE"""),"PREVENTIVE MEASURE FOR CORONA VIRUS DISEASE-19")</f>
        <v>PREVENTIVE MEASURE FOR CORONA VIRUS DISEASE-19</v>
      </c>
    </row>
    <row r="1265">
      <c r="A1265" s="234">
        <f>IFERROR(__xludf.DUMMYFUNCTION("""COMPUTED_VALUE"""),101556.0)</f>
        <v>101556</v>
      </c>
      <c r="B1265" s="235" t="str">
        <f>IFERROR(__xludf.DUMMYFUNCTION("""COMPUTED_VALUE"""),"JP RAGOT")</f>
        <v>JP RAGOT</v>
      </c>
      <c r="C1265" s="235" t="str">
        <f>IFERROR(__xludf.DUMMYFUNCTION("""COMPUTED_VALUE"""),"AMD")</f>
        <v>AMD</v>
      </c>
      <c r="D1265" s="196" t="str">
        <f>IFERROR(__xludf.DUMMYFUNCTION("""COMPUTED_VALUE"""),"PATIENT GOWN/ face mask/ shoe cover")</f>
        <v>PATIENT GOWN/ face mask/ shoe cover</v>
      </c>
      <c r="E1265" s="196" t="str">
        <f>IFERROR(__xludf.DUMMYFUNCTION("""COMPUTED_VALUE"""),"COVID19 PREPARATION-DISINFECTION ")</f>
        <v>COVID19 PREPARATION-DISINFECTION </v>
      </c>
    </row>
    <row r="1266">
      <c r="A1266" s="234">
        <f>IFERROR(__xludf.DUMMYFUNCTION("""COMPUTED_VALUE"""),101557.0)</f>
        <v>101557</v>
      </c>
      <c r="B1266" s="235" t="str">
        <f>IFERROR(__xludf.DUMMYFUNCTION("""COMPUTED_VALUE"""),"LUCILLE BEYER")</f>
        <v>LUCILLE BEYER</v>
      </c>
      <c r="C1266" s="235" t="str">
        <f>IFERROR(__xludf.DUMMYFUNCTION("""COMPUTED_VALUE"""),"MEDICAL")</f>
        <v>MEDICAL</v>
      </c>
      <c r="D1266" s="196" t="str">
        <f>IFERROR(__xludf.DUMMYFUNCTION("""COMPUTED_VALUE"""),"10 GALLONS OF 70% ISOPROPHYL ALCOHOL
30 BOXES 3PLY FACE MASK")</f>
        <v>10 GALLONS OF 70% ISOPROPHYL ALCOHOL
30 BOXES 3PLY FACE MASK</v>
      </c>
      <c r="E1266" s="196" t="str">
        <f>IFERROR(__xludf.DUMMYFUNCTION("""COMPUTED_VALUE"""),"COVID19 PRECAUTIONARY MEASURES")</f>
        <v>COVID19 PRECAUTIONARY MEASURES</v>
      </c>
    </row>
    <row r="1267">
      <c r="A1267" s="234">
        <f>IFERROR(__xludf.DUMMYFUNCTION("""COMPUTED_VALUE"""),101558.0)</f>
        <v>101558</v>
      </c>
      <c r="B1267" s="235" t="str">
        <f>IFERROR(__xludf.DUMMYFUNCTION("""COMPUTED_VALUE"""),"CLARISSA SORIAO")</f>
        <v>CLARISSA SORIAO</v>
      </c>
      <c r="C1267" s="235" t="str">
        <f>IFERROR(__xludf.DUMMYFUNCTION("""COMPUTED_VALUE"""),"HRMD")</f>
        <v>HRMD</v>
      </c>
      <c r="D1267" s="196" t="str">
        <f>IFERROR(__xludf.DUMMYFUNCTION("""COMPUTED_VALUE"""),"FLOWER WREATH")</f>
        <v>FLOWER WREATH</v>
      </c>
      <c r="E1267" s="196"/>
    </row>
    <row r="1268">
      <c r="A1268" s="234">
        <f>IFERROR(__xludf.DUMMYFUNCTION("""COMPUTED_VALUE"""),101559.0)</f>
        <v>101559</v>
      </c>
      <c r="B1268" s="235" t="str">
        <f>IFERROR(__xludf.DUMMYFUNCTION("""COMPUTED_VALUE"""),"APOLLO MANCE")</f>
        <v>APOLLO MANCE</v>
      </c>
      <c r="C1268" s="235" t="str">
        <f>IFERROR(__xludf.DUMMYFUNCTION("""COMPUTED_VALUE"""),"STUDENT AFFAIRS BED")</f>
        <v>STUDENT AFFAIRS BED</v>
      </c>
      <c r="D1268" s="196" t="str">
        <f>IFERROR(__xludf.DUMMYFUNCTION("""COMPUTED_VALUE"""),"STICKER LABEL CIRCLE")</f>
        <v>STICKER LABEL CIRCLE</v>
      </c>
      <c r="E1268" s="196" t="str">
        <f>IFERROR(__xludf.DUMMYFUNCTION("""COMPUTED_VALUE"""),"FOR NCOV VERIFICATION")</f>
        <v>FOR NCOV VERIFICATION</v>
      </c>
    </row>
    <row r="1269">
      <c r="A1269" s="234">
        <f>IFERROR(__xludf.DUMMYFUNCTION("""COMPUTED_VALUE"""),101560.0)</f>
        <v>101560</v>
      </c>
      <c r="B1269" s="235" t="str">
        <f>IFERROR(__xludf.DUMMYFUNCTION("""COMPUTED_VALUE"""),"MONCHING DELA VINA")</f>
        <v>MONCHING DELA VINA</v>
      </c>
      <c r="C1269" s="235" t="str">
        <f>IFERROR(__xludf.DUMMYFUNCTION("""COMPUTED_VALUE"""),"STUDENT AFFAIRS BED")</f>
        <v>STUDENT AFFAIRS BED</v>
      </c>
      <c r="D1269" s="196" t="str">
        <f>IFERROR(__xludf.DUMMYFUNCTION("""COMPUTED_VALUE"""),"TARP (95X65); TARP (32X62)")</f>
        <v>TARP (95X65); TARP (32X62)</v>
      </c>
      <c r="E1269" s="196" t="str">
        <f>IFERROR(__xludf.DUMMYFUNCTION("""COMPUTED_VALUE"""),"FOR POSTING AND MOUNTING TARP COVID- 19 INFORMATION")</f>
        <v>FOR POSTING AND MOUNTING TARP COVID- 19 INFORMATION</v>
      </c>
    </row>
    <row r="1270">
      <c r="A1270" s="234">
        <f>IFERROR(__xludf.DUMMYFUNCTION("""COMPUTED_VALUE"""),101561.0)</f>
        <v>101561</v>
      </c>
      <c r="B1270" s="235" t="str">
        <f>IFERROR(__xludf.DUMMYFUNCTION("""COMPUTED_VALUE"""),"ELYDIA REYES")</f>
        <v>ELYDIA REYES</v>
      </c>
      <c r="C1270" s="235" t="str">
        <f>IFERROR(__xludf.DUMMYFUNCTION("""COMPUTED_VALUE"""),"PR &amp; MARKETING")</f>
        <v>PR &amp; MARKETING</v>
      </c>
      <c r="D1270" s="196" t="str">
        <f>IFERROR(__xludf.DUMMYFUNCTION("""COMPUTED_VALUE"""),"12X14 TARP ")</f>
        <v>12X14 TARP </v>
      </c>
      <c r="E1270" s="196" t="str">
        <f>IFERROR(__xludf.DUMMYFUNCTION("""COMPUTED_VALUE"""),"MARKETING FOR INNDUSTRIAL MGT.")</f>
        <v>MARKETING FOR INNDUSTRIAL MGT.</v>
      </c>
    </row>
    <row r="1271">
      <c r="A1271" s="234">
        <f>IFERROR(__xludf.DUMMYFUNCTION("""COMPUTED_VALUE"""),101562.0)</f>
        <v>101562</v>
      </c>
      <c r="B1271" s="235" t="str">
        <f>IFERROR(__xludf.DUMMYFUNCTION("""COMPUTED_VALUE"""),"ADRIAN DE GUINTO")</f>
        <v>ADRIAN DE GUINTO</v>
      </c>
      <c r="C1271" s="235" t="str">
        <f>IFERROR(__xludf.DUMMYFUNCTION("""COMPUTED_VALUE"""),"PR &amp; MARKETING")</f>
        <v>PR &amp; MARKETING</v>
      </c>
      <c r="D1271" s="196" t="str">
        <f>IFERROR(__xludf.DUMMYFUNCTION("""COMPUTED_VALUE"""),"LOPEZ ( 6.25 X 8.75FT) ")</f>
        <v>LOPEZ ( 6.25 X 8.75FT) </v>
      </c>
      <c r="E1271" s="196" t="str">
        <f>IFERROR(__xludf.DUMMYFUNCTION("""COMPUTED_VALUE"""),"MARKETING ADVERTISEMENT")</f>
        <v>MARKETING ADVERTISEMENT</v>
      </c>
    </row>
    <row r="1272">
      <c r="A1272" s="234">
        <f>IFERROR(__xludf.DUMMYFUNCTION("""COMPUTED_VALUE"""),101563.0)</f>
        <v>101563</v>
      </c>
      <c r="B1272" s="235" t="str">
        <f>IFERROR(__xludf.DUMMYFUNCTION("""COMPUTED_VALUE"""),"ADRIAN DE GUINTO")</f>
        <v>ADRIAN DE GUINTO</v>
      </c>
      <c r="C1272" s="235" t="str">
        <f>IFERROR(__xludf.DUMMYFUNCTION("""COMPUTED_VALUE"""),"PR &amp; MARKETING")</f>
        <v>PR &amp; MARKETING</v>
      </c>
      <c r="D1272" s="196" t="str">
        <f>IFERROR(__xludf.DUMMYFUNCTION("""COMPUTED_VALUE"""),"GATCHALIAN (10X10FT)")</f>
        <v>GATCHALIAN (10X10FT)</v>
      </c>
      <c r="E1272" s="196" t="str">
        <f>IFERROR(__xludf.DUMMYFUNCTION("""COMPUTED_VALUE"""),"MARKETING ADVERTISEMENT")</f>
        <v>MARKETING ADVERTISEMENT</v>
      </c>
    </row>
    <row r="1273">
      <c r="A1273" s="234">
        <f>IFERROR(__xludf.DUMMYFUNCTION("""COMPUTED_VALUE"""),101564.0)</f>
        <v>101564</v>
      </c>
      <c r="B1273" s="235" t="str">
        <f>IFERROR(__xludf.DUMMYFUNCTION("""COMPUTED_VALUE"""),"ADRIAN DE GUINTO")</f>
        <v>ADRIAN DE GUINTO</v>
      </c>
      <c r="C1273" s="235" t="str">
        <f>IFERROR(__xludf.DUMMYFUNCTION("""COMPUTED_VALUE"""),"PR &amp; MARKETING")</f>
        <v>PR &amp; MARKETING</v>
      </c>
      <c r="D1273" s="196" t="str">
        <f>IFERROR(__xludf.DUMMYFUNCTION("""COMPUTED_VALUE"""),"C5 TARP (10X20FT)")</f>
        <v>C5 TARP (10X20FT)</v>
      </c>
      <c r="E1273" s="196" t="str">
        <f>IFERROR(__xludf.DUMMYFUNCTION("""COMPUTED_VALUE"""),"MARKETING ADVERTISEMENT")</f>
        <v>MARKETING ADVERTISEMENT</v>
      </c>
    </row>
    <row r="1274">
      <c r="A1274" s="234">
        <f>IFERROR(__xludf.DUMMYFUNCTION("""COMPUTED_VALUE"""),101565.0)</f>
        <v>101565</v>
      </c>
      <c r="B1274" s="235" t="str">
        <f>IFERROR(__xludf.DUMMYFUNCTION("""COMPUTED_VALUE"""),"JP RAGOT")</f>
        <v>JP RAGOT</v>
      </c>
      <c r="C1274" s="235" t="str">
        <f>IFERROR(__xludf.DUMMYFUNCTION("""COMPUTED_VALUE"""),"AMD")</f>
        <v>AMD</v>
      </c>
      <c r="D1274" s="196" t="str">
        <f>IFERROR(__xludf.DUMMYFUNCTION("""COMPUTED_VALUE"""),"ALCOHOL PER GALLON")</f>
        <v>ALCOHOL PER GALLON</v>
      </c>
      <c r="E1274" s="196" t="str">
        <f>IFERROR(__xludf.DUMMYFUNCTION("""COMPUTED_VALUE"""),"PREVENTIVE MEASURE FOR COVID19")</f>
        <v>PREVENTIVE MEASURE FOR COVID19</v>
      </c>
    </row>
    <row r="1275">
      <c r="A1275" s="234">
        <f>IFERROR(__xludf.DUMMYFUNCTION("""COMPUTED_VALUE"""),101566.0)</f>
        <v>101566</v>
      </c>
      <c r="B1275" s="235" t="str">
        <f>IFERROR(__xludf.DUMMYFUNCTION("""COMPUTED_VALUE"""),"NESSIE LUMBRES")</f>
        <v>NESSIE LUMBRES</v>
      </c>
      <c r="C1275" s="235" t="str">
        <f>IFERROR(__xludf.DUMMYFUNCTION("""COMPUTED_VALUE"""),"DP SPECIAL PROGRAMS")</f>
        <v>DP SPECIAL PROGRAMS</v>
      </c>
      <c r="D1275" s="196" t="str">
        <f>IFERROR(__xludf.DUMMYFUNCTION("""COMPUTED_VALUE"""),"CAMERA W/ MICROPHONE FOR VIDEO CONFERENCES")</f>
        <v>CAMERA W/ MICROPHONE FOR VIDEO CONFERENCES</v>
      </c>
      <c r="E1275" s="196" t="str">
        <f>IFERROR(__xludf.DUMMYFUNCTION("""COMPUTED_VALUE"""),"FOR ONLINE CLASSES DUE TO COVID19")</f>
        <v>FOR ONLINE CLASSES DUE TO COVID19</v>
      </c>
    </row>
    <row r="1276">
      <c r="A1276" s="234">
        <f>IFERROR(__xludf.DUMMYFUNCTION("""COMPUTED_VALUE"""),101567.0)</f>
        <v>101567</v>
      </c>
      <c r="B1276" s="235" t="str">
        <f>IFERROR(__xludf.DUMMYFUNCTION("""COMPUTED_VALUE"""),"WEN CHARLES MACMAC")</f>
        <v>WEN CHARLES MACMAC</v>
      </c>
      <c r="C1276" s="235" t="str">
        <f>IFERROR(__xludf.DUMMYFUNCTION("""COMPUTED_VALUE"""),"REGISTRATION")</f>
        <v>REGISTRATION</v>
      </c>
      <c r="D1276" s="196" t="str">
        <f>IFERROR(__xludf.DUMMYFUNCTION("""COMPUTED_VALUE"""),"REPORT CARD HOLDER - 1560
GRADE SCHOOL REPORT CARD - 650
JUNIOR HIGH SCHOOL REPORT CARD - 650
SENIOR HIGH SCHOOL REPORT CARD - 350
IB REPORT CARD - 100")</f>
        <v>REPORT CARD HOLDER - 1560
GRADE SCHOOL REPORT CARD - 650
JUNIOR HIGH SCHOOL REPORT CARD - 650
SENIOR HIGH SCHOOL REPORT CARD - 350
IB REPORT CARD - 100</v>
      </c>
      <c r="E1276" s="196" t="str">
        <f>IFERROR(__xludf.DUMMYFUNCTION("""COMPUTED_VALUE"""),"PRINTING OF FINAL REPORT CARDS FOR GRADE SCHOOL AND HIGH SCHOOL")</f>
        <v>PRINTING OF FINAL REPORT CARDS FOR GRADE SCHOOL AND HIGH SCHOOL</v>
      </c>
    </row>
    <row r="1277">
      <c r="A1277" s="234">
        <f>IFERROR(__xludf.DUMMYFUNCTION("""COMPUTED_VALUE"""),101568.0)</f>
        <v>101568</v>
      </c>
      <c r="B1277" s="235"/>
      <c r="C1277" s="235"/>
      <c r="D1277" s="196"/>
      <c r="E1277" s="196"/>
    </row>
    <row r="1278">
      <c r="A1278" s="234">
        <f>IFERROR(__xludf.DUMMYFUNCTION("""COMPUTED_VALUE"""),101569.0)</f>
        <v>101569</v>
      </c>
      <c r="B1278" s="235" t="str">
        <f>IFERROR(__xludf.DUMMYFUNCTION("""COMPUTED_VALUE"""),"CARLITO DELA VEGA")</f>
        <v>CARLITO DELA VEGA</v>
      </c>
      <c r="C1278" s="235" t="str">
        <f>IFERROR(__xludf.DUMMYFUNCTION("""COMPUTED_VALUE"""),"ADMIN")</f>
        <v>ADMIN</v>
      </c>
      <c r="D1278" s="196" t="str">
        <f>IFERROR(__xludf.DUMMYFUNCTION("""COMPUTED_VALUE"""),"SPHERO WHITE RUBBERIZED 2 GAL
SPHERO RED RUBBERIZED 2 LITERS
REDUCER 2 LITERS
BABY ROLLER 2PCS")</f>
        <v>SPHERO WHITE RUBBERIZED 2 GAL
SPHERO RED RUBBERIZED 2 LITERS
REDUCER 2 LITERS
BABY ROLLER 2PCS</v>
      </c>
      <c r="E1278" s="196" t="str">
        <f>IFERROR(__xludf.DUMMYFUNCTION("""COMPUTED_VALUE"""),"MATERIALS FOR PAINTING EVAC AREA")</f>
        <v>MATERIALS FOR PAINTING EVAC AREA</v>
      </c>
    </row>
    <row r="1279">
      <c r="A1279" s="234">
        <f>IFERROR(__xludf.DUMMYFUNCTION("""COMPUTED_VALUE"""),101570.0)</f>
        <v>101570</v>
      </c>
      <c r="B1279" s="235" t="str">
        <f>IFERROR(__xludf.DUMMYFUNCTION("""COMPUTED_VALUE"""),"OWIER PAR")</f>
        <v>OWIER PAR</v>
      </c>
      <c r="C1279" s="235" t="str">
        <f>IFERROR(__xludf.DUMMYFUNCTION("""COMPUTED_VALUE"""),"ENGINEERING")</f>
        <v>ENGINEERING</v>
      </c>
      <c r="D1279" s="196" t="str">
        <f>IFERROR(__xludf.DUMMYFUNCTION("""COMPUTED_VALUE"""),"TOILET BOWL WITH TANK AND FITTING(TOP BUTTON FLUSH) 2 UNITS")</f>
        <v>TOILET BOWL WITH TANK AND FITTING(TOP BUTTON FLUSH) 2 UNITS</v>
      </c>
      <c r="E1279" s="196" t="str">
        <f>IFERROR(__xludf.DUMMYFUNCTION("""COMPUTED_VALUE"""),"FOR COL LIBR AND GIRL SCHOLAR'S HOUSE")</f>
        <v>FOR COL LIBR AND GIRL SCHOLAR'S HOUSE</v>
      </c>
    </row>
    <row r="1280">
      <c r="A1280" s="234">
        <f>IFERROR(__xludf.DUMMYFUNCTION("""COMPUTED_VALUE"""),101571.0)</f>
        <v>101571</v>
      </c>
      <c r="B1280" s="235" t="str">
        <f>IFERROR(__xludf.DUMMYFUNCTION("""COMPUTED_VALUE"""),"OWIER PAR")</f>
        <v>OWIER PAR</v>
      </c>
      <c r="C1280" s="235" t="str">
        <f>IFERROR(__xludf.DUMMYFUNCTION("""COMPUTED_VALUE"""),"ENGINEERING")</f>
        <v>ENGINEERING</v>
      </c>
      <c r="D1280" s="196" t="str">
        <f>IFERROR(__xludf.DUMMYFUNCTION("""COMPUTED_VALUE"""),"OMNI LIGHTS WARMWHITE 20PCS")</f>
        <v>OMNI LIGHTS WARMWHITE 20PCS</v>
      </c>
      <c r="E1280" s="196" t="str">
        <f>IFERROR(__xludf.DUMMYFUNCTION("""COMPUTED_VALUE"""),"FOR OFFICES")</f>
        <v>FOR OFFICES</v>
      </c>
    </row>
    <row r="1281">
      <c r="A1281" s="234">
        <f>IFERROR(__xludf.DUMMYFUNCTION("""COMPUTED_VALUE"""),101572.0)</f>
        <v>101572</v>
      </c>
      <c r="B1281" s="235" t="str">
        <f>IFERROR(__xludf.DUMMYFUNCTION("""COMPUTED_VALUE"""),"CARLITO DELA VEGA")</f>
        <v>CARLITO DELA VEGA</v>
      </c>
      <c r="C1281" s="235" t="str">
        <f>IFERROR(__xludf.DUMMYFUNCTION("""COMPUTED_VALUE"""),"SECURITY")</f>
        <v>SECURITY</v>
      </c>
      <c r="D1281" s="196" t="str">
        <f>IFERROR(__xludf.DUMMYFUNCTION("""COMPUTED_VALUE"""),"STORAGE CABINET MADE TO ORDER 5 UNITS")</f>
        <v>STORAGE CABINET MADE TO ORDER 5 UNITS</v>
      </c>
      <c r="E1281" s="196" t="str">
        <f>IFERROR(__xludf.DUMMYFUNCTION("""COMPUTED_VALUE"""),"STORAGE OF DISASTER MANAGEMENT EQUIPMENT")</f>
        <v>STORAGE OF DISASTER MANAGEMENT EQUIPMENT</v>
      </c>
    </row>
    <row r="1282">
      <c r="A1282" s="234">
        <f>IFERROR(__xludf.DUMMYFUNCTION("""COMPUTED_VALUE"""),101573.0)</f>
        <v>101573</v>
      </c>
      <c r="B1282" s="235" t="str">
        <f>IFERROR(__xludf.DUMMYFUNCTION("""COMPUTED_VALUE"""),"JP RAGOT")</f>
        <v>JP RAGOT</v>
      </c>
      <c r="C1282" s="235" t="str">
        <f>IFERROR(__xludf.DUMMYFUNCTION("""COMPUTED_VALUE"""),"HOUSEKEEPING")</f>
        <v>HOUSEKEEPING</v>
      </c>
      <c r="D1282" s="196" t="str">
        <f>IFERROR(__xludf.DUMMYFUNCTION("""COMPUTED_VALUE"""),"ECOLUTION")</f>
        <v>ECOLUTION</v>
      </c>
      <c r="E1282" s="196" t="str">
        <f>IFERROR(__xludf.DUMMYFUNCTION("""COMPUTED_VALUE"""),"FOR DISINFECTION (COVID19)")</f>
        <v>FOR DISINFECTION (COVID19)</v>
      </c>
    </row>
    <row r="1283">
      <c r="A1283" s="234">
        <f>IFERROR(__xludf.DUMMYFUNCTION("""COMPUTED_VALUE"""),101574.0)</f>
        <v>101574</v>
      </c>
      <c r="B1283" s="235" t="str">
        <f>IFERROR(__xludf.DUMMYFUNCTION("""COMPUTED_VALUE"""),"Lucille Beyer")</f>
        <v>Lucille Beyer</v>
      </c>
      <c r="C1283" s="235" t="str">
        <f>IFERROR(__xludf.DUMMYFUNCTION("""COMPUTED_VALUE"""),"MEDICAL")</f>
        <v>MEDICAL</v>
      </c>
      <c r="D1283" s="196" t="str">
        <f>IFERROR(__xludf.DUMMYFUNCTION("""COMPUTED_VALUE"""),"PPE- Bunny Suit ( 15 pcs) ; Dsiposable Face Shield (20pcs) ; Face mask/box 50s (30 boxes); Gloves S-M-L (10boxes)")</f>
        <v>PPE- Bunny Suit ( 15 pcs) ; Dsiposable Face Shield (20pcs) ; Face mask/box 50s (30 boxes); Gloves S-M-L (10boxes)</v>
      </c>
      <c r="E1283" s="196" t="str">
        <f>IFERROR(__xludf.DUMMYFUNCTION("""COMPUTED_VALUE"""),"For use of Nurses")</f>
        <v>For use of Nurses</v>
      </c>
    </row>
    <row r="1284">
      <c r="A1284" s="234">
        <f>IFERROR(__xludf.DUMMYFUNCTION("""COMPUTED_VALUE"""),101575.0)</f>
        <v>101575</v>
      </c>
      <c r="B1284" s="235" t="str">
        <f>IFERROR(__xludf.DUMMYFUNCTION("""COMPUTED_VALUE"""),"SAM RAIZ")</f>
        <v>SAM RAIZ</v>
      </c>
      <c r="C1284" s="235" t="str">
        <f>IFERROR(__xludf.DUMMYFUNCTION("""COMPUTED_VALUE"""),"MIS/ICT")</f>
        <v>MIS/ICT</v>
      </c>
      <c r="D1284" s="196" t="str">
        <f>IFERROR(__xludf.DUMMYFUNCTION("""COMPUTED_VALUE"""),"WEBCAM 123 pcs")</f>
        <v>WEBCAM 123 pcs</v>
      </c>
      <c r="E1284" s="196" t="str">
        <f>IFERROR(__xludf.DUMMYFUNCTION("""COMPUTED_VALUE"""),"FOR BLENDED LEARNING")</f>
        <v>FOR BLENDED LEARNING</v>
      </c>
    </row>
    <row r="1285">
      <c r="A1285" s="234">
        <f>IFERROR(__xludf.DUMMYFUNCTION("""COMPUTED_VALUE"""),101576.0)</f>
        <v>101576</v>
      </c>
      <c r="B1285" s="235" t="str">
        <f>IFERROR(__xludf.DUMMYFUNCTION("""COMPUTED_VALUE"""),"MELISA ODOÑO")</f>
        <v>MELISA ODOÑO</v>
      </c>
      <c r="C1285" s="235" t="str">
        <f>IFERROR(__xludf.DUMMYFUNCTION("""COMPUTED_VALUE"""),"LIBRARY MUNICH")</f>
        <v>LIBRARY MUNICH</v>
      </c>
      <c r="D1285" s="196" t="str">
        <f>IFERROR(__xludf.DUMMYFUNCTION("""COMPUTED_VALUE"""),"DISPOSABLE MASKS / GASSKET ANTI DUST / FACE MASK")</f>
        <v>DISPOSABLE MASKS / GASSKET ANTI DUST / FACE MASK</v>
      </c>
      <c r="E1285" s="196" t="str">
        <f>IFERROR(__xludf.DUMMYFUNCTION("""COMPUTED_VALUE"""),"FOR LIBRARY INVENTORY USE FOR SANITIZING BOOKS")</f>
        <v>FOR LIBRARY INVENTORY USE FOR SANITIZING BOOKS</v>
      </c>
    </row>
    <row r="1286">
      <c r="A1286" s="234">
        <f>IFERROR(__xludf.DUMMYFUNCTION("""COMPUTED_VALUE"""),101577.0)</f>
        <v>101577</v>
      </c>
      <c r="B1286" s="235" t="str">
        <f>IFERROR(__xludf.DUMMYFUNCTION("""COMPUTED_VALUE"""),"JORGE BALELA")</f>
        <v>JORGE BALELA</v>
      </c>
      <c r="C1286" s="235" t="str">
        <f>IFERROR(__xludf.DUMMYFUNCTION("""COMPUTED_VALUE"""),"SFO")</f>
        <v>SFO</v>
      </c>
      <c r="D1286" s="196" t="str">
        <f>IFERROR(__xludf.DUMMYFUNCTION("""COMPUTED_VALUE"""),"ALCOHOL GALLON")</f>
        <v>ALCOHOL GALLON</v>
      </c>
      <c r="E1286" s="196" t="str">
        <f>IFERROR(__xludf.DUMMYFUNCTION("""COMPUTED_VALUE"""),"FOR SFO HEALTH WORKERS DONATION")</f>
        <v>FOR SFO HEALTH WORKERS DONATION</v>
      </c>
    </row>
    <row r="1287">
      <c r="A1287" s="234">
        <f>IFERROR(__xludf.DUMMYFUNCTION("""COMPUTED_VALUE"""),101578.0)</f>
        <v>101578</v>
      </c>
      <c r="B1287" s="235" t="str">
        <f>IFERROR(__xludf.DUMMYFUNCTION("""COMPUTED_VALUE"""),"GILBERT MAGALLANES")</f>
        <v>GILBERT MAGALLANES</v>
      </c>
      <c r="C1287" s="235" t="str">
        <f>IFERROR(__xludf.DUMMYFUNCTION("""COMPUTED_VALUE"""),"REGISTRATION")</f>
        <v>REGISTRATION</v>
      </c>
      <c r="D1287" s="196" t="str">
        <f>IFERROR(__xludf.DUMMYFUNCTION("""COMPUTED_VALUE"""),"Face shield (5pcs)")</f>
        <v>Face shield (5pcs)</v>
      </c>
      <c r="E1287" s="196" t="str">
        <f>IFERROR(__xludf.DUMMYFUNCTION("""COMPUTED_VALUE"""),"FOR ASSISTING WALK-IN CUSTOMERS WITH APPOINTMENT")</f>
        <v>FOR ASSISTING WALK-IN CUSTOMERS WITH APPOINTMENT</v>
      </c>
    </row>
    <row r="1288">
      <c r="A1288" s="234">
        <f>IFERROR(__xludf.DUMMYFUNCTION("""COMPUTED_VALUE"""),101579.0)</f>
        <v>101579</v>
      </c>
      <c r="B1288" s="235" t="str">
        <f>IFERROR(__xludf.DUMMYFUNCTION("""COMPUTED_VALUE"""),"SHEREE ESPINOSA")</f>
        <v>SHEREE ESPINOSA</v>
      </c>
      <c r="C1288" s="235" t="str">
        <f>IFERROR(__xludf.DUMMYFUNCTION("""COMPUTED_VALUE"""),"HOUSEKEEPING")</f>
        <v>HOUSEKEEPING</v>
      </c>
      <c r="D1288" s="196" t="str">
        <f>IFERROR(__xludf.DUMMYFUNCTION("""COMPUTED_VALUE"""),"AUTOMATIC HAND SANITIZER")</f>
        <v>AUTOMATIC HAND SANITIZER</v>
      </c>
      <c r="E1288" s="196" t="str">
        <f>IFERROR(__xludf.DUMMYFUNCTION("""COMPUTED_VALUE"""),"FOR DISINFECTION (COVID19)")</f>
        <v>FOR DISINFECTION (COVID19)</v>
      </c>
    </row>
    <row r="1289">
      <c r="A1289" s="234">
        <f>IFERROR(__xludf.DUMMYFUNCTION("""COMPUTED_VALUE"""),101580.0)</f>
        <v>101580</v>
      </c>
      <c r="B1289" s="235" t="str">
        <f>IFERROR(__xludf.DUMMYFUNCTION("""COMPUTED_VALUE"""),"SHEREE ESPINOSA")</f>
        <v>SHEREE ESPINOSA</v>
      </c>
      <c r="C1289" s="235" t="str">
        <f>IFERROR(__xludf.DUMMYFUNCTION("""COMPUTED_VALUE"""),"HOUSEKEEPING")</f>
        <v>HOUSEKEEPING</v>
      </c>
      <c r="D1289" s="196" t="str">
        <f>IFERROR(__xludf.DUMMYFUNCTION("""COMPUTED_VALUE"""),"CHEMICAL SPRAYER")</f>
        <v>CHEMICAL SPRAYER</v>
      </c>
      <c r="E1289" s="196" t="str">
        <f>IFERROR(__xludf.DUMMYFUNCTION("""COMPUTED_VALUE"""),"FOR DISINFECTION (COVID19)")</f>
        <v>FOR DISINFECTION (COVID19)</v>
      </c>
    </row>
    <row r="1290">
      <c r="A1290" s="234">
        <f>IFERROR(__xludf.DUMMYFUNCTION("""COMPUTED_VALUE"""),101581.0)</f>
        <v>101581</v>
      </c>
      <c r="B1290" s="235" t="str">
        <f>IFERROR(__xludf.DUMMYFUNCTION("""COMPUTED_VALUE"""),"JOYCE LADRA")</f>
        <v>JOYCE LADRA</v>
      </c>
      <c r="C1290" s="235" t="str">
        <f>IFERROR(__xludf.DUMMYFUNCTION("""COMPUTED_VALUE"""),"FINANCE &amp; ACCOUNTING")</f>
        <v>FINANCE &amp; ACCOUNTING</v>
      </c>
      <c r="D1290" s="196" t="str">
        <f>IFERROR(__xludf.DUMMYFUNCTION("""COMPUTED_VALUE"""),"Face shield 10pcs")</f>
        <v>Face shield 10pcs</v>
      </c>
      <c r="E1290" s="196" t="str">
        <f>IFERROR(__xludf.DUMMYFUNCTION("""COMPUTED_VALUE"""),"WORK PROTECTION FROM COVID19")</f>
        <v>WORK PROTECTION FROM COVID19</v>
      </c>
    </row>
    <row r="1291">
      <c r="A1291" s="234">
        <f>IFERROR(__xludf.DUMMYFUNCTION("""COMPUTED_VALUE"""),101582.0)</f>
        <v>101582</v>
      </c>
      <c r="B1291" s="235" t="str">
        <f>IFERROR(__xludf.DUMMYFUNCTION("""COMPUTED_VALUE"""),"CARLITO DELA VEGA")</f>
        <v>CARLITO DELA VEGA</v>
      </c>
      <c r="C1291" s="235" t="str">
        <f>IFERROR(__xludf.DUMMYFUNCTION("""COMPUTED_VALUE"""),"SECURITY")</f>
        <v>SECURITY</v>
      </c>
      <c r="D1291" s="196" t="str">
        <f>IFERROR(__xludf.DUMMYFUNCTION("""COMPUTED_VALUE"""),"TARPAULINE FOR PARKING POLICY 5X6")</f>
        <v>TARPAULINE FOR PARKING POLICY 5X6</v>
      </c>
      <c r="E1291" s="196" t="str">
        <f>IFERROR(__xludf.DUMMYFUNCTION("""COMPUTED_VALUE"""),"PARKING GUIDELIENS")</f>
        <v>PARKING GUIDELIENS</v>
      </c>
    </row>
    <row r="1292">
      <c r="A1292" s="234">
        <f>IFERROR(__xludf.DUMMYFUNCTION("""COMPUTED_VALUE"""),101583.0)</f>
        <v>101583</v>
      </c>
      <c r="B1292" s="235" t="str">
        <f>IFERROR(__xludf.DUMMYFUNCTION("""COMPUTED_VALUE"""),"SAM RAIZ")</f>
        <v>SAM RAIZ</v>
      </c>
      <c r="C1292" s="235" t="str">
        <f>IFERROR(__xludf.DUMMYFUNCTION("""COMPUTED_VALUE"""),"AV/MIS")</f>
        <v>AV/MIS</v>
      </c>
      <c r="D1292" s="196" t="str">
        <f>IFERROR(__xludf.DUMMYFUNCTION("""COMPUTED_VALUE"""),"LAPTOP/ TABLET")</f>
        <v>LAPTOP/ TABLET</v>
      </c>
      <c r="E1292" s="196" t="str">
        <f>IFERROR(__xludf.DUMMYFUNCTION("""COMPUTED_VALUE"""),"BLENDED LEARNING PROGRAM PREPARATION")</f>
        <v>BLENDED LEARNING PROGRAM PREPARATION</v>
      </c>
    </row>
    <row r="1293">
      <c r="A1293" s="234">
        <f>IFERROR(__xludf.DUMMYFUNCTION("""COMPUTED_VALUE"""),101584.0)</f>
        <v>101584</v>
      </c>
      <c r="B1293" s="235" t="str">
        <f>IFERROR(__xludf.DUMMYFUNCTION("""COMPUTED_VALUE"""),"SAM RAIZ")</f>
        <v>SAM RAIZ</v>
      </c>
      <c r="C1293" s="235" t="str">
        <f>IFERROR(__xludf.DUMMYFUNCTION("""COMPUTED_VALUE"""),"AV/MIS")</f>
        <v>AV/MIS</v>
      </c>
      <c r="D1293" s="196" t="str">
        <f>IFERROR(__xludf.DUMMYFUNCTION("""COMPUTED_VALUE"""),"TRIPOD/ USB EXTENSION CABLE/ WIRELESS HEADSET MIC")</f>
        <v>TRIPOD/ USB EXTENSION CABLE/ WIRELESS HEADSET MIC</v>
      </c>
      <c r="E1293" s="196" t="str">
        <f>IFERROR(__xludf.DUMMYFUNCTION("""COMPUTED_VALUE"""),"BLENDED LEARNING PROGRAM PREPARATION")</f>
        <v>BLENDED LEARNING PROGRAM PREPARATION</v>
      </c>
    </row>
    <row r="1294">
      <c r="A1294" s="234">
        <f>IFERROR(__xludf.DUMMYFUNCTION("""COMPUTED_VALUE"""),101585.0)</f>
        <v>101585</v>
      </c>
      <c r="B1294" s="235" t="str">
        <f>IFERROR(__xludf.DUMMYFUNCTION("""COMPUTED_VALUE"""),"EDGAR REBELLON")</f>
        <v>EDGAR REBELLON</v>
      </c>
      <c r="C1294" s="235" t="str">
        <f>IFERROR(__xludf.DUMMYFUNCTION("""COMPUTED_VALUE"""),"ABU")</f>
        <v>ABU</v>
      </c>
      <c r="D1294" s="196" t="str">
        <f>IFERROR(__xludf.DUMMYFUNCTION("""COMPUTED_VALUE"""),"CURSIVE WRITING G-3 NEW EDITION				
CURSIVE WRITING G-4 NEW EDITION				
CURSIVE WRITING G-5 NEW EDITION				
CURSIVE WRITING G-6 NEW EDITION				")</f>
        <v>CURSIVE WRITING G-3 NEW EDITION				
CURSIVE WRITING G-4 NEW EDITION				
CURSIVE WRITING G-5 NEW EDITION				
CURSIVE WRITING G-6 NEW EDITION				</v>
      </c>
      <c r="E1294" s="196" t="str">
        <f>IFERROR(__xludf.DUMMYFUNCTION("""COMPUTED_VALUE"""),"BOOKS FOR AY 20-21")</f>
        <v>BOOKS FOR AY 20-21</v>
      </c>
    </row>
    <row r="1295">
      <c r="A1295" s="234">
        <f>IFERROR(__xludf.DUMMYFUNCTION("""COMPUTED_VALUE"""),101586.0)</f>
        <v>101586</v>
      </c>
      <c r="B1295" s="235" t="str">
        <f>IFERROR(__xludf.DUMMYFUNCTION("""COMPUTED_VALUE"""),"EDGAR REBELLON")</f>
        <v>EDGAR REBELLON</v>
      </c>
      <c r="C1295" s="235" t="str">
        <f>IFERROR(__xludf.DUMMYFUNCTION("""COMPUTED_VALUE"""),"ABU")</f>
        <v>ABU</v>
      </c>
      <c r="D1295" s="196" t="str">
        <f>IFERROR(__xludf.DUMMYFUNCTION("""COMPUTED_VALUE"""),"Globe at home prepaid wifi 				
    -B312 or SLT- Tozed with antenna				
PLDT Home prepaid wifi 				")</f>
        <v>Globe at home prepaid wifi 				
    -B312 or SLT- Tozed with antenna				
PLDT Home prepaid wifi 				</v>
      </c>
      <c r="E1295" s="196" t="str">
        <f>IFERROR(__xludf.DUMMYFUNCTION("""COMPUTED_VALUE"""),"FOR SALE IN STUFFSHOP")</f>
        <v>FOR SALE IN STUFFSHOP</v>
      </c>
    </row>
    <row r="1296">
      <c r="A1296" s="234">
        <f>IFERROR(__xludf.DUMMYFUNCTION("""COMPUTED_VALUE"""),101587.0)</f>
        <v>101587</v>
      </c>
      <c r="B1296" s="235" t="str">
        <f>IFERROR(__xludf.DUMMYFUNCTION("""COMPUTED_VALUE"""),"WENCHARLES MACMAC")</f>
        <v>WENCHARLES MACMAC</v>
      </c>
      <c r="C1296" s="235" t="str">
        <f>IFERROR(__xludf.DUMMYFUNCTION("""COMPUTED_VALUE"""),"REGISTRATION")</f>
        <v>REGISTRATION</v>
      </c>
      <c r="D1296" s="196" t="str">
        <f>IFERROR(__xludf.DUMMYFUNCTION("""COMPUTED_VALUE"""),"BASIC ED REPORT CARD HOLDER")</f>
        <v>BASIC ED REPORT CARD HOLDER</v>
      </c>
      <c r="E1296" s="196" t="str">
        <f>IFERROR(__xludf.DUMMYFUNCTION("""COMPUTED_VALUE"""),"FOR FINAL BASIC ED REPORT CARD")</f>
        <v>FOR FINAL BASIC ED REPORT CARD</v>
      </c>
    </row>
    <row r="1297">
      <c r="A1297" s="234">
        <f>IFERROR(__xludf.DUMMYFUNCTION("""COMPUTED_VALUE"""),101588.0)</f>
        <v>101588</v>
      </c>
      <c r="B1297" s="235" t="str">
        <f>IFERROR(__xludf.DUMMYFUNCTION("""COMPUTED_VALUE"""),"JP RAGOT")</f>
        <v>JP RAGOT</v>
      </c>
      <c r="C1297" s="235" t="str">
        <f>IFERROR(__xludf.DUMMYFUNCTION("""COMPUTED_VALUE"""),"AMD")</f>
        <v>AMD</v>
      </c>
      <c r="D1297" s="196" t="str">
        <f>IFERROR(__xludf.DUMMYFUNCTION("""COMPUTED_VALUE"""),"B&amp;E BOND PAPER 8.5X11 8864 50PCS (S)
Best Buy Fine Paper Colored 20s Assorted
Canson Watercolor Paper 9x12 10 Sheets 200gsm (10's)
Maped Colored Pencils Triangular Barrel (12's)
Faber-castell Washable Colored Pens (10's)
Joy Poster Paints 10ml (sold "&amp;"per piece) (12's)
Reeves Watercolor Tube 12 Colors
10Pcs/Set Watercolor/Gouache Paint Brushes Different Shape Round Pointed Tip
Best Buy Modelling Clay Bricks 10pc 250g")</f>
        <v>B&amp;E BOND PAPER 8.5X11 8864 50PCS (S)
Best Buy Fine Paper Colored 20s Assorted
Canson Watercolor Paper 9x12 10 Sheets 200gsm (10's)
Maped Colored Pencils Triangular Barrel (12's)
Faber-castell Washable Colored Pens (10's)
Joy Poster Paints 10ml (sold per piece) (12's)
Reeves Watercolor Tube 12 Colors
10Pcs/Set Watercolor/Gouache Paint Brushes Different Shape Round Pointed Tip
Best Buy Modelling Clay Bricks 10pc 250g</v>
      </c>
      <c r="E1297" s="196" t="str">
        <f>IFERROR(__xludf.DUMMYFUNCTION("""COMPUTED_VALUE"""),"ART MATERIALS FOR AYB 20-21")</f>
        <v>ART MATERIALS FOR AYB 20-21</v>
      </c>
    </row>
    <row r="1298">
      <c r="A1298" s="234">
        <f>IFERROR(__xludf.DUMMYFUNCTION("""COMPUTED_VALUE"""),101589.0)</f>
        <v>101589</v>
      </c>
      <c r="B1298" s="235" t="str">
        <f>IFERROR(__xludf.DUMMYFUNCTION("""COMPUTED_VALUE"""),"RONALDO VERDE")</f>
        <v>RONALDO VERDE</v>
      </c>
      <c r="C1298" s="235" t="str">
        <f>IFERROR(__xludf.DUMMYFUNCTION("""COMPUTED_VALUE"""),"TRANSPORTATION")</f>
        <v>TRANSPORTATION</v>
      </c>
      <c r="D1298" s="196" t="str">
        <f>IFERROR(__xludf.DUMMYFUNCTION("""COMPUTED_VALUE"""),"3 SMF MOTOLITE GOLD BATTERY FOR SISC / VAN AND HIGH ACE VAN")</f>
        <v>3 SMF MOTOLITE GOLD BATTERY FOR SISC / VAN AND HIGH ACE VAN</v>
      </c>
      <c r="E1298" s="196" t="str">
        <f>IFERROR(__xludf.DUMMYFUNCTION("""COMPUTED_VALUE"""),"PREVENTIVE MAINTENANCE")</f>
        <v>PREVENTIVE MAINTENANCE</v>
      </c>
    </row>
    <row r="1299">
      <c r="A1299" s="234">
        <f>IFERROR(__xludf.DUMMYFUNCTION("""COMPUTED_VALUE"""),101590.0)</f>
        <v>101590</v>
      </c>
      <c r="B1299" s="235" t="str">
        <f>IFERROR(__xludf.DUMMYFUNCTION("""COMPUTED_VALUE"""),"CARLITO DELA VEGA")</f>
        <v>CARLITO DELA VEGA</v>
      </c>
      <c r="C1299" s="235" t="str">
        <f>IFERROR(__xludf.DUMMYFUNCTION("""COMPUTED_VALUE"""),"SECURITY")</f>
        <v>SECURITY</v>
      </c>
      <c r="D1299" s="196" t="str">
        <f>IFERROR(__xludf.DUMMYFUNCTION("""COMPUTED_VALUE"""),"AUTODISPENSER /POWER ADAPTER / BLACK IRON STEEL FLOOR STANDEE/ WALL THERMOMETER/")</f>
        <v>AUTODISPENSER /POWER ADAPTER / BLACK IRON STEEL FLOOR STANDEE/ WALL THERMOMETER/</v>
      </c>
      <c r="E1299" s="196" t="str">
        <f>IFERROR(__xludf.DUMMYFUNCTION("""COMPUTED_VALUE"""),"COVID 19 ENTRANCE MEASURES")</f>
        <v>COVID 19 ENTRANCE MEASURES</v>
      </c>
    </row>
    <row r="1300">
      <c r="A1300" s="234">
        <f>IFERROR(__xludf.DUMMYFUNCTION("""COMPUTED_VALUE"""),101591.0)</f>
        <v>101591</v>
      </c>
      <c r="B1300" s="235" t="str">
        <f>IFERROR(__xludf.DUMMYFUNCTION("""COMPUTED_VALUE"""),"ROMAN BALUYOT")</f>
        <v>ROMAN BALUYOT</v>
      </c>
      <c r="C1300" s="235" t="str">
        <f>IFERROR(__xludf.DUMMYFUNCTION("""COMPUTED_VALUE"""),"PR")</f>
        <v>PR</v>
      </c>
      <c r="D1300" s="196" t="str">
        <f>IFERROR(__xludf.DUMMYFUNCTION("""COMPUTED_VALUE"""),"Face shield 6pcs")</f>
        <v>Face shield 6pcs</v>
      </c>
      <c r="E1300" s="196" t="str">
        <f>IFERROR(__xludf.DUMMYFUNCTION("""COMPUTED_VALUE"""),"Office use")</f>
        <v>Office use</v>
      </c>
    </row>
    <row r="1301">
      <c r="A1301" s="234">
        <f>IFERROR(__xludf.DUMMYFUNCTION("""COMPUTED_VALUE"""),101592.0)</f>
        <v>101592</v>
      </c>
      <c r="B1301" s="235" t="str">
        <f>IFERROR(__xludf.DUMMYFUNCTION("""COMPUTED_VALUE"""),"JP RAGOT")</f>
        <v>JP RAGOT</v>
      </c>
      <c r="C1301" s="235" t="str">
        <f>IFERROR(__xludf.DUMMYFUNCTION("""COMPUTED_VALUE"""),"AMD")</f>
        <v>AMD</v>
      </c>
      <c r="D1301" s="196" t="str">
        <f>IFERROR(__xludf.DUMMYFUNCTION("""COMPUTED_VALUE"""),"alcohol 60 ml / face shield / face masks / drawstring bag/ facemask container")</f>
        <v>alcohol 60 ml / face shield / face masks / drawstring bag/ facemask container</v>
      </c>
      <c r="E1301" s="196" t="str">
        <f>IFERROR(__xludf.DUMMYFUNCTION("""COMPUTED_VALUE"""),"enrollment token ay 20-21")</f>
        <v>enrollment token ay 20-21</v>
      </c>
    </row>
    <row r="1302">
      <c r="A1302" s="234">
        <f>IFERROR(__xludf.DUMMYFUNCTION("""COMPUTED_VALUE"""),101593.0)</f>
        <v>101593</v>
      </c>
      <c r="B1302" s="235" t="str">
        <f>IFERROR(__xludf.DUMMYFUNCTION("""COMPUTED_VALUE"""),"Ronald Obleno")</f>
        <v>Ronald Obleno</v>
      </c>
      <c r="C1302" s="235" t="str">
        <f>IFERROR(__xludf.DUMMYFUNCTION("""COMPUTED_VALUE"""),"CEM OFFICE")</f>
        <v>CEM OFFICE</v>
      </c>
      <c r="D1302" s="196" t="str">
        <f>IFERROR(__xludf.DUMMYFUNCTION("""COMPUTED_VALUE"""),"Lenovo v14")</f>
        <v>Lenovo v14</v>
      </c>
      <c r="E1302" s="196" t="str">
        <f>IFERROR(__xludf.DUMMYFUNCTION("""COMPUTED_VALUE"""),"Laptop for CEM")</f>
        <v>Laptop for CEM</v>
      </c>
    </row>
    <row r="1303">
      <c r="A1303" s="234">
        <f>IFERROR(__xludf.DUMMYFUNCTION("""COMPUTED_VALUE"""),101594.0)</f>
        <v>101594</v>
      </c>
      <c r="B1303" s="235" t="str">
        <f>IFERROR(__xludf.DUMMYFUNCTION("""COMPUTED_VALUE"""),"Jorge Balela")</f>
        <v>Jorge Balela</v>
      </c>
      <c r="C1303" s="235" t="str">
        <f>IFERROR(__xludf.DUMMYFUNCTION("""COMPUTED_VALUE"""),"STUDENT SERVICES")</f>
        <v>STUDENT SERVICES</v>
      </c>
      <c r="D1303" s="196" t="str">
        <f>IFERROR(__xludf.DUMMYFUNCTION("""COMPUTED_VALUE"""),"AFSL Medals")</f>
        <v>AFSL Medals</v>
      </c>
      <c r="E1303" s="196" t="str">
        <f>IFERROR(__xludf.DUMMYFUNCTION("""COMPUTED_VALUE"""),"For AFSL year-end awards of SGEN schools")</f>
        <v>For AFSL year-end awards of SGEN schools</v>
      </c>
    </row>
    <row r="1304">
      <c r="A1304" s="234">
        <f>IFERROR(__xludf.DUMMYFUNCTION("""COMPUTED_VALUE"""),101595.0)</f>
        <v>101595</v>
      </c>
      <c r="B1304" s="235" t="str">
        <f>IFERROR(__xludf.DUMMYFUNCTION("""COMPUTED_VALUE"""),"Elona Pedrozo")</f>
        <v>Elona Pedrozo</v>
      </c>
      <c r="C1304" s="235" t="str">
        <f>IFERROR(__xludf.DUMMYFUNCTION("""COMPUTED_VALUE"""),"FINANCE &amp; ACCOUNTING")</f>
        <v>FINANCE &amp; ACCOUNTING</v>
      </c>
      <c r="D1304" s="196" t="str">
        <f>IFERROR(__xludf.DUMMYFUNCTION("""COMPUTED_VALUE"""),"Cellphone")</f>
        <v>Cellphone</v>
      </c>
      <c r="E1304" s="196" t="str">
        <f>IFERROR(__xludf.DUMMYFUNCTION("""COMPUTED_VALUE"""),"Text brigade (for texting students/parents)")</f>
        <v>Text brigade (for texting students/parents)</v>
      </c>
    </row>
    <row r="1305">
      <c r="A1305" s="234">
        <f>IFERROR(__xludf.DUMMYFUNCTION("""COMPUTED_VALUE"""),101596.0)</f>
        <v>101596</v>
      </c>
      <c r="B1305" s="235" t="str">
        <f>IFERROR(__xludf.DUMMYFUNCTION("""COMPUTED_VALUE"""),"Edgar Rebellon")</f>
        <v>Edgar Rebellon</v>
      </c>
      <c r="C1305" s="235" t="str">
        <f>IFERROR(__xludf.DUMMYFUNCTION("""COMPUTED_VALUE"""),"PRESIDENT'S OFFICE")</f>
        <v>PRESIDENT'S OFFICE</v>
      </c>
      <c r="D1305" s="196" t="str">
        <f>IFERROR(__xludf.DUMMYFUNCTION("""COMPUTED_VALUE"""),"Laptop (Acer Travelmate)")</f>
        <v>Laptop (Acer Travelmate)</v>
      </c>
      <c r="E1305" s="196" t="str">
        <f>IFERROR(__xludf.DUMMYFUNCTION("""COMPUTED_VALUE"""),"Approved Gadget loan of employees")</f>
        <v>Approved Gadget loan of employees</v>
      </c>
    </row>
    <row r="1306">
      <c r="A1306" s="234">
        <f>IFERROR(__xludf.DUMMYFUNCTION("""COMPUTED_VALUE"""),101597.0)</f>
        <v>101597</v>
      </c>
      <c r="B1306" s="235" t="str">
        <f>IFERROR(__xludf.DUMMYFUNCTION("""COMPUTED_VALUE"""),"SHEREE ESPINOSA")</f>
        <v>SHEREE ESPINOSA</v>
      </c>
      <c r="C1306" s="235" t="str">
        <f>IFERROR(__xludf.DUMMYFUNCTION("""COMPUTED_VALUE"""),"HOUSEKEEPING")</f>
        <v>HOUSEKEEPING</v>
      </c>
      <c r="D1306" s="196" t="str">
        <f>IFERROR(__xludf.DUMMYFUNCTION("""COMPUTED_VALUE"""),"HAND SANITIZER (HANDY CLEAN COOL WAJTER OXYCHEM)")</f>
        <v>HAND SANITIZER (HANDY CLEAN COOL WAJTER OXYCHEM)</v>
      </c>
      <c r="E1306" s="196" t="str">
        <f>IFERROR(__xludf.DUMMYFUNCTION("""COMPUTED_VALUE"""),"FOR COVID 19")</f>
        <v>FOR COVID 19</v>
      </c>
    </row>
    <row r="1307">
      <c r="A1307" s="234">
        <f>IFERROR(__xludf.DUMMYFUNCTION("""COMPUTED_VALUE"""),101598.0)</f>
        <v>101598</v>
      </c>
      <c r="B1307" s="235" t="str">
        <f>IFERROR(__xludf.DUMMYFUNCTION("""COMPUTED_VALUE"""),"EDGAR REBELLON")</f>
        <v>EDGAR REBELLON</v>
      </c>
      <c r="C1307" s="235" t="str">
        <f>IFERROR(__xludf.DUMMYFUNCTION("""COMPUTED_VALUE"""),"STUFFSHOP")</f>
        <v>STUFFSHOP</v>
      </c>
      <c r="D1307" s="196" t="str">
        <f>IFERROR(__xludf.DUMMYFUNCTION("""COMPUTED_VALUE"""),"G1, My ABC and ACT				
G2, I Can Do It ACT				
G3, The Achiever in Me ACT				
G4, I am Me! ACT				
G5, Journeying Into Me ACT				
G6, The Whole ME ACT				
G7, My Achievement Journey ACT				
G8, I am a Gift ACT				
G10, One Step at a Time ACT				")</f>
        <v>G1, My ABC and ACT				
G2, I Can Do It ACT				
G3, The Achiever in Me ACT				
G4, I am Me! ACT				
G5, Journeying Into Me ACT				
G6, The Whole ME ACT				
G7, My Achievement Journey ACT				
G8, I am a Gift ACT				
G10, One Step at a Time ACT				</v>
      </c>
      <c r="E1307" s="196" t="str">
        <f>IFERROR(__xludf.DUMMYFUNCTION("""COMPUTED_VALUE"""),"ACT BOOKS FOR AY 20-21")</f>
        <v>ACT BOOKS FOR AY 20-21</v>
      </c>
    </row>
    <row r="1308">
      <c r="A1308" s="234">
        <f>IFERROR(__xludf.DUMMYFUNCTION("""COMPUTED_VALUE"""),101599.0)</f>
        <v>101599</v>
      </c>
      <c r="B1308" s="235" t="str">
        <f>IFERROR(__xludf.DUMMYFUNCTION("""COMPUTED_VALUE"""),"EDGAR REBELLON")</f>
        <v>EDGAR REBELLON</v>
      </c>
      <c r="C1308" s="235" t="str">
        <f>IFERROR(__xludf.DUMMYFUNCTION("""COMPUTED_VALUE"""),"STUFFSHOP")</f>
        <v>STUFFSHOP</v>
      </c>
      <c r="D1308" s="196" t="str">
        <f>IFERROR(__xludf.DUMMYFUNCTION("""COMPUTED_VALUE"""),"G1, My ABC of EQ				
G2, My Family and I EQ				
G3, All About Me EQ				
G4, I am Me! EQ				
G5, Journeying Into Me EQ				
G6, The Whole Me EQ				
G7, My EQ Factor 				
G8, I am a Gift EQ				
G9, The Joy of Being Me				
G10, One Step at a Time EQ	"&amp;"			")</f>
        <v>G1, My ABC of EQ				
G2, My Family and I EQ				
G3, All About Me EQ				
G4, I am Me! EQ				
G5, Journeying Into Me EQ				
G6, The Whole Me EQ				
G7, My EQ Factor 				
G8, I am a Gift EQ				
G9, The Joy of Being Me				
G10, One Step at a Time EQ				</v>
      </c>
      <c r="E1308" s="196" t="str">
        <f>IFERROR(__xludf.DUMMYFUNCTION("""COMPUTED_VALUE"""),"EQ BOOKS FOR AY 20-21")</f>
        <v>EQ BOOKS FOR AY 20-21</v>
      </c>
    </row>
    <row r="1309">
      <c r="A1309" s="234">
        <f>IFERROR(__xludf.DUMMYFUNCTION("""COMPUTED_VALUE"""),101600.0)</f>
        <v>101600</v>
      </c>
      <c r="B1309" s="235" t="str">
        <f>IFERROR(__xludf.DUMMYFUNCTION("""COMPUTED_VALUE"""),"EDGAR REBELLON")</f>
        <v>EDGAR REBELLON</v>
      </c>
      <c r="C1309" s="235" t="str">
        <f>IFERROR(__xludf.DUMMYFUNCTION("""COMPUTED_VALUE"""),"STUFFSHOP")</f>
        <v>STUFFSHOP</v>
      </c>
      <c r="D1309" s="196" t="str">
        <f>IFERROR(__xludf.DUMMYFUNCTION("""COMPUTED_VALUE"""),"Standford Skillbook Math  C				
Standford Skillbook Math  D				
Standford Skillbook Reading B				
Standford Skillbook Reading C				
Standford Skillbook Reading D				")</f>
        <v>Standford Skillbook Math  C				
Standford Skillbook Math  D				
Standford Skillbook Reading B				
Standford Skillbook Reading C				
Standford Skillbook Reading D				</v>
      </c>
      <c r="E1309" s="196" t="str">
        <f>IFERROR(__xludf.DUMMYFUNCTION("""COMPUTED_VALUE"""),"EQ BOOKS FOR AY 20-21")</f>
        <v>EQ BOOKS FOR AY 20-21</v>
      </c>
    </row>
    <row r="1310">
      <c r="A1310" s="234">
        <f>IFERROR(__xludf.DUMMYFUNCTION("""COMPUTED_VALUE"""),101601.0)</f>
        <v>101601</v>
      </c>
      <c r="B1310" s="235" t="str">
        <f>IFERROR(__xludf.DUMMYFUNCTION("""COMPUTED_VALUE"""),"EDGAR REBELLON")</f>
        <v>EDGAR REBELLON</v>
      </c>
      <c r="C1310" s="235" t="str">
        <f>IFERROR(__xludf.DUMMYFUNCTION("""COMPUTED_VALUE"""),"STUFFSHOP")</f>
        <v>STUFFSHOP</v>
      </c>
      <c r="D1310" s="196" t="str">
        <f>IFERROR(__xludf.DUMMYFUNCTION("""COMPUTED_VALUE"""),"Box of Crayons - Stanford (8pcs) 				
Glue Stick Stanford, Leeho 8g (.28oz.)                       				
Scissors, Stanford - Maped Stainless				
Pencil, Stanford 				
Water Color Stanford, Tempera 				
Ruler, Stanford Faber-Castel 6 inches 				")</f>
        <v>Box of Crayons - Stanford (8pcs) 				
Glue Stick Stanford, Leeho 8g (.28oz.)                       				
Scissors, Stanford - Maped Stainless				
Pencil, Stanford 				
Water Color Stanford, Tempera 				
Ruler, Stanford Faber-Castel 6 inches 				</v>
      </c>
      <c r="E1310" s="196" t="str">
        <f>IFERROR(__xludf.DUMMYFUNCTION("""COMPUTED_VALUE"""),"STANFORD KIT FOR STUDENTS")</f>
        <v>STANFORD KIT FOR STUDENTS</v>
      </c>
    </row>
    <row r="1311">
      <c r="A1311" s="234">
        <f>IFERROR(__xludf.DUMMYFUNCTION("""COMPUTED_VALUE"""),101602.0)</f>
        <v>101602</v>
      </c>
      <c r="B1311" s="235" t="str">
        <f>IFERROR(__xludf.DUMMYFUNCTION("""COMPUTED_VALUE"""),"OWIE PAR")</f>
        <v>OWIE PAR</v>
      </c>
      <c r="C1311" s="235" t="str">
        <f>IFERROR(__xludf.DUMMYFUNCTION("""COMPUTED_VALUE"""),"ENGINEERING")</f>
        <v>ENGINEERING</v>
      </c>
      <c r="D1311" s="196" t="str">
        <f>IFERROR(__xludf.DUMMYFUNCTION("""COMPUTED_VALUE"""),"BATTERY 6 SMF TRUCK MASTER")</f>
        <v>BATTERY 6 SMF TRUCK MASTER</v>
      </c>
      <c r="E1311" s="196" t="str">
        <f>IFERROR(__xludf.DUMMYFUNCTION("""COMPUTED_VALUE"""),"FOR MUNICH GEN SET")</f>
        <v>FOR MUNICH GEN SET</v>
      </c>
    </row>
    <row r="1312">
      <c r="A1312" s="234">
        <f>IFERROR(__xludf.DUMMYFUNCTION("""COMPUTED_VALUE"""),101603.0)</f>
        <v>101603</v>
      </c>
      <c r="B1312" s="235" t="str">
        <f>IFERROR(__xludf.DUMMYFUNCTION("""COMPUTED_VALUE"""),"OWIE PAR")</f>
        <v>OWIE PAR</v>
      </c>
      <c r="C1312" s="235" t="str">
        <f>IFERROR(__xludf.DUMMYFUNCTION("""COMPUTED_VALUE"""),"ENGINEERING")</f>
        <v>ENGINEERING</v>
      </c>
      <c r="D1312" s="196" t="str">
        <f>IFERROR(__xludf.DUMMYFUNCTION("""COMPUTED_VALUE"""),"BATTERY 6 SMF")</f>
        <v>BATTERY 6 SMF</v>
      </c>
      <c r="E1312" s="196" t="str">
        <f>IFERROR(__xludf.DUMMYFUNCTION("""COMPUTED_VALUE"""),"FOR ELI GEN-SET")</f>
        <v>FOR ELI GEN-SET</v>
      </c>
    </row>
    <row r="1313">
      <c r="A1313" s="234">
        <f>IFERROR(__xludf.DUMMYFUNCTION("""COMPUTED_VALUE"""),101604.0)</f>
        <v>101604</v>
      </c>
      <c r="B1313" s="235" t="str">
        <f>IFERROR(__xludf.DUMMYFUNCTION("""COMPUTED_VALUE"""),"JP RAGOT")</f>
        <v>JP RAGOT</v>
      </c>
      <c r="C1313" s="235" t="str">
        <f>IFERROR(__xludf.DUMMYFUNCTION("""COMPUTED_VALUE"""),"AMD")</f>
        <v>AMD</v>
      </c>
      <c r="D1313" s="196" t="str">
        <f>IFERROR(__xludf.DUMMYFUNCTION("""COMPUTED_VALUE"""),"OPP Plastic/ Kleenex Tissue/ Alcohol/ Enrollment pouch bag")</f>
        <v>OPP Plastic/ Kleenex Tissue/ Alcohol/ Enrollment pouch bag</v>
      </c>
      <c r="E1313" s="196" t="str">
        <f>IFERROR(__xludf.DUMMYFUNCTION("""COMPUTED_VALUE"""),"Enrollment token AY 20-21")</f>
        <v>Enrollment token AY 20-21</v>
      </c>
    </row>
    <row r="1314">
      <c r="A1314" s="234">
        <f>IFERROR(__xludf.DUMMYFUNCTION("""COMPUTED_VALUE"""),101605.0)</f>
        <v>101605</v>
      </c>
      <c r="B1314" s="235" t="str">
        <f>IFERROR(__xludf.DUMMYFUNCTION("""COMPUTED_VALUE"""),"JP RAGOT")</f>
        <v>JP RAGOT</v>
      </c>
      <c r="C1314" s="235" t="str">
        <f>IFERROR(__xludf.DUMMYFUNCTION("""COMPUTED_VALUE"""),"AMD")</f>
        <v>AMD</v>
      </c>
      <c r="D1314" s="196" t="str">
        <f>IFERROR(__xludf.DUMMYFUNCTION("""COMPUTED_VALUE"""),"Face mask (For PO)")</f>
        <v>Face mask (For PO)</v>
      </c>
      <c r="E1314" s="196" t="str">
        <f>IFERROR(__xludf.DUMMYFUNCTION("""COMPUTED_VALUE"""),"Enrollment token AY 20-21")</f>
        <v>Enrollment token AY 20-21</v>
      </c>
    </row>
    <row r="1315">
      <c r="A1315" s="234">
        <f>IFERROR(__xludf.DUMMYFUNCTION("""COMPUTED_VALUE"""),101606.0)</f>
        <v>101606</v>
      </c>
      <c r="B1315" s="235" t="str">
        <f>IFERROR(__xludf.DUMMYFUNCTION("""COMPUTED_VALUE"""),"AMI SALANGUIT")</f>
        <v>AMI SALANGUIT</v>
      </c>
      <c r="C1315" s="235" t="str">
        <f>IFERROR(__xludf.DUMMYFUNCTION("""COMPUTED_VALUE"""),"HRMD")</f>
        <v>HRMD</v>
      </c>
      <c r="D1315" s="196" t="str">
        <f>IFERROR(__xludf.DUMMYFUNCTION("""COMPUTED_VALUE"""),"FLOWER WREATH")</f>
        <v>FLOWER WREATH</v>
      </c>
      <c r="E1315" s="196" t="str">
        <f>IFERROR(__xludf.DUMMYFUNCTION("""COMPUTED_VALUE"""),"FLOWER WREATH FOR DR. ARIS'S FATHER")</f>
        <v>FLOWER WREATH FOR DR. ARIS'S FATHER</v>
      </c>
    </row>
    <row r="1316">
      <c r="A1316" s="234">
        <f>IFERROR(__xludf.DUMMYFUNCTION("""COMPUTED_VALUE"""),101607.0)</f>
        <v>101607</v>
      </c>
      <c r="B1316" s="235" t="str">
        <f>IFERROR(__xludf.DUMMYFUNCTION("""COMPUTED_VALUE"""),"WILBERT BELTRAN")</f>
        <v>WILBERT BELTRAN</v>
      </c>
      <c r="C1316" s="235" t="str">
        <f>IFERROR(__xludf.DUMMYFUNCTION("""COMPUTED_VALUE"""),"AV/MIS")</f>
        <v>AV/MIS</v>
      </c>
      <c r="D1316" s="196" t="str">
        <f>IFERROR(__xludf.DUMMYFUNCTION("""COMPUTED_VALUE"""),"WEBCAM")</f>
        <v>WEBCAM</v>
      </c>
      <c r="E1316" s="196" t="str">
        <f>IFERROR(__xludf.DUMMYFUNCTION("""COMPUTED_VALUE"""),"FOR ONLINE CLASEES")</f>
        <v>FOR ONLINE CLASEES</v>
      </c>
    </row>
    <row r="1317">
      <c r="A1317" s="234">
        <f>IFERROR(__xludf.DUMMYFUNCTION("""COMPUTED_VALUE"""),101608.0)</f>
        <v>101608</v>
      </c>
      <c r="B1317" s="235" t="str">
        <f>IFERROR(__xludf.DUMMYFUNCTION("""COMPUTED_VALUE"""),"SAM RAIZ")</f>
        <v>SAM RAIZ</v>
      </c>
      <c r="C1317" s="235" t="str">
        <f>IFERROR(__xludf.DUMMYFUNCTION("""COMPUTED_VALUE"""),"AV/MIS")</f>
        <v>AV/MIS</v>
      </c>
      <c r="D1317" s="196" t="str">
        <f>IFERROR(__xludf.DUMMYFUNCTION("""COMPUTED_VALUE"""),"1 PC CAMERA WITH DELIVERY")</f>
        <v>1 PC CAMERA WITH DELIVERY</v>
      </c>
      <c r="E1317" s="196" t="str">
        <f>IFERROR(__xludf.DUMMYFUNCTION("""COMPUTED_VALUE"""),"TEST CAMERA")</f>
        <v>TEST CAMERA</v>
      </c>
    </row>
    <row r="1318">
      <c r="A1318" s="234">
        <f>IFERROR(__xludf.DUMMYFUNCTION("""COMPUTED_VALUE"""),101609.0)</f>
        <v>101609</v>
      </c>
      <c r="B1318" s="235" t="str">
        <f>IFERROR(__xludf.DUMMYFUNCTION("""COMPUTED_VALUE"""),"OWIE PAR")</f>
        <v>OWIE PAR</v>
      </c>
      <c r="C1318" s="235" t="str">
        <f>IFERROR(__xludf.DUMMYFUNCTION("""COMPUTED_VALUE"""),"ENGINEERING")</f>
        <v>ENGINEERING</v>
      </c>
      <c r="D1318" s="196" t="str">
        <f>IFERROR(__xludf.DUMMYFUNCTION("""COMPUTED_VALUE"""),"1 UINIT FIRE ALARM PANEL 40 ZONES")</f>
        <v>1 UINIT FIRE ALARM PANEL 40 ZONES</v>
      </c>
      <c r="E1318" s="196" t="str">
        <f>IFERROR(__xludf.DUMMYFUNCTION("""COMPUTED_VALUE"""),"FIRE ALARM PANEL")</f>
        <v>FIRE ALARM PANEL</v>
      </c>
    </row>
    <row r="1319">
      <c r="A1319" s="234">
        <f>IFERROR(__xludf.DUMMYFUNCTION("""COMPUTED_VALUE"""),101610.0)</f>
        <v>101610</v>
      </c>
      <c r="B1319" s="235" t="str">
        <f>IFERROR(__xludf.DUMMYFUNCTION("""COMPUTED_VALUE"""),"SAM RAIZ")</f>
        <v>SAM RAIZ</v>
      </c>
      <c r="C1319" s="235" t="str">
        <f>IFERROR(__xludf.DUMMYFUNCTION("""COMPUTED_VALUE"""),"AV/MIS")</f>
        <v>AV/MIS</v>
      </c>
      <c r="D1319" s="196" t="str">
        <f>IFERROR(__xludf.DUMMYFUNCTION("""COMPUTED_VALUE"""),"PLDT WIFI PREPAID DEVICES -12PCS")</f>
        <v>PLDT WIFI PREPAID DEVICES -12PCS</v>
      </c>
      <c r="E1319" s="196" t="str">
        <f>IFERROR(__xludf.DUMMYFUNCTION("""COMPUTED_VALUE"""),"BLENDED LEARNING AY 20-21")</f>
        <v>BLENDED LEARNING AY 20-21</v>
      </c>
    </row>
    <row r="1320">
      <c r="A1320" s="234">
        <f>IFERROR(__xludf.DUMMYFUNCTION("""COMPUTED_VALUE"""),101611.0)</f>
        <v>101611</v>
      </c>
      <c r="B1320" s="235" t="str">
        <f>IFERROR(__xludf.DUMMYFUNCTION("""COMPUTED_VALUE"""),"SAM RAIZ")</f>
        <v>SAM RAIZ</v>
      </c>
      <c r="C1320" s="235" t="str">
        <f>IFERROR(__xludf.DUMMYFUNCTION("""COMPUTED_VALUE"""),"AV/MIS")</f>
        <v>AV/MIS</v>
      </c>
      <c r="D1320" s="196" t="str">
        <f>IFERROR(__xludf.DUMMYFUNCTION("""COMPUTED_VALUE"""),"WIFI DONGLE -60 PCS")</f>
        <v>WIFI DONGLE -60 PCS</v>
      </c>
      <c r="E1320" s="196" t="str">
        <f>IFERROR(__xludf.DUMMYFUNCTION("""COMPUTED_VALUE"""),"BLENDED LEARNING AY 20-21")</f>
        <v>BLENDED LEARNING AY 20-21</v>
      </c>
    </row>
    <row r="1321">
      <c r="A1321" s="234">
        <f>IFERROR(__xludf.DUMMYFUNCTION("""COMPUTED_VALUE"""),101612.0)</f>
        <v>101612</v>
      </c>
      <c r="B1321" s="235" t="str">
        <f>IFERROR(__xludf.DUMMYFUNCTION("""COMPUTED_VALUE"""),"DYAN CHAVEZ")</f>
        <v>DYAN CHAVEZ</v>
      </c>
      <c r="C1321" s="235" t="str">
        <f>IFERROR(__xludf.DUMMYFUNCTION("""COMPUTED_VALUE"""),"ECED")</f>
        <v>ECED</v>
      </c>
      <c r="D1321" s="196" t="str">
        <f>IFERROR(__xludf.DUMMYFUNCTION("""COMPUTED_VALUE"""),"Medals (Gold, Silver, Bronze, Values Excellence, Perfect Attendance )")</f>
        <v>Medals (Gold, Silver, Bronze, Values Excellence, Perfect Attendance )</v>
      </c>
      <c r="E1321" s="196" t="str">
        <f>IFERROR(__xludf.DUMMYFUNCTION("""COMPUTED_VALUE"""),"Medals for Grade 1 and 2 (MUNSTAR)")</f>
        <v>Medals for Grade 1 and 2 (MUNSTAR)</v>
      </c>
    </row>
    <row r="1322">
      <c r="A1322" s="234">
        <f>IFERROR(__xludf.DUMMYFUNCTION("""COMPUTED_VALUE"""),101613.0)</f>
        <v>101613</v>
      </c>
      <c r="B1322" s="235" t="str">
        <f>IFERROR(__xludf.DUMMYFUNCTION("""COMPUTED_VALUE"""),"TOM TONGOHAN")</f>
        <v>TOM TONGOHAN</v>
      </c>
      <c r="C1322" s="235" t="str">
        <f>IFERROR(__xludf.DUMMYFUNCTION("""COMPUTED_VALUE"""),"ADMIN")</f>
        <v>ADMIN</v>
      </c>
      <c r="D1322" s="196" t="str">
        <f>IFERROR(__xludf.DUMMYFUNCTION("""COMPUTED_VALUE"""),"WIRED GLASS FOR FIRE EXIT DOOR")</f>
        <v>WIRED GLASS FOR FIRE EXIT DOOR</v>
      </c>
      <c r="E1322" s="196" t="str">
        <f>IFERROR(__xludf.DUMMYFUNCTION("""COMPUTED_VALUE"""),"FOR SAFETY OF STUDENTS  AT LUX FIRE EXIT")</f>
        <v>FOR SAFETY OF STUDENTS  AT LUX FIRE EXIT</v>
      </c>
    </row>
    <row r="1323">
      <c r="A1323" s="234">
        <f>IFERROR(__xludf.DUMMYFUNCTION("""COMPUTED_VALUE"""),101614.0)</f>
        <v>101614</v>
      </c>
      <c r="B1323" s="235" t="str">
        <f>IFERROR(__xludf.DUMMYFUNCTION("""COMPUTED_VALUE"""),"TOM TONGOHAN")</f>
        <v>TOM TONGOHAN</v>
      </c>
      <c r="C1323" s="235" t="str">
        <f>IFERROR(__xludf.DUMMYFUNCTION("""COMPUTED_VALUE"""),"ADMIN")</f>
        <v>ADMIN</v>
      </c>
      <c r="D1323" s="196" t="str">
        <f>IFERROR(__xludf.DUMMYFUNCTION("""COMPUTED_VALUE"""),"VINYL TILE / PORCELAIN TILE/ TILE ADHESIVE")</f>
        <v>VINYL TILE / PORCELAIN TILE/ TILE ADHESIVE</v>
      </c>
      <c r="E1323" s="196" t="str">
        <f>IFERROR(__xludf.DUMMYFUNCTION("""COMPUTED_VALUE"""),"FOR THE COACHES ROOM AT MONARCHS GYM")</f>
        <v>FOR THE COACHES ROOM AT MONARCHS GYM</v>
      </c>
    </row>
    <row r="1324">
      <c r="A1324" s="234">
        <f>IFERROR(__xludf.DUMMYFUNCTION("""COMPUTED_VALUE"""),101615.0)</f>
        <v>101615</v>
      </c>
      <c r="B1324" s="235" t="str">
        <f>IFERROR(__xludf.DUMMYFUNCTION("""COMPUTED_VALUE"""),"Joseete Guzman")</f>
        <v>Joseete Guzman</v>
      </c>
      <c r="C1324" s="235" t="str">
        <f>IFERROR(__xludf.DUMMYFUNCTION("""COMPUTED_VALUE"""),"ADMIN - MUNICH")</f>
        <v>ADMIN - MUNICH</v>
      </c>
      <c r="D1324" s="196" t="str">
        <f>IFERROR(__xludf.DUMMYFUNCTION("""COMPUTED_VALUE"""),"GOLD/ VALUES EXCELLENCE / PERFECT ATTENDANCE MEDALS")</f>
        <v>GOLD/ VALUES EXCELLENCE / PERFECT ATTENDANCE MEDALS</v>
      </c>
      <c r="E1324" s="196" t="str">
        <f>IFERROR(__xludf.DUMMYFUNCTION("""COMPUTED_VALUE"""),"RECOGNITION MEDALS FOR GRADE 3-5")</f>
        <v>RECOGNITION MEDALS FOR GRADE 3-5</v>
      </c>
    </row>
    <row r="1325">
      <c r="A1325" s="234">
        <f>IFERROR(__xludf.DUMMYFUNCTION("""COMPUTED_VALUE"""),101616.0)</f>
        <v>101616</v>
      </c>
      <c r="B1325" s="235" t="str">
        <f>IFERROR(__xludf.DUMMYFUNCTION("""COMPUTED_VALUE"""),"ELYDIA REYES")</f>
        <v>ELYDIA REYES</v>
      </c>
      <c r="C1325" s="235" t="str">
        <f>IFERROR(__xludf.DUMMYFUNCTION("""COMPUTED_VALUE"""),"PRF-SISC Departments")</f>
        <v>PRF-SISC Departments</v>
      </c>
      <c r="D1325" s="196" t="str">
        <f>IFERROR(__xludf.DUMMYFUNCTION("""COMPUTED_VALUE"""),"6.5X13.5 TARP FOR VOLT WITH EYELET ALL OVER")</f>
        <v>6.5X13.5 TARP FOR VOLT WITH EYELET ALL OVER</v>
      </c>
      <c r="E1325" s="196" t="str">
        <f>IFERROR(__xludf.DUMMYFUNCTION("""COMPUTED_VALUE"""),"MARKETING ")</f>
        <v>MARKETING </v>
      </c>
    </row>
    <row r="1326">
      <c r="A1326" s="234">
        <f>IFERROR(__xludf.DUMMYFUNCTION("""COMPUTED_VALUE"""),101617.0)</f>
        <v>101617</v>
      </c>
      <c r="B1326" s="235" t="str">
        <f>IFERROR(__xludf.DUMMYFUNCTION("""COMPUTED_VALUE"""),"JP RAGOT")</f>
        <v>JP RAGOT</v>
      </c>
      <c r="C1326" s="235" t="str">
        <f>IFERROR(__xludf.DUMMYFUNCTION("""COMPUTED_VALUE"""),"AMD")</f>
        <v>AMD</v>
      </c>
      <c r="D1326" s="196" t="str">
        <f>IFERROR(__xludf.DUMMYFUNCTION("""COMPUTED_VALUE"""),"LANYARD, SISC PRINT (NEW) LOGO 20 CM WITH FREE ID PROTECTOR")</f>
        <v>LANYARD, SISC PRINT (NEW) LOGO 20 CM WITH FREE ID PROTECTOR</v>
      </c>
      <c r="E1326" s="196" t="str">
        <f>IFERROR(__xludf.DUMMYFUNCTION("""COMPUTED_VALUE"""),"FOR ENROLLMENT AY20-21 ")</f>
        <v>FOR ENROLLMENT AY20-21 </v>
      </c>
    </row>
    <row r="1327">
      <c r="A1327" s="234">
        <f>IFERROR(__xludf.DUMMYFUNCTION("""COMPUTED_VALUE"""),101618.0)</f>
        <v>101618</v>
      </c>
      <c r="B1327" s="235" t="str">
        <f>IFERROR(__xludf.DUMMYFUNCTION("""COMPUTED_VALUE"""),"JEREMIAH TIROL")</f>
        <v>JEREMIAH TIROL</v>
      </c>
      <c r="C1327" s="235" t="str">
        <f>IFERROR(__xludf.DUMMYFUNCTION("""COMPUTED_VALUE"""),"SCIENCE LAB COLLEGE")</f>
        <v>SCIENCE LAB COLLEGE</v>
      </c>
      <c r="D1327" s="196" t="str">
        <f>IFERROR(__xludf.DUMMYFUNCTION("""COMPUTED_VALUE"""),"FILTER FOR ACID BASE CABINET")</f>
        <v>FILTER FOR ACID BASE CABINET</v>
      </c>
      <c r="E1327" s="196" t="str">
        <f>IFERROR(__xludf.DUMMYFUNCTION("""COMPUTED_VALUE"""),"FOR ACID BASED CABINET")</f>
        <v>FOR ACID BASED CABINET</v>
      </c>
    </row>
    <row r="1328">
      <c r="A1328" s="234">
        <f>IFERROR(__xludf.DUMMYFUNCTION("""COMPUTED_VALUE"""),101619.0)</f>
        <v>101619</v>
      </c>
      <c r="B1328" s="235" t="str">
        <f>IFERROR(__xludf.DUMMYFUNCTION("""COMPUTED_VALUE"""),"LIA ARCAINA")</f>
        <v>LIA ARCAINA</v>
      </c>
      <c r="C1328" s="235" t="str">
        <f>IFERROR(__xludf.DUMMYFUNCTION("""COMPUTED_VALUE"""),"PRF-SISC Departments")</f>
        <v>PRF-SISC Departments</v>
      </c>
      <c r="D1328" s="196" t="str">
        <f>IFERROR(__xludf.DUMMYFUNCTION("""COMPUTED_VALUE"""),"PLAQUE OF GWYN TANGOG")</f>
        <v>PLAQUE OF GWYN TANGOG</v>
      </c>
      <c r="E1328" s="196" t="str">
        <f>IFERROR(__xludf.DUMMYFUNCTION("""COMPUTED_VALUE"""),"PALQUE AS WEBINAR SPEAKER")</f>
        <v>PALQUE AS WEBINAR SPEAKER</v>
      </c>
    </row>
    <row r="1329">
      <c r="A1329" s="234">
        <f>IFERROR(__xludf.DUMMYFUNCTION("""COMPUTED_VALUE"""),101620.0)</f>
        <v>101620</v>
      </c>
      <c r="B1329" s="235" t="str">
        <f>IFERROR(__xludf.DUMMYFUNCTION("""COMPUTED_VALUE"""),"SAM RAIZ")</f>
        <v>SAM RAIZ</v>
      </c>
      <c r="C1329" s="235" t="str">
        <f>IFERROR(__xludf.DUMMYFUNCTION("""COMPUTED_VALUE"""),"AV/MIS")</f>
        <v>AV/MIS</v>
      </c>
      <c r="D1329" s="196" t="str">
        <f>IFERROR(__xludf.DUMMYFUNCTION("""COMPUTED_VALUE"""),"Standard Pro Monthly-zoom / Participants meeting monthly")</f>
        <v>Standard Pro Monthly-zoom / Participants meeting monthly</v>
      </c>
      <c r="E1329" s="196" t="str">
        <f>IFERROR(__xludf.DUMMYFUNCTION("""COMPUTED_VALUE"""),"zoom subscriptions for webinard and virtual events")</f>
        <v>zoom subscriptions for webinard and virtual events</v>
      </c>
    </row>
    <row r="1330">
      <c r="A1330" s="234">
        <f>IFERROR(__xludf.DUMMYFUNCTION("""COMPUTED_VALUE"""),101621.0)</f>
        <v>101621</v>
      </c>
      <c r="B1330" s="235" t="str">
        <f>IFERROR(__xludf.DUMMYFUNCTION("""COMPUTED_VALUE"""),"CARLITO DELA VEGA")</f>
        <v>CARLITO DELA VEGA</v>
      </c>
      <c r="C1330" s="235" t="str">
        <f>IFERROR(__xludf.DUMMYFUNCTION("""COMPUTED_VALUE"""),"SECURITY")</f>
        <v>SECURITY</v>
      </c>
      <c r="D1330" s="196" t="str">
        <f>IFERROR(__xludf.DUMMYFUNCTION("""COMPUTED_VALUE"""),"BATTERY RECHARGEABLE")</f>
        <v>BATTERY RECHARGEABLE</v>
      </c>
      <c r="E1330" s="196" t="str">
        <f>IFERROR(__xludf.DUMMYFUNCTION("""COMPUTED_VALUE"""),"DOOR ACCESS UPS BATTERY")</f>
        <v>DOOR ACCESS UPS BATTERY</v>
      </c>
    </row>
    <row r="1331">
      <c r="A1331" s="234">
        <f>IFERROR(__xludf.DUMMYFUNCTION("""COMPUTED_VALUE"""),101622.0)</f>
        <v>101622</v>
      </c>
      <c r="B1331" s="235" t="str">
        <f>IFERROR(__xludf.DUMMYFUNCTION("""COMPUTED_VALUE"""),"CARLITO DELA VEGA")</f>
        <v>CARLITO DELA VEGA</v>
      </c>
      <c r="C1331" s="235" t="str">
        <f>IFERROR(__xludf.DUMMYFUNCTION("""COMPUTED_VALUE"""),"SECURITY")</f>
        <v>SECURITY</v>
      </c>
      <c r="D1331" s="196" t="str">
        <f>IFERROR(__xludf.DUMMYFUNCTION("""COMPUTED_VALUE"""),"TARPAULINE PRINTING 4X6 (ELI LUX MUNICH TROPICAL)")</f>
        <v>TARPAULINE PRINTING 4X6 (ELI LUX MUNICH TROPICAL)</v>
      </c>
      <c r="E1331" s="196" t="str">
        <f>IFERROR(__xludf.DUMMYFUNCTION("""COMPUTED_VALUE"""),"PARKING POLICY")</f>
        <v>PARKING POLICY</v>
      </c>
    </row>
    <row r="1332">
      <c r="A1332" s="234">
        <f>IFERROR(__xludf.DUMMYFUNCTION("""COMPUTED_VALUE"""),101623.0)</f>
        <v>101623</v>
      </c>
      <c r="B1332" s="235" t="str">
        <f>IFERROR(__xludf.DUMMYFUNCTION("""COMPUTED_VALUE"""),"CLARISSA SORIAO")</f>
        <v>CLARISSA SORIAO</v>
      </c>
      <c r="C1332" s="235" t="str">
        <f>IFERROR(__xludf.DUMMYFUNCTION("""COMPUTED_VALUE"""),"HRMD")</f>
        <v>HRMD</v>
      </c>
      <c r="D1332" s="196" t="str">
        <f>IFERROR(__xludf.DUMMYFUNCTION("""COMPUTED_VALUE"""),"ASSORTED FACEMASK - SUPPLIER TROPICAL PALMS")</f>
        <v>ASSORTED FACEMASK - SUPPLIER TROPICAL PALMS</v>
      </c>
      <c r="E1332" s="196" t="str">
        <f>IFERROR(__xludf.DUMMYFUNCTION("""COMPUTED_VALUE"""),"EMPLOYEE UNIFORM")</f>
        <v>EMPLOYEE UNIFORM</v>
      </c>
    </row>
    <row r="1333">
      <c r="A1333" s="234">
        <f>IFERROR(__xludf.DUMMYFUNCTION("""COMPUTED_VALUE"""),101624.0)</f>
        <v>101624</v>
      </c>
      <c r="B1333" s="235" t="str">
        <f>IFERROR(__xludf.DUMMYFUNCTION("""COMPUTED_VALUE"""),"DONNA ROSE OCAMPO")</f>
        <v>DONNA ROSE OCAMPO</v>
      </c>
      <c r="C1333" s="235" t="str">
        <f>IFERROR(__xludf.DUMMYFUNCTION("""COMPUTED_VALUE"""),"FINANCE &amp; ACCOUNTING")</f>
        <v>FINANCE &amp; ACCOUNTING</v>
      </c>
      <c r="D1333" s="196" t="str">
        <f>IFERROR(__xludf.DUMMYFUNCTION("""COMPUTED_VALUE"""),"BASIC ED ASSESSMENT FORMS")</f>
        <v>BASIC ED ASSESSMENT FORMS</v>
      </c>
      <c r="E1333" s="196" t="str">
        <f>IFERROR(__xludf.DUMMYFUNCTION("""COMPUTED_VALUE"""),"PRINTING OF ASSESSMENTS")</f>
        <v>PRINTING OF ASSESSMENTS</v>
      </c>
    </row>
    <row r="1334">
      <c r="A1334" s="234">
        <f>IFERROR(__xludf.DUMMYFUNCTION("""COMPUTED_VALUE"""),101625.0)</f>
        <v>101625</v>
      </c>
      <c r="B1334" s="235" t="str">
        <f>IFERROR(__xludf.DUMMYFUNCTION("""COMPUTED_VALUE"""),"JP RAGOT")</f>
        <v>JP RAGOT</v>
      </c>
      <c r="C1334" s="235" t="str">
        <f>IFERROR(__xludf.DUMMYFUNCTION("""COMPUTED_VALUE"""),"AMD")</f>
        <v>AMD</v>
      </c>
      <c r="D1334" s="196" t="str">
        <f>IFERROR(__xludf.DUMMYFUNCTION("""COMPUTED_VALUE"""),"ALCOHOL GALLONS")</f>
        <v>ALCOHOL GALLONS</v>
      </c>
      <c r="E1334" s="196" t="str">
        <f>IFERROR(__xludf.DUMMYFUNCTION("""COMPUTED_VALUE"""),"for housekeeping consumption")</f>
        <v>for housekeeping consumption</v>
      </c>
    </row>
    <row r="1335">
      <c r="A1335" s="234">
        <f>IFERROR(__xludf.DUMMYFUNCTION("""COMPUTED_VALUE"""),101626.0)</f>
        <v>101626</v>
      </c>
      <c r="B1335" s="235" t="str">
        <f>IFERROR(__xludf.DUMMYFUNCTION("""COMPUTED_VALUE"""),"PRECIOUS CABRERA")</f>
        <v>PRECIOUS CABRERA</v>
      </c>
      <c r="C1335" s="235" t="str">
        <f>IFERROR(__xludf.DUMMYFUNCTION("""COMPUTED_VALUE"""),"HRMD")</f>
        <v>HRMD</v>
      </c>
      <c r="D1335" s="196" t="str">
        <f>IFERROR(__xludf.DUMMYFUNCTION("""COMPUTED_VALUE"""),"OPP PLASTIC")</f>
        <v>OPP PLASTIC</v>
      </c>
      <c r="E1335" s="196" t="str">
        <f>IFERROR(__xludf.DUMMYFUNCTION("""COMPUTED_VALUE"""),"FOR FACEMASK CONTAINER TO BE GIVEN TO EMPLOYEES")</f>
        <v>FOR FACEMASK CONTAINER TO BE GIVEN TO EMPLOYEES</v>
      </c>
    </row>
    <row r="1336">
      <c r="A1336" s="234">
        <f>IFERROR(__xludf.DUMMYFUNCTION("""COMPUTED_VALUE"""),101627.0)</f>
        <v>101627</v>
      </c>
      <c r="B1336" s="235" t="str">
        <f>IFERROR(__xludf.DUMMYFUNCTION("""COMPUTED_VALUE"""),"RONALD OBLENO")</f>
        <v>RONALD OBLENO</v>
      </c>
      <c r="C1336" s="235" t="str">
        <f>IFERROR(__xludf.DUMMYFUNCTION("""COMPUTED_VALUE"""),"AV/MIS")</f>
        <v>AV/MIS</v>
      </c>
      <c r="D1336" s="196" t="str">
        <f>IFERROR(__xludf.DUMMYFUNCTION("""COMPUTED_VALUE"""),"CAMERA / TRIPOD/ USB EXTENSION")</f>
        <v>CAMERA / TRIPOD/ USB EXTENSION</v>
      </c>
      <c r="E1336" s="196" t="str">
        <f>IFERROR(__xludf.DUMMYFUNCTION("""COMPUTED_VALUE"""),"BACK UP PERIPHERAL DEVICES FOR ONLINE LEARNING")</f>
        <v>BACK UP PERIPHERAL DEVICES FOR ONLINE LEARNING</v>
      </c>
    </row>
    <row r="1337">
      <c r="A1337" s="234">
        <f>IFERROR(__xludf.DUMMYFUNCTION("""COMPUTED_VALUE"""),101628.0)</f>
        <v>101628</v>
      </c>
      <c r="B1337" s="235" t="str">
        <f>IFERROR(__xludf.DUMMYFUNCTION("""COMPUTED_VALUE"""),"JP RAGOT")</f>
        <v>JP RAGOT</v>
      </c>
      <c r="C1337" s="235" t="str">
        <f>IFERROR(__xludf.DUMMYFUNCTION("""COMPUTED_VALUE"""),"AMD")</f>
        <v>AMD</v>
      </c>
      <c r="D1337" s="196" t="str">
        <f>IFERROR(__xludf.DUMMYFUNCTION("""COMPUTED_VALUE"""),"Paper, SISC Letterhead Colored A4 (8.27x11.69in)")</f>
        <v>Paper, SISC Letterhead Colored A4 (8.27x11.69in)</v>
      </c>
      <c r="E1337" s="196" t="str">
        <f>IFERROR(__xludf.DUMMYFUNCTION("""COMPUTED_VALUE"""),"STOCK REPLENISHMENT")</f>
        <v>STOCK REPLENISHMENT</v>
      </c>
    </row>
    <row r="1338">
      <c r="A1338" s="234">
        <f>IFERROR(__xludf.DUMMYFUNCTION("""COMPUTED_VALUE"""),101629.0)</f>
        <v>101629</v>
      </c>
      <c r="B1338" s="235" t="str">
        <f>IFERROR(__xludf.DUMMYFUNCTION("""COMPUTED_VALUE"""),"ELYDIA REYES")</f>
        <v>ELYDIA REYES</v>
      </c>
      <c r="C1338" s="235" t="str">
        <f>IFERROR(__xludf.DUMMYFUNCTION("""COMPUTED_VALUE"""),"PRF-SISC Departments")</f>
        <v>PRF-SISC Departments</v>
      </c>
      <c r="D1338" s="196" t="str">
        <f>IFERROR(__xludf.DUMMYFUNCTION("""COMPUTED_VALUE"""),"VOLT TARP (10 / 14 FT ) ( 10 X 16 FT) WITH SEAMING AND EYELET")</f>
        <v>VOLT TARP (10 / 14 FT ) ( 10 X 16 FT) WITH SEAMING AND EYELET</v>
      </c>
      <c r="E1338" s="196" t="str">
        <f>IFERROR(__xludf.DUMMYFUNCTION("""COMPUTED_VALUE"""),"FOR MARKETING PURPOSES")</f>
        <v>FOR MARKETING PURPOSES</v>
      </c>
    </row>
    <row r="1339">
      <c r="A1339" s="234">
        <f>IFERROR(__xludf.DUMMYFUNCTION("""COMPUTED_VALUE"""),101630.0)</f>
        <v>101630</v>
      </c>
      <c r="B1339" s="235" t="str">
        <f>IFERROR(__xludf.DUMMYFUNCTION("""COMPUTED_VALUE"""),"SHEREE ESPINOSA")</f>
        <v>SHEREE ESPINOSA</v>
      </c>
      <c r="C1339" s="235" t="str">
        <f>IFERROR(__xludf.DUMMYFUNCTION("""COMPUTED_VALUE"""),"HOUSEKEEPING")</f>
        <v>HOUSEKEEPING</v>
      </c>
      <c r="D1339" s="196" t="str">
        <f>IFERROR(__xludf.DUMMYFUNCTION("""COMPUTED_VALUE"""),"KARATE")</f>
        <v>KARATE</v>
      </c>
      <c r="E1339" s="196" t="str">
        <f>IFERROR(__xludf.DUMMYFUNCTION("""COMPUTED_VALUE"""),"FERTILIZER FOR LUX, TROPICAL, COLLEGE GARDEN")</f>
        <v>FERTILIZER FOR LUX, TROPICAL, COLLEGE GARDEN</v>
      </c>
    </row>
    <row r="1340">
      <c r="A1340" s="234">
        <f>IFERROR(__xludf.DUMMYFUNCTION("""COMPUTED_VALUE"""),101631.0)</f>
        <v>101631</v>
      </c>
      <c r="B1340" s="235" t="str">
        <f>IFERROR(__xludf.DUMMYFUNCTION("""COMPUTED_VALUE"""),"JP RAGOT")</f>
        <v>JP RAGOT</v>
      </c>
      <c r="C1340" s="235" t="str">
        <f>IFERROR(__xludf.DUMMYFUNCTION("""COMPUTED_VALUE"""),"AMD")</f>
        <v>AMD</v>
      </c>
      <c r="D1340" s="196" t="str">
        <f>IFERROR(__xludf.DUMMYFUNCTION("""COMPUTED_VALUE"""),"LED BULB 8W DAYLIGHT - PHILIPS				
")</f>
        <v>LED BULB 8W DAYLIGHT - PHILIPS				
</v>
      </c>
      <c r="E1340" s="196" t="str">
        <f>IFERROR(__xludf.DUMMYFUNCTION("""COMPUTED_VALUE"""),"STOCK REPLENISHMENT")</f>
        <v>STOCK REPLENISHMENT</v>
      </c>
    </row>
    <row r="1341">
      <c r="A1341" s="234">
        <f>IFERROR(__xludf.DUMMYFUNCTION("""COMPUTED_VALUE"""),101632.0)</f>
        <v>101632</v>
      </c>
      <c r="B1341" s="235" t="str">
        <f>IFERROR(__xludf.DUMMYFUNCTION("""COMPUTED_VALUE"""),"SHEREE ESPINOSA")</f>
        <v>SHEREE ESPINOSA</v>
      </c>
      <c r="C1341" s="235" t="str">
        <f>IFERROR(__xludf.DUMMYFUNCTION("""COMPUTED_VALUE"""),"HOUSEKEEPING")</f>
        <v>HOUSEKEEPING</v>
      </c>
      <c r="D1341" s="196" t="str">
        <f>IFERROR(__xludf.DUMMYFUNCTION("""COMPUTED_VALUE"""),"SOIL")</f>
        <v>SOIL</v>
      </c>
      <c r="E1341" s="196" t="str">
        <f>IFERROR(__xludf.DUMMYFUNCTION("""COMPUTED_VALUE"""),"FOR BEAUTIFICATION OF GARDENS")</f>
        <v>FOR BEAUTIFICATION OF GARDENS</v>
      </c>
    </row>
    <row r="1342">
      <c r="A1342" s="234">
        <f>IFERROR(__xludf.DUMMYFUNCTION("""COMPUTED_VALUE"""),101633.0)</f>
        <v>101633</v>
      </c>
      <c r="B1342" s="235" t="str">
        <f>IFERROR(__xludf.DUMMYFUNCTION("""COMPUTED_VALUE"""),"JP RAGOT")</f>
        <v>JP RAGOT</v>
      </c>
      <c r="C1342" s="235" t="str">
        <f>IFERROR(__xludf.DUMMYFUNCTION("""COMPUTED_VALUE"""),"HOUSEKEEPING")</f>
        <v>HOUSEKEEPING</v>
      </c>
      <c r="D1342" s="196" t="str">
        <f>IFERROR(__xludf.DUMMYFUNCTION("""COMPUTED_VALUE"""),"ALCOHOL GALLONS ISOPHROPYL 70%")</f>
        <v>ALCOHOL GALLONS ISOPHROPYL 70%</v>
      </c>
      <c r="E1342" s="196" t="str">
        <f>IFERROR(__xludf.DUMMYFUNCTION("""COMPUTED_VALUE"""),"FOR COVID 19 DISINFECTION IN STAR CAMPUS")</f>
        <v>FOR COVID 19 DISINFECTION IN STAR CAMPUS</v>
      </c>
    </row>
    <row r="1343">
      <c r="A1343" s="234">
        <f>IFERROR(__xludf.DUMMYFUNCTION("""COMPUTED_VALUE"""),101634.0)</f>
        <v>101634</v>
      </c>
      <c r="B1343" s="235" t="str">
        <f>IFERROR(__xludf.DUMMYFUNCTION("""COMPUTED_VALUE"""),"JP RAGOT")</f>
        <v>JP RAGOT</v>
      </c>
      <c r="C1343" s="235" t="str">
        <f>IFERROR(__xludf.DUMMYFUNCTION("""COMPUTED_VALUE"""),"AMD")</f>
        <v>AMD</v>
      </c>
      <c r="D1343" s="196" t="str">
        <f>IFERROR(__xludf.DUMMYFUNCTION("""COMPUTED_VALUE"""),"CLEENE ALCOHOL 70% 60ml ")</f>
        <v>CLEENE ALCOHOL 70% 60ml </v>
      </c>
      <c r="E1343" s="196" t="str">
        <f>IFERROR(__xludf.DUMMYFUNCTION("""COMPUTED_VALUE"""),"Enrollment token AY 20-21")</f>
        <v>Enrollment token AY 20-21</v>
      </c>
    </row>
    <row r="1344">
      <c r="A1344" s="234">
        <f>IFERROR(__xludf.DUMMYFUNCTION("""COMPUTED_VALUE"""),101635.0)</f>
        <v>101635</v>
      </c>
      <c r="B1344" s="235" t="str">
        <f>IFERROR(__xludf.DUMMYFUNCTION("""COMPUTED_VALUE"""),"JEROME BONIFACIO")</f>
        <v>JEROME BONIFACIO</v>
      </c>
      <c r="C1344" s="235" t="str">
        <f>IFERROR(__xludf.DUMMYFUNCTION("""COMPUTED_VALUE"""),"SPECIAL SUBJECTS")</f>
        <v>SPECIAL SUBJECTS</v>
      </c>
      <c r="D1344" s="196" t="str">
        <f>IFERROR(__xludf.DUMMYFUNCTION("""COMPUTED_VALUE"""),"LAM SHADE KIT ; EXTENSION CORD")</f>
        <v>LAM SHADE KIT ; EXTENSION CORD</v>
      </c>
      <c r="E1344" s="196" t="str">
        <f>IFERROR(__xludf.DUMMYFUNCTION("""COMPUTED_VALUE"""),"TECH ARTS MATERIALS AY20-21")</f>
        <v>TECH ARTS MATERIALS AY20-21</v>
      </c>
    </row>
    <row r="1345">
      <c r="A1345" s="234">
        <f>IFERROR(__xludf.DUMMYFUNCTION("""COMPUTED_VALUE"""),101636.0)</f>
        <v>101636</v>
      </c>
      <c r="B1345" s="235" t="str">
        <f>IFERROR(__xludf.DUMMYFUNCTION("""COMPUTED_VALUE"""),"PRECIOUS CABRERA")</f>
        <v>PRECIOUS CABRERA</v>
      </c>
      <c r="C1345" s="235" t="str">
        <f>IFERROR(__xludf.DUMMYFUNCTION("""COMPUTED_VALUE"""),"HRMD")</f>
        <v>HRMD</v>
      </c>
      <c r="D1345" s="196" t="str">
        <f>IFERROR(__xludf.DUMMYFUNCTION("""COMPUTED_VALUE"""),"OPP Plastic")</f>
        <v>OPP Plastic</v>
      </c>
      <c r="E1345" s="196" t="str">
        <f>IFERROR(__xludf.DUMMYFUNCTION("""COMPUTED_VALUE"""),"Employee facemask container")</f>
        <v>Employee facemask container</v>
      </c>
    </row>
    <row r="1346">
      <c r="A1346" s="234">
        <f>IFERROR(__xludf.DUMMYFUNCTION("""COMPUTED_VALUE"""),101637.0)</f>
        <v>101637</v>
      </c>
      <c r="B1346" s="235" t="str">
        <f>IFERROR(__xludf.DUMMYFUNCTION("""COMPUTED_VALUE"""),"JP RAGOT")</f>
        <v>JP RAGOT</v>
      </c>
      <c r="C1346" s="235" t="str">
        <f>IFERROR(__xludf.DUMMYFUNCTION("""COMPUTED_VALUE"""),"AMD")</f>
        <v>AMD</v>
      </c>
      <c r="D1346" s="196" t="str">
        <f>IFERROR(__xludf.DUMMYFUNCTION("""COMPUTED_VALUE"""),"OPP Plastic (For ID container)")</f>
        <v>OPP Plastic (For ID container)</v>
      </c>
      <c r="E1346" s="196" t="str">
        <f>IFERROR(__xludf.DUMMYFUNCTION("""COMPUTED_VALUE"""),"FOr ID packaging")</f>
        <v>FOr ID packaging</v>
      </c>
    </row>
    <row r="1347">
      <c r="A1347" s="234">
        <f>IFERROR(__xludf.DUMMYFUNCTION("""COMPUTED_VALUE"""),101638.0)</f>
        <v>101638</v>
      </c>
      <c r="B1347" s="235" t="str">
        <f>IFERROR(__xludf.DUMMYFUNCTION("""COMPUTED_VALUE"""),"BONG DULAWAN")</f>
        <v>BONG DULAWAN</v>
      </c>
      <c r="C1347" s="235" t="str">
        <f>IFERROR(__xludf.DUMMYFUNCTION("""COMPUTED_VALUE"""),"ADMIN")</f>
        <v>ADMIN</v>
      </c>
      <c r="D1347" s="196" t="str">
        <f>IFERROR(__xludf.DUMMYFUNCTION("""COMPUTED_VALUE"""),"Ceramic Floor Tiles (Unglazed) 0.60x0.60 
ARTE Brand TD 60312 Yale light 
Tile Adhesive 25 kg/bag 11 bags   /  Tile Grout 5 kg/bag ")</f>
        <v>Ceramic Floor Tiles (Unglazed) 0.60x0.60 
ARTE Brand TD 60312 Yale light 
Tile Adhesive 25 kg/bag 11 bags   /  Tile Grout 5 kg/bag </v>
      </c>
      <c r="E1347" s="196" t="str">
        <f>IFERROR(__xludf.DUMMYFUNCTION("""COMPUTED_VALUE"""),"for athletics room project at monarch's gym")</f>
        <v>for athletics room project at monarch's gym</v>
      </c>
    </row>
    <row r="1348">
      <c r="A1348" s="234">
        <f>IFERROR(__xludf.DUMMYFUNCTION("""COMPUTED_VALUE"""),101639.0)</f>
        <v>101639</v>
      </c>
      <c r="B1348" s="235" t="str">
        <f>IFERROR(__xludf.DUMMYFUNCTION("""COMPUTED_VALUE"""),"BONG DULAWAN")</f>
        <v>BONG DULAWAN</v>
      </c>
      <c r="C1348" s="235" t="str">
        <f>IFERROR(__xludf.DUMMYFUNCTION("""COMPUTED_VALUE"""),"ADMIN")</f>
        <v>ADMIN</v>
      </c>
      <c r="D1348" s="196" t="str">
        <f>IFERROR(__xludf.DUMMYFUNCTION("""COMPUTED_VALUE"""),"Tile Adhesive (Rugby or approved equivalent)")</f>
        <v>Tile Adhesive (Rugby or approved equivalent)</v>
      </c>
      <c r="E1348" s="196" t="str">
        <f>IFERROR(__xludf.DUMMYFUNCTION("""COMPUTED_VALUE"""),"For Installation of rubber tiles in Monarch's gym roon")</f>
        <v>For Installation of rubber tiles in Monarch's gym roon</v>
      </c>
    </row>
    <row r="1349">
      <c r="A1349" s="234">
        <f>IFERROR(__xludf.DUMMYFUNCTION("""COMPUTED_VALUE"""),101640.0)</f>
        <v>101640</v>
      </c>
      <c r="B1349" s="235" t="str">
        <f>IFERROR(__xludf.DUMMYFUNCTION("""COMPUTED_VALUE"""),"Gladys Mintu")</f>
        <v>Gladys Mintu</v>
      </c>
      <c r="C1349" s="235" t="str">
        <f>IFERROR(__xludf.DUMMYFUNCTION("""COMPUTED_VALUE"""),"DP'S OFFICE")</f>
        <v>DP'S OFFICE</v>
      </c>
      <c r="D1349" s="196" t="str">
        <f>IFERROR(__xludf.DUMMYFUNCTION("""COMPUTED_VALUE"""),"GOLD/ VALUES EXCELLENCE / GENERAL SCHOLASTIC MEDALS")</f>
        <v>GOLD/ VALUES EXCELLENCE / GENERAL SCHOLASTIC MEDALS</v>
      </c>
      <c r="E1349" s="196" t="str">
        <f>IFERROR(__xludf.DUMMYFUNCTION("""COMPUTED_VALUE"""),"GRADE 6 GRADUATION MEDALS")</f>
        <v>GRADE 6 GRADUATION MEDALS</v>
      </c>
    </row>
    <row r="1350">
      <c r="A1350" s="234">
        <f>IFERROR(__xludf.DUMMYFUNCTION("""COMPUTED_VALUE"""),101641.0)</f>
        <v>101641</v>
      </c>
      <c r="B1350" s="235" t="str">
        <f>IFERROR(__xludf.DUMMYFUNCTION("""COMPUTED_VALUE"""),"January Gutierrez")</f>
        <v>January Gutierrez</v>
      </c>
      <c r="C1350" s="235" t="str">
        <f>IFERROR(__xludf.DUMMYFUNCTION("""COMPUTED_VALUE"""),"DP'S OFFICE")</f>
        <v>DP'S OFFICE</v>
      </c>
      <c r="D1350" s="196" t="str">
        <f>IFERROR(__xludf.DUMMYFUNCTION("""COMPUTED_VALUE"""),"GOLD/ VALUES EXCELLENCE / GENERAL SCHOLASTIC MEDALS / LOYALTY AWARDEES MEDALS")</f>
        <v>GOLD/ VALUES EXCELLENCE / GENERAL SCHOLASTIC MEDALS / LOYALTY AWARDEES MEDALS</v>
      </c>
      <c r="E1350" s="196" t="str">
        <f>IFERROR(__xludf.DUMMYFUNCTION("""COMPUTED_VALUE"""),"GRADE 12 GRADUATION MEDALS")</f>
        <v>GRADE 12 GRADUATION MEDALS</v>
      </c>
    </row>
    <row r="1351">
      <c r="A1351" s="234">
        <f>IFERROR(__xludf.DUMMYFUNCTION("""COMPUTED_VALUE"""),101642.0)</f>
        <v>101642</v>
      </c>
      <c r="B1351" s="235" t="str">
        <f>IFERROR(__xludf.DUMMYFUNCTION("""COMPUTED_VALUE"""),"Gladys MIntu/ Januarry Gutierrez")</f>
        <v>Gladys MIntu/ Januarry Gutierrez</v>
      </c>
      <c r="C1351" s="235" t="str">
        <f>IFERROR(__xludf.DUMMYFUNCTION("""COMPUTED_VALUE"""),"DP'S OFFICE")</f>
        <v>DP'S OFFICE</v>
      </c>
      <c r="D1351" s="196" t="str">
        <f>IFERROR(__xludf.DUMMYFUNCTION("""COMPUTED_VALUE"""),"GOLD/ SILVER / BRONZE / PERFECT ATTENDANCE / VALUES AND EXCELLENCE MEDALS")</f>
        <v>GOLD/ SILVER / BRONZE / PERFECT ATTENDANCE / VALUES AND EXCELLENCE MEDALS</v>
      </c>
      <c r="E1351" s="196" t="str">
        <f>IFERROR(__xludf.DUMMYFUNCTION("""COMPUTED_VALUE"""),"RECOGNITION MEDALS GRADES 7-9 AND 10-11")</f>
        <v>RECOGNITION MEDALS GRADES 7-9 AND 10-11</v>
      </c>
    </row>
    <row r="1352">
      <c r="A1352" s="234">
        <f>IFERROR(__xludf.DUMMYFUNCTION("""COMPUTED_VALUE"""),101643.0)</f>
        <v>101643</v>
      </c>
      <c r="B1352" s="235" t="str">
        <f>IFERROR(__xludf.DUMMYFUNCTION("""COMPUTED_VALUE"""),"jJP RAGOT")</f>
        <v>jJP RAGOT</v>
      </c>
      <c r="C1352" s="235" t="str">
        <f>IFERROR(__xludf.DUMMYFUNCTION("""COMPUTED_VALUE"""),"AMD")</f>
        <v>AMD</v>
      </c>
      <c r="D1352" s="196" t="str">
        <f>IFERROR(__xludf.DUMMYFUNCTION("""COMPUTED_VALUE"""),"Ribbon Cartridge- EPSON LQ 2180 #15531				
Ribbon Cartridge- EPSON LX310 SOI5632				
Ribbon Cartridge - EPSON LX300+ #8750				
")</f>
        <v>Ribbon Cartridge- EPSON LQ 2180 #15531				
Ribbon Cartridge- EPSON LX310 SOI5632				
Ribbon Cartridge - EPSON LX300+ #8750				
</v>
      </c>
      <c r="E1352" s="196" t="str">
        <f>IFERROR(__xludf.DUMMYFUNCTION("""COMPUTED_VALUE"""),"STOCK REPLENISHMENT-OSSUP")</f>
        <v>STOCK REPLENISHMENT-OSSUP</v>
      </c>
    </row>
    <row r="1353">
      <c r="A1353" s="234">
        <f>IFERROR(__xludf.DUMMYFUNCTION("""COMPUTED_VALUE"""),101644.0)</f>
        <v>101644</v>
      </c>
      <c r="B1353" s="235" t="str">
        <f>IFERROR(__xludf.DUMMYFUNCTION("""COMPUTED_VALUE"""),"JP RAGOT")</f>
        <v>JP RAGOT</v>
      </c>
      <c r="C1353" s="235" t="str">
        <f>IFERROR(__xludf.DUMMYFUNCTION("""COMPUTED_VALUE"""),"AMD")</f>
        <v>AMD</v>
      </c>
      <c r="D1353" s="196" t="str">
        <f>IFERROR(__xludf.DUMMYFUNCTION("""COMPUTED_VALUE"""),"Towel Hand- Good morning				
Alcohol Gallons 				
")</f>
        <v>Towel Hand- Good morning				
Alcohol Gallons 				
</v>
      </c>
      <c r="E1353" s="196" t="str">
        <f>IFERROR(__xludf.DUMMYFUNCTION("""COMPUTED_VALUE"""),"STOCK REPLENISHMENT-OSSUP")</f>
        <v>STOCK REPLENISHMENT-OSSUP</v>
      </c>
    </row>
    <row r="1354">
      <c r="A1354" s="234">
        <f>IFERROR(__xludf.DUMMYFUNCTION("""COMPUTED_VALUE"""),101645.0)</f>
        <v>101645</v>
      </c>
      <c r="B1354" s="235" t="str">
        <f>IFERROR(__xludf.DUMMYFUNCTION("""COMPUTED_VALUE"""),"SHEREE ESPINOSA")</f>
        <v>SHEREE ESPINOSA</v>
      </c>
      <c r="C1354" s="235" t="str">
        <f>IFERROR(__xludf.DUMMYFUNCTION("""COMPUTED_VALUE"""),"HOUSEKEEPING")</f>
        <v>HOUSEKEEPING</v>
      </c>
      <c r="D1354" s="196" t="str">
        <f>IFERROR(__xludf.DUMMYFUNCTION("""COMPUTED_VALUE"""),"Alcohol gallons				
")</f>
        <v>Alcohol gallons				
</v>
      </c>
      <c r="E1354" s="196" t="str">
        <f>IFERROR(__xludf.DUMMYFUNCTION("""COMPUTED_VALUE"""),"FOR COVID 19 DISINFECTION IN STAR CAMPUS")</f>
        <v>FOR COVID 19 DISINFECTION IN STAR CAMPUS</v>
      </c>
    </row>
    <row r="1355">
      <c r="A1355" s="234">
        <f>IFERROR(__xludf.DUMMYFUNCTION("""COMPUTED_VALUE"""),101646.0)</f>
        <v>101646</v>
      </c>
      <c r="B1355" s="235" t="str">
        <f>IFERROR(__xludf.DUMMYFUNCTION("""COMPUTED_VALUE"""),"ALFA DE LEON")</f>
        <v>ALFA DE LEON</v>
      </c>
      <c r="C1355" s="235" t="str">
        <f>IFERROR(__xludf.DUMMYFUNCTION("""COMPUTED_VALUE"""),"ADMIN")</f>
        <v>ADMIN</v>
      </c>
      <c r="D1355" s="196" t="str">
        <f>IFERROR(__xludf.DUMMYFUNCTION("""COMPUTED_VALUE"""),"KUSOT / FERTILIZER / INSECTICIDE")</f>
        <v>KUSOT / FERTILIZER / INSECTICIDE</v>
      </c>
      <c r="E1355" s="196" t="str">
        <f>IFERROR(__xludf.DUMMYFUNCTION("""COMPUTED_VALUE"""),"GARDEN MATERIALS")</f>
        <v>GARDEN MATERIALS</v>
      </c>
    </row>
    <row r="1356">
      <c r="A1356" s="234">
        <f>IFERROR(__xludf.DUMMYFUNCTION("""COMPUTED_VALUE"""),101647.0)</f>
        <v>101647</v>
      </c>
      <c r="B1356" s="235" t="str">
        <f>IFERROR(__xludf.DUMMYFUNCTION("""COMPUTED_VALUE"""),"Lucille Beyer")</f>
        <v>Lucille Beyer</v>
      </c>
      <c r="C1356" s="235" t="str">
        <f>IFERROR(__xludf.DUMMYFUNCTION("""COMPUTED_VALUE"""),"MEDICAL")</f>
        <v>MEDICAL</v>
      </c>
      <c r="D1356" s="196" t="str">
        <f>IFERROR(__xludf.DUMMYFUNCTION("""COMPUTED_VALUE"""),"BIOGESIC/NEOZEP/MEFENAMIC ACID/BACTIDOL/")</f>
        <v>BIOGESIC/NEOZEP/MEFENAMIC ACID/BACTIDOL/</v>
      </c>
      <c r="E1356" s="196" t="str">
        <f>IFERROR(__xludf.DUMMYFUNCTION("""COMPUTED_VALUE"""),"REPLENISHMENT OF CLINIC MEDICINES")</f>
        <v>REPLENISHMENT OF CLINIC MEDICINES</v>
      </c>
    </row>
    <row r="1357">
      <c r="A1357" s="234">
        <f>IFERROR(__xludf.DUMMYFUNCTION("""COMPUTED_VALUE"""),101648.0)</f>
        <v>101648</v>
      </c>
      <c r="B1357" s="235" t="str">
        <f>IFERROR(__xludf.DUMMYFUNCTION("""COMPUTED_VALUE"""),"Lucille Beyer")</f>
        <v>Lucille Beyer</v>
      </c>
      <c r="C1357" s="235" t="str">
        <f>IFERROR(__xludf.DUMMYFUNCTION("""COMPUTED_VALUE"""),"MEDICAL")</f>
        <v>MEDICAL</v>
      </c>
      <c r="D1357" s="196" t="str">
        <f>IFERROR(__xludf.DUMMYFUNCTION("""COMPUTED_VALUE"""),"ALCOHOL 70%")</f>
        <v>ALCOHOL 70%</v>
      </c>
      <c r="E1357" s="196" t="str">
        <f>IFERROR(__xludf.DUMMYFUNCTION("""COMPUTED_VALUE"""),"REPLENISHMENT OF CLINIC MEDICINES")</f>
        <v>REPLENISHMENT OF CLINIC MEDICINES</v>
      </c>
    </row>
    <row r="1358">
      <c r="A1358" s="234">
        <f>IFERROR(__xludf.DUMMYFUNCTION("""COMPUTED_VALUE"""),101649.0)</f>
        <v>101649</v>
      </c>
      <c r="B1358" s="235" t="str">
        <f>IFERROR(__xludf.DUMMYFUNCTION("""COMPUTED_VALUE"""),"APOLLO MANCE")</f>
        <v>APOLLO MANCE</v>
      </c>
      <c r="C1358" s="235" t="str">
        <f>IFERROR(__xludf.DUMMYFUNCTION("""COMPUTED_VALUE"""),"AMD")</f>
        <v>AMD</v>
      </c>
      <c r="D1358" s="196" t="str">
        <f>IFERROR(__xludf.DUMMYFUNCTION("""COMPUTED_VALUE"""),"CURSIVE WRITING 3 AND CURSIVE WRITING 4")</f>
        <v>CURSIVE WRITING 3 AND CURSIVE WRITING 4</v>
      </c>
      <c r="E1358" s="196" t="str">
        <f>IFERROR(__xludf.DUMMYFUNCTION("""COMPUTED_VALUE"""),"STOCK REPLENISHMENT")</f>
        <v>STOCK REPLENISHMENT</v>
      </c>
    </row>
    <row r="1359">
      <c r="A1359" s="234">
        <f>IFERROR(__xludf.DUMMYFUNCTION("""COMPUTED_VALUE"""),101650.0)</f>
        <v>101650</v>
      </c>
      <c r="B1359" s="235" t="str">
        <f>IFERROR(__xludf.DUMMYFUNCTION("""COMPUTED_VALUE"""),"JORGE BALELA")</f>
        <v>JORGE BALELA</v>
      </c>
      <c r="C1359" s="235" t="str">
        <f>IFERROR(__xludf.DUMMYFUNCTION("""COMPUTED_VALUE"""),"LIBRARY BASIC ED")</f>
        <v>LIBRARY BASIC ED</v>
      </c>
      <c r="D1359" s="196" t="str">
        <f>IFERROR(__xludf.DUMMYFUNCTION("""COMPUTED_VALUE"""),"HOW TO TEACH ANYTHING TO ANYONE ONLINE E-BOOKS")</f>
        <v>HOW TO TEACH ANYTHING TO ANYONE ONLINE E-BOOKS</v>
      </c>
      <c r="E1359" s="196" t="str">
        <f>IFERROR(__xludf.DUMMYFUNCTION("""COMPUTED_VALUE"""),"FOR VOLT")</f>
        <v>FOR VOLT</v>
      </c>
    </row>
    <row r="1360">
      <c r="A1360" s="234">
        <f>IFERROR(__xludf.DUMMYFUNCTION("""COMPUTED_VALUE"""),101651.0)</f>
        <v>101651</v>
      </c>
      <c r="B1360" s="235" t="str">
        <f>IFERROR(__xludf.DUMMYFUNCTION("""COMPUTED_VALUE"""),"JORGE BALELA")</f>
        <v>JORGE BALELA</v>
      </c>
      <c r="C1360" s="235" t="str">
        <f>IFERROR(__xludf.DUMMYFUNCTION("""COMPUTED_VALUE"""),"ADMIN")</f>
        <v>ADMIN</v>
      </c>
      <c r="D1360" s="196" t="str">
        <f>IFERROR(__xludf.DUMMYFUNCTION("""COMPUTED_VALUE"""),"TARP DESIGN FOR TEACHERS' BACKGROUND IN ONLINE CLASS")</f>
        <v>TARP DESIGN FOR TEACHERS' BACKGROUND IN ONLINE CLASS</v>
      </c>
      <c r="E1360" s="196" t="str">
        <f>IFERROR(__xludf.DUMMYFUNCTION("""COMPUTED_VALUE"""),"FOR TEACHERS' TARP BACKGROUNDD")</f>
        <v>FOR TEACHERS' TARP BACKGROUNDD</v>
      </c>
    </row>
    <row r="1361">
      <c r="A1361" s="234">
        <f>IFERROR(__xludf.DUMMYFUNCTION("""COMPUTED_VALUE"""),101652.0)</f>
        <v>101652</v>
      </c>
      <c r="B1361" s="235" t="str">
        <f>IFERROR(__xludf.DUMMYFUNCTION("""COMPUTED_VALUE"""),"APOLLO MANCE")</f>
        <v>APOLLO MANCE</v>
      </c>
      <c r="C1361" s="235" t="str">
        <f>IFERROR(__xludf.DUMMYFUNCTION("""COMPUTED_VALUE"""),"ABU")</f>
        <v>ABU</v>
      </c>
      <c r="D1361" s="196" t="str">
        <f>IFERROR(__xludf.DUMMYFUNCTION("""COMPUTED_VALUE"""),"SCIENCE A CLOSER LOOK: Grades 1, 2, 4,5,and 6 (third edition)")</f>
        <v>SCIENCE A CLOSER LOOK: Grades 1, 2, 4,5,and 6 (third edition)</v>
      </c>
      <c r="E1361" s="196" t="str">
        <f>IFERROR(__xludf.DUMMYFUNCTION("""COMPUTED_VALUE"""),"Stock Replenishment")</f>
        <v>Stock Replenishment</v>
      </c>
    </row>
    <row r="1362">
      <c r="A1362" s="234">
        <f>IFERROR(__xludf.DUMMYFUNCTION("""COMPUTED_VALUE"""),101653.0)</f>
        <v>101653</v>
      </c>
      <c r="B1362" s="235" t="str">
        <f>IFERROR(__xludf.DUMMYFUNCTION("""COMPUTED_VALUE"""),"APOLLO MANCE")</f>
        <v>APOLLO MANCE</v>
      </c>
      <c r="C1362" s="235" t="str">
        <f>IFERROR(__xludf.DUMMYFUNCTION("""COMPUTED_VALUE"""),"ABU")</f>
        <v>ABU</v>
      </c>
      <c r="D1362" s="196" t="str">
        <f>IFERROR(__xludf.DUMMYFUNCTION("""COMPUTED_VALUE"""),"CURSIVE WRITING 5 &amp; 6 ")</f>
        <v>CURSIVE WRITING 5 &amp; 6 </v>
      </c>
      <c r="E1362" s="196" t="str">
        <f>IFERROR(__xludf.DUMMYFUNCTION("""COMPUTED_VALUE"""),"Stock Replenishment")</f>
        <v>Stock Replenishment</v>
      </c>
    </row>
    <row r="1363">
      <c r="A1363" s="234">
        <f>IFERROR(__xludf.DUMMYFUNCTION("""COMPUTED_VALUE"""),101654.0)</f>
        <v>101654</v>
      </c>
      <c r="B1363" s="235" t="str">
        <f>IFERROR(__xludf.DUMMYFUNCTION("""COMPUTED_VALUE"""),"APOLLO MANCE")</f>
        <v>APOLLO MANCE</v>
      </c>
      <c r="C1363" s="235" t="str">
        <f>IFERROR(__xludf.DUMMYFUNCTION("""COMPUTED_VALUE"""),"ABU")</f>
        <v>ABU</v>
      </c>
      <c r="D1363" s="196" t="str">
        <f>IFERROR(__xludf.DUMMYFUNCTION("""COMPUTED_VALUE"""),"TRUMPET OF THE SWAN")</f>
        <v>TRUMPET OF THE SWAN</v>
      </c>
      <c r="E1363" s="196" t="str">
        <f>IFERROR(__xludf.DUMMYFUNCTION("""COMPUTED_VALUE"""),"Stock Replenishment")</f>
        <v>Stock Replenishment</v>
      </c>
    </row>
    <row r="1364">
      <c r="A1364" s="234">
        <f>IFERROR(__xludf.DUMMYFUNCTION("""COMPUTED_VALUE"""),101655.0)</f>
        <v>101655</v>
      </c>
      <c r="B1364" s="235" t="str">
        <f>IFERROR(__xludf.DUMMYFUNCTION("""COMPUTED_VALUE"""),"JORGE BALELA")</f>
        <v>JORGE BALELA</v>
      </c>
      <c r="C1364" s="235" t="str">
        <f>IFERROR(__xludf.DUMMYFUNCTION("""COMPUTED_VALUE"""),"ADMIN")</f>
        <v>ADMIN</v>
      </c>
      <c r="D1364" s="196" t="str">
        <f>IFERROR(__xludf.DUMMYFUNCTION("""COMPUTED_VALUE"""),"FACE MASKS FOR GLT SCHOLARS")</f>
        <v>FACE MASKS FOR GLT SCHOLARS</v>
      </c>
      <c r="E1364" s="196" t="str">
        <f>IFERROR(__xludf.DUMMYFUNCTION("""COMPUTED_VALUE"""),"Masks for GLT Scholars")</f>
        <v>Masks for GLT Scholars</v>
      </c>
    </row>
    <row r="1365">
      <c r="A1365" s="234">
        <f>IFERROR(__xludf.DUMMYFUNCTION("""COMPUTED_VALUE"""),101656.0)</f>
        <v>101656</v>
      </c>
      <c r="B1365" s="235" t="str">
        <f>IFERROR(__xludf.DUMMYFUNCTION("""COMPUTED_VALUE"""),"JORGE BALELA")</f>
        <v>JORGE BALELA</v>
      </c>
      <c r="C1365" s="235" t="str">
        <f>IFERROR(__xludf.DUMMYFUNCTION("""COMPUTED_VALUE"""),"ADMIN")</f>
        <v>ADMIN</v>
      </c>
      <c r="D1365" s="196" t="str">
        <f>IFERROR(__xludf.DUMMYFUNCTION("""COMPUTED_VALUE"""),"FACE SHIELDS FOR EMPLOYEES")</f>
        <v>FACE SHIELDS FOR EMPLOYEES</v>
      </c>
      <c r="E1365" s="196" t="str">
        <f>IFERROR(__xludf.DUMMYFUNCTION("""COMPUTED_VALUE"""),"For face shield of all employees reporting in school as mandated by DOLE")</f>
        <v>For face shield of all employees reporting in school as mandated by DOLE</v>
      </c>
    </row>
    <row r="1366">
      <c r="A1366" s="234">
        <f>IFERROR(__xludf.DUMMYFUNCTION("""COMPUTED_VALUE"""),101657.0)</f>
        <v>101657</v>
      </c>
      <c r="B1366" s="235" t="str">
        <f>IFERROR(__xludf.DUMMYFUNCTION("""COMPUTED_VALUE"""),"CLARISSA SORIAO")</f>
        <v>CLARISSA SORIAO</v>
      </c>
      <c r="C1366" s="235" t="str">
        <f>IFERROR(__xludf.DUMMYFUNCTION("""COMPUTED_VALUE"""),"HRMD")</f>
        <v>HRMD</v>
      </c>
      <c r="D1366" s="196" t="str">
        <f>IFERROR(__xludf.DUMMYFUNCTION("""COMPUTED_VALUE"""),"ASSORTED FACE MASKS")</f>
        <v>ASSORTED FACE MASKS</v>
      </c>
      <c r="E1366" s="196" t="str">
        <f>IFERROR(__xludf.DUMMYFUNCTION("""COMPUTED_VALUE"""),"FACEMASKS FOR EMPLOYEES")</f>
        <v>FACEMASKS FOR EMPLOYEES</v>
      </c>
    </row>
    <row r="1367">
      <c r="A1367" s="234">
        <f>IFERROR(__xludf.DUMMYFUNCTION("""COMPUTED_VALUE"""),101658.0)</f>
        <v>101658</v>
      </c>
      <c r="B1367" s="235" t="str">
        <f>IFERROR(__xludf.DUMMYFUNCTION("""COMPUTED_VALUE"""),"CALRISSA SORIAO")</f>
        <v>CALRISSA SORIAO</v>
      </c>
      <c r="C1367" s="235" t="str">
        <f>IFERROR(__xludf.DUMMYFUNCTION("""COMPUTED_VALUE"""),"HRMD")</f>
        <v>HRMD</v>
      </c>
      <c r="D1367" s="196" t="str">
        <f>IFERROR(__xludf.DUMMYFUNCTION("""COMPUTED_VALUE"""),"FACE SHIELDS FOR EMPLOYEES")</f>
        <v>FACE SHIELDS FOR EMPLOYEES</v>
      </c>
      <c r="E1367" s="196" t="str">
        <f>IFERROR(__xludf.DUMMYFUNCTION("""COMPUTED_VALUE"""),"EMPLOYEE UNIFORM")</f>
        <v>EMPLOYEE UNIFORM</v>
      </c>
    </row>
    <row r="1368">
      <c r="A1368" s="234">
        <f>IFERROR(__xludf.DUMMYFUNCTION("""COMPUTED_VALUE"""),101659.0)</f>
        <v>101659</v>
      </c>
      <c r="B1368" s="235" t="str">
        <f>IFERROR(__xludf.DUMMYFUNCTION("""COMPUTED_VALUE"""),"JP RAGOT")</f>
        <v>JP RAGOT</v>
      </c>
      <c r="C1368" s="235" t="str">
        <f>IFERROR(__xludf.DUMMYFUNCTION("""COMPUTED_VALUE"""),"AMD")</f>
        <v>AMD</v>
      </c>
      <c r="D1368" s="196" t="str">
        <f>IFERROR(__xludf.DUMMYFUNCTION("""COMPUTED_VALUE"""),"Ballpen, HBW Ballpoint Stick 2000 Black Fine				
Clearbook, Spiral Refillable 20's Black Long				
Correction Tape, Joy				
Glue, Elmer's - 130gs				
Paper, Oslo - 20/pk				
Illustration Board - Blk/Wh (1/8) 10X15				
Pad paper, Fortune Quiz Pad Whol"&amp;"e, Intermediate (80 leaves)				
")</f>
        <v>Ballpen, HBW Ballpoint Stick 2000 Black Fine				
Clearbook, Spiral Refillable 20's Black Long				
Correction Tape, Joy				
Glue, Elmer's - 130gs				
Paper, Oslo - 20/pk				
Illustration Board - Blk/Wh (1/8) 10X15				
Pad paper, Fortune Quiz Pad Whole, Intermediate (80 leaves)				
</v>
      </c>
      <c r="E1368" s="196" t="str">
        <f>IFERROR(__xludf.DUMMYFUNCTION("""COMPUTED_VALUE"""),"Additional Student Materials for AY20-21")</f>
        <v>Additional Student Materials for AY20-21</v>
      </c>
    </row>
    <row r="1369">
      <c r="A1369" s="234">
        <f>IFERROR(__xludf.DUMMYFUNCTION("""COMPUTED_VALUE"""),101660.0)</f>
        <v>101660</v>
      </c>
      <c r="B1369" s="235" t="str">
        <f>IFERROR(__xludf.DUMMYFUNCTION("""COMPUTED_VALUE"""),"JP RAGOT")</f>
        <v>JP RAGOT</v>
      </c>
      <c r="C1369" s="235" t="str">
        <f>IFERROR(__xludf.DUMMYFUNCTION("""COMPUTED_VALUE"""),"AMD")</f>
        <v>AMD</v>
      </c>
      <c r="D1369" s="196" t="str">
        <f>IFERROR(__xludf.DUMMYFUNCTION("""COMPUTED_VALUE"""),"Marker, Pilot Permanent Fine Black				
Paper, Book Long 20/pk				
Paper, Book Short 20/pk				
Paper, Construction -Asstd. Color (20pcs)				
Periodic Table of Elements, Big				
Popsicle Stick, pack (100 sticks)-asstd				
Ruler, Plastic - Orion 12 inc"&amp;"hes				
")</f>
        <v>Marker, Pilot Permanent Fine Black				
Paper, Book Long 20/pk				
Paper, Book Short 20/pk				
Paper, Construction -Asstd. Color (20pcs)				
Periodic Table of Elements, Big				
Popsicle Stick, pack (100 sticks)-asstd				
Ruler, Plastic - Orion 12 inches				
</v>
      </c>
      <c r="E1369" s="196" t="str">
        <f>IFERROR(__xludf.DUMMYFUNCTION("""COMPUTED_VALUE"""),"Additional Student Materials for AY20-21")</f>
        <v>Additional Student Materials for AY20-21</v>
      </c>
    </row>
    <row r="1370">
      <c r="A1370" s="234">
        <f>IFERROR(__xludf.DUMMYFUNCTION("""COMPUTED_VALUE"""),101661.0)</f>
        <v>101661</v>
      </c>
      <c r="B1370" s="235" t="str">
        <f>IFERROR(__xludf.DUMMYFUNCTION("""COMPUTED_VALUE"""),"JP RAGOT")</f>
        <v>JP RAGOT</v>
      </c>
      <c r="C1370" s="235" t="str">
        <f>IFERROR(__xludf.DUMMYFUNCTION("""COMPUTED_VALUE"""),"AMD")</f>
        <v>AMD</v>
      </c>
      <c r="D1370" s="196" t="str">
        <f>IFERROR(__xludf.DUMMYFUNCTION("""COMPUTED_VALUE"""),"Lil Hand Modelling Clay Scented Neon Colors 10s 180g				
Box of Crayons - Crayola Double (16pcs)				
Pencil, Colored (12's) Li'l Hands				
")</f>
        <v>Lil Hand Modelling Clay Scented Neon Colors 10s 180g				
Box of Crayons - Crayola Double (16pcs)				
Pencil, Colored (12's) Li'l Hands				
</v>
      </c>
      <c r="E1370" s="196" t="str">
        <f>IFERROR(__xludf.DUMMYFUNCTION("""COMPUTED_VALUE"""),"Additional Student Materials for AY20-21")</f>
        <v>Additional Student Materials for AY20-21</v>
      </c>
    </row>
    <row r="1371">
      <c r="A1371" s="234">
        <f>IFERROR(__xludf.DUMMYFUNCTION("""COMPUTED_VALUE"""),101662.0)</f>
        <v>101662</v>
      </c>
      <c r="B1371" s="235" t="str">
        <f>IFERROR(__xludf.DUMMYFUNCTION("""COMPUTED_VALUE"""),"JP RAGOT")</f>
        <v>JP RAGOT</v>
      </c>
      <c r="C1371" s="235" t="str">
        <f>IFERROR(__xludf.DUMMYFUNCTION("""COMPUTED_VALUE"""),"AMD")</f>
        <v>AMD</v>
      </c>
      <c r="D1371" s="196" t="str">
        <f>IFERROR(__xludf.DUMMYFUNCTION("""COMPUTED_VALUE"""),"Envelope, Expanding Plastic-Long, Adventurer (E-411-L)				
Box of Color Poster Paints - Mightee Brilliant 20ML 12's				
")</f>
        <v>Envelope, Expanding Plastic-Long, Adventurer (E-411-L)				
Box of Color Poster Paints - Mightee Brilliant 20ML 12's				
</v>
      </c>
      <c r="E1371" s="196" t="str">
        <f>IFERROR(__xludf.DUMMYFUNCTION("""COMPUTED_VALUE"""),"Additional Student Materials for AY20-21")</f>
        <v>Additional Student Materials for AY20-21</v>
      </c>
    </row>
    <row r="1372">
      <c r="A1372" s="234">
        <f>IFERROR(__xludf.DUMMYFUNCTION("""COMPUTED_VALUE"""),101663.0)</f>
        <v>101663</v>
      </c>
      <c r="B1372" s="235" t="str">
        <f>IFERROR(__xludf.DUMMYFUNCTION("""COMPUTED_VALUE"""),"JP RAGOT")</f>
        <v>JP RAGOT</v>
      </c>
      <c r="C1372" s="235" t="str">
        <f>IFERROR(__xludf.DUMMYFUNCTION("""COMPUTED_VALUE"""),"AMD")</f>
        <v>AMD</v>
      </c>
      <c r="D1372" s="196" t="str">
        <f>IFERROR(__xludf.DUMMYFUNCTION("""COMPUTED_VALUE"""),"Eraser, Maped (Big) (3154140117245)				
Scissors, Students 5', Maped (463010 8)				
")</f>
        <v>Eraser, Maped (Big) (3154140117245)				
Scissors, Students 5', Maped (463010 8)				
</v>
      </c>
      <c r="E1372" s="196" t="str">
        <f>IFERROR(__xludf.DUMMYFUNCTION("""COMPUTED_VALUE"""),"Additional Student Materials for AY20-21")</f>
        <v>Additional Student Materials for AY20-21</v>
      </c>
    </row>
    <row r="1373">
      <c r="A1373" s="234">
        <f>IFERROR(__xludf.DUMMYFUNCTION("""COMPUTED_VALUE"""),101664.0)</f>
        <v>101664</v>
      </c>
      <c r="B1373" s="235" t="str">
        <f>IFERROR(__xludf.DUMMYFUNCTION("""COMPUTED_VALUE"""),"JP RAGOT")</f>
        <v>JP RAGOT</v>
      </c>
      <c r="C1373" s="235" t="str">
        <f>IFERROR(__xludf.DUMMYFUNCTION("""COMPUTED_VALUE"""),"AMD")</f>
        <v>AMD</v>
      </c>
      <c r="D1373" s="196" t="str">
        <f>IFERROR(__xludf.DUMMYFUNCTION("""COMPUTED_VALUE"""),"Notebook, Mathematics SISC Big SQ. Purple (Gr. 1-4)				
Notebook, Writing SISC R/B Lines Purple Portrait				
Notebooklet, Writing SISC Landscape Purple				
Notebook, Mathematics SISC Small SQ. Purple (Gr. 5-6)				
Notebook, Composition SISC Blue Lines"&amp;" Purple				
Booklet, Spelling Gr. 1-3 SISC				
")</f>
        <v>Notebook, Mathematics SISC Big SQ. Purple (Gr. 1-4)				
Notebook, Writing SISC R/B Lines Purple Portrait				
Notebooklet, Writing SISC Landscape Purple				
Notebook, Mathematics SISC Small SQ. Purple (Gr. 5-6)				
Notebook, Composition SISC Blue Lines Purple				
Booklet, Spelling Gr. 1-3 SISC				
</v>
      </c>
      <c r="E1373" s="196" t="str">
        <f>IFERROR(__xludf.DUMMYFUNCTION("""COMPUTED_VALUE"""),"Additional Student Materials for AY20-21")</f>
        <v>Additional Student Materials for AY20-21</v>
      </c>
    </row>
    <row r="1374">
      <c r="A1374" s="234">
        <f>IFERROR(__xludf.DUMMYFUNCTION("""COMPUTED_VALUE"""),101665.0)</f>
        <v>101665</v>
      </c>
      <c r="B1374" s="235" t="str">
        <f>IFERROR(__xludf.DUMMYFUNCTION("""COMPUTED_VALUE"""),"JP RAGOT")</f>
        <v>JP RAGOT</v>
      </c>
      <c r="C1374" s="235" t="str">
        <f>IFERROR(__xludf.DUMMYFUNCTION("""COMPUTED_VALUE"""),"AMD")</f>
        <v>AMD</v>
      </c>
      <c r="D1374" s="196" t="str">
        <f>IFERROR(__xludf.DUMMYFUNCTION("""COMPUTED_VALUE"""),"Envelope, leather SISC long w/ Handle Lilac (Purple)                                
Envelope, leather SISC long w/ Handle navy blue                                
")</f>
        <v>Envelope, leather SISC long w/ Handle Lilac (Purple)                                
Envelope, leather SISC long w/ Handle navy blue                                
</v>
      </c>
      <c r="E1374" s="196" t="str">
        <f>IFERROR(__xludf.DUMMYFUNCTION("""COMPUTED_VALUE"""),"Additional Student Materials for AY20-21")</f>
        <v>Additional Student Materials for AY20-21</v>
      </c>
    </row>
    <row r="1375">
      <c r="A1375" s="234">
        <f>IFERROR(__xludf.DUMMYFUNCTION("""COMPUTED_VALUE"""),101666.0)</f>
        <v>101666</v>
      </c>
      <c r="B1375" s="235" t="str">
        <f>IFERROR(__xludf.DUMMYFUNCTION("""COMPUTED_VALUE"""),"JP RAGOT")</f>
        <v>JP RAGOT</v>
      </c>
      <c r="C1375" s="235" t="str">
        <f>IFERROR(__xludf.DUMMYFUNCTION("""COMPUTED_VALUE"""),"AMD")</f>
        <v>AMD</v>
      </c>
      <c r="D1375" s="196" t="str">
        <f>IFERROR(__xludf.DUMMYFUNCTION("""COMPUTED_VALUE"""),"Notebook, High School Mathematics Purple				
Notebook, High School Composition Purple				
Folder, White Long w/ SISC Logo				
Folder, Plastic/Cover long				
")</f>
        <v>Notebook, High School Mathematics Purple				
Notebook, High School Composition Purple				
Folder, White Long w/ SISC Logo				
Folder, Plastic/Cover long				
</v>
      </c>
      <c r="E1375" s="196" t="str">
        <f>IFERROR(__xludf.DUMMYFUNCTION("""COMPUTED_VALUE"""),"Additional Student Materials for AY20-21")</f>
        <v>Additional Student Materials for AY20-21</v>
      </c>
    </row>
    <row r="1376">
      <c r="A1376" s="234">
        <f>IFERROR(__xludf.DUMMYFUNCTION("""COMPUTED_VALUE"""),101667.0)</f>
        <v>101667</v>
      </c>
      <c r="B1376" s="235" t="str">
        <f>IFERROR(__xludf.DUMMYFUNCTION("""COMPUTED_VALUE"""),"JP RAGOT")</f>
        <v>JP RAGOT</v>
      </c>
      <c r="C1376" s="235" t="str">
        <f>IFERROR(__xludf.DUMMYFUNCTION("""COMPUTED_VALUE"""),"AMD")</f>
        <v>AMD</v>
      </c>
      <c r="D1376" s="196" t="str">
        <f>IFERROR(__xludf.DUMMYFUNCTION("""COMPUTED_VALUE"""),"Best Buy Fine Paper Colored 20s Assorted				
Canson Watercolor Paper 9x12 10 Sheets 200gsm (10's)				
Maped Colored Pencils Triangular Barrel (12's)				
Faber-castell Washable Colored Pens (10's)				
Joy Poster Paints 10ml (sold per piece) (12's)				
"&amp;"
Prang Water color				
Best Buy Modelling Clay Bricks 10pc 250g				
")</f>
        <v>Best Buy Fine Paper Colored 20s Assorted				
Canson Watercolor Paper 9x12 10 Sheets 200gsm (10's)				
Maped Colored Pencils Triangular Barrel (12's)				
Faber-castell Washable Colored Pens (10's)				
Joy Poster Paints 10ml (sold per piece) (12's)				
Prang Water color				
Best Buy Modelling Clay Bricks 10pc 250g				
</v>
      </c>
      <c r="E1376" s="196" t="str">
        <f>IFERROR(__xludf.DUMMYFUNCTION("""COMPUTED_VALUE"""),"Additional Art Materials for AY20-21")</f>
        <v>Additional Art Materials for AY20-21</v>
      </c>
    </row>
    <row r="1377">
      <c r="A1377" s="234">
        <f>IFERROR(__xludf.DUMMYFUNCTION("""COMPUTED_VALUE"""),101668.0)</f>
        <v>101668</v>
      </c>
      <c r="B1377" s="235" t="str">
        <f>IFERROR(__xludf.DUMMYFUNCTION("""COMPUTED_VALUE"""),"JP RAGOT")</f>
        <v>JP RAGOT</v>
      </c>
      <c r="C1377" s="235" t="str">
        <f>IFERROR(__xludf.DUMMYFUNCTION("""COMPUTED_VALUE"""),"AMD")</f>
        <v>AMD</v>
      </c>
      <c r="D1377" s="196" t="str">
        <f>IFERROR(__xludf.DUMMYFUNCTION("""COMPUTED_VALUE"""),"Paint Palette (Mixing Plate #1 R-SML) SKU#11645				
")</f>
        <v>Paint Palette (Mixing Plate #1 R-SML) SKU#11645				
</v>
      </c>
      <c r="E1377" s="196" t="str">
        <f>IFERROR(__xludf.DUMMYFUNCTION("""COMPUTED_VALUE"""),"Additional Student  Materials for AY20-21")</f>
        <v>Additional Student  Materials for AY20-21</v>
      </c>
    </row>
    <row r="1378">
      <c r="A1378" s="234">
        <f>IFERROR(__xludf.DUMMYFUNCTION("""COMPUTED_VALUE"""),101669.0)</f>
        <v>101669</v>
      </c>
      <c r="B1378" s="235" t="str">
        <f>IFERROR(__xludf.DUMMYFUNCTION("""COMPUTED_VALUE"""),"JP RAGOT")</f>
        <v>JP RAGOT</v>
      </c>
      <c r="C1378" s="235" t="str">
        <f>IFERROR(__xludf.DUMMYFUNCTION("""COMPUTED_VALUE"""),"AMD")</f>
        <v>AMD</v>
      </c>
      <c r="D1378" s="196" t="str">
        <f>IFERROR(__xludf.DUMMYFUNCTION("""COMPUTED_VALUE"""),"B&amp;E BOND PAPER 8.5X11 8864 50PCS (S)				
")</f>
        <v>B&amp;E BOND PAPER 8.5X11 8864 50PCS (S)				
</v>
      </c>
      <c r="E1378" s="196" t="str">
        <f>IFERROR(__xludf.DUMMYFUNCTION("""COMPUTED_VALUE"""),"Additional Art Materials for AY20-21")</f>
        <v>Additional Art Materials for AY20-21</v>
      </c>
    </row>
    <row r="1379">
      <c r="A1379" s="234">
        <f>IFERROR(__xludf.DUMMYFUNCTION("""COMPUTED_VALUE"""),101670.0)</f>
        <v>101670</v>
      </c>
      <c r="B1379" s="235" t="str">
        <f>IFERROR(__xludf.DUMMYFUNCTION("""COMPUTED_VALUE"""),"JP RAGOT")</f>
        <v>JP RAGOT</v>
      </c>
      <c r="C1379" s="235" t="str">
        <f>IFERROR(__xludf.DUMMYFUNCTION("""COMPUTED_VALUE"""),"AMD")</f>
        <v>AMD</v>
      </c>
      <c r="D1379" s="196" t="str">
        <f>IFERROR(__xludf.DUMMYFUNCTION("""COMPUTED_VALUE"""),"10Pcs/Set Watercolor/Gouache Paint Brushes Different Shape Round Pointed Tip				
")</f>
        <v>10Pcs/Set Watercolor/Gouache Paint Brushes Different Shape Round Pointed Tip				
</v>
      </c>
      <c r="E1379" s="196" t="str">
        <f>IFERROR(__xludf.DUMMYFUNCTION("""COMPUTED_VALUE"""),"Additional Art Materials for AY20-21")</f>
        <v>Additional Art Materials for AY20-21</v>
      </c>
    </row>
    <row r="1380">
      <c r="A1380" s="234">
        <f>IFERROR(__xludf.DUMMYFUNCTION("""COMPUTED_VALUE"""),101671.0)</f>
        <v>101671</v>
      </c>
      <c r="B1380" s="235" t="str">
        <f>IFERROR(__xludf.DUMMYFUNCTION("""COMPUTED_VALUE"""),"JP RAGOT")</f>
        <v>JP RAGOT</v>
      </c>
      <c r="C1380" s="235" t="str">
        <f>IFERROR(__xludf.DUMMYFUNCTION("""COMPUTED_VALUE"""),"AMD")</f>
        <v>AMD</v>
      </c>
      <c r="D1380" s="196" t="str">
        <f>IFERROR(__xludf.DUMMYFUNCTION("""COMPUTED_VALUE"""),"Envelope, Brown - long (SISC)				
")</f>
        <v>Envelope, Brown - long (SISC)				
</v>
      </c>
      <c r="E1380" s="196" t="str">
        <f>IFERROR(__xludf.DUMMYFUNCTION("""COMPUTED_VALUE"""),"Additional Student Materials y20-21")</f>
        <v>Additional Student Materials y20-21</v>
      </c>
    </row>
    <row r="1381">
      <c r="A1381" s="234">
        <f>IFERROR(__xludf.DUMMYFUNCTION("""COMPUTED_VALUE"""),101672.0)</f>
        <v>101672</v>
      </c>
      <c r="B1381" s="235" t="str">
        <f>IFERROR(__xludf.DUMMYFUNCTION("""COMPUTED_VALUE"""),"APOLLO MANCE")</f>
        <v>APOLLO MANCE</v>
      </c>
      <c r="C1381" s="235" t="str">
        <f>IFERROR(__xludf.DUMMYFUNCTION("""COMPUTED_VALUE"""),"AMD")</f>
        <v>AMD</v>
      </c>
      <c r="D1381" s="196" t="str">
        <f>IFERROR(__xludf.DUMMYFUNCTION("""COMPUTED_VALUE"""),"MY ABC OF EQ GRADE 1 ; MY FAMILY AND I GRADE 2; ALL ABOUT ME GRADE 3 ; SPARKS OF EQ GRADE 5")</f>
        <v>MY ABC OF EQ GRADE 1 ; MY FAMILY AND I GRADE 2; ALL ABOUT ME GRADE 3 ; SPARKS OF EQ GRADE 5</v>
      </c>
      <c r="E1381" s="196" t="str">
        <f>IFERROR(__xludf.DUMMYFUNCTION("""COMPUTED_VALUE"""),"Stock replenishment")</f>
        <v>Stock replenishment</v>
      </c>
    </row>
    <row r="1382">
      <c r="A1382" s="234">
        <f>IFERROR(__xludf.DUMMYFUNCTION("""COMPUTED_VALUE"""),101673.0)</f>
        <v>101673</v>
      </c>
      <c r="B1382" s="235" t="str">
        <f>IFERROR(__xludf.DUMMYFUNCTION("""COMPUTED_VALUE"""),"APOLLO MANCE")</f>
        <v>APOLLO MANCE</v>
      </c>
      <c r="C1382" s="235" t="str">
        <f>IFERROR(__xludf.DUMMYFUNCTION("""COMPUTED_VALUE"""),"AMD")</f>
        <v>AMD</v>
      </c>
      <c r="D1382" s="196" t="str">
        <f>IFERROR(__xludf.DUMMYFUNCTION("""COMPUTED_VALUE"""),"EQ WORK BOOK GRADE 1 ; EQ WORKBOOK GRADE 2; EQ WORKBOOK GRADE 3; EQ WORKBOOK GRADE 5")</f>
        <v>EQ WORK BOOK GRADE 1 ; EQ WORKBOOK GRADE 2; EQ WORKBOOK GRADE 3; EQ WORKBOOK GRADE 5</v>
      </c>
      <c r="E1382" s="196" t="str">
        <f>IFERROR(__xludf.DUMMYFUNCTION("""COMPUTED_VALUE"""),"Stock Replenishment")</f>
        <v>Stock Replenishment</v>
      </c>
    </row>
    <row r="1383">
      <c r="A1383" s="234">
        <f>IFERROR(__xludf.DUMMYFUNCTION("""COMPUTED_VALUE"""),101674.0)</f>
        <v>101674</v>
      </c>
      <c r="B1383" s="235" t="str">
        <f>IFERROR(__xludf.DUMMYFUNCTION("""COMPUTED_VALUE"""),"APOLLO MANCE")</f>
        <v>APOLLO MANCE</v>
      </c>
      <c r="C1383" s="235" t="str">
        <f>IFERROR(__xludf.DUMMYFUNCTION("""COMPUTED_VALUE"""),"AMD")</f>
        <v>AMD</v>
      </c>
      <c r="D1383" s="196" t="str">
        <f>IFERROR(__xludf.DUMMYFUNCTION("""COMPUTED_VALUE"""),"COMPASS LANGUAGE G3 / COMPASS LANGUAGE G2/ COMPASS LANGUAGE G3")</f>
        <v>COMPASS LANGUAGE G3 / COMPASS LANGUAGE G2/ COMPASS LANGUAGE G3</v>
      </c>
      <c r="E1383" s="196" t="str">
        <f>IFERROR(__xludf.DUMMYFUNCTION("""COMPUTED_VALUE"""),"STOCK REPLENISHMENT")</f>
        <v>STOCK REPLENISHMENT</v>
      </c>
    </row>
    <row r="1384">
      <c r="A1384" s="234">
        <f>IFERROR(__xludf.DUMMYFUNCTION("""COMPUTED_VALUE"""),101675.0)</f>
        <v>101675</v>
      </c>
      <c r="B1384" s="235" t="str">
        <f>IFERROR(__xludf.DUMMYFUNCTION("""COMPUTED_VALUE"""),"QUEENE BALAORO")</f>
        <v>QUEENE BALAORO</v>
      </c>
      <c r="C1384" s="235" t="str">
        <f>IFERROR(__xludf.DUMMYFUNCTION("""COMPUTED_VALUE"""),"FINANCE &amp; ACCOUNTING")</f>
        <v>FINANCE &amp; ACCOUNTING</v>
      </c>
      <c r="D1384" s="196" t="str">
        <f>IFERROR(__xludf.DUMMYFUNCTION("""COMPUTED_VALUE"""),"ACKNOWLEDGEMENT RECIPT (TUITION FEE)")</f>
        <v>ACKNOWLEDGEMENT RECIPT (TUITION FEE)</v>
      </c>
      <c r="E1384" s="196" t="str">
        <f>IFERROR(__xludf.DUMMYFUNCTION("""COMPUTED_VALUE"""),"STOCK REPLENISHMENT")</f>
        <v>STOCK REPLENISHMENT</v>
      </c>
    </row>
    <row r="1385">
      <c r="A1385" s="234">
        <f>IFERROR(__xludf.DUMMYFUNCTION("""COMPUTED_VALUE"""),101676.0)</f>
        <v>101676</v>
      </c>
      <c r="B1385" s="235" t="str">
        <f>IFERROR(__xludf.DUMMYFUNCTION("""COMPUTED_VALUE"""),"SHERYL MANALO")</f>
        <v>SHERYL MANALO</v>
      </c>
      <c r="C1385" s="235" t="str">
        <f>IFERROR(__xludf.DUMMYFUNCTION("""COMPUTED_VALUE"""),"LIBRARY BASIC ED")</f>
        <v>LIBRARY BASIC ED</v>
      </c>
      <c r="D1385" s="196" t="str">
        <f>IFERROR(__xludf.DUMMYFUNCTION("""COMPUTED_VALUE"""),"DIGITAL DRAWING TABLET")</f>
        <v>DIGITAL DRAWING TABLET</v>
      </c>
      <c r="E1385" s="196" t="str">
        <f>IFERROR(__xludf.DUMMYFUNCTION("""COMPUTED_VALUE"""),"USE OF GS MATH TEACHERS DURING ONLINE CLASS")</f>
        <v>USE OF GS MATH TEACHERS DURING ONLINE CLASS</v>
      </c>
    </row>
    <row r="1386">
      <c r="A1386" s="234">
        <f>IFERROR(__xludf.DUMMYFUNCTION("""COMPUTED_VALUE"""),101677.0)</f>
        <v>101677</v>
      </c>
      <c r="B1386" s="235" t="str">
        <f>IFERROR(__xludf.DUMMYFUNCTION("""COMPUTED_VALUE"""),"K-ANNE GUMATAY")</f>
        <v>K-ANNE GUMATAY</v>
      </c>
      <c r="C1386" s="235" t="str">
        <f>IFERROR(__xludf.DUMMYFUNCTION("""COMPUTED_VALUE"""),"HRMD")</f>
        <v>HRMD</v>
      </c>
      <c r="D1386" s="196" t="str">
        <f>IFERROR(__xludf.DUMMYFUNCTION("""COMPUTED_VALUE"""),"PLAQUE 5YEARS (6"") ; PLAQUE 10 YEARS (8"") ; PLAQUE 15 YEARS (10"")")</f>
        <v>PLAQUE 5YEARS (6") ; PLAQUE 10 YEARS (8") ; PLAQUE 15 YEARS (10")</v>
      </c>
      <c r="E1386" s="196" t="str">
        <f>IFERROR(__xludf.DUMMYFUNCTION("""COMPUTED_VALUE"""),"PLAQE FOR SOUTHVILLE SERVICE APPRECIAITON")</f>
        <v>PLAQE FOR SOUTHVILLE SERVICE APPRECIAITON</v>
      </c>
    </row>
    <row r="1387">
      <c r="A1387" s="234">
        <f>IFERROR(__xludf.DUMMYFUNCTION("""COMPUTED_VALUE"""),101678.0)</f>
        <v>101678</v>
      </c>
      <c r="B1387" s="235" t="str">
        <f>IFERROR(__xludf.DUMMYFUNCTION("""COMPUTED_VALUE"""),"K-ANNE GUMATAY")</f>
        <v>K-ANNE GUMATAY</v>
      </c>
      <c r="C1387" s="235" t="str">
        <f>IFERROR(__xludf.DUMMYFUNCTION("""COMPUTED_VALUE"""),"HRMD")</f>
        <v>HRMD</v>
      </c>
      <c r="D1387" s="196" t="str">
        <f>IFERROR(__xludf.DUMMYFUNCTION("""COMPUTED_VALUE"""),"PLAQUE 5 YEARS(6"")  ; PLAQUE 10 YEARS (8"") ; PLAQUE 15 YEARS (10"") ; PLAQUE 20 YEARS (12""); PLAQUE 25 YEARS (14"")")</f>
        <v>PLAQUE 5 YEARS(6")  ; PLAQUE 10 YEARS (8") ; PLAQUE 15 YEARS (10") ; PLAQUE 20 YEARS (12"); PLAQUE 25 YEARS (14")</v>
      </c>
      <c r="E1387" s="196" t="str">
        <f>IFERROR(__xludf.DUMMYFUNCTION("""COMPUTED_VALUE"""),"PLAQUE FOR SERVICE AWARDEED (KRA 2020)")</f>
        <v>PLAQUE FOR SERVICE AWARDEED (KRA 2020)</v>
      </c>
    </row>
    <row r="1388">
      <c r="A1388" s="234">
        <f>IFERROR(__xludf.DUMMYFUNCTION("""COMPUTED_VALUE"""),101679.0)</f>
        <v>101679</v>
      </c>
      <c r="B1388" s="235" t="str">
        <f>IFERROR(__xludf.DUMMYFUNCTION("""COMPUTED_VALUE"""),"ARMIE ABABA")</f>
        <v>ARMIE ABABA</v>
      </c>
      <c r="C1388" s="235" t="str">
        <f>IFERROR(__xludf.DUMMYFUNCTION("""COMPUTED_VALUE"""),"IB")</f>
        <v>IB</v>
      </c>
      <c r="D1388" s="196" t="str">
        <f>IFERROR(__xludf.DUMMYFUNCTION("""COMPUTED_VALUE"""),"DIGITAL DRAWING TABLET")</f>
        <v>DIGITAL DRAWING TABLET</v>
      </c>
      <c r="E1388" s="196" t="str">
        <f>IFERROR(__xludf.DUMMYFUNCTION("""COMPUTED_VALUE"""),"FOR VIRTUAL LEARNING- IB TEACHERS")</f>
        <v>FOR VIRTUAL LEARNING- IB TEACHERS</v>
      </c>
    </row>
    <row r="1389">
      <c r="A1389" s="234">
        <f>IFERROR(__xludf.DUMMYFUNCTION("""COMPUTED_VALUE"""),101680.0)</f>
        <v>101680</v>
      </c>
      <c r="B1389" s="235" t="str">
        <f>IFERROR(__xludf.DUMMYFUNCTION("""COMPUTED_VALUE"""),"APOLLO MANCE")</f>
        <v>APOLLO MANCE</v>
      </c>
      <c r="C1389" s="235" t="str">
        <f>IFERROR(__xludf.DUMMYFUNCTION("""COMPUTED_VALUE"""),"STUFFSHOP")</f>
        <v>STUFFSHOP</v>
      </c>
      <c r="D1389" s="196" t="str">
        <f>IFERROR(__xludf.DUMMYFUNCTION("""COMPUTED_VALUE"""),"WAKE UP SUN / TEENY TINY WOMAN")</f>
        <v>WAKE UP SUN / TEENY TINY WOMAN</v>
      </c>
      <c r="E1389" s="196" t="str">
        <f>IFERROR(__xludf.DUMMYFUNCTION("""COMPUTED_VALUE"""),"STOCK REPLENISHMENT")</f>
        <v>STOCK REPLENISHMENT</v>
      </c>
    </row>
    <row r="1390">
      <c r="A1390" s="234">
        <f>IFERROR(__xludf.DUMMYFUNCTION("""COMPUTED_VALUE"""),101681.0)</f>
        <v>101681</v>
      </c>
      <c r="B1390" s="235" t="str">
        <f>IFERROR(__xludf.DUMMYFUNCTION("""COMPUTED_VALUE"""),"APOLLO MANCE")</f>
        <v>APOLLO MANCE</v>
      </c>
      <c r="C1390" s="235" t="str">
        <f>IFERROR(__xludf.DUMMYFUNCTION("""COMPUTED_VALUE"""),"STUFFSHOP")</f>
        <v>STUFFSHOP</v>
      </c>
      <c r="D1390" s="196" t="str">
        <f>IFERROR(__xludf.DUMMYFUNCTION("""COMPUTED_VALUE"""),"HORRIBLE HARRY / HORRIBLE HARRY MOVES TO 3RD GRADE / TRUMPET OF THE SWAN")</f>
        <v>HORRIBLE HARRY / HORRIBLE HARRY MOVES TO 3RD GRADE / TRUMPET OF THE SWAN</v>
      </c>
      <c r="E1390" s="196" t="str">
        <f>IFERROR(__xludf.DUMMYFUNCTION("""COMPUTED_VALUE"""),"STOCK REPLENISHMENT")</f>
        <v>STOCK REPLENISHMENT</v>
      </c>
    </row>
    <row r="1391">
      <c r="A1391" s="234">
        <f>IFERROR(__xludf.DUMMYFUNCTION("""COMPUTED_VALUE"""),101682.0)</f>
        <v>101682</v>
      </c>
      <c r="B1391" s="235" t="str">
        <f>IFERROR(__xludf.DUMMYFUNCTION("""COMPUTED_VALUE"""),"JOHN ROD BALAGTAS")</f>
        <v>JOHN ROD BALAGTAS</v>
      </c>
      <c r="C1391" s="235" t="str">
        <f>IFERROR(__xludf.DUMMYFUNCTION("""COMPUTED_VALUE"""),"BASIC ED MATH")</f>
        <v>BASIC ED MATH</v>
      </c>
      <c r="D1391" s="196" t="str">
        <f>IFERROR(__xludf.DUMMYFUNCTION("""COMPUTED_VALUE"""),"HUION GRAPHICS DRAWING TABLET")</f>
        <v>HUION GRAPHICS DRAWING TABLET</v>
      </c>
      <c r="E1391" s="196" t="str">
        <f>IFERROR(__xludf.DUMMYFUNCTION("""COMPUTED_VALUE"""),"FOR MATH ONLINE CLASS")</f>
        <v>FOR MATH ONLINE CLASS</v>
      </c>
    </row>
    <row r="1392">
      <c r="A1392" s="234">
        <f>IFERROR(__xludf.DUMMYFUNCTION("""COMPUTED_VALUE"""),101683.0)</f>
        <v>101683</v>
      </c>
      <c r="B1392" s="235" t="str">
        <f>IFERROR(__xludf.DUMMYFUNCTION("""COMPUTED_VALUE"""),"OWIE PAR")</f>
        <v>OWIE PAR</v>
      </c>
      <c r="C1392" s="235" t="str">
        <f>IFERROR(__xludf.DUMMYFUNCTION("""COMPUTED_VALUE"""),"ENGINEERING")</f>
        <v>ENGINEERING</v>
      </c>
      <c r="D1392" s="196" t="str">
        <f>IFERROR(__xludf.DUMMYFUNCTION("""COMPUTED_VALUE"""),"LIGHT- T-5 (WHITE) 46 inches")</f>
        <v>LIGHT- T-5 (WHITE) 46 inches</v>
      </c>
      <c r="E1392" s="196" t="str">
        <f>IFERROR(__xludf.DUMMYFUNCTION("""COMPUTED_VALUE"""),"FOR GLT OFFICE LOBBY IN MISS VYE AREA")</f>
        <v>FOR GLT OFFICE LOBBY IN MISS VYE AREA</v>
      </c>
    </row>
    <row r="1393">
      <c r="A1393" s="234">
        <f>IFERROR(__xludf.DUMMYFUNCTION("""COMPUTED_VALUE"""),101684.0)</f>
        <v>101684</v>
      </c>
      <c r="B1393" s="235" t="str">
        <f>IFERROR(__xludf.DUMMYFUNCTION("""COMPUTED_VALUE"""),"SHEREE ESPINOSA")</f>
        <v>SHEREE ESPINOSA</v>
      </c>
      <c r="C1393" s="235" t="str">
        <f>IFERROR(__xludf.DUMMYFUNCTION("""COMPUTED_VALUE"""),"HOUSEKEEPING")</f>
        <v>HOUSEKEEPING</v>
      </c>
      <c r="D1393" s="196" t="str">
        <f>IFERROR(__xludf.DUMMYFUNCTION("""COMPUTED_VALUE"""),"HAND SANITIZER")</f>
        <v>HAND SANITIZER</v>
      </c>
      <c r="E1393" s="196" t="str">
        <f>IFERROR(__xludf.DUMMYFUNCTION("""COMPUTED_VALUE"""),"FOR LUX, TROPICAL, COLLEGE CAMPUS")</f>
        <v>FOR LUX, TROPICAL, COLLEGE CAMPUS</v>
      </c>
    </row>
    <row r="1394">
      <c r="A1394" s="234">
        <f>IFERROR(__xludf.DUMMYFUNCTION("""COMPUTED_VALUE"""),101685.0)</f>
        <v>101685</v>
      </c>
      <c r="B1394" s="235" t="str">
        <f>IFERROR(__xludf.DUMMYFUNCTION("""COMPUTED_VALUE"""),"EDGAR REBELLON")</f>
        <v>EDGAR REBELLON</v>
      </c>
      <c r="C1394" s="235" t="str">
        <f>IFERROR(__xludf.DUMMYFUNCTION("""COMPUTED_VALUE"""),"STUFFSHOP")</f>
        <v>STUFFSHOP</v>
      </c>
      <c r="D1394" s="196" t="str">
        <f>IFERROR(__xludf.DUMMYFUNCTION("""COMPUTED_VALUE"""),"MATH NEW SYLLABUS GRADE 8 EBOOOK / MATH NEW SYLLABUS GRADE 10 EBOOK")</f>
        <v>MATH NEW SYLLABUS GRADE 8 EBOOOK / MATH NEW SYLLABUS GRADE 10 EBOOK</v>
      </c>
      <c r="E1394" s="196" t="str">
        <f>IFERROR(__xludf.DUMMYFUNCTION("""COMPUTED_VALUE"""),"FOR STOCK REPLENISHMENT")</f>
        <v>FOR STOCK REPLENISHMENT</v>
      </c>
    </row>
    <row r="1395">
      <c r="A1395" s="234">
        <f>IFERROR(__xludf.DUMMYFUNCTION("""COMPUTED_VALUE"""),101686.0)</f>
        <v>101686</v>
      </c>
      <c r="B1395" s="235" t="str">
        <f>IFERROR(__xludf.DUMMYFUNCTION("""COMPUTED_VALUE"""),"RACHEL CHUA")</f>
        <v>RACHEL CHUA</v>
      </c>
      <c r="C1395" s="235" t="str">
        <f>IFERROR(__xludf.DUMMYFUNCTION("""COMPUTED_VALUE"""),"SCIENCE DEPT.")</f>
        <v>SCIENCE DEPT.</v>
      </c>
      <c r="D1395" s="196" t="str">
        <f>IFERROR(__xludf.DUMMYFUNCTION("""COMPUTED_VALUE"""),"HUION GRAPHICS DRAWING TABLET")</f>
        <v>HUION GRAPHICS DRAWING TABLET</v>
      </c>
      <c r="E1395" s="196" t="str">
        <f>IFERROR(__xludf.DUMMYFUNCTION("""COMPUTED_VALUE"""),"TO BE USED FOR ONLINE CLASSES SINCE STUDENTS WANTS TO SEE DRAWINGS AND SOLUTIONS")</f>
        <v>TO BE USED FOR ONLINE CLASSES SINCE STUDENTS WANTS TO SEE DRAWINGS AND SOLUTIONS</v>
      </c>
    </row>
    <row r="1396">
      <c r="A1396" s="234">
        <f>IFERROR(__xludf.DUMMYFUNCTION("""COMPUTED_VALUE"""),101687.0)</f>
        <v>101687</v>
      </c>
      <c r="B1396" s="235" t="str">
        <f>IFERROR(__xludf.DUMMYFUNCTION("""COMPUTED_VALUE"""),"CAROL LACERNA")</f>
        <v>CAROL LACERNA</v>
      </c>
      <c r="C1396" s="235" t="str">
        <f>IFERROR(__xludf.DUMMYFUNCTION("""COMPUTED_VALUE"""),"STUFFSHOP")</f>
        <v>STUFFSHOP</v>
      </c>
      <c r="D1396" s="196" t="str">
        <f>IFERROR(__xludf.DUMMYFUNCTION("""COMPUTED_VALUE"""),"Lenovo 82C40161PH; IntelCorei5, WINDOWS 10 HOME OS; 4GB+4GB MEMORY; ITB SATA HARD DISK                                
Lenenovo82C40160PH; IntelCorei3, WINDOWS 10 HOME OS; 4GB+4GB MEMORY; ITB SATA HARD DISK V14-IIL  i3    MACBook air 13"" Core i5 Touch ID"&amp;" with Retina Display .    Lenovo 82C40161PH; Ryzen""5, WINDOWS 10 HOME OS; 4GB+4GB MEMORY; ITB SATA HARD DISK")</f>
        <v>Lenovo 82C40161PH; IntelCorei5, WINDOWS 10 HOME OS; 4GB+4GB MEMORY; ITB SATA HARD DISK                                
Lenenovo82C40160PH; IntelCorei3, WINDOWS 10 HOME OS; 4GB+4GB MEMORY; ITB SATA HARD DISK V14-IIL  i3    MACBook air 13" Core i5 Touch ID with Retina Display .    Lenovo 82C40161PH; Ryzen"5, WINDOWS 10 HOME OS; 4GB+4GB MEMORY; ITB SATA HARD DISK</v>
      </c>
      <c r="E1396" s="196" t="str">
        <f>IFERROR(__xludf.DUMMYFUNCTION("""COMPUTED_VALUE"""),"EMPLOYEE GADGET LOAN")</f>
        <v>EMPLOYEE GADGET LOAN</v>
      </c>
    </row>
    <row r="1397">
      <c r="A1397" s="234">
        <f>IFERROR(__xludf.DUMMYFUNCTION("""COMPUTED_VALUE"""),101688.0)</f>
        <v>101688</v>
      </c>
      <c r="B1397" s="235" t="str">
        <f>IFERROR(__xludf.DUMMYFUNCTION("""COMPUTED_VALUE"""),"RACHEL CHUA")</f>
        <v>RACHEL CHUA</v>
      </c>
      <c r="C1397" s="235" t="str">
        <f>IFERROR(__xludf.DUMMYFUNCTION("""COMPUTED_VALUE"""),"LIBRARY BASIC ED")</f>
        <v>LIBRARY BASIC ED</v>
      </c>
      <c r="D1397" s="196" t="str">
        <f>IFERROR(__xludf.DUMMYFUNCTION("""COMPUTED_VALUE"""),"Cloudlabs virtual classroom for Physics, Chemistry and Natural science/ Biology")</f>
        <v>Cloudlabs virtual classroom for Physics, Chemistry and Natural science/ Biology</v>
      </c>
      <c r="E1397" s="196" t="str">
        <f>IFERROR(__xludf.DUMMYFUNCTION("""COMPUTED_VALUE"""),"to allow the students to virtually perform the experiments")</f>
        <v>to allow the students to virtually perform the experiments</v>
      </c>
    </row>
    <row r="1398">
      <c r="A1398" s="234">
        <f>IFERROR(__xludf.DUMMYFUNCTION("""COMPUTED_VALUE"""),101689.0)</f>
        <v>101689</v>
      </c>
      <c r="B1398" s="235" t="str">
        <f>IFERROR(__xludf.DUMMYFUNCTION("""COMPUTED_VALUE"""),"SHARON LOTINO")</f>
        <v>SHARON LOTINO</v>
      </c>
      <c r="C1398" s="235" t="str">
        <f>IFERROR(__xludf.DUMMYFUNCTION("""COMPUTED_VALUE"""),"GLT")</f>
        <v>GLT</v>
      </c>
      <c r="D1398" s="196" t="str">
        <f>IFERROR(__xludf.DUMMYFUNCTION("""COMPUTED_VALUE"""),"Heng De face shield ")</f>
        <v>Heng De face shield </v>
      </c>
      <c r="E1398" s="196" t="str">
        <f>IFERROR(__xludf.DUMMYFUNCTION("""COMPUTED_VALUE"""),"Use of GLT Scholard")</f>
        <v>Use of GLT Scholard</v>
      </c>
    </row>
    <row r="1399">
      <c r="A1399" s="234">
        <f>IFERROR(__xludf.DUMMYFUNCTION("""COMPUTED_VALUE"""),101690.0)</f>
        <v>101690</v>
      </c>
      <c r="B1399" s="235" t="str">
        <f>IFERROR(__xludf.DUMMYFUNCTION("""COMPUTED_VALUE"""),"SHEREE ESPINOSA")</f>
        <v>SHEREE ESPINOSA</v>
      </c>
      <c r="C1399" s="235" t="str">
        <f>IFERROR(__xludf.DUMMYFUNCTION("""COMPUTED_VALUE"""),"HOUSEKEEPING")</f>
        <v>HOUSEKEEPING</v>
      </c>
      <c r="D1399" s="196" t="str">
        <f>IFERROR(__xludf.DUMMYFUNCTION("""COMPUTED_VALUE"""),"BOWL CARE")</f>
        <v>BOWL CARE</v>
      </c>
      <c r="E1399" s="196" t="str">
        <f>IFERROR(__xludf.DUMMYFUNCTION("""COMPUTED_VALUE"""),"For the comfort rooms of Lux, Tropical, and College building")</f>
        <v>For the comfort rooms of Lux, Tropical, and College building</v>
      </c>
    </row>
    <row r="1400">
      <c r="A1400" s="234">
        <f>IFERROR(__xludf.DUMMYFUNCTION("""COMPUTED_VALUE"""),101691.0)</f>
        <v>101691</v>
      </c>
      <c r="B1400" s="235" t="str">
        <f>IFERROR(__xludf.DUMMYFUNCTION("""COMPUTED_VALUE"""),"SHEREE ESPINOSA")</f>
        <v>SHEREE ESPINOSA</v>
      </c>
      <c r="C1400" s="235" t="str">
        <f>IFERROR(__xludf.DUMMYFUNCTION("""COMPUTED_VALUE"""),"HOUSEKEEPING")</f>
        <v>HOUSEKEEPING</v>
      </c>
      <c r="D1400" s="196" t="str">
        <f>IFERROR(__xludf.DUMMYFUNCTION("""COMPUTED_VALUE"""),"ALCOHOL (GALLONS)")</f>
        <v>ALCOHOL (GALLONS)</v>
      </c>
      <c r="E1400" s="196" t="str">
        <f>IFERROR(__xludf.DUMMYFUNCTION("""COMPUTED_VALUE"""),"For Lux, tropical and college building")</f>
        <v>For Lux, tropical and college building</v>
      </c>
    </row>
    <row r="1401">
      <c r="A1401" s="234">
        <f>IFERROR(__xludf.DUMMYFUNCTION("""COMPUTED_VALUE"""),101692.0)</f>
        <v>101692</v>
      </c>
      <c r="B1401" s="235" t="str">
        <f>IFERROR(__xludf.DUMMYFUNCTION("""COMPUTED_VALUE"""),"OWIE PAR")</f>
        <v>OWIE PAR</v>
      </c>
      <c r="C1401" s="235" t="str">
        <f>IFERROR(__xludf.DUMMYFUNCTION("""COMPUTED_VALUE"""),"ENGINEERING")</f>
        <v>ENGINEERING</v>
      </c>
      <c r="D1401" s="196" t="str">
        <f>IFERROR(__xludf.DUMMYFUNCTION("""COMPUTED_VALUE"""),"Checkered Plate, Cutting disk, red oxide, chocalaite brown, Paint thinner, paint brush, paint roller, welding rod / steel brush, sand paper")</f>
        <v>Checkered Plate, Cutting disk, red oxide, chocalaite brown, Paint thinner, paint brush, paint roller, welding rod / steel brush, sand paper</v>
      </c>
      <c r="E1401" s="196" t="str">
        <f>IFERROR(__xludf.DUMMYFUNCTION("""COMPUTED_VALUE"""),"repair/repainting of CDC Fire Exit")</f>
        <v>repair/repainting of CDC Fire Exit</v>
      </c>
    </row>
    <row r="1402">
      <c r="A1402" s="234">
        <f>IFERROR(__xludf.DUMMYFUNCTION("""COMPUTED_VALUE"""),101693.0)</f>
        <v>101693</v>
      </c>
      <c r="B1402" s="235" t="str">
        <f>IFERROR(__xludf.DUMMYFUNCTION("""COMPUTED_VALUE"""),"JP RAGOT")</f>
        <v>JP RAGOT</v>
      </c>
      <c r="C1402" s="235" t="str">
        <f>IFERROR(__xludf.DUMMYFUNCTION("""COMPUTED_VALUE"""),"AMD")</f>
        <v>AMD</v>
      </c>
      <c r="D1402" s="196" t="str">
        <f>IFERROR(__xludf.DUMMYFUNCTION("""COMPUTED_VALUE"""),"Toner, Cartridge inkonvert T660 for Brother HL-L23				
")</f>
        <v>Toner, Cartridge inkonvert T660 for Brother HL-L23				
</v>
      </c>
      <c r="E1402" s="196" t="str">
        <f>IFERROR(__xludf.DUMMYFUNCTION("""COMPUTED_VALUE"""),"Stock replenishment- OSSUP")</f>
        <v>Stock replenishment- OSSUP</v>
      </c>
    </row>
    <row r="1403">
      <c r="A1403" s="234">
        <f>IFERROR(__xludf.DUMMYFUNCTION("""COMPUTED_VALUE"""),101694.0)</f>
        <v>101694</v>
      </c>
      <c r="B1403" s="235" t="str">
        <f>IFERROR(__xludf.DUMMYFUNCTION("""COMPUTED_VALUE"""),"CRISMARIE ESPINOSA")</f>
        <v>CRISMARIE ESPINOSA</v>
      </c>
      <c r="C1403" s="235" t="str">
        <f>IFERROR(__xludf.DUMMYFUNCTION("""COMPUTED_VALUE"""),"CEM OFFICE")</f>
        <v>CEM OFFICE</v>
      </c>
      <c r="D1403" s="196" t="str">
        <f>IFERROR(__xludf.DUMMYFUNCTION("""COMPUTED_VALUE"""),"Lenovo V1482C40161PH i3")</f>
        <v>Lenovo V1482C40161PH i3</v>
      </c>
      <c r="E1403" s="196" t="str">
        <f>IFERROR(__xludf.DUMMYFUNCTION("""COMPUTED_VALUE"""),"laptop for graduating students IT")</f>
        <v>laptop for graduating students IT</v>
      </c>
    </row>
    <row r="1404">
      <c r="A1404" s="234">
        <f>IFERROR(__xludf.DUMMYFUNCTION("""COMPUTED_VALUE"""),101695.0)</f>
        <v>101695</v>
      </c>
      <c r="B1404" s="235" t="str">
        <f>IFERROR(__xludf.DUMMYFUNCTION("""COMPUTED_VALUE"""),"EDGAR REBELLON")</f>
        <v>EDGAR REBELLON</v>
      </c>
      <c r="C1404" s="235" t="str">
        <f>IFERROR(__xludf.DUMMYFUNCTION("""COMPUTED_VALUE"""),"STUFFSHOP")</f>
        <v>STUFFSHOP</v>
      </c>
      <c r="D1404" s="196" t="str">
        <f>IFERROR(__xludf.DUMMYFUNCTION("""COMPUTED_VALUE"""),"EQUIPPE NOUVELLE 1")</f>
        <v>EQUIPPE NOUVELLE 1</v>
      </c>
      <c r="E1404" s="196" t="str">
        <f>IFERROR(__xludf.DUMMYFUNCTION("""COMPUTED_VALUE"""),"FOR SALE IN STUFFSHOP")</f>
        <v>FOR SALE IN STUFFSHOP</v>
      </c>
    </row>
    <row r="1405">
      <c r="A1405" s="234">
        <f>IFERROR(__xludf.DUMMYFUNCTION("""COMPUTED_VALUE"""),101696.0)</f>
        <v>101696</v>
      </c>
      <c r="B1405" s="235" t="str">
        <f>IFERROR(__xludf.DUMMYFUNCTION("""COMPUTED_VALUE"""),"OWIE PAR")</f>
        <v>OWIE PAR</v>
      </c>
      <c r="C1405" s="235" t="str">
        <f>IFERROR(__xludf.DUMMYFUNCTION("""COMPUTED_VALUE"""),"ENGINEERING")</f>
        <v>ENGINEERING</v>
      </c>
      <c r="D1405" s="196" t="str">
        <f>IFERROR(__xludf.DUMMYFUNCTION("""COMPUTED_VALUE"""),"OUTDOOR PCB")</f>
        <v>OUTDOOR PCB</v>
      </c>
      <c r="E1405" s="196" t="str">
        <f>IFERROR(__xludf.DUMMYFUNCTION("""COMPUTED_VALUE"""),"FOR REPLACEMENT OF ACU PART AMD")</f>
        <v>FOR REPLACEMENT OF ACU PART AMD</v>
      </c>
    </row>
    <row r="1406">
      <c r="A1406" s="234">
        <f>IFERROR(__xludf.DUMMYFUNCTION("""COMPUTED_VALUE"""),101697.0)</f>
        <v>101697</v>
      </c>
      <c r="B1406" s="235" t="str">
        <f>IFERROR(__xludf.DUMMYFUNCTION("""COMPUTED_VALUE"""),"JP RAGOT")</f>
        <v>JP RAGOT</v>
      </c>
      <c r="C1406" s="235" t="str">
        <f>IFERROR(__xludf.DUMMYFUNCTION("""COMPUTED_VALUE"""),"AMD")</f>
        <v>AMD</v>
      </c>
      <c r="D1406" s="196" t="str">
        <f>IFERROR(__xludf.DUMMYFUNCTION("""COMPUTED_VALUE"""),"SISC LANYARD")</f>
        <v>SISC LANYARD</v>
      </c>
      <c r="E1406" s="196" t="str">
        <f>IFERROR(__xludf.DUMMYFUNCTION("""COMPUTED_VALUE"""),"Student Lanyard (To be given to students by SISC)											
")</f>
        <v>Student Lanyard (To be given to students by SISC)											
</v>
      </c>
    </row>
    <row r="1407">
      <c r="A1407" s="234">
        <f>IFERROR(__xludf.DUMMYFUNCTION("""COMPUTED_VALUE"""),101698.0)</f>
        <v>101698</v>
      </c>
      <c r="B1407" s="235" t="str">
        <f>IFERROR(__xludf.DUMMYFUNCTION("""COMPUTED_VALUE"""),"ELYDIA REYES")</f>
        <v>ELYDIA REYES</v>
      </c>
      <c r="C1407" s="235" t="str">
        <f>IFERROR(__xludf.DUMMYFUNCTION("""COMPUTED_VALUE"""),"PR &amp; MARKETING")</f>
        <v>PR &amp; MARKETING</v>
      </c>
      <c r="D1407" s="196" t="str">
        <f>IFERROR(__xludf.DUMMYFUNCTION("""COMPUTED_VALUE"""),"TARPAULIN 10X20FT WITHOUT EYELET AND SEAMING")</f>
        <v>TARPAULIN 10X20FT WITHOUT EYELET AND SEAMING</v>
      </c>
      <c r="E1407" s="196" t="str">
        <f>IFERROR(__xludf.DUMMYFUNCTION("""COMPUTED_VALUE"""),"MARKETING ")</f>
        <v>MARKETING </v>
      </c>
    </row>
    <row r="1408">
      <c r="A1408" s="234">
        <f>IFERROR(__xludf.DUMMYFUNCTION("""COMPUTED_VALUE"""),101699.0)</f>
        <v>101699</v>
      </c>
      <c r="B1408" s="235" t="str">
        <f>IFERROR(__xludf.DUMMYFUNCTION("""COMPUTED_VALUE"""),"SHEREE ESPINOSA")</f>
        <v>SHEREE ESPINOSA</v>
      </c>
      <c r="C1408" s="235" t="str">
        <f>IFERROR(__xludf.DUMMYFUNCTION("""COMPUTED_VALUE"""),"HOUSEKEEPING")</f>
        <v>HOUSEKEEPING</v>
      </c>
      <c r="D1408" s="196" t="str">
        <f>IFERROR(__xludf.DUMMYFUNCTION("""COMPUTED_VALUE"""),"RAINBOW TREE , PALAWAN CHERRY BLOSSOM, BANI")</f>
        <v>RAINBOW TREE , PALAWAN CHERRY BLOSSOM, BANI</v>
      </c>
      <c r="E1408" s="196" t="str">
        <f>IFERROR(__xludf.DUMMYFUNCTION("""COMPUTED_VALUE"""),"FOR TROPICAL, MUNICH, LUX PARKING")</f>
        <v>FOR TROPICAL, MUNICH, LUX PARKING</v>
      </c>
    </row>
    <row r="1409">
      <c r="A1409" s="234">
        <f>IFERROR(__xludf.DUMMYFUNCTION("""COMPUTED_VALUE"""),101700.0)</f>
        <v>101700</v>
      </c>
      <c r="B1409" s="235" t="str">
        <f>IFERROR(__xludf.DUMMYFUNCTION("""COMPUTED_VALUE"""),"SHEREE ESPINOSA")</f>
        <v>SHEREE ESPINOSA</v>
      </c>
      <c r="C1409" s="235" t="str">
        <f>IFERROR(__xludf.DUMMYFUNCTION("""COMPUTED_VALUE"""),"HOUSEKEEPING")</f>
        <v>HOUSEKEEPING</v>
      </c>
      <c r="D1409" s="196" t="str">
        <f>IFERROR(__xludf.DUMMYFUNCTION("""COMPUTED_VALUE"""),"NAIL , GI Wire")</f>
        <v>NAIL , GI Wire</v>
      </c>
      <c r="E1409" s="196" t="str">
        <f>IFERROR(__xludf.DUMMYFUNCTION("""COMPUTED_VALUE"""),"FOR TROPICAL, MUNICH, LUX PARKING")</f>
        <v>FOR TROPICAL, MUNICH, LUX PARKING</v>
      </c>
    </row>
    <row r="1410">
      <c r="A1410" s="234">
        <f>IFERROR(__xludf.DUMMYFUNCTION("""COMPUTED_VALUE"""),101701.0)</f>
        <v>101701</v>
      </c>
      <c r="B1410" s="235" t="str">
        <f>IFERROR(__xludf.DUMMYFUNCTION("""COMPUTED_VALUE"""),"RONALD VERDE")</f>
        <v>RONALD VERDE</v>
      </c>
      <c r="C1410" s="235" t="str">
        <f>IFERROR(__xludf.DUMMYFUNCTION("""COMPUTED_VALUE"""),"TRANSPORTATION")</f>
        <v>TRANSPORTATION</v>
      </c>
      <c r="D1410" s="196" t="str">
        <f>IFERROR(__xludf.DUMMYFUNCTION("""COMPUTED_VALUE"""),"3 MOTOLITE GOLD BATTERY")</f>
        <v>3 MOTOLITE GOLD BATTERY</v>
      </c>
      <c r="E1410" s="196" t="str">
        <f>IFERROR(__xludf.DUMMYFUNCTION("""COMPUTED_VALUE"""),"BATTERY MALFUNCTION")</f>
        <v>BATTERY MALFUNCTION</v>
      </c>
    </row>
    <row r="1411">
      <c r="A1411" s="234">
        <f>IFERROR(__xludf.DUMMYFUNCTION("""COMPUTED_VALUE"""),101702.0)</f>
        <v>101702</v>
      </c>
      <c r="B1411" s="235" t="str">
        <f>IFERROR(__xludf.DUMMYFUNCTION("""COMPUTED_VALUE"""),"RONALD VERDE")</f>
        <v>RONALD VERDE</v>
      </c>
      <c r="C1411" s="235" t="str">
        <f>IFERROR(__xludf.DUMMYFUNCTION("""COMPUTED_VALUE"""),"TRANSPORTATION")</f>
        <v>TRANSPORTATION</v>
      </c>
      <c r="D1411" s="196" t="str">
        <f>IFERROR(__xludf.DUMMYFUNCTION("""COMPUTED_VALUE"""),"BRAKE PAD, BRAKE FLUID")</f>
        <v>BRAKE PAD, BRAKE FLUID</v>
      </c>
      <c r="E1411" s="196" t="str">
        <f>IFERROR(__xludf.DUMMYFUNCTION("""COMPUTED_VALUE"""),"BRAKE PAD FOR REPLACEMENT")</f>
        <v>BRAKE PAD FOR REPLACEMENT</v>
      </c>
    </row>
    <row r="1412">
      <c r="A1412" s="234">
        <f>IFERROR(__xludf.DUMMYFUNCTION("""COMPUTED_VALUE"""),101703.0)</f>
        <v>101703</v>
      </c>
      <c r="B1412" s="235" t="str">
        <f>IFERROR(__xludf.DUMMYFUNCTION("""COMPUTED_VALUE"""),"MARVIN MARASIGAN")</f>
        <v>MARVIN MARASIGAN</v>
      </c>
      <c r="C1412" s="235" t="str">
        <f>IFERROR(__xludf.DUMMYFUNCTION("""COMPUTED_VALUE"""),"PR &amp; MARKETING")</f>
        <v>PR &amp; MARKETING</v>
      </c>
      <c r="D1412" s="196" t="str">
        <f>IFERROR(__xludf.DUMMYFUNCTION("""COMPUTED_VALUE"""),"Speaker wooden multimedia bluetootth/ Ring Light/ Boya Microphone / 1080 HD Camera")</f>
        <v>Speaker wooden multimedia bluetootth/ Ring Light/ Boya Microphone / 1080 HD Camera</v>
      </c>
      <c r="E1412" s="196" t="str">
        <f>IFERROR(__xludf.DUMMYFUNCTION("""COMPUTED_VALUE"""),"SCHOOL PRESENTATION")</f>
        <v>SCHOOL PRESENTATION</v>
      </c>
    </row>
    <row r="1413">
      <c r="A1413" s="234">
        <f>IFERROR(__xludf.DUMMYFUNCTION("""COMPUTED_VALUE"""),101704.0)</f>
        <v>101704</v>
      </c>
      <c r="B1413" s="235" t="str">
        <f>IFERROR(__xludf.DUMMYFUNCTION("""COMPUTED_VALUE"""),"JP RAGOT")</f>
        <v>JP RAGOT</v>
      </c>
      <c r="C1413" s="235" t="str">
        <f>IFERROR(__xludf.DUMMYFUNCTION("""COMPUTED_VALUE"""),"AMD")</f>
        <v>AMD</v>
      </c>
      <c r="D1413" s="196" t="str">
        <f>IFERROR(__xludf.DUMMYFUNCTION("""COMPUTED_VALUE"""),"LYSOL")</f>
        <v>LYSOL</v>
      </c>
      <c r="E1413" s="196" t="str">
        <f>IFERROR(__xludf.DUMMYFUNCTION("""COMPUTED_VALUE"""),"FOR DISINFECTION OF DELIVERIES FROM OUTSIDE SISC")</f>
        <v>FOR DISINFECTION OF DELIVERIES FROM OUTSIDE SISC</v>
      </c>
    </row>
    <row r="1414">
      <c r="A1414" s="234">
        <f>IFERROR(__xludf.DUMMYFUNCTION("""COMPUTED_VALUE"""),101705.0)</f>
        <v>101705</v>
      </c>
      <c r="B1414" s="235" t="str">
        <f>IFERROR(__xludf.DUMMYFUNCTION("""COMPUTED_VALUE"""),"MELISA ODOÑO")</f>
        <v>MELISA ODOÑO</v>
      </c>
      <c r="C1414" s="235" t="str">
        <f>IFERROR(__xludf.DUMMYFUNCTION("""COMPUTED_VALUE"""),"LIBRARY MUNICH")</f>
        <v>LIBRARY MUNICH</v>
      </c>
      <c r="D1414" s="196" t="str">
        <f>IFERROR(__xludf.DUMMYFUNCTION("""COMPUTED_VALUE"""),"""History Paper 3: the European States in the Inter-War Years (1918-1939), for the IB Diploma (Student Book with eText access code) (Pearson Baccalaureate) ... Diploma: International Editions) Paperback – Student Edition, 23 Jun. 2017
""				
""History fo"&amp;"r the IB Diploma Paper 1 The Move to Global War Paperback – 13 Aug. 2015
""				
""History for the IB Diploma Paper 2 The Cold War:: Superpower Tensions and Rivalries Paperback – 30 July 2015
""				
""History for the IB Diploma Paper 2 Authoritarian Stat"&amp;"es (20th Century) Paperback – 10 Sept. 2015
""				
Decoding Theory of Knowledge for the IB Diploma Skills Book with Digital Access (2 Years): Themes, Skills and Assessment Paperback – 31 Oct. 2020				
""Theory of Knowledge for the IB Diploma Digital Tea"&amp;"cher’s Resource Access Card Printed Access Code – 30 Nov. 2020
""				
""IB Physics Course Book 2014 (Oxford IB Diploma Programme) 2014th Edition, Kindle Edition
""				
Business Studies Paperback – 18 Jun. 2008				
Theatre in Practice				")</f>
        <v>"History Paper 3: the European States in the Inter-War Years (1918-1939), for the IB Diploma (Student Book with eText access code) (Pearson Baccalaureate) ... Diploma: International Editions) Paperback – Student Edition, 23 Jun. 2017
"				
"History for the IB Diploma Paper 1 The Move to Global War Paperback – 13 Aug. 2015
"				
"History for the IB Diploma Paper 2 The Cold War:: Superpower Tensions and Rivalries Paperback – 30 July 2015
"				
"History for the IB Diploma Paper 2 Authoritarian States (20th Century) Paperback – 10 Sept. 2015
"				
Decoding Theory of Knowledge for the IB Diploma Skills Book with Digital Access (2 Years): Themes, Skills and Assessment Paperback – 31 Oct. 2020				
"Theory of Knowledge for the IB Diploma Digital Teacher’s Resource Access Card Printed Access Code – 30 Nov. 2020
"				
"IB Physics Course Book 2014 (Oxford IB Diploma Programme) 2014th Edition, Kindle Edition
"				
Business Studies Paperback – 18 Jun. 2008				
Theatre in Practice				</v>
      </c>
      <c r="E1414" s="196" t="str">
        <f>IFERROR(__xludf.DUMMYFUNCTION("""COMPUTED_VALUE"""),"LIBRARY'S COPY (TEACHERS USE  AY 2020-2021)  - Ebooks / Digital ")</f>
        <v>LIBRARY'S COPY (TEACHERS USE  AY 2020-2021)  - Ebooks / Digital </v>
      </c>
    </row>
    <row r="1415">
      <c r="A1415" s="234">
        <f>IFERROR(__xludf.DUMMYFUNCTION("""COMPUTED_VALUE"""),101706.0)</f>
        <v>101706</v>
      </c>
      <c r="B1415" s="235" t="str">
        <f>IFERROR(__xludf.DUMMYFUNCTION("""COMPUTED_VALUE"""),"ALFA DE LEON")</f>
        <v>ALFA DE LEON</v>
      </c>
      <c r="C1415" s="235" t="str">
        <f>IFERROR(__xludf.DUMMYFUNCTION("""COMPUTED_VALUE"""),"HOUSEKEEPING")</f>
        <v>HOUSEKEEPING</v>
      </c>
      <c r="D1415" s="196" t="str">
        <f>IFERROR(__xludf.DUMMYFUNCTION("""COMPUTED_VALUE"""),"GARDEN SOIL")</f>
        <v>GARDEN SOIL</v>
      </c>
      <c r="E1415" s="196" t="str">
        <f>IFERROR(__xludf.DUMMYFUNCTION("""COMPUTED_VALUE"""),"For maintenance plant box")</f>
        <v>For maintenance plant box</v>
      </c>
    </row>
    <row r="1416">
      <c r="A1416" s="234">
        <f>IFERROR(__xludf.DUMMYFUNCTION("""COMPUTED_VALUE"""),101707.0)</f>
        <v>101707</v>
      </c>
      <c r="B1416" s="235" t="str">
        <f>IFERROR(__xludf.DUMMYFUNCTION("""COMPUTED_VALUE"""),"ALFA DE LEON")</f>
        <v>ALFA DE LEON</v>
      </c>
      <c r="C1416" s="235" t="str">
        <f>IFERROR(__xludf.DUMMYFUNCTION("""COMPUTED_VALUE"""),"HOUSEKEEPING")</f>
        <v>HOUSEKEEPING</v>
      </c>
      <c r="D1416" s="196" t="str">
        <f>IFERROR(__xludf.DUMMYFUNCTION("""COMPUTED_VALUE"""),"Pots ( Large and Extra Large)")</f>
        <v>Pots ( Large and Extra Large)</v>
      </c>
      <c r="E1416" s="196" t="str">
        <f>IFERROR(__xludf.DUMMYFUNCTION("""COMPUTED_VALUE"""),"Replacement of broken pots")</f>
        <v>Replacement of broken pots</v>
      </c>
    </row>
    <row r="1417">
      <c r="A1417" s="234">
        <f>IFERROR(__xludf.DUMMYFUNCTION("""COMPUTED_VALUE"""),101708.0)</f>
        <v>101708</v>
      </c>
      <c r="B1417" s="235" t="str">
        <f>IFERROR(__xludf.DUMMYFUNCTION("""COMPUTED_VALUE"""),"ALFA DE LEON")</f>
        <v>ALFA DE LEON</v>
      </c>
      <c r="C1417" s="235" t="str">
        <f>IFERROR(__xludf.DUMMYFUNCTION("""COMPUTED_VALUE"""),"HOUSEKEEPING")</f>
        <v>HOUSEKEEPING</v>
      </c>
      <c r="D1417" s="196" t="str">
        <f>IFERROR(__xludf.DUMMYFUNCTION("""COMPUTED_VALUE"""),"FURADAN")</f>
        <v>FURADAN</v>
      </c>
      <c r="E1417" s="196" t="str">
        <f>IFERROR(__xludf.DUMMYFUNCTION("""COMPUTED_VALUE"""),"For treatment of garden soil")</f>
        <v>For treatment of garden soil</v>
      </c>
    </row>
    <row r="1418">
      <c r="A1418" s="234">
        <f>IFERROR(__xludf.DUMMYFUNCTION("""COMPUTED_VALUE"""),101709.0)</f>
        <v>101709</v>
      </c>
      <c r="B1418" s="235" t="str">
        <f>IFERROR(__xludf.DUMMYFUNCTION("""COMPUTED_VALUE"""),"ALFA DE LEON")</f>
        <v>ALFA DE LEON</v>
      </c>
      <c r="C1418" s="235" t="str">
        <f>IFERROR(__xludf.DUMMYFUNCTION("""COMPUTED_VALUE"""),"HOUSEKEEPING")</f>
        <v>HOUSEKEEPING</v>
      </c>
      <c r="D1418" s="196" t="str">
        <f>IFERROR(__xludf.DUMMYFUNCTION("""COMPUTED_VALUE"""),"ADELFA PLANT")</f>
        <v>ADELFA PLANT</v>
      </c>
      <c r="E1418" s="196" t="str">
        <f>IFERROR(__xludf.DUMMYFUNCTION("""COMPUTED_VALUE"""),"To be planted in Monarch's gym plant box")</f>
        <v>To be planted in Monarch's gym plant box</v>
      </c>
    </row>
    <row r="1419">
      <c r="A1419" s="234">
        <f>IFERROR(__xludf.DUMMYFUNCTION("""COMPUTED_VALUE"""),101710.0)</f>
        <v>101710</v>
      </c>
      <c r="B1419" s="235" t="str">
        <f>IFERROR(__xludf.DUMMYFUNCTION("""COMPUTED_VALUE"""),"ALFA DE LEON")</f>
        <v>ALFA DE LEON</v>
      </c>
      <c r="C1419" s="235" t="str">
        <f>IFERROR(__xludf.DUMMYFUNCTION("""COMPUTED_VALUE"""),"HOUSEKEEPING")</f>
        <v>HOUSEKEEPING</v>
      </c>
      <c r="D1419" s="196" t="str">
        <f>IFERROR(__xludf.DUMMYFUNCTION("""COMPUTED_VALUE"""),"KUSOT ")</f>
        <v>KUSOT </v>
      </c>
      <c r="E1419" s="196" t="str">
        <f>IFERROR(__xludf.DUMMYFUNCTION("""COMPUTED_VALUE"""),"For campus landscaping")</f>
        <v>For campus landscaping</v>
      </c>
    </row>
    <row r="1420">
      <c r="A1420" s="234">
        <f>IFERROR(__xludf.DUMMYFUNCTION("""COMPUTED_VALUE"""),101711.0)</f>
        <v>101711</v>
      </c>
      <c r="B1420" s="235" t="str">
        <f>IFERROR(__xludf.DUMMYFUNCTION("""COMPUTED_VALUE"""),"RONALDO VERDE")</f>
        <v>RONALDO VERDE</v>
      </c>
      <c r="C1420" s="235" t="str">
        <f>IFERROR(__xludf.DUMMYFUNCTION("""COMPUTED_VALUE"""),"TRANSPORTATION")</f>
        <v>TRANSPORTATION</v>
      </c>
      <c r="D1420" s="196" t="str">
        <f>IFERROR(__xludf.DUMMYFUNCTION("""COMPUTED_VALUE"""),"MOTOLITE GOLD BATTERY / MOTOLITE GOLD")</f>
        <v>MOTOLITE GOLD BATTERY / MOTOLITE GOLD</v>
      </c>
      <c r="E1420" s="196" t="str">
        <f>IFERROR(__xludf.DUMMYFUNCTION("""COMPUTED_VALUE"""),"Busted batteries (coaster and avanza)")</f>
        <v>Busted batteries (coaster and avanza)</v>
      </c>
    </row>
    <row r="1421">
      <c r="A1421" s="234">
        <f>IFERROR(__xludf.DUMMYFUNCTION("""COMPUTED_VALUE"""),101712.0)</f>
        <v>101712</v>
      </c>
      <c r="B1421" s="235" t="str">
        <f>IFERROR(__xludf.DUMMYFUNCTION("""COMPUTED_VALUE"""),"ANN DELA ISLA")</f>
        <v>ANN DELA ISLA</v>
      </c>
      <c r="C1421" s="235" t="str">
        <f>IFERROR(__xludf.DUMMYFUNCTION("""COMPUTED_VALUE"""),"I.B.")</f>
        <v>I.B.</v>
      </c>
      <c r="D1421" s="196" t="str">
        <f>IFERROR(__xludf.DUMMYFUNCTION("""COMPUTED_VALUE"""),"MEDALS ( GOLD, SILVER, BRONZE. SUBJECT EXCELLENCE, LOYALTY)")</f>
        <v>MEDALS ( GOLD, SILVER, BRONZE. SUBJECT EXCELLENCE, LOYALTY)</v>
      </c>
      <c r="E1421" s="196" t="str">
        <f>IFERROR(__xludf.DUMMYFUNCTION("""COMPUTED_VALUE"""),"GRADUATION MEDALS FOR IB 19-20")</f>
        <v>GRADUATION MEDALS FOR IB 19-20</v>
      </c>
    </row>
    <row r="1422">
      <c r="A1422" s="234">
        <f>IFERROR(__xludf.DUMMYFUNCTION("""COMPUTED_VALUE"""),101713.0)</f>
        <v>101713</v>
      </c>
      <c r="B1422" s="235" t="str">
        <f>IFERROR(__xludf.DUMMYFUNCTION("""COMPUTED_VALUE"""),"AUGGIE BUHAY")</f>
        <v>AUGGIE BUHAY</v>
      </c>
      <c r="C1422" s="235" t="str">
        <f>IFERROR(__xludf.DUMMYFUNCTION("""COMPUTED_VALUE"""),"ADMIN")</f>
        <v>ADMIN</v>
      </c>
      <c r="D1422" s="196" t="str">
        <f>IFERROR(__xludf.DUMMYFUNCTION("""COMPUTED_VALUE"""),"EXHAUST FAN - 3D WALL MOUNTED 12 INCHES 3UNITS")</f>
        <v>EXHAUST FAN - 3D WALL MOUNTED 12 INCHES 3UNITS</v>
      </c>
      <c r="E1422" s="196" t="str">
        <f>IFERROR(__xludf.DUMMYFUNCTION("""COMPUTED_VALUE"""),"INSTALLATION IN SYCAMORE ROOMS DUE TO NO VENTIATION")</f>
        <v>INSTALLATION IN SYCAMORE ROOMS DUE TO NO VENTIATION</v>
      </c>
    </row>
    <row r="1423">
      <c r="A1423" s="234">
        <f>IFERROR(__xludf.DUMMYFUNCTION("""COMPUTED_VALUE"""),101714.0)</f>
        <v>101714</v>
      </c>
      <c r="B1423" s="235" t="str">
        <f>IFERROR(__xludf.DUMMYFUNCTION("""COMPUTED_VALUE"""),"ALFA DE LEON")</f>
        <v>ALFA DE LEON</v>
      </c>
      <c r="C1423" s="235" t="str">
        <f>IFERROR(__xludf.DUMMYFUNCTION("""COMPUTED_VALUE"""),"HOUSEKEEPING")</f>
        <v>HOUSEKEEPING</v>
      </c>
      <c r="D1423" s="196" t="str">
        <f>IFERROR(__xludf.DUMMYFUNCTION("""COMPUTED_VALUE"""),"CEMENT / BAGS OF SOIL / HALLOWBLOCKS")</f>
        <v>CEMENT / BAGS OF SOIL / HALLOWBLOCKS</v>
      </c>
      <c r="E1423" s="196" t="str">
        <f>IFERROR(__xludf.DUMMYFUNCTION("""COMPUTED_VALUE"""),"Repair of plantbox in star campus")</f>
        <v>Repair of plantbox in star campus</v>
      </c>
    </row>
    <row r="1424">
      <c r="A1424" s="234">
        <f>IFERROR(__xludf.DUMMYFUNCTION("""COMPUTED_VALUE"""),101715.0)</f>
        <v>101715</v>
      </c>
      <c r="B1424" s="235" t="str">
        <f>IFERROR(__xludf.DUMMYFUNCTION("""COMPUTED_VALUE"""),"MELISA ODOÑO")</f>
        <v>MELISA ODOÑO</v>
      </c>
      <c r="C1424" s="235" t="str">
        <f>IFERROR(__xludf.DUMMYFUNCTION("""COMPUTED_VALUE"""),"LIBRARY MUNICH")</f>
        <v>LIBRARY MUNICH</v>
      </c>
      <c r="D1424" s="196" t="str">
        <f>IFERROR(__xludf.DUMMYFUNCTION("""COMPUTED_VALUE"""),"Reinventing organizations: A guide to creating organizations inspired by the next stage of human conciousness kindle edition          /      Reinventing organizations: A guide to creating organizations inspired by the next stage of human conciousness hard"&amp;"cover, illustrated Feb 20, 2014 (hardcopy)")</f>
        <v>Reinventing organizations: A guide to creating organizations inspired by the next stage of human conciousness kindle edition          /      Reinventing organizations: A guide to creating organizations inspired by the next stage of human conciousness hardcover, illustrated Feb 20, 2014 (hardcopy)</v>
      </c>
      <c r="E1424" s="196" t="str">
        <f>IFERROR(__xludf.DUMMYFUNCTION("""COMPUTED_VALUE"""),"LIBRARY'S COPY (TEACHERS USE  AY 2020-2021)  - Ebooks / Digital ")</f>
        <v>LIBRARY'S COPY (TEACHERS USE  AY 2020-2021)  - Ebooks / Digital </v>
      </c>
    </row>
    <row r="1425">
      <c r="A1425" s="234">
        <f>IFERROR(__xludf.DUMMYFUNCTION("""COMPUTED_VALUE"""),101716.0)</f>
        <v>101716</v>
      </c>
      <c r="B1425" s="235" t="str">
        <f>IFERROR(__xludf.DUMMYFUNCTION("""COMPUTED_VALUE"""),"Carol LACERNA")</f>
        <v>Carol LACERNA</v>
      </c>
      <c r="C1425" s="235" t="str">
        <f>IFERROR(__xludf.DUMMYFUNCTION("""COMPUTED_VALUE"""),"ABU")</f>
        <v>ABU</v>
      </c>
      <c r="D1425" s="196" t="str">
        <f>IFERROR(__xludf.DUMMYFUNCTION("""COMPUTED_VALUE"""),"Lenovo 82C40161PH; IntelCorei5, WINDOWS 10 HOME OS; 4GB+4GB MEMORY; ITB SATA HARD DISK				")</f>
        <v>Lenovo 82C40161PH; IntelCorei5, WINDOWS 10 HOME OS; 4GB+4GB MEMORY; ITB SATA HARD DISK				</v>
      </c>
      <c r="E1425" s="196" t="str">
        <f>IFERROR(__xludf.DUMMYFUNCTION("""COMPUTED_VALUE"""),"Gadget loan of employees (3rd batch)")</f>
        <v>Gadget loan of employees (3rd batch)</v>
      </c>
    </row>
    <row r="1426">
      <c r="A1426" s="234">
        <f>IFERROR(__xludf.DUMMYFUNCTION("""COMPUTED_VALUE"""),101717.0)</f>
        <v>101717</v>
      </c>
      <c r="B1426" s="235" t="str">
        <f>IFERROR(__xludf.DUMMYFUNCTION("""COMPUTED_VALUE"""),"ALFA DE LEON")</f>
        <v>ALFA DE LEON</v>
      </c>
      <c r="C1426" s="235" t="str">
        <f>IFERROR(__xludf.DUMMYFUNCTION("""COMPUTED_VALUE"""),"HOUSEKEEPING")</f>
        <v>HOUSEKEEPING</v>
      </c>
      <c r="D1426" s="196" t="str">
        <f>IFERROR(__xludf.DUMMYFUNCTION("""COMPUTED_VALUE"""),"Acoustic Board 2ftx4ft white")</f>
        <v>Acoustic Board 2ftx4ft white</v>
      </c>
      <c r="E1426" s="196" t="str">
        <f>IFERROR(__xludf.DUMMYFUNCTION("""COMPUTED_VALUE"""),"Replacement of broken acoustic boards (Munich)")</f>
        <v>Replacement of broken acoustic boards (Munich)</v>
      </c>
    </row>
    <row r="1427">
      <c r="A1427" s="234">
        <f>IFERROR(__xludf.DUMMYFUNCTION("""COMPUTED_VALUE"""),101718.0)</f>
        <v>101718</v>
      </c>
      <c r="B1427" s="235" t="str">
        <f>IFERROR(__xludf.DUMMYFUNCTION("""COMPUTED_VALUE"""),"ALFA DE LEON")</f>
        <v>ALFA DE LEON</v>
      </c>
      <c r="C1427" s="235" t="str">
        <f>IFERROR(__xludf.DUMMYFUNCTION("""COMPUTED_VALUE"""),"HOUSEKEEPING")</f>
        <v>HOUSEKEEPING</v>
      </c>
      <c r="D1427" s="196" t="str">
        <f>IFERROR(__xludf.DUMMYFUNCTION("""COMPUTED_VALUE"""),"Acoustic Board 2ftx4ft white")</f>
        <v>Acoustic Board 2ftx4ft white</v>
      </c>
      <c r="E1427" s="196" t="str">
        <f>IFERROR(__xludf.DUMMYFUNCTION("""COMPUTED_VALUE"""),"Replacement of broken acoustic boards (Luxembourg)")</f>
        <v>Replacement of broken acoustic boards (Luxembourg)</v>
      </c>
    </row>
    <row r="1428">
      <c r="A1428" s="234">
        <f>IFERROR(__xludf.DUMMYFUNCTION("""COMPUTED_VALUE"""),101719.0)</f>
        <v>101719</v>
      </c>
      <c r="B1428" s="235" t="str">
        <f>IFERROR(__xludf.DUMMYFUNCTION("""COMPUTED_VALUE"""),"ALFA DE LEON")</f>
        <v>ALFA DE LEON</v>
      </c>
      <c r="C1428" s="235" t="str">
        <f>IFERROR(__xludf.DUMMYFUNCTION("""COMPUTED_VALUE"""),"HOUSEKEEPING")</f>
        <v>HOUSEKEEPING</v>
      </c>
      <c r="D1428" s="196" t="str">
        <f>IFERROR(__xludf.DUMMYFUNCTION("""COMPUTED_VALUE"""),"Acoustic Board 2ftx4ft white")</f>
        <v>Acoustic Board 2ftx4ft white</v>
      </c>
      <c r="E1428" s="196" t="str">
        <f>IFERROR(__xludf.DUMMYFUNCTION("""COMPUTED_VALUE"""),"Replacement of broken acoustic boards (STAR)")</f>
        <v>Replacement of broken acoustic boards (STAR)</v>
      </c>
    </row>
    <row r="1429">
      <c r="A1429" s="234">
        <f>IFERROR(__xludf.DUMMYFUNCTION("""COMPUTED_VALUE"""),101720.0)</f>
        <v>101720</v>
      </c>
      <c r="B1429" s="235" t="str">
        <f>IFERROR(__xludf.DUMMYFUNCTION("""COMPUTED_VALUE"""),"ALFA DE LEON")</f>
        <v>ALFA DE LEON</v>
      </c>
      <c r="C1429" s="235" t="str">
        <f>IFERROR(__xludf.DUMMYFUNCTION("""COMPUTED_VALUE"""),"HOUSEKEEPING")</f>
        <v>HOUSEKEEPING</v>
      </c>
      <c r="D1429" s="196" t="str">
        <f>IFERROR(__xludf.DUMMYFUNCTION("""COMPUTED_VALUE"""),"Flat cord #18, Bulb, Rope Light ww, control panel, cable tie")</f>
        <v>Flat cord #18, Bulb, Rope Light ww, control panel, cable tie</v>
      </c>
      <c r="E1429" s="196" t="str">
        <f>IFERROR(__xludf.DUMMYFUNCTION("""COMPUTED_VALUE"""),"Repair of capiz Parol for Luxembourg, Munich, and Star Campus")</f>
        <v>Repair of capiz Parol for Luxembourg, Munich, and Star Campus</v>
      </c>
    </row>
    <row r="1430">
      <c r="A1430" s="234">
        <f>IFERROR(__xludf.DUMMYFUNCTION("""COMPUTED_VALUE"""),101721.0)</f>
        <v>101721</v>
      </c>
      <c r="B1430" s="235" t="str">
        <f>IFERROR(__xludf.DUMMYFUNCTION("""COMPUTED_VALUE"""),"MELISA ODOÑO")</f>
        <v>MELISA ODOÑO</v>
      </c>
      <c r="C1430" s="235" t="str">
        <f>IFERROR(__xludf.DUMMYFUNCTION("""COMPUTED_VALUE"""),"LIBRARY MUNICH")</f>
        <v>LIBRARY MUNICH</v>
      </c>
      <c r="D1430" s="196" t="str">
        <f>IFERROR(__xludf.DUMMYFUNCTION("""COMPUTED_VALUE"""),"Problem solving and Decision making")</f>
        <v>Problem solving and Decision making</v>
      </c>
      <c r="E1430" s="196" t="str">
        <f>IFERROR(__xludf.DUMMYFUNCTION("""COMPUTED_VALUE"""),"LIBRARY'S COPY (TEACHERS USE  AY 2020-2021)")</f>
        <v>LIBRARY'S COPY (TEACHERS USE  AY 2020-2021)</v>
      </c>
    </row>
    <row r="1431">
      <c r="A1431" s="234">
        <f>IFERROR(__xludf.DUMMYFUNCTION("""COMPUTED_VALUE"""),101722.0)</f>
        <v>101722</v>
      </c>
      <c r="B1431" s="235" t="str">
        <f>IFERROR(__xludf.DUMMYFUNCTION("""COMPUTED_VALUE"""),"BONG DULAWAN")</f>
        <v>BONG DULAWAN</v>
      </c>
      <c r="C1431" s="235" t="str">
        <f>IFERROR(__xludf.DUMMYFUNCTION("""COMPUTED_VALUE"""),"FACILITIES")</f>
        <v>FACILITIES</v>
      </c>
      <c r="D1431" s="196" t="str">
        <f>IFERROR(__xludf.DUMMYFUNCTION("""COMPUTED_VALUE"""),"wall sticker design and neon lighted quotation ")</f>
        <v>wall sticker design and neon lighted quotation </v>
      </c>
      <c r="E1431" s="196" t="str">
        <f>IFERROR(__xludf.DUMMYFUNCTION("""COMPUTED_VALUE"""),"Sports conditioning center at monarch's gym owner supplied items")</f>
        <v>Sports conditioning center at monarch's gym owner supplied items</v>
      </c>
    </row>
    <row r="1432">
      <c r="A1432" s="234">
        <f>IFERROR(__xludf.DUMMYFUNCTION("""COMPUTED_VALUE"""),101723.0)</f>
        <v>101723</v>
      </c>
      <c r="B1432" s="235" t="str">
        <f>IFERROR(__xludf.DUMMYFUNCTION("""COMPUTED_VALUE"""),"BONG DULAWAN")</f>
        <v>BONG DULAWAN</v>
      </c>
      <c r="C1432" s="235" t="str">
        <f>IFERROR(__xludf.DUMMYFUNCTION("""COMPUTED_VALUE"""),"FACILITIES")</f>
        <v>FACILITIES</v>
      </c>
      <c r="D1432" s="196" t="str">
        <f>IFERROR(__xludf.DUMMYFUNCTION("""COMPUTED_VALUE"""),"Tile threshold")</f>
        <v>Tile threshold</v>
      </c>
      <c r="E1432" s="196" t="str">
        <f>IFERROR(__xludf.DUMMYFUNCTION("""COMPUTED_VALUE"""),"For the coaches' room in the monarch's gym")</f>
        <v>For the coaches' room in the monarch's gym</v>
      </c>
    </row>
    <row r="1433">
      <c r="A1433" s="234">
        <f>IFERROR(__xludf.DUMMYFUNCTION("""COMPUTED_VALUE"""),101724.0)</f>
        <v>101724</v>
      </c>
      <c r="B1433" s="235" t="str">
        <f>IFERROR(__xludf.DUMMYFUNCTION("""COMPUTED_VALUE"""),"ALFA DE LEON")</f>
        <v>ALFA DE LEON</v>
      </c>
      <c r="C1433" s="235" t="str">
        <f>IFERROR(__xludf.DUMMYFUNCTION("""COMPUTED_VALUE"""),"HOUSEKEEPING")</f>
        <v>HOUSEKEEPING</v>
      </c>
      <c r="D1433" s="196" t="str">
        <f>IFERROR(__xludf.DUMMYFUNCTION("""COMPUTED_VALUE"""),"Pots")</f>
        <v>Pots</v>
      </c>
      <c r="E1433" s="196" t="str">
        <f>IFERROR(__xludf.DUMMYFUNCTION("""COMPUTED_VALUE"""),"Replacement of broken pots and for plant propagation palmera")</f>
        <v>Replacement of broken pots and for plant propagation palmera</v>
      </c>
    </row>
    <row r="1434">
      <c r="A1434" s="234">
        <f>IFERROR(__xludf.DUMMYFUNCTION("""COMPUTED_VALUE"""),101725.0)</f>
        <v>101725</v>
      </c>
      <c r="B1434" s="235" t="str">
        <f>IFERROR(__xludf.DUMMYFUNCTION("""COMPUTED_VALUE"""),"APOLLO MANCE")</f>
        <v>APOLLO MANCE</v>
      </c>
      <c r="C1434" s="235" t="str">
        <f>IFERROR(__xludf.DUMMYFUNCTION("""COMPUTED_VALUE"""),"AMD")</f>
        <v>AMD</v>
      </c>
      <c r="D1434" s="196" t="str">
        <f>IFERROR(__xludf.DUMMYFUNCTION("""COMPUTED_VALUE"""),"Grade 4 EQ and ACT books, G6 EQ and ACT books, G7 EQ and Act books")</f>
        <v>Grade 4 EQ and ACT books, G6 EQ and ACT books, G7 EQ and Act books</v>
      </c>
      <c r="E1434" s="196" t="str">
        <f>IFERROR(__xludf.DUMMYFUNCTION("""COMPUTED_VALUE"""),"stock replenishment")</f>
        <v>stock replenishment</v>
      </c>
    </row>
    <row r="1435">
      <c r="A1435" s="234">
        <f>IFERROR(__xludf.DUMMYFUNCTION("""COMPUTED_VALUE"""),101726.0)</f>
        <v>101726</v>
      </c>
      <c r="B1435" s="235" t="str">
        <f>IFERROR(__xludf.DUMMYFUNCTION("""COMPUTED_VALUE"""),"APOOLO MANCE")</f>
        <v>APOOLO MANCE</v>
      </c>
      <c r="C1435" s="235" t="str">
        <f>IFERROR(__xludf.DUMMYFUNCTION("""COMPUTED_VALUE"""),"AMD")</f>
        <v>AMD</v>
      </c>
      <c r="D1435" s="196" t="str">
        <f>IFERROR(__xludf.DUMMYFUNCTION("""COMPUTED_VALUE"""),"Math new syllabus grade 98 e-book")</f>
        <v>Math new syllabus grade 98 e-book</v>
      </c>
      <c r="E1435" s="196" t="str">
        <f>IFERROR(__xludf.DUMMYFUNCTION("""COMPUTED_VALUE"""),"stock replenishment")</f>
        <v>stock replenishment</v>
      </c>
    </row>
    <row r="1436">
      <c r="A1436" s="234">
        <f>IFERROR(__xludf.DUMMYFUNCTION("""COMPUTED_VALUE"""),101727.0)</f>
        <v>101727</v>
      </c>
      <c r="B1436" s="235" t="str">
        <f>IFERROR(__xludf.DUMMYFUNCTION("""COMPUTED_VALUE"""),"PRECIOUS CABRERA")</f>
        <v>PRECIOUS CABRERA</v>
      </c>
      <c r="C1436" s="235" t="str">
        <f>IFERROR(__xludf.DUMMYFUNCTION("""COMPUTED_VALUE"""),"HRMD")</f>
        <v>HRMD</v>
      </c>
      <c r="D1436" s="196" t="str">
        <f>IFERROR(__xludf.DUMMYFUNCTION("""COMPUTED_VALUE"""),"Time Cards")</f>
        <v>Time Cards</v>
      </c>
      <c r="E1436" s="196" t="str">
        <f>IFERROR(__xludf.DUMMYFUNCTION("""COMPUTED_VALUE"""),"Departmental Supply")</f>
        <v>Departmental Supply</v>
      </c>
    </row>
    <row r="1437">
      <c r="A1437" s="234">
        <f>IFERROR(__xludf.DUMMYFUNCTION("""COMPUTED_VALUE"""),101728.0)</f>
        <v>101728</v>
      </c>
      <c r="B1437" s="235" t="str">
        <f>IFERROR(__xludf.DUMMYFUNCTION("""COMPUTED_VALUE"""),"JACQUELINE SAMSONA")</f>
        <v>JACQUELINE SAMSONA</v>
      </c>
      <c r="C1437" s="235" t="str">
        <f>IFERROR(__xludf.DUMMYFUNCTION("""COMPUTED_VALUE"""),"SCIENCE LAB COLLEGE")</f>
        <v>SCIENCE LAB COLLEGE</v>
      </c>
      <c r="D1437" s="196" t="str">
        <f>IFERROR(__xludf.DUMMYFUNCTION("""COMPUTED_VALUE"""),"Ventilator / IV Pump / Feeding Pump / Nursing Doll / Pleur-evac / Foley Cther / IV Arm")</f>
        <v>Ventilator / IV Pump / Feeding Pump / Nursing Doll / Pleur-evac / Foley Cther / IV Arm</v>
      </c>
      <c r="E1437" s="196" t="str">
        <f>IFERROR(__xludf.DUMMYFUNCTION("""COMPUTED_VALUE"""),"For nursing blended learning")</f>
        <v>For nursing blended learning</v>
      </c>
    </row>
    <row r="1438">
      <c r="A1438" s="234">
        <f>IFERROR(__xludf.DUMMYFUNCTION("""COMPUTED_VALUE"""),101729.0)</f>
        <v>101729</v>
      </c>
      <c r="B1438" s="235" t="str">
        <f>IFERROR(__xludf.DUMMYFUNCTION("""COMPUTED_VALUE"""),"ALFA DE LEON")</f>
        <v>ALFA DE LEON</v>
      </c>
      <c r="C1438" s="235" t="str">
        <f>IFERROR(__xludf.DUMMYFUNCTION("""COMPUTED_VALUE"""),"HOUSEKEEPING")</f>
        <v>HOUSEKEEPING</v>
      </c>
      <c r="D1438" s="196" t="str">
        <f>IFERROR(__xludf.DUMMYFUNCTION("""COMPUTED_VALUE"""),"Rope Light (Red green yellow purple blue) control panel")</f>
        <v>Rope Light (Red green yellow purple blue) control panel</v>
      </c>
      <c r="E1438" s="196" t="str">
        <f>IFERROR(__xludf.DUMMYFUNCTION("""COMPUTED_VALUE"""),"repair of christmas parol and reinderrs")</f>
        <v>repair of christmas parol and reinderrs</v>
      </c>
    </row>
    <row r="1439">
      <c r="A1439" s="234">
        <f>IFERROR(__xludf.DUMMYFUNCTION("""COMPUTED_VALUE"""),101730.0)</f>
        <v>101730</v>
      </c>
      <c r="B1439" s="235" t="str">
        <f>IFERROR(__xludf.DUMMYFUNCTION("""COMPUTED_VALUE"""),"SHEREE ESPINOSA")</f>
        <v>SHEREE ESPINOSA</v>
      </c>
      <c r="C1439" s="235" t="str">
        <f>IFERROR(__xludf.DUMMYFUNCTION("""COMPUTED_VALUE"""),"ADMIN - LUX")</f>
        <v>ADMIN - LUX</v>
      </c>
      <c r="D1439" s="196" t="str">
        <f>IFERROR(__xludf.DUMMYFUNCTION("""COMPUTED_VALUE"""),"Christmas Lights white, Plastic christmas decors (silver gold violet. apple). Curtain lights warm white")</f>
        <v>Christmas Lights white, Plastic christmas decors (silver gold violet. apple). Curtain lights warm white</v>
      </c>
      <c r="E1439" s="196" t="str">
        <f>IFERROR(__xludf.DUMMYFUNCTION("""COMPUTED_VALUE"""),"Christmas decor for lux, tropical and college building")</f>
        <v>Christmas decor for lux, tropical and college building</v>
      </c>
    </row>
    <row r="1440">
      <c r="A1440" s="234">
        <f>IFERROR(__xludf.DUMMYFUNCTION("""COMPUTED_VALUE"""),101731.0)</f>
        <v>101731</v>
      </c>
      <c r="B1440" s="235" t="str">
        <f>IFERROR(__xludf.DUMMYFUNCTION("""COMPUTED_VALUE"""),"CAROL LACERNA")</f>
        <v>CAROL LACERNA</v>
      </c>
      <c r="C1440" s="235" t="str">
        <f>IFERROR(__xludf.DUMMYFUNCTION("""COMPUTED_VALUE"""),"ABU")</f>
        <v>ABU</v>
      </c>
      <c r="D1440" s="196" t="str">
        <f>IFERROR(__xludf.DUMMYFUNCTION("""COMPUTED_VALUE"""),"Lenovo 82C40161PH; i5, WINDOWS 10 HOME OS; 4GB+4GB MEMORY; ITB SATA HARD DISK				")</f>
        <v>Lenovo 82C40161PH; i5, WINDOWS 10 HOME OS; 4GB+4GB MEMORY; ITB SATA HARD DISK				</v>
      </c>
      <c r="E1440" s="196" t="str">
        <f>IFERROR(__xludf.DUMMYFUNCTION("""COMPUTED_VALUE"""),"approved gadget loan of employees")</f>
        <v>approved gadget loan of employees</v>
      </c>
    </row>
    <row r="1441">
      <c r="A1441" s="234">
        <f>IFERROR(__xludf.DUMMYFUNCTION("""COMPUTED_VALUE"""),101732.0)</f>
        <v>101732</v>
      </c>
      <c r="B1441" s="235" t="str">
        <f>IFERROR(__xludf.DUMMYFUNCTION("""COMPUTED_VALUE"""),"MELISA ODOÑO")</f>
        <v>MELISA ODOÑO</v>
      </c>
      <c r="C1441" s="235" t="str">
        <f>IFERROR(__xludf.DUMMYFUNCTION("""COMPUTED_VALUE"""),"LIBRARY MUNICH")</f>
        <v>LIBRARY MUNICH</v>
      </c>
      <c r="D1441" s="196" t="str">
        <f>IFERROR(__xludf.DUMMYFUNCTION("""COMPUTED_VALUE"""),"Science a closer look: 2")</f>
        <v>Science a closer look: 2</v>
      </c>
      <c r="E1441" s="196" t="str">
        <f>IFERROR(__xludf.DUMMYFUNCTION("""COMPUTED_VALUE"""),"Library's copy teachers' use")</f>
        <v>Library's copy teachers' use</v>
      </c>
    </row>
    <row r="1442">
      <c r="A1442" s="234">
        <f>IFERROR(__xludf.DUMMYFUNCTION("""COMPUTED_VALUE"""),101733.0)</f>
        <v>101733</v>
      </c>
      <c r="B1442" s="235" t="str">
        <f>IFERROR(__xludf.DUMMYFUNCTION("""COMPUTED_VALUE"""),"SHEREE ESPINOSA")</f>
        <v>SHEREE ESPINOSA</v>
      </c>
      <c r="C1442" s="235" t="str">
        <f>IFERROR(__xludf.DUMMYFUNCTION("""COMPUTED_VALUE"""),"HOUSEKEEPING")</f>
        <v>HOUSEKEEPING</v>
      </c>
      <c r="D1442" s="196" t="str">
        <f>IFERROR(__xludf.DUMMYFUNCTION("""COMPUTED_VALUE"""),"MULTI PURPOSE SHREDDER DIEESEL ENGINE")</f>
        <v>MULTI PURPOSE SHREDDER DIEESEL ENGINE</v>
      </c>
      <c r="E1442" s="196" t="str">
        <f>IFERROR(__xludf.DUMMYFUNCTION("""COMPUTED_VALUE"""),"FOR SHREDDING OF TRIMMED WET/DRY LEAVES AND BRANCHEST TO BECOME FERTILIZER")</f>
        <v>FOR SHREDDING OF TRIMMED WET/DRY LEAVES AND BRANCHEST TO BECOME FERTILIZER</v>
      </c>
    </row>
    <row r="1443">
      <c r="A1443" s="234">
        <f>IFERROR(__xludf.DUMMYFUNCTION("""COMPUTED_VALUE"""),101734.0)</f>
        <v>101734</v>
      </c>
      <c r="B1443" s="235" t="str">
        <f>IFERROR(__xludf.DUMMYFUNCTION("""COMPUTED_VALUE"""),"EVA NECOSIA")</f>
        <v>EVA NECOSIA</v>
      </c>
      <c r="C1443" s="235" t="str">
        <f>IFERROR(__xludf.DUMMYFUNCTION("""COMPUTED_VALUE"""),"FINANCE &amp; ACCOUNTING")</f>
        <v>FINANCE &amp; ACCOUNTING</v>
      </c>
      <c r="D1443" s="196" t="str">
        <f>IFERROR(__xludf.DUMMYFUNCTION("""COMPUTED_VALUE"""),"TRODATS (For check payment, For Miss Chona and MIss Queene")</f>
        <v>TRODATS (For check payment, For Miss Chona and MIss Queene</v>
      </c>
      <c r="E1443" s="196" t="str">
        <f>IFERROR(__xludf.DUMMYFUNCTION("""COMPUTED_VALUE"""),"For check payments/ Office use")</f>
        <v>For check payments/ Office use</v>
      </c>
    </row>
    <row r="1444">
      <c r="A1444" s="234">
        <f>IFERROR(__xludf.DUMMYFUNCTION("""COMPUTED_VALUE"""),101735.0)</f>
        <v>101735</v>
      </c>
      <c r="B1444" s="235" t="str">
        <f>IFERROR(__xludf.DUMMYFUNCTION("""COMPUTED_VALUE"""),"EDGAR REBELLOM")</f>
        <v>EDGAR REBELLOM</v>
      </c>
      <c r="C1444" s="235" t="str">
        <f>IFERROR(__xludf.DUMMYFUNCTION("""COMPUTED_VALUE"""),"AMD")</f>
        <v>AMD</v>
      </c>
      <c r="D1444" s="196" t="str">
        <f>IFERROR(__xludf.DUMMYFUNCTION("""COMPUTED_VALUE"""),"Cursive Writing (G3 G4 G5)")</f>
        <v>Cursive Writing (G3 G4 G5)</v>
      </c>
      <c r="E1444" s="196" t="str">
        <f>IFERROR(__xludf.DUMMYFUNCTION("""COMPUTED_VALUE"""),"Stock replenishment")</f>
        <v>Stock replenishment</v>
      </c>
    </row>
    <row r="1445">
      <c r="A1445" s="234">
        <f>IFERROR(__xludf.DUMMYFUNCTION("""COMPUTED_VALUE"""),101736.0)</f>
        <v>101736</v>
      </c>
      <c r="B1445" s="235" t="str">
        <f>IFERROR(__xludf.DUMMYFUNCTION("""COMPUTED_VALUE"""),"CAROL LACERNA")</f>
        <v>CAROL LACERNA</v>
      </c>
      <c r="C1445" s="235" t="str">
        <f>IFERROR(__xludf.DUMMYFUNCTION("""COMPUTED_VALUE"""),"ABU")</f>
        <v>ABU</v>
      </c>
      <c r="D1445" s="196" t="str">
        <f>IFERROR(__xludf.DUMMYFUNCTION("""COMPUTED_VALUE"""),"Lenovo 82C40161PH; IntelCorei5, WINDOWS 10 HOME OS; 4GB+4GB MEMORY; ITB SATA HARD DISK				")</f>
        <v>Lenovo 82C40161PH; IntelCorei5, WINDOWS 10 HOME OS; 4GB+4GB MEMORY; ITB SATA HARD DISK				</v>
      </c>
      <c r="E1445" s="196" t="str">
        <f>IFERROR(__xludf.DUMMYFUNCTION("""COMPUTED_VALUE"""),"Approved gadget loan of employees")</f>
        <v>Approved gadget loan of employees</v>
      </c>
    </row>
    <row r="1446">
      <c r="A1446" s="234">
        <f>IFERROR(__xludf.DUMMYFUNCTION("""COMPUTED_VALUE"""),101737.0)</f>
        <v>101737</v>
      </c>
      <c r="B1446" s="235" t="str">
        <f>IFERROR(__xludf.DUMMYFUNCTION("""COMPUTED_VALUE"""),"CAROL LACERNA")</f>
        <v>CAROL LACERNA</v>
      </c>
      <c r="C1446" s="235" t="str">
        <f>IFERROR(__xludf.DUMMYFUNCTION("""COMPUTED_VALUE"""),"ABU")</f>
        <v>ABU</v>
      </c>
      <c r="D1446" s="196" t="str">
        <f>IFERROR(__xludf.DUMMYFUNCTION("""COMPUTED_VALUE"""),"Lenovo 82C40161PH; IntelCorei5, WINDOWS 10 HOME OS; 4GB+4GB MEMORY; ITB SATA HARD DISK				")</f>
        <v>Lenovo 82C40161PH; IntelCorei5, WINDOWS 10 HOME OS; 4GB+4GB MEMORY; ITB SATA HARD DISK				</v>
      </c>
      <c r="E1446" s="196" t="str">
        <f>IFERROR(__xludf.DUMMYFUNCTION("""COMPUTED_VALUE"""),"Approved gadget loan of employees")</f>
        <v>Approved gadget loan of employees</v>
      </c>
    </row>
    <row r="1447">
      <c r="A1447" s="234">
        <f>IFERROR(__xludf.DUMMYFUNCTION("""COMPUTED_VALUE"""),101738.0)</f>
        <v>101738</v>
      </c>
      <c r="B1447" s="235" t="str">
        <f>IFERROR(__xludf.DUMMYFUNCTION("""COMPUTED_VALUE"""),"ARNEL MONTABLAN")</f>
        <v>ARNEL MONTABLAN</v>
      </c>
      <c r="C1447" s="235" t="str">
        <f>IFERROR(__xludf.DUMMYFUNCTION("""COMPUTED_VALUE"""),"REGISTRATION")</f>
        <v>REGISTRATION</v>
      </c>
      <c r="D1447" s="196" t="str">
        <f>IFERROR(__xludf.DUMMYFUNCTION("""COMPUTED_VALUE"""),"GRADUATE SCHOOL TOR PAPER")</f>
        <v>GRADUATE SCHOOL TOR PAPER</v>
      </c>
      <c r="E1447" s="196" t="str">
        <f>IFERROR(__xludf.DUMMYFUNCTION("""COMPUTED_VALUE"""),"FOR OFFICE USE")</f>
        <v>FOR OFFICE USE</v>
      </c>
    </row>
    <row r="1448">
      <c r="A1448" s="234">
        <f>IFERROR(__xludf.DUMMYFUNCTION("""COMPUTED_VALUE"""),101739.0)</f>
        <v>101739</v>
      </c>
      <c r="B1448" s="235" t="str">
        <f>IFERROR(__xludf.DUMMYFUNCTION("""COMPUTED_VALUE"""),"ELYDIA REYES")</f>
        <v>ELYDIA REYES</v>
      </c>
      <c r="C1448" s="235" t="str">
        <f>IFERROR(__xludf.DUMMYFUNCTION("""COMPUTED_VALUE"""),"PR &amp; MARKETING")</f>
        <v>PR &amp; MARKETING</v>
      </c>
      <c r="D1448" s="196" t="str">
        <f>IFERROR(__xludf.DUMMYFUNCTION("""COMPUTED_VALUE"""),"3.5X13.5 WITH EYELET EVERY ONE FOOT SEAMING ALL OVER")</f>
        <v>3.5X13.5 WITH EYELET EVERY ONE FOOT SEAMING ALL OVER</v>
      </c>
      <c r="E1448" s="196" t="str">
        <f>IFERROR(__xludf.DUMMYFUNCTION("""COMPUTED_VALUE"""),"Enrollment for Second Sem")</f>
        <v>Enrollment for Second Sem</v>
      </c>
    </row>
    <row r="1449">
      <c r="A1449" s="234">
        <f>IFERROR(__xludf.DUMMYFUNCTION("""COMPUTED_VALUE"""),101740.0)</f>
        <v>101740</v>
      </c>
      <c r="B1449" s="235" t="str">
        <f>IFERROR(__xludf.DUMMYFUNCTION("""COMPUTED_VALUE"""),"ARNEL MONTABLAN")</f>
        <v>ARNEL MONTABLAN</v>
      </c>
      <c r="C1449" s="235" t="str">
        <f>IFERROR(__xludf.DUMMYFUNCTION("""COMPUTED_VALUE"""),"REGISTRATION")</f>
        <v>REGISTRATION</v>
      </c>
      <c r="D1449" s="196" t="str">
        <f>IFERROR(__xludf.DUMMYFUNCTION("""COMPUTED_VALUE"""),"ASAT TOR PAPER")</f>
        <v>ASAT TOR PAPER</v>
      </c>
      <c r="E1449" s="196" t="str">
        <f>IFERROR(__xludf.DUMMYFUNCTION("""COMPUTED_VALUE"""),"For Office Use")</f>
        <v>For Office Use</v>
      </c>
    </row>
    <row r="1450">
      <c r="A1450" s="234">
        <f>IFERROR(__xludf.DUMMYFUNCTION("""COMPUTED_VALUE"""),101741.0)</f>
        <v>101741</v>
      </c>
      <c r="B1450" s="235" t="str">
        <f>IFERROR(__xludf.DUMMYFUNCTION("""COMPUTED_VALUE"""),"ADRIAN DE GUINTO")</f>
        <v>ADRIAN DE GUINTO</v>
      </c>
      <c r="C1450" s="235" t="str">
        <f>IFERROR(__xludf.DUMMYFUNCTION("""COMPUTED_VALUE"""),"PR &amp; MARKETING")</f>
        <v>PR &amp; MARKETING</v>
      </c>
      <c r="D1450" s="196" t="str">
        <f>IFERROR(__xludf.DUMMYFUNCTION("""COMPUTED_VALUE"""),"Level up your career tarp 12x14 with seaming eyelet all over")</f>
        <v>Level up your career tarp 12x14 with seaming eyelet all over</v>
      </c>
      <c r="E1450" s="196" t="str">
        <f>IFERROR(__xludf.DUMMYFUNCTION("""COMPUTED_VALUE"""),"for matrketing advertisement")</f>
        <v>for matrketing advertisement</v>
      </c>
    </row>
    <row r="1451">
      <c r="A1451" s="234">
        <f>IFERROR(__xludf.DUMMYFUNCTION("""COMPUTED_VALUE"""),101742.0)</f>
        <v>101742</v>
      </c>
      <c r="B1451" s="235" t="str">
        <f>IFERROR(__xludf.DUMMYFUNCTION("""COMPUTED_VALUE"""),"Sheree Espinosa")</f>
        <v>Sheree Espinosa</v>
      </c>
      <c r="C1451" s="235" t="str">
        <f>IFERROR(__xludf.DUMMYFUNCTION("""COMPUTED_VALUE"""),"HOUSEKEEPING")</f>
        <v>HOUSEKEEPING</v>
      </c>
      <c r="D1451" s="196" t="str">
        <f>IFERROR(__xludf.DUMMYFUNCTION("""COMPUTED_VALUE"""),"External Drive 1TB")</f>
        <v>External Drive 1TB</v>
      </c>
      <c r="E1451" s="196" t="str">
        <f>IFERROR(__xludf.DUMMYFUNCTION("""COMPUTED_VALUE"""),"Large FIles Storage")</f>
        <v>Large FIles Storage</v>
      </c>
    </row>
    <row r="1452">
      <c r="A1452" s="234">
        <f>IFERROR(__xludf.DUMMYFUNCTION("""COMPUTED_VALUE"""),101743.0)</f>
        <v>101743</v>
      </c>
      <c r="B1452" s="235" t="str">
        <f>IFERROR(__xludf.DUMMYFUNCTION("""COMPUTED_VALUE"""),"ALFA DE LEON")</f>
        <v>ALFA DE LEON</v>
      </c>
      <c r="C1452" s="235" t="str">
        <f>IFERROR(__xludf.DUMMYFUNCTION("""COMPUTED_VALUE"""),"HOUSEKEEPING")</f>
        <v>HOUSEKEEPING</v>
      </c>
      <c r="D1452" s="196" t="str">
        <f>IFERROR(__xludf.DUMMYFUNCTION("""COMPUTED_VALUE"""),"CEILING FAN VENTILATORS")</f>
        <v>CEILING FAN VENTILATORS</v>
      </c>
      <c r="E1452" s="196" t="str">
        <f>IFERROR(__xludf.DUMMYFUNCTION("""COMPUTED_VALUE"""),"Sports conditioning center at monarch's gym owner supplied items")</f>
        <v>Sports conditioning center at monarch's gym owner supplied items</v>
      </c>
    </row>
    <row r="1453">
      <c r="A1453" s="234">
        <f>IFERROR(__xludf.DUMMYFUNCTION("""COMPUTED_VALUE"""),101744.0)</f>
        <v>101744</v>
      </c>
      <c r="B1453" s="235" t="str">
        <f>IFERROR(__xludf.DUMMYFUNCTION("""COMPUTED_VALUE"""),"alfa DE LEON")</f>
        <v>alfa DE LEON</v>
      </c>
      <c r="C1453" s="235" t="str">
        <f>IFERROR(__xludf.DUMMYFUNCTION("""COMPUTED_VALUE"""),"HOUSEKEEPING")</f>
        <v>HOUSEKEEPING</v>
      </c>
      <c r="D1453" s="196" t="str">
        <f>IFERROR(__xludf.DUMMYFUNCTION("""COMPUTED_VALUE"""),"SMART TV")</f>
        <v>SMART TV</v>
      </c>
      <c r="E1453" s="196" t="str">
        <f>IFERROR(__xludf.DUMMYFUNCTION("""COMPUTED_VALUE"""),"Sports conditioning center at monarch's gym owner supplied items")</f>
        <v>Sports conditioning center at monarch's gym owner supplied items</v>
      </c>
    </row>
    <row r="1454">
      <c r="A1454" s="234">
        <f>IFERROR(__xludf.DUMMYFUNCTION("""COMPUTED_VALUE"""),101745.0)</f>
        <v>101745</v>
      </c>
      <c r="B1454" s="235" t="str">
        <f>IFERROR(__xludf.DUMMYFUNCTION("""COMPUTED_VALUE"""),"RENZ BLANCA")</f>
        <v>RENZ BLANCA</v>
      </c>
      <c r="C1454" s="235" t="str">
        <f>IFERROR(__xludf.DUMMYFUNCTION("""COMPUTED_VALUE"""),"ADMIN")</f>
        <v>ADMIN</v>
      </c>
      <c r="D1454" s="196" t="str">
        <f>IFERROR(__xludf.DUMMYFUNCTION("""COMPUTED_VALUE"""),"Tarpaulin 24x18")</f>
        <v>Tarpaulin 24x18</v>
      </c>
      <c r="E1454" s="196" t="str">
        <f>IFERROR(__xludf.DUMMYFUNCTION("""COMPUTED_VALUE"""),"Tarp background of teachers reporting in school who are using whote board to write")</f>
        <v>Tarp background of teachers reporting in school who are using whote board to write</v>
      </c>
    </row>
    <row r="1455">
      <c r="A1455" s="234">
        <f>IFERROR(__xludf.DUMMYFUNCTION("""COMPUTED_VALUE"""),101746.0)</f>
        <v>101746</v>
      </c>
      <c r="B1455" s="235" t="str">
        <f>IFERROR(__xludf.DUMMYFUNCTION("""COMPUTED_VALUE"""),"OWIE PAR")</f>
        <v>OWIE PAR</v>
      </c>
      <c r="C1455" s="235" t="str">
        <f>IFERROR(__xludf.DUMMYFUNCTION("""COMPUTED_VALUE"""),"ENGINEERING")</f>
        <v>ENGINEERING</v>
      </c>
      <c r="D1455" s="196" t="str">
        <f>IFERROR(__xludf.DUMMYFUNCTION("""COMPUTED_VALUE"""),"BLIND RIVET/ CONCRETE DRILL BIT/ DRILL BIT METAL/ CONCRETE NAIL/ VULCA SEAL")</f>
        <v>BLIND RIVET/ CONCRETE DRILL BIT/ DRILL BIT METAL/ CONCRETE NAIL/ VULCA SEAL</v>
      </c>
      <c r="E1455" s="196" t="str">
        <f>IFERROR(__xludf.DUMMYFUNCTION("""COMPUTED_VALUE"""),"REPLACEMENT OF THE G.I FLASHING IN TROPICAL BLDG ROOH")</f>
        <v>REPLACEMENT OF THE G.I FLASHING IN TROPICAL BLDG ROOH</v>
      </c>
    </row>
    <row r="1456">
      <c r="A1456" s="234">
        <f>IFERROR(__xludf.DUMMYFUNCTION("""COMPUTED_VALUE"""),101747.0)</f>
        <v>101747</v>
      </c>
      <c r="B1456" s="235" t="str">
        <f>IFERROR(__xludf.DUMMYFUNCTION("""COMPUTED_VALUE"""),"OWIE PAR")</f>
        <v>OWIE PAR</v>
      </c>
      <c r="C1456" s="235" t="str">
        <f>IFERROR(__xludf.DUMMYFUNCTION("""COMPUTED_VALUE"""),"ENGINEERING")</f>
        <v>ENGINEERING</v>
      </c>
      <c r="D1456" s="196" t="str">
        <f>IFERROR(__xludf.DUMMYFUNCTION("""COMPUTED_VALUE"""),"BENDED GI FLASHING. BEIGE SOFT STEEL/ CAPPING/FLASHING/GUTTER")</f>
        <v>BENDED GI FLASHING. BEIGE SOFT STEEL/ CAPPING/FLASHING/GUTTER</v>
      </c>
      <c r="E1456" s="196" t="str">
        <f>IFERROR(__xludf.DUMMYFUNCTION("""COMPUTED_VALUE"""),"REPLACEMENT OF THE G.I FLASHING IN TROPICAL BLDG ROOH")</f>
        <v>REPLACEMENT OF THE G.I FLASHING IN TROPICAL BLDG ROOH</v>
      </c>
    </row>
    <row r="1457">
      <c r="A1457" s="234">
        <f>IFERROR(__xludf.DUMMYFUNCTION("""COMPUTED_VALUE"""),101748.0)</f>
        <v>101748</v>
      </c>
      <c r="B1457" s="235" t="str">
        <f>IFERROR(__xludf.DUMMYFUNCTION("""COMPUTED_VALUE"""),"OWIE PAR")</f>
        <v>OWIE PAR</v>
      </c>
      <c r="C1457" s="235" t="str">
        <f>IFERROR(__xludf.DUMMYFUNCTION("""COMPUTED_VALUE"""),"ENGINEERING")</f>
        <v>ENGINEERING</v>
      </c>
      <c r="D1457" s="196" t="str">
        <f>IFERROR(__xludf.DUMMYFUNCTION("""COMPUTED_VALUE"""),"PPR MALE ADAPTOR / PPR ELBOW 2/ PPR UNION PATENTE/ PPR COUPLING /MALE ADAPTOR/ PIPE/ FEMALE ADAPTOR/ STAINLESS NIPPLE/ STAINLESS BUSHING REDUCER/ STAINLESS TEE/ STAINLESS ELBOW/ STAINLESS BUSING REDUCER/ BALL VALVE/ TEPLON TAPE/ SOLVENT CEMENT / STAIL;ESS"&amp;" WELDING ROD/ CUTTING DISC")</f>
        <v>PPR MALE ADAPTOR / PPR ELBOW 2/ PPR UNION PATENTE/ PPR COUPLING /MALE ADAPTOR/ PIPE/ FEMALE ADAPTOR/ STAINLESS NIPPLE/ STAINLESS BUSHING REDUCER/ STAINLESS TEE/ STAINLESS ELBOW/ STAINLESS BUSING REDUCER/ BALL VALVE/ TEPLON TAPE/ SOLVENT CEMENT / STAIL;ESS WELDING ROD/ CUTTING DISC</v>
      </c>
      <c r="E1457" s="196" t="str">
        <f>IFERROR(__xludf.DUMMYFUNCTION("""COMPUTED_VALUE"""),"FOR REPLACEMENT OF PRESSURE TANK IN MUNICH ")</f>
        <v>FOR REPLACEMENT OF PRESSURE TANK IN MUNICH </v>
      </c>
    </row>
    <row r="1458">
      <c r="A1458" s="234">
        <f>IFERROR(__xludf.DUMMYFUNCTION("""COMPUTED_VALUE"""),101749.0)</f>
        <v>101749</v>
      </c>
      <c r="B1458" s="235" t="str">
        <f>IFERROR(__xludf.DUMMYFUNCTION("""COMPUTED_VALUE"""),"ADRIAN DE GUINTO")</f>
        <v>ADRIAN DE GUINTO</v>
      </c>
      <c r="C1458" s="235" t="str">
        <f>IFERROR(__xludf.DUMMYFUNCTION("""COMPUTED_VALUE"""),"PR &amp; MARKETING")</f>
        <v>PR &amp; MARKETING</v>
      </c>
      <c r="D1458" s="196" t="str">
        <f>IFERROR(__xludf.DUMMYFUNCTION("""COMPUTED_VALUE"""),"TOPS TARP 6.5X13.5 FT WITH SEAMING EYELET ALL OVER 10 OUNCE THICKNESS")</f>
        <v>TOPS TARP 6.5X13.5 FT WITH SEAMING EYELET ALL OVER 10 OUNCE THICKNESS</v>
      </c>
      <c r="E1458" s="196" t="str">
        <f>IFERROR(__xludf.DUMMYFUNCTION("""COMPUTED_VALUE"""),"FMARKETING")</f>
        <v>FMARKETING</v>
      </c>
    </row>
    <row r="1459">
      <c r="A1459" s="234">
        <f>IFERROR(__xludf.DUMMYFUNCTION("""COMPUTED_VALUE"""),101750.0)</f>
        <v>101750</v>
      </c>
      <c r="B1459" s="235" t="str">
        <f>IFERROR(__xludf.DUMMYFUNCTION("""COMPUTED_VALUE"""),"ADRIAN DE GUINTO")</f>
        <v>ADRIAN DE GUINTO</v>
      </c>
      <c r="C1459" s="235" t="str">
        <f>IFERROR(__xludf.DUMMYFUNCTION("""COMPUTED_VALUE"""),"PR &amp; MARKETING")</f>
        <v>PR &amp; MARKETING</v>
      </c>
      <c r="D1459" s="196" t="str">
        <f>IFERROR(__xludf.DUMMYFUNCTION("""COMPUTED_VALUE"""),"Congratulatory tarps 7x10 FT with seaming eyelet all over, 18 ounce thickness")</f>
        <v>Congratulatory tarps 7x10 FT with seaming eyelet all over, 18 ounce thickness</v>
      </c>
      <c r="E1459" s="196" t="str">
        <f>IFERROR(__xludf.DUMMYFUNCTION("""COMPUTED_VALUE"""),"For Marketing")</f>
        <v>For Marketing</v>
      </c>
    </row>
    <row r="1460">
      <c r="A1460" s="234">
        <f>IFERROR(__xludf.DUMMYFUNCTION("""COMPUTED_VALUE"""),101751.0)</f>
        <v>101751</v>
      </c>
      <c r="B1460" s="235" t="str">
        <f>IFERROR(__xludf.DUMMYFUNCTION("""COMPUTED_VALUE"""),"ALFA DE LEON")</f>
        <v>ALFA DE LEON</v>
      </c>
      <c r="C1460" s="235" t="str">
        <f>IFERROR(__xludf.DUMMYFUNCTION("""COMPUTED_VALUE"""),"HOUSEKEEPING")</f>
        <v>HOUSEKEEPING</v>
      </c>
      <c r="D1460" s="196" t="str">
        <f>IFERROR(__xludf.DUMMYFUNCTION("""COMPUTED_VALUE"""),"RAKE")</f>
        <v>RAKE</v>
      </c>
      <c r="E1460" s="196" t="str">
        <f>IFERROR(__xludf.DUMMYFUNCTION("""COMPUTED_VALUE"""),"GARDENERS' TOOLS ON LANDSCAPING / CUTTING OF GLASS")</f>
        <v>GARDENERS' TOOLS ON LANDSCAPING / CUTTING OF GLASS</v>
      </c>
    </row>
    <row r="1461">
      <c r="A1461" s="234">
        <f>IFERROR(__xludf.DUMMYFUNCTION("""COMPUTED_VALUE"""),101752.0)</f>
        <v>101752</v>
      </c>
      <c r="B1461" s="235" t="str">
        <f>IFERROR(__xludf.DUMMYFUNCTION("""COMPUTED_VALUE"""),"Ronald Verde")</f>
        <v>Ronald Verde</v>
      </c>
      <c r="C1461" s="235" t="str">
        <f>IFERROR(__xludf.DUMMYFUNCTION("""COMPUTED_VALUE"""),"TRANSPORTATION")</f>
        <v>TRANSPORTATION</v>
      </c>
      <c r="D1461" s="196" t="str">
        <f>IFERROR(__xludf.DUMMYFUNCTION("""COMPUTED_VALUE"""),"Plastic Safety Barrier")</f>
        <v>Plastic Safety Barrier</v>
      </c>
      <c r="E1461" s="196" t="str">
        <f>IFERROR(__xludf.DUMMYFUNCTION("""COMPUTED_VALUE"""),"Covid 19 protection")</f>
        <v>Covid 19 protection</v>
      </c>
    </row>
    <row r="1462">
      <c r="A1462" s="234">
        <f>IFERROR(__xludf.DUMMYFUNCTION("""COMPUTED_VALUE"""),101753.0)</f>
        <v>101753</v>
      </c>
      <c r="B1462" s="235" t="str">
        <f>IFERROR(__xludf.DUMMYFUNCTION("""COMPUTED_VALUE"""),"Paul Araña")</f>
        <v>Paul Araña</v>
      </c>
      <c r="C1462" s="235" t="str">
        <f>IFERROR(__xludf.DUMMYFUNCTION("""COMPUTED_VALUE"""),"MIS/ICT")</f>
        <v>MIS/ICT</v>
      </c>
      <c r="D1462" s="196" t="str">
        <f>IFERROR(__xludf.DUMMYFUNCTION("""COMPUTED_VALUE""")," APC BV800I")</f>
        <v> APC BV800I</v>
      </c>
      <c r="E1462" s="196" t="str">
        <f>IFERROR(__xludf.DUMMYFUNCTION("""COMPUTED_VALUE"""),"FOR REPLACEMENT OF ALL NOT WORKING UPS IN SERVER ROOM AND OTHER OFFICES")</f>
        <v>FOR REPLACEMENT OF ALL NOT WORKING UPS IN SERVER ROOM AND OTHER OFFICES</v>
      </c>
    </row>
    <row r="1463">
      <c r="A1463" s="234">
        <f>IFERROR(__xludf.DUMMYFUNCTION("""COMPUTED_VALUE"""),101754.0)</f>
        <v>101754</v>
      </c>
      <c r="B1463" s="235" t="str">
        <f>IFERROR(__xludf.DUMMYFUNCTION("""COMPUTED_VALUE"""),"ALFA DE LEON")</f>
        <v>ALFA DE LEON</v>
      </c>
      <c r="C1463" s="235" t="str">
        <f>IFERROR(__xludf.DUMMYFUNCTION("""COMPUTED_VALUE"""),"HOUSEKEEPING")</f>
        <v>HOUSEKEEPING</v>
      </c>
      <c r="D1463" s="196" t="str">
        <f>IFERROR(__xludf.DUMMYFUNCTION("""COMPUTED_VALUE"""),"Telephone")</f>
        <v>Telephone</v>
      </c>
      <c r="E1463" s="196" t="str">
        <f>IFERROR(__xludf.DUMMYFUNCTION("""COMPUTED_VALUE"""),"Telephone for coaches' room in Monarch's gyn")</f>
        <v>Telephone for coaches' room in Monarch's gyn</v>
      </c>
    </row>
    <row r="1464">
      <c r="A1464" s="234">
        <f>IFERROR(__xludf.DUMMYFUNCTION("""COMPUTED_VALUE"""),101755.0)</f>
        <v>101755</v>
      </c>
      <c r="B1464" s="235" t="str">
        <f>IFERROR(__xludf.DUMMYFUNCTION("""COMPUTED_VALUE"""),"PAUL ARAña")</f>
        <v>PAUL ARAña</v>
      </c>
      <c r="C1464" s="235" t="str">
        <f>IFERROR(__xludf.DUMMYFUNCTION("""COMPUTED_VALUE"""),"AV/MIS")</f>
        <v>AV/MIS</v>
      </c>
      <c r="D1464" s="196" t="str">
        <f>IFERROR(__xludf.DUMMYFUNCTION("""COMPUTED_VALUE"""),"TELEPROMPTER SET")</f>
        <v>TELEPROMPTER SET</v>
      </c>
      <c r="E1464" s="196" t="str">
        <f>IFERROR(__xludf.DUMMYFUNCTION("""COMPUTED_VALUE"""),"FOR VIDEO PRESENTATION OF SPEAKERS")</f>
        <v>FOR VIDEO PRESENTATION OF SPEAKERS</v>
      </c>
    </row>
    <row r="1465">
      <c r="A1465" s="234">
        <f>IFERROR(__xludf.DUMMYFUNCTION("""COMPUTED_VALUE"""),101756.0)</f>
        <v>101756</v>
      </c>
      <c r="B1465" s="235" t="str">
        <f>IFERROR(__xludf.DUMMYFUNCTION("""COMPUTED_VALUE"""),"ISABELO LEOPOLDO")</f>
        <v>ISABELO LEOPOLDO</v>
      </c>
      <c r="C1465" s="235" t="str">
        <f>IFERROR(__xludf.DUMMYFUNCTION("""COMPUTED_VALUE"""),"MIS")</f>
        <v>MIS</v>
      </c>
      <c r="D1465" s="196" t="str">
        <f>IFERROR(__xludf.DUMMYFUNCTION("""COMPUTED_VALUE"""),"VIENETCH UCM (PROJECTOR BRACKET); HDMI CABLE; 1.8 HDMI CABLE")</f>
        <v>VIENETCH UCM (PROJECTOR BRACKET); HDMI CABLE; 1.8 HDMI CABLE</v>
      </c>
      <c r="E1465" s="196" t="str">
        <f>IFERROR(__xludf.DUMMYFUNCTION("""COMPUTED_VALUE"""),"FOR INSTALLATION IN CMLC NEW CLASSROOMS")</f>
        <v>FOR INSTALLATION IN CMLC NEW CLASSROOMS</v>
      </c>
    </row>
    <row r="1466">
      <c r="A1466" s="234">
        <f>IFERROR(__xludf.DUMMYFUNCTION("""COMPUTED_VALUE"""),101757.0)</f>
        <v>101757</v>
      </c>
      <c r="B1466" s="235" t="str">
        <f>IFERROR(__xludf.DUMMYFUNCTION("""COMPUTED_VALUE"""),"QUEENE BALAORO")</f>
        <v>QUEENE BALAORO</v>
      </c>
      <c r="C1466" s="235" t="str">
        <f>IFERROR(__xludf.DUMMYFUNCTION("""COMPUTED_VALUE"""),"FINANCE &amp; ACCOUNTING")</f>
        <v>FINANCE &amp; ACCOUNTING</v>
      </c>
      <c r="D1466" s="196" t="str">
        <f>IFERROR(__xludf.DUMMYFUNCTION("""COMPUTED_VALUE"""),"OFFICIAL RECEIPT (ATP0")</f>
        <v>OFFICIAL RECEIPT (ATP0</v>
      </c>
      <c r="E1466" s="196" t="str">
        <f>IFERROR(__xludf.DUMMYFUNCTION("""COMPUTED_VALUE"""),"REPLACEMENT OF SOON TO EXOIRE OR FOR TUTORIAL")</f>
        <v>REPLACEMENT OF SOON TO EXOIRE OR FOR TUTORIAL</v>
      </c>
    </row>
    <row r="1467">
      <c r="A1467" s="234">
        <f>IFERROR(__xludf.DUMMYFUNCTION("""COMPUTED_VALUE"""),101758.0)</f>
        <v>101758</v>
      </c>
      <c r="B1467" s="235" t="str">
        <f>IFERROR(__xludf.DUMMYFUNCTION("""COMPUTED_VALUE"""),"ALFA DE LEON")</f>
        <v>ALFA DE LEON</v>
      </c>
      <c r="C1467" s="235" t="str">
        <f>IFERROR(__xludf.DUMMYFUNCTION("""COMPUTED_VALUE"""),"ADMIN - LUX")</f>
        <v>ADMIN - LUX</v>
      </c>
      <c r="D1467" s="196" t="str">
        <f>IFERROR(__xludf.DUMMYFUNCTION("""COMPUTED_VALUE"""),"CHRISTMAS TREE, CHRISTMAS BALLS, GARLANDS, TWIGS SMALL, TWIGS BIG, BERRIES GOLD, SINAMAY")</f>
        <v>CHRISTMAS TREE, CHRISTMAS BALLS, GARLANDS, TWIGS SMALL, TWIGS BIG, BERRIES GOLD, SINAMAY</v>
      </c>
      <c r="E1467" s="196" t="str">
        <f>IFERROR(__xludf.DUMMYFUNCTION("""COMPUTED_VALUE"""),"CHRISTMAS DECORATIONS- LUX CAMPUS")</f>
        <v>CHRISTMAS DECORATIONS- LUX CAMPUS</v>
      </c>
    </row>
    <row r="1468">
      <c r="A1468" s="234">
        <f>IFERROR(__xludf.DUMMYFUNCTION("""COMPUTED_VALUE"""),101759.0)</f>
        <v>101759</v>
      </c>
      <c r="B1468" s="235" t="str">
        <f>IFERROR(__xludf.DUMMYFUNCTION("""COMPUTED_VALUE"""),"GARY BATAO-EY")</f>
        <v>GARY BATAO-EY</v>
      </c>
      <c r="C1468" s="235" t="str">
        <f>IFERROR(__xludf.DUMMYFUNCTION("""COMPUTED_VALUE"""),"AV/MIS")</f>
        <v>AV/MIS</v>
      </c>
      <c r="D1468" s="196" t="str">
        <f>IFERROR(__xludf.DUMMYFUNCTION("""COMPUTED_VALUE"""),"WIRELESS TELEPHONE")</f>
        <v>WIRELESS TELEPHONE</v>
      </c>
      <c r="E1468" s="196" t="str">
        <f>IFERROR(__xludf.DUMMYFUNCTION("""COMPUTED_VALUE"""),"FOR SIR MARK'S USE IN MIS OFFICE")</f>
        <v>FOR SIR MARK'S USE IN MIS OFFICE</v>
      </c>
    </row>
    <row r="1469">
      <c r="A1469" s="234">
        <f>IFERROR(__xludf.DUMMYFUNCTION("""COMPUTED_VALUE"""),101760.0)</f>
        <v>101760</v>
      </c>
      <c r="B1469" s="235" t="str">
        <f>IFERROR(__xludf.DUMMYFUNCTION("""COMPUTED_VALUE"""),"RONALDO VERDE")</f>
        <v>RONALDO VERDE</v>
      </c>
      <c r="C1469" s="235" t="str">
        <f>IFERROR(__xludf.DUMMYFUNCTION("""COMPUTED_VALUE"""),"TRANSPORTATION")</f>
        <v>TRANSPORTATION</v>
      </c>
      <c r="D1469" s="196" t="str">
        <f>IFERROR(__xludf.DUMMYFUNCTION("""COMPUTED_VALUE"""),"GOODYEAR TIRES")</f>
        <v>GOODYEAR TIRES</v>
      </c>
      <c r="E1469" s="196" t="str">
        <f>IFERROR(__xludf.DUMMYFUNCTION("""COMPUTED_VALUE"""),"REPLACEMENT OF TIRES")</f>
        <v>REPLACEMENT OF TIRES</v>
      </c>
    </row>
    <row r="1470">
      <c r="A1470" s="234">
        <f>IFERROR(__xludf.DUMMYFUNCTION("""COMPUTED_VALUE"""),101761.0)</f>
        <v>101761</v>
      </c>
      <c r="B1470" s="235" t="str">
        <f>IFERROR(__xludf.DUMMYFUNCTION("""COMPUTED_VALUE"""),"CAROL LACERNA")</f>
        <v>CAROL LACERNA</v>
      </c>
      <c r="C1470" s="235" t="str">
        <f>IFERROR(__xludf.DUMMYFUNCTION("""COMPUTED_VALUE"""),"ABU")</f>
        <v>ABU</v>
      </c>
      <c r="D1470" s="196" t="str">
        <f>IFERROR(__xludf.DUMMYFUNCTION("""COMPUTED_VALUE"""),"ACER   AMD Ryzen 5 3400g 3.6 ghz Vega 11                                
Built - in/ Integrated Graphics Motherboard:A320 DDR4                                
Ram: 120 gb ssd operating system                                 
Storage: 500 gb hdd           "&amp;"                     
wih ordina asing and spower supply                                
19 inches VRAND NEW LED WIDE Monitor                                  
WEB CAM , AVR, Mouse an Kyeboard                                 
Mouse Pad, Head set,   free l"&amp;"an cable and wifi dongle                                 ")</f>
        <v>ACER   AMD Ryzen 5 3400g 3.6 ghz Vega 11                                
Built - in/ Integrated Graphics Motherboard:A320 DDR4                                
Ram: 120 gb ssd operating system                                 
Storage: 500 gb hdd                                
wih ordina asing and spower supply                                
19 inches VRAND NEW LED WIDE Monitor                                  
WEB CAM , AVR, Mouse an Kyeboard                                 
Mouse Pad, Head set,   free lan cable and wifi dongle                                 </v>
      </c>
      <c r="E1470" s="196" t="str">
        <f>IFERROR(__xludf.DUMMYFUNCTION("""COMPUTED_VALUE"""),"Approved gadget loan for Miss Sheree")</f>
        <v>Approved gadget loan for Miss Sheree</v>
      </c>
    </row>
    <row r="1471">
      <c r="A1471" s="234">
        <f>IFERROR(__xludf.DUMMYFUNCTION("""COMPUTED_VALUE"""),101762.0)</f>
        <v>101762</v>
      </c>
      <c r="B1471" s="235" t="str">
        <f>IFERROR(__xludf.DUMMYFUNCTION("""COMPUTED_VALUE"""),"OWIE PAR")</f>
        <v>OWIE PAR</v>
      </c>
      <c r="C1471" s="235" t="str">
        <f>IFERROR(__xludf.DUMMYFUNCTION("""COMPUTED_VALUE"""),"ENGINEERING")</f>
        <v>ENGINEERING</v>
      </c>
      <c r="D1471" s="196" t="str">
        <f>IFERROR(__xludf.DUMMYFUNCTION("""COMPUTED_VALUE"""),"ANGLE BAR; WELDING ROD; CUTTING DISK; EPOXY PRIMER; THINNER; PAINT BRUSH; CEMENT; WHITE SAND; GRAVEL")</f>
        <v>ANGLE BAR; WELDING ROD; CUTTING DISK; EPOXY PRIMER; THINNER; PAINT BRUSH; CEMENT; WHITE SAND; GRAVEL</v>
      </c>
      <c r="E1471" s="196" t="str">
        <f>IFERROR(__xludf.DUMMYFUNCTION("""COMPUTED_VALUE"""),"IMMEDIATE REPAIR OR TARPAULINE STRUCTURE IN TROPICAL PARKING")</f>
        <v>IMMEDIATE REPAIR OR TARPAULINE STRUCTURE IN TROPICAL PARKING</v>
      </c>
    </row>
    <row r="1472">
      <c r="A1472" s="234">
        <f>IFERROR(__xludf.DUMMYFUNCTION("""COMPUTED_VALUE"""),101763.0)</f>
        <v>101763</v>
      </c>
      <c r="B1472" s="235" t="str">
        <f>IFERROR(__xludf.DUMMYFUNCTION("""COMPUTED_VALUE"""),"OWIE PAR")</f>
        <v>OWIE PAR</v>
      </c>
      <c r="C1472" s="235" t="str">
        <f>IFERROR(__xludf.DUMMYFUNCTION("""COMPUTED_VALUE"""),"ENGINEERING")</f>
        <v>ENGINEERING</v>
      </c>
      <c r="D1472" s="196" t="str">
        <f>IFERROR(__xludf.DUMMYFUNCTION("""COMPUTED_VALUE"""),"PPR PIPE; PPR ELBOW; PPR FEMALE ADAPTOR; PPR COUPLING REDUCER; PPR TEE; BALL VALVE; PPR MALE ADAPTOR; PPR PIPR")</f>
        <v>PPR PIPE; PPR ELBOW; PPR FEMALE ADAPTOR; PPR COUPLING REDUCER; PPR TEE; BALL VALVE; PPR MALE ADAPTOR; PPR PIPR</v>
      </c>
      <c r="E1472" s="196" t="str">
        <f>IFERROR(__xludf.DUMMYFUNCTION("""COMPUTED_VALUE"""),"REPAIR OF WATER LEAKAGE IN SCHOLARS' HOUSE")</f>
        <v>REPAIR OF WATER LEAKAGE IN SCHOLARS' HOUSE</v>
      </c>
    </row>
    <row r="1473">
      <c r="A1473" s="234">
        <f>IFERROR(__xludf.DUMMYFUNCTION("""COMPUTED_VALUE"""),101764.0)</f>
        <v>101764</v>
      </c>
      <c r="B1473" s="235" t="str">
        <f>IFERROR(__xludf.DUMMYFUNCTION("""COMPUTED_VALUE"""),"RAQUELYN NUNEZ")</f>
        <v>RAQUELYN NUNEZ</v>
      </c>
      <c r="C1473" s="235" t="str">
        <f>IFERROR(__xludf.DUMMYFUNCTION("""COMPUTED_VALUE"""),"ABU")</f>
        <v>ABU</v>
      </c>
      <c r="D1473" s="196" t="str">
        <f>IFERROR(__xludf.DUMMYFUNCTION("""COMPUTED_VALUE"""),"PILLOW STANDARD ; BEDSHEET; PILLOW CASE; COMFORTER SINGLE; CARPET; SHOWER CURTAIN")</f>
        <v>PILLOW STANDARD ; BEDSHEET; PILLOW CASE; COMFORTER SINGLE; CARPET; SHOWER CURTAIN</v>
      </c>
      <c r="E1473" s="196" t="str">
        <f>IFERROR(__xludf.DUMMYFUNCTION("""COMPUTED_VALUE"""),"FOR DR. HENLY'S ROOM")</f>
        <v>FOR DR. HENLY'S ROOM</v>
      </c>
    </row>
    <row r="1474">
      <c r="A1474" s="234">
        <f>IFERROR(__xludf.DUMMYFUNCTION("""COMPUTED_VALUE"""),101765.0)</f>
        <v>101765</v>
      </c>
      <c r="B1474" s="235" t="str">
        <f>IFERROR(__xludf.DUMMYFUNCTION("""COMPUTED_VALUE"""),"ALFA DE LEON")</f>
        <v>ALFA DE LEON</v>
      </c>
      <c r="C1474" s="235" t="str">
        <f>IFERROR(__xludf.DUMMYFUNCTION("""COMPUTED_VALUE"""),"HOUSEKEEPING")</f>
        <v>HOUSEKEEPING</v>
      </c>
      <c r="D1474" s="196" t="str">
        <f>IFERROR(__xludf.DUMMYFUNCTION("""COMPUTED_VALUE"""),"CAPIZ PAROL BIG")</f>
        <v>CAPIZ PAROL BIG</v>
      </c>
      <c r="E1474" s="196" t="str">
        <f>IFERROR(__xludf.DUMMYFUNCTION("""COMPUTED_VALUE"""),"COLLEGE CAMPUS CHRISTMAS DECORATION")</f>
        <v>COLLEGE CAMPUS CHRISTMAS DECORATION</v>
      </c>
    </row>
    <row r="1475">
      <c r="A1475" s="234">
        <f>IFERROR(__xludf.DUMMYFUNCTION("""COMPUTED_VALUE"""),101766.0)</f>
        <v>101766</v>
      </c>
      <c r="B1475" s="235" t="str">
        <f>IFERROR(__xludf.DUMMYFUNCTION("""COMPUTED_VALUE"""),"ALFA DE LEON")</f>
        <v>ALFA DE LEON</v>
      </c>
      <c r="C1475" s="235" t="str">
        <f>IFERROR(__xludf.DUMMYFUNCTION("""COMPUTED_VALUE"""),"ADMIN - MUNICH")</f>
        <v>ADMIN - MUNICH</v>
      </c>
      <c r="D1475" s="196" t="str">
        <f>IFERROR(__xludf.DUMMYFUNCTION("""COMPUTED_VALUE"""),"3 PCS VISITOR'S CHAIR")</f>
        <v>3 PCS VISITOR'S CHAIR</v>
      </c>
      <c r="E1475" s="196" t="str">
        <f>IFERROR(__xludf.DUMMYFUNCTION("""COMPUTED_VALUE"""),"PR OFFICE IMPROVEMENT")</f>
        <v>PR OFFICE IMPROVEMENT</v>
      </c>
    </row>
    <row r="1476">
      <c r="A1476" s="234">
        <f>IFERROR(__xludf.DUMMYFUNCTION("""COMPUTED_VALUE"""),101767.0)</f>
        <v>101767</v>
      </c>
      <c r="B1476" s="235" t="str">
        <f>IFERROR(__xludf.DUMMYFUNCTION("""COMPUTED_VALUE"""),"AUGGIE BUHAY")</f>
        <v>AUGGIE BUHAY</v>
      </c>
      <c r="C1476" s="235" t="str">
        <f>IFERROR(__xludf.DUMMYFUNCTION("""COMPUTED_VALUE"""),"ADMIN")</f>
        <v>ADMIN</v>
      </c>
      <c r="D1476" s="196" t="str">
        <f>IFERROR(__xludf.DUMMYFUNCTION("""COMPUTED_VALUE"""),"CIRCUIT BREAKER; 1200 AMPERES ; GENERAL ELECTRIC")</f>
        <v>CIRCUIT BREAKER; 1200 AMPERES ; GENERAL ELECTRIC</v>
      </c>
      <c r="E1476" s="196" t="str">
        <f>IFERROR(__xludf.DUMMYFUNCTION("""COMPUTED_VALUE"""),"TO PURCHASE CIRCUIT BREAKER FOR TROPICAL BUILDING")</f>
        <v>TO PURCHASE CIRCUIT BREAKER FOR TROPICAL BUILDING</v>
      </c>
    </row>
    <row r="1477">
      <c r="A1477" s="234">
        <f>IFERROR(__xludf.DUMMYFUNCTION("""COMPUTED_VALUE"""),101768.0)</f>
        <v>101768</v>
      </c>
      <c r="B1477" s="235" t="str">
        <f>IFERROR(__xludf.DUMMYFUNCTION("""COMPUTED_VALUE"""),"Joralyn Casis")</f>
        <v>Joralyn Casis</v>
      </c>
      <c r="C1477" s="235" t="str">
        <f>IFERROR(__xludf.DUMMYFUNCTION("""COMPUTED_VALUE"""),"TOURISM")</f>
        <v>TOURISM</v>
      </c>
      <c r="D1477" s="196" t="str">
        <f>IFERROR(__xludf.DUMMYFUNCTION("""COMPUTED_VALUE"""),"Plaque")</f>
        <v>Plaque</v>
      </c>
      <c r="E1477" s="196" t="str">
        <f>IFERROR(__xludf.DUMMYFUNCTION("""COMPUTED_VALUE"""),"2nd tourism lecture speakers- monarchs of excellence")</f>
        <v>2nd tourism lecture speakers- monarchs of excellence</v>
      </c>
    </row>
    <row r="1478">
      <c r="A1478" s="234">
        <f>IFERROR(__xludf.DUMMYFUNCTION("""COMPUTED_VALUE"""),101769.0)</f>
        <v>101769</v>
      </c>
      <c r="B1478" s="235" t="str">
        <f>IFERROR(__xludf.DUMMYFUNCTION("""COMPUTED_VALUE"""),"Roie Raymundo")</f>
        <v>Roie Raymundo</v>
      </c>
      <c r="C1478" s="235" t="str">
        <f>IFERROR(__xludf.DUMMYFUNCTION("""COMPUTED_VALUE"""),"AV/MIS")</f>
        <v>AV/MIS</v>
      </c>
      <c r="D1478" s="196" t="str">
        <f>IFERROR(__xludf.DUMMYFUNCTION("""COMPUTED_VALUE"""),"CISCO Catalyst Switch (48 ports) * 4500 series *9200 series")</f>
        <v>CISCO Catalyst Switch (48 ports) * 4500 series *9200 series</v>
      </c>
      <c r="E1478" s="196" t="str">
        <f>IFERROR(__xludf.DUMMYFUNCTION("""COMPUTED_VALUE"""),"Switch acquisition")</f>
        <v>Switch acquisition</v>
      </c>
    </row>
    <row r="1479">
      <c r="A1479" s="234">
        <f>IFERROR(__xludf.DUMMYFUNCTION("""COMPUTED_VALUE"""),101770.0)</f>
        <v>101770</v>
      </c>
      <c r="B1479" s="235" t="str">
        <f>IFERROR(__xludf.DUMMYFUNCTION("""COMPUTED_VALUE"""),"Edgar Rebellon")</f>
        <v>Edgar Rebellon</v>
      </c>
      <c r="C1479" s="235" t="str">
        <f>IFERROR(__xludf.DUMMYFUNCTION("""COMPUTED_VALUE"""),"STUFFSHOP")</f>
        <v>STUFFSHOP</v>
      </c>
      <c r="D1479" s="196" t="str">
        <f>IFERROR(__xludf.DUMMYFUNCTION("""COMPUTED_VALUE"""),"G2 Compass Language LOG ; G5 Compass language log")</f>
        <v>G2 Compass Language LOG ; G5 Compass language log</v>
      </c>
      <c r="E1479" s="196" t="str">
        <f>IFERROR(__xludf.DUMMYFUNCTION("""COMPUTED_VALUE"""),"Stock replenishment")</f>
        <v>Stock replenishment</v>
      </c>
    </row>
    <row r="1480">
      <c r="A1480" s="234">
        <f>IFERROR(__xludf.DUMMYFUNCTION("""COMPUTED_VALUE"""),101771.0)</f>
        <v>101771</v>
      </c>
      <c r="B1480" s="235" t="str">
        <f>IFERROR(__xludf.DUMMYFUNCTION("""COMPUTED_VALUE"""),"JP RAGOT")</f>
        <v>JP RAGOT</v>
      </c>
      <c r="C1480" s="235" t="str">
        <f>IFERROR(__xludf.DUMMYFUNCTION("""COMPUTED_VALUE"""),"AMD")</f>
        <v>AMD</v>
      </c>
      <c r="D1480" s="196" t="str">
        <f>IFERROR(__xludf.DUMMYFUNCTION("""COMPUTED_VALUE"""),"cpu case ; hard disk 1TB; Hard disk 500gb")</f>
        <v>cpu case ; hard disk 1TB; Hard disk 500gb</v>
      </c>
      <c r="E1480" s="196" t="str">
        <f>IFERROR(__xludf.DUMMYFUNCTION("""COMPUTED_VALUE"""),"Stock replenishment")</f>
        <v>Stock replenishment</v>
      </c>
    </row>
    <row r="1481">
      <c r="A1481" s="234">
        <f>IFERROR(__xludf.DUMMYFUNCTION("""COMPUTED_VALUE"""),101772.0)</f>
        <v>101772</v>
      </c>
      <c r="B1481" s="235" t="str">
        <f>IFERROR(__xludf.DUMMYFUNCTION("""COMPUTED_VALUE"""),"JP RAGOT")</f>
        <v>JP RAGOT</v>
      </c>
      <c r="C1481" s="235" t="str">
        <f>IFERROR(__xludf.DUMMYFUNCTION("""COMPUTED_VALUE"""),"AMD")</f>
        <v>AMD</v>
      </c>
      <c r="D1481" s="196" t="str">
        <f>IFERROR(__xludf.DUMMYFUNCTION("""COMPUTED_VALUE"""),"LAN CARD PCI ; LAN CARD PCIE")</f>
        <v>LAN CARD PCI ; LAN CARD PCIE</v>
      </c>
      <c r="E1481" s="196" t="str">
        <f>IFERROR(__xludf.DUMMYFUNCTION("""COMPUTED_VALUE"""),"Stock replenishment")</f>
        <v>Stock replenishment</v>
      </c>
    </row>
    <row r="1482">
      <c r="A1482" s="234">
        <f>IFERROR(__xludf.DUMMYFUNCTION("""COMPUTED_VALUE"""),101773.0)</f>
        <v>101773</v>
      </c>
      <c r="B1482" s="235" t="str">
        <f>IFERROR(__xludf.DUMMYFUNCTION("""COMPUTED_VALUE"""),"JP RAGOT")</f>
        <v>JP RAGOT</v>
      </c>
      <c r="C1482" s="235" t="str">
        <f>IFERROR(__xludf.DUMMYFUNCTION("""COMPUTED_VALUE"""),"AMD")</f>
        <v>AMD</v>
      </c>
      <c r="D1482" s="196" t="str">
        <f>IFERROR(__xludf.DUMMYFUNCTION("""COMPUTED_VALUE"""),"CMOS BATTERY ; DDR3 12800 4GB MEMORY KINSTON")</f>
        <v>CMOS BATTERY ; DDR3 12800 4GB MEMORY KINSTON</v>
      </c>
      <c r="E1482" s="196" t="str">
        <f>IFERROR(__xludf.DUMMYFUNCTION("""COMPUTED_VALUE"""),"Stock replenishment")</f>
        <v>Stock replenishment</v>
      </c>
    </row>
    <row r="1483">
      <c r="A1483" s="234">
        <f>IFERROR(__xludf.DUMMYFUNCTION("""COMPUTED_VALUE"""),101774.0)</f>
        <v>101774</v>
      </c>
      <c r="B1483" s="235" t="str">
        <f>IFERROR(__xludf.DUMMYFUNCTION("""COMPUTED_VALUE"""),"CARLITO DELA VEGA")</f>
        <v>CARLITO DELA VEGA</v>
      </c>
      <c r="C1483" s="235" t="str">
        <f>IFERROR(__xludf.DUMMYFUNCTION("""COMPUTED_VALUE"""),"SECURITY")</f>
        <v>SECURITY</v>
      </c>
      <c r="D1483" s="196" t="str">
        <f>IFERROR(__xludf.DUMMYFUNCTION("""COMPUTED_VALUE"""),"EXIT SIGNAGE")</f>
        <v>EXIT SIGNAGE</v>
      </c>
      <c r="E1483" s="196" t="str">
        <f>IFERROR(__xludf.DUMMYFUNCTION("""COMPUTED_VALUE"""),"ACQUISITION OF EXIT SIGNANGE")</f>
        <v>ACQUISITION OF EXIT SIGNANGE</v>
      </c>
    </row>
    <row r="1484">
      <c r="A1484" s="234">
        <f>IFERROR(__xludf.DUMMYFUNCTION("""COMPUTED_VALUE"""),101775.0)</f>
        <v>101775</v>
      </c>
      <c r="B1484" s="235" t="str">
        <f>IFERROR(__xludf.DUMMYFUNCTION("""COMPUTED_VALUE"""),"ALFA DE LEON")</f>
        <v>ALFA DE LEON</v>
      </c>
      <c r="C1484" s="235" t="str">
        <f>IFERROR(__xludf.DUMMYFUNCTION("""COMPUTED_VALUE"""),"HOUSEKEEPING")</f>
        <v>HOUSEKEEPING</v>
      </c>
      <c r="D1484" s="196" t="str">
        <f>IFERROR(__xludf.DUMMYFUNCTION("""COMPUTED_VALUE"""),"POTS XL")</f>
        <v>POTS XL</v>
      </c>
      <c r="E1484" s="196" t="str">
        <f>IFERROR(__xludf.DUMMYFUNCTION("""COMPUTED_VALUE"""),"PLANT PROPAGATION- LUX")</f>
        <v>PLANT PROPAGATION- LUX</v>
      </c>
    </row>
    <row r="1485">
      <c r="A1485" s="234">
        <f>IFERROR(__xludf.DUMMYFUNCTION("""COMPUTED_VALUE"""),101776.0)</f>
        <v>101776</v>
      </c>
      <c r="B1485" s="235" t="str">
        <f>IFERROR(__xludf.DUMMYFUNCTION("""COMPUTED_VALUE"""),"ALFA DE LEON")</f>
        <v>ALFA DE LEON</v>
      </c>
      <c r="C1485" s="235" t="str">
        <f>IFERROR(__xludf.DUMMYFUNCTION("""COMPUTED_VALUE"""),"HOUSEKEEPING")</f>
        <v>HOUSEKEEPING</v>
      </c>
      <c r="D1485" s="196" t="str">
        <f>IFERROR(__xludf.DUMMYFUNCTION("""COMPUTED_VALUE"""),"POTS L")</f>
        <v>POTS L</v>
      </c>
      <c r="E1485" s="196" t="str">
        <f>IFERROR(__xludf.DUMMYFUNCTION("""COMPUTED_VALUE"""),"PLANT PROPAGATION- STAR")</f>
        <v>PLANT PROPAGATION- STAR</v>
      </c>
    </row>
    <row r="1486">
      <c r="A1486" s="234">
        <f>IFERROR(__xludf.DUMMYFUNCTION("""COMPUTED_VALUE"""),101777.0)</f>
        <v>101777</v>
      </c>
      <c r="B1486" s="235" t="str">
        <f>IFERROR(__xludf.DUMMYFUNCTION("""COMPUTED_VALUE"""),"ALFA DE LEON")</f>
        <v>ALFA DE LEON</v>
      </c>
      <c r="C1486" s="235" t="str">
        <f>IFERROR(__xludf.DUMMYFUNCTION("""COMPUTED_VALUE"""),"HOUSEKEEPING")</f>
        <v>HOUSEKEEPING</v>
      </c>
      <c r="D1486" s="196" t="str">
        <f>IFERROR(__xludf.DUMMYFUNCTION("""COMPUTED_VALUE"""),"UREA COMPLETE / KARATE")</f>
        <v>UREA COMPLETE / KARATE</v>
      </c>
      <c r="E1486" s="196" t="str">
        <f>IFERROR(__xludf.DUMMYFUNCTION("""COMPUTED_VALUE"""),"GARDEN MAINTENANCE MATERIALS")</f>
        <v>GARDEN MAINTENANCE MATERIALS</v>
      </c>
    </row>
    <row r="1487">
      <c r="A1487" s="234">
        <f>IFERROR(__xludf.DUMMYFUNCTION("""COMPUTED_VALUE"""),101778.0)</f>
        <v>101778</v>
      </c>
      <c r="B1487" s="235" t="str">
        <f>IFERROR(__xludf.DUMMYFUNCTION("""COMPUTED_VALUE"""),"ALFA DE LEON")</f>
        <v>ALFA DE LEON</v>
      </c>
      <c r="C1487" s="235" t="str">
        <f>IFERROR(__xludf.DUMMYFUNCTION("""COMPUTED_VALUE"""),"HOUSEKEEPING")</f>
        <v>HOUSEKEEPING</v>
      </c>
      <c r="D1487" s="196" t="str">
        <f>IFERROR(__xludf.DUMMYFUNCTION("""COMPUTED_VALUE"""),"KUSOT")</f>
        <v>KUSOT</v>
      </c>
      <c r="E1487" s="196" t="str">
        <f>IFERROR(__xludf.DUMMYFUNCTION("""COMPUTED_VALUE"""),"GARDEN MAINTENANCE MATERIALS")</f>
        <v>GARDEN MAINTENANCE MATERIALS</v>
      </c>
    </row>
    <row r="1488">
      <c r="A1488" s="234">
        <f>IFERROR(__xludf.DUMMYFUNCTION("""COMPUTED_VALUE"""),101779.0)</f>
        <v>101779</v>
      </c>
      <c r="B1488" s="235" t="str">
        <f>IFERROR(__xludf.DUMMYFUNCTION("""COMPUTED_VALUE"""),"Lucille Beyer")</f>
        <v>Lucille Beyer</v>
      </c>
      <c r="C1488" s="235" t="str">
        <f>IFERROR(__xludf.DUMMYFUNCTION("""COMPUTED_VALUE"""),"MEDICAL")</f>
        <v>MEDICAL</v>
      </c>
      <c r="D1488" s="196" t="str">
        <f>IFERROR(__xludf.DUMMYFUNCTION("""COMPUTED_VALUE"""),"various medicines (please see attcahments0")</f>
        <v>various medicines (please see attcahments0</v>
      </c>
      <c r="E1488" s="196" t="str">
        <f>IFERROR(__xludf.DUMMYFUNCTION("""COMPUTED_VALUE"""),"Supplies Replenishment")</f>
        <v>Supplies Replenishment</v>
      </c>
    </row>
    <row r="1489">
      <c r="A1489" s="234">
        <f>IFERROR(__xludf.DUMMYFUNCTION("""COMPUTED_VALUE"""),101780.0)</f>
        <v>101780</v>
      </c>
      <c r="B1489" s="235" t="str">
        <f>IFERROR(__xludf.DUMMYFUNCTION("""COMPUTED_VALUE"""),"OWIE PAR")</f>
        <v>OWIE PAR</v>
      </c>
      <c r="C1489" s="235" t="str">
        <f>IFERROR(__xludf.DUMMYFUNCTION("""COMPUTED_VALUE"""),"ENGINEERING")</f>
        <v>ENGINEERING</v>
      </c>
      <c r="D1489" s="196" t="str">
        <f>IFERROR(__xludf.DUMMYFUNCTION("""COMPUTED_VALUE"""),"Latex Aquamarine- 1 quart")</f>
        <v>Latex Aquamarine- 1 quart</v>
      </c>
      <c r="E1489" s="196" t="str">
        <f>IFERROR(__xludf.DUMMYFUNCTION("""COMPUTED_VALUE"""),"FOR ELI REPAIR GUTTER FRONT GEN SET AND LV RAMP")</f>
        <v>FOR ELI REPAIR GUTTER FRONT GEN SET AND LV RAMP</v>
      </c>
    </row>
    <row r="1490">
      <c r="A1490" s="234">
        <f>IFERROR(__xludf.DUMMYFUNCTION("""COMPUTED_VALUE"""),101781.0)</f>
        <v>101781</v>
      </c>
      <c r="B1490" s="235" t="str">
        <f>IFERROR(__xludf.DUMMYFUNCTION("""COMPUTED_VALUE"""),"OWIE PAR")</f>
        <v>OWIE PAR</v>
      </c>
      <c r="C1490" s="235" t="str">
        <f>IFERROR(__xludf.DUMMYFUNCTION("""COMPUTED_VALUE"""),"ENGINEERING")</f>
        <v>ENGINEERING</v>
      </c>
      <c r="D1490" s="196" t="str">
        <f>IFERROR(__xludf.DUMMYFUNCTION("""COMPUTED_VALUE"""),"SHOWER VALVE 1/2 SINGLE")</f>
        <v>SHOWER VALVE 1/2 SINGLE</v>
      </c>
      <c r="E1490" s="196" t="str">
        <f>IFERROR(__xludf.DUMMYFUNCTION("""COMPUTED_VALUE"""),"FOR SCHOLARS' HOUSE")</f>
        <v>FOR SCHOLARS' HOUSE</v>
      </c>
    </row>
    <row r="1491">
      <c r="A1491" s="234">
        <f>IFERROR(__xludf.DUMMYFUNCTION("""COMPUTED_VALUE"""),101782.0)</f>
        <v>101782</v>
      </c>
      <c r="B1491" s="235" t="str">
        <f>IFERROR(__xludf.DUMMYFUNCTION("""COMPUTED_VALUE"""),"RONALD VERDE")</f>
        <v>RONALD VERDE</v>
      </c>
      <c r="C1491" s="235" t="str">
        <f>IFERROR(__xludf.DUMMYFUNCTION("""COMPUTED_VALUE"""),"TRANSPORTATION")</f>
        <v>TRANSPORTATION</v>
      </c>
      <c r="D1491" s="196" t="str">
        <f>IFERROR(__xludf.DUMMYFUNCTION("""COMPUTED_VALUE"""),"MOTOLITE BATTERY")</f>
        <v>MOTOLITE BATTERY</v>
      </c>
      <c r="E1491" s="196" t="str">
        <f>IFERROR(__xludf.DUMMYFUNCTION("""COMPUTED_VALUE"""),"SISC VIOS")</f>
        <v>SISC VIOS</v>
      </c>
    </row>
    <row r="1492">
      <c r="A1492" s="234">
        <f>IFERROR(__xludf.DUMMYFUNCTION("""COMPUTED_VALUE"""),101783.0)</f>
        <v>101783</v>
      </c>
      <c r="B1492" s="235" t="str">
        <f>IFERROR(__xludf.DUMMYFUNCTION("""COMPUTED_VALUE"""),"ADRIAN DE GUINTO")</f>
        <v>ADRIAN DE GUINTO</v>
      </c>
      <c r="C1492" s="235" t="str">
        <f>IFERROR(__xludf.DUMMYFUNCTION("""COMPUTED_VALUE"""),"PR &amp; MARKETING")</f>
        <v>PR &amp; MARKETING</v>
      </c>
      <c r="D1492" s="196" t="str">
        <f>IFERROR(__xludf.DUMMYFUNCTION("""COMPUTED_VALUE"""),"LUX SIDE TARP 83X190 INCHESWITH SEAMING AND EYELET ALL OVER")</f>
        <v>LUX SIDE TARP 83X190 INCHESWITH SEAMING AND EYELET ALL OVER</v>
      </c>
      <c r="E1492" s="196" t="str">
        <f>IFERROR(__xludf.DUMMYFUNCTION("""COMPUTED_VALUE"""),"FOR MARKETING")</f>
        <v>FOR MARKETING</v>
      </c>
    </row>
    <row r="1493">
      <c r="A1493" s="234">
        <f>IFERROR(__xludf.DUMMYFUNCTION("""COMPUTED_VALUE"""),101784.0)</f>
        <v>101784</v>
      </c>
      <c r="B1493" s="235" t="str">
        <f>IFERROR(__xludf.DUMMYFUNCTION("""COMPUTED_VALUE"""),"JP RAGOT")</f>
        <v>JP RAGOT</v>
      </c>
      <c r="C1493" s="235" t="str">
        <f>IFERROR(__xludf.DUMMYFUNCTION("""COMPUTED_VALUE"""),"AMD")</f>
        <v>AMD</v>
      </c>
      <c r="D1493" s="196" t="str">
        <f>IFERROR(__xludf.DUMMYFUNCTION("""COMPUTED_VALUE"""),"Box of Paper, Continuous - 11 X 14-7/8 1ply
Box of Paper, Continuous 11 X 14-7/8 2ply
Box of Paper, Continuous - 11 X 9.5 4ply
")</f>
        <v>Box of Paper, Continuous - 11 X 14-7/8 1ply
Box of Paper, Continuous 11 X 14-7/8 2ply
Box of Paper, Continuous - 11 X 9.5 4ply
</v>
      </c>
      <c r="E1493" s="196" t="str">
        <f>IFERROR(__xludf.DUMMYFUNCTION("""COMPUTED_VALUE"""),"Stock replenishment")</f>
        <v>Stock replenishment</v>
      </c>
    </row>
    <row r="1494">
      <c r="A1494" s="234">
        <f>IFERROR(__xludf.DUMMYFUNCTION("""COMPUTED_VALUE"""),101785.0)</f>
        <v>101785</v>
      </c>
      <c r="B1494" s="235" t="str">
        <f>IFERROR(__xludf.DUMMYFUNCTION("""COMPUTED_VALUE"""),"ALFA DE LEON")</f>
        <v>ALFA DE LEON</v>
      </c>
      <c r="C1494" s="235" t="str">
        <f>IFERROR(__xludf.DUMMYFUNCTION("""COMPUTED_VALUE"""),"ADMIN - MUNICH")</f>
        <v>ADMIN - MUNICH</v>
      </c>
      <c r="D1494" s="196" t="str">
        <f>IFERROR(__xludf.DUMMYFUNCTION("""COMPUTED_VALUE"""),"CEMENT/ SAND/ GRAVEL/ BAKAL/ GI WIRE")</f>
        <v>CEMENT/ SAND/ GRAVEL/ BAKAL/ GI WIRE</v>
      </c>
      <c r="E1494" s="196" t="str">
        <f>IFERROR(__xludf.DUMMYFUNCTION("""COMPUTED_VALUE"""),"ADHOC PROJECTS; REPAIR OF PARKING")</f>
        <v>ADHOC PROJECTS; REPAIR OF PARKING</v>
      </c>
    </row>
    <row r="1495">
      <c r="A1495" s="234">
        <f>IFERROR(__xludf.DUMMYFUNCTION("""COMPUTED_VALUE"""),101786.0)</f>
        <v>101786</v>
      </c>
      <c r="B1495" s="235" t="str">
        <f>IFERROR(__xludf.DUMMYFUNCTION("""COMPUTED_VALUE"""),"ALFA DE LEON")</f>
        <v>ALFA DE LEON</v>
      </c>
      <c r="C1495" s="235" t="str">
        <f>IFERROR(__xludf.DUMMYFUNCTION("""COMPUTED_VALUE"""),"ADMIN - MUNICH")</f>
        <v>ADMIN - MUNICH</v>
      </c>
      <c r="D1495" s="196" t="str">
        <f>IFERROR(__xludf.DUMMYFUNCTION("""COMPUTED_VALUE"""),"BOYSEN FLAT LATEX whiteL/ PAINT BRUSH/ BABY ROLLER COTTONN")</f>
        <v>BOYSEN FLAT LATEX whiteL/ PAINT BRUSH/ BABY ROLLER COTTONN</v>
      </c>
      <c r="E1495" s="196" t="str">
        <f>IFERROR(__xludf.DUMMYFUNCTION("""COMPUTED_VALUE"""),"ADHOC PROJECTS - REPAIR OF CEILING")</f>
        <v>ADHOC PROJECTS - REPAIR OF CEILING</v>
      </c>
    </row>
    <row r="1496">
      <c r="A1496" s="234">
        <f>IFERROR(__xludf.DUMMYFUNCTION("""COMPUTED_VALUE"""),101787.0)</f>
        <v>101787</v>
      </c>
      <c r="B1496" s="235" t="str">
        <f>IFERROR(__xludf.DUMMYFUNCTION("""COMPUTED_VALUE"""),"CAROL LACERNA")</f>
        <v>CAROL LACERNA</v>
      </c>
      <c r="C1496" s="235" t="str">
        <f>IFERROR(__xludf.DUMMYFUNCTION("""COMPUTED_VALUE"""),"ABU")</f>
        <v>ABU</v>
      </c>
      <c r="D1496" s="196" t="str">
        <f>IFERROR(__xludf.DUMMYFUNCTION("""COMPUTED_VALUE"""),"Lenovo 82C40161PH; i5, WINDOWS 10 HOME OS; 4GB+4GB MEMORY; ITB SATA HARD DISK                                
LENOVO V-14-ARE RYZEN 5 4500u                          ")</f>
        <v>Lenovo 82C40161PH; i5, WINDOWS 10 HOME OS; 4GB+4GB MEMORY; ITB SATA HARD DISK                                
LENOVO V-14-ARE RYZEN 5 4500u                          </v>
      </c>
      <c r="E1496" s="196" t="str">
        <f>IFERROR(__xludf.DUMMYFUNCTION("""COMPUTED_VALUE"""),"APPROVED GADGET LAON OF EMPLOYEES")</f>
        <v>APPROVED GADGET LAON OF EMPLOYEES</v>
      </c>
    </row>
    <row r="1497">
      <c r="A1497" s="234">
        <f>IFERROR(__xludf.DUMMYFUNCTION("""COMPUTED_VALUE"""),101788.0)</f>
        <v>101788</v>
      </c>
      <c r="B1497" s="235" t="str">
        <f>IFERROR(__xludf.DUMMYFUNCTION("""COMPUTED_VALUE"""),"Elmie Laudiato")</f>
        <v>Elmie Laudiato</v>
      </c>
      <c r="C1497" s="235" t="str">
        <f>IFERROR(__xludf.DUMMYFUNCTION("""COMPUTED_VALUE"""),"HRMD")</f>
        <v>HRMD</v>
      </c>
      <c r="D1497" s="196" t="str">
        <f>IFERROR(__xludf.DUMMYFUNCTION("""COMPUTED_VALUE"""),"Flower wreath")</f>
        <v>Flower wreath</v>
      </c>
      <c r="E1497" s="196" t="str">
        <f>IFERROR(__xludf.DUMMYFUNCTION("""COMPUTED_VALUE"""),"Flower wreath for the father of Miss Zendel")</f>
        <v>Flower wreath for the father of Miss Zendel</v>
      </c>
    </row>
    <row r="1498">
      <c r="A1498" s="234">
        <f>IFERROR(__xludf.DUMMYFUNCTION("""COMPUTED_VALUE"""),101789.0)</f>
        <v>101789</v>
      </c>
      <c r="B1498" s="235" t="str">
        <f>IFERROR(__xludf.DUMMYFUNCTION("""COMPUTED_VALUE"""),"Sheree Espinosa")</f>
        <v>Sheree Espinosa</v>
      </c>
      <c r="C1498" s="235" t="str">
        <f>IFERROR(__xludf.DUMMYFUNCTION("""COMPUTED_VALUE"""),"ADMIN")</f>
        <v>ADMIN</v>
      </c>
      <c r="D1498" s="196" t="str">
        <f>IFERROR(__xludf.DUMMYFUNCTION("""COMPUTED_VALUE"""),"Acoustic Board 2ftx4ft white")</f>
        <v>Acoustic Board 2ftx4ft white</v>
      </c>
      <c r="E1498" s="196" t="str">
        <f>IFERROR(__xludf.DUMMYFUNCTION("""COMPUTED_VALUE"""),"For college building (damaged by typhoon ulysses0")</f>
        <v>For college building (damaged by typhoon ulysses0</v>
      </c>
    </row>
    <row r="1499">
      <c r="A1499" s="234">
        <f>IFERROR(__xludf.DUMMYFUNCTION("""COMPUTED_VALUE"""),101790.0)</f>
        <v>101790</v>
      </c>
      <c r="B1499" s="235" t="str">
        <f>IFERROR(__xludf.DUMMYFUNCTION("""COMPUTED_VALUE"""),"PAUL ARAña")</f>
        <v>PAUL ARAña</v>
      </c>
      <c r="C1499" s="235" t="str">
        <f>IFERROR(__xludf.DUMMYFUNCTION("""COMPUTED_VALUE"""),"AV/MIS")</f>
        <v>AV/MIS</v>
      </c>
      <c r="D1499" s="196" t="str">
        <f>IFERROR(__xludf.DUMMYFUNCTION("""COMPUTED_VALUE"""),"APC 1000VA RACK MOUNT UPS230 VOLT /")</f>
        <v>APC 1000VA RACK MOUNT UPS230 VOLT /</v>
      </c>
      <c r="E1499" s="196" t="str">
        <f>IFERROR(__xludf.DUMMYFUNCTION("""COMPUTED_VALUE"""),"FOR REPLACEMENT OF UPS IN SERVER ROOM")</f>
        <v>FOR REPLACEMENT OF UPS IN SERVER ROOM</v>
      </c>
    </row>
    <row r="1500">
      <c r="A1500" s="234">
        <f>IFERROR(__xludf.DUMMYFUNCTION("""COMPUTED_VALUE"""),101791.0)</f>
        <v>101791</v>
      </c>
      <c r="B1500" s="235" t="str">
        <f>IFERROR(__xludf.DUMMYFUNCTION("""COMPUTED_VALUE"""),"Elmie Laudiato")</f>
        <v>Elmie Laudiato</v>
      </c>
      <c r="C1500" s="235" t="str">
        <f>IFERROR(__xludf.DUMMYFUNCTION("""COMPUTED_VALUE"""),"HRMD")</f>
        <v>HRMD</v>
      </c>
      <c r="D1500" s="196" t="str">
        <f>IFERROR(__xludf.DUMMYFUNCTION("""COMPUTED_VALUE"""),"PUREFOODS FIESTA HAM 1KG")</f>
        <v>PUREFOODS FIESTA HAM 1KG</v>
      </c>
      <c r="E1500" s="196" t="str">
        <f>IFERROR(__xludf.DUMMYFUNCTION("""COMPUTED_VALUE"""),"CHRISTMAS PARTY DOOR PRIZE")</f>
        <v>CHRISTMAS PARTY DOOR PRIZE</v>
      </c>
    </row>
    <row r="1501">
      <c r="A1501" s="234">
        <f>IFERROR(__xludf.DUMMYFUNCTION("""COMPUTED_VALUE"""),101792.0)</f>
        <v>101792</v>
      </c>
      <c r="B1501" s="235" t="str">
        <f>IFERROR(__xludf.DUMMYFUNCTION("""COMPUTED_VALUE"""),"ADRIAN DE GUINTO")</f>
        <v>ADRIAN DE GUINTO</v>
      </c>
      <c r="C1501" s="235" t="str">
        <f>IFERROR(__xludf.DUMMYFUNCTION("""COMPUTED_VALUE"""),"PR &amp; MARKETING")</f>
        <v>PR &amp; MARKETING</v>
      </c>
      <c r="D1501" s="196" t="str">
        <f>IFERROR(__xludf.DUMMYFUNCTION("""COMPUTED_VALUE"""),"LUX GIANT TARP10.127X40.349 FT")</f>
        <v>LUX GIANT TARP10.127X40.349 FT</v>
      </c>
      <c r="E1501" s="196" t="str">
        <f>IFERROR(__xludf.DUMMYFUNCTION("""COMPUTED_VALUE"""),"FOR MARKETING PURPOSES")</f>
        <v>FOR MARKETING PURPOSES</v>
      </c>
    </row>
    <row r="1502">
      <c r="A1502" s="234">
        <f>IFERROR(__xludf.DUMMYFUNCTION("""COMPUTED_VALUE"""),101793.0)</f>
        <v>101793</v>
      </c>
      <c r="B1502" s="235" t="str">
        <f>IFERROR(__xludf.DUMMYFUNCTION("""COMPUTED_VALUE"""),"ADRIAN DE GUINTO")</f>
        <v>ADRIAN DE GUINTO</v>
      </c>
      <c r="C1502" s="235" t="str">
        <f>IFERROR(__xludf.DUMMYFUNCTION("""COMPUTED_VALUE"""),"PR &amp; MARKETING")</f>
        <v>PR &amp; MARKETING</v>
      </c>
      <c r="D1502" s="196" t="str">
        <f>IFERROR(__xludf.DUMMYFUNCTION("""COMPUTED_VALUE"""),"DOCTORS BANNER 6.5X13.5 FT")</f>
        <v>DOCTORS BANNER 6.5X13.5 FT</v>
      </c>
      <c r="E1502" s="196" t="str">
        <f>IFERROR(__xludf.DUMMYFUNCTION("""COMPUTED_VALUE"""),"FOR MARKETING")</f>
        <v>FOR MARKETING</v>
      </c>
    </row>
    <row r="1503">
      <c r="A1503" s="234">
        <f>IFERROR(__xludf.DUMMYFUNCTION("""COMPUTED_VALUE"""),101794.0)</f>
        <v>101794</v>
      </c>
      <c r="B1503" s="235" t="str">
        <f>IFERROR(__xludf.DUMMYFUNCTION("""COMPUTED_VALUE"""),"Raquelyn Nunez")</f>
        <v>Raquelyn Nunez</v>
      </c>
      <c r="C1503" s="235" t="str">
        <f>IFERROR(__xludf.DUMMYFUNCTION("""COMPUTED_VALUE"""),"ABU")</f>
        <v>ABU</v>
      </c>
      <c r="D1503" s="196" t="str">
        <f>IFERROR(__xludf.DUMMYFUNCTION("""COMPUTED_VALUE"""),"BUILT-IN CABINET ")</f>
        <v>BUILT-IN CABINET </v>
      </c>
      <c r="E1503" s="196" t="str">
        <f>IFERROR(__xludf.DUMMYFUNCTION("""COMPUTED_VALUE"""),"FOR DR. HENLY'S ROOM")</f>
        <v>FOR DR. HENLY'S ROOM</v>
      </c>
    </row>
    <row r="1504">
      <c r="A1504" s="234">
        <f>IFERROR(__xludf.DUMMYFUNCTION("""COMPUTED_VALUE"""),101795.0)</f>
        <v>101795</v>
      </c>
      <c r="B1504" s="235" t="str">
        <f>IFERROR(__xludf.DUMMYFUNCTION("""COMPUTED_VALUE"""),"OWIE PAR")</f>
        <v>OWIE PAR</v>
      </c>
      <c r="C1504" s="235" t="str">
        <f>IFERROR(__xludf.DUMMYFUNCTION("""COMPUTED_VALUE"""),"ENGINEERING")</f>
        <v>ENGINEERING</v>
      </c>
      <c r="D1504" s="196" t="str">
        <f>IFERROR(__xludf.DUMMYFUNCTION("""COMPUTED_VALUE"""),"SEMI GLOSS LATEX; POLITUFF WITH HARDIFLUX")</f>
        <v>SEMI GLOSS LATEX; POLITUFF WITH HARDIFLUX</v>
      </c>
      <c r="E1504" s="196" t="str">
        <f>IFERROR(__xludf.DUMMYFUNCTION("""COMPUTED_VALUE"""),"LUX")</f>
        <v>LUX</v>
      </c>
    </row>
    <row r="1505">
      <c r="A1505" s="234">
        <f>IFERROR(__xludf.DUMMYFUNCTION("""COMPUTED_VALUE"""),101796.0)</f>
        <v>101796</v>
      </c>
      <c r="B1505" s="235" t="str">
        <f>IFERROR(__xludf.DUMMYFUNCTION("""COMPUTED_VALUE"""),"ADRIAN DE GUINTO")</f>
        <v>ADRIAN DE GUINTO</v>
      </c>
      <c r="C1505" s="235" t="str">
        <f>IFERROR(__xludf.DUMMYFUNCTION("""COMPUTED_VALUE"""),"PR &amp; MARKETING")</f>
        <v>PR &amp; MARKETING</v>
      </c>
      <c r="D1505" s="196" t="str">
        <f>IFERROR(__xludf.DUMMYFUNCTION("""COMPUTED_VALUE""")," CONGRATULATORY TARP FOR CHELSEA 7X10 FT")</f>
        <v> CONGRATULATORY TARP FOR CHELSEA 7X10 FT</v>
      </c>
      <c r="E1505" s="196" t="str">
        <f>IFERROR(__xludf.DUMMYFUNCTION("""COMPUTED_VALUE"""),"FOR MARKETING")</f>
        <v>FOR MARKETING</v>
      </c>
    </row>
    <row r="1506">
      <c r="A1506" s="234">
        <f>IFERROR(__xludf.DUMMYFUNCTION("""COMPUTED_VALUE"""),101797.0)</f>
        <v>101797</v>
      </c>
      <c r="B1506" s="235" t="str">
        <f>IFERROR(__xludf.DUMMYFUNCTION("""COMPUTED_VALUE"""),"ADRIAN DE GUINTO")</f>
        <v>ADRIAN DE GUINTO</v>
      </c>
      <c r="C1506" s="235" t="str">
        <f>IFERROR(__xludf.DUMMYFUNCTION("""COMPUTED_VALUE"""),"PR &amp; MARKETING")</f>
        <v>PR &amp; MARKETING</v>
      </c>
      <c r="D1506" s="196" t="str">
        <f>IFERROR(__xludf.DUMMYFUNCTION("""COMPUTED_VALUE"""),"LOPEZ TARP 6.25X17.6 ft")</f>
        <v>LOPEZ TARP 6.25X17.6 ft</v>
      </c>
      <c r="E1506" s="196" t="str">
        <f>IFERROR(__xludf.DUMMYFUNCTION("""COMPUTED_VALUE"""),"FOR MARKETING")</f>
        <v>FOR MARKETING</v>
      </c>
    </row>
    <row r="1507">
      <c r="A1507" s="234">
        <f>IFERROR(__xludf.DUMMYFUNCTION("""COMPUTED_VALUE"""),101798.0)</f>
        <v>101798</v>
      </c>
      <c r="B1507" s="235" t="str">
        <f>IFERROR(__xludf.DUMMYFUNCTION("""COMPUTED_VALUE"""),"ROIE RAYMUNDO")</f>
        <v>ROIE RAYMUNDO</v>
      </c>
      <c r="C1507" s="235" t="str">
        <f>IFERROR(__xludf.DUMMYFUNCTION("""COMPUTED_VALUE"""),"MIS/ICT")</f>
        <v>MIS/ICT</v>
      </c>
      <c r="D1507" s="196" t="str">
        <f>IFERROR(__xludf.DUMMYFUNCTION("""COMPUTED_VALUE"""),"NETWORK HARDDRIVE (SERVER) . Seagate ST2000NM0024 Enterprise Drives SATA 6Gb/s (SATA III) SN05 2 TB")</f>
        <v>NETWORK HARDDRIVE (SERVER) . Seagate ST2000NM0024 Enterprise Drives SATA 6Gb/s (SATA III) SN05 2 TB</v>
      </c>
      <c r="E1507" s="196" t="str">
        <f>IFERROR(__xludf.DUMMYFUNCTION("""COMPUTED_VALUE"""),"FOR NETWORK SERVER REPLACEMENT")</f>
        <v>FOR NETWORK SERVER REPLACEMENT</v>
      </c>
    </row>
    <row r="1508">
      <c r="A1508" s="234">
        <f>IFERROR(__xludf.DUMMYFUNCTION("""COMPUTED_VALUE"""),101799.0)</f>
        <v>101799</v>
      </c>
      <c r="B1508" s="235" t="str">
        <f>IFERROR(__xludf.DUMMYFUNCTION("""COMPUTED_VALUE"""),"ARJHAY TAMBIS")</f>
        <v>ARJHAY TAMBIS</v>
      </c>
      <c r="C1508" s="235" t="str">
        <f>IFERROR(__xludf.DUMMYFUNCTION("""COMPUTED_VALUE"""),"FINANCE &amp; ACCOUNTING")</f>
        <v>FINANCE &amp; ACCOUNTING</v>
      </c>
      <c r="D1508" s="196" t="str">
        <f>IFERROR(__xludf.DUMMYFUNCTION("""COMPUTED_VALUE"""),"EPSON LX-310 PRINTER")</f>
        <v>EPSON LX-310 PRINTER</v>
      </c>
      <c r="E1508" s="196" t="str">
        <f>IFERROR(__xludf.DUMMYFUNCTION("""COMPUTED_VALUE"""),"OLD PRINTER IS BROKEN")</f>
        <v>OLD PRINTER IS BROKEN</v>
      </c>
    </row>
    <row r="1509">
      <c r="A1509" s="234">
        <f>IFERROR(__xludf.DUMMYFUNCTION("""COMPUTED_VALUE"""),101800.0)</f>
        <v>101800</v>
      </c>
      <c r="B1509" s="235" t="str">
        <f>IFERROR(__xludf.DUMMYFUNCTION("""COMPUTED_VALUE"""),"JP RAGOT")</f>
        <v>JP RAGOT</v>
      </c>
      <c r="C1509" s="235" t="str">
        <f>IFERROR(__xludf.DUMMYFUNCTION("""COMPUTED_VALUE"""),"AMD")</f>
        <v>AMD</v>
      </c>
      <c r="D1509" s="196" t="str">
        <f>IFERROR(__xludf.DUMMYFUNCTION("""COMPUTED_VALUE"""),"Clearbook, Unrefillable 20's Long                                
Clip, Paper (50gms/box), Prince Vinyl Coated - Small                                
Frame, Certificate Ordinary - Brown                                
Highlighter, Stabilo Green          "&amp;"                      
Highlighter, Stabilo Pink                                
Tape, Duct Tape (2in x 10m)                                
Highlighter, Stabilo Yellow                                
Ballpen, Dong-A My Gel Black 0.5                      "&amp;"          
Ballpen, Dong-A My Gel Blue 0.5                                
Paper, Fortune Groundwove  Mimeo Long (500pcs)                                
Paper, Fortune Groundwove  Mimeo Short (500pcs)                                
Pilot Ballpen Blue Pi"&amp;"lot ballpen black")</f>
        <v>Clearbook, Unrefillable 20's Long                                
Clip, Paper (50gms/box), Prince Vinyl Coated - Small                                
Frame, Certificate Ordinary - Brown                                
Highlighter, Stabilo Green                                
Highlighter, Stabilo Pink                                
Tape, Duct Tape (2in x 10m)                                
Highlighter, Stabilo Yellow                                
Ballpen, Dong-A My Gel Black 0.5                                
Ballpen, Dong-A My Gel Blue 0.5                                
Paper, Fortune Groundwove  Mimeo Long (500pcs)                                
Paper, Fortune Groundwove  Mimeo Short (500pcs)                                
Pilot Ballpen Blue Pilot ballpen black</v>
      </c>
      <c r="E1509" s="196" t="str">
        <f>IFERROR(__xludf.DUMMYFUNCTION("""COMPUTED_VALUE"""),"Stock Replenihsment")</f>
        <v>Stock Replenihsment</v>
      </c>
    </row>
    <row r="1510">
      <c r="A1510" s="234">
        <f>IFERROR(__xludf.DUMMYFUNCTION("""COMPUTED_VALUE"""),101801.0)</f>
        <v>101801</v>
      </c>
      <c r="B1510" s="235" t="str">
        <f>IFERROR(__xludf.DUMMYFUNCTION("""COMPUTED_VALUE"""),"JP RAGOT")</f>
        <v>JP RAGOT</v>
      </c>
      <c r="C1510" s="235" t="str">
        <f>IFERROR(__xludf.DUMMYFUNCTION("""COMPUTED_VALUE"""),"AMD")</f>
        <v>AMD</v>
      </c>
      <c r="D1510" s="196" t="str">
        <f>IFERROR(__xludf.DUMMYFUNCTION("""COMPUTED_VALUE"""),"Towel, Hand - Good Morning				
")</f>
        <v>Towel, Hand - Good Morning				
</v>
      </c>
      <c r="E1510" s="196" t="str">
        <f>IFERROR(__xludf.DUMMYFUNCTION("""COMPUTED_VALUE"""),"Stock Replenihsment")</f>
        <v>Stock Replenihsment</v>
      </c>
    </row>
    <row r="1511">
      <c r="A1511" s="234">
        <f>IFERROR(__xludf.DUMMYFUNCTION("""COMPUTED_VALUE"""),101802.0)</f>
        <v>101802</v>
      </c>
      <c r="B1511" s="235" t="str">
        <f>IFERROR(__xludf.DUMMYFUNCTION("""COMPUTED_VALUE"""),"JP RAGOT")</f>
        <v>JP RAGOT</v>
      </c>
      <c r="C1511" s="235" t="str">
        <f>IFERROR(__xludf.DUMMYFUNCTION("""COMPUTED_VALUE"""),"AMD")</f>
        <v>AMD</v>
      </c>
      <c r="D1511" s="196" t="str">
        <f>IFERROR(__xludf.DUMMYFUNCTION("""COMPUTED_VALUE"""),"Toner, Cartridge CF210A Black				
Toner, Cartridge CF211A Cyan				
")</f>
        <v>Toner, Cartridge CF210A Black				
Toner, Cartridge CF211A Cyan				
</v>
      </c>
      <c r="E1511" s="196" t="str">
        <f>IFERROR(__xludf.DUMMYFUNCTION("""COMPUTED_VALUE"""),"Stock Replenihsment")</f>
        <v>Stock Replenihsment</v>
      </c>
    </row>
    <row r="1512">
      <c r="A1512" s="234">
        <f>IFERROR(__xludf.DUMMYFUNCTION("""COMPUTED_VALUE"""),101803.0)</f>
        <v>101803</v>
      </c>
      <c r="B1512" s="235" t="str">
        <f>IFERROR(__xludf.DUMMYFUNCTION("""COMPUTED_VALUE"""),"ALFA DE LEON")</f>
        <v>ALFA DE LEON</v>
      </c>
      <c r="C1512" s="235" t="str">
        <f>IFERROR(__xludf.DUMMYFUNCTION("""COMPUTED_VALUE"""),"HOUSEKEEPING")</f>
        <v>HOUSEKEEPING</v>
      </c>
      <c r="D1512" s="196" t="str">
        <f>IFERROR(__xludf.DUMMYFUNCTION("""COMPUTED_VALUE"""),"GARDEN SOIL")</f>
        <v>GARDEN SOIL</v>
      </c>
      <c r="E1512" s="196" t="str">
        <f>IFERROR(__xludf.DUMMYFUNCTION("""COMPUTED_VALUE"""),"Mixing of Sheredded leaves, propagation, plant box rehab")</f>
        <v>Mixing of Sheredded leaves, propagation, plant box rehab</v>
      </c>
    </row>
    <row r="1513">
      <c r="A1513" s="234">
        <f>IFERROR(__xludf.DUMMYFUNCTION("""COMPUTED_VALUE"""),101804.0)</f>
        <v>101804</v>
      </c>
      <c r="B1513" s="235" t="str">
        <f>IFERROR(__xludf.DUMMYFUNCTION("""COMPUTED_VALUE"""),"ALFA DE LEON")</f>
        <v>ALFA DE LEON</v>
      </c>
      <c r="C1513" s="235" t="str">
        <f>IFERROR(__xludf.DUMMYFUNCTION("""COMPUTED_VALUE"""),"HOUSEKEEPING")</f>
        <v>HOUSEKEEPING</v>
      </c>
      <c r="D1513" s="196" t="str">
        <f>IFERROR(__xludf.DUMMYFUNCTION("""COMPUTED_VALUE"""),"Wheenborrow")</f>
        <v>Wheenborrow</v>
      </c>
      <c r="E1513" s="196" t="str">
        <f>IFERROR(__xludf.DUMMYFUNCTION("""COMPUTED_VALUE"""),"Landscaping/ Housekeeping")</f>
        <v>Landscaping/ Housekeeping</v>
      </c>
    </row>
    <row r="1514">
      <c r="A1514" s="234">
        <f>IFERROR(__xludf.DUMMYFUNCTION("""COMPUTED_VALUE"""),101805.0)</f>
        <v>101805</v>
      </c>
      <c r="B1514" s="235" t="str">
        <f>IFERROR(__xludf.DUMMYFUNCTION("""COMPUTED_VALUE"""),"ADRIAN DE GUINTO")</f>
        <v>ADRIAN DE GUINTO</v>
      </c>
      <c r="C1514" s="235" t="str">
        <f>IFERROR(__xludf.DUMMYFUNCTION("""COMPUTED_VALUE"""),"PR &amp; MARKETING")</f>
        <v>PR &amp; MARKETING</v>
      </c>
      <c r="D1514" s="196" t="str">
        <f>IFERROR(__xludf.DUMMYFUNCTION("""COMPUTED_VALUE"""),"Congratulatory tarp of Gen Mark 7x10 FT with seaming eyelet all over, 18 ounce thickness")</f>
        <v>Congratulatory tarp of Gen Mark 7x10 FT with seaming eyelet all over, 18 ounce thickness</v>
      </c>
      <c r="E1514" s="196" t="str">
        <f>IFERROR(__xludf.DUMMYFUNCTION("""COMPUTED_VALUE"""),"MARKETING ")</f>
        <v>MARKETING </v>
      </c>
    </row>
    <row r="1515">
      <c r="A1515" s="234">
        <f>IFERROR(__xludf.DUMMYFUNCTION("""COMPUTED_VALUE"""),101806.0)</f>
        <v>101806</v>
      </c>
      <c r="B1515" s="235" t="str">
        <f>IFERROR(__xludf.DUMMYFUNCTION("""COMPUTED_VALUE"""),"RONALD OBLENO")</f>
        <v>RONALD OBLENO</v>
      </c>
      <c r="C1515" s="235" t="str">
        <f>IFERROR(__xludf.DUMMYFUNCTION("""COMPUTED_VALUE"""),"MIS/ICT")</f>
        <v>MIS/ICT</v>
      </c>
      <c r="D1515" s="196" t="str">
        <f>IFERROR(__xludf.DUMMYFUNCTION("""COMPUTED_VALUE"""),"LED MONITOR VIEWSONIC 21INCH VA226IH")</f>
        <v>LED MONITOR VIEWSONIC 21INCH VA226IH</v>
      </c>
      <c r="E1515" s="196" t="str">
        <f>IFERROR(__xludf.DUMMYFUNCTION("""COMPUTED_VALUE"""),"REPLACEMENT OF DEFECTIVE LED MONITOR IN CMLC CLASSROOM")</f>
        <v>REPLACEMENT OF DEFECTIVE LED MONITOR IN CMLC CLASSROOM</v>
      </c>
    </row>
    <row r="1516">
      <c r="A1516" s="234">
        <f>IFERROR(__xludf.DUMMYFUNCTION("""COMPUTED_VALUE"""),101807.0)</f>
        <v>101807</v>
      </c>
      <c r="B1516" s="235" t="str">
        <f>IFERROR(__xludf.DUMMYFUNCTION("""COMPUTED_VALUE"""),"ADRIAN DE GUINTO")</f>
        <v>ADRIAN DE GUINTO</v>
      </c>
      <c r="C1516" s="235" t="str">
        <f>IFERROR(__xludf.DUMMYFUNCTION("""COMPUTED_VALUE"""),"PR &amp; MARKETING")</f>
        <v>PR &amp; MARKETING</v>
      </c>
      <c r="D1516" s="196" t="str">
        <f>IFERROR(__xludf.DUMMYFUNCTION("""COMPUTED_VALUE"""),"Munich Giant Tarp with double seaming eyelet all over, 18 ounce thickness")</f>
        <v>Munich Giant Tarp with double seaming eyelet all over, 18 ounce thickness</v>
      </c>
      <c r="E1516" s="196" t="str">
        <f>IFERROR(__xludf.DUMMYFUNCTION("""COMPUTED_VALUE"""),"MARKETING ")</f>
        <v>MARKETING </v>
      </c>
    </row>
    <row r="1517">
      <c r="A1517" s="234">
        <f>IFERROR(__xludf.DUMMYFUNCTION("""COMPUTED_VALUE"""),101808.0)</f>
        <v>101808</v>
      </c>
      <c r="B1517" s="235" t="str">
        <f>IFERROR(__xludf.DUMMYFUNCTION("""COMPUTED_VALUE"""),"ALFA DE LEON")</f>
        <v>ALFA DE LEON</v>
      </c>
      <c r="C1517" s="235" t="str">
        <f>IFERROR(__xludf.DUMMYFUNCTION("""COMPUTED_VALUE"""),"HOUSEKEEPING")</f>
        <v>HOUSEKEEPING</v>
      </c>
      <c r="D1517" s="196" t="str">
        <f>IFERROR(__xludf.DUMMYFUNCTION("""COMPUTED_VALUE"""),"G/F Lux Building Entrance, 2/F Lux CR, 5/F Lux CR  College Concessionaire CR, 2/F College CR Tropical G/F Gate Entrance, Stairs, Elevator lobby Tropical 2/F. 3/F Male/Female CR Design: Coil mat, color: Green Features: Less abrasive, high grade PVC, Super "&amp;"scraping function, looped layers can trap dirt")</f>
        <v>G/F Lux Building Entrance, 2/F Lux CR, 5/F Lux CR  College Concessionaire CR, 2/F College CR Tropical G/F Gate Entrance, Stairs, Elevator lobby Tropical 2/F. 3/F Male/Female CR Design: Coil mat, color: Green Features: Less abrasive, high grade PVC, Super scraping function, looped layers can trap dirt</v>
      </c>
      <c r="E1517" s="196" t="str">
        <f>IFERROR(__xludf.DUMMYFUNCTION("""COMPUTED_VALUE"""),"RUBBER MATTING REPLACEMENT OF BROKEN ONES")</f>
        <v>RUBBER MATTING REPLACEMENT OF BROKEN ONES</v>
      </c>
    </row>
    <row r="1518">
      <c r="A1518" s="234">
        <f>IFERROR(__xludf.DUMMYFUNCTION("""COMPUTED_VALUE"""),101809.0)</f>
        <v>101809</v>
      </c>
      <c r="B1518" s="235" t="str">
        <f>IFERROR(__xludf.DUMMYFUNCTION("""COMPUTED_VALUE"""),"PENELOPE AGUSTIN")</f>
        <v>PENELOPE AGUSTIN</v>
      </c>
      <c r="C1518" s="235" t="str">
        <f>IFERROR(__xludf.DUMMYFUNCTION("""COMPUTED_VALUE"""),"FINANCE &amp; ACCOUNTING")</f>
        <v>FINANCE &amp; ACCOUNTING</v>
      </c>
      <c r="D1518" s="196" t="str">
        <f>IFERROR(__xludf.DUMMYFUNCTION("""COMPUTED_VALUE"""),"WIRELESS TELEPHONE")</f>
        <v>WIRELESS TELEPHONE</v>
      </c>
      <c r="E1518" s="196" t="str">
        <f>IFERROR(__xludf.DUMMYFUNCTION("""COMPUTED_VALUE"""),"REPLACEMENT OF DAMAGED TEPEPHONE")</f>
        <v>REPLACEMENT OF DAMAGED TEPEPHONE</v>
      </c>
    </row>
    <row r="1519">
      <c r="A1519" s="234">
        <f>IFERROR(__xludf.DUMMYFUNCTION("""COMPUTED_VALUE"""),101810.0)</f>
        <v>101810</v>
      </c>
      <c r="B1519" s="235" t="str">
        <f>IFERROR(__xludf.DUMMYFUNCTION("""COMPUTED_VALUE"""),"OWIE PAR")</f>
        <v>OWIE PAR</v>
      </c>
      <c r="C1519" s="235" t="str">
        <f>IFERROR(__xludf.DUMMYFUNCTION("""COMPUTED_VALUE"""),"ENGINEERING")</f>
        <v>ENGINEERING</v>
      </c>
      <c r="D1519" s="196" t="str">
        <f>IFERROR(__xludf.DUMMYFUNCTION("""COMPUTED_VALUE"""),"TELEPHONE UNIT (WIRELESS) panasonic 1.8 inch blacklit LCD Noise reduction")</f>
        <v>TELEPHONE UNIT (WIRELESS) panasonic 1.8 inch blacklit LCD Noise reduction</v>
      </c>
      <c r="E1519" s="196" t="str">
        <f>IFERROR(__xludf.DUMMYFUNCTION("""COMPUTED_VALUE"""),"REPLACEMENT OF BROKEN TELEPHONE")</f>
        <v>REPLACEMENT OF BROKEN TELEPHONE</v>
      </c>
    </row>
    <row r="1520">
      <c r="A1520" s="234">
        <f>IFERROR(__xludf.DUMMYFUNCTION("""COMPUTED_VALUE"""),101811.0)</f>
        <v>101811</v>
      </c>
      <c r="B1520" s="235" t="str">
        <f>IFERROR(__xludf.DUMMYFUNCTION("""COMPUTED_VALUE"""),"ALFA DE LEON")</f>
        <v>ALFA DE LEON</v>
      </c>
      <c r="C1520" s="235" t="str">
        <f>IFERROR(__xludf.DUMMYFUNCTION("""COMPUTED_VALUE"""),"HOUSEKEEPING")</f>
        <v>HOUSEKEEPING</v>
      </c>
      <c r="D1520" s="196" t="str">
        <f>IFERROR(__xludf.DUMMYFUNCTION("""COMPUTED_VALUE"""),"EVACUATION DOOR (Supply and Install)")</f>
        <v>EVACUATION DOOR (Supply and Install)</v>
      </c>
      <c r="E1520" s="196" t="str">
        <f>IFERROR(__xludf.DUMMYFUNCTION("""COMPUTED_VALUE"""),"RENOVATION OF FRONT ENTRANCE/EXIT DOOR")</f>
        <v>RENOVATION OF FRONT ENTRANCE/EXIT DOOR</v>
      </c>
    </row>
    <row r="1521">
      <c r="A1521" s="234">
        <f>IFERROR(__xludf.DUMMYFUNCTION("""COMPUTED_VALUE"""),101812.0)</f>
        <v>101812</v>
      </c>
      <c r="B1521" s="235" t="str">
        <f>IFERROR(__xludf.DUMMYFUNCTION("""COMPUTED_VALUE"""),"JP RAGOT")</f>
        <v>JP RAGOT</v>
      </c>
      <c r="C1521" s="235" t="str">
        <f>IFERROR(__xludf.DUMMYFUNCTION("""COMPUTED_VALUE"""),"AMD")</f>
        <v>AMD</v>
      </c>
      <c r="D1521" s="196" t="str">
        <f>IFERROR(__xludf.DUMMYFUNCTION("""COMPUTED_VALUE"""),"Tape, Scotch 3M (1"")                                        TAPE-GEN-10-0001                        
Tape, 3M Masking Tape Big (1"")                     TAPE-GEN-10-0002                        
Tape, Packaging (2"")                                       "&amp;" TAPE-GEN-10-0006                        
")</f>
        <v>Tape, Scotch 3M (1")                                        TAPE-GEN-10-0001                        
Tape, 3M Masking Tape Big (1")                     TAPE-GEN-10-0002                        
Tape, Packaging (2")                                        TAPE-GEN-10-0006                        
</v>
      </c>
      <c r="E1521" s="196" t="str">
        <f>IFERROR(__xludf.DUMMYFUNCTION("""COMPUTED_VALUE"""),"STOCK REPLENISHMENT")</f>
        <v>STOCK REPLENISHMENT</v>
      </c>
    </row>
    <row r="1522">
      <c r="A1522" s="234">
        <f>IFERROR(__xludf.DUMMYFUNCTION("""COMPUTED_VALUE"""),101813.0)</f>
        <v>101813</v>
      </c>
      <c r="B1522" s="235" t="str">
        <f>IFERROR(__xludf.DUMMYFUNCTION("""COMPUTED_VALUE"""),"ALFA DE LEON")</f>
        <v>ALFA DE LEON</v>
      </c>
      <c r="C1522" s="235" t="str">
        <f>IFERROR(__xludf.DUMMYFUNCTION("""COMPUTED_VALUE"""),"HOUSEKEEPING")</f>
        <v>HOUSEKEEPING</v>
      </c>
      <c r="D1522" s="196" t="str">
        <f>IFERROR(__xludf.DUMMYFUNCTION("""COMPUTED_VALUE"""),"PICARA PLANTS / MAIGOS PLANTS / FORGET ME NOT / DURANTA PLANTS / HAWAIIAN T PLANTS")</f>
        <v>PICARA PLANTS / MAIGOS PLANTS / FORGET ME NOT / DURANTA PLANTS / HAWAIIAN T PLANTS</v>
      </c>
      <c r="E1522" s="196" t="str">
        <f>IFERROR(__xludf.DUMMYFUNCTION("""COMPUTED_VALUE"""),"LANDSSCAPING CORNERS ENHANCEMENT")</f>
        <v>LANDSSCAPING CORNERS ENHANCEMENT</v>
      </c>
    </row>
    <row r="1523">
      <c r="A1523" s="234">
        <f>IFERROR(__xludf.DUMMYFUNCTION("""COMPUTED_VALUE"""),101814.0)</f>
        <v>101814</v>
      </c>
      <c r="B1523" s="235" t="str">
        <f>IFERROR(__xludf.DUMMYFUNCTION("""COMPUTED_VALUE"""),"ALFA DE LEON")</f>
        <v>ALFA DE LEON</v>
      </c>
      <c r="C1523" s="235" t="str">
        <f>IFERROR(__xludf.DUMMYFUNCTION("""COMPUTED_VALUE"""),"HOUSEKEEPING")</f>
        <v>HOUSEKEEPING</v>
      </c>
      <c r="D1523" s="196" t="str">
        <f>IFERROR(__xludf.DUMMYFUNCTION("""COMPUTED_VALUE"""),"PICARA PLANTS / SILVER PANDAKAKI PLANTS / POKYANTE PLANTS / GRENDAS PLANTS")</f>
        <v>PICARA PLANTS / SILVER PANDAKAKI PLANTS / POKYANTE PLANTS / GRENDAS PLANTS</v>
      </c>
      <c r="E1523" s="196" t="str">
        <f>IFERROR(__xludf.DUMMYFUNCTION("""COMPUTED_VALUE"""),"MUNICH ROTONDA REHABILITATION")</f>
        <v>MUNICH ROTONDA REHABILITATION</v>
      </c>
    </row>
    <row r="1524">
      <c r="A1524" s="234">
        <f>IFERROR(__xludf.DUMMYFUNCTION("""COMPUTED_VALUE"""),101815.0)</f>
        <v>101815</v>
      </c>
      <c r="B1524" s="235" t="str">
        <f>IFERROR(__xludf.DUMMYFUNCTION("""COMPUTED_VALUE"""),"OWIE PAR")</f>
        <v>OWIE PAR</v>
      </c>
      <c r="C1524" s="235" t="str">
        <f>IFERROR(__xludf.DUMMYFUNCTION("""COMPUTED_VALUE"""),"ENGINEERING")</f>
        <v>ENGINEERING</v>
      </c>
      <c r="D1524" s="196" t="str">
        <f>IFERROR(__xludf.DUMMYFUNCTION("""COMPUTED_VALUE"""),"PPR MALE ADAPTOR / PPR ELBOW / PPR PIPE / PPR FEMALE ADAPTOR / PPR ELBOW  / PPR COUPLING REDUCER / STAINLESS  END PLUG  1.5 AND .75")</f>
        <v>PPR MALE ADAPTOR / PPR ELBOW / PPR PIPE / PPR FEMALE ADAPTOR / PPR ELBOW  / PPR COUPLING REDUCER / STAINLESS  END PLUG  1.5 AND .75</v>
      </c>
      <c r="E1524" s="196" t="str">
        <f>IFERROR(__xludf.DUMMYFUNCTION("""COMPUTED_VALUE"""),"FOR COLLEGE MAIN DOWN FEED AND 1ST FLOOR")</f>
        <v>FOR COLLEGE MAIN DOWN FEED AND 1ST FLOOR</v>
      </c>
    </row>
    <row r="1525">
      <c r="A1525" s="234">
        <f>IFERROR(__xludf.DUMMYFUNCTION("""COMPUTED_VALUE"""),101816.0)</f>
        <v>101816</v>
      </c>
      <c r="B1525" s="235" t="str">
        <f>IFERROR(__xludf.DUMMYFUNCTION("""COMPUTED_VALUE"""),"OWIE PAR")</f>
        <v>OWIE PAR</v>
      </c>
      <c r="C1525" s="235" t="str">
        <f>IFERROR(__xludf.DUMMYFUNCTION("""COMPUTED_VALUE"""),"ENGINEERING")</f>
        <v>ENGINEERING</v>
      </c>
      <c r="D1525" s="196" t="str">
        <f>IFERROR(__xludf.DUMMYFUNCTION("""COMPUTED_VALUE"""),"PPR PIPE 1.5 / PPR ELBOW / PPR COUPLING REDUCER , PPR PIPE / PPR TEE/ PPR ELBOW /PPR UNION PATENTE / PPR MALE ADAPTOR / PPR COUPLING REDUCER / PPR PIPE 2 / PPR UNION PATENTE /  PPR MALE ADAPTOR")</f>
        <v>PPR PIPE 1.5 / PPR ELBOW / PPR COUPLING REDUCER , PPR PIPE / PPR TEE/ PPR ELBOW /PPR UNION PATENTE / PPR MALE ADAPTOR / PPR COUPLING REDUCER / PPR PIPE 2 / PPR UNION PATENTE /  PPR MALE ADAPTOR</v>
      </c>
      <c r="E1525" s="196" t="str">
        <f>IFERROR(__xludf.DUMMYFUNCTION("""COMPUTED_VALUE"""),"FOR COLLEGE RELOCATON OF BOOSTER PUMP TO LUX BLDG  PUMP HOUSE")</f>
        <v>FOR COLLEGE RELOCATON OF BOOSTER PUMP TO LUX BLDG  PUMP HOUSE</v>
      </c>
    </row>
    <row r="1526">
      <c r="A1526" s="234">
        <f>IFERROR(__xludf.DUMMYFUNCTION("""COMPUTED_VALUE"""),101817.0)</f>
        <v>101817</v>
      </c>
      <c r="B1526" s="235" t="str">
        <f>IFERROR(__xludf.DUMMYFUNCTION("""COMPUTED_VALUE"""),"OWIE PAR")</f>
        <v>OWIE PAR</v>
      </c>
      <c r="C1526" s="235" t="str">
        <f>IFERROR(__xludf.DUMMYFUNCTION("""COMPUTED_VALUE"""),"ENGINEERING")</f>
        <v>ENGINEERING</v>
      </c>
      <c r="D1526" s="196" t="str">
        <f>IFERROR(__xludf.DUMMYFUNCTION("""COMPUTED_VALUE"""),"ACETYLENE GAUGE")</f>
        <v>ACETYLENE GAUGE</v>
      </c>
      <c r="E1526" s="196" t="str">
        <f>IFERROR(__xludf.DUMMYFUNCTION("""COMPUTED_VALUE"""),"TOOLS FOR CUTTING CORRODED STEEL GRILLS")</f>
        <v>TOOLS FOR CUTTING CORRODED STEEL GRILLS</v>
      </c>
    </row>
    <row r="1527">
      <c r="A1527" s="234">
        <f>IFERROR(__xludf.DUMMYFUNCTION("""COMPUTED_VALUE"""),101818.0)</f>
        <v>101818</v>
      </c>
      <c r="B1527" s="235" t="str">
        <f>IFERROR(__xludf.DUMMYFUNCTION("""COMPUTED_VALUE"""),"OWIE PAR")</f>
        <v>OWIE PAR</v>
      </c>
      <c r="C1527" s="235" t="str">
        <f>IFERROR(__xludf.DUMMYFUNCTION("""COMPUTED_VALUE"""),"ENGINEERING")</f>
        <v>ENGINEERING</v>
      </c>
      <c r="D1527" s="196" t="str">
        <f>IFERROR(__xludf.DUMMYFUNCTION("""COMPUTED_VALUE"""),"SKILL COAT / SAND PAPER/ HACKSAW BLADE / EPOXY PRIMER / THINNER / FLAT LATEX / SEMI GLOSS LATEX / QDE CHOCOLATE BROWN / ACRI COLOR LAMP BLACK / ACRO COLOR RAW SIENNA / PAINT ROLLER / PAINT BRUSH /  PAINT THINNER / PAINT ROLLER 4 COTTON / TUBULAR BARS / SQ"&amp;"UARE BAR / WELDING ROD / CUTTING DISK / PLAIN SHEET / BLIND RIVET / DRILL BIT METAL")</f>
        <v>SKILL COAT / SAND PAPER/ HACKSAW BLADE / EPOXY PRIMER / THINNER / FLAT LATEX / SEMI GLOSS LATEX / QDE CHOCOLATE BROWN / ACRI COLOR LAMP BLACK / ACRO COLOR RAW SIENNA / PAINT ROLLER / PAINT BRUSH /  PAINT THINNER / PAINT ROLLER 4 COTTON / TUBULAR BARS / SQUARE BAR / WELDING ROD / CUTTING DISK / PLAIN SHEET / BLIND RIVET / DRILL BIT METAL</v>
      </c>
      <c r="E1527" s="196" t="str">
        <f>IFERROR(__xludf.DUMMYFUNCTION("""COMPUTED_VALUE"""),"REPAIR/ REPLACEMENT OF STEEL GRILLS  IN COLLEGE, LUX , MUNICH AND TROPICAL  PERIMETER FENCE")</f>
        <v>REPAIR/ REPLACEMENT OF STEEL GRILLS  IN COLLEGE, LUX , MUNICH AND TROPICAL  PERIMETER FENCE</v>
      </c>
    </row>
    <row r="1528">
      <c r="A1528" s="234">
        <f>IFERROR(__xludf.DUMMYFUNCTION("""COMPUTED_VALUE"""),101819.0)</f>
        <v>101819</v>
      </c>
      <c r="B1528" s="235" t="str">
        <f>IFERROR(__xludf.DUMMYFUNCTION("""COMPUTED_VALUE"""),"JP RAGOT")</f>
        <v>JP RAGOT</v>
      </c>
      <c r="C1528" s="235" t="str">
        <f>IFERROR(__xludf.DUMMYFUNCTION("""COMPUTED_VALUE"""),"AMD")</f>
        <v>AMD</v>
      </c>
      <c r="D1528" s="196" t="str">
        <f>IFERROR(__xludf.DUMMYFUNCTION("""COMPUTED_VALUE"""),"Toner Cartridge Inkonvert LBP6000 85A                                
")</f>
        <v>Toner Cartridge Inkonvert LBP6000 85A                                
</v>
      </c>
      <c r="E1528" s="196" t="str">
        <f>IFERROR(__xludf.DUMMYFUNCTION("""COMPUTED_VALUE"""),"Stock replenishment")</f>
        <v>Stock replenishment</v>
      </c>
    </row>
    <row r="1529">
      <c r="A1529" s="234">
        <f>IFERROR(__xludf.DUMMYFUNCTION("""COMPUTED_VALUE"""),101820.0)</f>
        <v>101820</v>
      </c>
      <c r="B1529" s="235" t="str">
        <f>IFERROR(__xludf.DUMMYFUNCTION("""COMPUTED_VALUE"""),"PENELOPE AGUSTIN")</f>
        <v>PENELOPE AGUSTIN</v>
      </c>
      <c r="C1529" s="235" t="str">
        <f>IFERROR(__xludf.DUMMYFUNCTION("""COMPUTED_VALUE"""),"FINANCE &amp; ACCOUNTING")</f>
        <v>FINANCE &amp; ACCOUNTING</v>
      </c>
      <c r="D1529" s="196" t="str">
        <f>IFERROR(__xludf.DUMMYFUNCTION("""COMPUTED_VALUE"""),"BLANK PAYSLIPS")</f>
        <v>BLANK PAYSLIPS</v>
      </c>
      <c r="E1529" s="196" t="str">
        <f>IFERROR(__xludf.DUMMYFUNCTION("""COMPUTED_VALUE"""),"PAYROLL USE")</f>
        <v>PAYROLL USE</v>
      </c>
    </row>
    <row r="1530">
      <c r="A1530" s="234">
        <f>IFERROR(__xludf.DUMMYFUNCTION("""COMPUTED_VALUE"""),101821.0)</f>
        <v>101821</v>
      </c>
      <c r="B1530" s="235" t="str">
        <f>IFERROR(__xludf.DUMMYFUNCTION("""COMPUTED_VALUE"""),"OWIE PAR")</f>
        <v>OWIE PAR</v>
      </c>
      <c r="C1530" s="235" t="str">
        <f>IFERROR(__xludf.DUMMYFUNCTION("""COMPUTED_VALUE"""),"ENGINEERING")</f>
        <v>ENGINEERING</v>
      </c>
      <c r="D1530" s="196" t="str">
        <f>IFERROR(__xludf.DUMMYFUNCTION("""COMPUTED_VALUE"""),"SPECIAL DOOR KNOB ")</f>
        <v>SPECIAL DOOR KNOB </v>
      </c>
      <c r="E1530" s="196" t="str">
        <f>IFERROR(__xludf.DUMMYFUNCTION("""COMPUTED_VALUE"""),"REPLACEMENT OF DOOR KNOBS IN CEM LOBBY ")</f>
        <v>REPLACEMENT OF DOOR KNOBS IN CEM LOBBY </v>
      </c>
    </row>
    <row r="1531">
      <c r="A1531" s="234">
        <f>IFERROR(__xludf.DUMMYFUNCTION("""COMPUTED_VALUE"""),101822.0)</f>
        <v>101822</v>
      </c>
      <c r="B1531" s="235" t="str">
        <f>IFERROR(__xludf.DUMMYFUNCTION("""COMPUTED_VALUE"""),"ARNEL MONTABLAN")</f>
        <v>ARNEL MONTABLAN</v>
      </c>
      <c r="C1531" s="235" t="str">
        <f>IFERROR(__xludf.DUMMYFUNCTION("""COMPUTED_VALUE"""),"REGISTRATION")</f>
        <v>REGISTRATION</v>
      </c>
      <c r="D1531" s="196" t="str">
        <f>IFERROR(__xludf.DUMMYFUNCTION("""COMPUTED_VALUE"""),"TP LINK ARCHER C 6 WIFI ROUTER ; UTP CABLE ; CABLE HOOKS")</f>
        <v>TP LINK ARCHER C 6 WIFI ROUTER ; UTP CABLE ; CABLE HOOKS</v>
      </c>
      <c r="E1531" s="196" t="str">
        <f>IFERROR(__xludf.DUMMYFUNCTION("""COMPUTED_VALUE"""),"TO EXTEND INTERNET CONNECTION IN THE DORMITORIES")</f>
        <v>TO EXTEND INTERNET CONNECTION IN THE DORMITORIES</v>
      </c>
    </row>
    <row r="1532">
      <c r="A1532" s="234">
        <f>IFERROR(__xludf.DUMMYFUNCTION("""COMPUTED_VALUE"""),101823.0)</f>
        <v>101823</v>
      </c>
      <c r="B1532" s="235" t="str">
        <f>IFERROR(__xludf.DUMMYFUNCTION("""COMPUTED_VALUE"""),"JP RAGOT")</f>
        <v>JP RAGOT</v>
      </c>
      <c r="C1532" s="235" t="str">
        <f>IFERROR(__xludf.DUMMYFUNCTION("""COMPUTED_VALUE"""),"AMD")</f>
        <v>AMD</v>
      </c>
      <c r="D1532" s="196" t="str">
        <f>IFERROR(__xludf.DUMMYFUNCTION("""COMPUTED_VALUE"""),"TRASH BAG, EXTRA EXTRA LARGE (37"" x 40"") CLEAR                                        BAGS-RIV-10-0018                        
TRASH BAG, MEDIUM (22"" x 24"") CLEAR                                        BAGS-RIV-10-0015                        
TRASH BA"&amp;"G, LARGE (26"" x 32"") CLEAR                                        BAGS-RIV-10-0016                        
TRASH BAG, EXTRA LARGE (36"" x 40"")/(30"" x 37"") CLEAR                                        BAGS-RIV-10-0017                        
GEM Toile"&amp;"t Bowl Cleaner (RJM)                                        CLEA-GEM-10-0001                        
Baygon Fly Paper                                        PAPR-BAY-10-0001   ")</f>
        <v>TRASH BAG, EXTRA EXTRA LARGE (37" x 40") CLEAR                                        BAGS-RIV-10-0018                        
TRASH BAG, MEDIUM (22" x 24") CLEAR                                        BAGS-RIV-10-0015                        
TRASH BAG, LARGE (26" x 32") CLEAR                                        BAGS-RIV-10-0016                        
TRASH BAG, EXTRA LARGE (36" x 40")/(30" x 37") CLEAR                                        BAGS-RIV-10-0017                        
GEM Toilet Bowl Cleaner (RJM)                                        CLEA-GEM-10-0001                        
Baygon Fly Paper                                        PAPR-BAY-10-0001   </v>
      </c>
      <c r="E1532" s="196" t="str">
        <f>IFERROR(__xludf.DUMMYFUNCTION("""COMPUTED_VALUE"""),"Stock Replenishment- Housekeeping											
")</f>
        <v>Stock Replenishment- Housekeeping											
</v>
      </c>
    </row>
    <row r="1533">
      <c r="A1533" s="234">
        <f>IFERROR(__xludf.DUMMYFUNCTION("""COMPUTED_VALUE"""),101824.0)</f>
        <v>101824</v>
      </c>
      <c r="B1533" s="235" t="str">
        <f>IFERROR(__xludf.DUMMYFUNCTION("""COMPUTED_VALUE"""),"JP RAGOT")</f>
        <v>JP RAGOT</v>
      </c>
      <c r="C1533" s="235" t="str">
        <f>IFERROR(__xludf.DUMMYFUNCTION("""COMPUTED_VALUE"""),"AMD")</f>
        <v>AMD</v>
      </c>
      <c r="D1533" s="196" t="str">
        <f>IFERROR(__xludf.DUMMYFUNCTION("""COMPUTED_VALUE"""),"                     
All Purpose Powder, 800 grams per Pack, Champion                                        SOAP-GEN-10-0001                        
")</f>
        <v>                     
All Purpose Powder, 800 grams per Pack, Champion                                        SOAP-GEN-10-0001                        
</v>
      </c>
      <c r="E1533" s="196" t="str">
        <f>IFERROR(__xludf.DUMMYFUNCTION("""COMPUTED_VALUE"""),"Stock Replenishment- Housekeeping											
")</f>
        <v>Stock Replenishment- Housekeeping											
</v>
      </c>
    </row>
    <row r="1534">
      <c r="A1534" s="234">
        <f>IFERROR(__xludf.DUMMYFUNCTION("""COMPUTED_VALUE"""),101825.0)</f>
        <v>101825</v>
      </c>
      <c r="B1534" s="235" t="str">
        <f>IFERROR(__xludf.DUMMYFUNCTION("""COMPUTED_VALUE"""),"PAUL ARAña")</f>
        <v>PAUL ARAña</v>
      </c>
      <c r="C1534" s="235" t="str">
        <f>IFERROR(__xludf.DUMMYFUNCTION("""COMPUTED_VALUE"""),"AV/MIS")</f>
        <v>AV/MIS</v>
      </c>
      <c r="D1534" s="196" t="str">
        <f>IFERROR(__xludf.DUMMYFUNCTION("""COMPUTED_VALUE"""),"GTX1070 DUAL 8G GDDR5 256BIT DVI-3DP HDMI (GRAPHIC CARD)")</f>
        <v>GTX1070 DUAL 8G GDDR5 256BIT DVI-3DP HDMI (GRAPHIC CARD)</v>
      </c>
      <c r="E1534" s="196" t="str">
        <f>IFERROR(__xludf.DUMMYFUNCTION("""COMPUTED_VALUE"""),"FOR REPLACEMENT OF GRAPHICS CARD OF MMA COMPUTER)")</f>
        <v>FOR REPLACEMENT OF GRAPHICS CARD OF MMA COMPUTER)</v>
      </c>
    </row>
    <row r="1535">
      <c r="A1535" s="234">
        <f>IFERROR(__xludf.DUMMYFUNCTION("""COMPUTED_VALUE"""),101826.0)</f>
        <v>101826</v>
      </c>
      <c r="B1535" s="235" t="str">
        <f>IFERROR(__xludf.DUMMYFUNCTION("""COMPUTED_VALUE"""),"PAUL ARAña")</f>
        <v>PAUL ARAña</v>
      </c>
      <c r="C1535" s="235" t="str">
        <f>IFERROR(__xludf.DUMMYFUNCTION("""COMPUTED_VALUE"""),"AV/MIS")</f>
        <v>AV/MIS</v>
      </c>
      <c r="D1535" s="196" t="str">
        <f>IFERROR(__xludf.DUMMYFUNCTION("""COMPUTED_VALUE"""),"CAM LOCK FILE CABINET MAILBOX  DESK ; DRAWER CUPBOARD LOCKER KEY")</f>
        <v>CAM LOCK FILE CABINET MAILBOX  DESK ; DRAWER CUPBOARD LOCKER KEY</v>
      </c>
      <c r="E1535" s="196" t="str">
        <f>IFERROR(__xludf.DUMMYFUNCTION("""COMPUTED_VALUE"""),"FOR REPLACEMENT OF TURNSTILE LOCK")</f>
        <v>FOR REPLACEMENT OF TURNSTILE LOCK</v>
      </c>
    </row>
    <row r="1536">
      <c r="A1536" s="234">
        <f>IFERROR(__xludf.DUMMYFUNCTION("""COMPUTED_VALUE"""),101827.0)</f>
        <v>101827</v>
      </c>
      <c r="B1536" s="235" t="str">
        <f>IFERROR(__xludf.DUMMYFUNCTION("""COMPUTED_VALUE"""),"JP RAGOT")</f>
        <v>JP RAGOT</v>
      </c>
      <c r="C1536" s="235" t="str">
        <f>IFERROR(__xludf.DUMMYFUNCTION("""COMPUTED_VALUE"""),"AMD")</f>
        <v>AMD</v>
      </c>
      <c r="D1536" s="196" t="str">
        <f>IFERROR(__xludf.DUMMYFUNCTION("""COMPUTED_VALUE"""),"CMOS Battery                                
Video Splitter 2-way                         
Hard Disk 1TB                                
USB Keyboard                                
USB Mouse Logitech                                
Power Supply Generic 6"&amp;"00watts                                
")</f>
        <v>CMOS Battery                                
Video Splitter 2-way                         
Hard Disk 1TB                                
USB Keyboard                                
USB Mouse Logitech                                
Power Supply Generic 600watts                                
</v>
      </c>
      <c r="E1536" s="196" t="str">
        <f>IFERROR(__xludf.DUMMYFUNCTION("""COMPUTED_VALUE"""),"STOCK REPLENISHMENT- MIS Warehouse")</f>
        <v>STOCK REPLENISHMENT- MIS Warehouse</v>
      </c>
    </row>
    <row r="1537">
      <c r="A1537" s="234">
        <f>IFERROR(__xludf.DUMMYFUNCTION("""COMPUTED_VALUE"""),101828.0)</f>
        <v>101828</v>
      </c>
      <c r="B1537" s="235" t="str">
        <f>IFERROR(__xludf.DUMMYFUNCTION("""COMPUTED_VALUE"""),"JP RAGOT")</f>
        <v>JP RAGOT</v>
      </c>
      <c r="C1537" s="235" t="str">
        <f>IFERROR(__xludf.DUMMYFUNCTION("""COMPUTED_VALUE"""),"AMD")</f>
        <v>AMD</v>
      </c>
      <c r="D1537" s="196" t="str">
        <f>IFERROR(__xludf.DUMMYFUNCTION("""COMPUTED_VALUE"""),"STRIP WIRE 4 INCHES				
STRIP WIRE 8 INCHES				
")</f>
        <v>STRIP WIRE 4 INCHES				
STRIP WIRE 8 INCHES				
</v>
      </c>
      <c r="E1537" s="196" t="str">
        <f>IFERROR(__xludf.DUMMYFUNCTION("""COMPUTED_VALUE"""),"STOCK REPLENISHMENT- MIS Warehouse")</f>
        <v>STOCK REPLENISHMENT- MIS Warehouse</v>
      </c>
    </row>
    <row r="1538">
      <c r="A1538" s="234">
        <f>IFERROR(__xludf.DUMMYFUNCTION("""COMPUTED_VALUE"""),101829.0)</f>
        <v>101829</v>
      </c>
      <c r="B1538" s="235" t="str">
        <f>IFERROR(__xludf.DUMMYFUNCTION("""COMPUTED_VALUE"""),"JP RAGOT")</f>
        <v>JP RAGOT</v>
      </c>
      <c r="C1538" s="235" t="str">
        <f>IFERROR(__xludf.DUMMYFUNCTION("""COMPUTED_VALUE"""),"AMD")</f>
        <v>AMD</v>
      </c>
      <c r="D1538" s="196" t="str">
        <f>IFERROR(__xludf.DUMMYFUNCTION("""COMPUTED_VALUE"""),"universal adaptor                                
Capacitor 3 uF (omni brand)                                
Capacitor 30 uF (omni brand)                                
faucet tanso                                
LED BULB 8W DAYLIGHT - PHILIPS         "&amp;"                       
LED BULB 3W MINI DAYLIGHT - PHILIPS                                
drawer lock (please check specs of 101511)                                
yale padlock 25mm                                
male plug                             "&amp;"   
electrical tape                                
")</f>
        <v>universal adaptor                                
Capacitor 3 uF (omni brand)                                
Capacitor 30 uF (omni brand)                                
faucet tanso                                
LED BULB 8W DAYLIGHT - PHILIPS                                
LED BULB 3W MINI DAYLIGHT - PHILIPS                                
drawer lock (please check specs of 101511)                                
yale padlock 25mm                                
male plug                                
electrical tape                                
</v>
      </c>
      <c r="E1538" s="196" t="str">
        <f>IFERROR(__xludf.DUMMYFUNCTION("""COMPUTED_VALUE"""),"STOCK REPLESNISHMENT- Engineering warehouse")</f>
        <v>STOCK REPLESNISHMENT- Engineering warehouse</v>
      </c>
    </row>
    <row r="1539">
      <c r="A1539" s="234">
        <f>IFERROR(__xludf.DUMMYFUNCTION("""COMPUTED_VALUE"""),101830.0)</f>
        <v>101830</v>
      </c>
      <c r="B1539" s="235" t="str">
        <f>IFERROR(__xludf.DUMMYFUNCTION("""COMPUTED_VALUE"""),"ADRIAN DE GUINTO")</f>
        <v>ADRIAN DE GUINTO</v>
      </c>
      <c r="C1539" s="235" t="str">
        <f>IFERROR(__xludf.DUMMYFUNCTION("""COMPUTED_VALUE"""),"PR &amp; MARKETING")</f>
        <v>PR &amp; MARKETING</v>
      </c>
      <c r="D1539" s="196" t="str">
        <f>IFERROR(__xludf.DUMMYFUNCTION("""COMPUTED_VALUE"""),"LOPEZ SGEN LOGO")</f>
        <v>LOPEZ SGEN LOGO</v>
      </c>
      <c r="E1539" s="196" t="str">
        <f>IFERROR(__xludf.DUMMYFUNCTION("""COMPUTED_VALUE"""),"FOR MARKETING PURPOSES")</f>
        <v>FOR MARKETING PURPOSES</v>
      </c>
    </row>
    <row r="1540">
      <c r="A1540" s="234">
        <f>IFERROR(__xludf.DUMMYFUNCTION("""COMPUTED_VALUE"""),101831.0)</f>
        <v>101831</v>
      </c>
      <c r="B1540" s="235" t="str">
        <f>IFERROR(__xludf.DUMMYFUNCTION("""COMPUTED_VALUE"""),"ARNEL MONTABLAN")</f>
        <v>ARNEL MONTABLAN</v>
      </c>
      <c r="C1540" s="235" t="str">
        <f>IFERROR(__xludf.DUMMYFUNCTION("""COMPUTED_VALUE"""),"REGISTRATION")</f>
        <v>REGISTRATION</v>
      </c>
      <c r="D1540" s="196" t="str">
        <f>IFERROR(__xludf.DUMMYFUNCTION("""COMPUTED_VALUE"""),"Double Burber ; Burner Hose")</f>
        <v>Double Burber ; Burner Hose</v>
      </c>
      <c r="E1540" s="196" t="str">
        <f>IFERROR(__xludf.DUMMYFUNCTION("""COMPUTED_VALUE"""),"dorm use")</f>
        <v>dorm use</v>
      </c>
    </row>
    <row r="1541">
      <c r="A1541" s="234">
        <f>IFERROR(__xludf.DUMMYFUNCTION("""COMPUTED_VALUE"""),101832.0)</f>
        <v>101832</v>
      </c>
      <c r="B1541" s="235" t="str">
        <f>IFERROR(__xludf.DUMMYFUNCTION("""COMPUTED_VALUE"""),"JP RAGOT")</f>
        <v>JP RAGOT</v>
      </c>
      <c r="C1541" s="235" t="str">
        <f>IFERROR(__xludf.DUMMYFUNCTION("""COMPUTED_VALUE"""),"AMD")</f>
        <v>AMD</v>
      </c>
      <c r="D1541" s="196" t="str">
        <f>IFERROR(__xludf.DUMMYFUNCTION("""COMPUTED_VALUE"""),"Bidet ; Rat catcher ; rain coat ; baby oil ; hand soap ; ariel ; hand wash ; mr. muscle")</f>
        <v>Bidet ; Rat catcher ; rain coat ; baby oil ; hand soap ; ariel ; hand wash ; mr. muscle</v>
      </c>
      <c r="E1541" s="196" t="str">
        <f>IFERROR(__xludf.DUMMYFUNCTION("""COMPUTED_VALUE"""),"stock replenihsment")</f>
        <v>stock replenihsment</v>
      </c>
    </row>
    <row r="1542">
      <c r="A1542" s="234">
        <f>IFERROR(__xludf.DUMMYFUNCTION("""COMPUTED_VALUE"""),101833.0)</f>
        <v>101833</v>
      </c>
      <c r="B1542" s="235" t="str">
        <f>IFERROR(__xludf.DUMMYFUNCTION("""COMPUTED_VALUE"""),"OWIE PAR")</f>
        <v>OWIE PAR</v>
      </c>
      <c r="C1542" s="235" t="str">
        <f>IFERROR(__xludf.DUMMYFUNCTION("""COMPUTED_VALUE"""),"ENGINEERING")</f>
        <v>ENGINEERING</v>
      </c>
      <c r="D1542" s="196" t="str">
        <f>IFERROR(__xludf.DUMMYFUNCTION("""COMPUTED_VALUE"""),"COCO LUMBER 2X3X8 ; COMMON NAIL 2"" ; COMMON NAIL 3"" ; LEVEL HOSE 1/4 "" ; CUTTING DISK 4"" ; CE,EMT ; WHITE SAND ; GRAVEL ; DEFORMED BAR  12 MM ; DEFORMED BAR 10MM;  G.I WIRE ; CHB 5 ; PLYWOOD ORDINARY")</f>
        <v>COCO LUMBER 2X3X8 ; COMMON NAIL 2" ; COMMON NAIL 3" ; LEVEL HOSE 1/4 " ; CUTTING DISK 4" ; CE,EMT ; WHITE SAND ; GRAVEL ; DEFORMED BAR  12 MM ; DEFORMED BAR 10MM;  G.I WIRE ; CHB 5 ; PLYWOOD ORDINARY</v>
      </c>
      <c r="E1542" s="196" t="str">
        <f>IFERROR(__xludf.DUMMYFUNCTION("""COMPUTED_VALUE"""),"CONSTRUCTION OF CONCRETE PERIMETER WALL IN TROPICAL PARKING ")</f>
        <v>CONSTRUCTION OF CONCRETE PERIMETER WALL IN TROPICAL PARKING </v>
      </c>
    </row>
    <row r="1543">
      <c r="A1543" s="234">
        <f>IFERROR(__xludf.DUMMYFUNCTION("""COMPUTED_VALUE"""),101834.0)</f>
        <v>101834</v>
      </c>
      <c r="B1543" s="235" t="str">
        <f>IFERROR(__xludf.DUMMYFUNCTION("""COMPUTED_VALUE"""),"ALFA DE LEON")</f>
        <v>ALFA DE LEON</v>
      </c>
      <c r="C1543" s="235" t="str">
        <f>IFERROR(__xludf.DUMMYFUNCTION("""COMPUTED_VALUE"""),"HOUSEKEEPING")</f>
        <v>HOUSEKEEPING</v>
      </c>
      <c r="D1543" s="196" t="str">
        <f>IFERROR(__xludf.DUMMYFUNCTION("""COMPUTED_VALUE"""),"PICARA PLANTS ; PANDANUS PLANTS ; POKYANTE PLANTS ; FORGET ME NOT PLANTS ; BIG RUBBER POTS")</f>
        <v>PICARA PLANTS ; PANDANUS PLANTS ; POKYANTE PLANTS ; FORGET ME NOT PLANTS ; BIG RUBBER POTS</v>
      </c>
      <c r="E1543" s="196" t="str">
        <f>IFERROR(__xludf.DUMMYFUNCTION("""COMPUTED_VALUE"""),"STAR CAMPUS GARDEN REHABILITATION")</f>
        <v>STAR CAMPUS GARDEN REHABILITATION</v>
      </c>
    </row>
    <row r="1544">
      <c r="A1544" s="234">
        <f>IFERROR(__xludf.DUMMYFUNCTION("""COMPUTED_VALUE"""),101835.0)</f>
        <v>101835</v>
      </c>
      <c r="B1544" s="235" t="str">
        <f>IFERROR(__xludf.DUMMYFUNCTION("""COMPUTED_VALUE"""),"OWIE PAR")</f>
        <v>OWIE PAR</v>
      </c>
      <c r="C1544" s="235" t="str">
        <f>IFERROR(__xludf.DUMMYFUNCTION("""COMPUTED_VALUE"""),"ENGINEERING")</f>
        <v>ENGINEERING</v>
      </c>
      <c r="D1544" s="196" t="str">
        <f>IFERROR(__xludf.DUMMYFUNCTION("""COMPUTED_VALUE"""),"TOILET BOWL SET WITH TANK FITTINGS")</f>
        <v>TOILET BOWL SET WITH TANK FITTINGS</v>
      </c>
      <c r="E1544" s="196" t="str">
        <f>IFERROR(__xludf.DUMMYFUNCTION("""COMPUTED_VALUE"""),"FOR CEM")</f>
        <v>FOR CEM</v>
      </c>
    </row>
    <row r="1545">
      <c r="A1545" s="234">
        <f>IFERROR(__xludf.DUMMYFUNCTION("""COMPUTED_VALUE"""),101836.0)</f>
        <v>101836</v>
      </c>
      <c r="B1545" s="235" t="str">
        <f>IFERROR(__xludf.DUMMYFUNCTION("""COMPUTED_VALUE"""),"ADRIAN DE GUINTO")</f>
        <v>ADRIAN DE GUINTO</v>
      </c>
      <c r="C1545" s="235" t="str">
        <f>IFERROR(__xludf.DUMMYFUNCTION("""COMPUTED_VALUE"""),"PR &amp; MARKETING")</f>
        <v>PR &amp; MARKETING</v>
      </c>
      <c r="D1545" s="196" t="str">
        <f>IFERROR(__xludf.DUMMYFUNCTION("""COMPUTED_VALUE"""),"ROPE FOR MUNICH TARP")</f>
        <v>ROPE FOR MUNICH TARP</v>
      </c>
      <c r="E1545" s="196" t="str">
        <f>IFERROR(__xludf.DUMMYFUNCTION("""COMPUTED_VALUE"""),"MARKETING ")</f>
        <v>MARKETING </v>
      </c>
    </row>
    <row r="1546">
      <c r="A1546" s="234">
        <f>IFERROR(__xludf.DUMMYFUNCTION("""COMPUTED_VALUE"""),101837.0)</f>
        <v>101837</v>
      </c>
      <c r="B1546" s="235" t="str">
        <f>IFERROR(__xludf.DUMMYFUNCTION("""COMPUTED_VALUE"""),"ALFA DE LEON")</f>
        <v>ALFA DE LEON</v>
      </c>
      <c r="C1546" s="235" t="str">
        <f>IFERROR(__xludf.DUMMYFUNCTION("""COMPUTED_VALUE"""),"ADMIN - MUNICH")</f>
        <v>ADMIN - MUNICH</v>
      </c>
      <c r="D1546" s="196" t="str">
        <f>IFERROR(__xludf.DUMMYFUNCTION("""COMPUTED_VALUE"""),"OVERHEAD DOOR CLOSER")</f>
        <v>OVERHEAD DOOR CLOSER</v>
      </c>
      <c r="E1546" s="196" t="str">
        <f>IFERROR(__xludf.DUMMYFUNCTION("""COMPUTED_VALUE"""),"REPAIR OF MUNICH GLASS DOOR")</f>
        <v>REPAIR OF MUNICH GLASS DOOR</v>
      </c>
    </row>
    <row r="1547">
      <c r="A1547" s="234">
        <f>IFERROR(__xludf.DUMMYFUNCTION("""COMPUTED_VALUE"""),101838.0)</f>
        <v>101838</v>
      </c>
      <c r="B1547" s="235" t="str">
        <f>IFERROR(__xludf.DUMMYFUNCTION("""COMPUTED_VALUE"""),"CARLITO DELA VEGA")</f>
        <v>CARLITO DELA VEGA</v>
      </c>
      <c r="C1547" s="235" t="str">
        <f>IFERROR(__xludf.DUMMYFUNCTION("""COMPUTED_VALUE"""),"SECURITY")</f>
        <v>SECURITY</v>
      </c>
      <c r="D1547" s="196" t="str">
        <f>IFERROR(__xludf.DUMMYFUNCTION("""COMPUTED_VALUE"""),"TAPRPAULIN 3X4 WITH EYELET")</f>
        <v>TAPRPAULIN 3X4 WITH EYELET</v>
      </c>
      <c r="E1547" s="196" t="str">
        <f>IFERROR(__xludf.DUMMYFUNCTION("""COMPUTED_VALUE"""),"SIGNANGE FOR TROPICAL PARKING TRESPASSERS")</f>
        <v>SIGNANGE FOR TROPICAL PARKING TRESPASSERS</v>
      </c>
    </row>
    <row r="1548">
      <c r="A1548" s="234">
        <f>IFERROR(__xludf.DUMMYFUNCTION("""COMPUTED_VALUE"""),101839.0)</f>
        <v>101839</v>
      </c>
      <c r="B1548" s="235" t="str">
        <f>IFERROR(__xludf.DUMMYFUNCTION("""COMPUTED_VALUE"""),"RONALD VERDE")</f>
        <v>RONALD VERDE</v>
      </c>
      <c r="C1548" s="235" t="str">
        <f>IFERROR(__xludf.DUMMYFUNCTION("""COMPUTED_VALUE"""),"TRANSPORTATION")</f>
        <v>TRANSPORTATION</v>
      </c>
      <c r="D1548" s="196" t="str">
        <f>IFERROR(__xludf.DUMMYFUNCTION("""COMPUTED_VALUE"""),"YOKOHAMA TIRES / TINGGA")</f>
        <v>YOKOHAMA TIRES / TINGGA</v>
      </c>
      <c r="E1548" s="196" t="str">
        <f>IFERROR(__xludf.DUMMYFUNCTION("""COMPUTED_VALUE"""),"PM FOR SISC VIOS")</f>
        <v>PM FOR SISC VIOS</v>
      </c>
    </row>
    <row r="1549">
      <c r="A1549" s="234">
        <f>IFERROR(__xludf.DUMMYFUNCTION("""COMPUTED_VALUE"""),101840.0)</f>
        <v>101840</v>
      </c>
      <c r="B1549" s="235" t="str">
        <f>IFERROR(__xludf.DUMMYFUNCTION("""COMPUTED_VALUE"""),"RONALD VERDER")</f>
        <v>RONALD VERDER</v>
      </c>
      <c r="C1549" s="235" t="str">
        <f>IFERROR(__xludf.DUMMYFUNCTION("""COMPUTED_VALUE"""),"TRANSPORTATION")</f>
        <v>TRANSPORTATION</v>
      </c>
      <c r="D1549" s="196" t="str">
        <f>IFERROR(__xludf.DUMMYFUNCTION("""COMPUTED_VALUE"""),"BRAKE MASTER ASSY")</f>
        <v>BRAKE MASTER ASSY</v>
      </c>
      <c r="E1549" s="196" t="str">
        <f>IFERROR(__xludf.DUMMYFUNCTION("""COMPUTED_VALUE"""),"PM SISC VAN")</f>
        <v>PM SISC VAN</v>
      </c>
    </row>
    <row r="1550">
      <c r="A1550" s="234">
        <f>IFERROR(__xludf.DUMMYFUNCTION("""COMPUTED_VALUE"""),101841.0)</f>
        <v>101841</v>
      </c>
      <c r="B1550" s="235" t="str">
        <f>IFERROR(__xludf.DUMMYFUNCTION("""COMPUTED_VALUE"""),"OWIE PAR")</f>
        <v>OWIE PAR</v>
      </c>
      <c r="C1550" s="235" t="str">
        <f>IFERROR(__xludf.DUMMYFUNCTION("""COMPUTED_VALUE"""),"ENGINEERING")</f>
        <v>ENGINEERING</v>
      </c>
      <c r="D1550" s="196" t="str">
        <f>IFERROR(__xludf.DUMMYFUNCTION("""COMPUTED_VALUE"""),"THHN 14 PD ; PVC MOULDING; SCREW; MASONRY BIT; FLEXIBLE CONDUIT ; ELECTRICAL TAPE")</f>
        <v>THHN 14 PD ; PVC MOULDING; SCREW; MASONRY BIT; FLEXIBLE CONDUIT ; ELECTRICAL TAPE</v>
      </c>
      <c r="E1550" s="196" t="str">
        <f>IFERROR(__xludf.DUMMYFUNCTION("""COMPUTED_VALUE"""),"TO POWER UP NEW INSTALLED EXIT SIGNAGE")</f>
        <v>TO POWER UP NEW INSTALLED EXIT SIGNAGE</v>
      </c>
    </row>
    <row r="1551">
      <c r="A1551" s="234">
        <f>IFERROR(__xludf.DUMMYFUNCTION("""COMPUTED_VALUE"""),101842.0)</f>
        <v>101842</v>
      </c>
      <c r="B1551" s="235" t="str">
        <f>IFERROR(__xludf.DUMMYFUNCTION("""COMPUTED_VALUE"""),"CARLITO DELA VEGA")</f>
        <v>CARLITO DELA VEGA</v>
      </c>
      <c r="C1551" s="235" t="str">
        <f>IFERROR(__xludf.DUMMYFUNCTION("""COMPUTED_VALUE"""),"SECURITY")</f>
        <v>SECURITY</v>
      </c>
      <c r="D1551" s="196" t="str">
        <f>IFERROR(__xludf.DUMMYFUNCTION("""COMPUTED_VALUE"""),"G.1 TUBULAR BAR; TEXSCREW; WELDING ROD ; PAINT THINNER")</f>
        <v>G.1 TUBULAR BAR; TEXSCREW; WELDING ROD ; PAINT THINNER</v>
      </c>
      <c r="E1551" s="196" t="str">
        <f>IFERROR(__xludf.DUMMYFUNCTION("""COMPUTED_VALUE"""),"ENCLOSURE OF TROPICAL PARKING ALONG TROPICAL AVENUE")</f>
        <v>ENCLOSURE OF TROPICAL PARKING ALONG TROPICAL AVENUE</v>
      </c>
    </row>
    <row r="1552">
      <c r="A1552" s="234">
        <f>IFERROR(__xludf.DUMMYFUNCTION("""COMPUTED_VALUE"""),101843.0)</f>
        <v>101843</v>
      </c>
      <c r="B1552" s="235" t="str">
        <f>IFERROR(__xludf.DUMMYFUNCTION("""COMPUTED_VALUE"""),"OWIE PAR")</f>
        <v>OWIE PAR</v>
      </c>
      <c r="C1552" s="235" t="str">
        <f>IFERROR(__xludf.DUMMYFUNCTION("""COMPUTED_VALUE"""),"ENGINEERING")</f>
        <v>ENGINEERING</v>
      </c>
      <c r="D1552" s="196" t="str">
        <f>IFERROR(__xludf.DUMMYFUNCTION("""COMPUTED_VALUE"""),"PARKING LIGHTS 50W")</f>
        <v>PARKING LIGHTS 50W</v>
      </c>
      <c r="E1552" s="196" t="str">
        <f>IFERROR(__xludf.DUMMYFUNCTION("""COMPUTED_VALUE"""),"FOR BIG TARP ALONG TROPICAL CORNER")</f>
        <v>FOR BIG TARP ALONG TROPICAL CORNER</v>
      </c>
    </row>
    <row r="1553">
      <c r="A1553" s="234">
        <f>IFERROR(__xludf.DUMMYFUNCTION("""COMPUTED_VALUE"""),101844.0)</f>
        <v>101844</v>
      </c>
      <c r="B1553" s="235" t="str">
        <f>IFERROR(__xludf.DUMMYFUNCTION("""COMPUTED_VALUE"""),"OWIE PAR")</f>
        <v>OWIE PAR</v>
      </c>
      <c r="C1553" s="235" t="str">
        <f>IFERROR(__xludf.DUMMYFUNCTION("""COMPUTED_VALUE"""),"ENGINEERING")</f>
        <v>ENGINEERING</v>
      </c>
      <c r="D1553" s="196" t="str">
        <f>IFERROR(__xludf.DUMMYFUNCTION("""COMPUTED_VALUE"""),"CHLORINE POWDER ; HEAVY DUTY GREASE GUN; GREASE; FLOAT SWITCH")</f>
        <v>CHLORINE POWDER ; HEAVY DUTY GREASE GUN; GREASE; FLOAT SWITCH</v>
      </c>
      <c r="E1553" s="196" t="str">
        <f>IFERROR(__xludf.DUMMYFUNCTION("""COMPUTED_VALUE"""),"FOR TREATMENT OF WATER PUMP")</f>
        <v>FOR TREATMENT OF WATER PUMP</v>
      </c>
    </row>
    <row r="1554">
      <c r="A1554" s="234">
        <f>IFERROR(__xludf.DUMMYFUNCTION("""COMPUTED_VALUE"""),101845.0)</f>
        <v>101845</v>
      </c>
      <c r="B1554" s="235" t="str">
        <f>IFERROR(__xludf.DUMMYFUNCTION("""COMPUTED_VALUE"""),"OWIE PAR")</f>
        <v>OWIE PAR</v>
      </c>
      <c r="C1554" s="235" t="str">
        <f>IFERROR(__xludf.DUMMYFUNCTION("""COMPUTED_VALUE"""),"ENGINEERING")</f>
        <v>ENGINEERING</v>
      </c>
      <c r="D1554" s="196" t="str">
        <f>IFERROR(__xludf.DUMMYFUNCTION("""COMPUTED_VALUE"""),"HOLIDAY EPOXY")</f>
        <v>HOLIDAY EPOXY</v>
      </c>
      <c r="E1554" s="196" t="str">
        <f>IFERROR(__xludf.DUMMYFUNCTION("""COMPUTED_VALUE"""),"FOR PLUMBING")</f>
        <v>FOR PLUMBING</v>
      </c>
    </row>
    <row r="1555">
      <c r="A1555" s="234">
        <f>IFERROR(__xludf.DUMMYFUNCTION("""COMPUTED_VALUE"""),101846.0)</f>
        <v>101846</v>
      </c>
      <c r="B1555" s="235" t="str">
        <f>IFERROR(__xludf.DUMMYFUNCTION("""COMPUTED_VALUE"""),"RONALD OBLENO")</f>
        <v>RONALD OBLENO</v>
      </c>
      <c r="C1555" s="235" t="str">
        <f>IFERROR(__xludf.DUMMYFUNCTION("""COMPUTED_VALUE"""),"AV/MIS")</f>
        <v>AV/MIS</v>
      </c>
      <c r="D1555" s="196" t="str">
        <f>IFERROR(__xludf.DUMMYFUNCTION("""COMPUTED_VALUE"""),"ATEN 30M VGA CABLE HD 15 PIN MALE INPUT &amp; OUTPUT")</f>
        <v>ATEN 30M VGA CABLE HD 15 PIN MALE INPUT &amp; OUTPUT</v>
      </c>
      <c r="E1555" s="196" t="str">
        <f>IFERROR(__xludf.DUMMYFUNCTION("""COMPUTED_VALUE"""),"REPLACEMENT OF DEFECTIVE VGA CABLE FOR LUX HALL")</f>
        <v>REPLACEMENT OF DEFECTIVE VGA CABLE FOR LUX HALL</v>
      </c>
    </row>
    <row r="1556">
      <c r="A1556" s="234">
        <f>IFERROR(__xludf.DUMMYFUNCTION("""COMPUTED_VALUE"""),101847.0)</f>
        <v>101847</v>
      </c>
      <c r="B1556" s="235" t="str">
        <f>IFERROR(__xludf.DUMMYFUNCTION("""COMPUTED_VALUE"""),"RONALD OBLENO")</f>
        <v>RONALD OBLENO</v>
      </c>
      <c r="C1556" s="235" t="str">
        <f>IFERROR(__xludf.DUMMYFUNCTION("""COMPUTED_VALUE"""),"AV/MIS")</f>
        <v>AV/MIS</v>
      </c>
      <c r="D1556" s="196" t="str">
        <f>IFERROR(__xludf.DUMMYFUNCTION("""COMPUTED_VALUE"""),"ATEN 20M HDMI CABLE SUPER VIDEO QUALITY UP TO 4K")</f>
        <v>ATEN 20M HDMI CABLE SUPER VIDEO QUALITY UP TO 4K</v>
      </c>
      <c r="E1556" s="196" t="str">
        <f>IFERROR(__xludf.DUMMYFUNCTION("""COMPUTED_VALUE"""),"REPLACEMENT OF DEFECTIVE VGA CABLE FOR LUX HALL")</f>
        <v>REPLACEMENT OF DEFECTIVE VGA CABLE FOR LUX HALL</v>
      </c>
    </row>
    <row r="1557">
      <c r="A1557" s="234">
        <f>IFERROR(__xludf.DUMMYFUNCTION("""COMPUTED_VALUE"""),101848.0)</f>
        <v>101848</v>
      </c>
      <c r="B1557" s="235" t="str">
        <f>IFERROR(__xludf.DUMMYFUNCTION("""COMPUTED_VALUE"""),"GLT")</f>
        <v>GLT</v>
      </c>
      <c r="C1557" s="235" t="str">
        <f>IFERROR(__xludf.DUMMYFUNCTION("""COMPUTED_VALUE"""),"CEM OFFICE")</f>
        <v>CEM OFFICE</v>
      </c>
      <c r="D1557" s="196" t="str">
        <f>IFERROR(__xludf.DUMMYFUNCTION("""COMPUTED_VALUE"""),"LENOVO IDEA PADSLIM i3 ; ACER ASPIRE A-31-54K-35V8 i3")</f>
        <v>LENOVO IDEA PADSLIM i3 ; ACER ASPIRE A-31-54K-35V8 i3</v>
      </c>
      <c r="E1557" s="196" t="str">
        <f>IFERROR(__xludf.DUMMYFUNCTION("""COMPUTED_VALUE"""),"OFFICE USE OF STAFF (WFH)")</f>
        <v>OFFICE USE OF STAFF (WFH)</v>
      </c>
    </row>
    <row r="1558">
      <c r="A1558" s="234">
        <f>IFERROR(__xludf.DUMMYFUNCTION("""COMPUTED_VALUE"""),101849.0)</f>
        <v>101849</v>
      </c>
      <c r="B1558" s="235" t="str">
        <f>IFERROR(__xludf.DUMMYFUNCTION("""COMPUTED_VALUE"""),"ADRIAN DE GUINTO")</f>
        <v>ADRIAN DE GUINTO</v>
      </c>
      <c r="C1558" s="235" t="str">
        <f>IFERROR(__xludf.DUMMYFUNCTION("""COMPUTED_VALUE"""),"PR &amp; MARKETING")</f>
        <v>PR &amp; MARKETING</v>
      </c>
      <c r="D1558" s="196" t="str">
        <f>IFERROR(__xludf.DUMMYFUNCTION("""COMPUTED_VALUE"""),"120X286 STAR/ELI TARP")</f>
        <v>120X286 STAR/ELI TARP</v>
      </c>
      <c r="E1558" s="196" t="str">
        <f>IFERROR(__xludf.DUMMYFUNCTION("""COMPUTED_VALUE"""),"MARKETING ")</f>
        <v>MARKETING </v>
      </c>
    </row>
    <row r="1559">
      <c r="A1559" s="234">
        <f>IFERROR(__xludf.DUMMYFUNCTION("""COMPUTED_VALUE"""),101850.0)</f>
        <v>101850</v>
      </c>
      <c r="B1559" s="235" t="str">
        <f>IFERROR(__xludf.DUMMYFUNCTION("""COMPUTED_VALUE"""),"ADRIAN DE GUINTO")</f>
        <v>ADRIAN DE GUINTO</v>
      </c>
      <c r="C1559" s="235" t="str">
        <f>IFERROR(__xludf.DUMMYFUNCTION("""COMPUTED_VALUE"""),"PR &amp; MARKETING")</f>
        <v>PR &amp; MARKETING</v>
      </c>
      <c r="D1559" s="196" t="str">
        <f>IFERROR(__xludf.DUMMYFUNCTION("""COMPUTED_VALUE"""),"ADMISSION ENROLLMENT AY 21-22 6.5 X 13.5 FT")</f>
        <v>ADMISSION ENROLLMENT AY 21-22 6.5 X 13.5 FT</v>
      </c>
      <c r="E1559" s="196" t="str">
        <f>IFERROR(__xludf.DUMMYFUNCTION("""COMPUTED_VALUE"""),"MARKETING ")</f>
        <v>MARKETING </v>
      </c>
    </row>
    <row r="1560">
      <c r="A1560" s="234">
        <f>IFERROR(__xludf.DUMMYFUNCTION("""COMPUTED_VALUE"""),101851.0)</f>
        <v>101851</v>
      </c>
      <c r="B1560" s="235" t="str">
        <f>IFERROR(__xludf.DUMMYFUNCTION("""COMPUTED_VALUE"""),"ELYDIA REYES")</f>
        <v>ELYDIA REYES</v>
      </c>
      <c r="C1560" s="235" t="str">
        <f>IFERROR(__xludf.DUMMYFUNCTION("""COMPUTED_VALUE"""),"PR &amp; MARKETING")</f>
        <v>PR &amp; MARKETING</v>
      </c>
      <c r="D1560" s="196" t="str">
        <f>IFERROR(__xludf.DUMMYFUNCTION("""COMPUTED_VALUE"""),"BILLBOARD PRINTING")</f>
        <v>BILLBOARD PRINTING</v>
      </c>
      <c r="E1560" s="196" t="str">
        <f>IFERROR(__xludf.DUMMYFUNCTION("""COMPUTED_VALUE"""),"MARKETING ")</f>
        <v>MARKETING </v>
      </c>
    </row>
    <row r="1561">
      <c r="A1561" s="234">
        <f>IFERROR(__xludf.DUMMYFUNCTION("""COMPUTED_VALUE"""),101852.0)</f>
        <v>101852</v>
      </c>
      <c r="B1561" s="235" t="str">
        <f>IFERROR(__xludf.DUMMYFUNCTION("""COMPUTED_VALUE"""),"WEN CHARLS MACMAC")</f>
        <v>WEN CHARLS MACMAC</v>
      </c>
      <c r="C1561" s="235" t="str">
        <f>IFERROR(__xludf.DUMMYFUNCTION("""COMPUTED_VALUE"""),"REGISTRATION")</f>
        <v>REGISTRATION</v>
      </c>
      <c r="D1561" s="196" t="str">
        <f>IFERROR(__xludf.DUMMYFUNCTION("""COMPUTED_VALUE"""),"DIPLOMA HOLDER; PERSONALIZED SOUTHVILLE ENVELOPE")</f>
        <v>DIPLOMA HOLDER; PERSONALIZED SOUTHVILLE ENVELOPE</v>
      </c>
      <c r="E1561" s="196" t="str">
        <f>IFERROR(__xludf.DUMMYFUNCTION("""COMPUTED_VALUE"""),"FOR PRINTING OF DIPLOMA NAD SCHOOL RECORDS")</f>
        <v>FOR PRINTING OF DIPLOMA NAD SCHOOL RECORDS</v>
      </c>
    </row>
    <row r="1562">
      <c r="A1562" s="234">
        <f>IFERROR(__xludf.DUMMYFUNCTION("""COMPUTED_VALUE"""),101853.0)</f>
        <v>101853</v>
      </c>
      <c r="B1562" s="235" t="str">
        <f>IFERROR(__xludf.DUMMYFUNCTION("""COMPUTED_VALUE"""),"ROIE RAYMUNDO")</f>
        <v>ROIE RAYMUNDO</v>
      </c>
      <c r="C1562" s="235" t="str">
        <f>IFERROR(__xludf.DUMMYFUNCTION("""COMPUTED_VALUE"""),"AV/MIS")</f>
        <v>AV/MIS</v>
      </c>
      <c r="D1562" s="196" t="str">
        <f>IFERROR(__xludf.DUMMYFUNCTION("""COMPUTED_VALUE"""),"NAS DEVISE AND 8 PCS. 4 TB SEAGATE HARD DRIVE ")</f>
        <v>NAS DEVISE AND 8 PCS. 4 TB SEAGATE HARD DRIVE </v>
      </c>
      <c r="E1562" s="196" t="str">
        <f>IFERROR(__xludf.DUMMYFUNCTION("""COMPUTED_VALUE"""),"TO PURCHASE NEW VERSION &amp; MODEL OF NAS")</f>
        <v>TO PURCHASE NEW VERSION &amp; MODEL OF NAS</v>
      </c>
    </row>
    <row r="1563">
      <c r="A1563" s="234">
        <f>IFERROR(__xludf.DUMMYFUNCTION("""COMPUTED_VALUE"""),101854.0)</f>
        <v>101854</v>
      </c>
      <c r="B1563" s="235" t="str">
        <f>IFERROR(__xludf.DUMMYFUNCTION("""COMPUTED_VALUE"""),"JP RAGOT")</f>
        <v>JP RAGOT</v>
      </c>
      <c r="C1563" s="235" t="str">
        <f>IFERROR(__xludf.DUMMYFUNCTION("""COMPUTED_VALUE"""),"AMD")</f>
        <v>AMD</v>
      </c>
      <c r="D1563" s="196" t="str">
        <f>IFERROR(__xludf.DUMMYFUNCTION("""COMPUTED_VALUE"""),"Paper, Parchment - 9 X 12 Ordinary                                        PAPR-GEN-10-0025                        
Paper, Parchment - 8.5x11 Ordinary                                        PAPR-GEN-10-0041                        
Paper, SISC Letterhead Co"&amp;"lored Short                                        PAPR-SIS-10-0001                        
Plastic Cover, Gauge 4 48'W                                        COVR-GEN-10-0001                        
Ballpen, Dong-A My Gel Black 0.5					PENS-DON-10-0001	
"&amp;"
")</f>
        <v>Paper, Parchment - 9 X 12 Ordinary                                        PAPR-GEN-10-0025                        
Paper, Parchment - 8.5x11 Ordinary                                        PAPR-GEN-10-0041                        
Paper, SISC Letterhead Colored Short                                        PAPR-SIS-10-0001                        
Plastic Cover, Gauge 4 48'W                                        COVR-GEN-10-0001                        
Ballpen, Dong-A My Gel Black 0.5					PENS-DON-10-0001	
</v>
      </c>
      <c r="E1563" s="196" t="str">
        <f>IFERROR(__xludf.DUMMYFUNCTION("""COMPUTED_VALUE"""),"STOCK REPLENISHMENT- OSSUP")</f>
        <v>STOCK REPLENISHMENT- OSSUP</v>
      </c>
    </row>
    <row r="1564">
      <c r="A1564" s="234">
        <f>IFERROR(__xludf.DUMMYFUNCTION("""COMPUTED_VALUE"""),101855.0)</f>
        <v>101855</v>
      </c>
      <c r="B1564" s="235" t="str">
        <f>IFERROR(__xludf.DUMMYFUNCTION("""COMPUTED_VALUE"""),"JP RAGOT")</f>
        <v>JP RAGOT</v>
      </c>
      <c r="C1564" s="235" t="str">
        <f>IFERROR(__xludf.DUMMYFUNCTION("""COMPUTED_VALUE"""),"AMD")</f>
        <v>AMD</v>
      </c>
      <c r="D1564" s="196" t="str">
        <f>IFERROR(__xludf.DUMMYFUNCTION("""COMPUTED_VALUE"""),"Paper, Copy-Laser Sub. 20 Long White					PAPR-COP-10-0001			
Paper, Copy-Laser Sub. 20 Short White					PAPR-COP-10-0002			
Paper, Copy-Laser A4 Sub. 20 White					PAPR-COP-10-0003			
")</f>
        <v>Paper, Copy-Laser Sub. 20 Long White					PAPR-COP-10-0001			
Paper, Copy-Laser Sub. 20 Short White					PAPR-COP-10-0002			
Paper, Copy-Laser A4 Sub. 20 White					PAPR-COP-10-0003			
</v>
      </c>
      <c r="E1564" s="196" t="str">
        <f>IFERROR(__xludf.DUMMYFUNCTION("""COMPUTED_VALUE"""),"STOCK REPLENISHMENT- OSSUP")</f>
        <v>STOCK REPLENISHMENT- OSSUP</v>
      </c>
    </row>
    <row r="1565">
      <c r="A1565" s="234">
        <f>IFERROR(__xludf.DUMMYFUNCTION("""COMPUTED_VALUE"""),101856.0)</f>
        <v>101856</v>
      </c>
      <c r="B1565" s="235" t="str">
        <f>IFERROR(__xludf.DUMMYFUNCTION("""COMPUTED_VALUE"""),"OWIE PAR")</f>
        <v>OWIE PAR</v>
      </c>
      <c r="C1565" s="235" t="str">
        <f>IFERROR(__xludf.DUMMYFUNCTION("""COMPUTED_VALUE"""),"ENGINEERING")</f>
        <v>ENGINEERING</v>
      </c>
      <c r="D1565" s="196" t="str">
        <f>IFERROR(__xludf.DUMMYFUNCTION("""COMPUTED_VALUE"""),"MARINE PLYWOOD; 2X2X8 S4S KD; 2X3X8 S4S KD;COMMON NALS 1 2 3 ; FLAT WALL ENAMEL; FLAT LATEX; SKIM COAT;SAND PAPER; ROOF GUARD; PAINT BRUSH; EPOXY; VULCASEAL; PVC MOULDING; CLEAR GLASS; GLASS SEALANT; PAINT THINNER; ORDINARY FAUCET;TEPLON; LACQUER THINNER;"&amp;" FLEXIBLE CONDUIT PIPE     addt'l  as of 4/21/2021-  ROLLER #7, 2520 SAMAR BEIGE, 2 GANG SWITCH OMNI, GYPSUM SCREW 1/2"", SAMAR BEIGE, RUST CONVERTER, BLIND RIVETS CW #3, BLACK SCREW")</f>
        <v>MARINE PLYWOOD; 2X2X8 S4S KD; 2X3X8 S4S KD;COMMON NALS 1 2 3 ; FLAT WALL ENAMEL; FLAT LATEX; SKIM COAT;SAND PAPER; ROOF GUARD; PAINT BRUSH; EPOXY; VULCASEAL; PVC MOULDING; CLEAR GLASS; GLASS SEALANT; PAINT THINNER; ORDINARY FAUCET;TEPLON; LACQUER THINNER; FLEXIBLE CONDUIT PIPE     addt'l  as of 4/21/2021-  ROLLER #7, 2520 SAMAR BEIGE, 2 GANG SWITCH OMNI, GYPSUM SCREW 1/2", SAMAR BEIGE, RUST CONVERTER, BLIND RIVETS CW #3, BLACK SCREW</v>
      </c>
      <c r="E1565" s="196" t="str">
        <f>IFERROR(__xludf.DUMMYFUNCTION("""COMPUTED_VALUE"""),"REPAIR IN ELIZALDE BASED ON JAN 20 2021 AUDIT")</f>
        <v>REPAIR IN ELIZALDE BASED ON JAN 20 2021 AUDIT</v>
      </c>
    </row>
    <row r="1566">
      <c r="A1566" s="234">
        <f>IFERROR(__xludf.DUMMYFUNCTION("""COMPUTED_VALUE"""),101857.0)</f>
        <v>101857</v>
      </c>
      <c r="B1566" s="235" t="str">
        <f>IFERROR(__xludf.DUMMYFUNCTION("""COMPUTED_VALUE"""),"OWIE PAR")</f>
        <v>OWIE PAR</v>
      </c>
      <c r="C1566" s="235" t="str">
        <f>IFERROR(__xludf.DUMMYFUNCTION("""COMPUTED_VALUE"""),"ENGINEERING")</f>
        <v>ENGINEERING</v>
      </c>
      <c r="D1566" s="196" t="str">
        <f>IFERROR(__xludf.DUMMYFUNCTION("""COMPUTED_VALUE"""),"PANASONIC CEILING SUSPENDED ACU INVERTER")</f>
        <v>PANASONIC CEILING SUSPENDED ACU INVERTER</v>
      </c>
      <c r="E1566" s="196" t="str">
        <f>IFERROR(__xludf.DUMMYFUNCTION("""COMPUTED_VALUE"""),"FOR COMLAB 2")</f>
        <v>FOR COMLAB 2</v>
      </c>
    </row>
    <row r="1567">
      <c r="A1567" s="234">
        <f>IFERROR(__xludf.DUMMYFUNCTION("""COMPUTED_VALUE"""),101858.0)</f>
        <v>101858</v>
      </c>
      <c r="B1567" s="235" t="str">
        <f>IFERROR(__xludf.DUMMYFUNCTION("""COMPUTED_VALUE"""),"OWIE PAR")</f>
        <v>OWIE PAR</v>
      </c>
      <c r="C1567" s="235" t="str">
        <f>IFERROR(__xludf.DUMMYFUNCTION("""COMPUTED_VALUE"""),"ENGINEERING")</f>
        <v>ENGINEERING</v>
      </c>
      <c r="D1567" s="196" t="str">
        <f>IFERROR(__xludf.DUMMYFUNCTION("""COMPUTED_VALUE"""),"ROOF GUARD; PAINT BRUSH; RED OXIDE; PAINT BRUSH (2); PAINT THINNER")</f>
        <v>ROOF GUARD; PAINT BRUSH; RED OXIDE; PAINT BRUSH (2); PAINT THINNER</v>
      </c>
      <c r="E1567" s="196" t="str">
        <f>IFERROR(__xludf.DUMMYFUNCTION("""COMPUTED_VALUE"""),"REPAINTING OF UPPER ROOF LSHAPE")</f>
        <v>REPAINTING OF UPPER ROOF LSHAPE</v>
      </c>
    </row>
    <row r="1568">
      <c r="A1568" s="234">
        <f>IFERROR(__xludf.DUMMYFUNCTION("""COMPUTED_VALUE"""),101859.0)</f>
        <v>101859</v>
      </c>
      <c r="B1568" s="235" t="str">
        <f>IFERROR(__xludf.DUMMYFUNCTION("""COMPUTED_VALUE"""),"ELMIE LAUDIATO")</f>
        <v>ELMIE LAUDIATO</v>
      </c>
      <c r="C1568" s="235" t="str">
        <f>IFERROR(__xludf.DUMMYFUNCTION("""COMPUTED_VALUE"""),"HRMD")</f>
        <v>HRMD</v>
      </c>
      <c r="D1568" s="196" t="str">
        <f>IFERROR(__xludf.DUMMYFUNCTION("""COMPUTED_VALUE"""),"FLOWER WREATH")</f>
        <v>FLOWER WREATH</v>
      </c>
      <c r="E1568" s="196" t="str">
        <f>IFERROR(__xludf.DUMMYFUNCTION("""COMPUTED_VALUE"""),"WREATH FOR MS. LIZA BULAY'S MOTHER")</f>
        <v>WREATH FOR MS. LIZA BULAY'S MOTHER</v>
      </c>
    </row>
    <row r="1569">
      <c r="A1569" s="234">
        <f>IFERROR(__xludf.DUMMYFUNCTION("""COMPUTED_VALUE"""),101860.0)</f>
        <v>101860</v>
      </c>
      <c r="B1569" s="235" t="str">
        <f>IFERROR(__xludf.DUMMYFUNCTION("""COMPUTED_VALUE"""),"ALFA DE LEON")</f>
        <v>ALFA DE LEON</v>
      </c>
      <c r="C1569" s="235" t="str">
        <f>IFERROR(__xludf.DUMMYFUNCTION("""COMPUTED_VALUE"""),"HOUSEKEEPING")</f>
        <v>HOUSEKEEPING</v>
      </c>
      <c r="D1569" s="196" t="str">
        <f>IFERROR(__xludf.DUMMYFUNCTION("""COMPUTED_VALUE"""),"GARDEN SOIL")</f>
        <v>GARDEN SOIL</v>
      </c>
      <c r="E1569" s="196" t="str">
        <f>IFERROR(__xludf.DUMMYFUNCTION("""COMPUTED_VALUE"""),"PLANT PROPAGATION")</f>
        <v>PLANT PROPAGATION</v>
      </c>
    </row>
    <row r="1570">
      <c r="A1570" s="234">
        <f>IFERROR(__xludf.DUMMYFUNCTION("""COMPUTED_VALUE"""),101861.0)</f>
        <v>101861</v>
      </c>
      <c r="B1570" s="235" t="str">
        <f>IFERROR(__xludf.DUMMYFUNCTION("""COMPUTED_VALUE"""),"OWIE PAR")</f>
        <v>OWIE PAR</v>
      </c>
      <c r="C1570" s="235" t="str">
        <f>IFERROR(__xludf.DUMMYFUNCTION("""COMPUTED_VALUE"""),"ENGINEERING")</f>
        <v>ENGINEERING</v>
      </c>
      <c r="D1570" s="196" t="str">
        <f>IFERROR(__xludf.DUMMYFUNCTION("""COMPUTED_VALUE"""),"LINE NOISE FILTER")</f>
        <v>LINE NOISE FILTER</v>
      </c>
      <c r="E1570" s="196" t="str">
        <f>IFERROR(__xludf.DUMMYFUNCTION("""COMPUTED_VALUE"""),"REPLACEMENT OF DEFECTIVE PARTS")</f>
        <v>REPLACEMENT OF DEFECTIVE PARTS</v>
      </c>
    </row>
    <row r="1571">
      <c r="A1571" s="234">
        <f>IFERROR(__xludf.DUMMYFUNCTION("""COMPUTED_VALUE"""),101862.0)</f>
        <v>101862</v>
      </c>
      <c r="B1571" s="235" t="str">
        <f>IFERROR(__xludf.DUMMYFUNCTION("""COMPUTED_VALUE"""),"OWIE PAR")</f>
        <v>OWIE PAR</v>
      </c>
      <c r="C1571" s="235" t="str">
        <f>IFERROR(__xludf.DUMMYFUNCTION("""COMPUTED_VALUE"""),"ENGINEERING")</f>
        <v>ENGINEERING</v>
      </c>
      <c r="D1571" s="196" t="str">
        <f>IFERROR(__xludf.DUMMYFUNCTION("""COMPUTED_VALUE"""),"EMERGENCY LIGHT 6 VOLTS")</f>
        <v>EMERGENCY LIGHT 6 VOLTS</v>
      </c>
      <c r="E1571" s="196" t="str">
        <f>IFERROR(__xludf.DUMMYFUNCTION("""COMPUTED_VALUE"""),"REPLACEMENT OF DEFECTIVE EMERGENCY LIGHTS")</f>
        <v>REPLACEMENT OF DEFECTIVE EMERGENCY LIGHTS</v>
      </c>
    </row>
    <row r="1572">
      <c r="A1572" s="234">
        <f>IFERROR(__xludf.DUMMYFUNCTION("""COMPUTED_VALUE"""),101863.0)</f>
        <v>101863</v>
      </c>
      <c r="B1572" s="235" t="str">
        <f>IFERROR(__xludf.DUMMYFUNCTION("""COMPUTED_VALUE"""),"CRISMARIE ESPINOSA")</f>
        <v>CRISMARIE ESPINOSA</v>
      </c>
      <c r="C1572" s="235" t="str">
        <f>IFERROR(__xludf.DUMMYFUNCTION("""COMPUTED_VALUE"""),"GLT")</f>
        <v>GLT</v>
      </c>
      <c r="D1572" s="196" t="str">
        <f>IFERROR(__xludf.DUMMYFUNCTION("""COMPUTED_VALUE"""),"STAND FAN")</f>
        <v>STAND FAN</v>
      </c>
      <c r="E1572" s="196" t="str">
        <f>IFERROR(__xludf.DUMMYFUNCTION("""COMPUTED_VALUE"""),"REPLACEMENT OF BROKEN STAND FANS")</f>
        <v>REPLACEMENT OF BROKEN STAND FANS</v>
      </c>
    </row>
    <row r="1573">
      <c r="A1573" s="234">
        <f>IFERROR(__xludf.DUMMYFUNCTION("""COMPUTED_VALUE"""),101864.0)</f>
        <v>101864</v>
      </c>
      <c r="B1573" s="235" t="str">
        <f>IFERROR(__xludf.DUMMYFUNCTION("""COMPUTED_VALUE"""),"ADRIAN DE GUINTO")</f>
        <v>ADRIAN DE GUINTO</v>
      </c>
      <c r="C1573" s="235" t="str">
        <f>IFERROR(__xludf.DUMMYFUNCTION("""COMPUTED_VALUE"""),"PR &amp; MARKETING")</f>
        <v>PR &amp; MARKETING</v>
      </c>
      <c r="D1573" s="196" t="str">
        <f>IFERROR(__xludf.DUMMYFUNCTION("""COMPUTED_VALUE"""),"CONGRATULATORY TARPS ; MATH ACHIEVER BIG TARP")</f>
        <v>CONGRATULATORY TARPS ; MATH ACHIEVER BIG TARP</v>
      </c>
      <c r="E1573" s="196" t="str">
        <f>IFERROR(__xludf.DUMMYFUNCTION("""COMPUTED_VALUE"""),"MARKETING ")</f>
        <v>MARKETING </v>
      </c>
    </row>
    <row r="1574">
      <c r="A1574" s="234">
        <f>IFERROR(__xludf.DUMMYFUNCTION("""COMPUTED_VALUE"""),101865.0)</f>
        <v>101865</v>
      </c>
      <c r="B1574" s="235" t="str">
        <f>IFERROR(__xludf.DUMMYFUNCTION("""COMPUTED_VALUE"""),"RONALDO VERDE")</f>
        <v>RONALDO VERDE</v>
      </c>
      <c r="C1574" s="235" t="str">
        <f>IFERROR(__xludf.DUMMYFUNCTION("""COMPUTED_VALUE"""),"TRANSPORTATION")</f>
        <v>TRANSPORTATION</v>
      </c>
      <c r="D1574" s="196" t="str">
        <f>IFERROR(__xludf.DUMMYFUNCTION("""COMPUTED_VALUE"""),"CLUTCH DISK; PRESSURE PLATE; RELEASE BEARING")</f>
        <v>CLUTCH DISK; PRESSURE PLATE; RELEASE BEARING</v>
      </c>
      <c r="E1574" s="196" t="str">
        <f>IFERROR(__xludf.DUMMYFUNCTION("""COMPUTED_VALUE"""),"SLIDING CLUTCH")</f>
        <v>SLIDING CLUTCH</v>
      </c>
    </row>
    <row r="1575">
      <c r="A1575" s="234">
        <f>IFERROR(__xludf.DUMMYFUNCTION("""COMPUTED_VALUE"""),101866.0)</f>
        <v>101866</v>
      </c>
      <c r="B1575" s="235" t="str">
        <f>IFERROR(__xludf.DUMMYFUNCTION("""COMPUTED_VALUE"""),"RONALD VERDE")</f>
        <v>RONALD VERDE</v>
      </c>
      <c r="C1575" s="235" t="str">
        <f>IFERROR(__xludf.DUMMYFUNCTION("""COMPUTED_VALUE"""),"TRANSPORTATION")</f>
        <v>TRANSPORTATION</v>
      </c>
      <c r="D1575" s="196" t="str">
        <f>IFERROR(__xludf.DUMMYFUNCTION("""COMPUTED_VALUE"""),"TEMPERATURE SCANNER")</f>
        <v>TEMPERATURE SCANNER</v>
      </c>
      <c r="E1575" s="196" t="str">
        <f>IFERROR(__xludf.DUMMYFUNCTION("""COMPUTED_VALUE"""),"SAFETY MEASURES")</f>
        <v>SAFETY MEASURES</v>
      </c>
    </row>
    <row r="1576">
      <c r="A1576" s="234">
        <f>IFERROR(__xludf.DUMMYFUNCTION("""COMPUTED_VALUE"""),101867.0)</f>
        <v>101867</v>
      </c>
      <c r="B1576" s="235" t="str">
        <f>IFERROR(__xludf.DUMMYFUNCTION("""COMPUTED_VALUE"""),"JP RAGOT")</f>
        <v>JP RAGOT</v>
      </c>
      <c r="C1576" s="235" t="str">
        <f>IFERROR(__xludf.DUMMYFUNCTION("""COMPUTED_VALUE"""),"AMD")</f>
        <v>AMD</v>
      </c>
      <c r="D1576" s="196" t="str">
        <f>IFERROR(__xludf.DUMMYFUNCTION("""COMPUTED_VALUE"""),"Toner, Cartridge Inkonvert T660 for Brother HL-L2300D")</f>
        <v>Toner, Cartridge Inkonvert T660 for Brother HL-L2300D</v>
      </c>
      <c r="E1576" s="196" t="str">
        <f>IFERROR(__xludf.DUMMYFUNCTION("""COMPUTED_VALUE"""),"STOCK REPLENISHMENT")</f>
        <v>STOCK REPLENISHMENT</v>
      </c>
    </row>
    <row r="1577">
      <c r="A1577" s="234">
        <f>IFERROR(__xludf.DUMMYFUNCTION("""COMPUTED_VALUE"""),101868.0)</f>
        <v>101868</v>
      </c>
      <c r="B1577" s="235" t="str">
        <f>IFERROR(__xludf.DUMMYFUNCTION("""COMPUTED_VALUE"""),"JP RAGOT")</f>
        <v>JP RAGOT</v>
      </c>
      <c r="C1577" s="235" t="str">
        <f>IFERROR(__xludf.DUMMYFUNCTION("""COMPUTED_VALUE"""),"AMD")</f>
        <v>AMD</v>
      </c>
      <c r="D1577" s="196" t="str">
        <f>IFERROR(__xludf.DUMMYFUNCTION("""COMPUTED_VALUE"""),"Alcohol gallons 70% Isophrophyl")</f>
        <v>Alcohol gallons 70% Isophrophyl</v>
      </c>
      <c r="E1577" s="196" t="str">
        <f>IFERROR(__xludf.DUMMYFUNCTION("""COMPUTED_VALUE"""),"COVID19 DISINFECTION")</f>
        <v>COVID19 DISINFECTION</v>
      </c>
    </row>
    <row r="1578">
      <c r="A1578" s="234">
        <f>IFERROR(__xludf.DUMMYFUNCTION("""COMPUTED_VALUE"""),101869.0)</f>
        <v>101869</v>
      </c>
      <c r="B1578" s="235" t="str">
        <f>IFERROR(__xludf.DUMMYFUNCTION("""COMPUTED_VALUE"""),"MELISSA ODONO")</f>
        <v>MELISSA ODONO</v>
      </c>
      <c r="C1578" s="235" t="str">
        <f>IFERROR(__xludf.DUMMYFUNCTION("""COMPUTED_VALUE"""),"LIBRARY COLLEGE")</f>
        <v>LIBRARY COLLEGE</v>
      </c>
      <c r="D1578" s="196" t="str">
        <f>IFERROR(__xludf.DUMMYFUNCTION("""COMPUTED_VALUE"""),"Why Financial Education alone does not work")</f>
        <v>Why Financial Education alone does not work</v>
      </c>
      <c r="E1578" s="196" t="str">
        <f>IFERROR(__xludf.DUMMYFUNCTION("""COMPUTED_VALUE"""),"LIBRARY'S COPY")</f>
        <v>LIBRARY'S COPY</v>
      </c>
    </row>
    <row r="1579">
      <c r="A1579" s="234">
        <f>IFERROR(__xludf.DUMMYFUNCTION("""COMPUTED_VALUE"""),101870.0)</f>
        <v>101870</v>
      </c>
      <c r="B1579" s="235" t="str">
        <f>IFERROR(__xludf.DUMMYFUNCTION("""COMPUTED_VALUE"""),"OWIE PAR")</f>
        <v>OWIE PAR</v>
      </c>
      <c r="C1579" s="235" t="str">
        <f>IFERROR(__xludf.DUMMYFUNCTION("""COMPUTED_VALUE"""),"ENGINEERING")</f>
        <v>ENGINEERING</v>
      </c>
      <c r="D1579" s="196" t="str">
        <f>IFERROR(__xludf.DUMMYFUNCTION("""COMPUTED_VALUE"""),"FORMICA ; RUGBY")</f>
        <v>FORMICA ; RUGBY</v>
      </c>
      <c r="E1579" s="196" t="str">
        <f>IFERROR(__xludf.DUMMYFUNCTION("""COMPUTED_VALUE"""),"COLLEGE LABORATORY")</f>
        <v>COLLEGE LABORATORY</v>
      </c>
    </row>
    <row r="1580">
      <c r="A1580" s="234">
        <f>IFERROR(__xludf.DUMMYFUNCTION("""COMPUTED_VALUE"""),101871.0)</f>
        <v>101871</v>
      </c>
      <c r="B1580" s="235" t="str">
        <f>IFERROR(__xludf.DUMMYFUNCTION("""COMPUTED_VALUE"""),"BONG DULAWAN")</f>
        <v>BONG DULAWAN</v>
      </c>
      <c r="C1580" s="235" t="str">
        <f>IFERROR(__xludf.DUMMYFUNCTION("""COMPUTED_VALUE"""),"FACILITIES")</f>
        <v>FACILITIES</v>
      </c>
      <c r="D1580" s="196" t="str">
        <f>IFERROR(__xludf.DUMMYFUNCTION("""COMPUTED_VALUE"""),"EXHAUST FAN NO. 12 (WALL MOUNTED)")</f>
        <v>EXHAUST FAN NO. 12 (WALL MOUNTED)</v>
      </c>
      <c r="E1580" s="196" t="str">
        <f>IFERROR(__xludf.DUMMYFUNCTION("""COMPUTED_VALUE"""),"FOR USE IN MRF COLLEGE AREA")</f>
        <v>FOR USE IN MRF COLLEGE AREA</v>
      </c>
    </row>
    <row r="1581">
      <c r="A1581" s="234">
        <f>IFERROR(__xludf.DUMMYFUNCTION("""COMPUTED_VALUE"""),101872.0)</f>
        <v>101872</v>
      </c>
      <c r="B1581" s="235" t="str">
        <f>IFERROR(__xludf.DUMMYFUNCTION("""COMPUTED_VALUE"""),"MELISSA ODONO")</f>
        <v>MELISSA ODONO</v>
      </c>
      <c r="C1581" s="235" t="str">
        <f>IFERROR(__xludf.DUMMYFUNCTION("""COMPUTED_VALUE"""),"LIBRARY COLLEGE")</f>
        <v>LIBRARY COLLEGE</v>
      </c>
      <c r="D1581" s="196" t="str">
        <f>IFERROR(__xludf.DUMMYFUNCTION("""COMPUTED_VALUE"""),"Global Culture and Tourism Geography					
Legal Aspects in Tourism and Hospitality					
Multicultural Diversity in the Workplace for the Tourism Professional					
Quality Service Management in Tourism and Hospitality					
Risk Management as Applied to"&amp;" Safety Security and Sanitation					
Kitchen Essentials and Basic Food Preparation         					
Introduction to Meetings, Incentives, Conferences, and Events					
Micro Perspective of Tourism and Hospitality					
Sustainable Tourism					
Philippine "&amp;"Tourism, Geography, and Culture					
Macro Perspective on Tourism and Hospitality					
C/O REXBOOkK STORE PUb.					")</f>
        <v>Global Culture and Tourism Geography					
Legal Aspects in Tourism and Hospitality					
Multicultural Diversity in the Workplace for the Tourism Professional					
Quality Service Management in Tourism and Hospitality					
Risk Management as Applied to Safety Security and Sanitation					
Kitchen Essentials and Basic Food Preparation         					
Introduction to Meetings, Incentives, Conferences, and Events					
Micro Perspective of Tourism and Hospitality					
Sustainable Tourism					
Philippine Tourism, Geography, and Culture					
Macro Perspective on Tourism and Hospitality					
C/O REXBOOkK STORE PUb.					</v>
      </c>
      <c r="E1581" s="196" t="str">
        <f>IFERROR(__xludf.DUMMYFUNCTION("""COMPUTED_VALUE"""),"LIBRARY COPY")</f>
        <v>LIBRARY COPY</v>
      </c>
    </row>
    <row r="1582">
      <c r="A1582" s="234">
        <f>IFERROR(__xludf.DUMMYFUNCTION("""COMPUTED_VALUE"""),101873.0)</f>
        <v>101873</v>
      </c>
      <c r="B1582" s="235" t="str">
        <f>IFERROR(__xludf.DUMMYFUNCTION("""COMPUTED_VALUE"""),"CARLITO DELA VEGA")</f>
        <v>CARLITO DELA VEGA</v>
      </c>
      <c r="C1582" s="235" t="str">
        <f>IFERROR(__xludf.DUMMYFUNCTION("""COMPUTED_VALUE"""),"SECURITY")</f>
        <v>SECURITY</v>
      </c>
      <c r="D1582" s="196" t="str">
        <f>IFERROR(__xludf.DUMMYFUNCTION("""COMPUTED_VALUE"""),"EPSON L3150 ; ITECH LAMINATING PVC")</f>
        <v>EPSON L3150 ; ITECH LAMINATING PVC</v>
      </c>
      <c r="E1582" s="196" t="str">
        <f>IFERROR(__xludf.DUMMYFUNCTION("""COMPUTED_VALUE"""),"FOR PVC SIGNAGE PRINTING SUPPLIES")</f>
        <v>FOR PVC SIGNAGE PRINTING SUPPLIES</v>
      </c>
    </row>
    <row r="1583">
      <c r="A1583" s="234">
        <f>IFERROR(__xludf.DUMMYFUNCTION("""COMPUTED_VALUE"""),101874.0)</f>
        <v>101874</v>
      </c>
      <c r="B1583" s="235" t="str">
        <f>IFERROR(__xludf.DUMMYFUNCTION("""COMPUTED_VALUE"""),"OWIE PAR")</f>
        <v>OWIE PAR</v>
      </c>
      <c r="C1583" s="235" t="str">
        <f>IFERROR(__xludf.DUMMYFUNCTION("""COMPUTED_VALUE"""),"ENGINEERING")</f>
        <v>ENGINEERING</v>
      </c>
      <c r="D1583" s="196" t="str">
        <f>IFERROR(__xludf.DUMMYFUNCTION("""COMPUTED_VALUE"""),"QDE WHITE ; TABLEYA BROWN GLOSS LATEX; TURCO ; GRINDING DISK; WELDING GLOVES")</f>
        <v>QDE WHITE ; TABLEYA BROWN GLOSS LATEX; TURCO ; GRINDING DISK; WELDING GLOVES</v>
      </c>
      <c r="E1583" s="196" t="str">
        <f>IFERROR(__xludf.DUMMYFUNCTION("""COMPUTED_VALUE"""),"FOR REPAINTING AND REPAIR IN COLLEGE LUX PERIMETER FENCE")</f>
        <v>FOR REPAINTING AND REPAIR IN COLLEGE LUX PERIMETER FENCE</v>
      </c>
    </row>
    <row r="1584">
      <c r="A1584" s="234">
        <f>IFERROR(__xludf.DUMMYFUNCTION("""COMPUTED_VALUE"""),101875.0)</f>
        <v>101875</v>
      </c>
      <c r="B1584" s="235" t="str">
        <f>IFERROR(__xludf.DUMMYFUNCTION("""COMPUTED_VALUE"""),"DYAN CHAVEZ")</f>
        <v>DYAN CHAVEZ</v>
      </c>
      <c r="C1584" s="235" t="str">
        <f>IFERROR(__xludf.DUMMYFUNCTION("""COMPUTED_VALUE"""),"DP MUNICH")</f>
        <v>DP MUNICH</v>
      </c>
      <c r="D1584" s="196" t="str">
        <f>IFERROR(__xludf.DUMMYFUNCTION("""COMPUTED_VALUE"""),"
ACADEMIC EXCELLENCE GREEN LACE, GOLD W/ LABEL
ACADEMIC EXCELLENCE PURPLE LACE, SILVER W/ LABEL
ACADEMIC EXCELLENCE PINK LACE, BRONZE W/ LABEL
VALUES EXCELLENCE WHITE LACE, W/ LABEL
")</f>
        <v>
ACADEMIC EXCELLENCE GREEN LACE, GOLD W/ LABEL
ACADEMIC EXCELLENCE PURPLE LACE, SILVER W/ LABEL
ACADEMIC EXCELLENCE PINK LACE, BRONZE W/ LABEL
VALUES EXCELLENCE WHITE LACE, W/ LABEL
</v>
      </c>
      <c r="E1584" s="196" t="str">
        <f>IFERROR(__xludf.DUMMYFUNCTION("""COMPUTED_VALUE"""),"GRADE 3-5 RECIGNITION MEDALS")</f>
        <v>GRADE 3-5 RECIGNITION MEDALS</v>
      </c>
    </row>
    <row r="1585">
      <c r="A1585" s="234">
        <f>IFERROR(__xludf.DUMMYFUNCTION("""COMPUTED_VALUE"""),101876.0)</f>
        <v>101876</v>
      </c>
      <c r="B1585" s="235" t="str">
        <f>IFERROR(__xludf.DUMMYFUNCTION("""COMPUTED_VALUE"""),"DYAN CHAVEZ")</f>
        <v>DYAN CHAVEZ</v>
      </c>
      <c r="C1585" s="235" t="str">
        <f>IFERROR(__xludf.DUMMYFUNCTION("""COMPUTED_VALUE"""),"DP MUNICH")</f>
        <v>DP MUNICH</v>
      </c>
      <c r="D1585" s="196" t="str">
        <f>IFERROR(__xludf.DUMMYFUNCTION("""COMPUTED_VALUE"""),"ACADEMIC EXCELLENCE GREEN LACE, GOLD W/ LABEL
ACADEMIC EXCELLENCE PURPLE LACE, SILVER W/ LABEL
ACADEMIC EXCELLENCE PINK LACE, BRONZE W/ LABEL
VALUES EXCELLENCE WHITE LACE, W/ LABEL")</f>
        <v>ACADEMIC EXCELLENCE GREEN LACE, GOLD W/ LABEL
ACADEMIC EXCELLENCE PURPLE LACE, SILVER W/ LABEL
ACADEMIC EXCELLENCE PINK LACE, BRONZE W/ LABEL
VALUES EXCELLENCE WHITE LACE, W/ LABEL</v>
      </c>
      <c r="E1585" s="196" t="str">
        <f>IFERROR(__xludf.DUMMYFUNCTION("""COMPUTED_VALUE"""),"GRADE 1 AND 2 RECOGNITION MEDALS")</f>
        <v>GRADE 1 AND 2 RECOGNITION MEDALS</v>
      </c>
    </row>
    <row r="1586">
      <c r="A1586" s="234">
        <f>IFERROR(__xludf.DUMMYFUNCTION("""COMPUTED_VALUE"""),101877.0)</f>
        <v>101877</v>
      </c>
      <c r="B1586" s="235" t="str">
        <f>IFERROR(__xludf.DUMMYFUNCTION("""COMPUTED_VALUE"""),"DYAN CHAVEZ")</f>
        <v>DYAN CHAVEZ</v>
      </c>
      <c r="C1586" s="235" t="str">
        <f>IFERROR(__xludf.DUMMYFUNCTION("""COMPUTED_VALUE"""),"DP MUNICH")</f>
        <v>DP MUNICH</v>
      </c>
      <c r="D1586" s="196" t="str">
        <f>IFERROR(__xludf.DUMMYFUNCTION("""COMPUTED_VALUE"""),"
ACADEMIC EXCELLENCE TRICOLOR LACE, GOLD ROUND, MEDAL W/ LABEL
ACADEMIC ACHIEVEM,ENT TRICOLOR LACE, GOLD ROUND, MEDAL W/ LABEL
SPECIAL AWARD TRICOLOR LACE, GOLD, ROUND, MEDAL WITH LABEL
VALUES EXCELLENCE WHITE LACE, W/ LABEL
")</f>
        <v>
ACADEMIC EXCELLENCE TRICOLOR LACE, GOLD ROUND, MEDAL W/ LABEL
ACADEMIC ACHIEVEM,ENT TRICOLOR LACE, GOLD ROUND, MEDAL W/ LABEL
SPECIAL AWARD TRICOLOR LACE, GOLD, ROUND, MEDAL WITH LABEL
VALUES EXCELLENCE WHITE LACE, W/ LABEL
</v>
      </c>
      <c r="E1586" s="196" t="str">
        <f>IFERROR(__xludf.DUMMYFUNCTION("""COMPUTED_VALUE"""),"SK GRADUATION MEDALS")</f>
        <v>SK GRADUATION MEDALS</v>
      </c>
    </row>
    <row r="1587">
      <c r="A1587" s="234">
        <f>IFERROR(__xludf.DUMMYFUNCTION("""COMPUTED_VALUE"""),101878.0)</f>
        <v>101878</v>
      </c>
      <c r="B1587" s="235" t="str">
        <f>IFERROR(__xludf.DUMMYFUNCTION("""COMPUTED_VALUE"""),"ELMIE LAUDIATIO")</f>
        <v>ELMIE LAUDIATIO</v>
      </c>
      <c r="C1587" s="235" t="str">
        <f>IFERROR(__xludf.DUMMYFUNCTION("""COMPUTED_VALUE"""),"HRMD")</f>
        <v>HRMD</v>
      </c>
      <c r="D1587" s="196" t="str">
        <f>IFERROR(__xludf.DUMMYFUNCTION("""COMPUTED_VALUE"""),"FLOWER WREATH ")</f>
        <v>FLOWER WREATH </v>
      </c>
      <c r="E1587" s="196" t="str">
        <f>IFERROR(__xludf.DUMMYFUNCTION("""COMPUTED_VALUE"""),"FOR MS. BULAY'S FATHER")</f>
        <v>FOR MS. BULAY'S FATHER</v>
      </c>
    </row>
    <row r="1588">
      <c r="A1588" s="234">
        <f>IFERROR(__xludf.DUMMYFUNCTION("""COMPUTED_VALUE"""),101879.0)</f>
        <v>101879</v>
      </c>
      <c r="B1588" s="235" t="str">
        <f>IFERROR(__xludf.DUMMYFUNCTION("""COMPUTED_VALUE"""),"SHEREEE ESPINOSA")</f>
        <v>SHEREEE ESPINOSA</v>
      </c>
      <c r="C1588" s="235" t="str">
        <f>IFERROR(__xludf.DUMMYFUNCTION("""COMPUTED_VALUE"""),"HOUSEKEEPING")</f>
        <v>HOUSEKEEPING</v>
      </c>
      <c r="D1588" s="196" t="str">
        <f>IFERROR(__xludf.DUMMYFUNCTION("""COMPUTED_VALUE"""),"HAND SANITIZER")</f>
        <v>HAND SANITIZER</v>
      </c>
      <c r="E1588" s="196" t="str">
        <f>IFERROR(__xludf.DUMMYFUNCTION("""COMPUTED_VALUE"""),"SANITIZER REFILL")</f>
        <v>SANITIZER REFILL</v>
      </c>
    </row>
    <row r="1589">
      <c r="A1589" s="234">
        <f>IFERROR(__xludf.DUMMYFUNCTION("""COMPUTED_VALUE"""),101880.0)</f>
        <v>101880</v>
      </c>
      <c r="B1589" s="235" t="str">
        <f>IFERROR(__xludf.DUMMYFUNCTION("""COMPUTED_VALUE"""),"NESSIE LUMBRES")</f>
        <v>NESSIE LUMBRES</v>
      </c>
      <c r="C1589" s="235" t="str">
        <f>IFERROR(__xludf.DUMMYFUNCTION("""COMPUTED_VALUE"""),"DP'S OFFICE")</f>
        <v>DP'S OFFICE</v>
      </c>
      <c r="D1589" s="196" t="str">
        <f>IFERROR(__xludf.DUMMYFUNCTION("""COMPUTED_VALUE"""),"BASIC ED GRADUATION PHOTO")</f>
        <v>BASIC ED GRADUATION PHOTO</v>
      </c>
      <c r="E1589" s="196" t="str">
        <f>IFERROR(__xludf.DUMMYFUNCTION("""COMPUTED_VALUE"""),"GOOD SHOT GRADUATION PHOTO")</f>
        <v>GOOD SHOT GRADUATION PHOTO</v>
      </c>
    </row>
    <row r="1590">
      <c r="A1590" s="234">
        <f>IFERROR(__xludf.DUMMYFUNCTION("""COMPUTED_VALUE"""),101881.0)</f>
        <v>101881</v>
      </c>
      <c r="B1590" s="235" t="str">
        <f>IFERROR(__xludf.DUMMYFUNCTION("""COMPUTED_VALUE"""),"EDGAR REBELLON")</f>
        <v>EDGAR REBELLON</v>
      </c>
      <c r="C1590" s="235" t="str">
        <f>IFERROR(__xludf.DUMMYFUNCTION("""COMPUTED_VALUE"""),"AMD")</f>
        <v>AMD</v>
      </c>
      <c r="D1590" s="196" t="str">
        <f>IFERROR(__xludf.DUMMYFUNCTION("""COMPUTED_VALUE"""),"BOWL CARE, SCOTCH BRITE, TOILET BOWL CLEANER, GLOW FURNITURE CLEANER,Trash Bag, Extra Extra Large (37X40) Clear  DUST MOP HANDLE, Polisher Head with Brush 16"" White,'STATE SCRAM, Mr. Muscle Cleaner ")</f>
        <v>BOWL CARE, SCOTCH BRITE, TOILET BOWL CLEANER, GLOW FURNITURE CLEANER,Trash Bag, Extra Extra Large (37X40) Clear  DUST MOP HANDLE, Polisher Head with Brush 16" White,'STATE SCRAM, Mr. Muscle Cleaner </v>
      </c>
      <c r="E1590" s="196" t="str">
        <f>IFERROR(__xludf.DUMMYFUNCTION("""COMPUTED_VALUE"""),"HOUSEKEEPING SUPPLIES STOCK REPLENISHMENT")</f>
        <v>HOUSEKEEPING SUPPLIES STOCK REPLENISHMENT</v>
      </c>
    </row>
    <row r="1591">
      <c r="A1591" s="234">
        <f>IFERROR(__xludf.DUMMYFUNCTION("""COMPUTED_VALUE"""),101882.0)</f>
        <v>101882</v>
      </c>
      <c r="B1591" s="235" t="str">
        <f>IFERROR(__xludf.DUMMYFUNCTION("""COMPUTED_VALUE"""),"CARLITO DELA VEGA ")</f>
        <v>CARLITO DELA VEGA </v>
      </c>
      <c r="C1591" s="235" t="str">
        <f>IFERROR(__xludf.DUMMYFUNCTION("""COMPUTED_VALUE"""),"ADMIN - MUNICH")</f>
        <v>ADMIN - MUNICH</v>
      </c>
      <c r="D1591" s="196" t="str">
        <f>IFERROR(__xludf.DUMMYFUNCTION("""COMPUTED_VALUE"""),"REFLECTORIZED STICKER YELLOW 3""")</f>
        <v>REFLECTORIZED STICKER YELLOW 3"</v>
      </c>
      <c r="E1591" s="196" t="str">
        <f>IFERROR(__xludf.DUMMYFUNCTION("""COMPUTED_VALUE"""),"MUNICH, ELI DISTANCING MARKER ")</f>
        <v>MUNICH, ELI DISTANCING MARKER </v>
      </c>
    </row>
    <row r="1592">
      <c r="A1592" s="234">
        <f>IFERROR(__xludf.DUMMYFUNCTION("""COMPUTED_VALUE"""),101883.0)</f>
        <v>101883</v>
      </c>
      <c r="B1592" s="235" t="str">
        <f>IFERROR(__xludf.DUMMYFUNCTION("""COMPUTED_VALUE"""),"SHEREE ESPINOSA")</f>
        <v>SHEREE ESPINOSA</v>
      </c>
      <c r="C1592" s="235" t="str">
        <f>IFERROR(__xludf.DUMMYFUNCTION("""COMPUTED_VALUE"""),"ADMIN")</f>
        <v>ADMIN</v>
      </c>
      <c r="D1592" s="196" t="str">
        <f>IFERROR(__xludf.DUMMYFUNCTION("""COMPUTED_VALUE"""),"30 MTRS PLASTIC BARRIER ")</f>
        <v>30 MTRS PLASTIC BARRIER </v>
      </c>
      <c r="E1592" s="196" t="str">
        <f>IFERROR(__xludf.DUMMYFUNCTION("""COMPUTED_VALUE"""),"FOR ACCOUNTING/FINANCE OFFICE BARRIER ")</f>
        <v>FOR ACCOUNTING/FINANCE OFFICE BARRIER </v>
      </c>
    </row>
    <row r="1593">
      <c r="A1593" s="234">
        <f>IFERROR(__xludf.DUMMYFUNCTION("""COMPUTED_VALUE"""),101884.0)</f>
        <v>101884</v>
      </c>
      <c r="B1593" s="235" t="str">
        <f>IFERROR(__xludf.DUMMYFUNCTION("""COMPUTED_VALUE"""),"JORGE BALELA")</f>
        <v>JORGE BALELA</v>
      </c>
      <c r="C1593" s="235" t="str">
        <f>IFERROR(__xludf.DUMMYFUNCTION("""COMPUTED_VALUE"""),"LIBRARY")</f>
        <v>LIBRARY</v>
      </c>
      <c r="D1593" s="196" t="str">
        <f>IFERROR(__xludf.DUMMYFUNCTION("""COMPUTED_VALUE"""),"FLIPPING BOOK SUBSCRIPTION")</f>
        <v>FLIPPING BOOK SUBSCRIPTION</v>
      </c>
      <c r="E1593" s="196" t="str">
        <f>IFERROR(__xludf.DUMMYFUNCTION("""COMPUTED_VALUE"""),"FOR FLIPPING BOOK OF STIDENTS (FOR ALL PUBLISHED MATERIALS OF SISC)")</f>
        <v>FOR FLIPPING BOOK OF STIDENTS (FOR ALL PUBLISHED MATERIALS OF SISC)</v>
      </c>
    </row>
    <row r="1594">
      <c r="A1594" s="234">
        <f>IFERROR(__xludf.DUMMYFUNCTION("""COMPUTED_VALUE"""),101885.0)</f>
        <v>101885</v>
      </c>
      <c r="B1594" s="235" t="str">
        <f>IFERROR(__xludf.DUMMYFUNCTION("""COMPUTED_VALUE"""),"MARVIN MARASIGAN")</f>
        <v>MARVIN MARASIGAN</v>
      </c>
      <c r="C1594" s="235" t="str">
        <f>IFERROR(__xludf.DUMMYFUNCTION("""COMPUTED_VALUE"""),"PR &amp; MARKETING")</f>
        <v>PR &amp; MARKETING</v>
      </c>
      <c r="D1594" s="196" t="str">
        <f>IFERROR(__xludf.DUMMYFUNCTION("""COMPUTED_VALUE"""),"FUNERAL FLOWERS ")</f>
        <v>FUNERAL FLOWERS </v>
      </c>
      <c r="E1594" s="196" t="str">
        <f>IFERROR(__xludf.DUMMYFUNCTION("""COMPUTED_VALUE"""),"SISC STUDENT FUNERAL ")</f>
        <v>SISC STUDENT FUNERAL </v>
      </c>
    </row>
    <row r="1595">
      <c r="A1595" s="234">
        <f>IFERROR(__xludf.DUMMYFUNCTION("""COMPUTED_VALUE"""),101886.0)</f>
        <v>101886</v>
      </c>
      <c r="B1595" s="235" t="str">
        <f>IFERROR(__xludf.DUMMYFUNCTION("""COMPUTED_VALUE"""),"OWIE PAR")</f>
        <v>OWIE PAR</v>
      </c>
      <c r="C1595" s="235" t="str">
        <f>IFERROR(__xludf.DUMMYFUNCTION("""COMPUTED_VALUE"""),"ENGINEERING")</f>
        <v>ENGINEERING</v>
      </c>
      <c r="D1595" s="196" t="str">
        <f>IFERROR(__xludf.DUMMYFUNCTION("""COMPUTED_VALUE"""),"10 BAGS CEMENT, 1 ELF WHITE SAND")</f>
        <v>10 BAGS CEMENT, 1 ELF WHITE SAND</v>
      </c>
      <c r="E1595" s="196" t="str">
        <f>IFERROR(__xludf.DUMMYFUNCTION("""COMPUTED_VALUE"""),"CONSTRUCTION OF THE CONCRETE FENCE IN TROPICAL PARKING")</f>
        <v>CONSTRUCTION OF THE CONCRETE FENCE IN TROPICAL PARKING</v>
      </c>
    </row>
    <row r="1596">
      <c r="A1596" s="234">
        <f>IFERROR(__xludf.DUMMYFUNCTION("""COMPUTED_VALUE"""),101887.0)</f>
        <v>101887</v>
      </c>
      <c r="B1596" s="235" t="str">
        <f>IFERROR(__xludf.DUMMYFUNCTION("""COMPUTED_VALUE"""),"ELYDIA REYES ")</f>
        <v>ELYDIA REYES </v>
      </c>
      <c r="C1596" s="235" t="str">
        <f>IFERROR(__xludf.DUMMYFUNCTION("""COMPUTED_VALUE"""),"PR &amp; MARKETING")</f>
        <v>PR &amp; MARKETING</v>
      </c>
      <c r="D1596" s="196" t="str">
        <f>IFERROR(__xludf.DUMMYFUNCTION("""COMPUTED_VALUE"""),"13X78 FEET PARKING LOT TARP ")</f>
        <v>13X78 FEET PARKING LOT TARP </v>
      </c>
      <c r="E1596" s="196" t="str">
        <f>IFERROR(__xludf.DUMMYFUNCTION("""COMPUTED_VALUE"""),"MARKETING ")</f>
        <v>MARKETING </v>
      </c>
    </row>
    <row r="1597">
      <c r="A1597" s="234">
        <f>IFERROR(__xludf.DUMMYFUNCTION("""COMPUTED_VALUE"""),101888.0)</f>
        <v>101888</v>
      </c>
      <c r="B1597" s="235" t="str">
        <f>IFERROR(__xludf.DUMMYFUNCTION("""COMPUTED_VALUE"""),"MELISSA ODOÑO")</f>
        <v>MELISSA ODOÑO</v>
      </c>
      <c r="C1597" s="235" t="str">
        <f>IFERROR(__xludf.DUMMYFUNCTION("""COMPUTED_VALUE"""),"LIBRARY BASIC ED")</f>
        <v>LIBRARY BASIC ED</v>
      </c>
      <c r="D1597" s="196" t="str">
        <f>IFERROR(__xludf.DUMMYFUNCTION("""COMPUTED_VALUE"""),"Questionbank - Mathematics (IB PUBLISHING)")</f>
        <v>Questionbank - Mathematics (IB PUBLISHING)</v>
      </c>
      <c r="E1597" s="196" t="str">
        <f>IFERROR(__xludf.DUMMYFUNCTION("""COMPUTED_VALUE"""),"IB QUESTION BANK TO BE USED BY MATH TEACHERS")</f>
        <v>IB QUESTION BANK TO BE USED BY MATH TEACHERS</v>
      </c>
    </row>
    <row r="1598">
      <c r="A1598" s="234">
        <f>IFERROR(__xludf.DUMMYFUNCTION("""COMPUTED_VALUE"""),101889.0)</f>
        <v>101889</v>
      </c>
      <c r="B1598" s="235" t="str">
        <f>IFERROR(__xludf.DUMMYFUNCTION("""COMPUTED_VALUE"""),"EDGAR REBELLON ")</f>
        <v>EDGAR REBELLON </v>
      </c>
      <c r="C1598" s="235" t="str">
        <f>IFERROR(__xludf.DUMMYFUNCTION("""COMPUTED_VALUE"""),"AMD")</f>
        <v>AMD</v>
      </c>
      <c r="D1598" s="196" t="str">
        <f>IFERROR(__xludf.DUMMYFUNCTION("""COMPUTED_VALUE"""),"DOOR KNOB ")</f>
        <v>DOOR KNOB </v>
      </c>
      <c r="E1598" s="196" t="str">
        <f>IFERROR(__xludf.DUMMYFUNCTION("""COMPUTED_VALUE"""),"STOCK REPLENISHMENT ")</f>
        <v>STOCK REPLENISHMENT </v>
      </c>
    </row>
    <row r="1599">
      <c r="A1599" s="234">
        <f>IFERROR(__xludf.DUMMYFUNCTION("""COMPUTED_VALUE"""),101890.0)</f>
        <v>101890</v>
      </c>
      <c r="B1599" s="235" t="str">
        <f>IFERROR(__xludf.DUMMYFUNCTION("""COMPUTED_VALUE"""),"EDGAR REBELLON ")</f>
        <v>EDGAR REBELLON </v>
      </c>
      <c r="C1599" s="235" t="str">
        <f>IFERROR(__xludf.DUMMYFUNCTION("""COMPUTED_VALUE"""),"AMD")</f>
        <v>AMD</v>
      </c>
      <c r="D1599" s="196" t="str">
        <f>IFERROR(__xludf.DUMMYFUNCTION("""COMPUTED_VALUE"""),"STICK BROOM, TRASH BAG MEDIUM CLEAR, TRASH BAG EXTRA LARGE, CLEAR ")</f>
        <v>STICK BROOM, TRASH BAG MEDIUM CLEAR, TRASH BAG EXTRA LARGE, CLEAR </v>
      </c>
      <c r="E1599" s="196" t="str">
        <f>IFERROR(__xludf.DUMMYFUNCTION("""COMPUTED_VALUE"""),"STOCK REPLENISHMENT ")</f>
        <v>STOCK REPLENISHMENT </v>
      </c>
    </row>
    <row r="1600">
      <c r="A1600" s="234">
        <f>IFERROR(__xludf.DUMMYFUNCTION("""COMPUTED_VALUE"""),101891.0)</f>
        <v>101891</v>
      </c>
      <c r="B1600" s="235" t="str">
        <f>IFERROR(__xludf.DUMMYFUNCTION("""COMPUTED_VALUE"""),"MS. JORGE BALELA")</f>
        <v>MS. JORGE BALELA</v>
      </c>
      <c r="C1600" s="235" t="str">
        <f>IFERROR(__xludf.DUMMYFUNCTION("""COMPUTED_VALUE"""),"COLLEGE DIRECTOR")</f>
        <v>COLLEGE DIRECTOR</v>
      </c>
      <c r="D1600" s="196" t="str">
        <f>IFERROR(__xludf.DUMMYFUNCTION("""COMPUTED_VALUE"""),"FLOWER WREATH ")</f>
        <v>FLOWER WREATH </v>
      </c>
      <c r="E1600" s="196" t="str">
        <f>IFERROR(__xludf.DUMMYFUNCTION("""COMPUTED_VALUE"""),"FLOWERS FOR SIR RAYMOND ")</f>
        <v>FLOWERS FOR SIR RAYMOND </v>
      </c>
    </row>
    <row r="1601">
      <c r="A1601" s="234">
        <f>IFERROR(__xludf.DUMMYFUNCTION("""COMPUTED_VALUE"""),101892.0)</f>
        <v>101892</v>
      </c>
      <c r="B1601" s="235" t="str">
        <f>IFERROR(__xludf.DUMMYFUNCTION("""COMPUTED_VALUE"""),"OWIE PAR/RONALDO VERDE ")</f>
        <v>OWIE PAR/RONALDO VERDE </v>
      </c>
      <c r="C1601" s="235" t="str">
        <f>IFERROR(__xludf.DUMMYFUNCTION("""COMPUTED_VALUE"""),"ENGINEERING")</f>
        <v>ENGINEERING</v>
      </c>
      <c r="D1601" s="196" t="str">
        <f>IFERROR(__xludf.DUMMYFUNCTION("""COMPUTED_VALUE"""),"POLITUFF WITH HARDENER, FLAT LATEX WHITE, GRINDING DISK 4"", BLIND RIVETS 1/8 X 1/2, DRILL BIT METAL 1/8")</f>
        <v>POLITUFF WITH HARDENER, FLAT LATEX WHITE, GRINDING DISK 4", BLIND RIVETS 1/8 X 1/2, DRILL BIT METAL 1/8</v>
      </c>
      <c r="E1601" s="196" t="str">
        <f>IFERROR(__xludf.DUMMYFUNCTION("""COMPUTED_VALUE"""),"ADDT'L MATERIALS FOR THE REPAIR AND REPAINTING OF PERIMETER FENCE")</f>
        <v>ADDT'L MATERIALS FOR THE REPAIR AND REPAINTING OF PERIMETER FENCE</v>
      </c>
    </row>
    <row r="1602">
      <c r="A1602" s="234">
        <f>IFERROR(__xludf.DUMMYFUNCTION("""COMPUTED_VALUE"""),101893.0)</f>
        <v>101893</v>
      </c>
      <c r="B1602" s="235" t="str">
        <f>IFERROR(__xludf.DUMMYFUNCTION("""COMPUTED_VALUE"""),"OWIE PAR/RONALDO VERDE ")</f>
        <v>OWIE PAR/RONALDO VERDE </v>
      </c>
      <c r="C1602" s="235" t="str">
        <f>IFERROR(__xludf.DUMMYFUNCTION("""COMPUTED_VALUE"""),"ENGINEERING")</f>
        <v>ENGINEERING</v>
      </c>
      <c r="D1602" s="196" t="str">
        <f>IFERROR(__xludf.DUMMYFUNCTION("""COMPUTED_VALUE"""),"G1 TUBULAR BAR #2""X1""X2"", SQUARE BAR 12 MM, WELDING ROD (SPECIAL), CUTTING DISK 4"", RED OXIDE PRIMER, PAINT THINNER, QDE WHITE, SEMI GLOSS LATEX WHITE")</f>
        <v>G1 TUBULAR BAR #2"X1"X2", SQUARE BAR 12 MM, WELDING ROD (SPECIAL), CUTTING DISK 4", RED OXIDE PRIMER, PAINT THINNER, QDE WHITE, SEMI GLOSS LATEX WHITE</v>
      </c>
      <c r="E1602" s="196" t="str">
        <f>IFERROR(__xludf.DUMMYFUNCTION("""COMPUTED_VALUE"""),"ADDT'L MATERIALS FOR THE REPAIR AND REPAINTING OF PERIMETER FENCE")</f>
        <v>ADDT'L MATERIALS FOR THE REPAIR AND REPAINTING OF PERIMETER FENCE</v>
      </c>
    </row>
    <row r="1603">
      <c r="A1603" s="234">
        <f>IFERROR(__xludf.DUMMYFUNCTION("""COMPUTED_VALUE"""),101894.0)</f>
        <v>101894</v>
      </c>
      <c r="B1603" s="235" t="str">
        <f>IFERROR(__xludf.DUMMYFUNCTION("""COMPUTED_VALUE"""),"ELMIE LAUDITO ")</f>
        <v>ELMIE LAUDITO </v>
      </c>
      <c r="C1603" s="235" t="str">
        <f>IFERROR(__xludf.DUMMYFUNCTION("""COMPUTED_VALUE"""),"HRMD")</f>
        <v>HRMD</v>
      </c>
      <c r="D1603" s="196" t="str">
        <f>IFERROR(__xludf.DUMMYFUNCTION("""COMPUTED_VALUE"""),"FLOWER WREATH ")</f>
        <v>FLOWER WREATH </v>
      </c>
      <c r="E1603" s="196" t="str">
        <f>IFERROR(__xludf.DUMMYFUNCTION("""COMPUTED_VALUE"""),"FLOWERS FOR SIR RAYMOND ")</f>
        <v>FLOWERS FOR SIR RAYMOND </v>
      </c>
    </row>
    <row r="1604">
      <c r="A1604" s="234">
        <f>IFERROR(__xludf.DUMMYFUNCTION("""COMPUTED_VALUE"""),101895.0)</f>
        <v>101895</v>
      </c>
      <c r="B1604" s="235" t="str">
        <f>IFERROR(__xludf.DUMMYFUNCTION("""COMPUTED_VALUE"""),"EDGAR REBELLON")</f>
        <v>EDGAR REBELLON</v>
      </c>
      <c r="C1604" s="235" t="str">
        <f>IFERROR(__xludf.DUMMYFUNCTION("""COMPUTED_VALUE"""),"AMD")</f>
        <v>AMD</v>
      </c>
      <c r="D1604" s="196" t="str">
        <f>IFERROR(__xludf.DUMMYFUNCTION("""COMPUTED_VALUE"""),"UV STERILIZATION BOX")</f>
        <v>UV STERILIZATION BOX</v>
      </c>
      <c r="E1604" s="196" t="str">
        <f>IFERROR(__xludf.DUMMYFUNCTION("""COMPUTED_VALUE"""),"FOR STERILIZING/DISINFECTING DOCUMENTS")</f>
        <v>FOR STERILIZING/DISINFECTING DOCUMENTS</v>
      </c>
    </row>
    <row r="1605">
      <c r="A1605" s="234">
        <f>IFERROR(__xludf.DUMMYFUNCTION("""COMPUTED_VALUE"""),101896.0)</f>
        <v>101896</v>
      </c>
      <c r="B1605" s="235" t="str">
        <f>IFERROR(__xludf.DUMMYFUNCTION("""COMPUTED_VALUE"""),"LUCILLE BEYER ")</f>
        <v>LUCILLE BEYER </v>
      </c>
      <c r="C1605" s="235" t="str">
        <f>IFERROR(__xludf.DUMMYFUNCTION("""COMPUTED_VALUE"""),"MEDICAL")</f>
        <v>MEDICAL</v>
      </c>
      <c r="D1605" s="196" t="str">
        <f>IFERROR(__xludf.DUMMYFUNCTION("""COMPUTED_VALUE"""),"IVERMECTIN AND ANTIGEN KIT")</f>
        <v>IVERMECTIN AND ANTIGEN KIT</v>
      </c>
      <c r="E1605" s="196" t="str">
        <f>IFERROR(__xludf.DUMMYFUNCTION("""COMPUTED_VALUE"""),"FOR COVID FIRST AID TREATMENT ")</f>
        <v>FOR COVID FIRST AID TREATMENT </v>
      </c>
    </row>
    <row r="1606">
      <c r="A1606" s="234">
        <f>IFERROR(__xludf.DUMMYFUNCTION("""COMPUTED_VALUE"""),101897.0)</f>
        <v>101897</v>
      </c>
      <c r="B1606" s="235" t="str">
        <f>IFERROR(__xludf.DUMMYFUNCTION("""COMPUTED_VALUE"""),"AMI SALANGIT")</f>
        <v>AMI SALANGIT</v>
      </c>
      <c r="C1606" s="235" t="str">
        <f>IFERROR(__xludf.DUMMYFUNCTION("""COMPUTED_VALUE"""),"HRMD")</f>
        <v>HRMD</v>
      </c>
      <c r="D1606" s="196" t="str">
        <f>IFERROR(__xludf.DUMMYFUNCTION("""COMPUTED_VALUE"""),"HEAVY DUTY BUNDY CLOCK - CANCELLED: PRF TRANSFFERED TO SSLC")</f>
        <v>HEAVY DUTY BUNDY CLOCK - CANCELLED: PRF TRANSFFERED TO SSLC</v>
      </c>
      <c r="E1606" s="196" t="str">
        <f>IFERROR(__xludf.DUMMYFUNCTION("""COMPUTED_VALUE"""),"FOR SAFETY OF THE COMMUNITY")</f>
        <v>FOR SAFETY OF THE COMMUNITY</v>
      </c>
    </row>
    <row r="1607">
      <c r="A1607" s="234">
        <f>IFERROR(__xludf.DUMMYFUNCTION("""COMPUTED_VALUE"""),101898.0)</f>
        <v>101898</v>
      </c>
      <c r="B1607" s="235" t="str">
        <f>IFERROR(__xludf.DUMMYFUNCTION("""COMPUTED_VALUE"""),"NESSIE LUMBRES")</f>
        <v>NESSIE LUMBRES</v>
      </c>
      <c r="C1607" s="235" t="str">
        <f>IFERROR(__xludf.DUMMYFUNCTION("""COMPUTED_VALUE"""),"BASIC ED AND IB")</f>
        <v>BASIC ED AND IB</v>
      </c>
      <c r="D1607" s="196" t="str">
        <f>IFERROR(__xludf.DUMMYFUNCTION("""COMPUTED_VALUE"""),"KOTOBEE SUBSCRIPTION- BASIC LICENSE 3 USERS, HOSTED LIBRARY &amp; SEESAW SUBSCRIPTION ")</f>
        <v>KOTOBEE SUBSCRIPTION- BASIC LICENSE 3 USERS, HOSTED LIBRARY &amp; SEESAW SUBSCRIPTION </v>
      </c>
      <c r="E1607" s="196" t="str">
        <f>IFERROR(__xludf.DUMMYFUNCTION("""COMPUTED_VALUE"""),"EBOOK HOSTING FOR FOR EQ-ACT, SCIENCE, ENGLISH AND ECED")</f>
        <v>EBOOK HOSTING FOR FOR EQ-ACT, SCIENCE, ENGLISH AND ECED</v>
      </c>
    </row>
    <row r="1608">
      <c r="A1608" s="234">
        <f>IFERROR(__xludf.DUMMYFUNCTION("""COMPUTED_VALUE"""),101899.0)</f>
        <v>101899</v>
      </c>
      <c r="B1608" s="235" t="str">
        <f>IFERROR(__xludf.DUMMYFUNCTION("""COMPUTED_VALUE"""),"EDGAR REBELLON")</f>
        <v>EDGAR REBELLON</v>
      </c>
      <c r="C1608" s="235" t="str">
        <f>IFERROR(__xludf.DUMMYFUNCTION("""COMPUTED_VALUE"""),"AMD")</f>
        <v>AMD</v>
      </c>
      <c r="D1608" s="196" t="str">
        <f>IFERROR(__xludf.DUMMYFUNCTION("""COMPUTED_VALUE"""),"BOOKS: EQ, ACT, STANFORD ")</f>
        <v>BOOKS: EQ, ACT, STANFORD </v>
      </c>
      <c r="E1608" s="196" t="str">
        <f>IFERROR(__xludf.DUMMYFUNCTION("""COMPUTED_VALUE"""),"BOOKS FOR SSIS LIPA ")</f>
        <v>BOOKS FOR SSIS LIPA </v>
      </c>
    </row>
    <row r="1609">
      <c r="A1609" s="234">
        <f>IFERROR(__xludf.DUMMYFUNCTION("""COMPUTED_VALUE"""),101900.0)</f>
        <v>101900</v>
      </c>
      <c r="B1609" s="235" t="str">
        <f>IFERROR(__xludf.DUMMYFUNCTION("""COMPUTED_VALUE"""),"EDGAR REBELLON")</f>
        <v>EDGAR REBELLON</v>
      </c>
      <c r="C1609" s="235" t="str">
        <f>IFERROR(__xludf.DUMMYFUNCTION("""COMPUTED_VALUE"""),"AMD")</f>
        <v>AMD</v>
      </c>
      <c r="D1609" s="196" t="str">
        <f>IFERROR(__xludf.DUMMYFUNCTION("""COMPUTED_VALUE"""),"BOOKS: EQ, ACT, STANFORD AND CURSIVE WRITING ")</f>
        <v>BOOKS: EQ, ACT, STANFORD AND CURSIVE WRITING </v>
      </c>
      <c r="E1609" s="196" t="str">
        <f>IFERROR(__xludf.DUMMYFUNCTION("""COMPUTED_VALUE"""),"BOOKS FOR SSIS BATANGAS")</f>
        <v>BOOKS FOR SSIS BATANGAS</v>
      </c>
    </row>
    <row r="1610">
      <c r="A1610" s="234">
        <f>IFERROR(__xludf.DUMMYFUNCTION("""COMPUTED_VALUE"""),101901.0)</f>
        <v>101901</v>
      </c>
      <c r="B1610" s="235" t="str">
        <f>IFERROR(__xludf.DUMMYFUNCTION("""COMPUTED_VALUE"""),"ALFA DE LEON")</f>
        <v>ALFA DE LEON</v>
      </c>
      <c r="C1610" s="235" t="str">
        <f>IFERROR(__xludf.DUMMYFUNCTION("""COMPUTED_VALUE"""),"LANDSCAPING")</f>
        <v>LANDSCAPING</v>
      </c>
      <c r="D1610" s="196" t="str">
        <f>IFERROR(__xludf.DUMMYFUNCTION("""COMPUTED_VALUE"""),"GRASS CUTTER CRESTON BRAND")</f>
        <v>GRASS CUTTER CRESTON BRAND</v>
      </c>
      <c r="E1610" s="196" t="str">
        <f>IFERROR(__xludf.DUMMYFUNCTION("""COMPUTED_VALUE"""),"ADDITONAL EQUIPMENT FOR GARDEN MAINTENANCE ")</f>
        <v>ADDITONAL EQUIPMENT FOR GARDEN MAINTENANCE </v>
      </c>
    </row>
    <row r="1611">
      <c r="A1611" s="234">
        <f>IFERROR(__xludf.DUMMYFUNCTION("""COMPUTED_VALUE"""),101902.0)</f>
        <v>101902</v>
      </c>
      <c r="B1611" s="235" t="str">
        <f>IFERROR(__xludf.DUMMYFUNCTION("""COMPUTED_VALUE"""),"ALFA DE LEON")</f>
        <v>ALFA DE LEON</v>
      </c>
      <c r="C1611" s="235" t="str">
        <f>IFERROR(__xludf.DUMMYFUNCTION("""COMPUTED_VALUE"""),"LANDSCAPING")</f>
        <v>LANDSCAPING</v>
      </c>
      <c r="D1611" s="196" t="str">
        <f>IFERROR(__xludf.DUMMYFUNCTION("""COMPUTED_VALUE"""),"WATER SPRINKLER ")</f>
        <v>WATER SPRINKLER </v>
      </c>
      <c r="E1611" s="196" t="str">
        <f>IFERROR(__xludf.DUMMYFUNCTION("""COMPUTED_VALUE"""),"FOR WATERING OF GRASS IN THE SOCCER FIELD ")</f>
        <v>FOR WATERING OF GRASS IN THE SOCCER FIELD </v>
      </c>
    </row>
    <row r="1612">
      <c r="A1612" s="234">
        <f>IFERROR(__xludf.DUMMYFUNCTION("""COMPUTED_VALUE"""),101903.0)</f>
        <v>101903</v>
      </c>
      <c r="B1612" s="235" t="str">
        <f>IFERROR(__xludf.DUMMYFUNCTION("""COMPUTED_VALUE"""),"EDGAR D. REBELLON")</f>
        <v>EDGAR D. REBELLON</v>
      </c>
      <c r="C1612" s="235" t="str">
        <f>IFERROR(__xludf.DUMMYFUNCTION("""COMPUTED_VALUE"""),"AMD")</f>
        <v>AMD</v>
      </c>
      <c r="D1612" s="196" t="str">
        <f>IFERROR(__xludf.DUMMYFUNCTION("""COMPUTED_VALUE"""),"SCOTCH TAPE, MASKING TAPE, BATTERY EVERREADY D, PLASTIC COVER, CLEARBOOK REFILLER LONG 3 HOLES,  PLASTIC COVER GUAGE 4 48W (PER METER), , INK STAMP PURPLE, INK STAMP BLUE,PUSH PINS.")</f>
        <v>SCOTCH TAPE, MASKING TAPE, BATTERY EVERREADY D, PLASTIC COVER, CLEARBOOK REFILLER LONG 3 HOLES,  PLASTIC COVER GUAGE 4 48W (PER METER), , INK STAMP PURPLE, INK STAMP BLUE,PUSH PINS.</v>
      </c>
      <c r="E1612" s="196" t="str">
        <f>IFERROR(__xludf.DUMMYFUNCTION("""COMPUTED_VALUE"""),"OSSUP STOCK REPLENISHMENT ")</f>
        <v>OSSUP STOCK REPLENISHMENT </v>
      </c>
    </row>
    <row r="1613">
      <c r="A1613" s="234">
        <f>IFERROR(__xludf.DUMMYFUNCTION("""COMPUTED_VALUE"""),101904.0)</f>
        <v>101904</v>
      </c>
      <c r="B1613" s="235" t="str">
        <f>IFERROR(__xludf.DUMMYFUNCTION("""COMPUTED_VALUE"""),"EDGAR D. REBELLON")</f>
        <v>EDGAR D. REBELLON</v>
      </c>
      <c r="C1613" s="235" t="str">
        <f>IFERROR(__xludf.DUMMYFUNCTION("""COMPUTED_VALUE"""),"AMD")</f>
        <v>AMD</v>
      </c>
      <c r="D1613" s="196" t="str">
        <f>IFERROR(__xludf.DUMMYFUNCTION("""COMPUTED_VALUE"""),"MIFARE 1K BIT- CONTACTLESS CARD, MODEL- IOT CRDM65")</f>
        <v>MIFARE 1K BIT- CONTACTLESS CARD, MODEL- IOT CRDM65</v>
      </c>
      <c r="E1613" s="196" t="str">
        <f>IFERROR(__xludf.DUMMYFUNCTION("""COMPUTED_VALUE"""),"MATERIALS FOR THE PRODUCTION OF STUDENT'S AND EMPLOYEE ID/ STOCK REPLENISHMENT ")</f>
        <v>MATERIALS FOR THE PRODUCTION OF STUDENT'S AND EMPLOYEE ID/ STOCK REPLENISHMENT </v>
      </c>
    </row>
    <row r="1614">
      <c r="A1614" s="234">
        <f>IFERROR(__xludf.DUMMYFUNCTION("""COMPUTED_VALUE"""),101905.0)</f>
        <v>101905</v>
      </c>
      <c r="B1614" s="235" t="str">
        <f>IFERROR(__xludf.DUMMYFUNCTION("""COMPUTED_VALUE"""),"EDGAR D. REBELLON")</f>
        <v>EDGAR D. REBELLON</v>
      </c>
      <c r="C1614" s="235" t="str">
        <f>IFERROR(__xludf.DUMMYFUNCTION("""COMPUTED_VALUE"""),"AMD")</f>
        <v>AMD</v>
      </c>
      <c r="D1614" s="196" t="str">
        <f>IFERROR(__xludf.DUMMYFUNCTION("""COMPUTED_VALUE"""),"FRAME CERTIFICATE ORDINARY BROWN ")</f>
        <v>FRAME CERTIFICATE ORDINARY BROWN </v>
      </c>
      <c r="E1614" s="196" t="str">
        <f>IFERROR(__xludf.DUMMYFUNCTION("""COMPUTED_VALUE"""),"OSSUP STOCK REPLENISHMENT ")</f>
        <v>OSSUP STOCK REPLENISHMENT </v>
      </c>
    </row>
    <row r="1615">
      <c r="A1615" s="234">
        <f>IFERROR(__xludf.DUMMYFUNCTION("""COMPUTED_VALUE"""),101906.0)</f>
        <v>101906</v>
      </c>
      <c r="B1615" s="235" t="str">
        <f>IFERROR(__xludf.DUMMYFUNCTION("""COMPUTED_VALUE"""),"EDGAR D. REBELLON")</f>
        <v>EDGAR D. REBELLON</v>
      </c>
      <c r="C1615" s="235" t="str">
        <f>IFERROR(__xludf.DUMMYFUNCTION("""COMPUTED_VALUE"""),"AMD")</f>
        <v>AMD</v>
      </c>
      <c r="D1615" s="196" t="str">
        <f>IFERROR(__xludf.DUMMYFUNCTION("""COMPUTED_VALUE"""),"TONER CARTRIDGE CF210A BLACK, TONER CARTRIDGE CF210A YELLOW")</f>
        <v>TONER CARTRIDGE CF210A BLACK, TONER CARTRIDGE CF210A YELLOW</v>
      </c>
      <c r="E1615" s="196" t="str">
        <f>IFERROR(__xludf.DUMMYFUNCTION("""COMPUTED_VALUE"""),"OSSUP STOCK REPLENISHMENT ")</f>
        <v>OSSUP STOCK REPLENISHMENT </v>
      </c>
    </row>
    <row r="1616">
      <c r="A1616" s="234">
        <f>IFERROR(__xludf.DUMMYFUNCTION("""COMPUTED_VALUE"""),101907.0)</f>
        <v>101907</v>
      </c>
      <c r="B1616" s="235" t="str">
        <f>IFERROR(__xludf.DUMMYFUNCTION("""COMPUTED_VALUE"""),"EDGAR D. REBELLON")</f>
        <v>EDGAR D. REBELLON</v>
      </c>
      <c r="C1616" s="235" t="str">
        <f>IFERROR(__xludf.DUMMYFUNCTION("""COMPUTED_VALUE"""),"AMD")</f>
        <v>AMD</v>
      </c>
      <c r="D1616" s="196" t="str">
        <f>IFERROR(__xludf.DUMMYFUNCTION("""COMPUTED_VALUE"""),"FOLDER WHITE SHORT WITH SISC LOGO/FOLDER, SISC WHITE WITH POCKET LONG (PIF)- CANCEL : NO TRANSACTION FOR ALMOST 5 YEARS")</f>
        <v>FOLDER WHITE SHORT WITH SISC LOGO/FOLDER, SISC WHITE WITH POCKET LONG (PIF)- CANCEL : NO TRANSACTION FOR ALMOST 5 YEARS</v>
      </c>
      <c r="E1616" s="196" t="str">
        <f>IFERROR(__xludf.DUMMYFUNCTION("""COMPUTED_VALUE"""),"OSSUP STOCK REPLENISHMENT ")</f>
        <v>OSSUP STOCK REPLENISHMENT </v>
      </c>
    </row>
    <row r="1617">
      <c r="A1617" s="234">
        <f>IFERROR(__xludf.DUMMYFUNCTION("""COMPUTED_VALUE"""),101908.0)</f>
        <v>101908</v>
      </c>
      <c r="B1617" s="235" t="str">
        <f>IFERROR(__xludf.DUMMYFUNCTION("""COMPUTED_VALUE"""),"EDGAR D. REBELLON")</f>
        <v>EDGAR D. REBELLON</v>
      </c>
      <c r="C1617" s="235" t="str">
        <f>IFERROR(__xludf.DUMMYFUNCTION("""COMPUTED_VALUE"""),"AMD")</f>
        <v>AMD</v>
      </c>
      <c r="D1617" s="196" t="str">
        <f>IFERROR(__xludf.DUMMYFUNCTION("""COMPUTED_VALUE"""),"CURSIVE WRITING ")</f>
        <v>CURSIVE WRITING </v>
      </c>
      <c r="E1617" s="196" t="str">
        <f>IFERROR(__xludf.DUMMYFUNCTION("""COMPUTED_VALUE"""),"FOR SSIS LIPA ")</f>
        <v>FOR SSIS LIPA </v>
      </c>
    </row>
    <row r="1618">
      <c r="A1618" s="234">
        <f>IFERROR(__xludf.DUMMYFUNCTION("""COMPUTED_VALUE"""),101909.0)</f>
        <v>101909</v>
      </c>
      <c r="B1618" s="235" t="str">
        <f>IFERROR(__xludf.DUMMYFUNCTION("""COMPUTED_VALUE"""),"EDGAR D. REBELLON")</f>
        <v>EDGAR D. REBELLON</v>
      </c>
      <c r="C1618" s="235" t="str">
        <f>IFERROR(__xludf.DUMMYFUNCTION("""COMPUTED_VALUE"""),"AMD")</f>
        <v>AMD</v>
      </c>
      <c r="D1618" s="196" t="str">
        <f>IFERROR(__xludf.DUMMYFUNCTION("""COMPUTED_VALUE"""),"CURSIVE WRITING ")</f>
        <v>CURSIVE WRITING </v>
      </c>
      <c r="E1618" s="196" t="str">
        <f>IFERROR(__xludf.DUMMYFUNCTION("""COMPUTED_VALUE"""),"FOR SSIS BATANGAS ")</f>
        <v>FOR SSIS BATANGAS </v>
      </c>
    </row>
    <row r="1619">
      <c r="A1619" s="234">
        <f>IFERROR(__xludf.DUMMYFUNCTION("""COMPUTED_VALUE"""),101910.0)</f>
        <v>101910</v>
      </c>
      <c r="B1619" s="235" t="str">
        <f>IFERROR(__xludf.DUMMYFUNCTION("""COMPUTED_VALUE"""),"EDGAR D. REBELLON")</f>
        <v>EDGAR D. REBELLON</v>
      </c>
      <c r="C1619" s="235" t="str">
        <f>IFERROR(__xludf.DUMMYFUNCTION("""COMPUTED_VALUE"""),"AMD")</f>
        <v>AMD</v>
      </c>
      <c r="D1619" s="196" t="str">
        <f>IFERROR(__xludf.DUMMYFUNCTION("""COMPUTED_VALUE"""),"EQ AND ACT BOOKS ")</f>
        <v>EQ AND ACT BOOKS </v>
      </c>
      <c r="E1619" s="196" t="str">
        <f>IFERROR(__xludf.DUMMYFUNCTION("""COMPUTED_VALUE"""),"FOR SMC ")</f>
        <v>FOR SMC </v>
      </c>
    </row>
    <row r="1620">
      <c r="A1620" s="234">
        <f>IFERROR(__xludf.DUMMYFUNCTION("""COMPUTED_VALUE"""),101911.0)</f>
        <v>101911</v>
      </c>
      <c r="B1620" s="235" t="str">
        <f>IFERROR(__xludf.DUMMYFUNCTION("""COMPUTED_VALUE"""),"APOLLO MANCE ")</f>
        <v>APOLLO MANCE </v>
      </c>
      <c r="C1620" s="235" t="str">
        <f>IFERROR(__xludf.DUMMYFUNCTION("""COMPUTED_VALUE"""),"STUFFSHOP")</f>
        <v>STUFFSHOP</v>
      </c>
      <c r="D1620" s="196" t="str">
        <f>IFERROR(__xludf.DUMMYFUNCTION("""COMPUTED_VALUE"""),"BOOKS: G2 EQ AND ACT, G3 EQ AND ACT, G4 EQ AND ACT, G5 EQ AND ACT, G6 EQ AND ACT, G7 EQ AND ACT, G8 EQ AND ACT, G9 EQ AND ACT, G10 EQ")</f>
        <v>BOOKS: G2 EQ AND ACT, G3 EQ AND ACT, G4 EQ AND ACT, G5 EQ AND ACT, G6 EQ AND ACT, G7 EQ AND ACT, G8 EQ AND ACT, G9 EQ AND ACT, G10 EQ</v>
      </c>
      <c r="E1620" s="196" t="str">
        <f>IFERROR(__xludf.DUMMYFUNCTION("""COMPUTED_VALUE"""),"FOR SALE IN STUFFSHOP")</f>
        <v>FOR SALE IN STUFFSHOP</v>
      </c>
    </row>
    <row r="1621">
      <c r="A1621" s="234">
        <f>IFERROR(__xludf.DUMMYFUNCTION("""COMPUTED_VALUE"""),101912.0)</f>
        <v>101912</v>
      </c>
      <c r="B1621" s="235" t="str">
        <f>IFERROR(__xludf.DUMMYFUNCTION("""COMPUTED_VALUE"""),"APOLLO MANCE ")</f>
        <v>APOLLO MANCE </v>
      </c>
      <c r="C1621" s="235" t="str">
        <f>IFERROR(__xludf.DUMMYFUNCTION("""COMPUTED_VALUE"""),"STUFFSHOP")</f>
        <v>STUFFSHOP</v>
      </c>
      <c r="D1621" s="196" t="str">
        <f>IFERROR(__xludf.DUMMYFUNCTION("""COMPUTED_VALUE"""),"G7 BAYBAYIN EBOOK, G8 BAYBAYIN EBOOK, G9 BAYBAYIN EBOOK, G10 BAYBAYIN EBOOK")</f>
        <v>G7 BAYBAYIN EBOOK, G8 BAYBAYIN EBOOK, G9 BAYBAYIN EBOOK, G10 BAYBAYIN EBOOK</v>
      </c>
      <c r="E1621" s="196" t="str">
        <f>IFERROR(__xludf.DUMMYFUNCTION("""COMPUTED_VALUE"""),"FOR SALE IN STUFFSHOP")</f>
        <v>FOR SALE IN STUFFSHOP</v>
      </c>
    </row>
    <row r="1622">
      <c r="A1622" s="234">
        <f>IFERROR(__xludf.DUMMYFUNCTION("""COMPUTED_VALUE"""),101913.0)</f>
        <v>101913</v>
      </c>
      <c r="B1622" s="235" t="str">
        <f>IFERROR(__xludf.DUMMYFUNCTION("""COMPUTED_VALUE"""),"APOLLO MANCE ")</f>
        <v>APOLLO MANCE </v>
      </c>
      <c r="C1622" s="235" t="str">
        <f>IFERROR(__xludf.DUMMYFUNCTION("""COMPUTED_VALUE"""),"STUFFSHOP")</f>
        <v>STUFFSHOP</v>
      </c>
      <c r="D1622" s="196" t="str">
        <f>IFERROR(__xludf.DUMMYFUNCTION("""COMPUTED_VALUE"""),"STANDFORD SKILLBOOK MATH C, PS SKILLBOOK STANDFORD READING D, STANDOFRD SKILLBOOK MATH D")</f>
        <v>STANDFORD SKILLBOOK MATH C, PS SKILLBOOK STANDFORD READING D, STANDOFRD SKILLBOOK MATH D</v>
      </c>
      <c r="E1622" s="196" t="str">
        <f>IFERROR(__xludf.DUMMYFUNCTION("""COMPUTED_VALUE"""),"FOR SALE IN STUFFSHOP")</f>
        <v>FOR SALE IN STUFFSHOP</v>
      </c>
    </row>
    <row r="1623">
      <c r="A1623" s="234">
        <f>IFERROR(__xludf.DUMMYFUNCTION("""COMPUTED_VALUE"""),101914.0)</f>
        <v>101914</v>
      </c>
      <c r="B1623" s="235" t="str">
        <f>IFERROR(__xludf.DUMMYFUNCTION("""COMPUTED_VALUE"""),"APOLLO MANCE ")</f>
        <v>APOLLO MANCE </v>
      </c>
      <c r="C1623" s="235" t="str">
        <f>IFERROR(__xludf.DUMMYFUNCTION("""COMPUTED_VALUE"""),"STUFFSHOP")</f>
        <v>STUFFSHOP</v>
      </c>
      <c r="D1623" s="196" t="str">
        <f>IFERROR(__xludf.DUMMYFUNCTION("""COMPUTED_VALUE"""),"G3 CURSIVE WRITING,G4 CURSIVE WRITING,G5 CURSIVE WRITING,G6 CURSIVE WRITING,")</f>
        <v>G3 CURSIVE WRITING,G4 CURSIVE WRITING,G5 CURSIVE WRITING,G6 CURSIVE WRITING,</v>
      </c>
      <c r="E1623" s="196" t="str">
        <f>IFERROR(__xludf.DUMMYFUNCTION("""COMPUTED_VALUE"""),"FOR SALE IN STUFFSHOP")</f>
        <v>FOR SALE IN STUFFSHOP</v>
      </c>
    </row>
    <row r="1624">
      <c r="A1624" s="234">
        <f>IFERROR(__xludf.DUMMYFUNCTION("""COMPUTED_VALUE"""),101915.0)</f>
        <v>101915</v>
      </c>
      <c r="B1624" s="235" t="str">
        <f>IFERROR(__xludf.DUMMYFUNCTION("""COMPUTED_VALUE"""),"EDGAR D. REBELLON")</f>
        <v>EDGAR D. REBELLON</v>
      </c>
      <c r="C1624" s="235" t="str">
        <f>IFERROR(__xludf.DUMMYFUNCTION("""COMPUTED_VALUE"""),"AMD")</f>
        <v>AMD</v>
      </c>
      <c r="D1624" s="196" t="str">
        <f>IFERROR(__xludf.DUMMYFUNCTION("""COMPUTED_VALUE"""),"ALCOHOL 70% ISOPROPYL (PER GALLONS)")</f>
        <v>ALCOHOL 70% ISOPROPYL (PER GALLONS)</v>
      </c>
      <c r="E1624" s="196" t="str">
        <f>IFERROR(__xludf.DUMMYFUNCTION("""COMPUTED_VALUE"""),"COVID19 DISINFECTION")</f>
        <v>COVID19 DISINFECTION</v>
      </c>
    </row>
    <row r="1625">
      <c r="A1625" s="234">
        <f>IFERROR(__xludf.DUMMYFUNCTION("""COMPUTED_VALUE"""),101916.0)</f>
        <v>101916</v>
      </c>
      <c r="B1625" s="235" t="str">
        <f>IFERROR(__xludf.DUMMYFUNCTION("""COMPUTED_VALUE"""),"EDGAR D. REBELLON")</f>
        <v>EDGAR D. REBELLON</v>
      </c>
      <c r="C1625" s="235" t="str">
        <f>IFERROR(__xludf.DUMMYFUNCTION("""COMPUTED_VALUE"""),"AMD")</f>
        <v>AMD</v>
      </c>
      <c r="D1625" s="196" t="str">
        <f>IFERROR(__xludf.DUMMYFUNCTION("""COMPUTED_VALUE"""),",Colored Pens (10s),Prang Watercolor, Paper Best Buy colored asstd 9x12,Poster paint (mightee) ")</f>
        <v>,Colored Pens (10s),Prang Watercolor, Paper Best Buy colored asstd 9x12,Poster paint (mightee) </v>
      </c>
      <c r="E1625" s="196" t="str">
        <f>IFERROR(__xludf.DUMMYFUNCTION("""COMPUTED_VALUE"""),"STUDENT MATERIALS FOR AY 2021-2022")</f>
        <v>STUDENT MATERIALS FOR AY 2021-2022</v>
      </c>
    </row>
    <row r="1626">
      <c r="A1626" s="234">
        <f>IFERROR(__xludf.DUMMYFUNCTION("""COMPUTED_VALUE"""),101917.0)</f>
        <v>101917</v>
      </c>
      <c r="B1626" s="235" t="str">
        <f>IFERROR(__xludf.DUMMYFUNCTION("""COMPUTED_VALUE"""),"EDGAR D. REBELLON")</f>
        <v>EDGAR D. REBELLON</v>
      </c>
      <c r="C1626" s="235" t="str">
        <f>IFERROR(__xludf.DUMMYFUNCTION("""COMPUTED_VALUE"""),"AMD")</f>
        <v>AMD</v>
      </c>
      <c r="D1626" s="196" t="str">
        <f>IFERROR(__xludf.DUMMYFUNCTION("""COMPUTED_VALUE"""),"Lil Hand Modelling Clay Scented Neon Colors 10s 180g, Box of Crayons - Crayola Double (16pcs), Pencil, SISCPaper, B&amp;E Bond Paper 8.5x11 (50per pack), Colored Pencils (12s) Li'l Hands ")</f>
        <v>Lil Hand Modelling Clay Scented Neon Colors 10s 180g, Box of Crayons - Crayola Double (16pcs), Pencil, SISCPaper, B&amp;E Bond Paper 8.5x11 (50per pack), Colored Pencils (12s) Li'l Hands </v>
      </c>
      <c r="E1626" s="196" t="str">
        <f>IFERROR(__xludf.DUMMYFUNCTION("""COMPUTED_VALUE"""),"STUDENT MATERIALS FOR AY 2021-2022")</f>
        <v>STUDENT MATERIALS FOR AY 2021-2022</v>
      </c>
    </row>
    <row r="1627">
      <c r="A1627" s="234">
        <f>IFERROR(__xludf.DUMMYFUNCTION("""COMPUTED_VALUE"""),101918.0)</f>
        <v>101918</v>
      </c>
      <c r="B1627" s="235" t="str">
        <f>IFERROR(__xludf.DUMMYFUNCTION("""COMPUTED_VALUE"""),"EDGAR D. REBELLON")</f>
        <v>EDGAR D. REBELLON</v>
      </c>
      <c r="C1627" s="235" t="str">
        <f>IFERROR(__xludf.DUMMYFUNCTION("""COMPUTED_VALUE"""),"AMD")</f>
        <v>AMD</v>
      </c>
      <c r="D1627" s="196" t="str">
        <f>IFERROR(__xludf.DUMMYFUNCTION("""COMPUTED_VALUE"""),"Glue, Elmer's - 130gs, Pad paper, Fortune Quiz Pad Whole, Intermediate (80 leaves), Marker, Pilot Black Fine,Paper, Construction - asst'd 20's,Periodic Table of Elements- Big,Political World Map,'Ruler, Plastic - Orion 12 inches,Paper, book short 20/pack,"&amp;"Paper, book long 20/pack, 'Tape, Scotch  3M (1"") (Transparent Tape 500 24mmx50m),'Yarn, Yarn Asstd Color,'Popsicle Stick, pack (100 sticks)")</f>
        <v>Glue, Elmer's - 130gs, Pad paper, Fortune Quiz Pad Whole, Intermediate (80 leaves), Marker, Pilot Black Fine,Paper, Construction - asst'd 20's,Periodic Table of Elements- Big,Political World Map,'Ruler, Plastic - Orion 12 inches,Paper, book short 20/pack,Paper, book long 20/pack, 'Tape, Scotch  3M (1") (Transparent Tape 500 24mmx50m),'Yarn, Yarn Asstd Color,'Popsicle Stick, pack (100 sticks)</v>
      </c>
      <c r="E1627" s="196" t="str">
        <f>IFERROR(__xludf.DUMMYFUNCTION("""COMPUTED_VALUE"""),"STUDENT MATERIALS FOR AY 2021-2022")</f>
        <v>STUDENT MATERIALS FOR AY 2021-2022</v>
      </c>
    </row>
    <row r="1628">
      <c r="A1628" s="234">
        <f>IFERROR(__xludf.DUMMYFUNCTION("""COMPUTED_VALUE"""),101919.0)</f>
        <v>101919</v>
      </c>
      <c r="B1628" s="235" t="str">
        <f>IFERROR(__xludf.DUMMYFUNCTION("""COMPUTED_VALUE"""),"EDGAR D. REBELLON")</f>
        <v>EDGAR D. REBELLON</v>
      </c>
      <c r="C1628" s="235" t="str">
        <f>IFERROR(__xludf.DUMMYFUNCTION("""COMPUTED_VALUE"""),"AMD")</f>
        <v>AMD</v>
      </c>
      <c r="D1628" s="196" t="str">
        <f>IFERROR(__xludf.DUMMYFUNCTION("""COMPUTED_VALUE"""),"Beads with big hole (150 pcs/pack), Sketch Book, Landscape non spiral ")</f>
        <v>Beads with big hole (150 pcs/pack), Sketch Book, Landscape non spiral </v>
      </c>
      <c r="E1628" s="196" t="str">
        <f>IFERROR(__xludf.DUMMYFUNCTION("""COMPUTED_VALUE"""),"STUDENT MATERIALS FOR AY 2021-2022")</f>
        <v>STUDENT MATERIALS FOR AY 2021-2022</v>
      </c>
    </row>
    <row r="1629">
      <c r="A1629" s="234">
        <f>IFERROR(__xludf.DUMMYFUNCTION("""COMPUTED_VALUE"""),101920.0)</f>
        <v>101920</v>
      </c>
      <c r="B1629" s="235" t="str">
        <f>IFERROR(__xludf.DUMMYFUNCTION("""COMPUTED_VALUE"""),"EDGAR D. REBELLON")</f>
        <v>EDGAR D. REBELLON</v>
      </c>
      <c r="C1629" s="235" t="str">
        <f>IFERROR(__xludf.DUMMYFUNCTION("""COMPUTED_VALUE"""),"AMD")</f>
        <v>AMD</v>
      </c>
      <c r="D1629" s="196" t="str">
        <f>IFERROR(__xludf.DUMMYFUNCTION("""COMPUTED_VALUE""")," 'Paper, Water Color Paper Canson 9x12in (10pcs/pack) 200 gsm")</f>
        <v> 'Paper, Water Color Paper Canson 9x12in (10pcs/pack) 200 gsm</v>
      </c>
      <c r="E1629" s="196" t="str">
        <f>IFERROR(__xludf.DUMMYFUNCTION("""COMPUTED_VALUE"""),"STUDENT MATERIALS FOR AY 2021-2022")</f>
        <v>STUDENT MATERIALS FOR AY 2021-2022</v>
      </c>
    </row>
    <row r="1630">
      <c r="A1630" s="234">
        <f>IFERROR(__xludf.DUMMYFUNCTION("""COMPUTED_VALUE"""),101921.0)</f>
        <v>101921</v>
      </c>
      <c r="B1630" s="235" t="str">
        <f>IFERROR(__xludf.DUMMYFUNCTION("""COMPUTED_VALUE"""),"EDGAR D. REBELLON")</f>
        <v>EDGAR D. REBELLON</v>
      </c>
      <c r="C1630" s="235" t="str">
        <f>IFERROR(__xludf.DUMMYFUNCTION("""COMPUTED_VALUE"""),"AMD")</f>
        <v>AMD</v>
      </c>
      <c r="D1630" s="196" t="str">
        <f>IFERROR(__xludf.DUMMYFUNCTION("""COMPUTED_VALUE"""),"Notebook, High School Mathematics Abstract, Small SQ., Notebook, Grade School Mathematics Abstract, Big Sq.,Notebooklet, Writing SISC Landscape Purpl,Booklet, Spelling Gr. 3-5 SISC")</f>
        <v>Notebook, High School Mathematics Abstract, Small SQ., Notebook, Grade School Mathematics Abstract, Big Sq.,Notebooklet, Writing SISC Landscape Purpl,Booklet, Spelling Gr. 3-5 SISC</v>
      </c>
      <c r="E1630" s="196" t="str">
        <f>IFERROR(__xludf.DUMMYFUNCTION("""COMPUTED_VALUE"""),"STUDENT MATERIALS FOR AY 2021-2022")</f>
        <v>STUDENT MATERIALS FOR AY 2021-2022</v>
      </c>
    </row>
    <row r="1631">
      <c r="A1631" s="234">
        <f>IFERROR(__xludf.DUMMYFUNCTION("""COMPUTED_VALUE"""),101922.0)</f>
        <v>101922</v>
      </c>
      <c r="B1631" s="235" t="str">
        <f>IFERROR(__xludf.DUMMYFUNCTION("""COMPUTED_VALUE"""),"EDGAR D. REBELLON")</f>
        <v>EDGAR D. REBELLON</v>
      </c>
      <c r="C1631" s="235" t="str">
        <f>IFERROR(__xludf.DUMMYFUNCTION("""COMPUTED_VALUE"""),"AMD")</f>
        <v>AMD</v>
      </c>
      <c r="D1631" s="196" t="str">
        <f>IFERROR(__xludf.DUMMYFUNCTION("""COMPUTED_VALUE"""),"Eraser, Maped (Big) (3154140117245), Scissors, Students 5', Maped (463010 8)")</f>
        <v>Eraser, Maped (Big) (3154140117245), Scissors, Students 5', Maped (463010 8)</v>
      </c>
      <c r="E1631" s="196" t="str">
        <f>IFERROR(__xludf.DUMMYFUNCTION("""COMPUTED_VALUE"""),"STUDENT MATERIALS FOR AY 2021-2022")</f>
        <v>STUDENT MATERIALS FOR AY 2021-2022</v>
      </c>
    </row>
    <row r="1632">
      <c r="A1632" s="234">
        <f>IFERROR(__xludf.DUMMYFUNCTION("""COMPUTED_VALUE"""),101923.0)</f>
        <v>101923</v>
      </c>
      <c r="B1632" s="235" t="str">
        <f>IFERROR(__xludf.DUMMYFUNCTION("""COMPUTED_VALUE"""),"EDGAR D. REBELLON")</f>
        <v>EDGAR D. REBELLON</v>
      </c>
      <c r="C1632" s="235" t="str">
        <f>IFERROR(__xludf.DUMMYFUNCTION("""COMPUTED_VALUE"""),"AMD")</f>
        <v>AMD</v>
      </c>
      <c r="D1632" s="196" t="str">
        <f>IFERROR(__xludf.DUMMYFUNCTION("""COMPUTED_VALUE"""),"Expandable envelope, purple")</f>
        <v>Expandable envelope, purple</v>
      </c>
      <c r="E1632" s="196" t="str">
        <f>IFERROR(__xludf.DUMMYFUNCTION("""COMPUTED_VALUE"""),"STUDENT MATERIALS FOR AY 2021-2022")</f>
        <v>STUDENT MATERIALS FOR AY 2021-2022</v>
      </c>
    </row>
    <row r="1633">
      <c r="A1633" s="234">
        <f>IFERROR(__xludf.DUMMYFUNCTION("""COMPUTED_VALUE"""),101924.0)</f>
        <v>101924</v>
      </c>
      <c r="B1633" s="235" t="str">
        <f>IFERROR(__xludf.DUMMYFUNCTION("""COMPUTED_VALUE"""),"EDGAR D. REBELLON")</f>
        <v>EDGAR D. REBELLON</v>
      </c>
      <c r="C1633" s="235" t="str">
        <f>IFERROR(__xludf.DUMMYFUNCTION("""COMPUTED_VALUE"""),"AMD")</f>
        <v>AMD</v>
      </c>
      <c r="D1633" s="196" t="str">
        <f>IFERROR(__xludf.DUMMYFUNCTION("""COMPUTED_VALUE"""),"Facemask ")</f>
        <v>Facemask </v>
      </c>
      <c r="E1633" s="196" t="str">
        <f>IFERROR(__xludf.DUMMYFUNCTION("""COMPUTED_VALUE"""),"ENROLLMENT TOKEN FOR AY 2021-2022")</f>
        <v>ENROLLMENT TOKEN FOR AY 2021-2022</v>
      </c>
    </row>
    <row r="1634">
      <c r="A1634" s="234">
        <f>IFERROR(__xludf.DUMMYFUNCTION("""COMPUTED_VALUE"""),101925.0)</f>
        <v>101925</v>
      </c>
      <c r="B1634" s="235" t="str">
        <f>IFERROR(__xludf.DUMMYFUNCTION("""COMPUTED_VALUE"""),"EDGAR D. REBELLON")</f>
        <v>EDGAR D. REBELLON</v>
      </c>
      <c r="C1634" s="235" t="str">
        <f>IFERROR(__xludf.DUMMYFUNCTION("""COMPUTED_VALUE"""),"AMD")</f>
        <v>AMD</v>
      </c>
      <c r="D1634" s="196" t="str">
        <f>IFERROR(__xludf.DUMMYFUNCTION("""COMPUTED_VALUE"""),"Alcohol, 70 % Isopropyl 60 ml or 75 ml, Facial Tissue (Kleenex or sanicare),Plastic for facemask holder ")</f>
        <v>Alcohol, 70 % Isopropyl 60 ml or 75 ml, Facial Tissue (Kleenex or sanicare),Plastic for facemask holder </v>
      </c>
      <c r="E1634" s="196" t="str">
        <f>IFERROR(__xludf.DUMMYFUNCTION("""COMPUTED_VALUE"""),"ENROLLMENT TOKEN FOR AY 2021-2022")</f>
        <v>ENROLLMENT TOKEN FOR AY 2021-2022</v>
      </c>
    </row>
    <row r="1635">
      <c r="A1635" s="234">
        <f>IFERROR(__xludf.DUMMYFUNCTION("""COMPUTED_VALUE"""),101926.0)</f>
        <v>101926</v>
      </c>
      <c r="B1635" s="235" t="str">
        <f>IFERROR(__xludf.DUMMYFUNCTION("""COMPUTED_VALUE"""),"CHOY JAMIAS")</f>
        <v>CHOY JAMIAS</v>
      </c>
      <c r="C1635" s="235" t="str">
        <f>IFERROR(__xludf.DUMMYFUNCTION("""COMPUTED_VALUE"""),"BASIC ED")</f>
        <v>BASIC ED</v>
      </c>
      <c r="D1635" s="196" t="str">
        <f>IFERROR(__xludf.DUMMYFUNCTION("""COMPUTED_VALUE"""),"Welcome scarf and SISC pin")</f>
        <v>Welcome scarf and SISC pin</v>
      </c>
      <c r="E1635" s="196" t="str">
        <f>IFERROR(__xludf.DUMMYFUNCTION("""COMPUTED_VALUE"""),"For WASC accreditors ")</f>
        <v>For WASC accreditors </v>
      </c>
    </row>
    <row r="1636">
      <c r="A1636" s="234">
        <f>IFERROR(__xludf.DUMMYFUNCTION("""COMPUTED_VALUE"""),101927.0)</f>
        <v>101927</v>
      </c>
      <c r="B1636" s="235" t="str">
        <f>IFERROR(__xludf.DUMMYFUNCTION("""COMPUTED_VALUE"""),"LUCILLE BEYER")</f>
        <v>LUCILLE BEYER</v>
      </c>
      <c r="C1636" s="235" t="str">
        <f>IFERROR(__xludf.DUMMYFUNCTION("""COMPUTED_VALUE"""),"MEDICAL")</f>
        <v>MEDICAL</v>
      </c>
      <c r="D1636" s="196" t="str">
        <f>IFERROR(__xludf.DUMMYFUNCTION("""COMPUTED_VALUE"""),"CLINIC MATERIALS AND SUPPLIES ")</f>
        <v>CLINIC MATERIALS AND SUPPLIES </v>
      </c>
      <c r="E1636" s="196" t="str">
        <f>IFERROR(__xludf.DUMMYFUNCTION("""COMPUTED_VALUE"""),"ANNUAL PURCHASE OF CLINIC SUPPLIES ")</f>
        <v>ANNUAL PURCHASE OF CLINIC SUPPLIES </v>
      </c>
    </row>
    <row r="1637">
      <c r="A1637" s="234">
        <f>IFERROR(__xludf.DUMMYFUNCTION("""COMPUTED_VALUE"""),101928.0)</f>
        <v>101928</v>
      </c>
      <c r="B1637" s="235" t="str">
        <f>IFERROR(__xludf.DUMMYFUNCTION("""COMPUTED_VALUE"""),"MARVIN MARASIGAN ")</f>
        <v>MARVIN MARASIGAN </v>
      </c>
      <c r="C1637" s="235" t="str">
        <f>IFERROR(__xludf.DUMMYFUNCTION("""COMPUTED_VALUE"""),"PR &amp; MARKETING")</f>
        <v>PR &amp; MARKETING</v>
      </c>
      <c r="D1637" s="196" t="str">
        <f>IFERROR(__xludf.DUMMYFUNCTION("""COMPUTED_VALUE"""),"FUNERAL FLOWER ")</f>
        <v>FUNERAL FLOWER </v>
      </c>
      <c r="E1637" s="196" t="str">
        <f>IFERROR(__xludf.DUMMYFUNCTION("""COMPUTED_VALUE"""),"FLOWER FOR THE DEATH OF THE PARENT OF SISC ALUMNI")</f>
        <v>FLOWER FOR THE DEATH OF THE PARENT OF SISC ALUMNI</v>
      </c>
    </row>
    <row r="1638">
      <c r="A1638" s="234">
        <f>IFERROR(__xludf.DUMMYFUNCTION("""COMPUTED_VALUE"""),101929.0)</f>
        <v>101929</v>
      </c>
      <c r="B1638" s="235" t="str">
        <f>IFERROR(__xludf.DUMMYFUNCTION("""COMPUTED_VALUE"""),"EDGAR D. REBELLON")</f>
        <v>EDGAR D. REBELLON</v>
      </c>
      <c r="C1638" s="235" t="str">
        <f>IFERROR(__xludf.DUMMYFUNCTION("""COMPUTED_VALUE"""),"AMD")</f>
        <v>AMD</v>
      </c>
      <c r="D1638" s="196" t="str">
        <f>IFERROR(__xludf.DUMMYFUNCTION("""COMPUTED_VALUE"""),"Reusable Organizer storage bag (Drawstring katcha) 10x8")</f>
        <v>Reusable Organizer storage bag (Drawstring katcha) 10x8</v>
      </c>
      <c r="E1638" s="196" t="str">
        <f>IFERROR(__xludf.DUMMYFUNCTION("""COMPUTED_VALUE"""),"ENROLLMENT TOKEN FOR AY 2021-2022")</f>
        <v>ENROLLMENT TOKEN FOR AY 2021-2022</v>
      </c>
    </row>
    <row r="1639">
      <c r="A1639" s="234">
        <f>IFERROR(__xludf.DUMMYFUNCTION("""COMPUTED_VALUE"""),101930.0)</f>
        <v>101930</v>
      </c>
      <c r="B1639" s="235" t="str">
        <f>IFERROR(__xludf.DUMMYFUNCTION("""COMPUTED_VALUE"""),"OWIE PAR")</f>
        <v>OWIE PAR</v>
      </c>
      <c r="C1639" s="235" t="str">
        <f>IFERROR(__xludf.DUMMYFUNCTION("""COMPUTED_VALUE"""),"ENGINEERING")</f>
        <v>ENGINEERING</v>
      </c>
      <c r="D1639" s="196" t="str">
        <f>IFERROR(__xludf.DUMMYFUNCTION("""COMPUTED_VALUE"""),"G1 PIPE 1/2 SUPER, GATE VALVE 1/2 BRASS, SOLINOID VALVE 1/2"" , GI TEE 1/2, GI UNION PATENTE 1/2, G1 ELBOW 1/2, G1 NIPPLE 1/2X4, TEPLON TAPE 1/2""THHN #12, MUCO PVC BOX 2X4, GANG SWITCH WIPE SERIES, ELECTRICAL TAPE. ")</f>
        <v>G1 PIPE 1/2 SUPER, GATE VALVE 1/2 BRASS, SOLINOID VALVE 1/2" , GI TEE 1/2, GI UNION PATENTE 1/2, G1 ELBOW 1/2, G1 NIPPLE 1/2X4, TEPLON TAPE 1/2"THHN #12, MUCO PVC BOX 2X4, GANG SWITCH WIPE SERIES, ELECTRICAL TAPE. </v>
      </c>
      <c r="E1639" s="196" t="str">
        <f>IFERROR(__xludf.DUMMYFUNCTION("""COMPUTED_VALUE"""),"PSL REWORK FOR LPG AUTO SHUT OFF  COLLEGE BUILDING. ")</f>
        <v>PSL REWORK FOR LPG AUTO SHUT OFF  COLLEGE BUILDING. </v>
      </c>
    </row>
    <row r="1640">
      <c r="A1640" s="234">
        <f>IFERROR(__xludf.DUMMYFUNCTION("""COMPUTED_VALUE"""),101931.0)</f>
        <v>101931</v>
      </c>
      <c r="B1640" s="235" t="str">
        <f>IFERROR(__xludf.DUMMYFUNCTION("""COMPUTED_VALUE"""),"JOYCE LADRA ")</f>
        <v>JOYCE LADRA </v>
      </c>
      <c r="C1640" s="235" t="str">
        <f>IFERROR(__xludf.DUMMYFUNCTION("""COMPUTED_VALUE"""),"FINANCE &amp; ACCOUNTING")</f>
        <v>FINANCE &amp; ACCOUNTING</v>
      </c>
      <c r="D1640" s="196" t="str">
        <f>IFERROR(__xludf.DUMMYFUNCTION("""COMPUTED_VALUE"""),"OFFICIAL RECEIPT- LAST RECEIPT NUMBER 247500")</f>
        <v>OFFICIAL RECEIPT- LAST RECEIPT NUMBER 247500</v>
      </c>
      <c r="E1640" s="196" t="str">
        <f>IFERROR(__xludf.DUMMYFUNCTION("""COMPUTED_VALUE"""),"REPELENISHMENT OF EXPIRING OFFICIAL RECEIPT ")</f>
        <v>REPELENISHMENT OF EXPIRING OFFICIAL RECEIPT </v>
      </c>
    </row>
    <row r="1641">
      <c r="A1641" s="234">
        <f>IFERROR(__xludf.DUMMYFUNCTION("""COMPUTED_VALUE"""),101932.0)</f>
        <v>101932</v>
      </c>
      <c r="B1641" s="235" t="str">
        <f>IFERROR(__xludf.DUMMYFUNCTION("""COMPUTED_VALUE"""),"OWIE PAR")</f>
        <v>OWIE PAR</v>
      </c>
      <c r="C1641" s="235" t="str">
        <f>IFERROR(__xludf.DUMMYFUNCTION("""COMPUTED_VALUE"""),"ENGINEERING")</f>
        <v>ENGINEERING</v>
      </c>
      <c r="D1641" s="196" t="str">
        <f>IFERROR(__xludf.DUMMYFUNCTION("""COMPUTED_VALUE"""),"SEMI GLOSS LATEX WHITE, FLAT LATEX WHITE,  SKIN COAR. QDE WHTE, QDE LEMON YELLOW, QDE INTERNATIONAL RED, PAINT THINNER, SAND PAPER, WELDING ROD SPECIAL, CUTTING DISK NO. 4, GRINDING DISK NO. 4, QDE CHOCOLATE BROWN, RED OXIDE PREMIER, PAINT BRUSH 1 1/2"", "&amp;"PAINT ROLLER 7 INCHES COTTON, TUBULAR BAR 20X2X4,TUBULAR BAR 20X1X2, ACRI COLOR RAW SIENNA, TINTING COLOR RAW SIENNA")</f>
        <v>SEMI GLOSS LATEX WHITE, FLAT LATEX WHITE,  SKIN COAR. QDE WHTE, QDE LEMON YELLOW, QDE INTERNATIONAL RED, PAINT THINNER, SAND PAPER, WELDING ROD SPECIAL, CUTTING DISK NO. 4, GRINDING DISK NO. 4, QDE CHOCOLATE BROWN, RED OXIDE PREMIER, PAINT BRUSH 1 1/2", PAINT ROLLER 7 INCHES COTTON, TUBULAR BAR 20X2X4,TUBULAR BAR 20X1X2, ACRI COLOR RAW SIENNA, TINTING COLOR RAW SIENNA</v>
      </c>
      <c r="E1641" s="196" t="str">
        <f>IFERROR(__xludf.DUMMYFUNCTION("""COMPUTED_VALUE"""),"REPAIR OF STEEL GRILLS AND REPAINTING")</f>
        <v>REPAIR OF STEEL GRILLS AND REPAINTING</v>
      </c>
    </row>
    <row r="1642">
      <c r="A1642" s="234">
        <f>IFERROR(__xludf.DUMMYFUNCTION("""COMPUTED_VALUE"""),101933.0)</f>
        <v>101933</v>
      </c>
      <c r="B1642" s="235" t="str">
        <f>IFERROR(__xludf.DUMMYFUNCTION("""COMPUTED_VALUE"""),"RENZ BLANCA ")</f>
        <v>RENZ BLANCA </v>
      </c>
      <c r="C1642" s="235" t="str">
        <f>IFERROR(__xludf.DUMMYFUNCTION("""COMPUTED_VALUE"""),"STUDENT AFFAIRS COLLEGE")</f>
        <v>STUDENT AFFAIRS COLLEGE</v>
      </c>
      <c r="D1642" s="196" t="str">
        <f>IFERROR(__xludf.DUMMYFUNCTION("""COMPUTED_VALUE"""),"AFSL MEDALS - canceled")</f>
        <v>AFSL MEDALS - canceled</v>
      </c>
      <c r="E1642" s="196" t="str">
        <f>IFERROR(__xludf.DUMMYFUNCTION("""COMPUTED_VALUE"""),"FOR AFSL YEAREND AWARDS OIF SGEN SCHOOL")</f>
        <v>FOR AFSL YEAREND AWARDS OIF SGEN SCHOOL</v>
      </c>
    </row>
    <row r="1643">
      <c r="A1643" s="234">
        <f>IFERROR(__xludf.DUMMYFUNCTION("""COMPUTED_VALUE"""),101934.0)</f>
        <v>101934</v>
      </c>
      <c r="B1643" s="235" t="str">
        <f>IFERROR(__xludf.DUMMYFUNCTION("""COMPUTED_VALUE"""),"OWIE PAR")</f>
        <v>OWIE PAR</v>
      </c>
      <c r="C1643" s="235" t="str">
        <f>IFERROR(__xludf.DUMMYFUNCTION("""COMPUTED_VALUE"""),"ENGINEERING")</f>
        <v>ENGINEERING</v>
      </c>
      <c r="D1643" s="196" t="str">
        <f>IFERROR(__xludf.DUMMYFUNCTION("""COMPUTED_VALUE"""),"QDE INTERNATIONAL RED; PAINT BRUSH 2 PAINT BRUSH 4 ; SAND PAPER")</f>
        <v>QDE INTERNATIONAL RED; PAINT BRUSH 2 PAINT BRUSH 4 ; SAND PAPER</v>
      </c>
      <c r="E1643" s="196" t="str">
        <f>IFERROR(__xludf.DUMMYFUNCTION("""COMPUTED_VALUE"""),"REPAINTING OF SPRINKLER SYSTEM")</f>
        <v>REPAINTING OF SPRINKLER SYSTEM</v>
      </c>
    </row>
    <row r="1644">
      <c r="A1644" s="234">
        <f>IFERROR(__xludf.DUMMYFUNCTION("""COMPUTED_VALUE"""),101935.0)</f>
        <v>101935</v>
      </c>
      <c r="B1644" s="235" t="str">
        <f>IFERROR(__xludf.DUMMYFUNCTION("""COMPUTED_VALUE"""),"DYAN CHAVEZ ")</f>
        <v>DYAN CHAVEZ </v>
      </c>
      <c r="C1644" s="235" t="str">
        <f>IFERROR(__xludf.DUMMYFUNCTION("""COMPUTED_VALUE"""),"DP MUNICH")</f>
        <v>DP MUNICH</v>
      </c>
      <c r="D1644" s="196" t="str">
        <f>IFERROR(__xludf.DUMMYFUNCTION("""COMPUTED_VALUE"""),"EXPANDABLE LONG PLASTIC ENVELOPE ADVENTURER")</f>
        <v>EXPANDABLE LONG PLASTIC ENVELOPE ADVENTURER</v>
      </c>
      <c r="E1644" s="196" t="str">
        <f>IFERROR(__xludf.DUMMYFUNCTION("""COMPUTED_VALUE"""),"ENVELOPES FOR CERTIFICATES AND MEDALS TO BE RELEASED ")</f>
        <v>ENVELOPES FOR CERTIFICATES AND MEDALS TO BE RELEASED </v>
      </c>
    </row>
    <row r="1645">
      <c r="A1645" s="234">
        <f>IFERROR(__xludf.DUMMYFUNCTION("""COMPUTED_VALUE"""),101936.0)</f>
        <v>101936</v>
      </c>
      <c r="B1645" s="235" t="str">
        <f>IFERROR(__xludf.DUMMYFUNCTION("""COMPUTED_VALUE"""),"VYE REVOLTAR")</f>
        <v>VYE REVOLTAR</v>
      </c>
      <c r="C1645" s="235" t="str">
        <f>IFERROR(__xludf.DUMMYFUNCTION("""COMPUTED_VALUE"""),"CEM OFFICE")</f>
        <v>CEM OFFICE</v>
      </c>
      <c r="D1645" s="196" t="str">
        <f>IFERROR(__xludf.DUMMYFUNCTION("""COMPUTED_VALUE"""),"MAGAZINE BOX - LONG ")</f>
        <v>MAGAZINE BOX - LONG </v>
      </c>
      <c r="E1645" s="196" t="str">
        <f>IFERROR(__xludf.DUMMYFUNCTION("""COMPUTED_VALUE"""),"FOR FILING OF RESOLUTIONS ")</f>
        <v>FOR FILING OF RESOLUTIONS </v>
      </c>
    </row>
    <row r="1646">
      <c r="A1646" s="234">
        <f>IFERROR(__xludf.DUMMYFUNCTION("""COMPUTED_VALUE"""),101937.0)</f>
        <v>101937</v>
      </c>
      <c r="B1646" s="235" t="str">
        <f>IFERROR(__xludf.DUMMYFUNCTION("""COMPUTED_VALUE"""),"BELOY LEOPOLDO")</f>
        <v>BELOY LEOPOLDO</v>
      </c>
      <c r="C1646" s="235" t="str">
        <f>IFERROR(__xludf.DUMMYFUNCTION("""COMPUTED_VALUE"""),"AV/MIS")</f>
        <v>AV/MIS</v>
      </c>
      <c r="D1646" s="196" t="str">
        <f>IFERROR(__xludf.DUMMYFUNCTION("""COMPUTED_VALUE"""),"SANWA MULTITESTERS (ANALOG), SOLDERING IRON, SOLDERING LEAD")</f>
        <v>SANWA MULTITESTERS (ANALOG), SOLDERING IRON, SOLDERING LEAD</v>
      </c>
      <c r="E1646" s="196" t="str">
        <f>IFERROR(__xludf.DUMMYFUNCTION("""COMPUTED_VALUE"""),"FOR FIXING/REPAIRING AV ELECTRONICS EQUIPMENT ")</f>
        <v>FOR FIXING/REPAIRING AV ELECTRONICS EQUIPMENT </v>
      </c>
    </row>
    <row r="1647">
      <c r="A1647" s="234">
        <f>IFERROR(__xludf.DUMMYFUNCTION("""COMPUTED_VALUE"""),101938.0)</f>
        <v>101938</v>
      </c>
      <c r="B1647" s="235" t="str">
        <f>IFERROR(__xludf.DUMMYFUNCTION("""COMPUTED_VALUE"""),"JANUARY GUTIERREZ &amp; GLADYS MINTU")</f>
        <v>JANUARY GUTIERREZ &amp; GLADYS MINTU</v>
      </c>
      <c r="C1647" s="235" t="str">
        <f>IFERROR(__xludf.DUMMYFUNCTION("""COMPUTED_VALUE"""),"DP'S OFFICE")</f>
        <v>DP'S OFFICE</v>
      </c>
      <c r="D1647" s="196" t="str">
        <f>IFERROR(__xludf.DUMMYFUNCTION("""COMPUTED_VALUE"""),"GRADE 6 ACAD EXCELLENCE MEDALS, GEN SCHOLASTIC MEDALS")</f>
        <v>GRADE 6 ACAD EXCELLENCE MEDALS, GEN SCHOLASTIC MEDALS</v>
      </c>
      <c r="E1647" s="196" t="str">
        <f>IFERROR(__xludf.DUMMYFUNCTION("""COMPUTED_VALUE"""),"FOR GRADUATION OF G6 ")</f>
        <v>FOR GRADUATION OF G6 </v>
      </c>
    </row>
    <row r="1648">
      <c r="A1648" s="234">
        <f>IFERROR(__xludf.DUMMYFUNCTION("""COMPUTED_VALUE"""),101939.0)</f>
        <v>101939</v>
      </c>
      <c r="B1648" s="235" t="str">
        <f>IFERROR(__xludf.DUMMYFUNCTION("""COMPUTED_VALUE"""),"JANUARY GUTIERREZ")</f>
        <v>JANUARY GUTIERREZ</v>
      </c>
      <c r="C1648" s="235" t="str">
        <f>IFERROR(__xludf.DUMMYFUNCTION("""COMPUTED_VALUE"""),"DP'S OFFICE")</f>
        <v>DP'S OFFICE</v>
      </c>
      <c r="D1648" s="196" t="str">
        <f>IFERROR(__xludf.DUMMYFUNCTION("""COMPUTED_VALUE"""),"GRADE 12 ACADEMIC EXCELLENCE AWARD MEDALS, VALUES, SUBJECT, GEN SCHO,LOYALTY AWARD MEDALS ")</f>
        <v>GRADE 12 ACADEMIC EXCELLENCE AWARD MEDALS, VALUES, SUBJECT, GEN SCHO,LOYALTY AWARD MEDALS </v>
      </c>
      <c r="E1648" s="196" t="str">
        <f>IFERROR(__xludf.DUMMYFUNCTION("""COMPUTED_VALUE"""),"FOR GRADUATION OF G12")</f>
        <v>FOR GRADUATION OF G12</v>
      </c>
    </row>
    <row r="1649">
      <c r="A1649" s="234">
        <f>IFERROR(__xludf.DUMMYFUNCTION("""COMPUTED_VALUE"""),101940.0)</f>
        <v>101940</v>
      </c>
      <c r="B1649" s="235" t="str">
        <f>IFERROR(__xludf.DUMMYFUNCTION("""COMPUTED_VALUE"""),"EDGAR D. REBELLON")</f>
        <v>EDGAR D. REBELLON</v>
      </c>
      <c r="C1649" s="235" t="str">
        <f>IFERROR(__xludf.DUMMYFUNCTION("""COMPUTED_VALUE"""),"AMD")</f>
        <v>AMD</v>
      </c>
      <c r="D1649" s="196" t="str">
        <f>IFERROR(__xludf.DUMMYFUNCTION("""COMPUTED_VALUE"""),"TISSUE, ROLL BATH 2 PLY (SANICARE)")</f>
        <v>TISSUE, ROLL BATH 2 PLY (SANICARE)</v>
      </c>
      <c r="E1649" s="196" t="str">
        <f>IFERROR(__xludf.DUMMYFUNCTION("""COMPUTED_VALUE"""),"STOCK REPLENISHMENT ")</f>
        <v>STOCK REPLENISHMENT </v>
      </c>
    </row>
    <row r="1650">
      <c r="A1650" s="234">
        <f>IFERROR(__xludf.DUMMYFUNCTION("""COMPUTED_VALUE"""),101941.0)</f>
        <v>101941</v>
      </c>
      <c r="B1650" s="235" t="str">
        <f>IFERROR(__xludf.DUMMYFUNCTION("""COMPUTED_VALUE"""),"ALFA DE LEON")</f>
        <v>ALFA DE LEON</v>
      </c>
      <c r="C1650" s="235" t="str">
        <f>IFERROR(__xludf.DUMMYFUNCTION("""COMPUTED_VALUE"""),"ADMIN - MUNICH")</f>
        <v>ADMIN - MUNICH</v>
      </c>
      <c r="D1650" s="196" t="str">
        <f>IFERROR(__xludf.DUMMYFUNCTION("""COMPUTED_VALUE"""),"GARDEN HOSE SIZE 3/4 (30 TO 50 METERS LONG) SEE ACTUAL SAMPLE ")</f>
        <v>GARDEN HOSE SIZE 3/4 (30 TO 50 METERS LONG) SEE ACTUAL SAMPLE </v>
      </c>
      <c r="E1650" s="196" t="str">
        <f>IFERROR(__xludf.DUMMYFUNCTION("""COMPUTED_VALUE"""),"REPLACEMENT OF BROKEN ONES ")</f>
        <v>REPLACEMENT OF BROKEN ONES </v>
      </c>
    </row>
    <row r="1651">
      <c r="A1651" s="234">
        <f>IFERROR(__xludf.DUMMYFUNCTION("""COMPUTED_VALUE"""),101942.0)</f>
        <v>101942</v>
      </c>
      <c r="B1651" s="235" t="str">
        <f>IFERROR(__xludf.DUMMYFUNCTION("""COMPUTED_VALUE"""),"LUCILLE BEYER ")</f>
        <v>LUCILLE BEYER </v>
      </c>
      <c r="C1651" s="235" t="str">
        <f>IFERROR(__xludf.DUMMYFUNCTION("""COMPUTED_VALUE"""),"MEDICAL")</f>
        <v>MEDICAL</v>
      </c>
      <c r="D1651" s="196" t="str">
        <f>IFERROR(__xludf.DUMMYFUNCTION("""COMPUTED_VALUE"""),"ADVIL, TUSERAN FORTE, BIOFLU, DIATABS, DECOLGEN- NON DROWSE, SOLMUX CAPSULE, MEFENAMIC ACID, RITEMED, BIOGESIC, BAND AID MEDIPLAST, VOLTAREN, BROWN PAPER BAG (M), ICE CANDY BAG, VICKS VAPORUB 50G, WHITE FLOWER 20 ML, SALONPAS, COTTON BUDS/ 400 TIPS, BACTI"&amp;"FREE/MUPURICIN 10 MG, HYDRITE (SACHET) BACTIDOL 500 ML")</f>
        <v>ADVIL, TUSERAN FORTE, BIOFLU, DIATABS, DECOLGEN- NON DROWSE, SOLMUX CAPSULE, MEFENAMIC ACID, RITEMED, BIOGESIC, BAND AID MEDIPLAST, VOLTAREN, BROWN PAPER BAG (M), ICE CANDY BAG, VICKS VAPORUB 50G, WHITE FLOWER 20 ML, SALONPAS, COTTON BUDS/ 400 TIPS, BACTIFREE/MUPURICIN 10 MG, HYDRITE (SACHET) BACTIDOL 500 ML</v>
      </c>
      <c r="E1651" s="196" t="str">
        <f>IFERROR(__xludf.DUMMYFUNCTION("""COMPUTED_VALUE"""),"REPLENISHMENT OF CLINIC MEDICINES IN PREPARATION OF FACE TO FACE CLASSES FOR THE MONTH OF JUNE AND JULY 2021")</f>
        <v>REPLENISHMENT OF CLINIC MEDICINES IN PREPARATION OF FACE TO FACE CLASSES FOR THE MONTH OF JUNE AND JULY 2021</v>
      </c>
    </row>
    <row r="1652">
      <c r="A1652" s="234">
        <f>IFERROR(__xludf.DUMMYFUNCTION("""COMPUTED_VALUE"""),101943.0)</f>
        <v>101943</v>
      </c>
      <c r="B1652" s="235" t="str">
        <f>IFERROR(__xludf.DUMMYFUNCTION("""COMPUTED_VALUE"""),"CARLITO DELA VEGA ")</f>
        <v>CARLITO DELA VEGA </v>
      </c>
      <c r="C1652" s="235" t="str">
        <f>IFERROR(__xludf.DUMMYFUNCTION("""COMPUTED_VALUE"""),"SECURITY")</f>
        <v>SECURITY</v>
      </c>
      <c r="D1652" s="196" t="str">
        <f>IFERROR(__xludf.DUMMYFUNCTION("""COMPUTED_VALUE"""),"EXIT SIGNAGE ")</f>
        <v>EXIT SIGNAGE </v>
      </c>
      <c r="E1652" s="196" t="str">
        <f>IFERROR(__xludf.DUMMYFUNCTION("""COMPUTED_VALUE"""),"REPLACEMENT OF DEFECTIVE EXIT SIGNAGE ")</f>
        <v>REPLACEMENT OF DEFECTIVE EXIT SIGNAGE </v>
      </c>
    </row>
    <row r="1653">
      <c r="A1653" s="234">
        <f>IFERROR(__xludf.DUMMYFUNCTION("""COMPUTED_VALUE"""),101944.0)</f>
        <v>101944</v>
      </c>
      <c r="B1653" s="235" t="str">
        <f>IFERROR(__xludf.DUMMYFUNCTION("""COMPUTED_VALUE"""),"OWIE PAR")</f>
        <v>OWIE PAR</v>
      </c>
      <c r="C1653" s="235" t="str">
        <f>IFERROR(__xludf.DUMMYFUNCTION("""COMPUTED_VALUE"""),"ENGINEERING")</f>
        <v>ENGINEERING</v>
      </c>
      <c r="D1653" s="196" t="str">
        <f>IFERROR(__xludf.DUMMYFUNCTION("""COMPUTED_VALUE"""),"CHLORINE POWDER ")</f>
        <v>CHLORINE POWDER </v>
      </c>
      <c r="E1653" s="196" t="str">
        <f>IFERROR(__xludf.DUMMYFUNCTION("""COMPUTED_VALUE"""),"FOR WATER TREATMENT FOR LUX, MUNICH AND TROPICAL ")</f>
        <v>FOR WATER TREATMENT FOR LUX, MUNICH AND TROPICAL </v>
      </c>
    </row>
    <row r="1654">
      <c r="A1654" s="234">
        <f>IFERROR(__xludf.DUMMYFUNCTION("""COMPUTED_VALUE"""),101945.0)</f>
        <v>101945</v>
      </c>
      <c r="B1654" s="235" t="str">
        <f>IFERROR(__xludf.DUMMYFUNCTION("""COMPUTED_VALUE"""),"OWIE PAR")</f>
        <v>OWIE PAR</v>
      </c>
      <c r="C1654" s="235" t="str">
        <f>IFERROR(__xludf.DUMMYFUNCTION("""COMPUTED_VALUE"""),"ENGINEERING")</f>
        <v>ENGINEERING</v>
      </c>
      <c r="D1654" s="196" t="str">
        <f>IFERROR(__xludf.DUMMYFUNCTION("""COMPUTED_VALUE"""),"COPPER TUBE 1/2 X .28, COPPER TUBE 1/4 X .28, INSULATION 3/4 X 1/2, INSULATION 3/4 X 1/4, WHITE FILM , MOP GAS ")</f>
        <v>COPPER TUBE 1/2 X .28, COPPER TUBE 1/4 X .28, INSULATION 3/4 X 1/2, INSULATION 3/4 X 1/4, WHITE FILM , MOP GAS </v>
      </c>
      <c r="E1654" s="196" t="str">
        <f>IFERROR(__xludf.DUMMYFUNCTION("""COMPUTED_VALUE"""),"MATERIALS NEEDED FOR THE INSTALLATION OF ACU- WILL BE STOCKED IN AMD ")</f>
        <v>MATERIALS NEEDED FOR THE INSTALLATION OF ACU- WILL BE STOCKED IN AMD </v>
      </c>
    </row>
    <row r="1655">
      <c r="A1655" s="234">
        <f>IFERROR(__xludf.DUMMYFUNCTION("""COMPUTED_VALUE"""),101946.0)</f>
        <v>101946</v>
      </c>
      <c r="B1655" s="235" t="str">
        <f>IFERROR(__xludf.DUMMYFUNCTION("""COMPUTED_VALUE"""),"OWIE PAR")</f>
        <v>OWIE PAR</v>
      </c>
      <c r="C1655" s="235" t="str">
        <f>IFERROR(__xludf.DUMMYFUNCTION("""COMPUTED_VALUE"""),"ENGINEERING")</f>
        <v>ENGINEERING</v>
      </c>
      <c r="D1655" s="196" t="str">
        <f>IFERROR(__xludf.DUMMYFUNCTION("""COMPUTED_VALUE"""),"ACU INVERTER 2.5 HP PANASONIC")</f>
        <v>ACU INVERTER 2.5 HP PANASONIC</v>
      </c>
      <c r="E1655" s="196" t="str">
        <f>IFERROR(__xludf.DUMMYFUNCTION("""COMPUTED_VALUE"""),"ACU REPLACEMENT BEYOND ECONOMICAL REPAIR ")</f>
        <v>ACU REPLACEMENT BEYOND ECONOMICAL REPAIR </v>
      </c>
    </row>
    <row r="1656">
      <c r="A1656" s="234">
        <f>IFERROR(__xludf.DUMMYFUNCTION("""COMPUTED_VALUE"""),101947.0)</f>
        <v>101947</v>
      </c>
      <c r="B1656" s="235" t="str">
        <f>IFERROR(__xludf.DUMMYFUNCTION("""COMPUTED_VALUE"""),"DONA ROSE OCAMPO ")</f>
        <v>DONA ROSE OCAMPO </v>
      </c>
      <c r="C1656" s="235" t="str">
        <f>IFERROR(__xludf.DUMMYFUNCTION("""COMPUTED_VALUE"""),"FINANCE &amp; ACCOUNTING")</f>
        <v>FINANCE &amp; ACCOUNTING</v>
      </c>
      <c r="D1656" s="196" t="str">
        <f>IFERROR(__xludf.DUMMYFUNCTION("""COMPUTED_VALUE"""),"EPSON LX-310 PRINTER  ")</f>
        <v>EPSON LX-310 PRINTER  </v>
      </c>
      <c r="E1656" s="196" t="str">
        <f>IFERROR(__xludf.DUMMYFUNCTION("""COMPUTED_VALUE"""),"back up printer needed for the enrolment ")</f>
        <v>back up printer needed for the enrolment </v>
      </c>
    </row>
    <row r="1657">
      <c r="A1657" s="234">
        <f>IFERROR(__xludf.DUMMYFUNCTION("""COMPUTED_VALUE"""),101948.0)</f>
        <v>101948</v>
      </c>
      <c r="B1657" s="235" t="str">
        <f>IFERROR(__xludf.DUMMYFUNCTION("""COMPUTED_VALUE"""),"EDGAR D. REBELLON")</f>
        <v>EDGAR D. REBELLON</v>
      </c>
      <c r="C1657" s="235" t="str">
        <f>IFERROR(__xludf.DUMMYFUNCTION("""COMPUTED_VALUE"""),"AMD")</f>
        <v>AMD</v>
      </c>
      <c r="D1657" s="196" t="str">
        <f>IFERROR(__xludf.DUMMYFUNCTION("""COMPUTED_VALUE"""),"Bidet, Rinse Tech Heritage Model - Cream, All Purpose Powder, 800 grams per Pack, Champion,Baby Oil, 125 ml (Johnson and Johnson),Soft Broom")</f>
        <v>Bidet, Rinse Tech Heritage Model - Cream, All Purpose Powder, 800 grams per Pack, Champion,Baby Oil, 125 ml (Johnson and Johnson),Soft Broom</v>
      </c>
      <c r="E1657" s="196" t="str">
        <f>IFERROR(__xludf.DUMMYFUNCTION("""COMPUTED_VALUE"""),"Housekeeping supply stock replenishment")</f>
        <v>Housekeeping supply stock replenishment</v>
      </c>
    </row>
    <row r="1658">
      <c r="A1658" s="234">
        <f>IFERROR(__xludf.DUMMYFUNCTION("""COMPUTED_VALUE"""),101949.0)</f>
        <v>101949</v>
      </c>
      <c r="B1658" s="235" t="str">
        <f>IFERROR(__xludf.DUMMYFUNCTION("""COMPUTED_VALUE"""),"ANN DELA ISLA ")</f>
        <v>ANN DELA ISLA </v>
      </c>
      <c r="C1658" s="235" t="str">
        <f>IFERROR(__xludf.DUMMYFUNCTION("""COMPUTED_VALUE"""),"I.B.")</f>
        <v>I.B.</v>
      </c>
      <c r="D1658" s="196" t="str">
        <f>IFERROR(__xludf.DUMMYFUNCTION("""COMPUTED_VALUE"""),"1. ACADEMIC ACHIEVEMENT MEDALS: GOLD, SILVER AND BRONZE 2. SUBJECT EXCELLENCE 3. LOYALTY ")</f>
        <v>1. ACADEMIC ACHIEVEMENT MEDALS: GOLD, SILVER AND BRONZE 2. SUBJECT EXCELLENCE 3. LOYALTY </v>
      </c>
      <c r="E1658" s="196" t="str">
        <f>IFERROR(__xludf.DUMMYFUNCTION("""COMPUTED_VALUE"""),"FOR IB GRADUATION")</f>
        <v>FOR IB GRADUATION</v>
      </c>
    </row>
    <row r="1659">
      <c r="A1659" s="234">
        <f>IFERROR(__xludf.DUMMYFUNCTION("""COMPUTED_VALUE"""),101950.0)</f>
        <v>101950</v>
      </c>
      <c r="B1659" s="235" t="str">
        <f>IFERROR(__xludf.DUMMYFUNCTION("""COMPUTED_VALUE"""),"GLADYS MINTU")</f>
        <v>GLADYS MINTU</v>
      </c>
      <c r="C1659" s="235" t="str">
        <f>IFERROR(__xludf.DUMMYFUNCTION("""COMPUTED_VALUE"""),"DP'S OFFICE")</f>
        <v>DP'S OFFICE</v>
      </c>
      <c r="D1659" s="196" t="str">
        <f>IFERROR(__xludf.DUMMYFUNCTION("""COMPUTED_VALUE"""),"GRADES 7-9 MEDALS: GOLD, SILVER, BRONZE AND VALUES EXCELLENCE")</f>
        <v>GRADES 7-9 MEDALS: GOLD, SILVER, BRONZE AND VALUES EXCELLENCE</v>
      </c>
      <c r="E1659" s="196" t="str">
        <f>IFERROR(__xludf.DUMMYFUNCTION("""COMPUTED_VALUE"""),"FOR GRADE 7-9 RECOGNITION")</f>
        <v>FOR GRADE 7-9 RECOGNITION</v>
      </c>
    </row>
    <row r="1660">
      <c r="A1660" s="234">
        <f>IFERROR(__xludf.DUMMYFUNCTION("""COMPUTED_VALUE"""),101951.0)</f>
        <v>101951</v>
      </c>
      <c r="B1660" s="235" t="str">
        <f>IFERROR(__xludf.DUMMYFUNCTION("""COMPUTED_VALUE"""),"JANUARY GUTTIEREZ")</f>
        <v>JANUARY GUTTIEREZ</v>
      </c>
      <c r="C1660" s="235" t="str">
        <f>IFERROR(__xludf.DUMMYFUNCTION("""COMPUTED_VALUE"""),"DP'S OFFICE")</f>
        <v>DP'S OFFICE</v>
      </c>
      <c r="D1660" s="196" t="str">
        <f>IFERROR(__xludf.DUMMYFUNCTION("""COMPUTED_VALUE"""),"GRADE 10-11 MEDALS: GOLD, SILVER,BRONZE AND VALUES EXCELLENCE ")</f>
        <v>GRADE 10-11 MEDALS: GOLD, SILVER,BRONZE AND VALUES EXCELLENCE </v>
      </c>
      <c r="E1660" s="196" t="str">
        <f>IFERROR(__xludf.DUMMYFUNCTION("""COMPUTED_VALUE"""),"FOR GARDE 10-11 RECOGNITION")</f>
        <v>FOR GARDE 10-11 RECOGNITION</v>
      </c>
    </row>
    <row r="1661">
      <c r="A1661" s="234">
        <f>IFERROR(__xludf.DUMMYFUNCTION("""COMPUTED_VALUE"""),101952.0)</f>
        <v>101952</v>
      </c>
      <c r="B1661" s="235" t="str">
        <f>IFERROR(__xludf.DUMMYFUNCTION("""COMPUTED_VALUE"""),"MELISSA ODOÑO")</f>
        <v>MELISSA ODOÑO</v>
      </c>
      <c r="C1661" s="235" t="str">
        <f>IFERROR(__xludf.DUMMYFUNCTION("""COMPUTED_VALUE"""),"LIBRARY COLLEGE")</f>
        <v>LIBRARY COLLEGE</v>
      </c>
      <c r="D1661" s="196" t="str">
        <f>IFERROR(__xludf.DUMMYFUNCTION("""COMPUTED_VALUE"""),"ADVANCING FORMATIVE ASSESSMENT IN EVERY CLASSROOM: A GUIDE FOR INSTRUCTIONAL LEADERS, 2ND ED. --E-BOOK COPY, CHECKING FOR UNDERSTANDING: FORMATIVE ASSESSMENT TECHNIQUES FOR YOUR CLASSROOM, 2ND EDITION -E-BOOK COPY, Rigor Is NOT a Four-Letter Word 3rd Edit"&amp;"ion --E-BOOK COPY, Rigor and Assessment in the Classroom (A to Z) 1st Edition, Kindle Edition (E-BOOK COPY), Rigor and Differentiation in the Classroom: Tools and Strategies 1st Edition, Kindle Edition (E-BOOK COPY), Rigor in Your School: A Toolkit for Le"&amp;"aders 2nd Edition, Kindle Edition (E-BOOK COPY), ")</f>
        <v>ADVANCING FORMATIVE ASSESSMENT IN EVERY CLASSROOM: A GUIDE FOR INSTRUCTIONAL LEADERS, 2ND ED. --E-BOOK COPY, CHECKING FOR UNDERSTANDING: FORMATIVE ASSESSMENT TECHNIQUES FOR YOUR CLASSROOM, 2ND EDITION -E-BOOK COPY, Rigor Is NOT a Four-Letter Word 3rd Edition --E-BOOK COPY, Rigor and Assessment in the Classroom (A to Z) 1st Edition, Kindle Edition (E-BOOK COPY), Rigor and Differentiation in the Classroom: Tools and Strategies 1st Edition, Kindle Edition (E-BOOK COPY), Rigor in Your School: A Toolkit for Leaders 2nd Edition, Kindle Edition (E-BOOK COPY), </v>
      </c>
      <c r="E1661" s="196" t="str">
        <f>IFERROR(__xludf.DUMMYFUNCTION("""COMPUTED_VALUE"""),"  LIBRARY'S COPY (TEACHERS USE  AY 2020-2021)  - Ebooks / Digital ")</f>
        <v>  LIBRARY'S COPY (TEACHERS USE  AY 2020-2021)  - Ebooks / Digital </v>
      </c>
    </row>
    <row r="1662">
      <c r="A1662" s="234">
        <f>IFERROR(__xludf.DUMMYFUNCTION("""COMPUTED_VALUE"""),101953.0)</f>
        <v>101953</v>
      </c>
      <c r="B1662" s="235" t="str">
        <f>IFERROR(__xludf.DUMMYFUNCTION("""COMPUTED_VALUE"""),"EDGAR REBELLON")</f>
        <v>EDGAR REBELLON</v>
      </c>
      <c r="C1662" s="235" t="str">
        <f>IFERROR(__xludf.DUMMYFUNCTION("""COMPUTED_VALUE"""),"AMD")</f>
        <v>AMD</v>
      </c>
      <c r="D1662" s="196" t="str">
        <f>IFERROR(__xludf.DUMMYFUNCTION("""COMPUTED_VALUE"""),"Envelope, Expanding Plastic-Long, Adventurer")</f>
        <v>Envelope, Expanding Plastic-Long, Adventurer</v>
      </c>
      <c r="E1662" s="196" t="str">
        <f>IFERROR(__xludf.DUMMYFUNCTION("""COMPUTED_VALUE"""),"OSSUP STOCK REPLENISHMENT ")</f>
        <v>OSSUP STOCK REPLENISHMENT </v>
      </c>
    </row>
    <row r="1663">
      <c r="A1663" s="234">
        <f>IFERROR(__xludf.DUMMYFUNCTION("""COMPUTED_VALUE"""),101954.0)</f>
        <v>101954</v>
      </c>
      <c r="B1663" s="235" t="str">
        <f>IFERROR(__xludf.DUMMYFUNCTION("""COMPUTED_VALUE"""),"CHOI JAMIAS ")</f>
        <v>CHOI JAMIAS </v>
      </c>
      <c r="C1663" s="235" t="str">
        <f>IFERROR(__xludf.DUMMYFUNCTION("""COMPUTED_VALUE"""),"STUDENT AFFAIRS COLLEGE")</f>
        <v>STUDENT AFFAIRS COLLEGE</v>
      </c>
      <c r="D1663" s="196" t="str">
        <f>IFERROR(__xludf.DUMMYFUNCTION("""COMPUTED_VALUE"""),"COLLEGE MEDALS FOR SUMMA CUM LAUDE, MAGNA CUM LAUDE, CUM LAUDE, HONORABLE MENTION, DEAN'S MERIT, BENE MERITS, MERITUS, DEAN'S MERIT, NURSING PINS, CLINICAL EXCELLENCE, AMITY AWARD, LEADERSHIP AWARD, LOYALTY AWARDS ")</f>
        <v>COLLEGE MEDALS FOR SUMMA CUM LAUDE, MAGNA CUM LAUDE, CUM LAUDE, HONORABLE MENTION, DEAN'S MERIT, BENE MERITS, MERITUS, DEAN'S MERIT, NURSING PINS, CLINICAL EXCELLENCE, AMITY AWARD, LEADERSHIP AWARD, LOYALTY AWARDS </v>
      </c>
      <c r="E1663" s="196" t="str">
        <f>IFERROR(__xludf.DUMMYFUNCTION("""COMPUTED_VALUE"""),"Medals for AY 2020-2021")</f>
        <v>Medals for AY 2020-2021</v>
      </c>
    </row>
    <row r="1664">
      <c r="A1664" s="234">
        <f>IFERROR(__xludf.DUMMYFUNCTION("""COMPUTED_VALUE"""),101955.0)</f>
        <v>101955</v>
      </c>
      <c r="B1664" s="235" t="str">
        <f>IFERROR(__xludf.DUMMYFUNCTION("""COMPUTED_VALUE"""),"CHOI JAMIAS ")</f>
        <v>CHOI JAMIAS </v>
      </c>
      <c r="C1664" s="235" t="str">
        <f>IFERROR(__xludf.DUMMYFUNCTION("""COMPUTED_VALUE"""),"STUDENT AFFAIRS COLLEGE")</f>
        <v>STUDENT AFFAIRS COLLEGE</v>
      </c>
      <c r="D1664" s="196" t="str">
        <f>IFERROR(__xludf.DUMMYFUNCTION("""COMPUTED_VALUE"""),"MEDALS FOR WITH DISTINCTION, DEAN'S MERIT, BENE MERITUS, MERITUS")</f>
        <v>MEDALS FOR WITH DISTINCTION, DEAN'S MERIT, BENE MERITUS, MERITUS</v>
      </c>
      <c r="E1664" s="196" t="str">
        <f>IFERROR(__xludf.DUMMYFUNCTION("""COMPUTED_VALUE"""),"Medals for AY 2019-2020")</f>
        <v>Medals for AY 2019-2020</v>
      </c>
    </row>
    <row r="1665">
      <c r="A1665" s="234">
        <f>IFERROR(__xludf.DUMMYFUNCTION("""COMPUTED_VALUE"""),101956.0)</f>
        <v>101956</v>
      </c>
      <c r="B1665" s="235" t="str">
        <f>IFERROR(__xludf.DUMMYFUNCTION("""COMPUTED_VALUE"""),"OWIE PAR")</f>
        <v>OWIE PAR</v>
      </c>
      <c r="C1665" s="235" t="str">
        <f>IFERROR(__xludf.DUMMYFUNCTION("""COMPUTED_VALUE"""),"ENGINEERING")</f>
        <v>ENGINEERING</v>
      </c>
      <c r="D1665" s="196" t="str">
        <f>IFERROR(__xludf.DUMMYFUNCTION("""COMPUTED_VALUE"""),"G1 PIPE #3 SUPER, WELDING ROD SPECIAL, CEMENT, WHITE SAND, LAQQUER TYPE PAINT ORANGE, EPOCY PRIMER GRAY WITH CATALYST, STAILNLESS BOLT WITH 2 WASHERS S/S, STAINLESS BOLT WITH 1 WASHER")</f>
        <v>G1 PIPE #3 SUPER, WELDING ROD SPECIAL, CEMENT, WHITE SAND, LAQQUER TYPE PAINT ORANGE, EPOCY PRIMER GRAY WITH CATALYST, STAILNLESS BOLT WITH 2 WASHERS S/S, STAINLESS BOLT WITH 1 WASHER</v>
      </c>
      <c r="E1665" s="196" t="str">
        <f>IFERROR(__xludf.DUMMYFUNCTION("""COMPUTED_VALUE"""),"ADDITIONAL SUPPORT AND REPAINTING OF OPEN BASKETBALL COURT")</f>
        <v>ADDITIONAL SUPPORT AND REPAINTING OF OPEN BASKETBALL COURT</v>
      </c>
    </row>
    <row r="1666">
      <c r="A1666" s="234">
        <f>IFERROR(__xludf.DUMMYFUNCTION("""COMPUTED_VALUE"""),101957.0)</f>
        <v>101957</v>
      </c>
      <c r="B1666" s="235" t="str">
        <f>IFERROR(__xludf.DUMMYFUNCTION("""COMPUTED_VALUE"""),"ALFA DE LEON")</f>
        <v>ALFA DE LEON</v>
      </c>
      <c r="C1666" s="235" t="str">
        <f>IFERROR(__xludf.DUMMYFUNCTION("""COMPUTED_VALUE"""),"ADMIN - MUNICH")</f>
        <v>ADMIN - MUNICH</v>
      </c>
      <c r="D1666" s="196" t="str">
        <f>IFERROR(__xludf.DUMMYFUNCTION("""COMPUTED_VALUE"""),"HOSE CONNECTOR COMPLETE SET, WATER SPRINKLER")</f>
        <v>HOSE CONNECTOR COMPLETE SET, WATER SPRINKLER</v>
      </c>
      <c r="E1666" s="196" t="str">
        <f>IFERROR(__xludf.DUMMYFUNCTION("""COMPUTED_VALUE"""),"REPLACEMENT OF THE BROKEN FITTINGD")</f>
        <v>REPLACEMENT OF THE BROKEN FITTINGD</v>
      </c>
    </row>
    <row r="1667">
      <c r="A1667" s="234">
        <f>IFERROR(__xludf.DUMMYFUNCTION("""COMPUTED_VALUE"""),101958.0)</f>
        <v>101958</v>
      </c>
      <c r="B1667" s="235" t="str">
        <f>IFERROR(__xludf.DUMMYFUNCTION("""COMPUTED_VALUE"""),"MELISSA ODOÑO")</f>
        <v>MELISSA ODOÑO</v>
      </c>
      <c r="C1667" s="235" t="str">
        <f>IFERROR(__xludf.DUMMYFUNCTION("""COMPUTED_VALUE"""),"LIBRARY BASIC ED")</f>
        <v>LIBRARY BASIC ED</v>
      </c>
      <c r="D1667" s="196" t="str">
        <f>IFERROR(__xludf.DUMMYFUNCTION("""COMPUTED_VALUE"""),"Teaching Profession (PATEF), Foundation of Special and Inclusive Education, Foundation of Special and Inclusive Education ,  Assessment of Learning 1 ,Assessment of Learning 2, The Teacher and The School Curriculum: A guide to Curriculum Development Pract"&amp;"ice, Teaching Profession, Field Study 1, Teaching Strategies for Elementary Science (Physical and Earth Science), Content and Pedagogy for the Mother Tongue                                                                                                   "&amp;"                                          ")</f>
        <v>Teaching Profession (PATEF), Foundation of Special and Inclusive Education, Foundation of Special and Inclusive Education ,  Assessment of Learning 1 ,Assessment of Learning 2, The Teacher and The School Curriculum: A guide to Curriculum Development Practice, Teaching Profession, Field Study 1, Teaching Strategies for Elementary Science (Physical and Earth Science), Content and Pedagogy for the Mother Tongue                                                                                                                                             </v>
      </c>
      <c r="E1667" s="196" t="str">
        <f>IFERROR(__xludf.DUMMYFUNCTION("""COMPUTED_VALUE"""),"LIBRARY'S COPY (TEACHERS/STUDENTS USE  AY 2021-2022)  PACUCOA REQ")</f>
        <v>LIBRARY'S COPY (TEACHERS/STUDENTS USE  AY 2021-2022)  PACUCOA REQ</v>
      </c>
    </row>
    <row r="1668">
      <c r="A1668" s="234">
        <f>IFERROR(__xludf.DUMMYFUNCTION("""COMPUTED_VALUE"""),101959.0)</f>
        <v>101959</v>
      </c>
      <c r="B1668" s="235" t="str">
        <f>IFERROR(__xludf.DUMMYFUNCTION("""COMPUTED_VALUE"""),"EDGAR D. REBELLON")</f>
        <v>EDGAR D. REBELLON</v>
      </c>
      <c r="C1668" s="235" t="str">
        <f>IFERROR(__xludf.DUMMYFUNCTION("""COMPUTED_VALUE"""),"AMD")</f>
        <v>AMD</v>
      </c>
      <c r="D1668" s="196" t="str">
        <f>IFERROR(__xludf.DUMMYFUNCTION("""COMPUTED_VALUE"""),"Envelope, Brown Long and Envelope, Brown Short ")</f>
        <v>Envelope, Brown Long and Envelope, Brown Short </v>
      </c>
      <c r="E1668" s="196" t="str">
        <f>IFERROR(__xludf.DUMMYFUNCTION("""COMPUTED_VALUE"""),"Stock replenishment of OSSUP &amp; supplies needed for the recognition")</f>
        <v>Stock replenishment of OSSUP &amp; supplies needed for the recognition</v>
      </c>
    </row>
    <row r="1669">
      <c r="A1669" s="234">
        <f>IFERROR(__xludf.DUMMYFUNCTION("""COMPUTED_VALUE"""),101960.0)</f>
        <v>101960</v>
      </c>
      <c r="B1669" s="235" t="str">
        <f>IFERROR(__xludf.DUMMYFUNCTION("""COMPUTED_VALUE"""),"EDGAR D. REBELLON")</f>
        <v>EDGAR D. REBELLON</v>
      </c>
      <c r="C1669" s="235" t="str">
        <f>IFERROR(__xludf.DUMMYFUNCTION("""COMPUTED_VALUE"""),"AMD")</f>
        <v>AMD</v>
      </c>
      <c r="D1669" s="196" t="str">
        <f>IFERROR(__xludf.DUMMYFUNCTION("""COMPUTED_VALUE"""),"TOWEL, HAND - GOOD MORNING")</f>
        <v>TOWEL, HAND - GOOD MORNING</v>
      </c>
      <c r="E1669" s="196" t="str">
        <f>IFERROR(__xludf.DUMMYFUNCTION("""COMPUTED_VALUE"""),"Stock replenishment of OSSUP ")</f>
        <v>Stock replenishment of OSSUP </v>
      </c>
    </row>
    <row r="1670">
      <c r="A1670" s="234">
        <f>IFERROR(__xludf.DUMMYFUNCTION("""COMPUTED_VALUE"""),101961.0)</f>
        <v>101961</v>
      </c>
      <c r="B1670" s="235" t="str">
        <f>IFERROR(__xludf.DUMMYFUNCTION("""COMPUTED_VALUE"""),"ALFA DE LEON")</f>
        <v>ALFA DE LEON</v>
      </c>
      <c r="C1670" s="235" t="str">
        <f>IFERROR(__xludf.DUMMYFUNCTION("""COMPUTED_VALUE"""),"ADMIN - MUNICH")</f>
        <v>ADMIN - MUNICH</v>
      </c>
      <c r="D1670" s="196" t="str">
        <f>IFERROR(__xludf.DUMMYFUNCTION("""COMPUTED_VALUE"""),"BAGUIO GREEN, ROLLER PAINT #7, BRUSH 1 1/2 ")</f>
        <v>BAGUIO GREEN, ROLLER PAINT #7, BRUSH 1 1/2 </v>
      </c>
      <c r="E1670" s="196" t="str">
        <f>IFERROR(__xludf.DUMMYFUNCTION("""COMPUTED_VALUE"""),"PLANT BOX REPAINTING ")</f>
        <v>PLANT BOX REPAINTING </v>
      </c>
    </row>
    <row r="1671">
      <c r="A1671" s="234">
        <f>IFERROR(__xludf.DUMMYFUNCTION("""COMPUTED_VALUE"""),101962.0)</f>
        <v>101962</v>
      </c>
      <c r="B1671" s="235" t="str">
        <f>IFERROR(__xludf.DUMMYFUNCTION("""COMPUTED_VALUE"""),"OWIE PAR")</f>
        <v>OWIE PAR</v>
      </c>
      <c r="C1671" s="235" t="str">
        <f>IFERROR(__xludf.DUMMYFUNCTION("""COMPUTED_VALUE"""),"ENGINEERING")</f>
        <v>ENGINEERING</v>
      </c>
      <c r="D1671" s="196" t="str">
        <f>IFERROR(__xludf.DUMMYFUNCTION("""COMPUTED_VALUE"""),"SEMI GLOSS ;LATEX WHITE; QDE WHITE; QDE CHOCOLATE BROWN; CHOCOLATE BROWN LATEX; PAINT ROLLER 7; PAINT BRUSH 1 1/2; SAND PAPER; SKIN COAT; RED OXIDE PRIMER ; WELDING ROD; CUTTING DISK; GRINDING DISK; PAINT THINNER")</f>
        <v>SEMI GLOSS ;LATEX WHITE; QDE WHITE; QDE CHOCOLATE BROWN; CHOCOLATE BROWN LATEX; PAINT ROLLER 7; PAINT BRUSH 1 1/2; SAND PAPER; SKIN COAT; RED OXIDE PRIMER ; WELDING ROD; CUTTING DISK; GRINDING DISK; PAINT THINNER</v>
      </c>
      <c r="E1671" s="196" t="str">
        <f>IFERROR(__xludf.DUMMYFUNCTION("""COMPUTED_VALUE"""),"ADDITIONAL MATERIALS FOR PAINTING OF PERIMETER FENCE AND BACK PORTION")</f>
        <v>ADDITIONAL MATERIALS FOR PAINTING OF PERIMETER FENCE AND BACK PORTION</v>
      </c>
    </row>
    <row r="1672">
      <c r="A1672" s="234">
        <f>IFERROR(__xludf.DUMMYFUNCTION("""COMPUTED_VALUE"""),101963.0)</f>
        <v>101963</v>
      </c>
      <c r="B1672" s="235" t="str">
        <f>IFERROR(__xludf.DUMMYFUNCTION("""COMPUTED_VALUE"""),"OWIE PAR")</f>
        <v>OWIE PAR</v>
      </c>
      <c r="C1672" s="235" t="str">
        <f>IFERROR(__xludf.DUMMYFUNCTION("""COMPUTED_VALUE"""),"ENGINEERING")</f>
        <v>ENGINEERING</v>
      </c>
      <c r="D1672" s="196" t="str">
        <f>IFERROR(__xludf.DUMMYFUNCTION("""COMPUTED_VALUE"""),"GI GUTTER ; DRILL BIT METAL; BLIND RIVETS; PLAIN SHEET; RED OXIDE; PAINT THINNER; TEX SCREW")</f>
        <v>GI GUTTER ; DRILL BIT METAL; BLIND RIVETS; PLAIN SHEET; RED OXIDE; PAINT THINNER; TEX SCREW</v>
      </c>
      <c r="E1672" s="196" t="str">
        <f>IFERROR(__xludf.DUMMYFUNCTION("""COMPUTED_VALUE"""),"FOR REPLACEMENT OF GUTTER IN BED COVERED WALKWAY")</f>
        <v>FOR REPLACEMENT OF GUTTER IN BED COVERED WALKWAY</v>
      </c>
    </row>
    <row r="1673">
      <c r="A1673" s="234">
        <f>IFERROR(__xludf.DUMMYFUNCTION("""COMPUTED_VALUE"""),101964.0)</f>
        <v>101964</v>
      </c>
      <c r="B1673" s="235" t="str">
        <f>IFERROR(__xludf.DUMMYFUNCTION("""COMPUTED_VALUE"""),"MARVIN MARASIGAN")</f>
        <v>MARVIN MARASIGAN</v>
      </c>
      <c r="C1673" s="235" t="str">
        <f>IFERROR(__xludf.DUMMYFUNCTION("""COMPUTED_VALUE"""),"PR &amp; MARKETING")</f>
        <v>PR &amp; MARKETING</v>
      </c>
      <c r="D1673" s="196" t="str">
        <f>IFERROR(__xludf.DUMMYFUNCTION("""COMPUTED_VALUE"""),"ROUGH 2X2X8; ROUGH 2X2X10; COMMON NAIL; GI WIRE")</f>
        <v>ROUGH 2X2X8; ROUGH 2X2X10; COMMON NAIL; GI WIRE</v>
      </c>
      <c r="E1673" s="196" t="str">
        <f>IFERROR(__xludf.DUMMYFUNCTION("""COMPUTED_VALUE"""),"FOR TARPAULIN FRAMING - 10X12")</f>
        <v>FOR TARPAULIN FRAMING - 10X12</v>
      </c>
    </row>
    <row r="1674">
      <c r="A1674" s="234">
        <f>IFERROR(__xludf.DUMMYFUNCTION("""COMPUTED_VALUE"""),101965.0)</f>
        <v>101965</v>
      </c>
      <c r="B1674" s="235" t="str">
        <f>IFERROR(__xludf.DUMMYFUNCTION("""COMPUTED_VALUE"""),"OWIE PAR")</f>
        <v>OWIE PAR</v>
      </c>
      <c r="C1674" s="235" t="str">
        <f>IFERROR(__xludf.DUMMYFUNCTION("""COMPUTED_VALUE"""),"ENGINEERING")</f>
        <v>ENGINEERING</v>
      </c>
      <c r="D1674" s="196" t="str">
        <f>IFERROR(__xludf.DUMMYFUNCTION("""COMPUTED_VALUE"""),"2.5HP PANASONIC ACU INVERTER")</f>
        <v>2.5HP PANASONIC ACU INVERTER</v>
      </c>
      <c r="E1674" s="196" t="str">
        <f>IFERROR(__xludf.DUMMYFUNCTION("""COMPUTED_VALUE"""),"FOR PR CONFERENCE ROOM")</f>
        <v>FOR PR CONFERENCE ROOM</v>
      </c>
    </row>
    <row r="1675">
      <c r="A1675" s="234">
        <f>IFERROR(__xludf.DUMMYFUNCTION("""COMPUTED_VALUE"""),101966.0)</f>
        <v>101966</v>
      </c>
      <c r="B1675" s="235" t="str">
        <f>IFERROR(__xludf.DUMMYFUNCTION("""COMPUTED_VALUE"""),"ROIE RAYMUNDO")</f>
        <v>ROIE RAYMUNDO</v>
      </c>
      <c r="C1675" s="235" t="str">
        <f>IFERROR(__xludf.DUMMYFUNCTION("""COMPUTED_VALUE"""),"AV/MIS")</f>
        <v>AV/MIS</v>
      </c>
      <c r="D1675" s="196" t="str">
        <f>IFERROR(__xludf.DUMMYFUNCTION("""COMPUTED_VALUE"""),"TRANSCEND STORAGE EXTERNAL HARD DRIVE 2TB")</f>
        <v>TRANSCEND STORAGE EXTERNAL HARD DRIVE 2TB</v>
      </c>
      <c r="E1675" s="196" t="str">
        <f>IFERROR(__xludf.DUMMYFUNCTION("""COMPUTED_VALUE"""),"FOR STORAGE OF BACK UP")</f>
        <v>FOR STORAGE OF BACK UP</v>
      </c>
    </row>
    <row r="1676">
      <c r="A1676" s="234">
        <f>IFERROR(__xludf.DUMMYFUNCTION("""COMPUTED_VALUE"""),101967.0)</f>
        <v>101967</v>
      </c>
      <c r="B1676" s="235" t="str">
        <f>IFERROR(__xludf.DUMMYFUNCTION("""COMPUTED_VALUE"""),"ALFA DE LEON")</f>
        <v>ALFA DE LEON</v>
      </c>
      <c r="C1676" s="235" t="str">
        <f>IFERROR(__xludf.DUMMYFUNCTION("""COMPUTED_VALUE"""),"HOUSEKEEPING")</f>
        <v>HOUSEKEEPING</v>
      </c>
      <c r="D1676" s="196" t="str">
        <f>IFERROR(__xludf.DUMMYFUNCTION("""COMPUTED_VALUE"""),"FURADAN, FERTILIZER UREA COMPLETE, INSECTICIDE KARATE")</f>
        <v>FURADAN, FERTILIZER UREA COMPLETE, INSECTICIDE KARATE</v>
      </c>
      <c r="E1676" s="196" t="str">
        <f>IFERROR(__xludf.DUMMYFUNCTION("""COMPUTED_VALUE"""),"GARDEN PLANT MAINTENANCE FOR LUX, TROPICAL MUNICH AND STAR CMPUS")</f>
        <v>GARDEN PLANT MAINTENANCE FOR LUX, TROPICAL MUNICH AND STAR CMPUS</v>
      </c>
    </row>
    <row r="1677">
      <c r="A1677" s="234">
        <f>IFERROR(__xludf.DUMMYFUNCTION("""COMPUTED_VALUE"""),101968.0)</f>
        <v>101968</v>
      </c>
      <c r="B1677" s="235" t="str">
        <f>IFERROR(__xludf.DUMMYFUNCTION("""COMPUTED_VALUE"""),"OWIE PAR")</f>
        <v>OWIE PAR</v>
      </c>
      <c r="C1677" s="235" t="str">
        <f>IFERROR(__xludf.DUMMYFUNCTION("""COMPUTED_VALUE"""),"ENGINEERING")</f>
        <v>ENGINEERING</v>
      </c>
      <c r="D1677" s="196" t="str">
        <f>IFERROR(__xludf.DUMMYFUNCTION("""COMPUTED_VALUE"""),"1.5 HP PANASONIC WALL MOUNT ACU ")</f>
        <v>1.5 HP PANASONIC WALL MOUNT ACU </v>
      </c>
      <c r="E1677" s="196" t="str">
        <f>IFERROR(__xludf.DUMMYFUNCTION("""COMPUTED_VALUE"""),"FOR MUNICH SERVER ROOM")</f>
        <v>FOR MUNICH SERVER ROOM</v>
      </c>
    </row>
    <row r="1678">
      <c r="A1678" s="234">
        <f>IFERROR(__xludf.DUMMYFUNCTION("""COMPUTED_VALUE"""),101969.0)</f>
        <v>101969</v>
      </c>
      <c r="B1678" s="235" t="str">
        <f>IFERROR(__xludf.DUMMYFUNCTION("""COMPUTED_VALUE"""),"OWIE PAR")</f>
        <v>OWIE PAR</v>
      </c>
      <c r="C1678" s="235" t="str">
        <f>IFERROR(__xludf.DUMMYFUNCTION("""COMPUTED_VALUE"""),"ENGINEERING")</f>
        <v>ENGINEERING</v>
      </c>
      <c r="D1678" s="196" t="str">
        <f>IFERROR(__xludf.DUMMYFUNCTION("""COMPUTED_VALUE"""),"3.0 HP CASSETTE TYPE INVERTER ACU")</f>
        <v>3.0 HP CASSETTE TYPE INVERTER ACU</v>
      </c>
      <c r="E1678" s="196" t="str">
        <f>IFERROR(__xludf.DUMMYFUNCTION("""COMPUTED_VALUE"""),"FOR PR OFFICE RECEPTION AREA")</f>
        <v>FOR PR OFFICE RECEPTION AREA</v>
      </c>
    </row>
    <row r="1679">
      <c r="A1679" s="234">
        <f>IFERROR(__xludf.DUMMYFUNCTION("""COMPUTED_VALUE"""),101970.0)</f>
        <v>101970</v>
      </c>
      <c r="B1679" s="235" t="str">
        <f>IFERROR(__xludf.DUMMYFUNCTION("""COMPUTED_VALUE"""),"ALFA DE LEON")</f>
        <v>ALFA DE LEON</v>
      </c>
      <c r="C1679" s="235" t="str">
        <f>IFERROR(__xludf.DUMMYFUNCTION("""COMPUTED_VALUE"""),"ADMIN")</f>
        <v>ADMIN</v>
      </c>
      <c r="D1679" s="196" t="str">
        <f>IFERROR(__xludf.DUMMYFUNCTION("""COMPUTED_VALUE"""),"STAINLESS STEEL PIPE 3/4 X 20, WELDING ROD")</f>
        <v>STAINLESS STEEL PIPE 3/4 X 20, WELDING ROD</v>
      </c>
      <c r="E1679" s="196" t="str">
        <f>IFERROR(__xludf.DUMMYFUNCTION("""COMPUTED_VALUE"""),"FLAG INSTALLATION (SAMPLE)")</f>
        <v>FLAG INSTALLATION (SAMPLE)</v>
      </c>
    </row>
    <row r="1680">
      <c r="A1680" s="234">
        <f>IFERROR(__xludf.DUMMYFUNCTION("""COMPUTED_VALUE"""),101971.0)</f>
        <v>101971</v>
      </c>
      <c r="B1680" s="235" t="str">
        <f>IFERROR(__xludf.DUMMYFUNCTION("""COMPUTED_VALUE"""),"ELYDS REYES ")</f>
        <v>ELYDS REYES </v>
      </c>
      <c r="C1680" s="235" t="str">
        <f>IFERROR(__xludf.DUMMYFUNCTION("""COMPUTED_VALUE"""),"PR &amp; MARKETING")</f>
        <v>PR &amp; MARKETING</v>
      </c>
      <c r="D1680" s="196" t="str">
        <f>IFERROR(__xludf.DUMMYFUNCTION("""COMPUTED_VALUE"""),"CONGRATULATORY BANNER FOR 2LT. Jan Hernan Perez (7 x10 feet)")</f>
        <v>CONGRATULATORY BANNER FOR 2LT. Jan Hernan Perez (7 x10 feet)</v>
      </c>
      <c r="E1680" s="196" t="str">
        <f>IFERROR(__xludf.DUMMYFUNCTION("""COMPUTED_VALUE"""),"CONGRATULATORY BANNER ")</f>
        <v>CONGRATULATORY BANNER </v>
      </c>
    </row>
    <row r="1681">
      <c r="A1681" s="234">
        <f>IFERROR(__xludf.DUMMYFUNCTION("""COMPUTED_VALUE"""),101972.0)</f>
        <v>101972</v>
      </c>
      <c r="B1681" s="235" t="str">
        <f>IFERROR(__xludf.DUMMYFUNCTION("""COMPUTED_VALUE"""),"EDGAR D. REBELLON")</f>
        <v>EDGAR D. REBELLON</v>
      </c>
      <c r="C1681" s="235" t="str">
        <f>IFERROR(__xludf.DUMMYFUNCTION("""COMPUTED_VALUE"""),"AMD")</f>
        <v>AMD</v>
      </c>
      <c r="D1681" s="196" t="str">
        <f>IFERROR(__xludf.DUMMYFUNCTION("""COMPUTED_VALUE"""),"EXPANDING ENVELOPE, MORROCO PURPLE SHORT")</f>
        <v>EXPANDING ENVELOPE, MORROCO PURPLE SHORT</v>
      </c>
      <c r="E1681" s="196" t="str">
        <f>IFERROR(__xludf.DUMMYFUNCTION("""COMPUTED_VALUE"""),"Student materials for AY 2021-2021 - additional for packaging of worksheet to be included in the PS supply kit ")</f>
        <v>Student materials for AY 2021-2021 - additional for packaging of worksheet to be included in the PS supply kit </v>
      </c>
    </row>
    <row r="1682">
      <c r="A1682" s="234">
        <f>IFERROR(__xludf.DUMMYFUNCTION("""COMPUTED_VALUE"""),101973.0)</f>
        <v>101973</v>
      </c>
      <c r="B1682" s="235" t="str">
        <f>IFERROR(__xludf.DUMMYFUNCTION("""COMPUTED_VALUE"""),"CRISMARIE ESPINOSA")</f>
        <v>CRISMARIE ESPINOSA</v>
      </c>
      <c r="C1682" s="235" t="str">
        <f>IFERROR(__xludf.DUMMYFUNCTION("""COMPUTED_VALUE"""),"CEM OFFICE")</f>
        <v>CEM OFFICE</v>
      </c>
      <c r="D1682" s="196" t="str">
        <f>IFERROR(__xludf.DUMMYFUNCTION("""COMPUTED_VALUE"""),"Bed sheet and pilow case (unisex design) single size")</f>
        <v>Bed sheet and pilow case (unisex design) single size</v>
      </c>
      <c r="E1682" s="196" t="str">
        <f>IFERROR(__xludf.DUMMYFUNCTION("""COMPUTED_VALUE"""),"Replacement of the bedsheet of GLT Scholars")</f>
        <v>Replacement of the bedsheet of GLT Scholars</v>
      </c>
    </row>
    <row r="1683">
      <c r="A1683" s="234">
        <f>IFERROR(__xludf.DUMMYFUNCTION("""COMPUTED_VALUE"""),101974.0)</f>
        <v>101974</v>
      </c>
      <c r="B1683" s="235" t="str">
        <f>IFERROR(__xludf.DUMMYFUNCTION("""COMPUTED_VALUE"""),"AMI SALANGUIT ")</f>
        <v>AMI SALANGUIT </v>
      </c>
      <c r="C1683" s="235" t="str">
        <f>IFERROR(__xludf.DUMMYFUNCTION("""COMPUTED_VALUE"""),"HRMD")</f>
        <v>HRMD</v>
      </c>
      <c r="D1683" s="196" t="str">
        <f>IFERROR(__xludf.DUMMYFUNCTION("""COMPUTED_VALUE"""),"FLOWER WREATH")</f>
        <v>FLOWER WREATH</v>
      </c>
      <c r="E1683" s="196" t="str">
        <f>IFERROR(__xludf.DUMMYFUNCTION("""COMPUTED_VALUE"""),"FLOWER WREATH FOR MISS GEEN LINESES")</f>
        <v>FLOWER WREATH FOR MISS GEEN LINESES</v>
      </c>
    </row>
    <row r="1684">
      <c r="A1684" s="234">
        <f>IFERROR(__xludf.DUMMYFUNCTION("""COMPUTED_VALUE"""),101975.0)</f>
        <v>101975</v>
      </c>
      <c r="B1684" s="235" t="str">
        <f>IFERROR(__xludf.DUMMYFUNCTION("""COMPUTED_VALUE"""),"CARLITO DELA VEGA ")</f>
        <v>CARLITO DELA VEGA </v>
      </c>
      <c r="C1684" s="235" t="str">
        <f>IFERROR(__xludf.DUMMYFUNCTION("""COMPUTED_VALUE"""),"SECURITY")</f>
        <v>SECURITY</v>
      </c>
      <c r="D1684" s="196" t="str">
        <f>IFERROR(__xludf.DUMMYFUNCTION("""COMPUTED_VALUE"""),"DVR FOR COLLEGE CAMPUS  (MATERIALS AND LABOR)")</f>
        <v>DVR FOR COLLEGE CAMPUS  (MATERIALS AND LABOR)</v>
      </c>
      <c r="E1684" s="196" t="str">
        <f>IFERROR(__xludf.DUMMYFUNCTION("""COMPUTED_VALUE"""),"REPLACEMENT OF DEFECTIVE CCTV SYSTEM FOR COLLEGE BUILDING ")</f>
        <v>REPLACEMENT OF DEFECTIVE CCTV SYSTEM FOR COLLEGE BUILDING </v>
      </c>
    </row>
    <row r="1685">
      <c r="A1685" s="234">
        <f>IFERROR(__xludf.DUMMYFUNCTION("""COMPUTED_VALUE"""),101976.0)</f>
        <v>101976</v>
      </c>
      <c r="B1685" s="235" t="str">
        <f>IFERROR(__xludf.DUMMYFUNCTION("""COMPUTED_VALUE"""),"CARLITO DELA VEGA ")</f>
        <v>CARLITO DELA VEGA </v>
      </c>
      <c r="C1685" s="235" t="str">
        <f>IFERROR(__xludf.DUMMYFUNCTION("""COMPUTED_VALUE"""),"SECURITY")</f>
        <v>SECURITY</v>
      </c>
      <c r="D1685" s="196" t="str">
        <f>IFERROR(__xludf.DUMMYFUNCTION("""COMPUTED_VALUE"""),"DVR FOR TROPICAL CAMPUS   (MATERIALS AND LABOR)")</f>
        <v>DVR FOR TROPICAL CAMPUS   (MATERIALS AND LABOR)</v>
      </c>
      <c r="E1685" s="196" t="str">
        <f>IFERROR(__xludf.DUMMYFUNCTION("""COMPUTED_VALUE"""),"REPLACEMENT OF DEFECTIVE CCTV SYSTEM FOR TROPICAL CAMPUS BUILDING ")</f>
        <v>REPLACEMENT OF DEFECTIVE CCTV SYSTEM FOR TROPICAL CAMPUS BUILDING </v>
      </c>
    </row>
    <row r="1686">
      <c r="A1686" s="234">
        <f>IFERROR(__xludf.DUMMYFUNCTION("""COMPUTED_VALUE"""),101977.0)</f>
        <v>101977</v>
      </c>
      <c r="B1686" s="235" t="str">
        <f>IFERROR(__xludf.DUMMYFUNCTION("""COMPUTED_VALUE"""),"CARLITO DELA VEGA ")</f>
        <v>CARLITO DELA VEGA </v>
      </c>
      <c r="C1686" s="235" t="str">
        <f>IFERROR(__xludf.DUMMYFUNCTION("""COMPUTED_VALUE"""),"SECURITY")</f>
        <v>SECURITY</v>
      </c>
      <c r="D1686" s="196" t="str">
        <f>IFERROR(__xludf.DUMMYFUNCTION("""COMPUTED_VALUE"""),"DVR FOR MUNICH CAMPUS   (MATERIALS AND LABOR)")</f>
        <v>DVR FOR MUNICH CAMPUS   (MATERIALS AND LABOR)</v>
      </c>
      <c r="E1686" s="196" t="str">
        <f>IFERROR(__xludf.DUMMYFUNCTION("""COMPUTED_VALUE"""),"REPLACEMENT OF DEFECTIVE CCTV SYSTEM FOR MUNICH CAMPUS BUILDING ")</f>
        <v>REPLACEMENT OF DEFECTIVE CCTV SYSTEM FOR MUNICH CAMPUS BUILDING </v>
      </c>
    </row>
    <row r="1687">
      <c r="A1687" s="234">
        <f>IFERROR(__xludf.DUMMYFUNCTION("""COMPUTED_VALUE"""),101978.0)</f>
        <v>101978</v>
      </c>
      <c r="B1687" s="235" t="str">
        <f>IFERROR(__xludf.DUMMYFUNCTION("""COMPUTED_VALUE"""),"CARLITO DELA VEGA ")</f>
        <v>CARLITO DELA VEGA </v>
      </c>
      <c r="C1687" s="235" t="str">
        <f>IFERROR(__xludf.DUMMYFUNCTION("""COMPUTED_VALUE"""),"SECURITY")</f>
        <v>SECURITY</v>
      </c>
      <c r="D1687" s="196" t="str">
        <f>IFERROR(__xludf.DUMMYFUNCTION("""COMPUTED_VALUE"""),"DVR FOR LUX CAMPUS   (MATERIALS AND LABOR)")</f>
        <v>DVR FOR LUX CAMPUS   (MATERIALS AND LABOR)</v>
      </c>
      <c r="E1687" s="196" t="str">
        <f>IFERROR(__xludf.DUMMYFUNCTION("""COMPUTED_VALUE"""),"REPLACEMENT OF DEFECTIVE CCTV SYSTEM FOR LUX CAMPUS BUILDING ")</f>
        <v>REPLACEMENT OF DEFECTIVE CCTV SYSTEM FOR LUX CAMPUS BUILDING </v>
      </c>
    </row>
    <row r="1688">
      <c r="A1688" s="234">
        <f>IFERROR(__xludf.DUMMYFUNCTION("""COMPUTED_VALUE"""),101979.0)</f>
        <v>101979</v>
      </c>
      <c r="B1688" s="235" t="str">
        <f>IFERROR(__xludf.DUMMYFUNCTION("""COMPUTED_VALUE"""),"RONALD VERDE/D. CARMEL")</f>
        <v>RONALD VERDE/D. CARMEL</v>
      </c>
      <c r="C1688" s="235" t="str">
        <f>IFERROR(__xludf.DUMMYFUNCTION("""COMPUTED_VALUE"""),"NURSING")</f>
        <v>NURSING</v>
      </c>
      <c r="D1688" s="196" t="str">
        <f>IFERROR(__xludf.DUMMYFUNCTION("""COMPUTED_VALUE"""),"1""X1""X12"" KD, PVC PLASTIC, 2"" CW NAIL")</f>
        <v>1"X1"X12" KD, PVC PLASTIC, 2" CW NAIL</v>
      </c>
      <c r="E1688" s="196" t="str">
        <f>IFERROR(__xludf.DUMMYFUNCTION("""COMPUTED_VALUE"""),"NURSING REQUIREMENTS ON FACE TO FACE CLASSES")</f>
        <v>NURSING REQUIREMENTS ON FACE TO FACE CLASSES</v>
      </c>
    </row>
    <row r="1689">
      <c r="A1689" s="234">
        <f>IFERROR(__xludf.DUMMYFUNCTION("""COMPUTED_VALUE"""),101980.0)</f>
        <v>101980</v>
      </c>
      <c r="B1689" s="235" t="str">
        <f>IFERROR(__xludf.DUMMYFUNCTION("""COMPUTED_VALUE"""),"ELMIE LAUDITO ")</f>
        <v>ELMIE LAUDITO </v>
      </c>
      <c r="C1689" s="235" t="str">
        <f>IFERROR(__xludf.DUMMYFUNCTION("""COMPUTED_VALUE"""),"HRMD")</f>
        <v>HRMD</v>
      </c>
      <c r="D1689" s="196" t="str">
        <f>IFERROR(__xludf.DUMMYFUNCTION("""COMPUTED_VALUE"""),"SERVICE APPRECIATION AWARD PLAQUE (5 YEARS, 10 YEARS, 15 YEARS)  ")</f>
        <v>SERVICE APPRECIATION AWARD PLAQUE (5 YEARS, 10 YEARS, 15 YEARS)  </v>
      </c>
      <c r="E1689" s="196" t="str">
        <f>IFERROR(__xludf.DUMMYFUNCTION("""COMPUTED_VALUE"""),"SERVICE APPRECIATION AWARD FOR EMPLOYTEE FOR AY 2020-2021")</f>
        <v>SERVICE APPRECIATION AWARD FOR EMPLOYTEE FOR AY 2020-2021</v>
      </c>
    </row>
    <row r="1690">
      <c r="A1690" s="234">
        <f>IFERROR(__xludf.DUMMYFUNCTION("""COMPUTED_VALUE"""),101981.0)</f>
        <v>101981</v>
      </c>
      <c r="B1690" s="235" t="str">
        <f>IFERROR(__xludf.DUMMYFUNCTION("""COMPUTED_VALUE"""),"ELMIE LAUDITO ")</f>
        <v>ELMIE LAUDITO </v>
      </c>
      <c r="C1690" s="235" t="str">
        <f>IFERROR(__xludf.DUMMYFUNCTION("""COMPUTED_VALUE"""),"HRMD")</f>
        <v>HRMD</v>
      </c>
      <c r="D1690" s="196" t="str">
        <f>IFERROR(__xludf.DUMMYFUNCTION("""COMPUTED_VALUE"""),"SERVICE APPRECIATION AWARD PLAQUE (5 YEARS, 10 YEARS, 15 YEARS, 20 YEARS AND 25 YEARS) ")</f>
        <v>SERVICE APPRECIATION AWARD PLAQUE (5 YEARS, 10 YEARS, 15 YEARS, 20 YEARS AND 25 YEARS) </v>
      </c>
      <c r="E1690" s="196" t="str">
        <f>IFERROR(__xludf.DUMMYFUNCTION("""COMPUTED_VALUE"""),"SERVICE APPRECIATION AWARD FOR EMPLOYTEE FOR AY 2020-2021")</f>
        <v>SERVICE APPRECIATION AWARD FOR EMPLOYTEE FOR AY 2020-2021</v>
      </c>
    </row>
    <row r="1691">
      <c r="A1691" s="234">
        <f>IFERROR(__xludf.DUMMYFUNCTION("""COMPUTED_VALUE"""),101982.0)</f>
        <v>101982</v>
      </c>
      <c r="B1691" s="235" t="str">
        <f>IFERROR(__xludf.DUMMYFUNCTION("""COMPUTED_VALUE"""),"RONALDO VERDE/BENG YAGUE ")</f>
        <v>RONALDO VERDE/BENG YAGUE </v>
      </c>
      <c r="C1691" s="235" t="str">
        <f>IFERROR(__xludf.DUMMYFUNCTION("""COMPUTED_VALUE"""),"TRANSPORTATION")</f>
        <v>TRANSPORTATION</v>
      </c>
      <c r="D1691" s="196" t="str">
        <f>IFERROR(__xludf.DUMMYFUNCTION("""COMPUTED_VALUE"""),"SISC VIOS - SPARE PARTS AND LABOR ")</f>
        <v>SISC VIOS - SPARE PARTS AND LABOR </v>
      </c>
      <c r="E1691" s="196" t="str">
        <f>IFERROR(__xludf.DUMMYFUNCTION("""COMPUTED_VALUE"""),"REPAIR OF SISC VIOS SERVICE OF DR. BENG")</f>
        <v>REPAIR OF SISC VIOS SERVICE OF DR. BENG</v>
      </c>
    </row>
    <row r="1692">
      <c r="A1692" s="234">
        <f>IFERROR(__xludf.DUMMYFUNCTION("""COMPUTED_VALUE"""),101983.0)</f>
        <v>101983</v>
      </c>
      <c r="B1692" s="235" t="str">
        <f>IFERROR(__xludf.DUMMYFUNCTION("""COMPUTED_VALUE"""),"OWIE PAR")</f>
        <v>OWIE PAR</v>
      </c>
      <c r="C1692" s="235" t="str">
        <f>IFERROR(__xludf.DUMMYFUNCTION("""COMPUTED_VALUE"""),"ENGINEERING")</f>
        <v>ENGINEERING</v>
      </c>
      <c r="D1692" s="196" t="str">
        <f>IFERROR(__xludf.DUMMYFUNCTION("""COMPUTED_VALUE"""),"PPR PIPE #2, PPR TEE #2, PPR MALE ADAPTOR #2, PPR UNION PATENTED # 2, PPR  FEMALE ADAPTOR #  1 1/4"", PPR COUPLING REDUCER # 1 1/4, PPR COUPLING REDUCER 2X 1/4, PPR ELBON #2, PPR PIPE 1 1/4"" ")</f>
        <v>PPR PIPE #2, PPR TEE #2, PPR MALE ADAPTOR #2, PPR UNION PATENTED # 2, PPR  FEMALE ADAPTOR #  1 1/4", PPR COUPLING REDUCER # 1 1/4, PPR COUPLING REDUCER 2X 1/4, PPR ELBON #2, PPR PIPE 1 1/4" </v>
      </c>
      <c r="E1692" s="196" t="str">
        <f>IFERROR(__xludf.DUMMYFUNCTION("""COMPUTED_VALUE"""),"REPIPING MAYNILAD LINE TO CISTERN")</f>
        <v>REPIPING MAYNILAD LINE TO CISTERN</v>
      </c>
    </row>
    <row r="1693">
      <c r="A1693" s="234">
        <f>IFERROR(__xludf.DUMMYFUNCTION("""COMPUTED_VALUE"""),101984.0)</f>
        <v>101984</v>
      </c>
      <c r="B1693" s="235" t="str">
        <f>IFERROR(__xludf.DUMMYFUNCTION("""COMPUTED_VALUE"""),"ALFA DE LEON")</f>
        <v>ALFA DE LEON</v>
      </c>
      <c r="C1693" s="235" t="str">
        <f>IFERROR(__xludf.DUMMYFUNCTION("""COMPUTED_VALUE"""),"LANDSCAPING")</f>
        <v>LANDSCAPING</v>
      </c>
      <c r="D1693" s="196" t="str">
        <f>IFERROR(__xludf.DUMMYFUNCTION("""COMPUTED_VALUE"""),"PLASTIC BAG FOR THE PLANTS SIZE 5, 6,7,8,9,10")</f>
        <v>PLASTIC BAG FOR THE PLANTS SIZE 5, 6,7,8,9,10</v>
      </c>
      <c r="E1693" s="196" t="str">
        <f>IFERROR(__xludf.DUMMYFUNCTION("""COMPUTED_VALUE"""),"PLANT PROPOGATION ")</f>
        <v>PLANT PROPOGATION </v>
      </c>
    </row>
    <row r="1694">
      <c r="A1694" s="234">
        <f>IFERROR(__xludf.DUMMYFUNCTION("""COMPUTED_VALUE"""),101985.0)</f>
        <v>101985</v>
      </c>
      <c r="B1694" s="235" t="str">
        <f>IFERROR(__xludf.DUMMYFUNCTION("""COMPUTED_VALUE"""),"ELYDIA REYES ")</f>
        <v>ELYDIA REYES </v>
      </c>
      <c r="C1694" s="235" t="str">
        <f>IFERROR(__xludf.DUMMYFUNCTION("""COMPUTED_VALUE"""),"PR &amp; MARKETING")</f>
        <v>PR &amp; MARKETING</v>
      </c>
      <c r="D1694" s="196" t="str">
        <f>IFERROR(__xludf.DUMMYFUNCTION("""COMPUTED_VALUE"""),"SOON TO OFFER TARP 6.5 X 13 FT. WITH SEAMING AND EYELET ALL OVER , 18 INCHES ")</f>
        <v>SOON TO OFFER TARP 6.5 X 13 FT. WITH SEAMING AND EYELET ALL OVER , 18 INCHES </v>
      </c>
      <c r="E1694" s="196" t="str">
        <f>IFERROR(__xludf.DUMMYFUNCTION("""COMPUTED_VALUE"""),"FOR MARKETING ")</f>
        <v>FOR MARKETING </v>
      </c>
    </row>
    <row r="1695">
      <c r="A1695" s="234">
        <f>IFERROR(__xludf.DUMMYFUNCTION("""COMPUTED_VALUE"""),101986.0)</f>
        <v>101986</v>
      </c>
      <c r="B1695" s="235" t="str">
        <f>IFERROR(__xludf.DUMMYFUNCTION("""COMPUTED_VALUE"""),"ELYDIA REYES ")</f>
        <v>ELYDIA REYES </v>
      </c>
      <c r="C1695" s="235" t="str">
        <f>IFERROR(__xludf.DUMMYFUNCTION("""COMPUTED_VALUE"""),"PR &amp; MARKETING")</f>
        <v>PR &amp; MARKETING</v>
      </c>
      <c r="D1695" s="196" t="str">
        <f>IFERROR(__xludf.DUMMYFUNCTION("""COMPUTED_VALUE"""),"SOON TO OFFER TARP 10 X 10 FT. WITH SEAMING , 24 INCHES ")</f>
        <v>SOON TO OFFER TARP 10 X 10 FT. WITH SEAMING , 24 INCHES </v>
      </c>
      <c r="E1695" s="196" t="str">
        <f>IFERROR(__xludf.DUMMYFUNCTION("""COMPUTED_VALUE"""),"FOR MAREKETING")</f>
        <v>FOR MAREKETING</v>
      </c>
    </row>
    <row r="1696">
      <c r="A1696" s="234">
        <f>IFERROR(__xludf.DUMMYFUNCTION("""COMPUTED_VALUE"""),101987.0)</f>
        <v>101987</v>
      </c>
      <c r="B1696" s="235" t="str">
        <f>IFERROR(__xludf.DUMMYFUNCTION("""COMPUTED_VALUE"""),"CHONA DELOS TRINOS ")</f>
        <v>CHONA DELOS TRINOS </v>
      </c>
      <c r="C1696" s="235" t="str">
        <f>IFERROR(__xludf.DUMMYFUNCTION("""COMPUTED_VALUE"""),"FINANCE &amp; ACCOUNTING")</f>
        <v>FINANCE &amp; ACCOUNTING</v>
      </c>
      <c r="D1696" s="196" t="str">
        <f>IFERROR(__xludf.DUMMYFUNCTION("""COMPUTED_VALUE"""),"Magazine box color black;size long")</f>
        <v>Magazine box color black;size long</v>
      </c>
      <c r="E1696" s="196" t="str">
        <f>IFERROR(__xludf.DUMMYFUNCTION("""COMPUTED_VALUE"""),"for filling of assessment and 201 filing of the students")</f>
        <v>for filling of assessment and 201 filing of the students</v>
      </c>
    </row>
    <row r="1697">
      <c r="A1697" s="234">
        <f>IFERROR(__xludf.DUMMYFUNCTION("""COMPUTED_VALUE"""),101988.0)</f>
        <v>101988</v>
      </c>
      <c r="B1697" s="235" t="str">
        <f>IFERROR(__xludf.DUMMYFUNCTION("""COMPUTED_VALUE"""),"JOHNY QUIQUI")</f>
        <v>JOHNY QUIQUI</v>
      </c>
      <c r="C1697" s="235" t="str">
        <f>IFERROR(__xludf.DUMMYFUNCTION("""COMPUTED_VALUE"""),"STUFFSHOP")</f>
        <v>STUFFSHOP</v>
      </c>
      <c r="D1697" s="196" t="str">
        <f>IFERROR(__xludf.DUMMYFUNCTION("""COMPUTED_VALUE"""),"BOOKS: GRADE 11- ONE BIG LEAP ACT WB, GRADE 12- SOARING HIGH ACT WB")</f>
        <v>BOOKS: GRADE 11- ONE BIG LEAP ACT WB, GRADE 12- SOARING HIGH ACT WB</v>
      </c>
      <c r="E1697" s="196" t="str">
        <f>IFERROR(__xludf.DUMMYFUNCTION("""COMPUTED_VALUE"""),"FOR SALE IN STUFFSHOP")</f>
        <v>FOR SALE IN STUFFSHOP</v>
      </c>
    </row>
    <row r="1698">
      <c r="A1698" s="234">
        <f>IFERROR(__xludf.DUMMYFUNCTION("""COMPUTED_VALUE"""),101989.0)</f>
        <v>101989</v>
      </c>
      <c r="B1698" s="235" t="str">
        <f>IFERROR(__xludf.DUMMYFUNCTION("""COMPUTED_VALUE"""),"JOMEL BUTIAL")</f>
        <v>JOMEL BUTIAL</v>
      </c>
      <c r="C1698" s="235" t="str">
        <f>IFERROR(__xludf.DUMMYFUNCTION("""COMPUTED_VALUE"""),"AMD")</f>
        <v>AMD</v>
      </c>
      <c r="D1698" s="196" t="str">
        <f>IFERROR(__xludf.DUMMYFUNCTION("""COMPUTED_VALUE"""),"GLOW FURNITURE CLEANER &amp; POLISH (RIVCHEM), HANDSOAP ANTIBACTERIAL (RIVCHEM), ZONROX BLEACH 1.9 L, ODOR MASCANT (WISE CHOICE) PLEASANT AEROSENSE")</f>
        <v>GLOW FURNITURE CLEANER &amp; POLISH (RIVCHEM), HANDSOAP ANTIBACTERIAL (RIVCHEM), ZONROX BLEACH 1.9 L, ODOR MASCANT (WISE CHOICE) PLEASANT AEROSENSE</v>
      </c>
      <c r="E1698" s="196" t="str">
        <f>IFERROR(__xludf.DUMMYFUNCTION("""COMPUTED_VALUE"""),"HOUSEKEEPING SUPPLIES REPLENISHMENT ")</f>
        <v>HOUSEKEEPING SUPPLIES REPLENISHMENT </v>
      </c>
    </row>
    <row r="1699">
      <c r="A1699" s="234">
        <f>IFERROR(__xludf.DUMMYFUNCTION("""COMPUTED_VALUE"""),101990.0)</f>
        <v>101990</v>
      </c>
      <c r="B1699" s="235" t="str">
        <f>IFERROR(__xludf.DUMMYFUNCTION("""COMPUTED_VALUE"""),"ARNEL MONTABLAN")</f>
        <v>ARNEL MONTABLAN</v>
      </c>
      <c r="C1699" s="235" t="str">
        <f>IFERROR(__xludf.DUMMYFUNCTION("""COMPUTED_VALUE"""),"REGISTRATION")</f>
        <v>REGISTRATION</v>
      </c>
      <c r="D1699" s="196" t="str">
        <f>IFERROR(__xludf.DUMMYFUNCTION("""COMPUTED_VALUE"""),"CALLING CARD")</f>
        <v>CALLING CARD</v>
      </c>
      <c r="E1699" s="196" t="str">
        <f>IFERROR(__xludf.DUMMYFUNCTION("""COMPUTED_VALUE"""),"FOR CUSTOMER INFORMATION ")</f>
        <v>FOR CUSTOMER INFORMATION </v>
      </c>
    </row>
    <row r="1700">
      <c r="A1700" s="234">
        <f>IFERROR(__xludf.DUMMYFUNCTION("""COMPUTED_VALUE"""),101991.0)</f>
        <v>101991</v>
      </c>
      <c r="B1700" s="235" t="str">
        <f>IFERROR(__xludf.DUMMYFUNCTION("""COMPUTED_VALUE"""),"CHOY JAMIAS")</f>
        <v>CHOY JAMIAS</v>
      </c>
      <c r="C1700" s="235" t="str">
        <f>IFERROR(__xludf.DUMMYFUNCTION("""COMPUTED_VALUE"""),"STUDENT AFFAIRS COLLEGE")</f>
        <v>STUDENT AFFAIRS COLLEGE</v>
      </c>
      <c r="D1700" s="196" t="str">
        <f>IFERROR(__xludf.DUMMYFUNCTION("""COMPUTED_VALUE"""),"MEDALS, DEANS MERIT, HONORABLE MENTION, CUM LAUDE, LOYALTY MEDALS (GOLD PIN)")</f>
        <v>MEDALS, DEANS MERIT, HONORABLE MENTION, CUM LAUDE, LOYALTY MEDALS (GOLD PIN)</v>
      </c>
      <c r="E1700" s="196" t="str">
        <f>IFERROR(__xludf.DUMMYFUNCTION("""COMPUTED_VALUE"""),"ADDTL MEDALS FOR GRADUATION AY 19-20 &amp; 20-21")</f>
        <v>ADDTL MEDALS FOR GRADUATION AY 19-20 &amp; 20-21</v>
      </c>
    </row>
    <row r="1701">
      <c r="A1701" s="234">
        <f>IFERROR(__xludf.DUMMYFUNCTION("""COMPUTED_VALUE"""),101992.0)</f>
        <v>101992</v>
      </c>
      <c r="B1701" s="235" t="str">
        <f>IFERROR(__xludf.DUMMYFUNCTION("""COMPUTED_VALUE"""),"TIN CANONG")</f>
        <v>TIN CANONG</v>
      </c>
      <c r="C1701" s="235" t="str">
        <f>IFERROR(__xludf.DUMMYFUNCTION("""COMPUTED_VALUE"""),"HRMD")</f>
        <v>HRMD</v>
      </c>
      <c r="D1701" s="196" t="str">
        <f>IFERROR(__xludf.DUMMYFUNCTION("""COMPUTED_VALUE"""),"FLOWER WREATH ")</f>
        <v>FLOWER WREATH </v>
      </c>
      <c r="E1701" s="196" t="str">
        <f>IFERROR(__xludf.DUMMYFUNCTION("""COMPUTED_VALUE"""),"FOR DR. MELVA'S HUSBAND")</f>
        <v>FOR DR. MELVA'S HUSBAND</v>
      </c>
    </row>
    <row r="1702">
      <c r="A1702" s="234">
        <f>IFERROR(__xludf.DUMMYFUNCTION("""COMPUTED_VALUE"""),101993.0)</f>
        <v>101993</v>
      </c>
      <c r="B1702" s="235" t="str">
        <f>IFERROR(__xludf.DUMMYFUNCTION("""COMPUTED_VALUE"""),"CARLITO DELA VEGA ")</f>
        <v>CARLITO DELA VEGA </v>
      </c>
      <c r="C1702" s="235" t="str">
        <f>IFERROR(__xludf.DUMMYFUNCTION("""COMPUTED_VALUE"""),"SECURITY")</f>
        <v>SECURITY</v>
      </c>
      <c r="D1702" s="196" t="str">
        <f>IFERROR(__xludf.DUMMYFUNCTION("""COMPUTED_VALUE"""),"SPHERO TRAFFIC PAINT YELLOW ")</f>
        <v>SPHERO TRAFFIC PAINT YELLOW </v>
      </c>
      <c r="E1702" s="196" t="str">
        <f>IFERROR(__xludf.DUMMYFUNCTION("""COMPUTED_VALUE"""),"REPAINTING OF STREET AND PARKING TRUNCHEONS ")</f>
        <v>REPAINTING OF STREET AND PARKING TRUNCHEONS </v>
      </c>
    </row>
    <row r="1703">
      <c r="A1703" s="234">
        <f>IFERROR(__xludf.DUMMYFUNCTION("""COMPUTED_VALUE"""),101994.0)</f>
        <v>101994</v>
      </c>
      <c r="B1703" s="235" t="str">
        <f>IFERROR(__xludf.DUMMYFUNCTION("""COMPUTED_VALUE"""),"CHRISMARIE ESPINOSA")</f>
        <v>CHRISMARIE ESPINOSA</v>
      </c>
      <c r="C1703" s="235" t="str">
        <f>IFERROR(__xludf.DUMMYFUNCTION("""COMPUTED_VALUE"""),"CEM OFFICE")</f>
        <v>CEM OFFICE</v>
      </c>
      <c r="D1703" s="196" t="str">
        <f>IFERROR(__xludf.DUMMYFUNCTION("""COMPUTED_VALUE"""),"ADDITIONAL BEDDINGS ")</f>
        <v>ADDITIONAL BEDDINGS </v>
      </c>
      <c r="E1703" s="196" t="str">
        <f>IFERROR(__xludf.DUMMYFUNCTION("""COMPUTED_VALUE"""),"BEDDINGS FOR SCHOLARS")</f>
        <v>BEDDINGS FOR SCHOLARS</v>
      </c>
    </row>
    <row r="1704">
      <c r="A1704" s="234">
        <f>IFERROR(__xludf.DUMMYFUNCTION("""COMPUTED_VALUE"""),101995.0)</f>
        <v>101995</v>
      </c>
      <c r="B1704" s="235" t="str">
        <f>IFERROR(__xludf.DUMMYFUNCTION("""COMPUTED_VALUE"""),"CHONA DELOS TRINOS/AUGGIE BUHAY ")</f>
        <v>CHONA DELOS TRINOS/AUGGIE BUHAY </v>
      </c>
      <c r="C1704" s="235" t="str">
        <f>IFERROR(__xludf.DUMMYFUNCTION("""COMPUTED_VALUE"""),"FINANCE &amp; ACCOUNTING")</f>
        <v>FINANCE &amp; ACCOUNTING</v>
      </c>
      <c r="D1704" s="196" t="str">
        <f>IFERROR(__xludf.DUMMYFUNCTION("""COMPUTED_VALUE"""),"MARINE PLYWOOD 3/4X4X8, MRINE PLYWOOD 1/4X4X8,2X3X8 KD S4S, FINISHING NAIL #2, COMMON NAIL #2, AUTOMOTIVE LACQUER PUTTY WHITE, SAND PAPER #100, LACQUER THINNER, 1/2 X1X8, FLAT WALL ENAMENT, PAINT THINNER")</f>
        <v>MARINE PLYWOOD 3/4X4X8, MRINE PLYWOOD 1/4X4X8,2X3X8 KD S4S, FINISHING NAIL #2, COMMON NAIL #2, AUTOMOTIVE LACQUER PUTTY WHITE, SAND PAPER #100, LACQUER THINNER, 1/2 X1X8, FLAT WALL ENAMENT, PAINT THINNER</v>
      </c>
      <c r="E1704" s="196" t="str">
        <f>IFERROR(__xludf.DUMMYFUNCTION("""COMPUTED_VALUE"""),"FABRICATION OF OPEN SHELVES IN FINANCE CONFERENCE ROOM ")</f>
        <v>FABRICATION OF OPEN SHELVES IN FINANCE CONFERENCE ROOM </v>
      </c>
    </row>
    <row r="1705">
      <c r="A1705" s="234">
        <f>IFERROR(__xludf.DUMMYFUNCTION("""COMPUTED_VALUE"""),101996.0)</f>
        <v>101996</v>
      </c>
      <c r="B1705" s="235" t="str">
        <f>IFERROR(__xludf.DUMMYFUNCTION("""COMPUTED_VALUE"""),"CARLITO DELA VEGA ")</f>
        <v>CARLITO DELA VEGA </v>
      </c>
      <c r="C1705" s="235" t="str">
        <f>IFERROR(__xludf.DUMMYFUNCTION("""COMPUTED_VALUE"""),"ADMIN")</f>
        <v>ADMIN</v>
      </c>
      <c r="D1705" s="196" t="str">
        <f>IFERROR(__xludf.DUMMYFUNCTION("""COMPUTED_VALUE"""),"OMNI ORIGINAL WALL MOUNTED EXHAUST FAN 12""")</f>
        <v>OMNI ORIGINAL WALL MOUNTED EXHAUST FAN 12"</v>
      </c>
      <c r="E1705" s="196" t="str">
        <f>IFERROR(__xludf.DUMMYFUNCTION("""COMPUTED_VALUE"""),"NEEDED FOR THE BLENDED SET UP FOR MOCK ROOM 201")</f>
        <v>NEEDED FOR THE BLENDED SET UP FOR MOCK ROOM 201</v>
      </c>
    </row>
    <row r="1706">
      <c r="A1706" s="234">
        <f>IFERROR(__xludf.DUMMYFUNCTION("""COMPUTED_VALUE"""),101997.0)</f>
        <v>101997</v>
      </c>
      <c r="B1706" s="235" t="str">
        <f>IFERROR(__xludf.DUMMYFUNCTION("""COMPUTED_VALUE"""),"ALFA DE LEON")</f>
        <v>ALFA DE LEON</v>
      </c>
      <c r="C1706" s="235" t="str">
        <f>IFERROR(__xludf.DUMMYFUNCTION("""COMPUTED_VALUE"""),"ADMIN")</f>
        <v>ADMIN</v>
      </c>
      <c r="D1706" s="196" t="str">
        <f>IFERROR(__xludf.DUMMYFUNCTION("""COMPUTED_VALUE"""),"BAGUIO GREEN PAINT ")</f>
        <v>BAGUIO GREEN PAINT </v>
      </c>
      <c r="E1706" s="196" t="str">
        <f>IFERROR(__xludf.DUMMYFUNCTION("""COMPUTED_VALUE"""),"REPAINTING OF PLANT BOX IN MUNICH, TROPICAL AND COLLEGE ")</f>
        <v>REPAINTING OF PLANT BOX IN MUNICH, TROPICAL AND COLLEGE </v>
      </c>
    </row>
    <row r="1707">
      <c r="A1707" s="234">
        <f>IFERROR(__xludf.DUMMYFUNCTION("""COMPUTED_VALUE"""),101998.0)</f>
        <v>101998</v>
      </c>
      <c r="B1707" s="235" t="str">
        <f>IFERROR(__xludf.DUMMYFUNCTION("""COMPUTED_VALUE"""),"CAROL LACERNA ")</f>
        <v>CAROL LACERNA </v>
      </c>
      <c r="C1707" s="235" t="str">
        <f>IFERROR(__xludf.DUMMYFUNCTION("""COMPUTED_VALUE"""),"STUFFSHOP")</f>
        <v>STUFFSHOP</v>
      </c>
      <c r="D1707" s="196" t="str">
        <f>IFERROR(__xludf.DUMMYFUNCTION("""COMPUTED_VALUE"""),"1.Apple M1 chip with 8-core CPU, 8-core GPU and 16-core Neural Engine,   8GB unified memory,  256GB SSD storage,  Gigabit Ethernet , 2.   USB-C Digital AV Multiport Adapter , 3.   Dell Monitor    Dell S2721HN 27-inch IPS Display | 75Hz Refresh Rate | AMD "&amp;"FreeSync | Full HD (1920 x 1080) | 4ms (grey to grey extreme) | 2 x HDMI Connectors | 300cdm/2")</f>
        <v>1.Apple M1 chip with 8-core CPU, 8-core GPU and 16-core Neural Engine,   8GB unified memory,  256GB SSD storage,  Gigabit Ethernet , 2.   USB-C Digital AV Multiport Adapter , 3.   Dell Monitor    Dell S2721HN 27-inch IPS Display | 75Hz Refresh Rate | AMD FreeSync | Full HD (1920 x 1080) | 4ms (grey to grey extreme) | 2 x HDMI Connectors | 300cdm/2</v>
      </c>
      <c r="E1707" s="196" t="str">
        <f>IFERROR(__xludf.DUMMYFUNCTION("""COMPUTED_VALUE"""),"GADGET LOAN OF MISS NANCY ")</f>
        <v>GADGET LOAN OF MISS NANCY </v>
      </c>
    </row>
    <row r="1708">
      <c r="A1708" s="234">
        <f>IFERROR(__xludf.DUMMYFUNCTION("""COMPUTED_VALUE"""),101999.0)</f>
        <v>101999</v>
      </c>
      <c r="B1708" s="235" t="str">
        <f>IFERROR(__xludf.DUMMYFUNCTION("""COMPUTED_VALUE"""),"GILBERT MAGALLANES ")</f>
        <v>GILBERT MAGALLANES </v>
      </c>
      <c r="C1708" s="235" t="str">
        <f>IFERROR(__xludf.DUMMYFUNCTION("""COMPUTED_VALUE"""),"REGISTRATION")</f>
        <v>REGISTRATION</v>
      </c>
      <c r="D1708" s="196" t="str">
        <f>IFERROR(__xludf.DUMMYFUNCTION("""COMPUTED_VALUE"""),"TOR PAPER ")</f>
        <v>TOR PAPER </v>
      </c>
      <c r="E1708" s="196" t="str">
        <f>IFERROR(__xludf.DUMMYFUNCTION("""COMPUTED_VALUE"""),"CREDENTIAL REQUEST FOR COLLEGE STUDENTS")</f>
        <v>CREDENTIAL REQUEST FOR COLLEGE STUDENTS</v>
      </c>
    </row>
    <row r="1709">
      <c r="A1709" s="234">
        <f>IFERROR(__xludf.DUMMYFUNCTION("""COMPUTED_VALUE"""),102000.0)</f>
        <v>102000</v>
      </c>
      <c r="B1709" s="235" t="str">
        <f>IFERROR(__xludf.DUMMYFUNCTION("""COMPUTED_VALUE"""),"PETER JOHN DOMINCIL ")</f>
        <v>PETER JOHN DOMINCIL </v>
      </c>
      <c r="C1709" s="235" t="str">
        <f>IFERROR(__xludf.DUMMYFUNCTION("""COMPUTED_VALUE"""),"AMD")</f>
        <v>AMD</v>
      </c>
      <c r="D1709" s="196" t="str">
        <f>IFERROR(__xludf.DUMMYFUNCTION("""COMPUTED_VALUE"""),"Clip, Paper (50gms/box), Prince Vinyl Coated - Small, Folder, Pressboard Green Long, Ink, Stamp Pad-Eveready Black, 'Marker, Pilot Broad Black, 'Paper, Fortune Groundwove  Mimeo Long (500pcs),'Paper, Fortune Groundwove  Mimeo Long (500pcs) Record Book, 30"&amp;"0 Pages, Scissors, for Employee (6inches),Tape, Packaging Tape (2""), Tape, Scotch  3M (1""), Battery, Eveready Size AAA, 'Clip, Paper (50gms/box), Prince Vinyl Coated - Small, Cutter, Handy-Big L-300 GRP, Cutter, L-500 GRP Big")</f>
        <v>Clip, Paper (50gms/box), Prince Vinyl Coated - Small, Folder, Pressboard Green Long, Ink, Stamp Pad-Eveready Black, 'Marker, Pilot Broad Black, 'Paper, Fortune Groundwove  Mimeo Long (500pcs),'Paper, Fortune Groundwove  Mimeo Long (500pcs) Record Book, 300 Pages, Scissors, for Employee (6inches),Tape, Packaging Tape (2"), Tape, Scotch  3M (1"), Battery, Eveready Size AAA, 'Clip, Paper (50gms/box), Prince Vinyl Coated - Small, Cutter, Handy-Big L-300 GRP, Cutter, L-500 GRP Big</v>
      </c>
      <c r="E1709" s="196" t="str">
        <f>IFERROR(__xludf.DUMMYFUNCTION("""COMPUTED_VALUE"""),"OSSUP STOCK REPLENISHMENT ")</f>
        <v>OSSUP STOCK REPLENISHMENT </v>
      </c>
    </row>
    <row r="1710">
      <c r="A1710" s="234">
        <f>IFERROR(__xludf.DUMMYFUNCTION("""COMPUTED_VALUE"""),102001.0)</f>
        <v>102001</v>
      </c>
      <c r="B1710" s="235" t="str">
        <f>IFERROR(__xludf.DUMMYFUNCTION("""COMPUTED_VALUE"""),"PETER JOHN DOMINCIL ")</f>
        <v>PETER JOHN DOMINCIL </v>
      </c>
      <c r="C1710" s="235" t="str">
        <f>IFERROR(__xludf.DUMMYFUNCTION("""COMPUTED_VALUE"""),"AMD")</f>
        <v>AMD</v>
      </c>
      <c r="D1710" s="196" t="str">
        <f>IFERROR(__xludf.DUMMYFUNCTION("""COMPUTED_VALUE"""),"Toner, Cartridge CF211A Cyan, Toner, Cartridge CF213A Magenta, Ribbon, Cartridge Epson LQ 2180 #1553, 'Ribbon, Cartridge Epson LX310 SO15632")</f>
        <v>Toner, Cartridge CF211A Cyan, Toner, Cartridge CF213A Magenta, Ribbon, Cartridge Epson LQ 2180 #1553, 'Ribbon, Cartridge Epson LX310 SO15632</v>
      </c>
      <c r="E1710" s="196" t="str">
        <f>IFERROR(__xludf.DUMMYFUNCTION("""COMPUTED_VALUE"""),"OSSUP STOCK REPLENISHMENT ")</f>
        <v>OSSUP STOCK REPLENISHMENT </v>
      </c>
    </row>
    <row r="1711">
      <c r="A1711" s="234">
        <f>IFERROR(__xludf.DUMMYFUNCTION("""COMPUTED_VALUE"""),102002.0)</f>
        <v>102002</v>
      </c>
      <c r="B1711" s="235" t="str">
        <f>IFERROR(__xludf.DUMMYFUNCTION("""COMPUTED_VALUE"""),"PETER JOHN DOMINCIL ")</f>
        <v>PETER JOHN DOMINCIL </v>
      </c>
      <c r="C1711" s="235" t="str">
        <f>IFERROR(__xludf.DUMMYFUNCTION("""COMPUTED_VALUE"""),"AMD")</f>
        <v>AMD</v>
      </c>
      <c r="D1711" s="196" t="str">
        <f>IFERROR(__xludf.DUMMYFUNCTION("""COMPUTED_VALUE"""),"Toner, Cartridge Inkonvert T660 for Brother HL-L2300D, 'Toner, Cartridge Inkonvert LBP6000 85A")</f>
        <v>Toner, Cartridge Inkonvert T660 for Brother HL-L2300D, 'Toner, Cartridge Inkonvert LBP6000 85A</v>
      </c>
      <c r="E1711" s="196" t="str">
        <f>IFERROR(__xludf.DUMMYFUNCTION("""COMPUTED_VALUE"""),"OSSUP STOCK REPLENISHMENT ")</f>
        <v>OSSUP STOCK REPLENISHMENT </v>
      </c>
    </row>
    <row r="1712">
      <c r="A1712" s="234">
        <f>IFERROR(__xludf.DUMMYFUNCTION("""COMPUTED_VALUE"""),102003.0)</f>
        <v>102003</v>
      </c>
      <c r="B1712" s="235" t="str">
        <f>IFERROR(__xludf.DUMMYFUNCTION("""COMPUTED_VALUE"""),"ANNA VILLARUZ")</f>
        <v>ANNA VILLARUZ</v>
      </c>
      <c r="C1712" s="235" t="str">
        <f>IFERROR(__xludf.DUMMYFUNCTION("""COMPUTED_VALUE"""),"COLLEGE DIRECTOR")</f>
        <v>COLLEGE DIRECTOR</v>
      </c>
      <c r="D1712" s="196" t="str">
        <f>IFERROR(__xludf.DUMMYFUNCTION("""COMPUTED_VALUE"""),"IRC jacket and Polo shirts")</f>
        <v>IRC jacket and Polo shirts</v>
      </c>
      <c r="E1712" s="196" t="str">
        <f>IFERROR(__xludf.DUMMYFUNCTION("""COMPUTED_VALUE"""),"FOR IRC WORKING COMMITTE")</f>
        <v>FOR IRC WORKING COMMITTE</v>
      </c>
    </row>
    <row r="1713">
      <c r="A1713" s="234">
        <f>IFERROR(__xludf.DUMMYFUNCTION("""COMPUTED_VALUE"""),102004.0)</f>
        <v>102004</v>
      </c>
      <c r="B1713" s="235" t="str">
        <f>IFERROR(__xludf.DUMMYFUNCTION("""COMPUTED_VALUE"""),"CHOY JAMIAS ")</f>
        <v>CHOY JAMIAS </v>
      </c>
      <c r="C1713" s="235" t="str">
        <f>IFERROR(__xludf.DUMMYFUNCTION("""COMPUTED_VALUE"""),"STUDENT AFFAIRS COLLEGE")</f>
        <v>STUDENT AFFAIRS COLLEGE</v>
      </c>
      <c r="D1713" s="196" t="str">
        <f>IFERROR(__xludf.DUMMYFUNCTION("""COMPUTED_VALUE"""),"Plaque- parents of Rosales, Handog,Castañeda and Calpo")</f>
        <v>Plaque- parents of Rosales, Handog,Castañeda and Calpo</v>
      </c>
      <c r="E1713" s="196" t="str">
        <f>IFERROR(__xludf.DUMMYFUNCTION("""COMPUTED_VALUE"""),"PLAQUE FOR PARENTS ")</f>
        <v>PLAQUE FOR PARENTS </v>
      </c>
    </row>
    <row r="1714">
      <c r="A1714" s="234">
        <f>IFERROR(__xludf.DUMMYFUNCTION("""COMPUTED_VALUE"""),102005.0)</f>
        <v>102005</v>
      </c>
      <c r="B1714" s="235" t="str">
        <f>IFERROR(__xludf.DUMMYFUNCTION("""COMPUTED_VALUE"""),"PETER JOHN DOMINCIL ")</f>
        <v>PETER JOHN DOMINCIL </v>
      </c>
      <c r="C1714" s="235" t="str">
        <f>IFERROR(__xludf.DUMMYFUNCTION("""COMPUTED_VALUE"""),"AMD")</f>
        <v>AMD</v>
      </c>
      <c r="D1714" s="196" t="str">
        <f>IFERROR(__xludf.DUMMYFUNCTION("""COMPUTED_VALUE"""),"Paper, SISC Letterhead Colored A4 (8.27x11.69in)")</f>
        <v>Paper, SISC Letterhead Colored A4 (8.27x11.69in)</v>
      </c>
      <c r="E1714" s="196" t="str">
        <f>IFERROR(__xludf.DUMMYFUNCTION("""COMPUTED_VALUE"""),"OSSUP STOCK REPLENISHMENT ")</f>
        <v>OSSUP STOCK REPLENISHMENT </v>
      </c>
    </row>
    <row r="1715">
      <c r="A1715" s="234">
        <f>IFERROR(__xludf.DUMMYFUNCTION("""COMPUTED_VALUE"""),102006.0)</f>
        <v>102006</v>
      </c>
      <c r="B1715" s="235" t="str">
        <f>IFERROR(__xludf.DUMMYFUNCTION("""COMPUTED_VALUE"""),"PETER JOHN DOMINCIL ")</f>
        <v>PETER JOHN DOMINCIL </v>
      </c>
      <c r="C1715" s="235" t="str">
        <f>IFERROR(__xludf.DUMMYFUNCTION("""COMPUTED_VALUE"""),"AMD")</f>
        <v>AMD</v>
      </c>
      <c r="D1715" s="196" t="str">
        <f>IFERROR(__xludf.DUMMYFUNCTION("""COMPUTED_VALUE"""),"Paper, Copy-Laser Sub. 20 Long White")</f>
        <v>Paper, Copy-Laser Sub. 20 Long White</v>
      </c>
      <c r="E1715" s="196" t="str">
        <f>IFERROR(__xludf.DUMMYFUNCTION("""COMPUTED_VALUE"""),"OSSUP STOCK REPLENISHMENT ")</f>
        <v>OSSUP STOCK REPLENISHMENT </v>
      </c>
    </row>
    <row r="1716">
      <c r="A1716" s="234">
        <f>IFERROR(__xludf.DUMMYFUNCTION("""COMPUTED_VALUE"""),102007.0)</f>
        <v>102007</v>
      </c>
      <c r="B1716" s="235" t="str">
        <f>IFERROR(__xludf.DUMMYFUNCTION("""COMPUTED_VALUE"""),"PETER JOHN DOMINCIL ")</f>
        <v>PETER JOHN DOMINCIL </v>
      </c>
      <c r="C1716" s="235" t="str">
        <f>IFERROR(__xludf.DUMMYFUNCTION("""COMPUTED_VALUE"""),"AMD")</f>
        <v>AMD</v>
      </c>
      <c r="D1716" s="196" t="str">
        <f>IFERROR(__xludf.DUMMYFUNCTION("""COMPUTED_VALUE"""),"Hard Disk 500gb, AVR - Intech ")</f>
        <v>Hard Disk 500gb, AVR - Intech </v>
      </c>
      <c r="E1716" s="196" t="str">
        <f>IFERROR(__xludf.DUMMYFUNCTION("""COMPUTED_VALUE"""),"MIS SUPPLY STOCK REPLENISHMENT ")</f>
        <v>MIS SUPPLY STOCK REPLENISHMENT </v>
      </c>
    </row>
    <row r="1717">
      <c r="A1717" s="234">
        <f>IFERROR(__xludf.DUMMYFUNCTION("""COMPUTED_VALUE"""),102008.0)</f>
        <v>102008</v>
      </c>
      <c r="B1717" s="235" t="str">
        <f>IFERROR(__xludf.DUMMYFUNCTION("""COMPUTED_VALUE"""),"QUEENNIE BALAORO ")</f>
        <v>QUEENNIE BALAORO </v>
      </c>
      <c r="C1717" s="235" t="str">
        <f>IFERROR(__xludf.DUMMYFUNCTION("""COMPUTED_VALUE"""),"FINANCE &amp; ACCOUNTING")</f>
        <v>FINANCE &amp; ACCOUNTING</v>
      </c>
      <c r="D1717" s="196" t="str">
        <f>IFERROR(__xludf.DUMMYFUNCTION("""COMPUTED_VALUE"""),"LONG BROWN ENVELOPE ")</f>
        <v>LONG BROWN ENVELOPE </v>
      </c>
      <c r="E1717" s="196" t="str">
        <f>IFERROR(__xludf.DUMMYFUNCTION("""COMPUTED_VALUE"""),"FOR DOCUMENT FILING (201 FILES)")</f>
        <v>FOR DOCUMENT FILING (201 FILES)</v>
      </c>
    </row>
    <row r="1718">
      <c r="A1718" s="234">
        <f>IFERROR(__xludf.DUMMYFUNCTION("""COMPUTED_VALUE"""),102009.0)</f>
        <v>102009</v>
      </c>
      <c r="B1718" s="235" t="str">
        <f>IFERROR(__xludf.DUMMYFUNCTION("""COMPUTED_VALUE"""),"ROIE ROLICE RAYMUNDO ")</f>
        <v>ROIE ROLICE RAYMUNDO </v>
      </c>
      <c r="C1718" s="235" t="str">
        <f>IFERROR(__xludf.DUMMYFUNCTION("""COMPUTED_VALUE"""),"MIS/ICT")</f>
        <v>MIS/ICT</v>
      </c>
      <c r="D1718" s="196" t="str">
        <f>IFERROR(__xludf.DUMMYFUNCTION("""COMPUTED_VALUE"""),"CISCO POE SWITCH MODEL: SG300-28MP 28 PORT GIGABIT POE MANAGED SWITCH ")</f>
        <v>CISCO POE SWITCH MODEL: SG300-28MP 28 PORT GIGABIT POE MANAGED SWITCH </v>
      </c>
      <c r="E1718" s="196" t="str">
        <f>IFERROR(__xludf.DUMMYFUNCTION("""COMPUTED_VALUE"""),"SPARE UNITS FOR IDF/SERVER ROOM")</f>
        <v>SPARE UNITS FOR IDF/SERVER ROOM</v>
      </c>
    </row>
    <row r="1719">
      <c r="A1719" s="234">
        <f>IFERROR(__xludf.DUMMYFUNCTION("""COMPUTED_VALUE"""),102010.0)</f>
        <v>102010</v>
      </c>
      <c r="B1719" s="235" t="str">
        <f>IFERROR(__xludf.DUMMYFUNCTION("""COMPUTED_VALUE"""),"RONALDO VERDE")</f>
        <v>RONALDO VERDE</v>
      </c>
      <c r="C1719" s="235" t="str">
        <f>IFERROR(__xludf.DUMMYFUNCTION("""COMPUTED_VALUE"""),"ENGINEERING")</f>
        <v>ENGINEERING</v>
      </c>
      <c r="D1719" s="196" t="str">
        <f>IFERROR(__xludf.DUMMYFUNCTION("""COMPUTED_VALUE"""),"TUBULAR BAR 2.0""X2"", TUBULAR  BAR 2.0""X 1""X2"" WELDING ROD (SPECIAL) , CUTTING DISK NO. 4, SQUARE BAR #12 MM, SEMI GLOSS LATEX WHITE, PAINT THINNER,M POLITUFF WITH HARDENER , SANDING PAPER#100, SKIM COAT")</f>
        <v>TUBULAR BAR 2.0"X2", TUBULAR  BAR 2.0"X 1"X2" WELDING ROD (SPECIAL) , CUTTING DISK NO. 4, SQUARE BAR #12 MM, SEMI GLOSS LATEX WHITE, PAINT THINNER,M POLITUFF WITH HARDENER , SANDING PAPER#100, SKIM COAT</v>
      </c>
      <c r="E1719" s="196" t="str">
        <f>IFERROR(__xludf.DUMMYFUNCTION("""COMPUTED_VALUE"""),"ADDITIONAL MATERIALS FOR REPAIR AND REPAINTING OF FENCE")</f>
        <v>ADDITIONAL MATERIALS FOR REPAIR AND REPAINTING OF FENCE</v>
      </c>
    </row>
    <row r="1720">
      <c r="A1720" s="234">
        <f>IFERROR(__xludf.DUMMYFUNCTION("""COMPUTED_VALUE"""),102011.0)</f>
        <v>102011</v>
      </c>
      <c r="B1720" s="235" t="str">
        <f>IFERROR(__xludf.DUMMYFUNCTION("""COMPUTED_VALUE"""),"DONNA ROSE OCAMPO ")</f>
        <v>DONNA ROSE OCAMPO </v>
      </c>
      <c r="C1720" s="235" t="str">
        <f>IFERROR(__xludf.DUMMYFUNCTION("""COMPUTED_VALUE"""),"FINANCE &amp; ACCOUNTING")</f>
        <v>FINANCE &amp; ACCOUNTING</v>
      </c>
      <c r="D1720" s="196" t="str">
        <f>IFERROR(__xludf.DUMMYFUNCTION("""COMPUTED_VALUE"""),"ASSESSMENT FORMS IN TRIPLICATE, SERIES # 322001-322500, 322501-323000,323001-323500,323501-324000,324001-324500")</f>
        <v>ASSESSMENT FORMS IN TRIPLICATE, SERIES # 322001-322500, 322501-323000,323001-323500,323501-324000,324001-324500</v>
      </c>
      <c r="E1720" s="196" t="str">
        <f>IFERROR(__xludf.DUMMYFUNCTION("""COMPUTED_VALUE"""),"ASSESSMENT PRINTING ")</f>
        <v>ASSESSMENT PRINTING </v>
      </c>
    </row>
    <row r="1721">
      <c r="A1721" s="234">
        <f>IFERROR(__xludf.DUMMYFUNCTION("""COMPUTED_VALUE"""),102012.0)</f>
        <v>102012</v>
      </c>
      <c r="B1721" s="235" t="str">
        <f>IFERROR(__xludf.DUMMYFUNCTION("""COMPUTED_VALUE"""),"SHEREE ESPINOSA")</f>
        <v>SHEREE ESPINOSA</v>
      </c>
      <c r="C1721" s="235" t="str">
        <f>IFERROR(__xludf.DUMMYFUNCTION("""COMPUTED_VALUE"""),"PRESIDENT'S OFFICE")</f>
        <v>PRESIDENT'S OFFICE</v>
      </c>
      <c r="D1721" s="196" t="str">
        <f>IFERROR(__xludf.DUMMYFUNCTION("""COMPUTED_VALUE"""),"DECISION BOOK BY: MIKAEL KROGERUS")</f>
        <v>DECISION BOOK BY: MIKAEL KROGERUS</v>
      </c>
      <c r="E1721" s="196" t="str">
        <f>IFERROR(__xludf.DUMMYFUNCTION("""COMPUTED_VALUE"""),"COPY FOR SIR AC CALLADO ")</f>
        <v>COPY FOR SIR AC CALLADO </v>
      </c>
    </row>
    <row r="1722">
      <c r="A1722" s="234">
        <f>IFERROR(__xludf.DUMMYFUNCTION("""COMPUTED_VALUE"""),102013.0)</f>
        <v>102013</v>
      </c>
      <c r="B1722" s="235" t="str">
        <f>IFERROR(__xludf.DUMMYFUNCTION("""COMPUTED_VALUE"""),"CARLITO DELA VEGA ")</f>
        <v>CARLITO DELA VEGA </v>
      </c>
      <c r="C1722" s="235" t="str">
        <f>IFERROR(__xludf.DUMMYFUNCTION("""COMPUTED_VALUE"""),"SECURITY")</f>
        <v>SECURITY</v>
      </c>
      <c r="D1722" s="196" t="str">
        <f>IFERROR(__xludf.DUMMYFUNCTION("""COMPUTED_VALUE"""),"CAUTION TAPE")</f>
        <v>CAUTION TAPE</v>
      </c>
      <c r="E1722" s="196" t="str">
        <f>IFERROR(__xludf.DUMMYFUNCTION("""COMPUTED_VALUE"""),"FOR EMERGENCY USE ")</f>
        <v>FOR EMERGENCY USE </v>
      </c>
    </row>
    <row r="1723">
      <c r="A1723" s="234">
        <f>IFERROR(__xludf.DUMMYFUNCTION("""COMPUTED_VALUE"""),102014.0)</f>
        <v>102014</v>
      </c>
      <c r="B1723" s="235" t="str">
        <f>IFERROR(__xludf.DUMMYFUNCTION("""COMPUTED_VALUE"""),"PJ DOMINCIL")</f>
        <v>PJ DOMINCIL</v>
      </c>
      <c r="C1723" s="235" t="str">
        <f>IFERROR(__xludf.DUMMYFUNCTION("""COMPUTED_VALUE"""),"AMD")</f>
        <v>AMD</v>
      </c>
      <c r="D1723" s="196" t="str">
        <f>IFERROR(__xludf.DUMMYFUNCTION("""COMPUTED_VALUE"""),"Goose Neck, faucet tanso, 't5 flourescent bulb 21 watts ww, 'Capacitor 35 uF, 'double action valve 1/2x1/2x1/2, male plug,Lavatory Faucet (long),t5 flourescent 21 watts dl, t5 28 watts flourescent light dl,LED TUBE 16W DAYLIGHT - PHILIPS,LED TUBE 9W DAYLI"&amp;"GHT - PHILIPS, Lavatory Strainer, fill valve")</f>
        <v>Goose Neck, faucet tanso, 't5 flourescent bulb 21 watts ww, 'Capacitor 35 uF, 'double action valve 1/2x1/2x1/2, male plug,Lavatory Faucet (long),t5 flourescent 21 watts dl, t5 28 watts flourescent light dl,LED TUBE 16W DAYLIGHT - PHILIPS,LED TUBE 9W DAYLIGHT - PHILIPS, Lavatory Strainer, fill valve</v>
      </c>
      <c r="E1723" s="196" t="str">
        <f>IFERROR(__xludf.DUMMYFUNCTION("""COMPUTED_VALUE"""),"ENGINEERING SUPPLIES REPLENISHMENT ")</f>
        <v>ENGINEERING SUPPLIES REPLENISHMENT </v>
      </c>
    </row>
    <row r="1724">
      <c r="A1724" s="234">
        <f>IFERROR(__xludf.DUMMYFUNCTION("""COMPUTED_VALUE"""),102015.0)</f>
        <v>102015</v>
      </c>
      <c r="B1724" s="235" t="str">
        <f>IFERROR(__xludf.DUMMYFUNCTION("""COMPUTED_VALUE"""),"PETER JOHN DOMINCIL")</f>
        <v>PETER JOHN DOMINCIL</v>
      </c>
      <c r="C1724" s="235" t="str">
        <f>IFERROR(__xludf.DUMMYFUNCTION("""COMPUTED_VALUE"""),"AMD")</f>
        <v>AMD</v>
      </c>
      <c r="D1724" s="196" t="str">
        <f>IFERROR(__xludf.DUMMYFUNCTION("""COMPUTED_VALUE"""),"PAPER, BEST BUY COLORED ASSORTED (9''X 11'')")</f>
        <v>PAPER, BEST BUY COLORED ASSORTED (9''X 11'')</v>
      </c>
      <c r="E1724" s="196" t="str">
        <f>IFERROR(__xludf.DUMMYFUNCTION("""COMPUTED_VALUE"""),"STUDENTS MATERIALS FOR AY:2021-2022")</f>
        <v>STUDENTS MATERIALS FOR AY:2021-2022</v>
      </c>
    </row>
    <row r="1725">
      <c r="A1725" s="234">
        <f>IFERROR(__xludf.DUMMYFUNCTION("""COMPUTED_VALUE"""),102016.0)</f>
        <v>102016</v>
      </c>
      <c r="B1725" s="235" t="str">
        <f>IFERROR(__xludf.DUMMYFUNCTION("""COMPUTED_VALUE"""),"MELISSA ODOÑO")</f>
        <v>MELISSA ODOÑO</v>
      </c>
      <c r="C1725" s="235" t="str">
        <f>IFERROR(__xludf.DUMMYFUNCTION("""COMPUTED_VALUE"""),"LIBRARY MUNICH")</f>
        <v>LIBRARY MUNICH</v>
      </c>
      <c r="D1725" s="196" t="str">
        <f>IFERROR(__xludf.DUMMYFUNCTION("""COMPUTED_VALUE"""),"It's Your Ship: Management Techniques from the Best Damn Ship in the Navy")</f>
        <v>It's Your Ship: Management Techniques from the Best Damn Ship in the Navy</v>
      </c>
      <c r="E1725" s="196" t="str">
        <f>IFERROR(__xludf.DUMMYFUNCTION("""COMPUTED_VALUE"""),"LIBRARY COPY FOR AY 2021-2022")</f>
        <v>LIBRARY COPY FOR AY 2021-2022</v>
      </c>
    </row>
    <row r="1726">
      <c r="A1726" s="234">
        <f>IFERROR(__xludf.DUMMYFUNCTION("""COMPUTED_VALUE"""),102017.0)</f>
        <v>102017</v>
      </c>
      <c r="B1726" s="235" t="str">
        <f>IFERROR(__xludf.DUMMYFUNCTION("""COMPUTED_VALUE"""),"RONALD VERDE")</f>
        <v>RONALD VERDE</v>
      </c>
      <c r="C1726" s="235" t="str">
        <f>IFERROR(__xludf.DUMMYFUNCTION("""COMPUTED_VALUE"""),"FACILITIES")</f>
        <v>FACILITIES</v>
      </c>
      <c r="D1726" s="196" t="str">
        <f>IFERROR(__xludf.DUMMYFUNCTION("""COMPUTED_VALUE"""),"OMNI ORIGINAL WALL MOUNTED EXHAUST FAN 12 INCHES")</f>
        <v>OMNI ORIGINAL WALL MOUNTED EXHAUST FAN 12 INCHES</v>
      </c>
      <c r="E1726" s="196" t="str">
        <f>IFERROR(__xludf.DUMMYFUNCTION("""COMPUTED_VALUE"""),"FOR ADDITIONAL EXHAUST FAN IN CLASSROOM 201, 203 EAST WING")</f>
        <v>FOR ADDITIONAL EXHAUST FAN IN CLASSROOM 201, 203 EAST WING</v>
      </c>
    </row>
    <row r="1727">
      <c r="A1727" s="234">
        <f>IFERROR(__xludf.DUMMYFUNCTION("""COMPUTED_VALUE"""),102018.0)</f>
        <v>102018</v>
      </c>
      <c r="B1727" s="235" t="str">
        <f>IFERROR(__xludf.DUMMYFUNCTION("""COMPUTED_VALUE"""),"ELYDIA REYES ")</f>
        <v>ELYDIA REYES </v>
      </c>
      <c r="C1727" s="235" t="str">
        <f>IFERROR(__xludf.DUMMYFUNCTION("""COMPUTED_VALUE"""),"PR &amp; MARKETING")</f>
        <v>PR &amp; MARKETING</v>
      </c>
      <c r="D1727" s="196" t="str">
        <f>IFERROR(__xludf.DUMMYFUNCTION("""COMPUTED_VALUE"""),"CONGRATULATORY TARP OF GWYN STANDARD SIZE")</f>
        <v>CONGRATULATORY TARP OF GWYN STANDARD SIZE</v>
      </c>
      <c r="E1727" s="196" t="str">
        <f>IFERROR(__xludf.DUMMYFUNCTION("""COMPUTED_VALUE"""),"MARKETING")</f>
        <v>MARKETING</v>
      </c>
    </row>
    <row r="1728">
      <c r="A1728" s="234">
        <f>IFERROR(__xludf.DUMMYFUNCTION("""COMPUTED_VALUE"""),102019.0)</f>
        <v>102019</v>
      </c>
      <c r="B1728" s="235" t="str">
        <f>IFERROR(__xludf.DUMMYFUNCTION("""COMPUTED_VALUE"""),"MELISSA ODONO")</f>
        <v>MELISSA ODONO</v>
      </c>
      <c r="C1728" s="235" t="str">
        <f>IFERROR(__xludf.DUMMYFUNCTION("""COMPUTED_VALUE"""),"LIBRARY BASIC ED")</f>
        <v>LIBRARY BASIC ED</v>
      </c>
      <c r="D1728" s="196" t="str">
        <f>IFERROR(__xludf.DUMMYFUNCTION("""COMPUTED_VALUE"""),"ENGLISH A: LANG &amp; LIT SUBJECT TEACHER RESOURCES, CHEMISTRY, BIOLOGY, PSYCHOLOGY")</f>
        <v>ENGLISH A: LANG &amp; LIT SUBJECT TEACHER RESOURCES, CHEMISTRY, BIOLOGY, PSYCHOLOGY</v>
      </c>
      <c r="E1728" s="196" t="str">
        <f>IFERROR(__xludf.DUMMYFUNCTION("""COMPUTED_VALUE"""),"LIBRARY'S COPY ( FOR IB TEACHERS USE  AY 2020-2021)  - Ebooks / Digital /SUBSCRIPTION")</f>
        <v>LIBRARY'S COPY ( FOR IB TEACHERS USE  AY 2020-2021)  - Ebooks / Digital /SUBSCRIPTION</v>
      </c>
    </row>
    <row r="1729">
      <c r="A1729" s="234">
        <f>IFERROR(__xludf.DUMMYFUNCTION("""COMPUTED_VALUE"""),102020.0)</f>
        <v>102020</v>
      </c>
      <c r="B1729" s="235" t="str">
        <f>IFERROR(__xludf.DUMMYFUNCTION("""COMPUTED_VALUE"""),"ALFA DE LEON ")</f>
        <v>ALFA DE LEON </v>
      </c>
      <c r="C1729" s="235" t="str">
        <f>IFERROR(__xludf.DUMMYFUNCTION("""COMPUTED_VALUE"""),"ADMIN")</f>
        <v>ADMIN</v>
      </c>
      <c r="D1729" s="196" t="str">
        <f>IFERROR(__xludf.DUMMYFUNCTION("""COMPUTED_VALUE"""),"ACRYLIC GLASS FOR STUDENT'S DESK, 24""w X24""w X 32"" W USING 3MM ACRYLIC  GLASS")</f>
        <v>ACRYLIC GLASS FOR STUDENT'S DESK, 24"w X24"w X 32" W USING 3MM ACRYLIC  GLASS</v>
      </c>
      <c r="E1729" s="196" t="str">
        <f>IFERROR(__xludf.DUMMYFUNCTION("""COMPUTED_VALUE"""),"ACRYLIC GLASS FOR STUDENT'S DESK ")</f>
        <v>ACRYLIC GLASS FOR STUDENT'S DESK </v>
      </c>
    </row>
    <row r="1730">
      <c r="A1730" s="234">
        <f>IFERROR(__xludf.DUMMYFUNCTION("""COMPUTED_VALUE"""),102021.0)</f>
        <v>102021</v>
      </c>
      <c r="B1730" s="235" t="str">
        <f>IFERROR(__xludf.DUMMYFUNCTION("""COMPUTED_VALUE"""),"WEN CHARLES MACMAC")</f>
        <v>WEN CHARLES MACMAC</v>
      </c>
      <c r="C1730" s="235" t="str">
        <f>IFERROR(__xludf.DUMMYFUNCTION("""COMPUTED_VALUE"""),"REGISTRATION")</f>
        <v>REGISTRATION</v>
      </c>
      <c r="D1730" s="196" t="str">
        <f>IFERROR(__xludf.DUMMYFUNCTION("""COMPUTED_VALUE"""),"GREEN FOLDER PLAIN (LONG) 250 PCS")</f>
        <v>GREEN FOLDER PLAIN (LONG) 250 PCS</v>
      </c>
      <c r="E1730" s="196" t="str">
        <f>IFERROR(__xludf.DUMMYFUNCTION("""COMPUTED_VALUE"""),"FOR OFFICE USE (BASIC ED)")</f>
        <v>FOR OFFICE USE (BASIC ED)</v>
      </c>
    </row>
    <row r="1731">
      <c r="A1731" s="234">
        <f>IFERROR(__xludf.DUMMYFUNCTION("""COMPUTED_VALUE"""),102022.0)</f>
        <v>102022</v>
      </c>
      <c r="B1731" s="235" t="str">
        <f>IFERROR(__xludf.DUMMYFUNCTION("""COMPUTED_VALUE"""),"GILBERT CLAUSE MAGALLANES")</f>
        <v>GILBERT CLAUSE MAGALLANES</v>
      </c>
      <c r="C1731" s="235" t="str">
        <f>IFERROR(__xludf.DUMMYFUNCTION("""COMPUTED_VALUE"""),"REGISTRATION")</f>
        <v>REGISTRATION</v>
      </c>
      <c r="D1731" s="196" t="str">
        <f>IFERROR(__xludf.DUMMYFUNCTION("""COMPUTED_VALUE"""),"COLLEGE STUDENT JACKET FORMAT ( BROWN ENVELOPE LONG)")</f>
        <v>COLLEGE STUDENT JACKET FORMAT ( BROWN ENVELOPE LONG)</v>
      </c>
      <c r="E1731" s="196" t="str">
        <f>IFERROR(__xludf.DUMMYFUNCTION("""COMPUTED_VALUE"""),"FOR OFFICE USE ()COLLEGE)")</f>
        <v>FOR OFFICE USE ()COLLEGE)</v>
      </c>
    </row>
    <row r="1732">
      <c r="A1732" s="234">
        <f>IFERROR(__xludf.DUMMYFUNCTION("""COMPUTED_VALUE"""),102023.0)</f>
        <v>102023</v>
      </c>
      <c r="B1732" s="235" t="str">
        <f>IFERROR(__xludf.DUMMYFUNCTION("""COMPUTED_VALUE"""),"JOMEL BUTIAL ")</f>
        <v>JOMEL BUTIAL </v>
      </c>
      <c r="C1732" s="235" t="str">
        <f>IFERROR(__xludf.DUMMYFUNCTION("""COMPUTED_VALUE"""),"AMD ")</f>
        <v>AMD </v>
      </c>
      <c r="D1732" s="196" t="str">
        <f>IFERROR(__xludf.DUMMYFUNCTION("""COMPUTED_VALUE"""),"SPRAY GUN (TRANSPARENT) ")</f>
        <v>SPRAY GUN (TRANSPARENT) </v>
      </c>
      <c r="E1732" s="196" t="str">
        <f>IFERROR(__xludf.DUMMYFUNCTION("""COMPUTED_VALUE"""),"HOUSEKEEPING SUPPLY REPLENISHMENT ")</f>
        <v>HOUSEKEEPING SUPPLY REPLENISHMENT </v>
      </c>
    </row>
    <row r="1733">
      <c r="A1733" s="234">
        <f>IFERROR(__xludf.DUMMYFUNCTION("""COMPUTED_VALUE"""),102024.0)</f>
        <v>102024</v>
      </c>
      <c r="B1733" s="235" t="str">
        <f>IFERROR(__xludf.DUMMYFUNCTION("""COMPUTED_VALUE"""),"JOMEL BUTIAL ")</f>
        <v>JOMEL BUTIAL </v>
      </c>
      <c r="C1733" s="235" t="str">
        <f>IFERROR(__xludf.DUMMYFUNCTION("""COMPUTED_VALUE"""),"AMD ")</f>
        <v>AMD </v>
      </c>
      <c r="D1733" s="196" t="str">
        <f>IFERROR(__xludf.DUMMYFUNCTION("""COMPUTED_VALUE"""),"SCENTED BAYGON PROTECTOR MULTI INSECT KILLER 500 ML")</f>
        <v>SCENTED BAYGON PROTECTOR MULTI INSECT KILLER 500 ML</v>
      </c>
      <c r="E1733" s="196" t="str">
        <f>IFERROR(__xludf.DUMMYFUNCTION("""COMPUTED_VALUE"""),"HOUSEKEEPING SUPPLY REPLENISHMENT ")</f>
        <v>HOUSEKEEPING SUPPLY REPLENISHMENT </v>
      </c>
    </row>
    <row r="1734">
      <c r="A1734" s="234">
        <f>IFERROR(__xludf.DUMMYFUNCTION("""COMPUTED_VALUE"""),102025.0)</f>
        <v>102025</v>
      </c>
      <c r="B1734" s="235" t="str">
        <f>IFERROR(__xludf.DUMMYFUNCTION("""COMPUTED_VALUE"""),"JOMEL BUTIAL ")</f>
        <v>JOMEL BUTIAL </v>
      </c>
      <c r="C1734" s="235" t="str">
        <f>IFERROR(__xludf.DUMMYFUNCTION("""COMPUTED_VALUE"""),"AMD ")</f>
        <v>AMD </v>
      </c>
      <c r="D1734" s="196" t="str">
        <f>IFERROR(__xludf.DUMMYFUNCTION("""COMPUTED_VALUE"""),"RAIN COAT (MULTI PURPOSE, ANY COLOR)")</f>
        <v>RAIN COAT (MULTI PURPOSE, ANY COLOR)</v>
      </c>
      <c r="E1734" s="196" t="str">
        <f>IFERROR(__xludf.DUMMYFUNCTION("""COMPUTED_VALUE"""),"HOUSEKEEPING SUPPLY REPLENISHMENT ")</f>
        <v>HOUSEKEEPING SUPPLY REPLENISHMENT </v>
      </c>
    </row>
    <row r="1735">
      <c r="A1735" s="234">
        <f>IFERROR(__xludf.DUMMYFUNCTION("""COMPUTED_VALUE"""),102026.0)</f>
        <v>102026</v>
      </c>
      <c r="B1735" s="235" t="str">
        <f>IFERROR(__xludf.DUMMYFUNCTION("""COMPUTED_VALUE"""),"ALFA DE LEON  ")</f>
        <v>ALFA DE LEON  </v>
      </c>
      <c r="C1735" s="235" t="str">
        <f>IFERROR(__xludf.DUMMYFUNCTION("""COMPUTED_VALUE"""),"ADMIN")</f>
        <v>ADMIN</v>
      </c>
      <c r="D1735" s="196" t="str">
        <f>IFERROR(__xludf.DUMMYFUNCTION("""COMPUTED_VALUE"""),"GRASS CUTTER CRESTON ")</f>
        <v>GRASS CUTTER CRESTON </v>
      </c>
      <c r="E1735" s="196" t="str">
        <f>IFERROR(__xludf.DUMMYFUNCTION("""COMPUTED_VALUE"""),"REPLACEMENT OF 2 GRASS CUTTER ")</f>
        <v>REPLACEMENT OF 2 GRASS CUTTER </v>
      </c>
    </row>
    <row r="1736">
      <c r="A1736" s="234">
        <f>IFERROR(__xludf.DUMMYFUNCTION("""COMPUTED_VALUE"""),102027.0)</f>
        <v>102027</v>
      </c>
      <c r="B1736" s="235" t="str">
        <f>IFERROR(__xludf.DUMMYFUNCTION("""COMPUTED_VALUE"""),"SHEREE ESPINOSA")</f>
        <v>SHEREE ESPINOSA</v>
      </c>
      <c r="C1736" s="235" t="str">
        <f>IFERROR(__xludf.DUMMYFUNCTION("""COMPUTED_VALUE"""),"ADMIN")</f>
        <v>ADMIN</v>
      </c>
      <c r="D1736" s="196" t="str">
        <f>IFERROR(__xludf.DUMMYFUNCTION("""COMPUTED_VALUE"""),"POLYCARBONATE CLEAR 4""X50"", SEALANT CLEAR, TEXT SCREW #1, ALUMINUM FLAT BAR # 3/16X1""X20""")</f>
        <v>POLYCARBONATE CLEAR 4"X50", SEALANT CLEAR, TEXT SCREW #1, ALUMINUM FLAT BAR # 3/16X1"X20"</v>
      </c>
      <c r="E1736" s="196" t="str">
        <f>IFERROR(__xludf.DUMMYFUNCTION("""COMPUTED_VALUE"""),"REPLACEMENT OF POLYCARBONATE CLEAR FOR LUX FIRE EXIT")</f>
        <v>REPLACEMENT OF POLYCARBONATE CLEAR FOR LUX FIRE EXIT</v>
      </c>
    </row>
    <row r="1737">
      <c r="A1737" s="234">
        <f>IFERROR(__xludf.DUMMYFUNCTION("""COMPUTED_VALUE"""),102028.0)</f>
        <v>102028</v>
      </c>
      <c r="B1737" s="235" t="str">
        <f>IFERROR(__xludf.DUMMYFUNCTION("""COMPUTED_VALUE"""),"OWIE PAR")</f>
        <v>OWIE PAR</v>
      </c>
      <c r="C1737" s="235" t="str">
        <f>IFERROR(__xludf.DUMMYFUNCTION("""COMPUTED_VALUE"""),"ENGINEERING")</f>
        <v>ENGINEERING</v>
      </c>
      <c r="D1737" s="196" t="str">
        <f>IFERROR(__xludf.DUMMYFUNCTION("""COMPUTED_VALUE"""),"DEWALT GRINDER WITH 4 INCHES DISK")</f>
        <v>DEWALT GRINDER WITH 4 INCHES DISK</v>
      </c>
      <c r="E1737" s="196" t="str">
        <f>IFERROR(__xludf.DUMMYFUNCTION("""COMPUTED_VALUE"""),"FOR ENGINEERING USE")</f>
        <v>FOR ENGINEERING USE</v>
      </c>
    </row>
    <row r="1738">
      <c r="A1738" s="234">
        <f>IFERROR(__xludf.DUMMYFUNCTION("""COMPUTED_VALUE"""),102029.0)</f>
        <v>102029</v>
      </c>
      <c r="B1738" s="235" t="str">
        <f>IFERROR(__xludf.DUMMYFUNCTION("""COMPUTED_VALUE"""),"VIOLETA REVOLTAR")</f>
        <v>VIOLETA REVOLTAR</v>
      </c>
      <c r="C1738" s="235" t="str">
        <f>IFERROR(__xludf.DUMMYFUNCTION("""COMPUTED_VALUE"""),"CEM OFFICE")</f>
        <v>CEM OFFICE</v>
      </c>
      <c r="D1738" s="196" t="str">
        <f>IFERROR(__xludf.DUMMYFUNCTION("""COMPUTED_VALUE"""),"EPSON WORKFORCE DS.- 410 SCANNER, STARPOINT S-170 PAPER SHREDDER")</f>
        <v>EPSON WORKFORCE DS.- 410 SCANNER, STARPOINT S-170 PAPER SHREDDER</v>
      </c>
      <c r="E1738" s="196" t="str">
        <f>IFERROR(__xludf.DUMMYFUNCTION("""COMPUTED_VALUE"""),"FOR OFFICE USE (CHRONICLES AND RESOLUTIONS)")</f>
        <v>FOR OFFICE USE (CHRONICLES AND RESOLUTIONS)</v>
      </c>
    </row>
    <row r="1739">
      <c r="A1739" s="234">
        <f>IFERROR(__xludf.DUMMYFUNCTION("""COMPUTED_VALUE"""),102030.0)</f>
        <v>102030</v>
      </c>
      <c r="B1739" s="235" t="str">
        <f>IFERROR(__xludf.DUMMYFUNCTION("""COMPUTED_VALUE"""),"JAIREL MARVIN MARASIGAN")</f>
        <v>JAIREL MARVIN MARASIGAN</v>
      </c>
      <c r="C1739" s="235" t="str">
        <f>IFERROR(__xludf.DUMMYFUNCTION("""COMPUTED_VALUE"""),"PR &amp; MARKETING")</f>
        <v>PR &amp; MARKETING</v>
      </c>
      <c r="D1739" s="196" t="str">
        <f>IFERROR(__xludf.DUMMYFUNCTION("""COMPUTED_VALUE"""),"TARPS FOR LAMP POST BANNERS 10X4 FT. ")</f>
        <v>TARPS FOR LAMP POST BANNERS 10X4 FT. </v>
      </c>
      <c r="E1739" s="196" t="str">
        <f>IFERROR(__xludf.DUMMYFUNCTION("""COMPUTED_VALUE"""),"FOR MARKETING")</f>
        <v>FOR MARKETING</v>
      </c>
    </row>
    <row r="1740">
      <c r="A1740" s="234">
        <f>IFERROR(__xludf.DUMMYFUNCTION("""COMPUTED_VALUE"""),102031.0)</f>
        <v>102031</v>
      </c>
      <c r="B1740" s="235" t="str">
        <f>IFERROR(__xludf.DUMMYFUNCTION("""COMPUTED_VALUE"""),"LORRAINE ALMAZAN")</f>
        <v>LORRAINE ALMAZAN</v>
      </c>
      <c r="C1740" s="235" t="str">
        <f>IFERROR(__xludf.DUMMYFUNCTION("""COMPUTED_VALUE"""),"REGISTRATION")</f>
        <v>REGISTRATION</v>
      </c>
      <c r="D1740" s="196" t="str">
        <f>IFERROR(__xludf.DUMMYFUNCTION("""COMPUTED_VALUE"""),"4 DRAWERS STEEL FILING CABINET 2PCS")</f>
        <v>4 DRAWERS STEEL FILING CABINET 2PCS</v>
      </c>
      <c r="E1740" s="196" t="str">
        <f>IFERROR(__xludf.DUMMYFUNCTION("""COMPUTED_VALUE"""),"OLD 201 RECORD FILING ")</f>
        <v>OLD 201 RECORD FILING </v>
      </c>
    </row>
    <row r="1741">
      <c r="A1741" s="234">
        <f>IFERROR(__xludf.DUMMYFUNCTION("""COMPUTED_VALUE"""),102032.0)</f>
        <v>102032</v>
      </c>
      <c r="B1741" s="235" t="str">
        <f>IFERROR(__xludf.DUMMYFUNCTION("""COMPUTED_VALUE"""),"CAROL R. LACERNA ")</f>
        <v>CAROL R. LACERNA </v>
      </c>
      <c r="C1741" s="235" t="str">
        <f>IFERROR(__xludf.DUMMYFUNCTION("""COMPUTED_VALUE"""),"ABU")</f>
        <v>ABU</v>
      </c>
      <c r="D1741" s="196" t="str">
        <f>IFERROR(__xludf.DUMMYFUNCTION("""COMPUTED_VALUE"""),"LENOVO IDEA PAD 3 LAPTOP COMPUTER, WIN 10 HOME, INTEL CORE I3 1005G1, 1.2 GHZ BASE UP TO 3.4 GHZ,  4 MB CACHE, 8 GB DDR F MEMORY,  256 GB SSD,  1 TB SATA  HDD,  14"" FULL HD, 1920 X 1080 RESOLUTION, INTEL UHD GRAPHICS,  BUILT IN MICROPHONE ANDS SPEAKERS, "&amp;"802.11 AC WIRELESS BLUETOOTH/USB TO GB ETHERNET ADAPTOR, HDMI CARD READER, 2 X USB  3.2 GEN 1, 1 X USB 2.0, 1 YEAR PARTS AND SERVICE WARRANTY,  BAG, HEADSET WITH MIC; MOUSE WITH PAD")</f>
        <v>LENOVO IDEA PAD 3 LAPTOP COMPUTER, WIN 10 HOME, INTEL CORE I3 1005G1, 1.2 GHZ BASE UP TO 3.4 GHZ,  4 MB CACHE, 8 GB DDR F MEMORY,  256 GB SSD,  1 TB SATA  HDD,  14" FULL HD, 1920 X 1080 RESOLUTION, INTEL UHD GRAPHICS,  BUILT IN MICROPHONE ANDS SPEAKERS, 802.11 AC WIRELESS BLUETOOTH/USB TO GB ETHERNET ADAPTOR, HDMI CARD READER, 2 X USB  3.2 GEN 1, 1 X USB 2.0, 1 YEAR PARTS AND SERVICE WARRANTY,  BAG, HEADSET WITH MIC; MOUSE WITH PAD</v>
      </c>
      <c r="E1741" s="196" t="str">
        <f>IFERROR(__xludf.DUMMYFUNCTION("""COMPUTED_VALUE"""),"APPROVED GADGET LOAN OF EMPLOYEES")</f>
        <v>APPROVED GADGET LOAN OF EMPLOYEES</v>
      </c>
    </row>
    <row r="1742">
      <c r="A1742" s="234">
        <f>IFERROR(__xludf.DUMMYFUNCTION("""COMPUTED_VALUE"""),102033.0)</f>
        <v>102033</v>
      </c>
      <c r="B1742" s="235" t="str">
        <f>IFERROR(__xludf.DUMMYFUNCTION("""COMPUTED_VALUE"""),"PETER JOHN DOMINCIL ")</f>
        <v>PETER JOHN DOMINCIL </v>
      </c>
      <c r="C1742" s="235" t="str">
        <f>IFERROR(__xludf.DUMMYFUNCTION("""COMPUTED_VALUE"""),"AMD")</f>
        <v>AMD</v>
      </c>
      <c r="D1742" s="196" t="str">
        <f>IFERROR(__xludf.DUMMYFUNCTION("""COMPUTED_VALUE"""),"ENVELOPE BROWN LONG, DUCT TAPE")</f>
        <v>ENVELOPE BROWN LONG, DUCT TAPE</v>
      </c>
      <c r="E1742" s="196" t="str">
        <f>IFERROR(__xludf.DUMMYFUNCTION("""COMPUTED_VALUE"""),"FOR STOCK REPLENISHMENT ")</f>
        <v>FOR STOCK REPLENISHMENT </v>
      </c>
    </row>
    <row r="1743">
      <c r="A1743" s="234">
        <f>IFERROR(__xludf.DUMMYFUNCTION("""COMPUTED_VALUE"""),102034.0)</f>
        <v>102034</v>
      </c>
      <c r="B1743" s="235" t="str">
        <f>IFERROR(__xludf.DUMMYFUNCTION("""COMPUTED_VALUE"""),"OWIE PAR")</f>
        <v>OWIE PAR</v>
      </c>
      <c r="C1743" s="235" t="str">
        <f>IFERROR(__xludf.DUMMYFUNCTION("""COMPUTED_VALUE"""),"ENGINEERING")</f>
        <v>ENGINEERING</v>
      </c>
      <c r="D1743" s="196" t="str">
        <f>IFERROR(__xludf.DUMMYFUNCTION("""COMPUTED_VALUE"""),"BALL VALVE KITZ, PPR MALE ADAPTOR  1 1/4")</f>
        <v>BALL VALVE KITZ, PPR MALE ADAPTOR  1 1/4</v>
      </c>
      <c r="E1743" s="196" t="str">
        <f>IFERROR(__xludf.DUMMYFUNCTION("""COMPUTED_VALUE"""),"ADDT'L MATERIALS FOR MAYNILAD REPIPING ")</f>
        <v>ADDT'L MATERIALS FOR MAYNILAD REPIPING </v>
      </c>
    </row>
    <row r="1744">
      <c r="A1744" s="234">
        <f>IFERROR(__xludf.DUMMYFUNCTION("""COMPUTED_VALUE"""),102035.0)</f>
        <v>102035</v>
      </c>
      <c r="B1744" s="235" t="str">
        <f>IFERROR(__xludf.DUMMYFUNCTION("""COMPUTED_VALUE"""),"JOMEL BUTIAL")</f>
        <v>JOMEL BUTIAL</v>
      </c>
      <c r="C1744" s="235" t="str">
        <f>IFERROR(__xludf.DUMMYFUNCTION("""COMPUTED_VALUE"""),"AMD")</f>
        <v>AMD</v>
      </c>
      <c r="D1744" s="196" t="str">
        <f>IFERROR(__xludf.DUMMYFUNCTION("""COMPUTED_VALUE"""),"REFILLABLE TRODAT SIZE 4910 TEXT-JOMEL BUTIAL (CAPSLOCK;CANDARA BOLD)")</f>
        <v>REFILLABLE TRODAT SIZE 4910 TEXT-JOMEL BUTIAL (CAPSLOCK;CANDARA BOLD)</v>
      </c>
      <c r="E1744" s="196" t="str">
        <f>IFERROR(__xludf.DUMMYFUNCTION("""COMPUTED_VALUE"""),"FOR OFFICE USE ")</f>
        <v>FOR OFFICE USE </v>
      </c>
    </row>
    <row r="1745">
      <c r="A1745" s="234">
        <f>IFERROR(__xludf.DUMMYFUNCTION("""COMPUTED_VALUE"""),102036.0)</f>
        <v>102036</v>
      </c>
      <c r="B1745" s="235" t="str">
        <f>IFERROR(__xludf.DUMMYFUNCTION("""COMPUTED_VALUE"""),"ALFA DE LEON")</f>
        <v>ALFA DE LEON</v>
      </c>
      <c r="C1745" s="235" t="str">
        <f>IFERROR(__xludf.DUMMYFUNCTION("""COMPUTED_VALUE"""),"ADMIN - MUNICH")</f>
        <v>ADMIN - MUNICH</v>
      </c>
      <c r="D1745" s="196" t="str">
        <f>IFERROR(__xludf.DUMMYFUNCTION("""COMPUTED_VALUE"""),"THHN # 12")</f>
        <v>THHN # 12</v>
      </c>
      <c r="E1745" s="196" t="str">
        <f>IFERROR(__xludf.DUMMYFUNCTION("""COMPUTED_VALUE"""),"FOR WATER PUMP CONNECTION")</f>
        <v>FOR WATER PUMP CONNECTION</v>
      </c>
    </row>
    <row r="1746">
      <c r="A1746" s="234">
        <f>IFERROR(__xludf.DUMMYFUNCTION("""COMPUTED_VALUE"""),102037.0)</f>
        <v>102037</v>
      </c>
      <c r="B1746" s="235" t="str">
        <f>IFERROR(__xludf.DUMMYFUNCTION("""COMPUTED_VALUE"""),"ALFA DE LEON")</f>
        <v>ALFA DE LEON</v>
      </c>
      <c r="C1746" s="235" t="str">
        <f>IFERROR(__xludf.DUMMYFUNCTION("""COMPUTED_VALUE"""),"ADMIN - MUNICH")</f>
        <v>ADMIN - MUNICH</v>
      </c>
      <c r="D1746" s="196" t="str">
        <f>IFERROR(__xludf.DUMMYFUNCTION("""COMPUTED_VALUE"""),"BAGUIO GREEN PAINTS ")</f>
        <v>BAGUIO GREEN PAINTS </v>
      </c>
      <c r="E1746" s="196" t="str">
        <f>IFERROR(__xludf.DUMMYFUNCTION("""COMPUTED_VALUE"""),"FOR PLANT BOX IN COLLEGE AND TROPICAL ")</f>
        <v>FOR PLANT BOX IN COLLEGE AND TROPICAL </v>
      </c>
    </row>
    <row r="1747">
      <c r="A1747" s="234">
        <f>IFERROR(__xludf.DUMMYFUNCTION("""COMPUTED_VALUE"""),102038.0)</f>
        <v>102038</v>
      </c>
      <c r="B1747" s="235" t="str">
        <f>IFERROR(__xludf.DUMMYFUNCTION("""COMPUTED_VALUE"""),"JOMEL BUTIAL")</f>
        <v>JOMEL BUTIAL</v>
      </c>
      <c r="C1747" s="235" t="str">
        <f>IFERROR(__xludf.DUMMYFUNCTION("""COMPUTED_VALUE"""),"AMD")</f>
        <v>AMD</v>
      </c>
      <c r="D1747" s="196" t="str">
        <f>IFERROR(__xludf.DUMMYFUNCTION("""COMPUTED_VALUE"""),"SPATULA SMALL 8 PCS")</f>
        <v>SPATULA SMALL 8 PCS</v>
      </c>
      <c r="E1747" s="196" t="str">
        <f>IFERROR(__xludf.DUMMYFUNCTION("""COMPUTED_VALUE"""),"HOUSEKEEPING REPLENISHMENT")</f>
        <v>HOUSEKEEPING REPLENISHMENT</v>
      </c>
    </row>
    <row r="1748">
      <c r="A1748" s="234">
        <f>IFERROR(__xludf.DUMMYFUNCTION("""COMPUTED_VALUE"""),102039.0)</f>
        <v>102039</v>
      </c>
      <c r="B1748" s="235" t="str">
        <f>IFERROR(__xludf.DUMMYFUNCTION("""COMPUTED_VALUE"""),"ARJAY ALMANZOR ")</f>
        <v>ARJAY ALMANZOR </v>
      </c>
      <c r="C1748" s="235" t="str">
        <f>IFERROR(__xludf.DUMMYFUNCTION("""COMPUTED_VALUE"""),"MIS ")</f>
        <v>MIS </v>
      </c>
      <c r="D1748" s="196" t="str">
        <f>IFERROR(__xludf.DUMMYFUNCTION("""COMPUTED_VALUE"""),"SOFTWARE DEVELOPMENT: OAUTH DEVELOPMENT FOR SSO IN OPENSIS ")</f>
        <v>SOFTWARE DEVELOPMENT: OAUTH DEVELOPMENT FOR SSO IN OPENSIS </v>
      </c>
      <c r="E1748" s="196" t="str">
        <f>IFERROR(__xludf.DUMMYFUNCTION("""COMPUTED_VALUE"""),"FOR OAUTH DEVELOPMENT FOR SSO IN OPEN SIS ")</f>
        <v>FOR OAUTH DEVELOPMENT FOR SSO IN OPEN SIS </v>
      </c>
    </row>
    <row r="1749">
      <c r="A1749" s="234">
        <f>IFERROR(__xludf.DUMMYFUNCTION("""COMPUTED_VALUE"""),102040.0)</f>
        <v>102040</v>
      </c>
      <c r="B1749" s="235" t="str">
        <f>IFERROR(__xludf.DUMMYFUNCTION("""COMPUTED_VALUE"""),"PETER JAY DOMINCIL ")</f>
        <v>PETER JAY DOMINCIL </v>
      </c>
      <c r="C1749" s="235" t="str">
        <f>IFERROR(__xludf.DUMMYFUNCTION("""COMPUTED_VALUE"""),"AMD ")</f>
        <v>AMD </v>
      </c>
      <c r="D1749" s="196" t="str">
        <f>IFERROR(__xludf.DUMMYFUNCTION("""COMPUTED_VALUE"""),"PLASTIC FOR ID WITH SEAL 10X5")</f>
        <v>PLASTIC FOR ID WITH SEAL 10X5</v>
      </c>
      <c r="E1749" s="196" t="str">
        <f>IFERROR(__xludf.DUMMYFUNCTION("""COMPUTED_VALUE"""),"FOR STUDENT IDs")</f>
        <v>FOR STUDENT IDs</v>
      </c>
    </row>
    <row r="1750">
      <c r="A1750" s="234">
        <f>IFERROR(__xludf.DUMMYFUNCTION("""COMPUTED_VALUE"""),102041.0)</f>
        <v>102041</v>
      </c>
      <c r="B1750" s="235" t="str">
        <f>IFERROR(__xludf.DUMMYFUNCTION("""COMPUTED_VALUE"""),"JOHN CARLO CAMPIT")</f>
        <v>JOHN CARLO CAMPIT</v>
      </c>
      <c r="C1750" s="235" t="str">
        <f>IFERROR(__xludf.DUMMYFUNCTION("""COMPUTED_VALUE"""),"PURCHASING")</f>
        <v>PURCHASING</v>
      </c>
      <c r="D1750" s="196" t="str">
        <f>IFERROR(__xludf.DUMMYFUNCTION("""COMPUTED_VALUE"""),"TRODAT SIZE 4910")</f>
        <v>TRODAT SIZE 4910</v>
      </c>
      <c r="E1750" s="196" t="str">
        <f>IFERROR(__xludf.DUMMYFUNCTION("""COMPUTED_VALUE"""),"OFFICE USE")</f>
        <v>OFFICE USE</v>
      </c>
    </row>
    <row r="1751">
      <c r="A1751" s="234">
        <f>IFERROR(__xludf.DUMMYFUNCTION("""COMPUTED_VALUE"""),102042.0)</f>
        <v>102042</v>
      </c>
      <c r="B1751" s="235" t="str">
        <f>IFERROR(__xludf.DUMMYFUNCTION("""COMPUTED_VALUE"""),"ELYDS REYES")</f>
        <v>ELYDS REYES</v>
      </c>
      <c r="C1751" s="235" t="str">
        <f>IFERROR(__xludf.DUMMYFUNCTION("""COMPUTED_VALUE"""),"PR &amp; MARKETING")</f>
        <v>PR &amp; MARKETING</v>
      </c>
      <c r="D1751" s="196" t="str">
        <f>IFERROR(__xludf.DUMMYFUNCTION("""COMPUTED_VALUE"""),"CONGRATULATORY TARP 7x10 FT")</f>
        <v>CONGRATULATORY TARP 7x10 FT</v>
      </c>
      <c r="E1751" s="196" t="str">
        <f>IFERROR(__xludf.DUMMYFUNCTION("""COMPUTED_VALUE"""),"MARKETING ")</f>
        <v>MARKETING </v>
      </c>
    </row>
    <row r="1752">
      <c r="A1752" s="234">
        <f>IFERROR(__xludf.DUMMYFUNCTION("""COMPUTED_VALUE"""),102043.0)</f>
        <v>102043</v>
      </c>
      <c r="B1752" s="235" t="str">
        <f>IFERROR(__xludf.DUMMYFUNCTION("""COMPUTED_VALUE"""),"JOMEL BUTIAL ")</f>
        <v>JOMEL BUTIAL </v>
      </c>
      <c r="C1752" s="235" t="str">
        <f>IFERROR(__xludf.DUMMYFUNCTION("""COMPUTED_VALUE"""),"AMD")</f>
        <v>AMD</v>
      </c>
      <c r="D1752" s="196" t="str">
        <f>IFERROR(__xludf.DUMMYFUNCTION("""COMPUTED_VALUE"""),"INFINIX HOT 10 PLAY (MOBILE PHONE)")</f>
        <v>INFINIX HOT 10 PLAY (MOBILE PHONE)</v>
      </c>
      <c r="E1752" s="196" t="str">
        <f>IFERROR(__xludf.DUMMYFUNCTION("""COMPUTED_VALUE"""),"FOR OFFICE USE, SUPPLIER FOLLOW-UP, INQUIRIES $ CONCERNS,")</f>
        <v>FOR OFFICE USE, SUPPLIER FOLLOW-UP, INQUIRIES $ CONCERNS,</v>
      </c>
    </row>
    <row r="1753">
      <c r="A1753" s="234">
        <f>IFERROR(__xludf.DUMMYFUNCTION("""COMPUTED_VALUE"""),102044.0)</f>
        <v>102044</v>
      </c>
      <c r="B1753" s="235" t="str">
        <f>IFERROR(__xludf.DUMMYFUNCTION("""COMPUTED_VALUE"""),"RONALDO VERDE ")</f>
        <v>RONALDO VERDE </v>
      </c>
      <c r="C1753" s="235" t="str">
        <f>IFERROR(__xludf.DUMMYFUNCTION("""COMPUTED_VALUE"""),"ADMIN")</f>
        <v>ADMIN</v>
      </c>
      <c r="D1753" s="196" t="str">
        <f>IFERROR(__xludf.DUMMYFUNCTION("""COMPUTED_VALUE"""),"ROOF GUARD (GREEN), 1/4""MARINE PLYWOOD, FLAT WALL ENAMEL, PAINT THINNER,POLYTUFF WITH HARDINER, 2X2X10 S4S KD, RED OXIDE, PAINT THINNER, SUMMER BEIGE, GLASS SEALANT, VULCASEAL, BOSNY SEALANT, RIB TYPE 6FEET, CORRUGATED 12FT. # 24, GUTTER, 1/4"" MARINE PL"&amp;"YWOOD, 2X2X10S4S KD, CW NAIL 1"", CW NAIL 2"", CW NAIL 3"", FLAT WALL ENAMEL, PAINT THINNER, POLYTUFF W/HARDINER, SUMMER BEIGE, GLAZING PUTTY, SANDING PAPER, 4"" ROLLER (COTTON), 1 1/2"" PAINT BRUSH, SUMMER BEIGE")</f>
        <v>ROOF GUARD (GREEN), 1/4"MARINE PLYWOOD, FLAT WALL ENAMEL, PAINT THINNER,POLYTUFF WITH HARDINER, 2X2X10 S4S KD, RED OXIDE, PAINT THINNER, SUMMER BEIGE, GLASS SEALANT, VULCASEAL, BOSNY SEALANT, RIB TYPE 6FEET, CORRUGATED 12FT. # 24, GUTTER, 1/4" MARINE PLYWOOD, 2X2X10S4S KD, CW NAIL 1", CW NAIL 2", CW NAIL 3", FLAT WALL ENAMEL, PAINT THINNER, POLYTUFF W/HARDINER, SUMMER BEIGE, GLAZING PUTTY, SANDING PAPER, 4" ROLLER (COTTON), 1 1/2" PAINT BRUSH, SUMMER BEIGE</v>
      </c>
      <c r="E1753" s="196" t="str">
        <f>IFERROR(__xludf.DUMMYFUNCTION("""COMPUTED_VALUE"""),"SISC REPAIRS ")</f>
        <v>SISC REPAIRS </v>
      </c>
    </row>
    <row r="1754">
      <c r="A1754" s="234">
        <f>IFERROR(__xludf.DUMMYFUNCTION("""COMPUTED_VALUE"""),102045.0)</f>
        <v>102045</v>
      </c>
      <c r="B1754" s="235" t="str">
        <f>IFERROR(__xludf.DUMMYFUNCTION("""COMPUTED_VALUE"""),"OWIE PAR/RONALDO VERDE")</f>
        <v>OWIE PAR/RONALDO VERDE</v>
      </c>
      <c r="C1754" s="235" t="str">
        <f>IFERROR(__xludf.DUMMYFUNCTION("""COMPUTED_VALUE"""),"ADMIN")</f>
        <v>ADMIN</v>
      </c>
      <c r="D1754" s="196" t="str">
        <f>IFERROR(__xludf.DUMMYFUNCTION("""COMPUTED_VALUE"""),"ROOF MATS (RIBTYPE), BOYSEN CHOCO BROWN, PAINT THINNER , ROLLER 4"" (COTTON), BOYSEN SUMMER BEIGE,")</f>
        <v>ROOF MATS (RIBTYPE), BOYSEN CHOCO BROWN, PAINT THINNER , ROLLER 4" (COTTON), BOYSEN SUMMER BEIGE,</v>
      </c>
      <c r="E1754" s="196" t="str">
        <f>IFERROR(__xludf.DUMMYFUNCTION("""COMPUTED_VALUE"""),"ROOF REPLACEMENT OF LUX WALKWAY")</f>
        <v>ROOF REPLACEMENT OF LUX WALKWAY</v>
      </c>
    </row>
    <row r="1755">
      <c r="A1755" s="234">
        <f>IFERROR(__xludf.DUMMYFUNCTION("""COMPUTED_VALUE"""),102046.0)</f>
        <v>102046</v>
      </c>
      <c r="B1755" s="235" t="str">
        <f>IFERROR(__xludf.DUMMYFUNCTION("""COMPUTED_VALUE"""),"LUCILLE BEYER")</f>
        <v>LUCILLE BEYER</v>
      </c>
      <c r="C1755" s="235" t="str">
        <f>IFERROR(__xludf.DUMMYFUNCTION("""COMPUTED_VALUE"""),"MEDICAL")</f>
        <v>MEDICAL</v>
      </c>
      <c r="D1755" s="196" t="str">
        <f>IFERROR(__xludf.DUMMYFUNCTION("""COMPUTED_VALUE"""),"Rapid Test Kit (Viva Diag Pro)")</f>
        <v>Rapid Test Kit (Viva Diag Pro)</v>
      </c>
      <c r="E1755" s="196" t="str">
        <f>IFERROR(__xludf.DUMMYFUNCTION("""COMPUTED_VALUE"""),"To replenish test kits/ for additional stocks")</f>
        <v>To replenish test kits/ for additional stocks</v>
      </c>
    </row>
    <row r="1756">
      <c r="A1756" s="234">
        <f>IFERROR(__xludf.DUMMYFUNCTION("""COMPUTED_VALUE"""),102047.0)</f>
        <v>102047</v>
      </c>
      <c r="B1756" s="235" t="str">
        <f>IFERROR(__xludf.DUMMYFUNCTION("""COMPUTED_VALUE"""),"MELISSA ODOÑO")</f>
        <v>MELISSA ODOÑO</v>
      </c>
      <c r="C1756" s="235" t="str">
        <f>IFERROR(__xludf.DUMMYFUNCTION("""COMPUTED_VALUE"""),"LIBRARY MUNICH")</f>
        <v>LIBRARY MUNICH</v>
      </c>
      <c r="D1756" s="196" t="str">
        <f>IFERROR(__xludf.DUMMYFUNCTION("""COMPUTED_VALUE"""),"Oxford IB Diploma Programme: IB Economics Print and Enhanced Online Course Book Pack, Core computer science : for the IB Diploma Program (International Baccalaureate), Easy steps to Chinese. 1.Workbook =Qing song xue zhong wen.di 1ce,Lian xi ce (Easy Step"&amp;"s To Chinese-Workbooks, Book 1) Easy steps to Chinese. 2.Workbook =Qing song xue zhong wen.Di 2ce,Lian xi ce (Easy Steps To Chinese-Workbooks, Book 2),Easy steps to Chinese. 3,Textbook =Qing song xue zhong wen.3,Textbook")</f>
        <v>Oxford IB Diploma Programme: IB Economics Print and Enhanced Online Course Book Pack, Core computer science : for the IB Diploma Program (International Baccalaureate), Easy steps to Chinese. 1.Workbook =Qing song xue zhong wen.di 1ce,Lian xi ce (Easy Steps To Chinese-Workbooks, Book 1) Easy steps to Chinese. 2.Workbook =Qing song xue zhong wen.Di 2ce,Lian xi ce (Easy Steps To Chinese-Workbooks, Book 2),Easy steps to Chinese. 3,Textbook =Qing song xue zhong wen.3,Textbook</v>
      </c>
      <c r="E1756" s="196" t="str">
        <f>IFERROR(__xludf.DUMMYFUNCTION("""COMPUTED_VALUE"""),"LIBRARY'S COPY AY 2020-2021 FOR IB FACULTY USE")</f>
        <v>LIBRARY'S COPY AY 2020-2021 FOR IB FACULTY USE</v>
      </c>
    </row>
    <row r="1757">
      <c r="A1757" s="234">
        <f>IFERROR(__xludf.DUMMYFUNCTION("""COMPUTED_VALUE"""),102048.0)</f>
        <v>102048</v>
      </c>
      <c r="B1757" s="235" t="str">
        <f>IFERROR(__xludf.DUMMYFUNCTION("""COMPUTED_VALUE"""),"MARINEL MARTINEZ")</f>
        <v>MARINEL MARTINEZ</v>
      </c>
      <c r="C1757" s="235" t="str">
        <f>IFERROR(__xludf.DUMMYFUNCTION("""COMPUTED_VALUE"""),"FINANCE &amp; ACCOUNTING")</f>
        <v>FINANCE &amp; ACCOUNTING</v>
      </c>
      <c r="D1757" s="196" t="str">
        <f>IFERROR(__xludf.DUMMYFUNCTION("""COMPUTED_VALUE"""),"MAGAZINE BOX BLACK 162 PCS")</f>
        <v>MAGAZINE BOX BLACK 162 PCS</v>
      </c>
      <c r="E1757" s="196" t="str">
        <f>IFERROR(__xludf.DUMMYFUNCTION("""COMPUTED_VALUE"""),"FOR FILLING STUDENTS 201")</f>
        <v>FOR FILLING STUDENTS 201</v>
      </c>
    </row>
    <row r="1758">
      <c r="A1758" s="234">
        <f>IFERROR(__xludf.DUMMYFUNCTION("""COMPUTED_VALUE"""),102049.0)</f>
        <v>102049</v>
      </c>
      <c r="B1758" s="235" t="str">
        <f>IFERROR(__xludf.DUMMYFUNCTION("""COMPUTED_VALUE"""),"PETER JOHN DOMINICIL")</f>
        <v>PETER JOHN DOMINICIL</v>
      </c>
      <c r="C1758" s="235" t="str">
        <f>IFERROR(__xludf.DUMMYFUNCTION("""COMPUTED_VALUE"""),"AMD")</f>
        <v>AMD</v>
      </c>
      <c r="D1758" s="196" t="str">
        <f>IFERROR(__xludf.DUMMYFUNCTION("""COMPUTED_VALUE"""),"RJ45 CONNECTOR (COMSCOPE CATSE) ")</f>
        <v>RJ45 CONNECTOR (COMSCOPE CATSE) </v>
      </c>
      <c r="E1758" s="196" t="str">
        <f>IFERROR(__xludf.DUMMYFUNCTION("""COMPUTED_VALUE"""),"FOR MIS SUPPLIES STOCK REPLENISHMENT")</f>
        <v>FOR MIS SUPPLIES STOCK REPLENISHMENT</v>
      </c>
    </row>
    <row r="1759">
      <c r="A1759" s="234">
        <f>IFERROR(__xludf.DUMMYFUNCTION("""COMPUTED_VALUE"""),102050.0)</f>
        <v>102050</v>
      </c>
      <c r="B1759" s="235" t="str">
        <f>IFERROR(__xludf.DUMMYFUNCTION("""COMPUTED_VALUE"""),"PETER JOHN DOMINICIL")</f>
        <v>PETER JOHN DOMINICIL</v>
      </c>
      <c r="C1759" s="235" t="str">
        <f>IFERROR(__xludf.DUMMYFUNCTION("""COMPUTED_VALUE"""),"AMD")</f>
        <v>AMD</v>
      </c>
      <c r="D1759" s="196" t="str">
        <f>IFERROR(__xludf.DUMMYFUNCTION("""COMPUTED_VALUE"""),"PAPER, LASER SUB. 20 SHORT WHITE")</f>
        <v>PAPER, LASER SUB. 20 SHORT WHITE</v>
      </c>
      <c r="E1759" s="196" t="str">
        <f>IFERROR(__xludf.DUMMYFUNCTION("""COMPUTED_VALUE"""),"FOR OFFICE SUPPLIES STOCK REPLENISHMENT")</f>
        <v>FOR OFFICE SUPPLIES STOCK REPLENISHMENT</v>
      </c>
    </row>
    <row r="1760">
      <c r="A1760" s="234">
        <f>IFERROR(__xludf.DUMMYFUNCTION("""COMPUTED_VALUE"""),102051.0)</f>
        <v>102051</v>
      </c>
      <c r="B1760" s="235" t="str">
        <f>IFERROR(__xludf.DUMMYFUNCTION("""COMPUTED_VALUE"""),"SHEREE ESPINOSA")</f>
        <v>SHEREE ESPINOSA</v>
      </c>
      <c r="C1760" s="235" t="str">
        <f>IFERROR(__xludf.DUMMYFUNCTION("""COMPUTED_VALUE"""),"ADMIN")</f>
        <v>ADMIN</v>
      </c>
      <c r="D1760" s="196" t="str">
        <f>IFERROR(__xludf.DUMMYFUNCTION("""COMPUTED_VALUE"""),"HAND SANITIZER (REORDER)")</f>
        <v>HAND SANITIZER (REORDER)</v>
      </c>
      <c r="E1760" s="196" t="str">
        <f>IFERROR(__xludf.DUMMYFUNCTION("""COMPUTED_VALUE"""),"FOR ALL CAMPUS USE (SANITIZING;REFILL)")</f>
        <v>FOR ALL CAMPUS USE (SANITIZING;REFILL)</v>
      </c>
    </row>
    <row r="1761">
      <c r="A1761" s="234">
        <f>IFERROR(__xludf.DUMMYFUNCTION("""COMPUTED_VALUE"""),102052.0)</f>
        <v>102052</v>
      </c>
      <c r="B1761" s="235" t="str">
        <f>IFERROR(__xludf.DUMMYFUNCTION("""COMPUTED_VALUE"""),"PJ DOMINCIL ")</f>
        <v>PJ DOMINCIL </v>
      </c>
      <c r="C1761" s="235" t="str">
        <f>IFERROR(__xludf.DUMMYFUNCTION("""COMPUTED_VALUE"""),"AMD ")</f>
        <v>AMD </v>
      </c>
      <c r="D1761" s="196" t="str">
        <f>IFERROR(__xludf.DUMMYFUNCTION("""COMPUTED_VALUE"""),"VIEWSONIC VA1903a (19"" 1366x768 home and office monitor)")</f>
        <v>VIEWSONIC VA1903a (19" 1366x768 home and office monitor)</v>
      </c>
      <c r="E1761" s="196" t="str">
        <f>IFERROR(__xludf.DUMMYFUNCTION("""COMPUTED_VALUE"""),"FOR REPLENISHMENT OF THE DEFECTIVE MONITOR &amp; MIS SUPP STOCK REPLENISHMENT")</f>
        <v>FOR REPLENISHMENT OF THE DEFECTIVE MONITOR &amp; MIS SUPP STOCK REPLENISHMENT</v>
      </c>
    </row>
    <row r="1762">
      <c r="A1762" s="234">
        <f>IFERROR(__xludf.DUMMYFUNCTION("""COMPUTED_VALUE"""),102053.0)</f>
        <v>102053</v>
      </c>
      <c r="B1762" s="235" t="str">
        <f>IFERROR(__xludf.DUMMYFUNCTION("""COMPUTED_VALUE"""),"ROIE RAYMUNDO")</f>
        <v>ROIE RAYMUNDO</v>
      </c>
      <c r="C1762" s="235" t="str">
        <f>IFERROR(__xludf.DUMMYFUNCTION("""COMPUTED_VALUE"""),"MIS")</f>
        <v>MIS</v>
      </c>
      <c r="D1762" s="196" t="str">
        <f>IFERROR(__xludf.DUMMYFUNCTION("""COMPUTED_VALUE"""),"UC-CK:  UNIFI CLOUD KEY; ACCESS POINT (UBIQUITI) MODEL: A. UAP-AC-PRO B. UAP-AC-EDU")</f>
        <v>UC-CK:  UNIFI CLOUD KEY; ACCESS POINT (UBIQUITI) MODEL: A. UAP-AC-PRO B. UAP-AC-EDU</v>
      </c>
      <c r="E1762" s="196" t="str">
        <f>IFERROR(__xludf.DUMMYFUNCTION("""COMPUTED_VALUE"""),"AS A REPLACEMENT FOR DEFECTIVE CISCO ACCESS POINT")</f>
        <v>AS A REPLACEMENT FOR DEFECTIVE CISCO ACCESS POINT</v>
      </c>
    </row>
    <row r="1763">
      <c r="A1763" s="234">
        <f>IFERROR(__xludf.DUMMYFUNCTION("""COMPUTED_VALUE"""),102054.0)</f>
        <v>102054</v>
      </c>
      <c r="B1763" s="235" t="str">
        <f>IFERROR(__xludf.DUMMYFUNCTION("""COMPUTED_VALUE"""),"OWIE PAR")</f>
        <v>OWIE PAR</v>
      </c>
      <c r="C1763" s="235" t="str">
        <f>IFERROR(__xludf.DUMMYFUNCTION("""COMPUTED_VALUE"""),"ENGINEERING")</f>
        <v>ENGINEERING</v>
      </c>
      <c r="D1763" s="196" t="str">
        <f>IFERROR(__xludf.DUMMYFUNCTION("""COMPUTED_VALUE"""),"G1 TUBULAR BAR 2X2X4, C PURLIN 2X2X4, WELDING ROD SPECIAL, EPOXY PRIMER GRAY, LACQUER THINNER, PAINT BRUSH # 1 1/2 HI-TECH, Q.D.E CHOCOLATE BROWN, PAINT THINNER, TEXTSCREW METAL #2, CUTTING DISC #4,ROUND BAR 16MM, TURN BUCKLE # 12, PLAIN SHEET NO. 20X4X8,"&amp;" DRILL BIT METAL 1/8"", WELDING GLOVES, WELDING HANDLE, RIB TYPE ROOF 300CM")</f>
        <v>G1 TUBULAR BAR 2X2X4, C PURLIN 2X2X4, WELDING ROD SPECIAL, EPOXY PRIMER GRAY, LACQUER THINNER, PAINT BRUSH # 1 1/2 HI-TECH, Q.D.E CHOCOLATE BROWN, PAINT THINNER, TEXTSCREW METAL #2, CUTTING DISC #4,ROUND BAR 16MM, TURN BUCKLE # 12, PLAIN SHEET NO. 20X4X8, DRILL BIT METAL 1/8", WELDING GLOVES, WELDING HANDLE, RIB TYPE ROOF 300CM</v>
      </c>
      <c r="E1763" s="196" t="str">
        <f>IFERROR(__xludf.DUMMYFUNCTION("""COMPUTED_VALUE"""),"FOR ACT REPAIR RENOVATION OF BARN HOUSE ROOF")</f>
        <v>FOR ACT REPAIR RENOVATION OF BARN HOUSE ROOF</v>
      </c>
    </row>
    <row r="1764">
      <c r="A1764" s="234">
        <f>IFERROR(__xludf.DUMMYFUNCTION("""COMPUTED_VALUE"""),102055.0)</f>
        <v>102055</v>
      </c>
      <c r="B1764" s="235" t="str">
        <f>IFERROR(__xludf.DUMMYFUNCTION("""COMPUTED_VALUE"""),"DARWIN DELOS REYES")</f>
        <v>DARWIN DELOS REYES</v>
      </c>
      <c r="C1764" s="235" t="str">
        <f>IFERROR(__xludf.DUMMYFUNCTION("""COMPUTED_VALUE"""),"TAYLOR CENTER (TCPD)")</f>
        <v>TAYLOR CENTER (TCPD)</v>
      </c>
      <c r="D1764" s="196" t="str">
        <f>IFERROR(__xludf.DUMMYFUNCTION("""COMPUTED_VALUE"""),"CALLING CARDS FOR THE FOLLOWING EMPLOYEES: RORY STEPHEN P. MANSBRIDGE; QI MAO ROMUALDO; ENGR. PETER JAMES AGADA")</f>
        <v>CALLING CARDS FOR THE FOLLOWING EMPLOYEES: RORY STEPHEN P. MANSBRIDGE; QI MAO ROMUALDO; ENGR. PETER JAMES AGADA</v>
      </c>
      <c r="E1764" s="196" t="str">
        <f>IFERROR(__xludf.DUMMYFUNCTION("""COMPUTED_VALUE"""),"CALLING CARDS FOR THE INTERNATIONAL EMPLOYEES")</f>
        <v>CALLING CARDS FOR THE INTERNATIONAL EMPLOYEES</v>
      </c>
    </row>
    <row r="1765">
      <c r="A1765" s="234">
        <f>IFERROR(__xludf.DUMMYFUNCTION("""COMPUTED_VALUE"""),102056.0)</f>
        <v>102056</v>
      </c>
      <c r="B1765" s="235" t="str">
        <f>IFERROR(__xludf.DUMMYFUNCTION("""COMPUTED_VALUE"""),"PETER JOHN DOMINCIL ")</f>
        <v>PETER JOHN DOMINCIL </v>
      </c>
      <c r="C1765" s="235" t="str">
        <f>IFERROR(__xludf.DUMMYFUNCTION("""COMPUTED_VALUE"""),"AMD")</f>
        <v>AMD</v>
      </c>
      <c r="D1765" s="196" t="str">
        <f>IFERROR(__xludf.DUMMYFUNCTION("""COMPUTED_VALUE"""),"BALLPEN, DONG-A GEL BLACK 0.50, BALLPEN, PANDA BLUE")</f>
        <v>BALLPEN, DONG-A GEL BLACK 0.50, BALLPEN, PANDA BLUE</v>
      </c>
      <c r="E1765" s="196" t="str">
        <f>IFERROR(__xludf.DUMMYFUNCTION("""COMPUTED_VALUE"""),"FOR OFFICE SUPPLY STOCK REPLENISHMENT ")</f>
        <v>FOR OFFICE SUPPLY STOCK REPLENISHMENT </v>
      </c>
    </row>
    <row r="1766">
      <c r="A1766" s="234">
        <f>IFERROR(__xludf.DUMMYFUNCTION("""COMPUTED_VALUE"""),102057.0)</f>
        <v>102057</v>
      </c>
      <c r="B1766" s="235" t="str">
        <f>IFERROR(__xludf.DUMMYFUNCTION("""COMPUTED_VALUE"""),"CARLITO DELA VEGA")</f>
        <v>CARLITO DELA VEGA</v>
      </c>
      <c r="C1766" s="235" t="str">
        <f>IFERROR(__xludf.DUMMYFUNCTION("""COMPUTED_VALUE"""),"SECURITY")</f>
        <v>SECURITY</v>
      </c>
      <c r="D1766" s="196" t="str">
        <f>IFERROR(__xludf.DUMMYFUNCTION("""COMPUTED_VALUE"""),"BIG UMBRELLA WITH WIND BREAKER DARK GREEN/ BLACK) WITH SISC LOGO PRINTED 45 PCS")</f>
        <v>BIG UMBRELLA WITH WIND BREAKER DARK GREEN/ BLACK) WITH SISC LOGO PRINTED 45 PCS</v>
      </c>
      <c r="E1766" s="196" t="str">
        <f>IFERROR(__xludf.DUMMYFUNCTION("""COMPUTED_VALUE"""),"FOR GATE USE; VEHICLES")</f>
        <v>FOR GATE USE; VEHICLES</v>
      </c>
    </row>
    <row r="1767">
      <c r="A1767" s="234">
        <f>IFERROR(__xludf.DUMMYFUNCTION("""COMPUTED_VALUE"""),102058.0)</f>
        <v>102058</v>
      </c>
      <c r="B1767" s="235" t="str">
        <f>IFERROR(__xludf.DUMMYFUNCTION("""COMPUTED_VALUE"""),"PETER JOHN DOMINCIL ")</f>
        <v>PETER JOHN DOMINCIL </v>
      </c>
      <c r="C1767" s="235" t="str">
        <f>IFERROR(__xludf.DUMMYFUNCTION("""COMPUTED_VALUE"""),"AMD")</f>
        <v>AMD</v>
      </c>
      <c r="D1767" s="196" t="str">
        <f>IFERROR(__xludf.DUMMYFUNCTION("""COMPUTED_VALUE"""),"LANYARD, SISC PRINT WITH ID PROTECTOR LANDSCAPE (NEW LOGO) 20 CM")</f>
        <v>LANYARD, SISC PRINT WITH ID PROTECTOR LANDSCAPE (NEW LOGO) 20 CM</v>
      </c>
      <c r="E1767" s="196" t="str">
        <f>IFERROR(__xludf.DUMMYFUNCTION("""COMPUTED_VALUE"""),"FOR STUDENT ID")</f>
        <v>FOR STUDENT ID</v>
      </c>
    </row>
    <row r="1768">
      <c r="A1768" s="234">
        <f>IFERROR(__xludf.DUMMYFUNCTION("""COMPUTED_VALUE"""),102059.0)</f>
        <v>102059</v>
      </c>
      <c r="B1768" s="235" t="str">
        <f>IFERROR(__xludf.DUMMYFUNCTION("""COMPUTED_VALUE"""),"CAROL LACERNA / LORIE PAGUIA")</f>
        <v>CAROL LACERNA / LORIE PAGUIA</v>
      </c>
      <c r="C1768" s="235" t="str">
        <f>IFERROR(__xludf.DUMMYFUNCTION("""COMPUTED_VALUE"""),"STUFFSHOP")</f>
        <v>STUFFSHOP</v>
      </c>
      <c r="D1768" s="196" t="str">
        <f>IFERROR(__xludf.DUMMYFUNCTION("""COMPUTED_VALUE"""),"CPU:  Intel core 13-1010100 Quadcore 8GB ram 1TB HDD, Monitor, AOC M2470SWH 26.6IN 1920x1080 Monitor VGA HDMI DP VESA , Kingston 8GB single DDR4 2666 MHZ KVR26N19S8/8    KVR26N19S6/8,   Western Digital WD Green 2400GB M.2 SSD 3D NAND WDS 2.40 G2GOB,  Logi"&amp;"tech C270 Plug and Play HD 720P video cam   Webcam ")</f>
        <v>CPU:  Intel core 13-1010100 Quadcore 8GB ram 1TB HDD, Monitor, AOC M2470SWH 26.6IN 1920x1080 Monitor VGA HDMI DP VESA , Kingston 8GB single DDR4 2666 MHZ KVR26N19S8/8    KVR26N19S6/8,   Western Digital WD Green 2400GB M.2 SSD 3D NAND WDS 2.40 G2GOB,  Logitech C270 Plug and Play HD 720P video cam   Webcam </v>
      </c>
      <c r="E1768" s="196" t="str">
        <f>IFERROR(__xludf.DUMMYFUNCTION("""COMPUTED_VALUE"""),"APPROVED GADGET LOAN OF EMPLOYEE (FOR MISS LORIE PAGUIA)")</f>
        <v>APPROVED GADGET LOAN OF EMPLOYEE (FOR MISS LORIE PAGUIA)</v>
      </c>
    </row>
    <row r="1769">
      <c r="A1769" s="234">
        <f>IFERROR(__xludf.DUMMYFUNCTION("""COMPUTED_VALUE"""),102060.0)</f>
        <v>102060</v>
      </c>
      <c r="B1769" s="235" t="str">
        <f>IFERROR(__xludf.DUMMYFUNCTION("""COMPUTED_VALUE"""),"Jaqueline Samsona/ Jeremiah Tirol")</f>
        <v>Jaqueline Samsona/ Jeremiah Tirol</v>
      </c>
      <c r="C1769" s="235" t="str">
        <f>IFERROR(__xludf.DUMMYFUNCTION("""COMPUTED_VALUE"""),"SCIENCE LAB COLLEGE")</f>
        <v>SCIENCE LAB COLLEGE</v>
      </c>
      <c r="D1769" s="196" t="str">
        <f>IFERROR(__xludf.DUMMYFUNCTION("""COMPUTED_VALUE"""),"Hazmat PPE Set , Biocare ECG-101 ECG Machine strip (50mmx20mm), Pill Crusher/Cutter, Micropore tape 1 inch size ,Practice  Ampule (2mL Sterile Water) ,•        Disposable Gloves (Small) ,Disposable Gloves (Medium), Disposable Gloves (Large), Surgical Mask"&amp;", Oxygen Cannula (Pedia), Oxygen Cannula (Adult), Monobasic Sodium phosphate Dibasic Sodium phosphate (fleet Enema),Oxygen Mask (Pedia), Oxygen Mask(Adult), Sterile Gloves (Size 6.5), One Way Foley Catheter ,Isopropyl Alcohol (70%, Spray Bottle (250 mL), "&amp;"Tourniquet , KY Jelly (5 grams tube), Stethoscope , Sphygmomanometer, Sterile OR Gown, Patient Gowns 
")</f>
        <v>Hazmat PPE Set , Biocare ECG-101 ECG Machine strip (50mmx20mm), Pill Crusher/Cutter, Micropore tape 1 inch size ,Practice  Ampule (2mL Sterile Water) ,•        Disposable Gloves (Small) ,Disposable Gloves (Medium), Disposable Gloves (Large), Surgical Mask, Oxygen Cannula (Pedia), Oxygen Cannula (Adult), Monobasic Sodium phosphate Dibasic Sodium phosphate (fleet Enema),Oxygen Mask (Pedia), Oxygen Mask(Adult), Sterile Gloves (Size 6.5), One Way Foley Catheter ,Isopropyl Alcohol (70%, Spray Bottle (250 mL), Tourniquet , KY Jelly (5 grams tube), Stethoscope , Sphygmomanometer, Sterile OR Gown, Patient Gowns 
</v>
      </c>
      <c r="E1769" s="196" t="str">
        <f>IFERROR(__xludf.DUMMYFUNCTION("""COMPUTED_VALUE"""),"preparation for face to face of Nursing students")</f>
        <v>preparation for face to face of Nursing students</v>
      </c>
    </row>
    <row r="1770">
      <c r="A1770" s="234">
        <f>IFERROR(__xludf.DUMMYFUNCTION("""COMPUTED_VALUE"""),102061.0)</f>
        <v>102061</v>
      </c>
      <c r="B1770" s="235" t="str">
        <f>IFERROR(__xludf.DUMMYFUNCTION("""COMPUTED_VALUE"""),"ALFA DE LEON")</f>
        <v>ALFA DE LEON</v>
      </c>
      <c r="C1770" s="235" t="str">
        <f>IFERROR(__xludf.DUMMYFUNCTION("""COMPUTED_VALUE"""),"LANDSCAPING")</f>
        <v>LANDSCAPING</v>
      </c>
      <c r="D1770" s="196" t="str">
        <f>IFERROR(__xludf.DUMMYFUNCTION("""COMPUTED_VALUE"""),"FURUDAN, KARATE INSECTICIDES")</f>
        <v>FURUDAN, KARATE INSECTICIDES</v>
      </c>
      <c r="E1770" s="196" t="str">
        <f>IFERROR(__xludf.DUMMYFUNCTION("""COMPUTED_VALUE"""),"GARDEN PLANT MAINTENANCE FOR LUX AND TROPICAL ")</f>
        <v>GARDEN PLANT MAINTENANCE FOR LUX AND TROPICAL </v>
      </c>
    </row>
    <row r="1771">
      <c r="A1771" s="234">
        <f>IFERROR(__xludf.DUMMYFUNCTION("""COMPUTED_VALUE"""),102062.0)</f>
        <v>102062</v>
      </c>
      <c r="B1771" s="235" t="str">
        <f>IFERROR(__xludf.DUMMYFUNCTION("""COMPUTED_VALUE"""),"ELYDIA REYES ")</f>
        <v>ELYDIA REYES </v>
      </c>
      <c r="C1771" s="235" t="str">
        <f>IFERROR(__xludf.DUMMYFUNCTION("""COMPUTED_VALUE"""),"PR &amp; MARKETING")</f>
        <v>PR &amp; MARKETING</v>
      </c>
      <c r="D1771" s="196" t="str">
        <f>IFERROR(__xludf.DUMMYFUNCTION("""COMPUTED_VALUE"""),"STAR CAMPUS TARP 10FT. X 16.4 FT ")</f>
        <v>STAR CAMPUS TARP 10FT. X 16.4 FT </v>
      </c>
      <c r="E1771" s="196" t="str">
        <f>IFERROR(__xludf.DUMMYFUNCTION("""COMPUTED_VALUE"""),"FOR MARKETING ")</f>
        <v>FOR MARKETING </v>
      </c>
    </row>
    <row r="1772">
      <c r="A1772" s="234">
        <f>IFERROR(__xludf.DUMMYFUNCTION("""COMPUTED_VALUE"""),102063.0)</f>
        <v>102063</v>
      </c>
      <c r="B1772" s="235" t="str">
        <f>IFERROR(__xludf.DUMMYFUNCTION("""COMPUTED_VALUE"""),"JOMEL BUTIAL")</f>
        <v>JOMEL BUTIAL</v>
      </c>
      <c r="C1772" s="235" t="str">
        <f>IFERROR(__xludf.DUMMYFUNCTION("""COMPUTED_VALUE"""),"AMD")</f>
        <v>AMD</v>
      </c>
      <c r="D1772" s="196" t="str">
        <f>IFERROR(__xludf.DUMMYFUNCTION("""COMPUTED_VALUE"""),"RAINBOOTS BLACK 18 PCS; SCOTCH BRITE 170 PCS; TRASHBAG LARGE (26""X 32"") CLEAR 15 PCS, TRASHBAG SMALL (18""X 18"")CLEAR 30 PCS; ALCOHOL GALLONS 70% ISOPROPYL 20 PCS;")</f>
        <v>RAINBOOTS BLACK 18 PCS; SCOTCH BRITE 170 PCS; TRASHBAG LARGE (26"X 32") CLEAR 15 PCS, TRASHBAG SMALL (18"X 18")CLEAR 30 PCS; ALCOHOL GALLONS 70% ISOPROPYL 20 PCS;</v>
      </c>
      <c r="E1772" s="196" t="str">
        <f>IFERROR(__xludf.DUMMYFUNCTION("""COMPUTED_VALUE"""),"HOUSEKEEPING REPLENISHMENT FOR THE MONTH OF SEPTEMBER 2021")</f>
        <v>HOUSEKEEPING REPLENISHMENT FOR THE MONTH OF SEPTEMBER 2021</v>
      </c>
    </row>
    <row r="1773">
      <c r="A1773" s="234">
        <f>IFERROR(__xludf.DUMMYFUNCTION("""COMPUTED_VALUE"""),102064.0)</f>
        <v>102064</v>
      </c>
      <c r="B1773" s="235" t="str">
        <f>IFERROR(__xludf.DUMMYFUNCTION("""COMPUTED_VALUE"""),"ROIE  RAYMUNDO ")</f>
        <v>ROIE  RAYMUNDO </v>
      </c>
      <c r="C1773" s="235" t="str">
        <f>IFERROR(__xludf.DUMMYFUNCTION("""COMPUTED_VALUE"""),"MIS")</f>
        <v>MIS</v>
      </c>
      <c r="D1773" s="196" t="str">
        <f>IFERROR(__xludf.DUMMYFUNCTION("""COMPUTED_VALUE"""),"SEAGATE BARRACUDA HARDRIVE CAPACITY A. 2TB B.4TB 16 PCS;")</f>
        <v>SEAGATE BARRACUDA HARDRIVE CAPACITY A. 2TB B.4TB 16 PCS;</v>
      </c>
      <c r="E1773" s="196" t="str">
        <f>IFERROR(__xludf.DUMMYFUNCTION("""COMPUTED_VALUE"""),"NEW SET OF HARDRIVES FO BACKUP STORAGE")</f>
        <v>NEW SET OF HARDRIVES FO BACKUP STORAGE</v>
      </c>
    </row>
    <row r="1774">
      <c r="A1774" s="234">
        <f>IFERROR(__xludf.DUMMYFUNCTION("""COMPUTED_VALUE"""),102065.0)</f>
        <v>102065</v>
      </c>
      <c r="B1774" s="235" t="str">
        <f>IFERROR(__xludf.DUMMYFUNCTION("""COMPUTED_VALUE"""),"PETER JOHN DOMINCIL")</f>
        <v>PETER JOHN DOMINCIL</v>
      </c>
      <c r="C1774" s="235" t="str">
        <f>IFERROR(__xludf.DUMMYFUNCTION("""COMPUTED_VALUE"""),"AMD")</f>
        <v>AMD</v>
      </c>
      <c r="D1774" s="196" t="str">
        <f>IFERROR(__xludf.DUMMYFUNCTION("""COMPUTED_VALUE"""),"HDP500 YMCK RIBBON ")</f>
        <v>HDP500 YMCK RIBBON </v>
      </c>
      <c r="E1774" s="196" t="str">
        <f>IFERROR(__xludf.DUMMYFUNCTION("""COMPUTED_VALUE"""),"FOR ID PRINTER HDP5000")</f>
        <v>FOR ID PRINTER HDP5000</v>
      </c>
    </row>
    <row r="1775">
      <c r="A1775" s="234">
        <f>IFERROR(__xludf.DUMMYFUNCTION("""COMPUTED_VALUE"""),102066.0)</f>
        <v>102066</v>
      </c>
      <c r="B1775" s="235" t="str">
        <f>IFERROR(__xludf.DUMMYFUNCTION("""COMPUTED_VALUE"""),"PETER JOHN DOMINCIL")</f>
        <v>PETER JOHN DOMINCIL</v>
      </c>
      <c r="C1775" s="235" t="str">
        <f>IFERROR(__xludf.DUMMYFUNCTION("""COMPUTED_VALUE"""),"AMD")</f>
        <v>AMD</v>
      </c>
      <c r="D1775" s="196" t="str">
        <f>IFERROR(__xludf.DUMMYFUNCTION("""COMPUTED_VALUE"""),"SCISSORS STUDENT 5' MAPED; ERASER MAPED BIG;")</f>
        <v>SCISSORS STUDENT 5' MAPED; ERASER MAPED BIG;</v>
      </c>
      <c r="E1775" s="196" t="str">
        <f>IFERROR(__xludf.DUMMYFUNCTION("""COMPUTED_VALUE"""),"ADDITIONAL STUDENT MATERIALS")</f>
        <v>ADDITIONAL STUDENT MATERIALS</v>
      </c>
    </row>
    <row r="1776">
      <c r="A1776" s="234">
        <f>IFERROR(__xludf.DUMMYFUNCTION("""COMPUTED_VALUE"""),102067.0)</f>
        <v>102067</v>
      </c>
      <c r="B1776" s="235" t="str">
        <f>IFERROR(__xludf.DUMMYFUNCTION("""COMPUTED_VALUE"""),"PETER JOHN DOMINCIL")</f>
        <v>PETER JOHN DOMINCIL</v>
      </c>
      <c r="C1776" s="235" t="str">
        <f>IFERROR(__xludf.DUMMYFUNCTION("""COMPUTED_VALUE"""),"AMD")</f>
        <v>AMD</v>
      </c>
      <c r="D1776" s="196" t="str">
        <f>IFERROR(__xludf.DUMMYFUNCTION("""COMPUTED_VALUE"""),"GLUE, ELMERS 130 GS; SCOTCH TAPE 3M 1""; PEN, COLORED FABER CASTEL 10S; MAP WORLD BIG POLITICAL; RULER, PLASTIC ORION 12"", PAPER CONSTRUCTION ASSTD. COLOR 20 PCS; MARKER PILOT PERMANENT BLACK;")</f>
        <v>GLUE, ELMERS 130 GS; SCOTCH TAPE 3M 1"; PEN, COLORED FABER CASTEL 10S; MAP WORLD BIG POLITICAL; RULER, PLASTIC ORION 12", PAPER CONSTRUCTION ASSTD. COLOR 20 PCS; MARKER PILOT PERMANENT BLACK;</v>
      </c>
      <c r="E1776" s="196" t="str">
        <f>IFERROR(__xludf.DUMMYFUNCTION("""COMPUTED_VALUE"""),"ADDITIONAL STUDENT MATERIALS")</f>
        <v>ADDITIONAL STUDENT MATERIALS</v>
      </c>
    </row>
    <row r="1777">
      <c r="A1777" s="234">
        <f>IFERROR(__xludf.DUMMYFUNCTION("""COMPUTED_VALUE"""),102068.0)</f>
        <v>102068</v>
      </c>
      <c r="B1777" s="235" t="str">
        <f>IFERROR(__xludf.DUMMYFUNCTION("""COMPUTED_VALUE"""),"PETER JOHN DOMINCIL")</f>
        <v>PETER JOHN DOMINCIL</v>
      </c>
      <c r="C1777" s="235" t="str">
        <f>IFERROR(__xludf.DUMMYFUNCTION("""COMPUTED_VALUE"""),"AMD")</f>
        <v>AMD</v>
      </c>
      <c r="D1777" s="196" t="str">
        <f>IFERROR(__xludf.DUMMYFUNCTION("""COMPUTED_VALUE"""),"BOX OF COLOR POSTER PAINT - MIGATEE BRILIANT 20M 12'S; PAPER BEST BUY COLORED ASSORTED 9x11")</f>
        <v>BOX OF COLOR POSTER PAINT - MIGATEE BRILIANT 20M 12'S; PAPER BEST BUY COLORED ASSORTED 9x11</v>
      </c>
      <c r="E1777" s="196" t="str">
        <f>IFERROR(__xludf.DUMMYFUNCTION("""COMPUTED_VALUE"""),"ADDITIONAL STUDENT MATERIALS")</f>
        <v>ADDITIONAL STUDENT MATERIALS</v>
      </c>
    </row>
    <row r="1778">
      <c r="A1778" s="234">
        <f>IFERROR(__xludf.DUMMYFUNCTION("""COMPUTED_VALUE"""),102069.0)</f>
        <v>102069</v>
      </c>
      <c r="B1778" s="235" t="str">
        <f>IFERROR(__xludf.DUMMYFUNCTION("""COMPUTED_VALUE"""),"PETER JOHN DOMINCIL")</f>
        <v>PETER JOHN DOMINCIL</v>
      </c>
      <c r="C1778" s="235" t="str">
        <f>IFERROR(__xludf.DUMMYFUNCTION("""COMPUTED_VALUE"""),"AMD")</f>
        <v>AMD</v>
      </c>
      <c r="D1778" s="196" t="str">
        <f>IFERROR(__xludf.DUMMYFUNCTION("""COMPUTED_VALUE"""),"BOX OF CRAYONS- CRAYOLA DOUBLE 16 PCS ")</f>
        <v>BOX OF CRAYONS- CRAYOLA DOUBLE 16 PCS </v>
      </c>
      <c r="E1778" s="196" t="str">
        <f>IFERROR(__xludf.DUMMYFUNCTION("""COMPUTED_VALUE"""),"ADDITIONAL STUDENT MATERIALS")</f>
        <v>ADDITIONAL STUDENT MATERIALS</v>
      </c>
    </row>
    <row r="1779">
      <c r="A1779" s="234">
        <f>IFERROR(__xludf.DUMMYFUNCTION("""COMPUTED_VALUE"""),102070.0)</f>
        <v>102070</v>
      </c>
      <c r="B1779" s="235" t="str">
        <f>IFERROR(__xludf.DUMMYFUNCTION("""COMPUTED_VALUE"""),"JOSEPHINE PETIN/RONALD VERDE")</f>
        <v>JOSEPHINE PETIN/RONALD VERDE</v>
      </c>
      <c r="C1779" s="235" t="str">
        <f>IFERROR(__xludf.DUMMYFUNCTION("""COMPUTED_VALUE"""),"ADMIN - STAR")</f>
        <v>ADMIN - STAR</v>
      </c>
      <c r="D1779" s="196" t="str">
        <f>IFERROR(__xludf.DUMMYFUNCTION("""COMPUTED_VALUE"""),"CORRUGATED SHEET, 2""X4"" TUBULAR, 2""X2"" ANGLE BAR, 3"" TECHSCREW, RED OXIDE, SAMAR BEIGE, ROLLER COTTON, PAINT BRUSH 2"", 2X2X10 S4S KD, GUTTER, BLIND RIVET, VULCASEAL")</f>
        <v>CORRUGATED SHEET, 2"X4" TUBULAR, 2"X2" ANGLE BAR, 3" TECHSCREW, RED OXIDE, SAMAR BEIGE, ROLLER COTTON, PAINT BRUSH 2", 2X2X10 S4S KD, GUTTER, BLIND RIVET, VULCASEAL</v>
      </c>
      <c r="E1779" s="196" t="str">
        <f>IFERROR(__xludf.DUMMYFUNCTION("""COMPUTED_VALUE"""),"MATERIALS NEEDED FOR THE REPAIR IN LV")</f>
        <v>MATERIALS NEEDED FOR THE REPAIR IN LV</v>
      </c>
    </row>
    <row r="1780">
      <c r="A1780" s="234">
        <f>IFERROR(__xludf.DUMMYFUNCTION("""COMPUTED_VALUE"""),102071.0)</f>
        <v>102071</v>
      </c>
      <c r="B1780" s="235" t="str">
        <f>IFERROR(__xludf.DUMMYFUNCTION("""COMPUTED_VALUE"""),"OWIE PAR")</f>
        <v>OWIE PAR</v>
      </c>
      <c r="C1780" s="235" t="str">
        <f>IFERROR(__xludf.DUMMYFUNCTION("""COMPUTED_VALUE"""),"ENGINEERING")</f>
        <v>ENGINEERING</v>
      </c>
      <c r="D1780" s="196" t="str">
        <f>IFERROR(__xludf.DUMMYFUNCTION("""COMPUTED_VALUE"""),"2.0 HP WALL MOUNTED INVERTER ACU")</f>
        <v>2.0 HP WALL MOUNTED INVERTER ACU</v>
      </c>
      <c r="E1780" s="196" t="str">
        <f>IFERROR(__xludf.DUMMYFUNCTION("""COMPUTED_VALUE"""),"FOR ACCOUNTING DEPARTMENT REPLACEMENT ")</f>
        <v>FOR ACCOUNTING DEPARTMENT REPLACEMENT </v>
      </c>
    </row>
    <row r="1781">
      <c r="A1781" s="234">
        <f>IFERROR(__xludf.DUMMYFUNCTION("""COMPUTED_VALUE"""),102072.0)</f>
        <v>102072</v>
      </c>
      <c r="B1781" s="235" t="str">
        <f>IFERROR(__xludf.DUMMYFUNCTION("""COMPUTED_VALUE"""),"OWIE PAR")</f>
        <v>OWIE PAR</v>
      </c>
      <c r="C1781" s="235" t="str">
        <f>IFERROR(__xludf.DUMMYFUNCTION("""COMPUTED_VALUE"""),"ENGINEERING")</f>
        <v>ENGINEERING</v>
      </c>
      <c r="D1781" s="196" t="str">
        <f>IFERROR(__xludf.DUMMYFUNCTION("""COMPUTED_VALUE"""),"2.5 HP PANASONIC INVERTER CEILING CASSETTE ACU")</f>
        <v>2.5 HP PANASONIC INVERTER CEILING CASSETTE ACU</v>
      </c>
      <c r="E1781" s="196" t="str">
        <f>IFERROR(__xludf.DUMMYFUNCTION("""COMPUTED_VALUE"""),"FOR COLLEGE CAPS SERVER ROOM")</f>
        <v>FOR COLLEGE CAPS SERVER ROOM</v>
      </c>
    </row>
    <row r="1782">
      <c r="A1782" s="234">
        <f>IFERROR(__xludf.DUMMYFUNCTION("""COMPUTED_VALUE"""),102073.0)</f>
        <v>102073</v>
      </c>
      <c r="B1782" s="235" t="str">
        <f>IFERROR(__xludf.DUMMYFUNCTION("""COMPUTED_VALUE"""),"MONCHING DELA VINA")</f>
        <v>MONCHING DELA VINA</v>
      </c>
      <c r="C1782" s="235" t="str">
        <f>IFERROR(__xludf.DUMMYFUNCTION("""COMPUTED_VALUE"""),"STUDENT AFFAIRS COLLEGE")</f>
        <v>STUDENT AFFAIRS COLLEGE</v>
      </c>
      <c r="D1782" s="196" t="str">
        <f>IFERROR(__xludf.DUMMYFUNCTION("""COMPUTED_VALUE"""),"SISC COLLEGE YEARBOOK FOR AY 20-21")</f>
        <v>SISC COLLEGE YEARBOOK FOR AY 20-21</v>
      </c>
      <c r="E1782" s="196" t="str">
        <f>IFERROR(__xludf.DUMMYFUNCTION("""COMPUTED_VALUE"""),"COLLEGE YEARBOOK")</f>
        <v>COLLEGE YEARBOOK</v>
      </c>
    </row>
    <row r="1783">
      <c r="A1783" s="234">
        <f>IFERROR(__xludf.DUMMYFUNCTION("""COMPUTED_VALUE"""),102074.0)</f>
        <v>102074</v>
      </c>
      <c r="B1783" s="235" t="str">
        <f>IFERROR(__xludf.DUMMYFUNCTION("""COMPUTED_VALUE"""),"MONCHING DELA VINA")</f>
        <v>MONCHING DELA VINA</v>
      </c>
      <c r="C1783" s="235" t="str">
        <f>IFERROR(__xludf.DUMMYFUNCTION("""COMPUTED_VALUE"""),"STUDENT AFFAIRS COLLEGE")</f>
        <v>STUDENT AFFAIRS COLLEGE</v>
      </c>
      <c r="D1783" s="196" t="str">
        <f>IFERROR(__xludf.DUMMYFUNCTION("""COMPUTED_VALUE"""),"SISC COLLEGE YEARBOOK FOR AY 19-20")</f>
        <v>SISC COLLEGE YEARBOOK FOR AY 19-20</v>
      </c>
      <c r="E1783" s="196" t="str">
        <f>IFERROR(__xludf.DUMMYFUNCTION("""COMPUTED_VALUE"""),"COLLEGE YEARBOOK")</f>
        <v>COLLEGE YEARBOOK</v>
      </c>
    </row>
    <row r="1784">
      <c r="A1784" s="234">
        <f>IFERROR(__xludf.DUMMYFUNCTION("""COMPUTED_VALUE"""),102075.0)</f>
        <v>102075</v>
      </c>
      <c r="B1784" s="235" t="str">
        <f>IFERROR(__xludf.DUMMYFUNCTION("""COMPUTED_VALUE"""),"CAROL LACERNA ")</f>
        <v>CAROL LACERNA </v>
      </c>
      <c r="C1784" s="235" t="str">
        <f>IFERROR(__xludf.DUMMYFUNCTION("""COMPUTED_VALUE"""),"STUFFSHOP")</f>
        <v>STUFFSHOP</v>
      </c>
      <c r="D1784" s="196" t="str">
        <f>IFERROR(__xludf.DUMMYFUNCTION("""COMPUTED_VALUE"""),"Lenovo Tab M8 2nd Gen ,   Processor :MediaTek Helio A22 Tab, quad-core, 2.0GHz,       Operating system:Android™ 9 Pie™,       Display 8″ IPS HD (1280 x 800) LCD, 350nits, 10-point multitouch,  Memory : 2GB/3GB RAM 16GB/32GB ROM Up to 2TB exFAT or 128GB FA"&amp;"T32 microSD card support,       Battery:  5100 mAh (Typical), Up to 18 hours web browsing time*  *Nominal battery capacity provided. Actual capacity for each individual product may vary above or below the nominal battery capacity based on various factors,"&amp;" such as age, discharge rate and temperature of battery,     Audio:  Dolby Audio™-tuned side speaker  Microphone")</f>
        <v>Lenovo Tab M8 2nd Gen ,   Processor :MediaTek Helio A22 Tab, quad-core, 2.0GHz,       Operating system:Android™ 9 Pie™,       Display 8″ IPS HD (1280 x 800) LCD, 350nits, 10-point multitouch,  Memory : 2GB/3GB RAM 16GB/32GB ROM Up to 2TB exFAT or 128GB FAT32 microSD card support,       Battery:  5100 mAh (Typical), Up to 18 hours web browsing time*  *Nominal battery capacity provided. Actual capacity for each individual product may vary above or below the nominal battery capacity based on various factors, such as age, discharge rate and temperature of battery,     Audio:  Dolby Audio™-tuned side speaker  Microphone</v>
      </c>
      <c r="E1784" s="196" t="str">
        <f>IFERROR(__xludf.DUMMYFUNCTION("""COMPUTED_VALUE"""),"GADGET LOAN FOR RONALDO VERDE")</f>
        <v>GADGET LOAN FOR RONALDO VERDE</v>
      </c>
    </row>
    <row r="1785">
      <c r="A1785" s="234">
        <f>IFERROR(__xludf.DUMMYFUNCTION("""COMPUTED_VALUE"""),102076.0)</f>
        <v>102076</v>
      </c>
      <c r="B1785" s="235" t="str">
        <f>IFERROR(__xludf.DUMMYFUNCTION("""COMPUTED_VALUE"""),"ANN VILLARUZ")</f>
        <v>ANN VILLARUZ</v>
      </c>
      <c r="C1785" s="235" t="str">
        <f>IFERROR(__xludf.DUMMYFUNCTION("""COMPUTED_VALUE"""),"PACUCOA")</f>
        <v>PACUCOA</v>
      </c>
      <c r="D1785" s="196" t="str">
        <f>IFERROR(__xludf.DUMMYFUNCTION("""COMPUTED_VALUE"""),"ESSENTIAL OILS")</f>
        <v>ESSENTIAL OILS</v>
      </c>
      <c r="E1785" s="196" t="str">
        <f>IFERROR(__xludf.DUMMYFUNCTION("""COMPUTED_VALUE"""),"GIFTS FOR ACCREDITATION")</f>
        <v>GIFTS FOR ACCREDITATION</v>
      </c>
    </row>
    <row r="1786">
      <c r="A1786" s="234">
        <f>IFERROR(__xludf.DUMMYFUNCTION("""COMPUTED_VALUE"""),102077.0)</f>
        <v>102077</v>
      </c>
      <c r="B1786" s="235" t="str">
        <f>IFERROR(__xludf.DUMMYFUNCTION("""COMPUTED_VALUE"""),"ANN VILLARUZ")</f>
        <v>ANN VILLARUZ</v>
      </c>
      <c r="C1786" s="235" t="str">
        <f>IFERROR(__xludf.DUMMYFUNCTION("""COMPUTED_VALUE"""),"PACUCOA")</f>
        <v>PACUCOA</v>
      </c>
      <c r="D1786" s="196" t="str">
        <f>IFERROR(__xludf.DUMMYFUNCTION("""COMPUTED_VALUE"""),"HYGIENE KIT ")</f>
        <v>HYGIENE KIT </v>
      </c>
      <c r="E1786" s="196" t="str">
        <f>IFERROR(__xludf.DUMMYFUNCTION("""COMPUTED_VALUE"""),"GIFTS FOR ACCREDITATION")</f>
        <v>GIFTS FOR ACCREDITATION</v>
      </c>
    </row>
    <row r="1787">
      <c r="A1787" s="234">
        <f>IFERROR(__xludf.DUMMYFUNCTION("""COMPUTED_VALUE"""),102078.0)</f>
        <v>102078</v>
      </c>
      <c r="B1787" s="235" t="str">
        <f>IFERROR(__xludf.DUMMYFUNCTION("""COMPUTED_VALUE"""),"KENNETH JAMES ANCERMO")</f>
        <v>KENNETH JAMES ANCERMO</v>
      </c>
      <c r="C1787" s="235" t="str">
        <f>IFERROR(__xludf.DUMMYFUNCTION("""COMPUTED_VALUE"""),"AMD")</f>
        <v>AMD</v>
      </c>
      <c r="D1787" s="196" t="str">
        <f>IFERROR(__xludf.DUMMYFUNCTION("""COMPUTED_VALUE"""),"HDP500 Film (for ID Printer HDP5000)")</f>
        <v>HDP500 Film (for ID Printer HDP5000)</v>
      </c>
      <c r="E1787" s="196" t="str">
        <f>IFERROR(__xludf.DUMMYFUNCTION("""COMPUTED_VALUE"""),"Stock replenishment - for ID printing ")</f>
        <v>Stock replenishment - for ID printing </v>
      </c>
    </row>
    <row r="1788">
      <c r="A1788" s="234">
        <f>IFERROR(__xludf.DUMMYFUNCTION("""COMPUTED_VALUE"""),102079.0)</f>
        <v>102079</v>
      </c>
      <c r="B1788" s="235" t="str">
        <f>IFERROR(__xludf.DUMMYFUNCTION("""COMPUTED_VALUE"""),"PHEN PETIN ")</f>
        <v>PHEN PETIN </v>
      </c>
      <c r="C1788" s="235" t="str">
        <f>IFERROR(__xludf.DUMMYFUNCTION("""COMPUTED_VALUE"""),"ADMIN - STAR")</f>
        <v>ADMIN - STAR</v>
      </c>
      <c r="D1788" s="196" t="str">
        <f>IFERROR(__xludf.DUMMYFUNCTION("""COMPUTED_VALUE"""),"ROPE LIGHT (CLEAR WHITE), ADAPTOR ")</f>
        <v>ROPE LIGHT (CLEAR WHITE), ADAPTOR </v>
      </c>
      <c r="E1788" s="196" t="str">
        <f>IFERROR(__xludf.DUMMYFUNCTION("""COMPUTED_VALUE"""),"ROOF LIGHT FOR THE ROOF TOP IN STAR CAMPUS")</f>
        <v>ROOF LIGHT FOR THE ROOF TOP IN STAR CAMPUS</v>
      </c>
    </row>
    <row r="1789">
      <c r="A1789" s="234">
        <f>IFERROR(__xludf.DUMMYFUNCTION("""COMPUTED_VALUE"""),102080.0)</f>
        <v>102080</v>
      </c>
      <c r="B1789" s="235" t="str">
        <f>IFERROR(__xludf.DUMMYFUNCTION("""COMPUTED_VALUE"""),"PHEN PETIN ")</f>
        <v>PHEN PETIN </v>
      </c>
      <c r="C1789" s="235" t="str">
        <f>IFERROR(__xludf.DUMMYFUNCTION("""COMPUTED_VALUE"""),"ADMIN - STAR")</f>
        <v>ADMIN - STAR</v>
      </c>
      <c r="D1789" s="196" t="str">
        <f>IFERROR(__xludf.DUMMYFUNCTION("""COMPUTED_VALUE"""),"NXLED FLOOD LIGHT 10 WATTS DAYLIGHT")</f>
        <v>NXLED FLOOD LIGHT 10 WATTS DAYLIGHT</v>
      </c>
      <c r="E1789" s="196" t="str">
        <f>IFERROR(__xludf.DUMMYFUNCTION("""COMPUTED_VALUE"""),"FLOOD LIGHTS FOR FRONT GATE")</f>
        <v>FLOOD LIGHTS FOR FRONT GATE</v>
      </c>
    </row>
    <row r="1790">
      <c r="A1790" s="234">
        <f>IFERROR(__xludf.DUMMYFUNCTION("""COMPUTED_VALUE"""),102081.0)</f>
        <v>102081</v>
      </c>
      <c r="B1790" s="235" t="str">
        <f>IFERROR(__xludf.DUMMYFUNCTION("""COMPUTED_VALUE"""),"PHEN PETIN ")</f>
        <v>PHEN PETIN </v>
      </c>
      <c r="C1790" s="235" t="str">
        <f>IFERROR(__xludf.DUMMYFUNCTION("""COMPUTED_VALUE"""),"ADMIN - STAR")</f>
        <v>ADMIN - STAR</v>
      </c>
      <c r="D1790" s="196" t="str">
        <f>IFERROR(__xludf.DUMMYFUNCTION("""COMPUTED_VALUE"""),"NXLED FLOOD LIGHT 20 WATTS DAYLIGHT")</f>
        <v>NXLED FLOOD LIGHT 20 WATTS DAYLIGHT</v>
      </c>
      <c r="E1790" s="196" t="str">
        <f>IFERROR(__xludf.DUMMYFUNCTION("""COMPUTED_VALUE"""),"FLOOD LIGHTS FOR FRONT GATE")</f>
        <v>FLOOD LIGHTS FOR FRONT GATE</v>
      </c>
    </row>
    <row r="1791">
      <c r="A1791" s="234">
        <f>IFERROR(__xludf.DUMMYFUNCTION("""COMPUTED_VALUE"""),102082.0)</f>
        <v>102082</v>
      </c>
      <c r="B1791" s="235" t="str">
        <f>IFERROR(__xludf.DUMMYFUNCTION("""COMPUTED_VALUE"""),"ALFA DE LEON ")</f>
        <v>ALFA DE LEON </v>
      </c>
      <c r="C1791" s="235" t="str">
        <f>IFERROR(__xludf.DUMMYFUNCTION("""COMPUTED_VALUE"""),"ADMIN - MUNICH")</f>
        <v>ADMIN - MUNICH</v>
      </c>
      <c r="D1791" s="196" t="str">
        <f>IFERROR(__xludf.DUMMYFUNCTION("""COMPUTED_VALUE"""),"SAND, RED OXIDE ")</f>
        <v>SAND, RED OXIDE </v>
      </c>
      <c r="E1791" s="196" t="str">
        <f>IFERROR(__xludf.DUMMYFUNCTION("""COMPUTED_VALUE"""),"MUNICH FRONT GATE PROPOSED IMPROVEMENT")</f>
        <v>MUNICH FRONT GATE PROPOSED IMPROVEMENT</v>
      </c>
    </row>
    <row r="1792">
      <c r="A1792" s="234">
        <f>IFERROR(__xludf.DUMMYFUNCTION("""COMPUTED_VALUE"""),102083.0)</f>
        <v>102083</v>
      </c>
      <c r="B1792" s="235" t="str">
        <f>IFERROR(__xludf.DUMMYFUNCTION("""COMPUTED_VALUE"""),"ALFA DE LEON ")</f>
        <v>ALFA DE LEON </v>
      </c>
      <c r="C1792" s="235" t="str">
        <f>IFERROR(__xludf.DUMMYFUNCTION("""COMPUTED_VALUE"""),"ADMIN - MUNICH")</f>
        <v>ADMIN - MUNICH</v>
      </c>
      <c r="D1792" s="196" t="str">
        <f>IFERROR(__xludf.DUMMYFUNCTION("""COMPUTED_VALUE"""),"DWARF PINK BOUGAINVILLA, GARDEN SOIL")</f>
        <v>DWARF PINK BOUGAINVILLA, GARDEN SOIL</v>
      </c>
      <c r="E1792" s="196" t="str">
        <f>IFERROR(__xludf.DUMMYFUNCTION("""COMPUTED_VALUE"""),"MUNICH FRONT GATE PROPOSED IMPROVEMENT")</f>
        <v>MUNICH FRONT GATE PROPOSED IMPROVEMENT</v>
      </c>
    </row>
    <row r="1793">
      <c r="A1793" s="234">
        <f>IFERROR(__xludf.DUMMYFUNCTION("""COMPUTED_VALUE"""),102084.0)</f>
        <v>102084</v>
      </c>
      <c r="B1793" s="235" t="str">
        <f>IFERROR(__xludf.DUMMYFUNCTION("""COMPUTED_VALUE"""),"ALFA DE LEON ")</f>
        <v>ALFA DE LEON </v>
      </c>
      <c r="C1793" s="235" t="str">
        <f>IFERROR(__xludf.DUMMYFUNCTION("""COMPUTED_VALUE"""),"ADMIN")</f>
        <v>ADMIN</v>
      </c>
      <c r="D1793" s="196" t="str">
        <f>IFERROR(__xludf.DUMMYFUNCTION("""COMPUTED_VALUE"""),"Supply of labor and materials, equipment and necessary tools
including supervision for the new large writing tablet with angular bracket- CANCELLED ")</f>
        <v>Supply of labor and materials, equipment and necessary tools
including supervision for the new large writing tablet with angular bracket- CANCELLED </v>
      </c>
      <c r="E1793" s="196" t="str">
        <f>IFERROR(__xludf.DUMMYFUNCTION("""COMPUTED_VALUE"""),"Basic Ed and College Student chairs - supply of new large writing tablet with angular bracket")</f>
        <v>Basic Ed and College Student chairs - supply of new large writing tablet with angular bracket</v>
      </c>
    </row>
    <row r="1794">
      <c r="A1794" s="234">
        <f>IFERROR(__xludf.DUMMYFUNCTION("""COMPUTED_VALUE"""),102085.0)</f>
        <v>102085</v>
      </c>
      <c r="B1794" s="235" t="str">
        <f>IFERROR(__xludf.DUMMYFUNCTION("""COMPUTED_VALUE"""),"ALFA DE LEON ")</f>
        <v>ALFA DE LEON </v>
      </c>
      <c r="C1794" s="235" t="str">
        <f>IFERROR(__xludf.DUMMYFUNCTION("""COMPUTED_VALUE"""),"ADMIN - MUNICH")</f>
        <v>ADMIN - MUNICH</v>
      </c>
      <c r="D1794" s="196" t="str">
        <f>IFERROR(__xludf.DUMMYFUNCTION("""COMPUTED_VALUE"""),"CHB # 4, CEMENT, SAND, GRAVEL 3/4,  BRICKS 130 PCS. DEFORM BAR 10 MM, PAINT CHOCOLATE BROWN")</f>
        <v>CHB # 4, CEMENT, SAND, GRAVEL 3/4,  BRICKS 130 PCS. DEFORM BAR 10 MM, PAINT CHOCOLATE BROWN</v>
      </c>
      <c r="E1794" s="196" t="str">
        <f>IFERROR(__xludf.DUMMYFUNCTION("""COMPUTED_VALUE"""),"MUNICH FRONT GATE PROPOSED IMPROVEMENT")</f>
        <v>MUNICH FRONT GATE PROPOSED IMPROVEMENT</v>
      </c>
    </row>
    <row r="1795">
      <c r="A1795" s="234">
        <f>IFERROR(__xludf.DUMMYFUNCTION("""COMPUTED_VALUE"""),102086.0)</f>
        <v>102086</v>
      </c>
      <c r="B1795" s="235" t="str">
        <f>IFERROR(__xludf.DUMMYFUNCTION("""COMPUTED_VALUE"""),"LUCILLE BEYER ")</f>
        <v>LUCILLE BEYER </v>
      </c>
      <c r="C1795" s="235" t="str">
        <f>IFERROR(__xludf.DUMMYFUNCTION("""COMPUTED_VALUE"""),"MEDICAL")</f>
        <v>MEDICAL</v>
      </c>
      <c r="D1795" s="196" t="str">
        <f>IFERROR(__xludf.DUMMYFUNCTION("""COMPUTED_VALUE"""),"SALIVA ANTIGEN TEST KIT  - JOINSTAR COLLOIDAL GOLD SALIVA ANTIGEN  ")</f>
        <v>SALIVA ANTIGEN TEST KIT  - JOINSTAR COLLOIDAL GOLD SALIVA ANTIGEN  </v>
      </c>
      <c r="E1795" s="196" t="str">
        <f>IFERROR(__xludf.DUMMYFUNCTION("""COMPUTED_VALUE"""),"FOR EMBERGENCY USE- REPLENISHMENT TEST KIT ")</f>
        <v>FOR EMBERGENCY USE- REPLENISHMENT TEST KIT </v>
      </c>
    </row>
    <row r="1796">
      <c r="A1796" s="234">
        <f>IFERROR(__xludf.DUMMYFUNCTION("""COMPUTED_VALUE"""),102087.0)</f>
        <v>102087</v>
      </c>
      <c r="B1796" s="235" t="str">
        <f>IFERROR(__xludf.DUMMYFUNCTION("""COMPUTED_VALUE"""),"SAM RAIZ ")</f>
        <v>SAM RAIZ </v>
      </c>
      <c r="C1796" s="235" t="str">
        <f>IFERROR(__xludf.DUMMYFUNCTION("""COMPUTED_VALUE"""),"MIS/ICT")</f>
        <v>MIS/ICT</v>
      </c>
      <c r="D1796" s="196" t="str">
        <f>IFERROR(__xludf.DUMMYFUNCTION("""COMPUTED_VALUE"""),"ANVIZ C2 PRO ")</f>
        <v>ANVIZ C2 PRO </v>
      </c>
      <c r="E1796" s="196" t="str">
        <f>IFERROR(__xludf.DUMMYFUNCTION("""COMPUTED_VALUE"""),"REPLACEMENT OF THE BIOMETRIC DEVICE ")</f>
        <v>REPLACEMENT OF THE BIOMETRIC DEVICE </v>
      </c>
    </row>
    <row r="1797">
      <c r="A1797" s="234">
        <f>IFERROR(__xludf.DUMMYFUNCTION("""COMPUTED_VALUE"""),102088.0)</f>
        <v>102088</v>
      </c>
      <c r="B1797" s="235" t="str">
        <f>IFERROR(__xludf.DUMMYFUNCTION("""COMPUTED_VALUE"""),"KENNETH JAMES ANCERMO  ")</f>
        <v>KENNETH JAMES ANCERMO  </v>
      </c>
      <c r="C1797" s="235" t="str">
        <f>IFERROR(__xludf.DUMMYFUNCTION("""COMPUTED_VALUE"""),"AMD")</f>
        <v>AMD</v>
      </c>
      <c r="D1797" s="196" t="str">
        <f>IFERROR(__xludf.DUMMYFUNCTION("""COMPUTED_VALUE"""),"LED BULB, PHILIPS 8 WATTS , DAYLIGHT, LED TUBE 16W DAYLIGHT- PHILIPS, LED TUBE 9W DAYLIGHT - PHILIPS")</f>
        <v>LED BULB, PHILIPS 8 WATTS , DAYLIGHT, LED TUBE 16W DAYLIGHT- PHILIPS, LED TUBE 9W DAYLIGHT - PHILIPS</v>
      </c>
      <c r="E1797" s="196" t="str">
        <f>IFERROR(__xludf.DUMMYFUNCTION("""COMPUTED_VALUE"""),"ENGINEERNG SUPPLIES REPLENISHMENT")</f>
        <v>ENGINEERNG SUPPLIES REPLENISHMENT</v>
      </c>
    </row>
    <row r="1798">
      <c r="A1798" s="234">
        <f>IFERROR(__xludf.DUMMYFUNCTION("""COMPUTED_VALUE"""),102089.0)</f>
        <v>102089</v>
      </c>
      <c r="B1798" s="235" t="str">
        <f>IFERROR(__xludf.DUMMYFUNCTION("""COMPUTED_VALUE"""),"CAROL LACERNA/GERLIE MONTELLANO")</f>
        <v>CAROL LACERNA/GERLIE MONTELLANO</v>
      </c>
      <c r="C1798" s="235" t="str">
        <f>IFERROR(__xludf.DUMMYFUNCTION("""COMPUTED_VALUE"""),"STUFFSHOP")</f>
        <v>STUFFSHOP</v>
      </c>
      <c r="D1798" s="196" t="str">
        <f>IFERROR(__xludf.DUMMYFUNCTION("""COMPUTED_VALUE"""),"LENOVO Ideapad Slim Laptop, Core i3 8GB RAM 512 SSD, Integrated intel  UHD graphics, Windows 10 Homes SL,14' HD platinum Grey Freebies:   USB mouse and laptop bag   ")</f>
        <v>LENOVO Ideapad Slim Laptop, Core i3 8GB RAM 512 SSD, Integrated intel  UHD graphics, Windows 10 Homes SL,14' HD platinum Grey Freebies:   USB mouse and laptop bag   </v>
      </c>
      <c r="E1798" s="196" t="str">
        <f>IFERROR(__xludf.DUMMYFUNCTION("""COMPUTED_VALUE"""),"Approved gadget loan of employees")</f>
        <v>Approved gadget loan of employees</v>
      </c>
    </row>
    <row r="1799">
      <c r="A1799" s="234">
        <f>IFERROR(__xludf.DUMMYFUNCTION("""COMPUTED_VALUE"""),102090.0)</f>
        <v>102090</v>
      </c>
      <c r="B1799" s="235" t="str">
        <f>IFERROR(__xludf.DUMMYFUNCTION("""COMPUTED_VALUE"""),"KENNETH ANCERMO")</f>
        <v>KENNETH ANCERMO</v>
      </c>
      <c r="C1799" s="235" t="str">
        <f>IFERROR(__xludf.DUMMYFUNCTION("""COMPUTED_VALUE"""),"AMD")</f>
        <v>AMD</v>
      </c>
      <c r="D1799" s="196" t="str">
        <f>IFERROR(__xludf.DUMMYFUNCTION("""COMPUTED_VALUE"""),"Toner, Cartridge Inkonvert T660 for Brother HL-L2300D")</f>
        <v>Toner, Cartridge Inkonvert T660 for Brother HL-L2300D</v>
      </c>
      <c r="E1799" s="196" t="str">
        <f>IFERROR(__xludf.DUMMYFUNCTION("""COMPUTED_VALUE"""),"STOCK REPLENISHMENT")</f>
        <v>STOCK REPLENISHMENT</v>
      </c>
    </row>
    <row r="1800">
      <c r="A1800" s="234">
        <f>IFERROR(__xludf.DUMMYFUNCTION("""COMPUTED_VALUE"""),102091.0)</f>
        <v>102091</v>
      </c>
      <c r="B1800" s="235" t="str">
        <f>IFERROR(__xludf.DUMMYFUNCTION("""COMPUTED_VALUE"""),"KENNETH ANCERMO")</f>
        <v>KENNETH ANCERMO</v>
      </c>
      <c r="C1800" s="235" t="str">
        <f>IFERROR(__xludf.DUMMYFUNCTION("""COMPUTED_VALUE"""),"AMD")</f>
        <v>AMD</v>
      </c>
      <c r="D1800" s="196" t="str">
        <f>IFERROR(__xludf.DUMMYFUNCTION("""COMPUTED_VALUE"""),"Tape, 3M Masking Tape Big (1""), Tape, Packaging Tape (2""), Tape, Scotch  3M (1""), BATTERY, MAXELL CR2032")</f>
        <v>Tape, 3M Masking Tape Big (1"), Tape, Packaging Tape (2"), Tape, Scotch  3M (1"), BATTERY, MAXELL CR2032</v>
      </c>
      <c r="E1800" s="196" t="str">
        <f>IFERROR(__xludf.DUMMYFUNCTION("""COMPUTED_VALUE"""),"STOCK REPLENISHMENT FOR OFFICE SUPPLIES")</f>
        <v>STOCK REPLENISHMENT FOR OFFICE SUPPLIES</v>
      </c>
    </row>
    <row r="1801">
      <c r="A1801" s="234">
        <f>IFERROR(__xludf.DUMMYFUNCTION("""COMPUTED_VALUE"""),102092.0)</f>
        <v>102092</v>
      </c>
      <c r="B1801" s="235" t="str">
        <f>IFERROR(__xludf.DUMMYFUNCTION("""COMPUTED_VALUE"""),"OWIE PAR")</f>
        <v>OWIE PAR</v>
      </c>
      <c r="C1801" s="235" t="str">
        <f>IFERROR(__xludf.DUMMYFUNCTION("""COMPUTED_VALUE"""),"ENGINEERING")</f>
        <v>ENGINEERING</v>
      </c>
      <c r="D1801" s="196" t="str">
        <f>IFERROR(__xludf.DUMMYFUNCTION("""COMPUTED_VALUE"""),"THNN THWN PD 12, ELECTRICAL TAPE, TOX AND SCREW #16, MASONRY BIT# 6, ")</f>
        <v>THNN THWN PD 12, ELECTRICAL TAPE, TOX AND SCREW #16, MASONRY BIT# 6, </v>
      </c>
      <c r="E1801" s="196" t="str">
        <f>IFERROR(__xludf.DUMMYFUNCTION("""COMPUTED_VALUE"""),"FOR SYCAMORE INSTALLATION OF CEILING FANS ")</f>
        <v>FOR SYCAMORE INSTALLATION OF CEILING FANS </v>
      </c>
    </row>
    <row r="1802">
      <c r="A1802" s="234">
        <f>IFERROR(__xludf.DUMMYFUNCTION("""COMPUTED_VALUE"""),102093.0)</f>
        <v>102093</v>
      </c>
      <c r="B1802" s="235" t="str">
        <f>IFERROR(__xludf.DUMMYFUNCTION("""COMPUTED_VALUE"""),"OWIE PAR")</f>
        <v>OWIE PAR</v>
      </c>
      <c r="C1802" s="235" t="str">
        <f>IFERROR(__xludf.DUMMYFUNCTION("""COMPUTED_VALUE"""),"ENGINEERING")</f>
        <v>ENGINEERING</v>
      </c>
      <c r="D1802" s="196" t="str">
        <f>IFERROR(__xludf.DUMMYFUNCTION("""COMPUTED_VALUE"""),"PANEL BOARD 10 BRANCHES BOLT ON, MAIN 125 AMP. 3 POLO, BRANCHES 2 PAIRS 20 AMP 2 POLES, 8 PAIR 20 AMP. 2 POLE, PANEL BOARD 6 BRANCHES BOLT ON, MAIN 6 AMP 2 POLE, BRANCHES 6 PAIRS  30 AMP. 2 POLE")</f>
        <v>PANEL BOARD 10 BRANCHES BOLT ON, MAIN 125 AMP. 3 POLO, BRANCHES 2 PAIRS 20 AMP 2 POLES, 8 PAIR 20 AMP. 2 POLE, PANEL BOARD 6 BRANCHES BOLT ON, MAIN 6 AMP 2 POLE, BRANCHES 6 PAIRS  30 AMP. 2 POLE</v>
      </c>
      <c r="E1802" s="196" t="str">
        <f>IFERROR(__xludf.DUMMYFUNCTION("""COMPUTED_VALUE"""),"FOR LUX 3RD ACU PANEL, ACCOUNTING DEPARTMENT STORAGE AREA")</f>
        <v>FOR LUX 3RD ACU PANEL, ACCOUNTING DEPARTMENT STORAGE AREA</v>
      </c>
    </row>
    <row r="1803">
      <c r="A1803" s="234">
        <f>IFERROR(__xludf.DUMMYFUNCTION("""COMPUTED_VALUE"""),102094.0)</f>
        <v>102094</v>
      </c>
      <c r="B1803" s="235" t="str">
        <f>IFERROR(__xludf.DUMMYFUNCTION("""COMPUTED_VALUE"""),"JOMEL BUTIAL ")</f>
        <v>JOMEL BUTIAL </v>
      </c>
      <c r="C1803" s="235" t="str">
        <f>IFERROR(__xludf.DUMMYFUNCTION("""COMPUTED_VALUE"""),"AMD")</f>
        <v>AMD</v>
      </c>
      <c r="D1803" s="196" t="str">
        <f>IFERROR(__xludf.DUMMYFUNCTION("""COMPUTED_VALUE"""),"RAINCOAT 15PCS; GEM TOILET CLEANER BOWL CARE 10 PCS;")</f>
        <v>RAINCOAT 15PCS; GEM TOILET CLEANER BOWL CARE 10 PCS;</v>
      </c>
      <c r="E1803" s="196" t="str">
        <f>IFERROR(__xludf.DUMMYFUNCTION("""COMPUTED_VALUE"""),"HOUSEKEEPING REPLENISHMENT FOR OCTOBER 2021")</f>
        <v>HOUSEKEEPING REPLENISHMENT FOR OCTOBER 2021</v>
      </c>
    </row>
    <row r="1804">
      <c r="A1804" s="234">
        <f>IFERROR(__xludf.DUMMYFUNCTION("""COMPUTED_VALUE"""),102095.0)</f>
        <v>102095</v>
      </c>
      <c r="B1804" s="235" t="str">
        <f>IFERROR(__xludf.DUMMYFUNCTION("""COMPUTED_VALUE"""),"JOMEL BUTIAL ")</f>
        <v>JOMEL BUTIAL </v>
      </c>
      <c r="C1804" s="235" t="str">
        <f>IFERROR(__xludf.DUMMYFUNCTION("""COMPUTED_VALUE"""),"AMD")</f>
        <v>AMD</v>
      </c>
      <c r="D1804" s="196" t="str">
        <f>IFERROR(__xludf.DUMMYFUNCTION("""COMPUTED_VALUE"""),"CARPET CLEANER SHAMPOO &amp; CONDITIONER 10 PCS")</f>
        <v>CARPET CLEANER SHAMPOO &amp; CONDITIONER 10 PCS</v>
      </c>
      <c r="E1804" s="196" t="str">
        <f>IFERROR(__xludf.DUMMYFUNCTION("""COMPUTED_VALUE"""),"HOUSEKEEPING REPLENISHMENT FOR OCTOBER 2021")</f>
        <v>HOUSEKEEPING REPLENISHMENT FOR OCTOBER 2021</v>
      </c>
    </row>
    <row r="1805">
      <c r="A1805" s="234">
        <f>IFERROR(__xludf.DUMMYFUNCTION("""COMPUTED_VALUE"""),102096.0)</f>
        <v>102096</v>
      </c>
      <c r="B1805" s="235" t="str">
        <f>IFERROR(__xludf.DUMMYFUNCTION("""COMPUTED_VALUE"""),"JOMEL BUTIAL ")</f>
        <v>JOMEL BUTIAL </v>
      </c>
      <c r="C1805" s="235" t="str">
        <f>IFERROR(__xludf.DUMMYFUNCTION("""COMPUTED_VALUE"""),"AMD")</f>
        <v>AMD</v>
      </c>
      <c r="D1805" s="196" t="str">
        <f>IFERROR(__xludf.DUMMYFUNCTION("""COMPUTED_VALUE"""),"BIDET 15 PCS AND SPATULA")</f>
        <v>BIDET 15 PCS AND SPATULA</v>
      </c>
      <c r="E1805" s="196" t="str">
        <f>IFERROR(__xludf.DUMMYFUNCTION("""COMPUTED_VALUE"""),"HOUSEKEEPING REPLENISHMENT FOR OCTOBER 2021")</f>
        <v>HOUSEKEEPING REPLENISHMENT FOR OCTOBER 2021</v>
      </c>
    </row>
    <row r="1806">
      <c r="A1806" s="234">
        <f>IFERROR(__xludf.DUMMYFUNCTION("""COMPUTED_VALUE"""),102097.0)</f>
        <v>102097</v>
      </c>
      <c r="B1806" s="235" t="str">
        <f>IFERROR(__xludf.DUMMYFUNCTION("""COMPUTED_VALUE"""),"RENZ BLANCA")</f>
        <v>RENZ BLANCA</v>
      </c>
      <c r="C1806" s="235" t="str">
        <f>IFERROR(__xludf.DUMMYFUNCTION("""COMPUTED_VALUE"""),"HRMD")</f>
        <v>HRMD</v>
      </c>
      <c r="D1806" s="196" t="str">
        <f>IFERROR(__xludf.DUMMYFUNCTION("""COMPUTED_VALUE"""),"BOUQUET OF FLOWERS WITH VASE FOR WAKE ")</f>
        <v>BOUQUET OF FLOWERS WITH VASE FOR WAKE </v>
      </c>
      <c r="E1806" s="196" t="str">
        <f>IFERROR(__xludf.DUMMYFUNCTION("""COMPUTED_VALUE"""),"FOR WAKE / BEREAVEMENT of Sir Andre's Father")</f>
        <v>FOR WAKE / BEREAVEMENT of Sir Andre's Father</v>
      </c>
    </row>
    <row r="1807">
      <c r="A1807" s="234">
        <f>IFERROR(__xludf.DUMMYFUNCTION("""COMPUTED_VALUE"""),102098.0)</f>
        <v>102098</v>
      </c>
      <c r="B1807" s="235" t="str">
        <f>IFERROR(__xludf.DUMMYFUNCTION("""COMPUTED_VALUE"""),"RONALDO VERDE ")</f>
        <v>RONALDO VERDE </v>
      </c>
      <c r="C1807" s="235" t="str">
        <f>IFERROR(__xludf.DUMMYFUNCTION("""COMPUTED_VALUE"""),"ADMIN")</f>
        <v>ADMIN</v>
      </c>
      <c r="D1807" s="196" t="str">
        <f>IFERROR(__xludf.DUMMYFUNCTION("""COMPUTED_VALUE"""),"SPANISH GUTTER RED (BOYS), SPANISH GUTTER GREEN (BOYS), ROOF GUARD SPANISH RED, BAGUIO GREEN, MARINE PLYWOOD 1/4"" , CEMENT, CEMENT, S4KD 2X2X8, S4KD 1X8X8, FLAT LATEX, PAINT BRUSH 1X1 1/2"", PAINT ROLLER  4"" (COTTON), DRILL BIT 1/8' (METAL), SHOWER HEAD"&amp;", SHOWER VALVE, MALE ADAPTOR 1/2"", PVC PIPE ORANGE 3"", PVC ELBOW 3"", SOLVENT 100CC, PLAIN SHEET")</f>
        <v>SPANISH GUTTER RED (BOYS), SPANISH GUTTER GREEN (BOYS), ROOF GUARD SPANISH RED, BAGUIO GREEN, MARINE PLYWOOD 1/4" , CEMENT, CEMENT, S4KD 2X2X8, S4KD 1X8X8, FLAT LATEX, PAINT BRUSH 1X1 1/2", PAINT ROLLER  4" (COTTON), DRILL BIT 1/8' (METAL), SHOWER HEAD, SHOWER VALVE, MALE ADAPTOR 1/2", PVC PIPE ORANGE 3", PVC ELBOW 3", SOLVENT 100CC, PLAIN SHEET</v>
      </c>
      <c r="E1807" s="196" t="str">
        <f>IFERROR(__xludf.DUMMYFUNCTION("""COMPUTED_VALUE"""),"GLT SCHOLARS HOUSE REPAIRS ")</f>
        <v>GLT SCHOLARS HOUSE REPAIRS </v>
      </c>
    </row>
    <row r="1808">
      <c r="A1808" s="234">
        <f>IFERROR(__xludf.DUMMYFUNCTION("""COMPUTED_VALUE"""),102099.0)</f>
        <v>102099</v>
      </c>
      <c r="B1808" s="235" t="str">
        <f>IFERROR(__xludf.DUMMYFUNCTION("""COMPUTED_VALUE"""),"ALFA DE LEON")</f>
        <v>ALFA DE LEON</v>
      </c>
      <c r="C1808" s="235" t="str">
        <f>IFERROR(__xludf.DUMMYFUNCTION("""COMPUTED_VALUE"""),"ADMIN - MUNICH")</f>
        <v>ADMIN - MUNICH</v>
      </c>
      <c r="D1808" s="196" t="str">
        <f>IFERROR(__xludf.DUMMYFUNCTION("""COMPUTED_VALUE"""),"INTERNATIONAL FLAGS ")</f>
        <v>INTERNATIONAL FLAGS </v>
      </c>
      <c r="E1808" s="196" t="str">
        <f>IFERROR(__xludf.DUMMYFUNCTION("""COMPUTED_VALUE"""),"INTERNATIONAL FLAG REQUIREMENTS")</f>
        <v>INTERNATIONAL FLAG REQUIREMENTS</v>
      </c>
    </row>
    <row r="1809">
      <c r="A1809" s="234">
        <f>IFERROR(__xludf.DUMMYFUNCTION("""COMPUTED_VALUE"""),102100.0)</f>
        <v>102100</v>
      </c>
      <c r="B1809" s="235" t="str">
        <f>IFERROR(__xludf.DUMMYFUNCTION("""COMPUTED_VALUE"""),"KENNETH ANCERMO")</f>
        <v>KENNETH ANCERMO</v>
      </c>
      <c r="C1809" s="235" t="str">
        <f>IFERROR(__xludf.DUMMYFUNCTION("""COMPUTED_VALUE"""),"AMD")</f>
        <v>AMD</v>
      </c>
      <c r="D1809" s="196" t="str">
        <f>IFERROR(__xludf.DUMMYFUNCTION("""COMPUTED_VALUE"""),"Envelope, Expanding Plastic-Short, Adventurer, Clip, Binder Joy 1"", Clip, Binder Joy 2""")</f>
        <v>Envelope, Expanding Plastic-Short, Adventurer, Clip, Binder Joy 1", Clip, Binder Joy 2"</v>
      </c>
      <c r="E1809" s="196" t="str">
        <f>IFERROR(__xludf.DUMMYFUNCTION("""COMPUTED_VALUE"""),"OSSUP STOCK REPLENISHMENT ")</f>
        <v>OSSUP STOCK REPLENISHMENT </v>
      </c>
    </row>
    <row r="1810">
      <c r="A1810" s="234">
        <f>IFERROR(__xludf.DUMMYFUNCTION("""COMPUTED_VALUE"""),102101.0)</f>
        <v>102101</v>
      </c>
      <c r="B1810" s="235" t="str">
        <f>IFERROR(__xludf.DUMMYFUNCTION("""COMPUTED_VALUE"""),"ALFA DE LEON")</f>
        <v>ALFA DE LEON</v>
      </c>
      <c r="C1810" s="235" t="str">
        <f>IFERROR(__xludf.DUMMYFUNCTION("""COMPUTED_VALUE"""),"LANDSCAPING")</f>
        <v>LANDSCAPING</v>
      </c>
      <c r="D1810" s="196" t="str">
        <f>IFERROR(__xludf.DUMMYFUNCTION("""COMPUTED_VALUE"""),"MIAGOS PLANTS, SELLOUM PLANTS, MAKI PLANTS, GOLDEN CANDLE PLANTS, RED ALPINIA PLANTS, CRINUM LILY PLANTS, KAMUNING PLANTS, YELLOW GINGER PLANTS, VAR SCHEFLLERA, TOBACCO PLANTS, FORGET ME NOT PLANTS, BOSTON FERN PLANTS, PEANUT PLANTS")</f>
        <v>MIAGOS PLANTS, SELLOUM PLANTS, MAKI PLANTS, GOLDEN CANDLE PLANTS, RED ALPINIA PLANTS, CRINUM LILY PLANTS, KAMUNING PLANTS, YELLOW GINGER PLANTS, VAR SCHEFLLERA, TOBACCO PLANTS, FORGET ME NOT PLANTS, BOSTON FERN PLANTS, PEANUT PLANTS</v>
      </c>
      <c r="E1810" s="196" t="str">
        <f>IFERROR(__xludf.DUMMYFUNCTION("""COMPUTED_VALUE"""),"IMPROVEMENT OF CORNER SIGNAGE PLANTS, MUNICH TROPICAL PLANT BOX, MONARCH TROPICAL, MUNICH AND TROPICAL PLANT BOX")</f>
        <v>IMPROVEMENT OF CORNER SIGNAGE PLANTS, MUNICH TROPICAL PLANT BOX, MONARCH TROPICAL, MUNICH AND TROPICAL PLANT BOX</v>
      </c>
    </row>
    <row r="1811">
      <c r="A1811" s="234">
        <f>IFERROR(__xludf.DUMMYFUNCTION("""COMPUTED_VALUE"""),102102.0)</f>
        <v>102102</v>
      </c>
      <c r="B1811" s="235" t="str">
        <f>IFERROR(__xludf.DUMMYFUNCTION("""COMPUTED_VALUE"""),"OWIE PAR")</f>
        <v>OWIE PAR</v>
      </c>
      <c r="C1811" s="235" t="str">
        <f>IFERROR(__xludf.DUMMYFUNCTION("""COMPUTED_VALUE"""),"ENGINEERING")</f>
        <v>ENGINEERING</v>
      </c>
      <c r="D1811" s="196" t="str">
        <f>IFERROR(__xludf.DUMMYFUNCTION("""COMPUTED_VALUE"""),"FLOAT SWITCH, FLAT CORD")</f>
        <v>FLOAT SWITCH, FLAT CORD</v>
      </c>
      <c r="E1811" s="196" t="str">
        <f>IFERROR(__xludf.DUMMYFUNCTION("""COMPUTED_VALUE"""),"FOR COLLEGE PUMP")</f>
        <v>FOR COLLEGE PUMP</v>
      </c>
    </row>
    <row r="1812">
      <c r="A1812" s="234">
        <f>IFERROR(__xludf.DUMMYFUNCTION("""COMPUTED_VALUE"""),102103.0)</f>
        <v>102103</v>
      </c>
      <c r="B1812" s="235" t="str">
        <f>IFERROR(__xludf.DUMMYFUNCTION("""COMPUTED_VALUE"""),"ALFA/PHEN/SHEREE")</f>
        <v>ALFA/PHEN/SHEREE</v>
      </c>
      <c r="C1812" s="235" t="str">
        <f>IFERROR(__xludf.DUMMYFUNCTION("""COMPUTED_VALUE"""),"ADMIN")</f>
        <v>ADMIN</v>
      </c>
      <c r="D1812" s="196" t="str">
        <f>IFERROR(__xludf.DUMMYFUNCTION("""COMPUTED_VALUE"""),"ACOUSTIC BOARD")</f>
        <v>ACOUSTIC BOARD</v>
      </c>
      <c r="E1812" s="196" t="str">
        <f>IFERROR(__xludf.DUMMYFUNCTION("""COMPUTED_VALUE"""),"REPLACEMENT OF BROKEN ACOUSTIC ")</f>
        <v>REPLACEMENT OF BROKEN ACOUSTIC </v>
      </c>
    </row>
    <row r="1813">
      <c r="A1813" s="234">
        <f>IFERROR(__xludf.DUMMYFUNCTION("""COMPUTED_VALUE"""),102104.0)</f>
        <v>102104</v>
      </c>
      <c r="B1813" s="235" t="str">
        <f>IFERROR(__xludf.DUMMYFUNCTION("""COMPUTED_VALUE"""),"ANN VILLARUZ")</f>
        <v>ANN VILLARUZ</v>
      </c>
      <c r="C1813" s="235" t="str">
        <f>IFERROR(__xludf.DUMMYFUNCTION("""COMPUTED_VALUE"""),"ACCREDITATION")</f>
        <v>ACCREDITATION</v>
      </c>
      <c r="D1813" s="196" t="str">
        <f>IFERROR(__xludf.DUMMYFUNCTION("""COMPUTED_VALUE"""),"NOTEBOOK COVER LARGE ")</f>
        <v>NOTEBOOK COVER LARGE </v>
      </c>
      <c r="E1813" s="196" t="str">
        <f>IFERROR(__xludf.DUMMYFUNCTION("""COMPUTED_VALUE"""),"PACUCUOA ACCREDITORS TOKEN ")</f>
        <v>PACUCUOA ACCREDITORS TOKEN </v>
      </c>
    </row>
    <row r="1814">
      <c r="A1814" s="234">
        <f>IFERROR(__xludf.DUMMYFUNCTION("""COMPUTED_VALUE"""),102105.0)</f>
        <v>102105</v>
      </c>
      <c r="B1814" s="235" t="str">
        <f>IFERROR(__xludf.DUMMYFUNCTION("""COMPUTED_VALUE"""),"JOSEPHINE PETIN")</f>
        <v>JOSEPHINE PETIN</v>
      </c>
      <c r="C1814" s="235" t="str">
        <f>IFERROR(__xludf.DUMMYFUNCTION("""COMPUTED_VALUE"""),"ADMIN - STAR")</f>
        <v>ADMIN - STAR</v>
      </c>
      <c r="D1814" s="196" t="str">
        <f>IFERROR(__xludf.DUMMYFUNCTION("""COMPUTED_VALUE"""),"LED G-45 3.5 WATTS WARM WHITE")</f>
        <v>LED G-45 3.5 WATTS WARM WHITE</v>
      </c>
      <c r="E1814" s="196" t="str">
        <f>IFERROR(__xludf.DUMMYFUNCTION("""COMPUTED_VALUE"""),"FOR LEARNING VILLAGE FAMILY HEALTH AREA ")</f>
        <v>FOR LEARNING VILLAGE FAMILY HEALTH AREA </v>
      </c>
    </row>
    <row r="1815">
      <c r="A1815" s="234">
        <f>IFERROR(__xludf.DUMMYFUNCTION("""COMPUTED_VALUE"""),102106.0)</f>
        <v>102106</v>
      </c>
      <c r="B1815" s="235" t="str">
        <f>IFERROR(__xludf.DUMMYFUNCTION("""COMPUTED_VALUE"""),"ELMIE LAUDITO ")</f>
        <v>ELMIE LAUDITO </v>
      </c>
      <c r="C1815" s="235" t="str">
        <f>IFERROR(__xludf.DUMMYFUNCTION("""COMPUTED_VALUE"""),"HRMD")</f>
        <v>HRMD</v>
      </c>
      <c r="D1815" s="196" t="str">
        <f>IFERROR(__xludf.DUMMYFUNCTION("""COMPUTED_VALUE"""),"OXIMETER, ORAL BETADINE GARGLE 120 ML, GREEN CROSS ALCOHOL 500 ML, TISSUE TWIN PACK CORELESS ROLL TISSUE, THERMOMETER, DAYZINC SODIUM ASCORBATE WITH ZINC 562.4 MG, VICKS VAPOR RUB 50 GRAMS, BIOGESIC TABLET, BOX (VALIANT P-B LRG) 13X3, DISINFECTANT  lysol "&amp;"170 GRAMS ANY VARIANT")</f>
        <v>OXIMETER, ORAL BETADINE GARGLE 120 ML, GREEN CROSS ALCOHOL 500 ML, TISSUE TWIN PACK CORELESS ROLL TISSUE, THERMOMETER, DAYZINC SODIUM ASCORBATE WITH ZINC 562.4 MG, VICKS VAPOR RUB 50 GRAMS, BIOGESIC TABLET, BOX (VALIANT P-B LRG) 13X3, DISINFECTANT  lysol 170 GRAMS ANY VARIANT</v>
      </c>
      <c r="E1815" s="196" t="str">
        <f>IFERROR(__xludf.DUMMYFUNCTION("""COMPUTED_VALUE"""),"SISC COVID19 CARE KIT")</f>
        <v>SISC COVID19 CARE KIT</v>
      </c>
    </row>
    <row r="1816">
      <c r="A1816" s="234">
        <f>IFERROR(__xludf.DUMMYFUNCTION("""COMPUTED_VALUE"""),102107.0)</f>
        <v>102107</v>
      </c>
      <c r="B1816" s="235" t="str">
        <f>IFERROR(__xludf.DUMMYFUNCTION("""COMPUTED_VALUE"""),"PHEN PETIN")</f>
        <v>PHEN PETIN</v>
      </c>
      <c r="C1816" s="235" t="str">
        <f>IFERROR(__xludf.DUMMYFUNCTION("""COMPUTED_VALUE"""),"ADMIN - STAR")</f>
        <v>ADMIN - STAR</v>
      </c>
      <c r="D1816" s="196" t="str">
        <f>IFERROR(__xludf.DUMMYFUNCTION("""COMPUTED_VALUE"""),"LED SLIM PANEL LIGHT 12 WATTS ROUND SHAPE WHITE COLOR")</f>
        <v>LED SLIM PANEL LIGHT 12 WATTS ROUND SHAPE WHITE COLOR</v>
      </c>
      <c r="E1816" s="196" t="str">
        <f>IFERROR(__xludf.DUMMYFUNCTION("""COMPUTED_VALUE"""),"FOR DIFFERENT STATION OF LEARNING VILLAGE ")</f>
        <v>FOR DIFFERENT STATION OF LEARNING VILLAGE </v>
      </c>
    </row>
    <row r="1817">
      <c r="A1817" s="234">
        <f>IFERROR(__xludf.DUMMYFUNCTION("""COMPUTED_VALUE"""),102108.0)</f>
        <v>102108</v>
      </c>
      <c r="B1817" s="235" t="str">
        <f>IFERROR(__xludf.DUMMYFUNCTION("""COMPUTED_VALUE"""),"ALFA DE LEON")</f>
        <v>ALFA DE LEON</v>
      </c>
      <c r="C1817" s="235" t="str">
        <f>IFERROR(__xludf.DUMMYFUNCTION("""COMPUTED_VALUE"""),"ADMIN")</f>
        <v>ADMIN</v>
      </c>
      <c r="D1817" s="196" t="str">
        <f>IFERROR(__xludf.DUMMYFUNCTION("""COMPUTED_VALUE"""),"AUTOMATIC TEMPERATURE SCANNER 3 PS; AUTOMATIC SANITIZER IN ALL STATION 17 PCS; BIG SIGNAGE ""20 X 60 ; BUFFER OF 25 % FOR ADDITIONAL EXPENSES;")</f>
        <v>AUTOMATIC TEMPERATURE SCANNER 3 PS; AUTOMATIC SANITIZER IN ALL STATION 17 PCS; BIG SIGNAGE "20 X 60 ; BUFFER OF 25 % FOR ADDITIONAL EXPENSES;</v>
      </c>
      <c r="E1817" s="196" t="str">
        <f>IFERROR(__xludf.DUMMYFUNCTION("""COMPUTED_VALUE"""),"2ND CHED VISIT FOR NURSING REQUIREMENTS")</f>
        <v>2ND CHED VISIT FOR NURSING REQUIREMENTS</v>
      </c>
    </row>
    <row r="1818">
      <c r="A1818" s="234">
        <f>IFERROR(__xludf.DUMMYFUNCTION("""COMPUTED_VALUE"""),102109.0)</f>
        <v>102109</v>
      </c>
      <c r="B1818" s="235" t="str">
        <f>IFERROR(__xludf.DUMMYFUNCTION("""COMPUTED_VALUE"""),"ALFA DE LEON")</f>
        <v>ALFA DE LEON</v>
      </c>
      <c r="C1818" s="235" t="str">
        <f>IFERROR(__xludf.DUMMYFUNCTION("""COMPUTED_VALUE"""),"ADMIN")</f>
        <v>ADMIN</v>
      </c>
      <c r="D1818" s="196" t="str">
        <f>IFERROR(__xludf.DUMMYFUNCTION("""COMPUTED_VALUE"""),"VINYL STICKER WITH MATTE LAMINATE 400 PCS")</f>
        <v>VINYL STICKER WITH MATTE LAMINATE 400 PCS</v>
      </c>
      <c r="E1818" s="196" t="str">
        <f>IFERROR(__xludf.DUMMYFUNCTION("""COMPUTED_VALUE"""),"CHED REVISIT REQUIREMENTS")</f>
        <v>CHED REVISIT REQUIREMENTS</v>
      </c>
    </row>
    <row r="1819">
      <c r="A1819" s="234">
        <f>IFERROR(__xludf.DUMMYFUNCTION("""COMPUTED_VALUE"""),102110.0)</f>
        <v>102110</v>
      </c>
      <c r="B1819" s="235" t="str">
        <f>IFERROR(__xludf.DUMMYFUNCTION("""COMPUTED_VALUE"""),"KENNETH ANCERMO")</f>
        <v>KENNETH ANCERMO</v>
      </c>
      <c r="C1819" s="235" t="str">
        <f>IFERROR(__xludf.DUMMYFUNCTION("""COMPUTED_VALUE"""),"AMD")</f>
        <v>AMD</v>
      </c>
      <c r="D1819" s="196" t="str">
        <f>IFERROR(__xludf.DUMMYFUNCTION("""COMPUTED_VALUE"""),"double action valve 1/2x1/2x1/2, flexible hose 1/2x1/2")</f>
        <v>double action valve 1/2x1/2x1/2, flexible hose 1/2x1/2</v>
      </c>
      <c r="E1819" s="196" t="str">
        <f>IFERROR(__xludf.DUMMYFUNCTION("""COMPUTED_VALUE"""),"ENGR SUPPLIES STOCK REPLENISHMENT ")</f>
        <v>ENGR SUPPLIES STOCK REPLENISHMENT </v>
      </c>
    </row>
    <row r="1820">
      <c r="A1820" s="234">
        <f>IFERROR(__xludf.DUMMYFUNCTION("""COMPUTED_VALUE"""),102111.0)</f>
        <v>102111</v>
      </c>
      <c r="B1820" s="235" t="str">
        <f>IFERROR(__xludf.DUMMYFUNCTION("""COMPUTED_VALUE"""),"JOMEL BUTIAL ")</f>
        <v>JOMEL BUTIAL </v>
      </c>
      <c r="C1820" s="235" t="str">
        <f>IFERROR(__xludf.DUMMYFUNCTION("""COMPUTED_VALUE"""),"AMD")</f>
        <v>AMD</v>
      </c>
      <c r="D1820" s="196" t="str">
        <f>IFERROR(__xludf.DUMMYFUNCTION("""COMPUTED_VALUE"""),"BABY OIL 125 ML 50 PCS; SPATULA SMALL 10 PCS")</f>
        <v>BABY OIL 125 ML 50 PCS; SPATULA SMALL 10 PCS</v>
      </c>
      <c r="E1820" s="196" t="str">
        <f>IFERROR(__xludf.DUMMYFUNCTION("""COMPUTED_VALUE"""),"HOUSEKEEPING REPLENISHMENT")</f>
        <v>HOUSEKEEPING REPLENISHMENT</v>
      </c>
    </row>
    <row r="1821">
      <c r="A1821" s="234">
        <f>IFERROR(__xludf.DUMMYFUNCTION("""COMPUTED_VALUE"""),102112.0)</f>
        <v>102112</v>
      </c>
      <c r="B1821" s="235" t="str">
        <f>IFERROR(__xludf.DUMMYFUNCTION("""COMPUTED_VALUE"""),"JOMEL BUTIAL ")</f>
        <v>JOMEL BUTIAL </v>
      </c>
      <c r="C1821" s="235" t="str">
        <f>IFERROR(__xludf.DUMMYFUNCTION("""COMPUTED_VALUE"""),"AMD")</f>
        <v>AMD</v>
      </c>
      <c r="D1821" s="196" t="str">
        <f>IFERROR(__xludf.DUMMYFUNCTION("""COMPUTED_VALUE"""),"ISOPROPHYL ALCOHOL 70 % 50PCS.")</f>
        <v>ISOPROPHYL ALCOHOL 70 % 50PCS.</v>
      </c>
      <c r="E1821" s="196" t="str">
        <f>IFERROR(__xludf.DUMMYFUNCTION("""COMPUTED_VALUE"""),"HOUSEKEEPING REPLENISHMENT")</f>
        <v>HOUSEKEEPING REPLENISHMENT</v>
      </c>
    </row>
    <row r="1822">
      <c r="A1822" s="234">
        <f>IFERROR(__xludf.DUMMYFUNCTION("""COMPUTED_VALUE"""),102113.0)</f>
        <v>102113</v>
      </c>
      <c r="B1822" s="235" t="str">
        <f>IFERROR(__xludf.DUMMYFUNCTION("""COMPUTED_VALUE"""),"JOMEL BUTIAL ")</f>
        <v>JOMEL BUTIAL </v>
      </c>
      <c r="C1822" s="235" t="str">
        <f>IFERROR(__xludf.DUMMYFUNCTION("""COMPUTED_VALUE"""),"AMD")</f>
        <v>AMD</v>
      </c>
      <c r="D1822" s="196" t="str">
        <f>IFERROR(__xludf.DUMMYFUNCTION("""COMPUTED_VALUE"""),"8 DIGIT ALPHABET ENGLISH LETTER NUMBER ROLLING RUBBER STAMP")</f>
        <v>8 DIGIT ALPHABET ENGLISH LETTER NUMBER ROLLING RUBBER STAMP</v>
      </c>
      <c r="E1822" s="196" t="str">
        <f>IFERROR(__xludf.DUMMYFUNCTION("""COMPUTED_VALUE"""),"MRR NUMBERING ")</f>
        <v>MRR NUMBERING </v>
      </c>
    </row>
    <row r="1823">
      <c r="A1823" s="234">
        <f>IFERROR(__xludf.DUMMYFUNCTION("""COMPUTED_VALUE"""),102114.0)</f>
        <v>102114</v>
      </c>
      <c r="B1823" s="235" t="str">
        <f>IFERROR(__xludf.DUMMYFUNCTION("""COMPUTED_VALUE"""),"OWIE PAR")</f>
        <v>OWIE PAR</v>
      </c>
      <c r="C1823" s="235" t="str">
        <f>IFERROR(__xludf.DUMMYFUNCTION("""COMPUTED_VALUE"""),"ENGINEERING")</f>
        <v>ENGINEERING</v>
      </c>
      <c r="D1823" s="196" t="str">
        <f>IFERROR(__xludf.DUMMYFUNCTION("""COMPUTED_VALUE"""),"MOTOLITE 6 SM BATTERY ")</f>
        <v>MOTOLITE 6 SM BATTERY </v>
      </c>
      <c r="E1823" s="196" t="str">
        <f>IFERROR(__xludf.DUMMYFUNCTION("""COMPUTED_VALUE"""),"FOR REPLACEMENT OF OLD BATTERY IN ADMIN GENERATOR ")</f>
        <v>FOR REPLACEMENT OF OLD BATTERY IN ADMIN GENERATOR </v>
      </c>
    </row>
    <row r="1824">
      <c r="A1824" s="234">
        <f>IFERROR(__xludf.DUMMYFUNCTION("""COMPUTED_VALUE"""),102115.0)</f>
        <v>102115</v>
      </c>
      <c r="B1824" s="235" t="str">
        <f>IFERROR(__xludf.DUMMYFUNCTION("""COMPUTED_VALUE"""),"RONALD VERDE/OWIE PAR")</f>
        <v>RONALD VERDE/OWIE PAR</v>
      </c>
      <c r="C1824" s="235" t="str">
        <f>IFERROR(__xludf.DUMMYFUNCTION("""COMPUTED_VALUE"""),"ADMIN")</f>
        <v>ADMIN</v>
      </c>
      <c r="D1824" s="196" t="str">
        <f>IFERROR(__xludf.DUMMYFUNCTION("""COMPUTED_VALUE"""),"PORTAND CEMENT, SAND (BISTAY), BOSNY SEALANT")</f>
        <v>PORTAND CEMENT, SAND (BISTAY), BOSNY SEALANT</v>
      </c>
      <c r="E1824" s="196" t="str">
        <f>IFERROR(__xludf.DUMMYFUNCTION("""COMPUTED_VALUE"""),"MATERIALS FOR THE UNPLASTERED WALL BETWEEN COLLEGE BUILDING AND CAFETERIA")</f>
        <v>MATERIALS FOR THE UNPLASTERED WALL BETWEEN COLLEGE BUILDING AND CAFETERIA</v>
      </c>
    </row>
    <row r="1825">
      <c r="A1825" s="234">
        <f>IFERROR(__xludf.DUMMYFUNCTION("""COMPUTED_VALUE"""),102116.0)</f>
        <v>102116</v>
      </c>
      <c r="B1825" s="235" t="str">
        <f>IFERROR(__xludf.DUMMYFUNCTION("""COMPUTED_VALUE"""),"CHRISTIAN ANDRES")</f>
        <v>CHRISTIAN ANDRES</v>
      </c>
      <c r="C1825" s="235" t="str">
        <f>IFERROR(__xludf.DUMMYFUNCTION("""COMPUTED_VALUE"""),"PR &amp; MARKETING")</f>
        <v>PR &amp; MARKETING</v>
      </c>
      <c r="D1825" s="196" t="str">
        <f>IFERROR(__xludf.DUMMYFUNCTION("""COMPUTED_VALUE"""),"DESKTOP COMPUTER OF SIR CHRISTIAN ANDRES")</f>
        <v>DESKTOP COMPUTER OF SIR CHRISTIAN ANDRES</v>
      </c>
      <c r="E1825" s="196" t="str">
        <f>IFERROR(__xludf.DUMMYFUNCTION("""COMPUTED_VALUE"""),"FOR MARKETING PURPOSES")</f>
        <v>FOR MARKETING PURPOSES</v>
      </c>
    </row>
    <row r="1826">
      <c r="A1826" s="234">
        <f>IFERROR(__xludf.DUMMYFUNCTION("""COMPUTED_VALUE"""),102117.0)</f>
        <v>102117</v>
      </c>
      <c r="B1826" s="235" t="str">
        <f>IFERROR(__xludf.DUMMYFUNCTION("""COMPUTED_VALUE"""),"ALFA DE LEON/ SHEREE ESPINOSA ")</f>
        <v>ALFA DE LEON/ SHEREE ESPINOSA </v>
      </c>
      <c r="C1826" s="235" t="str">
        <f>IFERROR(__xludf.DUMMYFUNCTION("""COMPUTED_VALUE"""),"ADMIN")</f>
        <v>ADMIN</v>
      </c>
      <c r="D1826" s="196" t="str">
        <f>IFERROR(__xludf.DUMMYFUNCTION("""COMPUTED_VALUE"""),"AUTOMATIC SOAP DISPENSER")</f>
        <v>AUTOMATIC SOAP DISPENSER</v>
      </c>
      <c r="E1826" s="196" t="str">
        <f>IFERROR(__xludf.DUMMYFUNCTION("""COMPUTED_VALUE"""),"FOR CHED VISIT ")</f>
        <v>FOR CHED VISIT </v>
      </c>
    </row>
    <row r="1827">
      <c r="A1827" s="234">
        <f>IFERROR(__xludf.DUMMYFUNCTION("""COMPUTED_VALUE"""),102118.0)</f>
        <v>102118</v>
      </c>
      <c r="B1827" s="235" t="str">
        <f>IFERROR(__xludf.DUMMYFUNCTION("""COMPUTED_VALUE"""),"ALFA DE LEON")</f>
        <v>ALFA DE LEON</v>
      </c>
      <c r="C1827" s="235" t="str">
        <f>IFERROR(__xludf.DUMMYFUNCTION("""COMPUTED_VALUE"""),"ADMIN")</f>
        <v>ADMIN</v>
      </c>
      <c r="D1827" s="196" t="str">
        <f>IFERROR(__xludf.DUMMYFUNCTION("""COMPUTED_VALUE"""),"SQUARE BAR 1/2 X 1/2 32PCS; ANGLE BAR 2X2 (3/16X2) 6PCS; CUTTING DISK #4 20 PCS; GRINDING DISC #4 10PCS; CEMENT 5 BAGS; WELDING RODS 5KG; CHB #4 45PCS; SPEED CUTTER CUTTING DISC 1X1/8X14 2PCS;")</f>
        <v>SQUARE BAR 1/2 X 1/2 32PCS; ANGLE BAR 2X2 (3/16X2) 6PCS; CUTTING DISK #4 20 PCS; GRINDING DISC #4 10PCS; CEMENT 5 BAGS; WELDING RODS 5KG; CHB #4 45PCS; SPEED CUTTER CUTTING DISC 1X1/8X14 2PCS;</v>
      </c>
      <c r="E1827" s="196" t="str">
        <f>IFERROR(__xludf.DUMMYFUNCTION("""COMPUTED_VALUE"""),"MUNICH FRONT GATE DRAINAGE IMPROVEMENT")</f>
        <v>MUNICH FRONT GATE DRAINAGE IMPROVEMENT</v>
      </c>
    </row>
    <row r="1828">
      <c r="A1828" s="234">
        <f>IFERROR(__xludf.DUMMYFUNCTION("""COMPUTED_VALUE"""),102119.0)</f>
        <v>102119</v>
      </c>
      <c r="B1828" s="235" t="str">
        <f>IFERROR(__xludf.DUMMYFUNCTION("""COMPUTED_VALUE"""),"LUCILLE BEYER")</f>
        <v>LUCILLE BEYER</v>
      </c>
      <c r="C1828" s="235" t="str">
        <f>IFERROR(__xludf.DUMMYFUNCTION("""COMPUTED_VALUE"""),"CLINIC")</f>
        <v>CLINIC</v>
      </c>
      <c r="D1828" s="196" t="str">
        <f>IFERROR(__xludf.DUMMYFUNCTION("""COMPUTED_VALUE"""),"TENT ANY COLOR 1PC; TOUCHLESS FAUCET 2PCS;")</f>
        <v>TENT ANY COLOR 1PC; TOUCHLESS FAUCET 2PCS;</v>
      </c>
      <c r="E1828" s="196" t="str">
        <f>IFERROR(__xludf.DUMMYFUNCTION("""COMPUTED_VALUE"""),"FOR USE OF AS TRIAGE AREA/CR ISOLATION AREA")</f>
        <v>FOR USE OF AS TRIAGE AREA/CR ISOLATION AREA</v>
      </c>
    </row>
    <row r="1829">
      <c r="A1829" s="234">
        <f>IFERROR(__xludf.DUMMYFUNCTION("""COMPUTED_VALUE"""),102120.0)</f>
        <v>102120</v>
      </c>
      <c r="B1829" s="235" t="str">
        <f>IFERROR(__xludf.DUMMYFUNCTION("""COMPUTED_VALUE"""),"KENNETH ANCERMO ")</f>
        <v>KENNETH ANCERMO </v>
      </c>
      <c r="C1829" s="235" t="str">
        <f>IFERROR(__xludf.DUMMYFUNCTION("""COMPUTED_VALUE"""),"AMD")</f>
        <v>AMD</v>
      </c>
      <c r="D1829" s="196" t="str">
        <f>IFERROR(__xludf.DUMMYFUNCTION("""COMPUTED_VALUE"""),"Paper, Copy-Laser Sub. 20 Short White, 'Paper, Copy-Laser Sub. 20 Long White")</f>
        <v>Paper, Copy-Laser Sub. 20 Short White, 'Paper, Copy-Laser Sub. 20 Long White</v>
      </c>
      <c r="E1829" s="196" t="str">
        <f>IFERROR(__xludf.DUMMYFUNCTION("""COMPUTED_VALUE"""),"OSSUP STOCK REPLENISHMENT ")</f>
        <v>OSSUP STOCK REPLENISHMENT </v>
      </c>
    </row>
    <row r="1830">
      <c r="A1830" s="234">
        <f>IFERROR(__xludf.DUMMYFUNCTION("""COMPUTED_VALUE"""),102121.0)</f>
        <v>102121</v>
      </c>
      <c r="B1830" s="235" t="str">
        <f>IFERROR(__xludf.DUMMYFUNCTION("""COMPUTED_VALUE"""),"KENNETH ANCERMO ")</f>
        <v>KENNETH ANCERMO </v>
      </c>
      <c r="C1830" s="235" t="str">
        <f>IFERROR(__xludf.DUMMYFUNCTION("""COMPUTED_VALUE"""),"AMD")</f>
        <v>AMD</v>
      </c>
      <c r="D1830" s="196" t="str">
        <f>IFERROR(__xludf.DUMMYFUNCTION("""COMPUTED_VALUE"""),"TOWEL, HAND - GOOD MORNING")</f>
        <v>TOWEL, HAND - GOOD MORNING</v>
      </c>
      <c r="E1830" s="196" t="str">
        <f>IFERROR(__xludf.DUMMYFUNCTION("""COMPUTED_VALUE"""),"OSSUP STOCK REPLENISHMENT ")</f>
        <v>OSSUP STOCK REPLENISHMENT </v>
      </c>
    </row>
    <row r="1831">
      <c r="A1831" s="234">
        <f>IFERROR(__xludf.DUMMYFUNCTION("""COMPUTED_VALUE"""),102122.0)</f>
        <v>102122</v>
      </c>
      <c r="B1831" s="235" t="str">
        <f>IFERROR(__xludf.DUMMYFUNCTION("""COMPUTED_VALUE"""),"ALFA DE LEON")</f>
        <v>ALFA DE LEON</v>
      </c>
      <c r="C1831" s="235" t="str">
        <f>IFERROR(__xludf.DUMMYFUNCTION("""COMPUTED_VALUE"""),"ADMIN")</f>
        <v>ADMIN</v>
      </c>
      <c r="D1831" s="196" t="str">
        <f>IFERROR(__xludf.DUMMYFUNCTION("""COMPUTED_VALUE"""),"ENELOOP AA RECHARGABLE BATTERY 2000 MAA BATTERY")</f>
        <v>ENELOOP AA RECHARGABLE BATTERY 2000 MAA BATTERY</v>
      </c>
      <c r="E1831" s="196" t="str">
        <f>IFERROR(__xludf.DUMMYFUNCTION("""COMPUTED_VALUE"""),"BSN 2ND CHED VISIT")</f>
        <v>BSN 2ND CHED VISIT</v>
      </c>
    </row>
    <row r="1832">
      <c r="A1832" s="234">
        <f>IFERROR(__xludf.DUMMYFUNCTION("""COMPUTED_VALUE"""),102123.0)</f>
        <v>102123</v>
      </c>
      <c r="B1832" s="235" t="str">
        <f>IFERROR(__xludf.DUMMYFUNCTION("""COMPUTED_VALUE"""),"ALFA DE LEON")</f>
        <v>ALFA DE LEON</v>
      </c>
      <c r="C1832" s="235" t="str">
        <f>IFERROR(__xludf.DUMMYFUNCTION("""COMPUTED_VALUE"""),"ADMIN")</f>
        <v>ADMIN</v>
      </c>
      <c r="D1832" s="196" t="str">
        <f>IFERROR(__xludf.DUMMYFUNCTION("""COMPUTED_VALUE"""),"TRASH CAN FOOT LEVER")</f>
        <v>TRASH CAN FOOT LEVER</v>
      </c>
      <c r="E1832" s="196" t="str">
        <f>IFERROR(__xludf.DUMMYFUNCTION("""COMPUTED_VALUE"""),"RESTROOMS STANDARDIZATION")</f>
        <v>RESTROOMS STANDARDIZATION</v>
      </c>
    </row>
    <row r="1833">
      <c r="A1833" s="234">
        <f>IFERROR(__xludf.DUMMYFUNCTION("""COMPUTED_VALUE"""),102124.0)</f>
        <v>102124</v>
      </c>
      <c r="B1833" s="235" t="str">
        <f>IFERROR(__xludf.DUMMYFUNCTION("""COMPUTED_VALUE"""),"KENNETH ANCERMO ")</f>
        <v>KENNETH ANCERMO </v>
      </c>
      <c r="C1833" s="235" t="str">
        <f>IFERROR(__xludf.DUMMYFUNCTION("""COMPUTED_VALUE"""),"AMD")</f>
        <v>AMD</v>
      </c>
      <c r="D1833" s="196" t="str">
        <f>IFERROR(__xludf.DUMMYFUNCTION("""COMPUTED_VALUE"""),"Ballpen, Panda Black, Glue, Elmer's - 130gs (OSSUP), Battery, Energizer Size AAA")</f>
        <v>Ballpen, Panda Black, Glue, Elmer's - 130gs (OSSUP), Battery, Energizer Size AAA</v>
      </c>
      <c r="E1833" s="196" t="str">
        <f>IFERROR(__xludf.DUMMYFUNCTION("""COMPUTED_VALUE"""),"OSSUP STOCK REPLENISHMENT ")</f>
        <v>OSSUP STOCK REPLENISHMENT </v>
      </c>
    </row>
    <row r="1834">
      <c r="A1834" s="234">
        <f>IFERROR(__xludf.DUMMYFUNCTION("""COMPUTED_VALUE"""),102125.0)</f>
        <v>102125</v>
      </c>
      <c r="B1834" s="235" t="str">
        <f>IFERROR(__xludf.DUMMYFUNCTION("""COMPUTED_VALUE"""),"ELMIE LAUDITO ")</f>
        <v>ELMIE LAUDITO </v>
      </c>
      <c r="C1834" s="235" t="str">
        <f>IFERROR(__xludf.DUMMYFUNCTION("""COMPUTED_VALUE"""),"HRMD")</f>
        <v>HRMD</v>
      </c>
      <c r="D1834" s="196" t="str">
        <f>IFERROR(__xludf.DUMMYFUNCTION("""COMPUTED_VALUE"""),"BIOMETRIC DEVICE ANVIZ C2 PRO SPECS:  SKU C2 PRO, PROFESSIONAL POE FINGER PRINT AND CARD TERMINAL 3.5"" TFT LCD DISPLAY LINUX PLATFORM, DUAL CORE 1G PROCESSOR, 512 MDDR 3 8GB FLASH LESS THAN 0.5S, AUTHENTICATION, 5000 FINGERPRINTS, 100000 RECORDS 1XRELAY,"&amp;" 1XRS 232,TCP /IP,  WIFI USB HOST, POE DC 5-12 V/1A WEB SERVER EM PROXIMITY,  AUTHENTICATIONS: ID + PW, FP, ID+PW,  PW+CARD, FP+CARD, FP+PW")</f>
        <v>BIOMETRIC DEVICE ANVIZ C2 PRO SPECS:  SKU C2 PRO, PROFESSIONAL POE FINGER PRINT AND CARD TERMINAL 3.5" TFT LCD DISPLAY LINUX PLATFORM, DUAL CORE 1G PROCESSOR, 512 MDDR 3 8GB FLASH LESS THAN 0.5S, AUTHENTICATION, 5000 FINGERPRINTS, 100000 RECORDS 1XRELAY, 1XRS 232,TCP /IP,  WIFI USB HOST, POE DC 5-12 V/1A WEB SERVER EM PROXIMITY,  AUTHENTICATIONS: ID + PW, FP, ID+PW,  PW+CARD, FP+CARD, FP+PW</v>
      </c>
      <c r="E1834" s="196" t="str">
        <f>IFERROR(__xludf.DUMMYFUNCTION("""COMPUTED_VALUE"""),"FOR EMPLOYEE DTR")</f>
        <v>FOR EMPLOYEE DTR</v>
      </c>
    </row>
    <row r="1835">
      <c r="A1835" s="234">
        <f>IFERROR(__xludf.DUMMYFUNCTION("""COMPUTED_VALUE"""),102126.0)</f>
        <v>102126</v>
      </c>
      <c r="B1835" s="235" t="str">
        <f>IFERROR(__xludf.DUMMYFUNCTION("""COMPUTED_VALUE"""),"OWIE PAR")</f>
        <v>OWIE PAR</v>
      </c>
      <c r="C1835" s="235" t="str">
        <f>IFERROR(__xludf.DUMMYFUNCTION("""COMPUTED_VALUE"""),"ENGINEERING")</f>
        <v>ENGINEERING</v>
      </c>
      <c r="D1835" s="196" t="str">
        <f>IFERROR(__xludf.DUMMYFUNCTION("""COMPUTED_VALUE"""),"MOP GAS NOZZLE, MOP GAZ, R22 22.7 KGS, COPPER TUBE ELBOW 3/4, SILVER ROD, INSULATION  3/4 X 3/4, INSULATION 3/8 X 3/4, 4/8X3/4, INSULATION, COPPER TUBE 5/8, COPPER TUBE 1/4, WHITE FILM, NITRO GAS, ANGLE BAR 2X2 , DYNA BOLT 3/8, MASONRY BIT 7/18")</f>
        <v>MOP GAS NOZZLE, MOP GAZ, R22 22.7 KGS, COPPER TUBE ELBOW 3/4, SILVER ROD, INSULATION  3/4 X 3/4, INSULATION 3/8 X 3/4, 4/8X3/4, INSULATION, COPPER TUBE 5/8, COPPER TUBE 1/4, WHITE FILM, NITRO GAS, ANGLE BAR 2X2 , DYNA BOLT 3/8, MASONRY BIT 7/18</v>
      </c>
      <c r="E1835" s="196" t="str">
        <f>IFERROR(__xludf.DUMMYFUNCTION("""COMPUTED_VALUE"""),"FOR RELOCATION OF ACU OUTDOOR TROPICAL ")</f>
        <v>FOR RELOCATION OF ACU OUTDOOR TROPICAL </v>
      </c>
    </row>
    <row r="1836">
      <c r="A1836" s="234">
        <f>IFERROR(__xludf.DUMMYFUNCTION("""COMPUTED_VALUE"""),102127.0)</f>
        <v>102127</v>
      </c>
      <c r="B1836" s="235" t="str">
        <f>IFERROR(__xludf.DUMMYFUNCTION("""COMPUTED_VALUE"""),"CARLITO DELA VEGA")</f>
        <v>CARLITO DELA VEGA</v>
      </c>
      <c r="C1836" s="235" t="str">
        <f>IFERROR(__xludf.DUMMYFUNCTION("""COMPUTED_VALUE"""),"SECURITY")</f>
        <v>SECURITY</v>
      </c>
      <c r="D1836" s="196" t="str">
        <f>IFERROR(__xludf.DUMMYFUNCTION("""COMPUTED_VALUE"""),"REFLECTORIZED STICKER PURPLE 3"" WIDTH")</f>
        <v>REFLECTORIZED STICKER PURPLE 3" WIDTH</v>
      </c>
      <c r="E1836" s="196" t="str">
        <f>IFERROR(__xludf.DUMMYFUNCTION("""COMPUTED_VALUE"""),"FOR TRAFFIC TRUNCHEON POLE ")</f>
        <v>FOR TRAFFIC TRUNCHEON POLE </v>
      </c>
    </row>
    <row r="1837">
      <c r="A1837" s="234">
        <f>IFERROR(__xludf.DUMMYFUNCTION("""COMPUTED_VALUE"""),102128.0)</f>
        <v>102128</v>
      </c>
      <c r="B1837" s="235" t="str">
        <f>IFERROR(__xludf.DUMMYFUNCTION("""COMPUTED_VALUE"""),"KENNETH ANCERMO")</f>
        <v>KENNETH ANCERMO</v>
      </c>
      <c r="C1837" s="235" t="str">
        <f>IFERROR(__xludf.DUMMYFUNCTION("""COMPUTED_VALUE"""),"AMD")</f>
        <v>AMD</v>
      </c>
      <c r="D1837" s="196" t="str">
        <f>IFERROR(__xludf.DUMMYFUNCTION("""COMPUTED_VALUE"""),"Tissue, Roll Bath 2ply (Sanicare)")</f>
        <v>Tissue, Roll Bath 2ply (Sanicare)</v>
      </c>
      <c r="E1837" s="196" t="str">
        <f>IFERROR(__xludf.DUMMYFUNCTION("""COMPUTED_VALUE"""),"OSSUP STOCK REPLENISHMENT")</f>
        <v>OSSUP STOCK REPLENISHMENT</v>
      </c>
    </row>
    <row r="1838">
      <c r="A1838" s="234">
        <f>IFERROR(__xludf.DUMMYFUNCTION("""COMPUTED_VALUE"""),102129.0)</f>
        <v>102129</v>
      </c>
      <c r="B1838" s="235" t="str">
        <f>IFERROR(__xludf.DUMMYFUNCTION("""COMPUTED_VALUE"""),"RONALDO VERDE/DEAN CARMEL ")</f>
        <v>RONALDO VERDE/DEAN CARMEL </v>
      </c>
      <c r="C1838" s="235" t="str">
        <f>IFERROR(__xludf.DUMMYFUNCTION("""COMPUTED_VALUE"""),"ADMIN")</f>
        <v>ADMIN</v>
      </c>
      <c r="D1838" s="196" t="str">
        <f>IFERROR(__xludf.DUMMYFUNCTION("""COMPUTED_VALUE"""),"AUTOMATIC FAUCET SEFA BRAND , EXHAUST FAN OMNI 12"", EXHAUST FAN OMNI 8"", FLAT CORD, TELEPHONE UNIT")</f>
        <v>AUTOMATIC FAUCET SEFA BRAND , EXHAUST FAN OMNI 12", EXHAUST FAN OMNI 8", FLAT CORD, TELEPHONE UNIT</v>
      </c>
      <c r="E1838" s="196" t="str">
        <f>IFERROR(__xludf.DUMMYFUNCTION("""COMPUTED_VALUE"""),"ADDTL CHED REQUIREMENT FOR THE LIMITED FACE TO FACE CLASSSES")</f>
        <v>ADDTL CHED REQUIREMENT FOR THE LIMITED FACE TO FACE CLASSSES</v>
      </c>
    </row>
    <row r="1839">
      <c r="A1839" s="234">
        <f>IFERROR(__xludf.DUMMYFUNCTION("""COMPUTED_VALUE"""),102130.0)</f>
        <v>102130</v>
      </c>
      <c r="B1839" s="235" t="str">
        <f>IFERROR(__xludf.DUMMYFUNCTION("""COMPUTED_VALUE"""),"CHIRSTIAN ANDRES")</f>
        <v>CHIRSTIAN ANDRES</v>
      </c>
      <c r="C1839" s="235" t="str">
        <f>IFERROR(__xludf.DUMMYFUNCTION("""COMPUTED_VALUE"""),"PR &amp; MARKETING")</f>
        <v>PR &amp; MARKETING</v>
      </c>
      <c r="D1839" s="196" t="str">
        <f>IFERROR(__xludf.DUMMYFUNCTION("""COMPUTED_VALUE"""),"ATC BANNER FRONT AND BACK 1.5 X 3.5 METER WITH EYELET (OMNI PRINT)")</f>
        <v>ATC BANNER FRONT AND BACK 1.5 X 3.5 METER WITH EYELET (OMNI PRINT)</v>
      </c>
      <c r="E1839" s="196" t="str">
        <f>IFERROR(__xludf.DUMMYFUNCTION("""COMPUTED_VALUE"""),"MARKETING ")</f>
        <v>MARKETING </v>
      </c>
    </row>
    <row r="1840">
      <c r="A1840" s="234">
        <f>IFERROR(__xludf.DUMMYFUNCTION("""COMPUTED_VALUE"""),102131.0)</f>
        <v>102131</v>
      </c>
      <c r="B1840" s="235" t="str">
        <f>IFERROR(__xludf.DUMMYFUNCTION("""COMPUTED_VALUE"""),"RON OBLENO")</f>
        <v>RON OBLENO</v>
      </c>
      <c r="C1840" s="235" t="str">
        <f>IFERROR(__xludf.DUMMYFUNCTION("""COMPUTED_VALUE"""),"MIS")</f>
        <v>MIS</v>
      </c>
      <c r="D1840" s="196" t="str">
        <f>IFERROR(__xludf.DUMMYFUNCTION("""COMPUTED_VALUE"""),"VIEWSONIC 22'' LED MONITOR ")</f>
        <v>VIEWSONIC 22'' LED MONITOR </v>
      </c>
      <c r="E1840" s="196" t="str">
        <f>IFERROR(__xludf.DUMMYFUNCTION("""COMPUTED_VALUE"""),"REPLACEMENT OF DEFECTIVE MONITOR IN LUX FRONT GATE")</f>
        <v>REPLACEMENT OF DEFECTIVE MONITOR IN LUX FRONT GATE</v>
      </c>
    </row>
    <row r="1841">
      <c r="A1841" s="234">
        <f>IFERROR(__xludf.DUMMYFUNCTION("""COMPUTED_VALUE"""),102132.0)</f>
        <v>102132</v>
      </c>
      <c r="B1841" s="235" t="str">
        <f>IFERROR(__xludf.DUMMYFUNCTION("""COMPUTED_VALUE"""),"RENZ BLANCA ")</f>
        <v>RENZ BLANCA </v>
      </c>
      <c r="C1841" s="235" t="str">
        <f>IFERROR(__xludf.DUMMYFUNCTION("""COMPUTED_VALUE"""),"HRMD")</f>
        <v>HRMD</v>
      </c>
      <c r="D1841" s="196" t="str">
        <f>IFERROR(__xludf.DUMMYFUNCTION("""COMPUTED_VALUE"""),"FLOWER WREATH ")</f>
        <v>FLOWER WREATH </v>
      </c>
      <c r="E1841" s="196" t="str">
        <f>IFERROR(__xludf.DUMMYFUNCTION("""COMPUTED_VALUE"""),"FOR WAKE/BEAREAVEMENT (MISS BENG YAGUE)")</f>
        <v>FOR WAKE/BEAREAVEMENT (MISS BENG YAGUE)</v>
      </c>
    </row>
    <row r="1842">
      <c r="A1842" s="234">
        <f>IFERROR(__xludf.DUMMYFUNCTION("""COMPUTED_VALUE"""),102133.0)</f>
        <v>102133</v>
      </c>
      <c r="B1842" s="235" t="str">
        <f>IFERROR(__xludf.DUMMYFUNCTION("""COMPUTED_VALUE"""),"ARNEL MONTABLAN ")</f>
        <v>ARNEL MONTABLAN </v>
      </c>
      <c r="C1842" s="235" t="str">
        <f>IFERROR(__xludf.DUMMYFUNCTION("""COMPUTED_VALUE"""),"GLT SCHOLARS")</f>
        <v>GLT SCHOLARS</v>
      </c>
      <c r="D1842" s="196" t="str">
        <f>IFERROR(__xludf.DUMMYFUNCTION("""COMPUTED_VALUE"""),"ELECTRIC FLAT IRON 1PC; METAL BLADE STAND FAN 5 PCS;")</f>
        <v>ELECTRIC FLAT IRON 1PC; METAL BLADE STAND FAN 5 PCS;</v>
      </c>
      <c r="E1842" s="196" t="str">
        <f>IFERROR(__xludf.DUMMYFUNCTION("""COMPUTED_VALUE"""),"FOR GLT BOYS USE")</f>
        <v>FOR GLT BOYS USE</v>
      </c>
    </row>
    <row r="1843">
      <c r="A1843" s="234">
        <f>IFERROR(__xludf.DUMMYFUNCTION("""COMPUTED_VALUE"""),102134.0)</f>
        <v>102134</v>
      </c>
      <c r="B1843" s="235" t="str">
        <f>IFERROR(__xludf.DUMMYFUNCTION("""COMPUTED_VALUE"""),"JOMEL BUTIAL ")</f>
        <v>JOMEL BUTIAL </v>
      </c>
      <c r="C1843" s="235" t="str">
        <f>IFERROR(__xludf.DUMMYFUNCTION("""COMPUTED_VALUE"""),"AMD")</f>
        <v>AMD</v>
      </c>
      <c r="D1843" s="196" t="str">
        <f>IFERROR(__xludf.DUMMYFUNCTION("""COMPUTED_VALUE""")," SPRAY GUN 50 PCS; MR. MUSCLE SUPER TOILET CLEANER 20 PCS; RAINBOOTS FOR GIRLS 10 PCS; ")</f>
        <v> SPRAY GUN 50 PCS; MR. MUSCLE SUPER TOILET CLEANER 20 PCS; RAINBOOTS FOR GIRLS 10 PCS; </v>
      </c>
      <c r="E1843" s="196" t="str">
        <f>IFERROR(__xludf.DUMMYFUNCTION("""COMPUTED_VALUE"""),"STOCK REPLENISHMENT FOR NOVEMBER 2021")</f>
        <v>STOCK REPLENISHMENT FOR NOVEMBER 2021</v>
      </c>
    </row>
    <row r="1844">
      <c r="A1844" s="234">
        <f>IFERROR(__xludf.DUMMYFUNCTION("""COMPUTED_VALUE"""),102135.0)</f>
        <v>102135</v>
      </c>
      <c r="B1844" s="235" t="str">
        <f>IFERROR(__xludf.DUMMYFUNCTION("""COMPUTED_VALUE"""),"JOMEL BUTIAL ")</f>
        <v>JOMEL BUTIAL </v>
      </c>
      <c r="C1844" s="235" t="str">
        <f>IFERROR(__xludf.DUMMYFUNCTION("""COMPUTED_VALUE"""),"AMD")</f>
        <v>AMD</v>
      </c>
      <c r="D1844" s="196" t="str">
        <f>IFERROR(__xludf.DUMMYFUNCTION("""COMPUTED_VALUE"""),"CHAMPION POWDER SOAP 800g 80 PCS; ")</f>
        <v>CHAMPION POWDER SOAP 800g 80 PCS; </v>
      </c>
      <c r="E1844" s="196" t="str">
        <f>IFERROR(__xludf.DUMMYFUNCTION("""COMPUTED_VALUE"""),"STOCK REPLENISHMENT FOR NOVEMBER 2021")</f>
        <v>STOCK REPLENISHMENT FOR NOVEMBER 2021</v>
      </c>
    </row>
    <row r="1845">
      <c r="A1845" s="234">
        <f>IFERROR(__xludf.DUMMYFUNCTION("""COMPUTED_VALUE"""),102136.0)</f>
        <v>102136</v>
      </c>
      <c r="B1845" s="235" t="str">
        <f>IFERROR(__xludf.DUMMYFUNCTION("""COMPUTED_VALUE"""),"JOMEL BUTIAL ")</f>
        <v>JOMEL BUTIAL </v>
      </c>
      <c r="C1845" s="235" t="str">
        <f>IFERROR(__xludf.DUMMYFUNCTION("""COMPUTED_VALUE"""),"AMD")</f>
        <v>AMD</v>
      </c>
      <c r="D1845" s="196" t="str">
        <f>IFERROR(__xludf.DUMMYFUNCTION("""COMPUTED_VALUE"""),"FLANELLA BLUE, PINK, YELLOW 200 PCS EACH (TROPICAL PALMS)")</f>
        <v>FLANELLA BLUE, PINK, YELLOW 200 PCS EACH (TROPICAL PALMS)</v>
      </c>
      <c r="E1845" s="196" t="str">
        <f>IFERROR(__xludf.DUMMYFUNCTION("""COMPUTED_VALUE"""),"STOCK REPLENISHMENT FOR NOVEMBER 2021")</f>
        <v>STOCK REPLENISHMENT FOR NOVEMBER 2021</v>
      </c>
    </row>
    <row r="1846">
      <c r="A1846" s="234">
        <f>IFERROR(__xludf.DUMMYFUNCTION("""COMPUTED_VALUE"""),102137.0)</f>
        <v>102137</v>
      </c>
      <c r="B1846" s="235" t="str">
        <f>IFERROR(__xludf.DUMMYFUNCTION("""COMPUTED_VALUE"""),"RONALD OBLENO")</f>
        <v>RONALD OBLENO</v>
      </c>
      <c r="C1846" s="235" t="str">
        <f>IFERROR(__xludf.DUMMYFUNCTION("""COMPUTED_VALUE"""),"MIS")</f>
        <v>MIS</v>
      </c>
      <c r="D1846" s="196" t="str">
        <f>IFERROR(__xludf.DUMMYFUNCTION("""COMPUTED_VALUE"""),"HDMI CABLE 20 METERS 2 PCS; HDMI CABLE 10 METERS 6 PCS; HDMI CABLE 5 METERS 4PCS; HDMI CABLE 2 METERS 10PCS;")</f>
        <v>HDMI CABLE 20 METERS 2 PCS; HDMI CABLE 10 METERS 6 PCS; HDMI CABLE 5 METERS 4PCS; HDMI CABLE 2 METERS 10PCS;</v>
      </c>
      <c r="E1846" s="196" t="str">
        <f>IFERROR(__xludf.DUMMYFUNCTION("""COMPUTED_VALUE"""),"REPLACEMENT OF HDMI CABLES IN CMIC &amp; DEFECTIVE HDMI USED FOR EVENTS")</f>
        <v>REPLACEMENT OF HDMI CABLES IN CMIC &amp; DEFECTIVE HDMI USED FOR EVENTS</v>
      </c>
    </row>
    <row r="1847">
      <c r="A1847" s="234">
        <f>IFERROR(__xludf.DUMMYFUNCTION("""COMPUTED_VALUE"""),102138.0)</f>
        <v>102138</v>
      </c>
      <c r="B1847" s="235" t="str">
        <f>IFERROR(__xludf.DUMMYFUNCTION("""COMPUTED_VALUE"""),"SHEREE ESPINOSA ")</f>
        <v>SHEREE ESPINOSA </v>
      </c>
      <c r="C1847" s="235" t="str">
        <f>IFERROR(__xludf.DUMMYFUNCTION("""COMPUTED_VALUE"""),"PRESIDENT'S OFFICE")</f>
        <v>PRESIDENT'S OFFICE</v>
      </c>
      <c r="D1847" s="196" t="str">
        <f>IFERROR(__xludf.DUMMYFUNCTION("""COMPUTED_VALUE"""),"RING LIGHT ")</f>
        <v>RING LIGHT </v>
      </c>
      <c r="E1847" s="196" t="str">
        <f>IFERROR(__xludf.DUMMYFUNCTION("""COMPUTED_VALUE"""),"FOR PRESIDENT'S USE ")</f>
        <v>FOR PRESIDENT'S USE </v>
      </c>
    </row>
    <row r="1848">
      <c r="A1848" s="234">
        <f>IFERROR(__xludf.DUMMYFUNCTION("""COMPUTED_VALUE"""),102139.0)</f>
        <v>102139</v>
      </c>
      <c r="B1848" s="235" t="str">
        <f>IFERROR(__xludf.DUMMYFUNCTION("""COMPUTED_VALUE"""),"RONALD VERDE/ AR. TIM DIOSAY")</f>
        <v>RONALD VERDE/ AR. TIM DIOSAY</v>
      </c>
      <c r="C1848" s="235" t="str">
        <f>IFERROR(__xludf.DUMMYFUNCTION("""COMPUTED_VALUE"""),"ADMIN")</f>
        <v>ADMIN</v>
      </c>
      <c r="D1848" s="196" t="str">
        <f>IFERROR(__xludf.DUMMYFUNCTION("""COMPUTED_VALUE"""),"1/4  PLYWOOD 4X8 MARINE, 2X2X10 KD ")</f>
        <v>1/4  PLYWOOD 4X8 MARINE, 2X2X10 KD </v>
      </c>
      <c r="E1848" s="196" t="str">
        <f>IFERROR(__xludf.DUMMYFUNCTION("""COMPUTED_VALUE"""),"ADDITIONAL MATERIALS FOR COVERED WALKWAY CEILING  REPAIRS")</f>
        <v>ADDITIONAL MATERIALS FOR COVERED WALKWAY CEILING  REPAIRS</v>
      </c>
    </row>
    <row r="1849">
      <c r="A1849" s="234">
        <f>IFERROR(__xludf.DUMMYFUNCTION("""COMPUTED_VALUE"""),102140.0)</f>
        <v>102140</v>
      </c>
      <c r="B1849" s="235" t="str">
        <f>IFERROR(__xludf.DUMMYFUNCTION("""COMPUTED_VALUE"""),"ALFA DE LEON/SHEREE ESPINOSA")</f>
        <v>ALFA DE LEON/SHEREE ESPINOSA</v>
      </c>
      <c r="C1849" s="235" t="str">
        <f>IFERROR(__xludf.DUMMYFUNCTION("""COMPUTED_VALUE"""),"ADMIN")</f>
        <v>ADMIN</v>
      </c>
      <c r="D1849" s="196" t="str">
        <f>IFERROR(__xludf.DUMMYFUNCTION("""COMPUTED_VALUE"""),"ROPE LIGHT COLOR WARM WHITE, BULB, CABLE TIE")</f>
        <v>ROPE LIGHT COLOR WARM WHITE, BULB, CABLE TIE</v>
      </c>
      <c r="E1849" s="196" t="str">
        <f>IFERROR(__xludf.DUMMYFUNCTION("""COMPUTED_VALUE"""),"REPAIR OF CAPIZ PAROL FOR LUXEMBOURG MUNICH AND STAR CAMPUS")</f>
        <v>REPAIR OF CAPIZ PAROL FOR LUXEMBOURG MUNICH AND STAR CAMPUS</v>
      </c>
    </row>
    <row r="1850">
      <c r="A1850" s="234">
        <f>IFERROR(__xludf.DUMMYFUNCTION("""COMPUTED_VALUE"""),102141.0)</f>
        <v>102141</v>
      </c>
      <c r="B1850" s="235" t="str">
        <f>IFERROR(__xludf.DUMMYFUNCTION("""COMPUTED_VALUE"""),"ALFA DE LEON/SHEREE ESPINOSA")</f>
        <v>ALFA DE LEON/SHEREE ESPINOSA</v>
      </c>
      <c r="C1850" s="235" t="str">
        <f>IFERROR(__xludf.DUMMYFUNCTION("""COMPUTED_VALUE"""),"ADMIN")</f>
        <v>ADMIN</v>
      </c>
      <c r="D1850" s="196" t="str">
        <f>IFERROR(__xludf.DUMMYFUNCTION("""COMPUTED_VALUE"""),"(1 ROLL) PLASTIC COVER")</f>
        <v>(1 ROLL) PLASTIC COVER</v>
      </c>
      <c r="E1850" s="196" t="str">
        <f>IFERROR(__xludf.DUMMYFUNCTION("""COMPUTED_VALUE"""),"REPAIR OF CAPIZ PAROL FOR LUXEMBOURG MUNICH AND STAR CAMPUS")</f>
        <v>REPAIR OF CAPIZ PAROL FOR LUXEMBOURG MUNICH AND STAR CAMPUS</v>
      </c>
    </row>
    <row r="1851">
      <c r="A1851" s="234">
        <f>IFERROR(__xludf.DUMMYFUNCTION("""COMPUTED_VALUE"""),102142.0)</f>
        <v>102142</v>
      </c>
      <c r="B1851" s="235" t="str">
        <f>IFERROR(__xludf.DUMMYFUNCTION("""COMPUTED_VALUE"""),"ALFA DE LEON")</f>
        <v>ALFA DE LEON</v>
      </c>
      <c r="C1851" s="235" t="str">
        <f>IFERROR(__xludf.DUMMYFUNCTION("""COMPUTED_VALUE"""),"ADMIN")</f>
        <v>ADMIN</v>
      </c>
      <c r="D1851" s="196" t="str">
        <f>IFERROR(__xludf.DUMMYFUNCTION("""COMPUTED_VALUE"""),"ROPE LIGHT COL RED, ROPE LIGHT COL GREEN, ROPE LIGHT COL YELLOW, ROPE LIGHT COL PURPLE, ROPE LIGHT COL BLUE, CONTROL PANEL  ")</f>
        <v>ROPE LIGHT COL RED, ROPE LIGHT COL GREEN, ROPE LIGHT COL YELLOW, ROPE LIGHT COL PURPLE, ROPE LIGHT COL BLUE, CONTROL PANEL  </v>
      </c>
      <c r="E1851" s="196" t="str">
        <f>IFERROR(__xludf.DUMMYFUNCTION("""COMPUTED_VALUE"""),"REPAIR OF CHRISTMAS PAROLAND REINDEERS IN STAR CAMPUS")</f>
        <v>REPAIR OF CHRISTMAS PAROLAND REINDEERS IN STAR CAMPUS</v>
      </c>
    </row>
    <row r="1852">
      <c r="A1852" s="234">
        <f>IFERROR(__xludf.DUMMYFUNCTION("""COMPUTED_VALUE"""),102143.0)</f>
        <v>102143</v>
      </c>
      <c r="B1852" s="235" t="str">
        <f>IFERROR(__xludf.DUMMYFUNCTION("""COMPUTED_VALUE"""),"ALFA DE LEON")</f>
        <v>ALFA DE LEON</v>
      </c>
      <c r="C1852" s="235" t="str">
        <f>IFERROR(__xludf.DUMMYFUNCTION("""COMPUTED_VALUE"""),"LANDSCAPING")</f>
        <v>LANDSCAPING</v>
      </c>
      <c r="D1852" s="196" t="str">
        <f>IFERROR(__xludf.DUMMYFUNCTION("""COMPUTED_VALUE"""),"SCISSORS LONG, SCISSORS SHORT,SCISSORS SMALL,KUTSARA, ITAK   ")</f>
        <v>SCISSORS LONG, SCISSORS SHORT,SCISSORS SMALL,KUTSARA, ITAK   </v>
      </c>
      <c r="E1852" s="196" t="str">
        <f>IFERROR(__xludf.DUMMYFUNCTION("""COMPUTED_VALUE"""),"REPLACEMENT OF BROKEN TOOLS")</f>
        <v>REPLACEMENT OF BROKEN TOOLS</v>
      </c>
    </row>
    <row r="1853">
      <c r="A1853" s="234">
        <f>IFERROR(__xludf.DUMMYFUNCTION("""COMPUTED_VALUE"""),102144.0)</f>
        <v>102144</v>
      </c>
      <c r="B1853" s="235" t="str">
        <f>IFERROR(__xludf.DUMMYFUNCTION("""COMPUTED_VALUE"""),"ALFA DE LEON/SHEREE ESPINOSA")</f>
        <v>ALFA DE LEON/SHEREE ESPINOSA</v>
      </c>
      <c r="C1853" s="235" t="str">
        <f>IFERROR(__xludf.DUMMYFUNCTION("""COMPUTED_VALUE"""),"ADMIN")</f>
        <v>ADMIN</v>
      </c>
      <c r="D1853" s="196" t="str">
        <f>IFERROR(__xludf.DUMMYFUNCTION("""COMPUTED_VALUE"""),"STANCHION POST RETRACTABLE POST, STRETCH BARRIERS BELT COLOR RED 5 METERS")</f>
        <v>STANCHION POST RETRACTABLE POST, STRETCH BARRIERS BELT COLOR RED 5 METERS</v>
      </c>
      <c r="E1853" s="196" t="str">
        <f>IFERROR(__xludf.DUMMYFUNCTION("""COMPUTED_VALUE"""),"FOR BSN CHED VISIT ")</f>
        <v>FOR BSN CHED VISIT </v>
      </c>
    </row>
    <row r="1854">
      <c r="A1854" s="234">
        <f>IFERROR(__xludf.DUMMYFUNCTION("""COMPUTED_VALUE"""),102145.0)</f>
        <v>102145</v>
      </c>
      <c r="B1854" s="235" t="str">
        <f>IFERROR(__xludf.DUMMYFUNCTION("""COMPUTED_VALUE"""),"ALFA DE LEON/SHEREE ESPINOSA")</f>
        <v>ALFA DE LEON/SHEREE ESPINOSA</v>
      </c>
      <c r="C1854" s="235" t="str">
        <f>IFERROR(__xludf.DUMMYFUNCTION("""COMPUTED_VALUE"""),"ADMIN")</f>
        <v>ADMIN</v>
      </c>
      <c r="D1854" s="196" t="str">
        <f>IFERROR(__xludf.DUMMYFUNCTION("""COMPUTED_VALUE"""),"CAPIZ PAROL BIG 7PCS;")</f>
        <v>CAPIZ PAROL BIG 7PCS;</v>
      </c>
      <c r="E1854" s="196" t="str">
        <f>IFERROR(__xludf.DUMMYFUNCTION("""COMPUTED_VALUE"""),"CAPIZ PAROL IN COLLEGE CAMPUS")</f>
        <v>CAPIZ PAROL IN COLLEGE CAMPUS</v>
      </c>
    </row>
    <row r="1855">
      <c r="A1855" s="234">
        <f>IFERROR(__xludf.DUMMYFUNCTION("""COMPUTED_VALUE"""),102146.0)</f>
        <v>102146</v>
      </c>
      <c r="B1855" s="235" t="str">
        <f>IFERROR(__xludf.DUMMYFUNCTION("""COMPUTED_VALUE"""),"MELISSA ODOÑO/ARMIE ABABA")</f>
        <v>MELISSA ODOÑO/ARMIE ABABA</v>
      </c>
      <c r="C1855" s="235" t="str">
        <f>IFERROR(__xludf.DUMMYFUNCTION("""COMPUTED_VALUE"""),"LIBRARY BASIC ED")</f>
        <v>LIBRARY BASIC ED</v>
      </c>
      <c r="D1855" s="196" t="str">
        <f>IFERROR(__xludf.DUMMYFUNCTION("""COMPUTED_VALUE"""),"ENGLISH A: LANGUAGE AND LITERATURE COURSE COMPANION, ENGLISH A: 
CAMBRIDGE ENGLISH A: LANGUAGE AND LITERATURE FOR IB DIPLOMA ")</f>
        <v>ENGLISH A: LANGUAGE AND LITERATURE COURSE COMPANION, ENGLISH A: 
CAMBRIDGE ENGLISH A: LANGUAGE AND LITERATURE FOR IB DIPLOMA </v>
      </c>
      <c r="E1855" s="196" t="str">
        <f>IFERROR(__xludf.DUMMYFUNCTION("""COMPUTED_VALUE"""),"   LIBRARY'S COPY (TEACHERS USE  AY 2021-2022) ")</f>
        <v>   LIBRARY'S COPY (TEACHERS USE  AY 2021-2022) </v>
      </c>
    </row>
    <row r="1856">
      <c r="A1856" s="234">
        <f>IFERROR(__xludf.DUMMYFUNCTION("""COMPUTED_VALUE"""),102147.0)</f>
        <v>102147</v>
      </c>
      <c r="B1856" s="235" t="str">
        <f>IFERROR(__xludf.DUMMYFUNCTION("""COMPUTED_VALUE"""),"CARLITO DELA VEGA")</f>
        <v>CARLITO DELA VEGA</v>
      </c>
      <c r="C1856" s="235" t="str">
        <f>IFERROR(__xludf.DUMMYFUNCTION("""COMPUTED_VALUE"""),"SECURITY")</f>
        <v>SECURITY</v>
      </c>
      <c r="D1856" s="196" t="str">
        <f>IFERROR(__xludf.DUMMYFUNCTION("""COMPUTED_VALUE"""),"CUYI PET A4 50 SETS 5 PCS")</f>
        <v>CUYI PET A4 50 SETS 5 PCS</v>
      </c>
      <c r="E1856" s="196" t="str">
        <f>IFERROR(__xludf.DUMMYFUNCTION("""COMPUTED_VALUE"""),"PRINTING AND SIGNAGES")</f>
        <v>PRINTING AND SIGNAGES</v>
      </c>
    </row>
    <row r="1857">
      <c r="A1857" s="234">
        <f>IFERROR(__xludf.DUMMYFUNCTION("""COMPUTED_VALUE"""),102148.0)</f>
        <v>102148</v>
      </c>
      <c r="B1857" s="235" t="str">
        <f>IFERROR(__xludf.DUMMYFUNCTION("""COMPUTED_VALUE"""),"CHRISTIAN ANDRES ")</f>
        <v>CHRISTIAN ANDRES </v>
      </c>
      <c r="C1857" s="235" t="str">
        <f>IFERROR(__xludf.DUMMYFUNCTION("""COMPUTED_VALUE"""),"PR &amp; MARKETING")</f>
        <v>PR &amp; MARKETING</v>
      </c>
      <c r="D1857" s="196" t="str">
        <f>IFERROR(__xludf.DUMMYFUNCTION("""COMPUTED_VALUE"""),"STANDARD CONGRATULATORY TARP (MEATYOUR WONDER, PAYLENGKE APP)")</f>
        <v>STANDARD CONGRATULATORY TARP (MEATYOUR WONDER, PAYLENGKE APP)</v>
      </c>
      <c r="E1857" s="196" t="str">
        <f>IFERROR(__xludf.DUMMYFUNCTION("""COMPUTED_VALUE"""),"MARKETING")</f>
        <v>MARKETING</v>
      </c>
    </row>
    <row r="1858">
      <c r="A1858" s="234">
        <f>IFERROR(__xludf.DUMMYFUNCTION("""COMPUTED_VALUE"""),102149.0)</f>
        <v>102149</v>
      </c>
      <c r="B1858" s="235" t="str">
        <f>IFERROR(__xludf.DUMMYFUNCTION("""COMPUTED_VALUE"""),"KENNETH ANCERMO")</f>
        <v>KENNETH ANCERMO</v>
      </c>
      <c r="C1858" s="235" t="str">
        <f>IFERROR(__xludf.DUMMYFUNCTION("""COMPUTED_VALUE"""),"AMD")</f>
        <v>AMD</v>
      </c>
      <c r="D1858" s="196" t="str">
        <f>IFERROR(__xludf.DUMMYFUNCTION("""COMPUTED_VALUE"""),"Toner, Cartridge Inkonvert LBP6000 85A")</f>
        <v>Toner, Cartridge Inkonvert LBP6000 85A</v>
      </c>
      <c r="E1858" s="196" t="str">
        <f>IFERROR(__xludf.DUMMYFUNCTION("""COMPUTED_VALUE"""),"OSSUP STOCK REPLENISHMENT")</f>
        <v>OSSUP STOCK REPLENISHMENT</v>
      </c>
    </row>
    <row r="1859">
      <c r="A1859" s="234">
        <f>IFERROR(__xludf.DUMMYFUNCTION("""COMPUTED_VALUE"""),102150.0)</f>
        <v>102150</v>
      </c>
      <c r="B1859" s="235" t="str">
        <f>IFERROR(__xludf.DUMMYFUNCTION("""COMPUTED_VALUE"""),"ALFA DE LEON/SHEREE ESPINOSA")</f>
        <v>ALFA DE LEON/SHEREE ESPINOSA</v>
      </c>
      <c r="C1859" s="235"/>
      <c r="D1859" s="196" t="str">
        <f>IFERROR(__xludf.DUMMYFUNCTION("""COMPUTED_VALUE"""),"CHRISTMAS LIGHT WARM WHITE, CURTAIN LIGHTS WARM WHITE, TWIGS ASSORTED, CHRISTMAS BALLS ASSORTED, BIG STARS FOR CHRISTMAS TREES, GUN TACKER STANLEY 3/8"" (10 MM)")</f>
        <v>CHRISTMAS LIGHT WARM WHITE, CURTAIN LIGHTS WARM WHITE, TWIGS ASSORTED, CHRISTMAS BALLS ASSORTED, BIG STARS FOR CHRISTMAS TREES, GUN TACKER STANLEY 3/8" (10 MM)</v>
      </c>
      <c r="E1859" s="196" t="str">
        <f>IFERROR(__xludf.DUMMYFUNCTION("""COMPUTED_VALUE"""),"REPLACEMENT OF OLD CHRISTMAS DECOR FOR LUX, MUNICH AND STAR CAMPUS")</f>
        <v>REPLACEMENT OF OLD CHRISTMAS DECOR FOR LUX, MUNICH AND STAR CAMPUS</v>
      </c>
    </row>
    <row r="1860">
      <c r="A1860" s="234">
        <f>IFERROR(__xludf.DUMMYFUNCTION("""COMPUTED_VALUE"""),102151.0)</f>
        <v>102151</v>
      </c>
      <c r="B1860" s="235" t="str">
        <f>IFERROR(__xludf.DUMMYFUNCTION("""COMPUTED_VALUE"""),"JEREMIAH TIROL")</f>
        <v>JEREMIAH TIROL</v>
      </c>
      <c r="C1860" s="235" t="str">
        <f>IFERROR(__xludf.DUMMYFUNCTION("""COMPUTED_VALUE"""),"SCIENCE LAB COLLEGE")</f>
        <v>SCIENCE LAB COLLEGE</v>
      </c>
      <c r="D1860" s="196" t="str">
        <f>IFERROR(__xludf.DUMMYFUNCTION("""COMPUTED_VALUE"""),"PILLOW COVERS, BED SHEET WITH GARTER FOR OPERATING ROOM AND NURSERY ROOM, BLANKET FOR NURSRY ROOM BED, BLANKET FOR OPERATIING ROOM, BED SHEET WITH GARTER AND BLANKET NONARCH GYM, ORTHOPEDIC HEALTH CENTER BED SHEET ")</f>
        <v>PILLOW COVERS, BED SHEET WITH GARTER FOR OPERATING ROOM AND NURSERY ROOM, BLANKET FOR NURSRY ROOM BED, BLANKET FOR OPERATIING ROOM, BED SHEET WITH GARTER AND BLANKET NONARCH GYM, ORTHOPEDIC HEALTH CENTER BED SHEET </v>
      </c>
      <c r="E1860" s="196" t="str">
        <f>IFERROR(__xludf.DUMMYFUNCTION("""COMPUTED_VALUE"""),"FOR THE PREPARATION OF FACE TO FACE CLASS OF NURSING")</f>
        <v>FOR THE PREPARATION OF FACE TO FACE CLASS OF NURSING</v>
      </c>
    </row>
    <row r="1861">
      <c r="A1861" s="234">
        <f>IFERROR(__xludf.DUMMYFUNCTION("""COMPUTED_VALUE"""),102152.0)</f>
        <v>102152</v>
      </c>
      <c r="B1861" s="235" t="str">
        <f>IFERROR(__xludf.DUMMYFUNCTION("""COMPUTED_VALUE"""),"WEN CHARLS MACMAC")</f>
        <v>WEN CHARLS MACMAC</v>
      </c>
      <c r="C1861" s="235" t="str">
        <f>IFERROR(__xludf.DUMMYFUNCTION("""COMPUTED_VALUE"""),"REGISTRATION")</f>
        <v>REGISTRATION</v>
      </c>
      <c r="D1861" s="196" t="str">
        <f>IFERROR(__xludf.DUMMYFUNCTION("""COMPUTED_VALUE"""),"BASIC ED TRANSCRIPT OF RECORD SIZE: LONG, MONARCH PURPLE - PANTONE 269C, TEAL GREEN - PANTONE 7725C, MAGENTA RED -PANTONE 7427C BLACK AND WHITE; 6200 PCS")</f>
        <v>BASIC ED TRANSCRIPT OF RECORD SIZE: LONG, MONARCH PURPLE - PANTONE 269C, TEAL GREEN - PANTONE 7725C, MAGENTA RED -PANTONE 7427C BLACK AND WHITE; 6200 PCS</v>
      </c>
      <c r="E1861" s="196" t="str">
        <f>IFERROR(__xludf.DUMMYFUNCTION("""COMPUTED_VALUE"""),"FOR BASIC ED CREDENTIAL REQUEST")</f>
        <v>FOR BASIC ED CREDENTIAL REQUEST</v>
      </c>
    </row>
    <row r="1862">
      <c r="A1862" s="234">
        <f>IFERROR(__xludf.DUMMYFUNCTION("""COMPUTED_VALUE"""),102153.0)</f>
        <v>102153</v>
      </c>
      <c r="B1862" s="235" t="str">
        <f>IFERROR(__xludf.DUMMYFUNCTION("""COMPUTED_VALUE"""),"KENNETH ANCERMO")</f>
        <v>KENNETH ANCERMO</v>
      </c>
      <c r="C1862" s="235" t="str">
        <f>IFERROR(__xludf.DUMMYFUNCTION("""COMPUTED_VALUE"""),"AMD")</f>
        <v>AMD</v>
      </c>
      <c r="D1862" s="196" t="str">
        <f>IFERROR(__xludf.DUMMYFUNCTION("""COMPUTED_VALUE"""),"USB Mouse Logitech, VIEWSONIC VA1903a (19"" 1366x768 home and office monitor)")</f>
        <v>USB Mouse Logitech, VIEWSONIC VA1903a (19" 1366x768 home and office monitor)</v>
      </c>
      <c r="E1862" s="196" t="str">
        <f>IFERROR(__xludf.DUMMYFUNCTION("""COMPUTED_VALUE"""),"MIS SUPPLIES STOCK REPLENISHMENT ")</f>
        <v>MIS SUPPLIES STOCK REPLENISHMENT </v>
      </c>
    </row>
    <row r="1863">
      <c r="A1863" s="234">
        <f>IFERROR(__xludf.DUMMYFUNCTION("""COMPUTED_VALUE"""),102154.0)</f>
        <v>102154</v>
      </c>
      <c r="B1863" s="235" t="str">
        <f>IFERROR(__xludf.DUMMYFUNCTION("""COMPUTED_VALUE"""),"PHEN PETIN")</f>
        <v>PHEN PETIN</v>
      </c>
      <c r="C1863" s="235" t="str">
        <f>IFERROR(__xludf.DUMMYFUNCTION("""COMPUTED_VALUE"""),"ADMIN - STAR")</f>
        <v>ADMIN - STAR</v>
      </c>
      <c r="D1863" s="196" t="str">
        <f>IFERROR(__xludf.DUMMYFUNCTION("""COMPUTED_VALUE"""),"AUTOMATIC ALCOHOL DISPENSER WITH STAND")</f>
        <v>AUTOMATIC ALCOHOL DISPENSER WITH STAND</v>
      </c>
      <c r="E1863" s="196" t="str">
        <f>IFERROR(__xludf.DUMMYFUNCTION("""COMPUTED_VALUE"""),"STAR CAMPUS DEP ED REQUIREMENT ")</f>
        <v>STAR CAMPUS DEP ED REQUIREMENT </v>
      </c>
    </row>
    <row r="1864">
      <c r="A1864" s="234">
        <f>IFERROR(__xludf.DUMMYFUNCTION("""COMPUTED_VALUE"""),102155.0)</f>
        <v>102155</v>
      </c>
      <c r="B1864" s="235" t="str">
        <f>IFERROR(__xludf.DUMMYFUNCTION("""COMPUTED_VALUE"""),"KENNETH ANCERMO")</f>
        <v>KENNETH ANCERMO</v>
      </c>
      <c r="C1864" s="235" t="str">
        <f>IFERROR(__xludf.DUMMYFUNCTION("""COMPUTED_VALUE"""),"AMD")</f>
        <v>AMD</v>
      </c>
      <c r="D1864" s="196" t="str">
        <f>IFERROR(__xludf.DUMMYFUNCTION("""COMPUTED_VALUE"""),"Tape, Double Adhesive W/ Foam 1X1M, Battery, Energizer Size AA")</f>
        <v>Tape, Double Adhesive W/ Foam 1X1M, Battery, Energizer Size AA</v>
      </c>
      <c r="E1864" s="196" t="str">
        <f>IFERROR(__xludf.DUMMYFUNCTION("""COMPUTED_VALUE"""),"OSSUP STOCK REPLENISHMENT ")</f>
        <v>OSSUP STOCK REPLENISHMENT </v>
      </c>
    </row>
    <row r="1865">
      <c r="A1865" s="234">
        <f>IFERROR(__xludf.DUMMYFUNCTION("""COMPUTED_VALUE"""),102156.0)</f>
        <v>102156</v>
      </c>
      <c r="B1865" s="235" t="str">
        <f>IFERROR(__xludf.DUMMYFUNCTION("""COMPUTED_VALUE"""),"CAROL R. LACERNA ")</f>
        <v>CAROL R. LACERNA </v>
      </c>
      <c r="C1865" s="235" t="str">
        <f>IFERROR(__xludf.DUMMYFUNCTION("""COMPUTED_VALUE"""),"STUFFSHOP")</f>
        <v>STUFFSHOP</v>
      </c>
      <c r="D1865" s="196" t="str">
        <f>IFERROR(__xludf.DUMMYFUNCTION("""COMPUTED_VALUE"""),"Acer Nitro 5 AN515-57-53SB 15 Laptop &amp; 2nd Generation RT Cores. 3rd Generation Tensor Cores. Dynamic Boost 2.0  - UPGRADE")</f>
        <v>Acer Nitro 5 AN515-57-53SB 15 Laptop &amp; 2nd Generation RT Cores. 3rd Generation Tensor Cores. Dynamic Boost 2.0  - UPGRADE</v>
      </c>
      <c r="E1865" s="196" t="str">
        <f>IFERROR(__xludf.DUMMYFUNCTION("""COMPUTED_VALUE"""),"GADGET LOAN OF MISS ELONA P. DELA IGLESIA ")</f>
        <v>GADGET LOAN OF MISS ELONA P. DELA IGLESIA </v>
      </c>
    </row>
    <row r="1866">
      <c r="A1866" s="234">
        <f>IFERROR(__xludf.DUMMYFUNCTION("""COMPUTED_VALUE"""),102157.0)</f>
        <v>102157</v>
      </c>
      <c r="B1866" s="235" t="str">
        <f>IFERROR(__xludf.DUMMYFUNCTION("""COMPUTED_VALUE"""),"RON ARIATE ")</f>
        <v>RON ARIATE </v>
      </c>
      <c r="C1866" s="235" t="str">
        <f>IFERROR(__xludf.DUMMYFUNCTION("""COMPUTED_VALUE"""),"FINANCE &amp; ACCOUNTING")</f>
        <v>FINANCE &amp; ACCOUNTING</v>
      </c>
      <c r="D1866" s="196" t="str">
        <f>IFERROR(__xludf.DUMMYFUNCTION("""COMPUTED_VALUE"""),"TRODAT INK FOAM 4912")</f>
        <v>TRODAT INK FOAM 4912</v>
      </c>
      <c r="E1866" s="196" t="str">
        <f>IFERROR(__xludf.DUMMYFUNCTION("""COMPUTED_VALUE"""),"FOR TRODAT FOAM REPLACEMENT")</f>
        <v>FOR TRODAT FOAM REPLACEMENT</v>
      </c>
    </row>
    <row r="1867">
      <c r="A1867" s="234">
        <f>IFERROR(__xludf.DUMMYFUNCTION("""COMPUTED_VALUE"""),102158.0)</f>
        <v>102158</v>
      </c>
      <c r="B1867" s="235" t="str">
        <f>IFERROR(__xludf.DUMMYFUNCTION("""COMPUTED_VALUE"""),"PHEN PETIN")</f>
        <v>PHEN PETIN</v>
      </c>
      <c r="C1867" s="235" t="str">
        <f>IFERROR(__xludf.DUMMYFUNCTION("""COMPUTED_VALUE"""),"ADMIN - STAR")</f>
        <v>ADMIN - STAR</v>
      </c>
      <c r="D1867" s="196" t="str">
        <f>IFERROR(__xludf.DUMMYFUNCTION("""COMPUTED_VALUE"""),"FOOT MARKINGS VINYL STICKERS WITH FLOOR LAMINATION 10X10")</f>
        <v>FOOT MARKINGS VINYL STICKERS WITH FLOOR LAMINATION 10X10</v>
      </c>
      <c r="E1867" s="196" t="str">
        <f>IFERROR(__xludf.DUMMYFUNCTION("""COMPUTED_VALUE"""),"DEP ED REQUIREMENT")</f>
        <v>DEP ED REQUIREMENT</v>
      </c>
    </row>
    <row r="1868">
      <c r="A1868" s="234">
        <f>IFERROR(__xludf.DUMMYFUNCTION("""COMPUTED_VALUE"""),102159.0)</f>
        <v>102159</v>
      </c>
      <c r="B1868" s="235" t="str">
        <f>IFERROR(__xludf.DUMMYFUNCTION("""COMPUTED_VALUE"""),"ARMIE ABABA")</f>
        <v>ARMIE ABABA</v>
      </c>
      <c r="C1868" s="235" t="str">
        <f>IFERROR(__xludf.DUMMYFUNCTION("""COMPUTED_VALUE"""),"I.B.")</f>
        <v>I.B.</v>
      </c>
      <c r="D1868" s="196" t="str">
        <f>IFERROR(__xludf.DUMMYFUNCTION("""COMPUTED_VALUE"""),"KELVINATOR REF MODEL KTD230MN-R")</f>
        <v>KELVINATOR REF MODEL KTD230MN-R</v>
      </c>
      <c r="E1868" s="196" t="str">
        <f>IFERROR(__xludf.DUMMYFUNCTION("""COMPUTED_VALUE"""),"Reprocessing of the Kelvinator Ref that was left unpaid (March 01, 2019) under PO28160")</f>
        <v>Reprocessing of the Kelvinator Ref that was left unpaid (March 01, 2019) under PO28160</v>
      </c>
    </row>
    <row r="1869">
      <c r="A1869" s="234">
        <f>IFERROR(__xludf.DUMMYFUNCTION("""COMPUTED_VALUE"""),102160.0)</f>
        <v>102160</v>
      </c>
      <c r="B1869" s="235" t="str">
        <f>IFERROR(__xludf.DUMMYFUNCTION("""COMPUTED_VALUE"""),"ELYDIA REYES ")</f>
        <v>ELYDIA REYES </v>
      </c>
      <c r="C1869" s="235" t="str">
        <f>IFERROR(__xludf.DUMMYFUNCTION("""COMPUTED_VALUE"""),"PR &amp; MARKETING")</f>
        <v>PR &amp; MARKETING</v>
      </c>
      <c r="D1869" s="196" t="str">
        <f>IFERROR(__xludf.DUMMYFUNCTION("""COMPUTED_VALUE"""),"CHED AWARDING CEREMONY TARP 6.5""X13.5"" FT")</f>
        <v>CHED AWARDING CEREMONY TARP 6.5"X13.5" FT</v>
      </c>
      <c r="E1869" s="196" t="str">
        <f>IFERROR(__xludf.DUMMYFUNCTION("""COMPUTED_VALUE"""),"MARKETING ")</f>
        <v>MARKETING </v>
      </c>
    </row>
    <row r="1870">
      <c r="A1870" s="234">
        <f>IFERROR(__xludf.DUMMYFUNCTION("""COMPUTED_VALUE"""),102161.0)</f>
        <v>102161</v>
      </c>
      <c r="B1870" s="235" t="str">
        <f>IFERROR(__xludf.DUMMYFUNCTION("""COMPUTED_VALUE"""),"CARLITO DELA VEGA ")</f>
        <v>CARLITO DELA VEGA </v>
      </c>
      <c r="C1870" s="235" t="str">
        <f>IFERROR(__xludf.DUMMYFUNCTION("""COMPUTED_VALUE"""),"ADMIN")</f>
        <v>ADMIN</v>
      </c>
      <c r="D1870" s="196" t="str">
        <f>IFERROR(__xludf.DUMMYFUNCTION("""COMPUTED_VALUE"""),"COLLEGE BUILDING DIRECTORY 3""X4"", LUX BUILDING DIRECTORY 3""X4"",COLLEGE BUILDING DIRECTORY 34""X48"", SITE DEVELOPMENT PLAN 3""X4"", SITE DEVELOPMENT PLAN 34""X 48"", SINTRA BOARD WITH ACRYLIC COVER AND INSTALLATION.  ")</f>
        <v>COLLEGE BUILDING DIRECTORY 3"X4", LUX BUILDING DIRECTORY 3"X4",COLLEGE BUILDING DIRECTORY 34"X48", SITE DEVELOPMENT PLAN 3"X4", SITE DEVELOPMENT PLAN 34"X 48", SINTRA BOARD WITH ACRYLIC COVER AND INSTALLATION.  </v>
      </c>
      <c r="E1870" s="196" t="str">
        <f>IFERROR(__xludf.DUMMYFUNCTION("""COMPUTED_VALUE"""),"PACUCUOA REQUIREMENTS")</f>
        <v>PACUCUOA REQUIREMENTS</v>
      </c>
    </row>
    <row r="1871">
      <c r="A1871" s="234">
        <f>IFERROR(__xludf.DUMMYFUNCTION("""COMPUTED_VALUE"""),102162.0)</f>
        <v>102162</v>
      </c>
      <c r="B1871" s="235" t="str">
        <f>IFERROR(__xludf.DUMMYFUNCTION("""COMPUTED_VALUE"""),"MELISSA ODONO")</f>
        <v>MELISSA ODONO</v>
      </c>
      <c r="C1871" s="235" t="str">
        <f>IFERROR(__xludf.DUMMYFUNCTION("""COMPUTED_VALUE"""),"LIBRARY BASIC ED")</f>
        <v>LIBRARY BASIC ED</v>
      </c>
      <c r="D1871" s="196" t="str">
        <f>IFERROR(__xludf.DUMMYFUNCTION("""COMPUTED_VALUE"""),"FOOT MARKINGS 12 INCHES ")</f>
        <v>FOOT MARKINGS 12 INCHES </v>
      </c>
      <c r="E1871" s="196" t="str">
        <f>IFERROR(__xludf.DUMMYFUNCTION("""COMPUTED_VALUE"""),"FOR PACUCUOA AND DEP ED VISIT")</f>
        <v>FOR PACUCUOA AND DEP ED VISIT</v>
      </c>
    </row>
    <row r="1872">
      <c r="A1872" s="234">
        <f>IFERROR(__xludf.DUMMYFUNCTION("""COMPUTED_VALUE"""),102163.0)</f>
        <v>102163</v>
      </c>
      <c r="B1872" s="235" t="str">
        <f>IFERROR(__xludf.DUMMYFUNCTION("""COMPUTED_VALUE"""),"KENNETH ANCERMO")</f>
        <v>KENNETH ANCERMO</v>
      </c>
      <c r="C1872" s="235" t="str">
        <f>IFERROR(__xludf.DUMMYFUNCTION("""COMPUTED_VALUE"""),"AMD")</f>
        <v>AMD</v>
      </c>
      <c r="D1872" s="196" t="str">
        <f>IFERROR(__xludf.DUMMYFUNCTION("""COMPUTED_VALUE"""),"CMOS Battery")</f>
        <v>CMOS Battery</v>
      </c>
      <c r="E1872" s="196" t="str">
        <f>IFERROR(__xludf.DUMMYFUNCTION("""COMPUTED_VALUE"""),"MIS STOCK REPLENISHMENT")</f>
        <v>MIS STOCK REPLENISHMENT</v>
      </c>
    </row>
    <row r="1873">
      <c r="A1873" s="234">
        <f>IFERROR(__xludf.DUMMYFUNCTION("""COMPUTED_VALUE"""),102164.0)</f>
        <v>102164</v>
      </c>
      <c r="B1873" s="235" t="str">
        <f>IFERROR(__xludf.DUMMYFUNCTION("""COMPUTED_VALUE"""),"TIM DIOSAY/JORGE BALELA ")</f>
        <v>TIM DIOSAY/JORGE BALELA </v>
      </c>
      <c r="C1873" s="235" t="str">
        <f>IFERROR(__xludf.DUMMYFUNCTION("""COMPUTED_VALUE"""),"ADMIN")</f>
        <v>ADMIN</v>
      </c>
      <c r="D1873" s="196" t="str">
        <f>IFERROR(__xludf.DUMMYFUNCTION("""COMPUTED_VALUE"""),"IWATA TORNADO DRUM FUN 42"" SKU #147191")</f>
        <v>IWATA TORNADO DRUM FUN 42" SKU #147191</v>
      </c>
      <c r="E1873" s="196" t="str">
        <f>IFERROR(__xludf.DUMMYFUNCTION("""COMPUTED_VALUE"""),"CHED COMPLIANCE FOR THE LIMITED FACE TO FACE  OF NURSING ")</f>
        <v>CHED COMPLIANCE FOR THE LIMITED FACE TO FACE  OF NURSING </v>
      </c>
    </row>
    <row r="1874">
      <c r="A1874" s="234">
        <f>IFERROR(__xludf.DUMMYFUNCTION("""COMPUTED_VALUE"""),102165.0)</f>
        <v>102165</v>
      </c>
      <c r="B1874" s="235" t="str">
        <f>IFERROR(__xludf.DUMMYFUNCTION("""COMPUTED_VALUE"""),"SHEREE H. ESPINOSA")</f>
        <v>SHEREE H. ESPINOSA</v>
      </c>
      <c r="C1874" s="235" t="str">
        <f>IFERROR(__xludf.DUMMYFUNCTION("""COMPUTED_VALUE"""),"ADMIN")</f>
        <v>ADMIN</v>
      </c>
      <c r="D1874" s="196" t="str">
        <f>IFERROR(__xludf.DUMMYFUNCTION("""COMPUTED_VALUE"""),"SISC RIBBON")</f>
        <v>SISC RIBBON</v>
      </c>
      <c r="E1874" s="196" t="str">
        <f>IFERROR(__xludf.DUMMYFUNCTION("""COMPUTED_VALUE"""),"FOR CHRISTMAS GIVEAWAYS ")</f>
        <v>FOR CHRISTMAS GIVEAWAYS </v>
      </c>
    </row>
    <row r="1875">
      <c r="A1875" s="234">
        <f>IFERROR(__xludf.DUMMYFUNCTION("""COMPUTED_VALUE"""),102166.0)</f>
        <v>102166</v>
      </c>
      <c r="B1875" s="235" t="str">
        <f>IFERROR(__xludf.DUMMYFUNCTION("""COMPUTED_VALUE"""),"KENNETH ANCERMO")</f>
        <v>KENNETH ANCERMO</v>
      </c>
      <c r="C1875" s="235" t="str">
        <f>IFERROR(__xludf.DUMMYFUNCTION("""COMPUTED_VALUE"""),"AMD")</f>
        <v>AMD</v>
      </c>
      <c r="D1875" s="196" t="str">
        <f>IFERROR(__xludf.DUMMYFUNCTION("""COMPUTED_VALUE"""),"Laminating Film, DL951 Front/Back 3M")</f>
        <v>Laminating Film, DL951 Front/Back 3M</v>
      </c>
      <c r="E1875" s="196" t="str">
        <f>IFERROR(__xludf.DUMMYFUNCTION("""COMPUTED_VALUE"""),"STOCK REPLENISHMENT OF OFFICE SUPPLIES ")</f>
        <v>STOCK REPLENISHMENT OF OFFICE SUPPLIES </v>
      </c>
    </row>
    <row r="1876">
      <c r="A1876" s="234">
        <f>IFERROR(__xludf.DUMMYFUNCTION("""COMPUTED_VALUE"""),102167.0)</f>
        <v>102167</v>
      </c>
      <c r="B1876" s="235" t="str">
        <f>IFERROR(__xludf.DUMMYFUNCTION("""COMPUTED_VALUE"""),"SHEREE ESPINOSA")</f>
        <v>SHEREE ESPINOSA</v>
      </c>
      <c r="C1876" s="235" t="str">
        <f>IFERROR(__xludf.DUMMYFUNCTION("""COMPUTED_VALUE"""),"ADMIN")</f>
        <v>ADMIN</v>
      </c>
      <c r="D1876" s="196" t="str">
        <f>IFERROR(__xludf.DUMMYFUNCTION("""COMPUTED_VALUE"""),"FACE MASK")</f>
        <v>FACE MASK</v>
      </c>
      <c r="E1876" s="196" t="str">
        <f>IFERROR(__xludf.DUMMYFUNCTION("""COMPUTED_VALUE"""),"FOR CHRISTMAS GIVEAWAYS")</f>
        <v>FOR CHRISTMAS GIVEAWAYS</v>
      </c>
    </row>
    <row r="1877">
      <c r="A1877" s="234">
        <f>IFERROR(__xludf.DUMMYFUNCTION("""COMPUTED_VALUE"""),102168.0)</f>
        <v>102168</v>
      </c>
      <c r="B1877" s="235" t="str">
        <f>IFERROR(__xludf.DUMMYFUNCTION("""COMPUTED_VALUE"""),"SHEREE ESPINOSA")</f>
        <v>SHEREE ESPINOSA</v>
      </c>
      <c r="C1877" s="235" t="str">
        <f>IFERROR(__xludf.DUMMYFUNCTION("""COMPUTED_VALUE"""),"ADMIN")</f>
        <v>ADMIN</v>
      </c>
      <c r="D1877" s="196" t="str">
        <f>IFERROR(__xludf.DUMMYFUNCTION("""COMPUTED_VALUE"""),"MOUSE PAD, PORTABLE DEHUMIDIFIER, CORRUGATED BOX, ESSENTIAL OILS, EMPTY BOTTLES")</f>
        <v>MOUSE PAD, PORTABLE DEHUMIDIFIER, CORRUGATED BOX, ESSENTIAL OILS, EMPTY BOTTLES</v>
      </c>
      <c r="E1877" s="196" t="str">
        <f>IFERROR(__xludf.DUMMYFUNCTION("""COMPUTED_VALUE"""),"FOR CHRISTMAS GIVEAWAYS")</f>
        <v>FOR CHRISTMAS GIVEAWAYS</v>
      </c>
    </row>
    <row r="1878">
      <c r="A1878" s="234">
        <f>IFERROR(__xludf.DUMMYFUNCTION("""COMPUTED_VALUE"""),102169.0)</f>
        <v>102169</v>
      </c>
      <c r="B1878" s="235" t="str">
        <f>IFERROR(__xludf.DUMMYFUNCTION("""COMPUTED_VALUE"""),"SHEREE ESPINOSA")</f>
        <v>SHEREE ESPINOSA</v>
      </c>
      <c r="C1878" s="235" t="str">
        <f>IFERROR(__xludf.DUMMYFUNCTION("""COMPUTED_VALUE"""),"ADMIN")</f>
        <v>ADMIN</v>
      </c>
      <c r="D1878" s="196" t="str">
        <f>IFERROR(__xludf.DUMMYFUNCTION("""COMPUTED_VALUE"""),"GROCERY 250, GROCERY 300")</f>
        <v>GROCERY 250, GROCERY 300</v>
      </c>
      <c r="E1878" s="196" t="str">
        <f>IFERROR(__xludf.DUMMYFUNCTION("""COMPUTED_VALUE"""),"FOR CHRISTMAS GIVEAWAYS")</f>
        <v>FOR CHRISTMAS GIVEAWAYS</v>
      </c>
    </row>
    <row r="1879">
      <c r="A1879" s="234">
        <f>IFERROR(__xludf.DUMMYFUNCTION("""COMPUTED_VALUE"""),102170.0)</f>
        <v>102170</v>
      </c>
      <c r="B1879" s="235" t="str">
        <f>IFERROR(__xludf.DUMMYFUNCTION("""COMPUTED_VALUE"""),"RONALD OBLENO")</f>
        <v>RONALD OBLENO</v>
      </c>
      <c r="C1879" s="235" t="str">
        <f>IFERROR(__xludf.DUMMYFUNCTION("""COMPUTED_VALUE"""),"MIS/ICT")</f>
        <v>MIS/ICT</v>
      </c>
      <c r="D1879" s="196" t="str">
        <f>IFERROR(__xludf.DUMMYFUNCTION("""COMPUTED_VALUE"""),"STANLEY CUSHION GRIP PHILIP SCREW DRIVER #2 150MM, STANLEY MINI DIAGONAL CUTTING PLIERS 4"" ")</f>
        <v>STANLEY CUSHION GRIP PHILIP SCREW DRIVER #2 150MM, STANLEY MINI DIAGONAL CUTTING PLIERS 4" </v>
      </c>
      <c r="E1879" s="196" t="str">
        <f>IFERROR(__xludf.DUMMYFUNCTION("""COMPUTED_VALUE"""),"REPLACEMENT OF DAMAGED TOOLS OF TECH TEAM")</f>
        <v>REPLACEMENT OF DAMAGED TOOLS OF TECH TEAM</v>
      </c>
    </row>
    <row r="1880">
      <c r="A1880" s="234">
        <f>IFERROR(__xludf.DUMMYFUNCTION("""COMPUTED_VALUE"""),102171.0)</f>
        <v>102171</v>
      </c>
      <c r="B1880" s="235" t="str">
        <f>IFERROR(__xludf.DUMMYFUNCTION("""COMPUTED_VALUE"""),"RONALD OBLENO")</f>
        <v>RONALD OBLENO</v>
      </c>
      <c r="C1880" s="235" t="str">
        <f>IFERROR(__xludf.DUMMYFUNCTION("""COMPUTED_VALUE"""),"MIS/ICT")</f>
        <v>MIS/ICT</v>
      </c>
      <c r="D1880" s="196" t="str">
        <f>IFERROR(__xludf.DUMMYFUNCTION("""COMPUTED_VALUE"""),"AMPCOM 14 IN 1 PROFESSIONAL NETWORK TOOLKIT")</f>
        <v>AMPCOM 14 IN 1 PROFESSIONAL NETWORK TOOLKIT</v>
      </c>
      <c r="E1880" s="196" t="str">
        <f>IFERROR(__xludf.DUMMYFUNCTION("""COMPUTED_VALUE"""),"NETWORK TOOLKIT")</f>
        <v>NETWORK TOOLKIT</v>
      </c>
    </row>
    <row r="1881">
      <c r="A1881" s="234">
        <f>IFERROR(__xludf.DUMMYFUNCTION("""COMPUTED_VALUE"""),102172.0)</f>
        <v>102172</v>
      </c>
      <c r="B1881" s="235" t="str">
        <f>IFERROR(__xludf.DUMMYFUNCTION("""COMPUTED_VALUE"""),"RONALD OBLENO")</f>
        <v>RONALD OBLENO</v>
      </c>
      <c r="C1881" s="235" t="str">
        <f>IFERROR(__xludf.DUMMYFUNCTION("""COMPUTED_VALUE"""),"MIS/ICT")</f>
        <v>MIS/ICT</v>
      </c>
      <c r="D1881" s="196" t="str">
        <f>IFERROR(__xludf.DUMMYFUNCTION("""COMPUTED_VALUE"""),"KINGSTON 4GB PC3-12800 (RAM)")</f>
        <v>KINGSTON 4GB PC3-12800 (RAM)</v>
      </c>
      <c r="E1881" s="196" t="str">
        <f>IFERROR(__xludf.DUMMYFUNCTION("""COMPUTED_VALUE"""),"ADDITIONAL MEMORY MODULE FOR THE COMPUTER UPGRADED OPERATING SYSTEM ")</f>
        <v>ADDITIONAL MEMORY MODULE FOR THE COMPUTER UPGRADED OPERATING SYSTEM </v>
      </c>
    </row>
    <row r="1882">
      <c r="A1882" s="234">
        <f>IFERROR(__xludf.DUMMYFUNCTION("""COMPUTED_VALUE"""),102173.0)</f>
        <v>102173</v>
      </c>
      <c r="B1882" s="235" t="str">
        <f>IFERROR(__xludf.DUMMYFUNCTION("""COMPUTED_VALUE"""),"CARLITO DELA VEGA")</f>
        <v>CARLITO DELA VEGA</v>
      </c>
      <c r="C1882" s="235" t="str">
        <f>IFERROR(__xludf.DUMMYFUNCTION("""COMPUTED_VALUE"""),"SECURITY")</f>
        <v>SECURITY</v>
      </c>
      <c r="D1882" s="196" t="str">
        <f>IFERROR(__xludf.DUMMYFUNCTION("""COMPUTED_VALUE"""),"MTS BRACKET TYPE 30A")</f>
        <v>MTS BRACKET TYPE 30A</v>
      </c>
      <c r="E1882" s="196" t="str">
        <f>IFERROR(__xludf.DUMMYFUNCTION("""COMPUTED_VALUE"""),"NOT FUNCTIONING CCTV ROOM ACU DAY AND NIGHT SWITCH")</f>
        <v>NOT FUNCTIONING CCTV ROOM ACU DAY AND NIGHT SWITCH</v>
      </c>
    </row>
    <row r="1883">
      <c r="A1883" s="234">
        <f>IFERROR(__xludf.DUMMYFUNCTION("""COMPUTED_VALUE"""),102174.0)</f>
        <v>102174</v>
      </c>
      <c r="B1883" s="235" t="str">
        <f>IFERROR(__xludf.DUMMYFUNCTION("""COMPUTED_VALUE"""),"TIM DIOSAY ")</f>
        <v>TIM DIOSAY </v>
      </c>
      <c r="C1883" s="235" t="str">
        <f>IFERROR(__xludf.DUMMYFUNCTION("""COMPUTED_VALUE"""),"ADMIN")</f>
        <v>ADMIN</v>
      </c>
      <c r="D1883" s="196" t="str">
        <f>IFERROR(__xludf.DUMMYFUNCTION("""COMPUTED_VALUE"""),"ORDINARY NAIL 2"", ORDINARY NAIL 3"", BOYSEN SEMI GLOSS LATEX PAINT, PAINT ROLLER #7, PAINT BRUSH # 1")</f>
        <v>ORDINARY NAIL 2", ORDINARY NAIL 3", BOYSEN SEMI GLOSS LATEX PAINT, PAINT ROLLER #7, PAINT BRUSH # 1</v>
      </c>
      <c r="E1883" s="196" t="str">
        <f>IFERROR(__xludf.DUMMYFUNCTION("""COMPUTED_VALUE"""),"SPED ROOM PROJECT FOR PACUCUOA COMPLIANCE")</f>
        <v>SPED ROOM PROJECT FOR PACUCUOA COMPLIANCE</v>
      </c>
    </row>
    <row r="1884">
      <c r="A1884" s="234">
        <f>IFERROR(__xludf.DUMMYFUNCTION("""COMPUTED_VALUE"""),102175.0)</f>
        <v>102175</v>
      </c>
      <c r="B1884" s="235" t="str">
        <f>IFERROR(__xludf.DUMMYFUNCTION("""COMPUTED_VALUE"""),"KENNETH ANCERMO")</f>
        <v>KENNETH ANCERMO</v>
      </c>
      <c r="C1884" s="235" t="str">
        <f>IFERROR(__xludf.DUMMYFUNCTION("""COMPUTED_VALUE"""),"AMD")</f>
        <v>AMD</v>
      </c>
      <c r="D1884" s="196" t="str">
        <f>IFERROR(__xludf.DUMMYFUNCTION("""COMPUTED_VALUE"""),"LED TUBE 16W DAYLIGHT- PHILIPS, ELECTRICAL TAPE                                
")</f>
        <v>LED TUBE 16W DAYLIGHT- PHILIPS, ELECTRICAL TAPE                                
</v>
      </c>
      <c r="E1884" s="196" t="str">
        <f>IFERROR(__xludf.DUMMYFUNCTION("""COMPUTED_VALUE"""),"ENGINEERING SUPPLIES STOCK REPLENISHMENT ")</f>
        <v>ENGINEERING SUPPLIES STOCK REPLENISHMENT </v>
      </c>
    </row>
    <row r="1885">
      <c r="A1885" s="234">
        <f>IFERROR(__xludf.DUMMYFUNCTION("""COMPUTED_VALUE"""),102176.0)</f>
        <v>102176</v>
      </c>
      <c r="B1885" s="235" t="str">
        <f>IFERROR(__xludf.DUMMYFUNCTION("""COMPUTED_VALUE"""),"JOMEL BUTIAL ")</f>
        <v>JOMEL BUTIAL </v>
      </c>
      <c r="C1885" s="235" t="str">
        <f>IFERROR(__xludf.DUMMYFUNCTION("""COMPUTED_VALUE"""),"AMD")</f>
        <v>AMD</v>
      </c>
      <c r="D1885" s="196" t="str">
        <f>IFERROR(__xludf.DUMMYFUNCTION("""COMPUTED_VALUE"""),"TOILET BOWL CLEANER (BOWL CARE) 20 GAL; HAND SOAP ANTIBAC RIVCHEM 50 GAL; RAINCOAT 15 PCS; ECOLUTION DISENFECTANT 30 GAL; BAYGON SCENTED 500ML 90 CANS; TRASBAG SMALL 18X18 CLEAR 30 PACKS; TRASHBAG MEDIUM 22X24 CLEAR60 PACKS")</f>
        <v>TOILET BOWL CLEANER (BOWL CARE) 20 GAL; HAND SOAP ANTIBAC RIVCHEM 50 GAL; RAINCOAT 15 PCS; ECOLUTION DISENFECTANT 30 GAL; BAYGON SCENTED 500ML 90 CANS; TRASBAG SMALL 18X18 CLEAR 30 PACKS; TRASHBAG MEDIUM 22X24 CLEAR60 PACKS</v>
      </c>
      <c r="E1885" s="196" t="str">
        <f>IFERROR(__xludf.DUMMYFUNCTION("""COMPUTED_VALUE"""),"HOUSEKEEPING REPLENISHMENT FOR DECEMBER 2021")</f>
        <v>HOUSEKEEPING REPLENISHMENT FOR DECEMBER 2021</v>
      </c>
    </row>
    <row r="1886">
      <c r="A1886" s="234">
        <f>IFERROR(__xludf.DUMMYFUNCTION("""COMPUTED_VALUE"""),102177.0)</f>
        <v>102177</v>
      </c>
      <c r="B1886" s="235" t="str">
        <f>IFERROR(__xludf.DUMMYFUNCTION("""COMPUTED_VALUE"""),"LUCILLE BEYER ")</f>
        <v>LUCILLE BEYER </v>
      </c>
      <c r="C1886" s="235" t="str">
        <f>IFERROR(__xludf.DUMMYFUNCTION("""COMPUTED_VALUE"""),"MEDICAL")</f>
        <v>MEDICAL</v>
      </c>
      <c r="D1886" s="196" t="str">
        <f>IFERROR(__xludf.DUMMYFUNCTION("""COMPUTED_VALUE"""),"TUSERAN FORTE 100 PCS; BIOFLU 100 PCS; CERTIRIZINE 30 PCS; SOLMUX CAPSULE 50 PCS; CATAPRES 75MCG 15 PCS; DECOLGEN NON DROWSE 100 PCS; MEFENAMIC ACID RITEMED 100 PCS; BIOGESIC 200 PCS; WHITE FLOWER 20 ML 3 BOTTLES; SALONPAS 5 BOXES; BACTIDOL 500 ML 6 BOTTL"&amp;"ES;")</f>
        <v>TUSERAN FORTE 100 PCS; BIOFLU 100 PCS; CERTIRIZINE 30 PCS; SOLMUX CAPSULE 50 PCS; CATAPRES 75MCG 15 PCS; DECOLGEN NON DROWSE 100 PCS; MEFENAMIC ACID RITEMED 100 PCS; BIOGESIC 200 PCS; WHITE FLOWER 20 ML 3 BOTTLES; SALONPAS 5 BOXES; BACTIDOL 500 ML 6 BOTTLES;</v>
      </c>
      <c r="E1886" s="196" t="str">
        <f>IFERROR(__xludf.DUMMYFUNCTION("""COMPUTED_VALUE"""),"SUPPLIES FOR THE MONTH OF DECEMBER 2021")</f>
        <v>SUPPLIES FOR THE MONTH OF DECEMBER 2021</v>
      </c>
    </row>
    <row r="1887">
      <c r="A1887" s="234">
        <f>IFERROR(__xludf.DUMMYFUNCTION("""COMPUTED_VALUE"""),102178.0)</f>
        <v>102178</v>
      </c>
      <c r="B1887" s="235" t="str">
        <f>IFERROR(__xludf.DUMMYFUNCTION("""COMPUTED_VALUE"""),"BELOY LEOPOLDO ")</f>
        <v>BELOY LEOPOLDO </v>
      </c>
      <c r="C1887" s="235" t="str">
        <f>IFERROR(__xludf.DUMMYFUNCTION("""COMPUTED_VALUE"""),"AV/MIS")</f>
        <v>AV/MIS</v>
      </c>
      <c r="D1887" s="196" t="str">
        <f>IFERROR(__xludf.DUMMYFUNCTION("""COMPUTED_VALUE"""),"ELECTRICAL WIRE 3.5 20M, ANCOBOX (STANDARD SIZE BOXSHAPE) 5 PCS; MOULDING 1"" X 12 FT 3PCS; SWITCH SINGLE 2PCS; OUTLET 2 GANG 2PCS; TOX WITH SCREW 6MM 2OPCS; RUGBY 1BOTTLE; VGA AND HDMI PORT PANEL 2PCS;")</f>
        <v>ELECTRICAL WIRE 3.5 20M, ANCOBOX (STANDARD SIZE BOXSHAPE) 5 PCS; MOULDING 1" X 12 FT 3PCS; SWITCH SINGLE 2PCS; OUTLET 2 GANG 2PCS; TOX WITH SCREW 6MM 2OPCS; RUGBY 1BOTTLE; VGA AND HDMI PORT PANEL 2PCS;</v>
      </c>
      <c r="E1887" s="196" t="str">
        <f>IFERROR(__xludf.DUMMYFUNCTION("""COMPUTED_VALUE"""),"COLLEGE AND SPED ROOM PROJECTOR INSTALLATION")</f>
        <v>COLLEGE AND SPED ROOM PROJECTOR INSTALLATION</v>
      </c>
    </row>
    <row r="1888">
      <c r="A1888" s="234">
        <f>IFERROR(__xludf.DUMMYFUNCTION("""COMPUTED_VALUE"""),102179.0)</f>
        <v>102179</v>
      </c>
      <c r="B1888" s="235" t="str">
        <f>IFERROR(__xludf.DUMMYFUNCTION("""COMPUTED_VALUE"""),"CAROL LACERNA ")</f>
        <v>CAROL LACERNA </v>
      </c>
      <c r="C1888" s="235" t="str">
        <f>IFERROR(__xludf.DUMMYFUNCTION("""COMPUTED_VALUE"""),"STUFFSHOP")</f>
        <v>STUFFSHOP</v>
      </c>
      <c r="D1888" s="196" t="str">
        <f>IFERROR(__xludf.DUMMYFUNCTION("""COMPUTED_VALUE"""),"LENOVO INTEL I3 1115G4 3.0 GHZ, RAM 8 GB, STORAGE 512 GB SSD, GPU INTEGRATED, DISPLAY 14.0"" FHD TN, BATTERY 2 CELL, OS WINDOWS 11 HOME SL  FREEBIES: LAPTOP BAG AND MOUSE")</f>
        <v>LENOVO INTEL I3 1115G4 3.0 GHZ, RAM 8 GB, STORAGE 512 GB SSD, GPU INTEGRATED, DISPLAY 14.0" FHD TN, BATTERY 2 CELL, OS WINDOWS 11 HOME SL  FREEBIES: LAPTOP BAG AND MOUSE</v>
      </c>
      <c r="E1888" s="196" t="str">
        <f>IFERROR(__xludf.DUMMYFUNCTION("""COMPUTED_VALUE"""),"GADGET LOAN OF MISS ANN VILLARUZ")</f>
        <v>GADGET LOAN OF MISS ANN VILLARUZ</v>
      </c>
    </row>
    <row r="1889">
      <c r="A1889" s="234">
        <f>IFERROR(__xludf.DUMMYFUNCTION("""COMPUTED_VALUE"""),102180.0)</f>
        <v>102180</v>
      </c>
      <c r="B1889" s="235" t="str">
        <f>IFERROR(__xludf.DUMMYFUNCTION("""COMPUTED_VALUE"""),"CHRISTIAN ANDRES")</f>
        <v>CHRISTIAN ANDRES</v>
      </c>
      <c r="C1889" s="235" t="str">
        <f>IFERROR(__xludf.DUMMYFUNCTION("""COMPUTED_VALUE"""),"MARKETING ")</f>
        <v>MARKETING </v>
      </c>
      <c r="D1889" s="196" t="str">
        <f>IFERROR(__xludf.DUMMYFUNCTION("""COMPUTED_VALUE"""),"RUGBY 5 GALLONS")</f>
        <v>RUGBY 5 GALLONS</v>
      </c>
      <c r="E1889" s="196" t="str">
        <f>IFERROR(__xludf.DUMMYFUNCTION("""COMPUTED_VALUE"""),"FOR THE INSTALLATION OF ALZONA TARP IN C5")</f>
        <v>FOR THE INSTALLATION OF ALZONA TARP IN C5</v>
      </c>
    </row>
    <row r="1890">
      <c r="A1890" s="234">
        <f>IFERROR(__xludf.DUMMYFUNCTION("""COMPUTED_VALUE"""),102181.0)</f>
        <v>102181</v>
      </c>
      <c r="B1890" s="235" t="str">
        <f>IFERROR(__xludf.DUMMYFUNCTION("""COMPUTED_VALUE"""),"CHRISTIAN ANDRES")</f>
        <v>CHRISTIAN ANDRES</v>
      </c>
      <c r="C1890" s="235" t="str">
        <f>IFERROR(__xludf.DUMMYFUNCTION("""COMPUTED_VALUE"""),"PR &amp; MARKETING")</f>
        <v>PR &amp; MARKETING</v>
      </c>
      <c r="D1890" s="196" t="str">
        <f>IFERROR(__xludf.DUMMYFUNCTION("""COMPUTED_VALUE"""),"C5 EXTENSION MIGUEL ALZONA TARP 10X20 FT (NO SEAMING, NO EYELET, LOWEST OUNCE WEIGHT)")</f>
        <v>C5 EXTENSION MIGUEL ALZONA TARP 10X20 FT (NO SEAMING, NO EYELET, LOWEST OUNCE WEIGHT)</v>
      </c>
      <c r="E1890" s="196" t="str">
        <f>IFERROR(__xludf.DUMMYFUNCTION("""COMPUTED_VALUE"""),"MARKETING ")</f>
        <v>MARKETING </v>
      </c>
    </row>
    <row r="1891">
      <c r="A1891" s="234">
        <f>IFERROR(__xludf.DUMMYFUNCTION("""COMPUTED_VALUE"""),102182.0)</f>
        <v>102182</v>
      </c>
      <c r="B1891" s="235" t="str">
        <f>IFERROR(__xludf.DUMMYFUNCTION("""COMPUTED_VALUE"""),"PHEN PETIN")</f>
        <v>PHEN PETIN</v>
      </c>
      <c r="C1891" s="235" t="str">
        <f>IFERROR(__xludf.DUMMYFUNCTION("""COMPUTED_VALUE"""),"ADMIN - STAR")</f>
        <v>ADMIN - STAR</v>
      </c>
      <c r="D1891" s="196" t="str">
        <f>IFERROR(__xludf.DUMMYFUNCTION("""COMPUTED_VALUE"""),"REST ROOM TARP (19.5'' X 25'') 11 PCS")</f>
        <v>REST ROOM TARP (19.5'' X 25'') 11 PCS</v>
      </c>
      <c r="E1891" s="196" t="str">
        <f>IFERROR(__xludf.DUMMYFUNCTION("""COMPUTED_VALUE"""),"RESTROOM TARP FOR STAR CAMPUS")</f>
        <v>RESTROOM TARP FOR STAR CAMPUS</v>
      </c>
    </row>
    <row r="1892">
      <c r="A1892" s="234">
        <f>IFERROR(__xludf.DUMMYFUNCTION("""COMPUTED_VALUE"""),102183.0)</f>
        <v>102183</v>
      </c>
      <c r="B1892" s="235" t="str">
        <f>IFERROR(__xludf.DUMMYFUNCTION("""COMPUTED_VALUE"""),"PHEN PETIN")</f>
        <v>PHEN PETIN</v>
      </c>
      <c r="C1892" s="235" t="str">
        <f>IFERROR(__xludf.DUMMYFUNCTION("""COMPUTED_VALUE"""),"ADMIN - STAR")</f>
        <v>ADMIN - STAR</v>
      </c>
      <c r="D1892" s="196" t="str">
        <f>IFERROR(__xludf.DUMMYFUNCTION("""COMPUTED_VALUE"""),"FOOT MARKINGS 10''X10'' ; STICKER WITH FLOOR LAMINATE 50 PCS EACH(10X10)(11X11)(12X12);")</f>
        <v>FOOT MARKINGS 10''X10'' ; STICKER WITH FLOOR LAMINATE 50 PCS EACH(10X10)(11X11)(12X12);</v>
      </c>
      <c r="E1892" s="196" t="str">
        <f>IFERROR(__xludf.DUMMYFUNCTION("""COMPUTED_VALUE"""),"ADDITIONAL FOOT MARKINGS FOR STAR CAMPUS ")</f>
        <v>ADDITIONAL FOOT MARKINGS FOR STAR CAMPUS </v>
      </c>
    </row>
    <row r="1893">
      <c r="A1893" s="234">
        <f>IFERROR(__xludf.DUMMYFUNCTION("""COMPUTED_VALUE"""),102184.0)</f>
        <v>102184</v>
      </c>
      <c r="B1893" s="235" t="str">
        <f>IFERROR(__xludf.DUMMYFUNCTION("""COMPUTED_VALUE"""),"AMI SALANGUIT")</f>
        <v>AMI SALANGUIT</v>
      </c>
      <c r="C1893" s="235" t="str">
        <f>IFERROR(__xludf.DUMMYFUNCTION("""COMPUTED_VALUE"""),"HRMD")</f>
        <v>HRMD</v>
      </c>
      <c r="D1893" s="196" t="str">
        <f>IFERROR(__xludf.DUMMYFUNCTION("""COMPUTED_VALUE"""),"FLOWER WREATH")</f>
        <v>FLOWER WREATH</v>
      </c>
      <c r="E1893" s="196" t="str">
        <f>IFERROR(__xludf.DUMMYFUNCTION("""COMPUTED_VALUE"""),"WREATH FOR T. PHI'S MOTHER")</f>
        <v>WREATH FOR T. PHI'S MOTHER</v>
      </c>
    </row>
    <row r="1894">
      <c r="A1894" s="234">
        <f>IFERROR(__xludf.DUMMYFUNCTION("""COMPUTED_VALUE"""),102185.0)</f>
        <v>102185</v>
      </c>
      <c r="B1894" s="235" t="str">
        <f>IFERROR(__xludf.DUMMYFUNCTION("""COMPUTED_VALUE"""),"ALFA DE LEON/SHEREE ESPINOSA")</f>
        <v>ALFA DE LEON/SHEREE ESPINOSA</v>
      </c>
      <c r="C1894" s="235" t="str">
        <f>IFERROR(__xludf.DUMMYFUNCTION("""COMPUTED_VALUE"""),"ADMIN")</f>
        <v>ADMIN</v>
      </c>
      <c r="D1894" s="196" t="str">
        <f>IFERROR(__xludf.DUMMYFUNCTION("""COMPUTED_VALUE"""),"AUTOMATIC ALCOHOL DISPENSER WITH STAND")</f>
        <v>AUTOMATIC ALCOHOL DISPENSER WITH STAND</v>
      </c>
      <c r="E1894" s="196" t="str">
        <f>IFERROR(__xludf.DUMMYFUNCTION("""COMPUTED_VALUE"""),"FOR ISOLATION AREA (LUX PARKING) FOR BSN CHED")</f>
        <v>FOR ISOLATION AREA (LUX PARKING) FOR BSN CHED</v>
      </c>
    </row>
    <row r="1895">
      <c r="A1895" s="234">
        <f>IFERROR(__xludf.DUMMYFUNCTION("""COMPUTED_VALUE"""),102186.0)</f>
        <v>102186</v>
      </c>
      <c r="B1895" s="235" t="str">
        <f>IFERROR(__xludf.DUMMYFUNCTION("""COMPUTED_VALUE"""),"ELMIE LAUDITO")</f>
        <v>ELMIE LAUDITO</v>
      </c>
      <c r="C1895" s="235" t="str">
        <f>IFERROR(__xludf.DUMMYFUNCTION("""COMPUTED_VALUE"""),"HRMD")</f>
        <v>HRMD</v>
      </c>
      <c r="D1895" s="196" t="str">
        <f>IFERROR(__xludf.DUMMYFUNCTION("""COMPUTED_VALUE"""),"PUREFOODS FIESTA HAM 1 KG 40 PCS")</f>
        <v>PUREFOODS FIESTA HAM 1 KG 40 PCS</v>
      </c>
      <c r="E1895" s="196" t="str">
        <f>IFERROR(__xludf.DUMMYFUNCTION("""COMPUTED_VALUE"""),"CHRISTMAS PARTY 2021 DOOR PRIZE")</f>
        <v>CHRISTMAS PARTY 2021 DOOR PRIZE</v>
      </c>
    </row>
    <row r="1896">
      <c r="A1896" s="234">
        <f>IFERROR(__xludf.DUMMYFUNCTION("""COMPUTED_VALUE"""),102187.0)</f>
        <v>102187</v>
      </c>
      <c r="B1896" s="235" t="str">
        <f>IFERROR(__xludf.DUMMYFUNCTION("""COMPUTED_VALUE"""),"ARNEL MONTABLAN")</f>
        <v>ARNEL MONTABLAN</v>
      </c>
      <c r="C1896" s="235" t="str">
        <f>IFERROR(__xludf.DUMMYFUNCTION("""COMPUTED_VALUE"""),"CEM OFFICE")</f>
        <v>CEM OFFICE</v>
      </c>
      <c r="D1896" s="196" t="str">
        <f>IFERROR(__xludf.DUMMYFUNCTION("""COMPUTED_VALUE"""),"ACER ASPIRE LAPTOP- INTEL  CORE CORE I3- 1115G4")</f>
        <v>ACER ASPIRE LAPTOP- INTEL  CORE CORE I3- 1115G4</v>
      </c>
      <c r="E1896" s="196" t="str">
        <f>IFERROR(__xludf.DUMMYFUNCTION("""COMPUTED_VALUE"""),"LAPTOPS FOR GLT SCHOLARS")</f>
        <v>LAPTOPS FOR GLT SCHOLARS</v>
      </c>
    </row>
    <row r="1897">
      <c r="A1897" s="234">
        <f>IFERROR(__xludf.DUMMYFUNCTION("""COMPUTED_VALUE"""),102188.0)</f>
        <v>102188</v>
      </c>
      <c r="B1897" s="235" t="str">
        <f>IFERROR(__xludf.DUMMYFUNCTION("""COMPUTED_VALUE"""),"ALFA DE DELEON ")</f>
        <v>ALFA DE DELEON </v>
      </c>
      <c r="C1897" s="235" t="str">
        <f>IFERROR(__xludf.DUMMYFUNCTION("""COMPUTED_VALUE"""),"ADMIN - MUNICH")</f>
        <v>ADMIN - MUNICH</v>
      </c>
      <c r="D1897" s="196" t="str">
        <f>IFERROR(__xludf.DUMMYFUNCTION("""COMPUTED_VALUE"""),"BRICKS")</f>
        <v>BRICKS</v>
      </c>
      <c r="E1897" s="196" t="str">
        <f>IFERROR(__xludf.DUMMYFUNCTION("""COMPUTED_VALUE"""),"MUNICH FRONT GATE IMPROVEMENT - PLANT BOX")</f>
        <v>MUNICH FRONT GATE IMPROVEMENT - PLANT BOX</v>
      </c>
    </row>
    <row r="1898">
      <c r="A1898" s="234">
        <f>IFERROR(__xludf.DUMMYFUNCTION("""COMPUTED_VALUE"""),102189.0)</f>
        <v>102189</v>
      </c>
      <c r="B1898" s="235" t="str">
        <f>IFERROR(__xludf.DUMMYFUNCTION("""COMPUTED_VALUE"""),"RONALD OBLENO")</f>
        <v>RONALD OBLENO</v>
      </c>
      <c r="C1898" s="235" t="str">
        <f>IFERROR(__xludf.DUMMYFUNCTION("""COMPUTED_VALUE"""),"MIS")</f>
        <v>MIS</v>
      </c>
      <c r="D1898" s="196" t="str">
        <f>IFERROR(__xludf.DUMMYFUNCTION("""COMPUTED_VALUE"""),"USB EXTENDDER 15 METERS (M TO F) 8 PCS; USB PORT HUB 4 PORTS 8 PCS; HDMI CABLE 20 METERS 8PCS;")</f>
        <v>USB EXTENDDER 15 METERS (M TO F) 8 PCS; USB PORT HUB 4 PORTS 8 PCS; HDMI CABLE 20 METERS 8PCS;</v>
      </c>
      <c r="E1898" s="196" t="str">
        <f>IFERROR(__xludf.DUMMYFUNCTION("""COMPUTED_VALUE"""),"BLENDED LEARNING REQUIREMENTS FOR CLASSROOMS")</f>
        <v>BLENDED LEARNING REQUIREMENTS FOR CLASSROOMS</v>
      </c>
    </row>
    <row r="1899">
      <c r="A1899" s="234">
        <f>IFERROR(__xludf.DUMMYFUNCTION("""COMPUTED_VALUE"""),102190.0)</f>
        <v>102190</v>
      </c>
      <c r="B1899" s="235" t="str">
        <f>IFERROR(__xludf.DUMMYFUNCTION("""COMPUTED_VALUE"""),"RONALD OBLENO")</f>
        <v>RONALD OBLENO</v>
      </c>
      <c r="C1899" s="235" t="str">
        <f>IFERROR(__xludf.DUMMYFUNCTION("""COMPUTED_VALUE"""),"MIS/ICT")</f>
        <v>MIS/ICT</v>
      </c>
      <c r="D1899" s="196" t="str">
        <f>IFERROR(__xludf.DUMMYFUNCTION("""COMPUTED_VALUE"""),"LAVALIER MICROPHONE BOYA BY-WM4 PRO K1 3PCS; LAVALIER MICROPHONE FIFINE K031B 1PC;")</f>
        <v>LAVALIER MICROPHONE BOYA BY-WM4 PRO K1 3PCS; LAVALIER MICROPHONE FIFINE K031B 1PC;</v>
      </c>
      <c r="E1899" s="196" t="str">
        <f>IFERROR(__xludf.DUMMYFUNCTION("""COMPUTED_VALUE"""),"BLENDED LEARNING REQUIREMENTS FOR CLASSROOMS")</f>
        <v>BLENDED LEARNING REQUIREMENTS FOR CLASSROOMS</v>
      </c>
    </row>
    <row r="1900">
      <c r="A1900" s="234">
        <f>IFERROR(__xludf.DUMMYFUNCTION("""COMPUTED_VALUE"""),102191.0)</f>
        <v>102191</v>
      </c>
      <c r="B1900" s="235" t="str">
        <f>IFERROR(__xludf.DUMMYFUNCTION("""COMPUTED_VALUE"""),"RONALD OBLENO")</f>
        <v>RONALD OBLENO</v>
      </c>
      <c r="C1900" s="235" t="str">
        <f>IFERROR(__xludf.DUMMYFUNCTION("""COMPUTED_VALUE"""),"MIS")</f>
        <v>MIS</v>
      </c>
      <c r="D1900" s="196" t="str">
        <f>IFERROR(__xludf.DUMMYFUNCTION("""COMPUTED_VALUE"""),"HD WEBCAM 8PCS;")</f>
        <v>HD WEBCAM 8PCS;</v>
      </c>
      <c r="E1900" s="196" t="str">
        <f>IFERROR(__xludf.DUMMYFUNCTION("""COMPUTED_VALUE"""),"BLENDED LEARNING REQUIREMENTS FOR CLASSROOMS")</f>
        <v>BLENDED LEARNING REQUIREMENTS FOR CLASSROOMS</v>
      </c>
    </row>
    <row r="1901">
      <c r="A1901" s="234">
        <f>IFERROR(__xludf.DUMMYFUNCTION("""COMPUTED_VALUE"""),102192.0)</f>
        <v>102192</v>
      </c>
      <c r="B1901" s="235" t="str">
        <f>IFERROR(__xludf.DUMMYFUNCTION("""COMPUTED_VALUE"""),"RONALD OBLENO")</f>
        <v>RONALD OBLENO</v>
      </c>
      <c r="C1901" s="235" t="str">
        <f>IFERROR(__xludf.DUMMYFUNCTION("""COMPUTED_VALUE"""),"MIS")</f>
        <v>MIS</v>
      </c>
      <c r="D1901" s="196" t="str">
        <f>IFERROR(__xludf.DUMMYFUNCTION("""COMPUTED_VALUE"""),"GRAPHICS CARD DEFORCE ZOTAC (GT710 2GB 64BIT) 8 PCS")</f>
        <v>GRAPHICS CARD DEFORCE ZOTAC (GT710 2GB 64BIT) 8 PCS</v>
      </c>
      <c r="E1901" s="196" t="str">
        <f>IFERROR(__xludf.DUMMYFUNCTION("""COMPUTED_VALUE"""),"BLENDED LEARNING REQUIREMENTS FOR CLASSROOMS")</f>
        <v>BLENDED LEARNING REQUIREMENTS FOR CLASSROOMS</v>
      </c>
    </row>
    <row r="1902">
      <c r="A1902" s="234">
        <f>IFERROR(__xludf.DUMMYFUNCTION("""COMPUTED_VALUE"""),102193.0)</f>
        <v>102193</v>
      </c>
      <c r="B1902" s="235" t="str">
        <f>IFERROR(__xludf.DUMMYFUNCTION("""COMPUTED_VALUE"""),"RONALD OBLENO")</f>
        <v>RONALD OBLENO</v>
      </c>
      <c r="C1902" s="235" t="str">
        <f>IFERROR(__xludf.DUMMYFUNCTION("""COMPUTED_VALUE"""),"MIS")</f>
        <v>MIS</v>
      </c>
      <c r="D1902" s="196" t="str">
        <f>IFERROR(__xludf.DUMMYFUNCTION("""COMPUTED_VALUE"""),"ANDROID TV 55'' TCL 8 PCS")</f>
        <v>ANDROID TV 55'' TCL 8 PCS</v>
      </c>
      <c r="E1902" s="196" t="str">
        <f>IFERROR(__xludf.DUMMYFUNCTION("""COMPUTED_VALUE"""),"BLENDED LEARNING REQUIREMENTS FOR CLASSROOMS")</f>
        <v>BLENDED LEARNING REQUIREMENTS FOR CLASSROOMS</v>
      </c>
    </row>
    <row r="1903">
      <c r="A1903" s="234">
        <f>IFERROR(__xludf.DUMMYFUNCTION("""COMPUTED_VALUE"""),102194.0)</f>
        <v>102194</v>
      </c>
      <c r="B1903" s="235" t="str">
        <f>IFERROR(__xludf.DUMMYFUNCTION("""COMPUTED_VALUE"""),"RONALD OBLENO")</f>
        <v>RONALD OBLENO</v>
      </c>
      <c r="C1903" s="235" t="str">
        <f>IFERROR(__xludf.DUMMYFUNCTION("""COMPUTED_VALUE"""),"MIS")</f>
        <v>MIS</v>
      </c>
      <c r="D1903" s="196" t="str">
        <f>IFERROR(__xludf.DUMMYFUNCTION("""COMPUTED_VALUE"""),"LED MONITOR DELL 18.5'' D1918H 8 PCS")</f>
        <v>LED MONITOR DELL 18.5'' D1918H 8 PCS</v>
      </c>
      <c r="E1903" s="196" t="str">
        <f>IFERROR(__xludf.DUMMYFUNCTION("""COMPUTED_VALUE"""),"BLENDED LEARNING REQUIREMENTS FOR CLASSROOMS")</f>
        <v>BLENDED LEARNING REQUIREMENTS FOR CLASSROOMS</v>
      </c>
    </row>
    <row r="1904">
      <c r="A1904" s="234">
        <f>IFERROR(__xludf.DUMMYFUNCTION("""COMPUTED_VALUE"""),102195.0)</f>
        <v>102195</v>
      </c>
      <c r="B1904" s="235" t="str">
        <f>IFERROR(__xludf.DUMMYFUNCTION("""COMPUTED_VALUE"""),"RONALD OBLENO")</f>
        <v>RONALD OBLENO</v>
      </c>
      <c r="C1904" s="235" t="str">
        <f>IFERROR(__xludf.DUMMYFUNCTION("""COMPUTED_VALUE"""),"MIS/ICT")</f>
        <v>MIS/ICT</v>
      </c>
      <c r="D1904" s="196" t="str">
        <f>IFERROR(__xludf.DUMMYFUNCTION("""COMPUTED_VALUE"""),"DESKTOP MEMORY MODULE KINGSTON D04 2666 8GB (8 PCS)")</f>
        <v>DESKTOP MEMORY MODULE KINGSTON D04 2666 8GB (8 PCS)</v>
      </c>
      <c r="E1904" s="196" t="str">
        <f>IFERROR(__xludf.DUMMYFUNCTION("""COMPUTED_VALUE"""),"BLENDED LEARNING REQUIREMENTS FOR CLASSROOMS")</f>
        <v>BLENDED LEARNING REQUIREMENTS FOR CLASSROOMS</v>
      </c>
    </row>
    <row r="1905">
      <c r="A1905" s="234">
        <f>IFERROR(__xludf.DUMMYFUNCTION("""COMPUTED_VALUE"""),102196.0)</f>
        <v>102196</v>
      </c>
      <c r="B1905" s="235" t="str">
        <f>IFERROR(__xludf.DUMMYFUNCTION("""COMPUTED_VALUE"""),"ALFA DE LEON ")</f>
        <v>ALFA DE LEON </v>
      </c>
      <c r="C1905" s="235" t="str">
        <f>IFERROR(__xludf.DUMMYFUNCTION("""COMPUTED_VALUE"""),"ADMIN - LUX")</f>
        <v>ADMIN - LUX</v>
      </c>
      <c r="D1905" s="196" t="str">
        <f>IFERROR(__xludf.DUMMYFUNCTION("""COMPUTED_VALUE"""),"UV STERILIZATION BOX (PR, FACULTY AND DP'S OFFICE) 3 PCS.")</f>
        <v>UV STERILIZATION BOX (PR, FACULTY AND DP'S OFFICE) 3 PCS.</v>
      </c>
      <c r="E1905" s="196" t="str">
        <f>IFERROR(__xludf.DUMMYFUNCTION("""COMPUTED_VALUE"""),"DEPED REQUIREMENT FOR PROPOSED FACE TO FACE OPENING OF SHS AND IB IN MUNICH ")</f>
        <v>DEPED REQUIREMENT FOR PROPOSED FACE TO FACE OPENING OF SHS AND IB IN MUNICH </v>
      </c>
    </row>
    <row r="1906">
      <c r="A1906" s="234">
        <f>IFERROR(__xludf.DUMMYFUNCTION("""COMPUTED_VALUE"""),102197.0)</f>
        <v>102197</v>
      </c>
      <c r="B1906" s="235" t="str">
        <f>IFERROR(__xludf.DUMMYFUNCTION("""COMPUTED_VALUE"""),"ALFA DE LEON ")</f>
        <v>ALFA DE LEON </v>
      </c>
      <c r="C1906" s="235" t="str">
        <f>IFERROR(__xludf.DUMMYFUNCTION("""COMPUTED_VALUE"""),"ADMIN - LUX")</f>
        <v>ADMIN - LUX</v>
      </c>
      <c r="D1906" s="196" t="str">
        <f>IFERROR(__xludf.DUMMYFUNCTION("""COMPUTED_VALUE"""),"AUTOMATIC ALCOHOL DISPENSER WITH STAND FOR G/F LOBBY, CLINIC, ISOLATION, PR AND WAITING AREA, FOR 1ST 2ND FLOOR LANDING AREA,FOR CLASSROOMS, EAST WINGS, WEST LOBBY GF AND CR ENTRANCE ")</f>
        <v>AUTOMATIC ALCOHOL DISPENSER WITH STAND FOR G/F LOBBY, CLINIC, ISOLATION, PR AND WAITING AREA, FOR 1ST 2ND FLOOR LANDING AREA,FOR CLASSROOMS, EAST WINGS, WEST LOBBY GF AND CR ENTRANCE </v>
      </c>
      <c r="E1906" s="196" t="str">
        <f>IFERROR(__xludf.DUMMYFUNCTION("""COMPUTED_VALUE"""),"DEPED REQUIREMENT FOR PROPOSED FACE TO FACE OPENING OF SHS AND IB IN MUNICH ")</f>
        <v>DEPED REQUIREMENT FOR PROPOSED FACE TO FACE OPENING OF SHS AND IB IN MUNICH </v>
      </c>
    </row>
    <row r="1907">
      <c r="A1907" s="234">
        <f>IFERROR(__xludf.DUMMYFUNCTION("""COMPUTED_VALUE"""),102198.0)</f>
        <v>102198</v>
      </c>
      <c r="B1907" s="235" t="str">
        <f>IFERROR(__xludf.DUMMYFUNCTION("""COMPUTED_VALUE"""),"ALFA DE LEON ")</f>
        <v>ALFA DE LEON </v>
      </c>
      <c r="C1907" s="235" t="str">
        <f>IFERROR(__xludf.DUMMYFUNCTION("""COMPUTED_VALUE"""),"ADMIN - LUX")</f>
        <v>ADMIN - LUX</v>
      </c>
      <c r="D1907" s="196" t="str">
        <f>IFERROR(__xludf.DUMMYFUNCTION("""COMPUTED_VALUE"""),"TRASH BIN FOOT LEVER (30 PCS)")</f>
        <v>TRASH BIN FOOT LEVER (30 PCS)</v>
      </c>
      <c r="E1907" s="196" t="str">
        <f>IFERROR(__xludf.DUMMYFUNCTION("""COMPUTED_VALUE"""),"DEPED REQUIREMENT FOR PROPOSED FACE TO FACE OPENING OF SHS AND IB IN MUNICH ")</f>
        <v>DEPED REQUIREMENT FOR PROPOSED FACE TO FACE OPENING OF SHS AND IB IN MUNICH </v>
      </c>
    </row>
    <row r="1908">
      <c r="A1908" s="234">
        <f>IFERROR(__xludf.DUMMYFUNCTION("""COMPUTED_VALUE"""),102199.0)</f>
        <v>102199</v>
      </c>
      <c r="B1908" s="235" t="str">
        <f>IFERROR(__xludf.DUMMYFUNCTION("""COMPUTED_VALUE"""),"ALFA DE LEON ")</f>
        <v>ALFA DE LEON </v>
      </c>
      <c r="C1908" s="235" t="str">
        <f>IFERROR(__xludf.DUMMYFUNCTION("""COMPUTED_VALUE"""),"ADMIN - LUX")</f>
        <v>ADMIN - LUX</v>
      </c>
      <c r="D1908" s="196" t="str">
        <f>IFERROR(__xludf.DUMMYFUNCTION("""COMPUTED_VALUE"""),"FOOT MARKINGS  (300 PCS)")</f>
        <v>FOOT MARKINGS  (300 PCS)</v>
      </c>
      <c r="E1908" s="196" t="str">
        <f>IFERROR(__xludf.DUMMYFUNCTION("""COMPUTED_VALUE"""),"DEPED REQUIREMENT FOR PROPOSED FACE TO FACE OPENING OF SHS AND IB IN MUNICH ")</f>
        <v>DEPED REQUIREMENT FOR PROPOSED FACE TO FACE OPENING OF SHS AND IB IN MUNICH </v>
      </c>
    </row>
    <row r="1909">
      <c r="A1909" s="234">
        <f>IFERROR(__xludf.DUMMYFUNCTION("""COMPUTED_VALUE"""),102200.0)</f>
        <v>102200</v>
      </c>
      <c r="B1909" s="235" t="str">
        <f>IFERROR(__xludf.DUMMYFUNCTION("""COMPUTED_VALUE"""),"ALFA DE LEON ")</f>
        <v>ALFA DE LEON </v>
      </c>
      <c r="C1909" s="235" t="str">
        <f>IFERROR(__xludf.DUMMYFUNCTION("""COMPUTED_VALUE"""),"ADMIN - LUX")</f>
        <v>ADMIN - LUX</v>
      </c>
      <c r="D1909" s="196" t="str">
        <f>IFERROR(__xludf.DUMMYFUNCTION("""COMPUTED_VALUE"""),"STANCHION WITH RETRACTABLE POST")</f>
        <v>STANCHION WITH RETRACTABLE POST</v>
      </c>
      <c r="E1909" s="196" t="str">
        <f>IFERROR(__xludf.DUMMYFUNCTION("""COMPUTED_VALUE"""),"DEPED REQUIREMENT FOR PROPOSED FACE TO FACE OPENING OF SHS AND IB IN MUNICH ")</f>
        <v>DEPED REQUIREMENT FOR PROPOSED FACE TO FACE OPENING OF SHS AND IB IN MUNICH </v>
      </c>
    </row>
    <row r="1910">
      <c r="A1910" s="234">
        <f>IFERROR(__xludf.DUMMYFUNCTION("""COMPUTED_VALUE"""),102201.0)</f>
        <v>102201</v>
      </c>
      <c r="B1910" s="235" t="str">
        <f>IFERROR(__xludf.DUMMYFUNCTION("""COMPUTED_VALUE"""),"ALFA DE LEON ")</f>
        <v>ALFA DE LEON </v>
      </c>
      <c r="C1910" s="235" t="str">
        <f>IFERROR(__xludf.DUMMYFUNCTION("""COMPUTED_VALUE"""),"ADMIN - LUX")</f>
        <v>ADMIN - LUX</v>
      </c>
      <c r="D1910" s="196" t="str">
        <f>IFERROR(__xludf.DUMMYFUNCTION("""COMPUTED_VALUE"""),"SIGNAGE (TARP MATERIALS), SCHOOL MAP REMINDER SIGNAGE (8 PCS. X 3) 2""X 2"", DIRECTIONAL SIGNAGES, ENTRANCE EXIT SIGNAGES, VISUAL SIGNAGES ON PROPER WASTES MANAGEMENT PRACTICES - cancelled ")</f>
        <v>SIGNAGE (TARP MATERIALS), SCHOOL MAP REMINDER SIGNAGE (8 PCS. X 3) 2"X 2", DIRECTIONAL SIGNAGES, ENTRANCE EXIT SIGNAGES, VISUAL SIGNAGES ON PROPER WASTES MANAGEMENT PRACTICES - cancelled </v>
      </c>
      <c r="E1910" s="196" t="str">
        <f>IFERROR(__xludf.DUMMYFUNCTION("""COMPUTED_VALUE"""),"DEPED REQUIREMENT FOR PROPOSED FACE TO FACE OPENING OF SHS AND IB IN MUNICH ")</f>
        <v>DEPED REQUIREMENT FOR PROPOSED FACE TO FACE OPENING OF SHS AND IB IN MUNICH </v>
      </c>
    </row>
    <row r="1911">
      <c r="A1911" s="234">
        <f>IFERROR(__xludf.DUMMYFUNCTION("""COMPUTED_VALUE"""),102202.0)</f>
        <v>102202</v>
      </c>
      <c r="B1911" s="235" t="str">
        <f>IFERROR(__xludf.DUMMYFUNCTION("""COMPUTED_VALUE"""),"PHEN PETIN ")</f>
        <v>PHEN PETIN </v>
      </c>
      <c r="C1911" s="235" t="str">
        <f>IFERROR(__xludf.DUMMYFUNCTION("""COMPUTED_VALUE"""),"ADMIN - STAR")</f>
        <v>ADMIN - STAR</v>
      </c>
      <c r="D1911" s="196" t="str">
        <f>IFERROR(__xludf.DUMMYFUNCTION("""COMPUTED_VALUE"""),"CAST IN PLACE HANDWASH AREA SMOOTH CEMENT PLAIN PLASTER 2 SETS;")</f>
        <v>CAST IN PLACE HANDWASH AREA SMOOTH CEMENT PLAIN PLASTER 2 SETS;</v>
      </c>
      <c r="E1911" s="196" t="str">
        <f>IFERROR(__xludf.DUMMYFUNCTION("""COMPUTED_VALUE"""),"BUILT-UP HANDWASH AREA FOR THE PREPARATION OF FACE TO FACE CLASSES")</f>
        <v>BUILT-UP HANDWASH AREA FOR THE PREPARATION OF FACE TO FACE CLASSES</v>
      </c>
    </row>
    <row r="1912">
      <c r="A1912" s="234">
        <f>IFERROR(__xludf.DUMMYFUNCTION("""COMPUTED_VALUE"""),102203.0)</f>
        <v>102203</v>
      </c>
      <c r="B1912" s="235" t="str">
        <f>IFERROR(__xludf.DUMMYFUNCTION("""COMPUTED_VALUE"""),"RENZ BLANCA ")</f>
        <v>RENZ BLANCA </v>
      </c>
      <c r="C1912" s="235" t="str">
        <f>IFERROR(__xludf.DUMMYFUNCTION("""COMPUTED_VALUE"""),"HRMD")</f>
        <v>HRMD</v>
      </c>
      <c r="D1912" s="196" t="str">
        <f>IFERROR(__xludf.DUMMYFUNCTION("""COMPUTED_VALUE"""),"FLOWER WREATH FOR MISS ESTHER CRUZ")</f>
        <v>FLOWER WREATH FOR MISS ESTHER CRUZ</v>
      </c>
      <c r="E1912" s="196" t="str">
        <f>IFERROR(__xludf.DUMMYFUNCTION("""COMPUTED_VALUE"""),"FOR MISS ESTHER CRUZ")</f>
        <v>FOR MISS ESTHER CRUZ</v>
      </c>
    </row>
    <row r="1913">
      <c r="A1913" s="234">
        <f>IFERROR(__xludf.DUMMYFUNCTION("""COMPUTED_VALUE"""),102204.0)</f>
        <v>102204</v>
      </c>
      <c r="B1913" s="235" t="str">
        <f>IFERROR(__xludf.DUMMYFUNCTION("""COMPUTED_VALUE"""),"ALFA DE LEON")</f>
        <v>ALFA DE LEON</v>
      </c>
      <c r="C1913" s="235" t="str">
        <f>IFERROR(__xludf.DUMMYFUNCTION("""COMPUTED_VALUE"""),"LANDSCAPING")</f>
        <v>LANDSCAPING</v>
      </c>
      <c r="D1913" s="196" t="str">
        <f>IFERROR(__xludf.DUMMYFUNCTION("""COMPUTED_VALUE"""),"FROG GRASS")</f>
        <v>FROG GRASS</v>
      </c>
      <c r="E1913" s="196" t="str">
        <f>IFERROR(__xludf.DUMMYFUNCTION("""COMPUTED_VALUE"""),"REHABILITATION OF GARDEN PLANT BOX IN COLLEGE IN FRONT OF LPDH")</f>
        <v>REHABILITATION OF GARDEN PLANT BOX IN COLLEGE IN FRONT OF LPDH</v>
      </c>
    </row>
    <row r="1914">
      <c r="A1914" s="234">
        <f>IFERROR(__xludf.DUMMYFUNCTION("""COMPUTED_VALUE"""),102205.0)</f>
        <v>102205</v>
      </c>
      <c r="B1914" s="235" t="str">
        <f>IFERROR(__xludf.DUMMYFUNCTION("""COMPUTED_VALUE"""),"ALFA DE LEON")</f>
        <v>ALFA DE LEON</v>
      </c>
      <c r="C1914" s="235" t="str">
        <f>IFERROR(__xludf.DUMMYFUNCTION("""COMPUTED_VALUE"""),"ADMIN")</f>
        <v>ADMIN</v>
      </c>
      <c r="D1914" s="196" t="str">
        <f>IFERROR(__xludf.DUMMYFUNCTION("""COMPUTED_VALUE"""),"POTS XL ")</f>
        <v>POTS XL </v>
      </c>
      <c r="E1914" s="196" t="str">
        <f>IFERROR(__xludf.DUMMYFUNCTION("""COMPUTED_VALUE"""),"REPLACEMENT OF BROKEN POTS IN TROPICAL CAMPUS")</f>
        <v>REPLACEMENT OF BROKEN POTS IN TROPICAL CAMPUS</v>
      </c>
    </row>
    <row r="1915">
      <c r="A1915" s="234">
        <f>IFERROR(__xludf.DUMMYFUNCTION("""COMPUTED_VALUE"""),102206.0)</f>
        <v>102206</v>
      </c>
      <c r="B1915" s="235" t="str">
        <f>IFERROR(__xludf.DUMMYFUNCTION("""COMPUTED_VALUE"""),"ALFA DE LEON")</f>
        <v>ALFA DE LEON</v>
      </c>
      <c r="C1915" s="235" t="str">
        <f>IFERROR(__xludf.DUMMYFUNCTION("""COMPUTED_VALUE"""),"ADMIN - MUNICH")</f>
        <v>ADMIN - MUNICH</v>
      </c>
      <c r="D1915" s="196" t="str">
        <f>IFERROR(__xludf.DUMMYFUNCTION("""COMPUTED_VALUE"""),"POTS XL ")</f>
        <v>POTS XL </v>
      </c>
      <c r="E1915" s="196" t="str">
        <f>IFERROR(__xludf.DUMMYFUNCTION("""COMPUTED_VALUE"""),"REPLACEMENT OF BROKEN POTS IN MUNICH CAMPUS")</f>
        <v>REPLACEMENT OF BROKEN POTS IN MUNICH CAMPUS</v>
      </c>
    </row>
    <row r="1916">
      <c r="A1916" s="234">
        <f>IFERROR(__xludf.DUMMYFUNCTION("""COMPUTED_VALUE"""),102207.0)</f>
        <v>102207</v>
      </c>
      <c r="B1916" s="235" t="str">
        <f>IFERROR(__xludf.DUMMYFUNCTION("""COMPUTED_VALUE"""),"RONALDO OBLENO")</f>
        <v>RONALDO OBLENO</v>
      </c>
      <c r="C1916" s="235" t="str">
        <f>IFERROR(__xludf.DUMMYFUNCTION("""COMPUTED_VALUE"""),"MIS")</f>
        <v>MIS</v>
      </c>
      <c r="D1916" s="196" t="str">
        <f>IFERROR(__xludf.DUMMYFUNCTION("""COMPUTED_VALUE"""),"4 PCS. DESKTOP COMPUTERS SYSTEM UNIT ONLY   (INTEL CORE I5 11TH GEN, ASUS MOTHERBOARD, KINGSTON 8GB, 256 SSD TOWER CASING, TRUE RATED 700 WATTS POWER SUPPLY)")</f>
        <v>4 PCS. DESKTOP COMPUTERS SYSTEM UNIT ONLY   (INTEL CORE I5 11TH GEN, ASUS MOTHERBOARD, KINGSTON 8GB, 256 SSD TOWER CASING, TRUE RATED 700 WATTS POWER SUPPLY)</v>
      </c>
      <c r="E1916" s="196" t="str">
        <f>IFERROR(__xludf.DUMMYFUNCTION("""COMPUTED_VALUE"""),"BLENDED LEARNING REQUIREMENTS FOR CLASSROOM")</f>
        <v>BLENDED LEARNING REQUIREMENTS FOR CLASSROOM</v>
      </c>
    </row>
    <row r="1917">
      <c r="A1917" s="234">
        <f>IFERROR(__xludf.DUMMYFUNCTION("""COMPUTED_VALUE"""),102208.0)</f>
        <v>102208</v>
      </c>
      <c r="B1917" s="235" t="str">
        <f>IFERROR(__xludf.DUMMYFUNCTION("""COMPUTED_VALUE"""),"ALFA DE LEON")</f>
        <v>ALFA DE LEON</v>
      </c>
      <c r="C1917" s="235" t="str">
        <f>IFERROR(__xludf.DUMMYFUNCTION("""COMPUTED_VALUE"""),"ADMIN")</f>
        <v>ADMIN</v>
      </c>
      <c r="D1917" s="196" t="str">
        <f>IFERROR(__xludf.DUMMYFUNCTION("""COMPUTED_VALUE"""),"BOLT WITH NUT AND WASHER # 1""X6"", DEFORME BAR #12 MM, G.I. WIRE # 16, DEFORME BAR  #10 MM, CEMENT,  WHITE SAND")</f>
        <v>BOLT WITH NUT AND WASHER # 1"X6", DEFORME BAR #12 MM, G.I. WIRE # 16, DEFORME BAR  #10 MM, CEMENT,  WHITE SAND</v>
      </c>
      <c r="E1917" s="196" t="str">
        <f>IFERROR(__xludf.DUMMYFUNCTION("""COMPUTED_VALUE"""),"REINSTALLATION OF OUR 2 FLAG POLE IN FLAG POLE IN LUX PARKING FENCE SIDE")</f>
        <v>REINSTALLATION OF OUR 2 FLAG POLE IN FLAG POLE IN LUX PARKING FENCE SIDE</v>
      </c>
    </row>
    <row r="1918">
      <c r="A1918" s="234">
        <f>IFERROR(__xludf.DUMMYFUNCTION("""COMPUTED_VALUE"""),102209.0)</f>
        <v>102209</v>
      </c>
      <c r="B1918" s="235" t="str">
        <f>IFERROR(__xludf.DUMMYFUNCTION("""COMPUTED_VALUE"""),"ALFA DE LEON")</f>
        <v>ALFA DE LEON</v>
      </c>
      <c r="C1918" s="235" t="str">
        <f>IFERROR(__xludf.DUMMYFUNCTION("""COMPUTED_VALUE"""),"ADMIN")</f>
        <v>ADMIN</v>
      </c>
      <c r="D1918" s="196" t="str">
        <f>IFERROR(__xludf.DUMMYFUNCTION("""COMPUTED_VALUE"""),"SQUARE BAR 12 MM, WHITE SAND, CUTTING DISC #4"", GI WIRE # 16, PAINT THINNER, PAINT BRUSH 1.5")</f>
        <v>SQUARE BAR 12 MM, WHITE SAND, CUTTING DISC #4", GI WIRE # 16, PAINT THINNER, PAINT BRUSH 1.5</v>
      </c>
      <c r="E1918" s="196" t="str">
        <f>IFERROR(__xludf.DUMMYFUNCTION("""COMPUTED_VALUE"""),"MANHOLE IMPROVEMENT IN MUNICH CAMPUS")</f>
        <v>MANHOLE IMPROVEMENT IN MUNICH CAMPUS</v>
      </c>
    </row>
    <row r="1919">
      <c r="A1919" s="234">
        <f>IFERROR(__xludf.DUMMYFUNCTION("""COMPUTED_VALUE"""),102210.0)</f>
        <v>102210</v>
      </c>
      <c r="B1919" s="235" t="str">
        <f>IFERROR(__xludf.DUMMYFUNCTION("""COMPUTED_VALUE"""),"ALFA DE LEON")</f>
        <v>ALFA DE LEON</v>
      </c>
      <c r="C1919" s="235" t="str">
        <f>IFERROR(__xludf.DUMMYFUNCTION("""COMPUTED_VALUE"""),"ADMIN")</f>
        <v>ADMIN</v>
      </c>
      <c r="D1919" s="196" t="str">
        <f>IFERROR(__xludf.DUMMYFUNCTION("""COMPUTED_VALUE"""),"SOUTHVILLE FLAG 3X5 NYLON, INDONESIA FLAG 3X5 NYLON")</f>
        <v>SOUTHVILLE FLAG 3X5 NYLON, INDONESIA FLAG 3X5 NYLON</v>
      </c>
      <c r="E1919" s="196" t="str">
        <f>IFERROR(__xludf.DUMMYFUNCTION("""COMPUTED_VALUE"""),"FLAG POLE PROJECT")</f>
        <v>FLAG POLE PROJECT</v>
      </c>
    </row>
    <row r="1920">
      <c r="A1920" s="234">
        <f>IFERROR(__xludf.DUMMYFUNCTION("""COMPUTED_VALUE"""),102211.0)</f>
        <v>102211</v>
      </c>
      <c r="B1920" s="235" t="str">
        <f>IFERROR(__xludf.DUMMYFUNCTION("""COMPUTED_VALUE"""),"CARLITO DELA VEGA")</f>
        <v>CARLITO DELA VEGA</v>
      </c>
      <c r="C1920" s="235" t="str">
        <f>IFERROR(__xludf.DUMMYFUNCTION("""COMPUTED_VALUE"""),"ADMIN - LUX")</f>
        <v>ADMIN - LUX</v>
      </c>
      <c r="D1920" s="196" t="str">
        <f>IFERROR(__xludf.DUMMYFUNCTION("""COMPUTED_VALUE"""),"TARPS FOR F2F CLASSES; INFECTIOUS WASTE STICKERS ")</f>
        <v>TARPS FOR F2F CLASSES; INFECTIOUS WASTE STICKERS </v>
      </c>
      <c r="E1920" s="196" t="str">
        <f>IFERROR(__xludf.DUMMYFUNCTION("""COMPUTED_VALUE"""),"FOR FACE TO FACE CLASSES IN MUNICH CAMPUS")</f>
        <v>FOR FACE TO FACE CLASSES IN MUNICH CAMPUS</v>
      </c>
    </row>
    <row r="1921">
      <c r="A1921" s="234">
        <f>IFERROR(__xludf.DUMMYFUNCTION("""COMPUTED_VALUE"""),102212.0)</f>
        <v>102212</v>
      </c>
      <c r="B1921" s="235" t="str">
        <f>IFERROR(__xludf.DUMMYFUNCTION("""COMPUTED_VALUE"""),"ELYDS REYES ")</f>
        <v>ELYDS REYES </v>
      </c>
      <c r="C1921" s="235" t="str">
        <f>IFERROR(__xludf.DUMMYFUNCTION("""COMPUTED_VALUE"""),"PR &amp; MARKETING")</f>
        <v>PR &amp; MARKETING</v>
      </c>
      <c r="D1921" s="196" t="str">
        <f>IFERROR(__xludf.DUMMYFUNCTION("""COMPUTED_VALUE"""),"TARPS CONGRATULATORY TARP (10 X 20 FT W/ SEAMING AND EYELET ALL OVER 18 OUNCES")</f>
        <v>TARPS CONGRATULATORY TARP (10 X 20 FT W/ SEAMING AND EYELET ALL OVER 18 OUNCES</v>
      </c>
      <c r="E1921" s="196" t="str">
        <f>IFERROR(__xludf.DUMMYFUNCTION("""COMPUTED_VALUE"""),"FOR PROMOTION")</f>
        <v>FOR PROMOTION</v>
      </c>
    </row>
    <row r="1922">
      <c r="A1922" s="234">
        <f>IFERROR(__xludf.DUMMYFUNCTION("""COMPUTED_VALUE"""),102213.0)</f>
        <v>102213</v>
      </c>
      <c r="B1922" s="235" t="str">
        <f>IFERROR(__xludf.DUMMYFUNCTION("""COMPUTED_VALUE"""),"ELYDS REYES ")</f>
        <v>ELYDS REYES </v>
      </c>
      <c r="C1922" s="235" t="str">
        <f>IFERROR(__xludf.DUMMYFUNCTION("""COMPUTED_VALUE"""),"PR &amp; MARKETING")</f>
        <v>PR &amp; MARKETING</v>
      </c>
      <c r="D1922" s="196" t="str">
        <f>IFERROR(__xludf.DUMMYFUNCTION("""COMPUTED_VALUE"""),"(TARPS) SEARCH FOR THE TOPS 6.5 X 13.5 FT WITH EYELET AND SEAMING ")</f>
        <v>(TARPS) SEARCH FOR THE TOPS 6.5 X 13.5 FT WITH EYELET AND SEAMING </v>
      </c>
      <c r="E1922" s="196" t="str">
        <f>IFERROR(__xludf.DUMMYFUNCTION("""COMPUTED_VALUE"""),"FOR PROMOTION")</f>
        <v>FOR PROMOTION</v>
      </c>
    </row>
    <row r="1923">
      <c r="A1923" s="234">
        <f>IFERROR(__xludf.DUMMYFUNCTION("""COMPUTED_VALUE"""),102214.0)</f>
        <v>102214</v>
      </c>
      <c r="B1923" s="235" t="str">
        <f>IFERROR(__xludf.DUMMYFUNCTION("""COMPUTED_VALUE"""),"ELYDS REYES ")</f>
        <v>ELYDS REYES </v>
      </c>
      <c r="C1923" s="235" t="str">
        <f>IFERROR(__xludf.DUMMYFUNCTION("""COMPUTED_VALUE"""),"PR &amp; MARKETING")</f>
        <v>PR &amp; MARKETING</v>
      </c>
      <c r="D1923" s="196" t="str">
        <f>IFERROR(__xludf.DUMMYFUNCTION("""COMPUTED_VALUE"""),"( TARPS)COLLEGE SECOND SEMESTER AY 2020- 2022 ANNOUNCEMENT 6.5 X 13.5 FT WITH EYELETSAND SEAMING")</f>
        <v>( TARPS)COLLEGE SECOND SEMESTER AY 2020- 2022 ANNOUNCEMENT 6.5 X 13.5 FT WITH EYELETSAND SEAMING</v>
      </c>
      <c r="E1923" s="196" t="str">
        <f>IFERROR(__xludf.DUMMYFUNCTION("""COMPUTED_VALUE"""),"FOR PROMOTION")</f>
        <v>FOR PROMOTION</v>
      </c>
    </row>
    <row r="1924">
      <c r="A1924" s="234">
        <f>IFERROR(__xludf.DUMMYFUNCTION("""COMPUTED_VALUE"""),102215.0)</f>
        <v>102215</v>
      </c>
      <c r="B1924" s="235" t="str">
        <f>IFERROR(__xludf.DUMMYFUNCTION("""COMPUTED_VALUE"""),"CHRISTIAN S. ANDRES ")</f>
        <v>CHRISTIAN S. ANDRES </v>
      </c>
      <c r="C1924" s="235" t="str">
        <f>IFERROR(__xludf.DUMMYFUNCTION("""COMPUTED_VALUE"""),"PR &amp; MARKETING")</f>
        <v>PR &amp; MARKETING</v>
      </c>
      <c r="D1924" s="196" t="str">
        <f>IFERROR(__xludf.DUMMYFUNCTION("""COMPUTED_VALUE"""),"(TARPS) 13 OZ HEIGHT 83 INCHES X 190 INCHES WIDTH, BLACK OUT WITH SEAMING AND EYELET ALL OVER")</f>
        <v>(TARPS) 13 OZ HEIGHT 83 INCHES X 190 INCHES WIDTH, BLACK OUT WITH SEAMING AND EYELET ALL OVER</v>
      </c>
      <c r="E1924" s="196" t="str">
        <f>IFERROR(__xludf.DUMMYFUNCTION("""COMPUTED_VALUE"""),"FOR PROMOTION")</f>
        <v>FOR PROMOTION</v>
      </c>
    </row>
    <row r="1925">
      <c r="A1925" s="234">
        <f>IFERROR(__xludf.DUMMYFUNCTION("""COMPUTED_VALUE"""),102216.0)</f>
        <v>102216</v>
      </c>
      <c r="B1925" s="235" t="str">
        <f>IFERROR(__xludf.DUMMYFUNCTION("""COMPUTED_VALUE"""),"SHEREE ESPINOSA")</f>
        <v>SHEREE ESPINOSA</v>
      </c>
      <c r="C1925" s="235" t="str">
        <f>IFERROR(__xludf.DUMMYFUNCTION("""COMPUTED_VALUE"""),"PRESIDENT'S OFFICE")</f>
        <v>PRESIDENT'S OFFICE</v>
      </c>
      <c r="D1925" s="196" t="str">
        <f>IFERROR(__xludf.DUMMYFUNCTION("""COMPUTED_VALUE"""),"BOUQET OF FLOWERS ")</f>
        <v>BOUQET OF FLOWERS </v>
      </c>
      <c r="E1925" s="196" t="str">
        <f>IFERROR(__xludf.DUMMYFUNCTION("""COMPUTED_VALUE"""),"TOKEN FOR MAAM ANGIE FRAGINAL ")</f>
        <v>TOKEN FOR MAAM ANGIE FRAGINAL </v>
      </c>
    </row>
    <row r="1926">
      <c r="A1926" s="234">
        <f>IFERROR(__xludf.DUMMYFUNCTION("""COMPUTED_VALUE"""),102217.0)</f>
        <v>102217</v>
      </c>
      <c r="B1926" s="235" t="str">
        <f>IFERROR(__xludf.DUMMYFUNCTION("""COMPUTED_VALUE"""),"RONALD OBLENO ")</f>
        <v>RONALD OBLENO </v>
      </c>
      <c r="C1926" s="235" t="str">
        <f>IFERROR(__xludf.DUMMYFUNCTION("""COMPUTED_VALUE"""),"AV/MIS")</f>
        <v>AV/MIS</v>
      </c>
      <c r="D1926" s="196" t="str">
        <f>IFERROR(__xludf.DUMMYFUNCTION("""COMPUTED_VALUE"""),"TV WALL MOUNT FOR 55 INCHES ")</f>
        <v>TV WALL MOUNT FOR 55 INCHES </v>
      </c>
      <c r="E1926" s="196" t="str">
        <f>IFERROR(__xludf.DUMMYFUNCTION("""COMPUTED_VALUE"""),"FOR BLENDED LEARNING REQUIREMENTS FOR CLASSROOM")</f>
        <v>FOR BLENDED LEARNING REQUIREMENTS FOR CLASSROOM</v>
      </c>
    </row>
    <row r="1927">
      <c r="A1927" s="234">
        <f>IFERROR(__xludf.DUMMYFUNCTION("""COMPUTED_VALUE"""),102218.0)</f>
        <v>102218</v>
      </c>
      <c r="B1927" s="235" t="str">
        <f>IFERROR(__xludf.DUMMYFUNCTION("""COMPUTED_VALUE"""),"KENNETH ANCERMO")</f>
        <v>KENNETH ANCERMO</v>
      </c>
      <c r="C1927" s="235" t="str">
        <f>IFERROR(__xludf.DUMMYFUNCTION("""COMPUTED_VALUE"""),"AMD")</f>
        <v>AMD</v>
      </c>
      <c r="D1927" s="196" t="str">
        <f>IFERROR(__xludf.DUMMYFUNCTION("""COMPUTED_VALUE"""),"LED BULB 8W DAYLIGHT - PHILIPS")</f>
        <v>LED BULB 8W DAYLIGHT - PHILIPS</v>
      </c>
      <c r="E1927" s="196" t="str">
        <f>IFERROR(__xludf.DUMMYFUNCTION("""COMPUTED_VALUE"""),"ENGINEERING STOCK REPLENISHMENT ")</f>
        <v>ENGINEERING STOCK REPLENISHMENT </v>
      </c>
    </row>
    <row r="1928">
      <c r="A1928" s="234">
        <f>IFERROR(__xludf.DUMMYFUNCTION("""COMPUTED_VALUE"""),102219.0)</f>
        <v>102219</v>
      </c>
      <c r="B1928" s="235" t="str">
        <f>IFERROR(__xludf.DUMMYFUNCTION("""COMPUTED_VALUE"""),"ELMIE LAUDITO")</f>
        <v>ELMIE LAUDITO</v>
      </c>
      <c r="C1928" s="235" t="str">
        <f>IFERROR(__xludf.DUMMYFUNCTION("""COMPUTED_VALUE"""),"HRMD")</f>
        <v>HRMD</v>
      </c>
      <c r="D1928" s="196" t="str">
        <f>IFERROR(__xludf.DUMMYFUNCTION("""COMPUTED_VALUE"""),"FLOWER WREATH FOR SIR RICHARD PERALTA ")</f>
        <v>FLOWER WREATH FOR SIR RICHARD PERALTA </v>
      </c>
      <c r="E1928" s="196" t="str">
        <f>IFERROR(__xludf.DUMMYFUNCTION("""COMPUTED_VALUE"""),"FLOWER WREATH FOR SIR RICHARD PERALTA (FORMER BED FACULTY)")</f>
        <v>FLOWER WREATH FOR SIR RICHARD PERALTA (FORMER BED FACULTY)</v>
      </c>
    </row>
    <row r="1929">
      <c r="A1929" s="234">
        <f>IFERROR(__xludf.DUMMYFUNCTION("""COMPUTED_VALUE"""),102220.0)</f>
        <v>102220</v>
      </c>
      <c r="B1929" s="235" t="str">
        <f>IFERROR(__xludf.DUMMYFUNCTION("""COMPUTED_VALUE"""),"MELISSA ODONO")</f>
        <v>MELISSA ODONO</v>
      </c>
      <c r="C1929" s="235" t="str">
        <f>IFERROR(__xludf.DUMMYFUNCTION("""COMPUTED_VALUE"""),"LIBRARY COLLEGE")</f>
        <v>LIBRARY COLLEGE</v>
      </c>
      <c r="D1929" s="196" t="str">
        <f>IFERROR(__xludf.DUMMYFUNCTION("""COMPUTED_VALUE"""),"AUTOMATIC ALCOHOL DISPENSER ")</f>
        <v>AUTOMATIC ALCOHOL DISPENSER </v>
      </c>
      <c r="E1929" s="196" t="str">
        <f>IFERROR(__xludf.DUMMYFUNCTION("""COMPUTED_VALUE"""),"FOR PACUCUOA REQUIREMENTS")</f>
        <v>FOR PACUCUOA REQUIREMENTS</v>
      </c>
    </row>
    <row r="1930">
      <c r="A1930" s="234">
        <f>IFERROR(__xludf.DUMMYFUNCTION("""COMPUTED_VALUE"""),102221.0)</f>
        <v>102221</v>
      </c>
      <c r="B1930" s="235" t="str">
        <f>IFERROR(__xludf.DUMMYFUNCTION("""COMPUTED_VALUE"""),"ALFA DE LEON/SHEREE ESPINOSA")</f>
        <v>ALFA DE LEON/SHEREE ESPINOSA</v>
      </c>
      <c r="C1930" s="235" t="str">
        <f>IFERROR(__xludf.DUMMYFUNCTION("""COMPUTED_VALUE"""),"ADMIN")</f>
        <v>ADMIN</v>
      </c>
      <c r="D1930" s="196" t="str">
        <f>IFERROR(__xludf.DUMMYFUNCTION("""COMPUTED_VALUE"""),"BATTERY CHARGER AA (LUX- 2 PCS. MUNICH- 1 PC. STAR CAMPUS- 1 PC.)")</f>
        <v>BATTERY CHARGER AA (LUX- 2 PCS. MUNICH- 1 PC. STAR CAMPUS- 1 PC.)</v>
      </c>
      <c r="E1930" s="196" t="str">
        <f>IFERROR(__xludf.DUMMYFUNCTION("""COMPUTED_VALUE"""),"BATTERY CHARGER FOR AUTOMATIC DISPENSER ")</f>
        <v>BATTERY CHARGER FOR AUTOMATIC DISPENSER </v>
      </c>
    </row>
    <row r="1931">
      <c r="A1931" s="234">
        <f>IFERROR(__xludf.DUMMYFUNCTION("""COMPUTED_VALUE"""),102222.0)</f>
        <v>102222</v>
      </c>
      <c r="B1931" s="235" t="str">
        <f>IFERROR(__xludf.DUMMYFUNCTION("""COMPUTED_VALUE"""),"RONALD OBLENO ")</f>
        <v>RONALD OBLENO </v>
      </c>
      <c r="C1931" s="235" t="str">
        <f>IFERROR(__xludf.DUMMYFUNCTION("""COMPUTED_VALUE"""),"AV/MIS")</f>
        <v>AV/MIS</v>
      </c>
      <c r="D1931" s="196" t="str">
        <f>IFERROR(__xludf.DUMMYFUNCTION("""COMPUTED_VALUE"""),"EXTENSION CORD 4 GANGS 5 METERS  (4 PCS)")</f>
        <v>EXTENSION CORD 4 GANGS 5 METERS  (4 PCS)</v>
      </c>
      <c r="E1931" s="196" t="str">
        <f>IFERROR(__xludf.DUMMYFUNCTION("""COMPUTED_VALUE"""),"BLENDED LEARNING REQUIREMENTS FOR CLASSROOM ")</f>
        <v>BLENDED LEARNING REQUIREMENTS FOR CLASSROOM </v>
      </c>
    </row>
    <row r="1932">
      <c r="A1932" s="234">
        <f>IFERROR(__xludf.DUMMYFUNCTION("""COMPUTED_VALUE"""),102223.0)</f>
        <v>102223</v>
      </c>
      <c r="B1932" s="235" t="str">
        <f>IFERROR(__xludf.DUMMYFUNCTION("""COMPUTED_VALUE"""),"LUCILLE BEYER ")</f>
        <v>LUCILLE BEYER </v>
      </c>
      <c r="C1932" s="235" t="str">
        <f>IFERROR(__xludf.DUMMYFUNCTION("""COMPUTED_VALUE"""),"MEDICAL")</f>
        <v>MEDICAL</v>
      </c>
      <c r="D1932" s="196" t="str">
        <f>IFERROR(__xludf.DUMMYFUNCTION("""COMPUTED_VALUE"""),"BIOGESIC 500MG 200PCS; DECOLGEN TAB 200 PCS; TUSERAN FORTE 200 PCS; CETRIZINE 50 PCS;")</f>
        <v>BIOGESIC 500MG 200PCS; DECOLGEN TAB 200 PCS; TUSERAN FORTE 200 PCS; CETRIZINE 50 PCS;</v>
      </c>
      <c r="E1932" s="196" t="str">
        <f>IFERROR(__xludf.DUMMYFUNCTION("""COMPUTED_VALUE"""),"STOCK REPLENISHMENT FOR THE MONTH OF JANUARY CLINIC USE")</f>
        <v>STOCK REPLENISHMENT FOR THE MONTH OF JANUARY CLINIC USE</v>
      </c>
    </row>
    <row r="1933">
      <c r="A1933" s="234">
        <f>IFERROR(__xludf.DUMMYFUNCTION("""COMPUTED_VALUE"""),102224.0)</f>
        <v>102224</v>
      </c>
      <c r="B1933" s="235" t="str">
        <f>IFERROR(__xludf.DUMMYFUNCTION("""COMPUTED_VALUE"""),"KENNETH ANCERMO")</f>
        <v>KENNETH ANCERMO</v>
      </c>
      <c r="C1933" s="235" t="str">
        <f>IFERROR(__xludf.DUMMYFUNCTION("""COMPUTED_VALUE"""),"AMD")</f>
        <v>AMD</v>
      </c>
      <c r="D1933" s="196" t="str">
        <f>IFERROR(__xludf.DUMMYFUNCTION("""COMPUTED_VALUE"""),"Toner, Cartridge Inkonvert LBP6000 85A")</f>
        <v>Toner, Cartridge Inkonvert LBP6000 85A</v>
      </c>
      <c r="E1933" s="196" t="str">
        <f>IFERROR(__xludf.DUMMYFUNCTION("""COMPUTED_VALUE"""),"OSSUP STOCK REPLENISHMENT ")</f>
        <v>OSSUP STOCK REPLENISHMENT </v>
      </c>
    </row>
    <row r="1934">
      <c r="A1934" s="234">
        <f>IFERROR(__xludf.DUMMYFUNCTION("""COMPUTED_VALUE"""),102225.0)</f>
        <v>102225</v>
      </c>
      <c r="B1934" s="235" t="str">
        <f>IFERROR(__xludf.DUMMYFUNCTION("""COMPUTED_VALUE"""),"RONALD OBLENO ")</f>
        <v>RONALD OBLENO </v>
      </c>
      <c r="C1934" s="235" t="str">
        <f>IFERROR(__xludf.DUMMYFUNCTION("""COMPUTED_VALUE"""),"AV/MIS")</f>
        <v>AV/MIS</v>
      </c>
      <c r="D1934" s="196" t="str">
        <f>IFERROR(__xludf.DUMMYFUNCTION("""COMPUTED_VALUE"""),"DVI 24+5 CABLE TO VGA 1.8 METERS ")</f>
        <v>DVI 24+5 CABLE TO VGA 1.8 METERS </v>
      </c>
      <c r="E1934" s="196" t="str">
        <f>IFERROR(__xludf.DUMMYFUNCTION("""COMPUTED_VALUE"""),"BLENDED LEARNING REQUIREMENTS FOR CLASSROOM ")</f>
        <v>BLENDED LEARNING REQUIREMENTS FOR CLASSROOM </v>
      </c>
    </row>
    <row r="1935">
      <c r="A1935" s="234">
        <f>IFERROR(__xludf.DUMMYFUNCTION("""COMPUTED_VALUE"""),102226.0)</f>
        <v>102226</v>
      </c>
      <c r="B1935" s="235" t="str">
        <f>IFERROR(__xludf.DUMMYFUNCTION("""COMPUTED_VALUE"""),"PHEN PHEN ")</f>
        <v>PHEN PHEN </v>
      </c>
      <c r="C1935" s="235" t="str">
        <f>IFERROR(__xludf.DUMMYFUNCTION("""COMPUTED_VALUE"""),"ADMIN - STAR")</f>
        <v>ADMIN - STAR</v>
      </c>
      <c r="D1935" s="196" t="str">
        <f>IFERROR(__xludf.DUMMYFUNCTION("""COMPUTED_VALUE"""),"FOOT MARKINGS 100 PCS;")</f>
        <v>FOOT MARKINGS 100 PCS;</v>
      </c>
      <c r="E1935" s="196" t="str">
        <f>IFERROR(__xludf.DUMMYFUNCTION("""COMPUTED_VALUE"""),"FOR STAR CAMPUS DEDED REQUIREMENTS")</f>
        <v>FOR STAR CAMPUS DEDED REQUIREMENTS</v>
      </c>
    </row>
    <row r="1936">
      <c r="A1936" s="234">
        <f>IFERROR(__xludf.DUMMYFUNCTION("""COMPUTED_VALUE"""),102227.0)</f>
        <v>102227</v>
      </c>
      <c r="B1936" s="235" t="str">
        <f>IFERROR(__xludf.DUMMYFUNCTION("""COMPUTED_VALUE"""),"KENNETH ANCERMO")</f>
        <v>KENNETH ANCERMO</v>
      </c>
      <c r="C1936" s="235" t="str">
        <f>IFERROR(__xludf.DUMMYFUNCTION("""COMPUTED_VALUE"""),"AMD")</f>
        <v>AMD</v>
      </c>
      <c r="D1936" s="196" t="str">
        <f>IFERROR(__xludf.DUMMYFUNCTION("""COMPUTED_VALUE"""),"ALCOHOL (ISOPROPHYL 70%) BABY POWDER SCENT 50 GALS;")</f>
        <v>ALCOHOL (ISOPROPHYL 70%) BABY POWDER SCENT 50 GALS;</v>
      </c>
      <c r="E1936" s="196" t="str">
        <f>IFERROR(__xludf.DUMMYFUNCTION("""COMPUTED_VALUE"""),"FOR COVID19 PROTECTION ")</f>
        <v>FOR COVID19 PROTECTION </v>
      </c>
    </row>
    <row r="1937">
      <c r="A1937" s="234">
        <f>IFERROR(__xludf.DUMMYFUNCTION("""COMPUTED_VALUE"""),102228.0)</f>
        <v>102228</v>
      </c>
      <c r="B1937" s="235" t="str">
        <f>IFERROR(__xludf.DUMMYFUNCTION("""COMPUTED_VALUE"""),"JOMEL BUTIAL ")</f>
        <v>JOMEL BUTIAL </v>
      </c>
      <c r="C1937" s="235" t="str">
        <f>IFERROR(__xludf.DUMMYFUNCTION("""COMPUTED_VALUE"""),"AMD")</f>
        <v>AMD</v>
      </c>
      <c r="D1937" s="196" t="str">
        <f>IFERROR(__xludf.DUMMYFUNCTION("""COMPUTED_VALUE"""),"ECOLUTION DISINFECTANT 30 GALS;")</f>
        <v>ECOLUTION DISINFECTANT 30 GALS;</v>
      </c>
      <c r="E1937" s="196" t="str">
        <f>IFERROR(__xludf.DUMMYFUNCTION("""COMPUTED_VALUE"""),"HOUSEKEEPING STOCK REPLENISHMENT")</f>
        <v>HOUSEKEEPING STOCK REPLENISHMENT</v>
      </c>
    </row>
    <row r="1938">
      <c r="A1938" s="234">
        <f>IFERROR(__xludf.DUMMYFUNCTION("""COMPUTED_VALUE"""),102229.0)</f>
        <v>102229</v>
      </c>
      <c r="B1938" s="235" t="str">
        <f>IFERROR(__xludf.DUMMYFUNCTION("""COMPUTED_VALUE"""),"ALFA DE LEON")</f>
        <v>ALFA DE LEON</v>
      </c>
      <c r="C1938" s="235" t="str">
        <f>IFERROR(__xludf.DUMMYFUNCTION("""COMPUTED_VALUE"""),"ADMIN")</f>
        <v>ADMIN</v>
      </c>
      <c r="D1938" s="196" t="str">
        <f>IFERROR(__xludf.DUMMYFUNCTION("""COMPUTED_VALUE"""),"TARPAULIN HANDWASH AND FACEMASK 22""X28""")</f>
        <v>TARPAULIN HANDWASH AND FACEMASK 22"X28"</v>
      </c>
      <c r="E1938" s="196" t="str">
        <f>IFERROR(__xludf.DUMMYFUNCTION("""COMPUTED_VALUE"""),"TARP FOR SHS AND IB F2F OPENING OF CLASSES ")</f>
        <v>TARP FOR SHS AND IB F2F OPENING OF CLASSES </v>
      </c>
    </row>
    <row r="1939">
      <c r="A1939" s="234">
        <f>IFERROR(__xludf.DUMMYFUNCTION("""COMPUTED_VALUE"""),102230.0)</f>
        <v>102230</v>
      </c>
      <c r="B1939" s="235" t="str">
        <f>IFERROR(__xludf.DUMMYFUNCTION("""COMPUTED_VALUE"""),"OWIE PAR/PHEN PETIN")</f>
        <v>OWIE PAR/PHEN PETIN</v>
      </c>
      <c r="C1939" s="235" t="str">
        <f>IFERROR(__xludf.DUMMYFUNCTION("""COMPUTED_VALUE"""),"ADMIN - STAR")</f>
        <v>ADMIN - STAR</v>
      </c>
      <c r="D1939" s="196" t="str">
        <f>IFERROR(__xludf.DUMMYFUNCTION("""COMPUTED_VALUE"""),"PVC PIPE #3/4 BLUE, PVC COUPLING # 3/4 BLUE, PVC TEE #3/4 BLUE, PVC TEE W/ TREND 3/4, PVC ELBOW #3/4, PVC ELBOW WITH TREAD, PVC BUSHING REDUCER 3/4 X 1/2, PVC CLAMP 3/4, PVC PIPE #2 ORANGE, PVC TEE #2 ORANGE, BASKET STRAINER, PVC P-TRAP #2 ORANGE, PVC ELB"&amp;"OW #2 ORANGE, PVC CLAMP #2, PVC BALL VALVE 3/4, PVC SOLVENT CEMENT 400 CC, TEPLON TAPE 3/4, ANGLE VALVE 1/2 X 1/2, PVC NIPPLE 1/2 X 2, FLEXIBLE HOSE 1/2 X 1/2  ")</f>
        <v>PVC PIPE #3/4 BLUE, PVC COUPLING # 3/4 BLUE, PVC TEE #3/4 BLUE, PVC TEE W/ TREND 3/4, PVC ELBOW #3/4, PVC ELBOW WITH TREAD, PVC BUSHING REDUCER 3/4 X 1/2, PVC CLAMP 3/4, PVC PIPE #2 ORANGE, PVC TEE #2 ORANGE, BASKET STRAINER, PVC P-TRAP #2 ORANGE, PVC ELBOW #2 ORANGE, PVC CLAMP #2, PVC BALL VALVE 3/4, PVC SOLVENT CEMENT 400 CC, TEPLON TAPE 3/4, ANGLE VALVE 1/2 X 1/2, PVC NIPPLE 1/2 X 2, FLEXIBLE HOSE 1/2 X 1/2  </v>
      </c>
      <c r="E1939" s="196" t="str">
        <f>IFERROR(__xludf.DUMMYFUNCTION("""COMPUTED_VALUE"""),"DEPED REQUIREMENTS FOR STAR CAMPUS")</f>
        <v>DEPED REQUIREMENTS FOR STAR CAMPUS</v>
      </c>
    </row>
    <row r="1940">
      <c r="A1940" s="234">
        <f>IFERROR(__xludf.DUMMYFUNCTION("""COMPUTED_VALUE"""),102231.0)</f>
        <v>102231</v>
      </c>
      <c r="B1940" s="235" t="str">
        <f>IFERROR(__xludf.DUMMYFUNCTION("""COMPUTED_VALUE"""),"ALFA DE LEON")</f>
        <v>ALFA DE LEON</v>
      </c>
      <c r="C1940" s="235" t="str">
        <f>IFERROR(__xludf.DUMMYFUNCTION("""COMPUTED_VALUE"""),"ADMIN - MUNICH")</f>
        <v>ADMIN - MUNICH</v>
      </c>
      <c r="D1940" s="196" t="str">
        <f>IFERROR(__xludf.DUMMYFUNCTION("""COMPUTED_VALUE"""),"FLEXIBLE PIPE 50 METERS 1/2"", WIDE SERIES OUTLET 1 GANG, AMCO BOX, THHN P.D. # 12/7, TOX AND SCREW # 6, ELECTRICAL TAPE")</f>
        <v>FLEXIBLE PIPE 50 METERS 1/2", WIDE SERIES OUTLET 1 GANG, AMCO BOX, THHN P.D. # 12/7, TOX AND SCREW # 6, ELECTRICAL TAPE</v>
      </c>
      <c r="E1940" s="196" t="str">
        <f>IFERROR(__xludf.DUMMYFUNCTION("""COMPUTED_VALUE"""),"MATERIALS OF ELECTRICAL OUTLET INSTALLATION OF 55"" TV FOR SHS AND IB FACE TO FACE CLASS REQUIREMENTS")</f>
        <v>MATERIALS OF ELECTRICAL OUTLET INSTALLATION OF 55" TV FOR SHS AND IB FACE TO FACE CLASS REQUIREMENTS</v>
      </c>
    </row>
    <row r="1941">
      <c r="A1941" s="234">
        <f>IFERROR(__xludf.DUMMYFUNCTION("""COMPUTED_VALUE"""),102232.0)</f>
        <v>102232</v>
      </c>
      <c r="B1941" s="235" t="str">
        <f>IFERROR(__xludf.DUMMYFUNCTION("""COMPUTED_VALUE"""),"JORALYN G. CASIS ")</f>
        <v>JORALYN G. CASIS </v>
      </c>
      <c r="C1941" s="235" t="str">
        <f>IFERROR(__xludf.DUMMYFUNCTION("""COMPUTED_VALUE"""),"COLLEGE DIRECTOR")</f>
        <v>COLLEGE DIRECTOR</v>
      </c>
      <c r="D1941" s="196" t="str">
        <f>IFERROR(__xludf.DUMMYFUNCTION("""COMPUTED_VALUE"""),"Pitcher Plant Trophy ")</f>
        <v>Pitcher Plant Trophy </v>
      </c>
      <c r="E1941" s="196" t="str">
        <f>IFERROR(__xludf.DUMMYFUNCTION("""COMPUTED_VALUE""")," FOR SISC Advisory Counsil Token ")</f>
        <v> FOR SISC Advisory Counsil Token </v>
      </c>
    </row>
    <row r="1942">
      <c r="A1942" s="234">
        <f>IFERROR(__xludf.DUMMYFUNCTION("""COMPUTED_VALUE"""),102233.0)</f>
        <v>102233</v>
      </c>
      <c r="B1942" s="235" t="str">
        <f>IFERROR(__xludf.DUMMYFUNCTION("""COMPUTED_VALUE"""),"JEREMIAH TIROL")</f>
        <v>JEREMIAH TIROL</v>
      </c>
      <c r="C1942" s="235" t="str">
        <f>IFERROR(__xludf.DUMMYFUNCTION("""COMPUTED_VALUE"""),"NURSING")</f>
        <v>NURSING</v>
      </c>
      <c r="D1942" s="196" t="str">
        <f>IFERROR(__xludf.DUMMYFUNCTION("""COMPUTED_VALUE"""),"HOSPITAL BED COVER PURPLE 3 pcs. ")</f>
        <v>HOSPITAL BED COVER PURPLE 3 pcs. </v>
      </c>
      <c r="E1942" s="196" t="str">
        <f>IFERROR(__xludf.DUMMYFUNCTION("""COMPUTED_VALUE"""),"PREPARATION FOR THE FACE TO FACE NURSING CLASSES")</f>
        <v>PREPARATION FOR THE FACE TO FACE NURSING CLASSES</v>
      </c>
    </row>
    <row r="1943">
      <c r="A1943" s="234">
        <f>IFERROR(__xludf.DUMMYFUNCTION("""COMPUTED_VALUE"""),102234.0)</f>
        <v>102234</v>
      </c>
      <c r="B1943" s="235" t="str">
        <f>IFERROR(__xludf.DUMMYFUNCTION("""COMPUTED_VALUE"""),"CARLITO DELA VEGA ")</f>
        <v>CARLITO DELA VEGA </v>
      </c>
      <c r="C1943" s="235" t="str">
        <f>IFERROR(__xludf.DUMMYFUNCTION("""COMPUTED_VALUE"""),"SECURITY")</f>
        <v>SECURITY</v>
      </c>
      <c r="D1943" s="196" t="str">
        <f>IFERROR(__xludf.DUMMYFUNCTION("""COMPUTED_VALUE"""),"FAN MOTOR FOR SPLIT TYPE")</f>
        <v>FAN MOTOR FOR SPLIT TYPE</v>
      </c>
      <c r="E1943" s="196" t="str">
        <f>IFERROR(__xludf.DUMMYFUNCTION("""COMPUTED_VALUE"""),"FOR ACU OF CCTV ROOM. ")</f>
        <v>FOR ACU OF CCTV ROOM. </v>
      </c>
    </row>
    <row r="1944">
      <c r="A1944" s="234">
        <f>IFERROR(__xludf.DUMMYFUNCTION("""COMPUTED_VALUE"""),102235.0)</f>
        <v>102235</v>
      </c>
      <c r="B1944" s="235" t="str">
        <f>IFERROR(__xludf.DUMMYFUNCTION("""COMPUTED_VALUE"""),"ELYDS REYES")</f>
        <v>ELYDS REYES</v>
      </c>
      <c r="C1944" s="235" t="str">
        <f>IFERROR(__xludf.DUMMYFUNCTION("""COMPUTED_VALUE"""),"PR &amp; MARKETING")</f>
        <v>PR &amp; MARKETING</v>
      </c>
      <c r="D1944" s="196" t="str">
        <f>IFERROR(__xludf.DUMMYFUNCTION("""COMPUTED_VALUE"""),"A3 FRAME")</f>
        <v>A3 FRAME</v>
      </c>
      <c r="E1944" s="196" t="str">
        <f>IFERROR(__xludf.DUMMYFUNCTION("""COMPUTED_VALUE"""),"TO FEATURE THE ACCREDITATION ")</f>
        <v>TO FEATURE THE ACCREDITATION </v>
      </c>
    </row>
    <row r="1945">
      <c r="A1945" s="234">
        <f>IFERROR(__xludf.DUMMYFUNCTION("""COMPUTED_VALUE"""),102236.0)</f>
        <v>102236</v>
      </c>
      <c r="B1945" s="235" t="str">
        <f>IFERROR(__xludf.DUMMYFUNCTION("""COMPUTED_VALUE"""),"KENNETH ANCERMO")</f>
        <v>KENNETH ANCERMO</v>
      </c>
      <c r="C1945" s="235" t="str">
        <f>IFERROR(__xludf.DUMMYFUNCTION("""COMPUTED_VALUE"""),"AMD")</f>
        <v>AMD</v>
      </c>
      <c r="D1945" s="196" t="str">
        <f>IFERROR(__xludf.DUMMYFUNCTION("""COMPUTED_VALUE"""),"Paper, Copy-Laser Sub. 20 Short White, Paper, Copy-Laser Sub. 20 Long White")</f>
        <v>Paper, Copy-Laser Sub. 20 Short White, Paper, Copy-Laser Sub. 20 Long White</v>
      </c>
      <c r="E1945" s="196" t="str">
        <f>IFERROR(__xludf.DUMMYFUNCTION("""COMPUTED_VALUE"""),"Stock replenishment of OSSUP")</f>
        <v>Stock replenishment of OSSUP</v>
      </c>
    </row>
    <row r="1946">
      <c r="A1946" s="234">
        <f>IFERROR(__xludf.DUMMYFUNCTION("""COMPUTED_VALUE"""),102237.0)</f>
        <v>102237</v>
      </c>
      <c r="B1946" s="235" t="str">
        <f>IFERROR(__xludf.DUMMYFUNCTION("""COMPUTED_VALUE"""),"KENNETH ANCERMO")</f>
        <v>KENNETH ANCERMO</v>
      </c>
      <c r="C1946" s="235" t="str">
        <f>IFERROR(__xludf.DUMMYFUNCTION("""COMPUTED_VALUE"""),"AMD")</f>
        <v>AMD</v>
      </c>
      <c r="D1946" s="196" t="str">
        <f>IFERROR(__xludf.DUMMYFUNCTION("""COMPUTED_VALUE"""),"Rubber Band, Multicolor 50g/box, Battery, Energizer Size AA")</f>
        <v>Rubber Band, Multicolor 50g/box, Battery, Energizer Size AA</v>
      </c>
      <c r="E1946" s="196" t="str">
        <f>IFERROR(__xludf.DUMMYFUNCTION("""COMPUTED_VALUE"""),"Stock replenishment of OSSUP")</f>
        <v>Stock replenishment of OSSUP</v>
      </c>
    </row>
    <row r="1947">
      <c r="A1947" s="234">
        <f>IFERROR(__xludf.DUMMYFUNCTION("""COMPUTED_VALUE"""),102238.0)</f>
        <v>102238</v>
      </c>
      <c r="B1947" s="235" t="str">
        <f>IFERROR(__xludf.DUMMYFUNCTION("""COMPUTED_VALUE"""),"ALFA DE LEON")</f>
        <v>ALFA DE LEON</v>
      </c>
      <c r="C1947" s="235" t="str">
        <f>IFERROR(__xludf.DUMMYFUNCTION("""COMPUTED_VALUE"""),"ADMIN")</f>
        <v>ADMIN</v>
      </c>
      <c r="D1947" s="196" t="str">
        <f>IFERROR(__xludf.DUMMYFUNCTION("""COMPUTED_VALUE"""),"FLAG SIZE 3X5 ( SRI LANKA, RUSSIA &amp; BANGLADESH)")</f>
        <v>FLAG SIZE 3X5 ( SRI LANKA, RUSSIA &amp; BANGLADESH)</v>
      </c>
      <c r="E1947" s="196" t="str">
        <f>IFERROR(__xludf.DUMMYFUNCTION("""COMPUTED_VALUE"""),"INTERNATIONAL FLAG REQUIREMENTS ")</f>
        <v>INTERNATIONAL FLAG REQUIREMENTS </v>
      </c>
    </row>
    <row r="1948">
      <c r="A1948" s="234">
        <f>IFERROR(__xludf.DUMMYFUNCTION("""COMPUTED_VALUE"""),102239.0)</f>
        <v>102239</v>
      </c>
      <c r="B1948" s="235" t="str">
        <f>IFERROR(__xludf.DUMMYFUNCTION("""COMPUTED_VALUE"""),"ALFA DE LEON")</f>
        <v>ALFA DE LEON</v>
      </c>
      <c r="C1948" s="235" t="str">
        <f>IFERROR(__xludf.DUMMYFUNCTION("""COMPUTED_VALUE"""),"ADMIN")</f>
        <v>ADMIN</v>
      </c>
      <c r="D1948" s="196" t="str">
        <f>IFERROR(__xludf.DUMMYFUNCTION("""COMPUTED_VALUE"""),"NYLON ROPE SIZE 1/4")</f>
        <v>NYLON ROPE SIZE 1/4</v>
      </c>
      <c r="E1948" s="196" t="str">
        <f>IFERROR(__xludf.DUMMYFUNCTION("""COMPUTED_VALUE"""),"INTERNATIONAL FLAG REQUIREMENTS ")</f>
        <v>INTERNATIONAL FLAG REQUIREMENTS </v>
      </c>
    </row>
    <row r="1949">
      <c r="A1949" s="234">
        <f>IFERROR(__xludf.DUMMYFUNCTION("""COMPUTED_VALUE"""),102240.0)</f>
        <v>102240</v>
      </c>
      <c r="B1949" s="235" t="str">
        <f>IFERROR(__xludf.DUMMYFUNCTION("""COMPUTED_VALUE"""),"KENNETH ANCERMO")</f>
        <v>KENNETH ANCERMO</v>
      </c>
      <c r="C1949" s="235" t="str">
        <f>IFERROR(__xludf.DUMMYFUNCTION("""COMPUTED_VALUE"""),"AMD")</f>
        <v>AMD</v>
      </c>
      <c r="D1949" s="196" t="str">
        <f>IFERROR(__xludf.DUMMYFUNCTION("""COMPUTED_VALUE"""),"LED TUBE 16W DAYLIGHT- PHILIPS ")</f>
        <v>LED TUBE 16W DAYLIGHT- PHILIPS </v>
      </c>
      <c r="E1949" s="196" t="str">
        <f>IFERROR(__xludf.DUMMYFUNCTION("""COMPUTED_VALUE"""),"ENGINEERING SUPPLIES REPLENISHMENT")</f>
        <v>ENGINEERING SUPPLIES REPLENISHMENT</v>
      </c>
    </row>
    <row r="1950">
      <c r="A1950" s="234">
        <f>IFERROR(__xludf.DUMMYFUNCTION("""COMPUTED_VALUE"""),102241.0)</f>
        <v>102241</v>
      </c>
      <c r="B1950" s="235" t="str">
        <f>IFERROR(__xludf.DUMMYFUNCTION("""COMPUTED_VALUE"""),"RONALD VERDE")</f>
        <v>RONALD VERDE</v>
      </c>
      <c r="C1950" s="235" t="str">
        <f>IFERROR(__xludf.DUMMYFUNCTION("""COMPUTED_VALUE"""),"ADMIN")</f>
        <v>ADMIN</v>
      </c>
      <c r="D1950" s="196" t="str">
        <f>IFERROR(__xludf.DUMMYFUNCTION("""COMPUTED_VALUE"""),"LED TUBE 16W DAYLIGHT- PHILIPS ")</f>
        <v>LED TUBE 16W DAYLIGHT- PHILIPS </v>
      </c>
      <c r="E1950" s="196" t="str">
        <f>IFERROR(__xludf.DUMMYFUNCTION("""COMPUTED_VALUE"""),"REPLACEMENT OF BUSTED LIGHTS FOR COLLEGE AND TROPICAL BUILDING")</f>
        <v>REPLACEMENT OF BUSTED LIGHTS FOR COLLEGE AND TROPICAL BUILDING</v>
      </c>
    </row>
    <row r="1951">
      <c r="A1951" s="234">
        <f>IFERROR(__xludf.DUMMYFUNCTION("""COMPUTED_VALUE"""),102242.0)</f>
        <v>102242</v>
      </c>
      <c r="B1951" s="235" t="str">
        <f>IFERROR(__xludf.DUMMYFUNCTION("""COMPUTED_VALUE"""),"RENZ BLANCA ")</f>
        <v>RENZ BLANCA </v>
      </c>
      <c r="C1951" s="235" t="str">
        <f>IFERROR(__xludf.DUMMYFUNCTION("""COMPUTED_VALUE"""),"HRMD")</f>
        <v>HRMD</v>
      </c>
      <c r="D1951" s="196" t="str">
        <f>IFERROR(__xludf.DUMMYFUNCTION("""COMPUTED_VALUE"""),"BOQUET O FLOWERS FOR SIR ARJAY TAMBIS")</f>
        <v>BOQUET O FLOWERS FOR SIR ARJAY TAMBIS</v>
      </c>
      <c r="E1951" s="196" t="str">
        <f>IFERROR(__xludf.DUMMYFUNCTION("""COMPUTED_VALUE"""),"FLOWER OF ENURNMENT ")</f>
        <v>FLOWER OF ENURNMENT </v>
      </c>
    </row>
    <row r="1952">
      <c r="A1952" s="234">
        <f>IFERROR(__xludf.DUMMYFUNCTION("""COMPUTED_VALUE"""),102243.0)</f>
        <v>102243</v>
      </c>
      <c r="B1952" s="235" t="str">
        <f>IFERROR(__xludf.DUMMYFUNCTION("""COMPUTED_VALUE"""),"OWIE PAR")</f>
        <v>OWIE PAR</v>
      </c>
      <c r="C1952" s="235" t="str">
        <f>IFERROR(__xludf.DUMMYFUNCTION("""COMPUTED_VALUE"""),"ENGINEERING")</f>
        <v>ENGINEERING</v>
      </c>
      <c r="D1952" s="196" t="str">
        <f>IFERROR(__xludf.DUMMYFUNCTION("""COMPUTED_VALUE"""),"ELECTRICAL DRILL STANLEY")</f>
        <v>ELECTRICAL DRILL STANLEY</v>
      </c>
      <c r="E1952" s="196" t="str">
        <f>IFERROR(__xludf.DUMMYFUNCTION("""COMPUTED_VALUE"""),"ENGINEERING TOOL")</f>
        <v>ENGINEERING TOOL</v>
      </c>
    </row>
    <row r="1953">
      <c r="A1953" s="234">
        <f>IFERROR(__xludf.DUMMYFUNCTION("""COMPUTED_VALUE"""),102244.0)</f>
        <v>102244</v>
      </c>
      <c r="B1953" s="235" t="str">
        <f>IFERROR(__xludf.DUMMYFUNCTION("""COMPUTED_VALUE"""),"KENNETH ANCERMO")</f>
        <v>KENNETH ANCERMO</v>
      </c>
      <c r="C1953" s="235" t="str">
        <f>IFERROR(__xludf.DUMMYFUNCTION("""COMPUTED_VALUE"""),"AMD")</f>
        <v>AMD</v>
      </c>
      <c r="D1953" s="196" t="str">
        <f>IFERROR(__xludf.DUMMYFUNCTION("""COMPUTED_VALUE"""),"Tape, Double Sided Tape w/o Foam, Highlighter, Stabilo Yellow, Ballpen, Dong-A My Gel Black 0.5")</f>
        <v>Tape, Double Sided Tape w/o Foam, Highlighter, Stabilo Yellow, Ballpen, Dong-A My Gel Black 0.5</v>
      </c>
      <c r="E1953" s="196" t="str">
        <f>IFERROR(__xludf.DUMMYFUNCTION("""COMPUTED_VALUE"""),"OSSUP STOCK REPLENISHMENT")</f>
        <v>OSSUP STOCK REPLENISHMENT</v>
      </c>
    </row>
    <row r="1954">
      <c r="A1954" s="234">
        <f>IFERROR(__xludf.DUMMYFUNCTION("""COMPUTED_VALUE"""),102245.0)</f>
        <v>102245</v>
      </c>
      <c r="B1954" s="235" t="str">
        <f>IFERROR(__xludf.DUMMYFUNCTION("""COMPUTED_VALUE"""),"SHEREE ESPINOSA")</f>
        <v>SHEREE ESPINOSA</v>
      </c>
      <c r="C1954" s="235" t="str">
        <f>IFERROR(__xludf.DUMMYFUNCTION("""COMPUTED_VALUE"""),"PRESIDENT'S OFFICE")</f>
        <v>PRESIDENT'S OFFICE</v>
      </c>
      <c r="D1954" s="196" t="str">
        <f>IFERROR(__xludf.DUMMYFUNCTION("""COMPUTED_VALUE"""),"TOKENS:  PACKAGE 1000 -9 PAX, PACKAGE 500- 6 PAX")</f>
        <v>TOKENS:  PACKAGE 1000 -9 PAX, PACKAGE 500- 6 PAX</v>
      </c>
      <c r="E1954" s="196" t="str">
        <f>IFERROR(__xludf.DUMMYFUNCTION("""COMPUTED_VALUE"""),"TOKEN FOR GPEA AND IABP AWARD")</f>
        <v>TOKEN FOR GPEA AND IABP AWARD</v>
      </c>
    </row>
    <row r="1955">
      <c r="A1955" s="234">
        <f>IFERROR(__xludf.DUMMYFUNCTION("""COMPUTED_VALUE"""),102246.0)</f>
        <v>102246</v>
      </c>
      <c r="B1955" s="235" t="str">
        <f>IFERROR(__xludf.DUMMYFUNCTION("""COMPUTED_VALUE"""),"TIM DIOSAY")</f>
        <v>TIM DIOSAY</v>
      </c>
      <c r="C1955" s="235" t="str">
        <f>IFERROR(__xludf.DUMMYFUNCTION("""COMPUTED_VALUE"""),"ADMIN")</f>
        <v>ADMIN</v>
      </c>
      <c r="D1955" s="196" t="str">
        <f>IFERROR(__xludf.DUMMYFUNCTION("""COMPUTED_VALUE"""),"EVEREST ETAPPR668U 30-35 SQ. M AIR PURIFIER W/ HEPA FILTER 4 PCS. ")</f>
        <v>EVEREST ETAPPR668U 30-35 SQ. M AIR PURIFIER W/ HEPA FILTER 4 PCS. </v>
      </c>
      <c r="E1955" s="196" t="str">
        <f>IFERROR(__xludf.DUMMYFUNCTION("""COMPUTED_VALUE"""),"DEPED REQUIREMENT FOR THE F2F CLASSES")</f>
        <v>DEPED REQUIREMENT FOR THE F2F CLASSES</v>
      </c>
    </row>
    <row r="1956">
      <c r="A1956" s="234">
        <f>IFERROR(__xludf.DUMMYFUNCTION("""COMPUTED_VALUE"""),102247.0)</f>
        <v>102247</v>
      </c>
      <c r="B1956" s="235" t="str">
        <f>IFERROR(__xludf.DUMMYFUNCTION("""COMPUTED_VALUE"""),"ELYDS REYES ")</f>
        <v>ELYDS REYES </v>
      </c>
      <c r="C1956" s="235" t="str">
        <f>IFERROR(__xludf.DUMMYFUNCTION("""COMPUTED_VALUE"""),"PR &amp; MARKETING")</f>
        <v>PR &amp; MARKETING</v>
      </c>
      <c r="D1956" s="196" t="str">
        <f>IFERROR(__xludf.DUMMYFUNCTION("""COMPUTED_VALUE"""),"ROLL-UP TARP 10 oz 3X6 2 PCS;")</f>
        <v>ROLL-UP TARP 10 oz 3X6 2 PCS;</v>
      </c>
      <c r="E1956" s="196" t="str">
        <f>IFERROR(__xludf.DUMMYFUNCTION("""COMPUTED_VALUE"""),"FOR DEPED VISIT")</f>
        <v>FOR DEPED VISIT</v>
      </c>
    </row>
    <row r="1957">
      <c r="A1957" s="234">
        <f>IFERROR(__xludf.DUMMYFUNCTION("""COMPUTED_VALUE"""),102248.0)</f>
        <v>102248</v>
      </c>
      <c r="B1957" s="235" t="str">
        <f>IFERROR(__xludf.DUMMYFUNCTION("""COMPUTED_VALUE"""),"KENNETH ANCERMO")</f>
        <v>KENNETH ANCERMO</v>
      </c>
      <c r="C1957" s="235" t="str">
        <f>IFERROR(__xludf.DUMMYFUNCTION("""COMPUTED_VALUE"""),"AMD")</f>
        <v>AMD</v>
      </c>
      <c r="D1957" s="196" t="str">
        <f>IFERROR(__xludf.DUMMYFUNCTION("""COMPUTED_VALUE"""),"Envelope, Expanding Plastic-Long, Adventurer")</f>
        <v>Envelope, Expanding Plastic-Long, Adventurer</v>
      </c>
      <c r="E1957" s="196" t="str">
        <f>IFERROR(__xludf.DUMMYFUNCTION("""COMPUTED_VALUE"""),"OSSUP STOCK REPLENISHMENT ")</f>
        <v>OSSUP STOCK REPLENISHMENT </v>
      </c>
    </row>
    <row r="1958">
      <c r="A1958" s="234">
        <f>IFERROR(__xludf.DUMMYFUNCTION("""COMPUTED_VALUE"""),102249.0)</f>
        <v>102249</v>
      </c>
      <c r="B1958" s="235" t="str">
        <f>IFERROR(__xludf.DUMMYFUNCTION("""COMPUTED_VALUE"""),"VYE REVOLTAR")</f>
        <v>VYE REVOLTAR</v>
      </c>
      <c r="C1958" s="235" t="str">
        <f>IFERROR(__xludf.DUMMYFUNCTION("""COMPUTED_VALUE"""),"CEM OFFICE")</f>
        <v>CEM OFFICE</v>
      </c>
      <c r="D1958" s="196" t="str">
        <f>IFERROR(__xludf.DUMMYFUNCTION("""COMPUTED_VALUE"""),"PILLOWS, BEDSHEET, PILLOWCASE AND BLANKET")</f>
        <v>PILLOWS, BEDSHEET, PILLOWCASE AND BLANKET</v>
      </c>
      <c r="E1958" s="196" t="str">
        <f>IFERROR(__xludf.DUMMYFUNCTION("""COMPUTED_VALUE"""),"FOR INCOMING GLT SCHOLARS")</f>
        <v>FOR INCOMING GLT SCHOLARS</v>
      </c>
    </row>
    <row r="1959">
      <c r="A1959" s="234">
        <f>IFERROR(__xludf.DUMMYFUNCTION("""COMPUTED_VALUE"""),102250.0)</f>
        <v>102250</v>
      </c>
      <c r="B1959" s="235" t="str">
        <f>IFERROR(__xludf.DUMMYFUNCTION("""COMPUTED_VALUE"""),"JOMEL BUTIAL ")</f>
        <v>JOMEL BUTIAL </v>
      </c>
      <c r="C1959" s="235" t="str">
        <f>IFERROR(__xludf.DUMMYFUNCTION("""COMPUTED_VALUE"""),"AMD")</f>
        <v>AMD</v>
      </c>
      <c r="D1959" s="196" t="str">
        <f>IFERROR(__xludf.DUMMYFUNCTION("""COMPUTED_VALUE"""),"CHLORINE 1KG PER PACK 50 PER/PACKS; FABRIC CONDITIONER KINGWASH 10 GALS; SOFT BROOM 40 PCS; RUBBER CHAMOIS 40 PCS; HAND PUMP BOTTE DISPENSER 1L 5 BOTTLES; ")</f>
        <v>CHLORINE 1KG PER PACK 50 PER/PACKS; FABRIC CONDITIONER KINGWASH 10 GALS; SOFT BROOM 40 PCS; RUBBER CHAMOIS 40 PCS; HAND PUMP BOTTE DISPENSER 1L 5 BOTTLES; </v>
      </c>
      <c r="E1959" s="196" t="str">
        <f>IFERROR(__xludf.DUMMYFUNCTION("""COMPUTED_VALUE"""),"FEBUARY HOUSEKEEPING STOCK REPLENISHMENT")</f>
        <v>FEBUARY HOUSEKEEPING STOCK REPLENISHMENT</v>
      </c>
    </row>
    <row r="1960">
      <c r="A1960" s="234">
        <f>IFERROR(__xludf.DUMMYFUNCTION("""COMPUTED_VALUE"""),102251.0)</f>
        <v>102251</v>
      </c>
      <c r="B1960" s="235" t="str">
        <f>IFERROR(__xludf.DUMMYFUNCTION("""COMPUTED_VALUE"""),"ELYDS REYES")</f>
        <v>ELYDS REYES</v>
      </c>
      <c r="C1960" s="235" t="str">
        <f>IFERROR(__xludf.DUMMYFUNCTION("""COMPUTED_VALUE"""),"PR &amp; MARKETING")</f>
        <v>PR &amp; MARKETING</v>
      </c>
      <c r="D1960" s="196" t="str">
        <f>IFERROR(__xludf.DUMMYFUNCTION("""COMPUTED_VALUE"""),"7X10 TARPAULIN PIVLE TOP 2 NATIONWIDE 1 PC;")</f>
        <v>7X10 TARPAULIN PIVLE TOP 2 NATIONWIDE 1 PC;</v>
      </c>
      <c r="E1960" s="196" t="str">
        <f>IFERROR(__xludf.DUMMYFUNCTION("""COMPUTED_VALUE"""),"CONGRATULATORY TARP")</f>
        <v>CONGRATULATORY TARP</v>
      </c>
    </row>
    <row r="1961">
      <c r="A1961" s="234">
        <f>IFERROR(__xludf.DUMMYFUNCTION("""COMPUTED_VALUE"""),102252.0)</f>
        <v>102252</v>
      </c>
      <c r="B1961" s="235" t="str">
        <f>IFERROR(__xludf.DUMMYFUNCTION("""COMPUTED_VALUE"""),"ELYDS REYES")</f>
        <v>ELYDS REYES</v>
      </c>
      <c r="C1961" s="235" t="str">
        <f>IFERROR(__xludf.DUMMYFUNCTION("""COMPUTED_VALUE"""),"PR &amp; MARKETING")</f>
        <v>PR &amp; MARKETING</v>
      </c>
      <c r="D1961" s="196" t="str">
        <f>IFERROR(__xludf.DUMMYFUNCTION("""COMPUTED_VALUE"""),"BE A TRAILBLAZER IN YOUR CAREER TARP 12X14FT TARP EYELET AND SEAMING 1PC")</f>
        <v>BE A TRAILBLAZER IN YOUR CAREER TARP 12X14FT TARP EYELET AND SEAMING 1PC</v>
      </c>
      <c r="E1961" s="196" t="str">
        <f>IFERROR(__xludf.DUMMYFUNCTION("""COMPUTED_VALUE"""),"PROMOTION PURPOSES")</f>
        <v>PROMOTION PURPOSES</v>
      </c>
    </row>
    <row r="1962">
      <c r="A1962" s="234">
        <f>IFERROR(__xludf.DUMMYFUNCTION("""COMPUTED_VALUE"""),102253.0)</f>
        <v>102253</v>
      </c>
      <c r="B1962" s="235" t="str">
        <f>IFERROR(__xludf.DUMMYFUNCTION("""COMPUTED_VALUE"""),"CARLITO DELA VEGA/ALFA DELEON")</f>
        <v>CARLITO DELA VEGA/ALFA DELEON</v>
      </c>
      <c r="C1962" s="235" t="str">
        <f>IFERROR(__xludf.DUMMYFUNCTION("""COMPUTED_VALUE"""),"ADMIN - MUNICH")</f>
        <v>ADMIN - MUNICH</v>
      </c>
      <c r="D1962" s="196" t="str">
        <f>IFERROR(__xludf.DUMMYFUNCTION("""COMPUTED_VALUE"""),"MIND THE GAP 2X3 1 PC; KEEP THE DISTANCE 2X3 1PC; MIN THE GAP 2X2 3PCS; KEEP THE DISTANCE 2X2 3PCS; KEEP ROOMS 2X2 3 PCS; ")</f>
        <v>MIND THE GAP 2X3 1 PC; KEEP THE DISTANCE 2X3 1PC; MIN THE GAP 2X2 3PCS; KEEP THE DISTANCE 2X2 3PCS; KEEP ROOMS 2X2 3 PCS; </v>
      </c>
      <c r="E1962" s="196" t="str">
        <f>IFERROR(__xludf.DUMMYFUNCTION("""COMPUTED_VALUE"""),"FOR F2F ADDITIONAL 3 CLASROOMS FOR G1 TO 3")</f>
        <v>FOR F2F ADDITIONAL 3 CLASROOMS FOR G1 TO 3</v>
      </c>
    </row>
    <row r="1963">
      <c r="A1963" s="234">
        <f>IFERROR(__xludf.DUMMYFUNCTION("""COMPUTED_VALUE"""),102254.0)</f>
        <v>102254</v>
      </c>
      <c r="B1963" s="235" t="str">
        <f>IFERROR(__xludf.DUMMYFUNCTION("""COMPUTED_VALUE"""),"TIM DIOSAY")</f>
        <v>TIM DIOSAY</v>
      </c>
      <c r="C1963" s="235" t="str">
        <f>IFERROR(__xludf.DUMMYFUNCTION("""COMPUTED_VALUE"""),"ADMIN")</f>
        <v>ADMIN</v>
      </c>
      <c r="D1963" s="196" t="str">
        <f>IFERROR(__xludf.DUMMYFUNCTION("""COMPUTED_VALUE"""),"DOOR STOPPER WEDGE 5 PCS; 4'' EXHAUST FAN 2 PCS;")</f>
        <v>DOOR STOPPER WEDGE 5 PCS; 4'' EXHAUST FAN 2 PCS;</v>
      </c>
      <c r="E1963" s="196" t="str">
        <f>IFERROR(__xludf.DUMMYFUNCTION("""COMPUTED_VALUE"""),"DEPED PREPARATION FOR F2F CLASSES")</f>
        <v>DEPED PREPARATION FOR F2F CLASSES</v>
      </c>
    </row>
    <row r="1964">
      <c r="A1964" s="234">
        <f>IFERROR(__xludf.DUMMYFUNCTION("""COMPUTED_VALUE"""),102255.0)</f>
        <v>102255</v>
      </c>
      <c r="B1964" s="235" t="str">
        <f>IFERROR(__xludf.DUMMYFUNCTION("""COMPUTED_VALUE"""),"SHEREE ESPINOSA")</f>
        <v>SHEREE ESPINOSA</v>
      </c>
      <c r="C1964" s="235" t="str">
        <f>IFERROR(__xludf.DUMMYFUNCTION("""COMPUTED_VALUE"""),"ADMIN")</f>
        <v>ADMIN</v>
      </c>
      <c r="D1964" s="196" t="str">
        <f>IFERROR(__xludf.DUMMYFUNCTION("""COMPUTED_VALUE"""),"12"" OMNI EXHAUST FAN ")</f>
        <v>12" OMNI EXHAUST FAN </v>
      </c>
      <c r="E1964" s="196" t="str">
        <f>IFERROR(__xludf.DUMMYFUNCTION("""COMPUTED_VALUE"""),"LUX BUILDING EXHAUST FAN ")</f>
        <v>LUX BUILDING EXHAUST FAN </v>
      </c>
    </row>
    <row r="1965">
      <c r="A1965" s="234">
        <f>IFERROR(__xludf.DUMMYFUNCTION("""COMPUTED_VALUE"""),102256.0)</f>
        <v>102256</v>
      </c>
      <c r="B1965" s="235" t="str">
        <f>IFERROR(__xludf.DUMMYFUNCTION("""COMPUTED_VALUE"""),"PAUL ARAÑA")</f>
        <v>PAUL ARAÑA</v>
      </c>
      <c r="C1965" s="235" t="str">
        <f>IFERROR(__xludf.DUMMYFUNCTION("""COMPUTED_VALUE"""),"MIS/ICT")</f>
        <v>MIS/ICT</v>
      </c>
      <c r="D1965" s="196" t="str">
        <f>IFERROR(__xludf.DUMMYFUNCTION("""COMPUTED_VALUE"""),"APC BV8001-MS BACK UPS 800VA 4 PCS. ")</f>
        <v>APC BV8001-MS BACK UPS 800VA 4 PCS. </v>
      </c>
      <c r="E1965" s="196" t="str">
        <f>IFERROR(__xludf.DUMMYFUNCTION("""COMPUTED_VALUE"""),"FOR REPLACEMENT OF UPS IN ACCOUNTING OFFICE AND IDF")</f>
        <v>FOR REPLACEMENT OF UPS IN ACCOUNTING OFFICE AND IDF</v>
      </c>
    </row>
    <row r="1966">
      <c r="A1966" s="234">
        <f>IFERROR(__xludf.DUMMYFUNCTION("""COMPUTED_VALUE"""),102257.0)</f>
        <v>102257</v>
      </c>
      <c r="B1966" s="235" t="str">
        <f>IFERROR(__xludf.DUMMYFUNCTION("""COMPUTED_VALUE"""),"ELYDIA REYES")</f>
        <v>ELYDIA REYES</v>
      </c>
      <c r="C1966" s="235" t="str">
        <f>IFERROR(__xludf.DUMMYFUNCTION("""COMPUTED_VALUE"""),"PR &amp; MARKETING")</f>
        <v>PR &amp; MARKETING</v>
      </c>
      <c r="D1966" s="196" t="str">
        <f>IFERROR(__xludf.DUMMYFUNCTION("""COMPUTED_VALUE"""),"LUNETA ADVERTISING BILLBOARD 50 X 40 (VERTICAL) 1 UNIT SINGLE FACE, 50 X40 (SQUARE) 1 UNIT SINGLE FACE")</f>
        <v>LUNETA ADVERTISING BILLBOARD 50 X 40 (VERTICAL) 1 UNIT SINGLE FACE, 50 X40 (SQUARE) 1 UNIT SINGLE FACE</v>
      </c>
      <c r="E1966" s="196" t="str">
        <f>IFERROR(__xludf.DUMMYFUNCTION("""COMPUTED_VALUE"""),"LUNETA ADVERTISING BILLBOARD")</f>
        <v>LUNETA ADVERTISING BILLBOARD</v>
      </c>
    </row>
    <row r="1967">
      <c r="A1967" s="234">
        <f>IFERROR(__xludf.DUMMYFUNCTION("""COMPUTED_VALUE"""),102258.0)</f>
        <v>102258</v>
      </c>
      <c r="B1967" s="235" t="str">
        <f>IFERROR(__xludf.DUMMYFUNCTION("""COMPUTED_VALUE"""),"ALFA DE LEON")</f>
        <v>ALFA DE LEON</v>
      </c>
      <c r="C1967" s="235" t="str">
        <f>IFERROR(__xludf.DUMMYFUNCTION("""COMPUTED_VALUE"""),"ADMIN")</f>
        <v>ADMIN</v>
      </c>
      <c r="D1967" s="196" t="str">
        <f>IFERROR(__xludf.DUMMYFUNCTION("""COMPUTED_VALUE"""),"UV STERILIZATION BOX")</f>
        <v>UV STERILIZATION BOX</v>
      </c>
      <c r="E1967" s="196" t="str">
        <f>IFERROR(__xludf.DUMMYFUNCTION("""COMPUTED_VALUE"""),"DEPED requirements for proposed face to face opening of SHS and IB, Grade 1, 2 &amp; 3 in Munich")</f>
        <v>DEPED requirements for proposed face to face opening of SHS and IB, Grade 1, 2 &amp; 3 in Munich</v>
      </c>
    </row>
    <row r="1968">
      <c r="A1968" s="234">
        <f>IFERROR(__xludf.DUMMYFUNCTION("""COMPUTED_VALUE"""),102259.0)</f>
        <v>102259</v>
      </c>
      <c r="B1968" s="235" t="str">
        <f>IFERROR(__xludf.DUMMYFUNCTION("""COMPUTED_VALUE"""),"ALFA DE LEON")</f>
        <v>ALFA DE LEON</v>
      </c>
      <c r="C1968" s="235" t="str">
        <f>IFERROR(__xludf.DUMMYFUNCTION("""COMPUTED_VALUE"""),"ADMIN")</f>
        <v>ADMIN</v>
      </c>
      <c r="D1968" s="196" t="str">
        <f>IFERROR(__xludf.DUMMYFUNCTION("""COMPUTED_VALUE"""),"AIR PURIFIER ")</f>
        <v>AIR PURIFIER </v>
      </c>
      <c r="E1968" s="196" t="str">
        <f>IFERROR(__xludf.DUMMYFUNCTION("""COMPUTED_VALUE"""),"DEPED requirements for proposed face to face opening of SHS and IB in Munich ")</f>
        <v>DEPED requirements for proposed face to face opening of SHS and IB in Munich </v>
      </c>
    </row>
    <row r="1969">
      <c r="A1969" s="234">
        <f>IFERROR(__xludf.DUMMYFUNCTION("""COMPUTED_VALUE"""),102260.0)</f>
        <v>102260</v>
      </c>
      <c r="B1969" s="235" t="str">
        <f>IFERROR(__xludf.DUMMYFUNCTION("""COMPUTED_VALUE"""),"ALFA DE LEON")</f>
        <v>ALFA DE LEON</v>
      </c>
      <c r="C1969" s="235" t="str">
        <f>IFERROR(__xludf.DUMMYFUNCTION("""COMPUTED_VALUE"""),"ADMIN")</f>
        <v>ADMIN</v>
      </c>
      <c r="D1969" s="196" t="str">
        <f>IFERROR(__xludf.DUMMYFUNCTION("""COMPUTED_VALUE"""),"Automatic alcohol dispenser with stand: Classrooms 102, 104, 106, 105, 302, 304, 208,East &amp; West Wing Lobby CR 3/F, 3/F Lobby &amp; Hallway ")</f>
        <v>Automatic alcohol dispenser with stand: Classrooms 102, 104, 106, 105, 302, 304, 208,East &amp; West Wing Lobby CR 3/F, 3/F Lobby &amp; Hallway </v>
      </c>
      <c r="E1969" s="196" t="str">
        <f>IFERROR(__xludf.DUMMYFUNCTION("""COMPUTED_VALUE"""),"DEPED requirements for proposed face to face opening of SHS and IB, Grades 1, 2, &amp; 3  in Munich ")</f>
        <v>DEPED requirements for proposed face to face opening of SHS and IB, Grades 1, 2, &amp; 3  in Munich </v>
      </c>
    </row>
    <row r="1970">
      <c r="A1970" s="234">
        <f>IFERROR(__xludf.DUMMYFUNCTION("""COMPUTED_VALUE"""),102261.0)</f>
        <v>102261</v>
      </c>
      <c r="B1970" s="235" t="str">
        <f>IFERROR(__xludf.DUMMYFUNCTION("""COMPUTED_VALUE"""),"RONALD A. OBLENO")</f>
        <v>RONALD A. OBLENO</v>
      </c>
      <c r="C1970" s="235" t="str">
        <f>IFERROR(__xludf.DUMMYFUNCTION("""COMPUTED_VALUE"""),"MIS/ICT")</f>
        <v>MIS/ICT</v>
      </c>
      <c r="D1970" s="196" t="str">
        <f>IFERROR(__xludf.DUMMYFUNCTION("""COMPUTED_VALUE"""),"THERMALTAKE DOCKING STATION BLACK DUET 5G HDD")</f>
        <v>THERMALTAKE DOCKING STATION BLACK DUET 5G HDD</v>
      </c>
      <c r="E1970" s="196" t="str">
        <f>IFERROR(__xludf.DUMMYFUNCTION("""COMPUTED_VALUE"""),"REPLACEMENT OF DEFECTIVE HDD DOCKING STATION FOR BACK UP OF FILE SERVER")</f>
        <v>REPLACEMENT OF DEFECTIVE HDD DOCKING STATION FOR BACK UP OF FILE SERVER</v>
      </c>
    </row>
    <row r="1971">
      <c r="A1971" s="234">
        <f>IFERROR(__xludf.DUMMYFUNCTION("""COMPUTED_VALUE"""),102262.0)</f>
        <v>102262</v>
      </c>
      <c r="B1971" s="235" t="str">
        <f>IFERROR(__xludf.DUMMYFUNCTION("""COMPUTED_VALUE"""),"ALFA DE LEON")</f>
        <v>ALFA DE LEON</v>
      </c>
      <c r="C1971" s="235" t="str">
        <f>IFERROR(__xludf.DUMMYFUNCTION("""COMPUTED_VALUE"""),"ADMIN")</f>
        <v>ADMIN</v>
      </c>
      <c r="D1971" s="196" t="str">
        <f>IFERROR(__xludf.DUMMYFUNCTION("""COMPUTED_VALUE"""),"FURADAN KARATE VERNICAST 50 KGS/SACK")</f>
        <v>FURADAN KARATE VERNICAST 50 KGS/SACK</v>
      </c>
      <c r="E1971" s="196" t="str">
        <f>IFERROR(__xludf.DUMMYFUNCTION("""COMPUTED_VALUE"""),"GARDEN MAINTENANCE ")</f>
        <v>GARDEN MAINTENANCE </v>
      </c>
    </row>
    <row r="1972">
      <c r="A1972" s="234">
        <f>IFERROR(__xludf.DUMMYFUNCTION("""COMPUTED_VALUE"""),102263.0)</f>
        <v>102263</v>
      </c>
      <c r="B1972" s="235" t="str">
        <f>IFERROR(__xludf.DUMMYFUNCTION("""COMPUTED_VALUE"""),"ALFA DE LEON")</f>
        <v>ALFA DE LEON</v>
      </c>
      <c r="C1972" s="235" t="str">
        <f>IFERROR(__xludf.DUMMYFUNCTION("""COMPUTED_VALUE"""),"ADMIN")</f>
        <v>ADMIN</v>
      </c>
      <c r="D1972" s="196" t="str">
        <f>IFERROR(__xludf.DUMMYFUNCTION("""COMPUTED_VALUE"""),"FROG GRASS")</f>
        <v>FROG GRASS</v>
      </c>
      <c r="E1972" s="196" t="str">
        <f>IFERROR(__xludf.DUMMYFUNCTION("""COMPUTED_VALUE"""),"GARDEN MAINTENANCE ")</f>
        <v>GARDEN MAINTENANCE </v>
      </c>
    </row>
    <row r="1973">
      <c r="A1973" s="234">
        <f>IFERROR(__xludf.DUMMYFUNCTION("""COMPUTED_VALUE"""),102264.0)</f>
        <v>102264</v>
      </c>
      <c r="B1973" s="235" t="str">
        <f>IFERROR(__xludf.DUMMYFUNCTION("""COMPUTED_VALUE"""),"ELYDS REYES")</f>
        <v>ELYDS REYES</v>
      </c>
      <c r="C1973" s="235" t="str">
        <f>IFERROR(__xludf.DUMMYFUNCTION("""COMPUTED_VALUE"""),"PRESIDENT'S OFFICE")</f>
        <v>PRESIDENT'S OFFICE</v>
      </c>
      <c r="D1973" s="196" t="str">
        <f>IFERROR(__xludf.DUMMYFUNCTION("""COMPUTED_VALUE"""),"FLOWER FOR DR. LORETO")</f>
        <v>FLOWER FOR DR. LORETO</v>
      </c>
      <c r="E1973" s="196" t="str">
        <f>IFERROR(__xludf.DUMMYFUNCTION("""COMPUTED_VALUE"""),"RELATIONSHIP MARKETING")</f>
        <v>RELATIONSHIP MARKETING</v>
      </c>
    </row>
    <row r="1974">
      <c r="A1974" s="234">
        <f>IFERROR(__xludf.DUMMYFUNCTION("""COMPUTED_VALUE"""),102265.0)</f>
        <v>102265</v>
      </c>
      <c r="B1974" s="235" t="str">
        <f>IFERROR(__xludf.DUMMYFUNCTION("""COMPUTED_VALUE"""),"ALFA DE LEON")</f>
        <v>ALFA DE LEON</v>
      </c>
      <c r="C1974" s="235" t="str">
        <f>IFERROR(__xludf.DUMMYFUNCTION("""COMPUTED_VALUE"""),"ADMIN - MUNICH")</f>
        <v>ADMIN - MUNICH</v>
      </c>
      <c r="D1974" s="196" t="str">
        <f>IFERROR(__xludf.DUMMYFUNCTION("""COMPUTED_VALUE"""),"PPR Pipe 1/2,PPR Elbow 1/2,PPR Coupling 1/2,PPR TEE 1/2,PPR Elbow w/ thread 1/2,Basket  strainer, PVC P-trap #2, PVC Elbow #2,PVC Pipe #2,PVC TEE 1/2, PVC Elbow 1/2, PVC Elbow w/ thread 1/2,PVC Elbow w/ thread 1/2,PVC Elbow w/ thread 1/2, ANGLE VALVE 1/2 "&amp;"X 1/2, FLEXIBLE HOSE 1/2 X 1/2,PVC BALL VALVE 1/2, 400CC SOLVENT, TEPLON TAPE")</f>
        <v>PPR Pipe 1/2,PPR Elbow 1/2,PPR Coupling 1/2,PPR TEE 1/2,PPR Elbow w/ thread 1/2,Basket  strainer, PVC P-trap #2, PVC Elbow #2,PVC Pipe #2,PVC TEE 1/2, PVC Elbow 1/2, PVC Elbow w/ thread 1/2,PVC Elbow w/ thread 1/2,PVC Elbow w/ thread 1/2, ANGLE VALVE 1/2 X 1/2, FLEXIBLE HOSE 1/2 X 1/2,PVC BALL VALVE 1/2, 400CC SOLVENT, TEPLON TAPE</v>
      </c>
      <c r="E1974" s="196" t="str">
        <f>IFERROR(__xludf.DUMMYFUNCTION("""COMPUTED_VALUE"""),"DEPED requirements for proposed face to face opening of SHS and IB, Grade 1, 2 &amp; 3 in Munich (Handwash materials)")</f>
        <v>DEPED requirements for proposed face to face opening of SHS and IB, Grade 1, 2 &amp; 3 in Munich (Handwash materials)</v>
      </c>
    </row>
    <row r="1975">
      <c r="A1975" s="234">
        <f>IFERROR(__xludf.DUMMYFUNCTION("""COMPUTED_VALUE"""),102266.0)</f>
        <v>102266</v>
      </c>
      <c r="B1975" s="235" t="str">
        <f>IFERROR(__xludf.DUMMYFUNCTION("""COMPUTED_VALUE"""),"OWIE PAR/RONALD VERDE")</f>
        <v>OWIE PAR/RONALD VERDE</v>
      </c>
      <c r="C1975" s="235" t="str">
        <f>IFERROR(__xludf.DUMMYFUNCTION("""COMPUTED_VALUE"""),"ADMIN")</f>
        <v>ADMIN</v>
      </c>
      <c r="D1975" s="196" t="str">
        <f>IFERROR(__xludf.DUMMYFUNCTION("""COMPUTED_VALUE"""),"TOILET BOWL TANK WHITE,  LOOSE PEN HINGES # 3 1/2"", BALL VALVE 1/2, BASKET STRAINER 3.5"", P-TRAP, SOLVENT")</f>
        <v>TOILET BOWL TANK WHITE,  LOOSE PEN HINGES # 3 1/2", BALL VALVE 1/2, BASKET STRAINER 3.5", P-TRAP, SOLVENT</v>
      </c>
      <c r="E1975" s="196" t="str">
        <f>IFERROR(__xludf.DUMMYFUNCTION("""COMPUTED_VALUE"""),"GLT SCHOLARS HOUSE PREVENTIVE MAINTENANCE (BOYS )")</f>
        <v>GLT SCHOLARS HOUSE PREVENTIVE MAINTENANCE (BOYS )</v>
      </c>
    </row>
    <row r="1976">
      <c r="A1976" s="234">
        <f>IFERROR(__xludf.DUMMYFUNCTION("""COMPUTED_VALUE"""),102267.0)</f>
        <v>102267</v>
      </c>
      <c r="B1976" s="235" t="str">
        <f>IFERROR(__xludf.DUMMYFUNCTION("""COMPUTED_VALUE"""),"EDGAR REBELLON")</f>
        <v>EDGAR REBELLON</v>
      </c>
      <c r="C1976" s="235" t="str">
        <f>IFERROR(__xludf.DUMMYFUNCTION("""COMPUTED_VALUE"""),"AMD")</f>
        <v>AMD</v>
      </c>
      <c r="D1976" s="196" t="str">
        <f>IFERROR(__xludf.DUMMYFUNCTION("""COMPUTED_VALUE"""),"SISC UMBRELLA")</f>
        <v>SISC UMBRELLA</v>
      </c>
      <c r="E1976" s="196" t="str">
        <f>IFERROR(__xludf.DUMMYFUNCTION("""COMPUTED_VALUE"""),"WELCOME TOKEN FOR BASIC ED AND COLLEGE STUDENTS FOR AY 2022-2023")</f>
        <v>WELCOME TOKEN FOR BASIC ED AND COLLEGE STUDENTS FOR AY 2022-2023</v>
      </c>
    </row>
    <row r="1977">
      <c r="A1977" s="234">
        <f>IFERROR(__xludf.DUMMYFUNCTION("""COMPUTED_VALUE"""),102268.0)</f>
        <v>102268</v>
      </c>
      <c r="B1977" s="235" t="str">
        <f>IFERROR(__xludf.DUMMYFUNCTION("""COMPUTED_VALUE"""),"KENNETH JAMES ANCERMO")</f>
        <v>KENNETH JAMES ANCERMO</v>
      </c>
      <c r="C1977" s="235" t="str">
        <f>IFERROR(__xludf.DUMMYFUNCTION("""COMPUTED_VALUE"""),"AMD")</f>
        <v>AMD</v>
      </c>
      <c r="D1977" s="196" t="str">
        <f>IFERROR(__xludf.DUMMYFUNCTION("""COMPUTED_VALUE"""),"VIEWSONIC VA1903a (19"" 1366x768 home and office monitor)")</f>
        <v>VIEWSONIC VA1903a (19" 1366x768 home and office monitor)</v>
      </c>
      <c r="E1977" s="196" t="str">
        <f>IFERROR(__xludf.DUMMYFUNCTION("""COMPUTED_VALUE"""),"MIS STOCK REPLENISHMENT ")</f>
        <v>MIS STOCK REPLENISHMENT </v>
      </c>
    </row>
    <row r="1978">
      <c r="A1978" s="234">
        <f>IFERROR(__xludf.DUMMYFUNCTION("""COMPUTED_VALUE"""),102269.0)</f>
        <v>102269</v>
      </c>
      <c r="B1978" s="235" t="str">
        <f>IFERROR(__xludf.DUMMYFUNCTION("""COMPUTED_VALUE"""),"ALFA DE LEON")</f>
        <v>ALFA DE LEON</v>
      </c>
      <c r="C1978" s="235" t="str">
        <f>IFERROR(__xludf.DUMMYFUNCTION("""COMPUTED_VALUE"""),"ADMIN")</f>
        <v>ADMIN</v>
      </c>
      <c r="D1978" s="196" t="str">
        <f>IFERROR(__xludf.DUMMYFUNCTION("""COMPUTED_VALUE"""),"REORDER OF FLOOR MARKINGS ( COLLEGE, TROPICAL AND BASIC ED BUILDING)")</f>
        <v>REORDER OF FLOOR MARKINGS ( COLLEGE, TROPICAL AND BASIC ED BUILDING)</v>
      </c>
      <c r="E1978" s="196" t="str">
        <f>IFERROR(__xludf.DUMMYFUNCTION("""COMPUTED_VALUE"""),"FOR PACUCUOA")</f>
        <v>FOR PACUCUOA</v>
      </c>
    </row>
    <row r="1979">
      <c r="A1979" s="234">
        <f>IFERROR(__xludf.DUMMYFUNCTION("""COMPUTED_VALUE"""),102270.0)</f>
        <v>102270</v>
      </c>
      <c r="B1979" s="235" t="str">
        <f>IFERROR(__xludf.DUMMYFUNCTION("""COMPUTED_VALUE"""),"VIOLETA REVOLTAR")</f>
        <v>VIOLETA REVOLTAR</v>
      </c>
      <c r="C1979" s="235" t="str">
        <f>IFERROR(__xludf.DUMMYFUNCTION("""COMPUTED_VALUE"""),"CEM/SCHOLARSHIP")</f>
        <v>CEM/SCHOLARSHIP</v>
      </c>
      <c r="D1979" s="196" t="str">
        <f>IFERROR(__xludf.DUMMYFUNCTION("""COMPUTED_VALUE"""),"SET OF BEDDINGS (1 FILTED BEDSHEET; 1 BLANKET; 2 PCS PILLOW CASES) 30 SETS; PILLOWS (STANDARD SIZE WHITE 30 PCS;")</f>
        <v>SET OF BEDDINGS (1 FILTED BEDSHEET; 1 BLANKET; 2 PCS PILLOW CASES) 30 SETS; PILLOWS (STANDARD SIZE WHITE 30 PCS;</v>
      </c>
      <c r="E1979" s="196" t="str">
        <f>IFERROR(__xludf.DUMMYFUNCTION("""COMPUTED_VALUE"""),"FOR INCOMING GLT SCHOLARS")</f>
        <v>FOR INCOMING GLT SCHOLARS</v>
      </c>
    </row>
    <row r="1980">
      <c r="A1980" s="234">
        <f>IFERROR(__xludf.DUMMYFUNCTION("""COMPUTED_VALUE"""),102271.0)</f>
        <v>102271</v>
      </c>
      <c r="B1980" s="235" t="str">
        <f>IFERROR(__xludf.DUMMYFUNCTION("""COMPUTED_VALUE"""),"JAN GUTIERREZ")</f>
        <v>JAN GUTIERREZ</v>
      </c>
      <c r="C1980" s="235" t="str">
        <f>IFERROR(__xludf.DUMMYFUNCTION("""COMPUTED_VALUE"""),"DEPUTY PRINCIPAL")</f>
        <v>DEPUTY PRINCIPAL</v>
      </c>
      <c r="D1980" s="196" t="str">
        <f>IFERROR(__xludf.DUMMYFUNCTION("""COMPUTED_VALUE"""),"GRADE 12 GRADUATION TOGA FOR BATCH 21-22")</f>
        <v>GRADE 12 GRADUATION TOGA FOR BATCH 21-22</v>
      </c>
      <c r="E1980" s="196" t="str">
        <f>IFERROR(__xludf.DUMMYFUNCTION("""COMPUTED_VALUE"""),"GR. 12 GRADUATION TOGA")</f>
        <v>GR. 12 GRADUATION TOGA</v>
      </c>
    </row>
    <row r="1981">
      <c r="A1981" s="234">
        <f>IFERROR(__xludf.DUMMYFUNCTION("""COMPUTED_VALUE"""),102272.0)</f>
        <v>102272</v>
      </c>
      <c r="B1981" s="235" t="str">
        <f>IFERROR(__xludf.DUMMYFUNCTION("""COMPUTED_VALUE"""),"ALFA DE LEON")</f>
        <v>ALFA DE LEON</v>
      </c>
      <c r="C1981" s="235" t="str">
        <f>IFERROR(__xludf.DUMMYFUNCTION("""COMPUTED_VALUE"""),"ADMIN")</f>
        <v>ADMIN</v>
      </c>
      <c r="D1981" s="196" t="str">
        <f>IFERROR(__xludf.DUMMYFUNCTION("""COMPUTED_VALUE"""),"Floor marking G/F Classrooms, 3/F Lobby, hallways, restroom room")</f>
        <v>Floor marking G/F Classrooms, 3/F Lobby, hallways, restroom room</v>
      </c>
      <c r="E1981" s="196" t="str">
        <f>IFERROR(__xludf.DUMMYFUNCTION("""COMPUTED_VALUE"""),"DEPED requirements for proposed face to face opening of SHS and IB in Munich and Grade 1, 2 &amp; 3")</f>
        <v>DEPED requirements for proposed face to face opening of SHS and IB in Munich and Grade 1, 2 &amp; 3</v>
      </c>
    </row>
    <row r="1982">
      <c r="A1982" s="234">
        <f>IFERROR(__xludf.DUMMYFUNCTION("""COMPUTED_VALUE"""),102273.0)</f>
        <v>102273</v>
      </c>
      <c r="B1982" s="235" t="str">
        <f>IFERROR(__xludf.DUMMYFUNCTION("""COMPUTED_VALUE"""),"KENNETH JAMES ANCERMO")</f>
        <v>KENNETH JAMES ANCERMO</v>
      </c>
      <c r="C1982" s="235" t="str">
        <f>IFERROR(__xludf.DUMMYFUNCTION("""COMPUTED_VALUE"""),"AMD")</f>
        <v>AMD</v>
      </c>
      <c r="D1982" s="196" t="str">
        <f>IFERROR(__xludf.DUMMYFUNCTION("""COMPUTED_VALUE"""),"Wall Clock (Analog) - ASAHI HC2011-BLACK")</f>
        <v>Wall Clock (Analog) - ASAHI HC2011-BLACK</v>
      </c>
      <c r="E1982" s="196" t="str">
        <f>IFERROR(__xludf.DUMMYFUNCTION("""COMPUTED_VALUE"""),"Stock replenishment of OSSUP WAREHOUSE")</f>
        <v>Stock replenishment of OSSUP WAREHOUSE</v>
      </c>
    </row>
    <row r="1983">
      <c r="A1983" s="234">
        <f>IFERROR(__xludf.DUMMYFUNCTION("""COMPUTED_VALUE"""),102274.0)</f>
        <v>102274</v>
      </c>
      <c r="B1983" s="235" t="str">
        <f>IFERROR(__xludf.DUMMYFUNCTION("""COMPUTED_VALUE"""),"ALFA DE LEON")</f>
        <v>ALFA DE LEON</v>
      </c>
      <c r="C1983" s="235" t="str">
        <f>IFERROR(__xludf.DUMMYFUNCTION("""COMPUTED_VALUE"""),"ADMIN - MUNICH")</f>
        <v>ADMIN - MUNICH</v>
      </c>
      <c r="D1983" s="196" t="str">
        <f>IFERROR(__xludf.DUMMYFUNCTION("""COMPUTED_VALUE"""),"Window Type Panasonic 2HP")</f>
        <v>Window Type Panasonic 2HP</v>
      </c>
      <c r="E1983" s="196" t="str">
        <f>IFERROR(__xludf.DUMMYFUNCTION("""COMPUTED_VALUE"""),"Replacement of 2 units ACU in Munich Classroom 305")</f>
        <v>Replacement of 2 units ACU in Munich Classroom 305</v>
      </c>
    </row>
    <row r="1984">
      <c r="A1984" s="234">
        <f>IFERROR(__xludf.DUMMYFUNCTION("""COMPUTED_VALUE"""),102275.0)</f>
        <v>102275</v>
      </c>
      <c r="B1984" s="235" t="str">
        <f>IFERROR(__xludf.DUMMYFUNCTION("""COMPUTED_VALUE"""),"LEAH P. BUHAY ")</f>
        <v>LEAH P. BUHAY </v>
      </c>
      <c r="C1984" s="235" t="str">
        <f>IFERROR(__xludf.DUMMYFUNCTION("""COMPUTED_VALUE"""),"CEM OFFICE")</f>
        <v>CEM OFFICE</v>
      </c>
      <c r="D1984" s="196" t="str">
        <f>IFERROR(__xludf.DUMMYFUNCTION("""COMPUTED_VALUE"""),"CHINESE CINDERELLA (ADELINE YEN MAH) FALLING LEAVES (AUTHOR ADELINE YEN MAH)")</f>
        <v>CHINESE CINDERELLA (ADELINE YEN MAH) FALLING LEAVES (AUTHOR ADELINE YEN MAH)</v>
      </c>
      <c r="E1984" s="196" t="str">
        <f>IFERROR(__xludf.DUMMYFUNCTION("""COMPUTED_VALUE"""),"BOOK OF DR. TAN")</f>
        <v>BOOK OF DR. TAN</v>
      </c>
    </row>
    <row r="1985">
      <c r="A1985" s="234">
        <f>IFERROR(__xludf.DUMMYFUNCTION("""COMPUTED_VALUE"""),102276.0)</f>
        <v>102276</v>
      </c>
      <c r="B1985" s="235" t="str">
        <f>IFERROR(__xludf.DUMMYFUNCTION("""COMPUTED_VALUE"""),"LUCILLE BEYER ")</f>
        <v>LUCILLE BEYER </v>
      </c>
      <c r="C1985" s="235" t="str">
        <f>IFERROR(__xludf.DUMMYFUNCTION("""COMPUTED_VALUE"""),"MEDICAL")</f>
        <v>MEDICAL</v>
      </c>
      <c r="D1985" s="196" t="str">
        <f>IFERROR(__xludf.DUMMYFUNCTION("""COMPUTED_VALUE"""),"Dizzitabs (20 Tablets) Tempra Forte 250/5ml (2 Bottles) Disudrin Syrup 60 ml (2 Bottles) PPEs Bunny Suit-Hazmat (4 Pieces) PPEs Bunny Suit-Washable (4 Pieces) Disposable Mask (10 Boxes) Disposable Gloves M (5 Boxes) Lysol 510g (3 Bottles) Antigen Test Kit"&amp;"-Saliva (1 Box)")</f>
        <v>Dizzitabs (20 Tablets) Tempra Forte 250/5ml (2 Bottles) Disudrin Syrup 60 ml (2 Bottles) PPEs Bunny Suit-Hazmat (4 Pieces) PPEs Bunny Suit-Washable (4 Pieces) Disposable Mask (10 Boxes) Disposable Gloves M (5 Boxes) Lysol 510g (3 Bottles) Antigen Test Kit-Saliva (1 Box)</v>
      </c>
      <c r="E1985" s="196" t="str">
        <f>IFERROR(__xludf.DUMMYFUNCTION("""COMPUTED_VALUE"""),"FOR USE IN 3 CLINICS IN PREPARATION FOR FACE TO FACE CLASSES")</f>
        <v>FOR USE IN 3 CLINICS IN PREPARATION FOR FACE TO FACE CLASSES</v>
      </c>
    </row>
    <row r="1986">
      <c r="A1986" s="234">
        <f>IFERROR(__xludf.DUMMYFUNCTION("""COMPUTED_VALUE"""),102277.0)</f>
        <v>102277</v>
      </c>
      <c r="B1986" s="235" t="str">
        <f>IFERROR(__xludf.DUMMYFUNCTION("""COMPUTED_VALUE"""),"KENNETH JAMES ANCERMO")</f>
        <v>KENNETH JAMES ANCERMO</v>
      </c>
      <c r="C1986" s="235" t="str">
        <f>IFERROR(__xludf.DUMMYFUNCTION("""COMPUTED_VALUE"""),"AMD")</f>
        <v>AMD</v>
      </c>
      <c r="D1986" s="196" t="str">
        <f>IFERROR(__xludf.DUMMYFUNCTION("""COMPUTED_VALUE"""),"Battery, Energizer Size AAA, Battery, Eveready Size D")</f>
        <v>Battery, Energizer Size AAA, Battery, Eveready Size D</v>
      </c>
      <c r="E1986" s="196" t="str">
        <f>IFERROR(__xludf.DUMMYFUNCTION("""COMPUTED_VALUE"""),"OSSUP STOCK REPLENISHMENT ")</f>
        <v>OSSUP STOCK REPLENISHMENT </v>
      </c>
    </row>
    <row r="1987">
      <c r="A1987" s="234">
        <f>IFERROR(__xludf.DUMMYFUNCTION("""COMPUTED_VALUE"""),102278.0)</f>
        <v>102278</v>
      </c>
      <c r="B1987" s="235" t="str">
        <f>IFERROR(__xludf.DUMMYFUNCTION("""COMPUTED_VALUE"""),"ANN VILLARUZ")</f>
        <v>ANN VILLARUZ</v>
      </c>
      <c r="C1987" s="235" t="str">
        <f>IFERROR(__xludf.DUMMYFUNCTION("""COMPUTED_VALUE"""),"PACUCOA")</f>
        <v>PACUCOA</v>
      </c>
      <c r="D1987" s="196" t="str">
        <f>IFERROR(__xludf.DUMMYFUNCTION("""COMPUTED_VALUE"""),"VITAMIN C - POTEN CEE")</f>
        <v>VITAMIN C - POTEN CEE</v>
      </c>
      <c r="E1987" s="196" t="str">
        <f>IFERROR(__xludf.DUMMYFUNCTION("""COMPUTED_VALUE"""),"FOR PACUCUOA ACCREDITOR'S TOKEN")</f>
        <v>FOR PACUCUOA ACCREDITOR'S TOKEN</v>
      </c>
    </row>
    <row r="1988">
      <c r="A1988" s="234">
        <f>IFERROR(__xludf.DUMMYFUNCTION("""COMPUTED_VALUE"""),102279.0)</f>
        <v>102279</v>
      </c>
      <c r="B1988" s="235" t="str">
        <f>IFERROR(__xludf.DUMMYFUNCTION("""COMPUTED_VALUE"""),"ALFA DE LEON ")</f>
        <v>ALFA DE LEON </v>
      </c>
      <c r="C1988" s="235" t="str">
        <f>IFERROR(__xludf.DUMMYFUNCTION("""COMPUTED_VALUE"""),"ADMIN - MUNICH")</f>
        <v>ADMIN - MUNICH</v>
      </c>
      <c r="D1988" s="196" t="str">
        <f>IFERROR(__xludf.DUMMYFUNCTION("""COMPUTED_VALUE"""),"FOOT LEVER TRASHBIN (RE ORDER)")</f>
        <v>FOOT LEVER TRASHBIN (RE ORDER)</v>
      </c>
      <c r="E1988" s="196" t="str">
        <f>IFERROR(__xludf.DUMMYFUNCTION("""COMPUTED_VALUE"""),"FOR DEPED F2F 3RD FLOOR CLASSROOMS AND WALLWAY. ")</f>
        <v>FOR DEPED F2F 3RD FLOOR CLASSROOMS AND WALLWAY. </v>
      </c>
    </row>
    <row r="1989">
      <c r="A1989" s="234">
        <f>IFERROR(__xludf.DUMMYFUNCTION("""COMPUTED_VALUE"""),102280.0)</f>
        <v>102280</v>
      </c>
      <c r="B1989" s="235" t="str">
        <f>IFERROR(__xludf.DUMMYFUNCTION("""COMPUTED_VALUE"""),"SHEREE ESPINOSA")</f>
        <v>SHEREE ESPINOSA</v>
      </c>
      <c r="C1989" s="235" t="str">
        <f>IFERROR(__xludf.DUMMYFUNCTION("""COMPUTED_VALUE"""),"ADMIN")</f>
        <v>ADMIN</v>
      </c>
      <c r="D1989" s="196" t="str">
        <f>IFERROR(__xludf.DUMMYFUNCTION("""COMPUTED_VALUE"""),"TARP FOR COMMA SIZE 36 X 54 INCHES COLLEGE OF ARTS AND LETTERS")</f>
        <v>TARP FOR COMMA SIZE 36 X 54 INCHES COLLEGE OF ARTS AND LETTERS</v>
      </c>
      <c r="E1989" s="196" t="str">
        <f>IFERROR(__xludf.DUMMYFUNCTION("""COMPUTED_VALUE"""),"TARP TO REPLACE COMMA FACULTY IN 5TH FLOOR LUX  FOR PACUCUOA PURPOSES")</f>
        <v>TARP TO REPLACE COMMA FACULTY IN 5TH FLOOR LUX  FOR PACUCUOA PURPOSES</v>
      </c>
    </row>
    <row r="1990">
      <c r="A1990" s="234">
        <f>IFERROR(__xludf.DUMMYFUNCTION("""COMPUTED_VALUE"""),102281.0)</f>
        <v>102281</v>
      </c>
      <c r="B1990" s="235" t="str">
        <f>IFERROR(__xludf.DUMMYFUNCTION("""COMPUTED_VALUE"""),"JOMEL BUTIAL ")</f>
        <v>JOMEL BUTIAL </v>
      </c>
      <c r="C1990" s="235" t="str">
        <f>IFERROR(__xludf.DUMMYFUNCTION("""COMPUTED_VALUE"""),"AMD")</f>
        <v>AMD</v>
      </c>
      <c r="D1990" s="196" t="str">
        <f>IFERROR(__xludf.DUMMYFUNCTION("""COMPUTED_VALUE"""),"SOFT BROOM")</f>
        <v>SOFT BROOM</v>
      </c>
      <c r="E1990" s="196" t="str">
        <f>IFERROR(__xludf.DUMMYFUNCTION("""COMPUTED_VALUE"""),"HOUSEKEEPING REPLENISHMENT ")</f>
        <v>HOUSEKEEPING REPLENISHMENT </v>
      </c>
    </row>
    <row r="1991">
      <c r="A1991" s="234">
        <f>IFERROR(__xludf.DUMMYFUNCTION("""COMPUTED_VALUE"""),102282.0)</f>
        <v>102282</v>
      </c>
      <c r="B1991" s="235" t="str">
        <f>IFERROR(__xludf.DUMMYFUNCTION("""COMPUTED_VALUE"""),"ALFA DE LEON")</f>
        <v>ALFA DE LEON</v>
      </c>
      <c r="C1991" s="235" t="str">
        <f>IFERROR(__xludf.DUMMYFUNCTION("""COMPUTED_VALUE"""),"ADMIN - MUNICH")</f>
        <v>ADMIN - MUNICH</v>
      </c>
      <c r="D1991" s="196" t="str">
        <f>IFERROR(__xludf.DUMMYFUNCTION("""COMPUTED_VALUE"""),"FOOT LEVER TRASHBIN (REORDER)")</f>
        <v>FOOT LEVER TRASHBIN (REORDER)</v>
      </c>
      <c r="E1991" s="196" t="str">
        <f>IFERROR(__xludf.DUMMYFUNCTION("""COMPUTED_VALUE"""),"DEPED F2F  3RD FLOOR CLASSROOMS AND  HALL WAY ")</f>
        <v>DEPED F2F  3RD FLOOR CLASSROOMS AND  HALL WAY </v>
      </c>
    </row>
    <row r="1992">
      <c r="A1992" s="234">
        <f>IFERROR(__xludf.DUMMYFUNCTION("""COMPUTED_VALUE"""),102283.0)</f>
        <v>102283</v>
      </c>
      <c r="B1992" s="235" t="str">
        <f>IFERROR(__xludf.DUMMYFUNCTION("""COMPUTED_VALUE"""),"ELYDIA REYES")</f>
        <v>ELYDIA REYES</v>
      </c>
      <c r="C1992" s="235" t="str">
        <f>IFERROR(__xludf.DUMMYFUNCTION("""COMPUTED_VALUE"""),"PR &amp; MARKETING")</f>
        <v>PR &amp; MARKETING</v>
      </c>
      <c r="D1992" s="196" t="str">
        <f>IFERROR(__xludf.DUMMYFUNCTION("""COMPUTED_VALUE"""),"CONGRATULATORY TARPS FOR TOURISM 7X10")</f>
        <v>CONGRATULATORY TARPS FOR TOURISM 7X10</v>
      </c>
      <c r="E1992" s="196" t="str">
        <f>IFERROR(__xludf.DUMMYFUNCTION("""COMPUTED_VALUE"""),"CONGRATULATORY TARPS")</f>
        <v>CONGRATULATORY TARPS</v>
      </c>
    </row>
    <row r="1993">
      <c r="A1993" s="234">
        <f>IFERROR(__xludf.DUMMYFUNCTION("""COMPUTED_VALUE"""),102284.0)</f>
        <v>102284</v>
      </c>
      <c r="B1993" s="235" t="str">
        <f>IFERROR(__xludf.DUMMYFUNCTION("""COMPUTED_VALUE"""),"ELYDIA REYES")</f>
        <v>ELYDIA REYES</v>
      </c>
      <c r="C1993" s="235" t="str">
        <f>IFERROR(__xludf.DUMMYFUNCTION("""COMPUTED_VALUE"""),"PR &amp; MARKETING")</f>
        <v>PR &amp; MARKETING</v>
      </c>
      <c r="D1993" s="196" t="str">
        <f>IFERROR(__xludf.DUMMYFUNCTION("""COMPUTED_VALUE"""),"ADMISSION TEAM NAME TAG")</f>
        <v>ADMISSION TEAM NAME TAG</v>
      </c>
      <c r="E1993" s="196" t="str">
        <f>IFERROR(__xludf.DUMMYFUNCTION("""COMPUTED_VALUE"""),"ADMISSION TEAM NAME TAGS ")</f>
        <v>ADMISSION TEAM NAME TAGS </v>
      </c>
    </row>
    <row r="1994">
      <c r="A1994" s="234">
        <f>IFERROR(__xludf.DUMMYFUNCTION("""COMPUTED_VALUE"""),102285.0)</f>
        <v>102285</v>
      </c>
      <c r="B1994" s="235" t="str">
        <f>IFERROR(__xludf.DUMMYFUNCTION("""COMPUTED_VALUE"""),"KENNETH ANCERMO ")</f>
        <v>KENNETH ANCERMO </v>
      </c>
      <c r="C1994" s="235" t="str">
        <f>IFERROR(__xludf.DUMMYFUNCTION("""COMPUTED_VALUE"""),"AMD")</f>
        <v>AMD</v>
      </c>
      <c r="D1994" s="196" t="str">
        <f>IFERROR(__xludf.DUMMYFUNCTION("""COMPUTED_VALUE"""),"50 pcs Toner, Cartridge Inkonvert LBP6000 85A, 5 pcs Inks Printer 810 Black, 2 pcs. Inks, Printer 811 Colored, 30 Toner, Cartridge Inkonvert T660 for Brother HL-L2300D")</f>
        <v>50 pcs Toner, Cartridge Inkonvert LBP6000 85A, 5 pcs Inks Printer 810 Black, 2 pcs. Inks, Printer 811 Colored, 30 Toner, Cartridge Inkonvert T660 for Brother HL-L2300D</v>
      </c>
      <c r="E1994" s="196" t="str">
        <f>IFERROR(__xludf.DUMMYFUNCTION("""COMPUTED_VALUE"""),"Stock replenishment - for office supply")</f>
        <v>Stock replenishment - for office supply</v>
      </c>
    </row>
    <row r="1995">
      <c r="A1995" s="234">
        <f>IFERROR(__xludf.DUMMYFUNCTION("""COMPUTED_VALUE"""),102286.0)</f>
        <v>102286</v>
      </c>
      <c r="B1995" s="235" t="str">
        <f>IFERROR(__xludf.DUMMYFUNCTION("""COMPUTED_VALUE"""),"ELMIE LAUDITO")</f>
        <v>ELMIE LAUDITO</v>
      </c>
      <c r="C1995" s="235" t="str">
        <f>IFERROR(__xludf.DUMMYFUNCTION("""COMPUTED_VALUE"""),"HRMD")</f>
        <v>HRMD</v>
      </c>
      <c r="D1995" s="196" t="str">
        <f>IFERROR(__xludf.DUMMYFUNCTION("""COMPUTED_VALUE"""),"EMPLOYEE UNIFORMS FOR AY 2021-2022 (1ST BATCH)")</f>
        <v>EMPLOYEE UNIFORMS FOR AY 2021-2022 (1ST BATCH)</v>
      </c>
      <c r="E1995" s="196" t="str">
        <f>IFERROR(__xludf.DUMMYFUNCTION("""COMPUTED_VALUE"""),"FREE UNIFORM FOR EMPLOYEES FOR AY 2021-2022")</f>
        <v>FREE UNIFORM FOR EMPLOYEES FOR AY 2021-2022</v>
      </c>
    </row>
    <row r="1996">
      <c r="A1996" s="234">
        <f>IFERROR(__xludf.DUMMYFUNCTION("""COMPUTED_VALUE"""),102287.0)</f>
        <v>102287</v>
      </c>
      <c r="B1996" s="235" t="str">
        <f>IFERROR(__xludf.DUMMYFUNCTION("""COMPUTED_VALUE"""),"OWIE PAR ")</f>
        <v>OWIE PAR </v>
      </c>
      <c r="C1996" s="235" t="str">
        <f>IFERROR(__xludf.DUMMYFUNCTION("""COMPUTED_VALUE"""),"ENGINEERING")</f>
        <v>ENGINEERING</v>
      </c>
      <c r="D1996" s="196" t="str">
        <f>IFERROR(__xludf.DUMMYFUNCTION("""COMPUTED_VALUE"""),"STANLEY ELECTRIC DRILL WITH HAMMER AND SPEED CONTROLLER ")</f>
        <v>STANLEY ELECTRIC DRILL WITH HAMMER AND SPEED CONTROLLER </v>
      </c>
      <c r="E1996" s="196" t="str">
        <f>IFERROR(__xludf.DUMMYFUNCTION("""COMPUTED_VALUE"""),"FOR ENGINEERING USE ")</f>
        <v>FOR ENGINEERING USE </v>
      </c>
    </row>
    <row r="1997">
      <c r="A1997" s="234">
        <f>IFERROR(__xludf.DUMMYFUNCTION("""COMPUTED_VALUE"""),102288.0)</f>
        <v>102288</v>
      </c>
      <c r="B1997" s="235" t="str">
        <f>IFERROR(__xludf.DUMMYFUNCTION("""COMPUTED_VALUE"""),"ALFA DE LEON")</f>
        <v>ALFA DE LEON</v>
      </c>
      <c r="C1997" s="235" t="str">
        <f>IFERROR(__xludf.DUMMYFUNCTION("""COMPUTED_VALUE"""),"ADMIN - MUNICH")</f>
        <v>ADMIN - MUNICH</v>
      </c>
      <c r="D1997" s="196" t="str">
        <f>IFERROR(__xludf.DUMMYFUNCTION("""COMPUTED_VALUE"""),"6.0HP PANASONIC FLOOR MOUNTED INVERTER R-410A REFRIGERANT INVERTER WITH WIRELESS REMOTE CONTROL FCU MODEL-S-48PB2Q6, ACCU MODEL- U-48PB2Q6")</f>
        <v>6.0HP PANASONIC FLOOR MOUNTED INVERTER R-410A REFRIGERANT INVERTER WITH WIRELESS REMOTE CONTROL FCU MODEL-S-48PB2Q6, ACCU MODEL- U-48PB2Q6</v>
      </c>
      <c r="E1997" s="196" t="str">
        <f>IFERROR(__xludf.DUMMYFUNCTION("""COMPUTED_VALUE"""),"REPLACEMENT OF FLOOR MOUNTED ACU IN MUNICH CAFETERIA")</f>
        <v>REPLACEMENT OF FLOOR MOUNTED ACU IN MUNICH CAFETERIA</v>
      </c>
    </row>
    <row r="1998">
      <c r="A1998" s="234">
        <f>IFERROR(__xludf.DUMMYFUNCTION("""COMPUTED_VALUE"""),102289.0)</f>
        <v>102289</v>
      </c>
      <c r="B1998" s="235" t="str">
        <f>IFERROR(__xludf.DUMMYFUNCTION("""COMPUTED_VALUE"""),"PAUL ARAÑA")</f>
        <v>PAUL ARAÑA</v>
      </c>
      <c r="C1998" s="235" t="str">
        <f>IFERROR(__xludf.DUMMYFUNCTION("""COMPUTED_VALUE"""),"MIS/ICT")</f>
        <v>MIS/ICT</v>
      </c>
      <c r="D1998" s="196" t="str">
        <f>IFERROR(__xludf.DUMMYFUNCTION("""COMPUTED_VALUE"""),"1080P FULL HD WEBCAM PK-920H A4TECH 30 PCS. ")</f>
        <v>1080P FULL HD WEBCAM PK-920H A4TECH 30 PCS. </v>
      </c>
      <c r="E1998" s="196" t="str">
        <f>IFERROR(__xludf.DUMMYFUNCTION("""COMPUTED_VALUE"""),"FOR VOLT CLASS, ONLINE MEETING AND WEBINARS")</f>
        <v>FOR VOLT CLASS, ONLINE MEETING AND WEBINARS</v>
      </c>
    </row>
    <row r="1999">
      <c r="A1999" s="234">
        <f>IFERROR(__xludf.DUMMYFUNCTION("""COMPUTED_VALUE"""),102290.0)</f>
        <v>102290</v>
      </c>
      <c r="B1999" s="235" t="str">
        <f>IFERROR(__xludf.DUMMYFUNCTION("""COMPUTED_VALUE"""),"KENNETH ANCERMO")</f>
        <v>KENNETH ANCERMO</v>
      </c>
      <c r="C1999" s="235" t="str">
        <f>IFERROR(__xludf.DUMMYFUNCTION("""COMPUTED_VALUE"""),"AMD")</f>
        <v>AMD</v>
      </c>
      <c r="D1999" s="196" t="str">
        <f>IFERROR(__xludf.DUMMYFUNCTION("""COMPUTED_VALUE"""),"Universal adaptor, Doorknob Creston")</f>
        <v>Universal adaptor, Doorknob Creston</v>
      </c>
      <c r="E1999" s="196" t="str">
        <f>IFERROR(__xludf.DUMMYFUNCTION("""COMPUTED_VALUE"""),"Engineering stock replenishment ")</f>
        <v>Engineering stock replenishment </v>
      </c>
    </row>
    <row r="2000">
      <c r="A2000" s="234">
        <f>IFERROR(__xludf.DUMMYFUNCTION("""COMPUTED_VALUE"""),102291.0)</f>
        <v>102291</v>
      </c>
      <c r="B2000" s="235" t="str">
        <f>IFERROR(__xludf.DUMMYFUNCTION("""COMPUTED_VALUE"""),"KENNETH ANCERMO")</f>
        <v>KENNETH ANCERMO</v>
      </c>
      <c r="C2000" s="235" t="str">
        <f>IFERROR(__xludf.DUMMYFUNCTION("""COMPUTED_VALUE"""),"AMD")</f>
        <v>AMD</v>
      </c>
      <c r="D2000" s="196" t="str">
        <f>IFERROR(__xludf.DUMMYFUNCTION("""COMPUTED_VALUE"""),"Tape, Duct Tape (2in x 10m), Inks, Trodat Red, Inks, Trodat Black, Ink, Whiteboard-Pilot Blue, Ink, Whiteboard-Pilot Black")</f>
        <v>Tape, Duct Tape (2in x 10m), Inks, Trodat Red, Inks, Trodat Black, Ink, Whiteboard-Pilot Blue, Ink, Whiteboard-Pilot Black</v>
      </c>
      <c r="E2000" s="196" t="str">
        <f>IFERROR(__xludf.DUMMYFUNCTION("""COMPUTED_VALUE"""),"OSSUP stock replenishment")</f>
        <v>OSSUP stock replenishment</v>
      </c>
    </row>
    <row r="2001">
      <c r="A2001" s="234">
        <f>IFERROR(__xludf.DUMMYFUNCTION("""COMPUTED_VALUE"""),102292.0)</f>
        <v>102292</v>
      </c>
      <c r="B2001" s="235" t="str">
        <f>IFERROR(__xludf.DUMMYFUNCTION("""COMPUTED_VALUE"""),"KENNETH ANCERMO")</f>
        <v>KENNETH ANCERMO</v>
      </c>
      <c r="C2001" s="235" t="str">
        <f>IFERROR(__xludf.DUMMYFUNCTION("""COMPUTED_VALUE"""),"AMD")</f>
        <v>AMD</v>
      </c>
      <c r="D2001" s="196" t="str">
        <f>IFERROR(__xludf.DUMMYFUNCTION("""COMPUTED_VALUE"""),"PUSH CART TROLLEY 1 PC; HAND TROLLEY 1PC;")</f>
        <v>PUSH CART TROLLEY 1 PC; HAND TROLLEY 1PC;</v>
      </c>
      <c r="E2001" s="196" t="str">
        <f>IFERROR(__xludf.DUMMYFUNCTION("""COMPUTED_VALUE"""),"FOR MATMAN USE ")</f>
        <v>FOR MATMAN USE </v>
      </c>
    </row>
    <row r="2002">
      <c r="A2002" s="234">
        <f>IFERROR(__xludf.DUMMYFUNCTION("""COMPUTED_VALUE"""),102293.0)</f>
        <v>102293</v>
      </c>
      <c r="B2002" s="235" t="str">
        <f>IFERROR(__xludf.DUMMYFUNCTION("""COMPUTED_VALUE"""),"ALFA DE LEON")</f>
        <v>ALFA DE LEON</v>
      </c>
      <c r="C2002" s="235" t="str">
        <f>IFERROR(__xludf.DUMMYFUNCTION("""COMPUTED_VALUE"""),"ADMIN - MUNICH")</f>
        <v>ADMIN - MUNICH</v>
      </c>
      <c r="D2002" s="196" t="str">
        <f>IFERROR(__xludf.DUMMYFUNCTION("""COMPUTED_VALUE"""),"3HP PANASONIC INVERTER CEILING CASSETTE WITH NANO X TECH, WIRELESS REMOTE CONTROLLER, R410A REFRIGERANT")</f>
        <v>3HP PANASONIC INVERTER CEILING CASSETTE WITH NANO X TECH, WIRELESS REMOTE CONTROLLER, R410A REFRIGERANT</v>
      </c>
      <c r="E2002" s="196" t="str">
        <f>IFERROR(__xludf.DUMMYFUNCTION("""COMPUTED_VALUE"""),"REPLACEMENT OF BROKEN WINDOW TYPE INRM. 305, ADDITIONAL CLASSROMS ARE NEEDED FOR 3RD TERM F1F.")</f>
        <v>REPLACEMENT OF BROKEN WINDOW TYPE INRM. 305, ADDITIONAL CLASSROMS ARE NEEDED FOR 3RD TERM F1F.</v>
      </c>
    </row>
    <row r="2003">
      <c r="A2003" s="234">
        <f>IFERROR(__xludf.DUMMYFUNCTION("""COMPUTED_VALUE"""),102294.0)</f>
        <v>102294</v>
      </c>
      <c r="B2003" s="235" t="str">
        <f>IFERROR(__xludf.DUMMYFUNCTION("""COMPUTED_VALUE"""),"KENNETH ANCERMO")</f>
        <v>KENNETH ANCERMO</v>
      </c>
      <c r="C2003" s="235" t="str">
        <f>IFERROR(__xludf.DUMMYFUNCTION("""COMPUTED_VALUE"""),"AMD")</f>
        <v>AMD</v>
      </c>
      <c r="D2003" s="196" t="str">
        <f>IFERROR(__xludf.DUMMYFUNCTION("""COMPUTED_VALUE"""),"Paper, Copy-Laser Sub. 20 Short White, Paper, Copy-Laser Sub. 20 Long White")</f>
        <v>Paper, Copy-Laser Sub. 20 Short White, Paper, Copy-Laser Sub. 20 Long White</v>
      </c>
      <c r="E2003" s="196" t="str">
        <f>IFERROR(__xludf.DUMMYFUNCTION("""COMPUTED_VALUE"""),"Stock replenishment of OSSUP")</f>
        <v>Stock replenishment of OSSUP</v>
      </c>
    </row>
    <row r="2004">
      <c r="A2004" s="234">
        <f>IFERROR(__xludf.DUMMYFUNCTION("""COMPUTED_VALUE"""),102295.0)</f>
        <v>102295</v>
      </c>
      <c r="B2004" s="235" t="str">
        <f>IFERROR(__xludf.DUMMYFUNCTION("""COMPUTED_VALUE"""),"KENNETH ANCERMO")</f>
        <v>KENNETH ANCERMO</v>
      </c>
      <c r="C2004" s="235" t="str">
        <f>IFERROR(__xludf.DUMMYFUNCTION("""COMPUTED_VALUE"""),"AMD")</f>
        <v>AMD</v>
      </c>
      <c r="D2004" s="196" t="str">
        <f>IFERROR(__xludf.DUMMYFUNCTION("""COMPUTED_VALUE"""),"Video Splitter 2-way")</f>
        <v>Video Splitter 2-way</v>
      </c>
      <c r="E2004" s="196" t="str">
        <f>IFERROR(__xludf.DUMMYFUNCTION("""COMPUTED_VALUE"""),"Stock replenishment of  MIS warehouse ")</f>
        <v>Stock replenishment of  MIS warehouse </v>
      </c>
    </row>
    <row r="2005">
      <c r="A2005" s="234">
        <f>IFERROR(__xludf.DUMMYFUNCTION("""COMPUTED_VALUE"""),102296.0)</f>
        <v>102296</v>
      </c>
      <c r="B2005" s="235" t="str">
        <f>IFERROR(__xludf.DUMMYFUNCTION("""COMPUTED_VALUE"""),"ALFA DE LEON ")</f>
        <v>ALFA DE LEON </v>
      </c>
      <c r="C2005" s="235" t="str">
        <f>IFERROR(__xludf.DUMMYFUNCTION("""COMPUTED_VALUE"""),"LANDSCAPING")</f>
        <v>LANDSCAPING</v>
      </c>
      <c r="D2005" s="196" t="str">
        <f>IFERROR(__xludf.DUMMYFUNCTION("""COMPUTED_VALUE"""),"CARABAO GRASS ")</f>
        <v>CARABAO GRASS </v>
      </c>
      <c r="E2005" s="196" t="str">
        <f>IFERROR(__xludf.DUMMYFUNCTION("""COMPUTED_VALUE"""),"TO FILL IN THE SOCCERFIELD, THERE ARE SOME BLACK SPACE ALREADY")</f>
        <v>TO FILL IN THE SOCCERFIELD, THERE ARE SOME BLACK SPACE ALREADY</v>
      </c>
    </row>
    <row r="2006">
      <c r="A2006" s="234">
        <f>IFERROR(__xludf.DUMMYFUNCTION("""COMPUTED_VALUE"""),102297.0)</f>
        <v>102297</v>
      </c>
      <c r="B2006" s="235" t="str">
        <f>IFERROR(__xludf.DUMMYFUNCTION("""COMPUTED_VALUE"""),"ALFA DE LEON ")</f>
        <v>ALFA DE LEON </v>
      </c>
      <c r="C2006" s="235" t="str">
        <f>IFERROR(__xludf.DUMMYFUNCTION("""COMPUTED_VALUE"""),"LANDSCAPING")</f>
        <v>LANDSCAPING</v>
      </c>
      <c r="D2006" s="196" t="str">
        <f>IFERROR(__xludf.DUMMYFUNCTION("""COMPUTED_VALUE"""),"UREA, FURADOR, VERMICAST")</f>
        <v>UREA, FURADOR, VERMICAST</v>
      </c>
      <c r="E2006" s="196" t="str">
        <f>IFERROR(__xludf.DUMMYFUNCTION("""COMPUTED_VALUE"""),"LANDSCAPING -FERTILIZER FOR THE PLANTS")</f>
        <v>LANDSCAPING -FERTILIZER FOR THE PLANTS</v>
      </c>
    </row>
    <row r="2007">
      <c r="A2007" s="234">
        <f>IFERROR(__xludf.DUMMYFUNCTION("""COMPUTED_VALUE"""),102298.0)</f>
        <v>102298</v>
      </c>
      <c r="B2007" s="235" t="str">
        <f>IFERROR(__xludf.DUMMYFUNCTION("""COMPUTED_VALUE"""),"ALFA DE LEON ")</f>
        <v>ALFA DE LEON </v>
      </c>
      <c r="C2007" s="235" t="str">
        <f>IFERROR(__xludf.DUMMYFUNCTION("""COMPUTED_VALUE"""),"LANDSCAPING")</f>
        <v>LANDSCAPING</v>
      </c>
      <c r="D2007" s="196" t="str">
        <f>IFERROR(__xludf.DUMMYFUNCTION("""COMPUTED_VALUE"""),"LAWN MOVER HEAVY DUTY")</f>
        <v>LAWN MOVER HEAVY DUTY</v>
      </c>
      <c r="E2007" s="196" t="str">
        <f>IFERROR(__xludf.DUMMYFUNCTION("""COMPUTED_VALUE"""),"REPLACEMENT OF OLD UNIT (UNREPAIRABLE LAWN MOWER)")</f>
        <v>REPLACEMENT OF OLD UNIT (UNREPAIRABLE LAWN MOWER)</v>
      </c>
    </row>
    <row r="2008">
      <c r="A2008" s="234">
        <f>IFERROR(__xludf.DUMMYFUNCTION("""COMPUTED_VALUE"""),102299.0)</f>
        <v>102299</v>
      </c>
      <c r="B2008" s="235" t="str">
        <f>IFERROR(__xludf.DUMMYFUNCTION("""COMPUTED_VALUE"""),"CARLITO DELA VEGA ")</f>
        <v>CARLITO DELA VEGA </v>
      </c>
      <c r="C2008" s="235" t="str">
        <f>IFERROR(__xludf.DUMMYFUNCTION("""COMPUTED_VALUE"""),"SECURITY")</f>
        <v>SECURITY</v>
      </c>
      <c r="D2008" s="196" t="str">
        <f>IFERROR(__xludf.DUMMYFUNCTION("""COMPUTED_VALUE"""),"PVC CARD A4 PET 50'S FOR LAMINATING SIGNAGES ")</f>
        <v>PVC CARD A4 PET 50'S FOR LAMINATING SIGNAGES </v>
      </c>
      <c r="E2008" s="196" t="str">
        <f>IFERROR(__xludf.DUMMYFUNCTION("""COMPUTED_VALUE"""),"FOR SIGNAGE USE RESTOCK")</f>
        <v>FOR SIGNAGE USE RESTOCK</v>
      </c>
    </row>
    <row r="2009">
      <c r="A2009" s="234">
        <f>IFERROR(__xludf.DUMMYFUNCTION("""COMPUTED_VALUE"""),102300.0)</f>
        <v>102300</v>
      </c>
      <c r="B2009" s="235" t="str">
        <f>IFERROR(__xludf.DUMMYFUNCTION("""COMPUTED_VALUE"""),"PAUL ARAÑA")</f>
        <v>PAUL ARAÑA</v>
      </c>
      <c r="C2009" s="235" t="str">
        <f>IFERROR(__xludf.DUMMYFUNCTION("""COMPUTED_VALUE"""),"MIS/ICT")</f>
        <v>MIS/ICT</v>
      </c>
      <c r="D2009" s="196" t="str">
        <f>IFERROR(__xludf.DUMMYFUNCTION("""COMPUTED_VALUE"""),"VIEWSONIC MONITOR (19 INCHES)")</f>
        <v>VIEWSONIC MONITOR (19 INCHES)</v>
      </c>
      <c r="E2009" s="196" t="str">
        <f>IFERROR(__xludf.DUMMYFUNCTION("""COMPUTED_VALUE"""),"FOR REPLACEMENT OF OLD MONITOR IN CEM'S OFFICE")</f>
        <v>FOR REPLACEMENT OF OLD MONITOR IN CEM'S OFFICE</v>
      </c>
    </row>
    <row r="2010">
      <c r="A2010" s="234">
        <f>IFERROR(__xludf.DUMMYFUNCTION("""COMPUTED_VALUE"""),102301.0)</f>
        <v>102301</v>
      </c>
      <c r="B2010" s="235" t="str">
        <f>IFERROR(__xludf.DUMMYFUNCTION("""COMPUTED_VALUE"""),"CHOY JAMIAS ")</f>
        <v>CHOY JAMIAS </v>
      </c>
      <c r="C2010" s="235" t="str">
        <f>IFERROR(__xludf.DUMMYFUNCTION("""COMPUTED_VALUE"""),"STUDENT AFFAIRS COLLEGE")</f>
        <v>STUDENT AFFAIRS COLLEGE</v>
      </c>
      <c r="D2010" s="196" t="str">
        <f>IFERROR(__xludf.DUMMYFUNCTION("""COMPUTED_VALUE"""),"YEARBOOK FOR COLLEGE  AY 21-22")</f>
        <v>YEARBOOK FOR COLLEGE  AY 21-22</v>
      </c>
      <c r="E2010" s="196" t="str">
        <f>IFERROR(__xludf.DUMMYFUNCTION("""COMPUTED_VALUE"""),"COLLEGE GRADUATION AY 2022-2022")</f>
        <v>COLLEGE GRADUATION AY 2022-2022</v>
      </c>
    </row>
    <row r="2011">
      <c r="A2011" s="234">
        <f>IFERROR(__xludf.DUMMYFUNCTION("""COMPUTED_VALUE"""),102302.0)</f>
        <v>102302</v>
      </c>
      <c r="B2011" s="235" t="str">
        <f>IFERROR(__xludf.DUMMYFUNCTION("""COMPUTED_VALUE"""),"ALFA DE LEON")</f>
        <v>ALFA DE LEON</v>
      </c>
      <c r="C2011" s="235" t="str">
        <f>IFERROR(__xludf.DUMMYFUNCTION("""COMPUTED_VALUE"""),"ADMIN - MUNICH")</f>
        <v>ADMIN - MUNICH</v>
      </c>
      <c r="D2011" s="196" t="str">
        <f>IFERROR(__xludf.DUMMYFUNCTION("""COMPUTED_VALUE"""),"TRASH BIN ")</f>
        <v>TRASH BIN </v>
      </c>
      <c r="E2011" s="196" t="str">
        <f>IFERROR(__xludf.DUMMYFUNCTION("""COMPUTED_VALUE"""),"REPLACEMENT OF BROKEN TRASH BIN ")</f>
        <v>REPLACEMENT OF BROKEN TRASH BIN </v>
      </c>
    </row>
    <row r="2012">
      <c r="A2012" s="234">
        <f>IFERROR(__xludf.DUMMYFUNCTION("""COMPUTED_VALUE"""),102303.0)</f>
        <v>102303</v>
      </c>
      <c r="B2012" s="235" t="str">
        <f>IFERROR(__xludf.DUMMYFUNCTION("""COMPUTED_VALUE"""),"ALFA DE LEON ")</f>
        <v>ALFA DE LEON </v>
      </c>
      <c r="C2012" s="235" t="str">
        <f>IFERROR(__xludf.DUMMYFUNCTION("""COMPUTED_VALUE"""),"ADMIN - MUNICH")</f>
        <v>ADMIN - MUNICH</v>
      </c>
      <c r="D2012" s="196" t="str">
        <f>IFERROR(__xludf.DUMMYFUNCTION("""COMPUTED_VALUE"""),"PRINTED CIRCUIT BOARD FOR MODEL OUTDOOR  CUYT303KBQ6 SERIAL NUMBER 7898201185 OUTDOOR ACU PCB IN MUNICH ROOM 307")</f>
        <v>PRINTED CIRCUIT BOARD FOR MODEL OUTDOOR  CUYT303KBQ6 SERIAL NUMBER 7898201185 OUTDOOR ACU PCB IN MUNICH ROOM 307</v>
      </c>
      <c r="E2012" s="196" t="str">
        <f>IFERROR(__xludf.DUMMYFUNCTION("""COMPUTED_VALUE"""),"FOR REPAIRS AIRCON ROOM 307")</f>
        <v>FOR REPAIRS AIRCON ROOM 307</v>
      </c>
    </row>
    <row r="2013">
      <c r="A2013" s="234">
        <f>IFERROR(__xludf.DUMMYFUNCTION("""COMPUTED_VALUE"""),102304.0)</f>
        <v>102304</v>
      </c>
      <c r="B2013" s="235" t="str">
        <f>IFERROR(__xludf.DUMMYFUNCTION("""COMPUTED_VALUE"""),"JORALYN G. CASIS ")</f>
        <v>JORALYN G. CASIS </v>
      </c>
      <c r="C2013" s="235" t="str">
        <f>IFERROR(__xludf.DUMMYFUNCTION("""COMPUTED_VALUE""")," COLLEGE")</f>
        <v> COLLEGE</v>
      </c>
      <c r="D2013" s="196" t="str">
        <f>IFERROR(__xludf.DUMMYFUNCTION("""COMPUTED_VALUE"""),"WINE (RUSTANS_Chateau Lartigue Cotes de bordeaux)  SISC Bag, Frame ")</f>
        <v>WINE (RUSTANS_Chateau Lartigue Cotes de bordeaux)  SISC Bag, Frame </v>
      </c>
      <c r="E2013" s="196" t="str">
        <f>IFERROR(__xludf.DUMMYFUNCTION("""COMPUTED_VALUE"""),"FOR SISC ADVISORY COUNCIL TOKEN")</f>
        <v>FOR SISC ADVISORY COUNCIL TOKEN</v>
      </c>
    </row>
    <row r="2014">
      <c r="A2014" s="234">
        <f>IFERROR(__xludf.DUMMYFUNCTION("""COMPUTED_VALUE"""),102305.0)</f>
        <v>102305</v>
      </c>
      <c r="B2014" s="235" t="str">
        <f>IFERROR(__xludf.DUMMYFUNCTION("""COMPUTED_VALUE"""),"SHEREE ESPINOSA")</f>
        <v>SHEREE ESPINOSA</v>
      </c>
      <c r="C2014" s="235" t="str">
        <f>IFERROR(__xludf.DUMMYFUNCTION("""COMPUTED_VALUE"""),"ADMIN")</f>
        <v>ADMIN</v>
      </c>
      <c r="D2014" s="196" t="str">
        <f>IFERROR(__xludf.DUMMYFUNCTION("""COMPUTED_VALUE"""),"UV STERILIZATION BOX")</f>
        <v>UV STERILIZATION BOX</v>
      </c>
      <c r="E2014" s="196" t="str">
        <f>IFERROR(__xludf.DUMMYFUNCTION("""COMPUTED_VALUE"""),"FOR SHS AND IB F2F CLASSES IN TROPICAL ")</f>
        <v>FOR SHS AND IB F2F CLASSES IN TROPICAL </v>
      </c>
    </row>
    <row r="2015">
      <c r="A2015" s="234">
        <f>IFERROR(__xludf.DUMMYFUNCTION("""COMPUTED_VALUE"""),102306.0)</f>
        <v>102306</v>
      </c>
      <c r="B2015" s="235" t="str">
        <f>IFERROR(__xludf.DUMMYFUNCTION("""COMPUTED_VALUE"""),"SHEREE ESPINOSA")</f>
        <v>SHEREE ESPINOSA</v>
      </c>
      <c r="C2015" s="235" t="str">
        <f>IFERROR(__xludf.DUMMYFUNCTION("""COMPUTED_VALUE"""),"ADMIN")</f>
        <v>ADMIN</v>
      </c>
      <c r="D2015" s="196" t="str">
        <f>IFERROR(__xludf.DUMMYFUNCTION("""COMPUTED_VALUE"""),"ALCOHOL DISPENSER WITH STAND")</f>
        <v>ALCOHOL DISPENSER WITH STAND</v>
      </c>
      <c r="E2015" s="196" t="str">
        <f>IFERROR(__xludf.DUMMYFUNCTION("""COMPUTED_VALUE"""),"FOR SHS AND IB F2F CLASSES IN TROPICAL ")</f>
        <v>FOR SHS AND IB F2F CLASSES IN TROPICAL </v>
      </c>
    </row>
    <row r="2016">
      <c r="A2016" s="234">
        <f>IFERROR(__xludf.DUMMYFUNCTION("""COMPUTED_VALUE"""),102307.0)</f>
        <v>102307</v>
      </c>
      <c r="B2016" s="235" t="str">
        <f>IFERROR(__xludf.DUMMYFUNCTION("""COMPUTED_VALUE"""),"SHEREE ESPINOSA")</f>
        <v>SHEREE ESPINOSA</v>
      </c>
      <c r="C2016" s="235" t="str">
        <f>IFERROR(__xludf.DUMMYFUNCTION("""COMPUTED_VALUE"""),"ADMIN")</f>
        <v>ADMIN</v>
      </c>
      <c r="D2016" s="196" t="str">
        <f>IFERROR(__xludf.DUMMYFUNCTION("""COMPUTED_VALUE"""),"AIR PURIFIER WITH HEPA FILTER")</f>
        <v>AIR PURIFIER WITH HEPA FILTER</v>
      </c>
      <c r="E2016" s="196" t="str">
        <f>IFERROR(__xludf.DUMMYFUNCTION("""COMPUTED_VALUE"""),"FOR SHS AND IB F2F CLASSES IN TROPICAL ")</f>
        <v>FOR SHS AND IB F2F CLASSES IN TROPICAL </v>
      </c>
    </row>
    <row r="2017">
      <c r="A2017" s="234">
        <f>IFERROR(__xludf.DUMMYFUNCTION("""COMPUTED_VALUE"""),102308.0)</f>
        <v>102308</v>
      </c>
      <c r="B2017" s="235" t="str">
        <f>IFERROR(__xludf.DUMMYFUNCTION("""COMPUTED_VALUE"""),"SHEREE ESPINOSA")</f>
        <v>SHEREE ESPINOSA</v>
      </c>
      <c r="C2017" s="235" t="str">
        <f>IFERROR(__xludf.DUMMYFUNCTION("""COMPUTED_VALUE"""),"ADMIN")</f>
        <v>ADMIN</v>
      </c>
      <c r="D2017" s="196" t="str">
        <f>IFERROR(__xludf.DUMMYFUNCTION("""COMPUTED_VALUE"""),"TRASH BIN FOOT LEVER ")</f>
        <v>TRASH BIN FOOT LEVER </v>
      </c>
      <c r="E2017" s="196" t="str">
        <f>IFERROR(__xludf.DUMMYFUNCTION("""COMPUTED_VALUE"""),"FOR SHS AND IB F2F CLASSES IN TROPICAL ")</f>
        <v>FOR SHS AND IB F2F CLASSES IN TROPICAL </v>
      </c>
    </row>
    <row r="2018">
      <c r="A2018" s="234">
        <f>IFERROR(__xludf.DUMMYFUNCTION("""COMPUTED_VALUE"""),102309.0)</f>
        <v>102309</v>
      </c>
      <c r="B2018" s="235" t="str">
        <f>IFERROR(__xludf.DUMMYFUNCTION("""COMPUTED_VALUE"""),"RENZ BLANCA")</f>
        <v>RENZ BLANCA</v>
      </c>
      <c r="C2018" s="235" t="str">
        <f>IFERROR(__xludf.DUMMYFUNCTION("""COMPUTED_VALUE"""),"HRMD")</f>
        <v>HRMD</v>
      </c>
      <c r="D2018" s="196" t="str">
        <f>IFERROR(__xludf.DUMMYFUNCTION("""COMPUTED_VALUE"""),"FLOWER WREATH FOR MISS NESSIE P. WONG (MOTHER OF SIR JOSEPH WONG)")</f>
        <v>FLOWER WREATH FOR MISS NESSIE P. WONG (MOTHER OF SIR JOSEPH WONG)</v>
      </c>
      <c r="E2018" s="196" t="str">
        <f>IFERROR(__xludf.DUMMYFUNCTION("""COMPUTED_VALUE"""),"FOR WAKE/BEREAVEMENT ")</f>
        <v>FOR WAKE/BEREAVEMENT </v>
      </c>
    </row>
    <row r="2019">
      <c r="A2019" s="234">
        <f>IFERROR(__xludf.DUMMYFUNCTION("""COMPUTED_VALUE"""),102310.0)</f>
        <v>102310</v>
      </c>
      <c r="B2019" s="235" t="str">
        <f>IFERROR(__xludf.DUMMYFUNCTION("""COMPUTED_VALUE"""),"ALFA DE LEON")</f>
        <v>ALFA DE LEON</v>
      </c>
      <c r="C2019" s="235" t="str">
        <f>IFERROR(__xludf.DUMMYFUNCTION("""COMPUTED_VALUE"""),"ADMIN")</f>
        <v>ADMIN</v>
      </c>
      <c r="D2019" s="196" t="str">
        <f>IFERROR(__xludf.DUMMYFUNCTION("""COMPUTED_VALUE"""),"ROPE 1/4 BLACK")</f>
        <v>ROPE 1/4 BLACK</v>
      </c>
      <c r="E2019" s="196" t="str">
        <f>IFERROR(__xludf.DUMMYFUNCTION("""COMPUTED_VALUE"""),"FOR SOCCERFIELD FENCE ")</f>
        <v>FOR SOCCERFIELD FENCE </v>
      </c>
    </row>
    <row r="2020">
      <c r="A2020" s="234">
        <f>IFERROR(__xludf.DUMMYFUNCTION("""COMPUTED_VALUE"""),102311.0)</f>
        <v>102311</v>
      </c>
      <c r="B2020" s="235" t="str">
        <f>IFERROR(__xludf.DUMMYFUNCTION("""COMPUTED_VALUE"""),"RONALADO VERDE/SHEREE ESPINOSA")</f>
        <v>RONALADO VERDE/SHEREE ESPINOSA</v>
      </c>
      <c r="C2020" s="235" t="str">
        <f>IFERROR(__xludf.DUMMYFUNCTION("""COMPUTED_VALUE"""),"ADMIN")</f>
        <v>ADMIN</v>
      </c>
      <c r="D2020" s="196" t="str">
        <f>IFERROR(__xludf.DUMMYFUNCTION("""COMPUTED_VALUE"""),"BASKET STAINER, PVC P.TRAP, PVC ELBOW,1/2 PVC PIPE, 1/2 PVC ELBOW, 1/2 PVC TIE, 1/2 TREADED ELBOW,  SOLVENT CEMENT, 1/2X1/2 ANGLE VALVE (SINGLE), 1/2X1/2X18 FLEXIBLE HOSE, PVC PIPE.")</f>
        <v>BASKET STAINER, PVC P.TRAP, PVC ELBOW,1/2 PVC PIPE, 1/2 PVC ELBOW, 1/2 PVC TIE, 1/2 TREADED ELBOW,  SOLVENT CEMENT, 1/2X1/2 ANGLE VALVE (SINGLE), 1/2X1/2X18 FLEXIBLE HOSE, PVC PIPE.</v>
      </c>
      <c r="E2020" s="196" t="str">
        <f>IFERROR(__xludf.DUMMYFUNCTION("""COMPUTED_VALUE"""),"INSTALLATION OF HANDWASH AREA IN TROPICAL BUILDING")</f>
        <v>INSTALLATION OF HANDWASH AREA IN TROPICAL BUILDING</v>
      </c>
    </row>
    <row r="2021">
      <c r="A2021" s="234">
        <f>IFERROR(__xludf.DUMMYFUNCTION("""COMPUTED_VALUE"""),102312.0)</f>
        <v>102312</v>
      </c>
      <c r="B2021" s="235" t="str">
        <f>IFERROR(__xludf.DUMMYFUNCTION("""COMPUTED_VALUE"""),"GARRY BATAO-EY")</f>
        <v>GARRY BATAO-EY</v>
      </c>
      <c r="C2021" s="235" t="str">
        <f>IFERROR(__xludf.DUMMYFUNCTION("""COMPUTED_VALUE"""),"MIS")</f>
        <v>MIS</v>
      </c>
      <c r="D2021" s="196" t="str">
        <f>IFERROR(__xludf.DUMMYFUNCTION("""COMPUTED_VALUE"""),"HDMI ADAPTER CABLE HDMI TO VGA 30 PCS; DVI TO VGA ADAPTER 10 PCS;")</f>
        <v>HDMI ADAPTER CABLE HDMI TO VGA 30 PCS; DVI TO VGA ADAPTER 10 PCS;</v>
      </c>
      <c r="E2021" s="196" t="str">
        <f>IFERROR(__xludf.DUMMYFUNCTION("""COMPUTED_VALUE"""),"REPLACEMENT OF DEFFECTIVE HDMI ADAPTER AND DVI CABLE")</f>
        <v>REPLACEMENT OF DEFFECTIVE HDMI ADAPTER AND DVI CABLE</v>
      </c>
    </row>
    <row r="2022">
      <c r="A2022" s="234">
        <f>IFERROR(__xludf.DUMMYFUNCTION("""COMPUTED_VALUE"""),102313.0)</f>
        <v>102313</v>
      </c>
      <c r="B2022" s="235" t="str">
        <f>IFERROR(__xludf.DUMMYFUNCTION("""COMPUTED_VALUE"""),"HAZEL DE GUZMAN")</f>
        <v>HAZEL DE GUZMAN</v>
      </c>
      <c r="C2022" s="235" t="str">
        <f>IFERROR(__xludf.DUMMYFUNCTION("""COMPUTED_VALUE"""),"PR &amp; MARKETING")</f>
        <v>PR &amp; MARKETING</v>
      </c>
      <c r="D2022" s="196" t="str">
        <f>IFERROR(__xludf.DUMMYFUNCTION("""COMPUTED_VALUE"""),"1 SPARK TARP 8X12 FT. (NO EYELET), 1 EACH X BANNERS ASSORTED,  5 POSTER STAND (20 X 27 INCHES)")</f>
        <v>1 SPARK TARP 8X12 FT. (NO EYELET), 1 EACH X BANNERS ASSORTED,  5 POSTER STAND (20 X 27 INCHES)</v>
      </c>
      <c r="E2022" s="196" t="str">
        <f>IFERROR(__xludf.DUMMYFUNCTION("""COMPUTED_VALUE"""),"FOR SPARK ROBINSONS EVENT")</f>
        <v>FOR SPARK ROBINSONS EVENT</v>
      </c>
    </row>
    <row r="2023">
      <c r="A2023" s="234">
        <f>IFERROR(__xludf.DUMMYFUNCTION("""COMPUTED_VALUE"""),102314.0)</f>
        <v>102314</v>
      </c>
      <c r="B2023" s="235" t="str">
        <f>IFERROR(__xludf.DUMMYFUNCTION("""COMPUTED_VALUE"""),"JOMEL BUTIAL ")</f>
        <v>JOMEL BUTIAL </v>
      </c>
      <c r="C2023" s="235" t="str">
        <f>IFERROR(__xludf.DUMMYFUNCTION("""COMPUTED_VALUE"""),"AMD")</f>
        <v>AMD</v>
      </c>
      <c r="D2023" s="196" t="str">
        <f>IFERROR(__xludf.DUMMYFUNCTION("""COMPUTED_VALUE"""),"SPRAY GUN 100 PCS; HANDWASH ANTIBAC (KINGWASH) 25 PCS;  ")</f>
        <v>SPRAY GUN 100 PCS; HANDWASH ANTIBAC (KINGWASH) 25 PCS;  </v>
      </c>
      <c r="E2023" s="196" t="str">
        <f>IFERROR(__xludf.DUMMYFUNCTION("""COMPUTED_VALUE"""),"HOUSEKEEPING REPLENISHMENT FOR MARCH 2022")</f>
        <v>HOUSEKEEPING REPLENISHMENT FOR MARCH 2022</v>
      </c>
    </row>
    <row r="2024">
      <c r="A2024" s="234">
        <f>IFERROR(__xludf.DUMMYFUNCTION("""COMPUTED_VALUE"""),102315.0)</f>
        <v>102315</v>
      </c>
      <c r="B2024" s="235" t="str">
        <f>IFERROR(__xludf.DUMMYFUNCTION("""COMPUTED_VALUE"""),"ALFA DE LEON ")</f>
        <v>ALFA DE LEON </v>
      </c>
      <c r="C2024" s="235" t="str">
        <f>IFERROR(__xludf.DUMMYFUNCTION("""COMPUTED_VALUE"""),"ADMIN")</f>
        <v>ADMIN</v>
      </c>
      <c r="D2024" s="196" t="str">
        <f>IFERROR(__xludf.DUMMYFUNCTION("""COMPUTED_VALUE"""),"FLAT CORD #16, MALE PLUG HEAVY DUTY EAGLE , CONVIENCE OUTLET 3 GANG")</f>
        <v>FLAT CORD #16, MALE PLUG HEAVY DUTY EAGLE , CONVIENCE OUTLET 3 GANG</v>
      </c>
      <c r="E2024" s="196" t="str">
        <f>IFERROR(__xludf.DUMMYFUNCTION("""COMPUTED_VALUE"""),"For events or for our students who are using laptop in the classroom
- safekeeping of this item wil be under admin
")</f>
        <v>For events or for our students who are using laptop in the classroom
- safekeeping of this item wil be under admin
</v>
      </c>
    </row>
    <row r="2025">
      <c r="A2025" s="234">
        <f>IFERROR(__xludf.DUMMYFUNCTION("""COMPUTED_VALUE"""),102316.0)</f>
        <v>102316</v>
      </c>
      <c r="B2025" s="235" t="str">
        <f>IFERROR(__xludf.DUMMYFUNCTION("""COMPUTED_VALUE"""),"OWIE PAR")</f>
        <v>OWIE PAR</v>
      </c>
      <c r="C2025" s="235" t="str">
        <f>IFERROR(__xludf.DUMMYFUNCTION("""COMPUTED_VALUE"""),"ENGINEERING")</f>
        <v>ENGINEERING</v>
      </c>
      <c r="D2025" s="196" t="str">
        <f>IFERROR(__xludf.DUMMYFUNCTION("""COMPUTED_VALUE"""),"LED STREET LIGHT  100 WATTS - 120 WATTS, ")</f>
        <v>LED STREET LIGHT  100 WATTS - 120 WATTS, </v>
      </c>
      <c r="E2025" s="196" t="str">
        <f>IFERROR(__xludf.DUMMYFUNCTION("""COMPUTED_VALUE"""),"REPLACEMENT OF BUSTED LED OF PARKING/STREET LIGHT IN L-SHAPE BUILDING")</f>
        <v>REPLACEMENT OF BUSTED LED OF PARKING/STREET LIGHT IN L-SHAPE BUILDING</v>
      </c>
    </row>
    <row r="2026">
      <c r="A2026" s="234">
        <f>IFERROR(__xludf.DUMMYFUNCTION("""COMPUTED_VALUE"""),102317.0)</f>
        <v>102317</v>
      </c>
      <c r="B2026" s="235" t="str">
        <f>IFERROR(__xludf.DUMMYFUNCTION("""COMPUTED_VALUE"""),"KENNETH ANCERMO")</f>
        <v>KENNETH ANCERMO</v>
      </c>
      <c r="C2026" s="235" t="str">
        <f>IFERROR(__xludf.DUMMYFUNCTION("""COMPUTED_VALUE"""),"AMD")</f>
        <v>AMD</v>
      </c>
      <c r="D2026" s="196" t="str">
        <f>IFERROR(__xludf.DUMMYFUNCTION("""COMPUTED_VALUE"""),"LED BULB 8W DAYLIGHT - PHILIPS, LED TUBE 16W DAYLIGHT - PHILIPS, Electrical tape				
")</f>
        <v>LED BULB 8W DAYLIGHT - PHILIPS, LED TUBE 16W DAYLIGHT - PHILIPS, Electrical tape				
</v>
      </c>
      <c r="E2026" s="196" t="str">
        <f>IFERROR(__xludf.DUMMYFUNCTION("""COMPUTED_VALUE"""),"ENGINEERING SUPPLIES REPLENISHMENT")</f>
        <v>ENGINEERING SUPPLIES REPLENISHMENT</v>
      </c>
    </row>
    <row r="2027">
      <c r="A2027" s="234">
        <f>IFERROR(__xludf.DUMMYFUNCTION("""COMPUTED_VALUE"""),102318.0)</f>
        <v>102318</v>
      </c>
      <c r="B2027" s="235" t="str">
        <f>IFERROR(__xludf.DUMMYFUNCTION("""COMPUTED_VALUE"""),"OWIE PAR")</f>
        <v>OWIE PAR</v>
      </c>
      <c r="C2027" s="235" t="str">
        <f>IFERROR(__xludf.DUMMYFUNCTION("""COMPUTED_VALUE"""),"ENGINEERING")</f>
        <v>ENGINEERING</v>
      </c>
      <c r="D2027" s="196" t="str">
        <f>IFERROR(__xludf.DUMMYFUNCTION("""COMPUTED_VALUE"""),"LED LIGHTS 19 CM X 13 CM X 5 CM UPDATED LED LIGHTS 50 WATTS ")</f>
        <v>LED LIGHTS 19 CM X 13 CM X 5 CM UPDATED LED LIGHTS 50 WATTS </v>
      </c>
      <c r="E2027" s="196" t="str">
        <f>IFERROR(__xludf.DUMMYFUNCTION("""COMPUTED_VALUE"""),"REPLACEMENT OF BUSTED LED LIGHT IN MUNICH AND LUX PARKING ENTRANCE ")</f>
        <v>REPLACEMENT OF BUSTED LED LIGHT IN MUNICH AND LUX PARKING ENTRANCE </v>
      </c>
    </row>
    <row r="2028">
      <c r="A2028" s="234">
        <f>IFERROR(__xludf.DUMMYFUNCTION("""COMPUTED_VALUE"""),102319.0)</f>
        <v>102319</v>
      </c>
      <c r="B2028" s="235" t="str">
        <f>IFERROR(__xludf.DUMMYFUNCTION("""COMPUTED_VALUE"""),"ARMIE C. ABABA")</f>
        <v>ARMIE C. ABABA</v>
      </c>
      <c r="C2028" s="235" t="str">
        <f>IFERROR(__xludf.DUMMYFUNCTION("""COMPUTED_VALUE"""),"I.B.")</f>
        <v>I.B.</v>
      </c>
      <c r="D2028" s="196" t="str">
        <f>IFERROR(__xludf.DUMMYFUNCTION("""COMPUTED_VALUE"""),"MAY 2021 EXAMINATION PAPER AND MARK SCHEME PACK (DOWNLOAD VERSION) , NOVEMBER 2021 EXAMINATION PAPER AND MARK SCHEME PACK (DOWNLOAD VERSION)")</f>
        <v>MAY 2021 EXAMINATION PAPER AND MARK SCHEME PACK (DOWNLOAD VERSION) , NOVEMBER 2021 EXAMINATION PAPER AND MARK SCHEME PACK (DOWNLOAD VERSION)</v>
      </c>
      <c r="E2028" s="196" t="str">
        <f>IFERROR(__xludf.DUMMYFUNCTION("""COMPUTED_VALUE"""),"IB EXAMINATION")</f>
        <v>IB EXAMINATION</v>
      </c>
    </row>
    <row r="2029">
      <c r="A2029" s="234">
        <f>IFERROR(__xludf.DUMMYFUNCTION("""COMPUTED_VALUE"""),102320.0)</f>
        <v>102320</v>
      </c>
      <c r="B2029" s="235" t="str">
        <f>IFERROR(__xludf.DUMMYFUNCTION("""COMPUTED_VALUE"""),"MONCHING DELA VIÑA")</f>
        <v>MONCHING DELA VIÑA</v>
      </c>
      <c r="C2029" s="235" t="str">
        <f>IFERROR(__xludf.DUMMYFUNCTION("""COMPUTED_VALUE"""),"STUDENT AFFAIRS COLLEGE")</f>
        <v>STUDENT AFFAIRS COLLEGE</v>
      </c>
      <c r="D2029" s="196" t="str">
        <f>IFERROR(__xludf.DUMMYFUNCTION("""COMPUTED_VALUE"""),"SISC STUDENT AMBASSADOR SHIRT")</f>
        <v>SISC STUDENT AMBASSADOR SHIRT</v>
      </c>
      <c r="E2029" s="196" t="str">
        <f>IFERROR(__xludf.DUMMYFUNCTION("""COMPUTED_VALUE"""),"FOR SISC STUDENT AMBASSADORS ")</f>
        <v>FOR SISC STUDENT AMBASSADORS </v>
      </c>
    </row>
    <row r="2030">
      <c r="A2030" s="234">
        <f>IFERROR(__xludf.DUMMYFUNCTION("""COMPUTED_VALUE"""),102321.0)</f>
        <v>102321</v>
      </c>
      <c r="B2030" s="235" t="str">
        <f>IFERROR(__xludf.DUMMYFUNCTION("""COMPUTED_VALUE"""),"VYE REVOLTAR")</f>
        <v>VYE REVOLTAR</v>
      </c>
      <c r="C2030" s="235" t="str">
        <f>IFERROR(__xludf.DUMMYFUNCTION("""COMPUTED_VALUE"""),"CEM OFFICE")</f>
        <v>CEM OFFICE</v>
      </c>
      <c r="D2030" s="196" t="str">
        <f>IFERROR(__xludf.DUMMYFUNCTION("""COMPUTED_VALUE"""),"KAIZEN JOURNALS- INSIDE PAGES- SUBSTANCE BOOK 50 BLACK AND WHITE, COVER: C25- 180 WHITE COLORED")</f>
        <v>KAIZEN JOURNALS- INSIDE PAGES- SUBSTANCE BOOK 50 BLACK AND WHITE, COVER: C25- 180 WHITE COLORED</v>
      </c>
      <c r="E2030" s="196" t="str">
        <f>IFERROR(__xludf.DUMMYFUNCTION("""COMPUTED_VALUE"""),"KAIZEN JOURNALS PRINTED (DIGITAL )")</f>
        <v>KAIZEN JOURNALS PRINTED (DIGITAL )</v>
      </c>
    </row>
    <row r="2031">
      <c r="A2031" s="234">
        <f>IFERROR(__xludf.DUMMYFUNCTION("""COMPUTED_VALUE"""),102322.0)</f>
        <v>102322</v>
      </c>
      <c r="B2031" s="235" t="str">
        <f>IFERROR(__xludf.DUMMYFUNCTION("""COMPUTED_VALUE"""),"JOMEL BUTIAL ")</f>
        <v>JOMEL BUTIAL </v>
      </c>
      <c r="C2031" s="235" t="str">
        <f>IFERROR(__xludf.DUMMYFUNCTION("""COMPUTED_VALUE"""),"AMD")</f>
        <v>AMD</v>
      </c>
      <c r="D2031" s="196" t="str">
        <f>IFERROR(__xludf.DUMMYFUNCTION("""COMPUTED_VALUE"""),"CHAMPION POWDER SOAP 800g 80 PCS; BABY OIL J&amp;J 125ML 80 PCS;")</f>
        <v>CHAMPION POWDER SOAP 800g 80 PCS; BABY OIL J&amp;J 125ML 80 PCS;</v>
      </c>
      <c r="E2031" s="196" t="str">
        <f>IFERROR(__xludf.DUMMYFUNCTION("""COMPUTED_VALUE"""),"HOUSEKEEPING REPLENISHMENT FOR MARCH 2022")</f>
        <v>HOUSEKEEPING REPLENISHMENT FOR MARCH 2022</v>
      </c>
    </row>
    <row r="2032">
      <c r="A2032" s="234">
        <f>IFERROR(__xludf.DUMMYFUNCTION("""COMPUTED_VALUE"""),102323.0)</f>
        <v>102323</v>
      </c>
      <c r="B2032" s="235" t="str">
        <f>IFERROR(__xludf.DUMMYFUNCTION("""COMPUTED_VALUE"""),"EDGAR REBELLON ")</f>
        <v>EDGAR REBELLON </v>
      </c>
      <c r="C2032" s="235" t="str">
        <f>IFERROR(__xludf.DUMMYFUNCTION("""COMPUTED_VALUE"""),"AMD ")</f>
        <v>AMD </v>
      </c>
      <c r="D2032" s="196" t="str">
        <f>IFERROR(__xludf.DUMMYFUNCTION("""COMPUTED_VALUE"""),"Lil Hand Modelling Clay Scented Neon Colors 10s 180g, Box of Crayons - Crayola Double (16pcs), 'Pencil, Colored (12's) Li'l Hands, 'Paper bond, 8.5""x11"" 50/pk")</f>
        <v>Lil Hand Modelling Clay Scented Neon Colors 10s 180g, Box of Crayons - Crayola Double (16pcs), 'Pencil, Colored (12's) Li'l Hands, 'Paper bond, 8.5"x11" 50/pk</v>
      </c>
      <c r="E2032" s="196" t="str">
        <f>IFERROR(__xludf.DUMMYFUNCTION("""COMPUTED_VALUE"""),"STUDENT MATERIALS FOR AY 2022-2023")</f>
        <v>STUDENT MATERIALS FOR AY 2022-2023</v>
      </c>
    </row>
    <row r="2033">
      <c r="A2033" s="234">
        <f>IFERROR(__xludf.DUMMYFUNCTION("""COMPUTED_VALUE"""),102324.0)</f>
        <v>102324</v>
      </c>
      <c r="B2033" s="235" t="str">
        <f>IFERROR(__xludf.DUMMYFUNCTION("""COMPUTED_VALUE"""),"EUGENE MASILUNGAN ")</f>
        <v>EUGENE MASILUNGAN </v>
      </c>
      <c r="C2033" s="235" t="str">
        <f>IFERROR(__xludf.DUMMYFUNCTION("""COMPUTED_VALUE"""),"CEM OFFICE")</f>
        <v>CEM OFFICE</v>
      </c>
      <c r="D2033" s="196" t="str">
        <f>IFERROR(__xludf.DUMMYFUNCTION("""COMPUTED_VALUE"""),"Vellum board short assorted color 1 ream, Vellum board long assorted color 1 ream")</f>
        <v>Vellum board short assorted color 1 ream, Vellum board long assorted color 1 ream</v>
      </c>
      <c r="E2033" s="196" t="str">
        <f>IFERROR(__xludf.DUMMYFUNCTION("""COMPUTED_VALUE"""),"Dividers for manual")</f>
        <v>Dividers for manual</v>
      </c>
    </row>
    <row r="2034">
      <c r="A2034" s="234">
        <f>IFERROR(__xludf.DUMMYFUNCTION("""COMPUTED_VALUE"""),102325.0)</f>
        <v>102325</v>
      </c>
      <c r="B2034" s="235" t="str">
        <f>IFERROR(__xludf.DUMMYFUNCTION("""COMPUTED_VALUE"""),"ELYDIA REYES ")</f>
        <v>ELYDIA REYES </v>
      </c>
      <c r="C2034" s="235" t="str">
        <f>IFERROR(__xludf.DUMMYFUNCTION("""COMPUTED_VALUE"""),"PR &amp; MARKETING")</f>
        <v>PR &amp; MARKETING</v>
      </c>
      <c r="D2034" s="196" t="str">
        <f>IFERROR(__xludf.DUMMYFUNCTION("""COMPUTED_VALUE"""),"FLOWERS FOR THE FUNERAL OF THE MOM OF ONE OF OUR ALUMNA")</f>
        <v>FLOWERS FOR THE FUNERAL OF THE MOM OF ONE OF OUR ALUMNA</v>
      </c>
      <c r="E2034" s="196" t="str">
        <f>IFERROR(__xludf.DUMMYFUNCTION("""COMPUTED_VALUE"""),"FLOWERS FOR THE FUNERAL ")</f>
        <v>FLOWERS FOR THE FUNERAL </v>
      </c>
    </row>
    <row r="2035">
      <c r="A2035" s="234">
        <f>IFERROR(__xludf.DUMMYFUNCTION("""COMPUTED_VALUE"""),102326.0)</f>
        <v>102326</v>
      </c>
      <c r="B2035" s="235" t="str">
        <f>IFERROR(__xludf.DUMMYFUNCTION("""COMPUTED_VALUE"""),"EDGAR D. REBELLON")</f>
        <v>EDGAR D. REBELLON</v>
      </c>
      <c r="C2035" s="235" t="str">
        <f>IFERROR(__xludf.DUMMYFUNCTION("""COMPUTED_VALUE"""),"AMD")</f>
        <v>AMD</v>
      </c>
      <c r="D2035" s="196" t="str">
        <f>IFERROR(__xludf.DUMMYFUNCTION("""COMPUTED_VALUE"""),"Glue, Elmer's - 130gs, Map, World (big) Political, Marker, Pilot Permanent Fine Black, Pad paper, Fortune Quiz Pad Whole, Intermediate (80 leaves),Paper, Oslo (Drawing) Fortune (20's), Paper, Construction -Asstd. Color (20pcs), Paper, Bond Long 20/pk, Pap"&amp;"er, Bond Short 20/pk, Periodic Table of Elements, Big, Ruler, Plastic - Orion 12 inches, Scissors, Students 5', Maped, Popsicle Stick, pack (100 sticks), Yarn, Yarn Asstd Color")</f>
        <v>Glue, Elmer's - 130gs, Map, World (big) Political, Marker, Pilot Permanent Fine Black, Pad paper, Fortune Quiz Pad Whole, Intermediate (80 leaves),Paper, Oslo (Drawing) Fortune (20's), Paper, Construction -Asstd. Color (20pcs), Paper, Bond Long 20/pk, Paper, Bond Short 20/pk, Periodic Table of Elements, Big, Ruler, Plastic - Orion 12 inches, Scissors, Students 5', Maped, Popsicle Stick, pack (100 sticks), Yarn, Yarn Asstd Color</v>
      </c>
      <c r="E2035" s="196" t="str">
        <f>IFERROR(__xludf.DUMMYFUNCTION("""COMPUTED_VALUE"""),"STUDENT MATERIALS FOR AY 2022-2023")</f>
        <v>STUDENT MATERIALS FOR AY 2022-2023</v>
      </c>
    </row>
    <row r="2036">
      <c r="A2036" s="234">
        <f>IFERROR(__xludf.DUMMYFUNCTION("""COMPUTED_VALUE"""),102327.0)</f>
        <v>102327</v>
      </c>
      <c r="B2036" s="235" t="str">
        <f>IFERROR(__xludf.DUMMYFUNCTION("""COMPUTED_VALUE"""),"EDGAR D. REBELLON")</f>
        <v>EDGAR D. REBELLON</v>
      </c>
      <c r="C2036" s="235" t="str">
        <f>IFERROR(__xludf.DUMMYFUNCTION("""COMPUTED_VALUE"""),"AMD")</f>
        <v>AMD</v>
      </c>
      <c r="D2036" s="196" t="str">
        <f>IFERROR(__xludf.DUMMYFUNCTION("""COMPUTED_VALUE"""),"Beads with big hole, Box of Color Poster Paints - Mightee Brilliant 20ML 12's, 'Paper, Best Buy Colored Assorted 9""x11"", 'Pen, Colored Faber Castel (10s),'Sketch Book, Landscape Non Spiral,'Water Color, Prang 16's, 'Envelope, Expanding Plastic Long Purp"&amp;"e Adventurer Push Lock")</f>
        <v>Beads with big hole, Box of Color Poster Paints - Mightee Brilliant 20ML 12's, 'Paper, Best Buy Colored Assorted 9"x11", 'Pen, Colored Faber Castel (10s),'Sketch Book, Landscape Non Spiral,'Water Color, Prang 16's, 'Envelope, Expanding Plastic Long Purpe Adventurer Push Lock</v>
      </c>
      <c r="E2036" s="196" t="str">
        <f>IFERROR(__xludf.DUMMYFUNCTION("""COMPUTED_VALUE"""),"STUDENT MATERIALS FOR AY 2022-2023")</f>
        <v>STUDENT MATERIALS FOR AY 2022-2023</v>
      </c>
    </row>
    <row r="2037">
      <c r="A2037" s="234">
        <f>IFERROR(__xludf.DUMMYFUNCTION("""COMPUTED_VALUE"""),102328.0)</f>
        <v>102328</v>
      </c>
      <c r="B2037" s="235" t="str">
        <f>IFERROR(__xludf.DUMMYFUNCTION("""COMPUTED_VALUE"""),"EDGAR D. REBELLON")</f>
        <v>EDGAR D. REBELLON</v>
      </c>
      <c r="C2037" s="235" t="str">
        <f>IFERROR(__xludf.DUMMYFUNCTION("""COMPUTED_VALUE"""),"AMD")</f>
        <v>AMD</v>
      </c>
      <c r="D2037" s="196" t="str">
        <f>IFERROR(__xludf.DUMMYFUNCTION("""COMPUTED_VALUE"""),"Paint brush - Nylon Soft Brush Flat #10, Eraser, Maped (Big)")</f>
        <v>Paint brush - Nylon Soft Brush Flat #10, Eraser, Maped (Big)</v>
      </c>
      <c r="E2037" s="196" t="str">
        <f>IFERROR(__xludf.DUMMYFUNCTION("""COMPUTED_VALUE"""),"STUDENT MATERIALS FOR AY 2022-2023")</f>
        <v>STUDENT MATERIALS FOR AY 2022-2023</v>
      </c>
    </row>
    <row r="2038">
      <c r="A2038" s="234">
        <f>IFERROR(__xludf.DUMMYFUNCTION("""COMPUTED_VALUE"""),102329.0)</f>
        <v>102329</v>
      </c>
      <c r="B2038" s="235" t="str">
        <f>IFERROR(__xludf.DUMMYFUNCTION("""COMPUTED_VALUE"""),"EDGAR D. REBELLON")</f>
        <v>EDGAR D. REBELLON</v>
      </c>
      <c r="C2038" s="235" t="str">
        <f>IFERROR(__xludf.DUMMYFUNCTION("""COMPUTED_VALUE"""),"AMD")</f>
        <v>AMD</v>
      </c>
      <c r="D2038" s="196" t="str">
        <f>IFERROR(__xludf.DUMMYFUNCTION("""COMPUTED_VALUE"""),"Booklet, Spelling SISC, Notebook, High School Mathematics Abstract Small SQ.,'Notebook, Grade School Mathematics Abstract Big Square, 'Notebook, Grade School Mathematics Abstract Small Square, 'Notebook, High School Composition Purple, 'Notebook, Writing "&amp;"SISC R/B Lines Purple Portrait, 'Notebooklet, Writing SISC Landscape Purple")</f>
        <v>Booklet, Spelling SISC, Notebook, High School Mathematics Abstract Small SQ.,'Notebook, Grade School Mathematics Abstract Big Square, 'Notebook, Grade School Mathematics Abstract Small Square, 'Notebook, High School Composition Purple, 'Notebook, Writing SISC R/B Lines Purple Portrait, 'Notebooklet, Writing SISC Landscape Purple</v>
      </c>
      <c r="E2038" s="196" t="str">
        <f>IFERROR(__xludf.DUMMYFUNCTION("""COMPUTED_VALUE"""),"STUDENT MATERIALS FOR AY 2022-2023")</f>
        <v>STUDENT MATERIALS FOR AY 2022-2023</v>
      </c>
    </row>
    <row r="2039">
      <c r="A2039" s="234">
        <f>IFERROR(__xludf.DUMMYFUNCTION("""COMPUTED_VALUE"""),102330.0)</f>
        <v>102330</v>
      </c>
      <c r="B2039" s="235" t="str">
        <f>IFERROR(__xludf.DUMMYFUNCTION("""COMPUTED_VALUE"""),"EDGAR D. REBELLON")</f>
        <v>EDGAR D. REBELLON</v>
      </c>
      <c r="C2039" s="235" t="str">
        <f>IFERROR(__xludf.DUMMYFUNCTION("""COMPUTED_VALUE"""),"AMD")</f>
        <v>AMD</v>
      </c>
      <c r="D2039" s="196" t="str">
        <f>IFERROR(__xludf.DUMMYFUNCTION("""COMPUTED_VALUE"""),"Paper, Water Color Paper Canson A4 (20pcs/pack)")</f>
        <v>Paper, Water Color Paper Canson A4 (20pcs/pack)</v>
      </c>
      <c r="E2039" s="196" t="str">
        <f>IFERROR(__xludf.DUMMYFUNCTION("""COMPUTED_VALUE"""),"STUDENT MATERIALS FOR AY 2022-2023")</f>
        <v>STUDENT MATERIALS FOR AY 2022-2023</v>
      </c>
    </row>
    <row r="2040">
      <c r="A2040" s="234">
        <f>IFERROR(__xludf.DUMMYFUNCTION("""COMPUTED_VALUE"""),102331.0)</f>
        <v>102331</v>
      </c>
      <c r="B2040" s="235" t="str">
        <f>IFERROR(__xludf.DUMMYFUNCTION("""COMPUTED_VALUE"""),"OWIE PAR")</f>
        <v>OWIE PAR</v>
      </c>
      <c r="C2040" s="235" t="str">
        <f>IFERROR(__xludf.DUMMYFUNCTION("""COMPUTED_VALUE"""),"ENGINEERING")</f>
        <v>ENGINEERING</v>
      </c>
      <c r="D2040" s="196" t="str">
        <f>IFERROR(__xludf.DUMMYFUNCTION("""COMPUTED_VALUE"""),"LED STREET LIGHT 100 WATTS-120 WATTS")</f>
        <v>LED STREET LIGHT 100 WATTS-120 WATTS</v>
      </c>
      <c r="E2040" s="196" t="str">
        <f>IFERROR(__xludf.DUMMYFUNCTION("""COMPUTED_VALUE"""),"REPLACEMENT OF BUSTED LED  PARKING/ STREET  LIGHT IN LSHAPE BUILDING")</f>
        <v>REPLACEMENT OF BUSTED LED  PARKING/ STREET  LIGHT IN LSHAPE BUILDING</v>
      </c>
    </row>
    <row r="2041">
      <c r="A2041" s="234">
        <f>IFERROR(__xludf.DUMMYFUNCTION("""COMPUTED_VALUE"""),102332.0)</f>
        <v>102332</v>
      </c>
      <c r="B2041" s="235" t="str">
        <f>IFERROR(__xludf.DUMMYFUNCTION("""COMPUTED_VALUE"""),"KENNETH ANCERMO")</f>
        <v>KENNETH ANCERMO</v>
      </c>
      <c r="C2041" s="235" t="str">
        <f>IFERROR(__xludf.DUMMYFUNCTION("""COMPUTED_VALUE"""),"AMD")</f>
        <v>AMD</v>
      </c>
      <c r="D2041" s="196" t="str">
        <f>IFERROR(__xludf.DUMMYFUNCTION("""COMPUTED_VALUE"""),"PAPER SHREDDER (HEAVY DUTY) ADMIRAL S-828")</f>
        <v>PAPER SHREDDER (HEAVY DUTY) ADMIRAL S-828</v>
      </c>
      <c r="E2041" s="196" t="str">
        <f>IFERROR(__xludf.DUMMYFUNCTION("""COMPUTED_VALUE"""),"REPLACEMENT OF THE OLD SHREDDER (CAN NOT BE REPAIRED ALREADY)")</f>
        <v>REPLACEMENT OF THE OLD SHREDDER (CAN NOT BE REPAIRED ALREADY)</v>
      </c>
    </row>
    <row r="2042">
      <c r="A2042" s="234">
        <f>IFERROR(__xludf.DUMMYFUNCTION("""COMPUTED_VALUE"""),102333.0)</f>
        <v>102333</v>
      </c>
      <c r="B2042" s="235" t="str">
        <f>IFERROR(__xludf.DUMMYFUNCTION("""COMPUTED_VALUE"""),"LIZA JIMENEZ")</f>
        <v>LIZA JIMENEZ</v>
      </c>
      <c r="C2042" s="235" t="str">
        <f>IFERROR(__xludf.DUMMYFUNCTION("""COMPUTED_VALUE"""),"NURSING")</f>
        <v>NURSING</v>
      </c>
      <c r="D2042" s="196" t="str">
        <f>IFERROR(__xludf.DUMMYFUNCTION("""COMPUTED_VALUE"""),"NURSNG LAMP, NAME PLATE, GREEN SATIN RIBBON, WHITE CANDLE ")</f>
        <v>NURSNG LAMP, NAME PLATE, GREEN SATIN RIBBON, WHITE CANDLE </v>
      </c>
      <c r="E2042" s="196" t="str">
        <f>IFERROR(__xludf.DUMMYFUNCTION("""COMPUTED_VALUE"""),"FOR CAPPING OF BSN 2 ON APRIL 2,2022")</f>
        <v>FOR CAPPING OF BSN 2 ON APRIL 2,2022</v>
      </c>
    </row>
    <row r="2043">
      <c r="A2043" s="234">
        <f>IFERROR(__xludf.DUMMYFUNCTION("""COMPUTED_VALUE"""),102334.0)</f>
        <v>102334</v>
      </c>
      <c r="B2043" s="235" t="str">
        <f>IFERROR(__xludf.DUMMYFUNCTION("""COMPUTED_VALUE"""),"KENNETH ANCERMO")</f>
        <v>KENNETH ANCERMO</v>
      </c>
      <c r="C2043" s="235" t="str">
        <f>IFERROR(__xludf.DUMMYFUNCTION("""COMPUTED_VALUE"""),"AMD")</f>
        <v>AMD</v>
      </c>
      <c r="D2043" s="196" t="str">
        <f>IFERROR(__xludf.DUMMYFUNCTION("""COMPUTED_VALUE"""),"Scissors, for Employee (6inches), Ballpen, Panda Blue, Inks, Trodat Purple")</f>
        <v>Scissors, for Employee (6inches), Ballpen, Panda Blue, Inks, Trodat Purple</v>
      </c>
      <c r="E2043" s="196" t="str">
        <f>IFERROR(__xludf.DUMMYFUNCTION("""COMPUTED_VALUE"""),"Stock replenishment of OSSUP")</f>
        <v>Stock replenishment of OSSUP</v>
      </c>
    </row>
    <row r="2044">
      <c r="A2044" s="234">
        <f>IFERROR(__xludf.DUMMYFUNCTION("""COMPUTED_VALUE"""),102335.0)</f>
        <v>102335</v>
      </c>
      <c r="B2044" s="235" t="str">
        <f>IFERROR(__xludf.DUMMYFUNCTION("""COMPUTED_VALUE"""),"OWIE PAR")</f>
        <v>OWIE PAR</v>
      </c>
      <c r="C2044" s="235" t="str">
        <f>IFERROR(__xludf.DUMMYFUNCTION("""COMPUTED_VALUE"""),"ADMIN")</f>
        <v>ADMIN</v>
      </c>
      <c r="D2044" s="196" t="str">
        <f>IFERROR(__xludf.DUMMYFUNCTION("""COMPUTED_VALUE"""),"PVC PIPE # 2 ORANGE, PVC TEE # 2, PVC ELBOW #2, PVC CLEAN OUT #2, 1 BAG CEMENT ")</f>
        <v>PVC PIPE # 2 ORANGE, PVC TEE # 2, PVC ELBOW #2, PVC CLEAN OUT #2, 1 BAG CEMENT </v>
      </c>
      <c r="E2044" s="196" t="str">
        <f>IFERROR(__xludf.DUMMYFUNCTION("""COMPUTED_VALUE"""),"HE KITCHEN SINK DRAIN PIPE REPAIR (LUX BUILDING)")</f>
        <v>HE KITCHEN SINK DRAIN PIPE REPAIR (LUX BUILDING)</v>
      </c>
    </row>
    <row r="2045">
      <c r="A2045" s="234">
        <f>IFERROR(__xludf.DUMMYFUNCTION("""COMPUTED_VALUE"""),102336.0)</f>
        <v>102336</v>
      </c>
      <c r="B2045" s="235" t="str">
        <f>IFERROR(__xludf.DUMMYFUNCTION("""COMPUTED_VALUE"""),"ALFA DE LEON")</f>
        <v>ALFA DE LEON</v>
      </c>
      <c r="C2045" s="235" t="str">
        <f>IFERROR(__xludf.DUMMYFUNCTION("""COMPUTED_VALUE"""),"ADMIN - MUNICH")</f>
        <v>ADMIN - MUNICH</v>
      </c>
      <c r="D2045" s="196" t="str">
        <f>IFERROR(__xludf.DUMMYFUNCTION("""COMPUTED_VALUE"""),"EXHAUST FAN 12"" omni")</f>
        <v>EXHAUST FAN 12" omni</v>
      </c>
      <c r="E2045" s="196" t="str">
        <f>IFERROR(__xludf.DUMMYFUNCTION("""COMPUTED_VALUE"""),"TO BE INSTALLED IN BOYS AND GIRLS RESTROOM DUE TO FOUL ODOR AND STINKY")</f>
        <v>TO BE INSTALLED IN BOYS AND GIRLS RESTROOM DUE TO FOUL ODOR AND STINKY</v>
      </c>
    </row>
    <row r="2046">
      <c r="A2046" s="234">
        <f>IFERROR(__xludf.DUMMYFUNCTION("""COMPUTED_VALUE"""),102337.0)</f>
        <v>102337</v>
      </c>
      <c r="B2046" s="235" t="str">
        <f>IFERROR(__xludf.DUMMYFUNCTION("""COMPUTED_VALUE"""),"OWIE PAR")</f>
        <v>OWIE PAR</v>
      </c>
      <c r="C2046" s="235" t="str">
        <f>IFERROR(__xludf.DUMMYFUNCTION("""COMPUTED_VALUE"""),"ADMIN")</f>
        <v>ADMIN</v>
      </c>
      <c r="D2046" s="196" t="str">
        <f>IFERROR(__xludf.DUMMYFUNCTION("""COMPUTED_VALUE"""),"INDOOR PCB (PRINTED CIRCUIT BOARD), MODEL CS TR4KB4Q6 (C/O POLARIS)")</f>
        <v>INDOOR PCB (PRINTED CIRCUIT BOARD), MODEL CS TR4KB4Q6 (C/O POLARIS)</v>
      </c>
      <c r="E2046" s="196" t="str">
        <f>IFERROR(__xludf.DUMMYFUNCTION("""COMPUTED_VALUE"""),"FOR ADMIN OFFICE ")</f>
        <v>FOR ADMIN OFFICE </v>
      </c>
    </row>
    <row r="2047">
      <c r="A2047" s="234">
        <f>IFERROR(__xludf.DUMMYFUNCTION("""COMPUTED_VALUE"""),102338.0)</f>
        <v>102338</v>
      </c>
      <c r="B2047" s="235" t="str">
        <f>IFERROR(__xludf.DUMMYFUNCTION("""COMPUTED_VALUE"""),"OWIE PAR ")</f>
        <v>OWIE PAR </v>
      </c>
      <c r="C2047" s="235" t="str">
        <f>IFERROR(__xludf.DUMMYFUNCTION("""COMPUTED_VALUE"""),"ADMIN")</f>
        <v>ADMIN</v>
      </c>
      <c r="D2047" s="196" t="str">
        <f>IFERROR(__xludf.DUMMYFUNCTION("""COMPUTED_VALUE"""),"THHN WIRE #6X7, PVC PIPE # ORANGE (ELECTRICAL), PVC LONG BENT ELBOW #2, G.I. WIRE #16")</f>
        <v>THHN WIRE #6X7, PVC PIPE # ORANGE (ELECTRICAL), PVC LONG BENT ELBOW #2, G.I. WIRE #16</v>
      </c>
      <c r="E2047" s="196" t="str">
        <f>IFERROR(__xludf.DUMMYFUNCTION("""COMPUTED_VALUE"""),"MONARCH'S PARK ELECTRICAL PROVISION AND REPLACEMENT OF ELECTRICAL CONDUIT OF CAFE FROM RSC TO PVC (ALONG  FOOD COURT)")</f>
        <v>MONARCH'S PARK ELECTRICAL PROVISION AND REPLACEMENT OF ELECTRICAL CONDUIT OF CAFE FROM RSC TO PVC (ALONG  FOOD COURT)</v>
      </c>
    </row>
    <row r="2048">
      <c r="A2048" s="234">
        <f>IFERROR(__xludf.DUMMYFUNCTION("""COMPUTED_VALUE"""),102339.0)</f>
        <v>102339</v>
      </c>
      <c r="B2048" s="235" t="str">
        <f>IFERROR(__xludf.DUMMYFUNCTION("""COMPUTED_VALUE"""),"KENNETH ANCERMO")</f>
        <v>KENNETH ANCERMO</v>
      </c>
      <c r="C2048" s="235" t="str">
        <f>IFERROR(__xludf.DUMMYFUNCTION("""COMPUTED_VALUE"""),"AMD")</f>
        <v>AMD</v>
      </c>
      <c r="D2048" s="196" t="str">
        <f>IFERROR(__xludf.DUMMYFUNCTION("""COMPUTED_VALUE"""),"Reusable Organizer draw string pouch ")</f>
        <v>Reusable Organizer draw string pouch </v>
      </c>
      <c r="E2048" s="196" t="str">
        <f>IFERROR(__xludf.DUMMYFUNCTION("""COMPUTED_VALUE"""),"Additional pouch to be used for the welcome kit of students for HYVOLT 3rd Term")</f>
        <v>Additional pouch to be used for the welcome kit of students for HYVOLT 3rd Term</v>
      </c>
    </row>
    <row r="2049">
      <c r="A2049" s="234">
        <f>IFERROR(__xludf.DUMMYFUNCTION("""COMPUTED_VALUE"""),102340.0)</f>
        <v>102340</v>
      </c>
      <c r="B2049" s="235" t="str">
        <f>IFERROR(__xludf.DUMMYFUNCTION("""COMPUTED_VALUE"""),"KENNETH ANCERMO")</f>
        <v>KENNETH ANCERMO</v>
      </c>
      <c r="C2049" s="235" t="str">
        <f>IFERROR(__xludf.DUMMYFUNCTION("""COMPUTED_VALUE"""),"AMD")</f>
        <v>AMD</v>
      </c>
      <c r="D2049" s="196" t="str">
        <f>IFERROR(__xludf.DUMMYFUNCTION("""COMPUTED_VALUE"""),"Emergency box")</f>
        <v>Emergency box</v>
      </c>
      <c r="E2049" s="196" t="str">
        <f>IFERROR(__xludf.DUMMYFUNCTION("""COMPUTED_VALUE"""),"for safety- to be placed in the MRF ")</f>
        <v>for safety- to be placed in the MRF </v>
      </c>
    </row>
    <row r="2050">
      <c r="A2050" s="234">
        <f>IFERROR(__xludf.DUMMYFUNCTION("""COMPUTED_VALUE"""),102341.0)</f>
        <v>102341</v>
      </c>
      <c r="B2050" s="235" t="str">
        <f>IFERROR(__xludf.DUMMYFUNCTION("""COMPUTED_VALUE"""),"ROY MARK RECOMENDABLE ")</f>
        <v>ROY MARK RECOMENDABLE </v>
      </c>
      <c r="C2050" s="235" t="str">
        <f>IFERROR(__xludf.DUMMYFUNCTION("""COMPUTED_VALUE"""),"REGISTRATION")</f>
        <v>REGISTRATION</v>
      </c>
      <c r="D2050" s="196" t="str">
        <f>IFERROR(__xludf.DUMMYFUNCTION("""COMPUTED_VALUE"""),"COLLEGE DIPLOMA HOLDER (A4), BASIC ED DIPLOMA HOLDER  (SHORT)")</f>
        <v>COLLEGE DIPLOMA HOLDER (A4), BASIC ED DIPLOMA HOLDER  (SHORT)</v>
      </c>
      <c r="E2050" s="196" t="str">
        <f>IFERROR(__xludf.DUMMYFUNCTION("""COMPUTED_VALUE"""),"Preparation for Graduation on July 2022")</f>
        <v>Preparation for Graduation on July 2022</v>
      </c>
    </row>
    <row r="2051">
      <c r="A2051" s="234">
        <f>IFERROR(__xludf.DUMMYFUNCTION("""COMPUTED_VALUE"""),102342.0)</f>
        <v>102342</v>
      </c>
      <c r="B2051" s="235" t="str">
        <f>IFERROR(__xludf.DUMMYFUNCTION("""COMPUTED_VALUE"""),"EDGAR D. REBELLON")</f>
        <v>EDGAR D. REBELLON</v>
      </c>
      <c r="C2051" s="235" t="str">
        <f>IFERROR(__xludf.DUMMYFUNCTION("""COMPUTED_VALUE"""),"AMD")</f>
        <v>AMD</v>
      </c>
      <c r="D2051" s="196" t="str">
        <f>IFERROR(__xludf.DUMMYFUNCTION("""COMPUTED_VALUE"""),"TRODAT FOR: EDGAR D. REBELLON, RONALDO D. VERDE, ARCH. TEMOTIE JOHN L. DIOSAY")</f>
        <v>TRODAT FOR: EDGAR D. REBELLON, RONALDO D. VERDE, ARCH. TEMOTIE JOHN L. DIOSAY</v>
      </c>
      <c r="E2051" s="196" t="str">
        <f>IFERROR(__xludf.DUMMYFUNCTION("""COMPUTED_VALUE"""),"FOR OFFICE USE")</f>
        <v>FOR OFFICE USE</v>
      </c>
    </row>
    <row r="2052">
      <c r="A2052" s="234">
        <f>IFERROR(__xludf.DUMMYFUNCTION("""COMPUTED_VALUE"""),102343.0)</f>
        <v>102343</v>
      </c>
      <c r="B2052" s="235" t="str">
        <f>IFERROR(__xludf.DUMMYFUNCTION("""COMPUTED_VALUE"""),"GARRY BATAO-EY")</f>
        <v>GARRY BATAO-EY</v>
      </c>
      <c r="C2052" s="235" t="str">
        <f>IFERROR(__xludf.DUMMYFUNCTION("""COMPUTED_VALUE"""),"AMD")</f>
        <v>AMD</v>
      </c>
      <c r="D2052" s="196" t="str">
        <f>IFERROR(__xludf.DUMMYFUNCTION("""COMPUTED_VALUE"""),"COMPUTER SET: ACER - COMPUTER UNIT, MONITORS AND OTHER PERIPHERALS")</f>
        <v>COMPUTER SET: ACER - COMPUTER UNIT, MONITORS AND OTHER PERIPHERALS</v>
      </c>
      <c r="E2052" s="196" t="str">
        <f>IFERROR(__xludf.DUMMYFUNCTION("""COMPUTED_VALUE"""),"COMPUTER UNITS FOR COMPUTER LABORATORY 1 IN LUX")</f>
        <v>COMPUTER UNITS FOR COMPUTER LABORATORY 1 IN LUX</v>
      </c>
    </row>
    <row r="2053">
      <c r="A2053" s="234">
        <f>IFERROR(__xludf.DUMMYFUNCTION("""COMPUTED_VALUE"""),102344.0)</f>
        <v>102344</v>
      </c>
      <c r="B2053" s="235" t="str">
        <f>IFERROR(__xludf.DUMMYFUNCTION("""COMPUTED_VALUE"""),"OWIE PAR")</f>
        <v>OWIE PAR</v>
      </c>
      <c r="C2053" s="235" t="str">
        <f>IFERROR(__xludf.DUMMYFUNCTION("""COMPUTED_VALUE"""),"AMD")</f>
        <v>AMD</v>
      </c>
      <c r="D2053" s="196" t="str">
        <f>IFERROR(__xludf.DUMMYFUNCTION("""COMPUTED_VALUE"""),"ACU PCB OUT DOOR UNIT # 10, MODEL- CU-D50DKQ7")</f>
        <v>ACU PCB OUT DOOR UNIT # 10, MODEL- CU-D50DKQ7</v>
      </c>
      <c r="E2053" s="196" t="str">
        <f>IFERROR(__xludf.DUMMYFUNCTION("""COMPUTED_VALUE"""),"FOR TROPICAL GYM BASKETBALL COURT")</f>
        <v>FOR TROPICAL GYM BASKETBALL COURT</v>
      </c>
    </row>
    <row r="2054">
      <c r="A2054" s="234">
        <f>IFERROR(__xludf.DUMMYFUNCTION("""COMPUTED_VALUE"""),102345.0)</f>
        <v>102345</v>
      </c>
      <c r="B2054" s="235" t="str">
        <f>IFERROR(__xludf.DUMMYFUNCTION("""COMPUTED_VALUE"""),"EDGAR REBELLON")</f>
        <v>EDGAR REBELLON</v>
      </c>
      <c r="C2054" s="235" t="str">
        <f>IFERROR(__xludf.DUMMYFUNCTION("""COMPUTED_VALUE"""),"AMD")</f>
        <v>AMD</v>
      </c>
      <c r="D2054" s="196" t="str">
        <f>IFERROR(__xludf.DUMMYFUNCTION("""COMPUTED_VALUE"""),"Envelope, leather SISC Long w/handle (purple), Envelope, leather SISC Long w/handle (navy blue)")</f>
        <v>Envelope, leather SISC Long w/handle (purple), Envelope, leather SISC Long w/handle (navy blue)</v>
      </c>
      <c r="E2054" s="196" t="str">
        <f>IFERROR(__xludf.DUMMYFUNCTION("""COMPUTED_VALUE"""),"Student materials for AY 2022-2023")</f>
        <v>Student materials for AY 2022-2023</v>
      </c>
    </row>
    <row r="2055">
      <c r="A2055" s="234">
        <f>IFERROR(__xludf.DUMMYFUNCTION("""COMPUTED_VALUE"""),102346.0)</f>
        <v>102346</v>
      </c>
      <c r="B2055" s="235" t="str">
        <f>IFERROR(__xludf.DUMMYFUNCTION("""COMPUTED_VALUE"""),"KENNETH ANCERMO")</f>
        <v>KENNETH ANCERMO</v>
      </c>
      <c r="C2055" s="235" t="str">
        <f>IFERROR(__xludf.DUMMYFUNCTION("""COMPUTED_VALUE"""),"AMD")</f>
        <v>AMD</v>
      </c>
      <c r="D2055" s="196" t="str">
        <f>IFERROR(__xludf.DUMMYFUNCTION("""COMPUTED_VALUE"""),"Hard Disk 1TB")</f>
        <v>Hard Disk 1TB</v>
      </c>
      <c r="E2055" s="196" t="str">
        <f>IFERROR(__xludf.DUMMYFUNCTION("""COMPUTED_VALUE"""),"STOCK REPLENISHMENT FOR MIS ")</f>
        <v>STOCK REPLENISHMENT FOR MIS </v>
      </c>
    </row>
    <row r="2056">
      <c r="A2056" s="234">
        <f>IFERROR(__xludf.DUMMYFUNCTION("""COMPUTED_VALUE"""),102347.0)</f>
        <v>102347</v>
      </c>
      <c r="B2056" s="235" t="str">
        <f>IFERROR(__xludf.DUMMYFUNCTION("""COMPUTED_VALUE"""),"SHEREE ESPINOSA")</f>
        <v>SHEREE ESPINOSA</v>
      </c>
      <c r="C2056" s="235" t="str">
        <f>IFERROR(__xludf.DUMMYFUNCTION("""COMPUTED_VALUE"""),"CEM OFFICE")</f>
        <v>CEM OFFICE</v>
      </c>
      <c r="D2056" s="196" t="str">
        <f>IFERROR(__xludf.DUMMYFUNCTION("""COMPUTED_VALUE"""),"DSLR CAMERA - NIKON D3500")</f>
        <v>DSLR CAMERA - NIKON D3500</v>
      </c>
      <c r="E2056" s="196" t="str">
        <f>IFERROR(__xludf.DUMMYFUNCTION("""COMPUTED_VALUE"""),"FOR CEM AND PRESIDENT'S OFFICE USE ")</f>
        <v>FOR CEM AND PRESIDENT'S OFFICE USE </v>
      </c>
    </row>
    <row r="2057">
      <c r="A2057" s="234">
        <f>IFERROR(__xludf.DUMMYFUNCTION("""COMPUTED_VALUE"""),102348.0)</f>
        <v>102348</v>
      </c>
      <c r="B2057" s="235" t="str">
        <f>IFERROR(__xludf.DUMMYFUNCTION("""COMPUTED_VALUE"""),"JORGE BALELA ")</f>
        <v>JORGE BALELA </v>
      </c>
      <c r="C2057" s="235" t="str">
        <f>IFERROR(__xludf.DUMMYFUNCTION("""COMPUTED_VALUE"""),"SFO")</f>
        <v>SFO</v>
      </c>
      <c r="D2057" s="196" t="str">
        <f>IFERROR(__xludf.DUMMYFUNCTION("""COMPUTED_VALUE"""),"HOUSE NUMBER ")</f>
        <v>HOUSE NUMBER </v>
      </c>
      <c r="E2057" s="196" t="str">
        <f>IFERROR(__xludf.DUMMYFUNCTION("""COMPUTED_VALUE"""),"FOR SFO BINDOY HOUSE NUMBERS")</f>
        <v>FOR SFO BINDOY HOUSE NUMBERS</v>
      </c>
    </row>
    <row r="2058">
      <c r="A2058" s="234">
        <f>IFERROR(__xludf.DUMMYFUNCTION("""COMPUTED_VALUE"""),102349.0)</f>
        <v>102349</v>
      </c>
      <c r="B2058" s="235" t="str">
        <f>IFERROR(__xludf.DUMMYFUNCTION("""COMPUTED_VALUE"""),"ADRIAN DE GUINTO ")</f>
        <v>ADRIAN DE GUINTO </v>
      </c>
      <c r="C2058" s="235" t="str">
        <f>IFERROR(__xludf.DUMMYFUNCTION("""COMPUTED_VALUE"""),"PR &amp; MARKETING")</f>
        <v>PR &amp; MARKETING</v>
      </c>
      <c r="D2058" s="196" t="str">
        <f>IFERROR(__xludf.DUMMYFUNCTION("""COMPUTED_VALUE"""),"GENERIC FLYER (5.5 IN X 8.5 IN (W X H ) ")</f>
        <v>GENERIC FLYER (5.5 IN X 8.5 IN (W X H ) </v>
      </c>
      <c r="E2058" s="196" t="str">
        <f>IFERROR(__xludf.DUMMYFUNCTION("""COMPUTED_VALUE"""),"FOR MARKETING PURPOSE ")</f>
        <v>FOR MARKETING PURPOSE </v>
      </c>
    </row>
    <row r="2059">
      <c r="A2059" s="234">
        <f>IFERROR(__xludf.DUMMYFUNCTION("""COMPUTED_VALUE"""),102350.0)</f>
        <v>102350</v>
      </c>
      <c r="B2059" s="235" t="str">
        <f>IFERROR(__xludf.DUMMYFUNCTION("""COMPUTED_VALUE"""),"KENNETH ANCERMO ")</f>
        <v>KENNETH ANCERMO </v>
      </c>
      <c r="C2059" s="235" t="str">
        <f>IFERROR(__xludf.DUMMYFUNCTION("""COMPUTED_VALUE"""),"AMD ")</f>
        <v>AMD </v>
      </c>
      <c r="D2059" s="196" t="str">
        <f>IFERROR(__xludf.DUMMYFUNCTION("""COMPUTED_VALUE"""),"Headset Rapoo H100 with Noise Cancelling Mic")</f>
        <v>Headset Rapoo H100 with Noise Cancelling Mic</v>
      </c>
      <c r="E2059" s="196" t="str">
        <f>IFERROR(__xludf.DUMMYFUNCTION("""COMPUTED_VALUE"""),"MIS Stock replenishment ")</f>
        <v>MIS Stock replenishment </v>
      </c>
    </row>
    <row r="2060">
      <c r="A2060" s="234">
        <f>IFERROR(__xludf.DUMMYFUNCTION("""COMPUTED_VALUE"""),102351.0)</f>
        <v>102351</v>
      </c>
      <c r="B2060" s="235" t="str">
        <f>IFERROR(__xludf.DUMMYFUNCTION("""COMPUTED_VALUE"""),"MELISSA ORDOÑO")</f>
        <v>MELISSA ORDOÑO</v>
      </c>
      <c r="C2060" s="235" t="str">
        <f>IFERROR(__xludf.DUMMYFUNCTION("""COMPUTED_VALUE"""),"LIBRARY BASIC ED")</f>
        <v>LIBRARY BASIC ED</v>
      </c>
      <c r="D2060" s="196" t="str">
        <f>IFERROR(__xludf.DUMMYFUNCTION("""COMPUTED_VALUE"""),"BOOK - MANAGEMENT CASES: THRIVING ORGANIZATION IN THE NEW NORMAL")</f>
        <v>BOOK - MANAGEMENT CASES: THRIVING ORGANIZATION IN THE NEW NORMAL</v>
      </c>
      <c r="E2060" s="196" t="str">
        <f>IFERROR(__xludf.DUMMYFUNCTION("""COMPUTED_VALUE"""),"FOR FACULTY AND MANAGEMENT USE. ")</f>
        <v>FOR FACULTY AND MANAGEMENT USE. </v>
      </c>
    </row>
    <row r="2061">
      <c r="A2061" s="234">
        <f>IFERROR(__xludf.DUMMYFUNCTION("""COMPUTED_VALUE"""),102352.0)</f>
        <v>102352</v>
      </c>
      <c r="B2061" s="235" t="str">
        <f>IFERROR(__xludf.DUMMYFUNCTION("""COMPUTED_VALUE"""),"MELISSA ORDOÑO")</f>
        <v>MELISSA ORDOÑO</v>
      </c>
      <c r="C2061" s="235" t="str">
        <f>IFERROR(__xludf.DUMMYFUNCTION("""COMPUTED_VALUE"""),"LIBRARY BASIC ED")</f>
        <v>LIBRARY BASIC ED</v>
      </c>
      <c r="D2061" s="196" t="str">
        <f>IFERROR(__xludf.DUMMYFUNCTION("""COMPUTED_VALUE"""),"RISING WITH FILIPINO")</f>
        <v>RISING WITH FILIPINO</v>
      </c>
      <c r="E2061" s="196" t="str">
        <f>IFERROR(__xludf.DUMMYFUNCTION("""COMPUTED_VALUE"""),"LIBRARY COPY - LIBRARY COLLECTION (FOR STUDENTS, FACULTY AND STAFF USE)")</f>
        <v>LIBRARY COPY - LIBRARY COLLECTION (FOR STUDENTS, FACULTY AND STAFF USE)</v>
      </c>
    </row>
    <row r="2062">
      <c r="A2062" s="234">
        <f>IFERROR(__xludf.DUMMYFUNCTION("""COMPUTED_VALUE"""),102353.0)</f>
        <v>102353</v>
      </c>
      <c r="B2062" s="235" t="str">
        <f>IFERROR(__xludf.DUMMYFUNCTION("""COMPUTED_VALUE"""),"EDGAR REBELLON")</f>
        <v>EDGAR REBELLON</v>
      </c>
      <c r="C2062" s="235" t="str">
        <f>IFERROR(__xludf.DUMMYFUNCTION("""COMPUTED_VALUE"""),"AMD")</f>
        <v>AMD</v>
      </c>
      <c r="D2062" s="196" t="str">
        <f>IFERROR(__xludf.DUMMYFUNCTION("""COMPUTED_VALUE"""),"TYVEK CHEMICAL RESISTANCE COVERALLS, WATER SOCKS, SPILLOWS, BIO-FLUIDS ABSORBENT, MERCURY CLEAN UP KIT, BUCKETS, POLYEETHYLENE BAGS, BIOMEDICAL WASTE BAGS ")</f>
        <v>TYVEK CHEMICAL RESISTANCE COVERALLS, WATER SOCKS, SPILLOWS, BIO-FLUIDS ABSORBENT, MERCURY CLEAN UP KIT, BUCKETS, POLYEETHYLENE BAGS, BIOMEDICAL WASTE BAGS </v>
      </c>
      <c r="E2062" s="196" t="str">
        <f>IFERROR(__xludf.DUMMYFUNCTION("""COMPUTED_VALUE"""),"FOR MRF EMERGENCY KIT")</f>
        <v>FOR MRF EMERGENCY KIT</v>
      </c>
    </row>
    <row r="2063">
      <c r="A2063" s="234">
        <f>IFERROR(__xludf.DUMMYFUNCTION("""COMPUTED_VALUE"""),102354.0)</f>
        <v>102354</v>
      </c>
      <c r="B2063" s="235" t="str">
        <f>IFERROR(__xludf.DUMMYFUNCTION("""COMPUTED_VALUE"""),"ADRIAN DE GUINTO ")</f>
        <v>ADRIAN DE GUINTO </v>
      </c>
      <c r="C2063" s="235" t="str">
        <f>IFERROR(__xludf.DUMMYFUNCTION("""COMPUTED_VALUE"""),"AMD")</f>
        <v>AMD</v>
      </c>
      <c r="D2063" s="196" t="str">
        <f>IFERROR(__xludf.DUMMYFUNCTION("""COMPUTED_VALUE"""),"ISO TARP (6.5 X 13.5 FT), ISO STANDEES (2 X 6 FT) 3 PCS. FOR SISC, 1 PC FOR SISFU)")</f>
        <v>ISO TARP (6.5 X 13.5 FT), ISO STANDEES (2 X 6 FT) 3 PCS. FOR SISC, 1 PC FOR SISFU)</v>
      </c>
      <c r="E2063" s="196" t="str">
        <f>IFERROR(__xludf.DUMMYFUNCTION("""COMPUTED_VALUE"""),"FOR ISO ANNOUNCEMENT ")</f>
        <v>FOR ISO ANNOUNCEMENT </v>
      </c>
    </row>
    <row r="2064">
      <c r="A2064" s="234">
        <f>IFERROR(__xludf.DUMMYFUNCTION("""COMPUTED_VALUE"""),102355.0)</f>
        <v>102355</v>
      </c>
      <c r="B2064" s="235" t="str">
        <f>IFERROR(__xludf.DUMMYFUNCTION("""COMPUTED_VALUE"""),"KENNETH ANCERMO")</f>
        <v>KENNETH ANCERMO</v>
      </c>
      <c r="C2064" s="235" t="str">
        <f>IFERROR(__xludf.DUMMYFUNCTION("""COMPUTED_VALUE"""),"AMD")</f>
        <v>AMD</v>
      </c>
      <c r="D2064" s="196" t="str">
        <f>IFERROR(__xludf.DUMMYFUNCTION("""COMPUTED_VALUE"""),"Frame, Certificate Glass 8.5X11, Frame, Certificate Ordinary - Brown 8.5""X 11""")</f>
        <v>Frame, Certificate Glass 8.5X11, Frame, Certificate Ordinary - Brown 8.5"X 11"</v>
      </c>
      <c r="E2064" s="196" t="str">
        <f>IFERROR(__xludf.DUMMYFUNCTION("""COMPUTED_VALUE"""),"OSSUP STOCK REPLENISHMENT ")</f>
        <v>OSSUP STOCK REPLENISHMENT </v>
      </c>
    </row>
    <row r="2065">
      <c r="A2065" s="234">
        <f>IFERROR(__xludf.DUMMYFUNCTION("""COMPUTED_VALUE"""),102356.0)</f>
        <v>102356</v>
      </c>
      <c r="B2065" s="235" t="str">
        <f>IFERROR(__xludf.DUMMYFUNCTION("""COMPUTED_VALUE"""),"OWIE PAR ")</f>
        <v>OWIE PAR </v>
      </c>
      <c r="C2065" s="235" t="str">
        <f>IFERROR(__xludf.DUMMYFUNCTION("""COMPUTED_VALUE"""),"ENGINEERING")</f>
        <v>ENGINEERING</v>
      </c>
      <c r="D2065" s="196" t="str">
        <f>IFERROR(__xludf.DUMMYFUNCTION("""COMPUTED_VALUE"""),"3.0 HP CEILING CASSETTE, PAMASONIC WITH WIRELESS REMOTE CONTROLLER FCU MODEL- S24PU3Q6, ACCU MODEL- U24PU3Q6")</f>
        <v>3.0 HP CEILING CASSETTE, PAMASONIC WITH WIRELESS REMOTE CONTROLLER FCU MODEL- S24PU3Q6, ACCU MODEL- U24PU3Q6</v>
      </c>
      <c r="E2065" s="196" t="str">
        <f>IFERROR(__xludf.DUMMYFUNCTION("""COMPUTED_VALUE"""),"FOR COLLEGE STUDENT AFFAIRS CENTER REPLACEMENT")</f>
        <v>FOR COLLEGE STUDENT AFFAIRS CENTER REPLACEMENT</v>
      </c>
    </row>
    <row r="2066">
      <c r="A2066" s="234">
        <f>IFERROR(__xludf.DUMMYFUNCTION("""COMPUTED_VALUE"""),102357.0)</f>
        <v>102357</v>
      </c>
      <c r="B2066" s="235" t="str">
        <f>IFERROR(__xludf.DUMMYFUNCTION("""COMPUTED_VALUE"""),"OWIE PAR ")</f>
        <v>OWIE PAR </v>
      </c>
      <c r="C2066" s="235" t="str">
        <f>IFERROR(__xludf.DUMMYFUNCTION("""COMPUTED_VALUE"""),"ENGINEERING")</f>
        <v>ENGINEERING</v>
      </c>
      <c r="D2066" s="196" t="str">
        <f>IFERROR(__xludf.DUMMYFUNCTION("""COMPUTED_VALUE"""),"5.0 HP CEILING CASSETTE ACU PANASONIC WITH WIRELESS REMOTE CONTROLLER. R-32 REFRIGERANT, FCU MODEL- S43PU3Q6, ACCU MODEL - U43PU3Q6")</f>
        <v>5.0 HP CEILING CASSETTE ACU PANASONIC WITH WIRELESS REMOTE CONTROLLER. R-32 REFRIGERANT, FCU MODEL- S43PU3Q6, ACCU MODEL - U43PU3Q6</v>
      </c>
      <c r="E2066" s="196" t="str">
        <f>IFERROR(__xludf.DUMMYFUNCTION("""COMPUTED_VALUE"""),"REPLACEMENT ACU FOR TAYLOR CENTER ")</f>
        <v>REPLACEMENT ACU FOR TAYLOR CENTER </v>
      </c>
    </row>
    <row r="2067">
      <c r="A2067" s="234">
        <f>IFERROR(__xludf.DUMMYFUNCTION("""COMPUTED_VALUE"""),102358.0)</f>
        <v>102358</v>
      </c>
      <c r="B2067" s="235" t="str">
        <f>IFERROR(__xludf.DUMMYFUNCTION("""COMPUTED_VALUE"""),"OWIE PAR ")</f>
        <v>OWIE PAR </v>
      </c>
      <c r="C2067" s="235" t="str">
        <f>IFERROR(__xludf.DUMMYFUNCTION("""COMPUTED_VALUE"""),"ENGINEERING")</f>
        <v>ENGINEERING</v>
      </c>
      <c r="D2067" s="196" t="str">
        <f>IFERROR(__xludf.DUMMYFUNCTION("""COMPUTED_VALUE"""),"FIRE EXTINGUISHER DRY CHEMICAL 10LBS")</f>
        <v>FIRE EXTINGUISHER DRY CHEMICAL 10LBS</v>
      </c>
      <c r="E2067" s="196" t="str">
        <f>IFERROR(__xludf.DUMMYFUNCTION("""COMPUTED_VALUE"""),"FOR SAFETY PURPOSES INLAUREL'S AND TWO MANAGEMENT HOUSE ")</f>
        <v>FOR SAFETY PURPOSES INLAUREL'S AND TWO MANAGEMENT HOUSE </v>
      </c>
    </row>
    <row r="2068">
      <c r="A2068" s="234">
        <f>IFERROR(__xludf.DUMMYFUNCTION("""COMPUTED_VALUE"""),102359.0)</f>
        <v>102359</v>
      </c>
      <c r="B2068" s="235" t="str">
        <f>IFERROR(__xludf.DUMMYFUNCTION("""COMPUTED_VALUE"""),"ADRIAN DE GUINTO ")</f>
        <v>ADRIAN DE GUINTO </v>
      </c>
      <c r="C2068" s="235" t="str">
        <f>IFERROR(__xludf.DUMMYFUNCTION("""COMPUTED_VALUE"""),"PR &amp; MARKETING")</f>
        <v>PR &amp; MARKETING</v>
      </c>
      <c r="D2068" s="196" t="str">
        <f>IFERROR(__xludf.DUMMYFUNCTION("""COMPUTED_VALUE"""),"ADMISSION AY 22-23 6.5 X 13.5 FT. ")</f>
        <v>ADMISSION AY 22-23 6.5 X 13.5 FT. </v>
      </c>
      <c r="E2068" s="196" t="str">
        <f>IFERROR(__xludf.DUMMYFUNCTION("""COMPUTED_VALUE"""),"FOR MARKETING ADVERTISEMENT ")</f>
        <v>FOR MARKETING ADVERTISEMENT </v>
      </c>
    </row>
    <row r="2069">
      <c r="A2069" s="234">
        <f>IFERROR(__xludf.DUMMYFUNCTION("""COMPUTED_VALUE"""),102360.0)</f>
        <v>102360</v>
      </c>
      <c r="B2069" s="235" t="str">
        <f>IFERROR(__xludf.DUMMYFUNCTION("""COMPUTED_VALUE"""),"ESTHER LARITA ")</f>
        <v>ESTHER LARITA </v>
      </c>
      <c r="C2069" s="235" t="str">
        <f>IFERROR(__xludf.DUMMYFUNCTION("""COMPUTED_VALUE"""),"DCO/ISO")</f>
        <v>DCO/ISO</v>
      </c>
      <c r="D2069" s="196" t="str">
        <f>IFERROR(__xludf.DUMMYFUNCTION("""COMPUTED_VALUE"""),"LANYARD AND SOUTHVILLE PIN")</f>
        <v>LANYARD AND SOUTHVILLE PIN</v>
      </c>
      <c r="E2069" s="196" t="str">
        <f>IFERROR(__xludf.DUMMYFUNCTION("""COMPUTED_VALUE"""),"FOR EQA AUDITOR ")</f>
        <v>FOR EQA AUDITOR </v>
      </c>
    </row>
    <row r="2070">
      <c r="A2070" s="234">
        <f>IFERROR(__xludf.DUMMYFUNCTION("""COMPUTED_VALUE"""),102361.0)</f>
        <v>102361</v>
      </c>
      <c r="B2070" s="235" t="str">
        <f>IFERROR(__xludf.DUMMYFUNCTION("""COMPUTED_VALUE"""),"ALFA DE LEON ")</f>
        <v>ALFA DE LEON </v>
      </c>
      <c r="C2070" s="235" t="str">
        <f>IFERROR(__xludf.DUMMYFUNCTION("""COMPUTED_VALUE"""),"ADMIN")</f>
        <v>ADMIN</v>
      </c>
      <c r="D2070" s="196" t="str">
        <f>IFERROR(__xludf.DUMMYFUNCTION("""COMPUTED_VALUE"""),"FLAGS- BANGLADESH, JORDAN,GERMANY, EGYPT,USA,SIBERIA, RUSSIA, THAILAND,UNITED KINGDOM,SOUTHVILLE, PHILIPPINES,INDIA,JAPAN,KOREA,IRELAND,ITALY,HONGKONG- cancelled ")</f>
        <v>FLAGS- BANGLADESH, JORDAN,GERMANY, EGYPT,USA,SIBERIA, RUSSIA, THAILAND,UNITED KINGDOM,SOUTHVILLE, PHILIPPINES,INDIA,JAPAN,KOREA,IRELAND,ITALY,HONGKONG- cancelled </v>
      </c>
      <c r="E2070" s="196" t="str">
        <f>IFERROR(__xludf.DUMMYFUNCTION("""COMPUTED_VALUE"""),"REPLACEMENT OF FLAGS- TORN OUT FLAG")</f>
        <v>REPLACEMENT OF FLAGS- TORN OUT FLAG</v>
      </c>
    </row>
    <row r="2071">
      <c r="A2071" s="234">
        <f>IFERROR(__xludf.DUMMYFUNCTION("""COMPUTED_VALUE"""),102362.0)</f>
        <v>102362</v>
      </c>
      <c r="B2071" s="235" t="str">
        <f>IFERROR(__xludf.DUMMYFUNCTION("""COMPUTED_VALUE"""),"ALFA DE LEON ")</f>
        <v>ALFA DE LEON </v>
      </c>
      <c r="C2071" s="235" t="str">
        <f>IFERROR(__xludf.DUMMYFUNCTION("""COMPUTED_VALUE"""),"ADMIN")</f>
        <v>ADMIN</v>
      </c>
      <c r="D2071" s="196" t="str">
        <f>IFERROR(__xludf.DUMMYFUNCTION("""COMPUTED_VALUE"""),"TIRE 3.00-8, INTERIOR 3.00-8")</f>
        <v>TIRE 3.00-8, INTERIOR 3.00-8</v>
      </c>
      <c r="E2071" s="196" t="str">
        <f>IFERROR(__xludf.DUMMYFUNCTION("""COMPUTED_VALUE"""),"REPLACEMENT OF BROKEN WHEEL OF WHEEL BORROW")</f>
        <v>REPLACEMENT OF BROKEN WHEEL OF WHEEL BORROW</v>
      </c>
    </row>
    <row r="2072">
      <c r="A2072" s="234">
        <f>IFERROR(__xludf.DUMMYFUNCTION("""COMPUTED_VALUE"""),102363.0)</f>
        <v>102363</v>
      </c>
      <c r="B2072" s="235" t="str">
        <f>IFERROR(__xludf.DUMMYFUNCTION("""COMPUTED_VALUE"""),"PAUL ARAÑA")</f>
        <v>PAUL ARAÑA</v>
      </c>
      <c r="C2072" s="235" t="str">
        <f>IFERROR(__xludf.DUMMYFUNCTION("""COMPUTED_VALUE"""),"MIS/ICT")</f>
        <v>MIS/ICT</v>
      </c>
      <c r="D2072" s="196" t="str">
        <f>IFERROR(__xludf.DUMMYFUNCTION("""COMPUTED_VALUE"""),"APC 1000VA Rack Mount UPS 230V Output 700u, APC BV 800I-MS Back-UPS 800VA 450w")</f>
        <v>APC 1000VA Rack Mount UPS 230V Output 700u, APC BV 800I-MS Back-UPS 800VA 450w</v>
      </c>
      <c r="E2072" s="196" t="str">
        <f>IFERROR(__xludf.DUMMYFUNCTION("""COMPUTED_VALUE"""),"For replacement and additional UPS in MIS IDF and Server Room")</f>
        <v>For replacement and additional UPS in MIS IDF and Server Room</v>
      </c>
    </row>
    <row r="2073">
      <c r="A2073" s="234">
        <f>IFERROR(__xludf.DUMMYFUNCTION("""COMPUTED_VALUE"""),102364.0)</f>
        <v>102364</v>
      </c>
      <c r="B2073" s="235" t="str">
        <f>IFERROR(__xludf.DUMMYFUNCTION("""COMPUTED_VALUE"""),"PAUL ARAÑA")</f>
        <v>PAUL ARAÑA</v>
      </c>
      <c r="C2073" s="235" t="str">
        <f>IFERROR(__xludf.DUMMYFUNCTION("""COMPUTED_VALUE"""),"MIS/ICT")</f>
        <v>MIS/ICT</v>
      </c>
      <c r="D2073" s="196" t="str">
        <f>IFERROR(__xludf.DUMMYFUNCTION("""COMPUTED_VALUE"""),"A4tech WebCam PK-925H")</f>
        <v>A4tech WebCam PK-925H</v>
      </c>
      <c r="E2073" s="196" t="str">
        <f>IFERROR(__xludf.DUMMYFUNCTION("""COMPUTED_VALUE"""),"For addtitional camera for HYVOLT classroom and offices")</f>
        <v>For addtitional camera for HYVOLT classroom and offices</v>
      </c>
    </row>
    <row r="2074">
      <c r="A2074" s="234">
        <f>IFERROR(__xludf.DUMMYFUNCTION("""COMPUTED_VALUE"""),102365.0)</f>
        <v>102365</v>
      </c>
      <c r="B2074" s="235" t="str">
        <f>IFERROR(__xludf.DUMMYFUNCTION("""COMPUTED_VALUE"""),"PETER JAMES AGADA ")</f>
        <v>PETER JAMES AGADA </v>
      </c>
      <c r="C2074" s="235" t="str">
        <f>IFERROR(__xludf.DUMMYFUNCTION("""COMPUTED_VALUE"""),"PR &amp; MARKETING")</f>
        <v>PR &amp; MARKETING</v>
      </c>
      <c r="D2074" s="196" t="str">
        <f>IFERROR(__xludf.DUMMYFUNCTION("""COMPUTED_VALUE"""),"TARP PANEL 001 (LUX GATE 2) 10.2 X 2.2 M, PANEL 002 (INFRONT OF ACCOUNTING) 5 X 2.4 M, PANEL 003 (INFRONT OF LUX HALL) 9MX2.4 M")</f>
        <v>TARP PANEL 001 (LUX GATE 2) 10.2 X 2.2 M, PANEL 002 (INFRONT OF ACCOUNTING) 5 X 2.4 M, PANEL 003 (INFRONT OF LUX HALL) 9MX2.4 M</v>
      </c>
      <c r="E2074" s="196" t="str">
        <f>IFERROR(__xludf.DUMMYFUNCTION("""COMPUTED_VALUE"""),"MONARCH'S PARK CONSTRUCTION PLAN ")</f>
        <v>MONARCH'S PARK CONSTRUCTION PLAN </v>
      </c>
    </row>
    <row r="2075">
      <c r="A2075" s="234">
        <f>IFERROR(__xludf.DUMMYFUNCTION("""COMPUTED_VALUE"""),102366.0)</f>
        <v>102366</v>
      </c>
      <c r="B2075" s="235" t="str">
        <f>IFERROR(__xludf.DUMMYFUNCTION("""COMPUTED_VALUE"""),"JOMEL BUTIAL ")</f>
        <v>JOMEL BUTIAL </v>
      </c>
      <c r="C2075" s="235" t="str">
        <f>IFERROR(__xludf.DUMMYFUNCTION("""COMPUTED_VALUE"""),"AMD")</f>
        <v>AMD</v>
      </c>
      <c r="D2075" s="196" t="str">
        <f>IFERROR(__xludf.DUMMYFUNCTION("""COMPUTED_VALUE"""),"SCRUBBING PAD SCOTCH BRITE 200 PCS; DUST PAN 30 PCS; GLOW FURNITURE CLEANER AND POLISHER 10 GALS; ARIEL DETERGENT POWDER 3KG 20 PACKS; BAYGON WATERBASED MULTI INSECT KILLER 500ML 20 BOTTLES; TOPLUSTER HIGH GRADE LIQUID WAX 10 GALS; TOILET BOWL BRUSH WITH "&amp;"HANDLE 50 PCS;")</f>
        <v>SCRUBBING PAD SCOTCH BRITE 200 PCS; DUST PAN 30 PCS; GLOW FURNITURE CLEANER AND POLISHER 10 GALS; ARIEL DETERGENT POWDER 3KG 20 PACKS; BAYGON WATERBASED MULTI INSECT KILLER 500ML 20 BOTTLES; TOPLUSTER HIGH GRADE LIQUID WAX 10 GALS; TOILET BOWL BRUSH WITH HANDLE 50 PCS;</v>
      </c>
      <c r="E2075" s="196" t="str">
        <f>IFERROR(__xludf.DUMMYFUNCTION("""COMPUTED_VALUE"""),"HOUSEKEEPING REPLENISHMENT (APRIL 2022)")</f>
        <v>HOUSEKEEPING REPLENISHMENT (APRIL 2022)</v>
      </c>
    </row>
    <row r="2076">
      <c r="A2076" s="234">
        <f>IFERROR(__xludf.DUMMYFUNCTION("""COMPUTED_VALUE"""),102367.0)</f>
        <v>102367</v>
      </c>
      <c r="B2076" s="235" t="str">
        <f>IFERROR(__xludf.DUMMYFUNCTION("""COMPUTED_VALUE"""),"RENE ALIGONERO")</f>
        <v>RENE ALIGONERO</v>
      </c>
      <c r="C2076" s="235" t="str">
        <f>IFERROR(__xludf.DUMMYFUNCTION("""COMPUTED_VALUE"""),"TOURISM")</f>
        <v>TOURISM</v>
      </c>
      <c r="D2076" s="196" t="str">
        <f>IFERROR(__xludf.DUMMYFUNCTION("""COMPUTED_VALUE"""),"CALLING CARD 3.5 X 2 INCHES ")</f>
        <v>CALLING CARD 3.5 X 2 INCHES </v>
      </c>
      <c r="E2076" s="196" t="str">
        <f>IFERROR(__xludf.DUMMYFUNCTION("""COMPUTED_VALUE"""),"FOR MARKETING ")</f>
        <v>FOR MARKETING </v>
      </c>
    </row>
    <row r="2077">
      <c r="A2077" s="234">
        <f>IFERROR(__xludf.DUMMYFUNCTION("""COMPUTED_VALUE"""),102368.0)</f>
        <v>102368</v>
      </c>
      <c r="B2077" s="235" t="str">
        <f>IFERROR(__xludf.DUMMYFUNCTION("""COMPUTED_VALUE"""),"SHEREE ESPINOSA")</f>
        <v>SHEREE ESPINOSA</v>
      </c>
      <c r="C2077" s="235" t="str">
        <f>IFERROR(__xludf.DUMMYFUNCTION("""COMPUTED_VALUE"""),"ADMIN")</f>
        <v>ADMIN</v>
      </c>
      <c r="D2077" s="196" t="str">
        <f>IFERROR(__xludf.DUMMYFUNCTION("""COMPUTED_VALUE"""),"UV STERILIZATION BOX")</f>
        <v>UV STERILIZATION BOX</v>
      </c>
      <c r="E2077" s="196" t="str">
        <f>IFERROR(__xludf.DUMMYFUNCTION("""COMPUTED_VALUE"""),"FOR FACE-TO-FACE CLASSES IN LUX CAMPUS")</f>
        <v>FOR FACE-TO-FACE CLASSES IN LUX CAMPUS</v>
      </c>
    </row>
    <row r="2078">
      <c r="A2078" s="234">
        <f>IFERROR(__xludf.DUMMYFUNCTION("""COMPUTED_VALUE"""),102369.0)</f>
        <v>102369</v>
      </c>
      <c r="B2078" s="235" t="str">
        <f>IFERROR(__xludf.DUMMYFUNCTION("""COMPUTED_VALUE"""),"SHEREE ESPINOSA")</f>
        <v>SHEREE ESPINOSA</v>
      </c>
      <c r="C2078" s="235" t="str">
        <f>IFERROR(__xludf.DUMMYFUNCTION("""COMPUTED_VALUE"""),"ADMIN")</f>
        <v>ADMIN</v>
      </c>
      <c r="D2078" s="196" t="str">
        <f>IFERROR(__xludf.DUMMYFUNCTION("""COMPUTED_VALUE"""),"AIR PURIFIER WITH HEPA FILTER")</f>
        <v>AIR PURIFIER WITH HEPA FILTER</v>
      </c>
      <c r="E2078" s="196" t="str">
        <f>IFERROR(__xludf.DUMMYFUNCTION("""COMPUTED_VALUE"""),"FOR FACE-TO-FACE CLASSES IN LUX CAMPUS")</f>
        <v>FOR FACE-TO-FACE CLASSES IN LUX CAMPUS</v>
      </c>
    </row>
    <row r="2079">
      <c r="A2079" s="234">
        <f>IFERROR(__xludf.DUMMYFUNCTION("""COMPUTED_VALUE"""),102370.0)</f>
        <v>102370</v>
      </c>
      <c r="B2079" s="235" t="str">
        <f>IFERROR(__xludf.DUMMYFUNCTION("""COMPUTED_VALUE"""),"SHEREE ESPINOSA")</f>
        <v>SHEREE ESPINOSA</v>
      </c>
      <c r="C2079" s="235" t="str">
        <f>IFERROR(__xludf.DUMMYFUNCTION("""COMPUTED_VALUE"""),"ADMIN")</f>
        <v>ADMIN</v>
      </c>
      <c r="D2079" s="196" t="str">
        <f>IFERROR(__xludf.DUMMYFUNCTION("""COMPUTED_VALUE"""),"AUTOMATIC ALCOHOL DISPENSER WITH STAND ")</f>
        <v>AUTOMATIC ALCOHOL DISPENSER WITH STAND </v>
      </c>
      <c r="E2079" s="196" t="str">
        <f>IFERROR(__xludf.DUMMYFUNCTION("""COMPUTED_VALUE"""),"FOR FACE-TO-FACE CLASSES IN LUX CAMPUS")</f>
        <v>FOR FACE-TO-FACE CLASSES IN LUX CAMPUS</v>
      </c>
    </row>
    <row r="2080">
      <c r="A2080" s="234">
        <f>IFERROR(__xludf.DUMMYFUNCTION("""COMPUTED_VALUE"""),102371.0)</f>
        <v>102371</v>
      </c>
      <c r="B2080" s="235" t="str">
        <f>IFERROR(__xludf.DUMMYFUNCTION("""COMPUTED_VALUE"""),"SHEREE ESPINOSA")</f>
        <v>SHEREE ESPINOSA</v>
      </c>
      <c r="C2080" s="235" t="str">
        <f>IFERROR(__xludf.DUMMYFUNCTION("""COMPUTED_VALUE"""),"ADMIN")</f>
        <v>ADMIN</v>
      </c>
      <c r="D2080" s="196" t="str">
        <f>IFERROR(__xludf.DUMMYFUNCTION("""COMPUTED_VALUE"""),"TRASH BIN FOOT LEVER")</f>
        <v>TRASH BIN FOOT LEVER</v>
      </c>
      <c r="E2080" s="196" t="str">
        <f>IFERROR(__xludf.DUMMYFUNCTION("""COMPUTED_VALUE"""),"FOR FACE-TO-FACE CLASSES IN LUX CAMPUS")</f>
        <v>FOR FACE-TO-FACE CLASSES IN LUX CAMPUS</v>
      </c>
    </row>
    <row r="2081">
      <c r="A2081" s="234">
        <f>IFERROR(__xludf.DUMMYFUNCTION("""COMPUTED_VALUE"""),102372.0)</f>
        <v>102372</v>
      </c>
      <c r="B2081" s="235" t="str">
        <f>IFERROR(__xludf.DUMMYFUNCTION("""COMPUTED_VALUE"""),"CARLITO DELA VEGA ")</f>
        <v>CARLITO DELA VEGA </v>
      </c>
      <c r="C2081" s="235" t="str">
        <f>IFERROR(__xludf.DUMMYFUNCTION("""COMPUTED_VALUE"""),"ADMIN")</f>
        <v>ADMIN</v>
      </c>
      <c r="D2081" s="196" t="str">
        <f>IFERROR(__xludf.DUMMYFUNCTION("""COMPUTED_VALUE"""),"FLOOR MARKING 12X12 MAT LAMINATED VINYL ")</f>
        <v>FLOOR MARKING 12X12 MAT LAMINATED VINYL </v>
      </c>
      <c r="E2081" s="196" t="str">
        <f>IFERROR(__xludf.DUMMYFUNCTION("""COMPUTED_VALUE"""),"FOR LUX 2ND FLOOR, 3RD FLOOR, 4TH AND 5TH AND LSHAPE BUILDING  CLASS ROMMS AND HALLWAYS - PREPARATION OF TRANSFER OF F2F CLASSESS FROM MUNICH TO LUX. ")</f>
        <v>FOR LUX 2ND FLOOR, 3RD FLOOR, 4TH AND 5TH AND LSHAPE BUILDING  CLASS ROMMS AND HALLWAYS - PREPARATION OF TRANSFER OF F2F CLASSESS FROM MUNICH TO LUX. </v>
      </c>
    </row>
    <row r="2082">
      <c r="A2082" s="234">
        <f>IFERROR(__xludf.DUMMYFUNCTION("""COMPUTED_VALUE"""),102373.0)</f>
        <v>102373</v>
      </c>
      <c r="B2082" s="235" t="str">
        <f>IFERROR(__xludf.DUMMYFUNCTION("""COMPUTED_VALUE"""),"KENNETH ANCERMO")</f>
        <v>KENNETH ANCERMO</v>
      </c>
      <c r="C2082" s="235" t="str">
        <f>IFERROR(__xludf.DUMMYFUNCTION("""COMPUTED_VALUE"""),"AMD")</f>
        <v>AMD</v>
      </c>
      <c r="D2082" s="196" t="str">
        <f>IFERROR(__xludf.DUMMYFUNCTION("""COMPUTED_VALUE"""),"Alcohol gallons 70% Isopropyl (BABY SCENT)")</f>
        <v>Alcohol gallons 70% Isopropyl (BABY SCENT)</v>
      </c>
      <c r="E2082" s="196" t="str">
        <f>IFERROR(__xludf.DUMMYFUNCTION("""COMPUTED_VALUE"""),"Stock replenishment- COVID19 DISINFECTION ")</f>
        <v>Stock replenishment- COVID19 DISINFECTION </v>
      </c>
    </row>
    <row r="2083">
      <c r="A2083" s="234">
        <f>IFERROR(__xludf.DUMMYFUNCTION("""COMPUTED_VALUE"""),102374.0)</f>
        <v>102374</v>
      </c>
      <c r="B2083" s="235" t="str">
        <f>IFERROR(__xludf.DUMMYFUNCTION("""COMPUTED_VALUE"""),"JAIREL MARVIN MARASIGAN")</f>
        <v>JAIREL MARVIN MARASIGAN</v>
      </c>
      <c r="C2083" s="235" t="str">
        <f>IFERROR(__xludf.DUMMYFUNCTION("""COMPUTED_VALUE"""),"PR &amp; MARKETING")</f>
        <v>PR &amp; MARKETING</v>
      </c>
      <c r="D2083" s="196" t="str">
        <f>IFERROR(__xludf.DUMMYFUNCTION("""COMPUTED_VALUE"""),"TARPAULIN FOR XSTAND ")</f>
        <v>TARPAULIN FOR XSTAND </v>
      </c>
      <c r="E2083" s="196" t="str">
        <f>IFERROR(__xludf.DUMMYFUNCTION("""COMPUTED_VALUE"""),"FOR MARKETING OF OPEN HOUSE ")</f>
        <v>FOR MARKETING OF OPEN HOUSE </v>
      </c>
    </row>
    <row r="2084">
      <c r="A2084" s="234">
        <f>IFERROR(__xludf.DUMMYFUNCTION("""COMPUTED_VALUE"""),102375.0)</f>
        <v>102375</v>
      </c>
      <c r="B2084" s="235" t="str">
        <f>IFERROR(__xludf.DUMMYFUNCTION("""COMPUTED_VALUE"""),"EDGAR D. REBELLON")</f>
        <v>EDGAR D. REBELLON</v>
      </c>
      <c r="C2084" s="235" t="str">
        <f>IFERROR(__xludf.DUMMYFUNCTION("""COMPUTED_VALUE"""),"AMD")</f>
        <v>AMD</v>
      </c>
      <c r="D2084" s="196" t="str">
        <f>IFERROR(__xludf.DUMMYFUNCTION("""COMPUTED_VALUE"""),"Diary,  Preparatory (Kinder to SK), Diary,  Grade 1 and 2, 'Diary, Grade 3-10 Silver September to January , 'Diary, Grade 3-10 Gold February to July,'Diary, SHS Apple Green Linen  Sept. to July")</f>
        <v>Diary,  Preparatory (Kinder to SK), Diary,  Grade 1 and 2, 'Diary, Grade 3-10 Silver September to January , 'Diary, Grade 3-10 Gold February to July,'Diary, SHS Apple Green Linen  Sept. to July</v>
      </c>
      <c r="E2084" s="196" t="str">
        <f>IFERROR(__xludf.DUMMYFUNCTION("""COMPUTED_VALUE"""),"STUDENT MATERIALS FOR AY 2022-2023")</f>
        <v>STUDENT MATERIALS FOR AY 2022-2023</v>
      </c>
    </row>
    <row r="2085">
      <c r="A2085" s="234">
        <f>IFERROR(__xludf.DUMMYFUNCTION("""COMPUTED_VALUE"""),102376.0)</f>
        <v>102376</v>
      </c>
      <c r="B2085" s="235" t="str">
        <f>IFERROR(__xludf.DUMMYFUNCTION("""COMPUTED_VALUE"""),"ALFA DE LEON")</f>
        <v>ALFA DE LEON</v>
      </c>
      <c r="C2085" s="235" t="str">
        <f>IFERROR(__xludf.DUMMYFUNCTION("""COMPUTED_VALUE"""),"ADMIN - MUNICH")</f>
        <v>ADMIN - MUNICH</v>
      </c>
      <c r="D2085" s="196" t="str">
        <f>IFERROR(__xludf.DUMMYFUNCTION("""COMPUTED_VALUE"""),"S43 KD #1""X2""X8"", RUGBY, MARINE PLYWOOD, # 1/4""X4""8""")</f>
        <v>S43 KD #1"X2"X8", RUGBY, MARINE PLYWOOD, # 1/4"X4"8"</v>
      </c>
      <c r="E2085" s="196" t="str">
        <f>IFERROR(__xludf.DUMMYFUNCTION("""COMPUTED_VALUE"""),"FABRICATION AND INSTALLATION OF CORKBOARD MUNICH ROOM 101 AND 104")</f>
        <v>FABRICATION AND INSTALLATION OF CORKBOARD MUNICH ROOM 101 AND 104</v>
      </c>
    </row>
    <row r="2086">
      <c r="A2086" s="234">
        <f>IFERROR(__xludf.DUMMYFUNCTION("""COMPUTED_VALUE"""),102377.0)</f>
        <v>102377</v>
      </c>
      <c r="B2086" s="235" t="str">
        <f>IFERROR(__xludf.DUMMYFUNCTION("""COMPUTED_VALUE"""),"RON OBLENO")</f>
        <v>RON OBLENO</v>
      </c>
      <c r="C2086" s="235" t="str">
        <f>IFERROR(__xludf.DUMMYFUNCTION("""COMPUTED_VALUE"""),"MIS/ICT")</f>
        <v>MIS/ICT</v>
      </c>
      <c r="D2086" s="196" t="str">
        <f>IFERROR(__xludf.DUMMYFUNCTION("""COMPUTED_VALUE"""),"WALL EXHAUST FAN OMNI  MODEL XFW-300 12 INCHES WALL MOUNTED ")</f>
        <v>WALL EXHAUST FAN OMNI  MODEL XFW-300 12 INCHES WALL MOUNTED </v>
      </c>
      <c r="E2086" s="196" t="str">
        <f>IFERROR(__xludf.DUMMYFUNCTION("""COMPUTED_VALUE"""),"REPLACEMENT OF DEFECTIVE EXHAUSTFAN IN THE SERVER ROOM BED ")</f>
        <v>REPLACEMENT OF DEFECTIVE EXHAUSTFAN IN THE SERVER ROOM BED </v>
      </c>
    </row>
    <row r="2087">
      <c r="A2087" s="234">
        <f>IFERROR(__xludf.DUMMYFUNCTION("""COMPUTED_VALUE"""),102378.0)</f>
        <v>102378</v>
      </c>
      <c r="B2087" s="235" t="str">
        <f>IFERROR(__xludf.DUMMYFUNCTION("""COMPUTED_VALUE"""),"EDGAR REBELLON")</f>
        <v>EDGAR REBELLON</v>
      </c>
      <c r="C2087" s="235" t="str">
        <f>IFERROR(__xludf.DUMMYFUNCTION("""COMPUTED_VALUE"""),"AMD")</f>
        <v>AMD</v>
      </c>
      <c r="D2087" s="196" t="str">
        <f>IFERROR(__xludf.DUMMYFUNCTION("""COMPUTED_VALUE"""),"BAG-EXPANDABLE ECOBAG PURPLE 14""X13"" W/ BOARD, BAG-EXPANDABLE ECOBAG PURPLE 14""X16"" W/O BOARD ")</f>
        <v>BAG-EXPANDABLE ECOBAG PURPLE 14"X13" W/ BOARD, BAG-EXPANDABLE ECOBAG PURPLE 14"X16" W/O BOARD </v>
      </c>
      <c r="E2087" s="196" t="str">
        <f>IFERROR(__xludf.DUMMYFUNCTION("""COMPUTED_VALUE"""),"STOCK REPLENISHMENT TO BE USED AS STORAGE BAGS FOR TOKENS GIVEAWAYS")</f>
        <v>STOCK REPLENISHMENT TO BE USED AS STORAGE BAGS FOR TOKENS GIVEAWAYS</v>
      </c>
    </row>
    <row r="2088">
      <c r="A2088" s="234">
        <f>IFERROR(__xludf.DUMMYFUNCTION("""COMPUTED_VALUE"""),102379.0)</f>
        <v>102379</v>
      </c>
      <c r="B2088" s="235" t="str">
        <f>IFERROR(__xludf.DUMMYFUNCTION("""COMPUTED_VALUE"""),"EDGAR REBELLON")</f>
        <v>EDGAR REBELLON</v>
      </c>
      <c r="C2088" s="235" t="str">
        <f>IFERROR(__xludf.DUMMYFUNCTION("""COMPUTED_VALUE"""),"AMD")</f>
        <v>AMD</v>
      </c>
      <c r="D2088" s="196" t="str">
        <f>IFERROR(__xludf.DUMMYFUNCTION("""COMPUTED_VALUE"""),"NOTEBOOK - SISC LEATHERETTE (LACOSTE VIOLET), PENS - EXECUTIVE BLACK W/ SISC PRINT")</f>
        <v>NOTEBOOK - SISC LEATHERETTE (LACOSTE VIOLET), PENS - EXECUTIVE BLACK W/ SISC PRINT</v>
      </c>
      <c r="E2088" s="196" t="str">
        <f>IFERROR(__xludf.DUMMYFUNCTION("""COMPUTED_VALUE"""),"STOCK REPLENISHMENT TO BE USED AS STORAGE BAGS FOR TOKENS GIVEAWAYS")</f>
        <v>STOCK REPLENISHMENT TO BE USED AS STORAGE BAGS FOR TOKENS GIVEAWAYS</v>
      </c>
    </row>
    <row r="2089">
      <c r="A2089" s="234">
        <f>IFERROR(__xludf.DUMMYFUNCTION("""COMPUTED_VALUE"""),102380.0)</f>
        <v>102380</v>
      </c>
      <c r="B2089" s="235" t="str">
        <f>IFERROR(__xludf.DUMMYFUNCTION("""COMPUTED_VALUE"""),"OWIE PAR ")</f>
        <v>OWIE PAR </v>
      </c>
      <c r="C2089" s="235" t="str">
        <f>IFERROR(__xludf.DUMMYFUNCTION("""COMPUTED_VALUE"""),"ENGINEERING")</f>
        <v>ENGINEERING</v>
      </c>
      <c r="D2089" s="196" t="str">
        <f>IFERROR(__xludf.DUMMYFUNCTION("""COMPUTED_VALUE"""),"THHN #8 BLACK, YELLOW, BLUE, GI WIRE # 16")</f>
        <v>THHN #8 BLACK, YELLOW, BLUE, GI WIRE # 16</v>
      </c>
      <c r="E2089" s="196" t="str">
        <f>IFERROR(__xludf.DUMMYFUNCTION("""COMPUTED_VALUE"""),"FOR COLLEGE CAFE EMERGENCY FEEDER LINE (REPLACEMENT)")</f>
        <v>FOR COLLEGE CAFE EMERGENCY FEEDER LINE (REPLACEMENT)</v>
      </c>
    </row>
    <row r="2090">
      <c r="A2090" s="234">
        <f>IFERROR(__xludf.DUMMYFUNCTION("""COMPUTED_VALUE"""),102381.0)</f>
        <v>102381</v>
      </c>
      <c r="B2090" s="235" t="str">
        <f>IFERROR(__xludf.DUMMYFUNCTION("""COMPUTED_VALUE"""),"OWIE PAR ")</f>
        <v>OWIE PAR </v>
      </c>
      <c r="C2090" s="235" t="str">
        <f>IFERROR(__xludf.DUMMYFUNCTION("""COMPUTED_VALUE"""),"ENGINEERING")</f>
        <v>ENGINEERING</v>
      </c>
      <c r="D2090" s="196" t="str">
        <f>IFERROR(__xludf.DUMMYFUNCTION("""COMPUTED_VALUE"""),"PPR PIPE #1/2"", PPR ELBOW 1/2"", PPR COUPLING 1/2"" PPR TEE # 1/2""")</f>
        <v>PPR PIPE #1/2", PPR ELBOW 1/2", PPR COUPLING 1/2" PPR TEE # 1/2"</v>
      </c>
      <c r="E2090" s="196" t="str">
        <f>IFERROR(__xludf.DUMMYFUNCTION("""COMPUTED_VALUE"""),"WATERLINE PROVISION FOR DRINKING FOUNTAIN FOR CAFE AND COLLEGE BLDG. (MONARCH PARK IMPLICATION/ REPLACEMENT OF WATERLINE)")</f>
        <v>WATERLINE PROVISION FOR DRINKING FOUNTAIN FOR CAFE AND COLLEGE BLDG. (MONARCH PARK IMPLICATION/ REPLACEMENT OF WATERLINE)</v>
      </c>
    </row>
    <row r="2091">
      <c r="A2091" s="234">
        <f>IFERROR(__xludf.DUMMYFUNCTION("""COMPUTED_VALUE"""),102382.0)</f>
        <v>102382</v>
      </c>
      <c r="B2091" s="235" t="str">
        <f>IFERROR(__xludf.DUMMYFUNCTION("""COMPUTED_VALUE"""),"KENNETH ANCERMO")</f>
        <v>KENNETH ANCERMO</v>
      </c>
      <c r="C2091" s="235" t="str">
        <f>IFERROR(__xludf.DUMMYFUNCTION("""COMPUTED_VALUE"""),"AMD")</f>
        <v>AMD</v>
      </c>
      <c r="D2091" s="196" t="str">
        <f>IFERROR(__xludf.DUMMYFUNCTION("""COMPUTED_VALUE"""),"Tissue, Roll Bath 2ply (Sanicare)")</f>
        <v>Tissue, Roll Bath 2ply (Sanicare)</v>
      </c>
      <c r="E2091" s="196" t="str">
        <f>IFERROR(__xludf.DUMMYFUNCTION("""COMPUTED_VALUE"""),"Stock replenishment of OSSUP")</f>
        <v>Stock replenishment of OSSUP</v>
      </c>
    </row>
    <row r="2092">
      <c r="A2092" s="234">
        <f>IFERROR(__xludf.DUMMYFUNCTION("""COMPUTED_VALUE"""),102383.0)</f>
        <v>102383</v>
      </c>
      <c r="B2092" s="235" t="str">
        <f>IFERROR(__xludf.DUMMYFUNCTION("""COMPUTED_VALUE"""),"KENNETH ANCERMO")</f>
        <v>KENNETH ANCERMO</v>
      </c>
      <c r="C2092" s="235" t="str">
        <f>IFERROR(__xludf.DUMMYFUNCTION("""COMPUTED_VALUE"""),"AMD")</f>
        <v>AMD</v>
      </c>
      <c r="D2092" s="196" t="str">
        <f>IFERROR(__xludf.DUMMYFUNCTION("""COMPUTED_VALUE"""),"Clip, ID -Alligator Plastic,  Ballpen, Dong-A My Gel Black 0.5, Pen, Sign - Pilot BX-V5 Black, 'Battery, Energizer Size AA, 'Battery, Energizer Size AAA")</f>
        <v>Clip, ID -Alligator Plastic,  Ballpen, Dong-A My Gel Black 0.5, Pen, Sign - Pilot BX-V5 Black, 'Battery, Energizer Size AA, 'Battery, Energizer Size AAA</v>
      </c>
      <c r="E2092" s="196" t="str">
        <f>IFERROR(__xludf.DUMMYFUNCTION("""COMPUTED_VALUE"""),"Stock replenishment of OSSUP")</f>
        <v>Stock replenishment of OSSUP</v>
      </c>
    </row>
    <row r="2093">
      <c r="A2093" s="234">
        <f>IFERROR(__xludf.DUMMYFUNCTION("""COMPUTED_VALUE"""),102384.0)</f>
        <v>102384</v>
      </c>
      <c r="B2093" s="235" t="str">
        <f>IFERROR(__xludf.DUMMYFUNCTION("""COMPUTED_VALUE"""),"GARRY BATAO-EY")</f>
        <v>GARRY BATAO-EY</v>
      </c>
      <c r="C2093" s="235" t="str">
        <f>IFERROR(__xludf.DUMMYFUNCTION("""COMPUTED_VALUE"""),"MIS/ICT")</f>
        <v>MIS/ICT</v>
      </c>
      <c r="D2093" s="196" t="str">
        <f>IFERROR(__xludf.DUMMYFUNCTION("""COMPUTED_VALUE"""),"MONITOR (VIEWSONIC, 19.5"") ")</f>
        <v>MONITOR (VIEWSONIC, 19.5") </v>
      </c>
      <c r="E2093" s="196" t="str">
        <f>IFERROR(__xludf.DUMMYFUNCTION("""COMPUTED_VALUE"""),"FOR REPLACEMENT OF OLD MONITOR OF MISS MHEMS ")</f>
        <v>FOR REPLACEMENT OF OLD MONITOR OF MISS MHEMS </v>
      </c>
    </row>
    <row r="2094">
      <c r="A2094" s="234">
        <f>IFERROR(__xludf.DUMMYFUNCTION("""COMPUTED_VALUE"""),102385.0)</f>
        <v>102385</v>
      </c>
      <c r="B2094" s="235" t="str">
        <f>IFERROR(__xludf.DUMMYFUNCTION("""COMPUTED_VALUE"""),"ALFA DE LEON ")</f>
        <v>ALFA DE LEON </v>
      </c>
      <c r="C2094" s="235" t="str">
        <f>IFERROR(__xludf.DUMMYFUNCTION("""COMPUTED_VALUE"""),"ADMIN - MUNICH")</f>
        <v>ADMIN - MUNICH</v>
      </c>
      <c r="D2094" s="196" t="str">
        <f>IFERROR(__xludf.DUMMYFUNCTION("""COMPUTED_VALUE"""),"PRESSURE SWITCH, PRESSURE GAUGE 4"", STAINLESS NIPPLE 1/4 X 4")</f>
        <v>PRESSURE SWITCH, PRESSURE GAUGE 4", STAINLESS NIPPLE 1/4 X 4</v>
      </c>
      <c r="E2094" s="196" t="str">
        <f>IFERROR(__xludf.DUMMYFUNCTION("""COMPUTED_VALUE"""),"REPAIR OF MUNICH WATER TANK ")</f>
        <v>REPAIR OF MUNICH WATER TANK </v>
      </c>
    </row>
    <row r="2095">
      <c r="A2095" s="234">
        <f>IFERROR(__xludf.DUMMYFUNCTION("""COMPUTED_VALUE"""),102386.0)</f>
        <v>102386</v>
      </c>
      <c r="B2095" s="235" t="str">
        <f>IFERROR(__xludf.DUMMYFUNCTION("""COMPUTED_VALUE"""),"ALFA DE LEON ")</f>
        <v>ALFA DE LEON </v>
      </c>
      <c r="C2095" s="235" t="str">
        <f>IFERROR(__xludf.DUMMYFUNCTION("""COMPUTED_VALUE"""),"ADMIN")</f>
        <v>ADMIN</v>
      </c>
      <c r="D2095" s="196" t="str">
        <f>IFERROR(__xludf.DUMMYFUNCTION("""COMPUTED_VALUE"""),"POTS XL")</f>
        <v>POTS XL</v>
      </c>
      <c r="E2095" s="196" t="str">
        <f>IFERROR(__xludf.DUMMYFUNCTION("""COMPUTED_VALUE"""),"REPLACEMENT OF BROKEN POTS IN COLLEGE")</f>
        <v>REPLACEMENT OF BROKEN POTS IN COLLEGE</v>
      </c>
    </row>
    <row r="2096">
      <c r="A2096" s="234">
        <f>IFERROR(__xludf.DUMMYFUNCTION("""COMPUTED_VALUE"""),102387.0)</f>
        <v>102387</v>
      </c>
      <c r="B2096" s="235" t="str">
        <f>IFERROR(__xludf.DUMMYFUNCTION("""COMPUTED_VALUE"""),"ALFA DE LEON ")</f>
        <v>ALFA DE LEON </v>
      </c>
      <c r="C2096" s="235" t="str">
        <f>IFERROR(__xludf.DUMMYFUNCTION("""COMPUTED_VALUE"""),"ADMIN - MUNICH")</f>
        <v>ADMIN - MUNICH</v>
      </c>
      <c r="D2096" s="196" t="str">
        <f>IFERROR(__xludf.DUMMYFUNCTION("""COMPUTED_VALUE"""),"THHN WIRE #12, MOLDINGS 3/4")</f>
        <v>THHN WIRE #12, MOLDINGS 3/4</v>
      </c>
      <c r="E2096" s="196" t="str">
        <f>IFERROR(__xludf.DUMMYFUNCTION("""COMPUTED_VALUE"""),"INSTALLATION OF EXHAUST FAN 6 PCS. 2F EW AN WW CR, 3F WW CR")</f>
        <v>INSTALLATION OF EXHAUST FAN 6 PCS. 2F EW AN WW CR, 3F WW CR</v>
      </c>
    </row>
    <row r="2097">
      <c r="A2097" s="234">
        <f>IFERROR(__xludf.DUMMYFUNCTION("""COMPUTED_VALUE"""),102388.0)</f>
        <v>102388</v>
      </c>
      <c r="B2097" s="235" t="str">
        <f>IFERROR(__xludf.DUMMYFUNCTION("""COMPUTED_VALUE"""),"ALFA DE LEON ")</f>
        <v>ALFA DE LEON </v>
      </c>
      <c r="C2097" s="235" t="str">
        <f>IFERROR(__xludf.DUMMYFUNCTION("""COMPUTED_VALUE"""),"ADMIN")</f>
        <v>ADMIN</v>
      </c>
      <c r="D2097" s="196" t="str">
        <f>IFERROR(__xludf.DUMMYFUNCTION("""COMPUTED_VALUE"""),"USA FLAG, UNITED KINGDOM FLAG- CANCELLED ")</f>
        <v>USA FLAG, UNITED KINGDOM FLAG- CANCELLED </v>
      </c>
      <c r="E2097" s="196" t="str">
        <f>IFERROR(__xludf.DUMMYFUNCTION("""COMPUTED_VALUE"""),"REPLACEMENT OF TORN OUT FLAGS")</f>
        <v>REPLACEMENT OF TORN OUT FLAGS</v>
      </c>
    </row>
    <row r="2098">
      <c r="A2098" s="234">
        <f>IFERROR(__xludf.DUMMYFUNCTION("""COMPUTED_VALUE"""),102389.0)</f>
        <v>102389</v>
      </c>
      <c r="B2098" s="235" t="str">
        <f>IFERROR(__xludf.DUMMYFUNCTION("""COMPUTED_VALUE"""),"GARY BATAO-EY")</f>
        <v>GARY BATAO-EY</v>
      </c>
      <c r="C2098" s="235" t="str">
        <f>IFERROR(__xludf.DUMMYFUNCTION("""COMPUTED_VALUE"""),"MIS/ICT")</f>
        <v>MIS/ICT</v>
      </c>
      <c r="D2098" s="196" t="str">
        <f>IFERROR(__xludf.DUMMYFUNCTION("""COMPUTED_VALUE"""),"USB EXTENDER 10 METERS 2.0")</f>
        <v>USB EXTENDER 10 METERS 2.0</v>
      </c>
      <c r="E2098" s="196" t="str">
        <f>IFERROR(__xludf.DUMMYFUNCTION("""COMPUTED_VALUE"""),"FOR HYVOLT SET UP")</f>
        <v>FOR HYVOLT SET UP</v>
      </c>
    </row>
    <row r="2099">
      <c r="A2099" s="234">
        <f>IFERROR(__xludf.DUMMYFUNCTION("""COMPUTED_VALUE"""),102390.0)</f>
        <v>102390</v>
      </c>
      <c r="B2099" s="235" t="str">
        <f>IFERROR(__xludf.DUMMYFUNCTION("""COMPUTED_VALUE"""),"OWIE PAR")</f>
        <v>OWIE PAR</v>
      </c>
      <c r="C2099" s="235" t="str">
        <f>IFERROR(__xludf.DUMMYFUNCTION("""COMPUTED_VALUE"""),"ENGINEERING")</f>
        <v>ENGINEERING</v>
      </c>
      <c r="D2099" s="196" t="str">
        <f>IFERROR(__xludf.DUMMYFUNCTION("""COMPUTED_VALUE"""),"PVC PIPE #4 NELTEX ORANGE, PVC ELBOW 90 DEGREE  NELTEX #4, SOLVENT CEMENT 400 CC, GI GUTTER GUAGE 24"", VULCA SEAL, BLIND REVITS  1/8"" X 1/2"", DRILL BIT 1/8""")</f>
        <v>PVC PIPE #4 NELTEX ORANGE, PVC ELBOW 90 DEGREE  NELTEX #4, SOLVENT CEMENT 400 CC, GI GUTTER GUAGE 24", VULCA SEAL, BLIND REVITS  1/8" X 1/2", DRILL BIT 1/8"</v>
      </c>
      <c r="E2099" s="196" t="str">
        <f>IFERROR(__xludf.DUMMYFUNCTION("""COMPUTED_VALUE"""),"FOR STAR CAMPUS")</f>
        <v>FOR STAR CAMPUS</v>
      </c>
    </row>
    <row r="2100">
      <c r="A2100" s="234">
        <f>IFERROR(__xludf.DUMMYFUNCTION("""COMPUTED_VALUE"""),102391.0)</f>
        <v>102391</v>
      </c>
      <c r="B2100" s="235" t="str">
        <f>IFERROR(__xludf.DUMMYFUNCTION("""COMPUTED_VALUE"""),"ELMIE LAUDITO")</f>
        <v>ELMIE LAUDITO</v>
      </c>
      <c r="C2100" s="235" t="str">
        <f>IFERROR(__xludf.DUMMYFUNCTION("""COMPUTED_VALUE"""),"HRMD")</f>
        <v>HRMD</v>
      </c>
      <c r="D2100" s="196" t="str">
        <f>IFERROR(__xludf.DUMMYFUNCTION("""COMPUTED_VALUE"""),"3 PCS BIOMETRIC DEVICE- ANVIZ C2 PRO SKU: C2 PRO")</f>
        <v>3 PCS BIOMETRIC DEVICE- ANVIZ C2 PRO SKU: C2 PRO</v>
      </c>
      <c r="E2100" s="196" t="str">
        <f>IFERROR(__xludf.DUMMYFUNCTION("""COMPUTED_VALUE"""),"BIOMETRIC DEVICE FOR TROPICAL, MUNICH AND COLLEGE CAMPUS ")</f>
        <v>BIOMETRIC DEVICE FOR TROPICAL, MUNICH AND COLLEGE CAMPUS </v>
      </c>
    </row>
    <row r="2101">
      <c r="A2101" s="234">
        <f>IFERROR(__xludf.DUMMYFUNCTION("""COMPUTED_VALUE"""),102392.0)</f>
        <v>102392</v>
      </c>
      <c r="B2101" s="235" t="str">
        <f>IFERROR(__xludf.DUMMYFUNCTION("""COMPUTED_VALUE"""),"ALFA DE LEON/SHEREE ESPINOSA ")</f>
        <v>ALFA DE LEON/SHEREE ESPINOSA </v>
      </c>
      <c r="C2101" s="235" t="str">
        <f>IFERROR(__xludf.DUMMYFUNCTION("""COMPUTED_VALUE"""),"ADMIN")</f>
        <v>ADMIN</v>
      </c>
      <c r="D2101" s="196" t="str">
        <f>IFERROR(__xludf.DUMMYFUNCTION("""COMPUTED_VALUE"""),"(500 PCS) REPAIR/REPLACE OF CLASSROOM STUDENT CHAIR - SUPPLY OF LABOR AND MATERIALS, EQUIPMENT AND NECESSARY TOOLS INCLUDING SUPERVISION FOR THE NEW LARGE WRITING TABLET WITH ANGULAR BRACKET")</f>
        <v>(500 PCS) REPAIR/REPLACE OF CLASSROOM STUDENT CHAIR - SUPPLY OF LABOR AND MATERIALS, EQUIPMENT AND NECESSARY TOOLS INCLUDING SUPERVISION FOR THE NEW LARGE WRITING TABLET WITH ANGULAR BRACKET</v>
      </c>
      <c r="E2101" s="196" t="str">
        <f>IFERROR(__xludf.DUMMYFUNCTION("""COMPUTED_VALUE"""),"BASIC ED STUDENT CHAIRS- SUPPLY  OF NEW LARGE WRITING TABLET WITH ANGULAR BRACKET. ")</f>
        <v>BASIC ED STUDENT CHAIRS- SUPPLY  OF NEW LARGE WRITING TABLET WITH ANGULAR BRACKET. </v>
      </c>
    </row>
    <row r="2102">
      <c r="A2102" s="234">
        <f>IFERROR(__xludf.DUMMYFUNCTION("""COMPUTED_VALUE"""),102393.0)</f>
        <v>102393</v>
      </c>
      <c r="B2102" s="235" t="str">
        <f>IFERROR(__xludf.DUMMYFUNCTION("""COMPUTED_VALUE"""),"MELISSA ODOÑO")</f>
        <v>MELISSA ODOÑO</v>
      </c>
      <c r="C2102" s="235" t="str">
        <f>IFERROR(__xludf.DUMMYFUNCTION("""COMPUTED_VALUE"""),"LIBRARY COLLEGE")</f>
        <v>LIBRARY COLLEGE</v>
      </c>
      <c r="D2102" s="196" t="str">
        <f>IFERROR(__xludf.DUMMYFUNCTION("""COMPUTED_VALUE"""),"Supply Chain Management in Hospitality Industry, Transportation Management, Fundamentals in Lodging Operations, Entrepreneurship in Tourism &amp; Hospitality, Research in Tourism, Heritage Tourism")</f>
        <v>Supply Chain Management in Hospitality Industry, Transportation Management, Fundamentals in Lodging Operations, Entrepreneurship in Tourism &amp; Hospitality, Research in Tourism, Heritage Tourism</v>
      </c>
      <c r="E2102" s="196" t="str">
        <f>IFERROR(__xludf.DUMMYFUNCTION("""COMPUTED_VALUE"""),"LIBRARY'S COPY AY 2021-2022 FOR FACULTY/MGT/STAFF USE
C")</f>
        <v>LIBRARY'S COPY AY 2021-2022 FOR FACULTY/MGT/STAFF USE
C</v>
      </c>
    </row>
    <row r="2103">
      <c r="A2103" s="234">
        <f>IFERROR(__xludf.DUMMYFUNCTION("""COMPUTED_VALUE"""),102394.0)</f>
        <v>102394</v>
      </c>
      <c r="B2103" s="235" t="str">
        <f>IFERROR(__xludf.DUMMYFUNCTION("""COMPUTED_VALUE"""),"OWIE PAR")</f>
        <v>OWIE PAR</v>
      </c>
      <c r="C2103" s="235" t="str">
        <f>IFERROR(__xludf.DUMMYFUNCTION("""COMPUTED_VALUE"""),"ENGINEERING")</f>
        <v>ENGINEERING</v>
      </c>
      <c r="D2103" s="196" t="str">
        <f>IFERROR(__xludf.DUMMYFUNCTION("""COMPUTED_VALUE"""),"PILLOW BLOCK #205,  GI TUBULAR 2X2X2, BOLT AND NUTS 3/8 X 2 W/ 8 PCS. WASHER, HACK SAW BLADE ")</f>
        <v>PILLOW BLOCK #205,  GI TUBULAR 2X2X2, BOLT AND NUTS 3/8 X 2 W/ 8 PCS. WASHER, HACK SAW BLADE </v>
      </c>
      <c r="E2103" s="196" t="str">
        <f>IFERROR(__xludf.DUMMYFUNCTION("""COMPUTED_VALUE"""),"FOR REPAIR OF GATE 1")</f>
        <v>FOR REPAIR OF GATE 1</v>
      </c>
    </row>
    <row r="2104">
      <c r="A2104" s="234">
        <f>IFERROR(__xludf.DUMMYFUNCTION("""COMPUTED_VALUE"""),102395.0)</f>
        <v>102395</v>
      </c>
      <c r="B2104" s="235" t="str">
        <f>IFERROR(__xludf.DUMMYFUNCTION("""COMPUTED_VALUE"""),"MELISSA N. ODONO/MERSHEIL P. BALELA")</f>
        <v>MELISSA N. ODONO/MERSHEIL P. BALELA</v>
      </c>
      <c r="C2104" s="235" t="str">
        <f>IFERROR(__xludf.DUMMYFUNCTION("""COMPUTED_VALUE"""),"LIBRARY")</f>
        <v>LIBRARY</v>
      </c>
      <c r="D2104" s="196" t="str">
        <f>IFERROR(__xludf.DUMMYFUNCTION("""COMPUTED_VALUE"""),"GOVERNANCE, BUSINESS ETHICS, RISK MANAGEMENT &amp; INTERNAL CONTROL
MANAGEMENT SCIENCE
BASIC MICROECONOMICS
GOOD GOVERNANCE AND SOCIAL RESPONSIBILITY
BUSINESS RESEARCH WITH STATISTICAL APPLICATION; TEXTBOOK AND GUIDEBOOKFOR DOING &amp; WRITING RESEARCH
STRATEGIC "&amp;"MANAGEMENT
HUMAN RESOURCES MANAGEMENT
OPERATION &amp; TOOL QUALITY MANAGEMENT")</f>
        <v>GOVERNANCE, BUSINESS ETHICS, RISK MANAGEMENT &amp; INTERNAL CONTROL
MANAGEMENT SCIENCE
BASIC MICROECONOMICS
GOOD GOVERNANCE AND SOCIAL RESPONSIBILITY
BUSINESS RESEARCH WITH STATISTICAL APPLICATION; TEXTBOOK AND GUIDEBOOKFOR DOING &amp; WRITING RESEARCH
STRATEGIC MANAGEMENT
HUMAN RESOURCES MANAGEMENT
OPERATION &amp; TOOL QUALITY MANAGEMENT</v>
      </c>
      <c r="E2104" s="196" t="str">
        <f>IFERROR(__xludf.DUMMYFUNCTION("""COMPUTED_VALUE"""),"LIBRARY' COPY AY 2021-2022 FOR FACULTY/MGT/STAFF USE")</f>
        <v>LIBRARY' COPY AY 2021-2022 FOR FACULTY/MGT/STAFF USE</v>
      </c>
    </row>
    <row r="2105">
      <c r="A2105" s="234">
        <f>IFERROR(__xludf.DUMMYFUNCTION("""COMPUTED_VALUE"""),102396.0)</f>
        <v>102396</v>
      </c>
      <c r="B2105" s="235" t="str">
        <f>IFERROR(__xludf.DUMMYFUNCTION("""COMPUTED_VALUE"""),"MELISSA N. ODONO/MERSHEIL P. BALELA")</f>
        <v>MELISSA N. ODONO/MERSHEIL P. BALELA</v>
      </c>
      <c r="C2105" s="235" t="str">
        <f>IFERROR(__xludf.DUMMYFUNCTION("""COMPUTED_VALUE"""),"LIBRARY")</f>
        <v>LIBRARY</v>
      </c>
      <c r="D2105" s="196" t="str">
        <f>IFERROR(__xludf.DUMMYFUNCTION("""COMPUTED_VALUE"""),"COST ACCOUNTING AND CONTROL
INCOME TAXATION 
COMPENSATION ADMINISTRATION
REGUALATORY FRAMEWORK FOR BUSINESS TRANSACTION (RFTB) MCQ CPA REVIEWER
INCOME TAXATION 
BUSINESS AND TRANSFER TAXATION 
REG FRAMEWORK AND LEGAL ISSUES IN BUSINESS IN BUSINESS 1")</f>
        <v>COST ACCOUNTING AND CONTROL
INCOME TAXATION 
COMPENSATION ADMINISTRATION
REGUALATORY FRAMEWORK FOR BUSINESS TRANSACTION (RFTB) MCQ CPA REVIEWER
INCOME TAXATION 
BUSINESS AND TRANSFER TAXATION 
REG FRAMEWORK AND LEGAL ISSUES IN BUSINESS IN BUSINESS 1</v>
      </c>
      <c r="E2105" s="196" t="str">
        <f>IFERROR(__xludf.DUMMYFUNCTION("""COMPUTED_VALUE"""),"LIBRARY' COPY AY 2021-2022 FOR FACULTY/MGT/STAFF USE")</f>
        <v>LIBRARY' COPY AY 2021-2022 FOR FACULTY/MGT/STAFF USE</v>
      </c>
    </row>
    <row r="2106">
      <c r="A2106" s="234">
        <f>IFERROR(__xludf.DUMMYFUNCTION("""COMPUTED_VALUE"""),102397.0)</f>
        <v>102397</v>
      </c>
      <c r="B2106" s="235" t="str">
        <f>IFERROR(__xludf.DUMMYFUNCTION("""COMPUTED_VALUE"""),"MELISSA N. ODONO/MERSHEIL P. BALELA")</f>
        <v>MELISSA N. ODONO/MERSHEIL P. BALELA</v>
      </c>
      <c r="C2106" s="235" t="str">
        <f>IFERROR(__xludf.DUMMYFUNCTION("""COMPUTED_VALUE"""),"LIBRARY")</f>
        <v>LIBRARY</v>
      </c>
      <c r="D2106" s="196" t="str">
        <f>IFERROR(__xludf.DUMMYFUNCTION("""COMPUTED_VALUE"""),"BUSINESS LAW AND REGULATION
REG REAMEWORK AND LEGAL ISSUES IN BUSENESS 1 (2ND EDITION)
THE LAW ON OBLIGATION AND CONTRACTS
PARTNERSHIP REVISED CORPORATION AND COOPERATIVE
REG FRAMEWORK AND LEGAL ISSUES IN BUSINESS 2
THE LAW ON OBLIGATION AND CONTRACTS
BUS"&amp;"INESS LAWS AND REGULATION: PARTNERSHIP REVISED CORPORATION AND COOPERATIVE
STUDENT MANUAL IN THE PHILIPPINE CONSTITUTION
CONSTITUTION MAD SIMPLE")</f>
        <v>BUSINESS LAW AND REGULATION
REG REAMEWORK AND LEGAL ISSUES IN BUSENESS 1 (2ND EDITION)
THE LAW ON OBLIGATION AND CONTRACTS
PARTNERSHIP REVISED CORPORATION AND COOPERATIVE
REG FRAMEWORK AND LEGAL ISSUES IN BUSINESS 2
THE LAW ON OBLIGATION AND CONTRACTS
BUSINESS LAWS AND REGULATION: PARTNERSHIP REVISED CORPORATION AND COOPERATIVE
STUDENT MANUAL IN THE PHILIPPINE CONSTITUTION
CONSTITUTION MAD SIMPLE</v>
      </c>
      <c r="E2106" s="196" t="str">
        <f>IFERROR(__xludf.DUMMYFUNCTION("""COMPUTED_VALUE"""),"LIBRARY' COPY AY 2021-2022 FOR FACULTY/MGT/STAFF USE")</f>
        <v>LIBRARY' COPY AY 2021-2022 FOR FACULTY/MGT/STAFF USE</v>
      </c>
    </row>
    <row r="2107">
      <c r="A2107" s="234">
        <f>IFERROR(__xludf.DUMMYFUNCTION("""COMPUTED_VALUE"""),102398.0)</f>
        <v>102398</v>
      </c>
      <c r="B2107" s="235" t="str">
        <f>IFERROR(__xludf.DUMMYFUNCTION("""COMPUTED_VALUE"""),"ADRIAN DE GUINTO")</f>
        <v>ADRIAN DE GUINTO</v>
      </c>
      <c r="C2107" s="235" t="str">
        <f>IFERROR(__xludf.DUMMYFUNCTION("""COMPUTED_VALUE"""),"PR &amp; MARKETING")</f>
        <v>PR &amp; MARKETING</v>
      </c>
      <c r="D2107" s="196" t="str">
        <f>IFERROR(__xludf.DUMMYFUNCTION("""COMPUTED_VALUE"""),"SPARK ATC BANNERS 15 X48 INCHES (DONGLIM PARK, GEN MARK TANNO, HYO SANG KWAK, MIGUEL ALZONA, SEAN BORJA")</f>
        <v>SPARK ATC BANNERS 15 X48 INCHES (DONGLIM PARK, GEN MARK TANNO, HYO SANG KWAK, MIGUEL ALZONA, SEAN BORJA</v>
      </c>
      <c r="E2107" s="196" t="str">
        <f>IFERROR(__xludf.DUMMYFUNCTION("""COMPUTED_VALUE"""),"FOR MARKETING PURPOSES")</f>
        <v>FOR MARKETING PURPOSES</v>
      </c>
    </row>
    <row r="2108">
      <c r="A2108" s="234">
        <f>IFERROR(__xludf.DUMMYFUNCTION("""COMPUTED_VALUE"""),102399.0)</f>
        <v>102399</v>
      </c>
      <c r="B2108" s="235" t="str">
        <f>IFERROR(__xludf.DUMMYFUNCTION("""COMPUTED_VALUE"""),"GARRY BATAO-EY")</f>
        <v>GARRY BATAO-EY</v>
      </c>
      <c r="C2108" s="235" t="str">
        <f>IFERROR(__xludf.DUMMYFUNCTION("""COMPUTED_VALUE"""),"MIS/ICT")</f>
        <v>MIS/ICT</v>
      </c>
      <c r="D2108" s="196" t="str">
        <f>IFERROR(__xludf.DUMMYFUNCTION("""COMPUTED_VALUE"""),"COMPUTER SET CORE I3 8 GB RAM  - ASUS TOWER  S500MC i3 desktop,  Processor: Intel core i3-10105 processor, stiorage: 1TB HDD +256 gb ssd Memory: 8 GB ram, Monitor 21.5""")</f>
        <v>COMPUTER SET CORE I3 8 GB RAM  - ASUS TOWER  S500MC i3 desktop,  Processor: Intel core i3-10105 processor, stiorage: 1TB HDD +256 gb ssd Memory: 8 GB ram, Monitor 21.5"</v>
      </c>
      <c r="E2108" s="196" t="str">
        <f>IFERROR(__xludf.DUMMYFUNCTION("""COMPUTED_VALUE"""),"ADDTL COMPUTER UNIT IN CEM'S OFFICE MAURINE")</f>
        <v>ADDTL COMPUTER UNIT IN CEM'S OFFICE MAURINE</v>
      </c>
    </row>
    <row r="2109">
      <c r="A2109" s="234">
        <f>IFERROR(__xludf.DUMMYFUNCTION("""COMPUTED_VALUE"""),102400.0)</f>
        <v>102400</v>
      </c>
      <c r="B2109" s="235" t="str">
        <f>IFERROR(__xludf.DUMMYFUNCTION("""COMPUTED_VALUE"""),"RONALD A. OBLENO")</f>
        <v>RONALD A. OBLENO</v>
      </c>
      <c r="C2109" s="235" t="str">
        <f>IFERROR(__xludf.DUMMYFUNCTION("""COMPUTED_VALUE"""),"MIS/ICT")</f>
        <v>MIS/ICT</v>
      </c>
      <c r="D2109" s="196" t="str">
        <f>IFERROR(__xludf.DUMMYFUNCTION("""COMPUTED_VALUE"""),"LED MONITOR 20"" VIEWSONIC (SYSAD UNIT, HELPDESK UNIT, DIGITAL UNIT, MISTECH01 UNIT)")</f>
        <v>LED MONITOR 20" VIEWSONIC (SYSAD UNIT, HELPDESK UNIT, DIGITAL UNIT, MISTECH01 UNIT)</v>
      </c>
      <c r="E2109" s="196" t="str">
        <f>IFERROR(__xludf.DUMMYFUNCTION("""COMPUTED_VALUE"""),"REPLACEMENT OF DEFECTIVE  &amp; ADDITIONAL MONITOR FOR DUAL SCREEN.  ")</f>
        <v>REPLACEMENT OF DEFECTIVE  &amp; ADDITIONAL MONITOR FOR DUAL SCREEN.  </v>
      </c>
    </row>
    <row r="2110">
      <c r="A2110" s="234">
        <f>IFERROR(__xludf.DUMMYFUNCTION("""COMPUTED_VALUE"""),102401.0)</f>
        <v>102401</v>
      </c>
      <c r="B2110" s="235" t="str">
        <f>IFERROR(__xludf.DUMMYFUNCTION("""COMPUTED_VALUE"""),"LUCILLE R. BEYER")</f>
        <v>LUCILLE R. BEYER</v>
      </c>
      <c r="C2110" s="235" t="str">
        <f>IFERROR(__xludf.DUMMYFUNCTION("""COMPUTED_VALUE"""),"MEDICAL")</f>
        <v>MEDICAL</v>
      </c>
      <c r="D2110" s="196" t="str">
        <f>IFERROR(__xludf.DUMMYFUNCTION("""COMPUTED_VALUE"""),"NEOSEP, CETERIZINE 10 MG, ADVIL, ELASTIC BANDAGES 4 INCHES, ELASTIC BANDAGES 6 INCHES, DISPOSABLE MASK, LYSOL 510G")</f>
        <v>NEOSEP, CETERIZINE 10 MG, ADVIL, ELASTIC BANDAGES 4 INCHES, ELASTIC BANDAGES 6 INCHES, DISPOSABLE MASK, LYSOL 510G</v>
      </c>
      <c r="E2110" s="196" t="str">
        <f>IFERROR(__xludf.DUMMYFUNCTION("""COMPUTED_VALUE"""),"REPLENISHMENT OF MEDS &amp; CLINIC SUPPLIES FOR USE IN 2 CLINICS")</f>
        <v>REPLENISHMENT OF MEDS &amp; CLINIC SUPPLIES FOR USE IN 2 CLINICS</v>
      </c>
    </row>
    <row r="2111">
      <c r="A2111" s="234">
        <f>IFERROR(__xludf.DUMMYFUNCTION("""COMPUTED_VALUE"""),102402.0)</f>
        <v>102402</v>
      </c>
      <c r="B2111" s="235" t="str">
        <f>IFERROR(__xludf.DUMMYFUNCTION("""COMPUTED_VALUE"""),"KENNETH ANCERMO")</f>
        <v>KENNETH ANCERMO</v>
      </c>
      <c r="C2111" s="235" t="str">
        <f>IFERROR(__xludf.DUMMYFUNCTION("""COMPUTED_VALUE"""),"AMD")</f>
        <v>AMD</v>
      </c>
      <c r="D2111" s="196" t="str">
        <f>IFERROR(__xludf.DUMMYFUNCTION("""COMPUTED_VALUE"""),"Capacitor 2 uF, FREON R22")</f>
        <v>Capacitor 2 uF, FREON R22</v>
      </c>
      <c r="E2111" s="196" t="str">
        <f>IFERROR(__xludf.DUMMYFUNCTION("""COMPUTED_VALUE"""),"Stock replenishment of Engineering Supplies")</f>
        <v>Stock replenishment of Engineering Supplies</v>
      </c>
    </row>
    <row r="2112">
      <c r="A2112" s="234">
        <f>IFERROR(__xludf.DUMMYFUNCTION("""COMPUTED_VALUE"""),102403.0)</f>
        <v>102403</v>
      </c>
      <c r="B2112" s="235" t="str">
        <f>IFERROR(__xludf.DUMMYFUNCTION("""COMPUTED_VALUE"""),"KENNETH ANCERMO")</f>
        <v>KENNETH ANCERMO</v>
      </c>
      <c r="C2112" s="235" t="str">
        <f>IFERROR(__xludf.DUMMYFUNCTION("""COMPUTED_VALUE"""),"AMD")</f>
        <v>AMD</v>
      </c>
      <c r="D2112" s="196" t="str">
        <f>IFERROR(__xludf.DUMMYFUNCTION("""COMPUTED_VALUE"""),"Toilet seat cover color white ")</f>
        <v>Toilet seat cover color white </v>
      </c>
      <c r="E2112" s="196" t="str">
        <f>IFERROR(__xludf.DUMMYFUNCTION("""COMPUTED_VALUE"""),"Stock replenishment of Engineering Supplies")</f>
        <v>Stock replenishment of Engineering Supplies</v>
      </c>
    </row>
    <row r="2113">
      <c r="A2113" s="234">
        <f>IFERROR(__xludf.DUMMYFUNCTION("""COMPUTED_VALUE"""),102404.0)</f>
        <v>102404</v>
      </c>
      <c r="B2113" s="235" t="str">
        <f>IFERROR(__xludf.DUMMYFUNCTION("""COMPUTED_VALUE"""),"KENNETH ANCERMO")</f>
        <v>KENNETH ANCERMO</v>
      </c>
      <c r="C2113" s="235" t="str">
        <f>IFERROR(__xludf.DUMMYFUNCTION("""COMPUTED_VALUE"""),"AMD")</f>
        <v>AMD</v>
      </c>
      <c r="D2113" s="196" t="str">
        <f>IFERROR(__xludf.DUMMYFUNCTION("""COMPUTED_VALUE"""),"EZ Labeller")</f>
        <v>EZ Labeller</v>
      </c>
      <c r="E2113" s="196" t="str">
        <f>IFERROR(__xludf.DUMMYFUNCTION("""COMPUTED_VALUE"""),"Stock replenishment for MIS")</f>
        <v>Stock replenishment for MIS</v>
      </c>
    </row>
    <row r="2114">
      <c r="A2114" s="234">
        <f>IFERROR(__xludf.DUMMYFUNCTION("""COMPUTED_VALUE"""),102405.0)</f>
        <v>102405</v>
      </c>
      <c r="B2114" s="235" t="str">
        <f>IFERROR(__xludf.DUMMYFUNCTION("""COMPUTED_VALUE"""),"JULIUS PAGDATO")</f>
        <v>JULIUS PAGDATO</v>
      </c>
      <c r="C2114" s="235" t="str">
        <f>IFERROR(__xludf.DUMMYFUNCTION("""COMPUTED_VALUE"""),"AV/MIS")</f>
        <v>AV/MIS</v>
      </c>
      <c r="D2114" s="196" t="str">
        <f>IFERROR(__xludf.DUMMYFUNCTION("""COMPUTED_VALUE"""),"KOSS SB45 USB HEADSET")</f>
        <v>KOSS SB45 USB HEADSET</v>
      </c>
      <c r="E2114" s="196" t="str">
        <f>IFERROR(__xludf.DUMMYFUNCTION("""COMPUTED_VALUE"""),"VOLT TEACHER STATION HEADSET TO REDUCE BACKGROUND NOISE DURING CLASSES ")</f>
        <v>VOLT TEACHER STATION HEADSET TO REDUCE BACKGROUND NOISE DURING CLASSES </v>
      </c>
    </row>
    <row r="2115">
      <c r="A2115" s="234">
        <f>IFERROR(__xludf.DUMMYFUNCTION("""COMPUTED_VALUE"""),102406.0)</f>
        <v>102406</v>
      </c>
      <c r="B2115" s="235" t="str">
        <f>IFERROR(__xludf.DUMMYFUNCTION("""COMPUTED_VALUE"""),"ALFA DE LEON")</f>
        <v>ALFA DE LEON</v>
      </c>
      <c r="C2115" s="235" t="str">
        <f>IFERROR(__xludf.DUMMYFUNCTION("""COMPUTED_VALUE"""),"ADMIN")</f>
        <v>ADMIN</v>
      </c>
      <c r="D2115" s="196" t="str">
        <f>IFERROR(__xludf.DUMMYFUNCTION("""COMPUTED_VALUE"""),"FAN MOTOR ACU, MODEL # CS PC24DKQ SERIAL # 7160202285")</f>
        <v>FAN MOTOR ACU, MODEL # CS PC24DKQ SERIAL # 7160202285</v>
      </c>
      <c r="E2115" s="196" t="str">
        <f>IFERROR(__xludf.DUMMYFUNCTION("""COMPUTED_VALUE"""),"REPLACEMENT OF THE NOISY FAN MOTOR OF ACU IN MUNICH LIBRARY WALL MOUNTED")</f>
        <v>REPLACEMENT OF THE NOISY FAN MOTOR OF ACU IN MUNICH LIBRARY WALL MOUNTED</v>
      </c>
    </row>
    <row r="2116">
      <c r="A2116" s="234">
        <f>IFERROR(__xludf.DUMMYFUNCTION("""COMPUTED_VALUE"""),102407.0)</f>
        <v>102407</v>
      </c>
      <c r="B2116" s="235" t="str">
        <f>IFERROR(__xludf.DUMMYFUNCTION("""COMPUTED_VALUE"""),"MARIEL ESTANISLAO")</f>
        <v>MARIEL ESTANISLAO</v>
      </c>
      <c r="C2116" s="235" t="str">
        <f>IFERROR(__xludf.DUMMYFUNCTION("""COMPUTED_VALUE"""),"FINANCE &amp; ACCOUNTING")</f>
        <v>FINANCE &amp; ACCOUNTING</v>
      </c>
      <c r="D2116" s="196" t="str">
        <f>IFERROR(__xludf.DUMMYFUNCTION("""COMPUTED_VALUE"""),"TRODAT PRINTY 4727 BLACK, TRODAT PRINTY 4910 BLACK ")</f>
        <v>TRODAT PRINTY 4727 BLACK, TRODAT PRINTY 4910 BLACK </v>
      </c>
      <c r="E2116" s="196" t="str">
        <f>IFERROR(__xludf.DUMMYFUNCTION("""COMPUTED_VALUE"""),"FOR OFFICE TRANSACTIONS")</f>
        <v>FOR OFFICE TRANSACTIONS</v>
      </c>
    </row>
    <row r="2117">
      <c r="A2117" s="234">
        <f>IFERROR(__xludf.DUMMYFUNCTION("""COMPUTED_VALUE"""),102408.0)</f>
        <v>102408</v>
      </c>
      <c r="B2117" s="235" t="str">
        <f>IFERROR(__xludf.DUMMYFUNCTION("""COMPUTED_VALUE"""),"CARLITO DELA VEGA")</f>
        <v>CARLITO DELA VEGA</v>
      </c>
      <c r="C2117" s="235" t="str">
        <f>IFERROR(__xludf.DUMMYFUNCTION("""COMPUTED_VALUE"""),"SECURITY")</f>
        <v>SECURITY</v>
      </c>
      <c r="D2117" s="196" t="str">
        <f>IFERROR(__xludf.DUMMYFUNCTION("""COMPUTED_VALUE"""),"REFLECTORIZED STICKER 50 PT. PURPLE ")</f>
        <v>REFLECTORIZED STICKER 50 PT. PURPLE </v>
      </c>
      <c r="E2117" s="196" t="str">
        <f>IFERROR(__xludf.DUMMYFUNCTION("""COMPUTED_VALUE"""),"FOR TRUNCHEON POST, ADDITIONAL STICKER ")</f>
        <v>FOR TRUNCHEON POST, ADDITIONAL STICKER </v>
      </c>
    </row>
    <row r="2118">
      <c r="A2118" s="234">
        <f>IFERROR(__xludf.DUMMYFUNCTION("""COMPUTED_VALUE"""),102409.0)</f>
        <v>102409</v>
      </c>
      <c r="B2118" s="235" t="str">
        <f>IFERROR(__xludf.DUMMYFUNCTION("""COMPUTED_VALUE"""),"KENNETH JAMES ANCERMO")</f>
        <v>KENNETH JAMES ANCERMO</v>
      </c>
      <c r="C2118" s="235" t="str">
        <f>IFERROR(__xludf.DUMMYFUNCTION("""COMPUTED_VALUE"""),"AMD")</f>
        <v>AMD</v>
      </c>
      <c r="D2118" s="196" t="str">
        <f>IFERROR(__xludf.DUMMYFUNCTION("""COMPUTED_VALUE"""),"Record Book, 500 Pages, Record Book, 300 Pages, Ballpen, Panda Black")</f>
        <v>Record Book, 500 Pages, Record Book, 300 Pages, Ballpen, Panda Black</v>
      </c>
      <c r="E2118" s="196" t="str">
        <f>IFERROR(__xludf.DUMMYFUNCTION("""COMPUTED_VALUE"""),"Stock replenishment of OSSUP")</f>
        <v>Stock replenishment of OSSUP</v>
      </c>
    </row>
    <row r="2119">
      <c r="A2119" s="234">
        <f>IFERROR(__xludf.DUMMYFUNCTION("""COMPUTED_VALUE"""),102410.0)</f>
        <v>102410</v>
      </c>
      <c r="B2119" s="235" t="str">
        <f>IFERROR(__xludf.DUMMYFUNCTION("""COMPUTED_VALUE"""),"JOSEPHINE PETIN")</f>
        <v>JOSEPHINE PETIN</v>
      </c>
      <c r="C2119" s="235" t="str">
        <f>IFERROR(__xludf.DUMMYFUNCTION("""COMPUTED_VALUE"""),"ADMIN - STAR")</f>
        <v>ADMIN - STAR</v>
      </c>
      <c r="D2119" s="196" t="str">
        <f>IFERROR(__xludf.DUMMYFUNCTION("""COMPUTED_VALUE"""),"METAL CART")</f>
        <v>METAL CART</v>
      </c>
      <c r="E2119" s="196" t="str">
        <f>IFERROR(__xludf.DUMMYFUNCTION("""COMPUTED_VALUE"""),"FOR STAR CAMPUS CART")</f>
        <v>FOR STAR CAMPUS CART</v>
      </c>
    </row>
    <row r="2120">
      <c r="A2120" s="234">
        <f>IFERROR(__xludf.DUMMYFUNCTION("""COMPUTED_VALUE"""),102411.0)</f>
        <v>102411</v>
      </c>
      <c r="B2120" s="235" t="str">
        <f>IFERROR(__xludf.DUMMYFUNCTION("""COMPUTED_VALUE"""),"KENNETH JAMES ANCERMO")</f>
        <v>KENNETH JAMES ANCERMO</v>
      </c>
      <c r="C2120" s="235" t="str">
        <f>IFERROR(__xludf.DUMMYFUNCTION("""COMPUTED_VALUE"""),"AMD")</f>
        <v>AMD</v>
      </c>
      <c r="D2120" s="196" t="str">
        <f>IFERROR(__xludf.DUMMYFUNCTION("""COMPUTED_VALUE"""),"Mifare 1k bit - contactless card  Model IOT CRDM65 ")</f>
        <v>Mifare 1k bit - contactless card  Model IOT CRDM65 </v>
      </c>
      <c r="E2120" s="196" t="str">
        <f>IFERROR(__xludf.DUMMYFUNCTION("""COMPUTED_VALUE"""),"Stock replenishment - Materials for the production of ID of Students and employees for the AY 2022-2023")</f>
        <v>Stock replenishment - Materials for the production of ID of Students and employees for the AY 2022-2023</v>
      </c>
    </row>
    <row r="2121">
      <c r="A2121" s="234">
        <f>IFERROR(__xludf.DUMMYFUNCTION("""COMPUTED_VALUE"""),102412.0)</f>
        <v>102412</v>
      </c>
      <c r="B2121" s="235" t="str">
        <f>IFERROR(__xludf.DUMMYFUNCTION("""COMPUTED_VALUE"""),"CAROL LACERNA")</f>
        <v>CAROL LACERNA</v>
      </c>
      <c r="C2121" s="235" t="str">
        <f>IFERROR(__xludf.DUMMYFUNCTION("""COMPUTED_VALUE"""),"STUFFSHOP")</f>
        <v>STUFFSHOP</v>
      </c>
      <c r="D2121" s="196" t="str">
        <f>IFERROR(__xludf.DUMMYFUNCTION("""COMPUTED_VALUE"""),"1. STANFORD SKILL BOOK MATH - C (JK)
2. STANFORD SKILL BOOK MATH - D (SK)
3. G1, MY ABC OF EQ
4. G1, MY ABC OF ACT
5. G2, MY FAMILY AND I EQ
6. G2, I CAN DO IT ACT
7. G3, ALL ABOUT ME EQ
8. G3, THE ACHIEVER IN ME ACT
9. G4, I AM ME EQ
10, G4, I AM ME ACT
"&amp;"11. G5, JOURNEYING ITO ME EQ
12. G5, JOURNEYING ITO ME ACT
13. G6, THE WHOLE OF ME EQ
14. G6, THE WHOLE OF ME ACT
15. G7, MY EQ FACTOR
16. G7, MY ACHIEVEMENT JOURNEY
17. G8, I AM GIFT 
19. G9, THE JOY OF BEING ME EQ
20. G9, THE JOY OF BEING ME ACT
21. G10"&amp;", ONE STEP AT A TIME EQ
22. G10, ONE STEP AT A TIME ACT
23. G11, ONE BIG LEAP EQ-ACT AND CAREER GUIDANCE WORKBOOK
24. G12, SOARING HIGH: EQ-ACT CAREER GUIDANCE WORKBOOK
25. G3, CURSIVE WRITING
26. G4, CURSIVE WRITING
27. G5, CURSIVE WRITING")</f>
        <v>1. STANFORD SKILL BOOK MATH - C (JK)
2. STANFORD SKILL BOOK MATH - D (SK)
3. G1, MY ABC OF EQ
4. G1, MY ABC OF ACT
5. G2, MY FAMILY AND I EQ
6. G2, I CAN DO IT ACT
7. G3, ALL ABOUT ME EQ
8. G3, THE ACHIEVER IN ME ACT
9. G4, I AM ME EQ
10, G4, I AM ME ACT
11. G5, JOURNEYING ITO ME EQ
12. G5, JOURNEYING ITO ME ACT
13. G6, THE WHOLE OF ME EQ
14. G6, THE WHOLE OF ME ACT
15. G7, MY EQ FACTOR
16. G7, MY ACHIEVEMENT JOURNEY
17. G8, I AM GIFT 
19. G9, THE JOY OF BEING ME EQ
20. G9, THE JOY OF BEING ME ACT
21. G10, ONE STEP AT A TIME EQ
22. G10, ONE STEP AT A TIME ACT
23. G11, ONE BIG LEAP EQ-ACT AND CAREER GUIDANCE WORKBOOK
24. G12, SOARING HIGH: EQ-ACT CAREER GUIDANCE WORKBOOK
25. G3, CURSIVE WRITING
26. G4, CURSIVE WRITING
27. G5, CURSIVE WRITING</v>
      </c>
      <c r="E2121" s="196" t="str">
        <f>IFERROR(__xludf.DUMMYFUNCTION("""COMPUTED_VALUE"""),"BOOKS FOR THE ACADEMIC YEAR 2022-2023")</f>
        <v>BOOKS FOR THE ACADEMIC YEAR 2022-2023</v>
      </c>
    </row>
    <row r="2122">
      <c r="A2122" s="234">
        <f>IFERROR(__xludf.DUMMYFUNCTION("""COMPUTED_VALUE"""),102413.0)</f>
        <v>102413</v>
      </c>
      <c r="B2122" s="235" t="str">
        <f>IFERROR(__xludf.DUMMYFUNCTION("""COMPUTED_VALUE"""),"ADRIAN DE GUINTO ")</f>
        <v>ADRIAN DE GUINTO </v>
      </c>
      <c r="C2122" s="235" t="str">
        <f>IFERROR(__xludf.DUMMYFUNCTION("""COMPUTED_VALUE"""),"PR &amp; MARKETING")</f>
        <v>PR &amp; MARKETING</v>
      </c>
      <c r="D2122" s="196" t="str">
        <f>IFERROR(__xludf.DUMMYFUNCTION("""COMPUTED_VALUE"""),"FOOD FEST TARP (6.5 X 13.5 FT), FOOD FEST X-STAND (2X6 FT), PANEL BOARD TARP (61.5 X 33 INCHES), PHOTO BOOTH BACKDROP (95 X 98 INCHES)")</f>
        <v>FOOD FEST TARP (6.5 X 13.5 FT), FOOD FEST X-STAND (2X6 FT), PANEL BOARD TARP (61.5 X 33 INCHES), PHOTO BOOTH BACKDROP (95 X 98 INCHES)</v>
      </c>
      <c r="E2122" s="196" t="str">
        <f>IFERROR(__xludf.DUMMYFUNCTION("""COMPUTED_VALUE"""),"FOR SUMMER FOOD FEST EVENT ")</f>
        <v>FOR SUMMER FOOD FEST EVENT </v>
      </c>
    </row>
    <row r="2123">
      <c r="A2123" s="234">
        <f>IFERROR(__xludf.DUMMYFUNCTION("""COMPUTED_VALUE"""),102414.0)</f>
        <v>102414</v>
      </c>
      <c r="B2123" s="235" t="str">
        <f>IFERROR(__xludf.DUMMYFUNCTION("""COMPUTED_VALUE"""),"Jeremiah Tirol")</f>
        <v>Jeremiah Tirol</v>
      </c>
      <c r="C2123" s="235" t="str">
        <f>IFERROR(__xludf.DUMMYFUNCTION("""COMPUTED_VALUE"""),"SCIENCE LAB COLLEGE")</f>
        <v>SCIENCE LAB COLLEGE</v>
      </c>
      <c r="D2123" s="196" t="str">
        <f>IFERROR(__xludf.DUMMYFUNCTION("""COMPUTED_VALUE"""),"KY JELLY (50 GRAMS TUBE) 2PCS; SPRAY BOTTLE 250 ML 2PCS; BETADINE WOUND SOLUTION 20ML 6 PCS; BAND AID 100 PCS; HYDROGEN PEROXIDE 250 ML 6 PCS; BURN OINTMENT TUBES (30 GRAMS) SILVER SULFADIZINE 3 TUBES;")</f>
        <v>KY JELLY (50 GRAMS TUBE) 2PCS; SPRAY BOTTLE 250 ML 2PCS; BETADINE WOUND SOLUTION 20ML 6 PCS; BAND AID 100 PCS; HYDROGEN PEROXIDE 250 ML 6 PCS; BURN OINTMENT TUBES (30 GRAMS) SILVER SULFADIZINE 3 TUBES;</v>
      </c>
      <c r="E2123" s="196" t="str">
        <f>IFERROR(__xludf.DUMMYFUNCTION("""COMPUTED_VALUE"""),"preparation for face to face of Nursing students")</f>
        <v>preparation for face to face of Nursing students</v>
      </c>
    </row>
    <row r="2124">
      <c r="A2124" s="234">
        <f>IFERROR(__xludf.DUMMYFUNCTION("""COMPUTED_VALUE"""),102415.0)</f>
        <v>102415</v>
      </c>
      <c r="B2124" s="235" t="str">
        <f>IFERROR(__xludf.DUMMYFUNCTION("""COMPUTED_VALUE"""),"BELOY LEOPOLDO ")</f>
        <v>BELOY LEOPOLDO </v>
      </c>
      <c r="C2124" s="235" t="str">
        <f>IFERROR(__xludf.DUMMYFUNCTION("""COMPUTED_VALUE"""),"MIS/ICT")</f>
        <v>MIS/ICT</v>
      </c>
      <c r="D2124" s="196" t="str">
        <f>IFERROR(__xludf.DUMMYFUNCTION("""COMPUTED_VALUE"""),"FLAT CORD WIRE # 16 (BLK) OMNI 4 GANG UNIVERSAL OUTLET, OMNI 10A 250V PLUG")</f>
        <v>FLAT CORD WIRE # 16 (BLK) OMNI 4 GANG UNIVERSAL OUTLET, OMNI 10A 250V PLUG</v>
      </c>
      <c r="E2124" s="196" t="str">
        <f>IFERROR(__xludf.DUMMYFUNCTION("""COMPUTED_VALUE"""),"FOR EVENTS AND HYVOLT CLASSROOMS SET UP")</f>
        <v>FOR EVENTS AND HYVOLT CLASSROOMS SET UP</v>
      </c>
    </row>
    <row r="2125">
      <c r="A2125" s="234">
        <f>IFERROR(__xludf.DUMMYFUNCTION("""COMPUTED_VALUE"""),102416.0)</f>
        <v>102416</v>
      </c>
      <c r="B2125" s="235" t="str">
        <f>IFERROR(__xludf.DUMMYFUNCTION("""COMPUTED_VALUE"""),"RONALDO VERDE/OWIE PAR")</f>
        <v>RONALDO VERDE/OWIE PAR</v>
      </c>
      <c r="C2125" s="235" t="str">
        <f>IFERROR(__xludf.DUMMYFUNCTION("""COMPUTED_VALUE"""),"ADMIN")</f>
        <v>ADMIN</v>
      </c>
      <c r="D2125" s="196" t="str">
        <f>IFERROR(__xludf.DUMMYFUNCTION("""COMPUTED_VALUE"""),"MOTOLITE 4D")</f>
        <v>MOTOLITE 4D</v>
      </c>
      <c r="E2125" s="196" t="str">
        <f>IFERROR(__xludf.DUMMYFUNCTION("""COMPUTED_VALUE"""),"REPLACEMENT OF BUSTED BATTERIES OF COLLEGE GENSET")</f>
        <v>REPLACEMENT OF BUSTED BATTERIES OF COLLEGE GENSET</v>
      </c>
    </row>
    <row r="2126">
      <c r="A2126" s="234">
        <f>IFERROR(__xludf.DUMMYFUNCTION("""COMPUTED_VALUE"""),102417.0)</f>
        <v>102417</v>
      </c>
      <c r="B2126" s="235" t="str">
        <f>IFERROR(__xludf.DUMMYFUNCTION("""COMPUTED_VALUE"""),"RONALDO VERDE/OWIE PAR")</f>
        <v>RONALDO VERDE/OWIE PAR</v>
      </c>
      <c r="C2126" s="235" t="str">
        <f>IFERROR(__xludf.DUMMYFUNCTION("""COMPUTED_VALUE"""),"ADMIN")</f>
        <v>ADMIN</v>
      </c>
      <c r="D2126" s="196" t="str">
        <f>IFERROR(__xludf.DUMMYFUNCTION("""COMPUTED_VALUE"""),"MOTOLITE 4D")</f>
        <v>MOTOLITE 4D</v>
      </c>
      <c r="E2126" s="196" t="str">
        <f>IFERROR(__xludf.DUMMYFUNCTION("""COMPUTED_VALUE"""),"REPLACEMENT OF BUSTED BATTERIES OF MUNICH GENSET")</f>
        <v>REPLACEMENT OF BUSTED BATTERIES OF MUNICH GENSET</v>
      </c>
    </row>
    <row r="2127">
      <c r="A2127" s="234">
        <f>IFERROR(__xludf.DUMMYFUNCTION("""COMPUTED_VALUE"""),102418.0)</f>
        <v>102418</v>
      </c>
      <c r="B2127" s="235" t="str">
        <f>IFERROR(__xludf.DUMMYFUNCTION("""COMPUTED_VALUE"""),"RONALDO VERDE/OWIE PAR")</f>
        <v>RONALDO VERDE/OWIE PAR</v>
      </c>
      <c r="C2127" s="235" t="str">
        <f>IFERROR(__xludf.DUMMYFUNCTION("""COMPUTED_VALUE"""),"ADMIN")</f>
        <v>ADMIN</v>
      </c>
      <c r="D2127" s="196" t="str">
        <f>IFERROR(__xludf.DUMMYFUNCTION("""COMPUTED_VALUE"""),"6SMF / N100 MOTOLITE TRUCKMASTER BATTERY ")</f>
        <v>6SMF / N100 MOTOLITE TRUCKMASTER BATTERY </v>
      </c>
      <c r="E2127" s="196" t="str">
        <f>IFERROR(__xludf.DUMMYFUNCTION("""COMPUTED_VALUE"""),"REPLACEMENT OF BUSTED BATTERIES OF LUXEMBOURG GENSET")</f>
        <v>REPLACEMENT OF BUSTED BATTERIES OF LUXEMBOURG GENSET</v>
      </c>
    </row>
    <row r="2128">
      <c r="A2128" s="234">
        <f>IFERROR(__xludf.DUMMYFUNCTION("""COMPUTED_VALUE"""),102419.0)</f>
        <v>102419</v>
      </c>
      <c r="B2128" s="235" t="str">
        <f>IFERROR(__xludf.DUMMYFUNCTION("""COMPUTED_VALUE"""),"ELYDIA REYES")</f>
        <v>ELYDIA REYES</v>
      </c>
      <c r="C2128" s="235" t="str">
        <f>IFERROR(__xludf.DUMMYFUNCTION("""COMPUTED_VALUE"""),"PR &amp; MARKETING")</f>
        <v>PR &amp; MARKETING</v>
      </c>
      <c r="D2128" s="196" t="str">
        <f>IFERROR(__xludf.DUMMYFUNCTION("""COMPUTED_VALUE"""),"COLLEGE BANNERS 2X5 FT. WITH EYELET AND SEAMING ON 4 CORNERS ")</f>
        <v>COLLEGE BANNERS 2X5 FT. WITH EYELET AND SEAMING ON 4 CORNERS </v>
      </c>
      <c r="E2128" s="196" t="str">
        <f>IFERROR(__xludf.DUMMYFUNCTION("""COMPUTED_VALUE"""),"FOR MARKETING")</f>
        <v>FOR MARKETING</v>
      </c>
    </row>
    <row r="2129">
      <c r="A2129" s="234">
        <f>IFERROR(__xludf.DUMMYFUNCTION("""COMPUTED_VALUE"""),102420.0)</f>
        <v>102420</v>
      </c>
      <c r="B2129" s="235" t="str">
        <f>IFERROR(__xludf.DUMMYFUNCTION("""COMPUTED_VALUE"""),"ELYDIA REYES")</f>
        <v>ELYDIA REYES</v>
      </c>
      <c r="C2129" s="235" t="str">
        <f>IFERROR(__xludf.DUMMYFUNCTION("""COMPUTED_VALUE"""),"PR &amp; MARKETING")</f>
        <v>PR &amp; MARKETING</v>
      </c>
      <c r="D2129" s="196" t="str">
        <f>IFERROR(__xludf.DUMMYFUNCTION("""COMPUTED_VALUE"""),"NOTEPAD WITH 20 SHEETS ")</f>
        <v>NOTEPAD WITH 20 SHEETS </v>
      </c>
      <c r="E2129" s="196" t="str">
        <f>IFERROR(__xludf.DUMMYFUNCTION("""COMPUTED_VALUE"""),"FOR THE OPEN HOUSE ")</f>
        <v>FOR THE OPEN HOUSE </v>
      </c>
    </row>
    <row r="2130">
      <c r="A2130" s="234">
        <f>IFERROR(__xludf.DUMMYFUNCTION("""COMPUTED_VALUE"""),102421.0)</f>
        <v>102421</v>
      </c>
      <c r="B2130" s="235" t="str">
        <f>IFERROR(__xludf.DUMMYFUNCTION("""COMPUTED_VALUE"""),"CHRISTIAN ANDRES/ ELYDIA REYES ")</f>
        <v>CHRISTIAN ANDRES/ ELYDIA REYES </v>
      </c>
      <c r="C2130" s="235" t="str">
        <f>IFERROR(__xludf.DUMMYFUNCTION("""COMPUTED_VALUE"""),"PR &amp; MARKETING")</f>
        <v>PR &amp; MARKETING</v>
      </c>
      <c r="D2130" s="196" t="str">
        <f>IFERROR(__xludf.DUMMYFUNCTION("""COMPUTED_VALUE"""),"2 PCS. STUDIO LIGHTING SOFTBOX 50X 70 CM PHOTOGRAPHY KIT WITH 2M LIGHT STAND FOR MOBILE SHOOTS AND OFFSITE")</f>
        <v>2 PCS. STUDIO LIGHTING SOFTBOX 50X 70 CM PHOTOGRAPHY KIT WITH 2M LIGHT STAND FOR MOBILE SHOOTS AND OFFSITE</v>
      </c>
      <c r="E2130" s="196" t="str">
        <f>IFERROR(__xludf.DUMMYFUNCTION("""COMPUTED_VALUE"""),"FOR MARKETING")</f>
        <v>FOR MARKETING</v>
      </c>
    </row>
    <row r="2131">
      <c r="A2131" s="234">
        <f>IFERROR(__xludf.DUMMYFUNCTION("""COMPUTED_VALUE"""),102422.0)</f>
        <v>102422</v>
      </c>
      <c r="B2131" s="235" t="str">
        <f>IFERROR(__xludf.DUMMYFUNCTION("""COMPUTED_VALUE"""),"OWIE PAR")</f>
        <v>OWIE PAR</v>
      </c>
      <c r="C2131" s="235" t="str">
        <f>IFERROR(__xludf.DUMMYFUNCTION("""COMPUTED_VALUE"""),"ENGINEERING")</f>
        <v>ENGINEERING</v>
      </c>
      <c r="D2131" s="196" t="str">
        <f>IFERROR(__xludf.DUMMYFUNCTION("""COMPUTED_VALUE"""),"4""0 8 CM Y GATE VALVE FLANGE CONNECTION UL LISTED, 4"" ALARM CHECK VALVE WITH TRIMMING ALARM GONG UL LISTED, 4"" FIRE DEPT. CONNECTIONS UL LISTED, 4"" SWING CHECK VALVE, 4"" BI PIPE SCH 40 STD TOBE MEASURED ON SITE, 6"" BI PIPE SCH 40 STD TO BE MEASURED "&amp;"ON SITE, CONSUMABLE AND FITTING")</f>
        <v>4"0 8 CM Y GATE VALVE FLANGE CONNECTION UL LISTED, 4" ALARM CHECK VALVE WITH TRIMMING ALARM GONG UL LISTED, 4" FIRE DEPT. CONNECTIONS UL LISTED, 4" SWING CHECK VALVE, 4" BI PIPE SCH 40 STD TOBE MEASURED ON SITE, 6" BI PIPE SCH 40 STD TO BE MEASURED ON SITE, CONSUMABLE AND FITTING</v>
      </c>
      <c r="E2131" s="196" t="str">
        <f>IFERROR(__xludf.DUMMYFUNCTION("""COMPUTED_VALUE"""),"FIRE SPRINKLER PROJECT PHASE 1")</f>
        <v>FIRE SPRINKLER PROJECT PHASE 1</v>
      </c>
    </row>
    <row r="2132">
      <c r="A2132" s="234">
        <f>IFERROR(__xludf.DUMMYFUNCTION("""COMPUTED_VALUE"""),102423.0)</f>
        <v>102423</v>
      </c>
      <c r="B2132" s="235" t="str">
        <f>IFERROR(__xludf.DUMMYFUNCTION("""COMPUTED_VALUE"""),"JOMEL BUTIAL ")</f>
        <v>JOMEL BUTIAL </v>
      </c>
      <c r="C2132" s="235" t="str">
        <f>IFERROR(__xludf.DUMMYFUNCTION("""COMPUTED_VALUE"""),"AMD")</f>
        <v>AMD</v>
      </c>
      <c r="D2132" s="196" t="str">
        <f>IFERROR(__xludf.DUMMYFUNCTION("""COMPUTED_VALUE"""),"TRASHBAG YELLOW SMALL 20 PCS; TRASHBAG YELLOW MEDIUM 20 PCS; TRASHBAG YELLOW LARGE 20 PCS; GEM TOILET BOWL CLEANER (BOWL CARE) 25 PCS; MR MUSCLE 500ML 50 PCS;")</f>
        <v>TRASHBAG YELLOW SMALL 20 PCS; TRASHBAG YELLOW MEDIUM 20 PCS; TRASHBAG YELLOW LARGE 20 PCS; GEM TOILET BOWL CLEANER (BOWL CARE) 25 PCS; MR MUSCLE 500ML 50 PCS;</v>
      </c>
      <c r="E2132" s="196" t="str">
        <f>IFERROR(__xludf.DUMMYFUNCTION("""COMPUTED_VALUE"""),"HOUSEKEEPING STOCK REPLENISHMENT FOR MAY 2022")</f>
        <v>HOUSEKEEPING STOCK REPLENISHMENT FOR MAY 2022</v>
      </c>
    </row>
    <row r="2133">
      <c r="A2133" s="234">
        <f>IFERROR(__xludf.DUMMYFUNCTION("""COMPUTED_VALUE"""),102424.0)</f>
        <v>102424</v>
      </c>
      <c r="B2133" s="235" t="str">
        <f>IFERROR(__xludf.DUMMYFUNCTION("""COMPUTED_VALUE"""),"OWIE PAR ")</f>
        <v>OWIE PAR </v>
      </c>
      <c r="C2133" s="235" t="str">
        <f>IFERROR(__xludf.DUMMYFUNCTION("""COMPUTED_VALUE"""),"ADMIN")</f>
        <v>ADMIN</v>
      </c>
      <c r="D2133" s="196" t="str">
        <f>IFERROR(__xludf.DUMMYFUNCTION("""COMPUTED_VALUE"""),"2.5 PANASONIC WALL MOUNTED TYPE INVERTER ")</f>
        <v>2.5 PANASONIC WALL MOUNTED TYPE INVERTER </v>
      </c>
      <c r="E2133" s="196" t="str">
        <f>IFERROR(__xludf.DUMMYFUNCTION("""COMPUTED_VALUE"""),"FOR LUX ROOM 210")</f>
        <v>FOR LUX ROOM 210</v>
      </c>
    </row>
    <row r="2134">
      <c r="A2134" s="234">
        <f>IFERROR(__xludf.DUMMYFUNCTION("""COMPUTED_VALUE"""),102425.0)</f>
        <v>102425</v>
      </c>
      <c r="B2134" s="235" t="str">
        <f>IFERROR(__xludf.DUMMYFUNCTION("""COMPUTED_VALUE"""),"RONALD VERDE")</f>
        <v>RONALD VERDE</v>
      </c>
      <c r="C2134" s="235" t="str">
        <f>IFERROR(__xludf.DUMMYFUNCTION("""COMPUTED_VALUE"""),"ENGINEERING")</f>
        <v>ENGINEERING</v>
      </c>
      <c r="D2134" s="196" t="str">
        <f>IFERROR(__xludf.DUMMYFUNCTION("""COMPUTED_VALUE"""),"LED LIGHT DIAMETER  .20 - 25 CM 5 PCS. ")</f>
        <v>LED LIGHT DIAMETER  .20 - 25 CM 5 PCS. </v>
      </c>
      <c r="E2134" s="196" t="str">
        <f>IFERROR(__xludf.DUMMYFUNCTION("""COMPUTED_VALUE"""),"REPLACEMENT OF BUSTED CEILING LIGHT IN LUX HALL")</f>
        <v>REPLACEMENT OF BUSTED CEILING LIGHT IN LUX HALL</v>
      </c>
    </row>
    <row r="2135">
      <c r="A2135" s="234">
        <f>IFERROR(__xludf.DUMMYFUNCTION("""COMPUTED_VALUE"""),102426.0)</f>
        <v>102426</v>
      </c>
      <c r="B2135" s="235" t="str">
        <f>IFERROR(__xludf.DUMMYFUNCTION("""COMPUTED_VALUE"""),"KENNETH JAMES ANCERMO")</f>
        <v>KENNETH JAMES ANCERMO</v>
      </c>
      <c r="C2135" s="235" t="str">
        <f>IFERROR(__xludf.DUMMYFUNCTION("""COMPUTED_VALUE"""),"AMD")</f>
        <v>AMD</v>
      </c>
      <c r="D2135" s="196" t="str">
        <f>IFERROR(__xludf.DUMMYFUNCTION("""COMPUTED_VALUE"""),"BOARD, Vellum (Long), BOARD, Vellum (Short)")</f>
        <v>BOARD, Vellum (Long), BOARD, Vellum (Short)</v>
      </c>
      <c r="E2135" s="196" t="str">
        <f>IFERROR(__xludf.DUMMYFUNCTION("""COMPUTED_VALUE"""),"Stock replenishment of OSSUP")</f>
        <v>Stock replenishment of OSSUP</v>
      </c>
    </row>
    <row r="2136">
      <c r="A2136" s="234">
        <f>IFERROR(__xludf.DUMMYFUNCTION("""COMPUTED_VALUE"""),102427.0)</f>
        <v>102427</v>
      </c>
      <c r="B2136" s="235" t="str">
        <f>IFERROR(__xludf.DUMMYFUNCTION("""COMPUTED_VALUE"""),"CAROL LACERNA")</f>
        <v>CAROL LACERNA</v>
      </c>
      <c r="C2136" s="235" t="str">
        <f>IFERROR(__xludf.DUMMYFUNCTION("""COMPUTED_VALUE"""),"STUFFSHOP")</f>
        <v>STUFFSHOP</v>
      </c>
      <c r="D2136" s="196" t="str">
        <f>IFERROR(__xludf.DUMMYFUNCTION("""COMPUTED_VALUE"""),"G1-TOWPEP JOURNAL-35 PAGES
G2-TOWPEP JOURNAL-35 PAGES
G3-TOWPEP JOURNAL-35 PAGES
G4-TOWPEP JOURNAL-36 PAGES
G5-TOWPEP JOURNAL-25 PAGES
G6-TOWPEP JOURNAL-25 PAGES
G7-TOWPEP JOURNAL-32 PAGES
G8-TOWPEP JOURNAL-30 PAGES
G9-TOWPEP JOURNAL-28 PAGES
G10-TOWPEP J"&amp;"OURNAL-25 PAGES
G11-TOWPEP JOURNAL-34 PAGES
G12-TOWPEP JOURNAL-17 PAGES")</f>
        <v>G1-TOWPEP JOURNAL-35 PAGES
G2-TOWPEP JOURNAL-35 PAGES
G3-TOWPEP JOURNAL-35 PAGES
G4-TOWPEP JOURNAL-36 PAGES
G5-TOWPEP JOURNAL-25 PAGES
G6-TOWPEP JOURNAL-25 PAGES
G7-TOWPEP JOURNAL-32 PAGES
G8-TOWPEP JOURNAL-30 PAGES
G9-TOWPEP JOURNAL-28 PAGES
G10-TOWPEP JOURNAL-25 PAGES
G11-TOWPEP JOURNAL-34 PAGES
G12-TOWPEP JOURNAL-17 PAGES</v>
      </c>
      <c r="E2136" s="196" t="str">
        <f>IFERROR(__xludf.DUMMYFUNCTION("""COMPUTED_VALUE"""),"BOOKS FOR ACADEMIC YEAR 2022-2023     Ring bind only ")</f>
        <v>BOOKS FOR ACADEMIC YEAR 2022-2023     Ring bind only </v>
      </c>
    </row>
    <row r="2137">
      <c r="A2137" s="234">
        <f>IFERROR(__xludf.DUMMYFUNCTION("""COMPUTED_VALUE"""),102428.0)</f>
        <v>102428</v>
      </c>
      <c r="B2137" s="235" t="str">
        <f>IFERROR(__xludf.DUMMYFUNCTION("""COMPUTED_VALUE"""),"Jeremiah Tirol")</f>
        <v>Jeremiah Tirol</v>
      </c>
      <c r="C2137" s="235" t="str">
        <f>IFERROR(__xludf.DUMMYFUNCTION("""COMPUTED_VALUE"""),"COLLEGE LABORATORY")</f>
        <v>COLLEGE LABORATORY</v>
      </c>
      <c r="D2137" s="196" t="str">
        <f>IFERROR(__xludf.DUMMYFUNCTION("""COMPUTED_VALUE"""),"KY JELLY (50 GRAMS TUBE) 2PCS; SPRAY BOTTLE 250 ML 2PCS; BETADINE WOUND SOLUTION 20ML 6 PCS; BAND AID 100 PCS; HYDROGEN PEROXIDE 250 ML 6 PCS; BURN OINTMENT TUBES (30 GRAMS) SILVER SULFADIZINE 3 TUBES;")</f>
        <v>KY JELLY (50 GRAMS TUBE) 2PCS; SPRAY BOTTLE 250 ML 2PCS; BETADINE WOUND SOLUTION 20ML 6 PCS; BAND AID 100 PCS; HYDROGEN PEROXIDE 250 ML 6 PCS; BURN OINTMENT TUBES (30 GRAMS) SILVER SULFADIZINE 3 TUBES;</v>
      </c>
      <c r="E2137" s="196" t="str">
        <f>IFERROR(__xludf.DUMMYFUNCTION("""COMPUTED_VALUE"""),"FOR FACE TO FACE NURSING CLASSES")</f>
        <v>FOR FACE TO FACE NURSING CLASSES</v>
      </c>
    </row>
    <row r="2138">
      <c r="A2138" s="234">
        <f>IFERROR(__xludf.DUMMYFUNCTION("""COMPUTED_VALUE"""),102429.0)</f>
        <v>102429</v>
      </c>
      <c r="B2138" s="235" t="str">
        <f>IFERROR(__xludf.DUMMYFUNCTION("""COMPUTED_VALUE"""),"OWIE PAR")</f>
        <v>OWIE PAR</v>
      </c>
      <c r="C2138" s="235" t="str">
        <f>IFERROR(__xludf.DUMMYFUNCTION("""COMPUTED_VALUE"""),"ENGINEERING")</f>
        <v>ENGINEERING</v>
      </c>
      <c r="D2138" s="196" t="str">
        <f>IFERROR(__xludf.DUMMYFUNCTION("""COMPUTED_VALUE"""),"FLOAT SWITCH (SEA PUMP)")</f>
        <v>FLOAT SWITCH (SEA PUMP)</v>
      </c>
      <c r="E2138" s="196" t="str">
        <f>IFERROR(__xludf.DUMMYFUNCTION("""COMPUTED_VALUE"""),"FOR TROPICAL BLDG OVERHEAD TANK")</f>
        <v>FOR TROPICAL BLDG OVERHEAD TANK</v>
      </c>
    </row>
    <row r="2139">
      <c r="A2139" s="234">
        <f>IFERROR(__xludf.DUMMYFUNCTION("""COMPUTED_VALUE"""),102430.0)</f>
        <v>102430</v>
      </c>
      <c r="B2139" s="235" t="str">
        <f>IFERROR(__xludf.DUMMYFUNCTION("""COMPUTED_VALUE"""),"OWIE PAR")</f>
        <v>OWIE PAR</v>
      </c>
      <c r="C2139" s="235" t="str">
        <f>IFERROR(__xludf.DUMMYFUNCTION("""COMPUTED_VALUE"""),"ENGINEERING")</f>
        <v>ENGINEERING</v>
      </c>
      <c r="D2139" s="196" t="str">
        <f>IFERROR(__xludf.DUMMYFUNCTION("""COMPUTED_VALUE"""),"1.5 H.P PANASONIC WALL MOUNTED INVERTER")</f>
        <v>1.5 H.P PANASONIC WALL MOUNTED INVERTER</v>
      </c>
      <c r="E2139" s="196" t="str">
        <f>IFERROR(__xludf.DUMMYFUNCTION("""COMPUTED_VALUE"""),"ACU REPLACEMENT FOR LUX 5TH FLR SERVER RM")</f>
        <v>ACU REPLACEMENT FOR LUX 5TH FLR SERVER RM</v>
      </c>
    </row>
    <row r="2140">
      <c r="A2140" s="234">
        <f>IFERROR(__xludf.DUMMYFUNCTION("""COMPUTED_VALUE"""),102431.0)</f>
        <v>102431</v>
      </c>
      <c r="B2140" s="235" t="str">
        <f>IFERROR(__xludf.DUMMYFUNCTION("""COMPUTED_VALUE"""),"CINDY JURADO")</f>
        <v>CINDY JURADO</v>
      </c>
      <c r="C2140" s="235" t="str">
        <f>IFERROR(__xludf.DUMMYFUNCTION("""COMPUTED_VALUE"""),"BASIC ED STUDENT AFFAIRS")</f>
        <v>BASIC ED STUDENT AFFAIRS</v>
      </c>
      <c r="D2140" s="196" t="str">
        <f>IFERROR(__xludf.DUMMYFUNCTION("""COMPUTED_VALUE"""),"YB SIZE 11""x8.5""
-354 PAGES
-STOCK C25 120 MOUNT PASTEBOARD #20 MATTE 80 C25 120
-COLOR 4/4 FULL
-PROCESS OFFSET
-BINDING SMYTH SEWN (HARDBOUND)
-OTHERS GRAPHIC DESIGN, TYPESETTING AND LAYOUTING W/ MATTE LAMINATION W/ SPOT UV")</f>
        <v>YB SIZE 11"x8.5"
-354 PAGES
-STOCK C25 120 MOUNT PASTEBOARD #20 MATTE 80 C25 120
-COLOR 4/4 FULL
-PROCESS OFFSET
-BINDING SMYTH SEWN (HARDBOUND)
-OTHERS GRAPHIC DESIGN, TYPESETTING AND LAYOUTING W/ MATTE LAMINATION W/ SPOT UV</v>
      </c>
      <c r="E2140" s="196" t="str">
        <f>IFERROR(__xludf.DUMMYFUNCTION("""COMPUTED_VALUE"""),"YEARBOOK BACK LOG 2019-2020")</f>
        <v>YEARBOOK BACK LOG 2019-2020</v>
      </c>
    </row>
    <row r="2141">
      <c r="A2141" s="234">
        <f>IFERROR(__xludf.DUMMYFUNCTION("""COMPUTED_VALUE"""),102432.0)</f>
        <v>102432</v>
      </c>
      <c r="B2141" s="235" t="str">
        <f>IFERROR(__xludf.DUMMYFUNCTION("""COMPUTED_VALUE"""),"KENNETH ANCERMO")</f>
        <v>KENNETH ANCERMO</v>
      </c>
      <c r="C2141" s="235" t="str">
        <f>IFERROR(__xludf.DUMMYFUNCTION("""COMPUTED_VALUE"""),"AMD")</f>
        <v>AMD</v>
      </c>
      <c r="D2141" s="196" t="str">
        <f>IFERROR(__xludf.DUMMYFUNCTION("""COMPUTED_VALUE"""),"Envelope, Brown Short, Envelope, Expanding Plastic-Long, Adventurer, Folder, Pressboard Green Long, Folder, Fortune White Long")</f>
        <v>Envelope, Brown Short, Envelope, Expanding Plastic-Long, Adventurer, Folder, Pressboard Green Long, Folder, Fortune White Long</v>
      </c>
      <c r="E2141" s="196" t="str">
        <f>IFERROR(__xludf.DUMMYFUNCTION("""COMPUTED_VALUE"""),"OSSUP STOCK REPLENISHMENT ")</f>
        <v>OSSUP STOCK REPLENISHMENT </v>
      </c>
    </row>
    <row r="2142">
      <c r="A2142" s="234">
        <f>IFERROR(__xludf.DUMMYFUNCTION("""COMPUTED_VALUE"""),102433.0)</f>
        <v>102433</v>
      </c>
      <c r="B2142" s="235" t="str">
        <f>IFERROR(__xludf.DUMMYFUNCTION("""COMPUTED_VALUE"""),"ADRIAN DE GUINTO ")</f>
        <v>ADRIAN DE GUINTO </v>
      </c>
      <c r="C2142" s="235" t="str">
        <f>IFERROR(__xludf.DUMMYFUNCTION("""COMPUTED_VALUE"""),"PR &amp; MARKETING")</f>
        <v>PR &amp; MARKETING</v>
      </c>
      <c r="D2142" s="196" t="str">
        <f>IFERROR(__xludf.DUMMYFUNCTION("""COMPUTED_VALUE"""),"GWYN TANGOG CONGRATULATORY TARP (7X10 FT), AUAP CONGRATULATORY TARP (*7 X10 FT) BOTH WITH EYELET AND SEAMING ALL OVER")</f>
        <v>GWYN TANGOG CONGRATULATORY TARP (7X10 FT), AUAP CONGRATULATORY TARP (*7 X10 FT) BOTH WITH EYELET AND SEAMING ALL OVER</v>
      </c>
      <c r="E2142" s="196" t="str">
        <f>IFERROR(__xludf.DUMMYFUNCTION("""COMPUTED_VALUE"""),"FOR MAREKETING ")</f>
        <v>FOR MAREKETING </v>
      </c>
    </row>
    <row r="2143">
      <c r="A2143" s="234">
        <f>IFERROR(__xludf.DUMMYFUNCTION("""COMPUTED_VALUE"""),102434.0)</f>
        <v>102434</v>
      </c>
      <c r="B2143" s="235" t="str">
        <f>IFERROR(__xludf.DUMMYFUNCTION("""COMPUTED_VALUE"""),"ALFA DE LEON")</f>
        <v>ALFA DE LEON</v>
      </c>
      <c r="C2143" s="235" t="str">
        <f>IFERROR(__xludf.DUMMYFUNCTION("""COMPUTED_VALUE"""),"ADMIN")</f>
        <v>ADMIN</v>
      </c>
      <c r="D2143" s="196" t="str">
        <f>IFERROR(__xludf.DUMMYFUNCTION("""COMPUTED_VALUE"""),"INTERNATIONAL FLAGS (AUSTRALIA, BANGLADESH, CANADA, CHINA, EGYPT, GERMANY, HONGKONG, INDIA, IRELAND, INDONESIA, ITALY,JAPAN, JORDAN, KOREA, LIBERIA, NETHERLANDS, NIGERIA, PAKISTAN, PHILIPPINES, RUSSIA, SOUTHVILLE INTERNATIONAL SCHOOL AND COLLEGES, SRI LAN"&amp;"KA, SWITZERLAND, THAILAND, UK AND USA. ")</f>
        <v>INTERNATIONAL FLAGS (AUSTRALIA, BANGLADESH, CANADA, CHINA, EGYPT, GERMANY, HONGKONG, INDIA, IRELAND, INDONESIA, ITALY,JAPAN, JORDAN, KOREA, LIBERIA, NETHERLANDS, NIGERIA, PAKISTAN, PHILIPPINES, RUSSIA, SOUTHVILLE INTERNATIONAL SCHOOL AND COLLEGES, SRI LANKA, SWITZERLAND, THAILAND, UK AND USA. </v>
      </c>
      <c r="E2143" s="196" t="str">
        <f>IFERROR(__xludf.DUMMYFUNCTION("""COMPUTED_VALUE"""),"FLAG POLES IN MUNICH, LUX AND COLLEGE")</f>
        <v>FLAG POLES IN MUNICH, LUX AND COLLEGE</v>
      </c>
    </row>
    <row r="2144">
      <c r="A2144" s="234">
        <f>IFERROR(__xludf.DUMMYFUNCTION("""COMPUTED_VALUE"""),102435.0)</f>
        <v>102435</v>
      </c>
      <c r="B2144" s="235" t="str">
        <f>IFERROR(__xludf.DUMMYFUNCTION("""COMPUTED_VALUE"""),"OWIE PAR")</f>
        <v>OWIE PAR</v>
      </c>
      <c r="C2144" s="235" t="str">
        <f>IFERROR(__xludf.DUMMYFUNCTION("""COMPUTED_VALUE"""),"ENGINEERING")</f>
        <v>ENGINEERING</v>
      </c>
      <c r="D2144" s="196" t="str">
        <f>IFERROR(__xludf.DUMMYFUNCTION("""COMPUTED_VALUE"""),"1.5 HP WALL MOUNTED TYPE ACU INVERTER  PANASONIC")</f>
        <v>1.5 HP WALL MOUNTED TYPE ACU INVERTER  PANASONIC</v>
      </c>
      <c r="E2144" s="196" t="str">
        <f>IFERROR(__xludf.DUMMYFUNCTION("""COMPUTED_VALUE"""),"FOR MANAGEMENT HOUSE DR. JO'S UNIT FOR ATIC ")</f>
        <v>FOR MANAGEMENT HOUSE DR. JO'S UNIT FOR ATIC </v>
      </c>
    </row>
    <row r="2145">
      <c r="A2145" s="234">
        <f>IFERROR(__xludf.DUMMYFUNCTION("""COMPUTED_VALUE"""),102436.0)</f>
        <v>102436</v>
      </c>
      <c r="B2145" s="235" t="str">
        <f>IFERROR(__xludf.DUMMYFUNCTION("""COMPUTED_VALUE"""),"LEAH P. BUHAY")</f>
        <v>LEAH P. BUHAY</v>
      </c>
      <c r="C2145" s="235" t="str">
        <f>IFERROR(__xludf.DUMMYFUNCTION("""COMPUTED_VALUE"""),"CEM OFFICE")</f>
        <v>CEM OFFICE</v>
      </c>
      <c r="D2145" s="196" t="str">
        <f>IFERROR(__xludf.DUMMYFUNCTION("""COMPUTED_VALUE"""),"RISING WITH THE FILIPINO")</f>
        <v>RISING WITH THE FILIPINO</v>
      </c>
      <c r="E2145" s="196" t="str">
        <f>IFERROR(__xludf.DUMMYFUNCTION("""COMPUTED_VALUE"""),"DR. TAN'S COPY")</f>
        <v>DR. TAN'S COPY</v>
      </c>
    </row>
    <row r="2146">
      <c r="A2146" s="234">
        <f>IFERROR(__xludf.DUMMYFUNCTION("""COMPUTED_VALUE"""),102437.0)</f>
        <v>102437</v>
      </c>
      <c r="B2146" s="235" t="str">
        <f>IFERROR(__xludf.DUMMYFUNCTION("""COMPUTED_VALUE"""),"CAROL R. LACERNA ")</f>
        <v>CAROL R. LACERNA </v>
      </c>
      <c r="C2146" s="235" t="str">
        <f>IFERROR(__xludf.DUMMYFUNCTION("""COMPUTED_VALUE"""),"ABU")</f>
        <v>ABU</v>
      </c>
      <c r="D2146" s="196" t="str">
        <f>IFERROR(__xludf.DUMMYFUNCTION("""COMPUTED_VALUE"""),"Aspire 5 A514-54-35EB Sakura Pink L Intel Core™ I3")</f>
        <v>Aspire 5 A514-54-35EB Sakura Pink L Intel Core™ I3</v>
      </c>
      <c r="E2146" s="196" t="str">
        <f>IFERROR(__xludf.DUMMYFUNCTION("""COMPUTED_VALUE"""),"APPROVED GADGET LOAN OF RAQUELYN NUNEZ")</f>
        <v>APPROVED GADGET LOAN OF RAQUELYN NUNEZ</v>
      </c>
    </row>
    <row r="2147">
      <c r="A2147" s="234">
        <f>IFERROR(__xludf.DUMMYFUNCTION("""COMPUTED_VALUE"""),102438.0)</f>
        <v>102438</v>
      </c>
      <c r="B2147" s="235" t="str">
        <f>IFERROR(__xludf.DUMMYFUNCTION("""COMPUTED_VALUE"""),"CHRISTIAN ANDRES")</f>
        <v>CHRISTIAN ANDRES</v>
      </c>
      <c r="C2147" s="235" t="str">
        <f>IFERROR(__xludf.DUMMYFUNCTION("""COMPUTED_VALUE"""),"PR &amp; MARKETING")</f>
        <v>PR &amp; MARKETING</v>
      </c>
      <c r="D2147" s="196" t="str">
        <f>IFERROR(__xludf.DUMMYFUNCTION("""COMPUTED_VALUE"""),"CONGRATULATORY TARPS FOR PSYCLIPS 7X10 FT. SEAMING WITH EYELET ALL OVER 1 PCS;")</f>
        <v>CONGRATULATORY TARPS FOR PSYCLIPS 7X10 FT. SEAMING WITH EYELET ALL OVER 1 PCS;</v>
      </c>
      <c r="E2147" s="196" t="str">
        <f>IFERROR(__xludf.DUMMYFUNCTION("""COMPUTED_VALUE"""),"MARKETING ")</f>
        <v>MARKETING </v>
      </c>
    </row>
    <row r="2148">
      <c r="A2148" s="234">
        <f>IFERROR(__xludf.DUMMYFUNCTION("""COMPUTED_VALUE"""),102439.0)</f>
        <v>102439</v>
      </c>
      <c r="B2148" s="235" t="str">
        <f>IFERROR(__xludf.DUMMYFUNCTION("""COMPUTED_VALUE"""),"ALFA DE LEON ")</f>
        <v>ALFA DE LEON </v>
      </c>
      <c r="C2148" s="235" t="str">
        <f>IFERROR(__xludf.DUMMYFUNCTION("""COMPUTED_VALUE"""),"ADMIN ")</f>
        <v>ADMIN </v>
      </c>
      <c r="D2148" s="196" t="str">
        <f>IFERROR(__xludf.DUMMYFUNCTION("""COMPUTED_VALUE"""),"RED BANABA 4 PCS; ANAHAW 7 PCS; RED KALACHUCHI 1 PC; HAWAIAN PALM POXTAIL  2 PCS; AFRICAN TALISAY 11 PCS; DELIVERY CHARGE 1 PC; LABOR: LOADING &amp; UNLOADING  OF PLANTS 1 PCS;")</f>
        <v>RED BANABA 4 PCS; ANAHAW 7 PCS; RED KALACHUCHI 1 PC; HAWAIAN PALM POXTAIL  2 PCS; AFRICAN TALISAY 11 PCS; DELIVERY CHARGE 1 PC; LABOR: LOADING &amp; UNLOADING  OF PLANTS 1 PCS;</v>
      </c>
      <c r="E2148" s="196" t="str">
        <f>IFERROR(__xludf.DUMMYFUNCTION("""COMPUTED_VALUE"""),"PLANT TREES FOR MONARCH PARK ")</f>
        <v>PLANT TREES FOR MONARCH PARK </v>
      </c>
    </row>
    <row r="2149">
      <c r="A2149" s="234">
        <f>IFERROR(__xludf.DUMMYFUNCTION("""COMPUTED_VALUE"""),102440.0)</f>
        <v>102440</v>
      </c>
      <c r="B2149" s="235" t="str">
        <f>IFERROR(__xludf.DUMMYFUNCTION("""COMPUTED_VALUE"""),"CHRISTIAN ANDRES")</f>
        <v>CHRISTIAN ANDRES</v>
      </c>
      <c r="C2149" s="235" t="str">
        <f>IFERROR(__xludf.DUMMYFUNCTION("""COMPUTED_VALUE"""),"PR &amp; MARKETING")</f>
        <v>PR &amp; MARKETING</v>
      </c>
      <c r="D2149" s="196" t="str">
        <f>IFERROR(__xludf.DUMMYFUNCTION("""COMPUTED_VALUE"""),"ACRYLIC MAGAZINE DISPLAY 8.5 X 11 INCHES 5 PCS ; ACRYLIC FLYER DISPLAY  8.5 X 5.5 INCHES 5 PCS")</f>
        <v>ACRYLIC MAGAZINE DISPLAY 8.5 X 11 INCHES 5 PCS ; ACRYLIC FLYER DISPLAY  8.5 X 5.5 INCHES 5 PCS</v>
      </c>
      <c r="E2149" s="196" t="str">
        <f>IFERROR(__xludf.DUMMYFUNCTION("""COMPUTED_VALUE"""),"MARKETING/ FLYER HOLDER")</f>
        <v>MARKETING/ FLYER HOLDER</v>
      </c>
    </row>
    <row r="2150">
      <c r="A2150" s="234">
        <f>IFERROR(__xludf.DUMMYFUNCTION("""COMPUTED_VALUE"""),102441.0)</f>
        <v>102441</v>
      </c>
      <c r="B2150" s="235" t="str">
        <f>IFERROR(__xludf.DUMMYFUNCTION("""COMPUTED_VALUE"""),"KENNETH JAMES ANCERMO")</f>
        <v>KENNETH JAMES ANCERMO</v>
      </c>
      <c r="C2150" s="235" t="str">
        <f>IFERROR(__xludf.DUMMYFUNCTION("""COMPUTED_VALUE"""),"AMD ")</f>
        <v>AMD </v>
      </c>
      <c r="D2150" s="196" t="str">
        <f>IFERROR(__xludf.DUMMYFUNCTION("""COMPUTED_VALUE"""),"CORKBOARD  2 X 3 (1/4T) MMMM 30 PCS)")</f>
        <v>CORKBOARD  2 X 3 (1/4T) MMMM 30 PCS)</v>
      </c>
      <c r="E2150" s="196" t="str">
        <f>IFERROR(__xludf.DUMMYFUNCTION("""COMPUTED_VALUE"""),"OSSUP STOCK REPLENISHMENT ")</f>
        <v>OSSUP STOCK REPLENISHMENT </v>
      </c>
    </row>
    <row r="2151">
      <c r="A2151" s="234">
        <f>IFERROR(__xludf.DUMMYFUNCTION("""COMPUTED_VALUE"""),102442.0)</f>
        <v>102442</v>
      </c>
      <c r="B2151" s="235" t="str">
        <f>IFERROR(__xludf.DUMMYFUNCTION("""COMPUTED_VALUE"""),"MELISSA NAVAL ODOÑO")</f>
        <v>MELISSA NAVAL ODOÑO</v>
      </c>
      <c r="C2151" s="235" t="str">
        <f>IFERROR(__xludf.DUMMYFUNCTION("""COMPUTED_VALUE"""),"LIBRARY ")</f>
        <v>LIBRARY </v>
      </c>
      <c r="D2151" s="196" t="str">
        <f>IFERROR(__xludf.DUMMYFUNCTION("""COMPUTED_VALUE"""),"NEVER AGAIN BUNDLE 4 SETS; WHAT KIDS SHOULD KNOW BUNDLE  2 SETS")</f>
        <v>NEVER AGAIN BUNDLE 4 SETS; WHAT KIDS SHOULD KNOW BUNDLE  2 SETS</v>
      </c>
      <c r="E2151" s="196" t="str">
        <f>IFERROR(__xludf.DUMMYFUNCTION("""COMPUTED_VALUE"""),"FOR STUDENTS; FACULTY USE")</f>
        <v>FOR STUDENTS; FACULTY USE</v>
      </c>
    </row>
    <row r="2152">
      <c r="A2152" s="234">
        <f>IFERROR(__xludf.DUMMYFUNCTION("""COMPUTED_VALUE"""),102443.0)</f>
        <v>102443</v>
      </c>
      <c r="B2152" s="235" t="str">
        <f>IFERROR(__xludf.DUMMYFUNCTION("""COMPUTED_VALUE"""),"ALFA DE LEON ")</f>
        <v>ALFA DE LEON </v>
      </c>
      <c r="C2152" s="235" t="str">
        <f>IFERROR(__xludf.DUMMYFUNCTION("""COMPUTED_VALUE"""),"AMD ")</f>
        <v>AMD </v>
      </c>
      <c r="D2152" s="196" t="str">
        <f>IFERROR(__xludf.DUMMYFUNCTION("""COMPUTED_VALUE"""),"FLAG POLE STEEL 12 FT 6 INCHES BASE 1 PC; FLAG POLE STEEL 13 FT 6 INCHES BASE 1 PC;")</f>
        <v>FLAG POLE STEEL 12 FT 6 INCHES BASE 1 PC; FLAG POLE STEEL 13 FT 6 INCHES BASE 1 PC;</v>
      </c>
      <c r="E2152" s="196" t="str">
        <f>IFERROR(__xludf.DUMMYFUNCTION("""COMPUTED_VALUE"""),"MONARCH'S PARK FLAG POLE ")</f>
        <v>MONARCH'S PARK FLAG POLE </v>
      </c>
    </row>
    <row r="2153">
      <c r="A2153" s="234">
        <f>IFERROR(__xludf.DUMMYFUNCTION("""COMPUTED_VALUE"""),102444.0)</f>
        <v>102444</v>
      </c>
      <c r="B2153" s="235" t="str">
        <f>IFERROR(__xludf.DUMMYFUNCTION("""COMPUTED_VALUE"""),"KENNETH JAMS ANCERMO")</f>
        <v>KENNETH JAMS ANCERMO</v>
      </c>
      <c r="C2153" s="235" t="str">
        <f>IFERROR(__xludf.DUMMYFUNCTION("""COMPUTED_VALUE"""),"AMD")</f>
        <v>AMD</v>
      </c>
      <c r="D2153" s="196" t="str">
        <f>IFERROR(__xludf.DUMMYFUNCTION("""COMPUTED_VALUE"""),"MOUSE LOGITECH 30 PCS;")</f>
        <v>MOUSE LOGITECH 30 PCS;</v>
      </c>
      <c r="E2153" s="196" t="str">
        <f>IFERROR(__xludf.DUMMYFUNCTION("""COMPUTED_VALUE"""),"MIS Stock replenishment ")</f>
        <v>MIS Stock replenishment </v>
      </c>
    </row>
    <row r="2154">
      <c r="A2154" s="234">
        <f>IFERROR(__xludf.DUMMYFUNCTION("""COMPUTED_VALUE"""),102445.0)</f>
        <v>102445</v>
      </c>
      <c r="B2154" s="235" t="str">
        <f>IFERROR(__xludf.DUMMYFUNCTION("""COMPUTED_VALUE"""),"KENNETH JAMS ANCERMO")</f>
        <v>KENNETH JAMS ANCERMO</v>
      </c>
      <c r="C2154" s="235" t="str">
        <f>IFERROR(__xludf.DUMMYFUNCTION("""COMPUTED_VALUE"""),"AMD")</f>
        <v>AMD</v>
      </c>
      <c r="D2154" s="196" t="str">
        <f>IFERROR(__xludf.DUMMYFUNCTION("""COMPUTED_VALUE"""),"LAVATORY FAUCET 30 PCS;")</f>
        <v>LAVATORY FAUCET 30 PCS;</v>
      </c>
      <c r="E2154" s="196" t="str">
        <f>IFERROR(__xludf.DUMMYFUNCTION("""COMPUTED_VALUE"""),"ST0CK REPLENISHMENT FOR ENGINEERING SUPPLIES ")</f>
        <v>ST0CK REPLENISHMENT FOR ENGINEERING SUPPLIES </v>
      </c>
    </row>
    <row r="2155">
      <c r="A2155" s="234">
        <f>IFERROR(__xludf.DUMMYFUNCTION("""COMPUTED_VALUE"""),102446.0)</f>
        <v>102446</v>
      </c>
      <c r="B2155" s="235" t="str">
        <f>IFERROR(__xludf.DUMMYFUNCTION("""COMPUTED_VALUE"""),"GLICERIA KILAPKILAP")</f>
        <v>GLICERIA KILAPKILAP</v>
      </c>
      <c r="C2155" s="235" t="str">
        <f>IFERROR(__xludf.DUMMYFUNCTION("""COMPUTED_VALUE"""),"LIBRARY COLLEGE")</f>
        <v>LIBRARY COLLEGE</v>
      </c>
      <c r="D2155" s="196" t="str">
        <f>IFERROR(__xludf.DUMMYFUNCTION("""COMPUTED_VALUE"""),"TRODAT 4924, TRODAT 4913")</f>
        <v>TRODAT 4924, TRODAT 4913</v>
      </c>
      <c r="E2155" s="196" t="str">
        <f>IFERROR(__xludf.DUMMYFUNCTION("""COMPUTED_VALUE"""),"LIBRARY USE")</f>
        <v>LIBRARY USE</v>
      </c>
    </row>
    <row r="2156">
      <c r="A2156" s="234">
        <f>IFERROR(__xludf.DUMMYFUNCTION("""COMPUTED_VALUE"""),102447.0)</f>
        <v>102447</v>
      </c>
      <c r="B2156" s="235" t="str">
        <f>IFERROR(__xludf.DUMMYFUNCTION("""COMPUTED_VALUE"""),"RONALD VERDE")</f>
        <v>RONALD VERDE</v>
      </c>
      <c r="C2156" s="235" t="str">
        <f>IFERROR(__xludf.DUMMYFUNCTION("""COMPUTED_VALUE"""),"TRANSPORTATION")</f>
        <v>TRANSPORTATION</v>
      </c>
      <c r="D2156" s="196" t="str">
        <f>IFERROR(__xludf.DUMMYFUNCTION("""COMPUTED_VALUE"""),"3SMF MOTOLITE GOLD 1 PC")</f>
        <v>3SMF MOTOLITE GOLD 1 PC</v>
      </c>
      <c r="E2156" s="196" t="str">
        <f>IFERROR(__xludf.DUMMYFUNCTION("""COMPUTED_VALUE"""),"PREVENTIVE MAINTENANCE OF SISC VAN")</f>
        <v>PREVENTIVE MAINTENANCE OF SISC VAN</v>
      </c>
    </row>
    <row r="2157">
      <c r="A2157" s="234">
        <f>IFERROR(__xludf.DUMMYFUNCTION("""COMPUTED_VALUE"""),102448.0)</f>
        <v>102448</v>
      </c>
      <c r="B2157" s="235" t="str">
        <f>IFERROR(__xludf.DUMMYFUNCTION("""COMPUTED_VALUE"""),"KENNETH JAMES ANCERMO")</f>
        <v>KENNETH JAMES ANCERMO</v>
      </c>
      <c r="C2157" s="235" t="str">
        <f>IFERROR(__xludf.DUMMYFUNCTION("""COMPUTED_VALUE"""),"AMD ")</f>
        <v>AMD </v>
      </c>
      <c r="D2157" s="196" t="str">
        <f>IFERROR(__xludf.DUMMYFUNCTION("""COMPUTED_VALUE"""),"GOOD MORNING TOWEL ")</f>
        <v>GOOD MORNING TOWEL </v>
      </c>
      <c r="E2157" s="196" t="str">
        <f>IFERROR(__xludf.DUMMYFUNCTION("""COMPUTED_VALUE"""),"OSSUP STOCK REPLENISHMENT")</f>
        <v>OSSUP STOCK REPLENISHMENT</v>
      </c>
    </row>
    <row r="2158">
      <c r="A2158" s="234">
        <f>IFERROR(__xludf.DUMMYFUNCTION("""COMPUTED_VALUE"""),102449.0)</f>
        <v>102449</v>
      </c>
      <c r="B2158" s="235" t="str">
        <f>IFERROR(__xludf.DUMMYFUNCTION("""COMPUTED_VALUE"""),"CHRISTIAN S ANDRES ")</f>
        <v>CHRISTIAN S ANDRES </v>
      </c>
      <c r="C2158" s="235" t="str">
        <f>IFERROR(__xludf.DUMMYFUNCTION("""COMPUTED_VALUE"""),"PR &amp; MARKETING")</f>
        <v>PR &amp; MARKETING</v>
      </c>
      <c r="D2158" s="196" t="str">
        <f>IFERROR(__xludf.DUMMYFUNCTION("""COMPUTED_VALUE"""),"2022 LICENSURE EXAMINATION BACK TO BACK 100% PASSING RATE 6.5X13.5 FEET BLACKOUT W/ SEAMING EYELET ALL OVER")</f>
        <v>2022 LICENSURE EXAMINATION BACK TO BACK 100% PASSING RATE 6.5X13.5 FEET BLACKOUT W/ SEAMING EYELET ALL OVER</v>
      </c>
      <c r="E2158" s="196" t="str">
        <f>IFERROR(__xludf.DUMMYFUNCTION("""COMPUTED_VALUE"""),"MARKETING")</f>
        <v>MARKETING</v>
      </c>
    </row>
    <row r="2159">
      <c r="A2159" s="234">
        <f>IFERROR(__xludf.DUMMYFUNCTION("""COMPUTED_VALUE"""),102450.0)</f>
        <v>102450</v>
      </c>
      <c r="B2159" s="235" t="str">
        <f>IFERROR(__xludf.DUMMYFUNCTION("""COMPUTED_VALUE"""),"GARRY BATAO-EY")</f>
        <v>GARRY BATAO-EY</v>
      </c>
      <c r="C2159" s="235" t="str">
        <f>IFERROR(__xludf.DUMMYFUNCTION("""COMPUTED_VALUE"""),"MIS")</f>
        <v>MIS</v>
      </c>
      <c r="D2159" s="196" t="str">
        <f>IFERROR(__xludf.DUMMYFUNCTION("""COMPUTED_VALUE"""),"HEADSet Rapoo H100 with Noise Cancelling Mic - 30 PCS
WEBCAM A4TECH HD 1080P - 30 PCS")</f>
        <v>HEADSet Rapoo H100 with Noise Cancelling Mic - 30 PCS
WEBCAM A4TECH HD 1080P - 30 PCS</v>
      </c>
      <c r="E2159" s="196" t="str">
        <f>IFERROR(__xludf.DUMMYFUNCTION("""COMPUTED_VALUE"""),"FOR PREPARATION OF ADDITIONAL HYVOLT/VOLT SETUP")</f>
        <v>FOR PREPARATION OF ADDITIONAL HYVOLT/VOLT SETUP</v>
      </c>
    </row>
    <row r="2160">
      <c r="A2160" s="234">
        <f>IFERROR(__xludf.DUMMYFUNCTION("""COMPUTED_VALUE"""),102451.0)</f>
        <v>102451</v>
      </c>
      <c r="B2160" s="235" t="str">
        <f>IFERROR(__xludf.DUMMYFUNCTION("""COMPUTED_VALUE"""),"TIM DIOSAY")</f>
        <v>TIM DIOSAY</v>
      </c>
      <c r="C2160" s="235" t="str">
        <f>IFERROR(__xludf.DUMMYFUNCTION("""COMPUTED_VALUE"""),"ADMIN ")</f>
        <v>ADMIN </v>
      </c>
      <c r="D2160" s="196" t="str">
        <f>IFERROR(__xludf.DUMMYFUNCTION("""COMPUTED_VALUE"""),"UPLIGHT 36 PCS ; BOLLARD LIGHT 12 PCS; STEP LIGHT 16 PCS; LAMP POST 4 PCS;")</f>
        <v>UPLIGHT 36 PCS ; BOLLARD LIGHT 12 PCS; STEP LIGHT 16 PCS; LAMP POST 4 PCS;</v>
      </c>
      <c r="E2160" s="196" t="str">
        <f>IFERROR(__xludf.DUMMYFUNCTION("""COMPUTED_VALUE"""),"MONARCH'S PARK LANDSCAPE LIGHTS")</f>
        <v>MONARCH'S PARK LANDSCAPE LIGHTS</v>
      </c>
    </row>
    <row r="2161">
      <c r="A2161" s="234">
        <f>IFERROR(__xludf.DUMMYFUNCTION("""COMPUTED_VALUE"""),102452.0)</f>
        <v>102452</v>
      </c>
      <c r="B2161" s="235" t="str">
        <f>IFERROR(__xludf.DUMMYFUNCTION("""COMPUTED_VALUE"""),"VICTOR MANABAT ")</f>
        <v>VICTOR MANABAT </v>
      </c>
      <c r="C2161" s="235" t="str">
        <f>IFERROR(__xludf.DUMMYFUNCTION("""COMPUTED_VALUE"""),"Business and Financial Literacy")</f>
        <v>Business and Financial Literacy</v>
      </c>
      <c r="D2161" s="196" t="str">
        <f>IFERROR(__xludf.DUMMYFUNCTION("""COMPUTED_VALUE"""),"CALLING CARDS")</f>
        <v>CALLING CARDS</v>
      </c>
      <c r="E2161" s="196" t="str">
        <f>IFERROR(__xludf.DUMMYFUNCTION("""COMPUTED_VALUE"""),"FOR BUSINESS PURPOSES ")</f>
        <v>FOR BUSINESS PURPOSES </v>
      </c>
    </row>
    <row r="2162">
      <c r="A2162" s="234">
        <f>IFERROR(__xludf.DUMMYFUNCTION("""COMPUTED_VALUE"""),102453.0)</f>
        <v>102453</v>
      </c>
      <c r="B2162" s="235" t="str">
        <f>IFERROR(__xludf.DUMMYFUNCTION("""COMPUTED_VALUE"""),"KENNETH ANCERMO ")</f>
        <v>KENNETH ANCERMO </v>
      </c>
      <c r="C2162" s="235" t="str">
        <f>IFERROR(__xludf.DUMMYFUNCTION("""COMPUTED_VALUE"""),"AMD")</f>
        <v>AMD</v>
      </c>
      <c r="D2162" s="196" t="str">
        <f>IFERROR(__xludf.DUMMYFUNCTION("""COMPUTED_VALUE"""),"Lanyard, SISC Print w/ IDPRO Landscape (New Logo) 20cm")</f>
        <v>Lanyard, SISC Print w/ IDPRO Landscape (New Logo) 20cm</v>
      </c>
      <c r="E2162" s="196" t="str">
        <f>IFERROR(__xludf.DUMMYFUNCTION("""COMPUTED_VALUE"""),"Stock replenishment - Materials for the production of ID of Students and employees for the AY 2022-2023
")</f>
        <v>Stock replenishment - Materials for the production of ID of Students and employees for the AY 2022-2023
</v>
      </c>
    </row>
    <row r="2163">
      <c r="A2163" s="234">
        <f>IFERROR(__xludf.DUMMYFUNCTION("""COMPUTED_VALUE"""),102454.0)</f>
        <v>102454</v>
      </c>
      <c r="B2163" s="235" t="str">
        <f>IFERROR(__xludf.DUMMYFUNCTION("""COMPUTED_VALUE"""),"GARRY BATAO-EY")</f>
        <v>GARRY BATAO-EY</v>
      </c>
      <c r="C2163" s="235" t="str">
        <f>IFERROR(__xludf.DUMMYFUNCTION("""COMPUTED_VALUE"""),"MIS/ICT")</f>
        <v>MIS/ICT</v>
      </c>
      <c r="D2163" s="196" t="str">
        <f>IFERROR(__xludf.DUMMYFUNCTION("""COMPUTED_VALUE"""),"Computer monitor 19.5"" HP")</f>
        <v>Computer monitor 19.5" HP</v>
      </c>
      <c r="E2163" s="196" t="str">
        <f>IFERROR(__xludf.DUMMYFUNCTION("""COMPUTED_VALUE"""),"REPLACEMENT OF GINANG'S MONITOR IN COLLEGE FACULTY")</f>
        <v>REPLACEMENT OF GINANG'S MONITOR IN COLLEGE FACULTY</v>
      </c>
    </row>
    <row r="2164">
      <c r="A2164" s="234">
        <f>IFERROR(__xludf.DUMMYFUNCTION("""COMPUTED_VALUE"""),102455.0)</f>
        <v>102455</v>
      </c>
      <c r="B2164" s="235" t="str">
        <f>IFERROR(__xludf.DUMMYFUNCTION("""COMPUTED_VALUE"""),"RONALD OBLENO ")</f>
        <v>RONALD OBLENO </v>
      </c>
      <c r="C2164" s="235" t="str">
        <f>IFERROR(__xludf.DUMMYFUNCTION("""COMPUTED_VALUE"""),"MIS/ICT")</f>
        <v>MIS/ICT</v>
      </c>
      <c r="D2164" s="196" t="str">
        <f>IFERROR(__xludf.DUMMYFUNCTION("""COMPUTED_VALUE"""),"HIGH RESOLUTION LCD PROJECTOR EPSON BRAND ")</f>
        <v>HIGH RESOLUTION LCD PROJECTOR EPSON BRAND </v>
      </c>
      <c r="E2164" s="196" t="str">
        <f>IFERROR(__xludf.DUMMYFUNCTION("""COMPUTED_VALUE"""),"REPLACEMENT OF OLD PROJECTOR IN LUX HALL ")</f>
        <v>REPLACEMENT OF OLD PROJECTOR IN LUX HALL </v>
      </c>
    </row>
    <row r="2165">
      <c r="A2165" s="234">
        <f>IFERROR(__xludf.DUMMYFUNCTION("""COMPUTED_VALUE"""),102456.0)</f>
        <v>102456</v>
      </c>
      <c r="B2165" s="235" t="str">
        <f>IFERROR(__xludf.DUMMYFUNCTION("""COMPUTED_VALUE"""),"ANN DELA ISLA ")</f>
        <v>ANN DELA ISLA </v>
      </c>
      <c r="C2165" s="235" t="str">
        <f>IFERROR(__xludf.DUMMYFUNCTION("""COMPUTED_VALUE"""),"I.B.")</f>
        <v>I.B.</v>
      </c>
      <c r="D2165" s="196" t="str">
        <f>IFERROR(__xludf.DUMMYFUNCTION("""COMPUTED_VALUE"""),"MEDALS - ACADEMIC EXCELLENCE : GOLD (GREEN LACE), SILVER (PURPLE LACE), BRONZE (PINK LACE) , SUBJECT EXCELLENCE (TRICOLOR), LOYALTY AWARD (TRICOLOR) AFSL AWARD (LEADERSHIP) BLUE RIBBBON")</f>
        <v>MEDALS - ACADEMIC EXCELLENCE : GOLD (GREEN LACE), SILVER (PURPLE LACE), BRONZE (PINK LACE) , SUBJECT EXCELLENCE (TRICOLOR), LOYALTY AWARD (TRICOLOR) AFSL AWARD (LEADERSHIP) BLUE RIBBBON</v>
      </c>
      <c r="E2165" s="196" t="str">
        <f>IFERROR(__xludf.DUMMYFUNCTION("""COMPUTED_VALUE"""),"IB GRADUATION  (JUNE 04 MEDALS AY 2021-2022")</f>
        <v>IB GRADUATION  (JUNE 04 MEDALS AY 2021-2022</v>
      </c>
    </row>
    <row r="2166">
      <c r="A2166" s="234">
        <f>IFERROR(__xludf.DUMMYFUNCTION("""COMPUTED_VALUE"""),102457.0)</f>
        <v>102457</v>
      </c>
      <c r="B2166" s="235" t="str">
        <f>IFERROR(__xludf.DUMMYFUNCTION("""COMPUTED_VALUE"""),"ARNEL MONTABLAN ")</f>
        <v>ARNEL MONTABLAN </v>
      </c>
      <c r="C2166" s="235" t="str">
        <f>IFERROR(__xludf.DUMMYFUNCTION("""COMPUTED_VALUE"""),"GLT SCHOLARS")</f>
        <v>GLT SCHOLARS</v>
      </c>
      <c r="D2166" s="196" t="str">
        <f>IFERROR(__xludf.DUMMYFUNCTION("""COMPUTED_VALUE"""),"FLAT IRON")</f>
        <v>FLAT IRON</v>
      </c>
      <c r="E2166" s="196" t="str">
        <f>IFERROR(__xludf.DUMMYFUNCTION("""COMPUTED_VALUE"""),"FOR DORMITORY USE (STARS, HEARTS AND LAURELS)")</f>
        <v>FOR DORMITORY USE (STARS, HEARTS AND LAURELS)</v>
      </c>
    </row>
    <row r="2167">
      <c r="A2167" s="234">
        <f>IFERROR(__xludf.DUMMYFUNCTION("""COMPUTED_VALUE"""),102458.0)</f>
        <v>102458</v>
      </c>
      <c r="B2167" s="235" t="str">
        <f>IFERROR(__xludf.DUMMYFUNCTION("""COMPUTED_VALUE"""),"RONALDO VERDE ")</f>
        <v>RONALDO VERDE </v>
      </c>
      <c r="C2167" s="235" t="str">
        <f>IFERROR(__xludf.DUMMYFUNCTION("""COMPUTED_VALUE"""),"TRANSPORTATION")</f>
        <v>TRANSPORTATION</v>
      </c>
      <c r="D2167" s="196" t="str">
        <f>IFERROR(__xludf.DUMMYFUNCTION("""COMPUTED_VALUE"""),"MOBILE PHONE - XIAOMI REDMI 9A 64 GB/ 4 GB")</f>
        <v>MOBILE PHONE - XIAOMI REDMI 9A 64 GB/ 4 GB</v>
      </c>
      <c r="E2167" s="196" t="str">
        <f>IFERROR(__xludf.DUMMYFUNCTION("""COMPUTED_VALUE"""),"SERVICE PHONE FOR TRANSPO DEPARTMENT , TO BE USED DURING LONG TRIPS; FOR WAZE AND GOOGLE MAPS")</f>
        <v>SERVICE PHONE FOR TRANSPO DEPARTMENT , TO BE USED DURING LONG TRIPS; FOR WAZE AND GOOGLE MAPS</v>
      </c>
    </row>
    <row r="2168">
      <c r="A2168" s="234">
        <f>IFERROR(__xludf.DUMMYFUNCTION("""COMPUTED_VALUE"""),102459.0)</f>
        <v>102459</v>
      </c>
      <c r="B2168" s="235" t="str">
        <f>IFERROR(__xludf.DUMMYFUNCTION("""COMPUTED_VALUE"""),"CHRISTIAN  ANDRES ")</f>
        <v>CHRISTIAN  ANDRES </v>
      </c>
      <c r="C2168" s="235" t="str">
        <f>IFERROR(__xludf.DUMMYFUNCTION("""COMPUTED_VALUE"""),"PR &amp; MARKETING")</f>
        <v>PR &amp; MARKETING</v>
      </c>
      <c r="D2168" s="196" t="str">
        <f>IFERROR(__xludf.DUMMYFUNCTION("""COMPUTED_VALUE"""),"TARP- 10 FT X 12 FT KNU TARP (EYELET AND SEAMING ALL OVER)")</f>
        <v>TARP- 10 FT X 12 FT KNU TARP (EYELET AND SEAMING ALL OVER)</v>
      </c>
      <c r="E2168" s="196" t="str">
        <f>IFERROR(__xludf.DUMMYFUNCTION("""COMPUTED_VALUE"""),"KNU MOA SIGNING")</f>
        <v>KNU MOA SIGNING</v>
      </c>
    </row>
    <row r="2169">
      <c r="A2169" s="234">
        <f>IFERROR(__xludf.DUMMYFUNCTION("""COMPUTED_VALUE"""),102460.0)</f>
        <v>102460</v>
      </c>
      <c r="B2169" s="235" t="str">
        <f>IFERROR(__xludf.DUMMYFUNCTION("""COMPUTED_VALUE"""),"ANN DELA ISLA/MS. ARMIE ABABA")</f>
        <v>ANN DELA ISLA/MS. ARMIE ABABA</v>
      </c>
      <c r="C2169" s="235" t="str">
        <f>IFERROR(__xludf.DUMMYFUNCTION("""COMPUTED_VALUE"""),"I.B.")</f>
        <v>I.B.</v>
      </c>
      <c r="D2169" s="196" t="str">
        <f>IFERROR(__xludf.DUMMYFUNCTION("""COMPUTED_VALUE"""),"INVITATION WITH ENVELOPE ")</f>
        <v>INVITATION WITH ENVELOPE </v>
      </c>
      <c r="E2169" s="196" t="str">
        <f>IFERROR(__xludf.DUMMYFUNCTION("""COMPUTED_VALUE"""),"IB GRADUATION")</f>
        <v>IB GRADUATION</v>
      </c>
    </row>
    <row r="2170">
      <c r="A2170" s="234">
        <f>IFERROR(__xludf.DUMMYFUNCTION("""COMPUTED_VALUE"""),102461.0)</f>
        <v>102461</v>
      </c>
      <c r="B2170" s="235" t="str">
        <f>IFERROR(__xludf.DUMMYFUNCTION("""COMPUTED_VALUE"""),"KENNETH ANCERMO")</f>
        <v>KENNETH ANCERMO</v>
      </c>
      <c r="C2170" s="235" t="str">
        <f>IFERROR(__xludf.DUMMYFUNCTION("""COMPUTED_VALUE"""),"AMD")</f>
        <v>AMD</v>
      </c>
      <c r="D2170" s="196" t="str">
        <f>IFERROR(__xludf.DUMMYFUNCTION("""COMPUTED_VALUE"""),"LAN Card PCI, LAN Card PCI-E")</f>
        <v>LAN Card PCI, LAN Card PCI-E</v>
      </c>
      <c r="E2170" s="196" t="str">
        <f>IFERROR(__xludf.DUMMYFUNCTION("""COMPUTED_VALUE"""),"MIS STOCK REPLENISHMENT")</f>
        <v>MIS STOCK REPLENISHMENT</v>
      </c>
    </row>
    <row r="2171">
      <c r="A2171" s="234">
        <f>IFERROR(__xludf.DUMMYFUNCTION("""COMPUTED_VALUE"""),102462.0)</f>
        <v>102462</v>
      </c>
      <c r="B2171" s="235" t="str">
        <f>IFERROR(__xludf.DUMMYFUNCTION("""COMPUTED_VALUE"""),"OWIE PAR")</f>
        <v>OWIE PAR</v>
      </c>
      <c r="C2171" s="235" t="str">
        <f>IFERROR(__xludf.DUMMYFUNCTION("""COMPUTED_VALUE"""),"ENGINEERING")</f>
        <v>ENGINEERING</v>
      </c>
      <c r="D2171" s="196" t="str">
        <f>IFERROR(__xludf.DUMMYFUNCTION("""COMPUTED_VALUE"""),"COPPER TUBE 3/8 .28, COPPER TUBE 1/4 .28, INSULATION 3/8 X 3/4, INSULATION 14 X 3/4, WHITE FILM, NITRO GAS, ANGLE BAR 1 1/2 X  1/4,  DYNA BOLT 3/8")</f>
        <v>COPPER TUBE 3/8 .28, COPPER TUBE 1/4 .28, INSULATION 3/8 X 3/4, INSULATION 14 X 3/4, WHITE FILM, NITRO GAS, ANGLE BAR 1 1/2 X  1/4,  DYNA BOLT 3/8</v>
      </c>
      <c r="E2171" s="196" t="str">
        <f>IFERROR(__xludf.DUMMYFUNCTION("""COMPUTED_VALUE"""),"ACU INSTALLATION OF DR. JO'S HOUSE IN LEGACY")</f>
        <v>ACU INSTALLATION OF DR. JO'S HOUSE IN LEGACY</v>
      </c>
    </row>
    <row r="2172">
      <c r="A2172" s="234">
        <f>IFERROR(__xludf.DUMMYFUNCTION("""COMPUTED_VALUE"""),102463.0)</f>
        <v>102463</v>
      </c>
      <c r="B2172" s="235" t="str">
        <f>IFERROR(__xludf.DUMMYFUNCTION("""COMPUTED_VALUE"""),"LUCILLE  BEYER")</f>
        <v>LUCILLE  BEYER</v>
      </c>
      <c r="C2172" s="235" t="str">
        <f>IFERROR(__xludf.DUMMYFUNCTION("""COMPUTED_VALUE"""),"MEDICAL")</f>
        <v>MEDICAL</v>
      </c>
      <c r="D2172" s="196" t="str">
        <f>IFERROR(__xludf.DUMMYFUNCTION("""COMPUTED_VALUE"""),"CATAPRES 75 MCG, DIZZITAB, MEFENAMIC ACID, KREMIL-S , ALAXAN FORTE, SALONPAS, OMEHA PAIN KILLER, WHITE  FLOWER, COTTON BUDS ( BABY FLO GENTLE BUDS)")</f>
        <v>CATAPRES 75 MCG, DIZZITAB, MEFENAMIC ACID, KREMIL-S , ALAXAN FORTE, SALONPAS, OMEHA PAIN KILLER, WHITE  FLOWER, COTTON BUDS ( BABY FLO GENTLE BUDS)</v>
      </c>
      <c r="E2172" s="196" t="str">
        <f>IFERROR(__xludf.DUMMYFUNCTION("""COMPUTED_VALUE"""),"FOR ADDT'L SUPPLIES IN PREPARATION FOR AY 2022-2023")</f>
        <v>FOR ADDT'L SUPPLIES IN PREPARATION FOR AY 2022-2023</v>
      </c>
    </row>
    <row r="2173">
      <c r="A2173" s="234">
        <f>IFERROR(__xludf.DUMMYFUNCTION("""COMPUTED_VALUE"""),102464.0)</f>
        <v>102464</v>
      </c>
      <c r="B2173" s="235" t="str">
        <f>IFERROR(__xludf.DUMMYFUNCTION("""COMPUTED_VALUE"""),"RONALD VERDE ")</f>
        <v>RONALD VERDE </v>
      </c>
      <c r="C2173" s="235" t="str">
        <f>IFERROR(__xludf.DUMMYFUNCTION("""COMPUTED_VALUE"""),"ADMIN - LUX")</f>
        <v>ADMIN - LUX</v>
      </c>
      <c r="D2173" s="196" t="str">
        <f>IFERROR(__xludf.DUMMYFUNCTION("""COMPUTED_VALUE"""),"3 8MF MOTOLITE GOLD BATTERY ")</f>
        <v>3 8MF MOTOLITE GOLD BATTERY </v>
      </c>
      <c r="E2173" s="196" t="str">
        <f>IFERROR(__xludf.DUMMYFUNCTION("""COMPUTED_VALUE"""),"PREVENTIVE MAINTENANCE OF SISC  COASTER ")</f>
        <v>PREVENTIVE MAINTENANCE OF SISC  COASTER </v>
      </c>
    </row>
    <row r="2174">
      <c r="A2174" s="234">
        <f>IFERROR(__xludf.DUMMYFUNCTION("""COMPUTED_VALUE"""),102465.0)</f>
        <v>102465</v>
      </c>
      <c r="B2174" s="235" t="str">
        <f>IFERROR(__xludf.DUMMYFUNCTION("""COMPUTED_VALUE"""),"JAN GUTTIEREZ")</f>
        <v>JAN GUTTIEREZ</v>
      </c>
      <c r="C2174" s="235" t="str">
        <f>IFERROR(__xludf.DUMMYFUNCTION("""COMPUTED_VALUE"""),"DP'S OFFICE")</f>
        <v>DP'S OFFICE</v>
      </c>
      <c r="D2174" s="196" t="str">
        <f>IFERROR(__xludf.DUMMYFUNCTION("""COMPUTED_VALUE"""),"MEDALS:  Academic Excellence (green lace) Gold, Academic Excellence (purple lace) Silver, Academic Excellence (pink lace) Bronze, Values Excellence (white lace), Gen. Scholastic (tricolor) GOLD, AFSL Awards (blue ribbon), Loyalty Awardees (tricolor), Subj"&amp;"ect Excellence, Athletes of the Year")</f>
        <v>MEDALS:  Academic Excellence (green lace) Gold, Academic Excellence (purple lace) Silver, Academic Excellence (pink lace) Bronze, Values Excellence (white lace), Gen. Scholastic (tricolor) GOLD, AFSL Awards (blue ribbon), Loyalty Awardees (tricolor), Subject Excellence, Athletes of the Year</v>
      </c>
      <c r="E2174" s="196" t="str">
        <f>IFERROR(__xludf.DUMMYFUNCTION("""COMPUTED_VALUE"""),"GRADE 12 GRADUATION MEDALS ")</f>
        <v>GRADE 12 GRADUATION MEDALS </v>
      </c>
    </row>
    <row r="2175">
      <c r="A2175" s="234">
        <f>IFERROR(__xludf.DUMMYFUNCTION("""COMPUTED_VALUE"""),102466.0)</f>
        <v>102466</v>
      </c>
      <c r="B2175" s="235" t="str">
        <f>IFERROR(__xludf.DUMMYFUNCTION("""COMPUTED_VALUE"""),"GLADYS MINTU")</f>
        <v>GLADYS MINTU</v>
      </c>
      <c r="C2175" s="235" t="str">
        <f>IFERROR(__xludf.DUMMYFUNCTION("""COMPUTED_VALUE"""),"DP'S OFFICE")</f>
        <v>DP'S OFFICE</v>
      </c>
      <c r="D2175" s="196" t="str">
        <f>IFERROR(__xludf.DUMMYFUNCTION("""COMPUTED_VALUE"""),"MEDALS:  Academic Excellence (green lace) Gold, Academic Excellence (purple lace) Silver, Academic Excellence (pink lace) Bronze, Values Excellence (white lace), Gen. Scholastic (tricolor) GOLD, Gen. Scholastic (tricolor) SILVER, Gen. Scholastic (tricolor"&amp;") BRONZE , Subject Excellence TRICOLOR")</f>
        <v>MEDALS:  Academic Excellence (green lace) Gold, Academic Excellence (purple lace) Silver, Academic Excellence (pink lace) Bronze, Values Excellence (white lace), Gen. Scholastic (tricolor) GOLD, Gen. Scholastic (tricolor) SILVER, Gen. Scholastic (tricolor) BRONZE , Subject Excellence TRICOLOR</v>
      </c>
      <c r="E2175" s="196" t="str">
        <f>IFERROR(__xludf.DUMMYFUNCTION("""COMPUTED_VALUE"""),"GRADE 6 GRADUATION MEDALS ")</f>
        <v>GRADE 6 GRADUATION MEDALS </v>
      </c>
    </row>
    <row r="2176">
      <c r="A2176" s="234">
        <f>IFERROR(__xludf.DUMMYFUNCTION("""COMPUTED_VALUE"""),102467.0)</f>
        <v>102467</v>
      </c>
      <c r="B2176" s="235" t="str">
        <f>IFERROR(__xludf.DUMMYFUNCTION("""COMPUTED_VALUE"""),"ANN DELA ISLA ")</f>
        <v>ANN DELA ISLA </v>
      </c>
      <c r="C2176" s="235" t="str">
        <f>IFERROR(__xludf.DUMMYFUNCTION("""COMPUTED_VALUE"""),"I.B.")</f>
        <v>I.B.</v>
      </c>
      <c r="D2176" s="196" t="str">
        <f>IFERROR(__xludf.DUMMYFUNCTION("""COMPUTED_VALUE"""),"SINTRA BOARD- IB LOGO/ SISC NEW LOGO 3 FEET, SINTRA BOARD - SOUTHVILLE INTERNATIONAL SCHOOL AND COLLEGES- LETTERS 1 FT (8.5"" X 11"" ")</f>
        <v>SINTRA BOARD- IB LOGO/ SISC NEW LOGO 3 FEET, SINTRA BOARD - SOUTHVILLE INTERNATIONAL SCHOOL AND COLLEGES- LETTERS 1 FT (8.5" X 11" </v>
      </c>
      <c r="E2176" s="196" t="str">
        <f>IFERROR(__xludf.DUMMYFUNCTION("""COMPUTED_VALUE"""),"FOR IB GRADUATION")</f>
        <v>FOR IB GRADUATION</v>
      </c>
    </row>
    <row r="2177">
      <c r="A2177" s="234">
        <f>IFERROR(__xludf.DUMMYFUNCTION("""COMPUTED_VALUE"""),102468.0)</f>
        <v>102468</v>
      </c>
      <c r="B2177" s="235" t="str">
        <f>IFERROR(__xludf.DUMMYFUNCTION("""COMPUTED_VALUE"""),"ALFA DE LEON")</f>
        <v>ALFA DE LEON</v>
      </c>
      <c r="C2177" s="235" t="str">
        <f>IFERROR(__xludf.DUMMYFUNCTION("""COMPUTED_VALUE"""),"ADMIN")</f>
        <v>ADMIN</v>
      </c>
      <c r="D2177" s="196" t="str">
        <f>IFERROR(__xludf.DUMMYFUNCTION("""COMPUTED_VALUE"""),"PLANTS FOR MONARCH PARK ")</f>
        <v>PLANTS FOR MONARCH PARK </v>
      </c>
      <c r="E2177" s="196" t="str">
        <f>IFERROR(__xludf.DUMMYFUNCTION("""COMPUTED_VALUE"""),"PLANTS FOR MONARCHS PARK PROJECT")</f>
        <v>PLANTS FOR MONARCHS PARK PROJECT</v>
      </c>
    </row>
    <row r="2178">
      <c r="A2178" s="234">
        <f>IFERROR(__xludf.DUMMYFUNCTION("""COMPUTED_VALUE"""),102469.0)</f>
        <v>102469</v>
      </c>
      <c r="B2178" s="235" t="str">
        <f>IFERROR(__xludf.DUMMYFUNCTION("""COMPUTED_VALUE"""),"JOMEL BUTIAL ")</f>
        <v>JOMEL BUTIAL </v>
      </c>
      <c r="C2178" s="235" t="str">
        <f>IFERROR(__xludf.DUMMYFUNCTION("""COMPUTED_VALUE"""),"AMD")</f>
        <v>AMD</v>
      </c>
      <c r="D2178" s="196" t="str">
        <f>IFERROR(__xludf.DUMMYFUNCTION("""COMPUTED_VALUE"""),"IB TOGA XS 2 PCS; IB TOGA HOOD 3 PCS;P")</f>
        <v>IB TOGA XS 2 PCS; IB TOGA HOOD 3 PCS;P</v>
      </c>
      <c r="E2178" s="196" t="str">
        <f>IFERROR(__xludf.DUMMYFUNCTION("""COMPUTED_VALUE"""),"IB GRADUATION AY 2021-2022")</f>
        <v>IB GRADUATION AY 2021-2022</v>
      </c>
    </row>
    <row r="2179">
      <c r="A2179" s="234">
        <f>IFERROR(__xludf.DUMMYFUNCTION("""COMPUTED_VALUE"""),102470.0)</f>
        <v>102470</v>
      </c>
      <c r="B2179" s="235" t="str">
        <f>IFERROR(__xludf.DUMMYFUNCTION("""COMPUTED_VALUE"""),"CINDY JURADO")</f>
        <v>CINDY JURADO</v>
      </c>
      <c r="C2179" s="235" t="str">
        <f>IFERROR(__xludf.DUMMYFUNCTION("""COMPUTED_VALUE"""),"STUDENT AFFAIRS BED")</f>
        <v>STUDENT AFFAIRS BED</v>
      </c>
      <c r="D2179" s="196" t="str">
        <f>IFERROR(__xludf.DUMMYFUNCTION("""COMPUTED_VALUE"""),"STAGE FLOWER DECOR, ECUADORIAN ROSE, ROSES HOLLAND")</f>
        <v>STAGE FLOWER DECOR, ECUADORIAN ROSE, ROSES HOLLAND</v>
      </c>
      <c r="E2179" s="196" t="str">
        <f>IFERROR(__xludf.DUMMYFUNCTION("""COMPUTED_VALUE"""),"ONSITE GRADUATION (SK, GRADE 6, GRADE 12 &amp; IB2)")</f>
        <v>ONSITE GRADUATION (SK, GRADE 6, GRADE 12 &amp; IB2)</v>
      </c>
    </row>
    <row r="2180">
      <c r="A2180" s="234">
        <f>IFERROR(__xludf.DUMMYFUNCTION("""COMPUTED_VALUE"""),102471.0)</f>
        <v>102471</v>
      </c>
      <c r="B2180" s="235" t="str">
        <f>IFERROR(__xludf.DUMMYFUNCTION("""COMPUTED_VALUE"""),"CINDY JURADO")</f>
        <v>CINDY JURADO</v>
      </c>
      <c r="C2180" s="235" t="str">
        <f>IFERROR(__xludf.DUMMYFUNCTION("""COMPUTED_VALUE"""),"STUDENT AFFAIRS BED")</f>
        <v>STUDENT AFFAIRS BED</v>
      </c>
      <c r="D2180" s="196" t="str">
        <f>IFERROR(__xludf.DUMMYFUNCTION("""COMPUTED_VALUE"""),"YEARBOOK 2020-2021 BASIC ED AND IB - YB SIZE 11"" X 8.5"" 354 PAGES STOCK C25 120 MOUNT PASTEBOARD # MATTE 80 C25 120,  COLOR 4/4 FULL PROCESS OFFSHEET ; BINDING SMYTH SEWN (HARDBOUND) others:  GRAPHIC DESIGN, TYPE SETTING AND LAYOUT W/ MATTE LAMINATION -"&amp;" SPOT UV")</f>
        <v>YEARBOOK 2020-2021 BASIC ED AND IB - YB SIZE 11" X 8.5" 354 PAGES STOCK C25 120 MOUNT PASTEBOARD # MATTE 80 C25 120,  COLOR 4/4 FULL PROCESS OFFSHEET ; BINDING SMYTH SEWN (HARDBOUND) others:  GRAPHIC DESIGN, TYPE SETTING AND LAYOUT W/ MATTE LAMINATION - SPOT UV</v>
      </c>
      <c r="E2180" s="196" t="str">
        <f>IFERROR(__xludf.DUMMYFUNCTION("""COMPUTED_VALUE"""),"YEARBBOOK AY 2020-2021")</f>
        <v>YEARBBOOK AY 2020-2021</v>
      </c>
    </row>
    <row r="2181">
      <c r="A2181" s="234">
        <f>IFERROR(__xludf.DUMMYFUNCTION("""COMPUTED_VALUE"""),102472.0)</f>
        <v>102472</v>
      </c>
      <c r="B2181" s="235" t="str">
        <f>IFERROR(__xludf.DUMMYFUNCTION("""COMPUTED_VALUE"""),"TIM DIOSAY ")</f>
        <v>TIM DIOSAY </v>
      </c>
      <c r="C2181" s="235" t="str">
        <f>IFERROR(__xludf.DUMMYFUNCTION("""COMPUTED_VALUE"""),"ADMIN")</f>
        <v>ADMIN</v>
      </c>
      <c r="D2181" s="196" t="str">
        <f>IFERROR(__xludf.DUMMYFUNCTION("""COMPUTED_VALUE"""),"SWING CHECK VALVE 6"", VICTAULIC COUPLING 6"", NIPPLE WITH GROOVE AT ONE END 6"" X 2""")</f>
        <v>SWING CHECK VALVE 6", VICTAULIC COUPLING 6", NIPPLE WITH GROOVE AT ONE END 6" X 2"</v>
      </c>
      <c r="E2181" s="196" t="str">
        <f>IFERROR(__xludf.DUMMYFUNCTION("""COMPUTED_VALUE"""),"MONARCH PARK DRAINAGE SYSTEM ")</f>
        <v>MONARCH PARK DRAINAGE SYSTEM </v>
      </c>
    </row>
    <row r="2182">
      <c r="A2182" s="234">
        <f>IFERROR(__xludf.DUMMYFUNCTION("""COMPUTED_VALUE"""),102473.0)</f>
        <v>102473</v>
      </c>
      <c r="B2182" s="235" t="str">
        <f>IFERROR(__xludf.DUMMYFUNCTION("""COMPUTED_VALUE"""),"TIM DIOSAY ")</f>
        <v>TIM DIOSAY </v>
      </c>
      <c r="C2182" s="235" t="str">
        <f>IFERROR(__xludf.DUMMYFUNCTION("""COMPUTED_VALUE"""),"ADMIN")</f>
        <v>ADMIN</v>
      </c>
      <c r="D2182" s="196" t="str">
        <f>IFERROR(__xludf.DUMMYFUNCTION("""COMPUTED_VALUE"""),"SUMP PUMP (1 HP) SUBMERSIBLE WATER PUMP BRAND: SHOFOU OR GOLD")</f>
        <v>SUMP PUMP (1 HP) SUBMERSIBLE WATER PUMP BRAND: SHOFOU OR GOLD</v>
      </c>
      <c r="E2182" s="196" t="str">
        <f>IFERROR(__xludf.DUMMYFUNCTION("""COMPUTED_VALUE"""),"MONARCH PARK DRAINAGE SYSTEM")</f>
        <v>MONARCH PARK DRAINAGE SYSTEM</v>
      </c>
    </row>
    <row r="2183">
      <c r="A2183" s="234">
        <f>IFERROR(__xludf.DUMMYFUNCTION("""COMPUTED_VALUE"""),102474.0)</f>
        <v>102474</v>
      </c>
      <c r="B2183" s="235" t="str">
        <f>IFERROR(__xludf.DUMMYFUNCTION("""COMPUTED_VALUE"""),"GARRY BATOA-EY")</f>
        <v>GARRY BATOA-EY</v>
      </c>
      <c r="C2183" s="235" t="str">
        <f>IFERROR(__xludf.DUMMYFUNCTION("""COMPUTED_VALUE"""),"MIS/ICT")</f>
        <v>MIS/ICT</v>
      </c>
      <c r="D2183" s="196" t="str">
        <f>IFERROR(__xludf.DUMMYFUNCTION("""COMPUTED_VALUE"""),"NETWORK SWITCH, 8 PORTS, 4 PORTS")</f>
        <v>NETWORK SWITCH, 8 PORTS, 4 PORTS</v>
      </c>
      <c r="E2183" s="196" t="str">
        <f>IFERROR(__xludf.DUMMYFUNCTION("""COMPUTED_VALUE"""),"TO ADD/EXPAND NETWORK CONNECTIONS OR DEVICES (MOSTLY THE COMPUTERS), IN COLLEGE FACULTY, EVENTS)")</f>
        <v>TO ADD/EXPAND NETWORK CONNECTIONS OR DEVICES (MOSTLY THE COMPUTERS), IN COLLEGE FACULTY, EVENTS)</v>
      </c>
    </row>
    <row r="2184">
      <c r="A2184" s="234">
        <f>IFERROR(__xludf.DUMMYFUNCTION("""COMPUTED_VALUE"""),102475.0)</f>
        <v>102475</v>
      </c>
      <c r="B2184" s="235" t="str">
        <f>IFERROR(__xludf.DUMMYFUNCTION("""COMPUTED_VALUE"""),"OWIE PAR")</f>
        <v>OWIE PAR</v>
      </c>
      <c r="C2184" s="235" t="str">
        <f>IFERROR(__xludf.DUMMYFUNCTION("""COMPUTED_VALUE"""),"ENGINEERING")</f>
        <v>ENGINEERING</v>
      </c>
      <c r="D2184" s="196" t="str">
        <f>IFERROR(__xludf.DUMMYFUNCTION("""COMPUTED_VALUE"""),"ELECTRICAL PANEL BOARD BOLT ON MAIN 100 AMP 2 POLE, BRANCHES 3 SETS 30 AMP, 3 SETS 20 AMP, 2 SETS 15 AMP, THHN #4 NELTEX, THHN #10, PVC PIPE # 3/4 NELTEX, PVC SHORT BENT ELBOW #1, PVC SHORT BENT ELBOW 3/4, ELECTRICAL TAPE BIG")</f>
        <v>ELECTRICAL PANEL BOARD BOLT ON MAIN 100 AMP 2 POLE, BRANCHES 3 SETS 30 AMP, 3 SETS 20 AMP, 2 SETS 15 AMP, THHN #4 NELTEX, THHN #10, PVC PIPE # 3/4 NELTEX, PVC SHORT BENT ELBOW #1, PVC SHORT BENT ELBOW 3/4, ELECTRICAL TAPE BIG</v>
      </c>
      <c r="E2184" s="196" t="str">
        <f>IFERROR(__xludf.DUMMYFUNCTION("""COMPUTED_VALUE"""),"FOR ELECTRICAL OF HOPKINS/LV")</f>
        <v>FOR ELECTRICAL OF HOPKINS/LV</v>
      </c>
    </row>
    <row r="2185">
      <c r="A2185" s="234">
        <f>IFERROR(__xludf.DUMMYFUNCTION("""COMPUTED_VALUE"""),102476.0)</f>
        <v>102476</v>
      </c>
      <c r="B2185" s="235" t="str">
        <f>IFERROR(__xludf.DUMMYFUNCTION("""COMPUTED_VALUE"""),"TIM DIOSAY")</f>
        <v>TIM DIOSAY</v>
      </c>
      <c r="C2185" s="235" t="str">
        <f>IFERROR(__xludf.DUMMYFUNCTION("""COMPUTED_VALUE"""),"ADMIN")</f>
        <v>ADMIN</v>
      </c>
      <c r="D2185" s="196" t="str">
        <f>IFERROR(__xludf.DUMMYFUNCTION("""COMPUTED_VALUE"""),"20X20 CM X 10 MM THK. OUTDOOR HOMOGENEOUS TILES COLOR: GSA 02 NRB BY PRIME FLOOR COVERINGS")</f>
        <v>20X20 CM X 10 MM THK. OUTDOOR HOMOGENEOUS TILES COLOR: GSA 02 NRB BY PRIME FLOOR COVERINGS</v>
      </c>
      <c r="E2185" s="196" t="str">
        <f>IFERROR(__xludf.DUMMYFUNCTION("""COMPUTED_VALUE"""),"F-13 OUTDOOR TILES PLANT BOXES - MONARCH'S PARK")</f>
        <v>F-13 OUTDOOR TILES PLANT BOXES - MONARCH'S PARK</v>
      </c>
    </row>
    <row r="2186">
      <c r="A2186" s="234">
        <f>IFERROR(__xludf.DUMMYFUNCTION("""COMPUTED_VALUE"""),102477.0)</f>
        <v>102477</v>
      </c>
      <c r="B2186" s="235" t="str">
        <f>IFERROR(__xludf.DUMMYFUNCTION("""COMPUTED_VALUE"""),"ELYDIA REYES")</f>
        <v>ELYDIA REYES</v>
      </c>
      <c r="C2186" s="235" t="str">
        <f>IFERROR(__xludf.DUMMYFUNCTION("""COMPUTED_VALUE"""),"PR &amp; MARKETING")</f>
        <v>PR &amp; MARKETING</v>
      </c>
      <c r="D2186" s="196" t="str">
        <f>IFERROR(__xludf.DUMMYFUNCTION("""COMPUTED_VALUE"""),"SISC NOTEPAD 5X4 INCHES ")</f>
        <v>SISC NOTEPAD 5X4 INCHES </v>
      </c>
      <c r="E2186" s="196" t="str">
        <f>IFERROR(__xludf.DUMMYFUNCTION("""COMPUTED_VALUE"""),"FOR MARKETING")</f>
        <v>FOR MARKETING</v>
      </c>
    </row>
    <row r="2187">
      <c r="A2187" s="234">
        <f>IFERROR(__xludf.DUMMYFUNCTION("""COMPUTED_VALUE"""),102478.0)</f>
        <v>102478</v>
      </c>
      <c r="B2187" s="235" t="str">
        <f>IFERROR(__xludf.DUMMYFUNCTION("""COMPUTED_VALUE"""),"LUCILLE BEYER")</f>
        <v>LUCILLE BEYER</v>
      </c>
      <c r="C2187" s="235" t="str">
        <f>IFERROR(__xludf.DUMMYFUNCTION("""COMPUTED_VALUE"""),"MEDICAL")</f>
        <v>MEDICAL</v>
      </c>
      <c r="D2187" s="196" t="str">
        <f>IFERROR(__xludf.DUMMYFUNCTION("""COMPUTED_VALUE"""),"ANTIGEN TEST KITS (SALIVA)")</f>
        <v>ANTIGEN TEST KITS (SALIVA)</v>
      </c>
      <c r="E2187" s="196" t="str">
        <f>IFERROR(__xludf.DUMMYFUNCTION("""COMPUTED_VALUE"""),"FOR USE IN A SCHOOL EVENT (FOR GLT)")</f>
        <v>FOR USE IN A SCHOOL EVENT (FOR GLT)</v>
      </c>
    </row>
    <row r="2188">
      <c r="A2188" s="234">
        <f>IFERROR(__xludf.DUMMYFUNCTION("""COMPUTED_VALUE"""),102479.0)</f>
        <v>102479</v>
      </c>
      <c r="B2188" s="235" t="str">
        <f>IFERROR(__xludf.DUMMYFUNCTION("""COMPUTED_VALUE"""),"JOMEL BUTIAL ")</f>
        <v>JOMEL BUTIAL </v>
      </c>
      <c r="C2188" s="235" t="str">
        <f>IFERROR(__xludf.DUMMYFUNCTION("""COMPUTED_VALUE"""),"AMD")</f>
        <v>AMD</v>
      </c>
      <c r="D2188" s="196" t="str">
        <f>IFERROR(__xludf.DUMMYFUNCTION("""COMPUTED_VALUE"""),"D-STROY DRAIN MAINTAINIER AND DEODORIZER 10 GALS; SWEET SUNSATION 20 GALS")</f>
        <v>D-STROY DRAIN MAINTAINIER AND DEODORIZER 10 GALS; SWEET SUNSATION 20 GALS</v>
      </c>
      <c r="E2188" s="196" t="str">
        <f>IFERROR(__xludf.DUMMYFUNCTION("""COMPUTED_VALUE"""),"HOUSEKEEPING REPLENISHMENT FOR  JUNE 2022")</f>
        <v>HOUSEKEEPING REPLENISHMENT FOR  JUNE 2022</v>
      </c>
    </row>
    <row r="2189">
      <c r="A2189" s="234">
        <f>IFERROR(__xludf.DUMMYFUNCTION("""COMPUTED_VALUE"""),102480.0)</f>
        <v>102480</v>
      </c>
      <c r="B2189" s="235" t="str">
        <f>IFERROR(__xludf.DUMMYFUNCTION("""COMPUTED_VALUE"""),"JOMEL BUTIAL ")</f>
        <v>JOMEL BUTIAL </v>
      </c>
      <c r="C2189" s="235" t="str">
        <f>IFERROR(__xludf.DUMMYFUNCTION("""COMPUTED_VALUE"""),"AMD")</f>
        <v>AMD</v>
      </c>
      <c r="D2189" s="196" t="str">
        <f>IFERROR(__xludf.DUMMYFUNCTION("""COMPUTED_VALUE"""),"BIDET TECH HERITAGE MODEL CREAM 40 PCS;")</f>
        <v>BIDET TECH HERITAGE MODEL CREAM 40 PCS;</v>
      </c>
      <c r="E2189" s="196" t="str">
        <f>IFERROR(__xludf.DUMMYFUNCTION("""COMPUTED_VALUE"""),"HOUSEKEEPING REPLENISHMENT FOR  JUNE 2022")</f>
        <v>HOUSEKEEPING REPLENISHMENT FOR  JUNE 2022</v>
      </c>
    </row>
    <row r="2190">
      <c r="A2190" s="234">
        <f>IFERROR(__xludf.DUMMYFUNCTION("""COMPUTED_VALUE"""),102481.0)</f>
        <v>102481</v>
      </c>
      <c r="B2190" s="235" t="str">
        <f>IFERROR(__xludf.DUMMYFUNCTION("""COMPUTED_VALUE"""),"JOMEL BUTIAL ")</f>
        <v>JOMEL BUTIAL </v>
      </c>
      <c r="C2190" s="235" t="str">
        <f>IFERROR(__xludf.DUMMYFUNCTION("""COMPUTED_VALUE"""),"AMD")</f>
        <v>AMD</v>
      </c>
      <c r="D2190" s="196" t="str">
        <f>IFERROR(__xludf.DUMMYFUNCTION("""COMPUTED_VALUE"""),"FEATHER DUSTER 15 PCS; TOPLUSTER HIGH GRADE LIQUID WAX 15 GALS;")</f>
        <v>FEATHER DUSTER 15 PCS; TOPLUSTER HIGH GRADE LIQUID WAX 15 GALS;</v>
      </c>
      <c r="E2190" s="196" t="str">
        <f>IFERROR(__xludf.DUMMYFUNCTION("""COMPUTED_VALUE"""),"HOUSEKEEPING REPLENISHMENT FOR  JUNE 2022")</f>
        <v>HOUSEKEEPING REPLENISHMENT FOR  JUNE 2022</v>
      </c>
    </row>
    <row r="2191">
      <c r="A2191" s="234">
        <f>IFERROR(__xludf.DUMMYFUNCTION("""COMPUTED_VALUE"""),102482.0)</f>
        <v>102482</v>
      </c>
      <c r="B2191" s="235" t="str">
        <f>IFERROR(__xludf.DUMMYFUNCTION("""COMPUTED_VALUE"""),"DYAN CHAVEZ")</f>
        <v>DYAN CHAVEZ</v>
      </c>
      <c r="C2191" s="235" t="str">
        <f>IFERROR(__xludf.DUMMYFUNCTION("""COMPUTED_VALUE"""),"ECED")</f>
        <v>ECED</v>
      </c>
      <c r="D2191" s="196" t="str">
        <f>IFERROR(__xludf.DUMMYFUNCTION("""COMPUTED_VALUE"""),"PRE-KINDER WORKSHEETS, JUNIOR KINDER WORKSHEETS, SENIOR KINDER WORKSHEETS (WITH PURPLE MOROCCO ENVELOPE) ")</f>
        <v>PRE-KINDER WORKSHEETS, JUNIOR KINDER WORKSHEETS, SENIOR KINDER WORKSHEETS (WITH PURPLE MOROCCO ENVELOPE) </v>
      </c>
      <c r="E2191" s="196" t="str">
        <f>IFERROR(__xludf.DUMMYFUNCTION("""COMPUTED_VALUE"""),"PRESCHOOL WORKSHEETS ")</f>
        <v>PRESCHOOL WORKSHEETS </v>
      </c>
    </row>
    <row r="2192">
      <c r="A2192" s="234">
        <f>IFERROR(__xludf.DUMMYFUNCTION("""COMPUTED_VALUE"""),102483.0)</f>
        <v>102483</v>
      </c>
      <c r="B2192" s="235" t="str">
        <f>IFERROR(__xludf.DUMMYFUNCTION("""COMPUTED_VALUE"""),"CHRISTIAN ANDRES ")</f>
        <v>CHRISTIAN ANDRES </v>
      </c>
      <c r="C2192" s="235" t="str">
        <f>IFERROR(__xludf.DUMMYFUNCTION("""COMPUTED_VALUE"""),"PR &amp; MARKETING")</f>
        <v>PR &amp; MARKETING</v>
      </c>
      <c r="D2192" s="196" t="str">
        <f>IFERROR(__xludf.DUMMYFUNCTION("""COMPUTED_VALUE"""),"CHINESE DOCUMENTS MAGAZINE ")</f>
        <v>CHINESE DOCUMENTS MAGAZINE </v>
      </c>
      <c r="E2192" s="196" t="str">
        <f>IFERROR(__xludf.DUMMYFUNCTION("""COMPUTED_VALUE"""),"FOR CHINESE EMBASSY")</f>
        <v>FOR CHINESE EMBASSY</v>
      </c>
    </row>
    <row r="2193">
      <c r="A2193" s="234">
        <f>IFERROR(__xludf.DUMMYFUNCTION("""COMPUTED_VALUE"""),102484.0)</f>
        <v>102484</v>
      </c>
      <c r="B2193" s="235" t="str">
        <f>IFERROR(__xludf.DUMMYFUNCTION("""COMPUTED_VALUE"""),"RONALDO A. OBLENO")</f>
        <v>RONALDO A. OBLENO</v>
      </c>
      <c r="C2193" s="235" t="str">
        <f>IFERROR(__xludf.DUMMYFUNCTION("""COMPUTED_VALUE"""),"MIS/ICT")</f>
        <v>MIS/ICT</v>
      </c>
      <c r="D2193" s="196" t="str">
        <f>IFERROR(__xludf.DUMMYFUNCTION("""COMPUTED_VALUE"""),"CPU CORE I5 (CLONED UNIT)")</f>
        <v>CPU CORE I5 (CLONED UNIT)</v>
      </c>
      <c r="E2193" s="196" t="str">
        <f>IFERROR(__xludf.DUMMYFUNCTION("""COMPUTED_VALUE"""),"REPLACEMENT OF OLD COMPUTER UNIT IN FACULTY (SAH'S UNIT BASIC ED OFFICES)")</f>
        <v>REPLACEMENT OF OLD COMPUTER UNIT IN FACULTY (SAH'S UNIT BASIC ED OFFICES)</v>
      </c>
    </row>
    <row r="2194">
      <c r="A2194" s="234">
        <f>IFERROR(__xludf.DUMMYFUNCTION("""COMPUTED_VALUE"""),102485.0)</f>
        <v>102485</v>
      </c>
      <c r="B2194" s="235" t="str">
        <f>IFERROR(__xludf.DUMMYFUNCTION("""COMPUTED_VALUE"""),"SHEREE ESPINOSA/PEN PHETIN ")</f>
        <v>SHEREE ESPINOSA/PEN PHETIN </v>
      </c>
      <c r="C2194" s="235" t="str">
        <f>IFERROR(__xludf.DUMMYFUNCTION("""COMPUTED_VALUE"""),"ADMIN")</f>
        <v>ADMIN</v>
      </c>
      <c r="D2194" s="196" t="str">
        <f>IFERROR(__xludf.DUMMYFUNCTION("""COMPUTED_VALUE"""),"TELEPHONE UNIT - MOTOROLA MODEL CT202 BLACK)")</f>
        <v>TELEPHONE UNIT - MOTOROLA MODEL CT202 BLACK)</v>
      </c>
      <c r="E2194" s="196" t="str">
        <f>IFERROR(__xludf.DUMMYFUNCTION("""COMPUTED_VALUE"""),"REPLACEMENT OF THE TELEPHONE UNIT IN DISCIPLINE OFFICE")</f>
        <v>REPLACEMENT OF THE TELEPHONE UNIT IN DISCIPLINE OFFICE</v>
      </c>
    </row>
    <row r="2195">
      <c r="A2195" s="234">
        <f>IFERROR(__xludf.DUMMYFUNCTION("""COMPUTED_VALUE"""),102486.0)</f>
        <v>102486</v>
      </c>
      <c r="B2195" s="235" t="str">
        <f>IFERROR(__xludf.DUMMYFUNCTION("""COMPUTED_VALUE"""),"CHRISTIAN S. ANDRES ")</f>
        <v>CHRISTIAN S. ANDRES </v>
      </c>
      <c r="C2195" s="235" t="str">
        <f>IFERROR(__xludf.DUMMYFUNCTION("""COMPUTED_VALUE"""),"PR &amp; MARKETING")</f>
        <v>PR &amp; MARKETING</v>
      </c>
      <c r="D2195" s="196" t="str">
        <f>IFERROR(__xludf.DUMMYFUNCTION("""COMPUTED_VALUE"""),"SOUTHVILLE PRIDE TARP (JUDE JOSEPH AGUON) 6.5 X 13.5 FEET SEAMING W/ EYELET ALLOVER BLACK OUT")</f>
        <v>SOUTHVILLE PRIDE TARP (JUDE JOSEPH AGUON) 6.5 X 13.5 FEET SEAMING W/ EYELET ALLOVER BLACK OUT</v>
      </c>
      <c r="E2195" s="196" t="str">
        <f>IFERROR(__xludf.DUMMYFUNCTION("""COMPUTED_VALUE"""),"MARKETING ")</f>
        <v>MARKETING </v>
      </c>
    </row>
    <row r="2196">
      <c r="A2196" s="234">
        <f>IFERROR(__xludf.DUMMYFUNCTION("""COMPUTED_VALUE"""),102487.0)</f>
        <v>102487</v>
      </c>
      <c r="B2196" s="235" t="str">
        <f>IFERROR(__xludf.DUMMYFUNCTION("""COMPUTED_VALUE"""),"ARNEL MONTABLAN")</f>
        <v>ARNEL MONTABLAN</v>
      </c>
      <c r="C2196" s="235" t="str">
        <f>IFERROR(__xludf.DUMMYFUNCTION("""COMPUTED_VALUE"""),"GLT SCHOLARS")</f>
        <v>GLT SCHOLARS</v>
      </c>
      <c r="D2196" s="196" t="str">
        <f>IFERROR(__xludf.DUMMYFUNCTION("""COMPUTED_VALUE"""),"ASAHI STAND FAN ")</f>
        <v>ASAHI STAND FAN </v>
      </c>
      <c r="E2196" s="196" t="str">
        <f>IFERROR(__xludf.DUMMYFUNCTION("""COMPUTED_VALUE"""),"FOR GIRL'S DORMITORY USE TO REPLACE THE EXISTING BROKEN (IRREPALACEABLE) ONES PURCHASED 6 YRS AGO")</f>
        <v>FOR GIRL'S DORMITORY USE TO REPLACE THE EXISTING BROKEN (IRREPALACEABLE) ONES PURCHASED 6 YRS AGO</v>
      </c>
    </row>
    <row r="2197">
      <c r="A2197" s="234">
        <f>IFERROR(__xludf.DUMMYFUNCTION("""COMPUTED_VALUE"""),102488.0)</f>
        <v>102488</v>
      </c>
      <c r="B2197" s="235" t="str">
        <f>IFERROR(__xludf.DUMMYFUNCTION("""COMPUTED_VALUE"""),"JOMEL BUTIAL ")</f>
        <v>JOMEL BUTIAL </v>
      </c>
      <c r="C2197" s="235" t="str">
        <f>IFERROR(__xludf.DUMMYFUNCTION("""COMPUTED_VALUE"""),"AMD ")</f>
        <v>AMD </v>
      </c>
      <c r="D2197" s="196" t="str">
        <f>IFERROR(__xludf.DUMMYFUNCTION("""COMPUTED_VALUE"""),"GENERIC MRR (MATERIAL RECEIVING REPORT) PAPER (3 COPIES EACH MRR NUMBER) 50 PADS")</f>
        <v>GENERIC MRR (MATERIAL RECEIVING REPORT) PAPER (3 COPIES EACH MRR NUMBER) 50 PADS</v>
      </c>
      <c r="E2197" s="196" t="str">
        <f>IFERROR(__xludf.DUMMYFUNCTION("""COMPUTED_VALUE"""),"FOR GENERIC MRR CREATION ")</f>
        <v>FOR GENERIC MRR CREATION </v>
      </c>
    </row>
    <row r="2198">
      <c r="A2198" s="234">
        <f>IFERROR(__xludf.DUMMYFUNCTION("""COMPUTED_VALUE"""),102489.0)</f>
        <v>102489</v>
      </c>
      <c r="B2198" s="235" t="str">
        <f>IFERROR(__xludf.DUMMYFUNCTION("""COMPUTED_VALUE"""),"WEN CHARLS MACMAC ")</f>
        <v>WEN CHARLS MACMAC </v>
      </c>
      <c r="C2198" s="235" t="str">
        <f>IFERROR(__xludf.DUMMYFUNCTION("""COMPUTED_VALUE"""),"REGISTRATION")</f>
        <v>REGISTRATION</v>
      </c>
      <c r="D2198" s="196" t="str">
        <f>IFERROR(__xludf.DUMMYFUNCTION("""COMPUTED_VALUE"""),"REPORT CARD: 700 PCS GRADE SCHOOL, 350 PCS SHS, 600 PCS JHS, 70 IB PROGRAMME")</f>
        <v>REPORT CARD: 700 PCS GRADE SCHOOL, 350 PCS SHS, 600 PCS JHS, 70 IB PROGRAMME</v>
      </c>
      <c r="E2198" s="196" t="str">
        <f>IFERROR(__xludf.DUMMYFUNCTION("""COMPUTED_VALUE"""),"REPORT CARD FOR BASIC ED")</f>
        <v>REPORT CARD FOR BASIC ED</v>
      </c>
    </row>
    <row r="2199">
      <c r="A2199" s="234">
        <f>IFERROR(__xludf.DUMMYFUNCTION("""COMPUTED_VALUE"""),102490.0)</f>
        <v>102490</v>
      </c>
      <c r="B2199" s="235" t="str">
        <f>IFERROR(__xludf.DUMMYFUNCTION("""COMPUTED_VALUE"""),"OWIE PAR")</f>
        <v>OWIE PAR</v>
      </c>
      <c r="C2199" s="235" t="str">
        <f>IFERROR(__xludf.DUMMYFUNCTION("""COMPUTED_VALUE"""),"ENGINEERING")</f>
        <v>ENGINEERING</v>
      </c>
      <c r="D2199" s="196" t="str">
        <f>IFERROR(__xludf.DUMMYFUNCTION("""COMPUTED_VALUE"""),"PPR PIPE 3/4"", PPR ELBOW 3/4, PPR MALE ADAPTER 3/4, PVC FEMALE ADAPTOR 3/4, SOLVENT CEMENT 100CC , TEPLON TAPE BIG, GI WIRE #16, QDE BLACK. ")</f>
        <v>PPR PIPE 3/4", PPR ELBOW 3/4, PPR MALE ADAPTER 3/4, PVC FEMALE ADAPTOR 3/4, SOLVENT CEMENT 100CC , TEPLON TAPE BIG, GI WIRE #16, QDE BLACK. </v>
      </c>
      <c r="E2199" s="196" t="str">
        <f>IFERROR(__xludf.DUMMYFUNCTION("""COMPUTED_VALUE"""),"FOR ANNEX BUILDING WATER LINE SUPPLY FROM ELI CAMPUS")</f>
        <v>FOR ANNEX BUILDING WATER LINE SUPPLY FROM ELI CAMPUS</v>
      </c>
    </row>
    <row r="2200">
      <c r="A2200" s="234">
        <f>IFERROR(__xludf.DUMMYFUNCTION("""COMPUTED_VALUE"""),102491.0)</f>
        <v>102491</v>
      </c>
      <c r="B2200" s="235" t="str">
        <f>IFERROR(__xludf.DUMMYFUNCTION("""COMPUTED_VALUE"""),"OWIE PAR")</f>
        <v>OWIE PAR</v>
      </c>
      <c r="C2200" s="235" t="str">
        <f>IFERROR(__xludf.DUMMYFUNCTION("""COMPUTED_VALUE"""),"ENGINEERING")</f>
        <v>ENGINEERING</v>
      </c>
      <c r="D2200" s="196" t="str">
        <f>IFERROR(__xludf.DUMMYFUNCTION("""COMPUTED_VALUE"""),"PREPAINTED GUTTER, PVC PIPE #3, PVC ELBOW 90"" 3"", PVC ELBOW 45"" 3"", PVC TEE 3"", BOSNY ROOF SEALER 2 KGS, VULCA SEAL, TEACH SCREW (METAL #2), BLIND REVITS 3/4"" AND 1/2"", DRILL BIT 3/8"" METAL")</f>
        <v>PREPAINTED GUTTER, PVC PIPE #3, PVC ELBOW 90" 3", PVC ELBOW 45" 3", PVC TEE 3", BOSNY ROOF SEALER 2 KGS, VULCA SEAL, TEACH SCREW (METAL #2), BLIND REVITS 3/4" AND 1/2", DRILL BIT 3/8" METAL</v>
      </c>
      <c r="E2200" s="196" t="str">
        <f>IFERROR(__xludf.DUMMYFUNCTION("""COMPUTED_VALUE"""),"FOR ELI, G.I. GUTTER FOR MR. ESCALANTE AREA")</f>
        <v>FOR ELI, G.I. GUTTER FOR MR. ESCALANTE AREA</v>
      </c>
    </row>
    <row r="2201">
      <c r="A2201" s="234">
        <f>IFERROR(__xludf.DUMMYFUNCTION("""COMPUTED_VALUE"""),102492.0)</f>
        <v>102492</v>
      </c>
      <c r="B2201" s="235" t="str">
        <f>IFERROR(__xludf.DUMMYFUNCTION("""COMPUTED_VALUE"""),"JOMEL BUTIAL")</f>
        <v>JOMEL BUTIAL</v>
      </c>
      <c r="C2201" s="235" t="str">
        <f>IFERROR(__xludf.DUMMYFUNCTION("""COMPUTED_VALUE"""),"AMD")</f>
        <v>AMD</v>
      </c>
      <c r="D2201" s="196" t="str">
        <f>IFERROR(__xludf.DUMMYFUNCTION("""COMPUTED_VALUE"""),"Marker, Whiteboard - Pilot Black, Marker, Whiteboard - Pilot Blue, Paper, Manila - 37 X 45, Clip, Binder Joy 3/4""")</f>
        <v>Marker, Whiteboard - Pilot Black, Marker, Whiteboard - Pilot Blue, Paper, Manila - 37 X 45, Clip, Binder Joy 3/4"</v>
      </c>
      <c r="E2201" s="196" t="str">
        <f>IFERROR(__xludf.DUMMYFUNCTION("""COMPUTED_VALUE"""),"OSSUP STOCK REPLENISHMENT")</f>
        <v>OSSUP STOCK REPLENISHMENT</v>
      </c>
    </row>
    <row r="2202">
      <c r="A2202" s="234">
        <f>IFERROR(__xludf.DUMMYFUNCTION("""COMPUTED_VALUE"""),102493.0)</f>
        <v>102493</v>
      </c>
      <c r="B2202" s="235" t="str">
        <f>IFERROR(__xludf.DUMMYFUNCTION("""COMPUTED_VALUE"""),"ALFA DE LEON")</f>
        <v>ALFA DE LEON</v>
      </c>
      <c r="C2202" s="235" t="str">
        <f>IFERROR(__xludf.DUMMYFUNCTION("""COMPUTED_VALUE"""),"LANDSCAPING")</f>
        <v>LANDSCAPING</v>
      </c>
      <c r="D2202" s="196" t="str">
        <f>IFERROR(__xludf.DUMMYFUNCTION("""COMPUTED_VALUE"""),"POTS MEDIUM")</f>
        <v>POTS MEDIUM</v>
      </c>
      <c r="E2202" s="196" t="str">
        <f>IFERROR(__xludf.DUMMYFUNCTION("""COMPUTED_VALUE"""),"TO PLANT THE PROPAGATED PLANTS ")</f>
        <v>TO PLANT THE PROPAGATED PLANTS </v>
      </c>
    </row>
    <row r="2203">
      <c r="A2203" s="234">
        <f>IFERROR(__xludf.DUMMYFUNCTION("""COMPUTED_VALUE"""),102494.0)</f>
        <v>102494</v>
      </c>
      <c r="B2203" s="235" t="str">
        <f>IFERROR(__xludf.DUMMYFUNCTION("""COMPUTED_VALUE"""),"ALFA DE LEON")</f>
        <v>ALFA DE LEON</v>
      </c>
      <c r="C2203" s="235" t="str">
        <f>IFERROR(__xludf.DUMMYFUNCTION("""COMPUTED_VALUE"""),"ADMIN - LUX")</f>
        <v>ADMIN - LUX</v>
      </c>
      <c r="D2203" s="196" t="str">
        <f>IFERROR(__xludf.DUMMYFUNCTION("""COMPUTED_VALUE"""),"FURUDAN")</f>
        <v>FURUDAN</v>
      </c>
      <c r="E2203" s="196" t="str">
        <f>IFERROR(__xludf.DUMMYFUNCTION("""COMPUTED_VALUE"""),"LANDSCAPING MAINTENANCE ")</f>
        <v>LANDSCAPING MAINTENANCE </v>
      </c>
    </row>
    <row r="2204">
      <c r="A2204" s="234">
        <f>IFERROR(__xludf.DUMMYFUNCTION("""COMPUTED_VALUE"""),102495.0)</f>
        <v>102495</v>
      </c>
      <c r="B2204" s="235" t="str">
        <f>IFERROR(__xludf.DUMMYFUNCTION("""COMPUTED_VALUE"""),"ALFA DE LEON")</f>
        <v>ALFA DE LEON</v>
      </c>
      <c r="C2204" s="235" t="str">
        <f>IFERROR(__xludf.DUMMYFUNCTION("""COMPUTED_VALUE"""),"TROPICAL LANDSCAPING")</f>
        <v>TROPICAL LANDSCAPING</v>
      </c>
      <c r="D2204" s="196" t="str">
        <f>IFERROR(__xludf.DUMMYFUNCTION("""COMPUTED_VALUE"""),"POTS MEDIUM")</f>
        <v>POTS MEDIUM</v>
      </c>
      <c r="E2204" s="196" t="str">
        <f>IFERROR(__xludf.DUMMYFUNCTION("""COMPUTED_VALUE"""),"TO PLANT THE PROPAGATED PLANTS ")</f>
        <v>TO PLANT THE PROPAGATED PLANTS </v>
      </c>
    </row>
    <row r="2205">
      <c r="A2205" s="234">
        <f>IFERROR(__xludf.DUMMYFUNCTION("""COMPUTED_VALUE"""),102496.0)</f>
        <v>102496</v>
      </c>
      <c r="B2205" s="235" t="str">
        <f>IFERROR(__xludf.DUMMYFUNCTION("""COMPUTED_VALUE"""),"SHEREE ESPINOSA")</f>
        <v>SHEREE ESPINOSA</v>
      </c>
      <c r="C2205" s="235" t="str">
        <f>IFERROR(__xludf.DUMMYFUNCTION("""COMPUTED_VALUE"""),"ADMIN")</f>
        <v>ADMIN</v>
      </c>
      <c r="D2205" s="196" t="str">
        <f>IFERROR(__xludf.DUMMYFUNCTION("""COMPUTED_VALUE"""),"PHILIPPINE FLAG, SISC FLAG  3X5- SIZE SUPPLIER: ATLAS ")</f>
        <v>PHILIPPINE FLAG, SISC FLAG  3X5- SIZE SUPPLIER: ATLAS </v>
      </c>
      <c r="E2205" s="196" t="str">
        <f>IFERROR(__xludf.DUMMYFUNCTION("""COMPUTED_VALUE"""),"FOR MONARCH PARK")</f>
        <v>FOR MONARCH PARK</v>
      </c>
    </row>
    <row r="2206">
      <c r="A2206" s="234">
        <f>IFERROR(__xludf.DUMMYFUNCTION("""COMPUTED_VALUE"""),102497.0)</f>
        <v>102497</v>
      </c>
      <c r="B2206" s="235" t="str">
        <f>IFERROR(__xludf.DUMMYFUNCTION("""COMPUTED_VALUE"""),"ABIGAIL VALIENTE")</f>
        <v>ABIGAIL VALIENTE</v>
      </c>
      <c r="C2206" s="235" t="str">
        <f>IFERROR(__xludf.DUMMYFUNCTION("""COMPUTED_VALUE"""),"Business and Financial Literacy")</f>
        <v>Business and Financial Literacy</v>
      </c>
      <c r="D2206" s="196" t="str">
        <f>IFERROR(__xludf.DUMMYFUNCTION("""COMPUTED_VALUE"""),"ACCOUNTING MODULE FOR GRADE 8 (COLOR PRINT AND RING BIND)")</f>
        <v>ACCOUNTING MODULE FOR GRADE 8 (COLOR PRINT AND RING BIND)</v>
      </c>
      <c r="E2206" s="196" t="str">
        <f>IFERROR(__xludf.DUMMYFUNCTION("""COMPUTED_VALUE"""),"ADDITIONAL LEARNING MATERIALS FOR GRADE 8 STUDENTS ")</f>
        <v>ADDITIONAL LEARNING MATERIALS FOR GRADE 8 STUDENTS </v>
      </c>
    </row>
    <row r="2207">
      <c r="A2207" s="234">
        <f>IFERROR(__xludf.DUMMYFUNCTION("""COMPUTED_VALUE"""),102498.0)</f>
        <v>102498</v>
      </c>
      <c r="B2207" s="235" t="str">
        <f>IFERROR(__xludf.DUMMYFUNCTION("""COMPUTED_VALUE"""),"RONALDO VERDE ")</f>
        <v>RONALDO VERDE </v>
      </c>
      <c r="C2207" s="235" t="str">
        <f>IFERROR(__xludf.DUMMYFUNCTION("""COMPUTED_VALUE"""),"AV/MIS")</f>
        <v>AV/MIS</v>
      </c>
      <c r="D2207" s="196" t="str">
        <f>IFERROR(__xludf.DUMMYFUNCTION("""COMPUTED_VALUE"""),"MICROPHONE COVER DISPOSABLE")</f>
        <v>MICROPHONE COVER DISPOSABLE</v>
      </c>
      <c r="E2207" s="196" t="str">
        <f>IFERROR(__xludf.DUMMYFUNCTION("""COMPUTED_VALUE"""),"PROTECT USERS FROM BEING EXPOSED TO VIRUSES AND GERMS")</f>
        <v>PROTECT USERS FROM BEING EXPOSED TO VIRUSES AND GERMS</v>
      </c>
    </row>
    <row r="2208">
      <c r="A2208" s="234">
        <f>IFERROR(__xludf.DUMMYFUNCTION("""COMPUTED_VALUE"""),102499.0)</f>
        <v>102499</v>
      </c>
      <c r="B2208" s="235" t="str">
        <f>IFERROR(__xludf.DUMMYFUNCTION("""COMPUTED_VALUE"""),"OWIE PAR ")</f>
        <v>OWIE PAR </v>
      </c>
      <c r="C2208" s="235" t="str">
        <f>IFERROR(__xludf.DUMMYFUNCTION("""COMPUTED_VALUE"""),"ENGINEERING")</f>
        <v>ENGINEERING</v>
      </c>
      <c r="D2208" s="196" t="str">
        <f>IFERROR(__xludf.DUMMYFUNCTION("""COMPUTED_VALUE"""),"6.0 HP CEILING DUCTED INVERTER (4 UNITS)")</f>
        <v>6.0 HP CEILING DUCTED INVERTER (4 UNITS)</v>
      </c>
      <c r="E2208" s="196" t="str">
        <f>IFERROR(__xludf.DUMMYFUNCTION("""COMPUTED_VALUE"""),"ACU IMPROVEMENT LUX HALL (PHASE III PROJECT)")</f>
        <v>ACU IMPROVEMENT LUX HALL (PHASE III PROJECT)</v>
      </c>
    </row>
    <row r="2209">
      <c r="A2209" s="234">
        <f>IFERROR(__xludf.DUMMYFUNCTION("""COMPUTED_VALUE"""),102500.0)</f>
        <v>102500</v>
      </c>
      <c r="B2209" s="235" t="str">
        <f>IFERROR(__xludf.DUMMYFUNCTION("""COMPUTED_VALUE"""),"ALFA DE LEON ")</f>
        <v>ALFA DE LEON </v>
      </c>
      <c r="C2209" s="235" t="str">
        <f>IFERROR(__xludf.DUMMYFUNCTION("""COMPUTED_VALUE"""),"LANDSCAPING")</f>
        <v>LANDSCAPING</v>
      </c>
      <c r="D2209" s="196" t="str">
        <f>IFERROR(__xludf.DUMMYFUNCTION("""COMPUTED_VALUE"""),"6.0 HP CEILING DUCTED INVERTER (4 UNITS)")</f>
        <v>6.0 HP CEILING DUCTED INVERTER (4 UNITS)</v>
      </c>
      <c r="E2209" s="196" t="str">
        <f>IFERROR(__xludf.DUMMYFUNCTION("""COMPUTED_VALUE"""),"LANDSCAPING MAINTENANCE SPRAYER")</f>
        <v>LANDSCAPING MAINTENANCE SPRAYER</v>
      </c>
    </row>
    <row r="2210">
      <c r="A2210" s="234">
        <f>IFERROR(__xludf.DUMMYFUNCTION("""COMPUTED_VALUE"""),102501.0)</f>
        <v>102501</v>
      </c>
      <c r="B2210" s="235" t="str">
        <f>IFERROR(__xludf.DUMMYFUNCTION("""COMPUTED_VALUE"""),"CARLITO DELA VEGA")</f>
        <v>CARLITO DELA VEGA</v>
      </c>
      <c r="C2210" s="235" t="str">
        <f>IFERROR(__xludf.DUMMYFUNCTION("""COMPUTED_VALUE"""),"ADMIN")</f>
        <v>ADMIN</v>
      </c>
      <c r="D2210" s="196" t="str">
        <f>IFERROR(__xludf.DUMMYFUNCTION("""COMPUTED_VALUE"""),"CO2 METER PORTABLE DETECTOR - AIR QUALITY MONITOR (LUX-1; EAST WING -3; CHAPTER ZONE -3; WEST WING -3; MUNICH -3)")</f>
        <v>CO2 METER PORTABLE DETECTOR - AIR QUALITY MONITOR (LUX-1; EAST WING -3; CHAPTER ZONE -3; WEST WING -3; MUNICH -3)</v>
      </c>
      <c r="E2210" s="196" t="str">
        <f>IFERROR(__xludf.DUMMYFUNCTION("""COMPUTED_VALUE"""),"SAFETY SEAL DEPED")</f>
        <v>SAFETY SEAL DEPED</v>
      </c>
    </row>
    <row r="2211">
      <c r="A2211" s="234">
        <f>IFERROR(__xludf.DUMMYFUNCTION("""COMPUTED_VALUE"""),102502.0)</f>
        <v>102502</v>
      </c>
      <c r="B2211" s="235" t="str">
        <f>IFERROR(__xludf.DUMMYFUNCTION("""COMPUTED_VALUE"""),"ALFA DE LEON ")</f>
        <v>ALFA DE LEON </v>
      </c>
      <c r="C2211" s="235" t="str">
        <f>IFERROR(__xludf.DUMMYFUNCTION("""COMPUTED_VALUE"""),"ADMIN")</f>
        <v>ADMIN</v>
      </c>
      <c r="D2211" s="196" t="str">
        <f>IFERROR(__xludf.DUMMYFUNCTION("""COMPUTED_VALUE"""),"FLAGS ( RUSSIA, SRI LANGKA, THAILAND, BANGLADESH, INDIA, INDONESIA, IRELAND, ITALY, JAPAN, HONGKONG) 1 PC EACH")</f>
        <v>FLAGS ( RUSSIA, SRI LANGKA, THAILAND, BANGLADESH, INDIA, INDONESIA, IRELAND, ITALY, JAPAN, HONGKONG) 1 PC EACH</v>
      </c>
      <c r="E2211" s="196" t="str">
        <f>IFERROR(__xludf.DUMMYFUNCTION("""COMPUTED_VALUE"""),"REPLACEMENT OF TORN OUT FLAGS")</f>
        <v>REPLACEMENT OF TORN OUT FLAGS</v>
      </c>
    </row>
    <row r="2212">
      <c r="A2212" s="234">
        <f>IFERROR(__xludf.DUMMYFUNCTION("""COMPUTED_VALUE"""),102503.0)</f>
        <v>102503</v>
      </c>
      <c r="B2212" s="235" t="str">
        <f>IFERROR(__xludf.DUMMYFUNCTION("""COMPUTED_VALUE"""),"CHRISTIAN S. ANDRES ")</f>
        <v>CHRISTIAN S. ANDRES </v>
      </c>
      <c r="C2212" s="235" t="str">
        <f>IFERROR(__xludf.DUMMYFUNCTION("""COMPUTED_VALUE"""),"PR &amp; MARKETING")</f>
        <v>PR &amp; MARKETING</v>
      </c>
      <c r="D2212" s="196" t="str">
        <f>IFERROR(__xludf.DUMMYFUNCTION("""COMPUTED_VALUE"""),"KILN DRY S4S WOOD  2""X8"" ADN 2"" X 10""")</f>
        <v>KILN DRY S4S WOOD  2"X8" ADN 2" X 10"</v>
      </c>
      <c r="E2212" s="196" t="str">
        <f>IFERROR(__xludf.DUMMYFUNCTION("""COMPUTED_VALUE"""),"FRAMES FOR THE TARP")</f>
        <v>FRAMES FOR THE TARP</v>
      </c>
    </row>
    <row r="2213">
      <c r="A2213" s="234">
        <f>IFERROR(__xludf.DUMMYFUNCTION("""COMPUTED_VALUE"""),102504.0)</f>
        <v>102504</v>
      </c>
      <c r="B2213" s="235" t="str">
        <f>IFERROR(__xludf.DUMMYFUNCTION("""COMPUTED_VALUE"""),"CARLITO DELA VEGA")</f>
        <v>CARLITO DELA VEGA</v>
      </c>
      <c r="C2213" s="235" t="str">
        <f>IFERROR(__xludf.DUMMYFUNCTION("""COMPUTED_VALUE"""),"SECURITY")</f>
        <v>SECURITY</v>
      </c>
      <c r="D2213" s="196" t="str">
        <f>IFERROR(__xludf.DUMMYFUNCTION("""COMPUTED_VALUE"""),"TELEPHONE WIRED PANASONIC BLACK MODEL KX-TS500MX")</f>
        <v>TELEPHONE WIRED PANASONIC BLACK MODEL KX-TS500MX</v>
      </c>
      <c r="E2213" s="196" t="str">
        <f>IFERROR(__xludf.DUMMYFUNCTION("""COMPUTED_VALUE"""),"REPLACEMENT FOR GATES TELEPHONE (7 GATES)")</f>
        <v>REPLACEMENT FOR GATES TELEPHONE (7 GATES)</v>
      </c>
    </row>
    <row r="2214">
      <c r="A2214" s="234">
        <f>IFERROR(__xludf.DUMMYFUNCTION("""COMPUTED_VALUE"""),102505.0)</f>
        <v>102505</v>
      </c>
      <c r="B2214" s="235" t="str">
        <f>IFERROR(__xludf.DUMMYFUNCTION("""COMPUTED_VALUE"""),"DYAN CHAVEZ")</f>
        <v>DYAN CHAVEZ</v>
      </c>
      <c r="C2214" s="235" t="str">
        <f>IFERROR(__xludf.DUMMYFUNCTION("""COMPUTED_VALUE"""),"ECED")</f>
        <v>ECED</v>
      </c>
      <c r="D2214" s="196" t="str">
        <f>IFERROR(__xludf.DUMMYFUNCTION("""COMPUTED_VALUE"""),"SK GRADUATION MEDALS: ACADEMIC EXCELLENCE TRICOLOR LACE, GOLD ROUND, MEDAL W/ LABEL, ACADEMIC ACHIEVEMENT TRICOLOR LACE, GOLD ROUND, MEDAL W/ LABEL, SUBJECT EXCELLENCE TRICOLOR LACE, GOLD, ROUND, MEDAL WITH LABEL")</f>
        <v>SK GRADUATION MEDALS: ACADEMIC EXCELLENCE TRICOLOR LACE, GOLD ROUND, MEDAL W/ LABEL, ACADEMIC ACHIEVEMENT TRICOLOR LACE, GOLD ROUND, MEDAL W/ LABEL, SUBJECT EXCELLENCE TRICOLOR LACE, GOLD, ROUND, MEDAL WITH LABEL</v>
      </c>
      <c r="E2214" s="196" t="str">
        <f>IFERROR(__xludf.DUMMYFUNCTION("""COMPUTED_VALUE"""),"SK GRADUATION MEDALS ")</f>
        <v>SK GRADUATION MEDALS </v>
      </c>
    </row>
    <row r="2215">
      <c r="A2215" s="234">
        <f>IFERROR(__xludf.DUMMYFUNCTION("""COMPUTED_VALUE"""),102506.0)</f>
        <v>102506</v>
      </c>
      <c r="B2215" s="235" t="str">
        <f>IFERROR(__xludf.DUMMYFUNCTION("""COMPUTED_VALUE"""),"GLADYS MINTU")</f>
        <v>GLADYS MINTU</v>
      </c>
      <c r="C2215" s="235" t="str">
        <f>IFERROR(__xludf.DUMMYFUNCTION("""COMPUTED_VALUE"""),"DP'S OFFICE")</f>
        <v>DP'S OFFICE</v>
      </c>
      <c r="D2215" s="196" t="str">
        <f>IFERROR(__xludf.DUMMYFUNCTION("""COMPUTED_VALUE"""),"COVER PROGRAMME SIZE 12.625  X 8.25 (C2S#220 LBS) GUEST PASS 2 SIDES PRINT DESIGN A")</f>
        <v>COVER PROGRAMME SIZE 12.625  X 8.25 (C2S#220 LBS) GUEST PASS 2 SIDES PRINT DESIGN A</v>
      </c>
      <c r="E2215" s="196" t="str">
        <f>IFERROR(__xludf.DUMMYFUNCTION("""COMPUTED_VALUE"""),"GRADE 6 GRADUATION COVERS FROM LUMINAIRE")</f>
        <v>GRADE 6 GRADUATION COVERS FROM LUMINAIRE</v>
      </c>
    </row>
    <row r="2216">
      <c r="A2216" s="234">
        <f>IFERROR(__xludf.DUMMYFUNCTION("""COMPUTED_VALUE"""),102507.0)</f>
        <v>102507</v>
      </c>
      <c r="B2216" s="235" t="str">
        <f>IFERROR(__xludf.DUMMYFUNCTION("""COMPUTED_VALUE"""),"JAN GUTIERREZ")</f>
        <v>JAN GUTIERREZ</v>
      </c>
      <c r="C2216" s="235" t="str">
        <f>IFERROR(__xludf.DUMMYFUNCTION("""COMPUTED_VALUE"""),"DP'S OFFICE")</f>
        <v>DP'S OFFICE</v>
      </c>
      <c r="D2216" s="196" t="str">
        <f>IFERROR(__xludf.DUMMYFUNCTION("""COMPUTED_VALUE"""),"VENUS CREAM LITE 8.5"" X 11"" ROYAL FIBER (R) NATURAL")</f>
        <v>VENUS CREAM LITE 8.5" X 11" ROYAL FIBER (R) NATURAL</v>
      </c>
      <c r="E2216" s="196" t="str">
        <f>IFERROR(__xludf.DUMMYFUNCTION("""COMPUTED_VALUE"""),"GRADE 12 GRADUATION INSERTS SPECIAL PAPERS ")</f>
        <v>GRADE 12 GRADUATION INSERTS SPECIAL PAPERS </v>
      </c>
    </row>
    <row r="2217">
      <c r="A2217" s="234">
        <f>IFERROR(__xludf.DUMMYFUNCTION("""COMPUTED_VALUE"""),102508.0)</f>
        <v>102508</v>
      </c>
      <c r="B2217" s="235" t="str">
        <f>IFERROR(__xludf.DUMMYFUNCTION("""COMPUTED_VALUE"""),"JAN GUTIERREZ")</f>
        <v>JAN GUTIERREZ</v>
      </c>
      <c r="C2217" s="235" t="str">
        <f>IFERROR(__xludf.DUMMYFUNCTION("""COMPUTED_VALUE"""),"DP'S OFFICE")</f>
        <v>DP'S OFFICE</v>
      </c>
      <c r="D2217" s="196" t="str">
        <f>IFERROR(__xludf.DUMMYFUNCTION("""COMPUTED_VALUE"""),"VENUS CREAM LITE 8.5"" X 11"" ROYAL FIBER (R) NATURAL")</f>
        <v>VENUS CREAM LITE 8.5" X 11" ROYAL FIBER (R) NATURAL</v>
      </c>
      <c r="E2217" s="196" t="str">
        <f>IFERROR(__xludf.DUMMYFUNCTION("""COMPUTED_VALUE"""),"GRADE 6 GRADUATION INSERTS SPECIAL PAPERS ")</f>
        <v>GRADE 6 GRADUATION INSERTS SPECIAL PAPERS </v>
      </c>
    </row>
    <row r="2218">
      <c r="A2218" s="234">
        <f>IFERROR(__xludf.DUMMYFUNCTION("""COMPUTED_VALUE"""),102509.0)</f>
        <v>102509</v>
      </c>
      <c r="B2218" s="235" t="str">
        <f>IFERROR(__xludf.DUMMYFUNCTION("""COMPUTED_VALUE"""),"VERGE DE VILLA")</f>
        <v>VERGE DE VILLA</v>
      </c>
      <c r="C2218" s="235" t="str">
        <f>IFERROR(__xludf.DUMMYFUNCTION("""COMPUTED_VALUE"""),"PR &amp; MARKETING")</f>
        <v>PR &amp; MARKETING</v>
      </c>
      <c r="D2218" s="196" t="str">
        <f>IFERROR(__xludf.DUMMYFUNCTION("""COMPUTED_VALUE"""),"PORTABLE MICROPHONE WITH SPEAKER SDRD SD 307 2 IN 1 FAMILY KTV PORTABLE WIRELESS LIVE DUAL MIC AND BLUETOOTH SPEK (BLACK)")</f>
        <v>PORTABLE MICROPHONE WITH SPEAKER SDRD SD 307 2 IN 1 FAMILY KTV PORTABLE WIRELESS LIVE DUAL MIC AND BLUETOOTH SPEK (BLACK)</v>
      </c>
      <c r="E2218" s="196" t="str">
        <f>IFERROR(__xludf.DUMMYFUNCTION("""COMPUTED_VALUE"""),"FOR SCHOOL PRESENTATION AND EVENTS")</f>
        <v>FOR SCHOOL PRESENTATION AND EVENTS</v>
      </c>
    </row>
    <row r="2219">
      <c r="A2219" s="234">
        <f>IFERROR(__xludf.DUMMYFUNCTION("""COMPUTED_VALUE"""),102510.0)</f>
        <v>102510</v>
      </c>
      <c r="B2219" s="235" t="str">
        <f>IFERROR(__xludf.DUMMYFUNCTION("""COMPUTED_VALUE"""),"CARLITO DELA VEGA")</f>
        <v>CARLITO DELA VEGA</v>
      </c>
      <c r="C2219" s="235" t="str">
        <f>IFERROR(__xludf.DUMMYFUNCTION("""COMPUTED_VALUE"""),"ADMIN")</f>
        <v>ADMIN</v>
      </c>
      <c r="D2219" s="196" t="str">
        <f>IFERROR(__xludf.DUMMYFUNCTION("""COMPUTED_VALUE"""),"SINTRA BOARD LOGO OF SISC 1.5 FT X1.1 FT")</f>
        <v>SINTRA BOARD LOGO OF SISC 1.5 FT X1.1 FT</v>
      </c>
      <c r="E2219" s="196" t="str">
        <f>IFERROR(__xludf.DUMMYFUNCTION("""COMPUTED_VALUE"""),"FOR UPDATE OF THE SISC LOGO (GRADUATION INSTITUTIONAL)")</f>
        <v>FOR UPDATE OF THE SISC LOGO (GRADUATION INSTITUTIONAL)</v>
      </c>
    </row>
    <row r="2220">
      <c r="A2220" s="234">
        <f>IFERROR(__xludf.DUMMYFUNCTION("""COMPUTED_VALUE"""),102511.0)</f>
        <v>102511</v>
      </c>
      <c r="B2220" s="235" t="str">
        <f>IFERROR(__xludf.DUMMYFUNCTION("""COMPUTED_VALUE"""),"MARICEL FLORES ")</f>
        <v>MARICEL FLORES </v>
      </c>
      <c r="C2220" s="235" t="str">
        <f>IFERROR(__xludf.DUMMYFUNCTION("""COMPUTED_VALUE"""),"MEDICAL")</f>
        <v>MEDICAL</v>
      </c>
      <c r="D2220" s="196" t="str">
        <f>IFERROR(__xludf.DUMMYFUNCTION("""COMPUTED_VALUE"""),"ANTIGEN TEST KITS SALIVA")</f>
        <v>ANTIGEN TEST KITS SALIVA</v>
      </c>
      <c r="E2220" s="196" t="str">
        <f>IFERROR(__xludf.DUMMYFUNCTION("""COMPUTED_VALUE"""),"FOR SISC EVENT (JUNE 14 HIGHLANDS)")</f>
        <v>FOR SISC EVENT (JUNE 14 HIGHLANDS)</v>
      </c>
    </row>
    <row r="2221">
      <c r="A2221" s="234">
        <f>IFERROR(__xludf.DUMMYFUNCTION("""COMPUTED_VALUE"""),102512.0)</f>
        <v>102512</v>
      </c>
      <c r="B2221" s="235" t="str">
        <f>IFERROR(__xludf.DUMMYFUNCTION("""COMPUTED_VALUE"""),"GLADYS MINTU")</f>
        <v>GLADYS MINTU</v>
      </c>
      <c r="C2221" s="235" t="str">
        <f>IFERROR(__xludf.DUMMYFUNCTION("""COMPUTED_VALUE"""),"DP'S OFFICE")</f>
        <v>DP'S OFFICE</v>
      </c>
      <c r="D2221" s="196" t="str">
        <f>IFERROR(__xludf.DUMMYFUNCTION("""COMPUTED_VALUE"""),"COVER PROGRAMME SIZE 12.625  X 8.25 (C2S#220 LBS) GUEST PASS 2 SIDES PRINT DESIGN A")</f>
        <v>COVER PROGRAMME SIZE 12.625  X 8.25 (C2S#220 LBS) GUEST PASS 2 SIDES PRINT DESIGN A</v>
      </c>
      <c r="E2221" s="196" t="str">
        <f>IFERROR(__xludf.DUMMYFUNCTION("""COMPUTED_VALUE"""),"GRADE 12 GRADUATION COVERS FROM LUMINAIRE")</f>
        <v>GRADE 12 GRADUATION COVERS FROM LUMINAIRE</v>
      </c>
    </row>
    <row r="2222">
      <c r="A2222" s="234">
        <f>IFERROR(__xludf.DUMMYFUNCTION("""COMPUTED_VALUE"""),102513.0)</f>
        <v>102513</v>
      </c>
      <c r="B2222" s="235" t="str">
        <f>IFERROR(__xludf.DUMMYFUNCTION("""COMPUTED_VALUE"""),"RENZ BLANCA ")</f>
        <v>RENZ BLANCA </v>
      </c>
      <c r="C2222" s="235" t="str">
        <f>IFERROR(__xludf.DUMMYFUNCTION("""COMPUTED_VALUE"""),"HRMD")</f>
        <v>HRMD</v>
      </c>
      <c r="D2222" s="196" t="str">
        <f>IFERROR(__xludf.DUMMYFUNCTION("""COMPUTED_VALUE"""),"GOLD MEDALS ")</f>
        <v>GOLD MEDALS </v>
      </c>
      <c r="E2222" s="196" t="str">
        <f>IFERROR(__xludf.DUMMYFUNCTION("""COMPUTED_VALUE"""),"SOUTHVILLE BASKETBALL TOURNAMENT - WELLNESS PROGRAM")</f>
        <v>SOUTHVILLE BASKETBALL TOURNAMENT - WELLNESS PROGRAM</v>
      </c>
    </row>
    <row r="2223">
      <c r="A2223" s="234">
        <f>IFERROR(__xludf.DUMMYFUNCTION("""COMPUTED_VALUE"""),102514.0)</f>
        <v>102514</v>
      </c>
      <c r="B2223" s="235" t="str">
        <f>IFERROR(__xludf.DUMMYFUNCTION("""COMPUTED_VALUE"""),"GLADYS MINTU")</f>
        <v>GLADYS MINTU</v>
      </c>
      <c r="C2223" s="235" t="str">
        <f>IFERROR(__xludf.DUMMYFUNCTION("""COMPUTED_VALUE"""),"DP'S OFFICE")</f>
        <v>DP'S OFFICE</v>
      </c>
      <c r="D2223" s="196" t="str">
        <f>IFERROR(__xludf.DUMMYFUNCTION("""COMPUTED_VALUE"""),"CATALOG ENVELOPE 9.5 X 7.5")</f>
        <v>CATALOG ENVELOPE 9.5 X 7.5</v>
      </c>
      <c r="E2223" s="196" t="str">
        <f>IFERROR(__xludf.DUMMYFUNCTION("""COMPUTED_VALUE"""),"GRADE 6 AND GRADE 12 GRADUATION INVITES")</f>
        <v>GRADE 6 AND GRADE 12 GRADUATION INVITES</v>
      </c>
    </row>
    <row r="2224">
      <c r="A2224" s="234">
        <f>IFERROR(__xludf.DUMMYFUNCTION("""COMPUTED_VALUE"""),102515.0)</f>
        <v>102515</v>
      </c>
      <c r="B2224" s="235" t="str">
        <f>IFERROR(__xludf.DUMMYFUNCTION("""COMPUTED_VALUE"""),"ELONA JEAN PEDROZO")</f>
        <v>ELONA JEAN PEDROZO</v>
      </c>
      <c r="C2224" s="235" t="str">
        <f>IFERROR(__xludf.DUMMYFUNCTION("""COMPUTED_VALUE"""),"FINANCE &amp; ACCOUNTING")</f>
        <v>FINANCE &amp; ACCOUNTING</v>
      </c>
      <c r="D2224" s="196" t="str">
        <f>IFERROR(__xludf.DUMMYFUNCTION("""COMPUTED_VALUE"""),"TRODAT PRINTY 4912 (BLACK)")</f>
        <v>TRODAT PRINTY 4912 (BLACK)</v>
      </c>
      <c r="E2224" s="196" t="str">
        <f>IFERROR(__xludf.DUMMYFUNCTION("""COMPUTED_VALUE"""),"TO BE USED FOR BIR FORMS, ETC. ")</f>
        <v>TO BE USED FOR BIR FORMS, ETC. </v>
      </c>
    </row>
    <row r="2225">
      <c r="A2225" s="234">
        <f>IFERROR(__xludf.DUMMYFUNCTION("""COMPUTED_VALUE"""),102516.0)</f>
        <v>102516</v>
      </c>
      <c r="B2225" s="235" t="str">
        <f>IFERROR(__xludf.DUMMYFUNCTION("""COMPUTED_VALUE"""),"RONALDO VERDE ")</f>
        <v>RONALDO VERDE </v>
      </c>
      <c r="C2225" s="235" t="str">
        <f>IFERROR(__xludf.DUMMYFUNCTION("""COMPUTED_VALUE"""),"ADMIN")</f>
        <v>ADMIN</v>
      </c>
      <c r="D2225" s="196" t="str">
        <f>IFERROR(__xludf.DUMMYFUNCTION("""COMPUTED_VALUE"""),"(1) WALL MOUNTED ACU, (2) WINDOW TYPE ACU")</f>
        <v>(1) WALL MOUNTED ACU, (2) WINDOW TYPE ACU</v>
      </c>
      <c r="E2225" s="196" t="str">
        <f>IFERROR(__xludf.DUMMYFUNCTION("""COMPUTED_VALUE"""),"ACU FOR THE FORMER DOC BENG'S HOUSE")</f>
        <v>ACU FOR THE FORMER DOC BENG'S HOUSE</v>
      </c>
    </row>
    <row r="2226">
      <c r="A2226" s="234">
        <f>IFERROR(__xludf.DUMMYFUNCTION("""COMPUTED_VALUE"""),102517.0)</f>
        <v>102517</v>
      </c>
      <c r="B2226" s="235" t="str">
        <f>IFERROR(__xludf.DUMMYFUNCTION("""COMPUTED_VALUE"""),"OWIE PAR")</f>
        <v>OWIE PAR</v>
      </c>
      <c r="C2226" s="235" t="str">
        <f>IFERROR(__xludf.DUMMYFUNCTION("""COMPUTED_VALUE"""),"ENGINEERING")</f>
        <v>ENGINEERING</v>
      </c>
      <c r="D2226" s="196" t="str">
        <f>IFERROR(__xludf.DUMMYFUNCTION("""COMPUTED_VALUE"""),"PARKING LIGHTS, FIREFLY- BASK SERIES 50 WATTS")</f>
        <v>PARKING LIGHTS, FIREFLY- BASK SERIES 50 WATTS</v>
      </c>
      <c r="E2226" s="196" t="str">
        <f>IFERROR(__xludf.DUMMYFUNCTION("""COMPUTED_VALUE"""),"FOR LIGHTS OF PERIMETER")</f>
        <v>FOR LIGHTS OF PERIMETER</v>
      </c>
    </row>
    <row r="2227">
      <c r="A2227" s="234">
        <f>IFERROR(__xludf.DUMMYFUNCTION("""COMPUTED_VALUE"""),102518.0)</f>
        <v>102518</v>
      </c>
      <c r="B2227" s="235" t="str">
        <f>IFERROR(__xludf.DUMMYFUNCTION("""COMPUTED_VALUE"""),"PHEN PETIN")</f>
        <v>PHEN PETIN</v>
      </c>
      <c r="C2227" s="235" t="str">
        <f>IFERROR(__xludf.DUMMYFUNCTION("""COMPUTED_VALUE"""),"ADMIN - STAR")</f>
        <v>ADMIN - STAR</v>
      </c>
      <c r="D2227" s="196" t="str">
        <f>IFERROR(__xludf.DUMMYFUNCTION("""COMPUTED_VALUE"""),"BREAKER 30 AMP W/ ENCLOSURE-METAL WIRE 3.5- BOLT ON")</f>
        <v>BREAKER 30 AMP W/ ENCLOSURE-METAL WIRE 3.5- BOLT ON</v>
      </c>
      <c r="E2227" s="196" t="str">
        <f>IFERROR(__xludf.DUMMYFUNCTION("""COMPUTED_VALUE"""),"FOR ACU LEARNING VILLAGE - CASETTE TYPE")</f>
        <v>FOR ACU LEARNING VILLAGE - CASETTE TYPE</v>
      </c>
    </row>
    <row r="2228">
      <c r="A2228" s="234">
        <f>IFERROR(__xludf.DUMMYFUNCTION("""COMPUTED_VALUE"""),102519.0)</f>
        <v>102519</v>
      </c>
      <c r="B2228" s="235" t="str">
        <f>IFERROR(__xludf.DUMMYFUNCTION("""COMPUTED_VALUE"""),"DYAN CHAVEZ")</f>
        <v>DYAN CHAVEZ</v>
      </c>
      <c r="C2228" s="235" t="str">
        <f>IFERROR(__xludf.DUMMYFUNCTION("""COMPUTED_VALUE"""),"ECED")</f>
        <v>ECED</v>
      </c>
      <c r="D2228" s="196" t="str">
        <f>IFERROR(__xludf.DUMMYFUNCTION("""COMPUTED_VALUE"""),"MEDAL: ACADEMIC EXCELLENCE  GREEN LACE, GOLD WITHLABEL,  ACADEMIC EXCELLENCE  PURPLE LACE, SILVER WITH LABEL, ACADEMIC EXCELLENCE  PINK LACE, BRONZE WITH LABEL, VALUES EXCELLENCE WHITE LACE WITH LABEL   ")</f>
        <v>MEDAL: ACADEMIC EXCELLENCE  GREEN LACE, GOLD WITHLABEL,  ACADEMIC EXCELLENCE  PURPLE LACE, SILVER WITH LABEL, ACADEMIC EXCELLENCE  PINK LACE, BRONZE WITH LABEL, VALUES EXCELLENCE WHITE LACE WITH LABEL   </v>
      </c>
      <c r="E2228" s="196" t="str">
        <f>IFERROR(__xludf.DUMMYFUNCTION("""COMPUTED_VALUE"""),"RECOGNITION MEDALS 1&amp;2 ")</f>
        <v>RECOGNITION MEDALS 1&amp;2 </v>
      </c>
    </row>
    <row r="2229">
      <c r="A2229" s="234">
        <f>IFERROR(__xludf.DUMMYFUNCTION("""COMPUTED_VALUE"""),102520.0)</f>
        <v>102520</v>
      </c>
      <c r="B2229" s="235" t="str">
        <f>IFERROR(__xludf.DUMMYFUNCTION("""COMPUTED_VALUE"""),"DYAN CHAVEZ")</f>
        <v>DYAN CHAVEZ</v>
      </c>
      <c r="C2229" s="235" t="str">
        <f>IFERROR(__xludf.DUMMYFUNCTION("""COMPUTED_VALUE"""),"ECED")</f>
        <v>ECED</v>
      </c>
      <c r="D2229" s="196" t="str">
        <f>IFERROR(__xludf.DUMMYFUNCTION("""COMPUTED_VALUE"""),"MEDAL: ACADEMIC EXCELLENCE  GREEN LACE, GOLD WITHLABEL,  ACADEMIC EXCELLENCE  PURPLE LACE, SILVER WITH LABEL, ACADEMIC EXCELLENCE  PINK LACE, BRONZE WITH LABEL, VALUES EXCELLENCE WHITE LACE WITH LABEL   ")</f>
        <v>MEDAL: ACADEMIC EXCELLENCE  GREEN LACE, GOLD WITHLABEL,  ACADEMIC EXCELLENCE  PURPLE LACE, SILVER WITH LABEL, ACADEMIC EXCELLENCE  PINK LACE, BRONZE WITH LABEL, VALUES EXCELLENCE WHITE LACE WITH LABEL   </v>
      </c>
      <c r="E2229" s="196" t="str">
        <f>IFERROR(__xludf.DUMMYFUNCTION("""COMPUTED_VALUE"""),"RECOGNITION MEDALS 3-5")</f>
        <v>RECOGNITION MEDALS 3-5</v>
      </c>
    </row>
    <row r="2230">
      <c r="A2230" s="234">
        <f>IFERROR(__xludf.DUMMYFUNCTION("""COMPUTED_VALUE"""),102521.0)</f>
        <v>102521</v>
      </c>
      <c r="B2230" s="235" t="str">
        <f>IFERROR(__xludf.DUMMYFUNCTION("""COMPUTED_VALUE"""),"OWIE PAR")</f>
        <v>OWIE PAR</v>
      </c>
      <c r="C2230" s="235" t="str">
        <f>IFERROR(__xludf.DUMMYFUNCTION("""COMPUTED_VALUE"""),"ENGINEERING")</f>
        <v>ENGINEERING</v>
      </c>
      <c r="D2230" s="196" t="str">
        <f>IFERROR(__xludf.DUMMYFUNCTION("""COMPUTED_VALUE"""),"CLAMP METER 373")</f>
        <v>CLAMP METER 373</v>
      </c>
      <c r="E2230" s="196" t="str">
        <f>IFERROR(__xludf.DUMMYFUNCTION("""COMPUTED_VALUE"""),"TOOLS REPLACEMENT ")</f>
        <v>TOOLS REPLACEMENT </v>
      </c>
    </row>
    <row r="2231">
      <c r="A2231" s="234">
        <f>IFERROR(__xludf.DUMMYFUNCTION("""COMPUTED_VALUE"""),102522.0)</f>
        <v>102522</v>
      </c>
      <c r="B2231" s="235" t="str">
        <f>IFERROR(__xludf.DUMMYFUNCTION("""COMPUTED_VALUE"""),"EDGAR REBELLON")</f>
        <v>EDGAR REBELLON</v>
      </c>
      <c r="C2231" s="235" t="str">
        <f>IFERROR(__xludf.DUMMYFUNCTION("""COMPUTED_VALUE"""),"AMD")</f>
        <v>AMD</v>
      </c>
      <c r="D2231" s="196" t="str">
        <f>IFERROR(__xludf.DUMMYFUNCTION("""COMPUTED_VALUE"""),"PLASTIC, OPP 5""X7"" ")</f>
        <v>PLASTIC, OPP 5"X7" </v>
      </c>
      <c r="E2231" s="196" t="str">
        <f>IFERROR(__xludf.DUMMYFUNCTION("""COMPUTED_VALUE"""),"PACKAGING OF STUDENT IDs")</f>
        <v>PACKAGING OF STUDENT IDs</v>
      </c>
    </row>
    <row r="2232">
      <c r="A2232" s="234">
        <f>IFERROR(__xludf.DUMMYFUNCTION("""COMPUTED_VALUE"""),102523.0)</f>
        <v>102523</v>
      </c>
      <c r="B2232" s="235" t="str">
        <f>IFERROR(__xludf.DUMMYFUNCTION("""COMPUTED_VALUE"""),"JOHNY QUIQUI")</f>
        <v>JOHNY QUIQUI</v>
      </c>
      <c r="C2232" s="235" t="str">
        <f>IFERROR(__xludf.DUMMYFUNCTION("""COMPUTED_VALUE"""),"STUFFSHOP")</f>
        <v>STUFFSHOP</v>
      </c>
      <c r="D2232" s="196" t="str">
        <f>IFERROR(__xludf.DUMMYFUNCTION("""COMPUTED_VALUE"""),"STANFORD SKILLBOOK MATH C, STANFORD SKILLBOOK MATH D")</f>
        <v>STANFORD SKILLBOOK MATH C, STANFORD SKILLBOOK MATH D</v>
      </c>
      <c r="E2232" s="196" t="str">
        <f>IFERROR(__xludf.DUMMYFUNCTION("""COMPUTED_VALUE"""),"FOR SALE ")</f>
        <v>FOR SALE </v>
      </c>
    </row>
    <row r="2233">
      <c r="A2233" s="234">
        <f>IFERROR(__xludf.DUMMYFUNCTION("""COMPUTED_VALUE"""),102524.0)</f>
        <v>102524</v>
      </c>
      <c r="B2233" s="235" t="str">
        <f>IFERROR(__xludf.DUMMYFUNCTION("""COMPUTED_VALUE"""),"JAN GUTTIEREZ")</f>
        <v>JAN GUTTIEREZ</v>
      </c>
      <c r="C2233" s="235" t="str">
        <f>IFERROR(__xludf.DUMMYFUNCTION("""COMPUTED_VALUE"""),"DP'S OFFICE")</f>
        <v>DP'S OFFICE</v>
      </c>
      <c r="D2233" s="196" t="str">
        <f>IFERROR(__xludf.DUMMYFUNCTION("""COMPUTED_VALUE"""),"MEDALS: ACADEMIC EXCELLENCE (GREEN LACE) GOLD, ACADEMIC EXCELLENCE (PURPLE LACE) SILVER, ACADEMIC EXCELLENCE (PINK LACE BRONZE, VALUES EXCELLENCE (WHITE LACE)")</f>
        <v>MEDALS: ACADEMIC EXCELLENCE (GREEN LACE) GOLD, ACADEMIC EXCELLENCE (PURPLE LACE) SILVER, ACADEMIC EXCELLENCE (PINK LACE BRONZE, VALUES EXCELLENCE (WHITE LACE)</v>
      </c>
      <c r="E2233" s="196" t="str">
        <f>IFERROR(__xludf.DUMMYFUNCTION("""COMPUTED_VALUE"""),"GRADE 10-11 RECOGNITION MEDALS FOR AY 21-22")</f>
        <v>GRADE 10-11 RECOGNITION MEDALS FOR AY 21-22</v>
      </c>
    </row>
    <row r="2234">
      <c r="A2234" s="234">
        <f>IFERROR(__xludf.DUMMYFUNCTION("""COMPUTED_VALUE"""),102525.0)</f>
        <v>102525</v>
      </c>
      <c r="B2234" s="235" t="str">
        <f>IFERROR(__xludf.DUMMYFUNCTION("""COMPUTED_VALUE"""),"GLADYS MINTU")</f>
        <v>GLADYS MINTU</v>
      </c>
      <c r="C2234" s="235" t="str">
        <f>IFERROR(__xludf.DUMMYFUNCTION("""COMPUTED_VALUE"""),"DP'S OFFICE")</f>
        <v>DP'S OFFICE</v>
      </c>
      <c r="D2234" s="196" t="str">
        <f>IFERROR(__xludf.DUMMYFUNCTION("""COMPUTED_VALUE"""),"MEDALS: ACADEMIC EXCELLENCE (GREEN LACE) GOLD, ACADEMIC EXCELLENCE (PURPLE LACE) SILVER, ACADEMIC EXCELLENCE (PINK LACE BRONZE, VALUES EXCELLENCE (WHITE LACE)")</f>
        <v>MEDALS: ACADEMIC EXCELLENCE (GREEN LACE) GOLD, ACADEMIC EXCELLENCE (PURPLE LACE) SILVER, ACADEMIC EXCELLENCE (PINK LACE BRONZE, VALUES EXCELLENCE (WHITE LACE)</v>
      </c>
      <c r="E2234" s="196" t="str">
        <f>IFERROR(__xludf.DUMMYFUNCTION("""COMPUTED_VALUE"""),"GRADE 7-9 RECOGNITION MEDALS FOR AY 21-22")</f>
        <v>GRADE 7-9 RECOGNITION MEDALS FOR AY 21-22</v>
      </c>
    </row>
    <row r="2235">
      <c r="A2235" s="234">
        <f>IFERROR(__xludf.DUMMYFUNCTION("""COMPUTED_VALUE"""),102526.0)</f>
        <v>102526</v>
      </c>
      <c r="B2235" s="235" t="str">
        <f>IFERROR(__xludf.DUMMYFUNCTION("""COMPUTED_VALUE"""),"JOMEL BUTIAL ")</f>
        <v>JOMEL BUTIAL </v>
      </c>
      <c r="C2235" s="235" t="str">
        <f>IFERROR(__xludf.DUMMYFUNCTION("""COMPUTED_VALUE"""),"AMD")</f>
        <v>AMD</v>
      </c>
      <c r="D2235" s="196" t="str">
        <f>IFERROR(__xludf.DUMMYFUNCTION("""COMPUTED_VALUE"""),"PAPER, COPY LASER SUB 2.0 SHORT WHITE 100 REAMS")</f>
        <v>PAPER, COPY LASER SUB 2.0 SHORT WHITE 100 REAMS</v>
      </c>
      <c r="E2235" s="196" t="str">
        <f>IFERROR(__xludf.DUMMYFUNCTION("""COMPUTED_VALUE"""),"OSSUP STOCK REPLENISHMENT")</f>
        <v>OSSUP STOCK REPLENISHMENT</v>
      </c>
    </row>
    <row r="2236">
      <c r="A2236" s="234">
        <f>IFERROR(__xludf.DUMMYFUNCTION("""COMPUTED_VALUE"""),102527.0)</f>
        <v>102527</v>
      </c>
      <c r="B2236" s="235" t="str">
        <f>IFERROR(__xludf.DUMMYFUNCTION("""COMPUTED_VALUE"""),"RONALDO D. VERDE")</f>
        <v>RONALDO D. VERDE</v>
      </c>
      <c r="C2236" s="235" t="str">
        <f>IFERROR(__xludf.DUMMYFUNCTION("""COMPUTED_VALUE"""),"ADMIN")</f>
        <v>ADMIN</v>
      </c>
      <c r="D2236" s="196" t="str">
        <f>IFERROR(__xludf.DUMMYFUNCTION("""COMPUTED_VALUE"""),"SEMI GLOSS LATEX,  ROLLER # 8,  PAINT BRUSH #2")</f>
        <v>SEMI GLOSS LATEX,  ROLLER # 8,  PAINT BRUSH #2</v>
      </c>
      <c r="E2236" s="196" t="str">
        <f>IFERROR(__xludf.DUMMYFUNCTION("""COMPUTED_VALUE"""),"BUILDING PREVENTIVE MAINTENANCLUX AND L-SHAPE")</f>
        <v>BUILDING PREVENTIVE MAINTENANCLUX AND L-SHAPE</v>
      </c>
    </row>
    <row r="2237">
      <c r="A2237" s="234">
        <f>IFERROR(__xludf.DUMMYFUNCTION("""COMPUTED_VALUE"""),102528.0)</f>
        <v>102528</v>
      </c>
      <c r="B2237" s="235" t="str">
        <f>IFERROR(__xludf.DUMMYFUNCTION("""COMPUTED_VALUE"""),"OWIE PAR")</f>
        <v>OWIE PAR</v>
      </c>
      <c r="C2237" s="235" t="str">
        <f>IFERROR(__xludf.DUMMYFUNCTION("""COMPUTED_VALUE"""),"ENGINEERING")</f>
        <v>ENGINEERING</v>
      </c>
      <c r="D2237" s="196" t="str">
        <f>IFERROR(__xludf.DUMMYFUNCTION("""COMPUTED_VALUE"""),"THHN #10, PVC PIPE 3/4 ORANGE NELTEX, PVC SHORT BENT ELBOW 3/4, G.I. WIRE #16, PUMP CONTROLLER FOR 1 HP")</f>
        <v>THHN #10, PVC PIPE 3/4 ORANGE NELTEX, PVC SHORT BENT ELBOW 3/4, G.I. WIRE #16, PUMP CONTROLLER FOR 1 HP</v>
      </c>
      <c r="E2237" s="196" t="str">
        <f>IFERROR(__xludf.DUMMYFUNCTION("""COMPUTED_VALUE"""),"ELECTRICAL PROVISION FOR SUMP PUMP")</f>
        <v>ELECTRICAL PROVISION FOR SUMP PUMP</v>
      </c>
    </row>
    <row r="2238">
      <c r="A2238" s="234">
        <f>IFERROR(__xludf.DUMMYFUNCTION("""COMPUTED_VALUE"""),102529.0)</f>
        <v>102529</v>
      </c>
      <c r="B2238" s="235" t="str">
        <f>IFERROR(__xludf.DUMMYFUNCTION("""COMPUTED_VALUE"""),"OWIE PAR")</f>
        <v>OWIE PAR</v>
      </c>
      <c r="C2238" s="235" t="str">
        <f>IFERROR(__xludf.DUMMYFUNCTION("""COMPUTED_VALUE"""),"ENGINEERING")</f>
        <v>ENGINEERING</v>
      </c>
      <c r="D2238" s="196" t="str">
        <f>IFERROR(__xludf.DUMMYFUNCTION("""COMPUTED_VALUE"""),"STAINLESS PREsSURE TANK 82 GAL, BOOSTER PUMP 1 HP MEYERS, BOOSTER PUMP AUTOMATIC PUMP CONTROLLER, PPR PIPE #1 , SS STRAIGHT ELBOW #1, SS ELBOW #1 , SS ELBOW #1, SS BUSHING REDUCER 1 X 1/4, SS BUSG=HING REDUCER 1 1/4 X 1, PPR, MALE ADAPTOR # 1, PPR ELBOW #"&amp;"1, BRASS FITTINGS # 1/4, PREASURE SWITHC, PREASURE GUAGE, FOOT VALVE #1, SS NIPPLE 1 X 4, ROYAL CORD # 12 X 2, SPRING VALVE #1, TEPLON TAPE # 3/4, ELECTRICAL TAPE (BIG)")</f>
        <v>STAINLESS PREsSURE TANK 82 GAL, BOOSTER PUMP 1 HP MEYERS, BOOSTER PUMP AUTOMATIC PUMP CONTROLLER, PPR PIPE #1 , SS STRAIGHT ELBOW #1, SS ELBOW #1 , SS ELBOW #1, SS BUSHING REDUCER 1 X 1/4, SS BUSG=HING REDUCER 1 1/4 X 1, PPR, MALE ADAPTOR # 1, PPR ELBOW #1, BRASS FITTINGS # 1/4, PREASURE SWITHC, PREASURE GUAGE, FOOT VALVE #1, SS NIPPLE 1 X 4, ROYAL CORD # 12 X 2, SPRING VALVE #1, TEPLON TAPE # 3/4, ELECTRICAL TAPE (BIG)</v>
      </c>
      <c r="E2238" s="196" t="str">
        <f>IFERROR(__xludf.DUMMYFUNCTION("""COMPUTED_VALUE"""),"FOR MONARCH PARK")</f>
        <v>FOR MONARCH PARK</v>
      </c>
    </row>
    <row r="2239">
      <c r="A2239" s="234">
        <f>IFERROR(__xludf.DUMMYFUNCTION("""COMPUTED_VALUE"""),102530.0)</f>
        <v>102530</v>
      </c>
      <c r="B2239" s="235" t="str">
        <f>IFERROR(__xludf.DUMMYFUNCTION("""COMPUTED_VALUE"""),"EDGAR REBELLON")</f>
        <v>EDGAR REBELLON</v>
      </c>
      <c r="C2239" s="235" t="str">
        <f>IFERROR(__xludf.DUMMYFUNCTION("""COMPUTED_VALUE"""),"AMD")</f>
        <v>AMD</v>
      </c>
      <c r="D2239" s="196" t="str">
        <f>IFERROR(__xludf.DUMMYFUNCTION("""COMPUTED_VALUE"""),"MARMOL STONEWORK BUNDLING  8,10&amp;12 INCHES CURCULAR CENTURY MARBLE TRAY. ELEGANT LEATHER NOTEBOOK W/ BUSINESS CARD COMPARTMENT WITH EXECUTIVE PEN AND FLASHDRIVE, ELEGANT MALE NECK TIE, SCRAVES OR MALONG, MOTHER OR PEARL CUTWROK, ELAGANT BOXES")</f>
        <v>MARMOL STONEWORK BUNDLING  8,10&amp;12 INCHES CURCULAR CENTURY MARBLE TRAY. ELEGANT LEATHER NOTEBOOK W/ BUSINESS CARD COMPARTMENT WITH EXECUTIVE PEN AND FLASHDRIVE, ELEGANT MALE NECK TIE, SCRAVES OR MALONG, MOTHER OR PEARL CUTWROK, ELAGANT BOXES</v>
      </c>
      <c r="E2239" s="196" t="str">
        <f>IFERROR(__xludf.DUMMYFUNCTION("""COMPUTED_VALUE"""),"PURCHASE OF SAMPLE TOKENS FOR FUTURE GIVEAWAYS/GIFTS FOR UNIVERSITY/ COLLEGES/ INTERNATIONAL SCHOOL  PRESIDENTS, COMPANY HEADS AND ACCREDITORS OR FOREIGN VISITORS")</f>
        <v>PURCHASE OF SAMPLE TOKENS FOR FUTURE GIVEAWAYS/GIFTS FOR UNIVERSITY/ COLLEGES/ INTERNATIONAL SCHOOL  PRESIDENTS, COMPANY HEADS AND ACCREDITORS OR FOREIGN VISITORS</v>
      </c>
    </row>
    <row r="2240">
      <c r="A2240" s="234">
        <f>IFERROR(__xludf.DUMMYFUNCTION("""COMPUTED_VALUE"""),102531.0)</f>
        <v>102531</v>
      </c>
      <c r="B2240" s="235" t="str">
        <f>IFERROR(__xludf.DUMMYFUNCTION("""COMPUTED_VALUE"""),"MELISSA ODOÑO")</f>
        <v>MELISSA ODOÑO</v>
      </c>
      <c r="C2240" s="235" t="str">
        <f>IFERROR(__xludf.DUMMYFUNCTION("""COMPUTED_VALUE"""),"LIBRARY BASIC ED")</f>
        <v>LIBRARY BASIC ED</v>
      </c>
      <c r="D2240" s="196" t="str">
        <f>IFERROR(__xludf.DUMMYFUNCTION("""COMPUTED_VALUE"""),"THEORY OF KNOWLEDGE FOR THE IB DIPLOMA DIGITAL TEACHER'S RESOURCE ACCESS CARD 3RD EDITION, DECODING THEORY OF KNOWLEDGE, THEORY OF KNOWLEDGE FOR IB DIPLOMA COURSE GUIDE WITH DIGITAL ACCESS (2 YEARS) 3RD EDITION ")</f>
        <v>THEORY OF KNOWLEDGE FOR THE IB DIPLOMA DIGITAL TEACHER'S RESOURCE ACCESS CARD 3RD EDITION, DECODING THEORY OF KNOWLEDGE, THEORY OF KNOWLEDGE FOR IB DIPLOMA COURSE GUIDE WITH DIGITAL ACCESS (2 YEARS) 3RD EDITION </v>
      </c>
      <c r="E2240" s="196" t="str">
        <f>IFERROR(__xludf.DUMMYFUNCTION("""COMPUTED_VALUE"""),"FOR FACULTY/ STUDENT'S USE")</f>
        <v>FOR FACULTY/ STUDENT'S USE</v>
      </c>
    </row>
    <row r="2241">
      <c r="A2241" s="234">
        <f>IFERROR(__xludf.DUMMYFUNCTION("""COMPUTED_VALUE"""),102532.0)</f>
        <v>102532</v>
      </c>
      <c r="B2241" s="235" t="str">
        <f>IFERROR(__xludf.DUMMYFUNCTION("""COMPUTED_VALUE"""),"JOMEL BUTIAL ")</f>
        <v>JOMEL BUTIAL </v>
      </c>
      <c r="C2241" s="235" t="str">
        <f>IFERROR(__xludf.DUMMYFUNCTION("""COMPUTED_VALUE"""),"AMD")</f>
        <v>AMD</v>
      </c>
      <c r="D2241" s="196" t="str">
        <f>IFERROR(__xludf.DUMMYFUNCTION("""COMPUTED_VALUE"""),"COLLEGE TOGA GOWN S-59 M-9 L-25 XL-13; MASTERAL TOGA GOWN MBA S-5 MBA L-1 MAP S -4;FACULTY GOWN S-2 M-4 L-3 XL4; CAPS FACULTY 14; HOODS MASTERAL 10 HOODS FACULTY 13")</f>
        <v>COLLEGE TOGA GOWN S-59 M-9 L-25 XL-13; MASTERAL TOGA GOWN MBA S-5 MBA L-1 MAP S -4;FACULTY GOWN S-2 M-4 L-3 XL4; CAPS FACULTY 14; HOODS MASTERAL 10 HOODS FACULTY 13</v>
      </c>
      <c r="E2241" s="196" t="str">
        <f>IFERROR(__xludf.DUMMYFUNCTION("""COMPUTED_VALUE"""),"COLLEGE GRADUATION 2022 BATCH  PRODUCTION")</f>
        <v>COLLEGE GRADUATION 2022 BATCH  PRODUCTION</v>
      </c>
    </row>
    <row r="2242">
      <c r="A2242" s="234">
        <f>IFERROR(__xludf.DUMMYFUNCTION("""COMPUTED_VALUE"""),102533.0)</f>
        <v>102533</v>
      </c>
      <c r="B2242" s="235" t="str">
        <f>IFERROR(__xludf.DUMMYFUNCTION("""COMPUTED_VALUE"""),"ALFA DE LEON")</f>
        <v>ALFA DE LEON</v>
      </c>
      <c r="C2242" s="235" t="str">
        <f>IFERROR(__xludf.DUMMYFUNCTION("""COMPUTED_VALUE"""),"LANDSCAPING")</f>
        <v>LANDSCAPING</v>
      </c>
      <c r="D2242" s="196" t="str">
        <f>IFERROR(__xludf.DUMMYFUNCTION("""COMPUTED_VALUE"""),"RAKE")</f>
        <v>RAKE</v>
      </c>
      <c r="E2242" s="196" t="str">
        <f>IFERROR(__xludf.DUMMYFUNCTION("""COMPUTED_VALUE"""),"REPLACEMENT OF BROKEN RAKE FOR LANDSCAPING")</f>
        <v>REPLACEMENT OF BROKEN RAKE FOR LANDSCAPING</v>
      </c>
    </row>
    <row r="2243">
      <c r="A2243" s="234">
        <f>IFERROR(__xludf.DUMMYFUNCTION("""COMPUTED_VALUE"""),102534.0)</f>
        <v>102534</v>
      </c>
      <c r="B2243" s="235" t="str">
        <f>IFERROR(__xludf.DUMMYFUNCTION("""COMPUTED_VALUE"""),"ALFA DE LEON")</f>
        <v>ALFA DE LEON</v>
      </c>
      <c r="C2243" s="235" t="str">
        <f>IFERROR(__xludf.DUMMYFUNCTION("""COMPUTED_VALUE"""),"ADMIN - MUNICH")</f>
        <v>ADMIN - MUNICH</v>
      </c>
      <c r="D2243" s="196" t="str">
        <f>IFERROR(__xludf.DUMMYFUNCTION("""COMPUTED_VALUE"""),"SUPPLY OF DAIKIN WALL MOUNTED INDOOR PCB FOR MODEL FTKC 35QVM")</f>
        <v>SUPPLY OF DAIKIN WALL MOUNTED INDOOR PCB FOR MODEL FTKC 35QVM</v>
      </c>
      <c r="E2243" s="196" t="str">
        <f>IFERROR(__xludf.DUMMYFUNCTION("""COMPUTED_VALUE"""),"REPAIR OF PR OFFICE ACU IN MUNICH")</f>
        <v>REPAIR OF PR OFFICE ACU IN MUNICH</v>
      </c>
    </row>
    <row r="2244">
      <c r="A2244" s="234">
        <f>IFERROR(__xludf.DUMMYFUNCTION("""COMPUTED_VALUE"""),102535.0)</f>
        <v>102535</v>
      </c>
      <c r="B2244" s="235" t="str">
        <f>IFERROR(__xludf.DUMMYFUNCTION("""COMPUTED_VALUE"""),"ROIE RAYMUNDO/JULIUS PAGDATO")</f>
        <v>ROIE RAYMUNDO/JULIUS PAGDATO</v>
      </c>
      <c r="C2244" s="235" t="str">
        <f>IFERROR(__xludf.DUMMYFUNCTION("""COMPUTED_VALUE"""),"MIS/ICT")</f>
        <v>MIS/ICT</v>
      </c>
      <c r="D2244" s="196" t="str">
        <f>IFERROR(__xludf.DUMMYFUNCTION("""COMPUTED_VALUE"""),"NETGATE 1541 BASE PFSENSE+ SECURITY GATEWAY")</f>
        <v>NETGATE 1541 BASE PFSENSE+ SECURITY GATEWAY</v>
      </c>
      <c r="E2244" s="196" t="str">
        <f>IFERROR(__xludf.DUMMYFUNCTION("""COMPUTED_VALUE"""),"UPGRADING OF NETWORK INFRASTRUCTURE FIREWALL")</f>
        <v>UPGRADING OF NETWORK INFRASTRUCTURE FIREWALL</v>
      </c>
    </row>
    <row r="2245">
      <c r="A2245" s="234">
        <f>IFERROR(__xludf.DUMMYFUNCTION("""COMPUTED_VALUE"""),102536.0)</f>
        <v>102536</v>
      </c>
      <c r="B2245" s="235" t="str">
        <f>IFERROR(__xludf.DUMMYFUNCTION("""COMPUTED_VALUE"""),"ELMIE LAUDITO")</f>
        <v>ELMIE LAUDITO</v>
      </c>
      <c r="C2245" s="235" t="str">
        <f>IFERROR(__xludf.DUMMYFUNCTION("""COMPUTED_VALUE"""),"HRMD")</f>
        <v>HRMD</v>
      </c>
      <c r="D2245" s="196" t="str">
        <f>IFERROR(__xludf.DUMMYFUNCTION("""COMPUTED_VALUE"""),"BED FEMALE FACULTY BLOUSE, BED FEMALE FACULTY LONGPANTS, BED FEMALE FACULTY BLAZER LS, BED FACULTY MALE POLO LS, BED FACULTY MALE PANTS, BED FACULTY MALE COAT, NTE FEMALE BLOUSE, NTE MALE POLO LS, NTE MALE LONGPANTS, NTE MALE COAT, COLLEGE FEMALE FACULTY "&amp;"BLOUSE, MNGT MALE POLO LS, MNGT MALE LONGPANTS, MNGT MALE COAT")</f>
        <v>BED FEMALE FACULTY BLOUSE, BED FEMALE FACULTY LONGPANTS, BED FEMALE FACULTY BLAZER LS, BED FACULTY MALE POLO LS, BED FACULTY MALE PANTS, BED FACULTY MALE COAT, NTE FEMALE BLOUSE, NTE MALE POLO LS, NTE MALE LONGPANTS, NTE MALE COAT, COLLEGE FEMALE FACULTY BLOUSE, MNGT MALE POLO LS, MNGT MALE LONGPANTS, MNGT MALE COAT</v>
      </c>
      <c r="E2245" s="196" t="str">
        <f>IFERROR(__xludf.DUMMYFUNCTION("""COMPUTED_VALUE"""),"EMPLOYEE UNIFORMS FOR AY 2021-2022 (2ND BATCH)")</f>
        <v>EMPLOYEE UNIFORMS FOR AY 2021-2022 (2ND BATCH)</v>
      </c>
    </row>
    <row r="2246">
      <c r="A2246" s="234">
        <f>IFERROR(__xludf.DUMMYFUNCTION("""COMPUTED_VALUE"""),102537.0)</f>
        <v>102537</v>
      </c>
      <c r="B2246" s="235" t="str">
        <f>IFERROR(__xludf.DUMMYFUNCTION("""COMPUTED_VALUE"""),"OWIE PAR ")</f>
        <v>OWIE PAR </v>
      </c>
      <c r="C2246" s="235" t="str">
        <f>IFERROR(__xludf.DUMMYFUNCTION("""COMPUTED_VALUE"""),"ENGINEERING")</f>
        <v>ENGINEERING</v>
      </c>
      <c r="D2246" s="196" t="str">
        <f>IFERROR(__xludf.DUMMYFUNCTION("""COMPUTED_VALUE"""),"EXHAUST FAN 13 1/2"" X 13 1/2"" WALL TYPE 220 V BRAND: OMNI OR ASAHI")</f>
        <v>EXHAUST FAN 13 1/2" X 13 1/2" WALL TYPE 220 V BRAND: OMNI OR ASAHI</v>
      </c>
      <c r="E2246" s="196" t="str">
        <f>IFERROR(__xludf.DUMMYFUNCTION("""COMPUTED_VALUE"""),"FOR LAURELS DORM LAUNDRY AREA")</f>
        <v>FOR LAURELS DORM LAUNDRY AREA</v>
      </c>
    </row>
    <row r="2247">
      <c r="A2247" s="234">
        <f>IFERROR(__xludf.DUMMYFUNCTION("""COMPUTED_VALUE"""),102538.0)</f>
        <v>102538</v>
      </c>
      <c r="B2247" s="235" t="str">
        <f>IFERROR(__xludf.DUMMYFUNCTION("""COMPUTED_VALUE"""),"RONALDO VERDE ")</f>
        <v>RONALDO VERDE </v>
      </c>
      <c r="C2247" s="235" t="str">
        <f>IFERROR(__xludf.DUMMYFUNCTION("""COMPUTED_VALUE"""),"ADMIN")</f>
        <v>ADMIN</v>
      </c>
      <c r="D2247" s="196" t="str">
        <f>IFERROR(__xludf.DUMMYFUNCTION("""COMPUTED_VALUE"""),"DOOR CLOSER FOR GLASS DOOR  (SEE ATTACHED PHOTOS FOR REFERENCE)")</f>
        <v>DOOR CLOSER FOR GLASS DOOR  (SEE ATTACHED PHOTOS FOR REFERENCE)</v>
      </c>
      <c r="E2247" s="196" t="str">
        <f>IFERROR(__xludf.DUMMYFUNCTION("""COMPUTED_VALUE"""),"PM- REPLACEMENT OF BUSTED GLASS DOOR, DOOR CLOSER")</f>
        <v>PM- REPLACEMENT OF BUSTED GLASS DOOR, DOOR CLOSER</v>
      </c>
    </row>
    <row r="2248">
      <c r="A2248" s="234">
        <f>IFERROR(__xludf.DUMMYFUNCTION("""COMPUTED_VALUE"""),102539.0)</f>
        <v>102539</v>
      </c>
      <c r="B2248" s="235" t="str">
        <f>IFERROR(__xludf.DUMMYFUNCTION("""COMPUTED_VALUE"""),"ANN DELA ISLA")</f>
        <v>ANN DELA ISLA</v>
      </c>
      <c r="C2248" s="235" t="str">
        <f>IFERROR(__xludf.DUMMYFUNCTION("""COMPUTED_VALUE"""),"I.B.")</f>
        <v>I.B.</v>
      </c>
      <c r="D2248" s="196" t="str">
        <f>IFERROR(__xludf.DUMMYFUNCTION("""COMPUTED_VALUE"""),"DP MATHs MAP POSTER, IB ACADEMIC INTEGRITY POSTER ")</f>
        <v>DP MATHs MAP POSTER, IB ACADEMIC INTEGRITY POSTER </v>
      </c>
      <c r="E2248" s="196" t="str">
        <f>IFERROR(__xludf.DUMMYFUNCTION("""COMPUTED_VALUE"""),"IN PREPARATION FOR THE NEXT AY 2022-2023")</f>
        <v>IN PREPARATION FOR THE NEXT AY 2022-2023</v>
      </c>
    </row>
    <row r="2249">
      <c r="A2249" s="234">
        <f>IFERROR(__xludf.DUMMYFUNCTION("""COMPUTED_VALUE"""),102540.0)</f>
        <v>102540</v>
      </c>
      <c r="B2249" s="235" t="str">
        <f>IFERROR(__xludf.DUMMYFUNCTION("""COMPUTED_VALUE"""),"ANN DELA ISLA")</f>
        <v>ANN DELA ISLA</v>
      </c>
      <c r="C2249" s="235" t="str">
        <f>IFERROR(__xludf.DUMMYFUNCTION("""COMPUTED_VALUE"""),"I.B.")</f>
        <v>I.B.</v>
      </c>
      <c r="D2249" s="196" t="str">
        <f>IFERROR(__xludf.DUMMYFUNCTION("""COMPUTED_VALUE"""),"IB LABORATORY MATERIALS ")</f>
        <v>IB LABORATORY MATERIALS </v>
      </c>
      <c r="E2249" s="196" t="str">
        <f>IFERROR(__xludf.DUMMYFUNCTION("""COMPUTED_VALUE"""),"IB LABORATORY MATERIALS  FOR AY 22-23")</f>
        <v>IB LABORATORY MATERIALS  FOR AY 22-23</v>
      </c>
    </row>
    <row r="2250">
      <c r="A2250" s="234">
        <f>IFERROR(__xludf.DUMMYFUNCTION("""COMPUTED_VALUE"""),102541.0)</f>
        <v>102541</v>
      </c>
      <c r="B2250" s="235" t="str">
        <f>IFERROR(__xludf.DUMMYFUNCTION("""COMPUTED_VALUE"""),"ELYDIA REYES ")</f>
        <v>ELYDIA REYES </v>
      </c>
      <c r="C2250" s="235" t="str">
        <f>IFERROR(__xludf.DUMMYFUNCTION("""COMPUTED_VALUE"""),"PR &amp; MARKETING")</f>
        <v>PR &amp; MARKETING</v>
      </c>
      <c r="D2250" s="196" t="str">
        <f>IFERROR(__xludf.DUMMYFUNCTION("""COMPUTED_VALUE"""),"TELEPHONE PANASONIC")</f>
        <v>TELEPHONE PANASONIC</v>
      </c>
      <c r="E2250" s="196" t="str">
        <f>IFERROR(__xludf.DUMMYFUNCTION("""COMPUTED_VALUE"""),"FOR PR USE ")</f>
        <v>FOR PR USE </v>
      </c>
    </row>
    <row r="2251">
      <c r="A2251" s="234">
        <f>IFERROR(__xludf.DUMMYFUNCTION("""COMPUTED_VALUE"""),102542.0)</f>
        <v>102542</v>
      </c>
      <c r="B2251" s="235" t="str">
        <f>IFERROR(__xludf.DUMMYFUNCTION("""COMPUTED_VALUE"""),"MELISSA ODOÑO/RUEL CAJILI")</f>
        <v>MELISSA ODOÑO/RUEL CAJILI</v>
      </c>
      <c r="C2251" s="235" t="str">
        <f>IFERROR(__xludf.DUMMYFUNCTION("""COMPUTED_VALUE"""),"LIBRARY COLLEGE")</f>
        <v>LIBRARY COLLEGE</v>
      </c>
      <c r="D2251" s="196" t="str">
        <f>IFERROR(__xludf.DUMMYFUNCTION("""COMPUTED_VALUE"""),"POSITIVE PSYCHOLOGY: THE SICIENCE OF WELL-BEING, PREDICTING PERSONALITY: USIGN AI TO UNDERSTAND PEOPLE, PSYCHOLOGICAL TESTING AND ASSESSMENT, A0 E, PSYCHOLOGY FOR ACTORS, APA STYLE SIMPLIFIED: WRITING IN PSYCHOLOGY EDUCATION 2E, COUNSELLNG SKILLS, CRITICA"&amp;"L THEORIES FOR SCHOOL PSYCHOLOGY &amp; COUN, DIGITAL PLAY THERAPY, A CLINICIAN'S GUIDE, DOING RESEARCH IN COUNSELLING $ PSYCHOTHERAPY, ESSENTIALS OF SOCIAL EMOTIONAL LEARNING")</f>
        <v>POSITIVE PSYCHOLOGY: THE SICIENCE OF WELL-BEING, PREDICTING PERSONALITY: USIGN AI TO UNDERSTAND PEOPLE, PSYCHOLOGICAL TESTING AND ASSESSMENT, A0 E, PSYCHOLOGY FOR ACTORS, APA STYLE SIMPLIFIED: WRITING IN PSYCHOLOGY EDUCATION 2E, COUNSELLNG SKILLS, CRITICAL THEORIES FOR SCHOOL PSYCHOLOGY &amp; COUN, DIGITAL PLAY THERAPY, A CLINICIAN'S GUIDE, DOING RESEARCH IN COUNSELLING $ PSYCHOTHERAPY, ESSENTIALS OF SOCIAL EMOTIONAL LEARNING</v>
      </c>
      <c r="E2251" s="196" t="str">
        <f>IFERROR(__xludf.DUMMYFUNCTION("""COMPUTED_VALUE"""),"LIBRARY'S COPY AY 2022-2023 FOR FACULTY/MGT/STAFF USE")</f>
        <v>LIBRARY'S COPY AY 2022-2023 FOR FACULTY/MGT/STAFF USE</v>
      </c>
    </row>
    <row r="2252">
      <c r="A2252" s="234">
        <f>IFERROR(__xludf.DUMMYFUNCTION("""COMPUTED_VALUE"""),102543.0)</f>
        <v>102543</v>
      </c>
      <c r="B2252" s="235" t="str">
        <f>IFERROR(__xludf.DUMMYFUNCTION("""COMPUTED_VALUE"""),"MELISSA ODOÑO/RUEL CAJILI")</f>
        <v>MELISSA ODOÑO/RUEL CAJILI</v>
      </c>
      <c r="C2252" s="235" t="str">
        <f>IFERROR(__xludf.DUMMYFUNCTION("""COMPUTED_VALUE"""),"LIBRARY COLLEGE")</f>
        <v>LIBRARY COLLEGE</v>
      </c>
      <c r="D2252" s="196" t="str">
        <f>IFERROR(__xludf.DUMMYFUNCTION("""COMPUTED_VALUE"""),"ETIHCS IN PSYCHOTHERAPY &amp; COUNSELLING, FUNDAMENTALS OF COGNITIVE PSYCHOLOGY, GUIDANCE AND COUNSELLING, IMPLEMENTINGPLAY THERAPY WITH GROUPS INTRODCTION TO CBT RESEARCH, INTRODUCTION TO HUMA BEHAVIOR W/ DVD, PROFESSIONAL COUNSELLNG EXCELLENCE THROUGH LEADE"&amp;"RSHIP, THEPEUTICS USE OF SELF, THE WIEY HANDBOOK OF PSYCHOMETRIC TESTING, A MULTIDISCIPLINARY 2 VOL SET, BIOLOGICAL PSYCHOLOGY 2E")</f>
        <v>ETIHCS IN PSYCHOTHERAPY &amp; COUNSELLING, FUNDAMENTALS OF COGNITIVE PSYCHOLOGY, GUIDANCE AND COUNSELLING, IMPLEMENTINGPLAY THERAPY WITH GROUPS INTRODCTION TO CBT RESEARCH, INTRODUCTION TO HUMA BEHAVIOR W/ DVD, PROFESSIONAL COUNSELLNG EXCELLENCE THROUGH LEADERSHIP, THEPEUTICS USE OF SELF, THE WIEY HANDBOOK OF PSYCHOMETRIC TESTING, A MULTIDISCIPLINARY 2 VOL SET, BIOLOGICAL PSYCHOLOGY 2E</v>
      </c>
      <c r="E2252" s="196" t="str">
        <f>IFERROR(__xludf.DUMMYFUNCTION("""COMPUTED_VALUE"""),"LIBRARY'S COPY AY 2022-2023 FOR FACULTY/MGT/STAFF USE")</f>
        <v>LIBRARY'S COPY AY 2022-2023 FOR FACULTY/MGT/STAFF USE</v>
      </c>
    </row>
    <row r="2253">
      <c r="A2253" s="234">
        <f>IFERROR(__xludf.DUMMYFUNCTION("""COMPUTED_VALUE"""),102544.0)</f>
        <v>102544</v>
      </c>
      <c r="B2253" s="235" t="str">
        <f>IFERROR(__xludf.DUMMYFUNCTION("""COMPUTED_VALUE"""),"EUGENE MASILUNGAN ")</f>
        <v>EUGENE MASILUNGAN </v>
      </c>
      <c r="C2253" s="235" t="str">
        <f>IFERROR(__xludf.DUMMYFUNCTION("""COMPUTED_VALUE"""),"CEM OFFICE")</f>
        <v>CEM OFFICE</v>
      </c>
      <c r="D2253" s="196" t="str">
        <f>IFERROR(__xludf.DUMMYFUNCTION("""COMPUTED_VALUE"""),"THREE RING BINDER")</f>
        <v>THREE RING BINDER</v>
      </c>
      <c r="E2253" s="196" t="str">
        <f>IFERROR(__xludf.DUMMYFUNCTION("""COMPUTED_VALUE"""),"5C'S MANUAL")</f>
        <v>5C'S MANUAL</v>
      </c>
    </row>
    <row r="2254">
      <c r="A2254" s="234">
        <f>IFERROR(__xludf.DUMMYFUNCTION("""COMPUTED_VALUE"""),102545.0)</f>
        <v>102545</v>
      </c>
      <c r="B2254" s="235" t="str">
        <f>IFERROR(__xludf.DUMMYFUNCTION("""COMPUTED_VALUE"""),"RONALD A. OBLENO")</f>
        <v>RONALD A. OBLENO</v>
      </c>
      <c r="C2254" s="235" t="str">
        <f>IFERROR(__xludf.DUMMYFUNCTION("""COMPUTED_VALUE"""),"MIS/ICT")</f>
        <v>MIS/ICT</v>
      </c>
      <c r="D2254" s="196" t="str">
        <f>IFERROR(__xludf.DUMMYFUNCTION("""COMPUTED_VALUE"""),"COMPUTER UNIT CORE I5 (CPU ONLY)")</f>
        <v>COMPUTER UNIT CORE I5 (CPU ONLY)</v>
      </c>
      <c r="E2254" s="196" t="str">
        <f>IFERROR(__xludf.DUMMYFUNCTION("""COMPUTED_VALUE"""),"WILL BE USED FOR HYVOLT CLASSROOMS (K-12 TO SISC COLLEGE)")</f>
        <v>WILL BE USED FOR HYVOLT CLASSROOMS (K-12 TO SISC COLLEGE)</v>
      </c>
    </row>
    <row r="2255">
      <c r="A2255" s="234">
        <f>IFERROR(__xludf.DUMMYFUNCTION("""COMPUTED_VALUE"""),102546.0)</f>
        <v>102546</v>
      </c>
      <c r="B2255" s="235" t="str">
        <f>IFERROR(__xludf.DUMMYFUNCTION("""COMPUTED_VALUE"""),"ELMIE LAUDITO")</f>
        <v>ELMIE LAUDITO</v>
      </c>
      <c r="C2255" s="235" t="str">
        <f>IFERROR(__xludf.DUMMYFUNCTION("""COMPUTED_VALUE"""),"HRMD")</f>
        <v>HRMD</v>
      </c>
      <c r="D2255" s="196" t="str">
        <f>IFERROR(__xludf.DUMMYFUNCTION("""COMPUTED_VALUE"""),"TIME CARD")</f>
        <v>TIME CARD</v>
      </c>
      <c r="E2255" s="196" t="str">
        <f>IFERROR(__xludf.DUMMYFUNCTION("""COMPUTED_VALUE"""),"DAILY TIME RECORD ")</f>
        <v>DAILY TIME RECORD </v>
      </c>
    </row>
    <row r="2256">
      <c r="A2256" s="234">
        <f>IFERROR(__xludf.DUMMYFUNCTION("""COMPUTED_VALUE"""),102547.0)</f>
        <v>102547</v>
      </c>
      <c r="B2256" s="235" t="str">
        <f>IFERROR(__xludf.DUMMYFUNCTION("""COMPUTED_VALUE"""),"JOMEL BUTIAL ")</f>
        <v>JOMEL BUTIAL </v>
      </c>
      <c r="C2256" s="235" t="str">
        <f>IFERROR(__xludf.DUMMYFUNCTION("""COMPUTED_VALUE"""),"AMD")</f>
        <v>AMD</v>
      </c>
      <c r="D2256" s="196" t="str">
        <f>IFERROR(__xludf.DUMMYFUNCTION("""COMPUTED_VALUE"""),"WIRELESS TELEPHONE 2PCS")</f>
        <v>WIRELESS TELEPHONE 2PCS</v>
      </c>
      <c r="E2256" s="196" t="str">
        <f>IFERROR(__xludf.DUMMYFUNCTION("""COMPUTED_VALUE"""),"AMD OFFICE USE")</f>
        <v>AMD OFFICE USE</v>
      </c>
    </row>
    <row r="2257">
      <c r="A2257" s="234">
        <f>IFERROR(__xludf.DUMMYFUNCTION("""COMPUTED_VALUE"""),102548.0)</f>
        <v>102548</v>
      </c>
      <c r="B2257" s="235" t="str">
        <f>IFERROR(__xludf.DUMMYFUNCTION("""COMPUTED_VALUE"""),"RONALDO VERDE")</f>
        <v>RONALDO VERDE</v>
      </c>
      <c r="C2257" s="235" t="str">
        <f>IFERROR(__xludf.DUMMYFUNCTION("""COMPUTED_VALUE"""),"ADMIN")</f>
        <v>ADMIN</v>
      </c>
      <c r="D2257" s="196" t="str">
        <f>IFERROR(__xludf.DUMMYFUNCTION("""COMPUTED_VALUE"""),"GOOD YEAR TIRE 195R15C, HYDRAULIC JACK")</f>
        <v>GOOD YEAR TIRE 195R15C, HYDRAULIC JACK</v>
      </c>
      <c r="E2257" s="196" t="str">
        <f>IFERROR(__xludf.DUMMYFUNCTION("""COMPUTED_VALUE"""),"PREVENTIVE MAINTENANCE FOR SISC VAN (ZJR972) REPLACEMENT OF DEFECTIVE JACK")</f>
        <v>PREVENTIVE MAINTENANCE FOR SISC VAN (ZJR972) REPLACEMENT OF DEFECTIVE JACK</v>
      </c>
    </row>
    <row r="2258">
      <c r="A2258" s="234">
        <f>IFERROR(__xludf.DUMMYFUNCTION("""COMPUTED_VALUE"""),102549.0)</f>
        <v>102549</v>
      </c>
      <c r="B2258" s="235" t="str">
        <f>IFERROR(__xludf.DUMMYFUNCTION("""COMPUTED_VALUE"""),"MELISSA ODOÑO/ARMIE ABABA")</f>
        <v>MELISSA ODOÑO/ARMIE ABABA</v>
      </c>
      <c r="C2258" s="235" t="str">
        <f>IFERROR(__xludf.DUMMYFUNCTION("""COMPUTED_VALUE"""),"LIBRARY BASIC ED")</f>
        <v>LIBRARY BASIC ED</v>
      </c>
      <c r="D2258" s="196" t="str">
        <f>IFERROR(__xludf.DUMMYFUNCTION("""COMPUTED_VALUE"""),"IB BUSINESS MANAGEMENT")</f>
        <v>IB BUSINESS MANAGEMENT</v>
      </c>
      <c r="E2258" s="196" t="str">
        <f>IFERROR(__xludf.DUMMYFUNCTION("""COMPUTED_VALUE"""),"LIBRARY'S COPY AY 22-23 FOR FACULTY USE")</f>
        <v>LIBRARY'S COPY AY 22-23 FOR FACULTY USE</v>
      </c>
    </row>
    <row r="2259">
      <c r="A2259" s="234">
        <f>IFERROR(__xludf.DUMMYFUNCTION("""COMPUTED_VALUE"""),102550.0)</f>
        <v>102550</v>
      </c>
      <c r="B2259" s="235" t="str">
        <f>IFERROR(__xludf.DUMMYFUNCTION("""COMPUTED_VALUE"""),"CAROL R. LACERNA ")</f>
        <v>CAROL R. LACERNA </v>
      </c>
      <c r="C2259" s="235" t="str">
        <f>IFERROR(__xludf.DUMMYFUNCTION("""COMPUTED_VALUE"""),"STUFFSHOP")</f>
        <v>STUFFSHOP</v>
      </c>
      <c r="D2259" s="196" t="str">
        <f>IFERROR(__xludf.DUMMYFUNCTION("""COMPUTED_VALUE"""),"ACER- ASPIRE 5 A514-54-34 UP SAFARI GOLD, 14 IN FHD IPS; CORE I3-1115G4; 8GB DDR4, 256GB SSD, INTEL UHD GRAPHICS; WIN 11- transfer to Palms PRF")</f>
        <v>ACER- ASPIRE 5 A514-54-34 UP SAFARI GOLD, 14 IN FHD IPS; CORE I3-1115G4; 8GB DDR4, 256GB SSD, INTEL UHD GRAPHICS; WIN 11- transfer to Palms PRF</v>
      </c>
      <c r="E2259" s="196" t="str">
        <f>IFERROR(__xludf.DUMMYFUNCTION("""COMPUTED_VALUE"""),"GADGET LOAN OF FANNY INDAC AND CRISTY BABOR")</f>
        <v>GADGET LOAN OF FANNY INDAC AND CRISTY BABOR</v>
      </c>
    </row>
    <row r="2260">
      <c r="A2260" s="234">
        <f>IFERROR(__xludf.DUMMYFUNCTION("""COMPUTED_VALUE"""),102551.0)</f>
        <v>102551</v>
      </c>
      <c r="B2260" s="235" t="str">
        <f>IFERROR(__xludf.DUMMYFUNCTION("""COMPUTED_VALUE"""),"EDGAR REBELLON")</f>
        <v>EDGAR REBELLON</v>
      </c>
      <c r="C2260" s="235" t="str">
        <f>IFERROR(__xludf.DUMMYFUNCTION("""COMPUTED_VALUE"""),"AMD")</f>
        <v>AMD</v>
      </c>
      <c r="D2260" s="196" t="str">
        <f>IFERROR(__xludf.DUMMYFUNCTION("""COMPUTED_VALUE"""),"TONER, CARTRIDGE CF211A CYAN 15 PCS., TONER CARTRIDGE CF213A MAGENTA 15 PCS. ")</f>
        <v>TONER, CARTRIDGE CF211A CYAN 15 PCS., TONER CARTRIDGE CF213A MAGENTA 15 PCS. </v>
      </c>
      <c r="E2260" s="196" t="str">
        <f>IFERROR(__xludf.DUMMYFUNCTION("""COMPUTED_VALUE"""),"OSSUP STOCKS REPLENISHMENT")</f>
        <v>OSSUP STOCKS REPLENISHMENT</v>
      </c>
    </row>
    <row r="2261">
      <c r="A2261" s="234">
        <f>IFERROR(__xludf.DUMMYFUNCTION("""COMPUTED_VALUE"""),102552.0)</f>
        <v>102552</v>
      </c>
      <c r="B2261" s="235" t="str">
        <f>IFERROR(__xludf.DUMMYFUNCTION("""COMPUTED_VALUE"""),"EDGAR REBELLON")</f>
        <v>EDGAR REBELLON</v>
      </c>
      <c r="C2261" s="235" t="str">
        <f>IFERROR(__xludf.DUMMYFUNCTION("""COMPUTED_VALUE"""),"AMD")</f>
        <v>AMD</v>
      </c>
      <c r="D2261" s="196" t="str">
        <f>IFERROR(__xludf.DUMMYFUNCTION("""COMPUTED_VALUE"""),"PENCIL SISC PURPLE 3000 PCS. ")</f>
        <v>PENCIL SISC PURPLE 3000 PCS. </v>
      </c>
      <c r="E2261" s="196" t="str">
        <f>IFERROR(__xludf.DUMMYFUNCTION("""COMPUTED_VALUE"""),"STUDENT SUPPLIES REPLENISHMENT")</f>
        <v>STUDENT SUPPLIES REPLENISHMENT</v>
      </c>
    </row>
    <row r="2262">
      <c r="A2262" s="234">
        <f>IFERROR(__xludf.DUMMYFUNCTION("""COMPUTED_VALUE"""),102553.0)</f>
        <v>102553</v>
      </c>
      <c r="B2262" s="235" t="str">
        <f>IFERROR(__xludf.DUMMYFUNCTION("""COMPUTED_VALUE"""),"EDGAR REBELLON/ELMIE LAUDITO")</f>
        <v>EDGAR REBELLON/ELMIE LAUDITO</v>
      </c>
      <c r="C2262" s="235" t="str">
        <f>IFERROR(__xludf.DUMMYFUNCTION("""COMPUTED_VALUE"""),"HRMD")</f>
        <v>HRMD</v>
      </c>
      <c r="D2262" s="196" t="str">
        <f>IFERROR(__xludf.DUMMYFUNCTION("""COMPUTED_VALUE"""),"TIME CARD, SISC DTR W/ LOGO")</f>
        <v>TIME CARD, SISC DTR W/ LOGO</v>
      </c>
      <c r="E2262" s="196" t="str">
        <f>IFERROR(__xludf.DUMMYFUNCTION("""COMPUTED_VALUE"""),"OSSUP STOCKS")</f>
        <v>OSSUP STOCKS</v>
      </c>
    </row>
    <row r="2263">
      <c r="A2263" s="234">
        <f>IFERROR(__xludf.DUMMYFUNCTION("""COMPUTED_VALUE"""),102554.0)</f>
        <v>102554</v>
      </c>
      <c r="B2263" s="235" t="str">
        <f>IFERROR(__xludf.DUMMYFUNCTION("""COMPUTED_VALUE"""),"RONALDO VERDE")</f>
        <v>RONALDO VERDE</v>
      </c>
      <c r="C2263" s="235" t="str">
        <f>IFERROR(__xludf.DUMMYFUNCTION("""COMPUTED_VALUE"""),"ENGINEERING")</f>
        <v>ENGINEERING</v>
      </c>
      <c r="D2263" s="196" t="str">
        <f>IFERROR(__xludf.DUMMYFUNCTION("""COMPUTED_VALUE"""),"STAIR CASE NOZING AS PER SAMPLE ")</f>
        <v>STAIR CASE NOZING AS PER SAMPLE </v>
      </c>
      <c r="E2263" s="196" t="str">
        <f>IFERROR(__xludf.DUMMYFUNCTION("""COMPUTED_VALUE"""),"FOR COLLEGE BUILDING STAIR NOZING REPLACEMENT")</f>
        <v>FOR COLLEGE BUILDING STAIR NOZING REPLACEMENT</v>
      </c>
    </row>
    <row r="2264">
      <c r="A2264" s="234">
        <f>IFERROR(__xludf.DUMMYFUNCTION("""COMPUTED_VALUE"""),102555.0)</f>
        <v>102555</v>
      </c>
      <c r="B2264" s="235" t="str">
        <f>IFERROR(__xludf.DUMMYFUNCTION("""COMPUTED_VALUE"""),"CHRISTIAN S. ANDRES ")</f>
        <v>CHRISTIAN S. ANDRES </v>
      </c>
      <c r="C2264" s="235" t="str">
        <f>IFERROR(__xludf.DUMMYFUNCTION("""COMPUTED_VALUE"""),"PR &amp; MARKETING")</f>
        <v>PR &amp; MARKETING</v>
      </c>
      <c r="D2264" s="196" t="str">
        <f>IFERROR(__xludf.DUMMYFUNCTION("""COMPUTED_VALUE"""),"WOOD FRAME FOR TARPS- S4S KILN DRIED # 2""X2""X12', S4S KILN DRIED # 2""X2"" X8"",FINISHING NAIL # 31")</f>
        <v>WOOD FRAME FOR TARPS- S4S KILN DRIED # 2"X2"X12', S4S KILN DRIED # 2"X2" X8",FINISHING NAIL # 31</v>
      </c>
      <c r="E2264" s="196" t="str">
        <f>IFERROR(__xludf.DUMMYFUNCTION("""COMPUTED_VALUE"""),"TARP MAINTENANCE ")</f>
        <v>TARP MAINTENANCE </v>
      </c>
    </row>
    <row r="2265">
      <c r="A2265" s="234">
        <f>IFERROR(__xludf.DUMMYFUNCTION("""COMPUTED_VALUE"""),102556.0)</f>
        <v>102556</v>
      </c>
      <c r="B2265" s="235" t="str">
        <f>IFERROR(__xludf.DUMMYFUNCTION("""COMPUTED_VALUE"""),"CHRISTIAN S. ANDRES ")</f>
        <v>CHRISTIAN S. ANDRES </v>
      </c>
      <c r="C2265" s="235" t="str">
        <f>IFERROR(__xludf.DUMMYFUNCTION("""COMPUTED_VALUE"""),"PR &amp; MARKETING")</f>
        <v>PR &amp; MARKETING</v>
      </c>
      <c r="D2265" s="196" t="str">
        <f>IFERROR(__xludf.DUMMYFUNCTION("""COMPUTED_VALUE"""),"GWN TARP FOR C5, 10 X 20 FEET TARP, JUST PLAIN TARP NOT BLACK OUT, LIGHTEST OUNCE/WEIGHT OF THE TARP, NO EYELET")</f>
        <v>GWN TARP FOR C5, 10 X 20 FEET TARP, JUST PLAIN TARP NOT BLACK OUT, LIGHTEST OUNCE/WEIGHT OF THE TARP, NO EYELET</v>
      </c>
      <c r="E2265" s="196" t="str">
        <f>IFERROR(__xludf.DUMMYFUNCTION("""COMPUTED_VALUE"""),"FOR MARKETING")</f>
        <v>FOR MARKETING</v>
      </c>
    </row>
    <row r="2266">
      <c r="A2266" s="234">
        <f>IFERROR(__xludf.DUMMYFUNCTION("""COMPUTED_VALUE"""),102557.0)</f>
        <v>102557</v>
      </c>
      <c r="B2266" s="235" t="str">
        <f>IFERROR(__xludf.DUMMYFUNCTION("""COMPUTED_VALUE"""),"JOMEL BUTIAL ")</f>
        <v>JOMEL BUTIAL </v>
      </c>
      <c r="C2266" s="235" t="str">
        <f>IFERROR(__xludf.DUMMYFUNCTION("""COMPUTED_VALUE"""),"AMD")</f>
        <v>AMD</v>
      </c>
      <c r="D2266" s="196" t="str">
        <f>IFERROR(__xludf.DUMMYFUNCTION("""COMPUTED_VALUE"""),"ALCOHOL  gallons 70% Isopropyl (BABY SCENT)")</f>
        <v>ALCOHOL  gallons 70% Isopropyl (BABY SCENT)</v>
      </c>
      <c r="E2266" s="196" t="str">
        <f>IFERROR(__xludf.DUMMYFUNCTION("""COMPUTED_VALUE"""),"STOCK REPLENISHMENT FOR COVID 19 DISINFECTION")</f>
        <v>STOCK REPLENISHMENT FOR COVID 19 DISINFECTION</v>
      </c>
    </row>
    <row r="2267">
      <c r="A2267" s="234">
        <f>IFERROR(__xludf.DUMMYFUNCTION("""COMPUTED_VALUE"""),102558.0)</f>
        <v>102558</v>
      </c>
      <c r="B2267" s="235" t="str">
        <f>IFERROR(__xludf.DUMMYFUNCTION("""COMPUTED_VALUE"""),"OWIE PAR ")</f>
        <v>OWIE PAR </v>
      </c>
      <c r="C2267" s="235" t="str">
        <f>IFERROR(__xludf.DUMMYFUNCTION("""COMPUTED_VALUE"""),"ENGINEERING")</f>
        <v>ENGINEERING</v>
      </c>
      <c r="D2267" s="196" t="str">
        <f>IFERROR(__xludf.DUMMYFUNCTION("""COMPUTED_VALUE"""),"ELECTRICAL PANEL BOARD INNEMA 3R BOLT ON MAIN 500 AMP 3 POLE BRANCHES 14 PAIR 40 AMP2 POLE INDUSTRIAL INDUSTRIAL TYPE")</f>
        <v>ELECTRICAL PANEL BOARD INNEMA 3R BOLT ON MAIN 500 AMP 3 POLE BRANCHES 14 PAIR 40 AMP2 POLE INDUSTRIAL INDUSTRIAL TYPE</v>
      </c>
      <c r="E2267" s="196" t="str">
        <f>IFERROR(__xludf.DUMMYFUNCTION("""COMPUTED_VALUE"""),"FOR LUX HALL ACU")</f>
        <v>FOR LUX HALL ACU</v>
      </c>
    </row>
    <row r="2268">
      <c r="A2268" s="234">
        <f>IFERROR(__xludf.DUMMYFUNCTION("""COMPUTED_VALUE"""),102559.0)</f>
        <v>102559</v>
      </c>
      <c r="B2268" s="235" t="str">
        <f>IFERROR(__xludf.DUMMYFUNCTION("""COMPUTED_VALUE"""),"RONALD OBLENO ")</f>
        <v>RONALD OBLENO </v>
      </c>
      <c r="C2268" s="235" t="str">
        <f>IFERROR(__xludf.DUMMYFUNCTION("""COMPUTED_VALUE"""),"MIS/ICT")</f>
        <v>MIS/ICT</v>
      </c>
      <c r="D2268" s="196" t="str">
        <f>IFERROR(__xludf.DUMMYFUNCTION("""COMPUTED_VALUE"""),"DELL LED MONITOR 18.5"" (105 UNITS)")</f>
        <v>DELL LED MONITOR 18.5" (105 UNITS)</v>
      </c>
      <c r="E2268" s="196" t="str">
        <f>IFERROR(__xludf.DUMMYFUNCTION("""COMPUTED_VALUE"""),"WILL BE USED FOR HYVOLT &amp; VOLT SET UP IN E CLASSROOMS")</f>
        <v>WILL BE USED FOR HYVOLT &amp; VOLT SET UP IN E CLASSROOMS</v>
      </c>
    </row>
    <row r="2269">
      <c r="A2269" s="234">
        <f>IFERROR(__xludf.DUMMYFUNCTION("""COMPUTED_VALUE"""),102560.0)</f>
        <v>102560</v>
      </c>
      <c r="B2269" s="235" t="str">
        <f>IFERROR(__xludf.DUMMYFUNCTION("""COMPUTED_VALUE"""),"RONALD OBLENO ")</f>
        <v>RONALD OBLENO </v>
      </c>
      <c r="C2269" s="235" t="str">
        <f>IFERROR(__xludf.DUMMYFUNCTION("""COMPUTED_VALUE"""),"MIS/ICT")</f>
        <v>MIS/ICT</v>
      </c>
      <c r="D2269" s="196" t="str">
        <f>IFERROR(__xludf.DUMMYFUNCTION("""COMPUTED_VALUE"""),"100 UNITS TLC SMART ANDROID TV 55"", 100 PCS. TV BRACKET")</f>
        <v>100 UNITS TLC SMART ANDROID TV 55", 100 PCS. TV BRACKET</v>
      </c>
      <c r="E2269" s="196" t="str">
        <f>IFERROR(__xludf.DUMMYFUNCTION("""COMPUTED_VALUE"""),"WILL BE USED FOR HYVOLT AND VOLT SET UP FOR E CLASSROOMS")</f>
        <v>WILL BE USED FOR HYVOLT AND VOLT SET UP FOR E CLASSROOMS</v>
      </c>
    </row>
    <row r="2270">
      <c r="A2270" s="234">
        <f>IFERROR(__xludf.DUMMYFUNCTION("""COMPUTED_VALUE"""),102561.0)</f>
        <v>102561</v>
      </c>
      <c r="B2270" s="235" t="str">
        <f>IFERROR(__xludf.DUMMYFUNCTION("""COMPUTED_VALUE"""),"RONALD OBLENO ")</f>
        <v>RONALD OBLENO </v>
      </c>
      <c r="C2270" s="235" t="str">
        <f>IFERROR(__xludf.DUMMYFUNCTION("""COMPUTED_VALUE"""),"MIS/ICT")</f>
        <v>MIS/ICT</v>
      </c>
      <c r="D2270" s="196" t="str">
        <f>IFERROR(__xludf.DUMMYFUNCTION("""COMPUTED_VALUE"""),"64 PCS. HDMI CABLE 10 METERS, 85 PCS USB EXTENDER 15 METERS, 64 PCS. USB HUN 4 PORTS")</f>
        <v>64 PCS. HDMI CABLE 10 METERS, 85 PCS USB EXTENDER 15 METERS, 64 PCS. USB HUN 4 PORTS</v>
      </c>
      <c r="E2270" s="196" t="str">
        <f>IFERROR(__xludf.DUMMYFUNCTION("""COMPUTED_VALUE"""),"WILL BE USED FOR HYVOLT SET UP IN E CLASSROOMS")</f>
        <v>WILL BE USED FOR HYVOLT SET UP IN E CLASSROOMS</v>
      </c>
    </row>
    <row r="2271">
      <c r="A2271" s="234">
        <f>IFERROR(__xludf.DUMMYFUNCTION("""COMPUTED_VALUE"""),102562.0)</f>
        <v>102562</v>
      </c>
      <c r="B2271" s="235" t="str">
        <f>IFERROR(__xludf.DUMMYFUNCTION("""COMPUTED_VALUE"""),"RONALD OBLENO ")</f>
        <v>RONALD OBLENO </v>
      </c>
      <c r="C2271" s="235" t="str">
        <f>IFERROR(__xludf.DUMMYFUNCTION("""COMPUTED_VALUE"""),"MIS/ICT")</f>
        <v>MIS/ICT</v>
      </c>
      <c r="D2271" s="196" t="str">
        <f>IFERROR(__xludf.DUMMYFUNCTION("""COMPUTED_VALUE"""),"MAONO MICROPHONE CONFERENCE ")</f>
        <v>MAONO MICROPHONE CONFERENCE </v>
      </c>
      <c r="E2271" s="196" t="str">
        <f>IFERROR(__xludf.DUMMYFUNCTION("""COMPUTED_VALUE"""),"WILL BE USED FOR HYVOLT SET UP IN E CLASSROOMS")</f>
        <v>WILL BE USED FOR HYVOLT SET UP IN E CLASSROOMS</v>
      </c>
    </row>
    <row r="2272">
      <c r="A2272" s="234">
        <f>IFERROR(__xludf.DUMMYFUNCTION("""COMPUTED_VALUE"""),102563.0)</f>
        <v>102563</v>
      </c>
      <c r="B2272" s="235" t="str">
        <f>IFERROR(__xludf.DUMMYFUNCTION("""COMPUTED_VALUE"""),"RONALD OBLENO ")</f>
        <v>RONALD OBLENO </v>
      </c>
      <c r="C2272" s="235" t="str">
        <f>IFERROR(__xludf.DUMMYFUNCTION("""COMPUTED_VALUE"""),"MIS/ICT")</f>
        <v>MIS/ICT</v>
      </c>
      <c r="D2272" s="196" t="str">
        <f>IFERROR(__xludf.DUMMYFUNCTION("""COMPUTED_VALUE"""),"170  UNITS A4TECH WEBCAM 1080P FHD PK-940HA")</f>
        <v>170  UNITS A4TECH WEBCAM 1080P FHD PK-940HA</v>
      </c>
      <c r="E2272" s="196" t="str">
        <f>IFERROR(__xludf.DUMMYFUNCTION("""COMPUTED_VALUE"""),"WILL BE USED FOR HYVOLT &amp; VOLT SET UP IN E CLASSROOMS")</f>
        <v>WILL BE USED FOR HYVOLT &amp; VOLT SET UP IN E CLASSROOMS</v>
      </c>
    </row>
    <row r="2273">
      <c r="A2273" s="234">
        <f>IFERROR(__xludf.DUMMYFUNCTION("""COMPUTED_VALUE"""),102564.0)</f>
        <v>102564</v>
      </c>
      <c r="B2273" s="235" t="str">
        <f>IFERROR(__xludf.DUMMYFUNCTION("""COMPUTED_VALUE"""),"RONALD OBLENO ")</f>
        <v>RONALD OBLENO </v>
      </c>
      <c r="C2273" s="235" t="str">
        <f>IFERROR(__xludf.DUMMYFUNCTION("""COMPUTED_VALUE"""),"MIS/ICT")</f>
        <v>MIS/ICT</v>
      </c>
      <c r="D2273" s="196" t="str">
        <f>IFERROR(__xludf.DUMMYFUNCTION("""COMPUTED_VALUE"""),"85 PCS EXTENSION CORD 4 GANG 5 METERS")</f>
        <v>85 PCS EXTENSION CORD 4 GANG 5 METERS</v>
      </c>
      <c r="E2273" s="196" t="str">
        <f>IFERROR(__xludf.DUMMYFUNCTION("""COMPUTED_VALUE"""),"WILL BE USED FOR HYVOLT &amp; VOLT SET UP IN E CLASSROOMS")</f>
        <v>WILL BE USED FOR HYVOLT &amp; VOLT SET UP IN E CLASSROOMS</v>
      </c>
    </row>
    <row r="2274">
      <c r="A2274" s="234">
        <f>IFERROR(__xludf.DUMMYFUNCTION("""COMPUTED_VALUE"""),102565.0)</f>
        <v>102565</v>
      </c>
      <c r="B2274" s="235" t="str">
        <f>IFERROR(__xludf.DUMMYFUNCTION("""COMPUTED_VALUE"""),"RONALD OBLENO ")</f>
        <v>RONALD OBLENO </v>
      </c>
      <c r="C2274" s="235" t="str">
        <f>IFERROR(__xludf.DUMMYFUNCTION("""COMPUTED_VALUE"""),"MIS/ICT")</f>
        <v>MIS/ICT</v>
      </c>
      <c r="D2274" s="196" t="str">
        <f>IFERROR(__xludf.DUMMYFUNCTION("""COMPUTED_VALUE"""),"64 PCS. DVI-D TO GGP ADAPTOR")</f>
        <v>64 PCS. DVI-D TO GGP ADAPTOR</v>
      </c>
      <c r="E2274" s="196" t="str">
        <f>IFERROR(__xludf.DUMMYFUNCTION("""COMPUTED_VALUE"""),"WILL BE USED FOR HYVOLT &amp; VOLT SET UP IN E CLASSROOMS")</f>
        <v>WILL BE USED FOR HYVOLT &amp; VOLT SET UP IN E CLASSROOMS</v>
      </c>
    </row>
    <row r="2275">
      <c r="A2275" s="234">
        <f>IFERROR(__xludf.DUMMYFUNCTION("""COMPUTED_VALUE"""),102566.0)</f>
        <v>102566</v>
      </c>
      <c r="B2275" s="235" t="str">
        <f>IFERROR(__xludf.DUMMYFUNCTION("""COMPUTED_VALUE"""),"JOMEL BUTIAL")</f>
        <v>JOMEL BUTIAL</v>
      </c>
      <c r="C2275" s="235" t="str">
        <f>IFERROR(__xludf.DUMMYFUNCTION("""COMPUTED_VALUE"""),"AMD")</f>
        <v>AMD</v>
      </c>
      <c r="D2275" s="196" t="str">
        <f>IFERROR(__xludf.DUMMYFUNCTION("""COMPUTED_VALUE"""),"500 PCS. BATTERY ENERGIZER, 2A")</f>
        <v>500 PCS. BATTERY ENERGIZER, 2A</v>
      </c>
      <c r="E2275" s="196" t="str">
        <f>IFERROR(__xludf.DUMMYFUNCTION("""COMPUTED_VALUE"""),"OSSUP REPLENISHMENT ")</f>
        <v>OSSUP REPLENISHMENT </v>
      </c>
    </row>
    <row r="2276">
      <c r="A2276" s="234">
        <f>IFERROR(__xludf.DUMMYFUNCTION("""COMPUTED_VALUE"""),102567.0)</f>
        <v>102567</v>
      </c>
      <c r="B2276" s="235" t="str">
        <f>IFERROR(__xludf.DUMMYFUNCTION("""COMPUTED_VALUE"""),"JOMEL BUTIAL")</f>
        <v>JOMEL BUTIAL</v>
      </c>
      <c r="C2276" s="235" t="str">
        <f>IFERROR(__xludf.DUMMYFUNCTION("""COMPUTED_VALUE"""),"AMD")</f>
        <v>AMD</v>
      </c>
      <c r="D2276" s="196" t="str">
        <f>IFERROR(__xludf.DUMMYFUNCTION("""COMPUTED_VALUE"""),"TISSUE, ROLL BATH 2 PLY SANICARE")</f>
        <v>TISSUE, ROLL BATH 2 PLY SANICARE</v>
      </c>
      <c r="E2276" s="196" t="str">
        <f>IFERROR(__xludf.DUMMYFUNCTION("""COMPUTED_VALUE"""),"OSSUP REPLENISHMENT ")</f>
        <v>OSSUP REPLENISHMENT </v>
      </c>
    </row>
    <row r="2277">
      <c r="A2277" s="234">
        <f>IFERROR(__xludf.DUMMYFUNCTION("""COMPUTED_VALUE"""),102568.0)</f>
        <v>102568</v>
      </c>
      <c r="B2277" s="235" t="str">
        <f>IFERROR(__xludf.DUMMYFUNCTION("""COMPUTED_VALUE"""),"JAQUELINE SAMSONA")</f>
        <v>JAQUELINE SAMSONA</v>
      </c>
      <c r="C2277" s="235" t="str">
        <f>IFERROR(__xludf.DUMMYFUNCTION("""COMPUTED_VALUE"""),"SCIENCE LAB COLLEGE")</f>
        <v>SCIENCE LAB COLLEGE</v>
      </c>
      <c r="D2277" s="196" t="str">
        <f>IFERROR(__xludf.DUMMYFUNCTION("""COMPUTED_VALUE"""),"BINOCULAR MICROSCOPE")</f>
        <v>BINOCULAR MICROSCOPE</v>
      </c>
      <c r="E2277" s="196" t="str">
        <f>IFERROR(__xludf.DUMMYFUNCTION("""COMPUTED_VALUE"""),"IN PREPARATION OF THE FACE TO FACE CLASSES ")</f>
        <v>IN PREPARATION OF THE FACE TO FACE CLASSES </v>
      </c>
    </row>
    <row r="2278">
      <c r="A2278" s="234">
        <f>IFERROR(__xludf.DUMMYFUNCTION("""COMPUTED_VALUE"""),102569.0)</f>
        <v>102569</v>
      </c>
      <c r="B2278" s="235" t="str">
        <f>IFERROR(__xludf.DUMMYFUNCTION("""COMPUTED_VALUE"""),"ELMIE LAUDITO")</f>
        <v>ELMIE LAUDITO</v>
      </c>
      <c r="C2278" s="235" t="str">
        <f>IFERROR(__xludf.DUMMYFUNCTION("""COMPUTED_VALUE"""),"HRMD")</f>
        <v>HRMD</v>
      </c>
      <c r="D2278" s="196" t="str">
        <f>IFERROR(__xludf.DUMMYFUNCTION("""COMPUTED_VALUE"""),"2 PCS PLAQUE 5 YRS. (6""), 3 PCS. PLAQUE 10 YRS (8""), 1 PC PLAQUE 15 YRS (10"")")</f>
        <v>2 PCS PLAQUE 5 YRS. (6"), 3 PCS. PLAQUE 10 YRS (8"), 1 PC PLAQUE 15 YRS (10")</v>
      </c>
      <c r="E2278" s="196" t="str">
        <f>IFERROR(__xludf.DUMMYFUNCTION("""COMPUTED_VALUE"""),"PLAQUE FOR SERVICE APPRECIATION AWRADEES (KRA 2022)")</f>
        <v>PLAQUE FOR SERVICE APPRECIATION AWRADEES (KRA 2022)</v>
      </c>
    </row>
    <row r="2279">
      <c r="A2279" s="234">
        <f>IFERROR(__xludf.DUMMYFUNCTION("""COMPUTED_VALUE"""),102570.0)</f>
        <v>102570</v>
      </c>
      <c r="B2279" s="235" t="str">
        <f>IFERROR(__xludf.DUMMYFUNCTION("""COMPUTED_VALUE"""),"ELMIE LAUDITO")</f>
        <v>ELMIE LAUDITO</v>
      </c>
      <c r="C2279" s="235" t="str">
        <f>IFERROR(__xludf.DUMMYFUNCTION("""COMPUTED_VALUE"""),"HRMD")</f>
        <v>HRMD</v>
      </c>
      <c r="D2279" s="196" t="str">
        <f>IFERROR(__xludf.DUMMYFUNCTION("""COMPUTED_VALUE"""),"13 PCS PLAQUE 5 YRS (6""), 5 PCS. PLAQUE 10 YRS (8""), 1 PC. PLAQUE 15 YRS (10""),7 PCS.  PLAQUE 20 YRS. (12""),  6 PCS. PLAQUE 25 YRS (14""), 1 PC. PLAQUE 30 YRS. (16"") ")</f>
        <v>13 PCS PLAQUE 5 YRS (6"), 5 PCS. PLAQUE 10 YRS (8"), 1 PC. PLAQUE 15 YRS (10"),7 PCS.  PLAQUE 20 YRS. (12"),  6 PCS. PLAQUE 25 YRS (14"), 1 PC. PLAQUE 30 YRS. (16") </v>
      </c>
      <c r="E2279" s="196" t="str">
        <f>IFERROR(__xludf.DUMMYFUNCTION("""COMPUTED_VALUE"""),"PLAQUE  FOR SERVICE AWARDEES (KRA 2022)")</f>
        <v>PLAQUE  FOR SERVICE AWARDEES (KRA 2022)</v>
      </c>
    </row>
    <row r="2280">
      <c r="A2280" s="234">
        <f>IFERROR(__xludf.DUMMYFUNCTION("""COMPUTED_VALUE"""),102571.0)</f>
        <v>102571</v>
      </c>
      <c r="B2280" s="235" t="str">
        <f>IFERROR(__xludf.DUMMYFUNCTION("""COMPUTED_VALUE"""),"ALFA DE LEON")</f>
        <v>ALFA DE LEON</v>
      </c>
      <c r="C2280" s="235" t="str">
        <f>IFERROR(__xludf.DUMMYFUNCTION("""COMPUTED_VALUE"""),"LANDSCAPING")</f>
        <v>LANDSCAPING</v>
      </c>
      <c r="D2280" s="196" t="str">
        <f>IFERROR(__xludf.DUMMYFUNCTION("""COMPUTED_VALUE"""),"KARATE")</f>
        <v>KARATE</v>
      </c>
      <c r="E2280" s="196" t="str">
        <f>IFERROR(__xludf.DUMMYFUNCTION("""COMPUTED_VALUE"""),"MAINTENANCE OF PLANTS ")</f>
        <v>MAINTENANCE OF PLANTS </v>
      </c>
    </row>
    <row r="2281">
      <c r="A2281" s="234">
        <f>IFERROR(__xludf.DUMMYFUNCTION("""COMPUTED_VALUE"""),102572.0)</f>
        <v>102572</v>
      </c>
      <c r="B2281" s="235" t="str">
        <f>IFERROR(__xludf.DUMMYFUNCTION("""COMPUTED_VALUE"""),"RONALDO VERDE ")</f>
        <v>RONALDO VERDE </v>
      </c>
      <c r="C2281" s="235" t="str">
        <f>IFERROR(__xludf.DUMMYFUNCTION("""COMPUTED_VALUE"""),"ENGINEERING")</f>
        <v>ENGINEERING</v>
      </c>
      <c r="D2281" s="196" t="str">
        <f>IFERROR(__xludf.DUMMYFUNCTION("""COMPUTED_VALUE"""),"CERAMIC TILES 60 X 60, STICKWELL ")</f>
        <v>CERAMIC TILES 60 X 60, STICKWELL </v>
      </c>
      <c r="E2281" s="196" t="str">
        <f>IFERROR(__xludf.DUMMYFUNCTION("""COMPUTED_VALUE"""),"REPLACEMENT OF BROKEN TILES ")</f>
        <v>REPLACEMENT OF BROKEN TILES </v>
      </c>
    </row>
    <row r="2282">
      <c r="A2282" s="234">
        <f>IFERROR(__xludf.DUMMYFUNCTION("""COMPUTED_VALUE"""),102573.0)</f>
        <v>102573</v>
      </c>
      <c r="B2282" s="235" t="str">
        <f>IFERROR(__xludf.DUMMYFUNCTION("""COMPUTED_VALUE"""),"ALFA DE LEON")</f>
        <v>ALFA DE LEON</v>
      </c>
      <c r="C2282" s="235" t="str">
        <f>IFERROR(__xludf.DUMMYFUNCTION("""COMPUTED_VALUE"""),"ADMIN")</f>
        <v>ADMIN</v>
      </c>
      <c r="D2282" s="196" t="str">
        <f>IFERROR(__xludf.DUMMYFUNCTION("""COMPUTED_VALUE"""),"FOXTAIL PALM, ANAHAW, RED KALACHUCHI, AFRICAN TALISAY, RED BANABA")</f>
        <v>FOXTAIL PALM, ANAHAW, RED KALACHUCHI, AFRICAN TALISAY, RED BANABA</v>
      </c>
      <c r="E2282" s="196" t="str">
        <f>IFERROR(__xludf.DUMMYFUNCTION("""COMPUTED_VALUE"""),"MONARCH PARK TREES")</f>
        <v>MONARCH PARK TREES</v>
      </c>
    </row>
    <row r="2283">
      <c r="A2283" s="234">
        <f>IFERROR(__xludf.DUMMYFUNCTION("""COMPUTED_VALUE"""),102574.0)</f>
        <v>102574</v>
      </c>
      <c r="B2283" s="235" t="str">
        <f>IFERROR(__xludf.DUMMYFUNCTION("""COMPUTED_VALUE"""),"ALFA DE LEON")</f>
        <v>ALFA DE LEON</v>
      </c>
      <c r="C2283" s="235" t="str">
        <f>IFERROR(__xludf.DUMMYFUNCTION("""COMPUTED_VALUE"""),"ADMIN - MUNICH")</f>
        <v>ADMIN - MUNICH</v>
      </c>
      <c r="D2283" s="196" t="str">
        <f>IFERROR(__xludf.DUMMYFUNCTION("""COMPUTED_VALUE"""),"WATER DISPENSER (2F AND GF)")</f>
        <v>WATER DISPENSER (2F AND GF)</v>
      </c>
      <c r="E2283" s="196" t="str">
        <f>IFERROR(__xludf.DUMMYFUNCTION("""COMPUTED_VALUE"""),"REPLACEMENT OF BROKEN WATER DISPENSER ")</f>
        <v>REPLACEMENT OF BROKEN WATER DISPENSER </v>
      </c>
    </row>
    <row r="2284">
      <c r="A2284" s="234">
        <f>IFERROR(__xludf.DUMMYFUNCTION("""COMPUTED_VALUE"""),102575.0)</f>
        <v>102575</v>
      </c>
      <c r="B2284" s="235" t="str">
        <f>IFERROR(__xludf.DUMMYFUNCTION("""COMPUTED_VALUE"""),"ALFA DE LEON")</f>
        <v>ALFA DE LEON</v>
      </c>
      <c r="C2284" s="235" t="str">
        <f>IFERROR(__xludf.DUMMYFUNCTION("""COMPUTED_VALUE"""),"LANDSCAPING")</f>
        <v>LANDSCAPING</v>
      </c>
      <c r="D2284" s="196" t="str">
        <f>IFERROR(__xludf.DUMMYFUNCTION("""COMPUTED_VALUE"""),"POTS XL")</f>
        <v>POTS XL</v>
      </c>
      <c r="E2284" s="196" t="str">
        <f>IFERROR(__xludf.DUMMYFUNCTION("""COMPUTED_VALUE"""),"REPLACEMENT OF BROKEN POTS")</f>
        <v>REPLACEMENT OF BROKEN POTS</v>
      </c>
    </row>
    <row r="2285">
      <c r="A2285" s="234">
        <f>IFERROR(__xludf.DUMMYFUNCTION("""COMPUTED_VALUE"""),102576.0)</f>
        <v>102576</v>
      </c>
      <c r="B2285" s="235" t="str">
        <f>IFERROR(__xludf.DUMMYFUNCTION("""COMPUTED_VALUE"""),"CAROL LACERNA")</f>
        <v>CAROL LACERNA</v>
      </c>
      <c r="C2285" s="235" t="str">
        <f>IFERROR(__xludf.DUMMYFUNCTION("""COMPUTED_VALUE"""),"STUFFSHOP")</f>
        <v>STUFFSHOP</v>
      </c>
      <c r="D2285" s="196" t="str">
        <f>IFERROR(__xludf.DUMMYFUNCTION("""COMPUTED_VALUE"""),"G1-TOWPEP JOURNAL-35 PAGES
G2-TOWPEP JOURNAL-35 PAGES
G3-TOWPEP JOURNAL-35 PAGES
G4-TOWPEP JOURNAL-36 PAGES
G5-TOWPEP JOURNAL-25 PAGES
G6-TOWPEP JOURNAL-25 PAGES
G7-TOWPEP JOURNAL-32 PAGES
G8-TOWPEP JOURNAL-30 PAGES
G9-TOWPEP JOURNAL-28 PAGES
G10-TOWPEP J"&amp;"OURNAL-25 PAGES
G11-TOWPEP JOURNAL-34 PAGES
G12-TOWPEP JOURNAL-17 PAGES")</f>
        <v>G1-TOWPEP JOURNAL-35 PAGES
G2-TOWPEP JOURNAL-35 PAGES
G3-TOWPEP JOURNAL-35 PAGES
G4-TOWPEP JOURNAL-36 PAGES
G5-TOWPEP JOURNAL-25 PAGES
G6-TOWPEP JOURNAL-25 PAGES
G7-TOWPEP JOURNAL-32 PAGES
G8-TOWPEP JOURNAL-30 PAGES
G9-TOWPEP JOURNAL-28 PAGES
G10-TOWPEP JOURNAL-25 PAGES
G11-TOWPEP JOURNAL-34 PAGES
G12-TOWPEP JOURNAL-17 PAGES</v>
      </c>
      <c r="E2285" s="196" t="str">
        <f>IFERROR(__xludf.DUMMYFUNCTION("""COMPUTED_VALUE"""),"TOWPEP JOURNAL FOR SGEN SCHOOLS (SMC,SSISB &amp; SSISM)")</f>
        <v>TOWPEP JOURNAL FOR SGEN SCHOOLS (SMC,SSISB &amp; SSISM)</v>
      </c>
    </row>
    <row r="2286">
      <c r="A2286" s="234">
        <f>IFERROR(__xludf.DUMMYFUNCTION("""COMPUTED_VALUE"""),102577.0)</f>
        <v>102577</v>
      </c>
      <c r="B2286" s="235" t="str">
        <f>IFERROR(__xludf.DUMMYFUNCTION("""COMPUTED_VALUE"""),"JOMEL BUTIAL ")</f>
        <v>JOMEL BUTIAL </v>
      </c>
      <c r="C2286" s="235" t="str">
        <f>IFERROR(__xludf.DUMMYFUNCTION("""COMPUTED_VALUE"""),"AMD ")</f>
        <v>AMD </v>
      </c>
      <c r="D2286" s="196" t="str">
        <f>IFERROR(__xludf.DUMMYFUNCTION("""COMPUTED_VALUE"""),"G1-TOWPEP JOURNAL-35 PAGES
G2-TOWPEP JOURNAL-35 PAGES
G3-TOWPEP JOURNAL-35 PAGES
G4-TOWPEP JOURNAL-36 PAGES
G5-TOWPEP JOURNAL-25 PAGES
G6-TOWPEP JOURNAL-25 PAGES
G7-TOWPEP JOURNAL-32 PAGES
G8-TOWPEP JOURNAL-30 PAGES
G9-TOWPEP JOURNAL-28 PAGES
G10-TOWPEP J"&amp;"OURNAL-25 PAGES
G11-TOWPEP JOURNAL-34 PAGES
G12-TOWPEP JOURNAL-17 PAGES")</f>
        <v>G1-TOWPEP JOURNAL-35 PAGES
G2-TOWPEP JOURNAL-35 PAGES
G3-TOWPEP JOURNAL-35 PAGES
G4-TOWPEP JOURNAL-36 PAGES
G5-TOWPEP JOURNAL-25 PAGES
G6-TOWPEP JOURNAL-25 PAGES
G7-TOWPEP JOURNAL-32 PAGES
G8-TOWPEP JOURNAL-30 PAGES
G9-TOWPEP JOURNAL-28 PAGES
G10-TOWPEP JOURNAL-25 PAGES
G11-TOWPEP JOURNAL-34 PAGES
G12-TOWPEP JOURNAL-17 PAGES</v>
      </c>
      <c r="E2286" s="196" t="str">
        <f>IFERROR(__xludf.DUMMYFUNCTION("""COMPUTED_VALUE"""),"OSSUP STOCK REPLENISHMENT")</f>
        <v>OSSUP STOCK REPLENISHMENT</v>
      </c>
    </row>
    <row r="2287">
      <c r="A2287" s="234">
        <f>IFERROR(__xludf.DUMMYFUNCTION("""COMPUTED_VALUE"""),102578.0)</f>
        <v>102578</v>
      </c>
      <c r="B2287" s="235" t="str">
        <f>IFERROR(__xludf.DUMMYFUNCTION("""COMPUTED_VALUE"""),"JOMEL BUTIAL ")</f>
        <v>JOMEL BUTIAL </v>
      </c>
      <c r="C2287" s="235" t="str">
        <f>IFERROR(__xludf.DUMMYFUNCTION("""COMPUTED_VALUE"""),"AMD")</f>
        <v>AMD</v>
      </c>
      <c r="D2287" s="196" t="str">
        <f>IFERROR(__xludf.DUMMYFUNCTION("""COMPUTED_VALUE"""),"CHAMPION (KALAMANSI POWDER) 800 G 80 PCS")</f>
        <v>CHAMPION (KALAMANSI POWDER) 800 G 80 PCS</v>
      </c>
      <c r="E2287" s="196" t="str">
        <f>IFERROR(__xludf.DUMMYFUNCTION("""COMPUTED_VALUE"""),"HOUSEKEEPING REPLENISHMENT FOR JULY 2022")</f>
        <v>HOUSEKEEPING REPLENISHMENT FOR JULY 2022</v>
      </c>
    </row>
    <row r="2288">
      <c r="A2288" s="234">
        <f>IFERROR(__xludf.DUMMYFUNCTION("""COMPUTED_VALUE"""),102579.0)</f>
        <v>102579</v>
      </c>
      <c r="B2288" s="235" t="str">
        <f>IFERROR(__xludf.DUMMYFUNCTION("""COMPUTED_VALUE"""),"OWIE PAR")</f>
        <v>OWIE PAR</v>
      </c>
      <c r="C2288" s="235" t="str">
        <f>IFERROR(__xludf.DUMMYFUNCTION("""COMPUTED_VALUE"""),"ENGINEERING")</f>
        <v>ENGINEERING</v>
      </c>
      <c r="D2288" s="196" t="str">
        <f>IFERROR(__xludf.DUMMYFUNCTION("""COMPUTED_VALUE"""),"2 SETS WIDE SERIES SWITCH 3 GANG PANASONIC, 2 SETS WIDE SERIES SWITCH 2 GANG PANASONIC, 2 SETS WIDE SERIES SWITCH 1 GANG PANASONIC, 4 SETS WIDE SERIES OUTLET  2 GANG PANASONIC,  5 SETS WIDE SERIES BLANK COVER, 1 LENGTH PVC MOULDING 3/4,  1 PC PVC AMCA BOX"&amp;", 100 PCS BLACK SCREW  1 1/2 METAL ")</f>
        <v>2 SETS WIDE SERIES SWITCH 3 GANG PANASONIC, 2 SETS WIDE SERIES SWITCH 2 GANG PANASONIC, 2 SETS WIDE SERIES SWITCH 1 GANG PANASONIC, 4 SETS WIDE SERIES OUTLET  2 GANG PANASONIC,  5 SETS WIDE SERIES BLANK COVER, 1 LENGTH PVC MOULDING 3/4,  1 PC PVC AMCA BOX, 100 PCS BLACK SCREW  1 1/2 METAL </v>
      </c>
      <c r="E2288" s="196" t="str">
        <f>IFERROR(__xludf.DUMMYFUNCTION("""COMPUTED_VALUE"""),"FOR ELI HOPKINS STORAGE AREA ")</f>
        <v>FOR ELI HOPKINS STORAGE AREA </v>
      </c>
    </row>
    <row r="2289">
      <c r="A2289" s="234">
        <f>IFERROR(__xludf.DUMMYFUNCTION("""COMPUTED_VALUE"""),102580.0)</f>
        <v>102580</v>
      </c>
      <c r="B2289" s="235" t="str">
        <f>IFERROR(__xludf.DUMMYFUNCTION("""COMPUTED_VALUE"""),"OWIE PAR")</f>
        <v>OWIE PAR</v>
      </c>
      <c r="C2289" s="235" t="str">
        <f>IFERROR(__xludf.DUMMYFUNCTION("""COMPUTED_VALUE"""),"ENGINEERING")</f>
        <v>ENGINEERING</v>
      </c>
      <c r="D2289" s="196" t="str">
        <f>IFERROR(__xludf.DUMMYFUNCTION("""COMPUTED_VALUE"""),"1 BAG CEMENT, 3 BAGS WHITE SAND PALITADA, 1 KG G-WIRE # 16, 1 KG COMMON NAILS # 3")</f>
        <v>1 BAG CEMENT, 3 BAGS WHITE SAND PALITADA, 1 KG G-WIRE # 16, 1 KG COMMON NAILS # 3</v>
      </c>
      <c r="E2289" s="196" t="str">
        <f>IFERROR(__xludf.DUMMYFUNCTION("""COMPUTED_VALUE"""),"FOR ELI REPAIR OF GUTTER (STAR CAMPUS)")</f>
        <v>FOR ELI REPAIR OF GUTTER (STAR CAMPUS)</v>
      </c>
    </row>
    <row r="2290">
      <c r="A2290" s="234">
        <f>IFERROR(__xludf.DUMMYFUNCTION("""COMPUTED_VALUE"""),102581.0)</f>
        <v>102581</v>
      </c>
      <c r="B2290" s="235" t="str">
        <f>IFERROR(__xludf.DUMMYFUNCTION("""COMPUTED_VALUE"""),"CHRISTIAN ANDRES ")</f>
        <v>CHRISTIAN ANDRES </v>
      </c>
      <c r="C2290" s="235" t="str">
        <f>IFERROR(__xludf.DUMMYFUNCTION("""COMPUTED_VALUE"""),"PR &amp; MARKETING")</f>
        <v>PR &amp; MARKETING</v>
      </c>
      <c r="D2290" s="196" t="str">
        <f>IFERROR(__xludf.DUMMYFUNCTION("""COMPUTED_VALUE"""),"1 PC. TELEPHONE")</f>
        <v>1 PC. TELEPHONE</v>
      </c>
      <c r="E2290" s="196" t="str">
        <f>IFERROR(__xludf.DUMMYFUNCTION("""COMPUTED_VALUE"""),"FOR COMMUNICATION ")</f>
        <v>FOR COMMUNICATION </v>
      </c>
    </row>
    <row r="2291">
      <c r="A2291" s="234">
        <f>IFERROR(__xludf.DUMMYFUNCTION("""COMPUTED_VALUE"""),102582.0)</f>
        <v>102582</v>
      </c>
      <c r="B2291" s="235" t="str">
        <f>IFERROR(__xludf.DUMMYFUNCTION("""COMPUTED_VALUE"""),"OWIE PAR")</f>
        <v>OWIE PAR</v>
      </c>
      <c r="C2291" s="235" t="str">
        <f>IFERROR(__xludf.DUMMYFUNCTION("""COMPUTED_VALUE"""),"ENGINEERING")</f>
        <v>ENGINEERING</v>
      </c>
      <c r="D2291" s="196" t="str">
        <f>IFERROR(__xludf.DUMMYFUNCTION("""COMPUTED_VALUE"""),"3 PCS. PAINTED GUTTER")</f>
        <v>3 PCS. PAINTED GUTTER</v>
      </c>
      <c r="E2291" s="196" t="str">
        <f>IFERROR(__xludf.DUMMYFUNCTION("""COMPUTED_VALUE"""),"ADDTL GUTTER FOR MISS ESCALANTE")</f>
        <v>ADDTL GUTTER FOR MISS ESCALANTE</v>
      </c>
    </row>
    <row r="2292">
      <c r="A2292" s="234">
        <f>IFERROR(__xludf.DUMMYFUNCTION("""COMPUTED_VALUE"""),102583.0)</f>
        <v>102583</v>
      </c>
      <c r="B2292" s="235" t="str">
        <f>IFERROR(__xludf.DUMMYFUNCTION("""COMPUTED_VALUE"""),"CHRISTIAN S. ANDRES")</f>
        <v>CHRISTIAN S. ANDRES</v>
      </c>
      <c r="C2292" s="235" t="str">
        <f>IFERROR(__xludf.DUMMYFUNCTION("""COMPUTED_VALUE"""),"PR &amp; MARKETING")</f>
        <v>PR &amp; MARKETING</v>
      </c>
      <c r="D2292" s="196" t="str">
        <f>IFERROR(__xludf.DUMMYFUNCTION("""COMPUTED_VALUE"""),"3 GALLONS OF RUGBY BOSTIK")</f>
        <v>3 GALLONS OF RUGBY BOSTIK</v>
      </c>
      <c r="E2292" s="196" t="str">
        <f>IFERROR(__xludf.DUMMYFUNCTION("""COMPUTED_VALUE"""),"FOR C5 TARP INSTALLATION")</f>
        <v>FOR C5 TARP INSTALLATION</v>
      </c>
    </row>
    <row r="2293">
      <c r="A2293" s="234">
        <f>IFERROR(__xludf.DUMMYFUNCTION("""COMPUTED_VALUE"""),102584.0)</f>
        <v>102584</v>
      </c>
      <c r="B2293" s="235" t="str">
        <f>IFERROR(__xludf.DUMMYFUNCTION("""COMPUTED_VALUE"""),"CHOY JAMIAS")</f>
        <v>CHOY JAMIAS</v>
      </c>
      <c r="C2293" s="235" t="str">
        <f>IFERROR(__xludf.DUMMYFUNCTION("""COMPUTED_VALUE"""),"STUDENT AFFAIRS COLLEGE")</f>
        <v>STUDENT AFFAIRS COLLEGE</v>
      </c>
      <c r="D2293" s="196" t="str">
        <f>IFERROR(__xludf.DUMMYFUNCTION("""COMPUTED_VALUE"""),"PLAQUE OF APPRECIATION LOYALTY AWARDS")</f>
        <v>PLAQUE OF APPRECIATION LOYALTY AWARDS</v>
      </c>
      <c r="E2293" s="196" t="str">
        <f>IFERROR(__xludf.DUMMYFUNCTION("""COMPUTED_VALUE"""),"COLLEGE GRADUATION")</f>
        <v>COLLEGE GRADUATION</v>
      </c>
    </row>
    <row r="2294">
      <c r="A2294" s="234">
        <f>IFERROR(__xludf.DUMMYFUNCTION("""COMPUTED_VALUE"""),102585.0)</f>
        <v>102585</v>
      </c>
      <c r="B2294" s="235" t="str">
        <f>IFERROR(__xludf.DUMMYFUNCTION("""COMPUTED_VALUE"""),"CHOY JAMIAS")</f>
        <v>CHOY JAMIAS</v>
      </c>
      <c r="C2294" s="235" t="str">
        <f>IFERROR(__xludf.DUMMYFUNCTION("""COMPUTED_VALUE"""),"STUDENT AFFAIRS COLLEGE")</f>
        <v>STUDENT AFFAIRS COLLEGE</v>
      </c>
      <c r="D2294" s="196" t="str">
        <f>IFERROR(__xludf.DUMMYFUNCTION("""COMPUTED_VALUE"""),"PLAQUE FOR COLLEGE COMMENCEMENT SPEAKER")</f>
        <v>PLAQUE FOR COLLEGE COMMENCEMENT SPEAKER</v>
      </c>
      <c r="E2294" s="196" t="str">
        <f>IFERROR(__xludf.DUMMYFUNCTION("""COMPUTED_VALUE"""),"COLLEGE GRADUATION")</f>
        <v>COLLEGE GRADUATION</v>
      </c>
    </row>
    <row r="2295">
      <c r="A2295" s="234">
        <f>IFERROR(__xludf.DUMMYFUNCTION("""COMPUTED_VALUE"""),102586.0)</f>
        <v>102586</v>
      </c>
      <c r="B2295" s="235" t="str">
        <f>IFERROR(__xludf.DUMMYFUNCTION("""COMPUTED_VALUE"""),"HANNAH LOUISE STO. DOMINGO")</f>
        <v>HANNAH LOUISE STO. DOMINGO</v>
      </c>
      <c r="C2295" s="235" t="str">
        <f>IFERROR(__xludf.DUMMYFUNCTION("""COMPUTED_VALUE"""),"NURSING")</f>
        <v>NURSING</v>
      </c>
      <c r="D2295" s="196" t="str">
        <f>IFERROR(__xludf.DUMMYFUNCTION("""COMPUTED_VALUE"""),"INVITATION ")</f>
        <v>INVITATION </v>
      </c>
      <c r="E2295" s="196" t="str">
        <f>IFERROR(__xludf.DUMMYFUNCTION("""COMPUTED_VALUE"""),"CLINICAL GRADUATION")</f>
        <v>CLINICAL GRADUATION</v>
      </c>
    </row>
    <row r="2296">
      <c r="A2296" s="234">
        <f>IFERROR(__xludf.DUMMYFUNCTION("""COMPUTED_VALUE"""),102587.0)</f>
        <v>102587</v>
      </c>
      <c r="B2296" s="235" t="str">
        <f>IFERROR(__xludf.DUMMYFUNCTION("""COMPUTED_VALUE"""),"JOMEL BUTIAL ")</f>
        <v>JOMEL BUTIAL </v>
      </c>
      <c r="C2296" s="235" t="str">
        <f>IFERROR(__xludf.DUMMYFUNCTION("""COMPUTED_VALUE"""),"AMD")</f>
        <v>AMD</v>
      </c>
      <c r="D2296" s="196" t="str">
        <f>IFERROR(__xludf.DUMMYFUNCTION("""COMPUTED_VALUE"""),"BLACK TONER TN660 40 PCS")</f>
        <v>BLACK TONER TN660 40 PCS</v>
      </c>
      <c r="E2296" s="196" t="str">
        <f>IFERROR(__xludf.DUMMYFUNCTION("""COMPUTED_VALUE"""),"OSSUP STOCK REPLENISHMENT")</f>
        <v>OSSUP STOCK REPLENISHMENT</v>
      </c>
    </row>
    <row r="2297">
      <c r="A2297" s="234">
        <f>IFERROR(__xludf.DUMMYFUNCTION("""COMPUTED_VALUE"""),102588.0)</f>
        <v>102588</v>
      </c>
      <c r="B2297" s="235" t="str">
        <f>IFERROR(__xludf.DUMMYFUNCTION("""COMPUTED_VALUE"""),"VYE REVOLTAR  ")</f>
        <v>VYE REVOLTAR  </v>
      </c>
      <c r="C2297" s="235" t="str">
        <f>IFERROR(__xludf.DUMMYFUNCTION("""COMPUTED_VALUE"""),"AMD")</f>
        <v>AMD</v>
      </c>
      <c r="D2297" s="196" t="str">
        <f>IFERROR(__xludf.DUMMYFUNCTION("""COMPUTED_VALUE"""),"PILLOWCASES ")</f>
        <v>PILLOWCASES </v>
      </c>
      <c r="E2297" s="196" t="str">
        <f>IFERROR(__xludf.DUMMYFUNCTION("""COMPUTED_VALUE"""),"FOR INCOMING FOUNDER'S SCHOLARS")</f>
        <v>FOR INCOMING FOUNDER'S SCHOLARS</v>
      </c>
    </row>
    <row r="2298">
      <c r="A2298" s="234">
        <f>IFERROR(__xludf.DUMMYFUNCTION("""COMPUTED_VALUE"""),102589.0)</f>
        <v>102589</v>
      </c>
      <c r="B2298" s="235" t="str">
        <f>IFERROR(__xludf.DUMMYFUNCTION("""COMPUTED_VALUE"""),"JOMEL BUTIAL ")</f>
        <v>JOMEL BUTIAL </v>
      </c>
      <c r="C2298" s="235" t="str">
        <f>IFERROR(__xludf.DUMMYFUNCTION("""COMPUTED_VALUE"""),"AMD")</f>
        <v>AMD</v>
      </c>
      <c r="D2298" s="196" t="str">
        <f>IFERROR(__xludf.DUMMYFUNCTION("""COMPUTED_VALUE"""),"KRAFT BROWN PAPER BAG SIZE #20 (8.27 X 4.5 X 15.94 INCHES) 500 PCS")</f>
        <v>KRAFT BROWN PAPER BAG SIZE #20 (8.27 X 4.5 X 15.94 INCHES) 500 PCS</v>
      </c>
      <c r="E2298" s="196" t="str">
        <f>IFERROR(__xludf.DUMMYFUNCTION("""COMPUTED_VALUE"""),"PACKAGING FOR TOGA RELEASING")</f>
        <v>PACKAGING FOR TOGA RELEASING</v>
      </c>
    </row>
    <row r="2299">
      <c r="A2299" s="234">
        <f>IFERROR(__xludf.DUMMYFUNCTION("""COMPUTED_VALUE"""),102590.0)</f>
        <v>102590</v>
      </c>
      <c r="B2299" s="235" t="str">
        <f>IFERROR(__xludf.DUMMYFUNCTION("""COMPUTED_VALUE"""),"CARLITO DELA VEGA")</f>
        <v>CARLITO DELA VEGA</v>
      </c>
      <c r="C2299" s="235" t="str">
        <f>IFERROR(__xludf.DUMMYFUNCTION("""COMPUTED_VALUE"""),"AMD")</f>
        <v>AMD</v>
      </c>
      <c r="D2299" s="196" t="str">
        <f>IFERROR(__xludf.DUMMYFUNCTION("""COMPUTED_VALUE"""),"1 PC. ACI DOOR SLAVE CONTROLLER ")</f>
        <v>1 PC. ACI DOOR SLAVE CONTROLLER </v>
      </c>
      <c r="E2299" s="196" t="str">
        <f>IFERROR(__xludf.DUMMYFUNCTION("""COMPUTED_VALUE"""),"FOR TURNSTILE/ ID SYSTEM")</f>
        <v>FOR TURNSTILE/ ID SYSTEM</v>
      </c>
    </row>
    <row r="2300">
      <c r="A2300" s="234">
        <f>IFERROR(__xludf.DUMMYFUNCTION("""COMPUTED_VALUE"""),102591.0)</f>
        <v>102591</v>
      </c>
      <c r="B2300" s="235" t="str">
        <f>IFERROR(__xludf.DUMMYFUNCTION("""COMPUTED_VALUE"""),"OWIE PAR")</f>
        <v>OWIE PAR</v>
      </c>
      <c r="C2300" s="235" t="str">
        <f>IFERROR(__xludf.DUMMYFUNCTION("""COMPUTED_VALUE"""),"ENGINEERING")</f>
        <v>ENGINEERING</v>
      </c>
      <c r="D2300" s="196" t="str">
        <f>IFERROR(__xludf.DUMMYFUNCTION("""COMPUTED_VALUE"""),"MAINTENANCE AND REPROGRAMMING OF  PABX  SYSTEM (1 UNIT)")</f>
        <v>MAINTENANCE AND REPROGRAMMING OF  PABX  SYSTEM (1 UNIT)</v>
      </c>
      <c r="E2300" s="196" t="str">
        <f>IFERROR(__xludf.DUMMYFUNCTION("""COMPUTED_VALUE"""),"UPGRADING OF TELEPHONE LINE SYSTEM ")</f>
        <v>UPGRADING OF TELEPHONE LINE SYSTEM </v>
      </c>
    </row>
    <row r="2301">
      <c r="A2301" s="234">
        <f>IFERROR(__xludf.DUMMYFUNCTION("""COMPUTED_VALUE"""),102592.0)</f>
        <v>102592</v>
      </c>
      <c r="B2301" s="235" t="str">
        <f>IFERROR(__xludf.DUMMYFUNCTION("""COMPUTED_VALUE"""),"OWIE PAR")</f>
        <v>OWIE PAR</v>
      </c>
      <c r="C2301" s="235" t="str">
        <f>IFERROR(__xludf.DUMMYFUNCTION("""COMPUTED_VALUE"""),"ENGINEERING")</f>
        <v>ENGINEERING</v>
      </c>
      <c r="D2301" s="196" t="str">
        <f>IFERROR(__xludf.DUMMYFUNCTION("""COMPUTED_VALUE"""),"3 BOXES VINYL TILES 4"" X 3"", 1 GAL RUGBY")</f>
        <v>3 BOXES VINYL TILES 4" X 3", 1 GAL RUGBY</v>
      </c>
      <c r="E2301" s="196" t="str">
        <f>IFERROR(__xludf.DUMMYFUNCTION("""COMPUTED_VALUE"""),"FOR LUX HALL REPAIR OF FLOORING")</f>
        <v>FOR LUX HALL REPAIR OF FLOORING</v>
      </c>
    </row>
    <row r="2302">
      <c r="A2302" s="234">
        <f>IFERROR(__xludf.DUMMYFUNCTION("""COMPUTED_VALUE"""),102593.0)</f>
        <v>102593</v>
      </c>
      <c r="B2302" s="235" t="str">
        <f>IFERROR(__xludf.DUMMYFUNCTION("""COMPUTED_VALUE"""),"CHOY JAMIAS")</f>
        <v>CHOY JAMIAS</v>
      </c>
      <c r="C2302" s="235" t="str">
        <f>IFERROR(__xludf.DUMMYFUNCTION("""COMPUTED_VALUE"""),"STUDENT AFFAIRS COLLEGE")</f>
        <v>STUDENT AFFAIRS COLLEGE</v>
      </c>
      <c r="D2302" s="196" t="str">
        <f>IFERROR(__xludf.DUMMYFUNCTION("""COMPUTED_VALUE"""),"MEDALS FOR COLLEGE")</f>
        <v>MEDALS FOR COLLEGE</v>
      </c>
      <c r="E2302" s="196" t="str">
        <f>IFERROR(__xludf.DUMMYFUNCTION("""COMPUTED_VALUE"""),"COLLEGE GRADUATION AY 21-22")</f>
        <v>COLLEGE GRADUATION AY 21-22</v>
      </c>
    </row>
    <row r="2303">
      <c r="A2303" s="234">
        <f>IFERROR(__xludf.DUMMYFUNCTION("""COMPUTED_VALUE"""),102594.0)</f>
        <v>102594</v>
      </c>
      <c r="B2303" s="235" t="str">
        <f>IFERROR(__xludf.DUMMYFUNCTION("""COMPUTED_VALUE"""),"CHOY JAMIAS")</f>
        <v>CHOY JAMIAS</v>
      </c>
      <c r="C2303" s="235" t="str">
        <f>IFERROR(__xludf.DUMMYFUNCTION("""COMPUTED_VALUE"""),"STUDENT AFFAIRS COLLEGE")</f>
        <v>STUDENT AFFAIRS COLLEGE</v>
      </c>
      <c r="D2303" s="196" t="str">
        <f>IFERROR(__xludf.DUMMYFUNCTION("""COMPUTED_VALUE"""),"GRADUATION COLLATERALS:  500 PCS. INVITATION, 550 SOUVENIR PROGRAM, 550 ENVELOPE")</f>
        <v>GRADUATION COLLATERALS:  500 PCS. INVITATION, 550 SOUVENIR PROGRAM, 550 ENVELOPE</v>
      </c>
      <c r="E2303" s="196" t="str">
        <f>IFERROR(__xludf.DUMMYFUNCTION("""COMPUTED_VALUE"""),"COLLEGE GRADUATION FOR AY 21-22")</f>
        <v>COLLEGE GRADUATION FOR AY 21-22</v>
      </c>
    </row>
    <row r="2304">
      <c r="A2304" s="234">
        <f>IFERROR(__xludf.DUMMYFUNCTION("""COMPUTED_VALUE"""),102595.0)</f>
        <v>102595</v>
      </c>
      <c r="B2304" s="235" t="str">
        <f>IFERROR(__xludf.DUMMYFUNCTION("""COMPUTED_VALUE"""),"JOMEL BUTIAL")</f>
        <v>JOMEL BUTIAL</v>
      </c>
      <c r="C2304" s="235" t="str">
        <f>IFERROR(__xludf.DUMMYFUNCTION("""COMPUTED_VALUE"""),"AMD")</f>
        <v>AMD</v>
      </c>
      <c r="D2304" s="196" t="str">
        <f>IFERROR(__xludf.DUMMYFUNCTION("""COMPUTED_VALUE"""),"50 PCS. BATTERY ENELOOP AAA, 50 PCS. BATTERY EVEREADY C, CUTTER BLADE BIG")</f>
        <v>50 PCS. BATTERY ENELOOP AAA, 50 PCS. BATTERY EVEREADY C, CUTTER BLADE BIG</v>
      </c>
      <c r="E2304" s="196" t="str">
        <f>IFERROR(__xludf.DUMMYFUNCTION("""COMPUTED_VALUE"""),"OSSUP REPLENISHMENT ")</f>
        <v>OSSUP REPLENISHMENT </v>
      </c>
    </row>
    <row r="2305">
      <c r="A2305" s="234">
        <f>IFERROR(__xludf.DUMMYFUNCTION("""COMPUTED_VALUE"""),102596.0)</f>
        <v>102596</v>
      </c>
      <c r="B2305" s="235" t="str">
        <f>IFERROR(__xludf.DUMMYFUNCTION("""COMPUTED_VALUE"""),"RONALD A. OBLENO/JULIUS PAGDATO")</f>
        <v>RONALD A. OBLENO/JULIUS PAGDATO</v>
      </c>
      <c r="C2305" s="235" t="str">
        <f>IFERROR(__xludf.DUMMYFUNCTION("""COMPUTED_VALUE"""),"AV/MIS")</f>
        <v>AV/MIS</v>
      </c>
      <c r="D2305" s="196" t="str">
        <f>IFERROR(__xludf.DUMMYFUNCTION("""COMPUTED_VALUE"""),"MAONO MICROPHONE CONFERENCE ")</f>
        <v>MAONO MICROPHONE CONFERENCE </v>
      </c>
      <c r="E2305" s="196" t="str">
        <f>IFERROR(__xludf.DUMMYFUNCTION("""COMPUTED_VALUE"""),"WILL BE USED FOR HYVOLT AND VOLT SET UP FOR E-CLASSROOMS")</f>
        <v>WILL BE USED FOR HYVOLT AND VOLT SET UP FOR E-CLASSROOMS</v>
      </c>
    </row>
    <row r="2306">
      <c r="A2306" s="234">
        <f>IFERROR(__xludf.DUMMYFUNCTION("""COMPUTED_VALUE"""),102597.0)</f>
        <v>102597</v>
      </c>
      <c r="B2306" s="235" t="str">
        <f>IFERROR(__xludf.DUMMYFUNCTION("""COMPUTED_VALUE"""),"BELOY LEOPOLDO ")</f>
        <v>BELOY LEOPOLDO </v>
      </c>
      <c r="C2306" s="235" t="str">
        <f>IFERROR(__xludf.DUMMYFUNCTION("""COMPUTED_VALUE"""),"AV/MIS")</f>
        <v>AV/MIS</v>
      </c>
      <c r="D2306" s="196" t="str">
        <f>IFERROR(__xludf.DUMMYFUNCTION("""COMPUTED_VALUE"""),"PAR LED LIGHTS")</f>
        <v>PAR LED LIGHTS</v>
      </c>
      <c r="E2306" s="196" t="str">
        <f>IFERROR(__xludf.DUMMYFUNCTION("""COMPUTED_VALUE"""),"REPLACEMENT OF DAMAGED PAR LED LIGHTS IN LUX HALL")</f>
        <v>REPLACEMENT OF DAMAGED PAR LED LIGHTS IN LUX HALL</v>
      </c>
    </row>
    <row r="2307">
      <c r="A2307" s="234">
        <f>IFERROR(__xludf.DUMMYFUNCTION("""COMPUTED_VALUE"""),102598.0)</f>
        <v>102598</v>
      </c>
      <c r="B2307" s="235" t="str">
        <f>IFERROR(__xludf.DUMMYFUNCTION("""COMPUTED_VALUE"""),"GARRY BATAO-EY")</f>
        <v>GARRY BATAO-EY</v>
      </c>
      <c r="C2307" s="235" t="str">
        <f>IFERROR(__xludf.DUMMYFUNCTION("""COMPUTED_VALUE"""),"MIS/ICT")</f>
        <v>MIS/ICT</v>
      </c>
      <c r="D2307" s="196" t="str">
        <f>IFERROR(__xludf.DUMMYFUNCTION("""COMPUTED_VALUE"""),"USB FLASHDRIVE 32 GB")</f>
        <v>USB FLASHDRIVE 32 GB</v>
      </c>
      <c r="E2307" s="196" t="str">
        <f>IFERROR(__xludf.DUMMYFUNCTION("""COMPUTED_VALUE"""),"FOR WINDOWS 10 INSTALLATION MEDIA ")</f>
        <v>FOR WINDOWS 10 INSTALLATION MEDIA </v>
      </c>
    </row>
    <row r="2308">
      <c r="A2308" s="234">
        <f>IFERROR(__xludf.DUMMYFUNCTION("""COMPUTED_VALUE"""),102599.0)</f>
        <v>102599</v>
      </c>
      <c r="B2308" s="235" t="str">
        <f>IFERROR(__xludf.DUMMYFUNCTION("""COMPUTED_VALUE"""),"ALFA DE LEON")</f>
        <v>ALFA DE LEON</v>
      </c>
      <c r="C2308" s="235" t="str">
        <f>IFERROR(__xludf.DUMMYFUNCTION("""COMPUTED_VALUE"""),"ADMIN")</f>
        <v>ADMIN</v>
      </c>
      <c r="D2308" s="196" t="str">
        <f>IFERROR(__xludf.DUMMYFUNCTION("""COMPUTED_VALUE"""),"WELDING MACHINE HEAVY PORTABLE ")</f>
        <v>WELDING MACHINE HEAVY PORTABLE </v>
      </c>
      <c r="E2308" s="196" t="str">
        <f>IFERROR(__xludf.DUMMYFUNCTION("""COMPUTED_VALUE"""),"ADMIN NEEDED TOOLS ")</f>
        <v>ADMIN NEEDED TOOLS </v>
      </c>
    </row>
    <row r="2309">
      <c r="A2309" s="234">
        <f>IFERROR(__xludf.DUMMYFUNCTION("""COMPUTED_VALUE"""),102600.0)</f>
        <v>102600</v>
      </c>
      <c r="B2309" s="235" t="str">
        <f>IFERROR(__xludf.DUMMYFUNCTION("""COMPUTED_VALUE"""),"OWIE PAR/ PHEN PETIN")</f>
        <v>OWIE PAR/ PHEN PETIN</v>
      </c>
      <c r="C2309" s="235" t="str">
        <f>IFERROR(__xludf.DUMMYFUNCTION("""COMPUTED_VALUE"""),"ADMIN")</f>
        <v>ADMIN</v>
      </c>
      <c r="D2309" s="196" t="str">
        <f>IFERROR(__xludf.DUMMYFUNCTION("""COMPUTED_VALUE"""),"MOTOLITE GSM ")</f>
        <v>MOTOLITE GSM </v>
      </c>
      <c r="E2309" s="196" t="str">
        <f>IFERROR(__xludf.DUMMYFUNCTION("""COMPUTED_VALUE"""),"REPLACEMNET OF GENSET BATTERIES FOR STAR CAMPUS")</f>
        <v>REPLACEMNET OF GENSET BATTERIES FOR STAR CAMPUS</v>
      </c>
    </row>
    <row r="2310">
      <c r="A2310" s="234">
        <f>IFERROR(__xludf.DUMMYFUNCTION("""COMPUTED_VALUE"""),102601.0)</f>
        <v>102601</v>
      </c>
      <c r="B2310" s="235" t="str">
        <f>IFERROR(__xludf.DUMMYFUNCTION("""COMPUTED_VALUE"""),"JOMEL BUTIAL ")</f>
        <v>JOMEL BUTIAL </v>
      </c>
      <c r="C2310" s="235" t="str">
        <f>IFERROR(__xludf.DUMMYFUNCTION("""COMPUTED_VALUE"""),"AMD")</f>
        <v>AMD</v>
      </c>
      <c r="D2310" s="196" t="str">
        <f>IFERROR(__xludf.DUMMYFUNCTION("""COMPUTED_VALUE"""),"TAPE, 3M MASKING TAPE (1"") 300 PCS. ")</f>
        <v>TAPE, 3M MASKING TAPE (1") 300 PCS. </v>
      </c>
      <c r="E2310" s="196" t="str">
        <f>IFERROR(__xludf.DUMMYFUNCTION("""COMPUTED_VALUE"""),"OSSUP STOCK REPLENISHMENT")</f>
        <v>OSSUP STOCK REPLENISHMENT</v>
      </c>
    </row>
    <row r="2311">
      <c r="A2311" s="234">
        <f>IFERROR(__xludf.DUMMYFUNCTION("""COMPUTED_VALUE"""),102602.0)</f>
        <v>102602</v>
      </c>
      <c r="B2311" s="235" t="str">
        <f>IFERROR(__xludf.DUMMYFUNCTION("""COMPUTED_VALUE"""),"LORRAINE ALMAZAN")</f>
        <v>LORRAINE ALMAZAN</v>
      </c>
      <c r="C2311" s="235" t="str">
        <f>IFERROR(__xludf.DUMMYFUNCTION("""COMPUTED_VALUE"""),"MIS/ICT")</f>
        <v>MIS/ICT</v>
      </c>
      <c r="D2311" s="196" t="str">
        <f>IFERROR(__xludf.DUMMYFUNCTION("""COMPUTED_VALUE"""),"TRODAT STAMP OF LORRAINE ALMAZAN &amp; JULIUS PAGDATO")</f>
        <v>TRODAT STAMP OF LORRAINE ALMAZAN &amp; JULIUS PAGDATO</v>
      </c>
      <c r="E2311" s="196" t="str">
        <f>IFERROR(__xludf.DUMMYFUNCTION("""COMPUTED_VALUE"""),"FOR SIGNING OF DOCUMENTS")</f>
        <v>FOR SIGNING OF DOCUMENTS</v>
      </c>
    </row>
    <row r="2312">
      <c r="A2312" s="234">
        <f>IFERROR(__xludf.DUMMYFUNCTION("""COMPUTED_VALUE"""),102603.0)</f>
        <v>102603</v>
      </c>
      <c r="B2312" s="235" t="str">
        <f>IFERROR(__xludf.DUMMYFUNCTION("""COMPUTED_VALUE"""),"GARRY BATAO-EY")</f>
        <v>GARRY BATAO-EY</v>
      </c>
      <c r="C2312" s="235" t="str">
        <f>IFERROR(__xludf.DUMMYFUNCTION("""COMPUTED_VALUE"""),"MIS/ICT")</f>
        <v>MIS/ICT</v>
      </c>
      <c r="D2312" s="196" t="str">
        <f>IFERROR(__xludf.DUMMYFUNCTION("""COMPUTED_VALUE"""),"VIDEO CARDS FOR MMA COMPUTERS (GTX 1070 UP SERIES OR GTX 16 SERIES OR GTX 20 SERIES) 14 PCS. ")</f>
        <v>VIDEO CARDS FOR MMA COMPUTERS (GTX 1070 UP SERIES OR GTX 16 SERIES OR GTX 20 SERIES) 14 PCS. </v>
      </c>
      <c r="E2312" s="196" t="str">
        <f>IFERROR(__xludf.DUMMYFUNCTION("""COMPUTED_VALUE"""),"REPLACEMENT OF THE DEFECTIVE VIDEO CARDS OF MMA COMPLAB COMPUTERS")</f>
        <v>REPLACEMENT OF THE DEFECTIVE VIDEO CARDS OF MMA COMPLAB COMPUTERS</v>
      </c>
    </row>
    <row r="2313">
      <c r="A2313" s="234">
        <f>IFERROR(__xludf.DUMMYFUNCTION("""COMPUTED_VALUE"""),102604.0)</f>
        <v>102604</v>
      </c>
      <c r="B2313" s="235" t="str">
        <f>IFERROR(__xludf.DUMMYFUNCTION("""COMPUTED_VALUE"""),"LYN NUNEZ/PHEN PETIN")</f>
        <v>LYN NUNEZ/PHEN PETIN</v>
      </c>
      <c r="C2313" s="235" t="str">
        <f>IFERROR(__xludf.DUMMYFUNCTION("""COMPUTED_VALUE"""),"ADMIN")</f>
        <v>ADMIN</v>
      </c>
      <c r="D2313" s="196" t="str">
        <f>IFERROR(__xludf.DUMMYFUNCTION("""COMPUTED_VALUE"""),"ELETRIC SUB METER")</f>
        <v>ELETRIC SUB METER</v>
      </c>
      <c r="E2313" s="196" t="str">
        <f>IFERROR(__xludf.DUMMYFUNCTION("""COMPUTED_VALUE"""),"FOR ANNEX CHANGE DEFECTIVE ELETRIC SUB METER ROOM 1, 2, 4, &amp; 11")</f>
        <v>FOR ANNEX CHANGE DEFECTIVE ELETRIC SUB METER ROOM 1, 2, 4, &amp; 11</v>
      </c>
    </row>
    <row r="2314">
      <c r="A2314" s="234">
        <f>IFERROR(__xludf.DUMMYFUNCTION("""COMPUTED_VALUE"""),102605.0)</f>
        <v>102605</v>
      </c>
      <c r="B2314" s="235" t="str">
        <f>IFERROR(__xludf.DUMMYFUNCTION("""COMPUTED_VALUE"""),"CHRISTIAN ANDRES")</f>
        <v>CHRISTIAN ANDRES</v>
      </c>
      <c r="C2314" s="235" t="str">
        <f>IFERROR(__xludf.DUMMYFUNCTION("""COMPUTED_VALUE"""),"PR &amp; MARKETING")</f>
        <v>PR &amp; MARKETING</v>
      </c>
      <c r="D2314" s="196" t="str">
        <f>IFERROR(__xludf.DUMMYFUNCTION("""COMPUTED_VALUE"""),"ANTEL TARP 4X10 FEET (RE-ORDER) LAMP POST BANNERS (BACK TO BACK)")</f>
        <v>ANTEL TARP 4X10 FEET (RE-ORDER) LAMP POST BANNERS (BACK TO BACK)</v>
      </c>
      <c r="E2314" s="196" t="str">
        <f>IFERROR(__xludf.DUMMYFUNCTION("""COMPUTED_VALUE"""),"MARKETING (RE-ORDER)")</f>
        <v>MARKETING (RE-ORDER)</v>
      </c>
    </row>
    <row r="2315">
      <c r="A2315" s="234">
        <f>IFERROR(__xludf.DUMMYFUNCTION("""COMPUTED_VALUE"""),102606.0)</f>
        <v>102606</v>
      </c>
      <c r="B2315" s="235" t="str">
        <f>IFERROR(__xludf.DUMMYFUNCTION("""COMPUTED_VALUE"""),"SHEREE ESPINOSA ")</f>
        <v>SHEREE ESPINOSA </v>
      </c>
      <c r="C2315" s="235" t="str">
        <f>IFERROR(__xludf.DUMMYFUNCTION("""COMPUTED_VALUE"""),"ADMIN")</f>
        <v>ADMIN</v>
      </c>
      <c r="D2315" s="196" t="str">
        <f>IFERROR(__xludf.DUMMYFUNCTION("""COMPUTED_VALUE"""),"TRODAT")</f>
        <v>TRODAT</v>
      </c>
      <c r="E2315" s="196" t="str">
        <f>IFERROR(__xludf.DUMMYFUNCTION("""COMPUTED_VALUE"""),"FOR OFFICE USE")</f>
        <v>FOR OFFICE USE</v>
      </c>
    </row>
    <row r="2316">
      <c r="A2316" s="234">
        <f>IFERROR(__xludf.DUMMYFUNCTION("""COMPUTED_VALUE"""),102607.0)</f>
        <v>102607</v>
      </c>
      <c r="B2316" s="235" t="str">
        <f>IFERROR(__xludf.DUMMYFUNCTION("""COMPUTED_VALUE"""),"SHEREE ESPINOSA")</f>
        <v>SHEREE ESPINOSA</v>
      </c>
      <c r="C2316" s="235" t="str">
        <f>IFERROR(__xludf.DUMMYFUNCTION("""COMPUTED_VALUE"""),"ADMIN")</f>
        <v>ADMIN</v>
      </c>
      <c r="D2316" s="196" t="str">
        <f>IFERROR(__xludf.DUMMYFUNCTION("""COMPUTED_VALUE"""),"MATERIALS FOR CLASSROOM REPAINTING FOR LUX")</f>
        <v>MATERIALS FOR CLASSROOM REPAINTING FOR LUX</v>
      </c>
      <c r="E2316" s="196" t="str">
        <f>IFERROR(__xludf.DUMMYFUNCTION("""COMPUTED_VALUE"""),"REPAINTING OF CLASSROOMS ")</f>
        <v>REPAINTING OF CLASSROOMS </v>
      </c>
    </row>
    <row r="2317">
      <c r="A2317" s="234">
        <f>IFERROR(__xludf.DUMMYFUNCTION("""COMPUTED_VALUE"""),102608.0)</f>
        <v>102608</v>
      </c>
      <c r="B2317" s="235" t="str">
        <f>IFERROR(__xludf.DUMMYFUNCTION("""COMPUTED_VALUE"""),"ALFA DE LEON")</f>
        <v>ALFA DE LEON</v>
      </c>
      <c r="C2317" s="235" t="str">
        <f>IFERROR(__xludf.DUMMYFUNCTION("""COMPUTED_VALUE"""),"ADMIN")</f>
        <v>ADMIN</v>
      </c>
      <c r="D2317" s="196" t="str">
        <f>IFERROR(__xludf.DUMMYFUNCTION("""COMPUTED_VALUE"""),"SWIVEL CHAIR COLOR BLACK ( 7 PCS- FACULTY 3/F), (6 PCS 2/F FACULTY), (2 PCS G FLOOR FACULTY)")</f>
        <v>SWIVEL CHAIR COLOR BLACK ( 7 PCS- FACULTY 3/F), (6 PCS 2/F FACULTY), (2 PCS G FLOOR FACULTY)</v>
      </c>
      <c r="E2317" s="196" t="str">
        <f>IFERROR(__xludf.DUMMYFUNCTION("""COMPUTED_VALUE"""),"REPLACEMNET OF BROKEN SWIVEL CHAIRS ")</f>
        <v>REPLACEMNET OF BROKEN SWIVEL CHAIRS </v>
      </c>
    </row>
    <row r="2318">
      <c r="A2318" s="234">
        <f>IFERROR(__xludf.DUMMYFUNCTION("""COMPUTED_VALUE"""),102609.0)</f>
        <v>102609</v>
      </c>
      <c r="B2318" s="235" t="str">
        <f>IFERROR(__xludf.DUMMYFUNCTION("""COMPUTED_VALUE"""),"ALFA DE LEON")</f>
        <v>ALFA DE LEON</v>
      </c>
      <c r="C2318" s="235" t="str">
        <f>IFERROR(__xludf.DUMMYFUNCTION("""COMPUTED_VALUE"""),"ADMIN")</f>
        <v>ADMIN</v>
      </c>
      <c r="D2318" s="196" t="str">
        <f>IFERROR(__xludf.DUMMYFUNCTION("""COMPUTED_VALUE"""),"22 pcs. AIR PURIFIER")</f>
        <v>22 pcs. AIR PURIFIER</v>
      </c>
      <c r="E2318" s="196" t="str">
        <f>IFERROR(__xludf.DUMMYFUNCTION("""COMPUTED_VALUE"""),"FOR SANITATION")</f>
        <v>FOR SANITATION</v>
      </c>
    </row>
    <row r="2319">
      <c r="A2319" s="234">
        <f>IFERROR(__xludf.DUMMYFUNCTION("""COMPUTED_VALUE"""),102610.0)</f>
        <v>102610</v>
      </c>
      <c r="B2319" s="235" t="str">
        <f>IFERROR(__xludf.DUMMYFUNCTION("""COMPUTED_VALUE"""),"ALFA DE LEON")</f>
        <v>ALFA DE LEON</v>
      </c>
      <c r="C2319" s="235" t="str">
        <f>IFERROR(__xludf.DUMMYFUNCTION("""COMPUTED_VALUE"""),"ADMIN")</f>
        <v>ADMIN</v>
      </c>
      <c r="D2319" s="196" t="str">
        <f>IFERROR(__xludf.DUMMYFUNCTION("""COMPUTED_VALUE"""),"TELEPHONE")</f>
        <v>TELEPHONE</v>
      </c>
      <c r="E2319" s="196" t="str">
        <f>IFERROR(__xludf.DUMMYFUNCTION("""COMPUTED_VALUE"""),"REPLACEMENT OF BROKEN TELEPHONE")</f>
        <v>REPLACEMENT OF BROKEN TELEPHONE</v>
      </c>
    </row>
    <row r="2320">
      <c r="A2320" s="234">
        <f>IFERROR(__xludf.DUMMYFUNCTION("""COMPUTED_VALUE"""),102611.0)</f>
        <v>102611</v>
      </c>
      <c r="B2320" s="235" t="str">
        <f>IFERROR(__xludf.DUMMYFUNCTION("""COMPUTED_VALUE"""),"ALFA DE LEON")</f>
        <v>ALFA DE LEON</v>
      </c>
      <c r="C2320" s="235" t="str">
        <f>IFERROR(__xludf.DUMMYFUNCTION("""COMPUTED_VALUE"""),"ADMIN")</f>
        <v>ADMIN</v>
      </c>
      <c r="D2320" s="196" t="str">
        <f>IFERROR(__xludf.DUMMYFUNCTION("""COMPUTED_VALUE"""),"AUTOMATIC ALCOHOL DISPENSER  31 PCS. ")</f>
        <v>AUTOMATIC ALCOHOL DISPENSER  31 PCS. </v>
      </c>
      <c r="E2320" s="196" t="str">
        <f>IFERROR(__xludf.DUMMYFUNCTION("""COMPUTED_VALUE"""),"SANITATION")</f>
        <v>SANITATION</v>
      </c>
    </row>
    <row r="2321">
      <c r="A2321" s="234">
        <f>IFERROR(__xludf.DUMMYFUNCTION("""COMPUTED_VALUE"""),102612.0)</f>
        <v>102612</v>
      </c>
      <c r="B2321" s="235" t="str">
        <f>IFERROR(__xludf.DUMMYFUNCTION("""COMPUTED_VALUE"""),"SHEREE ESPINOSA")</f>
        <v>SHEREE ESPINOSA</v>
      </c>
      <c r="C2321" s="235" t="str">
        <f>IFERROR(__xludf.DUMMYFUNCTION("""COMPUTED_VALUE"""),"ADMIN")</f>
        <v>ADMIN</v>
      </c>
      <c r="D2321" s="196" t="str">
        <f>IFERROR(__xludf.DUMMYFUNCTION("""COMPUTED_VALUE"""),"LOGO (STAINLESS) MISSION-VISION ACRYLIC CUT OUT LETTERS")</f>
        <v>LOGO (STAINLESS) MISSION-VISION ACRYLIC CUT OUT LETTERS</v>
      </c>
      <c r="E2321" s="196" t="str">
        <f>IFERROR(__xludf.DUMMYFUNCTION("""COMPUTED_VALUE"""),"FOR REPLACEMENT OF LOGO &amp; MISSION VISION IN COLLEGE")</f>
        <v>FOR REPLACEMENT OF LOGO &amp; MISSION VISION IN COLLEGE</v>
      </c>
    </row>
    <row r="2322">
      <c r="A2322" s="234">
        <f>IFERROR(__xludf.DUMMYFUNCTION("""COMPUTED_VALUE"""),102613.0)</f>
        <v>102613</v>
      </c>
      <c r="B2322" s="235" t="str">
        <f>IFERROR(__xludf.DUMMYFUNCTION("""COMPUTED_VALUE"""),"EVA NECOSIA")</f>
        <v>EVA NECOSIA</v>
      </c>
      <c r="C2322" s="235" t="str">
        <f>IFERROR(__xludf.DUMMYFUNCTION("""COMPUTED_VALUE"""),"FINANCE &amp; ACCOUNTING")</f>
        <v>FINANCE &amp; ACCOUNTING</v>
      </c>
      <c r="D2322" s="196" t="str">
        <f>IFERROR(__xludf.DUMMYFUNCTION("""COMPUTED_VALUE"""),"MONEY COUNTER WITH FAKE DETECTOR 1 PC")</f>
        <v>MONEY COUNTER WITH FAKE DETECTOR 1 PC</v>
      </c>
      <c r="E2322" s="196" t="str">
        <f>IFERROR(__xludf.DUMMYFUNCTION("""COMPUTED_VALUE"""),"FOR COUNTING MONEY IN CASHIER AREA")</f>
        <v>FOR COUNTING MONEY IN CASHIER AREA</v>
      </c>
    </row>
    <row r="2323">
      <c r="A2323" s="234">
        <f>IFERROR(__xludf.DUMMYFUNCTION("""COMPUTED_VALUE"""),102614.0)</f>
        <v>102614</v>
      </c>
      <c r="B2323" s="235" t="str">
        <f>IFERROR(__xludf.DUMMYFUNCTION("""COMPUTED_VALUE"""),"ALFA DE LEON")</f>
        <v>ALFA DE LEON</v>
      </c>
      <c r="C2323" s="235" t="str">
        <f>IFERROR(__xludf.DUMMYFUNCTION("""COMPUTED_VALUE"""),"ADMIN")</f>
        <v>ADMIN</v>
      </c>
      <c r="D2323" s="196" t="str">
        <f>IFERROR(__xludf.DUMMYFUNCTION("""COMPUTED_VALUE"""),"1 PC FLAG LIBERIA, 1 PC FLAG CANADA")</f>
        <v>1 PC FLAG LIBERIA, 1 PC FLAG CANADA</v>
      </c>
      <c r="E2323" s="196" t="str">
        <f>IFERROR(__xludf.DUMMYFUNCTION("""COMPUTED_VALUE"""),"COLLEGE FLAG POLE")</f>
        <v>COLLEGE FLAG POLE</v>
      </c>
    </row>
    <row r="2324">
      <c r="A2324" s="234">
        <f>IFERROR(__xludf.DUMMYFUNCTION("""COMPUTED_VALUE"""),102615.0)</f>
        <v>102615</v>
      </c>
      <c r="B2324" s="235" t="str">
        <f>IFERROR(__xludf.DUMMYFUNCTION("""COMPUTED_VALUE"""),"PHEN PETIN")</f>
        <v>PHEN PETIN</v>
      </c>
      <c r="C2324" s="235" t="str">
        <f>IFERROR(__xludf.DUMMYFUNCTION("""COMPUTED_VALUE"""),"ADMIN - STAR")</f>
        <v>ADMIN - STAR</v>
      </c>
      <c r="D2324" s="196" t="str">
        <f>IFERROR(__xludf.DUMMYFUNCTION("""COMPUTED_VALUE"""),"1 PC SISC FLAG, 1 PC. PHILIPPINE FLAG")</f>
        <v>1 PC SISC FLAG, 1 PC. PHILIPPINE FLAG</v>
      </c>
      <c r="E2324" s="196" t="str">
        <f>IFERROR(__xludf.DUMMYFUNCTION("""COMPUTED_VALUE"""),"REPLACEMENT OF THE OLD FLAG OF SISC AND PHILIPPINE FOR STAR CAMPUS")</f>
        <v>REPLACEMENT OF THE OLD FLAG OF SISC AND PHILIPPINE FOR STAR CAMPUS</v>
      </c>
    </row>
    <row r="2325">
      <c r="A2325" s="234">
        <f>IFERROR(__xludf.DUMMYFUNCTION("""COMPUTED_VALUE"""),102616.0)</f>
        <v>102616</v>
      </c>
      <c r="B2325" s="235" t="str">
        <f>IFERROR(__xludf.DUMMYFUNCTION("""COMPUTED_VALUE"""),"PHEN PETIN")</f>
        <v>PHEN PETIN</v>
      </c>
      <c r="C2325" s="235" t="str">
        <f>IFERROR(__xludf.DUMMYFUNCTION("""COMPUTED_VALUE"""),"ADMIN - STAR")</f>
        <v>ADMIN - STAR</v>
      </c>
      <c r="D2325" s="196" t="str">
        <f>IFERROR(__xludf.DUMMYFUNCTION("""COMPUTED_VALUE"""),"3 PCS AUTOMATIC ALCOHOL DISPENSER FOR STAR CLASSROOMS 201-203-204, 6 PCS FOR CLASSROOMS 301,302,303,304,305,306- 5 PCS FOR LIB. RPOBOTICS, ACTIVITY CENTER, COMP LAB, FACULTY ROOM")</f>
        <v>3 PCS AUTOMATIC ALCOHOL DISPENSER FOR STAR CLASSROOMS 201-203-204, 6 PCS FOR CLASSROOMS 301,302,303,304,305,306- 5 PCS FOR LIB. RPOBOTICS, ACTIVITY CENTER, COMP LAB, FACULTY ROOM</v>
      </c>
      <c r="E2325" s="196" t="str">
        <f>IFERROR(__xludf.DUMMYFUNCTION("""COMPUTED_VALUE"""),"FOR SANITATION")</f>
        <v>FOR SANITATION</v>
      </c>
    </row>
    <row r="2326">
      <c r="A2326" s="234">
        <f>IFERROR(__xludf.DUMMYFUNCTION("""COMPUTED_VALUE"""),102617.0)</f>
        <v>102617</v>
      </c>
      <c r="B2326" s="235" t="str">
        <f>IFERROR(__xludf.DUMMYFUNCTION("""COMPUTED_VALUE"""),"PHEN PETIN")</f>
        <v>PHEN PETIN</v>
      </c>
      <c r="C2326" s="235" t="str">
        <f>IFERROR(__xludf.DUMMYFUNCTION("""COMPUTED_VALUE"""),"ADMIN - STAR")</f>
        <v>ADMIN - STAR</v>
      </c>
      <c r="D2326" s="196" t="str">
        <f>IFERROR(__xludf.DUMMYFUNCTION("""COMPUTED_VALUE"""),"13 PCS. UV STERILIZATION BOX FOR ROOM 201, 203, 204, 301, 302, 303, 304, 305, PR, LIB, DP'S FACULTY, LEARNING VILLAGE")</f>
        <v>13 PCS. UV STERILIZATION BOX FOR ROOM 201, 203, 204, 301, 302, 303, 304, 305, PR, LIB, DP'S FACULTY, LEARNING VILLAGE</v>
      </c>
      <c r="E2326" s="196" t="str">
        <f>IFERROR(__xludf.DUMMYFUNCTION("""COMPUTED_VALUE"""),"FOR SANITATION")</f>
        <v>FOR SANITATION</v>
      </c>
    </row>
    <row r="2327">
      <c r="A2327" s="234">
        <f>IFERROR(__xludf.DUMMYFUNCTION("""COMPUTED_VALUE"""),102618.0)</f>
        <v>102618</v>
      </c>
      <c r="B2327" s="235" t="str">
        <f>IFERROR(__xludf.DUMMYFUNCTION("""COMPUTED_VALUE"""),"PHEN PETIN")</f>
        <v>PHEN PETIN</v>
      </c>
      <c r="C2327" s="235" t="str">
        <f>IFERROR(__xludf.DUMMYFUNCTION("""COMPUTED_VALUE"""),"ADMIN - STAR")</f>
        <v>ADMIN - STAR</v>
      </c>
      <c r="D2327" s="196" t="str">
        <f>IFERROR(__xludf.DUMMYFUNCTION("""COMPUTED_VALUE"""),"15 PCS. TRASHBIN INFECTIOUS WASTE FOR STAR")</f>
        <v>15 PCS. TRASHBIN INFECTIOUS WASTE FOR STAR</v>
      </c>
      <c r="E2327" s="196" t="str">
        <f>IFERROR(__xludf.DUMMYFUNCTION("""COMPUTED_VALUE"""),"FOR SANITATION")</f>
        <v>FOR SANITATION</v>
      </c>
    </row>
    <row r="2328">
      <c r="A2328" s="234">
        <f>IFERROR(__xludf.DUMMYFUNCTION("""COMPUTED_VALUE"""),102619.0)</f>
        <v>102619</v>
      </c>
      <c r="B2328" s="235" t="str">
        <f>IFERROR(__xludf.DUMMYFUNCTION("""COMPUTED_VALUE"""),"PHEN PETIN")</f>
        <v>PHEN PETIN</v>
      </c>
      <c r="C2328" s="235" t="str">
        <f>IFERROR(__xludf.DUMMYFUNCTION("""COMPUTED_VALUE"""),"ADMIN - STAR")</f>
        <v>ADMIN - STAR</v>
      </c>
      <c r="D2328" s="196" t="str">
        <f>IFERROR(__xludf.DUMMYFUNCTION("""COMPUTED_VALUE"""),"TRUNCHEON ROPE 150 FT")</f>
        <v>TRUNCHEON ROPE 150 FT</v>
      </c>
      <c r="E2328" s="196" t="str">
        <f>IFERROR(__xludf.DUMMYFUNCTION("""COMPUTED_VALUE"""),"TRUNCHEON ROPE FOR THE OPENING OF CLASSES @ STAR CAMPUS")</f>
        <v>TRUNCHEON ROPE FOR THE OPENING OF CLASSES @ STAR CAMPUS</v>
      </c>
    </row>
    <row r="2329">
      <c r="A2329" s="234">
        <f>IFERROR(__xludf.DUMMYFUNCTION("""COMPUTED_VALUE"""),102620.0)</f>
        <v>102620</v>
      </c>
      <c r="B2329" s="235" t="str">
        <f>IFERROR(__xludf.DUMMYFUNCTION("""COMPUTED_VALUE"""),"JOMEL BUTIAL")</f>
        <v>JOMEL BUTIAL</v>
      </c>
      <c r="C2329" s="235" t="str">
        <f>IFERROR(__xludf.DUMMYFUNCTION("""COMPUTED_VALUE"""),"AMD")</f>
        <v>AMD</v>
      </c>
      <c r="D2329" s="196" t="str">
        <f>IFERROR(__xludf.DUMMYFUNCTION("""COMPUTED_VALUE"""),"PAPER, COPY-LASER SUB. 20 LONG WHITE 100 REAMS, ")</f>
        <v>PAPER, COPY-LASER SUB. 20 LONG WHITE 100 REAMS, </v>
      </c>
      <c r="E2329" s="196" t="str">
        <f>IFERROR(__xludf.DUMMYFUNCTION("""COMPUTED_VALUE"""),"OSSUP STOCK REPLENISHMENT")</f>
        <v>OSSUP STOCK REPLENISHMENT</v>
      </c>
    </row>
    <row r="2330">
      <c r="A2330" s="234">
        <f>IFERROR(__xludf.DUMMYFUNCTION("""COMPUTED_VALUE"""),102621.0)</f>
        <v>102621</v>
      </c>
      <c r="B2330" s="235" t="str">
        <f>IFERROR(__xludf.DUMMYFUNCTION("""COMPUTED_VALUE"""),"JOMEL BUTIAL")</f>
        <v>JOMEL BUTIAL</v>
      </c>
      <c r="C2330" s="235" t="str">
        <f>IFERROR(__xludf.DUMMYFUNCTION("""COMPUTED_VALUE"""),"AMD")</f>
        <v>AMD</v>
      </c>
      <c r="D2330" s="196" t="str">
        <f>IFERROR(__xludf.DUMMYFUNCTION("""COMPUTED_VALUE"""),"200 pcs. BATTERY ENERGIZER AAA")</f>
        <v>200 pcs. BATTERY ENERGIZER AAA</v>
      </c>
      <c r="E2330" s="196" t="str">
        <f>IFERROR(__xludf.DUMMYFUNCTION("""COMPUTED_VALUE"""),"OSSUP STOCK REPLENISHMENT")</f>
        <v>OSSUP STOCK REPLENISHMENT</v>
      </c>
    </row>
    <row r="2331">
      <c r="A2331" s="234">
        <f>IFERROR(__xludf.DUMMYFUNCTION("""COMPUTED_VALUE"""),102622.0)</f>
        <v>102622</v>
      </c>
      <c r="B2331" s="235" t="str">
        <f>IFERROR(__xludf.DUMMYFUNCTION("""COMPUTED_VALUE"""),"PHEN PETIN")</f>
        <v>PHEN PETIN</v>
      </c>
      <c r="C2331" s="235" t="str">
        <f>IFERROR(__xludf.DUMMYFUNCTION("""COMPUTED_VALUE"""),"ADMIN - STAR")</f>
        <v>ADMIN - STAR</v>
      </c>
      <c r="D2331" s="196" t="str">
        <f>IFERROR(__xludf.DUMMYFUNCTION("""COMPUTED_VALUE"""),"HEPA FILTER FOR STAR  17 PCS. ")</f>
        <v>HEPA FILTER FOR STAR  17 PCS. </v>
      </c>
      <c r="E2331" s="196" t="str">
        <f>IFERROR(__xludf.DUMMYFUNCTION("""COMPUTED_VALUE"""),"FOR SANITATION")</f>
        <v>FOR SANITATION</v>
      </c>
    </row>
    <row r="2332">
      <c r="A2332" s="234">
        <f>IFERROR(__xludf.DUMMYFUNCTION("""COMPUTED_VALUE"""),102623.0)</f>
        <v>102623</v>
      </c>
      <c r="B2332" s="235" t="str">
        <f>IFERROR(__xludf.DUMMYFUNCTION("""COMPUTED_VALUE"""),"ALFA DE LEON")</f>
        <v>ALFA DE LEON</v>
      </c>
      <c r="C2332" s="235" t="str">
        <f>IFERROR(__xludf.DUMMYFUNCTION("""COMPUTED_VALUE"""),"ADMIN - MUNICH")</f>
        <v>ADMIN - MUNICH</v>
      </c>
      <c r="D2332" s="196" t="str">
        <f>IFERROR(__xludf.DUMMYFUNCTION("""COMPUTED_VALUE"""),"1 PC. PLYWOOD 3/4 MARINE, FORMICA 2 PCS., RUBY 1 GAL")</f>
        <v>1 PC. PLYWOOD 3/4 MARINE, FORMICA 2 PCS., RUBY 1 GAL</v>
      </c>
      <c r="E2332" s="196" t="str">
        <f>IFERROR(__xludf.DUMMYFUNCTION("""COMPUTED_VALUE"""),"REPAIR OF FACULTY TABLE 3/4 RM. 310")</f>
        <v>REPAIR OF FACULTY TABLE 3/4 RM. 310</v>
      </c>
    </row>
    <row r="2333">
      <c r="A2333" s="234">
        <f>IFERROR(__xludf.DUMMYFUNCTION("""COMPUTED_VALUE"""),102624.0)</f>
        <v>102624</v>
      </c>
      <c r="B2333" s="235" t="str">
        <f>IFERROR(__xludf.DUMMYFUNCTION("""COMPUTED_VALUE"""),"SHEREE ESPINOSA")</f>
        <v>SHEREE ESPINOSA</v>
      </c>
      <c r="C2333" s="235" t="str">
        <f>IFERROR(__xludf.DUMMYFUNCTION("""COMPUTED_VALUE"""),"ADMIN")</f>
        <v>ADMIN</v>
      </c>
      <c r="D2333" s="196" t="str">
        <f>IFERROR(__xludf.DUMMYFUNCTION("""COMPUTED_VALUE"""),"67 PCS. SWIVEL CHAIRS (REPLACEMENT), 32 PCS. SWIVEL CHAIR NEW ")</f>
        <v>67 PCS. SWIVEL CHAIRS (REPLACEMENT), 32 PCS. SWIVEL CHAIR NEW </v>
      </c>
      <c r="E2333" s="196" t="str">
        <f>IFERROR(__xludf.DUMMYFUNCTION("""COMPUTED_VALUE"""),"REPLACEMENT OF BROKEN SWIVEL CHAIRS AND TO BUY NEW CHAIRS FOR LUX, COLLEGE, TROPICAL BLDG AND OFFICES")</f>
        <v>REPLACEMENT OF BROKEN SWIVEL CHAIRS AND TO BUY NEW CHAIRS FOR LUX, COLLEGE, TROPICAL BLDG AND OFFICES</v>
      </c>
    </row>
    <row r="2334">
      <c r="A2334" s="234">
        <f>IFERROR(__xludf.DUMMYFUNCTION("""COMPUTED_VALUE"""),102625.0)</f>
        <v>102625</v>
      </c>
      <c r="B2334" s="235" t="str">
        <f>IFERROR(__xludf.DUMMYFUNCTION("""COMPUTED_VALUE"""),"SHEREE ESPINOSA/CARLITO DELA VEGA")</f>
        <v>SHEREE ESPINOSA/CARLITO DELA VEGA</v>
      </c>
      <c r="C2334" s="235" t="str">
        <f>IFERROR(__xludf.DUMMYFUNCTION("""COMPUTED_VALUE"""),"SECURITY")</f>
        <v>SECURITY</v>
      </c>
      <c r="D2334" s="196" t="str">
        <f>IFERROR(__xludf.DUMMYFUNCTION("""COMPUTED_VALUE"""),"10 PACKS PVC A4 SIZE CARD PET 50'S LAMINATING ")</f>
        <v>10 PACKS PVC A4 SIZE CARD PET 50'S LAMINATING </v>
      </c>
      <c r="E2334" s="196" t="str">
        <f>IFERROR(__xludf.DUMMYFUNCTION("""COMPUTED_VALUE"""),"CLASSROOM LABEL/SIGNAGE DIRECTORS SIGNS (OPENING OF CLASSES)")</f>
        <v>CLASSROOM LABEL/SIGNAGE DIRECTORS SIGNS (OPENING OF CLASSES)</v>
      </c>
    </row>
    <row r="2335">
      <c r="A2335" s="234">
        <f>IFERROR(__xludf.DUMMYFUNCTION("""COMPUTED_VALUE"""),102626.0)</f>
        <v>102626</v>
      </c>
      <c r="B2335" s="235" t="str">
        <f>IFERROR(__xludf.DUMMYFUNCTION("""COMPUTED_VALUE"""),"CARLITO DELA VEGA ")</f>
        <v>CARLITO DELA VEGA </v>
      </c>
      <c r="C2335" s="235" t="str">
        <f>IFERROR(__xludf.DUMMYFUNCTION("""COMPUTED_VALUE"""),"SECURITY")</f>
        <v>SECURITY</v>
      </c>
      <c r="D2335" s="196" t="str">
        <f>IFERROR(__xludf.DUMMYFUNCTION("""COMPUTED_VALUE"""),"7 PCS. TEMPERATURE SCANNER W/ ALCOHOL DISPENSER")</f>
        <v>7 PCS. TEMPERATURE SCANNER W/ ALCOHOL DISPENSER</v>
      </c>
      <c r="E2335" s="196" t="str">
        <f>IFERROR(__xludf.DUMMYFUNCTION("""COMPUTED_VALUE"""),"ATF REQUIREMENT FOR SY 2022-2023")</f>
        <v>ATF REQUIREMENT FOR SY 2022-2023</v>
      </c>
    </row>
    <row r="2336">
      <c r="A2336" s="234">
        <f>IFERROR(__xludf.DUMMYFUNCTION("""COMPUTED_VALUE"""),102627.0)</f>
        <v>102627</v>
      </c>
      <c r="B2336" s="235" t="str">
        <f>IFERROR(__xludf.DUMMYFUNCTION("""COMPUTED_VALUE"""),"OWIE PAR")</f>
        <v>OWIE PAR</v>
      </c>
      <c r="C2336" s="235" t="str">
        <f>IFERROR(__xludf.DUMMYFUNCTION("""COMPUTED_VALUE"""),"ENGINEERING")</f>
        <v>ENGINEERING</v>
      </c>
      <c r="D2336" s="196" t="str">
        <f>IFERROR(__xludf.DUMMYFUNCTION("""COMPUTED_VALUE"""),"1 PC STAINLESS BUSHING REDUCER 3/4 X 1/4, 1 PC. STAINLESS STRAIGHT ELBOW 3/4, 1 BRASS GATE VALVE 3/4"" 2 PCS BRASS VALVE 1"", 2 PCS. PPR MALE ADAPTOR 3/4,  1 LENGTH PPR PIPE 3/4"", 1 PC PPR TEE 1""")</f>
        <v>1 PC STAINLESS BUSHING REDUCER 3/4 X 1/4, 1 PC. STAINLESS STRAIGHT ELBOW 3/4, 1 BRASS GATE VALVE 3/4" 2 PCS BRASS VALVE 1", 2 PCS. PPR MALE ADAPTOR 3/4,  1 LENGTH PPR PIPE 3/4", 1 PC PPR TEE 1"</v>
      </c>
      <c r="E2336" s="196" t="str">
        <f>IFERROR(__xludf.DUMMYFUNCTION("""COMPUTED_VALUE"""),"FOR INSTALLATION OF TREASURE TANK WATER FOUNTAIN FEATURE (MONARCH PARK)")</f>
        <v>FOR INSTALLATION OF TREASURE TANK WATER FOUNTAIN FEATURE (MONARCH PARK)</v>
      </c>
    </row>
    <row r="2337">
      <c r="A2337" s="234">
        <f>IFERROR(__xludf.DUMMYFUNCTION("""COMPUTED_VALUE"""),102628.0)</f>
        <v>102628</v>
      </c>
      <c r="B2337" s="235" t="str">
        <f>IFERROR(__xludf.DUMMYFUNCTION("""COMPUTED_VALUE"""),"OWIE PAR")</f>
        <v>OWIE PAR</v>
      </c>
      <c r="C2337" s="235" t="str">
        <f>IFERROR(__xludf.DUMMYFUNCTION("""COMPUTED_VALUE"""),"ENGINEERING")</f>
        <v>ENGINEERING</v>
      </c>
      <c r="D2337" s="196" t="str">
        <f>IFERROR(__xludf.DUMMYFUNCTION("""COMPUTED_VALUE"""),"1 SET CIRCUIT BREAKER 100 AMP 2 POLE IN NEMA ENCLOSURE, 1 ROLL THHN #8, 1 PAIR CIRCUIT BREAKER 100 AMP 2 POLE")</f>
        <v>1 SET CIRCUIT BREAKER 100 AMP 2 POLE IN NEMA ENCLOSURE, 1 ROLL THHN #8, 1 PAIR CIRCUIT BREAKER 100 AMP 2 POLE</v>
      </c>
      <c r="E2337" s="196" t="str">
        <f>IFERROR(__xludf.DUMMYFUNCTION("""COMPUTED_VALUE"""),"PROVISION FOR ELECTRICAL SOURCE FOR EVENTS (MONARCH PARK)")</f>
        <v>PROVISION FOR ELECTRICAL SOURCE FOR EVENTS (MONARCH PARK)</v>
      </c>
    </row>
    <row r="2338">
      <c r="A2338" s="234">
        <f>IFERROR(__xludf.DUMMYFUNCTION("""COMPUTED_VALUE"""),102629.0)</f>
        <v>102629</v>
      </c>
      <c r="B2338" s="235" t="str">
        <f>IFERROR(__xludf.DUMMYFUNCTION("""COMPUTED_VALUE"""),"MARVIN MARASIGAN")</f>
        <v>MARVIN MARASIGAN</v>
      </c>
      <c r="C2338" s="235" t="str">
        <f>IFERROR(__xludf.DUMMYFUNCTION("""COMPUTED_VALUE"""),"PR &amp; MARKETING")</f>
        <v>PR &amp; MARKETING</v>
      </c>
      <c r="D2338" s="196" t="str">
        <f>IFERROR(__xludf.DUMMYFUNCTION("""COMPUTED_VALUE"""),"6.5 X 15.5 FT TARP W/ EYELET AND SEEMING ALL OVER (WELCOME BACK TARP)")</f>
        <v>6.5 X 15.5 FT TARP W/ EYELET AND SEEMING ALL OVER (WELCOME BACK TARP)</v>
      </c>
      <c r="E2338" s="196" t="str">
        <f>IFERROR(__xludf.DUMMYFUNCTION("""COMPUTED_VALUE"""),"ENROLLMENT/MARKETING ")</f>
        <v>ENROLLMENT/MARKETING </v>
      </c>
    </row>
    <row r="2339">
      <c r="A2339" s="234">
        <f>IFERROR(__xludf.DUMMYFUNCTION("""COMPUTED_VALUE"""),102630.0)</f>
        <v>102630</v>
      </c>
      <c r="B2339" s="235" t="str">
        <f>IFERROR(__xludf.DUMMYFUNCTION("""COMPUTED_VALUE"""),"TEMOTIE JOHN L. DIOSAY")</f>
        <v>TEMOTIE JOHN L. DIOSAY</v>
      </c>
      <c r="C2339" s="235" t="str">
        <f>IFERROR(__xludf.DUMMYFUNCTION("""COMPUTED_VALUE"""),"ADMIN")</f>
        <v>ADMIN</v>
      </c>
      <c r="D2339" s="196" t="str">
        <f>IFERROR(__xludf.DUMMYFUNCTION("""COMPUTED_VALUE"""),"29 SETS DUPLEX RECEPTACLE OUTLET, 4 SETS SINGLE RECEPTACLE OUTLET, 8 SETSFLOOR MOUNTED DUPLEX RECEPTACLE OUTLET, 9 SETS COMPUTER DATA OUTLET, 6 SETS TELEPHONE OUTLET, 9 SETS ACU OUTLET")</f>
        <v>29 SETS DUPLEX RECEPTACLE OUTLET, 4 SETS SINGLE RECEPTACLE OUTLET, 8 SETSFLOOR MOUNTED DUPLEX RECEPTACLE OUTLET, 9 SETS COMPUTER DATA OUTLET, 6 SETS TELEPHONE OUTLET, 9 SETS ACU OUTLET</v>
      </c>
      <c r="E2339" s="196" t="str">
        <f>IFERROR(__xludf.DUMMYFUNCTION("""COMPUTED_VALUE"""),"SMIS- ANTEL OSM")</f>
        <v>SMIS- ANTEL OSM</v>
      </c>
    </row>
    <row r="2340">
      <c r="A2340" s="234">
        <f>IFERROR(__xludf.DUMMYFUNCTION("""COMPUTED_VALUE"""),102631.0)</f>
        <v>102631</v>
      </c>
      <c r="B2340" s="235" t="str">
        <f>IFERROR(__xludf.DUMMYFUNCTION("""COMPUTED_VALUE"""),"TEMOTIE JOHN L. DIOSAY/RONALDO VERDE")</f>
        <v>TEMOTIE JOHN L. DIOSAY/RONALDO VERDE</v>
      </c>
      <c r="C2340" s="235" t="str">
        <f>IFERROR(__xludf.DUMMYFUNCTION("""COMPUTED_VALUE"""),"ADMIN")</f>
        <v>ADMIN</v>
      </c>
      <c r="D2340" s="196" t="str">
        <f>IFERROR(__xludf.DUMMYFUNCTION("""COMPUTED_VALUE"""),"2 PCS. BENCH @ WAITING AREA, 13 PCS SWIVEL CHAIR, 9 PCS. WORK DESK (SHORT), 7 PCS. WORK DESK (LONG), 9 PCS. GUEST CHAIR STACKABLE)")</f>
        <v>2 PCS. BENCH @ WAITING AREA, 13 PCS SWIVEL CHAIR, 9 PCS. WORK DESK (SHORT), 7 PCS. WORK DESK (LONG), 9 PCS. GUEST CHAIR STACKABLE)</v>
      </c>
      <c r="E2340" s="196" t="str">
        <f>IFERROR(__xludf.DUMMYFUNCTION("""COMPUTED_VALUE"""),"SMIS- ANTEL OSM")</f>
        <v>SMIS- ANTEL OSM</v>
      </c>
    </row>
    <row r="2341">
      <c r="A2341" s="234">
        <f>IFERROR(__xludf.DUMMYFUNCTION("""COMPUTED_VALUE"""),102632.0)</f>
        <v>102632</v>
      </c>
      <c r="B2341" s="235" t="str">
        <f>IFERROR(__xludf.DUMMYFUNCTION("""COMPUTED_VALUE"""),"TEMOTIE JOHN L. DIOSAY/RONALDO VERDE")</f>
        <v>TEMOTIE JOHN L. DIOSAY/RONALDO VERDE</v>
      </c>
      <c r="C2341" s="235" t="str">
        <f>IFERROR(__xludf.DUMMYFUNCTION("""COMPUTED_VALUE"""),"ADMIN")</f>
        <v>ADMIN</v>
      </c>
      <c r="D2341" s="196" t="str">
        <f>IFERROR(__xludf.DUMMYFUNCTION("""COMPUTED_VALUE"""),"14 SETS DESKTOP UNIT W/ PERIPHERALS, 3 PCS PRINTER, 1 PC. CASH REGISTER, 3 LCD PROJECTOR, 3 PCS. SCREEN PROJECTOR")</f>
        <v>14 SETS DESKTOP UNIT W/ PERIPHERALS, 3 PCS PRINTER, 1 PC. CASH REGISTER, 3 LCD PROJECTOR, 3 PCS. SCREEN PROJECTOR</v>
      </c>
      <c r="E2341" s="196" t="str">
        <f>IFERROR(__xludf.DUMMYFUNCTION("""COMPUTED_VALUE"""),"SMIS- ANTEL OSM")</f>
        <v>SMIS- ANTEL OSM</v>
      </c>
    </row>
    <row r="2342">
      <c r="A2342" s="234">
        <f>IFERROR(__xludf.DUMMYFUNCTION("""COMPUTED_VALUE"""),102633.0)</f>
        <v>102633</v>
      </c>
      <c r="B2342" s="235" t="str">
        <f>IFERROR(__xludf.DUMMYFUNCTION("""COMPUTED_VALUE"""),"TEMOTIE JOHN L. DIOSAY/RONALDO VERDE")</f>
        <v>TEMOTIE JOHN L. DIOSAY/RONALDO VERDE</v>
      </c>
      <c r="C2342" s="235" t="str">
        <f>IFERROR(__xludf.DUMMYFUNCTION("""COMPUTED_VALUE"""),"ADMIN")</f>
        <v>ADMIN</v>
      </c>
      <c r="D2342" s="196" t="str">
        <f>IFERROR(__xludf.DUMMYFUNCTION("""COMPUTED_VALUE"""),"8 PCS. MOBILE CABINET, 1 PC SAFETY VAULT, 1 LOCKER, 1 STORAGE CABINET SMALL, 1 PC. STORAGE CABINET BIG")</f>
        <v>8 PCS. MOBILE CABINET, 1 PC SAFETY VAULT, 1 LOCKER, 1 STORAGE CABINET SMALL, 1 PC. STORAGE CABINET BIG</v>
      </c>
      <c r="E2342" s="196" t="str">
        <f>IFERROR(__xludf.DUMMYFUNCTION("""COMPUTED_VALUE"""),"SMIS- ANTEL OSM")</f>
        <v>SMIS- ANTEL OSM</v>
      </c>
    </row>
    <row r="2343">
      <c r="A2343" s="234">
        <f>IFERROR(__xludf.DUMMYFUNCTION("""COMPUTED_VALUE"""),102634.0)</f>
        <v>102634</v>
      </c>
      <c r="B2343" s="235" t="str">
        <f>IFERROR(__xludf.DUMMYFUNCTION("""COMPUTED_VALUE"""),"TEMOTIE JOHN L. DIOSAY/RONALDO VERDE")</f>
        <v>TEMOTIE JOHN L. DIOSAY/RONALDO VERDE</v>
      </c>
      <c r="C2343" s="235" t="str">
        <f>IFERROR(__xludf.DUMMYFUNCTION("""COMPUTED_VALUE"""),"ADMIN")</f>
        <v>ADMIN</v>
      </c>
      <c r="D2343" s="196" t="str">
        <f>IFERROR(__xludf.DUMMYFUNCTION("""COMPUTED_VALUE"""),"11 SETS, ALOCOHOL DISPENSER W/ THERMAL SCANNER, 1 CLINIC BED (RECLINING TYPE, 1 WEIGHING SCALE (FLOOR), 1 APPARATUS FOR MEASURING HEIGHT, 1 EYE TESTING APPARAUS")</f>
        <v>11 SETS, ALOCOHOL DISPENSER W/ THERMAL SCANNER, 1 CLINIC BED (RECLINING TYPE, 1 WEIGHING SCALE (FLOOR), 1 APPARATUS FOR MEASURING HEIGHT, 1 EYE TESTING APPARAUS</v>
      </c>
      <c r="E2343" s="196" t="str">
        <f>IFERROR(__xludf.DUMMYFUNCTION("""COMPUTED_VALUE"""),"SMIS- ANTEL OSM")</f>
        <v>SMIS- ANTEL OSM</v>
      </c>
    </row>
    <row r="2344">
      <c r="A2344" s="234">
        <f>IFERROR(__xludf.DUMMYFUNCTION("""COMPUTED_VALUE"""),102635.0)</f>
        <v>102635</v>
      </c>
      <c r="B2344" s="235" t="str">
        <f>IFERROR(__xludf.DUMMYFUNCTION("""COMPUTED_VALUE"""),"TEMOTIE JOHN L. DIOSAY/RONALDO VERDE")</f>
        <v>TEMOTIE JOHN L. DIOSAY/RONALDO VERDE</v>
      </c>
      <c r="C2344" s="235" t="str">
        <f>IFERROR(__xludf.DUMMYFUNCTION("""COMPUTED_VALUE"""),"ADMIN")</f>
        <v>ADMIN</v>
      </c>
      <c r="D2344" s="196" t="str">
        <f>IFERROR(__xludf.DUMMYFUNCTION("""COMPUTED_VALUE"""),"6 PCS. LOW KIDNEY SHAPED TABLE, 48 PCS. KID'S CHAIR, 6 PCS. LOW TABLE FOR KIDS (ROUND)")</f>
        <v>6 PCS. LOW KIDNEY SHAPED TABLE, 48 PCS. KID'S CHAIR, 6 PCS. LOW TABLE FOR KIDS (ROUND)</v>
      </c>
      <c r="E2344" s="196" t="str">
        <f>IFERROR(__xludf.DUMMYFUNCTION("""COMPUTED_VALUE"""),"SMIS- ANTEL OSM")</f>
        <v>SMIS- ANTEL OSM</v>
      </c>
    </row>
    <row r="2345">
      <c r="A2345" s="234">
        <f>IFERROR(__xludf.DUMMYFUNCTION("""COMPUTED_VALUE"""),102636.0)</f>
        <v>102636</v>
      </c>
      <c r="B2345" s="235" t="str">
        <f>IFERROR(__xludf.DUMMYFUNCTION("""COMPUTED_VALUE"""),"TEMOTIE JOHN L. DIOSAY/RONALDO VERDE")</f>
        <v>TEMOTIE JOHN L. DIOSAY/RONALDO VERDE</v>
      </c>
      <c r="C2345" s="235" t="str">
        <f>IFERROR(__xludf.DUMMYFUNCTION("""COMPUTED_VALUE"""),"ADMIN")</f>
        <v>ADMIN</v>
      </c>
      <c r="D2345" s="196" t="str">
        <f>IFERROR(__xludf.DUMMYFUNCTION("""COMPUTED_VALUE"""),"4 SETS CERAMIC LAVATORY W/ ACCESSORIES, 1 PC. STOVE TOP, 1 SET COMMERCIAL KITCHEN SINK (2-HOLES), 1 SETMINI REFRIGERATOR, 1 SET COMMERCIAL KITCHEN SINK (3 HOLES), 1 SET URINAL KIDS HEIGHT WITH ACCESSORIES, 2 SETS WATER CLOSET W/ ACCESSORIES, 4 SET ")</f>
        <v>4 SETS CERAMIC LAVATORY W/ ACCESSORIES, 1 PC. STOVE TOP, 1 SET COMMERCIAL KITCHEN SINK (2-HOLES), 1 SETMINI REFRIGERATOR, 1 SET COMMERCIAL KITCHEN SINK (3 HOLES), 1 SET URINAL KIDS HEIGHT WITH ACCESSORIES, 2 SETS WATER CLOSET W/ ACCESSORIES, 4 SET </v>
      </c>
      <c r="E2345" s="196" t="str">
        <f>IFERROR(__xludf.DUMMYFUNCTION("""COMPUTED_VALUE"""),"SMIS- ANTEL OSM")</f>
        <v>SMIS- ANTEL OSM</v>
      </c>
    </row>
    <row r="2346">
      <c r="A2346" s="234">
        <f>IFERROR(__xludf.DUMMYFUNCTION("""COMPUTED_VALUE"""),102637.0)</f>
        <v>102637</v>
      </c>
      <c r="B2346" s="235" t="str">
        <f>IFERROR(__xludf.DUMMYFUNCTION("""COMPUTED_VALUE"""),"TEMOTIE JOHN L. DIOSAY/RONALDO VERDE")</f>
        <v>TEMOTIE JOHN L. DIOSAY/RONALDO VERDE</v>
      </c>
      <c r="C2346" s="235" t="str">
        <f>IFERROR(__xludf.DUMMYFUNCTION("""COMPUTED_VALUE"""),"ADMIN")</f>
        <v>ADMIN</v>
      </c>
      <c r="D2346" s="196" t="str">
        <f>IFERROR(__xludf.DUMMYFUNCTION("""COMPUTED_VALUE"""),"7 PCS. TELEPHONE HANDSET, 3 PCS. 3 AIR PURIFER W/ HEPA FILTER (BRAND EIDER) 1 CURTAIN ROD AND DRAPE W/ ACCESSORIES")</f>
        <v>7 PCS. TELEPHONE HANDSET, 3 PCS. 3 AIR PURIFER W/ HEPA FILTER (BRAND EIDER) 1 CURTAIN ROD AND DRAPE W/ ACCESSORIES</v>
      </c>
      <c r="E2346" s="196" t="str">
        <f>IFERROR(__xludf.DUMMYFUNCTION("""COMPUTED_VALUE"""),"SMIS- ANTEL OSM")</f>
        <v>SMIS- ANTEL OSM</v>
      </c>
    </row>
    <row r="2347">
      <c r="A2347" s="234">
        <f>IFERROR(__xludf.DUMMYFUNCTION("""COMPUTED_VALUE"""),102638.0)</f>
        <v>102638</v>
      </c>
      <c r="B2347" s="235" t="str">
        <f>IFERROR(__xludf.DUMMYFUNCTION("""COMPUTED_VALUE"""),"JOMEL BUTIAL ")</f>
        <v>JOMEL BUTIAL </v>
      </c>
      <c r="C2347" s="235" t="str">
        <f>IFERROR(__xludf.DUMMYFUNCTION("""COMPUTED_VALUE"""),"ADMIN")</f>
        <v>ADMIN</v>
      </c>
      <c r="D2347" s="196" t="str">
        <f>IFERROR(__xludf.DUMMYFUNCTION("""COMPUTED_VALUE""")," 5 GAL. HOLIDAY EPOXY GALLON")</f>
        <v> 5 GAL. HOLIDAY EPOXY GALLON</v>
      </c>
      <c r="E2347" s="196" t="str">
        <f>IFERROR(__xludf.DUMMYFUNCTION("""COMPUTED_VALUE"""),"ENGR. STOCK REPLENISHMENT ")</f>
        <v>ENGR. STOCK REPLENISHMENT </v>
      </c>
    </row>
    <row r="2348">
      <c r="A2348" s="234">
        <f>IFERROR(__xludf.DUMMYFUNCTION("""COMPUTED_VALUE"""),102639.0)</f>
        <v>102639</v>
      </c>
      <c r="B2348" s="235" t="str">
        <f>IFERROR(__xludf.DUMMYFUNCTION("""COMPUTED_VALUE"""),"PHEN PETIN")</f>
        <v>PHEN PETIN</v>
      </c>
      <c r="C2348" s="235" t="str">
        <f>IFERROR(__xludf.DUMMYFUNCTION("""COMPUTED_VALUE"""),"ADMIN - STAR")</f>
        <v>ADMIN - STAR</v>
      </c>
      <c r="D2348" s="196" t="str">
        <f>IFERROR(__xludf.DUMMYFUNCTION("""COMPUTED_VALUE"""),"3 SWIVEL CHAIRS FOR FACULTY ROOM, 1 SWIVEL CHAIR FOR LEARNING VILLAGE ")</f>
        <v>3 SWIVEL CHAIRS FOR FACULTY ROOM, 1 SWIVEL CHAIR FOR LEARNING VILLAGE </v>
      </c>
      <c r="E2348" s="196" t="str">
        <f>IFERROR(__xludf.DUMMYFUNCTION("""COMPUTED_VALUE"""),"REPLACEMENT OF BROKEN SWIVEL CHAIRS (STAR CAMPUS)")</f>
        <v>REPLACEMENT OF BROKEN SWIVEL CHAIRS (STAR CAMPUS)</v>
      </c>
    </row>
    <row r="2349">
      <c r="A2349" s="234">
        <f>IFERROR(__xludf.DUMMYFUNCTION("""COMPUTED_VALUE"""),102640.0)</f>
        <v>102640</v>
      </c>
      <c r="B2349" s="235" t="str">
        <f>IFERROR(__xludf.DUMMYFUNCTION("""COMPUTED_VALUE"""),"PHEN PETIN")</f>
        <v>PHEN PETIN</v>
      </c>
      <c r="C2349" s="235" t="str">
        <f>IFERROR(__xludf.DUMMYFUNCTION("""COMPUTED_VALUE"""),"ADMIN - STAR")</f>
        <v>ADMIN - STAR</v>
      </c>
      <c r="D2349" s="196" t="str">
        <f>IFERROR(__xludf.DUMMYFUNCTION("""COMPUTED_VALUE"""),"STAINLESS COUPLING 1 1/4"", STAINLESS NIPPLE 1 1/4 X 4, STAINLESS ELBOW 1 1/4, BRASS FLOAT VALVE 1 1/4, TEFLO TAPE 3/4, COUPLING 3/4 ")</f>
        <v>STAINLESS COUPLING 1 1/4", STAINLESS NIPPLE 1 1/4 X 4, STAINLESS ELBOW 1 1/4, BRASS FLOAT VALVE 1 1/4, TEFLO TAPE 3/4, COUPLING 3/4 </v>
      </c>
      <c r="E2349" s="196" t="str">
        <f>IFERROR(__xludf.DUMMYFUNCTION("""COMPUTED_VALUE"""),"FOR CISTERN STAR CAMPUS")</f>
        <v>FOR CISTERN STAR CAMPUS</v>
      </c>
    </row>
    <row r="2350">
      <c r="A2350" s="234">
        <f>IFERROR(__xludf.DUMMYFUNCTION("""COMPUTED_VALUE"""),102641.0)</f>
        <v>102641</v>
      </c>
      <c r="B2350" s="235" t="str">
        <f>IFERROR(__xludf.DUMMYFUNCTION("""COMPUTED_VALUE"""),"SHEREE ESPINOSA")</f>
        <v>SHEREE ESPINOSA</v>
      </c>
      <c r="C2350" s="235" t="str">
        <f>IFERROR(__xludf.DUMMYFUNCTION("""COMPUTED_VALUE"""),"ADMIN")</f>
        <v>ADMIN</v>
      </c>
      <c r="D2350" s="196" t="str">
        <f>IFERROR(__xludf.DUMMYFUNCTION("""COMPUTED_VALUE"""),"NYLON CORD BLACK 6.0 , CABLE TIE 3"" ")</f>
        <v>NYLON CORD BLACK 6.0 , CABLE TIE 3" </v>
      </c>
      <c r="E2350" s="196" t="str">
        <f>IFERROR(__xludf.DUMMYFUNCTION("""COMPUTED_VALUE"""),"PREVENTIVE MAINTENANCE- OWNERS SUPPLY IN SOCCER PERIMETER FENCE REPAIRS REFER TO SO3379")</f>
        <v>PREVENTIVE MAINTENANCE- OWNERS SUPPLY IN SOCCER PERIMETER FENCE REPAIRS REFER TO SO3379</v>
      </c>
    </row>
    <row r="2351">
      <c r="A2351" s="234">
        <f>IFERROR(__xludf.DUMMYFUNCTION("""COMPUTED_VALUE"""),102642.0)</f>
        <v>102642</v>
      </c>
      <c r="B2351" s="235" t="str">
        <f>IFERROR(__xludf.DUMMYFUNCTION("""COMPUTED_VALUE"""),"EDGAR REBELLON")</f>
        <v>EDGAR REBELLON</v>
      </c>
      <c r="C2351" s="235" t="str">
        <f>IFERROR(__xludf.DUMMYFUNCTION("""COMPUTED_VALUE"""),"AMD")</f>
        <v>AMD</v>
      </c>
      <c r="D2351" s="196" t="str">
        <f>IFERROR(__xludf.DUMMYFUNCTION("""COMPUTED_VALUE"""),"Ballpen, Panda Black
Ballpen, Panda Blue
Ballpen, Panda Red
Ballpen, Panda Green
Eraser, Whiteboard-Sterling
Correction Tape, Joy
Pad Paper, Yellow (per pad)
Pen, Sign - Pilot BX-V5 Black
Pen, Sign - Pilot BX-V5 Green
Ink, Permanent Marker - Pilot Black
I"&amp;"nk, Whiteboard-Pilot Black
Ink, Whiteboard-Pilot Blue
Ink, Whiteboard-Pilot Red
Marker, Whiteboard - Pilot Black
Marker, Whiteboard - Pilot Blue
Marker, Whiteboard - Pilot Red
Marker, Pilot Permanent Fine Black
Marker, Pilot Permanent Broad Black
")</f>
        <v>Ballpen, Panda Black
Ballpen, Panda Blue
Ballpen, Panda Red
Ballpen, Panda Green
Eraser, Whiteboard-Sterling
Correction Tape, Joy
Pad Paper, Yellow (per pad)
Pen, Sign - Pilot BX-V5 Black
Pen, Sign - Pilot BX-V5 Green
Ink, Permanent Marker - Pilot Black
Ink, Whiteboard-Pilot Black
Ink, Whiteboard-Pilot Blue
Ink, Whiteboard-Pilot Red
Marker, Whiteboard - Pilot Black
Marker, Whiteboard - Pilot Blue
Marker, Whiteboard - Pilot Red
Marker, Pilot Permanent Fine Black
Marker, Pilot Permanent Broad Black
</v>
      </c>
      <c r="E2351" s="196" t="str">
        <f>IFERROR(__xludf.DUMMYFUNCTION("""COMPUTED_VALUE"""),"TEACHER'S OPENING SUPPLIES FOR AY 22-23")</f>
        <v>TEACHER'S OPENING SUPPLIES FOR AY 22-23</v>
      </c>
    </row>
    <row r="2352">
      <c r="A2352" s="234">
        <f>IFERROR(__xludf.DUMMYFUNCTION("""COMPUTED_VALUE"""),102643.0)</f>
        <v>102643</v>
      </c>
      <c r="B2352" s="235" t="str">
        <f>IFERROR(__xludf.DUMMYFUNCTION("""COMPUTED_VALUE"""),"MS. PRECIOUS DALUZ/ SHEREE ESPINOSA")</f>
        <v>MS. PRECIOUS DALUZ/ SHEREE ESPINOSA</v>
      </c>
      <c r="C2352" s="235" t="str">
        <f>IFERROR(__xludf.DUMMYFUNCTION("""COMPUTED_VALUE"""),"SPECIAL SUBJECTS")</f>
        <v>SPECIAL SUBJECTS</v>
      </c>
      <c r="D2352" s="196" t="str">
        <f>IFERROR(__xludf.DUMMYFUNCTION("""COMPUTED_VALUE"""),"REFRIGERATOR, WHIRPOOL WSR11 SL 2 PCS, MICORWAVE SAMSUNG MS23513AW 1 PC")</f>
        <v>REFRIGERATOR, WHIRPOOL WSR11 SL 2 PCS, MICORWAVE SAMSUNG MS23513AW 1 PC</v>
      </c>
      <c r="E2352" s="196" t="str">
        <f>IFERROR(__xludf.DUMMYFUNCTION("""COMPUTED_VALUE"""),"REPLACEMENT OF THE EXISTING MICROWAVE AND BED FRIDGE ")</f>
        <v>REPLACEMENT OF THE EXISTING MICROWAVE AND BED FRIDGE </v>
      </c>
    </row>
    <row r="2353">
      <c r="A2353" s="234">
        <f>IFERROR(__xludf.DUMMYFUNCTION("""COMPUTED_VALUE"""),102644.0)</f>
        <v>102644</v>
      </c>
      <c r="B2353" s="235" t="str">
        <f>IFERROR(__xludf.DUMMYFUNCTION("""COMPUTED_VALUE"""),"EDGAR REBELLON")</f>
        <v>EDGAR REBELLON</v>
      </c>
      <c r="C2353" s="235" t="str">
        <f>IFERROR(__xludf.DUMMYFUNCTION("""COMPUTED_VALUE"""),"AMD")</f>
        <v>AMD</v>
      </c>
      <c r="D2353" s="196" t="str">
        <f>IFERROR(__xludf.DUMMYFUNCTION("""COMPUTED_VALUE"""),"Paper, Colored Fortune Green
Paper, Colored Fortune Orange
Paper, Colored Fortune Pink
Paper, Colored Fortune Violet
Paper, Colored Fortune Yellow
Cartolina, Black
Cartolina, Neon Blue
Cartolina, Neon Green
Cartolina, White
Glue, Elmer's - 130gs (OSSUP)
P"&amp;"aper, Manila - 37 X 45
Marker, Pilot Permanent Fine Black
Tape, 3M Masking Tape Big (1"")
Plastic Cover, Gauge 4 48'W (per meter)
Staple Wire, Max #35- 5M (Box of 5000pcs)
")</f>
        <v>Paper, Colored Fortune Green
Paper, Colored Fortune Orange
Paper, Colored Fortune Pink
Paper, Colored Fortune Violet
Paper, Colored Fortune Yellow
Cartolina, Black
Cartolina, Neon Blue
Cartolina, Neon Green
Cartolina, White
Glue, Elmer's - 130gs (OSSUP)
Paper, Manila - 37 X 45
Marker, Pilot Permanent Fine Black
Tape, 3M Masking Tape Big (1")
Plastic Cover, Gauge 4 48'W (per meter)
Staple Wire, Max #35- 5M (Box of 5000pcs)
</v>
      </c>
      <c r="E2353" s="196" t="str">
        <f>IFERROR(__xludf.DUMMYFUNCTION("""COMPUTED_VALUE"""),"Teacher's Classroom decor materiasl for AY 2022-2023")</f>
        <v>Teacher's Classroom decor materiasl for AY 2022-2023</v>
      </c>
    </row>
    <row r="2354">
      <c r="A2354" s="234">
        <f>IFERROR(__xludf.DUMMYFUNCTION("""COMPUTED_VALUE"""),102645.0)</f>
        <v>102645</v>
      </c>
      <c r="B2354" s="235" t="str">
        <f>IFERROR(__xludf.DUMMYFUNCTION("""COMPUTED_VALUE"""),"JOMEL BUTIAL")</f>
        <v>JOMEL BUTIAL</v>
      </c>
      <c r="C2354" s="235" t="str">
        <f>IFERROR(__xludf.DUMMYFUNCTION("""COMPUTED_VALUE"""),"AMD")</f>
        <v>AMD</v>
      </c>
      <c r="D2354" s="196" t="str">
        <f>IFERROR(__xludf.DUMMYFUNCTION("""COMPUTED_VALUE"""),"BIDET (CREAM COLOR) 50 PCS
BABY OIL (J&amp;J) 100 PCS")</f>
        <v>BIDET (CREAM COLOR) 50 PCS
BABY OIL (J&amp;J) 100 PCS</v>
      </c>
      <c r="E2354" s="196" t="str">
        <f>IFERROR(__xludf.DUMMYFUNCTION("""COMPUTED_VALUE"""),"HSKPNG REPLENISHMENT FOR AUGUST 2022")</f>
        <v>HSKPNG REPLENISHMENT FOR AUGUST 2022</v>
      </c>
    </row>
    <row r="2355">
      <c r="A2355" s="234">
        <f>IFERROR(__xludf.DUMMYFUNCTION("""COMPUTED_VALUE"""),102646.0)</f>
        <v>102646</v>
      </c>
      <c r="B2355" s="235" t="str">
        <f>IFERROR(__xludf.DUMMYFUNCTION("""COMPUTED_VALUE"""),"JOMEL BUTIAL")</f>
        <v>JOMEL BUTIAL</v>
      </c>
      <c r="C2355" s="235" t="str">
        <f>IFERROR(__xludf.DUMMYFUNCTION("""COMPUTED_VALUE"""),"AMD")</f>
        <v>AMD</v>
      </c>
      <c r="D2355" s="196" t="str">
        <f>IFERROR(__xludf.DUMMYFUNCTION("""COMPUTED_VALUE"""),"HANDSOAP, ANTIBACTERIAL (RED) 60 GAL
PEST-OFF RAT CATCHER GLUE BOARD 20 PCS
TRASHBAG 2XL CLEAR 20 PCS
STICK BROOM 80 PCS
SCENTED BAYGON 500ML CAN 90 PCS")</f>
        <v>HANDSOAP, ANTIBACTERIAL (RED) 60 GAL
PEST-OFF RAT CATCHER GLUE BOARD 20 PCS
TRASHBAG 2XL CLEAR 20 PCS
STICK BROOM 80 PCS
SCENTED BAYGON 500ML CAN 90 PCS</v>
      </c>
      <c r="E2355" s="196" t="str">
        <f>IFERROR(__xludf.DUMMYFUNCTION("""COMPUTED_VALUE"""),"HSKPNG REPLENISHMENT FOR AUGUST 2022")</f>
        <v>HSKPNG REPLENISHMENT FOR AUGUST 2022</v>
      </c>
    </row>
    <row r="2356">
      <c r="A2356" s="234">
        <f>IFERROR(__xludf.DUMMYFUNCTION("""COMPUTED_VALUE"""),102647.0)</f>
        <v>102647</v>
      </c>
      <c r="B2356" s="235" t="str">
        <f>IFERROR(__xludf.DUMMYFUNCTION("""COMPUTED_VALUE"""),"JOMEL BUTIAL")</f>
        <v>JOMEL BUTIAL</v>
      </c>
      <c r="C2356" s="235" t="str">
        <f>IFERROR(__xludf.DUMMYFUNCTION("""COMPUTED_VALUE"""),"AMD")</f>
        <v>AMD</v>
      </c>
      <c r="D2356" s="196" t="str">
        <f>IFERROR(__xludf.DUMMYFUNCTION("""COMPUTED_VALUE"""),"FLO SOFT DISPENSER 40 PCS")</f>
        <v>FLO SOFT DISPENSER 40 PCS</v>
      </c>
      <c r="E2356" s="196" t="str">
        <f>IFERROR(__xludf.DUMMYFUNCTION("""COMPUTED_VALUE"""),"HSKPNG REPLENISHMENT FOR AUGUST 2022")</f>
        <v>HSKPNG REPLENISHMENT FOR AUGUST 2022</v>
      </c>
    </row>
    <row r="2357">
      <c r="A2357" s="234">
        <f>IFERROR(__xludf.DUMMYFUNCTION("""COMPUTED_VALUE"""),102648.0)</f>
        <v>102648</v>
      </c>
      <c r="B2357" s="235" t="str">
        <f>IFERROR(__xludf.DUMMYFUNCTION("""COMPUTED_VALUE"""),"JOSEPHINE PETIN")</f>
        <v>JOSEPHINE PETIN</v>
      </c>
      <c r="C2357" s="235" t="str">
        <f>IFERROR(__xludf.DUMMYFUNCTION("""COMPUTED_VALUE"""),"ADMIN - STAR")</f>
        <v>ADMIN - STAR</v>
      </c>
      <c r="D2357" s="196" t="str">
        <f>IFERROR(__xludf.DUMMYFUNCTION("""COMPUTED_VALUE"""),"CEILING FANS 10 UNITS, THN WIRE #14 50 METERS")</f>
        <v>CEILING FANS 10 UNITS, THN WIRE #14 50 METERS</v>
      </c>
      <c r="E2357" s="196" t="str">
        <f>IFERROR(__xludf.DUMMYFUNCTION("""COMPUTED_VALUE"""),"FOR CAMPUS PREPARATION")</f>
        <v>FOR CAMPUS PREPARATION</v>
      </c>
    </row>
    <row r="2358">
      <c r="A2358" s="234">
        <f>IFERROR(__xludf.DUMMYFUNCTION("""COMPUTED_VALUE"""),102649.0)</f>
        <v>102649</v>
      </c>
      <c r="B2358" s="235" t="str">
        <f>IFERROR(__xludf.DUMMYFUNCTION("""COMPUTED_VALUE"""),"SHEREE ESPINOSA ")</f>
        <v>SHEREE ESPINOSA </v>
      </c>
      <c r="C2358" s="235" t="str">
        <f>IFERROR(__xludf.DUMMYFUNCTION("""COMPUTED_VALUE"""),"ADMIN")</f>
        <v>ADMIN</v>
      </c>
      <c r="D2358" s="196" t="str">
        <f>IFERROR(__xludf.DUMMYFUNCTION("""COMPUTED_VALUE"""),"ACOUSTIC BOARD FOR COLLEGE BUILDING 25 PCS., LUX BUILDING 30 PCS., TROPICAL BUILDING 30 PCS., STAR CAMPUS 40 PCS., MUNICH CAMPUS 20 PCS., SPARE 20 PCS. ")</f>
        <v>ACOUSTIC BOARD FOR COLLEGE BUILDING 25 PCS., LUX BUILDING 30 PCS., TROPICAL BUILDING 30 PCS., STAR CAMPUS 40 PCS., MUNICH CAMPUS 20 PCS., SPARE 20 PCS. </v>
      </c>
      <c r="E2358" s="196" t="str">
        <f>IFERROR(__xludf.DUMMYFUNCTION("""COMPUTED_VALUE"""),"REPLACEMENT OF BROKEN ACOUSTIC FOR COLLEGE, LUC, TROPICAL &amp; MUNICH")</f>
        <v>REPLACEMENT OF BROKEN ACOUSTIC FOR COLLEGE, LUC, TROPICAL &amp; MUNICH</v>
      </c>
    </row>
    <row r="2359">
      <c r="A2359" s="234">
        <f>IFERROR(__xludf.DUMMYFUNCTION("""COMPUTED_VALUE"""),102650.0)</f>
        <v>102650</v>
      </c>
      <c r="B2359" s="235" t="str">
        <f>IFERROR(__xludf.DUMMYFUNCTION("""COMPUTED_VALUE"""),"OWIE PAR")</f>
        <v>OWIE PAR</v>
      </c>
      <c r="C2359" s="235" t="str">
        <f>IFERROR(__xludf.DUMMYFUNCTION("""COMPUTED_VALUE"""),"ADMIN")</f>
        <v>ADMIN</v>
      </c>
      <c r="D2359" s="196" t="str">
        <f>IFERROR(__xludf.DUMMYFUNCTION("""COMPUTED_VALUE"""),"#14 THHN WIRE 30 MTS. FLEXIBLE HOSE 30 METERS")</f>
        <v>#14 THHN WIRE 30 MTS. FLEXIBLE HOSE 30 METERS</v>
      </c>
      <c r="E2359" s="196" t="str">
        <f>IFERROR(__xludf.DUMMYFUNCTION("""COMPUTED_VALUE"""),"MUNICH CAMPUS INSTALLATION OF ADDT'L LIGHTS AND CANOPY")</f>
        <v>MUNICH CAMPUS INSTALLATION OF ADDT'L LIGHTS AND CANOPY</v>
      </c>
    </row>
    <row r="2360">
      <c r="A2360" s="234">
        <f>IFERROR(__xludf.DUMMYFUNCTION("""COMPUTED_VALUE"""),102651.0)</f>
        <v>102651</v>
      </c>
      <c r="B2360" s="235" t="str">
        <f>IFERROR(__xludf.DUMMYFUNCTION("""COMPUTED_VALUE"""),"OWIE PAR")</f>
        <v>OWIE PAR</v>
      </c>
      <c r="C2360" s="235" t="str">
        <f>IFERROR(__xludf.DUMMYFUNCTION("""COMPUTED_VALUE"""),"ADMIN")</f>
        <v>ADMIN</v>
      </c>
      <c r="D2360" s="196" t="str">
        <f>IFERROR(__xludf.DUMMYFUNCTION("""COMPUTED_VALUE"""),"8 SACKS BINISTAY, 2 BAGS CEMENT, 6 BAGS SAHARA CEMENT, 2 PAILS BOSNY ROOF SEALER SEALER (GRAY) 4 KG. 1 GALLON VULCA SEAL")</f>
        <v>8 SACKS BINISTAY, 2 BAGS CEMENT, 6 BAGS SAHARA CEMENT, 2 PAILS BOSNY ROOF SEALER SEALER (GRAY) 4 KG. 1 GALLON VULCA SEAL</v>
      </c>
      <c r="E2360" s="196" t="str">
        <f>IFERROR(__xludf.DUMMYFUNCTION("""COMPUTED_VALUE"""),"FOR TROPICAL BLDG. WATER PROOFING OF GUTTER")</f>
        <v>FOR TROPICAL BLDG. WATER PROOFING OF GUTTER</v>
      </c>
    </row>
    <row r="2361">
      <c r="A2361" s="234">
        <f>IFERROR(__xludf.DUMMYFUNCTION("""COMPUTED_VALUE"""),102652.0)</f>
        <v>102652</v>
      </c>
      <c r="B2361" s="235" t="str">
        <f>IFERROR(__xludf.DUMMYFUNCTION("""COMPUTED_VALUE"""),"MELISSA NAVAL-ODOÑO/DR. AVIC SUAREZ")</f>
        <v>MELISSA NAVAL-ODOÑO/DR. AVIC SUAREZ</v>
      </c>
      <c r="C2361" s="235" t="str">
        <f>IFERROR(__xludf.DUMMYFUNCTION("""COMPUTED_VALUE"""),"LIBRARY BASIC ED")</f>
        <v>LIBRARY BASIC ED</v>
      </c>
      <c r="D2361" s="196" t="str">
        <f>IFERROR(__xludf.DUMMYFUNCTION("""COMPUTED_VALUE"""),"3 CONNECTING THE DOTS OF COORDINATION, LEADERSHIP, COHERENCE AND CONTINUOUS IMPROVEMENT 2022")</f>
        <v>3 CONNECTING THE DOTS OF COORDINATION, LEADERSHIP, COHERENCE AND CONTINUOUS IMPROVEMENT 2022</v>
      </c>
      <c r="E2361" s="196" t="str">
        <f>IFERROR(__xludf.DUMMYFUNCTION("""COMPUTED_VALUE"""),"FOR FACULTY MANAGEMENT USE")</f>
        <v>FOR FACULTY MANAGEMENT USE</v>
      </c>
    </row>
    <row r="2362">
      <c r="A2362" s="234">
        <f>IFERROR(__xludf.DUMMYFUNCTION("""COMPUTED_VALUE"""),102653.0)</f>
        <v>102653</v>
      </c>
      <c r="B2362" s="235" t="str">
        <f>IFERROR(__xludf.DUMMYFUNCTION("""COMPUTED_VALUE"""),"OWIE PAR")</f>
        <v>OWIE PAR</v>
      </c>
      <c r="C2362" s="235" t="str">
        <f>IFERROR(__xludf.DUMMYFUNCTION("""COMPUTED_VALUE"""),"ADMIN")</f>
        <v>ADMIN</v>
      </c>
      <c r="D2362" s="196" t="str">
        <f>IFERROR(__xludf.DUMMYFUNCTION("""COMPUTED_VALUE"""),"3 UNITS LED SISC SIGNAGE LIGHTS WARM WHITE, 3 UNITS OF TRANSFORMER ")</f>
        <v>3 UNITS LED SISC SIGNAGE LIGHTS WARM WHITE, 3 UNITS OF TRANSFORMER </v>
      </c>
      <c r="E2362" s="196" t="str">
        <f>IFERROR(__xludf.DUMMYFUNCTION("""COMPUTED_VALUE"""),"FOR SISC SIGNAGE LUX, MUNICH AND TROPICAL")</f>
        <v>FOR SISC SIGNAGE LUX, MUNICH AND TROPICAL</v>
      </c>
    </row>
    <row r="2363">
      <c r="A2363" s="234">
        <f>IFERROR(__xludf.DUMMYFUNCTION("""COMPUTED_VALUE"""),102654.0)</f>
        <v>102654</v>
      </c>
      <c r="B2363" s="235" t="str">
        <f>IFERROR(__xludf.DUMMYFUNCTION("""COMPUTED_VALUE"""),"OWIE PAR")</f>
        <v>OWIE PAR</v>
      </c>
      <c r="C2363" s="235" t="str">
        <f>IFERROR(__xludf.DUMMYFUNCTION("""COMPUTED_VALUE"""),"ADMIN")</f>
        <v>ADMIN</v>
      </c>
      <c r="D2363" s="196" t="str">
        <f>IFERROR(__xludf.DUMMYFUNCTION("""COMPUTED_VALUE"""),"5 PCS ANGLE BAR 2X2X20 1/4, 3 KG WELDING ROD SPECIAL, 5 BAGS CEMENT, 1 CU, WHITE SAND, 1 KG STAINLESS WELDING ROD")</f>
        <v>5 PCS ANGLE BAR 2X2X20 1/4, 3 KG WELDING ROD SPECIAL, 5 BAGS CEMENT, 1 CU, WHITE SAND, 1 KG STAINLESS WELDING ROD</v>
      </c>
      <c r="E2363" s="196" t="str">
        <f>IFERROR(__xludf.DUMMYFUNCTION("""COMPUTED_VALUE"""),"FOR COLLEGE OVERHEAD TANK REPAIR")</f>
        <v>FOR COLLEGE OVERHEAD TANK REPAIR</v>
      </c>
    </row>
    <row r="2364">
      <c r="A2364" s="234">
        <f>IFERROR(__xludf.DUMMYFUNCTION("""COMPUTED_VALUE"""),102655.0)</f>
        <v>102655</v>
      </c>
      <c r="B2364" s="235" t="str">
        <f>IFERROR(__xludf.DUMMYFUNCTION("""COMPUTED_VALUE"""),"ALFA DE LEON")</f>
        <v>ALFA DE LEON</v>
      </c>
      <c r="C2364" s="235" t="str">
        <f>IFERROR(__xludf.DUMMYFUNCTION("""COMPUTED_VALUE"""),"ADMIN - MUNICH")</f>
        <v>ADMIN - MUNICH</v>
      </c>
      <c r="D2364" s="196" t="str">
        <f>IFERROR(__xludf.DUMMYFUNCTION("""COMPUTED_VALUE"""),"3 UNITS ORBIT FANS 3D")</f>
        <v>3 UNITS ORBIT FANS 3D</v>
      </c>
      <c r="E2364" s="196" t="str">
        <f>IFERROR(__xludf.DUMMYFUNCTION("""COMPUTED_VALUE"""),"REPLACEMENT OF BROKEN/OLD ORBIT FANS- WAITING AREA")</f>
        <v>REPLACEMENT OF BROKEN/OLD ORBIT FANS- WAITING AREA</v>
      </c>
    </row>
    <row r="2365">
      <c r="A2365" s="234">
        <f>IFERROR(__xludf.DUMMYFUNCTION("""COMPUTED_VALUE"""),102656.0)</f>
        <v>102656</v>
      </c>
      <c r="B2365" s="235" t="str">
        <f>IFERROR(__xludf.DUMMYFUNCTION("""COMPUTED_VALUE"""),"ALFA DE LEON")</f>
        <v>ALFA DE LEON</v>
      </c>
      <c r="C2365" s="235" t="str">
        <f>IFERROR(__xludf.DUMMYFUNCTION("""COMPUTED_VALUE"""),"ADMIN - MUNICH")</f>
        <v>ADMIN - MUNICH</v>
      </c>
      <c r="D2365" s="196" t="str">
        <f>IFERROR(__xludf.DUMMYFUNCTION("""COMPUTED_VALUE"""),"5 UNITS CEILING CASSETE TYPE 3.0 HP INVERTER")</f>
        <v>5 UNITS CEILING CASSETE TYPE 3.0 HP INVERTER</v>
      </c>
      <c r="E2365" s="196" t="str">
        <f>IFERROR(__xludf.DUMMYFUNCTION("""COMPUTED_VALUE"""),"REPLACEMENT OF BROKEN COVER OR AIRCON FOR RM. 301,302,303,304,306 IN MUNICH")</f>
        <v>REPLACEMENT OF BROKEN COVER OR AIRCON FOR RM. 301,302,303,304,306 IN MUNICH</v>
      </c>
    </row>
    <row r="2366">
      <c r="A2366" s="234">
        <f>IFERROR(__xludf.DUMMYFUNCTION("""COMPUTED_VALUE"""),102657.0)</f>
        <v>102657</v>
      </c>
      <c r="B2366" s="235" t="str">
        <f>IFERROR(__xludf.DUMMYFUNCTION("""COMPUTED_VALUE"""),"SHEREE ESPINOSA ")</f>
        <v>SHEREE ESPINOSA </v>
      </c>
      <c r="C2366" s="235" t="str">
        <f>IFERROR(__xludf.DUMMYFUNCTION("""COMPUTED_VALUE"""),"ADMIN")</f>
        <v>ADMIN</v>
      </c>
      <c r="D2366" s="196" t="str">
        <f>IFERROR(__xludf.DUMMYFUNCTION("""COMPUTED_VALUE"""),"HALLMARKS TARP LUX CAMPUS 5.3 X 3.11 FT. BLACK OUT, NO ALLOWANCE, NO EYELET")</f>
        <v>HALLMARKS TARP LUX CAMPUS 5.3 X 3.11 FT. BLACK OUT, NO ALLOWANCE, NO EYELET</v>
      </c>
      <c r="E2366" s="196" t="str">
        <f>IFERROR(__xludf.DUMMYFUNCTION("""COMPUTED_VALUE"""),"FOR THE OPENING OF CLASSES AY 22-23 (LUX)")</f>
        <v>FOR THE OPENING OF CLASSES AY 22-23 (LUX)</v>
      </c>
    </row>
    <row r="2367">
      <c r="A2367" s="234">
        <f>IFERROR(__xludf.DUMMYFUNCTION("""COMPUTED_VALUE"""),102658.0)</f>
        <v>102658</v>
      </c>
      <c r="B2367" s="235" t="str">
        <f>IFERROR(__xludf.DUMMYFUNCTION("""COMPUTED_VALUE"""),"SHEREE ESPINOSA ")</f>
        <v>SHEREE ESPINOSA </v>
      </c>
      <c r="C2367" s="235" t="str">
        <f>IFERROR(__xludf.DUMMYFUNCTION("""COMPUTED_VALUE"""),"ADMIN")</f>
        <v>ADMIN</v>
      </c>
      <c r="D2367" s="196" t="str">
        <f>IFERROR(__xludf.DUMMYFUNCTION("""COMPUTED_VALUE"""),"51 UNITS AIR PURIFIER WITH HEPA FILTER FOR LUX, COLLEGE AND TROPICAL ")</f>
        <v>51 UNITS AIR PURIFIER WITH HEPA FILTER FOR LUX, COLLEGE AND TROPICAL </v>
      </c>
      <c r="E2367" s="196" t="str">
        <f>IFERROR(__xludf.DUMMYFUNCTION("""COMPUTED_VALUE"""),"FOR THE OPENING OF CLASSES AY 22-23")</f>
        <v>FOR THE OPENING OF CLASSES AY 22-23</v>
      </c>
    </row>
    <row r="2368">
      <c r="A2368" s="234">
        <f>IFERROR(__xludf.DUMMYFUNCTION("""COMPUTED_VALUE"""),102659.0)</f>
        <v>102659</v>
      </c>
      <c r="B2368" s="235" t="str">
        <f>IFERROR(__xludf.DUMMYFUNCTION("""COMPUTED_VALUE"""),"SHEREE ESPINOSA ")</f>
        <v>SHEREE ESPINOSA </v>
      </c>
      <c r="C2368" s="235" t="str">
        <f>IFERROR(__xludf.DUMMYFUNCTION("""COMPUTED_VALUE"""),"ADMIN")</f>
        <v>ADMIN</v>
      </c>
      <c r="D2368" s="196" t="str">
        <f>IFERROR(__xludf.DUMMYFUNCTION("""COMPUTED_VALUE"""),"109 TRASH BIN FOR EACH CLASSROOMS (INFECTIOUS WASTES)")</f>
        <v>109 TRASH BIN FOR EACH CLASSROOMS (INFECTIOUS WASTES)</v>
      </c>
      <c r="E2368" s="196" t="str">
        <f>IFERROR(__xludf.DUMMYFUNCTION("""COMPUTED_VALUE"""),"FOR THE OPENING OF CLASSES AY 22-23")</f>
        <v>FOR THE OPENING OF CLASSES AY 22-23</v>
      </c>
    </row>
    <row r="2369">
      <c r="A2369" s="234">
        <f>IFERROR(__xludf.DUMMYFUNCTION("""COMPUTED_VALUE"""),102660.0)</f>
        <v>102660</v>
      </c>
      <c r="B2369" s="235" t="str">
        <f>IFERROR(__xludf.DUMMYFUNCTION("""COMPUTED_VALUE"""),"JOMEL BUTIAL ")</f>
        <v>JOMEL BUTIAL </v>
      </c>
      <c r="C2369" s="235" t="str">
        <f>IFERROR(__xludf.DUMMYFUNCTION("""COMPUTED_VALUE"""),"AMD")</f>
        <v>AMD</v>
      </c>
      <c r="D2369" s="196" t="str">
        <f>IFERROR(__xludf.DUMMYFUNCTION("""COMPUTED_VALUE"""),"CAPACITOR 60 UF  - 60 PCS. 
TOILET SEAT COVER - 20 PCS.
DOOR CLOSER YALE - 20 PCS.
HOLIDAY EPOXY - 5 LITERS
FAUCET TANSO - 30 PCS.
GOOSENECK (WASSERNISON BRAND) - 20 PCS.
TOILET FLUSH - 20 PCS.
FLEXIBLE HOSE ½ X 1/2 - 30 PCS.
LAVATORY FAUCET - 30 PCS.
LED"&amp;" BULB , PHILIPS 8W DAYLIGHT- 150 PCS. 
LED BULB , PHILIPS 3W MINI DAYLIGHT - 50 PCS. 
LED TUBE, PHILIPS, 16W DAYLIGHT - 150 PCS.
LED TUBE, PHILIPS, 9W DAYLIGHT - 50 PCS.
PADLOCK, YALE 50MM - 20 PCS.
MALE PLUG GENERIC - 30 PCS. 
PO PLUG - 15 PCS. 
MALE PLU"&amp;"G HEAVY DUTY - PCS
")</f>
        <v>CAPACITOR 60 UF  - 60 PCS. 
TOILET SEAT COVER - 20 PCS.
DOOR CLOSER YALE - 20 PCS.
HOLIDAY EPOXY - 5 LITERS
FAUCET TANSO - 30 PCS.
GOOSENECK (WASSERNISON BRAND) - 20 PCS.
TOILET FLUSH - 20 PCS.
FLEXIBLE HOSE ½ X 1/2 - 30 PCS.
LAVATORY FAUCET - 30 PCS.
LED BULB , PHILIPS 8W DAYLIGHT- 150 PCS. 
LED BULB , PHILIPS 3W MINI DAYLIGHT - 50 PCS. 
LED TUBE, PHILIPS, 16W DAYLIGHT - 150 PCS.
LED TUBE, PHILIPS, 9W DAYLIGHT - 50 PCS.
PADLOCK, YALE 50MM - 20 PCS.
MALE PLUG GENERIC - 30 PCS. 
PO PLUG - 15 PCS. 
MALE PLUG HEAVY DUTY - PCS
</v>
      </c>
      <c r="E2369" s="196" t="str">
        <f>IFERROR(__xludf.DUMMYFUNCTION("""COMPUTED_VALUE"""),"ENGR STOCK REPLENISHMENT ")</f>
        <v>ENGR STOCK REPLENISHMENT </v>
      </c>
    </row>
    <row r="2370">
      <c r="A2370" s="234">
        <f>IFERROR(__xludf.DUMMYFUNCTION("""COMPUTED_VALUE"""),102661.0)</f>
        <v>102661</v>
      </c>
      <c r="B2370" s="235" t="str">
        <f>IFERROR(__xludf.DUMMYFUNCTION("""COMPUTED_VALUE"""),"RAQUELYN NUÑEZ")</f>
        <v>RAQUELYN NUÑEZ</v>
      </c>
      <c r="C2370" s="235" t="str">
        <f>IFERROR(__xludf.DUMMYFUNCTION("""COMPUTED_VALUE"""),"ADMIN")</f>
        <v>ADMIN</v>
      </c>
      <c r="D2370" s="196" t="str">
        <f>IFERROR(__xludf.DUMMYFUNCTION("""COMPUTED_VALUE"""),"1 UNIT OF 2 BURNER GAS STOVE")</f>
        <v>1 UNIT OF 2 BURNER GAS STOVE</v>
      </c>
      <c r="E2370" s="196" t="str">
        <f>IFERROR(__xludf.DUMMYFUNCTION("""COMPUTED_VALUE"""),"FOR NARRA'S HOUSE (FOR DR. ARDEE)")</f>
        <v>FOR NARRA'S HOUSE (FOR DR. ARDEE)</v>
      </c>
    </row>
    <row r="2371">
      <c r="A2371" s="234">
        <f>IFERROR(__xludf.DUMMYFUNCTION("""COMPUTED_VALUE"""),102662.0)</f>
        <v>102662</v>
      </c>
      <c r="B2371" s="235" t="str">
        <f>IFERROR(__xludf.DUMMYFUNCTION("""COMPUTED_VALUE"""),"JOMARI TORRES/ARNEL MONTABLAN")</f>
        <v>JOMARI TORRES/ARNEL MONTABLAN</v>
      </c>
      <c r="C2371" s="235" t="str">
        <f>IFERROR(__xludf.DUMMYFUNCTION("""COMPUTED_VALUE"""),"FOUNDER'S SCHOLARS")</f>
        <v>FOUNDER'S SCHOLARS</v>
      </c>
      <c r="D2371" s="196" t="str">
        <f>IFERROR(__xludf.DUMMYFUNCTION("""COMPUTED_VALUE"""),"4 UNITS OF STAND FAN, 1 UNIT OF GAS STOVE")</f>
        <v>4 UNITS OF STAND FAN, 1 UNIT OF GAS STOVE</v>
      </c>
      <c r="E2371" s="196" t="str">
        <f>IFERROR(__xludf.DUMMYFUNCTION("""COMPUTED_VALUE"""),"FOR DORMITORY USE/REPLACEMENT OF THE OLD ITEMS AS PER ADMIN'S RECOMMENDATION ")</f>
        <v>FOR DORMITORY USE/REPLACEMENT OF THE OLD ITEMS AS PER ADMIN'S RECOMMENDATION </v>
      </c>
    </row>
    <row r="2372">
      <c r="A2372" s="234">
        <f>IFERROR(__xludf.DUMMYFUNCTION("""COMPUTED_VALUE"""),102663.0)</f>
        <v>102663</v>
      </c>
      <c r="B2372" s="235" t="str">
        <f>IFERROR(__xludf.DUMMYFUNCTION("""COMPUTED_VALUE"""),"RAQUELYN NUÑEZ")</f>
        <v>RAQUELYN NUÑEZ</v>
      </c>
      <c r="C2372" s="235" t="str">
        <f>IFERROR(__xludf.DUMMYFUNCTION("""COMPUTED_VALUE"""),"ADMIN")</f>
        <v>ADMIN</v>
      </c>
      <c r="D2372" s="196" t="str">
        <f>IFERROR(__xludf.DUMMYFUNCTION("""COMPUTED_VALUE"""),"1 PC. STAND FAN")</f>
        <v>1 PC. STAND FAN</v>
      </c>
      <c r="E2372" s="196" t="str">
        <f>IFERROR(__xludf.DUMMYFUNCTION("""COMPUTED_VALUE"""),"FOR NARRA'S HOUSE (FOR DR. ARDEE)")</f>
        <v>FOR NARRA'S HOUSE (FOR DR. ARDEE)</v>
      </c>
    </row>
    <row r="2373">
      <c r="A2373" s="234">
        <f>IFERROR(__xludf.DUMMYFUNCTION("""COMPUTED_VALUE"""),102664.0)</f>
        <v>102664</v>
      </c>
      <c r="B2373" s="235" t="str">
        <f>IFERROR(__xludf.DUMMYFUNCTION("""COMPUTED_VALUE"""),"RAQUELYN NUÑEZ")</f>
        <v>RAQUELYN NUÑEZ</v>
      </c>
      <c r="C2373" s="235" t="str">
        <f>IFERROR(__xludf.DUMMYFUNCTION("""COMPUTED_VALUE"""),"ADMIN")</f>
        <v>ADMIN</v>
      </c>
      <c r="D2373" s="196" t="str">
        <f>IFERROR(__xludf.DUMMYFUNCTION("""COMPUTED_VALUE"""),"1 UNIT 2 DOOR 7 CUBIC REFRIGERATOR")</f>
        <v>1 UNIT 2 DOOR 7 CUBIC REFRIGERATOR</v>
      </c>
      <c r="E2373" s="196" t="str">
        <f>IFERROR(__xludf.DUMMYFUNCTION("""COMPUTED_VALUE"""),"FOR NARRA'S HOUSE (FOR DR. ARDEE)")</f>
        <v>FOR NARRA'S HOUSE (FOR DR. ARDEE)</v>
      </c>
    </row>
    <row r="2374">
      <c r="A2374" s="234">
        <f>IFERROR(__xludf.DUMMYFUNCTION("""COMPUTED_VALUE"""),102665.0)</f>
        <v>102665</v>
      </c>
      <c r="B2374" s="235" t="str">
        <f>IFERROR(__xludf.DUMMYFUNCTION("""COMPUTED_VALUE"""),"TEMOTIE JOHN DIOSAY")</f>
        <v>TEMOTIE JOHN DIOSAY</v>
      </c>
      <c r="C2374" s="235" t="str">
        <f>IFERROR(__xludf.DUMMYFUNCTION("""COMPUTED_VALUE"""),"ADMIN")</f>
        <v>ADMIN</v>
      </c>
      <c r="D2374" s="196" t="str">
        <f>IFERROR(__xludf.DUMMYFUNCTION("""COMPUTED_VALUE"""),"16 ACCESSORIES INSERT +1, 4 EKTOR 300- CANCELLED ")</f>
        <v>16 ACCESSORIES INSERT +1, 4 EKTOR 300- CANCELLED </v>
      </c>
      <c r="E2374" s="196" t="str">
        <f>IFERROR(__xludf.DUMMYFUNCTION("""COMPUTED_VALUE"""),"ACCESSORIES FOR LIGHTING  FIXTURES")</f>
        <v>ACCESSORIES FOR LIGHTING  FIXTURES</v>
      </c>
    </row>
    <row r="2375">
      <c r="A2375" s="234">
        <f>IFERROR(__xludf.DUMMYFUNCTION("""COMPUTED_VALUE"""),102666.0)</f>
        <v>102666</v>
      </c>
      <c r="B2375" s="235" t="str">
        <f>IFERROR(__xludf.DUMMYFUNCTION("""COMPUTED_VALUE"""),"JOMEL BUTIAL ")</f>
        <v>JOMEL BUTIAL </v>
      </c>
      <c r="C2375" s="235" t="str">
        <f>IFERROR(__xludf.DUMMYFUNCTION("""COMPUTED_VALUE"""),"AMD")</f>
        <v>AMD</v>
      </c>
      <c r="D2375" s="196" t="str">
        <f>IFERROR(__xludf.DUMMYFUNCTION("""COMPUTED_VALUE"""),"CAT6 CABLE BLUE - 3
Hard Disk 1TB - 15
Headset Rapoo H100 with Noise Cancelling Mic - 50
USB Mouse Logitech - 40
Mouse Pad - 100 
Patch Cord CAT6 5 meters -50 
Patch Cord CAT6 2 meters  - 50 
Thermal Paste - 15 
USB Extender 5 Meters- 5
USB Extender 10 Me"&amp;"ters -5 
VGA Cord 10 meters - 10")</f>
        <v>CAT6 CABLE BLUE - 3
Hard Disk 1TB - 15
Headset Rapoo H100 with Noise Cancelling Mic - 50
USB Mouse Logitech - 40
Mouse Pad - 100 
Patch Cord CAT6 5 meters -50 
Patch Cord CAT6 2 meters  - 50 
Thermal Paste - 15 
USB Extender 5 Meters- 5
USB Extender 10 Meters -5 
VGA Cord 10 meters - 10</v>
      </c>
      <c r="E2375" s="196" t="str">
        <f>IFERROR(__xludf.DUMMYFUNCTION("""COMPUTED_VALUE"""),"MIS SUPPLIES REPLENISHMENT ")</f>
        <v>MIS SUPPLIES REPLENISHMENT </v>
      </c>
    </row>
    <row r="2376">
      <c r="A2376" s="234">
        <f>IFERROR(__xludf.DUMMYFUNCTION("""COMPUTED_VALUE"""),102667.0)</f>
        <v>102667</v>
      </c>
      <c r="B2376" s="235" t="str">
        <f>IFERROR(__xludf.DUMMYFUNCTION("""COMPUTED_VALUE"""),"SHEREE ESPINOSA ")</f>
        <v>SHEREE ESPINOSA </v>
      </c>
      <c r="C2376" s="235" t="str">
        <f>IFERROR(__xludf.DUMMYFUNCTION("""COMPUTED_VALUE"""),"ADMIN")</f>
        <v>ADMIN</v>
      </c>
      <c r="D2376" s="196" t="str">
        <f>IFERROR(__xludf.DUMMYFUNCTION("""COMPUTED_VALUE"""),"91 PCS. UV STERILIZATION BOX")</f>
        <v>91 PCS. UV STERILIZATION BOX</v>
      </c>
      <c r="E2376" s="196" t="str">
        <f>IFERROR(__xludf.DUMMYFUNCTION("""COMPUTED_VALUE"""),"FOR THE OPENING OF CLASSES")</f>
        <v>FOR THE OPENING OF CLASSES</v>
      </c>
    </row>
    <row r="2377">
      <c r="A2377" s="234">
        <f>IFERROR(__xludf.DUMMYFUNCTION("""COMPUTED_VALUE"""),102668.0)</f>
        <v>102668</v>
      </c>
      <c r="B2377" s="235" t="str">
        <f>IFERROR(__xludf.DUMMYFUNCTION("""COMPUTED_VALUE"""),"SHEREE ESPINOSA ")</f>
        <v>SHEREE ESPINOSA </v>
      </c>
      <c r="C2377" s="235" t="str">
        <f>IFERROR(__xludf.DUMMYFUNCTION("""COMPUTED_VALUE"""),"ADMIN")</f>
        <v>ADMIN</v>
      </c>
      <c r="D2377" s="196" t="str">
        <f>IFERROR(__xludf.DUMMYFUNCTION("""COMPUTED_VALUE"""),"10 UNITS OF WATER DISPENSER ")</f>
        <v>10 UNITS OF WATER DISPENSER </v>
      </c>
      <c r="E2377" s="196" t="str">
        <f>IFERROR(__xludf.DUMMYFUNCTION("""COMPUTED_VALUE"""),"FOR THE OPENING OF CLASSES ")</f>
        <v>FOR THE OPENING OF CLASSES </v>
      </c>
    </row>
    <row r="2378">
      <c r="A2378" s="234">
        <f>IFERROR(__xludf.DUMMYFUNCTION("""COMPUTED_VALUE"""),102669.0)</f>
        <v>102669</v>
      </c>
      <c r="B2378" s="235" t="str">
        <f>IFERROR(__xludf.DUMMYFUNCTION("""COMPUTED_VALUE"""),"OWIE PAR ")</f>
        <v>OWIE PAR </v>
      </c>
      <c r="C2378" s="235" t="str">
        <f>IFERROR(__xludf.DUMMYFUNCTION("""COMPUTED_VALUE"""),"ENGINEERING")</f>
        <v>ENGINEERING</v>
      </c>
      <c r="D2378" s="196" t="str">
        <f>IFERROR(__xludf.DUMMYFUNCTION("""COMPUTED_VALUE"""),"3 ROLLS  THHN # 12, 1 UNIT CIRCUIT BREAKER 30 AMP 2 POLE IN NEMA ENCLOSURE, 2 ROLLS RUBBER TAPE, 10 PCS. AKARI LAMP HOLDER , 3 PCS. PARKING LIGHTS, 100 PAIRS TOX 3 SCREW, #8, 1 PC MASONRY BIT #8")</f>
        <v>3 ROLLS  THHN # 12, 1 UNIT CIRCUIT BREAKER 30 AMP 2 POLE IN NEMA ENCLOSURE, 2 ROLLS RUBBER TAPE, 10 PCS. AKARI LAMP HOLDER , 3 PCS. PARKING LIGHTS, 100 PAIRS TOX 3 SCREW, #8, 1 PC MASONRY BIT #8</v>
      </c>
      <c r="E2378" s="196" t="str">
        <f>IFERROR(__xludf.DUMMYFUNCTION("""COMPUTED_VALUE"""),"FOR REWIRING OF PERIMETER LIGHTS IN GYM 2 AND SOCCER FIELD, REPLACEMENT OF BUSTED LIGHTS MONARCH PARKING TO ADDRESS THE JO 0822,0009,0008")</f>
        <v>FOR REWIRING OF PERIMETER LIGHTS IN GYM 2 AND SOCCER FIELD, REPLACEMENT OF BUSTED LIGHTS MONARCH PARKING TO ADDRESS THE JO 0822,0009,0008</v>
      </c>
    </row>
    <row r="2379">
      <c r="A2379" s="234">
        <f>IFERROR(__xludf.DUMMYFUNCTION("""COMPUTED_VALUE"""),102670.0)</f>
        <v>102670</v>
      </c>
      <c r="B2379" s="235" t="str">
        <f>IFERROR(__xludf.DUMMYFUNCTION("""COMPUTED_VALUE"""),"CHRISTIAN S. ANDRES")</f>
        <v>CHRISTIAN S. ANDRES</v>
      </c>
      <c r="C2379" s="235" t="str">
        <f>IFERROR(__xludf.DUMMYFUNCTION("""COMPUTED_VALUE"""),"PR &amp; MARKETING")</f>
        <v>PR &amp; MARKETING</v>
      </c>
      <c r="D2379" s="196" t="str">
        <f>IFERROR(__xludf.DUMMYFUNCTION("""COMPUTED_VALUE"""),"SEAGATE ONE TOUCH 4TB EXTERNAL HARD DRIVE  (HDD)")</f>
        <v>SEAGATE ONE TOUCH 4TB EXTERNAL HARD DRIVE  (HDD)</v>
      </c>
      <c r="E2379" s="196" t="str">
        <f>IFERROR(__xludf.DUMMYFUNCTION("""COMPUTED_VALUE"""),"FOR DOCUMENTATION AND DESIGN FILES ")</f>
        <v>FOR DOCUMENTATION AND DESIGN FILES </v>
      </c>
    </row>
    <row r="2380">
      <c r="A2380" s="234">
        <f>IFERROR(__xludf.DUMMYFUNCTION("""COMPUTED_VALUE"""),102671.0)</f>
        <v>102671</v>
      </c>
      <c r="B2380" s="235" t="str">
        <f>IFERROR(__xludf.DUMMYFUNCTION("""COMPUTED_VALUE"""),"CHRISTIAN S. ANDRES")</f>
        <v>CHRISTIAN S. ANDRES</v>
      </c>
      <c r="C2380" s="235" t="str">
        <f>IFERROR(__xludf.DUMMYFUNCTION("""COMPUTED_VALUE"""),"PR &amp; MARKETING")</f>
        <v>PR &amp; MARKETING</v>
      </c>
      <c r="D2380" s="196" t="str">
        <f>IFERROR(__xludf.DUMMYFUNCTION("""COMPUTED_VALUE"""),"MONARCH T-SHIRTS WHITE - 20 PCS., PURPLE 20 PCS. ")</f>
        <v>MONARCH T-SHIRTS WHITE - 20 PCS., PURPLE 20 PCS. </v>
      </c>
      <c r="E2380" s="196" t="str">
        <f>IFERROR(__xludf.DUMMYFUNCTION("""COMPUTED_VALUE"""),"MARKETING GIVE AWAYS")</f>
        <v>MARKETING GIVE AWAYS</v>
      </c>
    </row>
    <row r="2381">
      <c r="A2381" s="234">
        <f>IFERROR(__xludf.DUMMYFUNCTION("""COMPUTED_VALUE"""),102672.0)</f>
        <v>102672</v>
      </c>
      <c r="B2381" s="235" t="str">
        <f>IFERROR(__xludf.DUMMYFUNCTION("""COMPUTED_VALUE"""),"NESSIE LUMBRES ")</f>
        <v>NESSIE LUMBRES </v>
      </c>
      <c r="C2381" s="235" t="str">
        <f>IFERROR(__xludf.DUMMYFUNCTION("""COMPUTED_VALUE"""),"DP'S OFFICE")</f>
        <v>DP'S OFFICE</v>
      </c>
      <c r="D2381" s="196" t="str">
        <f>IFERROR(__xludf.DUMMYFUNCTION("""COMPUTED_VALUE"""),"17 POCKET CHART GRADE 6-9")</f>
        <v>17 POCKET CHART GRADE 6-9</v>
      </c>
      <c r="E2381" s="196" t="str">
        <f>IFERROR(__xludf.DUMMYFUNCTION("""COMPUTED_VALUE"""),"LUXEMBOURG CLASSROOM DECORATION FOR AY 22-23 GRADE 6-9")</f>
        <v>LUXEMBOURG CLASSROOM DECORATION FOR AY 22-23 GRADE 6-9</v>
      </c>
    </row>
    <row r="2382">
      <c r="A2382" s="234">
        <f>IFERROR(__xludf.DUMMYFUNCTION("""COMPUTED_VALUE"""),102673.0)</f>
        <v>102673</v>
      </c>
      <c r="B2382" s="235" t="str">
        <f>IFERROR(__xludf.DUMMYFUNCTION("""COMPUTED_VALUE"""),"JAN GUTIERREZ")</f>
        <v>JAN GUTIERREZ</v>
      </c>
      <c r="C2382" s="235" t="str">
        <f>IFERROR(__xludf.DUMMYFUNCTION("""COMPUTED_VALUE"""),"DP'S OFFICE")</f>
        <v>DP'S OFFICE</v>
      </c>
      <c r="D2382" s="196" t="str">
        <f>IFERROR(__xludf.DUMMYFUNCTION("""COMPUTED_VALUE"""),"17 POCKET CHART GRADE 10-12")</f>
        <v>17 POCKET CHART GRADE 10-12</v>
      </c>
      <c r="E2382" s="196" t="str">
        <f>IFERROR(__xludf.DUMMYFUNCTION("""COMPUTED_VALUE"""),"LUXEMBOURG CLASSROOM DECORATION FOR AY 22-23 GRADE 10-12")</f>
        <v>LUXEMBOURG CLASSROOM DECORATION FOR AY 22-23 GRADE 10-12</v>
      </c>
    </row>
    <row r="2383">
      <c r="A2383" s="234">
        <f>IFERROR(__xludf.DUMMYFUNCTION("""COMPUTED_VALUE"""),102674.0)</f>
        <v>102674</v>
      </c>
      <c r="B2383" s="235" t="str">
        <f>IFERROR(__xludf.DUMMYFUNCTION("""COMPUTED_VALUE"""),"ALLISTINE C. PEREZ")</f>
        <v>ALLISTINE C. PEREZ</v>
      </c>
      <c r="C2383" s="235" t="str">
        <f>IFERROR(__xludf.DUMMYFUNCTION("""COMPUTED_VALUE"""),"REGISTRATION")</f>
        <v>REGISTRATION</v>
      </c>
      <c r="D2383" s="196" t="str">
        <f>IFERROR(__xludf.DUMMYFUNCTION("""COMPUTED_VALUE"""),"REPORT CARD HOLDER FOR BED")</f>
        <v>REPORT CARD HOLDER FOR BED</v>
      </c>
      <c r="E2383" s="196" t="str">
        <f>IFERROR(__xludf.DUMMYFUNCTION("""COMPUTED_VALUE"""),"FOR REPORT CARDS OF BASIC EDUCATION STUDENTS ")</f>
        <v>FOR REPORT CARDS OF BASIC EDUCATION STUDENTS </v>
      </c>
    </row>
    <row r="2384">
      <c r="A2384" s="234">
        <f>IFERROR(__xludf.DUMMYFUNCTION("""COMPUTED_VALUE"""),102675.0)</f>
        <v>102675</v>
      </c>
      <c r="B2384" s="235" t="str">
        <f>IFERROR(__xludf.DUMMYFUNCTION("""COMPUTED_VALUE"""),"SHEREE ESPINOSA ")</f>
        <v>SHEREE ESPINOSA </v>
      </c>
      <c r="C2384" s="235" t="str">
        <f>IFERROR(__xludf.DUMMYFUNCTION("""COMPUTED_VALUE"""),"ADMIN")</f>
        <v>ADMIN</v>
      </c>
      <c r="D2384" s="196" t="str">
        <f>IFERROR(__xludf.DUMMYFUNCTION("""COMPUTED_VALUE"""),"116 PCS.  ALCOHOL  DISPENSER ")</f>
        <v>116 PCS.  ALCOHOL  DISPENSER </v>
      </c>
      <c r="E2384" s="196" t="str">
        <f>IFERROR(__xludf.DUMMYFUNCTION("""COMPUTED_VALUE"""),"FOR THE OPENING OF CLASSES FOR AY 22-23")</f>
        <v>FOR THE OPENING OF CLASSES FOR AY 22-23</v>
      </c>
    </row>
    <row r="2385">
      <c r="A2385" s="234">
        <f>IFERROR(__xludf.DUMMYFUNCTION("""COMPUTED_VALUE"""),102676.0)</f>
        <v>102676</v>
      </c>
      <c r="B2385" s="235" t="str">
        <f>IFERROR(__xludf.DUMMYFUNCTION("""COMPUTED_VALUE"""),"JOMEL BUTIAL ")</f>
        <v>JOMEL BUTIAL </v>
      </c>
      <c r="C2385" s="235" t="str">
        <f>IFERROR(__xludf.DUMMYFUNCTION("""COMPUTED_VALUE"""),"AMD")</f>
        <v>AMD</v>
      </c>
      <c r="D2385" s="196" t="str">
        <f>IFERROR(__xludf.DUMMYFUNCTION("""COMPUTED_VALUE"""),"Paper, Colored Fortune Yellow- 1000
0Marker, Pilot Permanent Fine Black - 288
Marker, Pilot Broad Black - 240
Envelope, Expanding Plastic-Long, Adventurer- 400
Clip, Binder Joy 1"" - 250
Cartolina, Black - 200
Ballpen, Panda Black - 300
Ballpen, Do"&amp;"ng-A My Gel Black 0.5 - 144
Ballpen, Dong-A My Gel Blue 0.5 - 144
Staple Wire, Max #35- 5M (Box of 5000pcs) - 100
")</f>
        <v>Paper, Colored Fortune Yellow- 1000
0Marker, Pilot Permanent Fine Black - 288
Marker, Pilot Broad Black - 240
Envelope, Expanding Plastic-Long, Adventurer- 400
Clip, Binder Joy 1" - 250
Cartolina, Black - 200
Ballpen, Panda Black - 300
Ballpen, Dong-A My Gel Black 0.5 - 144
Ballpen, Dong-A My Gel Blue 0.5 - 144
Staple Wire, Max #35- 5M (Box of 5000pcs) - 100
</v>
      </c>
      <c r="E2385" s="196" t="str">
        <f>IFERROR(__xludf.DUMMYFUNCTION("""COMPUTED_VALUE"""),"OSSUP STOCK REPLENISHMENT ")</f>
        <v>OSSUP STOCK REPLENISHMENT </v>
      </c>
    </row>
    <row r="2386">
      <c r="A2386" s="234">
        <f>IFERROR(__xludf.DUMMYFUNCTION("""COMPUTED_VALUE"""),102677.0)</f>
        <v>102677</v>
      </c>
      <c r="B2386" s="235" t="str">
        <f>IFERROR(__xludf.DUMMYFUNCTION("""COMPUTED_VALUE"""),"OWIE PAR")</f>
        <v>OWIE PAR</v>
      </c>
      <c r="C2386" s="235" t="str">
        <f>IFERROR(__xludf.DUMMYFUNCTION("""COMPUTED_VALUE"""),"ENGINEERING")</f>
        <v>ENGINEERING</v>
      </c>
      <c r="D2386" s="196" t="str">
        <f>IFERROR(__xludf.DUMMYFUNCTION("""COMPUTED_VALUE"""),"6 PCS GUTTER # 1, 6 PCS GUTTER # 2, 5 PCS. GUTTER #3, 4 TIN ROOF GUARD SUMMER BEIGE, 1 GAL RED OXIDE, 4 PCS. PAINT ROLLER #7, 1 BOX BLIND REVITS # 1/8 X 1/2, 4 PCS. MASONRY BIT # 1/8, 8 PCS. METALIC BIT # 1/8, 2 LITERS VULCA SEAL, 1 PC. DIAMOND CUTTER # 4")</f>
        <v>6 PCS GUTTER # 1, 6 PCS GUTTER # 2, 5 PCS. GUTTER #3, 4 TIN ROOF GUARD SUMMER BEIGE, 1 GAL RED OXIDE, 4 PCS. PAINT ROLLER #7, 1 BOX BLIND REVITS # 1/8 X 1/2, 4 PCS. MASONRY BIT # 1/8, 8 PCS. METALIC BIT # 1/8, 2 LITERS VULCA SEAL, 1 PC. DIAMOND CUTTER # 4</v>
      </c>
      <c r="E2386" s="196" t="str">
        <f>IFERROR(__xludf.DUMMYFUNCTION("""COMPUTED_VALUE"""),"FOR COLLEGE ROOF ")</f>
        <v>FOR COLLEGE ROOF </v>
      </c>
    </row>
    <row r="2387">
      <c r="A2387" s="234">
        <f>IFERROR(__xludf.DUMMYFUNCTION("""COMPUTED_VALUE"""),102678.0)</f>
        <v>102678</v>
      </c>
      <c r="B2387" s="235" t="str">
        <f>IFERROR(__xludf.DUMMYFUNCTION("""COMPUTED_VALUE"""),"GILBERT CLAUSE MAGALLANES ")</f>
        <v>GILBERT CLAUSE MAGALLANES </v>
      </c>
      <c r="C2387" s="235" t="str">
        <f>IFERROR(__xludf.DUMMYFUNCTION("""COMPUTED_VALUE"""),"REGISTRATION")</f>
        <v>REGISTRATION</v>
      </c>
      <c r="D2387" s="196" t="str">
        <f>IFERROR(__xludf.DUMMYFUNCTION("""COMPUTED_VALUE"""),"TOR PAPER COLLEGE (BORDERLESS)")</f>
        <v>TOR PAPER COLLEGE (BORDERLESS)</v>
      </c>
      <c r="E2387" s="196" t="str">
        <f>IFERROR(__xludf.DUMMYFUNCTION("""COMPUTED_VALUE"""),"FOR REGISTRATIOMN USE ")</f>
        <v>FOR REGISTRATIOMN USE </v>
      </c>
    </row>
    <row r="2388">
      <c r="A2388" s="234">
        <f>IFERROR(__xludf.DUMMYFUNCTION("""COMPUTED_VALUE"""),102679.0)</f>
        <v>102679</v>
      </c>
      <c r="B2388" s="235" t="str">
        <f>IFERROR(__xludf.DUMMYFUNCTION("""COMPUTED_VALUE"""),"GILBERT CLAUSE MAGALLANES ")</f>
        <v>GILBERT CLAUSE MAGALLANES </v>
      </c>
      <c r="C2388" s="235" t="str">
        <f>IFERROR(__xludf.DUMMYFUNCTION("""COMPUTED_VALUE"""),"REGISTRATION")</f>
        <v>REGISTRATION</v>
      </c>
      <c r="D2388" s="196" t="str">
        <f>IFERROR(__xludf.DUMMYFUNCTION("""COMPUTED_VALUE"""),"TOR PAPER GRADUATE SCHOOL (BORDERLESS)")</f>
        <v>TOR PAPER GRADUATE SCHOOL (BORDERLESS)</v>
      </c>
      <c r="E2388" s="196" t="str">
        <f>IFERROR(__xludf.DUMMYFUNCTION("""COMPUTED_VALUE"""),"FOR REGISTRATIOMN USE ")</f>
        <v>FOR REGISTRATIOMN USE </v>
      </c>
    </row>
    <row r="2389">
      <c r="A2389" s="234">
        <f>IFERROR(__xludf.DUMMYFUNCTION("""COMPUTED_VALUE"""),102680.0)</f>
        <v>102680</v>
      </c>
      <c r="B2389" s="235" t="str">
        <f>IFERROR(__xludf.DUMMYFUNCTION("""COMPUTED_VALUE"""),"JOMEL BUTIAL ")</f>
        <v>JOMEL BUTIAL </v>
      </c>
      <c r="C2389" s="235" t="str">
        <f>IFERROR(__xludf.DUMMYFUNCTION("""COMPUTED_VALUE"""),"AMD")</f>
        <v>AMD</v>
      </c>
      <c r="D2389" s="196" t="str">
        <f>IFERROR(__xludf.DUMMYFUNCTION("""COMPUTED_VALUE"""),"Corkboard - 2 X 3 (1/4T)mmmm w/o Frame")</f>
        <v>Corkboard - 2 X 3 (1/4T)mmmm w/o Frame</v>
      </c>
      <c r="E2389" s="196" t="str">
        <f>IFERROR(__xludf.DUMMYFUNCTION("""COMPUTED_VALUE"""),"STOCK REPLENISHMENT ")</f>
        <v>STOCK REPLENISHMENT </v>
      </c>
    </row>
    <row r="2390">
      <c r="A2390" s="234">
        <f>IFERROR(__xludf.DUMMYFUNCTION("""COMPUTED_VALUE"""),102681.0)</f>
        <v>102681</v>
      </c>
      <c r="B2390" s="235" t="str">
        <f>IFERROR(__xludf.DUMMYFUNCTION("""COMPUTED_VALUE"""),"SAMUEL RAIZ")</f>
        <v>SAMUEL RAIZ</v>
      </c>
      <c r="C2390" s="235" t="str">
        <f>IFERROR(__xludf.DUMMYFUNCTION("""COMPUTED_VALUE"""),"MIS/ICT")</f>
        <v>MIS/ICT</v>
      </c>
      <c r="D2390" s="196" t="str">
        <f>IFERROR(__xludf.DUMMYFUNCTION("""COMPUTED_VALUE"""),"LABEL MARKER/PRINTER (LABELER) CASIO KL-120")</f>
        <v>LABEL MARKER/PRINTER (LABELER) CASIO KL-120</v>
      </c>
      <c r="E2390" s="196" t="str">
        <f>IFERROR(__xludf.DUMMYFUNCTION("""COMPUTED_VALUE"""),"REPLACEMENT OF THE OLD LABELER ")</f>
        <v>REPLACEMENT OF THE OLD LABELER </v>
      </c>
    </row>
    <row r="2391">
      <c r="A2391" s="234">
        <f>IFERROR(__xludf.DUMMYFUNCTION("""COMPUTED_VALUE"""),102682.0)</f>
        <v>102682</v>
      </c>
      <c r="B2391" s="235" t="str">
        <f>IFERROR(__xludf.DUMMYFUNCTION("""COMPUTED_VALUE"""),"OWIE PAR")</f>
        <v>OWIE PAR</v>
      </c>
      <c r="C2391" s="235" t="str">
        <f>IFERROR(__xludf.DUMMYFUNCTION("""COMPUTED_VALUE"""),"ENGINEERING")</f>
        <v>ENGINEERING</v>
      </c>
      <c r="D2391" s="196" t="str">
        <f>IFERROR(__xludf.DUMMYFUNCTION("""COMPUTED_VALUE"""),"2 PAILS GREASE B GONE ")</f>
        <v>2 PAILS GREASE B GONE </v>
      </c>
      <c r="E2391" s="196" t="str">
        <f>IFERROR(__xludf.DUMMYFUNCTION("""COMPUTED_VALUE"""),"ENGINEERNG USE FOR GREASE TRAPS")</f>
        <v>ENGINEERNG USE FOR GREASE TRAPS</v>
      </c>
    </row>
    <row r="2392">
      <c r="A2392" s="234">
        <f>IFERROR(__xludf.DUMMYFUNCTION("""COMPUTED_VALUE"""),102683.0)</f>
        <v>102683</v>
      </c>
      <c r="B2392" s="235" t="str">
        <f>IFERROR(__xludf.DUMMYFUNCTION("""COMPUTED_VALUE"""),"LORRAINE ALMAZAN")</f>
        <v>LORRAINE ALMAZAN</v>
      </c>
      <c r="C2392" s="235" t="str">
        <f>IFERROR(__xludf.DUMMYFUNCTION("""COMPUTED_VALUE"""),"MIS/ICT")</f>
        <v>MIS/ICT</v>
      </c>
      <c r="D2392" s="196" t="str">
        <f>IFERROR(__xludf.DUMMYFUNCTION("""COMPUTED_VALUE"""),"40 PCS. MOANO CONFERENCE MICROPHONE ")</f>
        <v>40 PCS. MOANO CONFERENCE MICROPHONE </v>
      </c>
      <c r="E2392" s="196" t="str">
        <f>IFERROR(__xludf.DUMMYFUNCTION("""COMPUTED_VALUE"""),"ADDITIONAL EQUIPMENT FOR HYVOLT SETUP")</f>
        <v>ADDITIONAL EQUIPMENT FOR HYVOLT SETUP</v>
      </c>
    </row>
    <row r="2393">
      <c r="A2393" s="234">
        <f>IFERROR(__xludf.DUMMYFUNCTION("""COMPUTED_VALUE"""),102684.0)</f>
        <v>102684</v>
      </c>
      <c r="B2393" s="235" t="str">
        <f>IFERROR(__xludf.DUMMYFUNCTION("""COMPUTED_VALUE"""),"LORRAINE ALMAZAN")</f>
        <v>LORRAINE ALMAZAN</v>
      </c>
      <c r="C2393" s="235" t="str">
        <f>IFERROR(__xludf.DUMMYFUNCTION("""COMPUTED_VALUE"""),"MIS/ICT")</f>
        <v>MIS/ICT</v>
      </c>
      <c r="D2393" s="196" t="str">
        <f>IFERROR(__xludf.DUMMYFUNCTION("""COMPUTED_VALUE"""),"40 PCS. A4 TECH WEBCAM 1080P FHD PK-940 HA")</f>
        <v>40 PCS. A4 TECH WEBCAM 1080P FHD PK-940 HA</v>
      </c>
      <c r="E2393" s="196" t="str">
        <f>IFERROR(__xludf.DUMMYFUNCTION("""COMPUTED_VALUE"""),"ADDITIONAL EQUIPMENT FOR HYVOLT SETUP")</f>
        <v>ADDITIONAL EQUIPMENT FOR HYVOLT SETUP</v>
      </c>
    </row>
    <row r="2394">
      <c r="A2394" s="234">
        <f>IFERROR(__xludf.DUMMYFUNCTION("""COMPUTED_VALUE"""),102685.0)</f>
        <v>102685</v>
      </c>
      <c r="B2394" s="235" t="str">
        <f>IFERROR(__xludf.DUMMYFUNCTION("""COMPUTED_VALUE"""),"LORRAINE ALMAZAN")</f>
        <v>LORRAINE ALMAZAN</v>
      </c>
      <c r="C2394" s="235" t="str">
        <f>IFERROR(__xludf.DUMMYFUNCTION("""COMPUTED_VALUE"""),"MIS/ICT")</f>
        <v>MIS/ICT</v>
      </c>
      <c r="D2394" s="196" t="str">
        <f>IFERROR(__xludf.DUMMYFUNCTION("""COMPUTED_VALUE"""),"20 PCS.  EXTENSION CORDS 5 METERS, 20 PCS. 4 GANG OUTLET ")</f>
        <v>20 PCS.  EXTENSION CORDS 5 METERS, 20 PCS. 4 GANG OUTLET </v>
      </c>
      <c r="E2394" s="196" t="str">
        <f>IFERROR(__xludf.DUMMYFUNCTION("""COMPUTED_VALUE"""),"ADDITIONAL EQUIPMENT FOR HYVOLT SETUP")</f>
        <v>ADDITIONAL EQUIPMENT FOR HYVOLT SETUP</v>
      </c>
    </row>
    <row r="2395">
      <c r="A2395" s="234">
        <f>IFERROR(__xludf.DUMMYFUNCTION("""COMPUTED_VALUE"""),102686.0)</f>
        <v>102686</v>
      </c>
      <c r="B2395" s="235" t="str">
        <f>IFERROR(__xludf.DUMMYFUNCTION("""COMPUTED_VALUE"""),"LORRAINE ALMAZAN")</f>
        <v>LORRAINE ALMAZAN</v>
      </c>
      <c r="C2395" s="235" t="str">
        <f>IFERROR(__xludf.DUMMYFUNCTION("""COMPUTED_VALUE"""),"MIS/ICT")</f>
        <v>MIS/ICT</v>
      </c>
      <c r="D2395" s="196" t="str">
        <f>IFERROR(__xludf.DUMMYFUNCTION("""COMPUTED_VALUE"""),"20 PCS. DVI-D TO VGA ADAPTOR ")</f>
        <v>20 PCS. DVI-D TO VGA ADAPTOR </v>
      </c>
      <c r="E2395" s="196" t="str">
        <f>IFERROR(__xludf.DUMMYFUNCTION("""COMPUTED_VALUE"""),"ADDITIONAL EQUIPMENT FOR HYVOLT SETUP")</f>
        <v>ADDITIONAL EQUIPMENT FOR HYVOLT SETUP</v>
      </c>
    </row>
    <row r="2396">
      <c r="A2396" s="234">
        <f>IFERROR(__xludf.DUMMYFUNCTION("""COMPUTED_VALUE"""),102687.0)</f>
        <v>102687</v>
      </c>
      <c r="B2396" s="235" t="str">
        <f>IFERROR(__xludf.DUMMYFUNCTION("""COMPUTED_VALUE"""),"OWIE PAR ")</f>
        <v>OWIE PAR </v>
      </c>
      <c r="C2396" s="235" t="str">
        <f>IFERROR(__xludf.DUMMYFUNCTION("""COMPUTED_VALUE"""),"ENGINEERING")</f>
        <v>ENGINEERING</v>
      </c>
      <c r="D2396" s="196" t="str">
        <f>IFERROR(__xludf.DUMMYFUNCTION("""COMPUTED_VALUE"""),"1 PAIL AIRCON CLEANER, STATE SCRAM 1 BOX")</f>
        <v>1 PAIL AIRCON CLEANER, STATE SCRAM 1 BOX</v>
      </c>
      <c r="E2396" s="196" t="str">
        <f>IFERROR(__xludf.DUMMYFUNCTION("""COMPUTED_VALUE"""),"FOR ACU, CLOGGED TOILET BOWL AND LAVATORIES ")</f>
        <v>FOR ACU, CLOGGED TOILET BOWL AND LAVATORIES </v>
      </c>
    </row>
    <row r="2397">
      <c r="A2397" s="234">
        <f>IFERROR(__xludf.DUMMYFUNCTION("""COMPUTED_VALUE"""),102688.0)</f>
        <v>102688</v>
      </c>
      <c r="B2397" s="235" t="str">
        <f>IFERROR(__xludf.DUMMYFUNCTION("""COMPUTED_VALUE"""),"TIM DIOSAY")</f>
        <v>TIM DIOSAY</v>
      </c>
      <c r="C2397" s="235" t="str">
        <f>IFERROR(__xludf.DUMMYFUNCTION("""COMPUTED_VALUE"""),"ADMIN")</f>
        <v>ADMIN</v>
      </c>
      <c r="D2397" s="196" t="str">
        <f>IFERROR(__xludf.DUMMYFUNCTION("""COMPUTED_VALUE"""),"FURNITURE AND ELECTRICAL DEVICES (PLEASE SEE ATTACHED LCOMPLETE LIST AND QTY)")</f>
        <v>FURNITURE AND ELECTRICAL DEVICES (PLEASE SEE ATTACHED LCOMPLETE LIST AND QTY)</v>
      </c>
      <c r="E2397" s="196" t="str">
        <f>IFERROR(__xludf.DUMMYFUNCTION("""COMPUTED_VALUE"""),"OSM FOR SMIS- ANTEL (FURNITURE AND ELECTRICAL DEVICES)")</f>
        <v>OSM FOR SMIS- ANTEL (FURNITURE AND ELECTRICAL DEVICES)</v>
      </c>
    </row>
    <row r="2398">
      <c r="A2398" s="234">
        <f>IFERROR(__xludf.DUMMYFUNCTION("""COMPUTED_VALUE"""),102689.0)</f>
        <v>102689</v>
      </c>
      <c r="B2398" s="235" t="str">
        <f>IFERROR(__xludf.DUMMYFUNCTION("""COMPUTED_VALUE"""),"MARVIN MARASIGAN")</f>
        <v>MARVIN MARASIGAN</v>
      </c>
      <c r="C2398" s="235" t="str">
        <f>IFERROR(__xludf.DUMMYFUNCTION("""COMPUTED_VALUE"""),"PR &amp; MARKETING")</f>
        <v>PR &amp; MARKETING</v>
      </c>
      <c r="D2398" s="196" t="str">
        <f>IFERROR(__xludf.DUMMYFUNCTION("""COMPUTED_VALUE"""),"2ND LEVEL RAILING BANNER 4M X 35M COLLEGE GRADUATION CONGRATULATORY TARP (8012-35) ")</f>
        <v>2ND LEVEL RAILING BANNER 4M X 35M COLLEGE GRADUATION CONGRATULATORY TARP (8012-35) </v>
      </c>
      <c r="E2398" s="196" t="str">
        <f>IFERROR(__xludf.DUMMYFUNCTION("""COMPUTED_VALUE"""),"FOR MARKETING")</f>
        <v>FOR MARKETING</v>
      </c>
    </row>
    <row r="2399">
      <c r="A2399" s="234">
        <f>IFERROR(__xludf.DUMMYFUNCTION("""COMPUTED_VALUE"""),102690.0)</f>
        <v>102690</v>
      </c>
      <c r="B2399" s="235" t="str">
        <f>IFERROR(__xludf.DUMMYFUNCTION("""COMPUTED_VALUE"""),"JOMEL BUTIAL ")</f>
        <v>JOMEL BUTIAL </v>
      </c>
      <c r="C2399" s="235" t="str">
        <f>IFERROR(__xludf.DUMMYFUNCTION("""COMPUTED_VALUE"""),"AMD")</f>
        <v>AMD</v>
      </c>
      <c r="D2399" s="196" t="str">
        <f>IFERROR(__xludf.DUMMYFUNCTION("""COMPUTED_VALUE"""),"WALL CLOCK (ANALOG) ASAHI")</f>
        <v>WALL CLOCK (ANALOG) ASAHI</v>
      </c>
      <c r="E2399" s="196" t="str">
        <f>IFERROR(__xludf.DUMMYFUNCTION("""COMPUTED_VALUE"""),"OSSUP STOCK REPLENISHMENT")</f>
        <v>OSSUP STOCK REPLENISHMENT</v>
      </c>
    </row>
    <row r="2400">
      <c r="A2400" s="234">
        <f>IFERROR(__xludf.DUMMYFUNCTION("""COMPUTED_VALUE"""),102691.0)</f>
        <v>102691</v>
      </c>
      <c r="B2400" s="235" t="str">
        <f>IFERROR(__xludf.DUMMYFUNCTION("""COMPUTED_VALUE"""),"OWIE PAR")</f>
        <v>OWIE PAR</v>
      </c>
      <c r="C2400" s="235" t="str">
        <f>IFERROR(__xludf.DUMMYFUNCTION("""COMPUTED_VALUE"""),"ADMIN")</f>
        <v>ADMIN</v>
      </c>
      <c r="D2400" s="196" t="str">
        <f>IFERROR(__xludf.DUMMYFUNCTION("""COMPUTED_VALUE"""),"THHN #10 (ELECTRIC WIRES) ")</f>
        <v>THHN #10 (ELECTRIC WIRES) </v>
      </c>
      <c r="E2400" s="196" t="str">
        <f>IFERROR(__xludf.DUMMYFUNCTION("""COMPUTED_VALUE"""),"FOR CORRECTION OF POWER SOURCE OF ACU FROM 3 PHASE TO SINGLE PHASE (LUX HALL)")</f>
        <v>FOR CORRECTION OF POWER SOURCE OF ACU FROM 3 PHASE TO SINGLE PHASE (LUX HALL)</v>
      </c>
    </row>
    <row r="2401">
      <c r="A2401" s="234">
        <f>IFERROR(__xludf.DUMMYFUNCTION("""COMPUTED_VALUE"""),102692.0)</f>
        <v>102692</v>
      </c>
      <c r="B2401" s="235" t="str">
        <f>IFERROR(__xludf.DUMMYFUNCTION("""COMPUTED_VALUE"""),"ALFA DE LEON")</f>
        <v>ALFA DE LEON</v>
      </c>
      <c r="C2401" s="235" t="str">
        <f>IFERROR(__xludf.DUMMYFUNCTION("""COMPUTED_VALUE"""),"ADMIN - MUNICH")</f>
        <v>ADMIN - MUNICH</v>
      </c>
      <c r="D2401" s="196" t="str">
        <f>IFERROR(__xludf.DUMMYFUNCTION("""COMPUTED_VALUE"""),"ORBIT FANS (3D) 3 PCS. ")</f>
        <v>ORBIT FANS (3D) 3 PCS. </v>
      </c>
      <c r="E2401" s="196" t="str">
        <f>IFERROR(__xludf.DUMMYFUNCTION("""COMPUTED_VALUE"""),"REPLACEMENT OF BROKEN ORBIT FANS IN WAITING AREA")</f>
        <v>REPLACEMENT OF BROKEN ORBIT FANS IN WAITING AREA</v>
      </c>
    </row>
    <row r="2402">
      <c r="A2402" s="234">
        <f>IFERROR(__xludf.DUMMYFUNCTION("""COMPUTED_VALUE"""),102693.0)</f>
        <v>102693</v>
      </c>
      <c r="B2402" s="235" t="str">
        <f>IFERROR(__xludf.DUMMYFUNCTION("""COMPUTED_VALUE"""),"OWIE PAR")</f>
        <v>OWIE PAR</v>
      </c>
      <c r="C2402" s="235" t="str">
        <f>IFERROR(__xludf.DUMMYFUNCTION("""COMPUTED_VALUE"""),"ADMIN")</f>
        <v>ADMIN</v>
      </c>
      <c r="D2402" s="196" t="str">
        <f>IFERROR(__xludf.DUMMYFUNCTION("""COMPUTED_VALUE"""),"2 UNITS OF ACU DAIKEN CEILING CASSETTE INVERTER TYPE")</f>
        <v>2 UNITS OF ACU DAIKEN CEILING CASSETTE INVERTER TYPE</v>
      </c>
      <c r="E2402" s="196" t="str">
        <f>IFERROR(__xludf.DUMMYFUNCTION("""COMPUTED_VALUE"""),"ACU REPLACEMEMT COL 4TH FLOOR FACULTY")</f>
        <v>ACU REPLACEMEMT COL 4TH FLOOR FACULTY</v>
      </c>
    </row>
    <row r="2403">
      <c r="A2403" s="234">
        <f>IFERROR(__xludf.DUMMYFUNCTION("""COMPUTED_VALUE"""),102694.0)</f>
        <v>102694</v>
      </c>
      <c r="B2403" s="235" t="str">
        <f>IFERROR(__xludf.DUMMYFUNCTION("""COMPUTED_VALUE"""),"OWIE PAR")</f>
        <v>OWIE PAR</v>
      </c>
      <c r="C2403" s="235" t="str">
        <f>IFERROR(__xludf.DUMMYFUNCTION("""COMPUTED_VALUE"""),"ENGINEERING")</f>
        <v>ENGINEERING</v>
      </c>
      <c r="D2403" s="196" t="str">
        <f>IFERROR(__xludf.DUMMYFUNCTION("""COMPUTED_VALUE"""),"1 PC. DOOR HANDLE ")</f>
        <v>1 PC. DOOR HANDLE </v>
      </c>
      <c r="E2403" s="196" t="str">
        <f>IFERROR(__xludf.DUMMYFUNCTION("""COMPUTED_VALUE"""),"FOR CEM ")</f>
        <v>FOR CEM </v>
      </c>
    </row>
    <row r="2404">
      <c r="A2404" s="234">
        <f>IFERROR(__xludf.DUMMYFUNCTION("""COMPUTED_VALUE"""),102695.0)</f>
        <v>102695</v>
      </c>
      <c r="B2404" s="235" t="str">
        <f>IFERROR(__xludf.DUMMYFUNCTION("""COMPUTED_VALUE"""),"OWIE PAR")</f>
        <v>OWIE PAR</v>
      </c>
      <c r="C2404" s="235" t="str">
        <f>IFERROR(__xludf.DUMMYFUNCTION("""COMPUTED_VALUE"""),"ENGINEERING")</f>
        <v>ENGINEERING</v>
      </c>
      <c r="D2404" s="196" t="str">
        <f>IFERROR(__xludf.DUMMYFUNCTION("""COMPUTED_VALUE"""),"1 PC. TOWEL HOOK , 1 PC. TOWEL BAR, 1 PC. TISSUE HOLDER, 1 PC. FLOOR STRAINER 4X4")</f>
        <v>1 PC. TOWEL HOOK , 1 PC. TOWEL BAR, 1 PC. TISSUE HOLDER, 1 PC. FLOOR STRAINER 4X4</v>
      </c>
      <c r="E2404" s="196" t="str">
        <f>IFERROR(__xludf.DUMMYFUNCTION("""COMPUTED_VALUE"""),"FOR CEM 'S OFFICE")</f>
        <v>FOR CEM 'S OFFICE</v>
      </c>
    </row>
    <row r="2405">
      <c r="A2405" s="234">
        <f>IFERROR(__xludf.DUMMYFUNCTION("""COMPUTED_VALUE"""),102696.0)</f>
        <v>102696</v>
      </c>
      <c r="B2405" s="235" t="str">
        <f>IFERROR(__xludf.DUMMYFUNCTION("""COMPUTED_VALUE"""),"OWIE PAR")</f>
        <v>OWIE PAR</v>
      </c>
      <c r="C2405" s="235" t="str">
        <f>IFERROR(__xludf.DUMMYFUNCTION("""COMPUTED_VALUE"""),"ENGINEERING")</f>
        <v>ENGINEERING</v>
      </c>
      <c r="D2405" s="196" t="str">
        <f>IFERROR(__xludf.DUMMYFUNCTION("""COMPUTED_VALUE"""),"5 pcs. T-5 34"" LONG WARM WHITE, 5 PCS. WOODEN PLANKS 7 1/2 X 51"" ")</f>
        <v>5 pcs. T-5 34" LONG WARM WHITE, 5 PCS. WOODEN PLANKS 7 1/2 X 51" </v>
      </c>
      <c r="E2405" s="196" t="str">
        <f>IFERROR(__xludf.DUMMYFUNCTION("""COMPUTED_VALUE"""),"FOR CEM 'S OFFICE")</f>
        <v>FOR CEM 'S OFFICE</v>
      </c>
    </row>
    <row r="2406">
      <c r="A2406" s="234">
        <f>IFERROR(__xludf.DUMMYFUNCTION("""COMPUTED_VALUE"""),102697.0)</f>
        <v>102697</v>
      </c>
      <c r="B2406" s="235" t="str">
        <f>IFERROR(__xludf.DUMMYFUNCTION("""COMPUTED_VALUE"""),"OWIE PAR")</f>
        <v>OWIE PAR</v>
      </c>
      <c r="C2406" s="235" t="str">
        <f>IFERROR(__xludf.DUMMYFUNCTION("""COMPUTED_VALUE"""),"ENGINEERING")</f>
        <v>ENGINEERING</v>
      </c>
      <c r="D2406" s="196" t="str">
        <f>IFERROR(__xludf.DUMMYFUNCTION("""COMPUTED_VALUE"""),"1 UNIT EXHAUST FAN 10"" CEILING TYPE")</f>
        <v>1 UNIT EXHAUST FAN 10" CEILING TYPE</v>
      </c>
      <c r="E2406" s="196" t="str">
        <f>IFERROR(__xludf.DUMMYFUNCTION("""COMPUTED_VALUE"""),"FOR CEM'S PANTRY AREA")</f>
        <v>FOR CEM'S PANTRY AREA</v>
      </c>
    </row>
    <row r="2407">
      <c r="A2407" s="234">
        <f>IFERROR(__xludf.DUMMYFUNCTION("""COMPUTED_VALUE"""),102698.0)</f>
        <v>102698</v>
      </c>
      <c r="B2407" s="235" t="str">
        <f>IFERROR(__xludf.DUMMYFUNCTION("""COMPUTED_VALUE"""),"MELISSA ODOÑO/LORRAINE ALMAZAN")</f>
        <v>MELISSA ODOÑO/LORRAINE ALMAZAN</v>
      </c>
      <c r="C2407" s="235" t="str">
        <f>IFERROR(__xludf.DUMMYFUNCTION("""COMPUTED_VALUE"""),"MIS/ICT")</f>
        <v>MIS/ICT</v>
      </c>
      <c r="D2407" s="196" t="str">
        <f>IFERROR(__xludf.DUMMYFUNCTION("""COMPUTED_VALUE"""),"VIEWSONIC VA2215-H 22"" MONITOR 7 PCS. ")</f>
        <v>VIEWSONIC VA2215-H 22" MONITOR 7 PCS. </v>
      </c>
      <c r="E2407" s="196" t="str">
        <f>IFERROR(__xludf.DUMMYFUNCTION("""COMPUTED_VALUE"""),"ADDITIONAL MONITOR FOR THE COMPUTER UNITS AT THE COLLEGE LIBRARY ")</f>
        <v>ADDITIONAL MONITOR FOR THE COMPUTER UNITS AT THE COLLEGE LIBRARY </v>
      </c>
    </row>
    <row r="2408">
      <c r="A2408" s="234">
        <f>IFERROR(__xludf.DUMMYFUNCTION("""COMPUTED_VALUE"""),102699.0)</f>
        <v>102699</v>
      </c>
      <c r="B2408" s="235" t="str">
        <f>IFERROR(__xludf.DUMMYFUNCTION("""COMPUTED_VALUE"""),"OWIE PAR ")</f>
        <v>OWIE PAR </v>
      </c>
      <c r="C2408" s="235" t="str">
        <f>IFERROR(__xludf.DUMMYFUNCTION("""COMPUTED_VALUE"""),"ENGINEERING")</f>
        <v>ENGINEERING</v>
      </c>
      <c r="D2408" s="196" t="str">
        <f>IFERROR(__xludf.DUMMYFUNCTION("""COMPUTED_VALUE"""),"1 PC CLEAR GLASS 22"" X 21 3/4"", 2 TUBE GLASS SEALANT CLEAR")</f>
        <v>1 PC CLEAR GLASS 22" X 21 3/4", 2 TUBE GLASS SEALANT CLEAR</v>
      </c>
      <c r="E2408" s="196" t="str">
        <f>IFERROR(__xludf.DUMMYFUNCTION("""COMPUTED_VALUE"""),"REPLACEMENT OF BROKEN WINDOW GLASS LUX 312")</f>
        <v>REPLACEMENT OF BROKEN WINDOW GLASS LUX 312</v>
      </c>
    </row>
    <row r="2409">
      <c r="A2409" s="234">
        <f>IFERROR(__xludf.DUMMYFUNCTION("""COMPUTED_VALUE"""),102700.0)</f>
        <v>102700</v>
      </c>
      <c r="B2409" s="235" t="str">
        <f>IFERROR(__xludf.DUMMYFUNCTION("""COMPUTED_VALUE"""),"MARICEL F. FLORES")</f>
        <v>MARICEL F. FLORES</v>
      </c>
      <c r="C2409" s="235" t="str">
        <f>IFERROR(__xludf.DUMMYFUNCTION("""COMPUTED_VALUE"""),"MEDICAL")</f>
        <v>MEDICAL</v>
      </c>
      <c r="D2409" s="196" t="str">
        <f>IFERROR(__xludf.DUMMYFUNCTION("""COMPUTED_VALUE"""),"50 PCS. SALIVA ANTIGEN TEST KITS JOINSTAR BRAND ")</f>
        <v>50 PCS. SALIVA ANTIGEN TEST KITS JOINSTAR BRAND </v>
      </c>
      <c r="E2409" s="196" t="str">
        <f>IFERROR(__xludf.DUMMYFUNCTION("""COMPUTED_VALUE"""),"CLINIC STOCKS")</f>
        <v>CLINIC STOCKS</v>
      </c>
    </row>
    <row r="2410">
      <c r="A2410" s="234">
        <f>IFERROR(__xludf.DUMMYFUNCTION("""COMPUTED_VALUE"""),102701.0)</f>
        <v>102701</v>
      </c>
      <c r="B2410" s="235" t="str">
        <f>IFERROR(__xludf.DUMMYFUNCTION("""COMPUTED_VALUE"""),"SHEREE ESPINOSA ")</f>
        <v>SHEREE ESPINOSA </v>
      </c>
      <c r="C2410" s="235" t="str">
        <f>IFERROR(__xludf.DUMMYFUNCTION("""COMPUTED_VALUE"""),"ADMIN")</f>
        <v>ADMIN</v>
      </c>
      <c r="D2410" s="196" t="str">
        <f>IFERROR(__xludf.DUMMYFUNCTION("""COMPUTED_VALUE"""),"VANILLA ICE, BORAC 10 KGS., 5 PCS. SANDING PAPER #100, 1 GAL HAPPY RED, 1 GAL VIOLET MIX")</f>
        <v>VANILLA ICE, BORAC 10 KGS., 5 PCS. SANDING PAPER #100, 1 GAL HAPPY RED, 1 GAL VIOLET MIX</v>
      </c>
      <c r="E2410" s="196" t="str">
        <f>IFERROR(__xludf.DUMMYFUNCTION("""COMPUTED_VALUE"""),"CLASSROOM REPAINTING AND CORRECTION OF POP UP TILES ")</f>
        <v>CLASSROOM REPAINTING AND CORRECTION OF POP UP TILES </v>
      </c>
    </row>
    <row r="2411">
      <c r="A2411" s="234">
        <f>IFERROR(__xludf.DUMMYFUNCTION("""COMPUTED_VALUE"""),102702.0)</f>
        <v>102702</v>
      </c>
      <c r="B2411" s="235" t="str">
        <f>IFERROR(__xludf.DUMMYFUNCTION("""COMPUTED_VALUE"""),"EDGAR REBELLON")</f>
        <v>EDGAR REBELLON</v>
      </c>
      <c r="C2411" s="235" t="str">
        <f>IFERROR(__xludf.DUMMYFUNCTION("""COMPUTED_VALUE"""),"AMD")</f>
        <v>AMD</v>
      </c>
      <c r="D2411" s="196" t="str">
        <f>IFERROR(__xludf.DUMMYFUNCTION("""COMPUTED_VALUE"""),"Wired telephone (Panasonic)
Wireless telephone (Motorola)
")</f>
        <v>Wired telephone (Panasonic)
Wireless telephone (Motorola)
</v>
      </c>
      <c r="E2411" s="196" t="str">
        <f>IFERROR(__xludf.DUMMYFUNCTION("""COMPUTED_VALUE"""),"BUFFER STOCKS ")</f>
        <v>BUFFER STOCKS </v>
      </c>
    </row>
    <row r="2412">
      <c r="A2412" s="234">
        <f>IFERROR(__xludf.DUMMYFUNCTION("""COMPUTED_VALUE"""),102703.0)</f>
        <v>102703</v>
      </c>
      <c r="B2412" s="235" t="str">
        <f>IFERROR(__xludf.DUMMYFUNCTION("""COMPUTED_VALUE"""),"VYE REVOLTAR")</f>
        <v>VYE REVOLTAR</v>
      </c>
      <c r="C2412" s="235" t="str">
        <f>IFERROR(__xludf.DUMMYFUNCTION("""COMPUTED_VALUE"""),"CEM OFFICE")</f>
        <v>CEM OFFICE</v>
      </c>
      <c r="D2412" s="196" t="str">
        <f>IFERROR(__xludf.DUMMYFUNCTION("""COMPUTED_VALUE"""),"100 COPIES OFFSET PRINTING OF SISC COFFEE TABLE BOOK ""FULFILLING A DREAM""")</f>
        <v>100 COPIES OFFSET PRINTING OF SISC COFFEE TABLE BOOK "FULFILLING A DREAM"</v>
      </c>
      <c r="E2412" s="196" t="str">
        <f>IFERROR(__xludf.DUMMYFUNCTION("""COMPUTED_VALUE"""),"TO CHRONICLES INFORM THE COMMUNITY ABOUT THE HISTORY OF SISC")</f>
        <v>TO CHRONICLES INFORM THE COMMUNITY ABOUT THE HISTORY OF SISC</v>
      </c>
    </row>
    <row r="2413">
      <c r="A2413" s="234">
        <f>IFERROR(__xludf.DUMMYFUNCTION("""COMPUTED_VALUE"""),102704.0)</f>
        <v>102704</v>
      </c>
      <c r="B2413" s="235" t="str">
        <f>IFERROR(__xludf.DUMMYFUNCTION("""COMPUTED_VALUE"""),"LORRAINE ALMAZAN ")</f>
        <v>LORRAINE ALMAZAN </v>
      </c>
      <c r="C2413" s="235" t="str">
        <f>IFERROR(__xludf.DUMMYFUNCTION("""COMPUTED_VALUE"""),"MIS/ICT")</f>
        <v>MIS/ICT</v>
      </c>
      <c r="D2413" s="196" t="str">
        <f>IFERROR(__xludf.DUMMYFUNCTION("""COMPUTED_VALUE"""),"NVISION N190HD 19"" LED MONITOR - CANCELLED ")</f>
        <v>NVISION N190HD 19" LED MONITOR - CANCELLED </v>
      </c>
      <c r="E2413" s="196" t="str">
        <f>IFERROR(__xludf.DUMMYFUNCTION("""COMPUTED_VALUE"""),"ADDITIONAL EQUIPMENT FOR HYVOLT SET UP")</f>
        <v>ADDITIONAL EQUIPMENT FOR HYVOLT SET UP</v>
      </c>
    </row>
    <row r="2414">
      <c r="A2414" s="234">
        <f>IFERROR(__xludf.DUMMYFUNCTION("""COMPUTED_VALUE"""),102705.0)</f>
        <v>102705</v>
      </c>
      <c r="B2414" s="235" t="str">
        <f>IFERROR(__xludf.DUMMYFUNCTION("""COMPUTED_VALUE"""),"ABIGAIL TOBALADO")</f>
        <v>ABIGAIL TOBALADO</v>
      </c>
      <c r="C2414" s="235" t="str">
        <f>IFERROR(__xludf.DUMMYFUNCTION("""COMPUTED_VALUE"""),"MIS/ICT")</f>
        <v>MIS/ICT</v>
      </c>
      <c r="D2414" s="196" t="str">
        <f>IFERROR(__xludf.DUMMYFUNCTION("""COMPUTED_VALUE"""),"ENFANT- SCHOOL AND KINDERGARTEN WORDPRESS THEME")</f>
        <v>ENFANT- SCHOOL AND KINDERGARTEN WORDPRESS THEME</v>
      </c>
      <c r="E2414" s="196" t="str">
        <f>IFERROR(__xludf.DUMMYFUNCTION("""COMPUTED_VALUE"""),"FOR SSIB WEBSITE MIGRATION ")</f>
        <v>FOR SSIB WEBSITE MIGRATION </v>
      </c>
    </row>
    <row r="2415">
      <c r="A2415" s="234">
        <f>IFERROR(__xludf.DUMMYFUNCTION("""COMPUTED_VALUE"""),102706.0)</f>
        <v>102706</v>
      </c>
      <c r="B2415" s="235" t="str">
        <f>IFERROR(__xludf.DUMMYFUNCTION("""COMPUTED_VALUE"""),"LIZA JIMENEZ")</f>
        <v>LIZA JIMENEZ</v>
      </c>
      <c r="C2415" s="235" t="str">
        <f>IFERROR(__xludf.DUMMYFUNCTION("""COMPUTED_VALUE"""),"NURSING")</f>
        <v>NURSING</v>
      </c>
      <c r="D2415" s="196" t="str">
        <f>IFERROR(__xludf.DUMMYFUNCTION("""COMPUTED_VALUE"""),"LONG RING BINDERS 4 PCS., LONG CLEAR PLASTIC PUNCHED POCKET FOR RING BINDERS")</f>
        <v>LONG RING BINDERS 4 PCS., LONG CLEAR PLASTIC PUNCHED POCKET FOR RING BINDERS</v>
      </c>
      <c r="E2415" s="196" t="str">
        <f>IFERROR(__xludf.DUMMYFUNCTION("""COMPUTED_VALUE"""),"FOR FILING OF DOCUMENTS ")</f>
        <v>FOR FILING OF DOCUMENTS </v>
      </c>
    </row>
    <row r="2416">
      <c r="A2416" s="234">
        <f>IFERROR(__xludf.DUMMYFUNCTION("""COMPUTED_VALUE"""),102707.0)</f>
        <v>102707</v>
      </c>
      <c r="B2416" s="235" t="str">
        <f>IFERROR(__xludf.DUMMYFUNCTION("""COMPUTED_VALUE"""),"JOMEL BUTIAL ")</f>
        <v>JOMEL BUTIAL </v>
      </c>
      <c r="C2416" s="235" t="str">
        <f>IFERROR(__xludf.DUMMYFUNCTION("""COMPUTED_VALUE"""),"AMD")</f>
        <v>AMD</v>
      </c>
      <c r="D2416" s="196" t="str">
        <f>IFERROR(__xludf.DUMMYFUNCTION("""COMPUTED_VALUE"""),"CAT6 CABLE BLUE 3 BOXES (NDOOR)")</f>
        <v>CAT6 CABLE BLUE 3 BOXES (NDOOR)</v>
      </c>
      <c r="E2416" s="196" t="str">
        <f>IFERROR(__xludf.DUMMYFUNCTION("""COMPUTED_VALUE"""),"MIS SUPPLIES REPLENISHMENT / ONE TIME ENROLLMENT IN LUX")</f>
        <v>MIS SUPPLIES REPLENISHMENT / ONE TIME ENROLLMENT IN LUX</v>
      </c>
    </row>
    <row r="2417">
      <c r="A2417" s="234">
        <f>IFERROR(__xludf.DUMMYFUNCTION("""COMPUTED_VALUE"""),102708.0)</f>
        <v>102708</v>
      </c>
      <c r="B2417" s="235" t="str">
        <f>IFERROR(__xludf.DUMMYFUNCTION("""COMPUTED_VALUE"""),"WILBERT BELTRAN")</f>
        <v>WILBERT BELTRAN</v>
      </c>
      <c r="C2417" s="235" t="str">
        <f>IFERROR(__xludf.DUMMYFUNCTION("""COMPUTED_VALUE"""),"MIS/ICT")</f>
        <v>MIS/ICT</v>
      </c>
      <c r="D2417" s="196" t="str">
        <f>IFERROR(__xludf.DUMMYFUNCTION("""COMPUTED_VALUE"""),"CISCO SWITCH 2960S-48TS-1 3 PCS. , CISCO SWITCH 3560S-48 1 PC. ")</f>
        <v>CISCO SWITCH 2960S-48TS-1 3 PCS. , CISCO SWITCH 3560S-48 1 PC. </v>
      </c>
      <c r="E2417" s="196" t="str">
        <f>IFERROR(__xludf.DUMMYFUNCTION("""COMPUTED_VALUE"""),"REPLACEMENT UNIT AND EXTRA UNIT FOR DEPLOYMENT ")</f>
        <v>REPLACEMENT UNIT AND EXTRA UNIT FOR DEPLOYMENT </v>
      </c>
    </row>
    <row r="2418">
      <c r="A2418" s="234">
        <f>IFERROR(__xludf.DUMMYFUNCTION("""COMPUTED_VALUE"""),102709.0)</f>
        <v>102709</v>
      </c>
      <c r="B2418" s="235" t="str">
        <f>IFERROR(__xludf.DUMMYFUNCTION("""COMPUTED_VALUE"""),"WILBERT BELTRAN")</f>
        <v>WILBERT BELTRAN</v>
      </c>
      <c r="C2418" s="235" t="str">
        <f>IFERROR(__xludf.DUMMYFUNCTION("""COMPUTED_VALUE"""),"MIS/ICT")</f>
        <v>MIS/ICT</v>
      </c>
      <c r="D2418" s="196" t="str">
        <f>IFERROR(__xludf.DUMMYFUNCTION("""COMPUTED_VALUE"""),"25 pcs. UBIQUITY ACCESS POINT PRO, 2 PCS. UBIQUITY UNIFI AP-OUTDOOR 5G")</f>
        <v>25 pcs. UBIQUITY ACCESS POINT PRO, 2 PCS. UBIQUITY UNIFI AP-OUTDOOR 5G</v>
      </c>
      <c r="E2418" s="196" t="str">
        <f>IFERROR(__xludf.DUMMYFUNCTION("""COMPUTED_VALUE"""),"ADDTL ACCCESS POINT TO BOOST CONNECTION IN TROPICAL AND OUTDOOR")</f>
        <v>ADDTL ACCCESS POINT TO BOOST CONNECTION IN TROPICAL AND OUTDOOR</v>
      </c>
    </row>
    <row r="2419">
      <c r="A2419" s="234">
        <f>IFERROR(__xludf.DUMMYFUNCTION("""COMPUTED_VALUE"""),102710.0)</f>
        <v>102710</v>
      </c>
      <c r="B2419" s="235" t="str">
        <f>IFERROR(__xludf.DUMMYFUNCTION("""COMPUTED_VALUE"""),"PHEN PETIN ")</f>
        <v>PHEN PETIN </v>
      </c>
      <c r="C2419" s="235" t="str">
        <f>IFERROR(__xludf.DUMMYFUNCTION("""COMPUTED_VALUE"""),"ADMIN - STAR")</f>
        <v>ADMIN - STAR</v>
      </c>
      <c r="D2419" s="196" t="str">
        <f>IFERROR(__xludf.DUMMYFUNCTION("""COMPUTED_VALUE"""),"DIESEL ENGINE OIL, FUEL FILTER, OLFILTER, HEAD GASKET, GASKET MAKER")</f>
        <v>DIESEL ENGINE OIL, FUEL FILTER, OLFILTER, HEAD GASKET, GASKET MAKER</v>
      </c>
      <c r="E2419" s="196" t="str">
        <f>IFERROR(__xludf.DUMMYFUNCTION("""COMPUTED_VALUE"""),"PM GENSET AT STAR CAMPUS")</f>
        <v>PM GENSET AT STAR CAMPUS</v>
      </c>
    </row>
    <row r="2420">
      <c r="A2420" s="234">
        <f>IFERROR(__xludf.DUMMYFUNCTION("""COMPUTED_VALUE"""),102711.0)</f>
        <v>102711</v>
      </c>
      <c r="B2420" s="235" t="str">
        <f>IFERROR(__xludf.DUMMYFUNCTION("""COMPUTED_VALUE"""),"LORRAINE ALMAZAN ")</f>
        <v>LORRAINE ALMAZAN </v>
      </c>
      <c r="C2420" s="235" t="str">
        <f>IFERROR(__xludf.DUMMYFUNCTION("""COMPUTED_VALUE"""),"MIS/ICT")</f>
        <v>MIS/ICT</v>
      </c>
      <c r="D2420" s="196" t="str">
        <f>IFERROR(__xludf.DUMMYFUNCTION("""COMPUTED_VALUE"""),"50 PCS. KINGSTONE 4GB DDR3 RAM, 50 PCS. KINGSTON KC600 256 GB SSD")</f>
        <v>50 PCS. KINGSTONE 4GB DDR3 RAM, 50 PCS. KINGSTON KC600 256 GB SSD</v>
      </c>
      <c r="E2420" s="196" t="str">
        <f>IFERROR(__xludf.DUMMYFUNCTION("""COMPUTED_VALUE"""),"OFFICE COMPUTER UPGRADE")</f>
        <v>OFFICE COMPUTER UPGRADE</v>
      </c>
    </row>
    <row r="2421">
      <c r="A2421" s="234">
        <f>IFERROR(__xludf.DUMMYFUNCTION("""COMPUTED_VALUE"""),102712.0)</f>
        <v>102712</v>
      </c>
      <c r="B2421" s="235" t="str">
        <f>IFERROR(__xludf.DUMMYFUNCTION("""COMPUTED_VALUE"""),"ELMIE LAUDITO")</f>
        <v>ELMIE LAUDITO</v>
      </c>
      <c r="C2421" s="235" t="str">
        <f>IFERROR(__xludf.DUMMYFUNCTION("""COMPUTED_VALUE"""),"HRMD")</f>
        <v>HRMD</v>
      </c>
      <c r="D2421" s="196" t="str">
        <f>IFERROR(__xludf.DUMMYFUNCTION("""COMPUTED_VALUE"""),"315 PCS. SUCCULENTS")</f>
        <v>315 PCS. SUCCULENTS</v>
      </c>
      <c r="E2421" s="196" t="str">
        <f>IFERROR(__xludf.DUMMYFUNCTION("""COMPUTED_VALUE"""),"WELCOME KIT TO ALL EMPLOYEES")</f>
        <v>WELCOME KIT TO ALL EMPLOYEES</v>
      </c>
    </row>
    <row r="2422">
      <c r="A2422" s="234">
        <f>IFERROR(__xludf.DUMMYFUNCTION("""COMPUTED_VALUE"""),102713.0)</f>
        <v>102713</v>
      </c>
      <c r="B2422" s="235" t="str">
        <f>IFERROR(__xludf.DUMMYFUNCTION("""COMPUTED_VALUE"""),"RAQUELYN NUÑEZ")</f>
        <v>RAQUELYN NUÑEZ</v>
      </c>
      <c r="C2422" s="235" t="str">
        <f>IFERROR(__xludf.DUMMYFUNCTION("""COMPUTED_VALUE"""),"ADMIN")</f>
        <v>ADMIN</v>
      </c>
      <c r="D2422" s="196" t="str">
        <f>IFERROR(__xludf.DUMMYFUNCTION("""COMPUTED_VALUE"""),"1 UNIT AUTOMATIC WASHING MACHINE  7.0 KG SHARP ESJNO7A9")</f>
        <v>1 UNIT AUTOMATIC WASHING MACHINE  7.0 KG SHARP ESJNO7A9</v>
      </c>
      <c r="E2422" s="196" t="str">
        <f>IFERROR(__xludf.DUMMYFUNCTION("""COMPUTED_VALUE"""),"FOR NARRA HOUSE  (DR. ARDEE'S HOUSE)")</f>
        <v>FOR NARRA HOUSE  (DR. ARDEE'S HOUSE)</v>
      </c>
    </row>
    <row r="2423">
      <c r="A2423" s="234">
        <f>IFERROR(__xludf.DUMMYFUNCTION("""COMPUTED_VALUE"""),102714.0)</f>
        <v>102714</v>
      </c>
      <c r="B2423" s="235" t="str">
        <f>IFERROR(__xludf.DUMMYFUNCTION("""COMPUTED_VALUE"""),"RAQUELYN NUÑEZ")</f>
        <v>RAQUELYN NUÑEZ</v>
      </c>
      <c r="C2423" s="235" t="str">
        <f>IFERROR(__xludf.DUMMYFUNCTION("""COMPUTED_VALUE"""),"ADMIN")</f>
        <v>ADMIN</v>
      </c>
      <c r="D2423" s="196" t="str">
        <f>IFERROR(__xludf.DUMMYFUNCTION("""COMPUTED_VALUE"""),"NEW GAS TANK 11 KG ""BRENT GAS"" ")</f>
        <v>NEW GAS TANK 11 KG "BRENT GAS" </v>
      </c>
      <c r="E2423" s="196" t="str">
        <f>IFERROR(__xludf.DUMMYFUNCTION("""COMPUTED_VALUE"""),"FOR NARRA HOUSE  (DR. ARDEE'S HOUSE)")</f>
        <v>FOR NARRA HOUSE  (DR. ARDEE'S HOUSE)</v>
      </c>
    </row>
    <row r="2424">
      <c r="A2424" s="234">
        <f>IFERROR(__xludf.DUMMYFUNCTION("""COMPUTED_VALUE"""),102715.0)</f>
        <v>102715</v>
      </c>
      <c r="B2424" s="235" t="str">
        <f>IFERROR(__xludf.DUMMYFUNCTION("""COMPUTED_VALUE"""),"ALFA DE LEON")</f>
        <v>ALFA DE LEON</v>
      </c>
      <c r="C2424" s="235" t="str">
        <f>IFERROR(__xludf.DUMMYFUNCTION("""COMPUTED_VALUE"""),"ADMIN - MUNICH")</f>
        <v>ADMIN - MUNICH</v>
      </c>
      <c r="D2424" s="196" t="str">
        <f>IFERROR(__xludf.DUMMYFUNCTION("""COMPUTED_VALUE"""),"UPHOLSTERY OF FOAM")</f>
        <v>UPHOLSTERY OF FOAM</v>
      </c>
      <c r="E2424" s="196" t="str">
        <f>IFERROR(__xludf.DUMMYFUNCTION("""COMPUTED_VALUE"""),"UPHOLSTERY OF FOAM IN THE MONKEY BAR")</f>
        <v>UPHOLSTERY OF FOAM IN THE MONKEY BAR</v>
      </c>
    </row>
    <row r="2425">
      <c r="A2425" s="234">
        <f>IFERROR(__xludf.DUMMYFUNCTION("""COMPUTED_VALUE"""),102716.0)</f>
        <v>102716</v>
      </c>
      <c r="B2425" s="235" t="str">
        <f>IFERROR(__xludf.DUMMYFUNCTION("""COMPUTED_VALUE"""),"ALFA DE LEON")</f>
        <v>ALFA DE LEON</v>
      </c>
      <c r="C2425" s="235" t="str">
        <f>IFERROR(__xludf.DUMMYFUNCTION("""COMPUTED_VALUE"""),"ADMIN - MUNICH")</f>
        <v>ADMIN - MUNICH</v>
      </c>
      <c r="D2425" s="196" t="str">
        <f>IFERROR(__xludf.DUMMYFUNCTION("""COMPUTED_VALUE"""),"HEPA FILTER ")</f>
        <v>HEPA FILTER </v>
      </c>
      <c r="E2425" s="196" t="str">
        <f>IFERROR(__xludf.DUMMYFUNCTION("""COMPUTED_VALUE"""),"SANITATION- CLASSROOMS, LABORATORY, CARES CAFE")</f>
        <v>SANITATION- CLASSROOMS, LABORATORY, CARES CAFE</v>
      </c>
    </row>
    <row r="2426">
      <c r="A2426" s="234">
        <f>IFERROR(__xludf.DUMMYFUNCTION("""COMPUTED_VALUE"""),102717.0)</f>
        <v>102717</v>
      </c>
      <c r="B2426" s="235" t="str">
        <f>IFERROR(__xludf.DUMMYFUNCTION("""COMPUTED_VALUE"""),"LUCILLE BEYER ")</f>
        <v>LUCILLE BEYER </v>
      </c>
      <c r="C2426" s="235" t="str">
        <f>IFERROR(__xludf.DUMMYFUNCTION("""COMPUTED_VALUE"""),"MEDICAL")</f>
        <v>MEDICAL</v>
      </c>
      <c r="D2426" s="196" t="str">
        <f>IFERROR(__xludf.DUMMYFUNCTION("""COMPUTED_VALUE"""),"CLINIC SUPPLIES AND MEDICINES ")</f>
        <v>CLINIC SUPPLIES AND MEDICINES </v>
      </c>
      <c r="E2426" s="196" t="str">
        <f>IFERROR(__xludf.DUMMYFUNCTION("""COMPUTED_VALUE"""),"FOR REPLENISHMENT OF CLINIC SUPPLIES/MEDS (FOR 2 CLINICS)")</f>
        <v>FOR REPLENISHMENT OF CLINIC SUPPLIES/MEDS (FOR 2 CLINICS)</v>
      </c>
    </row>
    <row r="2427">
      <c r="A2427" s="234">
        <f>IFERROR(__xludf.DUMMYFUNCTION("""COMPUTED_VALUE"""),102718.0)</f>
        <v>102718</v>
      </c>
      <c r="B2427" s="235" t="str">
        <f>IFERROR(__xludf.DUMMYFUNCTION("""COMPUTED_VALUE"""),"SHEREE ESPINOSA")</f>
        <v>SHEREE ESPINOSA</v>
      </c>
      <c r="C2427" s="235" t="str">
        <f>IFERROR(__xludf.DUMMYFUNCTION("""COMPUTED_VALUE"""),"ADMIN")</f>
        <v>ADMIN</v>
      </c>
      <c r="D2427" s="196" t="str">
        <f>IFERROR(__xludf.DUMMYFUNCTION("""COMPUTED_VALUE"""),"CEILING MOUNTED PROJECTOR ")</f>
        <v>CEILING MOUNTED PROJECTOR </v>
      </c>
      <c r="E2427" s="196" t="str">
        <f>IFERROR(__xludf.DUMMYFUNCTION("""COMPUTED_VALUE"""),"FOR SMIS (ANTEl)")</f>
        <v>FOR SMIS (ANTEl)</v>
      </c>
    </row>
    <row r="2428">
      <c r="A2428" s="234">
        <f>IFERROR(__xludf.DUMMYFUNCTION("""COMPUTED_VALUE"""),102719.0)</f>
        <v>102719</v>
      </c>
      <c r="B2428" s="235" t="str">
        <f>IFERROR(__xludf.DUMMYFUNCTION("""COMPUTED_VALUE"""),"ALFA DE LEON ")</f>
        <v>ALFA DE LEON </v>
      </c>
      <c r="C2428" s="235" t="str">
        <f>IFERROR(__xludf.DUMMYFUNCTION("""COMPUTED_VALUE"""),"ADMIN - MUNICH")</f>
        <v>ADMIN - MUNICH</v>
      </c>
      <c r="D2428" s="196" t="str">
        <f>IFERROR(__xludf.DUMMYFUNCTION("""COMPUTED_VALUE"""),"TRASH BIN SMALL 31 PCS.")</f>
        <v>TRASH BIN SMALL 31 PCS.</v>
      </c>
      <c r="E2428" s="196" t="str">
        <f>IFERROR(__xludf.DUMMYFUNCTION("""COMPUTED_VALUE"""),"TRASH CAN INFECTIOUS WASTE ")</f>
        <v>TRASH CAN INFECTIOUS WASTE </v>
      </c>
    </row>
    <row r="2429">
      <c r="A2429" s="234">
        <f>IFERROR(__xludf.DUMMYFUNCTION("""COMPUTED_VALUE"""),102720.0)</f>
        <v>102720</v>
      </c>
      <c r="B2429" s="235" t="str">
        <f>IFERROR(__xludf.DUMMYFUNCTION("""COMPUTED_VALUE"""),"ALFA DE LEON ")</f>
        <v>ALFA DE LEON </v>
      </c>
      <c r="C2429" s="235" t="str">
        <f>IFERROR(__xludf.DUMMYFUNCTION("""COMPUTED_VALUE"""),"ADMIN - MUNICH")</f>
        <v>ADMIN - MUNICH</v>
      </c>
      <c r="D2429" s="196" t="str">
        <f>IFERROR(__xludf.DUMMYFUNCTION("""COMPUTED_VALUE"""),"UV STERILIZATION BOX  12 PCS. ")</f>
        <v>UV STERILIZATION BOX  12 PCS. </v>
      </c>
      <c r="E2429" s="196" t="str">
        <f>IFERROR(__xludf.DUMMYFUNCTION("""COMPUTED_VALUE"""),"FOR CLASSROOM USE ROOM 101,103,303,304,305,306,307,308,309,311,312,313")</f>
        <v>FOR CLASSROOM USE ROOM 101,103,303,304,305,306,307,308,309,311,312,313</v>
      </c>
    </row>
    <row r="2430">
      <c r="A2430" s="234">
        <f>IFERROR(__xludf.DUMMYFUNCTION("""COMPUTED_VALUE"""),102721.0)</f>
        <v>102721</v>
      </c>
      <c r="B2430" s="235" t="str">
        <f>IFERROR(__xludf.DUMMYFUNCTION("""COMPUTED_VALUE"""),"JAN GUTTIEREZ")</f>
        <v>JAN GUTTIEREZ</v>
      </c>
      <c r="C2430" s="235" t="str">
        <f>IFERROR(__xludf.DUMMYFUNCTION("""COMPUTED_VALUE"""),"DP'S OFFICE")</f>
        <v>DP'S OFFICE</v>
      </c>
      <c r="D2430" s="196" t="str">
        <f>IFERROR(__xludf.DUMMYFUNCTION("""COMPUTED_VALUE"""),"PANASONIC CORDLESS PHONE ANALOGUE ")</f>
        <v>PANASONIC CORDLESS PHONE ANALOGUE </v>
      </c>
      <c r="E2430" s="196" t="str">
        <f>IFERROR(__xludf.DUMMYFUNCTION("""COMPUTED_VALUE"""),"REPLACEMENT OF DEFFECTIVE CORDLESS UNIT IN THE DP'S OFFICE. ")</f>
        <v>REPLACEMENT OF DEFFECTIVE CORDLESS UNIT IN THE DP'S OFFICE. </v>
      </c>
    </row>
    <row r="2431">
      <c r="A2431" s="234">
        <f>IFERROR(__xludf.DUMMYFUNCTION("""COMPUTED_VALUE"""),102722.0)</f>
        <v>102722</v>
      </c>
      <c r="B2431" s="235" t="str">
        <f>IFERROR(__xludf.DUMMYFUNCTION("""COMPUTED_VALUE"""),"BRENT DARYL TEMPLO")</f>
        <v>BRENT DARYL TEMPLO</v>
      </c>
      <c r="C2431" s="235" t="str">
        <f>IFERROR(__xludf.DUMMYFUNCTION("""COMPUTED_VALUE"""),"AMD")</f>
        <v>AMD</v>
      </c>
      <c r="D2431" s="196" t="str">
        <f>IFERROR(__xludf.DUMMYFUNCTION("""COMPUTED_VALUE"""),"Tape, Packaging Tape (2"")
Paper, Copy-Laser A4 Sub. 20 White
Folder, Fortune White Short
Folder, Fortune White Long
Rubber Band, Multicolor 50g/box
Marker, Whiteboard - Pilot Black
Marker, Whiteboard - Pilot Blue
Marker, Whiteboard - Pilot Red
Ma"&amp;"rker, Pilot Broad Red
Marker, Pilot Broad Blue
")</f>
        <v>Tape, Packaging Tape (2")
Paper, Copy-Laser A4 Sub. 20 White
Folder, Fortune White Short
Folder, Fortune White Long
Rubber Band, Multicolor 50g/box
Marker, Whiteboard - Pilot Black
Marker, Whiteboard - Pilot Blue
Marker, Whiteboard - Pilot Red
Marker, Pilot Broad Red
Marker, Pilot Broad Blue
</v>
      </c>
      <c r="E2431" s="196" t="str">
        <f>IFERROR(__xludf.DUMMYFUNCTION("""COMPUTED_VALUE"""),"OSSUP REPLENISHMENT")</f>
        <v>OSSUP REPLENISHMENT</v>
      </c>
    </row>
    <row r="2432">
      <c r="A2432" s="234">
        <f>IFERROR(__xludf.DUMMYFUNCTION("""COMPUTED_VALUE"""),102723.0)</f>
        <v>102723</v>
      </c>
      <c r="B2432" s="235" t="str">
        <f>IFERROR(__xludf.DUMMYFUNCTION("""COMPUTED_VALUE"""),"SHEREE ESPINOSA")</f>
        <v>SHEREE ESPINOSA</v>
      </c>
      <c r="C2432" s="235" t="str">
        <f>IFERROR(__xludf.DUMMYFUNCTION("""COMPUTED_VALUE"""),"ADMIN")</f>
        <v>ADMIN</v>
      </c>
      <c r="D2432" s="196" t="str">
        <f>IFERROR(__xludf.DUMMYFUNCTION("""COMPUTED_VALUE"""),"38 PCS. TROFFER LIGHTS 60X60 SQUARE CM ")</f>
        <v>38 PCS. TROFFER LIGHTS 60X60 SQUARE CM </v>
      </c>
      <c r="E2432" s="196" t="str">
        <f>IFERROR(__xludf.DUMMYFUNCTION("""COMPUTED_VALUE"""),"FOR SMIS ANTEL ")</f>
        <v>FOR SMIS ANTEL </v>
      </c>
    </row>
    <row r="2433">
      <c r="A2433" s="234">
        <f>IFERROR(__xludf.DUMMYFUNCTION("""COMPUTED_VALUE"""),102724.0)</f>
        <v>102724</v>
      </c>
      <c r="B2433" s="235" t="str">
        <f>IFERROR(__xludf.DUMMYFUNCTION("""COMPUTED_VALUE"""),"SHEREE ESPINOSA")</f>
        <v>SHEREE ESPINOSA</v>
      </c>
      <c r="C2433" s="235" t="str">
        <f>IFERROR(__xludf.DUMMYFUNCTION("""COMPUTED_VALUE"""),"ADMIN")</f>
        <v>ADMIN</v>
      </c>
      <c r="D2433" s="196" t="str">
        <f>IFERROR(__xludf.DUMMYFUNCTION("""COMPUTED_VALUE"""),"14 SWIVEL CHAIRS, 6 VISITOR'S CHAIRS - PRF transfered to SGEN ")</f>
        <v>14 SWIVEL CHAIRS, 6 VISITOR'S CHAIRS - PRF transfered to SGEN </v>
      </c>
      <c r="E2433" s="196" t="str">
        <f>IFERROR(__xludf.DUMMYFUNCTION("""COMPUTED_VALUE"""),"FOR SMIS ANTEL ")</f>
        <v>FOR SMIS ANTEL </v>
      </c>
    </row>
    <row r="2434">
      <c r="A2434" s="234">
        <f>IFERROR(__xludf.DUMMYFUNCTION("""COMPUTED_VALUE"""),102725.0)</f>
        <v>102725</v>
      </c>
      <c r="B2434" s="235" t="str">
        <f>IFERROR(__xludf.DUMMYFUNCTION("""COMPUTED_VALUE"""),"SHEREE ESPINOSA")</f>
        <v>SHEREE ESPINOSA</v>
      </c>
      <c r="C2434" s="235" t="str">
        <f>IFERROR(__xludf.DUMMYFUNCTION("""COMPUTED_VALUE"""),"ADMIN")</f>
        <v>ADMIN</v>
      </c>
      <c r="D2434" s="196" t="str">
        <f>IFERROR(__xludf.DUMMYFUNCTION("""COMPUTED_VALUE"""),"6 PCS. KIDNEY TABLE ")</f>
        <v>6 PCS. KIDNEY TABLE </v>
      </c>
      <c r="E2434" s="196" t="str">
        <f>IFERROR(__xludf.DUMMYFUNCTION("""COMPUTED_VALUE"""),"FOR SMIS ANTEL ")</f>
        <v>FOR SMIS ANTEL </v>
      </c>
    </row>
    <row r="2435">
      <c r="A2435" s="234">
        <f>IFERROR(__xludf.DUMMYFUNCTION("""COMPUTED_VALUE"""),102726.0)</f>
        <v>102726</v>
      </c>
      <c r="B2435" s="235" t="str">
        <f>IFERROR(__xludf.DUMMYFUNCTION("""COMPUTED_VALUE"""),"CARLITO DELA VEGA ")</f>
        <v>CARLITO DELA VEGA </v>
      </c>
      <c r="C2435" s="235" t="str">
        <f>IFERROR(__xludf.DUMMYFUNCTION("""COMPUTED_VALUE"""),"SECURITY")</f>
        <v>SECURITY</v>
      </c>
      <c r="D2435" s="196" t="str">
        <f>IFERROR(__xludf.DUMMYFUNCTION("""COMPUTED_VALUE"""),"12 PCS. SLIM ENTRY ALARM HOMESAFE MODEL 218, 48 CELL BATTERY GP A76")</f>
        <v>12 PCS. SLIM ENTRY ALARM HOMESAFE MODEL 218, 48 CELL BATTERY GP A76</v>
      </c>
      <c r="E2435" s="196" t="str">
        <f>IFERROR(__xludf.DUMMYFUNCTION("""COMPUTED_VALUE"""),"SECURITY LUX EMERGENCY EXIT DOORS ALARM (LUX)")</f>
        <v>SECURITY LUX EMERGENCY EXIT DOORS ALARM (LUX)</v>
      </c>
    </row>
    <row r="2436">
      <c r="A2436" s="234">
        <f>IFERROR(__xludf.DUMMYFUNCTION("""COMPUTED_VALUE"""),102727.0)</f>
        <v>102727</v>
      </c>
      <c r="B2436" s="235" t="str">
        <f>IFERROR(__xludf.DUMMYFUNCTION("""COMPUTED_VALUE"""),"CHRISTIAN S. ANRES ")</f>
        <v>CHRISTIAN S. ANRES </v>
      </c>
      <c r="C2436" s="235" t="str">
        <f>IFERROR(__xludf.DUMMYFUNCTION("""COMPUTED_VALUE"""),"PR &amp; MARKETING")</f>
        <v>PR &amp; MARKETING</v>
      </c>
      <c r="D2436" s="196" t="str">
        <f>IFERROR(__xludf.DUMMYFUNCTION("""COMPUTED_VALUE"""),"COMPUTER UNIT - AMD RYZEN 5 5600X, GIGABYTES GA-B450-AORUS MOTHERBOARD, KINGSTON 16 GB FURY  BEAST RAM, PALIT GT 730 2 GB VIDEO CARD, WD 240 GB SSD, SEAGATE 1 TB HDD, DARK FLASH WATER SQUARE CASING, TECHWARE ORBIT FAN, CORSAIR CV750 WATTS POWER SUPPLY")</f>
        <v>COMPUTER UNIT - AMD RYZEN 5 5600X, GIGABYTES GA-B450-AORUS MOTHERBOARD, KINGSTON 16 GB FURY  BEAST RAM, PALIT GT 730 2 GB VIDEO CARD, WD 240 GB SSD, SEAGATE 1 TB HDD, DARK FLASH WATER SQUARE CASING, TECHWARE ORBIT FAN, CORSAIR CV750 WATTS POWER SUPPLY</v>
      </c>
      <c r="E2436" s="196" t="str">
        <f>IFERROR(__xludf.DUMMYFUNCTION("""COMPUTED_VALUE"""),"PR EQUIPMENT FOR HIGH END PERFORAMNCE DESIGNING FOR NEW EMPLOYEES WHO WILL DESIGN ALSO. ")</f>
        <v>PR EQUIPMENT FOR HIGH END PERFORAMNCE DESIGNING FOR NEW EMPLOYEES WHO WILL DESIGN ALSO. </v>
      </c>
    </row>
    <row r="2437">
      <c r="A2437" s="234">
        <f>IFERROR(__xludf.DUMMYFUNCTION("""COMPUTED_VALUE"""),102728.0)</f>
        <v>102728</v>
      </c>
      <c r="B2437" s="235" t="str">
        <f>IFERROR(__xludf.DUMMYFUNCTION("""COMPUTED_VALUE"""),"TIM DIOSAY ")</f>
        <v>TIM DIOSAY </v>
      </c>
      <c r="C2437" s="235" t="str">
        <f>IFERROR(__xludf.DUMMYFUNCTION("""COMPUTED_VALUE"""),"ADMIN")</f>
        <v>ADMIN</v>
      </c>
      <c r="D2437" s="196" t="str">
        <f>IFERROR(__xludf.DUMMYFUNCTION("""COMPUTED_VALUE"""),"POLYCARBONATE, 6MM, BROWN AND SOLID")</f>
        <v>POLYCARBONATE, 6MM, BROWN AND SOLID</v>
      </c>
      <c r="E2437" s="196" t="str">
        <f>IFERROR(__xludf.DUMMYFUNCTION("""COMPUTED_VALUE"""),"FOR CANOPY IN LUX CAFETERIA CLINIC AND IN FRONT OF GROUND FLOOR TOILET (MONARCHS PARK) FOR REPLACEMENT")</f>
        <v>FOR CANOPY IN LUX CAFETERIA CLINIC AND IN FRONT OF GROUND FLOOR TOILET (MONARCHS PARK) FOR REPLACEMENT</v>
      </c>
    </row>
    <row r="2438">
      <c r="A2438" s="234">
        <f>IFERROR(__xludf.DUMMYFUNCTION("""COMPUTED_VALUE"""),102729.0)</f>
        <v>102729</v>
      </c>
      <c r="B2438" s="235" t="str">
        <f>IFERROR(__xludf.DUMMYFUNCTION("""COMPUTED_VALUE"""),"OWIE PAR")</f>
        <v>OWIE PAR</v>
      </c>
      <c r="C2438" s="235" t="str">
        <f>IFERROR(__xludf.DUMMYFUNCTION("""COMPUTED_VALUE"""),"ENGINEERING")</f>
        <v>ENGINEERING</v>
      </c>
      <c r="D2438" s="196" t="str">
        <f>IFERROR(__xludf.DUMMYFUNCTION("""COMPUTED_VALUE"""),"2 PCS. PARKING LIGHTS 70W, 1 ROLL THHN #12, 1 PC. ANICO PVC BOX 2X4, 1 SET WIRE TIRES SWITCH 2 GANG, PVC PIPE 1/2 ORANGE ")</f>
        <v>2 PCS. PARKING LIGHTS 70W, 1 ROLL THHN #12, 1 PC. ANICO PVC BOX 2X4, 1 SET WIRE TIRES SWITCH 2 GANG, PVC PIPE 1/2 ORANGE </v>
      </c>
      <c r="E2438" s="196" t="str">
        <f>IFERROR(__xludf.DUMMYFUNCTION("""COMPUTED_VALUE"""),"FOR COLLEGE PARKING NEAR AT THE WATER TREATMENT FACILITIES ")</f>
        <v>FOR COLLEGE PARKING NEAR AT THE WATER TREATMENT FACILITIES </v>
      </c>
    </row>
    <row r="2439">
      <c r="A2439" s="234">
        <f>IFERROR(__xludf.DUMMYFUNCTION("""COMPUTED_VALUE"""),102730.0)</f>
        <v>102730</v>
      </c>
      <c r="B2439" s="235" t="str">
        <f>IFERROR(__xludf.DUMMYFUNCTION("""COMPUTED_VALUE"""),"PAUL ARAÑA - CANCELLED ")</f>
        <v>PAUL ARAÑA - CANCELLED </v>
      </c>
      <c r="C2439" s="235" t="str">
        <f>IFERROR(__xludf.DUMMYFUNCTION("""COMPUTED_VALUE"""),"MIS/ICT")</f>
        <v>MIS/ICT</v>
      </c>
      <c r="D2439" s="196" t="str">
        <f>IFERROR(__xludf.DUMMYFUNCTION("""COMPUTED_VALUE"""),"36 IOM HDMI CABLE, 20 USB EXTENDER 15M, 36 USB HUB 4 PORTS - CANCELLED ")</f>
        <v>36 IOM HDMI CABLE, 20 USB EXTENDER 15M, 36 USB HUB 4 PORTS - CANCELLED </v>
      </c>
      <c r="E2439" s="196" t="str">
        <f>IFERROR(__xludf.DUMMYFUNCTION("""COMPUTED_VALUE"""),"HYVOLT CLASSROOM SET UP- ADDITIONAL UNITS")</f>
        <v>HYVOLT CLASSROOM SET UP- ADDITIONAL UNITS</v>
      </c>
    </row>
    <row r="2440">
      <c r="A2440" s="234">
        <f>IFERROR(__xludf.DUMMYFUNCTION("""COMPUTED_VALUE"""),102731.0)</f>
        <v>102731</v>
      </c>
      <c r="B2440" s="235" t="str">
        <f>IFERROR(__xludf.DUMMYFUNCTION("""COMPUTED_VALUE"""),"OWIE PAR")</f>
        <v>OWIE PAR</v>
      </c>
      <c r="C2440" s="235" t="str">
        <f>IFERROR(__xludf.DUMMYFUNCTION("""COMPUTED_VALUE"""),"ENGINEERING")</f>
        <v>ENGINEERING</v>
      </c>
      <c r="D2440" s="196" t="str">
        <f>IFERROR(__xludf.DUMMYFUNCTION("""COMPUTED_VALUE"""),"15 MTRS THHN#12, 4 LENGTHS PVC MOULDING 1/2, 1 PC. AMCO PVC BOX 2X4, 10 PAIRS TOX AND SCREW # 6, 1 PC. MASONRY BIT #6, 3 SETS WIDE SERIES OUTLET 2 GANG")</f>
        <v>15 MTRS THHN#12, 4 LENGTHS PVC MOULDING 1/2, 1 PC. AMCO PVC BOX 2X4, 10 PAIRS TOX AND SCREW # 6, 1 PC. MASONRY BIT #6, 3 SETS WIDE SERIES OUTLET 2 GANG</v>
      </c>
      <c r="E2440" s="196" t="str">
        <f>IFERROR(__xludf.DUMMYFUNCTION("""COMPUTED_VALUE"""),"FOR COLLEGE STUDENT AFFAIRS ")</f>
        <v>FOR COLLEGE STUDENT AFFAIRS </v>
      </c>
    </row>
    <row r="2441">
      <c r="A2441" s="234">
        <f>IFERROR(__xludf.DUMMYFUNCTION("""COMPUTED_VALUE"""),102732.0)</f>
        <v>102732</v>
      </c>
      <c r="B2441" s="235" t="str">
        <f>IFERROR(__xludf.DUMMYFUNCTION("""COMPUTED_VALUE"""),"CAROL R. LACERNA ")</f>
        <v>CAROL R. LACERNA </v>
      </c>
      <c r="C2441" s="235" t="str">
        <f>IFERROR(__xludf.DUMMYFUNCTION("""COMPUTED_VALUE"""),"ABU")</f>
        <v>ABU</v>
      </c>
      <c r="D2441" s="196" t="str">
        <f>IFERROR(__xludf.DUMMYFUNCTION("""COMPUTED_VALUE"""),"CEILING FANS 3 PCS.  ( HANABISHI) ")</f>
        <v>CEILING FANS 3 PCS.  ( HANABISHI) </v>
      </c>
      <c r="E2441" s="196" t="str">
        <f>IFERROR(__xludf.DUMMYFUNCTION("""COMPUTED_VALUE"""),"REPLACEMENT OF BUSTED CEILING FAN ")</f>
        <v>REPLACEMENT OF BUSTED CEILING FAN </v>
      </c>
    </row>
    <row r="2442">
      <c r="A2442" s="234">
        <f>IFERROR(__xludf.DUMMYFUNCTION("""COMPUTED_VALUE"""),102733.0)</f>
        <v>102733</v>
      </c>
      <c r="B2442" s="235" t="str">
        <f>IFERROR(__xludf.DUMMYFUNCTION("""COMPUTED_VALUE"""),"CAROL R. LACERNA ")</f>
        <v>CAROL R. LACERNA </v>
      </c>
      <c r="C2442" s="235" t="str">
        <f>IFERROR(__xludf.DUMMYFUNCTION("""COMPUTED_VALUE"""),"ABU")</f>
        <v>ABU</v>
      </c>
      <c r="D2442" s="196" t="str">
        <f>IFERROR(__xludf.DUMMYFUNCTION("""COMPUTED_VALUE"""),"1 GAL SEMI GLOSS LATEX WHITE, 2 PCS. PAINT ROLLER # 7"" ,  2 PCS. PAINT BRUSH 1 1/2"", 5 KLS SKIM COAT, 1 METER SANDING PAPER ")</f>
        <v>1 GAL SEMI GLOSS LATEX WHITE, 2 PCS. PAINT ROLLER # 7" ,  2 PCS. PAINT BRUSH 1 1/2", 5 KLS SKIM COAT, 1 METER SANDING PAPER </v>
      </c>
      <c r="E2442" s="196" t="str">
        <f>IFERROR(__xludf.DUMMYFUNCTION("""COMPUTED_VALUE"""),"REPAINTING OF PEELED OFF PAINT IN COLLEGE CAFE ")</f>
        <v>REPAINTING OF PEELED OFF PAINT IN COLLEGE CAFE </v>
      </c>
    </row>
    <row r="2443">
      <c r="A2443" s="234">
        <f>IFERROR(__xludf.DUMMYFUNCTION("""COMPUTED_VALUE"""),102734.0)</f>
        <v>102734</v>
      </c>
      <c r="B2443" s="235" t="str">
        <f>IFERROR(__xludf.DUMMYFUNCTION("""COMPUTED_VALUE"""),"SHEREE ESPINOSA ")</f>
        <v>SHEREE ESPINOSA </v>
      </c>
      <c r="C2443" s="235" t="str">
        <f>IFERROR(__xludf.DUMMYFUNCTION("""COMPUTED_VALUE"""),"ADMIN")</f>
        <v>ADMIN</v>
      </c>
      <c r="D2443" s="196" t="str">
        <f>IFERROR(__xludf.DUMMYFUNCTION("""COMPUTED_VALUE"""),"7 SWITCHES (NATIONAL/PANASONIC)")</f>
        <v>7 SWITCHES (NATIONAL/PANASONIC)</v>
      </c>
      <c r="E2443" s="196" t="str">
        <f>IFERROR(__xludf.DUMMYFUNCTION("""COMPUTED_VALUE"""),"FOR MONARCH'S PARK ")</f>
        <v>FOR MONARCH'S PARK </v>
      </c>
    </row>
    <row r="2444">
      <c r="A2444" s="234">
        <f>IFERROR(__xludf.DUMMYFUNCTION("""COMPUTED_VALUE"""),102735.0)</f>
        <v>102735</v>
      </c>
      <c r="B2444" s="235" t="str">
        <f>IFERROR(__xludf.DUMMYFUNCTION("""COMPUTED_VALUE"""),"PHEN PETIN")</f>
        <v>PHEN PETIN</v>
      </c>
      <c r="C2444" s="235" t="str">
        <f>IFERROR(__xludf.DUMMYFUNCTION("""COMPUTED_VALUE"""),"ADMIN - STAR")</f>
        <v>ADMIN - STAR</v>
      </c>
      <c r="D2444" s="196" t="str">
        <f>IFERROR(__xludf.DUMMYFUNCTION("""COMPUTED_VALUE"""),"10 PCS. S4S 2X2X10, 1 KG COMMON NAILS #3, 1 KG COMMON NAILS #2 ")</f>
        <v>10 PCS. S4S 2X2X10, 1 KG COMMON NAILS #3, 1 KG COMMON NAILS #2 </v>
      </c>
      <c r="E2444" s="196" t="str">
        <f>IFERROR(__xludf.DUMMYFUNCTION("""COMPUTED_VALUE"""),"MATERIAL FOR TARP FRAME STAR ")</f>
        <v>MATERIAL FOR TARP FRAME STAR </v>
      </c>
    </row>
    <row r="2445">
      <c r="A2445" s="234">
        <f>IFERROR(__xludf.DUMMYFUNCTION("""COMPUTED_VALUE"""),102736.0)</f>
        <v>102736</v>
      </c>
      <c r="B2445" s="235" t="str">
        <f>IFERROR(__xludf.DUMMYFUNCTION("""COMPUTED_VALUE"""),"PHEN PETIN ")</f>
        <v>PHEN PETIN </v>
      </c>
      <c r="C2445" s="235" t="str">
        <f>IFERROR(__xludf.DUMMYFUNCTION("""COMPUTED_VALUE"""),"ADMIN - STAR")</f>
        <v>ADMIN - STAR</v>
      </c>
      <c r="D2445" s="196" t="str">
        <f>IFERROR(__xludf.DUMMYFUNCTION("""COMPUTED_VALUE"""),"1 PC ROUND BELL #6"" 220V")</f>
        <v>1 PC ROUND BELL #6" 220V</v>
      </c>
      <c r="E2445" s="196" t="str">
        <f>IFERROR(__xludf.DUMMYFUNCTION("""COMPUTED_VALUE"""),"MATERIALS FOR DOORBELL STAR CAMPUS")</f>
        <v>MATERIALS FOR DOORBELL STAR CAMPUS</v>
      </c>
    </row>
    <row r="2446">
      <c r="A2446" s="234">
        <f>IFERROR(__xludf.DUMMYFUNCTION("""COMPUTED_VALUE"""),102737.0)</f>
        <v>102737</v>
      </c>
      <c r="B2446" s="235" t="str">
        <f>IFERROR(__xludf.DUMMYFUNCTION("""COMPUTED_VALUE"""),"PHEN PETIN ")</f>
        <v>PHEN PETIN </v>
      </c>
      <c r="C2446" s="235" t="str">
        <f>IFERROR(__xludf.DUMMYFUNCTION("""COMPUTED_VALUE"""),"ADMIN - STAR")</f>
        <v>ADMIN - STAR</v>
      </c>
      <c r="D2446" s="196" t="str">
        <f>IFERROR(__xludf.DUMMYFUNCTION("""COMPUTED_VALUE"""),"2 LENGTH ANGLE BAR #3,  WELDING BAR 1 KG")</f>
        <v>2 LENGTH ANGLE BAR #3,  WELDING BAR 1 KG</v>
      </c>
      <c r="E2446" s="196" t="str">
        <f>IFERROR(__xludf.DUMMYFUNCTION("""COMPUTED_VALUE"""),"MATERIALS FOR ANNEX OVERHEAD TANK. ")</f>
        <v>MATERIALS FOR ANNEX OVERHEAD TANK. </v>
      </c>
    </row>
    <row r="2447">
      <c r="A2447" s="234">
        <f>IFERROR(__xludf.DUMMYFUNCTION("""COMPUTED_VALUE"""),102738.0)</f>
        <v>102738</v>
      </c>
      <c r="B2447" s="235" t="str">
        <f>IFERROR(__xludf.DUMMYFUNCTION("""COMPUTED_VALUE"""),"PHEN PETIN ")</f>
        <v>PHEN PETIN </v>
      </c>
      <c r="C2447" s="235" t="str">
        <f>IFERROR(__xludf.DUMMYFUNCTION("""COMPUTED_VALUE"""),"ADMIN - STAR")</f>
        <v>ADMIN - STAR</v>
      </c>
      <c r="D2447" s="196" t="str">
        <f>IFERROR(__xludf.DUMMYFUNCTION("""COMPUTED_VALUE"""),"3M REFLECTIVE TRUNCHEON STICKER ")</f>
        <v>3M REFLECTIVE TRUNCHEON STICKER </v>
      </c>
      <c r="E2447" s="196" t="str">
        <f>IFERROR(__xludf.DUMMYFUNCTION("""COMPUTED_VALUE"""),"REFLECTIVE TRUNCHEON STICKER FOR STAR CAMPUS ")</f>
        <v>REFLECTIVE TRUNCHEON STICKER FOR STAR CAMPUS </v>
      </c>
    </row>
    <row r="2448">
      <c r="A2448" s="234">
        <f>IFERROR(__xludf.DUMMYFUNCTION("""COMPUTED_VALUE"""),102739.0)</f>
        <v>102739</v>
      </c>
      <c r="B2448" s="235" t="str">
        <f>IFERROR(__xludf.DUMMYFUNCTION("""COMPUTED_VALUE"""),"PHEN PETIN ")</f>
        <v>PHEN PETIN </v>
      </c>
      <c r="C2448" s="235" t="str">
        <f>IFERROR(__xludf.DUMMYFUNCTION("""COMPUTED_VALUE"""),"ADMIN - STAR")</f>
        <v>ADMIN - STAR</v>
      </c>
      <c r="D2448" s="196" t="str">
        <f>IFERROR(__xludf.DUMMYFUNCTION("""COMPUTED_VALUE"""),"WIRE THHN #12 1 ROLL")</f>
        <v>WIRE THHN #12 1 ROLL</v>
      </c>
      <c r="E2448" s="196" t="str">
        <f>IFERROR(__xludf.DUMMYFUNCTION("""COMPUTED_VALUE"""),"MATERIALS FOR ANNEX ROOM 1")</f>
        <v>MATERIALS FOR ANNEX ROOM 1</v>
      </c>
    </row>
    <row r="2449">
      <c r="A2449" s="234">
        <f>IFERROR(__xludf.DUMMYFUNCTION("""COMPUTED_VALUE"""),102740.0)</f>
        <v>102740</v>
      </c>
      <c r="B2449" s="235" t="str">
        <f>IFERROR(__xludf.DUMMYFUNCTION("""COMPUTED_VALUE"""),"SHEREE ESPINOSA ")</f>
        <v>SHEREE ESPINOSA </v>
      </c>
      <c r="C2449" s="235" t="str">
        <f>IFERROR(__xludf.DUMMYFUNCTION("""COMPUTED_VALUE"""),"ADMIN")</f>
        <v>ADMIN</v>
      </c>
      <c r="D2449" s="196" t="str">
        <f>IFERROR(__xludf.DUMMYFUNCTION("""COMPUTED_VALUE"""),"63 PCS. SEAMLESS LED LINEAR TS LIGHT FIXTURE 12 WA 6000K DAYLIGHT ALUMINUM BODY PC COVER, 60MM X 90MM GT 90 CRI SURFACE MOUNTED WALL BRACKET MOONLIGHT KT JET WALL DIE CAST ALUMINUM BACK FINISH, 100MM X150MM HT 80 CRI DELTA SMALL Q ROUND FIXED DOWNLIGHT MI"&amp;"NI TRIM PHILIPS LED A9, 12W 600K DLIGHT RECESSED MOUNTED EXIT LIGHT LED STRIP 600K DAYLIGHT POUDER COATED METAL BODY CLEAR ACRYLIC GREEN LETTERS")</f>
        <v>63 PCS. SEAMLESS LED LINEAR TS LIGHT FIXTURE 12 WA 6000K DAYLIGHT ALUMINUM BODY PC COVER, 60MM X 90MM GT 90 CRI SURFACE MOUNTED WALL BRACKET MOONLIGHT KT JET WALL DIE CAST ALUMINUM BACK FINISH, 100MM X150MM HT 80 CRI DELTA SMALL Q ROUND FIXED DOWNLIGHT MINI TRIM PHILIPS LED A9, 12W 600K DLIGHT RECESSED MOUNTED EXIT LIGHT LED STRIP 600K DAYLIGHT POUDER COATED METAL BODY CLEAR ACRYLIC GREEN LETTERS</v>
      </c>
      <c r="E2449" s="196" t="str">
        <f>IFERROR(__xludf.DUMMYFUNCTION("""COMPUTED_VALUE"""),"FOS SMIS (ANTEL)")</f>
        <v>FOS SMIS (ANTEL)</v>
      </c>
    </row>
    <row r="2450">
      <c r="A2450" s="234">
        <f>IFERROR(__xludf.DUMMYFUNCTION("""COMPUTED_VALUE"""),102741.0)</f>
        <v>102741</v>
      </c>
      <c r="B2450" s="235" t="str">
        <f>IFERROR(__xludf.DUMMYFUNCTION("""COMPUTED_VALUE"""),"PRECIOUS DALUZ")</f>
        <v>PRECIOUS DALUZ</v>
      </c>
      <c r="C2450" s="235" t="str">
        <f>IFERROR(__xludf.DUMMYFUNCTION("""COMPUTED_VALUE"""),"SPECIAL SUBJECTS")</f>
        <v>SPECIAL SUBJECTS</v>
      </c>
      <c r="D2450" s="196" t="str">
        <f>IFERROR(__xludf.DUMMYFUNCTION("""COMPUTED_VALUE"""),"25 PCS. RJ GUITARS, DELUXE ACOUSTICS GUITARS STRINGS ")</f>
        <v>25 PCS. RJ GUITARS, DELUXE ACOUSTICS GUITARS STRINGS </v>
      </c>
      <c r="E2450" s="196" t="str">
        <f>IFERROR(__xludf.DUMMYFUNCTION("""COMPUTED_VALUE"""),"TO REPLACE THE CURRENT GUITARS STRINGS FOR MUSIC CLASSESS")</f>
        <v>TO REPLACE THE CURRENT GUITARS STRINGS FOR MUSIC CLASSESS</v>
      </c>
    </row>
    <row r="2451">
      <c r="A2451" s="234">
        <f>IFERROR(__xludf.DUMMYFUNCTION("""COMPUTED_VALUE"""),102742.0)</f>
        <v>102742</v>
      </c>
      <c r="B2451" s="235" t="str">
        <f>IFERROR(__xludf.DUMMYFUNCTION("""COMPUTED_VALUE"""),"JOMEL BUTIAL ")</f>
        <v>JOMEL BUTIAL </v>
      </c>
      <c r="C2451" s="235" t="str">
        <f>IFERROR(__xludf.DUMMYFUNCTION("""COMPUTED_VALUE"""),"AMD")</f>
        <v>AMD</v>
      </c>
      <c r="D2451" s="196" t="str">
        <f>IFERROR(__xludf.DUMMYFUNCTION("""COMPUTED_VALUE"""),"TOPLUSTER HIGH GRADE LIQUID WAX 30 GALS;")</f>
        <v>TOPLUSTER HIGH GRADE LIQUID WAX 30 GALS;</v>
      </c>
      <c r="E2451" s="196" t="str">
        <f>IFERROR(__xludf.DUMMYFUNCTION("""COMPUTED_VALUE"""),"HOUSEKEEPING REPLENISHMENT FOR JULY 2022")</f>
        <v>HOUSEKEEPING REPLENISHMENT FOR JULY 2022</v>
      </c>
    </row>
    <row r="2452">
      <c r="A2452" s="234">
        <f>IFERROR(__xludf.DUMMYFUNCTION("""COMPUTED_VALUE"""),102743.0)</f>
        <v>102743</v>
      </c>
      <c r="B2452" s="235" t="str">
        <f>IFERROR(__xludf.DUMMYFUNCTION("""COMPUTED_VALUE"""),"JOMEL BUTIAL ")</f>
        <v>JOMEL BUTIAL </v>
      </c>
      <c r="C2452" s="235" t="str">
        <f>IFERROR(__xludf.DUMMYFUNCTION("""COMPUTED_VALUE"""),"AMD")</f>
        <v>AMD</v>
      </c>
      <c r="D2452" s="196" t="str">
        <f>IFERROR(__xludf.DUMMYFUNCTION("""COMPUTED_VALUE"""),"TONER 85A 40 PCS;")</f>
        <v>TONER 85A 40 PCS;</v>
      </c>
      <c r="E2452" s="196" t="str">
        <f>IFERROR(__xludf.DUMMYFUNCTION("""COMPUTED_VALUE"""),"OSSUP STOCK REPLENISHMENT")</f>
        <v>OSSUP STOCK REPLENISHMENT</v>
      </c>
    </row>
    <row r="2453">
      <c r="A2453" s="234">
        <f>IFERROR(__xludf.DUMMYFUNCTION("""COMPUTED_VALUE"""),102744.0)</f>
        <v>102744</v>
      </c>
      <c r="B2453" s="235" t="str">
        <f>IFERROR(__xludf.DUMMYFUNCTION("""COMPUTED_VALUE"""),"ANN DELA ISLA ")</f>
        <v>ANN DELA ISLA </v>
      </c>
      <c r="C2453" s="235" t="str">
        <f>IFERROR(__xludf.DUMMYFUNCTION("""COMPUTED_VALUE"""),"I.B.")</f>
        <v>I.B.</v>
      </c>
      <c r="D2453" s="196" t="str">
        <f>IFERROR(__xludf.DUMMYFUNCTION("""COMPUTED_VALUE"""),"1 PC. SINTRA BOARD, 1 BLUE LETTERS W/ WHITE")</f>
        <v>1 PC. SINTRA BOARD, 1 BLUE LETTERS W/ WHITE</v>
      </c>
      <c r="E2453" s="196" t="str">
        <f>IFERROR(__xludf.DUMMYFUNCTION("""COMPUTED_VALUE"""),"IB OPENING OF CLASSES ")</f>
        <v>IB OPENING OF CLASSES </v>
      </c>
    </row>
    <row r="2454">
      <c r="A2454" s="234">
        <f>IFERROR(__xludf.DUMMYFUNCTION("""COMPUTED_VALUE"""),102745.0)</f>
        <v>102745</v>
      </c>
      <c r="B2454" s="235" t="str">
        <f>IFERROR(__xludf.DUMMYFUNCTION("""COMPUTED_VALUE"""),"OWIE PAR")</f>
        <v>OWIE PAR</v>
      </c>
      <c r="C2454" s="235" t="str">
        <f>IFERROR(__xludf.DUMMYFUNCTION("""COMPUTED_VALUE"""),"ENGINEERING")</f>
        <v>ENGINEERING</v>
      </c>
      <c r="D2454" s="196" t="str">
        <f>IFERROR(__xludf.DUMMYFUNCTION("""COMPUTED_VALUE"""),"SUBMERSIBLE CABLE #8 3 WIRES")</f>
        <v>SUBMERSIBLE CABLE #8 3 WIRES</v>
      </c>
      <c r="E2454" s="196" t="str">
        <f>IFERROR(__xludf.DUMMYFUNCTION("""COMPUTED_VALUE"""),"REPLACEMENT OF SUBMERSIBLE CABLE DEEPWELL PUMP AT TROPICAL CAMPUS")</f>
        <v>REPLACEMENT OF SUBMERSIBLE CABLE DEEPWELL PUMP AT TROPICAL CAMPUS</v>
      </c>
    </row>
    <row r="2455">
      <c r="A2455" s="234">
        <f>IFERROR(__xludf.DUMMYFUNCTION("""COMPUTED_VALUE"""),102746.0)</f>
        <v>102746</v>
      </c>
      <c r="B2455" s="235" t="str">
        <f>IFERROR(__xludf.DUMMYFUNCTION("""COMPUTED_VALUE"""),"CAROL LACERNA ")</f>
        <v>CAROL LACERNA </v>
      </c>
      <c r="C2455" s="235" t="str">
        <f>IFERROR(__xludf.DUMMYFUNCTION("""COMPUTED_VALUE"""),"ABU")</f>
        <v>ABU</v>
      </c>
      <c r="D2455" s="196" t="str">
        <f>IFERROR(__xludf.DUMMYFUNCTION("""COMPUTED_VALUE"""),"14 SETS OF STAINLESS SINK FOR EACH CONCESSIONAIRES 18"" X 24"" ")</f>
        <v>14 SETS OF STAINLESS SINK FOR EACH CONCESSIONAIRES 18" X 24" </v>
      </c>
      <c r="E2455" s="196" t="str">
        <f>IFERROR(__xludf.DUMMYFUNCTION("""COMPUTED_VALUE"""),"FOR THE WASH AREA FOR CONCESSIONAIRES ")</f>
        <v>FOR THE WASH AREA FOR CONCESSIONAIRES </v>
      </c>
    </row>
    <row r="2456">
      <c r="A2456" s="234">
        <f>IFERROR(__xludf.DUMMYFUNCTION("""COMPUTED_VALUE"""),102747.0)</f>
        <v>102747</v>
      </c>
      <c r="B2456" s="235" t="str">
        <f>IFERROR(__xludf.DUMMYFUNCTION("""COMPUTED_VALUE"""),"OWIE PAR")</f>
        <v>OWIE PAR</v>
      </c>
      <c r="C2456" s="235" t="str">
        <f>IFERROR(__xludf.DUMMYFUNCTION("""COMPUTED_VALUE"""),"ENGINEERING")</f>
        <v>ENGINEERING</v>
      </c>
      <c r="D2456" s="196" t="str">
        <f>IFERROR(__xludf.DUMMYFUNCTION("""COMPUTED_VALUE"""),"4.0 HP PANASONIC CEILING CASSETTE ACU, 2.5 HP PANASONIC PREMIUM WALL MOUNTED ACU, 2.0 HP PANASONIC PREMIUM WALL MOUNTED ACU")</f>
        <v>4.0 HP PANASONIC CEILING CASSETTE ACU, 2.5 HP PANASONIC PREMIUM WALL MOUNTED ACU, 2.0 HP PANASONIC PREMIUM WALL MOUNTED ACU</v>
      </c>
      <c r="E2456" s="196" t="str">
        <f>IFERROR(__xludf.DUMMYFUNCTION("""COMPUTED_VALUE"""),"ACU REPLACEMENT FOR IB TROPICAL (CHEMICAL STORAGE, RM. 204, RM. 205, LECTURE RM 3, AND ROOM 209")</f>
        <v>ACU REPLACEMENT FOR IB TROPICAL (CHEMICAL STORAGE, RM. 204, RM. 205, LECTURE RM 3, AND ROOM 209</v>
      </c>
    </row>
    <row r="2457">
      <c r="A2457" s="234">
        <f>IFERROR(__xludf.DUMMYFUNCTION("""COMPUTED_VALUE"""),102748.0)</f>
        <v>102748</v>
      </c>
      <c r="B2457" s="235" t="str">
        <f>IFERROR(__xludf.DUMMYFUNCTION("""COMPUTED_VALUE"""),"SHEREE ESPINOSA ")</f>
        <v>SHEREE ESPINOSA </v>
      </c>
      <c r="C2457" s="235" t="str">
        <f>IFERROR(__xludf.DUMMYFUNCTION("""COMPUTED_VALUE"""),"PRESIDENT'S OFFICE")</f>
        <v>PRESIDENT'S OFFICE</v>
      </c>
      <c r="D2457" s="196" t="str">
        <f>IFERROR(__xludf.DUMMYFUNCTION("""COMPUTED_VALUE"""),"ROUND TABLE 1 PC. ")</f>
        <v>ROUND TABLE 1 PC. </v>
      </c>
      <c r="E2457" s="196" t="str">
        <f>IFERROR(__xludf.DUMMYFUNCTION("""COMPUTED_VALUE"""),"FOR PRESIDENT'S OFFICE ")</f>
        <v>FOR PRESIDENT'S OFFICE </v>
      </c>
    </row>
    <row r="2458">
      <c r="A2458" s="234">
        <f>IFERROR(__xludf.DUMMYFUNCTION("""COMPUTED_VALUE"""),102749.0)</f>
        <v>102749</v>
      </c>
      <c r="B2458" s="235" t="str">
        <f>IFERROR(__xludf.DUMMYFUNCTION("""COMPUTED_VALUE"""),"SHEREE ESPINOSA ")</f>
        <v>SHEREE ESPINOSA </v>
      </c>
      <c r="C2458" s="235" t="str">
        <f>IFERROR(__xludf.DUMMYFUNCTION("""COMPUTED_VALUE"""),"PRESIDENT'S OFFICE")</f>
        <v>PRESIDENT'S OFFICE</v>
      </c>
      <c r="D2458" s="196" t="str">
        <f>IFERROR(__xludf.DUMMYFUNCTION("""COMPUTED_VALUE"""),"EXECUTIVE DESKCHAIR")</f>
        <v>EXECUTIVE DESKCHAIR</v>
      </c>
      <c r="E2458" s="196" t="str">
        <f>IFERROR(__xludf.DUMMYFUNCTION("""COMPUTED_VALUE"""),"FOR PRESIDENT'S OFFICE ")</f>
        <v>FOR PRESIDENT'S OFFICE </v>
      </c>
    </row>
    <row r="2459">
      <c r="A2459" s="234">
        <f>IFERROR(__xludf.DUMMYFUNCTION("""COMPUTED_VALUE"""),102750.0)</f>
        <v>102750</v>
      </c>
      <c r="B2459" s="235" t="str">
        <f>IFERROR(__xludf.DUMMYFUNCTION("""COMPUTED_VALUE"""),"SHEREE ESPINOSA ")</f>
        <v>SHEREE ESPINOSA </v>
      </c>
      <c r="C2459" s="235" t="str">
        <f>IFERROR(__xludf.DUMMYFUNCTION("""COMPUTED_VALUE"""),"PRESIDENT'S OFFICE")</f>
        <v>PRESIDENT'S OFFICE</v>
      </c>
      <c r="D2459" s="196" t="str">
        <f>IFERROR(__xludf.DUMMYFUNCTION("""COMPUTED_VALUE"""),"SIDE TABLE")</f>
        <v>SIDE TABLE</v>
      </c>
      <c r="E2459" s="196" t="str">
        <f>IFERROR(__xludf.DUMMYFUNCTION("""COMPUTED_VALUE"""),"FOR PRESIDENT'S OFFICE ")</f>
        <v>FOR PRESIDENT'S OFFICE </v>
      </c>
    </row>
    <row r="2460">
      <c r="A2460" s="234">
        <f>IFERROR(__xludf.DUMMYFUNCTION("""COMPUTED_VALUE"""),102751.0)</f>
        <v>102751</v>
      </c>
      <c r="B2460" s="235" t="str">
        <f>IFERROR(__xludf.DUMMYFUNCTION("""COMPUTED_VALUE"""),"SHEREE ESPINOSA ")</f>
        <v>SHEREE ESPINOSA </v>
      </c>
      <c r="C2460" s="235" t="str">
        <f>IFERROR(__xludf.DUMMYFUNCTION("""COMPUTED_VALUE"""),"PRESIDENT'S OFFICE")</f>
        <v>PRESIDENT'S OFFICE</v>
      </c>
      <c r="D2460" s="196" t="str">
        <f>IFERROR(__xludf.DUMMYFUNCTION("""COMPUTED_VALUE"""),"DESK CHAIR ")</f>
        <v>DESK CHAIR </v>
      </c>
      <c r="E2460" s="196" t="str">
        <f>IFERROR(__xludf.DUMMYFUNCTION("""COMPUTED_VALUE"""),"FOR PRESIDENT'S OFFICE ")</f>
        <v>FOR PRESIDENT'S OFFICE </v>
      </c>
    </row>
    <row r="2461">
      <c r="A2461" s="234">
        <f>IFERROR(__xludf.DUMMYFUNCTION("""COMPUTED_VALUE"""),102752.0)</f>
        <v>102752</v>
      </c>
      <c r="B2461" s="235" t="str">
        <f>IFERROR(__xludf.DUMMYFUNCTION("""COMPUTED_VALUE"""),"SHEREE ESPINOSA ")</f>
        <v>SHEREE ESPINOSA </v>
      </c>
      <c r="C2461" s="235" t="str">
        <f>IFERROR(__xludf.DUMMYFUNCTION("""COMPUTED_VALUE"""),"PRESIDENT'S OFFICE")</f>
        <v>PRESIDENT'S OFFICE</v>
      </c>
      <c r="D2461" s="196" t="str">
        <f>IFERROR(__xludf.DUMMYFUNCTION("""COMPUTED_VALUE"""),"SHELF FOR PLANTS")</f>
        <v>SHELF FOR PLANTS</v>
      </c>
      <c r="E2461" s="196" t="str">
        <f>IFERROR(__xludf.DUMMYFUNCTION("""COMPUTED_VALUE"""),"FOR PRESIDENT'S OFFICE ")</f>
        <v>FOR PRESIDENT'S OFFICE </v>
      </c>
    </row>
    <row r="2462">
      <c r="A2462" s="234">
        <f>IFERROR(__xludf.DUMMYFUNCTION("""COMPUTED_VALUE"""),102753.0)</f>
        <v>102753</v>
      </c>
      <c r="B2462" s="235" t="str">
        <f>IFERROR(__xludf.DUMMYFUNCTION("""COMPUTED_VALUE"""),"SHEREE ESPINOSA ")</f>
        <v>SHEREE ESPINOSA </v>
      </c>
      <c r="C2462" s="235" t="str">
        <f>IFERROR(__xludf.DUMMYFUNCTION("""COMPUTED_VALUE"""),"PRESIDENT'S OFFICE")</f>
        <v>PRESIDENT'S OFFICE</v>
      </c>
      <c r="D2462" s="196" t="str">
        <f>IFERROR(__xludf.DUMMYFUNCTION("""COMPUTED_VALUE"""),"ACCENT CHAIR")</f>
        <v>ACCENT CHAIR</v>
      </c>
      <c r="E2462" s="196" t="str">
        <f>IFERROR(__xludf.DUMMYFUNCTION("""COMPUTED_VALUE"""),"FOR PRESIDENT'S OFFICE ")</f>
        <v>FOR PRESIDENT'S OFFICE </v>
      </c>
    </row>
    <row r="2463">
      <c r="A2463" s="234">
        <f>IFERROR(__xludf.DUMMYFUNCTION("""COMPUTED_VALUE"""),102754.0)</f>
        <v>102754</v>
      </c>
      <c r="B2463" s="235" t="str">
        <f>IFERROR(__xludf.DUMMYFUNCTION("""COMPUTED_VALUE"""),"SHEREE ESPINOSA ")</f>
        <v>SHEREE ESPINOSA </v>
      </c>
      <c r="C2463" s="235" t="str">
        <f>IFERROR(__xludf.DUMMYFUNCTION("""COMPUTED_VALUE"""),"PRESIDENT'S OFFICE")</f>
        <v>PRESIDENT'S OFFICE</v>
      </c>
      <c r="D2463" s="196" t="str">
        <f>IFERROR(__xludf.DUMMYFUNCTION("""COMPUTED_VALUE"""),"ARMCHAIR")</f>
        <v>ARMCHAIR</v>
      </c>
      <c r="E2463" s="196" t="str">
        <f>IFERROR(__xludf.DUMMYFUNCTION("""COMPUTED_VALUE"""),"FOR PRESIDENT'S OFFICE ")</f>
        <v>FOR PRESIDENT'S OFFICE </v>
      </c>
    </row>
    <row r="2464">
      <c r="A2464" s="234">
        <f>IFERROR(__xludf.DUMMYFUNCTION("""COMPUTED_VALUE"""),102755.0)</f>
        <v>102755</v>
      </c>
      <c r="B2464" s="235" t="str">
        <f>IFERROR(__xludf.DUMMYFUNCTION("""COMPUTED_VALUE"""),"JOHNY QUIQUI")</f>
        <v>JOHNY QUIQUI</v>
      </c>
      <c r="C2464" s="235" t="str">
        <f>IFERROR(__xludf.DUMMYFUNCTION("""COMPUTED_VALUE"""),"STUFFSHOP")</f>
        <v>STUFFSHOP</v>
      </c>
      <c r="D2464" s="196" t="str">
        <f>IFERROR(__xludf.DUMMYFUNCTION("""COMPUTED_VALUE"""),"STANFORD SKILLBOOK MATH D (SK) , STANFORD SKILLBOOK READING D (SK), STANDFORD SKILLBOOK MATH C (JK), STANFORD SKILLBOOK READING C (JK)")</f>
        <v>STANFORD SKILLBOOK MATH D (SK) , STANFORD SKILLBOOK READING D (SK), STANDFORD SKILLBOOK MATH C (JK), STANFORD SKILLBOOK READING C (JK)</v>
      </c>
      <c r="E2464" s="196" t="str">
        <f>IFERROR(__xludf.DUMMYFUNCTION("""COMPUTED_VALUE"""),"FOR SALE IN THE STUFFSHOP")</f>
        <v>FOR SALE IN THE STUFFSHOP</v>
      </c>
    </row>
    <row r="2465">
      <c r="A2465" s="234">
        <f>IFERROR(__xludf.DUMMYFUNCTION("""COMPUTED_VALUE"""),102756.0)</f>
        <v>102756</v>
      </c>
      <c r="B2465" s="235" t="str">
        <f>IFERROR(__xludf.DUMMYFUNCTION("""COMPUTED_VALUE"""),"JOMEL BUTIAL ")</f>
        <v>JOMEL BUTIAL </v>
      </c>
      <c r="C2465" s="235" t="str">
        <f>IFERROR(__xludf.DUMMYFUNCTION("""COMPUTED_VALUE"""),"AMD")</f>
        <v>AMD</v>
      </c>
      <c r="D2465" s="196" t="str">
        <f>IFERROR(__xludf.DUMMYFUNCTION("""COMPUTED_VALUE"""),"Paper, Copy-Laser Sub. 20 Short White 200 REAMS ")</f>
        <v>Paper, Copy-Laser Sub. 20 Short White 200 REAMS </v>
      </c>
      <c r="E2465" s="196" t="str">
        <f>IFERROR(__xludf.DUMMYFUNCTION("""COMPUTED_VALUE"""),"OSSUP STOCK REPLENISHMENT")</f>
        <v>OSSUP STOCK REPLENISHMENT</v>
      </c>
    </row>
    <row r="2466">
      <c r="A2466" s="234">
        <f>IFERROR(__xludf.DUMMYFUNCTION("""COMPUTED_VALUE"""),102757.0)</f>
        <v>102757</v>
      </c>
      <c r="B2466" s="235" t="str">
        <f>IFERROR(__xludf.DUMMYFUNCTION("""COMPUTED_VALUE"""),"JOMEL BUTIAL ")</f>
        <v>JOMEL BUTIAL </v>
      </c>
      <c r="C2466" s="235" t="str">
        <f>IFERROR(__xludf.DUMMYFUNCTION("""COMPUTED_VALUE"""),"AMD")</f>
        <v>AMD</v>
      </c>
      <c r="D2466" s="196" t="str">
        <f>IFERROR(__xludf.DUMMYFUNCTION("""COMPUTED_VALUE"""),"Diary, Grade 3-10 Set A Silver September to January
Diary, Grade 3-10 Set B Gold February to July
Diary, Grade 1 &amp; 2
Diary, Preparatory (Kinder to SK)
")</f>
        <v>Diary, Grade 3-10 Set A Silver September to January
Diary, Grade 3-10 Set B Gold February to July
Diary, Grade 1 &amp; 2
Diary, Preparatory (Kinder to SK)
</v>
      </c>
      <c r="E2466" s="196" t="str">
        <f>IFERROR(__xludf.DUMMYFUNCTION("""COMPUTED_VALUE"""),"STUDENT SUPPLIES REPLENISHMENT")</f>
        <v>STUDENT SUPPLIES REPLENISHMENT</v>
      </c>
    </row>
    <row r="2467">
      <c r="A2467" s="234">
        <f>IFERROR(__xludf.DUMMYFUNCTION("""COMPUTED_VALUE"""),102758.0)</f>
        <v>102758</v>
      </c>
      <c r="B2467" s="235" t="str">
        <f>IFERROR(__xludf.DUMMYFUNCTION("""COMPUTED_VALUE"""),"JOMEL BUTIAL ")</f>
        <v>JOMEL BUTIAL </v>
      </c>
      <c r="C2467" s="235" t="str">
        <f>IFERROR(__xludf.DUMMYFUNCTION("""COMPUTED_VALUE"""),"AMD")</f>
        <v>AMD</v>
      </c>
      <c r="D2467" s="196" t="str">
        <f>IFERROR(__xludf.DUMMYFUNCTION("""COMPUTED_VALUE"""),"8.5"" x 11"" Bond Paper 50/pack
Paper, Best Buy Colored Assorted 9""x11""
Paper, Water Color Paper Canson A4 (10pcs/pack)
Periodic Table of Elements, Big
Map, World (big) Political
Ruler, Plastic - Orion 12 inches
Marker, Pilot Permanent Fine Black
"&amp;"
Sketch Book, Landscape Non Spiral
")</f>
        <v>8.5" x 11" Bond Paper 50/pack
Paper, Best Buy Colored Assorted 9"x11"
Paper, Water Color Paper Canson A4 (10pcs/pack)
Periodic Table of Elements, Big
Map, World (big) Political
Ruler, Plastic - Orion 12 inches
Marker, Pilot Permanent Fine Black
Sketch Book, Landscape Non Spiral
</v>
      </c>
      <c r="E2467" s="196" t="str">
        <f>IFERROR(__xludf.DUMMYFUNCTION("""COMPUTED_VALUE"""),"STUDENT SUPPLIES REPLENISHMENT")</f>
        <v>STUDENT SUPPLIES REPLENISHMENT</v>
      </c>
    </row>
    <row r="2468">
      <c r="A2468" s="234">
        <f>IFERROR(__xludf.DUMMYFUNCTION("""COMPUTED_VALUE"""),102759.0)</f>
        <v>102759</v>
      </c>
      <c r="B2468" s="235" t="str">
        <f>IFERROR(__xludf.DUMMYFUNCTION("""COMPUTED_VALUE"""),"ALFA DE LEON")</f>
        <v>ALFA DE LEON</v>
      </c>
      <c r="C2468" s="235" t="str">
        <f>IFERROR(__xludf.DUMMYFUNCTION("""COMPUTED_VALUE"""),"ADMIN - MUNICH")</f>
        <v>ADMIN - MUNICH</v>
      </c>
      <c r="D2468" s="196" t="str">
        <f>IFERROR(__xludf.DUMMYFUNCTION("""COMPUTED_VALUE"""),"QDE WHITE, PAINT ROLLER #4 COTTON, PAIMNT BRUSH # 1 1/2"", PAINT THINNER, POLYTUFF W/ HARDENER. SANDING PAPER #100")</f>
        <v>QDE WHITE, PAINT ROLLER #4 COTTON, PAIMNT BRUSH # 1 1/2", PAINT THINNER, POLYTUFF W/ HARDENER. SANDING PAPER #100</v>
      </c>
      <c r="E2468" s="196" t="str">
        <f>IFERROR(__xludf.DUMMYFUNCTION("""COMPUTED_VALUE"""),"REPAIR AND REPAINT CEILING WAIING AREA- MUNICH PARKING")</f>
        <v>REPAIR AND REPAINT CEILING WAIING AREA- MUNICH PARKING</v>
      </c>
    </row>
    <row r="2469">
      <c r="A2469" s="234">
        <f>IFERROR(__xludf.DUMMYFUNCTION("""COMPUTED_VALUE"""),102760.0)</f>
        <v>102760</v>
      </c>
      <c r="B2469" s="235" t="str">
        <f>IFERROR(__xludf.DUMMYFUNCTION("""COMPUTED_VALUE"""),"ALFA DE LEON")</f>
        <v>ALFA DE LEON</v>
      </c>
      <c r="C2469" s="235" t="str">
        <f>IFERROR(__xludf.DUMMYFUNCTION("""COMPUTED_VALUE"""),"ADMIN - MUNICH")</f>
        <v>ADMIN - MUNICH</v>
      </c>
      <c r="D2469" s="196" t="str">
        <f>IFERROR(__xludf.DUMMYFUNCTION("""COMPUTED_VALUE"""),"HELICONIA, PLUMBAGO, SCLLOUM, SILVER DWARF PANDAKAKI, PHILODENDROM GOLF, PICARRA, BOSTON FERN")</f>
        <v>HELICONIA, PLUMBAGO, SCLLOUM, SILVER DWARF PANDAKAKI, PHILODENDROM GOLF, PICARRA, BOSTON FERN</v>
      </c>
      <c r="E2469" s="196" t="str">
        <f>IFERROR(__xludf.DUMMYFUNCTION("""COMPUTED_VALUE"""),"COMPLETION OF OTHER PLANT BOXES AND NEW ORDER FOR GREEN WALL")</f>
        <v>COMPLETION OF OTHER PLANT BOXES AND NEW ORDER FOR GREEN WALL</v>
      </c>
    </row>
    <row r="2470">
      <c r="A2470" s="234">
        <f>IFERROR(__xludf.DUMMYFUNCTION("""COMPUTED_VALUE"""),102761.0)</f>
        <v>102761</v>
      </c>
      <c r="B2470" s="235" t="str">
        <f>IFERROR(__xludf.DUMMYFUNCTION("""COMPUTED_VALUE"""),"SHEREE ESPINOSA")</f>
        <v>SHEREE ESPINOSA</v>
      </c>
      <c r="C2470" s="235" t="str">
        <f>IFERROR(__xludf.DUMMYFUNCTION("""COMPUTED_VALUE"""),"HOUSEKEEPING")</f>
        <v>HOUSEKEEPING</v>
      </c>
      <c r="D2470" s="196" t="str">
        <f>IFERROR(__xludf.DUMMYFUNCTION("""COMPUTED_VALUE"""),"ASAHI ORBIT FAN FOR CLASSROOMS (RM. 205,209,210,212,314)")</f>
        <v>ASAHI ORBIT FAN FOR CLASSROOMS (RM. 205,209,210,212,314)</v>
      </c>
      <c r="E2470" s="196" t="str">
        <f>IFERROR(__xludf.DUMMYFUNCTION("""COMPUTED_VALUE"""),"FOR CLASSROOM 2ND FLOOR ")</f>
        <v>FOR CLASSROOM 2ND FLOOR </v>
      </c>
    </row>
    <row r="2471">
      <c r="A2471" s="234">
        <f>IFERROR(__xludf.DUMMYFUNCTION("""COMPUTED_VALUE"""),102762.0)</f>
        <v>102762</v>
      </c>
      <c r="B2471" s="235" t="str">
        <f>IFERROR(__xludf.DUMMYFUNCTION("""COMPUTED_VALUE"""),"SHEREE ESPINOSA")</f>
        <v>SHEREE ESPINOSA</v>
      </c>
      <c r="C2471" s="235" t="str">
        <f>IFERROR(__xludf.DUMMYFUNCTION("""COMPUTED_VALUE"""),"ADMIN")</f>
        <v>ADMIN</v>
      </c>
      <c r="D2471" s="196" t="str">
        <f>IFERROR(__xludf.DUMMYFUNCTION("""COMPUTED_VALUE"""),"WALL MOUNTED AUTOMATIC ALCOHOL DISPENSER ")</f>
        <v>WALL MOUNTED AUTOMATIC ALCOHOL DISPENSER </v>
      </c>
      <c r="E2471" s="196" t="str">
        <f>IFERROR(__xludf.DUMMYFUNCTION("""COMPUTED_VALUE"""),"FOR THE OPENING OF CLASSES AY 22-23")</f>
        <v>FOR THE OPENING OF CLASSES AY 22-23</v>
      </c>
    </row>
    <row r="2472">
      <c r="A2472" s="234">
        <f>IFERROR(__xludf.DUMMYFUNCTION("""COMPUTED_VALUE"""),102763.0)</f>
        <v>102763</v>
      </c>
      <c r="B2472" s="235" t="str">
        <f>IFERROR(__xludf.DUMMYFUNCTION("""COMPUTED_VALUE"""),"SHEREE ESPINOSA")</f>
        <v>SHEREE ESPINOSA</v>
      </c>
      <c r="C2472" s="235" t="str">
        <f>IFERROR(__xludf.DUMMYFUNCTION("""COMPUTED_VALUE"""),"ADMIN")</f>
        <v>ADMIN</v>
      </c>
      <c r="D2472" s="196" t="str">
        <f>IFERROR(__xludf.DUMMYFUNCTION("""COMPUTED_VALUE"""),"PARTITION ")</f>
        <v>PARTITION </v>
      </c>
      <c r="E2472" s="196" t="str">
        <f>IFERROR(__xludf.DUMMYFUNCTION("""COMPUTED_VALUE"""),"FOR ANTEL- SMIS")</f>
        <v>FOR ANTEL- SMIS</v>
      </c>
    </row>
    <row r="2473">
      <c r="A2473" s="234">
        <f>IFERROR(__xludf.DUMMYFUNCTION("""COMPUTED_VALUE"""),102764.0)</f>
        <v>102764</v>
      </c>
      <c r="B2473" s="235" t="str">
        <f>IFERROR(__xludf.DUMMYFUNCTION("""COMPUTED_VALUE"""),"LORRAINE ALMAZAN")</f>
        <v>LORRAINE ALMAZAN</v>
      </c>
      <c r="C2473" s="235" t="str">
        <f>IFERROR(__xludf.DUMMYFUNCTION("""COMPUTED_VALUE"""),"MIS/ICT")</f>
        <v>MIS/ICT</v>
      </c>
      <c r="D2473" s="196" t="str">
        <f>IFERROR(__xludf.DUMMYFUNCTION("""COMPUTED_VALUE"""),"A4TECH WEBCAM 1080P FHD PK-940HA 12 PCS. ")</f>
        <v>A4TECH WEBCAM 1080P FHD PK-940HA 12 PCS. </v>
      </c>
      <c r="E2473" s="196" t="str">
        <f>IFERROR(__xludf.DUMMYFUNCTION("""COMPUTED_VALUE"""),"HYVOLT CLASSROOM SETUP FOR THE E- CLASSROOMS (ADDIONAL ROOMS FOR COLLEGE)")</f>
        <v>HYVOLT CLASSROOM SETUP FOR THE E- CLASSROOMS (ADDIONAL ROOMS FOR COLLEGE)</v>
      </c>
    </row>
    <row r="2474">
      <c r="A2474" s="234">
        <f>IFERROR(__xludf.DUMMYFUNCTION("""COMPUTED_VALUE"""),102765.0)</f>
        <v>102765</v>
      </c>
      <c r="B2474" s="235" t="str">
        <f>IFERROR(__xludf.DUMMYFUNCTION("""COMPUTED_VALUE"""),"LORRAINE ALMAZAN")</f>
        <v>LORRAINE ALMAZAN</v>
      </c>
      <c r="C2474" s="235" t="str">
        <f>IFERROR(__xludf.DUMMYFUNCTION("""COMPUTED_VALUE"""),"MIS/ICT")</f>
        <v>MIS/ICT</v>
      </c>
      <c r="D2474" s="196" t="str">
        <f>IFERROR(__xludf.DUMMYFUNCTION("""COMPUTED_VALUE"""),"COMPUTER UNIT CORE I5 (CPU ONLY) 6 PCS.")</f>
        <v>COMPUTER UNIT CORE I5 (CPU ONLY) 6 PCS.</v>
      </c>
      <c r="E2474" s="196" t="str">
        <f>IFERROR(__xludf.DUMMYFUNCTION("""COMPUTED_VALUE"""),"HYVOLT FOR THE E- CLASSROOMS (ADDTL FOOMS FOR COLLEGE)")</f>
        <v>HYVOLT FOR THE E- CLASSROOMS (ADDTL FOOMS FOR COLLEGE)</v>
      </c>
    </row>
    <row r="2475">
      <c r="A2475" s="234">
        <f>IFERROR(__xludf.DUMMYFUNCTION("""COMPUTED_VALUE"""),102766.0)</f>
        <v>102766</v>
      </c>
      <c r="B2475" s="235" t="str">
        <f>IFERROR(__xludf.DUMMYFUNCTION("""COMPUTED_VALUE"""),"LORRAINE ALMAZAN")</f>
        <v>LORRAINE ALMAZAN</v>
      </c>
      <c r="C2475" s="235" t="str">
        <f>IFERROR(__xludf.DUMMYFUNCTION("""COMPUTED_VALUE"""),"MIS/ICT")</f>
        <v>MIS/ICT</v>
      </c>
      <c r="D2475" s="196" t="str">
        <f>IFERROR(__xludf.DUMMYFUNCTION("""COMPUTED_VALUE"""),"HDMI CABLE 10 METERS, USB EXTENDER 15 METERS (3.0), USB HUB 4 PORTS")</f>
        <v>HDMI CABLE 10 METERS, USB EXTENDER 15 METERS (3.0), USB HUB 4 PORTS</v>
      </c>
      <c r="E2475" s="196" t="str">
        <f>IFERROR(__xludf.DUMMYFUNCTION("""COMPUTED_VALUE"""),"HYVOLT STEUP FOR THE ECLASSROOMS (ADDTL ROOMS FOR COLLEGE)")</f>
        <v>HYVOLT STEUP FOR THE ECLASSROOMS (ADDTL ROOMS FOR COLLEGE)</v>
      </c>
    </row>
    <row r="2476">
      <c r="A2476" s="234">
        <f>IFERROR(__xludf.DUMMYFUNCTION("""COMPUTED_VALUE"""),102767.0)</f>
        <v>102767</v>
      </c>
      <c r="B2476" s="235" t="str">
        <f>IFERROR(__xludf.DUMMYFUNCTION("""COMPUTED_VALUE"""),"LORRAINE ALMAZAN")</f>
        <v>LORRAINE ALMAZAN</v>
      </c>
      <c r="C2476" s="235" t="str">
        <f>IFERROR(__xludf.DUMMYFUNCTION("""COMPUTED_VALUE"""),"MIS/ICT")</f>
        <v>MIS/ICT</v>
      </c>
      <c r="D2476" s="196" t="str">
        <f>IFERROR(__xludf.DUMMYFUNCTION("""COMPUTED_VALUE"""),"4 GANG OUTLET")</f>
        <v>4 GANG OUTLET</v>
      </c>
      <c r="E2476" s="196" t="str">
        <f>IFERROR(__xludf.DUMMYFUNCTION("""COMPUTED_VALUE"""),"HYVOLT STEUP FOR THE ECLASSROOMS (ADDTL ROOMS FOR COLLEGE)")</f>
        <v>HYVOLT STEUP FOR THE ECLASSROOMS (ADDTL ROOMS FOR COLLEGE)</v>
      </c>
    </row>
    <row r="2477">
      <c r="A2477" s="234">
        <f>IFERROR(__xludf.DUMMYFUNCTION("""COMPUTED_VALUE"""),102768.0)</f>
        <v>102768</v>
      </c>
      <c r="B2477" s="235" t="str">
        <f>IFERROR(__xludf.DUMMYFUNCTION("""COMPUTED_VALUE"""),"LORRAINE ALMAZAN")</f>
        <v>LORRAINE ALMAZAN</v>
      </c>
      <c r="C2477" s="235" t="str">
        <f>IFERROR(__xludf.DUMMYFUNCTION("""COMPUTED_VALUE"""),"MIS/ICT")</f>
        <v>MIS/ICT</v>
      </c>
      <c r="D2477" s="196" t="str">
        <f>IFERROR(__xludf.DUMMYFUNCTION("""COMPUTED_VALUE"""),"DVI - D TO VGA ADAPTER")</f>
        <v>DVI - D TO VGA ADAPTER</v>
      </c>
      <c r="E2477" s="196" t="str">
        <f>IFERROR(__xludf.DUMMYFUNCTION("""COMPUTED_VALUE"""),"HYVOLT STEUP FOR THE ECLASSROOMS (ADDTL ROOMS FOR COLLEGE)")</f>
        <v>HYVOLT STEUP FOR THE ECLASSROOMS (ADDTL ROOMS FOR COLLEGE)</v>
      </c>
    </row>
    <row r="2478">
      <c r="A2478" s="234">
        <f>IFERROR(__xludf.DUMMYFUNCTION("""COMPUTED_VALUE"""),102769.0)</f>
        <v>102769</v>
      </c>
      <c r="B2478" s="235" t="str">
        <f>IFERROR(__xludf.DUMMYFUNCTION("""COMPUTED_VALUE"""),"LUCILLE BEYER")</f>
        <v>LUCILLE BEYER</v>
      </c>
      <c r="C2478" s="235" t="str">
        <f>IFERROR(__xludf.DUMMYFUNCTION("""COMPUTED_VALUE"""),"MEDICAL")</f>
        <v>MEDICAL</v>
      </c>
      <c r="D2478" s="196" t="str">
        <f>IFERROR(__xludf.DUMMYFUNCTION("""COMPUTED_VALUE"""),"DENTAL CHAIRS ACCESSORIES ")</f>
        <v>DENTAL CHAIRS ACCESSORIES </v>
      </c>
      <c r="E2478" s="196" t="str">
        <f>IFERROR(__xludf.DUMMYFUNCTION("""COMPUTED_VALUE"""),"FOR CHANGE OF DENTAL CHAIR ACCESSORIES, SOME ACCESSORIES NOT WORKING")</f>
        <v>FOR CHANGE OF DENTAL CHAIR ACCESSORIES, SOME ACCESSORIES NOT WORKING</v>
      </c>
    </row>
    <row r="2479">
      <c r="A2479" s="234">
        <f>IFERROR(__xludf.DUMMYFUNCTION("""COMPUTED_VALUE"""),102770.0)</f>
        <v>102770</v>
      </c>
      <c r="B2479" s="235" t="str">
        <f>IFERROR(__xludf.DUMMYFUNCTION("""COMPUTED_VALUE"""),"LORRAINE ALMAZAN")</f>
        <v>LORRAINE ALMAZAN</v>
      </c>
      <c r="C2479" s="235" t="str">
        <f>IFERROR(__xludf.DUMMYFUNCTION("""COMPUTED_VALUE"""),"MIS/ICT")</f>
        <v>MIS/ICT</v>
      </c>
      <c r="D2479" s="196" t="str">
        <f>IFERROR(__xludf.DUMMYFUNCTION("""COMPUTED_VALUE"""),"N-VISION V190H 19"" VGA HDMI HDMI")</f>
        <v>N-VISION V190H 19" VGA HDMI HDMI</v>
      </c>
      <c r="E2479" s="196" t="str">
        <f>IFERROR(__xludf.DUMMYFUNCTION("""COMPUTED_VALUE"""),"HYVOLT STEUP FOR THE ECLASSROOMS (ADDTL ROOMS FOR COLLEGE)")</f>
        <v>HYVOLT STEUP FOR THE ECLASSROOMS (ADDTL ROOMS FOR COLLEGE)</v>
      </c>
    </row>
    <row r="2480">
      <c r="A2480" s="234">
        <f>IFERROR(__xludf.DUMMYFUNCTION("""COMPUTED_VALUE"""),102771.0)</f>
        <v>102771</v>
      </c>
      <c r="B2480" s="235" t="str">
        <f>IFERROR(__xludf.DUMMYFUNCTION("""COMPUTED_VALUE"""),"LORRAINE ALMAZAN")</f>
        <v>LORRAINE ALMAZAN</v>
      </c>
      <c r="C2480" s="235" t="str">
        <f>IFERROR(__xludf.DUMMYFUNCTION("""COMPUTED_VALUE"""),"MIS/ICT")</f>
        <v>MIS/ICT</v>
      </c>
      <c r="D2480" s="196" t="str">
        <f>IFERROR(__xludf.DUMMYFUNCTION("""COMPUTED_VALUE"""),"TCL ANDROID TV 55 INCH W/ BRACKET ")</f>
        <v>TCL ANDROID TV 55 INCH W/ BRACKET </v>
      </c>
      <c r="E2480" s="196" t="str">
        <f>IFERROR(__xludf.DUMMYFUNCTION("""COMPUTED_VALUE"""),"HYVOLT STEUP FOR THE ECLASSROOMS (ADDTL ROOMS FOR COLLEGE)")</f>
        <v>HYVOLT STEUP FOR THE ECLASSROOMS (ADDTL ROOMS FOR COLLEGE)</v>
      </c>
    </row>
    <row r="2481">
      <c r="A2481" s="234">
        <f>IFERROR(__xludf.DUMMYFUNCTION("""COMPUTED_VALUE"""),102772.0)</f>
        <v>102772</v>
      </c>
      <c r="B2481" s="235" t="str">
        <f>IFERROR(__xludf.DUMMYFUNCTION("""COMPUTED_VALUE"""),"OWIE PAR ")</f>
        <v>OWIE PAR </v>
      </c>
      <c r="C2481" s="235" t="str">
        <f>IFERROR(__xludf.DUMMYFUNCTION("""COMPUTED_VALUE"""),"ENGINEERING")</f>
        <v>ENGINEERING</v>
      </c>
      <c r="D2481" s="196" t="str">
        <f>IFERROR(__xludf.DUMMYFUNCTION("""COMPUTED_VALUE"""),"SPANISH GUTTER BEIGE ")</f>
        <v>SPANISH GUTTER BEIGE </v>
      </c>
      <c r="E2481" s="196" t="str">
        <f>IFERROR(__xludf.DUMMYFUNCTION("""COMPUTED_VALUE"""),"FOR LUX HALL EXT. CANOPY")</f>
        <v>FOR LUX HALL EXT. CANOPY</v>
      </c>
    </row>
    <row r="2482">
      <c r="A2482" s="234">
        <f>IFERROR(__xludf.DUMMYFUNCTION("""COMPUTED_VALUE"""),102773.0)</f>
        <v>102773</v>
      </c>
      <c r="B2482" s="235" t="str">
        <f>IFERROR(__xludf.DUMMYFUNCTION("""COMPUTED_VALUE"""),"MS. PRECIOUS DALUZ")</f>
        <v>MS. PRECIOUS DALUZ</v>
      </c>
      <c r="C2482" s="235" t="str">
        <f>IFERROR(__xludf.DUMMYFUNCTION("""COMPUTED_VALUE"""),"SPECIAL SUBJECTS")</f>
        <v>SPECIAL SUBJECTS</v>
      </c>
      <c r="D2482" s="196" t="str">
        <f>IFERROR(__xludf.DUMMYFUNCTION("""COMPUTED_VALUE"""),"MIKASA SWL- 310 (SIZE 5) FOOTBALL, MOLTEN GG7X- BASKETBALL, MOLTEN GG6X- BASKETBALL, MIKASA V200W- VOLLEYBALL")</f>
        <v>MIKASA SWL- 310 (SIZE 5) FOOTBALL, MOLTEN GG7X- BASKETBALL, MOLTEN GG6X- BASKETBALL, MIKASA V200W- VOLLEYBALL</v>
      </c>
      <c r="E2482" s="196" t="str">
        <f>IFERROR(__xludf.DUMMYFUNCTION("""COMPUTED_VALUE"""),"TO REPLENISH SUPPLY OF BALL FOR ONSITE PE CLASSES")</f>
        <v>TO REPLENISH SUPPLY OF BALL FOR ONSITE PE CLASSES</v>
      </c>
    </row>
    <row r="2483">
      <c r="A2483" s="234">
        <f>IFERROR(__xludf.DUMMYFUNCTION("""COMPUTED_VALUE"""),102774.0)</f>
        <v>102774</v>
      </c>
      <c r="B2483" s="235" t="str">
        <f>IFERROR(__xludf.DUMMYFUNCTION("""COMPUTED_VALUE"""),"MS. PRECIOUS DALUZ")</f>
        <v>MS. PRECIOUS DALUZ</v>
      </c>
      <c r="C2483" s="235" t="str">
        <f>IFERROR(__xludf.DUMMYFUNCTION("""COMPUTED_VALUE"""),"SPECIAL SUBJECTS")</f>
        <v>SPECIAL SUBJECTS</v>
      </c>
      <c r="D2483" s="196" t="str">
        <f>IFERROR(__xludf.DUMMYFUNCTION("""COMPUTED_VALUE"""),"RJ GUITARS DELUXE ACOUSTIC GUITAR STRINGS ")</f>
        <v>RJ GUITARS DELUXE ACOUSTIC GUITAR STRINGS </v>
      </c>
      <c r="E2483" s="196" t="str">
        <f>IFERROR(__xludf.DUMMYFUNCTION("""COMPUTED_VALUE"""),"TO REPLACE THE CURRENT GUITAR STRINGS FOR MUSIC CLASSES")</f>
        <v>TO REPLACE THE CURRENT GUITAR STRINGS FOR MUSIC CLASSES</v>
      </c>
    </row>
    <row r="2484">
      <c r="A2484" s="234">
        <f>IFERROR(__xludf.DUMMYFUNCTION("""COMPUTED_VALUE"""),102775.0)</f>
        <v>102775</v>
      </c>
      <c r="B2484" s="235" t="str">
        <f>IFERROR(__xludf.DUMMYFUNCTION("""COMPUTED_VALUE"""),"JOMEL BUTIAL")</f>
        <v>JOMEL BUTIAL</v>
      </c>
      <c r="C2484" s="235" t="str">
        <f>IFERROR(__xludf.DUMMYFUNCTION("""COMPUTED_VALUE"""),"AMD")</f>
        <v>AMD</v>
      </c>
      <c r="D2484" s="196" t="str">
        <f>IFERROR(__xludf.DUMMYFUNCTION("""COMPUTED_VALUE"""),"Cartolina, Black
Cartolina, White
Paper, Colored Fortune Yellow
Paper, Colored Fortune Red
Paper, Colored Fortune Blue
Paper, Colored Fortune Orange
Paper, Colored Fortune Violet
Paper, Colored Fortune Green
Marker, Pilot Fine Red
Marker, Pilot Fine blk
")</f>
        <v>Cartolina, Black
Cartolina, White
Paper, Colored Fortune Yellow
Paper, Colored Fortune Red
Paper, Colored Fortune Blue
Paper, Colored Fortune Orange
Paper, Colored Fortune Violet
Paper, Colored Fortune Green
Marker, Pilot Fine Red
Marker, Pilot Fine blk
</v>
      </c>
      <c r="E2484" s="196" t="str">
        <f>IFERROR(__xludf.DUMMYFUNCTION("""COMPUTED_VALUE"""),"OSSUP REPLENISHMENT AND ADDTL TEACHER'S SUPPLIES ")</f>
        <v>OSSUP REPLENISHMENT AND ADDTL TEACHER'S SUPPLIES </v>
      </c>
    </row>
    <row r="2485">
      <c r="A2485" s="234">
        <f>IFERROR(__xludf.DUMMYFUNCTION("""COMPUTED_VALUE"""),102776.0)</f>
        <v>102776</v>
      </c>
      <c r="B2485" s="235" t="str">
        <f>IFERROR(__xludf.DUMMYFUNCTION("""COMPUTED_VALUE"""),"JOMEL BUTIAL")</f>
        <v>JOMEL BUTIAL</v>
      </c>
      <c r="C2485" s="235" t="str">
        <f>IFERROR(__xludf.DUMMYFUNCTION("""COMPUTED_VALUE"""),"AMD")</f>
        <v>AMD</v>
      </c>
      <c r="D2485" s="196" t="str">
        <f>IFERROR(__xludf.DUMMYFUNCTION("""COMPUTED_VALUE"""),"Glue, Elmer's - 130gs (OSSUP)
Tape, Double Adhesive W/ Foam 1X1M
Tape, Duct Tape (2in x 10m)
Tape, Scotch  3M (1"")
")</f>
        <v>Glue, Elmer's - 130gs (OSSUP)
Tape, Double Adhesive W/ Foam 1X1M
Tape, Duct Tape (2in x 10m)
Tape, Scotch  3M (1")
</v>
      </c>
      <c r="E2485" s="196" t="str">
        <f>IFERROR(__xludf.DUMMYFUNCTION("""COMPUTED_VALUE"""),"OSSUP REPLENISHMENT AND ADDTL TEACHER'S SUPPLIES ")</f>
        <v>OSSUP REPLENISHMENT AND ADDTL TEACHER'S SUPPLIES </v>
      </c>
    </row>
    <row r="2486">
      <c r="A2486" s="234">
        <f>IFERROR(__xludf.DUMMYFUNCTION("""COMPUTED_VALUE"""),102777.0)</f>
        <v>102777</v>
      </c>
      <c r="B2486" s="235" t="str">
        <f>IFERROR(__xludf.DUMMYFUNCTION("""COMPUTED_VALUE"""),"JOHN QUIQUI")</f>
        <v>JOHN QUIQUI</v>
      </c>
      <c r="C2486" s="235" t="str">
        <f>IFERROR(__xludf.DUMMYFUNCTION("""COMPUTED_VALUE"""),"STUFFSHOP")</f>
        <v>STUFFSHOP</v>
      </c>
      <c r="D2486" s="196" t="str">
        <f>IFERROR(__xludf.DUMMYFUNCTION("""COMPUTED_VALUE"""),"STANFORD SKILLBOOK MATH D FOR SK, STANFORD SKILLBOOK READING D (SK), STANDFORD SKILLBOOK MATH C (JK), STANFORD SKILLBOOK READING C (JK)")</f>
        <v>STANFORD SKILLBOOK MATH D FOR SK, STANFORD SKILLBOOK READING D (SK), STANDFORD SKILLBOOK MATH C (JK), STANFORD SKILLBOOK READING C (JK)</v>
      </c>
      <c r="E2486" s="196" t="str">
        <f>IFERROR(__xludf.DUMMYFUNCTION("""COMPUTED_VALUE"""),"FOR SALE IN STUFFSHOP")</f>
        <v>FOR SALE IN STUFFSHOP</v>
      </c>
    </row>
    <row r="2487">
      <c r="A2487" s="234">
        <f>IFERROR(__xludf.DUMMYFUNCTION("""COMPUTED_VALUE"""),102778.0)</f>
        <v>102778</v>
      </c>
      <c r="B2487" s="235" t="str">
        <f>IFERROR(__xludf.DUMMYFUNCTION("""COMPUTED_VALUE"""),"SARY ESCUREZ")</f>
        <v>SARY ESCUREZ</v>
      </c>
      <c r="C2487" s="235" t="str">
        <f>IFERROR(__xludf.DUMMYFUNCTION("""COMPUTED_VALUE"""),"PRINCIPAL'S OFFICE")</f>
        <v>PRINCIPAL'S OFFICE</v>
      </c>
      <c r="D2487" s="196" t="str">
        <f>IFERROR(__xludf.DUMMYFUNCTION("""COMPUTED_VALUE"""),"THEME OF THE YEAR TARPAULIN")</f>
        <v>THEME OF THE YEAR TARPAULIN</v>
      </c>
      <c r="E2487" s="196" t="str">
        <f>IFERROR(__xludf.DUMMYFUNCTION("""COMPUTED_VALUE"""),"TO BE PLACE IN EVERY CLASSROOM")</f>
        <v>TO BE PLACE IN EVERY CLASSROOM</v>
      </c>
    </row>
    <row r="2488">
      <c r="A2488" s="234">
        <f>IFERROR(__xludf.DUMMYFUNCTION("""COMPUTED_VALUE"""),102779.0)</f>
        <v>102779</v>
      </c>
      <c r="B2488" s="235" t="str">
        <f>IFERROR(__xludf.DUMMYFUNCTION("""COMPUTED_VALUE"""),"JOMEL BUTIAL ")</f>
        <v>JOMEL BUTIAL </v>
      </c>
      <c r="C2488" s="235" t="str">
        <f>IFERROR(__xludf.DUMMYFUNCTION("""COMPUTED_VALUE"""),"AMD")</f>
        <v>AMD</v>
      </c>
      <c r="D2488" s="196" t="str">
        <f>IFERROR(__xludf.DUMMYFUNCTION("""COMPUTED_VALUE"""),"RIBBON, CARTRIDGE LX310 S015632 (20 PCS)")</f>
        <v>RIBBON, CARTRIDGE LX310 S015632 (20 PCS)</v>
      </c>
      <c r="E2488" s="196" t="str">
        <f>IFERROR(__xludf.DUMMYFUNCTION("""COMPUTED_VALUE"""),"OSSUP REPLENISHMENT ")</f>
        <v>OSSUP REPLENISHMENT </v>
      </c>
    </row>
    <row r="2489">
      <c r="A2489" s="234">
        <f>IFERROR(__xludf.DUMMYFUNCTION("""COMPUTED_VALUE"""),102780.0)</f>
        <v>102780</v>
      </c>
      <c r="B2489" s="235" t="str">
        <f>IFERROR(__xludf.DUMMYFUNCTION("""COMPUTED_VALUE"""),"SHEREE ESPINOSA")</f>
        <v>SHEREE ESPINOSA</v>
      </c>
      <c r="C2489" s="235" t="str">
        <f>IFERROR(__xludf.DUMMYFUNCTION("""COMPUTED_VALUE"""),"ADMIN")</f>
        <v>ADMIN</v>
      </c>
      <c r="D2489" s="196" t="str">
        <f>IFERROR(__xludf.DUMMYFUNCTION("""COMPUTED_VALUE"""),"ASSORTED TILES STICKWELL FOR LUX CAMPUS ")</f>
        <v>ASSORTED TILES STICKWELL FOR LUX CAMPUS </v>
      </c>
      <c r="E2489" s="196" t="str">
        <f>IFERROR(__xludf.DUMMYFUNCTION("""COMPUTED_VALUE"""),"PM OF CLASSROOM (REPAINTING/POP UP TILES)")</f>
        <v>PM OF CLASSROOM (REPAINTING/POP UP TILES)</v>
      </c>
    </row>
    <row r="2490">
      <c r="A2490" s="234">
        <f>IFERROR(__xludf.DUMMYFUNCTION("""COMPUTED_VALUE"""),102781.0)</f>
        <v>102781</v>
      </c>
      <c r="B2490" s="235" t="str">
        <f>IFERROR(__xludf.DUMMYFUNCTION("""COMPUTED_VALUE"""),"GLICERIA KILAPKILAP")</f>
        <v>GLICERIA KILAPKILAP</v>
      </c>
      <c r="C2490" s="235" t="str">
        <f>IFERROR(__xludf.DUMMYFUNCTION("""COMPUTED_VALUE"""),"LIBRARY COLLEGE")</f>
        <v>LIBRARY COLLEGE</v>
      </c>
      <c r="D2490" s="196" t="str">
        <f>IFERROR(__xludf.DUMMYFUNCTION("""COMPUTED_VALUE"""),"BOOK CARD PINK, BOOK POCKET PINK")</f>
        <v>BOOK CARD PINK, BOOK POCKET PINK</v>
      </c>
      <c r="E2490" s="196" t="str">
        <f>IFERROR(__xludf.DUMMYFUNCTION("""COMPUTED_VALUE"""),"FOR NEWLY DONATED THESIS (AY  19-22)")</f>
        <v>FOR NEWLY DONATED THESIS (AY  19-22)</v>
      </c>
    </row>
    <row r="2491">
      <c r="A2491" s="234">
        <f>IFERROR(__xludf.DUMMYFUNCTION("""COMPUTED_VALUE"""),102782.0)</f>
        <v>102782</v>
      </c>
      <c r="B2491" s="235" t="str">
        <f>IFERROR(__xludf.DUMMYFUNCTION("""COMPUTED_VALUE"""),"TIM DIOSAY")</f>
        <v>TIM DIOSAY</v>
      </c>
      <c r="C2491" s="235" t="str">
        <f>IFERROR(__xludf.DUMMYFUNCTION("""COMPUTED_VALUE"""),"ADMIN")</f>
        <v>ADMIN</v>
      </c>
      <c r="D2491" s="196" t="str">
        <f>IFERROR(__xludf.DUMMYFUNCTION("""COMPUTED_VALUE"""),"4"" STAINLESS STEEL PIPE (l+20")</f>
        <v>4" STAINLESS STEEL PIPE (l+20</v>
      </c>
      <c r="E2491" s="196" t="str">
        <f>IFERROR(__xludf.DUMMYFUNCTION("""COMPUTED_VALUE"""),"FLAGPOLE FOR MONARCH'S PARK")</f>
        <v>FLAGPOLE FOR MONARCH'S PARK</v>
      </c>
    </row>
    <row r="2492">
      <c r="A2492" s="234">
        <f>IFERROR(__xludf.DUMMYFUNCTION("""COMPUTED_VALUE"""),102783.0)</f>
        <v>102783</v>
      </c>
      <c r="B2492" s="235" t="str">
        <f>IFERROR(__xludf.DUMMYFUNCTION("""COMPUTED_VALUE"""),"PHEN PETIN")</f>
        <v>PHEN PETIN</v>
      </c>
      <c r="C2492" s="235" t="str">
        <f>IFERROR(__xludf.DUMMYFUNCTION("""COMPUTED_VALUE"""),"ADMIN - STAR")</f>
        <v>ADMIN - STAR</v>
      </c>
      <c r="D2492" s="196" t="str">
        <f>IFERROR(__xludf.DUMMYFUNCTION("""COMPUTED_VALUE"""),"ASSORTED PAINT, SANDING PAPER, ROLLER, PAINT BRUSCH #2, BORAL")</f>
        <v>ASSORTED PAINT, SANDING PAPER, ROLLER, PAINT BRUSCH #2, BORAL</v>
      </c>
      <c r="E2492" s="196" t="str">
        <f>IFERROR(__xludf.DUMMYFUNCTION("""COMPUTED_VALUE"""),"MATERIALS FOR ADDITIONAL REPAINTING @ STAR CAMPUS")</f>
        <v>MATERIALS FOR ADDITIONAL REPAINTING @ STAR CAMPUS</v>
      </c>
    </row>
    <row r="2493">
      <c r="A2493" s="234">
        <f>IFERROR(__xludf.DUMMYFUNCTION("""COMPUTED_VALUE"""),102784.0)</f>
        <v>102784</v>
      </c>
      <c r="B2493" s="235" t="str">
        <f>IFERROR(__xludf.DUMMYFUNCTION("""COMPUTED_VALUE"""),"ALFA DE LEON")</f>
        <v>ALFA DE LEON</v>
      </c>
      <c r="C2493" s="235" t="str">
        <f>IFERROR(__xludf.DUMMYFUNCTION("""COMPUTED_VALUE"""),"ADMIN")</f>
        <v>ADMIN</v>
      </c>
      <c r="D2493" s="196" t="str">
        <f>IFERROR(__xludf.DUMMYFUNCTION("""COMPUTED_VALUE"""),"GROW LIGHT 8 PCS. ")</f>
        <v>GROW LIGHT 8 PCS. </v>
      </c>
      <c r="E2493" s="196" t="str">
        <f>IFERROR(__xludf.DUMMYFUNCTION("""COMPUTED_VALUE"""),"LIGHTS FOR THE KALACHUCHI IN MONARCH PARK")</f>
        <v>LIGHTS FOR THE KALACHUCHI IN MONARCH PARK</v>
      </c>
    </row>
    <row r="2494">
      <c r="A2494" s="234">
        <f>IFERROR(__xludf.DUMMYFUNCTION("""COMPUTED_VALUE"""),102785.0)</f>
        <v>102785</v>
      </c>
      <c r="B2494" s="235" t="str">
        <f>IFERROR(__xludf.DUMMYFUNCTION("""COMPUTED_VALUE"""),"OWIE PAR ")</f>
        <v>OWIE PAR </v>
      </c>
      <c r="C2494" s="235" t="str">
        <f>IFERROR(__xludf.DUMMYFUNCTION("""COMPUTED_VALUE"""),"ADMIN")</f>
        <v>ADMIN</v>
      </c>
      <c r="D2494" s="196" t="str">
        <f>IFERROR(__xludf.DUMMYFUNCTION("""COMPUTED_VALUE"""),"ASPHALT SEALANT")</f>
        <v>ASPHALT SEALANT</v>
      </c>
      <c r="E2494" s="196" t="str">
        <f>IFERROR(__xludf.DUMMYFUNCTION("""COMPUTED_VALUE"""),"SAFETY CONCERNS/PM OF CONCRETE PAVEMENT ALONG LUX ST. ")</f>
        <v>SAFETY CONCERNS/PM OF CONCRETE PAVEMENT ALONG LUX ST. </v>
      </c>
    </row>
    <row r="2495">
      <c r="A2495" s="234">
        <f>IFERROR(__xludf.DUMMYFUNCTION("""COMPUTED_VALUE"""),102786.0)</f>
        <v>102786</v>
      </c>
      <c r="B2495" s="235" t="str">
        <f>IFERROR(__xludf.DUMMYFUNCTION("""COMPUTED_VALUE"""),"OWIE PAR ")</f>
        <v>OWIE PAR </v>
      </c>
      <c r="C2495" s="235" t="str">
        <f>IFERROR(__xludf.DUMMYFUNCTION("""COMPUTED_VALUE"""),"ADMIN")</f>
        <v>ADMIN</v>
      </c>
      <c r="D2495" s="196" t="str">
        <f>IFERROR(__xludf.DUMMYFUNCTION("""COMPUTED_VALUE"""),"WINDOW TYPE ACU 1.5 HP MODEL CW SCI25VPH")</f>
        <v>WINDOW TYPE ACU 1.5 HP MODEL CW SCI25VPH</v>
      </c>
      <c r="E2495" s="196" t="str">
        <f>IFERROR(__xludf.DUMMYFUNCTION("""COMPUTED_VALUE"""),"FOR RM. 305-B REPLECEMENT")</f>
        <v>FOR RM. 305-B REPLECEMENT</v>
      </c>
    </row>
    <row r="2496">
      <c r="A2496" s="234">
        <f>IFERROR(__xludf.DUMMYFUNCTION("""COMPUTED_VALUE"""),102787.0)</f>
        <v>102787</v>
      </c>
      <c r="B2496" s="235" t="str">
        <f>IFERROR(__xludf.DUMMYFUNCTION("""COMPUTED_VALUE"""),"SARY ESCUREL")</f>
        <v>SARY ESCUREL</v>
      </c>
      <c r="C2496" s="235" t="str">
        <f>IFERROR(__xludf.DUMMYFUNCTION("""COMPUTED_VALUE"""),"PRINCIPAL'S OFFICE")</f>
        <v>PRINCIPAL'S OFFICE</v>
      </c>
      <c r="D2496" s="196" t="str">
        <f>IFERROR(__xludf.DUMMYFUNCTION("""COMPUTED_VALUE"""),"CALLING CARDS FOR SHERYL MANALO, DYAN CHAVEZ, NESSIE LUMBRES, DABE SALIBIO ARMIE ABABA")</f>
        <v>CALLING CARDS FOR SHERYL MANALO, DYAN CHAVEZ, NESSIE LUMBRES, DABE SALIBIO ARMIE ABABA</v>
      </c>
      <c r="E2496" s="196" t="str">
        <f>IFERROR(__xludf.DUMMYFUNCTION("""COMPUTED_VALUE"""),"CALLING CARD FOR DPS")</f>
        <v>CALLING CARD FOR DPS</v>
      </c>
    </row>
    <row r="2497">
      <c r="A2497" s="234">
        <f>IFERROR(__xludf.DUMMYFUNCTION("""COMPUTED_VALUE"""),102788.0)</f>
        <v>102788</v>
      </c>
      <c r="B2497" s="235" t="str">
        <f>IFERROR(__xludf.DUMMYFUNCTION("""COMPUTED_VALUE"""),"RORY MANSBRIDGE ")</f>
        <v>RORY MANSBRIDGE </v>
      </c>
      <c r="C2497" s="235" t="str">
        <f>IFERROR(__xludf.DUMMYFUNCTION("""COMPUTED_VALUE"""),"ATHLETICS")</f>
        <v>ATHLETICS</v>
      </c>
      <c r="D2497" s="196" t="str">
        <f>IFERROR(__xludf.DUMMYFUNCTION("""COMPUTED_VALUE"""),"BALLS AND EQUIPMENT")</f>
        <v>BALLS AND EQUIPMENT</v>
      </c>
      <c r="E2497" s="196" t="str">
        <f>IFERROR(__xludf.DUMMYFUNCTION("""COMPUTED_VALUE"""),"FOR VARSITY")</f>
        <v>FOR VARSITY</v>
      </c>
    </row>
    <row r="2498">
      <c r="A2498" s="234">
        <f>IFERROR(__xludf.DUMMYFUNCTION("""COMPUTED_VALUE"""),102789.0)</f>
        <v>102789</v>
      </c>
      <c r="B2498" s="235" t="str">
        <f>IFERROR(__xludf.DUMMYFUNCTION("""COMPUTED_VALUE"""),"TIMOTIE JOHN DIOSAY")</f>
        <v>TIMOTIE JOHN DIOSAY</v>
      </c>
      <c r="C2498" s="235" t="str">
        <f>IFERROR(__xludf.DUMMYFUNCTION("""COMPUTED_VALUE"""),"ADMIN")</f>
        <v>ADMIN</v>
      </c>
      <c r="D2498" s="196" t="str">
        <f>IFERROR(__xludf.DUMMYFUNCTION("""COMPUTED_VALUE"""),"4.5MM 4'X16' DURALON POLYCARBON SHEETS (BRONZE) - 14 PCS")</f>
        <v>4.5MM 4'X16' DURALON POLYCARBON SHEETS (BRONZE) - 14 PCS</v>
      </c>
      <c r="E2498" s="196" t="str">
        <f>IFERROR(__xludf.DUMMYFUNCTION("""COMPUTED_VALUE"""),"ROOFING FOR FOOD COURT AREA (POLYCAARBONATE SHEETS)")</f>
        <v>ROOFING FOR FOOD COURT AREA (POLYCAARBONATE SHEETS)</v>
      </c>
    </row>
    <row r="2499">
      <c r="A2499" s="234">
        <f>IFERROR(__xludf.DUMMYFUNCTION("""COMPUTED_VALUE"""),102790.0)</f>
        <v>102790</v>
      </c>
      <c r="B2499" s="235" t="str">
        <f>IFERROR(__xludf.DUMMYFUNCTION("""COMPUTED_VALUE"""),"JOSSA MARIE GALLANOSA")</f>
        <v>JOSSA MARIE GALLANOSA</v>
      </c>
      <c r="C2499" s="235" t="str">
        <f>IFERROR(__xludf.DUMMYFUNCTION("""COMPUTED_VALUE"""),"RESEARCH DEPARTMENT")</f>
        <v>RESEARCH DEPARTMENT</v>
      </c>
      <c r="D2499" s="196" t="str">
        <f>IFERROR(__xludf.DUMMYFUNCTION("""COMPUTED_VALUE"""),"PANASONIC KX-TG 27 II WIRELESS TELEPHONE LANDLINE WITH ONE TOUCH ECHO MODE - 1 PC")</f>
        <v>PANASONIC KX-TG 27 II WIRELESS TELEPHONE LANDLINE WITH ONE TOUCH ECHO MODE - 1 PC</v>
      </c>
      <c r="E2499" s="196" t="str">
        <f>IFERROR(__xludf.DUMMYFUNCTION("""COMPUTED_VALUE"""),"FOR OFFICE USE OF RESEARCH DEPARTMENT")</f>
        <v>FOR OFFICE USE OF RESEARCH DEPARTMENT</v>
      </c>
    </row>
    <row r="2500">
      <c r="A2500" s="234">
        <f>IFERROR(__xludf.DUMMYFUNCTION("""COMPUTED_VALUE"""),102791.0)</f>
        <v>102791</v>
      </c>
      <c r="B2500" s="235" t="str">
        <f>IFERROR(__xludf.DUMMYFUNCTION("""COMPUTED_VALUE"""),"SHEILA MAE FABILLAR ")</f>
        <v>SHEILA MAE FABILLAR </v>
      </c>
      <c r="C2500" s="235" t="str">
        <f>IFERROR(__xludf.DUMMYFUNCTION("""COMPUTED_VALUE"""),"FINANCE &amp; ACCOUNTING")</f>
        <v>FINANCE &amp; ACCOUNTING</v>
      </c>
      <c r="D2500" s="196" t="str">
        <f>IFERROR(__xludf.DUMMYFUNCTION("""COMPUTED_VALUE"""),"ACKNOWLEDGEMENT RECEIPT (LUX) 100 BOOKLETS -STARTING NUMBER 30,001 ENDING NUMBER 35,000")</f>
        <v>ACKNOWLEDGEMENT RECEIPT (LUX) 100 BOOKLETS -STARTING NUMBER 30,001 ENDING NUMBER 35,000</v>
      </c>
      <c r="E2500" s="196" t="str">
        <f>IFERROR(__xludf.DUMMYFUNCTION("""COMPUTED_VALUE"""),"FOR CASHIER'S USE")</f>
        <v>FOR CASHIER'S USE</v>
      </c>
    </row>
    <row r="2501">
      <c r="A2501" s="234">
        <f>IFERROR(__xludf.DUMMYFUNCTION("""COMPUTED_VALUE"""),102792.0)</f>
        <v>102792</v>
      </c>
      <c r="B2501" s="235" t="str">
        <f>IFERROR(__xludf.DUMMYFUNCTION("""COMPUTED_VALUE"""),"ADRIAN L. VELA ")</f>
        <v>ADRIAN L. VELA </v>
      </c>
      <c r="C2501" s="235" t="str">
        <f>IFERROR(__xludf.DUMMYFUNCTION("""COMPUTED_VALUE"""),"TAYLOR CENTER (TCPD)")</f>
        <v>TAYLOR CENTER (TCPD)</v>
      </c>
      <c r="D2501" s="196" t="str">
        <f>IFERROR(__xludf.DUMMYFUNCTION("""COMPUTED_VALUE"""),"9X7 INCHES PLAQUE 2 PCS")</f>
        <v>9X7 INCHES PLAQUE 2 PCS</v>
      </c>
      <c r="E2501" s="196" t="str">
        <f>IFERROR(__xludf.DUMMYFUNCTION("""COMPUTED_VALUE"""),"PLAQUE FOR YLES SPEAKER")</f>
        <v>PLAQUE FOR YLES SPEAKER</v>
      </c>
    </row>
    <row r="2502">
      <c r="A2502" s="234">
        <f>IFERROR(__xludf.DUMMYFUNCTION("""COMPUTED_VALUE"""),102793.0)</f>
        <v>102793</v>
      </c>
      <c r="B2502" s="235" t="str">
        <f>IFERROR(__xludf.DUMMYFUNCTION("""COMPUTED_VALUE"""),"OWIE PAR ")</f>
        <v>OWIE PAR </v>
      </c>
      <c r="C2502" s="235" t="str">
        <f>IFERROR(__xludf.DUMMYFUNCTION("""COMPUTED_VALUE"""),"ENGINEERING")</f>
        <v>ENGINEERING</v>
      </c>
      <c r="D2502" s="196" t="str">
        <f>IFERROR(__xludf.DUMMYFUNCTION("""COMPUTED_VALUE"""),"PPR TEE 1 1/4 1 PC; PPR MALE ADAPTER 1 1/4 2PCS; PPR FEMALE ADAPTER 1 1/4 1 PC; PPR ELBOW 1 1/4 1 PC; BRASS GATEVALVE 1 1/4 KITZ 1PC; TEFLON TAPE 5 ROLLS")</f>
        <v>PPR TEE 1 1/4 1 PC; PPR MALE ADAPTER 1 1/4 2PCS; PPR FEMALE ADAPTER 1 1/4 1 PC; PPR ELBOW 1 1/4 1 PC; BRASS GATEVALVE 1 1/4 KITZ 1PC; TEFLON TAPE 5 ROLLS</v>
      </c>
      <c r="E2502" s="196" t="str">
        <f>IFERROR(__xludf.DUMMYFUNCTION("""COMPUTED_VALUE"""),"FOR SPRINKLER WATER TANK SUPPLY")</f>
        <v>FOR SPRINKLER WATER TANK SUPPLY</v>
      </c>
    </row>
    <row r="2503">
      <c r="A2503" s="234">
        <f>IFERROR(__xludf.DUMMYFUNCTION("""COMPUTED_VALUE"""),102794.0)</f>
        <v>102794</v>
      </c>
      <c r="B2503" s="235" t="str">
        <f>IFERROR(__xludf.DUMMYFUNCTION("""COMPUTED_VALUE"""),"JADE GERONIMO")</f>
        <v>JADE GERONIMO</v>
      </c>
      <c r="C2503" s="235" t="str">
        <f>IFERROR(__xludf.DUMMYFUNCTION("""COMPUTED_VALUE"""),"ECED")</f>
        <v>ECED</v>
      </c>
      <c r="D2503" s="196" t="str">
        <f>IFERROR(__xludf.DUMMYFUNCTION("""COMPUTED_VALUE"""),"15 PCS. PK WORKSHEETS, 10 PCS. JK WORKSHEETS, 10 SK WORKSHEETS WITH 35 PURPLE MORROCO ENVELOPE")</f>
        <v>15 PCS. PK WORKSHEETS, 10 PCS. JK WORKSHEETS, 10 SK WORKSHEETS WITH 35 PURPLE MORROCO ENVELOPE</v>
      </c>
      <c r="E2503" s="196" t="str">
        <f>IFERROR(__xludf.DUMMYFUNCTION("""COMPUTED_VALUE"""),"EXTRA WORKSHEETS FOR PRESCHOOL")</f>
        <v>EXTRA WORKSHEETS FOR PRESCHOOL</v>
      </c>
    </row>
    <row r="2504">
      <c r="A2504" s="234">
        <f>IFERROR(__xludf.DUMMYFUNCTION("""COMPUTED_VALUE"""),102795.0)</f>
        <v>102795</v>
      </c>
      <c r="B2504" s="235" t="str">
        <f>IFERROR(__xludf.DUMMYFUNCTION("""COMPUTED_VALUE"""),"TIM DIOSAY ")</f>
        <v>TIM DIOSAY </v>
      </c>
      <c r="C2504" s="235" t="str">
        <f>IFERROR(__xludf.DUMMYFUNCTION("""COMPUTED_VALUE"""),"ADMIN")</f>
        <v>ADMIN</v>
      </c>
      <c r="D2504" s="196" t="str">
        <f>IFERROR(__xludf.DUMMYFUNCTION("""COMPUTED_VALUE"""),"4""X4"" AREA DRAIN")</f>
        <v>4"X4" AREA DRAIN</v>
      </c>
      <c r="E2504" s="196" t="str">
        <f>IFERROR(__xludf.DUMMYFUNCTION("""COMPUTED_VALUE"""),"AREA DRAIN FOR CLINIC WALKWAY AND MONARCH'S PARK")</f>
        <v>AREA DRAIN FOR CLINIC WALKWAY AND MONARCH'S PARK</v>
      </c>
    </row>
    <row r="2505">
      <c r="A2505" s="234">
        <f>IFERROR(__xludf.DUMMYFUNCTION("""COMPUTED_VALUE"""),102796.0)</f>
        <v>102796</v>
      </c>
      <c r="B2505" s="235" t="str">
        <f>IFERROR(__xludf.DUMMYFUNCTION("""COMPUTED_VALUE"""),"OWIE PAR")</f>
        <v>OWIE PAR</v>
      </c>
      <c r="C2505" s="235" t="str">
        <f>IFERROR(__xludf.DUMMYFUNCTION("""COMPUTED_VALUE"""),"ADMIN")</f>
        <v>ADMIN</v>
      </c>
      <c r="D2505" s="196" t="str">
        <f>IFERROR(__xludf.DUMMYFUNCTION("""COMPUTED_VALUE"""),"CHB #4, BINISTAY, CEMENT, SKIM COAT, FLAT LATEX, MIX PAINT BLUE AND SAND PAPER")</f>
        <v>CHB #4, BINISTAY, CEMENT, SKIM COAT, FLAT LATEX, MIX PAINT BLUE AND SAND PAPER</v>
      </c>
      <c r="E2505" s="196" t="str">
        <f>IFERROR(__xludf.DUMMYFUNCTION("""COMPUTED_VALUE"""),"FOR MUNICH ACU WINDOW TYPE CASEMENT COVER")</f>
        <v>FOR MUNICH ACU WINDOW TYPE CASEMENT COVER</v>
      </c>
    </row>
    <row r="2506">
      <c r="A2506" s="234">
        <f>IFERROR(__xludf.DUMMYFUNCTION("""COMPUTED_VALUE"""),102797.0)</f>
        <v>102797</v>
      </c>
      <c r="B2506" s="235" t="str">
        <f>IFERROR(__xludf.DUMMYFUNCTION("""COMPUTED_VALUE"""),"LUCILLE R. BEYER")</f>
        <v>LUCILLE R. BEYER</v>
      </c>
      <c r="C2506" s="235" t="str">
        <f>IFERROR(__xludf.DUMMYFUNCTION("""COMPUTED_VALUE"""),"MEDICAL")</f>
        <v>MEDICAL</v>
      </c>
      <c r="D2506" s="196" t="str">
        <f>IFERROR(__xludf.DUMMYFUNCTION("""COMPUTED_VALUE"""),"CLINIC SUPPLIES ")</f>
        <v>CLINIC SUPPLIES </v>
      </c>
      <c r="E2506" s="196" t="str">
        <f>IFERROR(__xludf.DUMMYFUNCTION("""COMPUTED_VALUE"""),"FOR ADDITIONAL CLINIC SUPPLIES IN PREPARATION FOR THE F2F (3 CLINICS)")</f>
        <v>FOR ADDITIONAL CLINIC SUPPLIES IN PREPARATION FOR THE F2F (3 CLINICS)</v>
      </c>
    </row>
    <row r="2507">
      <c r="A2507" s="234">
        <f>IFERROR(__xludf.DUMMYFUNCTION("""COMPUTED_VALUE"""),102798.0)</f>
        <v>102798</v>
      </c>
      <c r="B2507" s="235" t="str">
        <f>IFERROR(__xludf.DUMMYFUNCTION("""COMPUTED_VALUE"""),"EDGAR D. REBELLON")</f>
        <v>EDGAR D. REBELLON</v>
      </c>
      <c r="C2507" s="235" t="str">
        <f>IFERROR(__xludf.DUMMYFUNCTION("""COMPUTED_VALUE"""),"AMD")</f>
        <v>AMD</v>
      </c>
      <c r="D2507" s="196" t="str">
        <f>IFERROR(__xludf.DUMMYFUNCTION("""COMPUTED_VALUE"""),"Beads with big hole
Popsicle Stick, pack (100 sticks)
Yarn, Yarn Asstd Color
Box of Crayons - Crayola Double (16pcs)
Paper bond, 8.5""x11"" 50/pk
Paper, Book Short 20/pk
Paper, Book Long 20/pk
Glue, Elmer's - 130gs
")</f>
        <v>Beads with big hole
Popsicle Stick, pack (100 sticks)
Yarn, Yarn Asstd Color
Box of Crayons - Crayola Double (16pcs)
Paper bond, 8.5"x11" 50/pk
Paper, Book Short 20/pk
Paper, Book Long 20/pk
Glue, Elmer's - 130gs
</v>
      </c>
      <c r="E2507" s="196" t="str">
        <f>IFERROR(__xludf.DUMMYFUNCTION("""COMPUTED_VALUE"""),"STUDENT SUPPLIES REPLENISHMENT ")</f>
        <v>STUDENT SUPPLIES REPLENISHMENT </v>
      </c>
    </row>
    <row r="2508">
      <c r="A2508" s="234">
        <f>IFERROR(__xludf.DUMMYFUNCTION("""COMPUTED_VALUE"""),102799.0)</f>
        <v>102799</v>
      </c>
      <c r="B2508" s="235" t="str">
        <f>IFERROR(__xludf.DUMMYFUNCTION("""COMPUTED_VALUE"""),"DABERETH SALIBIO")</f>
        <v>DABERETH SALIBIO</v>
      </c>
      <c r="C2508" s="235" t="str">
        <f>IFERROR(__xludf.DUMMYFUNCTION("""COMPUTED_VALUE"""),"I.B.")</f>
        <v>I.B.</v>
      </c>
      <c r="D2508" s="196" t="str">
        <f>IFERROR(__xludf.DUMMYFUNCTION("""COMPUTED_VALUE"""),"HUION KAMVAS 13 DRAWING TABLET ")</f>
        <v>HUION KAMVAS 13 DRAWING TABLET </v>
      </c>
      <c r="E2508" s="196" t="str">
        <f>IFERROR(__xludf.DUMMYFUNCTION("""COMPUTED_VALUE"""),"FOR VISUAL ARTS CLASSES (TEACHING PURPOSES)")</f>
        <v>FOR VISUAL ARTS CLASSES (TEACHING PURPOSES)</v>
      </c>
    </row>
    <row r="2509">
      <c r="A2509" s="234">
        <f>IFERROR(__xludf.DUMMYFUNCTION("""COMPUTED_VALUE"""),102800.0)</f>
        <v>102800</v>
      </c>
      <c r="B2509" s="235" t="str">
        <f>IFERROR(__xludf.DUMMYFUNCTION("""COMPUTED_VALUE"""),"ALFA DE LEON")</f>
        <v>ALFA DE LEON</v>
      </c>
      <c r="C2509" s="235" t="str">
        <f>IFERROR(__xludf.DUMMYFUNCTION("""COMPUTED_VALUE"""),"ADMIN")</f>
        <v>ADMIN</v>
      </c>
      <c r="D2509" s="196" t="str">
        <f>IFERROR(__xludf.DUMMYFUNCTION("""COMPUTED_VALUE"""),"YELLOW PEANUT (MANI-MANI), SELLOWN, TOBACCO 3 TO 4 FT., SPOTTY PHYLUM 12"", PHOTOS PLANTS, PICARRA, HELICONIA, ORLANDO SMALL ONLY, BLUE GRASS, FROG GRASS, RANGOON CREEPER")</f>
        <v>YELLOW PEANUT (MANI-MANI), SELLOWN, TOBACCO 3 TO 4 FT., SPOTTY PHYLUM 12", PHOTOS PLANTS, PICARRA, HELICONIA, ORLANDO SMALL ONLY, BLUE GRASS, FROG GRASS, RANGOON CREEPER</v>
      </c>
      <c r="E2509" s="196" t="str">
        <f>IFERROR(__xludf.DUMMYFUNCTION("""COMPUTED_VALUE"""),"MONARCH PARK GROUND COVER FOR TREES, PAVER BLOCK,PLANTS FOR GREEN WALL AND PLANT BOXES")</f>
        <v>MONARCH PARK GROUND COVER FOR TREES, PAVER BLOCK,PLANTS FOR GREEN WALL AND PLANT BOXES</v>
      </c>
    </row>
    <row r="2510">
      <c r="A2510" s="234">
        <f>IFERROR(__xludf.DUMMYFUNCTION("""COMPUTED_VALUE"""),102801.0)</f>
        <v>102801</v>
      </c>
      <c r="B2510" s="235" t="str">
        <f>IFERROR(__xludf.DUMMYFUNCTION("""COMPUTED_VALUE"""),"ALFA DE LEON")</f>
        <v>ALFA DE LEON</v>
      </c>
      <c r="C2510" s="235" t="str">
        <f>IFERROR(__xludf.DUMMYFUNCTION("""COMPUTED_VALUE"""),"ADMIN")</f>
        <v>ADMIN</v>
      </c>
      <c r="D2510" s="196" t="str">
        <f>IFERROR(__xludf.DUMMYFUNCTION("""COMPUTED_VALUE"""),"PIEDRA PINOY")</f>
        <v>PIEDRA PINOY</v>
      </c>
      <c r="E2510" s="196" t="str">
        <f>IFERROR(__xludf.DUMMYFUNCTION("""COMPUTED_VALUE"""),"MONARCH PARK FLAG POLE AREA STEPPING STONE")</f>
        <v>MONARCH PARK FLAG POLE AREA STEPPING STONE</v>
      </c>
    </row>
    <row r="2511">
      <c r="A2511" s="234">
        <f>IFERROR(__xludf.DUMMYFUNCTION("""COMPUTED_VALUE"""),102802.0)</f>
        <v>102802</v>
      </c>
      <c r="B2511" s="235" t="str">
        <f>IFERROR(__xludf.DUMMYFUNCTION("""COMPUTED_VALUE"""),"JOMEL BUTIAL ")</f>
        <v>JOMEL BUTIAL </v>
      </c>
      <c r="C2511" s="235" t="str">
        <f>IFERROR(__xludf.DUMMYFUNCTION("""COMPUTED_VALUE"""),"AMD")</f>
        <v>AMD</v>
      </c>
      <c r="D2511" s="196" t="str">
        <f>IFERROR(__xludf.DUMMYFUNCTION("""COMPUTED_VALUE"""),"EQ- G2 MY FAMILY  AND I - 20 PCS
EG - G4 I AM ME - 20 PCS
EG - G6 THE WHOLE ME 11 PCS
EG - G7 MY EG FACTOR 20 PCS
EG - G8 I AM A GIFT 15 PCS
EG - THE OY OF BEING ME 11 PCS
ACT - G2 I CAN DO IT 20 PCS
ACT - G5 JOURNEYING INTO ME 20 PCS
ACT - G7 MY ACHIEVEM"&amp;"ENT JOURNEY 20 PCS
ACT - G8 I AM A GIFT 16 PCS
ACT - G9 THE JOY OF ACHIEVING 20 PCS
ACT - G10 ONE STEP OUT A TIME 20 PCS")</f>
        <v>EQ- G2 MY FAMILY  AND I - 20 PCS
EG - G4 I AM ME - 20 PCS
EG - G6 THE WHOLE ME 11 PCS
EG - G7 MY EG FACTOR 20 PCS
EG - G8 I AM A GIFT 15 PCS
EG - THE OY OF BEING ME 11 PCS
ACT - G2 I CAN DO IT 20 PCS
ACT - G5 JOURNEYING INTO ME 20 PCS
ACT - G7 MY ACHIEVEMENT JOURNEY 20 PCS
ACT - G8 I AM A GIFT 16 PCS
ACT - G9 THE JOY OF ACHIEVING 20 PCS
ACT - G10 ONE STEP OUT A TIME 20 PCS</v>
      </c>
      <c r="E2511" s="196" t="str">
        <f>IFERROR(__xludf.DUMMYFUNCTION("""COMPUTED_VALUE"""),"RE-ORDER BUT OUT OF STOCK ITEMS")</f>
        <v>RE-ORDER BUT OUT OF STOCK ITEMS</v>
      </c>
    </row>
    <row r="2512">
      <c r="A2512" s="234">
        <f>IFERROR(__xludf.DUMMYFUNCTION("""COMPUTED_VALUE"""),102803.0)</f>
        <v>102803</v>
      </c>
      <c r="B2512" s="235" t="str">
        <f>IFERROR(__xludf.DUMMYFUNCTION("""COMPUTED_VALUE"""),"SHEREE ESPINOSA")</f>
        <v>SHEREE ESPINOSA</v>
      </c>
      <c r="C2512" s="235" t="str">
        <f>IFERROR(__xludf.DUMMYFUNCTION("""COMPUTED_VALUE"""),"PRESIDENT'S OFFICE")</f>
        <v>PRESIDENT'S OFFICE</v>
      </c>
      <c r="D2512" s="196" t="str">
        <f>IFERROR(__xludf.DUMMYFUNCTION("""COMPUTED_VALUE"""),"INTERCOM UNIT")</f>
        <v>INTERCOM UNIT</v>
      </c>
      <c r="E2512" s="196" t="str">
        <f>IFERROR(__xludf.DUMMYFUNCTION("""COMPUTED_VALUE"""),"FOR PRESIDENT'S OFFICE ")</f>
        <v>FOR PRESIDENT'S OFFICE </v>
      </c>
    </row>
    <row r="2513">
      <c r="A2513" s="234">
        <f>IFERROR(__xludf.DUMMYFUNCTION("""COMPUTED_VALUE"""),102804.0)</f>
        <v>102804</v>
      </c>
      <c r="B2513" s="235" t="str">
        <f>IFERROR(__xludf.DUMMYFUNCTION("""COMPUTED_VALUE"""),"SHEREE ESPINOSA")</f>
        <v>SHEREE ESPINOSA</v>
      </c>
      <c r="C2513" s="235" t="str">
        <f>IFERROR(__xludf.DUMMYFUNCTION("""COMPUTED_VALUE"""),"PRESIDENT'S OFFICE")</f>
        <v>PRESIDENT'S OFFICE</v>
      </c>
      <c r="D2513" s="196" t="str">
        <f>IFERROR(__xludf.DUMMYFUNCTION("""COMPUTED_VALUE"""),"TELEPHONE UNIT")</f>
        <v>TELEPHONE UNIT</v>
      </c>
      <c r="E2513" s="196" t="str">
        <f>IFERROR(__xludf.DUMMYFUNCTION("""COMPUTED_VALUE"""),"FOR PRESIDENT'S OFFICE ")</f>
        <v>FOR PRESIDENT'S OFFICE </v>
      </c>
    </row>
    <row r="2514">
      <c r="A2514" s="234">
        <f>IFERROR(__xludf.DUMMYFUNCTION("""COMPUTED_VALUE"""),102805.0)</f>
        <v>102805</v>
      </c>
      <c r="B2514" s="235" t="str">
        <f>IFERROR(__xludf.DUMMYFUNCTION("""COMPUTED_VALUE"""),"OWIE PAR")</f>
        <v>OWIE PAR</v>
      </c>
      <c r="C2514" s="235" t="str">
        <f>IFERROR(__xludf.DUMMYFUNCTION("""COMPUTED_VALUE"""),"ADMIN")</f>
        <v>ADMIN</v>
      </c>
      <c r="D2514" s="196" t="str">
        <f>IFERROR(__xludf.DUMMYFUNCTION("""COMPUTED_VALUE"""),"PVC PIPE 3/4 ORANGE NELTEX, PVC PIPE 1/2 ORANGE NELTEX, UTILITY BOX, JUNCTION BOX, MALE ADAPTOR 3/4 ORANGE, MALE ADAPTOR 1/2 ORANGE, LOCK NUT BUSHING 3/4 ORANGE, LUCK NUT BUSHING 1/2 ORANGE, LONG BENT ELBOW 3/4 ORANGE, LONG BENT ELBOW 1/4 ORANGE, PANASONI"&amp;"C WIDE SERIES OUTLET 1 GANG, PVC CLAMP 3/4, PVC CLAMP 1/4, TOX AND SCREW # 6, MASONRY BIT #6, THHN #14 P.D. ELECTRICAL TAPE")</f>
        <v>PVC PIPE 3/4 ORANGE NELTEX, PVC PIPE 1/2 ORANGE NELTEX, UTILITY BOX, JUNCTION BOX, MALE ADAPTOR 3/4 ORANGE, MALE ADAPTOR 1/2 ORANGE, LOCK NUT BUSHING 3/4 ORANGE, LUCK NUT BUSHING 1/2 ORANGE, LONG BENT ELBOW 3/4 ORANGE, LONG BENT ELBOW 1/4 ORANGE, PANASONIC WIDE SERIES OUTLET 1 GANG, PVC CLAMP 3/4, PVC CLAMP 1/4, TOX AND SCREW # 6, MASONRY BIT #6, THHN #14 P.D. ELECTRICAL TAPE</v>
      </c>
      <c r="E2514" s="196" t="str">
        <f>IFERROR(__xludf.DUMMYFUNCTION("""COMPUTED_VALUE"""),"FOR CCTV OF ANTEL PRESCHOOL")</f>
        <v>FOR CCTV OF ANTEL PRESCHOOL</v>
      </c>
    </row>
    <row r="2515">
      <c r="A2515" s="234">
        <f>IFERROR(__xludf.DUMMYFUNCTION("""COMPUTED_VALUE"""),102806.0)</f>
        <v>102806</v>
      </c>
      <c r="B2515" s="235" t="str">
        <f>IFERROR(__xludf.DUMMYFUNCTION("""COMPUTED_VALUE"""),"RAQUELYN NUÑEZ")</f>
        <v>RAQUELYN NUÑEZ</v>
      </c>
      <c r="C2515" s="235" t="str">
        <f>IFERROR(__xludf.DUMMYFUNCTION("""COMPUTED_VALUE"""),"ADMIN")</f>
        <v>ADMIN</v>
      </c>
      <c r="D2515" s="196" t="str">
        <f>IFERROR(__xludf.DUMMYFUNCTION("""COMPUTED_VALUE"""),"2 BED FOAM SINGLE (BITI), 1 DINING TABLE, 1 SHOWER HEATER, 1 WATER DISPENSER, 1 SHOWER CURTAIN, 1 TRASHBIN BIG, 5 TRASHBIN SMALL (SAME AS SISC), 2 TOWEL RACK, 1 DISH RACK ")</f>
        <v>2 BED FOAM SINGLE (BITI), 1 DINING TABLE, 1 SHOWER HEATER, 1 WATER DISPENSER, 1 SHOWER CURTAIN, 1 TRASHBIN BIG, 5 TRASHBIN SMALL (SAME AS SISC), 2 TOWEL RACK, 1 DISH RACK </v>
      </c>
      <c r="E2515" s="196" t="str">
        <f>IFERROR(__xludf.DUMMYFUNCTION("""COMPUTED_VALUE"""),"FOR NARRA HOUSE ")</f>
        <v>FOR NARRA HOUSE </v>
      </c>
    </row>
    <row r="2516">
      <c r="A2516" s="234">
        <f>IFERROR(__xludf.DUMMYFUNCTION("""COMPUTED_VALUE"""),102807.0)</f>
        <v>102807</v>
      </c>
      <c r="B2516" s="235" t="str">
        <f>IFERROR(__xludf.DUMMYFUNCTION("""COMPUTED_VALUE"""),"RAQUELYN NUÑEZ")</f>
        <v>RAQUELYN NUÑEZ</v>
      </c>
      <c r="C2516" s="235" t="str">
        <f>IFERROR(__xludf.DUMMYFUNCTION("""COMPUTED_VALUE"""),"ADMIN")</f>
        <v>ADMIN</v>
      </c>
      <c r="D2516" s="196" t="str">
        <f>IFERROR(__xludf.DUMMYFUNCTION("""COMPUTED_VALUE"""),"3 PILLOW BITI, 4 BED SHEET SET, 8 CURTAIN RODS 58:, 1 CURTAIN ROD 78"", 8 PIN LIGHTS, 8 CURTAIN, 1 FOOT RUG")</f>
        <v>3 PILLOW BITI, 4 BED SHEET SET, 8 CURTAIN RODS 58:, 1 CURTAIN ROD 78", 8 PIN LIGHTS, 8 CURTAIN, 1 FOOT RUG</v>
      </c>
      <c r="E2516" s="196" t="str">
        <f>IFERROR(__xludf.DUMMYFUNCTION("""COMPUTED_VALUE"""),"FOR NARRA HOUSE ")</f>
        <v>FOR NARRA HOUSE </v>
      </c>
    </row>
    <row r="2517">
      <c r="A2517" s="234">
        <f>IFERROR(__xludf.DUMMYFUNCTION("""COMPUTED_VALUE"""),102808.0)</f>
        <v>102808</v>
      </c>
      <c r="B2517" s="235" t="str">
        <f>IFERROR(__xludf.DUMMYFUNCTION("""COMPUTED_VALUE"""),"SHEREE ESPINOSA ")</f>
        <v>SHEREE ESPINOSA </v>
      </c>
      <c r="C2517" s="235" t="str">
        <f>IFERROR(__xludf.DUMMYFUNCTION("""COMPUTED_VALUE"""),"ADMIN")</f>
        <v>ADMIN</v>
      </c>
      <c r="D2517" s="196" t="str">
        <f>IFERROR(__xludf.DUMMYFUNCTION("""COMPUTED_VALUE"""),"DOUBLE SIDED ADHESIVE TAPE 10 METERS  POLAR BEAR")</f>
        <v>DOUBLE SIDED ADHESIVE TAPE 10 METERS  POLAR BEAR</v>
      </c>
      <c r="E2517" s="196" t="str">
        <f>IFERROR(__xludf.DUMMYFUNCTION("""COMPUTED_VALUE"""),"FOR INSTALLING SIGNAGES FOR THE OPENING OF CLASSES")</f>
        <v>FOR INSTALLING SIGNAGES FOR THE OPENING OF CLASSES</v>
      </c>
    </row>
    <row r="2518">
      <c r="A2518" s="234">
        <f>IFERROR(__xludf.DUMMYFUNCTION("""COMPUTED_VALUE"""),102809.0)</f>
        <v>102809</v>
      </c>
      <c r="B2518" s="235" t="str">
        <f>IFERROR(__xludf.DUMMYFUNCTION("""COMPUTED_VALUE"""),"ANN VILLARUZ")</f>
        <v>ANN VILLARUZ</v>
      </c>
      <c r="C2518" s="235" t="str">
        <f>IFERROR(__xludf.DUMMYFUNCTION("""COMPUTED_VALUE"""),"STUDENT AFFAIRS COLLEGE")</f>
        <v>STUDENT AFFAIRS COLLEGE</v>
      </c>
      <c r="D2518" s="196" t="str">
        <f>IFERROR(__xludf.DUMMYFUNCTION("""COMPUTED_VALUE"""),"TRODAT (ANNA MARIA R. VILLARUZ")</f>
        <v>TRODAT (ANNA MARIA R. VILLARUZ</v>
      </c>
      <c r="E2518" s="196" t="str">
        <f>IFERROR(__xludf.DUMMYFUNCTION("""COMPUTED_VALUE"""),"FOR OFFICE USE")</f>
        <v>FOR OFFICE USE</v>
      </c>
    </row>
    <row r="2519">
      <c r="A2519" s="234">
        <f>IFERROR(__xludf.DUMMYFUNCTION("""COMPUTED_VALUE"""),102810.0)</f>
        <v>102810</v>
      </c>
      <c r="B2519" s="235" t="str">
        <f>IFERROR(__xludf.DUMMYFUNCTION("""COMPUTED_VALUE"""),"JOMEL BUTIAL")</f>
        <v>JOMEL BUTIAL</v>
      </c>
      <c r="C2519" s="235" t="str">
        <f>IFERROR(__xludf.DUMMYFUNCTION("""COMPUTED_VALUE"""),"AMD")</f>
        <v>AMD</v>
      </c>
      <c r="D2519" s="196" t="str">
        <f>IFERROR(__xludf.DUMMYFUNCTION("""COMPUTED_VALUE"""),"70% ISOPHROPYL ALCOHOL GALLON")</f>
        <v>70% ISOPHROPYL ALCOHOL GALLON</v>
      </c>
      <c r="E2519" s="196" t="str">
        <f>IFERROR(__xludf.DUMMYFUNCTION("""COMPUTED_VALUE"""),"RELENISHMENT OF COVID PROTECTION SUPPLIES  (INVENTORIABLE)")</f>
        <v>RELENISHMENT OF COVID PROTECTION SUPPLIES  (INVENTORIABLE)</v>
      </c>
    </row>
    <row r="2520">
      <c r="A2520" s="234">
        <f>IFERROR(__xludf.DUMMYFUNCTION("""COMPUTED_VALUE"""),102811.0)</f>
        <v>102811</v>
      </c>
      <c r="B2520" s="235" t="str">
        <f>IFERROR(__xludf.DUMMYFUNCTION("""COMPUTED_VALUE"""),"TIM DIOSAY")</f>
        <v>TIM DIOSAY</v>
      </c>
      <c r="C2520" s="235" t="str">
        <f>IFERROR(__xludf.DUMMYFUNCTION("""COMPUTED_VALUE"""),"ADMIN")</f>
        <v>ADMIN</v>
      </c>
      <c r="D2520" s="196" t="str">
        <f>IFERROR(__xludf.DUMMYFUNCTION("""COMPUTED_VALUE"""),"ANALOC FLATBAR 1/8 X 2"" X 16"", TEK SCREW 1"" SEALANT")</f>
        <v>ANALOC FLATBAR 1/8 X 2" X 16", TEK SCREW 1" SEALANT</v>
      </c>
      <c r="E2520" s="196" t="str">
        <f>IFERROR(__xludf.DUMMYFUNCTION("""COMPUTED_VALUE"""),"JOIMT ALUMINUM CUPPING FOR POLYCARBONATE ROOFING ON MONARCHS")</f>
        <v>JOIMT ALUMINUM CUPPING FOR POLYCARBONATE ROOFING ON MONARCHS</v>
      </c>
    </row>
    <row r="2521">
      <c r="A2521" s="234">
        <f>IFERROR(__xludf.DUMMYFUNCTION("""COMPUTED_VALUE"""),102812.0)</f>
        <v>102812</v>
      </c>
      <c r="B2521" s="235" t="str">
        <f>IFERROR(__xludf.DUMMYFUNCTION("""COMPUTED_VALUE"""),"Brent Darryl Templo")</f>
        <v>Brent Darryl Templo</v>
      </c>
      <c r="C2521" s="235" t="str">
        <f>IFERROR(__xludf.DUMMYFUNCTION("""COMPUTED_VALUE"""),"AMD")</f>
        <v>AMD</v>
      </c>
      <c r="D2521" s="196" t="str">
        <f>IFERROR(__xludf.DUMMYFUNCTION("""COMPUTED_VALUE"""),"stapler max, puncher paper, hd 2 hole big prince, dispenser tape big, elmers glue")</f>
        <v>stapler max, puncher paper, hd 2 hole big prince, dispenser tape big, elmers glue</v>
      </c>
      <c r="E2521" s="196" t="str">
        <f>IFERROR(__xludf.DUMMYFUNCTION("""COMPUTED_VALUE"""),"for ossup replenishment")</f>
        <v>for ossup replenishment</v>
      </c>
    </row>
    <row r="2522">
      <c r="A2522" s="234">
        <f>IFERROR(__xludf.DUMMYFUNCTION("""COMPUTED_VALUE"""),102813.0)</f>
        <v>102813</v>
      </c>
      <c r="B2522" s="235" t="str">
        <f>IFERROR(__xludf.DUMMYFUNCTION("""COMPUTED_VALUE"""),"SHEREE ESPINOSA")</f>
        <v>SHEREE ESPINOSA</v>
      </c>
      <c r="C2522" s="235" t="str">
        <f>IFERROR(__xludf.DUMMYFUNCTION("""COMPUTED_VALUE"""),"ANTEL")</f>
        <v>ANTEL</v>
      </c>
      <c r="D2522" s="196" t="str">
        <f>IFERROR(__xludf.DUMMYFUNCTION("""COMPUTED_VALUE"""),"TARPAULIN 7METERS (275.59 INC) WIDTH , 1.6 METERS (62.85INC) HEIGHT 2 PCS")</f>
        <v>TARPAULIN 7METERS (275.59 INC) WIDTH , 1.6 METERS (62.85INC) HEIGHT 2 PCS</v>
      </c>
      <c r="E2522" s="196" t="str">
        <f>IFERROR(__xludf.DUMMYFUNCTION("""COMPUTED_VALUE"""),"FOR THE MAIN ENTRANCE SIGNAGE IN ANTEL")</f>
        <v>FOR THE MAIN ENTRANCE SIGNAGE IN ANTEL</v>
      </c>
    </row>
    <row r="2523">
      <c r="A2523" s="234">
        <f>IFERROR(__xludf.DUMMYFUNCTION("""COMPUTED_VALUE"""),102814.0)</f>
        <v>102814</v>
      </c>
      <c r="B2523" s="235" t="str">
        <f>IFERROR(__xludf.DUMMYFUNCTION("""COMPUTED_VALUE"""),"JULIUS  PAGDATO ")</f>
        <v>JULIUS  PAGDATO </v>
      </c>
      <c r="C2523" s="235" t="str">
        <f>IFERROR(__xludf.DUMMYFUNCTION("""COMPUTED_VALUE"""),"MIS/ICT")</f>
        <v>MIS/ICT</v>
      </c>
      <c r="D2523" s="196" t="str">
        <f>IFERROR(__xludf.DUMMYFUNCTION("""COMPUTED_VALUE"""),"ASPIRE 7 LAPTOP")</f>
        <v>ASPIRE 7 LAPTOP</v>
      </c>
      <c r="E2523" s="196" t="str">
        <f>IFERROR(__xludf.DUMMYFUNCTION("""COMPUTED_VALUE"""),"DR. GEN LAPTOP REQUEST")</f>
        <v>DR. GEN LAPTOP REQUEST</v>
      </c>
    </row>
    <row r="2524">
      <c r="A2524" s="234">
        <f>IFERROR(__xludf.DUMMYFUNCTION("""COMPUTED_VALUE"""),102815.0)</f>
        <v>102815</v>
      </c>
      <c r="B2524" s="235" t="str">
        <f>IFERROR(__xludf.DUMMYFUNCTION("""COMPUTED_VALUE"""),"JOSSA GALLANOSA")</f>
        <v>JOSSA GALLANOSA</v>
      </c>
      <c r="C2524" s="235" t="str">
        <f>IFERROR(__xludf.DUMMYFUNCTION("""COMPUTED_VALUE"""),"GLT SCHOLARSHIP")</f>
        <v>GLT SCHOLARSHIP</v>
      </c>
      <c r="D2524" s="196" t="str">
        <f>IFERROR(__xludf.DUMMYFUNCTION("""COMPUTED_VALUE"""),"BEDSHEETS WITH BLANKET AND PILLOW CASE 34 SETS; PILLOWS 12 SETS - CANCELLED ")</f>
        <v>BEDSHEETS WITH BLANKET AND PILLOW CASE 34 SETS; PILLOWS 12 SETS - CANCELLED </v>
      </c>
      <c r="E2524" s="196" t="str">
        <f>IFERROR(__xludf.DUMMYFUNCTION("""COMPUTED_VALUE"""),"FOR REPLACEMENT OF OLD PILLOWS AND BEDSHEETS")</f>
        <v>FOR REPLACEMENT OF OLD PILLOWS AND BEDSHEETS</v>
      </c>
    </row>
    <row r="2525">
      <c r="A2525" s="234">
        <f>IFERROR(__xludf.DUMMYFUNCTION("""COMPUTED_VALUE"""),102816.0)</f>
        <v>102816</v>
      </c>
      <c r="B2525" s="235" t="str">
        <f>IFERROR(__xludf.DUMMYFUNCTION("""COMPUTED_VALUE"""),"RAQUELYN NUÑEZ")</f>
        <v>RAQUELYN NUÑEZ</v>
      </c>
      <c r="C2525" s="235" t="str">
        <f>IFERROR(__xludf.DUMMYFUNCTION("""COMPUTED_VALUE"""),"ADMIN")</f>
        <v>ADMIN</v>
      </c>
      <c r="D2525" s="196" t="str">
        <f>IFERROR(__xludf.DUMMYFUNCTION("""COMPUTED_VALUE"""),"TV PC; CIRCULAR LIGHTS 9 PCS; SOFA 1 SET; BATHROOM ORGANIZER  2PCS; KITCHEN WARE (PLATES, SPOON AND FORK, CUPS AND GLASS 4 PCS EACH)")</f>
        <v>TV PC; CIRCULAR LIGHTS 9 PCS; SOFA 1 SET; BATHROOM ORGANIZER  2PCS; KITCHEN WARE (PLATES, SPOON AND FORK, CUPS AND GLASS 4 PCS EACH)</v>
      </c>
      <c r="E2525" s="196" t="str">
        <f>IFERROR(__xludf.DUMMYFUNCTION("""COMPUTED_VALUE"""),"FOR NARRA'S HOUSE ")</f>
        <v>FOR NARRA'S HOUSE </v>
      </c>
    </row>
    <row r="2526">
      <c r="A2526" s="234">
        <f>IFERROR(__xludf.DUMMYFUNCTION("""COMPUTED_VALUE"""),102817.0)</f>
        <v>102817</v>
      </c>
      <c r="B2526" s="235" t="str">
        <f>IFERROR(__xludf.DUMMYFUNCTION("""COMPUTED_VALUE"""),"PHEN PETIN ")</f>
        <v>PHEN PETIN </v>
      </c>
      <c r="C2526" s="235" t="str">
        <f>IFERROR(__xludf.DUMMYFUNCTION("""COMPUTED_VALUE"""),"ADMIN - STAR")</f>
        <v>ADMIN - STAR</v>
      </c>
      <c r="D2526" s="196" t="str">
        <f>IFERROR(__xludf.DUMMYFUNCTION("""COMPUTED_VALUE"""),"ALUMINUM LADDER 5 FT HEIGHT ")</f>
        <v>ALUMINUM LADDER 5 FT HEIGHT </v>
      </c>
      <c r="E2526" s="196" t="str">
        <f>IFERROR(__xludf.DUMMYFUNCTION("""COMPUTED_VALUE"""),"FOR MAINTENANCE")</f>
        <v>FOR MAINTENANCE</v>
      </c>
    </row>
    <row r="2527">
      <c r="A2527" s="234">
        <f>IFERROR(__xludf.DUMMYFUNCTION("""COMPUTED_VALUE"""),102818.0)</f>
        <v>102818</v>
      </c>
      <c r="B2527" s="235" t="str">
        <f>IFERROR(__xludf.DUMMYFUNCTION("""COMPUTED_VALUE"""),"CARLITO DELA VEGA")</f>
        <v>CARLITO DELA VEGA</v>
      </c>
      <c r="C2527" s="235" t="str">
        <f>IFERROR(__xludf.DUMMYFUNCTION("""COMPUTED_VALUE"""),"SECURITY")</f>
        <v>SECURITY</v>
      </c>
      <c r="D2527" s="196" t="str">
        <f>IFERROR(__xludf.DUMMYFUNCTION("""COMPUTED_VALUE"""),"NYLON ROPE ORANGE 3/8''")</f>
        <v>NYLON ROPE ORANGE 3/8''</v>
      </c>
      <c r="E2527" s="196" t="str">
        <f>IFERROR(__xludf.DUMMYFUNCTION("""COMPUTED_VALUE"""),"SECURITY TRAFFIC")</f>
        <v>SECURITY TRAFFIC</v>
      </c>
    </row>
    <row r="2528">
      <c r="A2528" s="234">
        <f>IFERROR(__xludf.DUMMYFUNCTION("""COMPUTED_VALUE"""),102819.0)</f>
        <v>102819</v>
      </c>
      <c r="B2528" s="235" t="str">
        <f>IFERROR(__xludf.DUMMYFUNCTION("""COMPUTED_VALUE"""),"ANGELIE D. MADANLOG")</f>
        <v>ANGELIE D. MADANLOG</v>
      </c>
      <c r="C2528" s="235" t="str">
        <f>IFERROR(__xludf.DUMMYFUNCTION("""COMPUTED_VALUE"""),"FINANCE &amp; ACCOUNTING")</f>
        <v>FINANCE &amp; ACCOUNTING</v>
      </c>
      <c r="D2528" s="196" t="str">
        <f>IFERROR(__xludf.DUMMYFUNCTION("""COMPUTED_VALUE"""),"ASSESMENT FORM 10 BOXES")</f>
        <v>ASSESMENT FORM 10 BOXES</v>
      </c>
      <c r="E2528" s="196" t="str">
        <f>IFERROR(__xludf.DUMMYFUNCTION("""COMPUTED_VALUE"""),"FOR ENROLMENT ")</f>
        <v>FOR ENROLMENT </v>
      </c>
    </row>
    <row r="2529">
      <c r="A2529" s="234">
        <f>IFERROR(__xludf.DUMMYFUNCTION("""COMPUTED_VALUE"""),102820.0)</f>
        <v>102820</v>
      </c>
      <c r="B2529" s="235" t="str">
        <f>IFERROR(__xludf.DUMMYFUNCTION("""COMPUTED_VALUE"""),"MELISSA NAVAL ODOÑO")</f>
        <v>MELISSA NAVAL ODOÑO</v>
      </c>
      <c r="C2529" s="235" t="str">
        <f>IFERROR(__xludf.DUMMYFUNCTION("""COMPUTED_VALUE"""),"LIBRARY BASIC ED")</f>
        <v>LIBRARY BASIC ED</v>
      </c>
      <c r="D2529" s="196" t="str">
        <f>IFERROR(__xludf.DUMMYFUNCTION("""COMPUTED_VALUE"""),"PHILIPPINE NATURE TREES ")</f>
        <v>PHILIPPINE NATURE TREES </v>
      </c>
      <c r="E2529" s="196" t="str">
        <f>IFERROR(__xludf.DUMMYFUNCTION("""COMPUTED_VALUE"""),"FOR LIBRARY USE ")</f>
        <v>FOR LIBRARY USE </v>
      </c>
    </row>
    <row r="2530">
      <c r="A2530" s="234">
        <f>IFERROR(__xludf.DUMMYFUNCTION("""COMPUTED_VALUE"""),102821.0)</f>
        <v>102821</v>
      </c>
      <c r="B2530" s="235" t="str">
        <f>IFERROR(__xludf.DUMMYFUNCTION("""COMPUTED_VALUE"""),"CHRISTIAN S. ANDRES")</f>
        <v>CHRISTIAN S. ANDRES</v>
      </c>
      <c r="C2530" s="235" t="str">
        <f>IFERROR(__xludf.DUMMYFUNCTION("""COMPUTED_VALUE"""),"PR &amp; MARKETING")</f>
        <v>PR &amp; MARKETING</v>
      </c>
      <c r="D2530" s="196" t="str">
        <f>IFERROR(__xludf.DUMMYFUNCTION("""COMPUTED_VALUE"""),"TARP- W-120 IN X H- 56 IN,  W- 79 IN X H- 24 IN , W-196 IN X H-72 IN")</f>
        <v>TARP- W-120 IN X H- 56 IN,  W- 79 IN X H- 24 IN , W-196 IN X H-72 IN</v>
      </c>
      <c r="E2530" s="196" t="str">
        <f>IFERROR(__xludf.DUMMYFUNCTION("""COMPUTED_VALUE"""),"FOR OPENING OF CLASSES ")</f>
        <v>FOR OPENING OF CLASSES </v>
      </c>
    </row>
    <row r="2531">
      <c r="A2531" s="234">
        <f>IFERROR(__xludf.DUMMYFUNCTION("""COMPUTED_VALUE"""),102822.0)</f>
        <v>102822</v>
      </c>
      <c r="B2531" s="235" t="str">
        <f>IFERROR(__xludf.DUMMYFUNCTION("""COMPUTED_VALUE"""),"JOMEL BUTIAL")</f>
        <v>JOMEL BUTIAL</v>
      </c>
      <c r="C2531" s="235" t="str">
        <f>IFERROR(__xludf.DUMMYFUNCTION("""COMPUTED_VALUE"""),"AMD")</f>
        <v>AMD</v>
      </c>
      <c r="D2531" s="196" t="str">
        <f>IFERROR(__xludf.DUMMYFUNCTION("""COMPUTED_VALUE"""),"Battery, Energizer Size 9V
Clip, ID -Alligator Plastic
Clip, Paper (50gms/box), Prince Vinyl Coated - Small
Envelope, Expanding Plastic-Short, Adventurer
Ribbon, Ink Cartridge CE-315150 (Single Color)
")</f>
        <v>Battery, Energizer Size 9V
Clip, ID -Alligator Plastic
Clip, Paper (50gms/box), Prince Vinyl Coated - Small
Envelope, Expanding Plastic-Short, Adventurer
Ribbon, Ink Cartridge CE-315150 (Single Color)
</v>
      </c>
      <c r="E2531" s="196" t="str">
        <f>IFERROR(__xludf.DUMMYFUNCTION("""COMPUTED_VALUE"""),"OSSUP STOCK REPLENISHMENT")</f>
        <v>OSSUP STOCK REPLENISHMENT</v>
      </c>
    </row>
    <row r="2532">
      <c r="A2532" s="234">
        <f>IFERROR(__xludf.DUMMYFUNCTION("""COMPUTED_VALUE"""),102823.0)</f>
        <v>102823</v>
      </c>
      <c r="B2532" s="235" t="str">
        <f>IFERROR(__xludf.DUMMYFUNCTION("""COMPUTED_VALUE"""),"ANN DELA ISLA ")</f>
        <v>ANN DELA ISLA </v>
      </c>
      <c r="C2532" s="235" t="str">
        <f>IFERROR(__xludf.DUMMYFUNCTION("""COMPUTED_VALUE"""),"IB")</f>
        <v>IB</v>
      </c>
      <c r="D2532" s="196" t="str">
        <f>IFERROR(__xludf.DUMMYFUNCTION("""COMPUTED_VALUE"""),"2 BLACK CONTAINERS (5 GALS); 2 BLUE; 2 BLACK CONTAINERS (5 GALS)")</f>
        <v>2 BLACK CONTAINERS (5 GALS); 2 BLUE; 2 BLACK CONTAINERS (5 GALS)</v>
      </c>
      <c r="E2532" s="196" t="str">
        <f>IFERROR(__xludf.DUMMYFUNCTION("""COMPUTED_VALUE"""),"FOR SCIENCE LAB  CHEMICAL DISPOSAL ")</f>
        <v>FOR SCIENCE LAB  CHEMICAL DISPOSAL </v>
      </c>
    </row>
    <row r="2533">
      <c r="A2533" s="234">
        <f>IFERROR(__xludf.DUMMYFUNCTION("""COMPUTED_VALUE"""),102824.0)</f>
        <v>102824</v>
      </c>
      <c r="B2533" s="235" t="str">
        <f>IFERROR(__xludf.DUMMYFUNCTION("""COMPUTED_VALUE"""),"ANN DELA ISLA ")</f>
        <v>ANN DELA ISLA </v>
      </c>
      <c r="C2533" s="235" t="str">
        <f>IFERROR(__xludf.DUMMYFUNCTION("""COMPUTED_VALUE"""),"IB")</f>
        <v>IB</v>
      </c>
      <c r="D2533" s="196" t="str">
        <f>IFERROR(__xludf.DUMMYFUNCTION("""COMPUTED_VALUE"""),"FRESH HEART'S PIG 10 PCS (NO CUTS AND INTACT)")</f>
        <v>FRESH HEART'S PIG 10 PCS (NO CUTS AND INTACT)</v>
      </c>
      <c r="E2533" s="196" t="str">
        <f>IFERROR(__xludf.DUMMYFUNCTION("""COMPUTED_VALUE"""),"FOR BIOLOGY")</f>
        <v>FOR BIOLOGY</v>
      </c>
    </row>
    <row r="2534">
      <c r="A2534" s="234">
        <f>IFERROR(__xludf.DUMMYFUNCTION("""COMPUTED_VALUE"""),102825.0)</f>
        <v>102825</v>
      </c>
      <c r="B2534" s="235" t="str">
        <f>IFERROR(__xludf.DUMMYFUNCTION("""COMPUTED_VALUE"""),"SHEREE ESPINOSA ")</f>
        <v>SHEREE ESPINOSA </v>
      </c>
      <c r="C2534" s="235" t="str">
        <f>IFERROR(__xludf.DUMMYFUNCTION("""COMPUTED_VALUE"""),"ADMIN")</f>
        <v>ADMIN</v>
      </c>
      <c r="D2534" s="196" t="str">
        <f>IFERROR(__xludf.DUMMYFUNCTION("""COMPUTED_VALUE"""),"PARASOL CLOTH (RE-ORDER) 5 PCS")</f>
        <v>PARASOL CLOTH (RE-ORDER) 5 PCS</v>
      </c>
      <c r="E2534" s="196" t="str">
        <f>IFERROR(__xludf.DUMMYFUNCTION("""COMPUTED_VALUE"""),"FOR LUX CAMPUS ")</f>
        <v>FOR LUX CAMPUS </v>
      </c>
    </row>
    <row r="2535">
      <c r="A2535" s="234">
        <f>IFERROR(__xludf.DUMMYFUNCTION("""COMPUTED_VALUE"""),102826.0)</f>
        <v>102826</v>
      </c>
      <c r="B2535" s="235" t="str">
        <f>IFERROR(__xludf.DUMMYFUNCTION("""COMPUTED_VALUE"""),"PHEN PETIN")</f>
        <v>PHEN PETIN</v>
      </c>
      <c r="C2535" s="235" t="str">
        <f>IFERROR(__xludf.DUMMYFUNCTION("""COMPUTED_VALUE"""),"ADMIN STAR")</f>
        <v>ADMIN STAR</v>
      </c>
      <c r="D2535" s="196" t="str">
        <f>IFERROR(__xludf.DUMMYFUNCTION("""COMPUTED_VALUE"""),"PPR MALE ADAPTOR #2 5PCS; GI END PLUG #3/4 1PC; PPR PIPE #2 1PC; PPR TEE #2 1PC; GATE VALUE #2 KIT2 1PC; PPR UNION PATENTE #2 1PC; TEPLON TAPE 5ROLLS;")</f>
        <v>PPR MALE ADAPTOR #2 5PCS; GI END PLUG #3/4 1PC; PPR PIPE #2 1PC; PPR TEE #2 1PC; GATE VALUE #2 KIT2 1PC; PPR UNION PATENTE #2 1PC; TEPLON TAPE 5ROLLS;</v>
      </c>
      <c r="E2535" s="196" t="str">
        <f>IFERROR(__xludf.DUMMYFUNCTION("""COMPUTED_VALUE"""),"FOR OVERHEAD TANK (STAR CAMPUS)")</f>
        <v>FOR OVERHEAD TANK (STAR CAMPUS)</v>
      </c>
    </row>
    <row r="2536">
      <c r="A2536" s="234">
        <f>IFERROR(__xludf.DUMMYFUNCTION("""COMPUTED_VALUE"""),102827.0)</f>
        <v>102827</v>
      </c>
      <c r="B2536" s="235" t="str">
        <f>IFERROR(__xludf.DUMMYFUNCTION("""COMPUTED_VALUE"""),"SHEREE ESPINOSA ")</f>
        <v>SHEREE ESPINOSA </v>
      </c>
      <c r="C2536" s="235" t="str">
        <f>IFERROR(__xludf.DUMMYFUNCTION("""COMPUTED_VALUE"""),"ADMIN")</f>
        <v>ADMIN</v>
      </c>
      <c r="D2536" s="196" t="str">
        <f>IFERROR(__xludf.DUMMYFUNCTION("""COMPUTED_VALUE"""),"ACU SPLIT TYPE (1 HP 3PCS;  2HP 1PC; 2.5 HP 6PCS)")</f>
        <v>ACU SPLIT TYPE (1 HP 3PCS;  2HP 1PC; 2.5 HP 6PCS)</v>
      </c>
      <c r="E2536" s="196" t="str">
        <f>IFERROR(__xludf.DUMMYFUNCTION("""COMPUTED_VALUE"""),"FOR ANTEL- SMIS")</f>
        <v>FOR ANTEL- SMIS</v>
      </c>
    </row>
    <row r="2537">
      <c r="A2537" s="234">
        <f>IFERROR(__xludf.DUMMYFUNCTION("""COMPUTED_VALUE"""),102828.0)</f>
        <v>102828</v>
      </c>
      <c r="B2537" s="235" t="str">
        <f>IFERROR(__xludf.DUMMYFUNCTION("""COMPUTED_VALUE"""),"JOMEL BUTIAL ")</f>
        <v>JOMEL BUTIAL </v>
      </c>
      <c r="C2537" s="235" t="str">
        <f>IFERROR(__xludf.DUMMYFUNCTION("""COMPUTED_VALUE"""),"AMD ")</f>
        <v>AMD </v>
      </c>
      <c r="D2537" s="196" t="str">
        <f>IFERROR(__xludf.DUMMYFUNCTION("""COMPUTED_VALUE"""),"HANDWASH ANTIBAC LEMON 50 GALS; STRIPPOL  SUPER FLOOR WAX STRIPPER 20 GALS; CHLORINE PER KILO  70 PACKS; SCRUBBING PAD BIG SCOTCH BRITE 200PCS; BOWL CARE GEM TOILET BOWL CLEANER  50 GALS; TRASHBAG SMALL CLEAR 50 PACKS; TRASHBAG MEDIUM CLEAR; 50 PACKS; TRA"&amp;"SH BAG SMALL YELLOW 30 PACKS; TRASHBAG MEDIUM YELLOW 30 PACKS; SPRAY GUN 200 PCS; BAYGON WATERBASE AQUA MULTI INSECT KILLER 500 ML 50 CANS;")</f>
        <v>HANDWASH ANTIBAC LEMON 50 GALS; STRIPPOL  SUPER FLOOR WAX STRIPPER 20 GALS; CHLORINE PER KILO  70 PACKS; SCRUBBING PAD BIG SCOTCH BRITE 200PCS; BOWL CARE GEM TOILET BOWL CLEANER  50 GALS; TRASHBAG SMALL CLEAR 50 PACKS; TRASHBAG MEDIUM CLEAR; 50 PACKS; TRASH BAG SMALL YELLOW 30 PACKS; TRASHBAG MEDIUM YELLOW 30 PACKS; SPRAY GUN 200 PCS; BAYGON WATERBASE AQUA MULTI INSECT KILLER 500 ML 50 CANS;</v>
      </c>
      <c r="E2537" s="196" t="str">
        <f>IFERROR(__xludf.DUMMYFUNCTION("""COMPUTED_VALUE"""),"HOUSEKEEPING REPLENISHMENT FOR SEPTEMBER 2022")</f>
        <v>HOUSEKEEPING REPLENISHMENT FOR SEPTEMBER 2022</v>
      </c>
    </row>
    <row r="2538">
      <c r="A2538" s="234">
        <f>IFERROR(__xludf.DUMMYFUNCTION("""COMPUTED_VALUE"""),102829.0)</f>
        <v>102829</v>
      </c>
      <c r="B2538" s="235" t="str">
        <f>IFERROR(__xludf.DUMMYFUNCTION("""COMPUTED_VALUE"""),"CARLITO DELA VEGA")</f>
        <v>CARLITO DELA VEGA</v>
      </c>
      <c r="C2538" s="235" t="str">
        <f>IFERROR(__xludf.DUMMYFUNCTION("""COMPUTED_VALUE"""),"SECURITY")</f>
        <v>SECURITY</v>
      </c>
      <c r="D2538" s="196" t="str">
        <f>IFERROR(__xludf.DUMMYFUNCTION("""COMPUTED_VALUE"""),"POWER ADAPTOR 12VDC 2A  ")</f>
        <v>POWER ADAPTOR 12VDC 2A  </v>
      </c>
      <c r="E2538" s="196" t="str">
        <f>IFERROR(__xludf.DUMMYFUNCTION("""COMPUTED_VALUE"""),"TURNSTILE USE")</f>
        <v>TURNSTILE USE</v>
      </c>
    </row>
    <row r="2539">
      <c r="A2539" s="234">
        <f>IFERROR(__xludf.DUMMYFUNCTION("""COMPUTED_VALUE"""),102830.0)</f>
        <v>102830</v>
      </c>
      <c r="B2539" s="235" t="str">
        <f>IFERROR(__xludf.DUMMYFUNCTION("""COMPUTED_VALUE"""),"JOMEL BUTIAL ")</f>
        <v>JOMEL BUTIAL </v>
      </c>
      <c r="C2539" s="235" t="str">
        <f>IFERROR(__xludf.DUMMYFUNCTION("""COMPUTED_VALUE"""),"AMD")</f>
        <v>AMD</v>
      </c>
      <c r="D2539" s="196" t="str">
        <f>IFERROR(__xludf.DUMMYFUNCTION("""COMPUTED_VALUE"""),"SOFT BROOM (SCOTCH BRITE) 50PCS; CHAMPION POWDER SOAP  800 G CITRUS 100 PCS ")</f>
        <v>SOFT BROOM (SCOTCH BRITE) 50PCS; CHAMPION POWDER SOAP  800 G CITRUS 100 PCS </v>
      </c>
      <c r="E2539" s="196" t="str">
        <f>IFERROR(__xludf.DUMMYFUNCTION("""COMPUTED_VALUE"""),"HOUSEKEEPING REPLENISHMENT FOR SEPTEMBER 2022")</f>
        <v>HOUSEKEEPING REPLENISHMENT FOR SEPTEMBER 2022</v>
      </c>
    </row>
    <row r="2540">
      <c r="A2540" s="234">
        <f>IFERROR(__xludf.DUMMYFUNCTION("""COMPUTED_VALUE"""),102831.0)</f>
        <v>102831</v>
      </c>
      <c r="B2540" s="235" t="str">
        <f>IFERROR(__xludf.DUMMYFUNCTION("""COMPUTED_VALUE"""),"JAYVEN POBLETE")</f>
        <v>JAYVEN POBLETE</v>
      </c>
      <c r="C2540" s="235" t="str">
        <f>IFERROR(__xludf.DUMMYFUNCTION("""COMPUTED_VALUE"""),"PR &amp; MARKETING")</f>
        <v>PR &amp; MARKETING</v>
      </c>
      <c r="D2540" s="196" t="str">
        <f>IFERROR(__xludf.DUMMYFUNCTION("""COMPUTED_VALUE"""),"2 FLASHDRIVE, 2 CLICKER ")</f>
        <v>2 FLASHDRIVE, 2 CLICKER </v>
      </c>
      <c r="E2540" s="196" t="str">
        <f>IFERROR(__xludf.DUMMYFUNCTION("""COMPUTED_VALUE"""),"SCHOOL PRESENTATION")</f>
        <v>SCHOOL PRESENTATION</v>
      </c>
    </row>
    <row r="2541">
      <c r="A2541" s="234">
        <f>IFERROR(__xludf.DUMMYFUNCTION("""COMPUTED_VALUE"""),102832.0)</f>
        <v>102832</v>
      </c>
      <c r="B2541" s="235" t="str">
        <f>IFERROR(__xludf.DUMMYFUNCTION("""COMPUTED_VALUE"""),"ALFA DE LEON ")</f>
        <v>ALFA DE LEON </v>
      </c>
      <c r="C2541" s="235" t="str">
        <f>IFERROR(__xludf.DUMMYFUNCTION("""COMPUTED_VALUE"""),"ADMIN - MUNICH")</f>
        <v>ADMIN - MUNICH</v>
      </c>
      <c r="D2541" s="196" t="str">
        <f>IFERROR(__xludf.DUMMYFUNCTION("""COMPUTED_VALUE"""),"WATER DISPENSER 2 PCS. ")</f>
        <v>WATER DISPENSER 2 PCS. </v>
      </c>
      <c r="E2541" s="196" t="str">
        <f>IFERROR(__xludf.DUMMYFUNCTION("""COMPUTED_VALUE"""),"REPLACEMENT OF BROKEN WATER DISPENSER  IN EW AREA 2/F AND 3F")</f>
        <v>REPLACEMENT OF BROKEN WATER DISPENSER  IN EW AREA 2/F AND 3F</v>
      </c>
    </row>
    <row r="2542">
      <c r="A2542" s="234">
        <f>IFERROR(__xludf.DUMMYFUNCTION("""COMPUTED_VALUE"""),102833.0)</f>
        <v>102833</v>
      </c>
      <c r="B2542" s="235" t="str">
        <f>IFERROR(__xludf.DUMMYFUNCTION("""COMPUTED_VALUE"""),"JAYVEN POBLETE")</f>
        <v>JAYVEN POBLETE</v>
      </c>
      <c r="C2542" s="235" t="str">
        <f>IFERROR(__xludf.DUMMYFUNCTION("""COMPUTED_VALUE"""),"PR &amp; MARKETING")</f>
        <v>PR &amp; MARKETING</v>
      </c>
      <c r="D2542" s="196" t="str">
        <f>IFERROR(__xludf.DUMMYFUNCTION("""COMPUTED_VALUE"""),"CALLING CARD FOR JAYVEN, BEA, GERLIE, HEYZZ AND DAN")</f>
        <v>CALLING CARD FOR JAYVEN, BEA, GERLIE, HEYZZ AND DAN</v>
      </c>
      <c r="E2542" s="196" t="str">
        <f>IFERROR(__xludf.DUMMYFUNCTION("""COMPUTED_VALUE"""),"CALLING CARDS FOR VISITS")</f>
        <v>CALLING CARDS FOR VISITS</v>
      </c>
    </row>
    <row r="2543">
      <c r="A2543" s="234">
        <f>IFERROR(__xludf.DUMMYFUNCTION("""COMPUTED_VALUE"""),102834.0)</f>
        <v>102834</v>
      </c>
      <c r="B2543" s="235" t="str">
        <f>IFERROR(__xludf.DUMMYFUNCTION("""COMPUTED_VALUE"""),"MARVIN MARASIGAN")</f>
        <v>MARVIN MARASIGAN</v>
      </c>
      <c r="C2543" s="235" t="str">
        <f>IFERROR(__xludf.DUMMYFUNCTION("""COMPUTED_VALUE"""),"PR &amp; MARKETING")</f>
        <v>PR &amp; MARKETING</v>
      </c>
      <c r="D2543" s="196" t="str">
        <f>IFERROR(__xludf.DUMMYFUNCTION("""COMPUTED_VALUE"""),"CONGRATULATORY TARP 13.5 X 6.5 FEET EYELET ALL OVER W/ SEAMING ")</f>
        <v>CONGRATULATORY TARP 13.5 X 6.5 FEET EYELET ALL OVER W/ SEAMING </v>
      </c>
      <c r="E2543" s="196" t="str">
        <f>IFERROR(__xludf.DUMMYFUNCTION("""COMPUTED_VALUE"""),"FOR MARKETING")</f>
        <v>FOR MARKETING</v>
      </c>
    </row>
    <row r="2544">
      <c r="A2544" s="234">
        <f>IFERROR(__xludf.DUMMYFUNCTION("""COMPUTED_VALUE"""),102835.0)</f>
        <v>102835</v>
      </c>
      <c r="B2544" s="235" t="str">
        <f>IFERROR(__xludf.DUMMYFUNCTION("""COMPUTED_VALUE"""),"OWIE PAR")</f>
        <v>OWIE PAR</v>
      </c>
      <c r="C2544" s="235" t="str">
        <f>IFERROR(__xludf.DUMMYFUNCTION("""COMPUTED_VALUE"""),"ENGINEERING")</f>
        <v>ENGINEERING</v>
      </c>
      <c r="D2544" s="196" t="str">
        <f>IFERROR(__xludf.DUMMYFUNCTION("""COMPUTED_VALUE"""),"CEILING CASSETTE TYPE ACU 6.0 HP")</f>
        <v>CEILING CASSETTE TYPE ACU 6.0 HP</v>
      </c>
      <c r="E2544" s="196" t="str">
        <f>IFERROR(__xludf.DUMMYFUNCTION("""COMPUTED_VALUE"""),"FOR COLLEGE BLDG. MPH REPLACEMENT")</f>
        <v>FOR COLLEGE BLDG. MPH REPLACEMENT</v>
      </c>
    </row>
    <row r="2545">
      <c r="A2545" s="234">
        <f>IFERROR(__xludf.DUMMYFUNCTION("""COMPUTED_VALUE"""),102836.0)</f>
        <v>102836</v>
      </c>
      <c r="B2545" s="235" t="str">
        <f>IFERROR(__xludf.DUMMYFUNCTION("""COMPUTED_VALUE"""),"CAROL LACERNA ")</f>
        <v>CAROL LACERNA </v>
      </c>
      <c r="C2545" s="235" t="str">
        <f>IFERROR(__xludf.DUMMYFUNCTION("""COMPUTED_VALUE"""),"ABU")</f>
        <v>ABU</v>
      </c>
      <c r="D2545" s="196" t="str">
        <f>IFERROR(__xludf.DUMMYFUNCTION("""COMPUTED_VALUE"""),"ACER ASPHIRE 5A514-54-35EB, SAKURA PINK INTEL I3")</f>
        <v>ACER ASPHIRE 5A514-54-35EB, SAKURA PINK INTEL I3</v>
      </c>
      <c r="E2545" s="196" t="str">
        <f>IFERROR(__xludf.DUMMYFUNCTION("""COMPUTED_VALUE"""),"GADGET LOAN APPLICATION APPLICATION OF MS. RAVEN MAE LUGANOB")</f>
        <v>GADGET LOAN APPLICATION APPLICATION OF MS. RAVEN MAE LUGANOB</v>
      </c>
    </row>
    <row r="2546">
      <c r="A2546" s="234">
        <f>IFERROR(__xludf.DUMMYFUNCTION("""COMPUTED_VALUE"""),102837.0)</f>
        <v>102837</v>
      </c>
      <c r="B2546" s="235" t="str">
        <f>IFERROR(__xludf.DUMMYFUNCTION("""COMPUTED_VALUE"""),"OWIE PAR")</f>
        <v>OWIE PAR</v>
      </c>
      <c r="C2546" s="235" t="str">
        <f>IFERROR(__xludf.DUMMYFUNCTION("""COMPUTED_VALUE"""),"ENGINEERING")</f>
        <v>ENGINEERING</v>
      </c>
      <c r="D2546" s="196" t="str">
        <f>IFERROR(__xludf.DUMMYFUNCTION("""COMPUTED_VALUE"""),"3 PAIL ROOF GUARD BEIGE (16 LITERS)")</f>
        <v>3 PAIL ROOF GUARD BEIGE (16 LITERS)</v>
      </c>
      <c r="E2546" s="196" t="str">
        <f>IFERROR(__xludf.DUMMYFUNCTION("""COMPUTED_VALUE"""),"FOR COLLEGE ROOF")</f>
        <v>FOR COLLEGE ROOF</v>
      </c>
    </row>
    <row r="2547">
      <c r="A2547" s="234">
        <f>IFERROR(__xludf.DUMMYFUNCTION("""COMPUTED_VALUE"""),102838.0)</f>
        <v>102838</v>
      </c>
      <c r="B2547" s="235" t="str">
        <f>IFERROR(__xludf.DUMMYFUNCTION("""COMPUTED_VALUE"""),"ALFA DE LEON")</f>
        <v>ALFA DE LEON</v>
      </c>
      <c r="C2547" s="235" t="str">
        <f>IFERROR(__xludf.DUMMYFUNCTION("""COMPUTED_VALUE"""),"ADMIN - MUNICH")</f>
        <v>ADMIN - MUNICH</v>
      </c>
      <c r="D2547" s="196" t="str">
        <f>IFERROR(__xludf.DUMMYFUNCTION("""COMPUTED_VALUE"""),"TELEPHONE UNIT   (MOTOROLA OR PANASONIC) 2 PCS)")</f>
        <v>TELEPHONE UNIT   (MOTOROLA OR PANASONIC) 2 PCS)</v>
      </c>
      <c r="E2547" s="196" t="str">
        <f>IFERROR(__xludf.DUMMYFUNCTION("""COMPUTED_VALUE"""),"REPLACEMENT OF BROKEN UNIT IN PRESCHOOL FACULTY AND LIBRARY")</f>
        <v>REPLACEMENT OF BROKEN UNIT IN PRESCHOOL FACULTY AND LIBRARY</v>
      </c>
    </row>
    <row r="2548">
      <c r="A2548" s="234">
        <f>IFERROR(__xludf.DUMMYFUNCTION("""COMPUTED_VALUE"""),102839.0)</f>
        <v>102839</v>
      </c>
      <c r="B2548" s="235" t="str">
        <f>IFERROR(__xludf.DUMMYFUNCTION("""COMPUTED_VALUE"""),"PHEN PETIN")</f>
        <v>PHEN PETIN</v>
      </c>
      <c r="C2548" s="235" t="str">
        <f>IFERROR(__xludf.DUMMYFUNCTION("""COMPUTED_VALUE"""),"ADMIN - STAR")</f>
        <v>ADMIN - STAR</v>
      </c>
      <c r="D2548" s="196" t="str">
        <f>IFERROR(__xludf.DUMMYFUNCTION("""COMPUTED_VALUE"""),"FALCON URINAL 4 UNITS")</f>
        <v>FALCON URINAL 4 UNITS</v>
      </c>
      <c r="E2548" s="196" t="str">
        <f>IFERROR(__xludf.DUMMYFUNCTION("""COMPUTED_VALUE"""),"CHANGE BROKEN URINAL @ STAR CAMPUS")</f>
        <v>CHANGE BROKEN URINAL @ STAR CAMPUS</v>
      </c>
    </row>
    <row r="2549">
      <c r="A2549" s="234">
        <f>IFERROR(__xludf.DUMMYFUNCTION("""COMPUTED_VALUE"""),102840.0)</f>
        <v>102840</v>
      </c>
      <c r="B2549" s="235" t="str">
        <f>IFERROR(__xludf.DUMMYFUNCTION("""COMPUTED_VALUE"""),"EDGAR REBELLON")</f>
        <v>EDGAR REBELLON</v>
      </c>
      <c r="C2549" s="235" t="str">
        <f>IFERROR(__xludf.DUMMYFUNCTION("""COMPUTED_VALUE"""),"AMD")</f>
        <v>AMD</v>
      </c>
      <c r="D2549" s="196" t="str">
        <f>IFERROR(__xludf.DUMMYFUNCTION("""COMPUTED_VALUE"""),"Notebook, Grade School Mathematics Abstract Big SQ.
Notebook, Writing SISC R/B Lines Purple Portrait
Notebooklet, Writing SISC Landscape Purple
Notebook, Composition SISC Blue Lines Purple
Notebook, High School Composition Purple
Notebook, High School Mat"&amp;"hematics Abstract Small SQ.
")</f>
        <v>Notebook, Grade School Mathematics Abstract Big SQ.
Notebook, Writing SISC R/B Lines Purple Portrait
Notebooklet, Writing SISC Landscape Purple
Notebook, Composition SISC Blue Lines Purple
Notebook, High School Composition Purple
Notebook, High School Mathematics Abstract Small SQ.
</v>
      </c>
      <c r="E2549" s="196" t="str">
        <f>IFERROR(__xludf.DUMMYFUNCTION("""COMPUTED_VALUE"""),"ADDTL STUDENT MATERIALS FOR AY 2022-2023")</f>
        <v>ADDTL STUDENT MATERIALS FOR AY 2022-2023</v>
      </c>
    </row>
    <row r="2550">
      <c r="A2550" s="234">
        <f>IFERROR(__xludf.DUMMYFUNCTION("""COMPUTED_VALUE"""),102841.0)</f>
        <v>102841</v>
      </c>
      <c r="B2550" s="235" t="str">
        <f>IFERROR(__xludf.DUMMYFUNCTION("""COMPUTED_VALUE"""),"EDGAR REBELLON")</f>
        <v>EDGAR REBELLON</v>
      </c>
      <c r="C2550" s="235" t="str">
        <f>IFERROR(__xludf.DUMMYFUNCTION("""COMPUTED_VALUE"""),"AMD")</f>
        <v>AMD</v>
      </c>
      <c r="D2550" s="196" t="str">
        <f>IFERROR(__xludf.DUMMYFUNCTION("""COMPUTED_VALUE"""),"Scissors, Students 5', Maped
Paper, Construction -Asstd. Color (20pcs)
Pencil, Colored (12's) Li'l Hands
Pen, Colored Faber Castel (10s)
Pad paper, Fortune Quiz Pad Whole, Intermediate (80 leaves)
Water Color, Prang 8's
")</f>
        <v>Scissors, Students 5', Maped
Paper, Construction -Asstd. Color (20pcs)
Pencil, Colored (12's) Li'l Hands
Pen, Colored Faber Castel (10s)
Pad paper, Fortune Quiz Pad Whole, Intermediate (80 leaves)
Water Color, Prang 8's
</v>
      </c>
      <c r="E2550" s="196" t="str">
        <f>IFERROR(__xludf.DUMMYFUNCTION("""COMPUTED_VALUE"""),"ADDTL STUDENT MATERIALS FOR AY 2022-2023")</f>
        <v>ADDTL STUDENT MATERIALS FOR AY 2022-2023</v>
      </c>
    </row>
    <row r="2551">
      <c r="A2551" s="234">
        <f>IFERROR(__xludf.DUMMYFUNCTION("""COMPUTED_VALUE"""),102842.0)</f>
        <v>102842</v>
      </c>
      <c r="B2551" s="235" t="str">
        <f>IFERROR(__xludf.DUMMYFUNCTION("""COMPUTED_VALUE"""),"CARLITO DELA VEGA")</f>
        <v>CARLITO DELA VEGA</v>
      </c>
      <c r="C2551" s="235" t="str">
        <f>IFERROR(__xludf.DUMMYFUNCTION("""COMPUTED_VALUE"""),"SECURITY")</f>
        <v>SECURITY</v>
      </c>
      <c r="D2551" s="196" t="str">
        <f>IFERROR(__xludf.DUMMYFUNCTION("""COMPUTED_VALUE"""),"SCAFOLDING RUBBER WHEEL HEAVY DUTY 8"" ")</f>
        <v>SCAFOLDING RUBBER WHEEL HEAVY DUTY 8" </v>
      </c>
      <c r="E2551" s="196" t="str">
        <f>IFERROR(__xludf.DUMMYFUNCTION("""COMPUTED_VALUE"""),"FOR MOBILE CANOPY")</f>
        <v>FOR MOBILE CANOPY</v>
      </c>
    </row>
    <row r="2552">
      <c r="A2552" s="234">
        <f>IFERROR(__xludf.DUMMYFUNCTION("""COMPUTED_VALUE"""),102843.0)</f>
        <v>102843</v>
      </c>
      <c r="B2552" s="235" t="str">
        <f>IFERROR(__xludf.DUMMYFUNCTION("""COMPUTED_VALUE"""),"ELMIE LAUDITO ")</f>
        <v>ELMIE LAUDITO </v>
      </c>
      <c r="C2552" s="235" t="str">
        <f>IFERROR(__xludf.DUMMYFUNCTION("""COMPUTED_VALUE"""),"AMD")</f>
        <v>AMD</v>
      </c>
      <c r="D2552" s="196" t="str">
        <f>IFERROR(__xludf.DUMMYFUNCTION("""COMPUTED_VALUE"""),"FLOWER WREATH FORMS JULLY BELLE CANON ")</f>
        <v>FLOWER WREATH FORMS JULLY BELLE CANON </v>
      </c>
      <c r="E2552" s="196" t="str">
        <f>IFERROR(__xludf.DUMMYFUNCTION("""COMPUTED_VALUE"""),"FLOWER WREATH")</f>
        <v>FLOWER WREATH</v>
      </c>
    </row>
    <row r="2553">
      <c r="A2553" s="234">
        <f>IFERROR(__xludf.DUMMYFUNCTION("""COMPUTED_VALUE"""),102844.0)</f>
        <v>102844</v>
      </c>
      <c r="B2553" s="235" t="str">
        <f>IFERROR(__xludf.DUMMYFUNCTION("""COMPUTED_VALUE"""),"ALFA DE LEON")</f>
        <v>ALFA DE LEON</v>
      </c>
      <c r="C2553" s="235" t="str">
        <f>IFERROR(__xludf.DUMMYFUNCTION("""COMPUTED_VALUE"""),"ADMIN - MUNICH")</f>
        <v>ADMIN - MUNICH</v>
      </c>
      <c r="D2553" s="196" t="str">
        <f>IFERROR(__xludf.DUMMYFUNCTION("""COMPUTED_VALUE"""),"30 METERS WIRE #12, FLEXIBLE WIRE 1/2, RECEPTACLE #4, UTILITY BOX")</f>
        <v>30 METERS WIRE #12, FLEXIBLE WIRE 1/2, RECEPTACLE #4, UTILITY BOX</v>
      </c>
      <c r="E2553" s="196" t="str">
        <f>IFERROR(__xludf.DUMMYFUNCTION("""COMPUTED_VALUE"""),"SCHOOL BUS AREA LIGHTS")</f>
        <v>SCHOOL BUS AREA LIGHTS</v>
      </c>
    </row>
    <row r="2554">
      <c r="A2554" s="234">
        <f>IFERROR(__xludf.DUMMYFUNCTION("""COMPUTED_VALUE"""),102845.0)</f>
        <v>102845</v>
      </c>
      <c r="B2554" s="235" t="str">
        <f>IFERROR(__xludf.DUMMYFUNCTION("""COMPUTED_VALUE"""),"ALFA DE LEON")</f>
        <v>ALFA DE LEON</v>
      </c>
      <c r="C2554" s="235" t="str">
        <f>IFERROR(__xludf.DUMMYFUNCTION("""COMPUTED_VALUE"""),"ADMIN")</f>
        <v>ADMIN</v>
      </c>
      <c r="D2554" s="196" t="str">
        <f>IFERROR(__xludf.DUMMYFUNCTION("""COMPUTED_VALUE"""),"POTS LARGE")</f>
        <v>POTS LARGE</v>
      </c>
      <c r="E2554" s="196" t="str">
        <f>IFERROR(__xludf.DUMMYFUNCTION("""COMPUTED_VALUE"""),"PLANTING OF EUGENIA ")</f>
        <v>PLANTING OF EUGENIA </v>
      </c>
    </row>
    <row r="2555">
      <c r="A2555" s="234">
        <f>IFERROR(__xludf.DUMMYFUNCTION("""COMPUTED_VALUE"""),102846.0)</f>
        <v>102846</v>
      </c>
      <c r="B2555" s="235" t="str">
        <f>IFERROR(__xludf.DUMMYFUNCTION("""COMPUTED_VALUE"""),"SHEREE ESPINOSA")</f>
        <v>SHEREE ESPINOSA</v>
      </c>
      <c r="C2555" s="235" t="str">
        <f>IFERROR(__xludf.DUMMYFUNCTION("""COMPUTED_VALUE"""),"ADMIN")</f>
        <v>ADMIN</v>
      </c>
      <c r="D2555" s="196" t="str">
        <f>IFERROR(__xludf.DUMMYFUNCTION("""COMPUTED_VALUE"""),"ACRYLIC SINTRA BOARD, 3MM SANDWICH WITH STICKER  SIDE BY SIDE  (TROPICAL- 7, COLLEGE-21, SPARE- 5)")</f>
        <v>ACRYLIC SINTRA BOARD, 3MM SANDWICH WITH STICKER  SIDE BY SIDE  (TROPICAL- 7, COLLEGE-21, SPARE- 5)</v>
      </c>
      <c r="E2555" s="196" t="str">
        <f>IFERROR(__xludf.DUMMYFUNCTION("""COMPUTED_VALUE"""),"FOR POSTING OF SCHEDULE OF DISINFETCION IN COLLEGE/ TROPICAL BLDG. ")</f>
        <v>FOR POSTING OF SCHEDULE OF DISINFETCION IN COLLEGE/ TROPICAL BLDG. </v>
      </c>
    </row>
    <row r="2556">
      <c r="A2556" s="234">
        <f>IFERROR(__xludf.DUMMYFUNCTION("""COMPUTED_VALUE"""),102847.0)</f>
        <v>102847</v>
      </c>
      <c r="B2556" s="235" t="str">
        <f>IFERROR(__xludf.DUMMYFUNCTION("""COMPUTED_VALUE"""),"GILBERT CLAUSE MAGALLANES")</f>
        <v>GILBERT CLAUSE MAGALLANES</v>
      </c>
      <c r="C2556" s="235" t="str">
        <f>IFERROR(__xludf.DUMMYFUNCTION("""COMPUTED_VALUE"""),"REGISTRATION")</f>
        <v>REGISTRATION</v>
      </c>
      <c r="D2556" s="196" t="str">
        <f>IFERROR(__xludf.DUMMYFUNCTION("""COMPUTED_VALUE"""),"LONG GREEN FOLDER 600 PCS OR 6 BOXES")</f>
        <v>LONG GREEN FOLDER 600 PCS OR 6 BOXES</v>
      </c>
      <c r="E2556" s="196" t="str">
        <f>IFERROR(__xludf.DUMMYFUNCTION("""COMPUTED_VALUE"""),"201 FILING")</f>
        <v>201 FILING</v>
      </c>
    </row>
    <row r="2557">
      <c r="A2557" s="234">
        <f>IFERROR(__xludf.DUMMYFUNCTION("""COMPUTED_VALUE"""),102848.0)</f>
        <v>102848</v>
      </c>
      <c r="B2557" s="235" t="str">
        <f>IFERROR(__xludf.DUMMYFUNCTION("""COMPUTED_VALUE"""),"SHEREE ESPINOSA")</f>
        <v>SHEREE ESPINOSA</v>
      </c>
      <c r="C2557" s="235" t="str">
        <f>IFERROR(__xludf.DUMMYFUNCTION("""COMPUTED_VALUE"""),"ADMIN")</f>
        <v>ADMIN</v>
      </c>
      <c r="D2557" s="196" t="str">
        <f>IFERROR(__xludf.DUMMYFUNCTION("""COMPUTED_VALUE"""),"SMALL POTS 45 PCS. ")</f>
        <v>SMALL POTS 45 PCS. </v>
      </c>
      <c r="E2557" s="196" t="str">
        <f>IFERROR(__xludf.DUMMYFUNCTION("""COMPUTED_VALUE"""),"FOR ALL THE CR'S (LUX, TROPICAL AND COLLEGE)")</f>
        <v>FOR ALL THE CR'S (LUX, TROPICAL AND COLLEGE)</v>
      </c>
    </row>
    <row r="2558">
      <c r="A2558" s="234">
        <f>IFERROR(__xludf.DUMMYFUNCTION("""COMPUTED_VALUE"""),102849.0)</f>
        <v>102849</v>
      </c>
      <c r="B2558" s="235" t="str">
        <f>IFERROR(__xludf.DUMMYFUNCTION("""COMPUTED_VALUE"""),"SHEREE ESPINOSA")</f>
        <v>SHEREE ESPINOSA</v>
      </c>
      <c r="C2558" s="235" t="str">
        <f>IFERROR(__xludf.DUMMYFUNCTION("""COMPUTED_VALUE"""),"ADMIN")</f>
        <v>ADMIN</v>
      </c>
      <c r="D2558" s="196" t="str">
        <f>IFERROR(__xludf.DUMMYFUNCTION("""COMPUTED_VALUE"""),"5 PCS. PARASOL")</f>
        <v>5 PCS. PARASOL</v>
      </c>
      <c r="E2558" s="196" t="str">
        <f>IFERROR(__xludf.DUMMYFUNCTION("""COMPUTED_VALUE"""),"FOR REPLACEMENT OF COVER CLOTH (ADDTL)")</f>
        <v>FOR REPLACEMENT OF COVER CLOTH (ADDTL)</v>
      </c>
    </row>
    <row r="2559">
      <c r="A2559" s="234">
        <f>IFERROR(__xludf.DUMMYFUNCTION("""COMPUTED_VALUE"""),102850.0)</f>
        <v>102850</v>
      </c>
      <c r="B2559" s="235" t="str">
        <f>IFERROR(__xludf.DUMMYFUNCTION("""COMPUTED_VALUE"""),"LUCILLE BEYER ")</f>
        <v>LUCILLE BEYER </v>
      </c>
      <c r="C2559" s="235" t="str">
        <f>IFERROR(__xludf.DUMMYFUNCTION("""COMPUTED_VALUE"""),"MEDICAL")</f>
        <v>MEDICAL</v>
      </c>
      <c r="D2559" s="196" t="str">
        <f>IFERROR(__xludf.DUMMYFUNCTION("""COMPUTED_VALUE"""),"SALIVA ANTIGEN TEST ")</f>
        <v>SALIVA ANTIGEN TEST </v>
      </c>
      <c r="E2559" s="196" t="str">
        <f>IFERROR(__xludf.DUMMYFUNCTION("""COMPUTED_VALUE"""),"FOR CLINIC USE")</f>
        <v>FOR CLINIC USE</v>
      </c>
    </row>
    <row r="2560">
      <c r="A2560" s="234">
        <f>IFERROR(__xludf.DUMMYFUNCTION("""COMPUTED_VALUE"""),102851.0)</f>
        <v>102851</v>
      </c>
      <c r="B2560" s="235" t="str">
        <f>IFERROR(__xludf.DUMMYFUNCTION("""COMPUTED_VALUE"""),"SHEREE ESPINOSA")</f>
        <v>SHEREE ESPINOSA</v>
      </c>
      <c r="C2560" s="235" t="str">
        <f>IFERROR(__xludf.DUMMYFUNCTION("""COMPUTED_VALUE"""),"ADMIN ")</f>
        <v>ADMIN </v>
      </c>
      <c r="D2560" s="196" t="str">
        <f>IFERROR(__xludf.DUMMYFUNCTION("""COMPUTED_VALUE"""),"PET LAMINATING CARD (BRAND: CUYI) 10 BOXES")</f>
        <v>PET LAMINATING CARD (BRAND: CUYI) 10 BOXES</v>
      </c>
      <c r="E2560" s="196" t="str">
        <f>IFERROR(__xludf.DUMMYFUNCTION("""COMPUTED_VALUE"""),"FOR SIGNAGES PRINTING IN ALL CAMPUS")</f>
        <v>FOR SIGNAGES PRINTING IN ALL CAMPUS</v>
      </c>
    </row>
    <row r="2561">
      <c r="A2561" s="234">
        <f>IFERROR(__xludf.DUMMYFUNCTION("""COMPUTED_VALUE"""),102852.0)</f>
        <v>102852</v>
      </c>
      <c r="B2561" s="235" t="str">
        <f>IFERROR(__xludf.DUMMYFUNCTION("""COMPUTED_VALUE"""),"TIM DIOSAY")</f>
        <v>TIM DIOSAY</v>
      </c>
      <c r="C2561" s="235" t="str">
        <f>IFERROR(__xludf.DUMMYFUNCTION("""COMPUTED_VALUE"""),"ADMIN-FACILITIES ")</f>
        <v>ADMIN-FACILITIES </v>
      </c>
      <c r="D2561" s="196" t="str">
        <f>IFERROR(__xludf.DUMMYFUNCTION("""COMPUTED_VALUE"""),"POZZI VESSEL BASIN SQUARE 1 PC; POZZI PVC P-TRAP 1SET; TEFLON 3/4 2ROLLS; FLEXIBLE HOSE 3/4 X 1/2'' 1PC;")</f>
        <v>POZZI VESSEL BASIN SQUARE 1 PC; POZZI PVC P-TRAP 1SET; TEFLON 3/4 2ROLLS; FLEXIBLE HOSE 3/4 X 1/2'' 1PC;</v>
      </c>
      <c r="E2561" s="196" t="str">
        <f>IFERROR(__xludf.DUMMYFUNCTION("""COMPUTED_VALUE"""),"ADDITIONAL HAND WASH AREA FOR FOOD COURT")</f>
        <v>ADDITIONAL HAND WASH AREA FOR FOOD COURT</v>
      </c>
    </row>
    <row r="2562">
      <c r="A2562" s="234">
        <f>IFERROR(__xludf.DUMMYFUNCTION("""COMPUTED_VALUE"""),102853.0)</f>
        <v>102853</v>
      </c>
      <c r="B2562" s="235" t="str">
        <f>IFERROR(__xludf.DUMMYFUNCTION("""COMPUTED_VALUE"""),"PHEN PETIN ")</f>
        <v>PHEN PETIN </v>
      </c>
      <c r="C2562" s="235" t="str">
        <f>IFERROR(__xludf.DUMMYFUNCTION("""COMPUTED_VALUE"""),"ADMIN -STAR")</f>
        <v>ADMIN -STAR</v>
      </c>
      <c r="D2562" s="196" t="str">
        <f>IFERROR(__xludf.DUMMYFUNCTION("""COMPUTED_VALUE"""),"FLEXIBLE HOSE 1/2 1/2 X 13- TRANSFERRED TO PRF 102858")</f>
        <v>FLEXIBLE HOSE 1/2 1/2 X 13- TRANSFERRED TO PRF 102858</v>
      </c>
      <c r="E2562" s="196" t="str">
        <f>IFERROR(__xludf.DUMMYFUNCTION("""COMPUTED_VALUE"""),"FOR ENGINEERING USE (STAR CAMPUS)")</f>
        <v>FOR ENGINEERING USE (STAR CAMPUS)</v>
      </c>
    </row>
    <row r="2563">
      <c r="A2563" s="234">
        <f>IFERROR(__xludf.DUMMYFUNCTION("""COMPUTED_VALUE"""),102854.0)</f>
        <v>102854</v>
      </c>
      <c r="B2563" s="235" t="str">
        <f>IFERROR(__xludf.DUMMYFUNCTION("""COMPUTED_VALUE"""),"PHEN PETIN ")</f>
        <v>PHEN PETIN </v>
      </c>
      <c r="C2563" s="235" t="str">
        <f>IFERROR(__xludf.DUMMYFUNCTION("""COMPUTED_VALUE"""),"ADMIN-STAR")</f>
        <v>ADMIN-STAR</v>
      </c>
      <c r="D2563" s="196" t="str">
        <f>IFERROR(__xludf.DUMMYFUNCTION("""COMPUTED_VALUE"""),"TOILET TANK FITTING 1SET - TRANSFERRED TO PRF 102858")</f>
        <v>TOILET TANK FITTING 1SET - TRANSFERRED TO PRF 102858</v>
      </c>
      <c r="E2563" s="196" t="str">
        <f>IFERROR(__xludf.DUMMYFUNCTION("""COMPUTED_VALUE"""),"FOR ENGINEERING USE (STAR CAMPUS)")</f>
        <v>FOR ENGINEERING USE (STAR CAMPUS)</v>
      </c>
    </row>
    <row r="2564">
      <c r="A2564" s="234">
        <f>IFERROR(__xludf.DUMMYFUNCTION("""COMPUTED_VALUE"""),102855.0)</f>
        <v>102855</v>
      </c>
      <c r="B2564" s="235" t="str">
        <f>IFERROR(__xludf.DUMMYFUNCTION("""COMPUTED_VALUE"""),"PHEN PETIN ")</f>
        <v>PHEN PETIN </v>
      </c>
      <c r="C2564" s="235" t="str">
        <f>IFERROR(__xludf.DUMMYFUNCTION("""COMPUTED_VALUE"""),"ADMIN-STAR")</f>
        <v>ADMIN-STAR</v>
      </c>
      <c r="D2564" s="196" t="str">
        <f>IFERROR(__xludf.DUMMYFUNCTION("""COMPUTED_VALUE"""),"GLASS SEALANT (CLEAR) 1 TUBE; GLASS SEALANT GUN 1PC;")</f>
        <v>GLASS SEALANT (CLEAR) 1 TUBE; GLASS SEALANT GUN 1PC;</v>
      </c>
      <c r="E2564" s="196" t="str">
        <f>IFERROR(__xludf.DUMMYFUNCTION("""COMPUTED_VALUE"""),"FOR LEARNING VILLAGE GLASS WALL")</f>
        <v>FOR LEARNING VILLAGE GLASS WALL</v>
      </c>
    </row>
    <row r="2565">
      <c r="A2565" s="234">
        <f>IFERROR(__xludf.DUMMYFUNCTION("""COMPUTED_VALUE"""),102856.0)</f>
        <v>102856</v>
      </c>
      <c r="B2565" s="235" t="str">
        <f>IFERROR(__xludf.DUMMYFUNCTION("""COMPUTED_VALUE"""),"PHEN PETIN ")</f>
        <v>PHEN PETIN </v>
      </c>
      <c r="C2565" s="235" t="str">
        <f>IFERROR(__xludf.DUMMYFUNCTION("""COMPUTED_VALUE"""),"ADMIN STAR")</f>
        <v>ADMIN STAR</v>
      </c>
      <c r="D2565" s="196" t="str">
        <f>IFERROR(__xludf.DUMMYFUNCTION("""COMPUTED_VALUE"""),"HOLIDAY EPOXY 1 PAIR A GAL")</f>
        <v>HOLIDAY EPOXY 1 PAIR A GAL</v>
      </c>
      <c r="E2565" s="196" t="str">
        <f>IFERROR(__xludf.DUMMYFUNCTION("""COMPUTED_VALUE"""),"PLUMBING USE IN STAR CAMPUS ")</f>
        <v>PLUMBING USE IN STAR CAMPUS </v>
      </c>
    </row>
    <row r="2566">
      <c r="A2566" s="234">
        <f>IFERROR(__xludf.DUMMYFUNCTION("""COMPUTED_VALUE"""),102857.0)</f>
        <v>102857</v>
      </c>
      <c r="B2566" s="235" t="str">
        <f>IFERROR(__xludf.DUMMYFUNCTION("""COMPUTED_VALUE"""),"PHEN PETIN ")</f>
        <v>PHEN PETIN </v>
      </c>
      <c r="C2566" s="235" t="str">
        <f>IFERROR(__xludf.DUMMYFUNCTION("""COMPUTED_VALUE"""),"ADMIN - STAR")</f>
        <v>ADMIN - STAR</v>
      </c>
      <c r="D2566" s="196" t="str">
        <f>IFERROR(__xludf.DUMMYFUNCTION("""COMPUTED_VALUE"""),"BOSNY ROOF SEALANT GRAY 4KG; PAINT BRUSH #2 2PCS - TRANSFERRED TO 102858")</f>
        <v>BOSNY ROOF SEALANT GRAY 4KG; PAINT BRUSH #2 2PCS - TRANSFERRED TO 102858</v>
      </c>
      <c r="E2566" s="196" t="str">
        <f>IFERROR(__xludf.DUMMYFUNCTION("""COMPUTED_VALUE"""),"FOR ENGINEERING USE (STAR CAMPUS)")</f>
        <v>FOR ENGINEERING USE (STAR CAMPUS)</v>
      </c>
    </row>
    <row r="2567">
      <c r="A2567" s="234">
        <f>IFERROR(__xludf.DUMMYFUNCTION("""COMPUTED_VALUE"""),102858.0)</f>
        <v>102858</v>
      </c>
      <c r="B2567" s="235" t="str">
        <f>IFERROR(__xludf.DUMMYFUNCTION("""COMPUTED_VALUE"""),"PHEN PETIN ")</f>
        <v>PHEN PETIN </v>
      </c>
      <c r="C2567" s="235" t="str">
        <f>IFERROR(__xludf.DUMMYFUNCTION("""COMPUTED_VALUE"""),"ADMIN - STAR")</f>
        <v>ADMIN - STAR</v>
      </c>
      <c r="D2567" s="196" t="str">
        <f>IFERROR(__xludf.DUMMYFUNCTION("""COMPUTED_VALUE"""),"VULCA SEAL 1 QUART, flexible hose 1/2 x1/2x 13 10 pcs., TOILET TANK FITTING SET  10 PCS.., BOSNY ROOF SEALANT (GRAY) PAINT BRUSH # 2")</f>
        <v>VULCA SEAL 1 QUART, flexible hose 1/2 x1/2x 13 10 pcs., TOILET TANK FITTING SET  10 PCS.., BOSNY ROOF SEALANT (GRAY) PAINT BRUSH # 2</v>
      </c>
      <c r="E2567" s="196" t="str">
        <f>IFERROR(__xludf.DUMMYFUNCTION("""COMPUTED_VALUE"""),"FOR ENGINEERING USE (STAR CAMPUS)")</f>
        <v>FOR ENGINEERING USE (STAR CAMPUS)</v>
      </c>
    </row>
    <row r="2568">
      <c r="A2568" s="234">
        <f>IFERROR(__xludf.DUMMYFUNCTION("""COMPUTED_VALUE"""),102859.0)</f>
        <v>102859</v>
      </c>
      <c r="B2568" s="235" t="str">
        <f>IFERROR(__xludf.DUMMYFUNCTION("""COMPUTED_VALUE"""),"JADE GERONIMO")</f>
        <v>JADE GERONIMO</v>
      </c>
      <c r="C2568" s="235" t="str">
        <f>IFERROR(__xludf.DUMMYFUNCTION("""COMPUTED_VALUE"""),"ECED")</f>
        <v>ECED</v>
      </c>
      <c r="D2568" s="196" t="str">
        <f>IFERROR(__xludf.DUMMYFUNCTION("""COMPUTED_VALUE"""),"EXTRA WORKSHEETS FOR JUNIOR KINDER (15 PCS) , EXTRA WORKSHEETS FOR SENIOR KINDER (23 PCS), PURPLE MOROCCO ENVELOPES (38 PCS)")</f>
        <v>EXTRA WORKSHEETS FOR JUNIOR KINDER (15 PCS) , EXTRA WORKSHEETS FOR SENIOR KINDER (23 PCS), PURPLE MOROCCO ENVELOPES (38 PCS)</v>
      </c>
      <c r="E2568" s="196" t="str">
        <f>IFERROR(__xludf.DUMMYFUNCTION("""COMPUTED_VALUE"""),"EXTRA WORKSHEETS FOR PRESCHOOL ")</f>
        <v>EXTRA WORKSHEETS FOR PRESCHOOL </v>
      </c>
    </row>
    <row r="2569">
      <c r="A2569" s="234">
        <f>IFERROR(__xludf.DUMMYFUNCTION("""COMPUTED_VALUE"""),102860.0)</f>
        <v>102860</v>
      </c>
      <c r="B2569" s="235" t="str">
        <f>IFERROR(__xludf.DUMMYFUNCTION("""COMPUTED_VALUE"""),"CHARISMA S. LOMAT")</f>
        <v>CHARISMA S. LOMAT</v>
      </c>
      <c r="C2569" s="235" t="str">
        <f>IFERROR(__xludf.DUMMYFUNCTION("""COMPUTED_VALUE"""),"PR &amp; MARKETING")</f>
        <v>PR &amp; MARKETING</v>
      </c>
      <c r="D2569" s="196" t="str">
        <f>IFERROR(__xludf.DUMMYFUNCTION("""COMPUTED_VALUE"""),"PULL UP BANNER FOR COLLEGE  COURSES ( 6.5 X 3) ")</f>
        <v>PULL UP BANNER FOR COLLEGE  COURSES ( 6.5 X 3) </v>
      </c>
      <c r="E2569" s="196" t="str">
        <f>IFERROR(__xludf.DUMMYFUNCTION("""COMPUTED_VALUE"""),"FOR SCHOL PRESENTATIONS")</f>
        <v>FOR SCHOL PRESENTATIONS</v>
      </c>
    </row>
    <row r="2570">
      <c r="A2570" s="234">
        <f>IFERROR(__xludf.DUMMYFUNCTION("""COMPUTED_VALUE"""),102861.0)</f>
        <v>102861</v>
      </c>
      <c r="B2570" s="235" t="str">
        <f>IFERROR(__xludf.DUMMYFUNCTION("""COMPUTED_VALUE"""),"JOHNY QUIQUI")</f>
        <v>JOHNY QUIQUI</v>
      </c>
      <c r="C2570" s="235" t="str">
        <f>IFERROR(__xludf.DUMMYFUNCTION("""COMPUTED_VALUE"""),"STUFFSHOP")</f>
        <v>STUFFSHOP</v>
      </c>
      <c r="D2570" s="196" t="str">
        <f>IFERROR(__xludf.DUMMYFUNCTION("""COMPUTED_VALUE"""),"G4, I AM ME EQ WORKBOOK, G4, I AM ME ACT WORKBOOK ")</f>
        <v>G4, I AM ME EQ WORKBOOK, G4, I AM ME ACT WORKBOOK </v>
      </c>
      <c r="E2570" s="196" t="str">
        <f>IFERROR(__xludf.DUMMYFUNCTION("""COMPUTED_VALUE"""),"FOR SALE IN STUFFSHOP")</f>
        <v>FOR SALE IN STUFFSHOP</v>
      </c>
    </row>
    <row r="2571">
      <c r="A2571" s="234">
        <f>IFERROR(__xludf.DUMMYFUNCTION("""COMPUTED_VALUE"""),102862.0)</f>
        <v>102862</v>
      </c>
      <c r="B2571" s="235" t="str">
        <f>IFERROR(__xludf.DUMMYFUNCTION("""COMPUTED_VALUE"""),"ARNEL MONTALBAN")</f>
        <v>ARNEL MONTALBAN</v>
      </c>
      <c r="C2571" s="235" t="str">
        <f>IFERROR(__xludf.DUMMYFUNCTION("""COMPUTED_VALUE"""),"FOUNDER SCHOLARS")</f>
        <v>FOUNDER SCHOLARS</v>
      </c>
      <c r="D2571" s="196" t="str">
        <f>IFERROR(__xludf.DUMMYFUNCTION("""COMPUTED_VALUE"""),"BLANKETS AND BEDSHEETS, PILLOWS. CLEANING MATERIALS ")</f>
        <v>BLANKETS AND BEDSHEETS, PILLOWS. CLEANING MATERIALS </v>
      </c>
      <c r="E2571" s="196" t="str">
        <f>IFERROR(__xludf.DUMMYFUNCTION("""COMPUTED_VALUE"""),"FOR SCHOLARS USE/ DORM USE ")</f>
        <v>FOR SCHOLARS USE/ DORM USE </v>
      </c>
    </row>
    <row r="2572">
      <c r="A2572" s="234">
        <f>IFERROR(__xludf.DUMMYFUNCTION("""COMPUTED_VALUE"""),102863.0)</f>
        <v>102863</v>
      </c>
      <c r="B2572" s="235" t="str">
        <f>IFERROR(__xludf.DUMMYFUNCTION("""COMPUTED_VALUE"""),"OWIE PAR")</f>
        <v>OWIE PAR</v>
      </c>
      <c r="C2572" s="235" t="str">
        <f>IFERROR(__xludf.DUMMYFUNCTION("""COMPUTED_VALUE"""),"ENGINEERING")</f>
        <v>ENGINEERING</v>
      </c>
      <c r="D2572" s="196" t="str">
        <f>IFERROR(__xludf.DUMMYFUNCTION("""COMPUTED_VALUE"""),"ACU- 2.5 HP DAIKEN CEILING CASSETTE: FOR PULLOUT LAB, 2.5 HP DAIKEN WALL MOUNTED FOR ROOM 305,306 &amp; ROBOTICS, 1.5 HP DAIKEN WALL MOUNTED FOR BUSINESS OFFICE AND CLINIC")</f>
        <v>ACU- 2.5 HP DAIKEN CEILING CASSETTE: FOR PULLOUT LAB, 2.5 HP DAIKEN WALL MOUNTED FOR ROOM 305,306 &amp; ROBOTICS, 1.5 HP DAIKEN WALL MOUNTED FOR BUSINESS OFFICE AND CLINIC</v>
      </c>
      <c r="E2572" s="196" t="str">
        <f>IFERROR(__xludf.DUMMYFUNCTION("""COMPUTED_VALUE"""),"ACU REPLACEMENT FOR STAR CAMPUS")</f>
        <v>ACU REPLACEMENT FOR STAR CAMPUS</v>
      </c>
    </row>
    <row r="2573">
      <c r="A2573" s="234">
        <f>IFERROR(__xludf.DUMMYFUNCTION("""COMPUTED_VALUE"""),102864.0)</f>
        <v>102864</v>
      </c>
      <c r="B2573" s="235" t="str">
        <f>IFERROR(__xludf.DUMMYFUNCTION("""COMPUTED_VALUE"""),"OWIE PAR")</f>
        <v>OWIE PAR</v>
      </c>
      <c r="C2573" s="235" t="str">
        <f>IFERROR(__xludf.DUMMYFUNCTION("""COMPUTED_VALUE"""),"ENGINEERING")</f>
        <v>ENGINEERING</v>
      </c>
      <c r="D2573" s="196" t="str">
        <f>IFERROR(__xludf.DUMMYFUNCTION("""COMPUTED_VALUE"""),"ACU 3.5 HP CEILING SUSPENDED INVERTER ")</f>
        <v>ACU 3.5 HP CEILING SUSPENDED INVERTER </v>
      </c>
      <c r="E2573" s="196" t="str">
        <f>IFERROR(__xludf.DUMMYFUNCTION("""COMPUTED_VALUE"""),"ACU REPLACEMENT 506 COLLEGE")</f>
        <v>ACU REPLACEMENT 506 COLLEGE</v>
      </c>
    </row>
    <row r="2574">
      <c r="A2574" s="234">
        <f>IFERROR(__xludf.DUMMYFUNCTION("""COMPUTED_VALUE"""),102865.0)</f>
        <v>102865</v>
      </c>
      <c r="B2574" s="235" t="str">
        <f>IFERROR(__xludf.DUMMYFUNCTION("""COMPUTED_VALUE"""),"ANGELO PARAS")</f>
        <v>ANGELO PARAS</v>
      </c>
      <c r="C2574" s="235" t="str">
        <f>IFERROR(__xludf.DUMMYFUNCTION("""COMPUTED_VALUE"""),"SCIENCE LAB BASIC ED.")</f>
        <v>SCIENCE LAB BASIC ED.</v>
      </c>
      <c r="D2574" s="196" t="str">
        <f>IFERROR(__xludf.DUMMYFUNCTION("""COMPUTED_VALUE"""),"BANDAGE  MEDIPLAST, ETHYL ALCOHOL DISINFECTANT, HANDSOAP LIQUID ANY BRAND, HAND TOWELS, 295 MASK, SURGICAL GLOVES NON LATEX ANY BRAND, SURGICAL MASK ANY BRANDS, MARSHMALLOWS LARGE SIZE, BATTERIES 9V")</f>
        <v>BANDAGE  MEDIPLAST, ETHYL ALCOHOL DISINFECTANT, HANDSOAP LIQUID ANY BRAND, HAND TOWELS, 295 MASK, SURGICAL GLOVES NON LATEX ANY BRAND, SURGICAL MASK ANY BRANDS, MARSHMALLOWS LARGE SIZE, BATTERIES 9V</v>
      </c>
      <c r="E2574" s="196" t="str">
        <f>IFERROR(__xludf.DUMMYFUNCTION("""COMPUTED_VALUE"""),"FOR USE IN LABORATORY")</f>
        <v>FOR USE IN LABORATORY</v>
      </c>
    </row>
    <row r="2575">
      <c r="A2575" s="234">
        <f>IFERROR(__xludf.DUMMYFUNCTION("""COMPUTED_VALUE"""),102866.0)</f>
        <v>102866</v>
      </c>
      <c r="B2575" s="235" t="str">
        <f>IFERROR(__xludf.DUMMYFUNCTION("""COMPUTED_VALUE"""),"ANGELO PARAS")</f>
        <v>ANGELO PARAS</v>
      </c>
      <c r="C2575" s="235" t="str">
        <f>IFERROR(__xludf.DUMMYFUNCTION("""COMPUTED_VALUE"""),"SCIENCE LAB BASIC ED.")</f>
        <v>SCIENCE LAB BASIC ED.</v>
      </c>
      <c r="D2575" s="196" t="str">
        <f>IFERROR(__xludf.DUMMYFUNCTION("""COMPUTED_VALUE"""),"COOKING OIL ANY BRAND, DISHWASHING LIQUID ANY BRAND, CORN SYRUP, FOOD COLORING (RED,BLUE,GREEN, YELLO), EPSOM SALT, BAKING SODA, DRY YEAST, PEANUTS ANY BRAND, TIN CANS (EMPTY), BALLOONS ROUND")</f>
        <v>COOKING OIL ANY BRAND, DISHWASHING LIQUID ANY BRAND, CORN SYRUP, FOOD COLORING (RED,BLUE,GREEN, YELLO), EPSOM SALT, BAKING SODA, DRY YEAST, PEANUTS ANY BRAND, TIN CANS (EMPTY), BALLOONS ROUND</v>
      </c>
      <c r="E2575" s="196" t="str">
        <f>IFERROR(__xludf.DUMMYFUNCTION("""COMPUTED_VALUE"""),"FOR USE IN LABORATORY")</f>
        <v>FOR USE IN LABORATORY</v>
      </c>
    </row>
    <row r="2576">
      <c r="A2576" s="234">
        <f>IFERROR(__xludf.DUMMYFUNCTION("""COMPUTED_VALUE"""),102867.0)</f>
        <v>102867</v>
      </c>
      <c r="B2576" s="235" t="str">
        <f>IFERROR(__xludf.DUMMYFUNCTION("""COMPUTED_VALUE"""),"RAQUELYN NUÑEZ")</f>
        <v>RAQUELYN NUÑEZ</v>
      </c>
      <c r="C2576" s="235" t="str">
        <f>IFERROR(__xludf.DUMMYFUNCTION("""COMPUTED_VALUE"""),"ADMIN")</f>
        <v>ADMIN</v>
      </c>
      <c r="D2576" s="196" t="str">
        <f>IFERROR(__xludf.DUMMYFUNCTION("""COMPUTED_VALUE"""),"BRAND NEW GAS TANK, SHOWER HEATER SET")</f>
        <v>BRAND NEW GAS TANK, SHOWER HEATER SET</v>
      </c>
      <c r="E2576" s="196" t="str">
        <f>IFERROR(__xludf.DUMMYFUNCTION("""COMPUTED_VALUE"""),"FOR NARRA HOUSE ")</f>
        <v>FOR NARRA HOUSE </v>
      </c>
    </row>
    <row r="2577">
      <c r="A2577" s="234">
        <f>IFERROR(__xludf.DUMMYFUNCTION("""COMPUTED_VALUE"""),102868.0)</f>
        <v>102868</v>
      </c>
      <c r="B2577" s="235" t="str">
        <f>IFERROR(__xludf.DUMMYFUNCTION("""COMPUTED_VALUE"""),"OWIE PAR")</f>
        <v>OWIE PAR</v>
      </c>
      <c r="C2577" s="235" t="str">
        <f>IFERROR(__xludf.DUMMYFUNCTION("""COMPUTED_VALUE"""),"ENGINEERING")</f>
        <v>ENGINEERING</v>
      </c>
      <c r="D2577" s="196" t="str">
        <f>IFERROR(__xludf.DUMMYFUNCTION("""COMPUTED_VALUE"""),"INDUSTRIAL CIRCUIT BREAKER 60 AMP 3 POLE G.E ")</f>
        <v>INDUSTRIAL CIRCUIT BREAKER 60 AMP 3 POLE G.E </v>
      </c>
      <c r="E2577" s="196" t="str">
        <f>IFERROR(__xludf.DUMMYFUNCTION("""COMPUTED_VALUE"""),"FOR MAIN BREAKER OF 2ND FLOOR WESTWING EMDP")</f>
        <v>FOR MAIN BREAKER OF 2ND FLOOR WESTWING EMDP</v>
      </c>
    </row>
    <row r="2578">
      <c r="A2578" s="234">
        <f>IFERROR(__xludf.DUMMYFUNCTION("""COMPUTED_VALUE"""),102869.0)</f>
        <v>102869</v>
      </c>
      <c r="B2578" s="235" t="str">
        <f>IFERROR(__xludf.DUMMYFUNCTION("""COMPUTED_VALUE"""),"ALFA DE LEON")</f>
        <v>ALFA DE LEON</v>
      </c>
      <c r="C2578" s="235" t="str">
        <f>IFERROR(__xludf.DUMMYFUNCTION("""COMPUTED_VALUE"""),"ADMIN - MUNICH")</f>
        <v>ADMIN - MUNICH</v>
      </c>
      <c r="D2578" s="196" t="str">
        <f>IFERROR(__xludf.DUMMYFUNCTION("""COMPUTED_VALUE"""),"WATER BOTTLE/ GALLON FOR WATER DISPENSER")</f>
        <v>WATER BOTTLE/ GALLON FOR WATER DISPENSER</v>
      </c>
      <c r="E2578" s="196" t="str">
        <f>IFERROR(__xludf.DUMMYFUNCTION("""COMPUTED_VALUE"""),"REPLACING THE OLD GALLON (2 TO 3 YRS OLD. ")</f>
        <v>REPLACING THE OLD GALLON (2 TO 3 YRS OLD. </v>
      </c>
    </row>
    <row r="2579">
      <c r="A2579" s="234">
        <f>IFERROR(__xludf.DUMMYFUNCTION("""COMPUTED_VALUE"""),102870.0)</f>
        <v>102870</v>
      </c>
      <c r="B2579" s="235" t="str">
        <f>IFERROR(__xludf.DUMMYFUNCTION("""COMPUTED_VALUE"""),"OWIE PAR ")</f>
        <v>OWIE PAR </v>
      </c>
      <c r="C2579" s="235" t="str">
        <f>IFERROR(__xludf.DUMMYFUNCTION("""COMPUTED_VALUE"""),"ENGINEERING")</f>
        <v>ENGINEERING</v>
      </c>
      <c r="D2579" s="196" t="str">
        <f>IFERROR(__xludf.DUMMYFUNCTION("""COMPUTED_VALUE"""),"COPPER TUBE 5/8- 28, COPPER TUBE 1/4 - 28, INSULATION 5/8 X 3/4, INSULATION 1/4 X 3/4, WHITE FILM, SILVERT ROD, MOP GAS, COPPER ELBOW 5/8")</f>
        <v>COPPER TUBE 5/8- 28, COPPER TUBE 1/4 - 28, INSULATION 5/8 X 3/4, INSULATION 1/4 X 3/4, WHITE FILM, SILVERT ROD, MOP GAS, COPPER ELBOW 5/8</v>
      </c>
      <c r="E2579" s="196" t="str">
        <f>IFERROR(__xludf.DUMMYFUNCTION("""COMPUTED_VALUE"""),"FOR ACU INSTALLATION ABU")</f>
        <v>FOR ACU INSTALLATION ABU</v>
      </c>
    </row>
    <row r="2580">
      <c r="A2580" s="234">
        <f>IFERROR(__xludf.DUMMYFUNCTION("""COMPUTED_VALUE"""),102871.0)</f>
        <v>102871</v>
      </c>
      <c r="B2580" s="235" t="str">
        <f>IFERROR(__xludf.DUMMYFUNCTION("""COMPUTED_VALUE"""),"OWIE PAR")</f>
        <v>OWIE PAR</v>
      </c>
      <c r="C2580" s="235" t="str">
        <f>IFERROR(__xludf.DUMMYFUNCTION("""COMPUTED_VALUE"""),"ADMIN")</f>
        <v>ADMIN</v>
      </c>
      <c r="D2580" s="196" t="str">
        <f>IFERROR(__xludf.DUMMYFUNCTION("""COMPUTED_VALUE"""),"ACU CEILING CONCEALED DUCTED TYPE INVERTER 6.0 HP")</f>
        <v>ACU CEILING CONCEALED DUCTED TYPE INVERTER 6.0 HP</v>
      </c>
      <c r="E2580" s="196" t="str">
        <f>IFERROR(__xludf.DUMMYFUNCTION("""COMPUTED_VALUE"""),"FOR ACU REPACEMENT TROP GYM ACU # 12")</f>
        <v>FOR ACU REPACEMENT TROP GYM ACU # 12</v>
      </c>
    </row>
    <row r="2581">
      <c r="A2581" s="234">
        <f>IFERROR(__xludf.DUMMYFUNCTION("""COMPUTED_VALUE"""),102872.0)</f>
        <v>102872</v>
      </c>
      <c r="B2581" s="235" t="str">
        <f>IFERROR(__xludf.DUMMYFUNCTION("""COMPUTED_VALUE"""),"TIM DIOSAY")</f>
        <v>TIM DIOSAY</v>
      </c>
      <c r="C2581" s="235" t="str">
        <f>IFERROR(__xludf.DUMMYFUNCTION("""COMPUTED_VALUE"""),"ADMIN")</f>
        <v>ADMIN</v>
      </c>
      <c r="D2581" s="196" t="str">
        <f>IFERROR(__xludf.DUMMYFUNCTION("""COMPUTED_VALUE"""),"NXLED 15W LED FIXTURE (WHITE), WEATHER PROOF CONVENIENCE OUTLET (2-GANG), ORBIT FAN")</f>
        <v>NXLED 15W LED FIXTURE (WHITE), WEATHER PROOF CONVENIENCE OUTLET (2-GANG), ORBIT FAN</v>
      </c>
      <c r="E2581" s="196" t="str">
        <f>IFERROR(__xludf.DUMMYFUNCTION("""COMPUTED_VALUE"""),"LED LIGHT TUBE FOR FOOD COURT")</f>
        <v>LED LIGHT TUBE FOR FOOD COURT</v>
      </c>
    </row>
    <row r="2582">
      <c r="A2582" s="234">
        <f>IFERROR(__xludf.DUMMYFUNCTION("""COMPUTED_VALUE"""),102873.0)</f>
        <v>102873</v>
      </c>
      <c r="B2582" s="235" t="str">
        <f>IFERROR(__xludf.DUMMYFUNCTION("""COMPUTED_VALUE"""),"TIM DIOSAY")</f>
        <v>TIM DIOSAY</v>
      </c>
      <c r="C2582" s="235" t="str">
        <f>IFERROR(__xludf.DUMMYFUNCTION("""COMPUTED_VALUE"""),"ADMIN")</f>
        <v>ADMIN</v>
      </c>
      <c r="D2582" s="196" t="str">
        <f>IFERROR(__xludf.DUMMYFUNCTION("""COMPUTED_VALUE"""),"INDUSTRIAL CEILING FAN (HVLS) 36"" TO 52""")</f>
        <v>INDUSTRIAL CEILING FAN (HVLS) 36" TO 52"</v>
      </c>
      <c r="E2582" s="196" t="str">
        <f>IFERROR(__xludf.DUMMYFUNCTION("""COMPUTED_VALUE"""),"CEILING FAN FOR THE FOOD COURT")</f>
        <v>CEILING FAN FOR THE FOOD COURT</v>
      </c>
    </row>
    <row r="2583">
      <c r="A2583" s="234">
        <f>IFERROR(__xludf.DUMMYFUNCTION("""COMPUTED_VALUE"""),102874.0)</f>
        <v>102874</v>
      </c>
      <c r="B2583" s="235" t="str">
        <f>IFERROR(__xludf.DUMMYFUNCTION("""COMPUTED_VALUE"""),"ALFA DE LEON ")</f>
        <v>ALFA DE LEON </v>
      </c>
      <c r="C2583" s="235" t="str">
        <f>IFERROR(__xludf.DUMMYFUNCTION("""COMPUTED_VALUE"""),"ADMIN - STAR")</f>
        <v>ADMIN - STAR</v>
      </c>
      <c r="D2583" s="196" t="str">
        <f>IFERROR(__xludf.DUMMYFUNCTION("""COMPUTED_VALUE"""),"PICARRA SCHLEFFERA, HELICONIA")</f>
        <v>PICARRA SCHLEFFERA, HELICONIA</v>
      </c>
      <c r="E2583" s="196" t="str">
        <f>IFERROR(__xludf.DUMMYFUNCTION("""COMPUTED_VALUE"""),"STAR CAMPUS PLANTS IMPROVEMENT FRONT GATE")</f>
        <v>STAR CAMPUS PLANTS IMPROVEMENT FRONT GATE</v>
      </c>
    </row>
    <row r="2584">
      <c r="A2584" s="234">
        <f>IFERROR(__xludf.DUMMYFUNCTION("""COMPUTED_VALUE"""),102875.0)</f>
        <v>102875</v>
      </c>
      <c r="B2584" s="235" t="str">
        <f>IFERROR(__xludf.DUMMYFUNCTION("""COMPUTED_VALUE"""),"BRENT TEMPLO ")</f>
        <v>BRENT TEMPLO </v>
      </c>
      <c r="C2584" s="235" t="str">
        <f>IFERROR(__xludf.DUMMYFUNCTION("""COMPUTED_VALUE"""),"AMD")</f>
        <v>AMD</v>
      </c>
      <c r="D2584" s="196" t="str">
        <f>IFERROR(__xludf.DUMMYFUNCTION("""COMPUTED_VALUE"""),"LED TUBE 8 WATTS DAYLIGHT - PHILLIPS ")</f>
        <v>LED TUBE 8 WATTS DAYLIGHT - PHILLIPS </v>
      </c>
      <c r="E2584" s="196" t="str">
        <f>IFERROR(__xludf.DUMMYFUNCTION("""COMPUTED_VALUE"""),"STOCK REPLENISHMENT FOR ENGINEERING SUPPLIES ")</f>
        <v>STOCK REPLENISHMENT FOR ENGINEERING SUPPLIES </v>
      </c>
    </row>
    <row r="2585">
      <c r="A2585" s="234">
        <f>IFERROR(__xludf.DUMMYFUNCTION("""COMPUTED_VALUE"""),102876.0)</f>
        <v>102876</v>
      </c>
      <c r="B2585" s="235" t="str">
        <f>IFERROR(__xludf.DUMMYFUNCTION("""COMPUTED_VALUE"""),"PHEN PETIN")</f>
        <v>PHEN PETIN</v>
      </c>
      <c r="C2585" s="235" t="str">
        <f>IFERROR(__xludf.DUMMYFUNCTION("""COMPUTED_VALUE"""),"ADMIN - STAR")</f>
        <v>ADMIN - STAR</v>
      </c>
      <c r="D2585" s="196" t="str">
        <f>IFERROR(__xludf.DUMMYFUNCTION("""COMPUTED_VALUE"""),"OMNI BULB 4 WATTS WARM WHITE, FIREFLY 3 WATTS WARM WHITE")</f>
        <v>OMNI BULB 4 WATTS WARM WHITE, FIREFLY 3 WATTS WARM WHITE</v>
      </c>
      <c r="E2585" s="196" t="str">
        <f>IFERROR(__xludf.DUMMYFUNCTION("""COMPUTED_VALUE"""),"REPLACEMENT OF THE BUSTED LIGHTS IN LV")</f>
        <v>REPLACEMENT OF THE BUSTED LIGHTS IN LV</v>
      </c>
    </row>
    <row r="2586">
      <c r="A2586" s="234">
        <f>IFERROR(__xludf.DUMMYFUNCTION("""COMPUTED_VALUE"""),102877.0)</f>
        <v>102877</v>
      </c>
      <c r="B2586" s="235" t="str">
        <f>IFERROR(__xludf.DUMMYFUNCTION("""COMPUTED_VALUE"""),"SHEREE ESPINOSA ")</f>
        <v>SHEREE ESPINOSA </v>
      </c>
      <c r="C2586" s="235" t="str">
        <f>IFERROR(__xludf.DUMMYFUNCTION("""COMPUTED_VALUE"""),"ADMIN")</f>
        <v>ADMIN</v>
      </c>
      <c r="D2586" s="196" t="str">
        <f>IFERROR(__xludf.DUMMYFUNCTION("""COMPUTED_VALUE"""),"GLASS DOOR LOCK ")</f>
        <v>GLASS DOOR LOCK </v>
      </c>
      <c r="E2586" s="196" t="str">
        <f>IFERROR(__xludf.DUMMYFUNCTION("""COMPUTED_VALUE"""),"DEFECTIVE GLASS DOOR LOCK FOR REPLACEMENT - COMP LAB 1 LUX")</f>
        <v>DEFECTIVE GLASS DOOR LOCK FOR REPLACEMENT - COMP LAB 1 LUX</v>
      </c>
    </row>
    <row r="2587">
      <c r="A2587" s="234">
        <f>IFERROR(__xludf.DUMMYFUNCTION("""COMPUTED_VALUE"""),102878.0)</f>
        <v>102878</v>
      </c>
      <c r="B2587" s="235" t="str">
        <f>IFERROR(__xludf.DUMMYFUNCTION("""COMPUTED_VALUE"""),"MELISSA NAVAL-ODOÑO")</f>
        <v>MELISSA NAVAL-ODOÑO</v>
      </c>
      <c r="C2587" s="235" t="str">
        <f>IFERROR(__xludf.DUMMYFUNCTION("""COMPUTED_VALUE"""),"LIBRARY COLLEGE")</f>
        <v>LIBRARY COLLEGE</v>
      </c>
      <c r="D2587" s="196" t="str">
        <f>IFERROR(__xludf.DUMMYFUNCTION("""COMPUTED_VALUE"""),"BLIND SPOT: THE GLOBAL VISE OF UNHAPPINESS AND HOW LEADERS MISSED IT")</f>
        <v>BLIND SPOT: THE GLOBAL VISE OF UNHAPPINESS AND HOW LEADERS MISSED IT</v>
      </c>
      <c r="E2587" s="196" t="str">
        <f>IFERROR(__xludf.DUMMYFUNCTION("""COMPUTED_VALUE"""),"FOR LIBRARY USE")</f>
        <v>FOR LIBRARY USE</v>
      </c>
    </row>
    <row r="2588">
      <c r="A2588" s="234">
        <f>IFERROR(__xludf.DUMMYFUNCTION("""COMPUTED_VALUE"""),102879.0)</f>
        <v>102879</v>
      </c>
      <c r="B2588" s="235" t="str">
        <f>IFERROR(__xludf.DUMMYFUNCTION("""COMPUTED_VALUE"""),"MELISSA NAVAL- ODOÑO")</f>
        <v>MELISSA NAVAL- ODOÑO</v>
      </c>
      <c r="C2588" s="235" t="str">
        <f>IFERROR(__xludf.DUMMYFUNCTION("""COMPUTED_VALUE"""),"LIBRARY COLLEGE")</f>
        <v>LIBRARY COLLEGE</v>
      </c>
      <c r="D2588" s="196" t="str">
        <f>IFERROR(__xludf.DUMMYFUNCTION("""COMPUTED_VALUE"""),"BLIND SPOLT: THE GLOBAL VISE OF UNHAPPINESS AND HOW LEADERS MISSED IT")</f>
        <v>BLIND SPOLT: THE GLOBAL VISE OF UNHAPPINESS AND HOW LEADERS MISSED IT</v>
      </c>
      <c r="E2588" s="196" t="str">
        <f>IFERROR(__xludf.DUMMYFUNCTION("""COMPUTED_VALUE"""),"FOR GLL USE ")</f>
        <v>FOR GLL USE </v>
      </c>
    </row>
    <row r="2589">
      <c r="A2589" s="234">
        <f>IFERROR(__xludf.DUMMYFUNCTION("""COMPUTED_VALUE"""),102880.0)</f>
        <v>102880</v>
      </c>
      <c r="B2589" s="235" t="str">
        <f>IFERROR(__xludf.DUMMYFUNCTION("""COMPUTED_VALUE"""),"LORRAINE ALMAZAN")</f>
        <v>LORRAINE ALMAZAN</v>
      </c>
      <c r="C2589" s="235" t="str">
        <f>IFERROR(__xludf.DUMMYFUNCTION("""COMPUTED_VALUE"""),"MIS/ICT")</f>
        <v>MIS/ICT</v>
      </c>
      <c r="D2589" s="196" t="str">
        <f>IFERROR(__xludf.DUMMYFUNCTION("""COMPUTED_VALUE"""),"ACER VERITON VX4680 CORE I5-11400, MONITORS AND PERIPHERALS  17 UNITS")</f>
        <v>ACER VERITON VX4680 CORE I5-11400, MONITORS AND PERIPHERALS  17 UNITS</v>
      </c>
      <c r="E2589" s="196" t="str">
        <f>IFERROR(__xludf.DUMMYFUNCTION("""COMPUTED_VALUE"""),"FULL UPGRADE OF LUX COMP LAB 1")</f>
        <v>FULL UPGRADE OF LUX COMP LAB 1</v>
      </c>
    </row>
    <row r="2590">
      <c r="A2590" s="234">
        <f>IFERROR(__xludf.DUMMYFUNCTION("""COMPUTED_VALUE"""),102881.0)</f>
        <v>102881</v>
      </c>
      <c r="B2590" s="235" t="str">
        <f>IFERROR(__xludf.DUMMYFUNCTION("""COMPUTED_VALUE"""),"LORRAINE ALMAZAN")</f>
        <v>LORRAINE ALMAZAN</v>
      </c>
      <c r="C2590" s="235" t="str">
        <f>IFERROR(__xludf.DUMMYFUNCTION("""COMPUTED_VALUE"""),"MIS/ICT")</f>
        <v>MIS/ICT</v>
      </c>
      <c r="D2590" s="196" t="str">
        <f>IFERROR(__xludf.DUMMYFUNCTION("""COMPUTED_VALUE"""),"MIS/ICT")</f>
        <v>MIS/ICT</v>
      </c>
      <c r="E2590" s="196" t="str">
        <f>IFERROR(__xludf.DUMMYFUNCTION("""COMPUTED_VALUE"""),"ADDTL HYVOLT CLASSROOM EQUIPMENT ")</f>
        <v>ADDTL HYVOLT CLASSROOM EQUIPMENT </v>
      </c>
    </row>
    <row r="2591">
      <c r="A2591" s="234">
        <f>IFERROR(__xludf.DUMMYFUNCTION("""COMPUTED_VALUE"""),102882.0)</f>
        <v>102882</v>
      </c>
      <c r="B2591" s="235" t="str">
        <f>IFERROR(__xludf.DUMMYFUNCTION("""COMPUTED_VALUE"""),"LORRAINE ALMAZAN")</f>
        <v>LORRAINE ALMAZAN</v>
      </c>
      <c r="C2591" s="235" t="str">
        <f>IFERROR(__xludf.DUMMYFUNCTION("""COMPUTED_VALUE"""),"MIS/ICT")</f>
        <v>MIS/ICT</v>
      </c>
      <c r="D2591" s="196" t="str">
        <f>IFERROR(__xludf.DUMMYFUNCTION("""COMPUTED_VALUE"""),"EPSON EB- FH52 (4000 LUMENS) PROJECTOR ")</f>
        <v>EPSON EB- FH52 (4000 LUMENS) PROJECTOR </v>
      </c>
      <c r="E2591" s="196" t="str">
        <f>IFERROR(__xludf.DUMMYFUNCTION("""COMPUTED_VALUE"""),"REPLACEMENT OF OLD AND DEFECTIVE PROJECTOR UNITS FOR BASIC AND COLLEGE")</f>
        <v>REPLACEMENT OF OLD AND DEFECTIVE PROJECTOR UNITS FOR BASIC AND COLLEGE</v>
      </c>
    </row>
    <row r="2592">
      <c r="A2592" s="234">
        <f>IFERROR(__xludf.DUMMYFUNCTION("""COMPUTED_VALUE"""),102883.0)</f>
        <v>102883</v>
      </c>
      <c r="B2592" s="235" t="str">
        <f>IFERROR(__xludf.DUMMYFUNCTION("""COMPUTED_VALUE"""),"LORRAINE ALMAZAN")</f>
        <v>LORRAINE ALMAZAN</v>
      </c>
      <c r="C2592" s="235" t="str">
        <f>IFERROR(__xludf.DUMMYFUNCTION("""COMPUTED_VALUE"""),"MIS/ICT")</f>
        <v>MIS/ICT</v>
      </c>
      <c r="D2592" s="196" t="str">
        <f>IFERROR(__xludf.DUMMYFUNCTION("""COMPUTED_VALUE"""),"EDIFIER  X100 SPEAKERS 10 PCS. VOLT CAMERA : A4 TECH PK925H ")</f>
        <v>EDIFIER  X100 SPEAKERS 10 PCS. VOLT CAMERA : A4 TECH PK925H </v>
      </c>
      <c r="E2592" s="196" t="str">
        <f>IFERROR(__xludf.DUMMYFUNCTION("""COMPUTED_VALUE"""),"ECLASSROOMS SPEAKERS &amp; VOLT CAMERA FOR COLLEGE FACULTY/OFFICERS")</f>
        <v>ECLASSROOMS SPEAKERS &amp; VOLT CAMERA FOR COLLEGE FACULTY/OFFICERS</v>
      </c>
    </row>
    <row r="2593">
      <c r="A2593" s="234">
        <f>IFERROR(__xludf.DUMMYFUNCTION("""COMPUTED_VALUE"""),102884.0)</f>
        <v>102884</v>
      </c>
      <c r="B2593" s="235" t="str">
        <f>IFERROR(__xludf.DUMMYFUNCTION("""COMPUTED_VALUE"""),"LORRAINE ALMAZAN")</f>
        <v>LORRAINE ALMAZAN</v>
      </c>
      <c r="C2593" s="235" t="str">
        <f>IFERROR(__xludf.DUMMYFUNCTION("""COMPUTED_VALUE"""),"MIS/ICT")</f>
        <v>MIS/ICT</v>
      </c>
      <c r="D2593" s="196" t="str">
        <f>IFERROR(__xludf.DUMMYFUNCTION("""COMPUTED_VALUE"""),"14 PCS. CORE I5 SYSTEM UNIT,  MAONA CONFEFERNCE MICHROPHONE 17 PCS")</f>
        <v>14 PCS. CORE I5 SYSTEM UNIT,  MAONA CONFEFERNCE MICHROPHONE 17 PCS</v>
      </c>
      <c r="E2593" s="196" t="str">
        <f>IFERROR(__xludf.DUMMYFUNCTION("""COMPUTED_VALUE"""),"ADDITIONAL HYVOLT CLASSROOM EQUIPMENT")</f>
        <v>ADDITIONAL HYVOLT CLASSROOM EQUIPMENT</v>
      </c>
    </row>
    <row r="2594">
      <c r="A2594" s="234">
        <f>IFERROR(__xludf.DUMMYFUNCTION("""COMPUTED_VALUE"""),102885.0)</f>
        <v>102885</v>
      </c>
      <c r="B2594" s="235" t="str">
        <f>IFERROR(__xludf.DUMMYFUNCTION("""COMPUTED_VALUE"""),"LORRAINE ALMAZAN")</f>
        <v>LORRAINE ALMAZAN</v>
      </c>
      <c r="C2594" s="235" t="str">
        <f>IFERROR(__xludf.DUMMYFUNCTION("""COMPUTED_VALUE"""),"MIS/ICT")</f>
        <v>MIS/ICT</v>
      </c>
      <c r="D2594" s="196" t="str">
        <f>IFERROR(__xludf.DUMMYFUNCTION("""COMPUTED_VALUE"""),"NVISION 19"" MONITOR, VIEWSONIC VA 2215-H FULL HD MONITOR, 10 METERS HDMI CABLE, 15 METERS USB EXTENDER")</f>
        <v>NVISION 19" MONITOR, VIEWSONIC VA 2215-H FULL HD MONITOR, 10 METERS HDMI CABLE, 15 METERS USB EXTENDER</v>
      </c>
      <c r="E2594" s="196" t="str">
        <f>IFERROR(__xludf.DUMMYFUNCTION("""COMPUTED_VALUE"""),"LUX, MUNICH AND ELIZALDE COM LABS REPLACEMENT OF OLD MONITORS AND HEADSETS")</f>
        <v>LUX, MUNICH AND ELIZALDE COM LABS REPLACEMENT OF OLD MONITORS AND HEADSETS</v>
      </c>
    </row>
    <row r="2595">
      <c r="A2595" s="234">
        <f>IFERROR(__xludf.DUMMYFUNCTION("""COMPUTED_VALUE"""),102886.0)</f>
        <v>102886</v>
      </c>
      <c r="B2595" s="235" t="str">
        <f>IFERROR(__xludf.DUMMYFUNCTION("""COMPUTED_VALUE"""),"PENELOPE B. AGUSTIN")</f>
        <v>PENELOPE B. AGUSTIN</v>
      </c>
      <c r="C2595" s="235" t="str">
        <f>IFERROR(__xludf.DUMMYFUNCTION("""COMPUTED_VALUE"""),"MIS/ICT")</f>
        <v>MIS/ICT</v>
      </c>
      <c r="D2595" s="196" t="str">
        <f>IFERROR(__xludf.DUMMYFUNCTION("""COMPUTED_VALUE"""),"CONFIDENTIAL PAYSLIPS 9-1/2"" X 5- 1/2"" 2 PLY")</f>
        <v>CONFIDENTIAL PAYSLIPS 9-1/2" X 5- 1/2" 2 PLY</v>
      </c>
      <c r="E2595" s="196" t="str">
        <f>IFERROR(__xludf.DUMMYFUNCTION("""COMPUTED_VALUE"""),"PAYROLL")</f>
        <v>PAYROLL</v>
      </c>
    </row>
    <row r="2596">
      <c r="A2596" s="234">
        <f>IFERROR(__xludf.DUMMYFUNCTION("""COMPUTED_VALUE"""),102887.0)</f>
        <v>102887</v>
      </c>
      <c r="B2596" s="235" t="str">
        <f>IFERROR(__xludf.DUMMYFUNCTION("""COMPUTED_VALUE"""),"ALFA DE LEON")</f>
        <v>ALFA DE LEON</v>
      </c>
      <c r="C2596" s="235" t="str">
        <f>IFERROR(__xludf.DUMMYFUNCTION("""COMPUTED_VALUE"""),"ADMIN")</f>
        <v>ADMIN</v>
      </c>
      <c r="D2596" s="196" t="str">
        <f>IFERROR(__xludf.DUMMYFUNCTION("""COMPUTED_VALUE"""),"CALCIUM HYPOCHLORIDE")</f>
        <v>CALCIUM HYPOCHLORIDE</v>
      </c>
      <c r="E2596" s="196" t="str">
        <f>IFERROR(__xludf.DUMMYFUNCTION("""COMPUTED_VALUE"""),"MUNICH CISTERN CLEANING SANITATION")</f>
        <v>MUNICH CISTERN CLEANING SANITATION</v>
      </c>
    </row>
    <row r="2597">
      <c r="A2597" s="234">
        <f>IFERROR(__xludf.DUMMYFUNCTION("""COMPUTED_VALUE"""),102888.0)</f>
        <v>102888</v>
      </c>
      <c r="B2597" s="235" t="str">
        <f>IFERROR(__xludf.DUMMYFUNCTION("""COMPUTED_VALUE"""),"ALFA DE LEON")</f>
        <v>ALFA DE LEON</v>
      </c>
      <c r="C2597" s="235" t="str">
        <f>IFERROR(__xludf.DUMMYFUNCTION("""COMPUTED_VALUE"""),"ADMIN")</f>
        <v>ADMIN</v>
      </c>
      <c r="D2597" s="196" t="str">
        <f>IFERROR(__xludf.DUMMYFUNCTION("""COMPUTED_VALUE"""),"WATER HOSE 1/2 1 ROLL")</f>
        <v>WATER HOSE 1/2 1 ROLL</v>
      </c>
      <c r="E2597" s="196" t="str">
        <f>IFERROR(__xludf.DUMMYFUNCTION("""COMPUTED_VALUE"""),"REPLACEMNET OF OLD (BROKEN)")</f>
        <v>REPLACEMNET OF OLD (BROKEN)</v>
      </c>
    </row>
    <row r="2598">
      <c r="A2598" s="234">
        <f>IFERROR(__xludf.DUMMYFUNCTION("""COMPUTED_VALUE"""),102889.0)</f>
        <v>102889</v>
      </c>
      <c r="B2598" s="235" t="str">
        <f>IFERROR(__xludf.DUMMYFUNCTION("""COMPUTED_VALUE"""),"LORRAINE ALMAZAN")</f>
        <v>LORRAINE ALMAZAN</v>
      </c>
      <c r="C2598" s="235" t="str">
        <f>IFERROR(__xludf.DUMMYFUNCTION("""COMPUTED_VALUE"""),"MIS/ICT")</f>
        <v>MIS/ICT</v>
      </c>
      <c r="D2598" s="196" t="str">
        <f>IFERROR(__xludf.DUMMYFUNCTION("""COMPUTED_VALUE"""),"1 ROLL OF EXTENSION WIRE (150M), 4 GANG OUTLET, MALE PLUG")</f>
        <v>1 ROLL OF EXTENSION WIRE (150M), 4 GANG OUTLET, MALE PLUG</v>
      </c>
      <c r="E2598" s="196" t="str">
        <f>IFERROR(__xludf.DUMMYFUNCTION("""COMPUTED_VALUE"""),"ADDTL HYVOLT CLASSROOMS EQUIPMENT")</f>
        <v>ADDTL HYVOLT CLASSROOMS EQUIPMENT</v>
      </c>
    </row>
    <row r="2599">
      <c r="A2599" s="234">
        <f>IFERROR(__xludf.DUMMYFUNCTION("""COMPUTED_VALUE"""),102890.0)</f>
        <v>102890</v>
      </c>
      <c r="B2599" s="235" t="str">
        <f>IFERROR(__xludf.DUMMYFUNCTION("""COMPUTED_VALUE"""),"LORRAINE ALMAZAN ")</f>
        <v>LORRAINE ALMAZAN </v>
      </c>
      <c r="C2599" s="235" t="str">
        <f>IFERROR(__xludf.DUMMYFUNCTION("""COMPUTED_VALUE"""),"MIS/ICT")</f>
        <v>MIS/ICT</v>
      </c>
      <c r="D2599" s="196" t="str">
        <f>IFERROR(__xludf.DUMMYFUNCTION("""COMPUTED_VALUE"""),"A4 TECH PK940HA WEB CAMERA")</f>
        <v>A4 TECH PK940HA WEB CAMERA</v>
      </c>
      <c r="E2599" s="196" t="str">
        <f>IFERROR(__xludf.DUMMYFUNCTION("""COMPUTED_VALUE"""),"ADDTL HYVOLT  CLASSROOMS EQUIPMENT")</f>
        <v>ADDTL HYVOLT  CLASSROOMS EQUIPMENT</v>
      </c>
    </row>
    <row r="2600">
      <c r="A2600" s="234">
        <f>IFERROR(__xludf.DUMMYFUNCTION("""COMPUTED_VALUE"""),102891.0)</f>
        <v>102891</v>
      </c>
      <c r="B2600" s="235" t="str">
        <f>IFERROR(__xludf.DUMMYFUNCTION("""COMPUTED_VALUE"""),"LORRAINE ALMAZAN ")</f>
        <v>LORRAINE ALMAZAN </v>
      </c>
      <c r="C2600" s="235" t="str">
        <f>IFERROR(__xludf.DUMMYFUNCTION("""COMPUTED_VALUE"""),"MIS/ICT")</f>
        <v>MIS/ICT</v>
      </c>
      <c r="D2600" s="196" t="str">
        <f>IFERROR(__xludf.DUMMYFUNCTION("""COMPUTED_VALUE"""),"TCL 55"" SMART ANDROID TV 55P736")</f>
        <v>TCL 55" SMART ANDROID TV 55P736</v>
      </c>
      <c r="E2600" s="196" t="str">
        <f>IFERROR(__xludf.DUMMYFUNCTION("""COMPUTED_VALUE"""),"ADDTL HYVOLT  CLASSROOMS EQUIPMENT")</f>
        <v>ADDTL HYVOLT  CLASSROOMS EQUIPMENT</v>
      </c>
    </row>
    <row r="2601">
      <c r="A2601" s="234">
        <f>IFERROR(__xludf.DUMMYFUNCTION("""COMPUTED_VALUE"""),102892.0)</f>
        <v>102892</v>
      </c>
      <c r="B2601" s="235" t="str">
        <f>IFERROR(__xludf.DUMMYFUNCTION("""COMPUTED_VALUE"""),"ADRIAN VELA ")</f>
        <v>ADRIAN VELA </v>
      </c>
      <c r="C2601" s="235" t="str">
        <f>IFERROR(__xludf.DUMMYFUNCTION("""COMPUTED_VALUE"""),"TAYLOR CENTER (TCPD)")</f>
        <v>TAYLOR CENTER (TCPD)</v>
      </c>
      <c r="D2601" s="196" t="str">
        <f>IFERROR(__xludf.DUMMYFUNCTION("""COMPUTED_VALUE"""),"TV TCL UHD 65P615, 65-INCH, 4K ULTRA HD ANDROID TV SKU# 178627, BRICK ROOKIE TV STAND")</f>
        <v>TV TCL UHD 65P615, 65-INCH, 4K ULTRA HD ANDROID TV SKU# 178627, BRICK ROOKIE TV STAND</v>
      </c>
      <c r="E2601" s="196" t="str">
        <f>IFERROR(__xludf.DUMMYFUNCTION("""COMPUTED_VALUE"""),"REPLACEMENT FOR THE PROJECTOR IN TRAINING AREA")</f>
        <v>REPLACEMENT FOR THE PROJECTOR IN TRAINING AREA</v>
      </c>
    </row>
    <row r="2602">
      <c r="A2602" s="234">
        <f>IFERROR(__xludf.DUMMYFUNCTION("""COMPUTED_VALUE"""),102893.0)</f>
        <v>102893</v>
      </c>
      <c r="B2602" s="235" t="str">
        <f>IFERROR(__xludf.DUMMYFUNCTION("""COMPUTED_VALUE"""),"SHEREE ESPINOSA ")</f>
        <v>SHEREE ESPINOSA </v>
      </c>
      <c r="C2602" s="235" t="str">
        <f>IFERROR(__xludf.DUMMYFUNCTION("""COMPUTED_VALUE"""),"ADMIN")</f>
        <v>ADMIN</v>
      </c>
      <c r="D2602" s="196" t="str">
        <f>IFERROR(__xludf.DUMMYFUNCTION("""COMPUTED_VALUE"""),"EXECUTIVE TABLE ")</f>
        <v>EXECUTIVE TABLE </v>
      </c>
      <c r="E2602" s="196" t="str">
        <f>IFERROR(__xludf.DUMMYFUNCTION("""COMPUTED_VALUE"""),"FOR PRESIDENT'S OFFICE")</f>
        <v>FOR PRESIDENT'S OFFICE</v>
      </c>
    </row>
    <row r="2603">
      <c r="A2603" s="234">
        <f>IFERROR(__xludf.DUMMYFUNCTION("""COMPUTED_VALUE"""),102894.0)</f>
        <v>102894</v>
      </c>
      <c r="B2603" s="235" t="str">
        <f>IFERROR(__xludf.DUMMYFUNCTION("""COMPUTED_VALUE"""),"ANGELO PARAS")</f>
        <v>ANGELO PARAS</v>
      </c>
      <c r="C2603" s="235" t="str">
        <f>IFERROR(__xludf.DUMMYFUNCTION("""COMPUTED_VALUE"""),"SCIENCE LAB BASIC ED.")</f>
        <v>SCIENCE LAB BASIC ED.</v>
      </c>
      <c r="D2603" s="196" t="str">
        <f>IFERROR(__xludf.DUMMYFUNCTION("""COMPUTED_VALUE"""),"10 BOTTLES HYDROGEN PEROXIDE, 1000 ML ACETONE (LIQUID), 1 KG MAGNESIUM SULFATE/EPSOM SALT, 1 KG SULFUR POWDER, 1 KG ZINC SULFATE (POWDER), 250 ML METHYLENE BLUE, LIQUID (SOLID OK), 150 G POTASSIUM PERMANGANATE, SOLI, 1 KG SODIUM CHLORIDE, SOLID, 500IRON S"&amp;"ULFATE, 100 ML PHENOLPHYHALEN, LIQUID OR SOLID")</f>
        <v>10 BOTTLES HYDROGEN PEROXIDE, 1000 ML ACETONE (LIQUID), 1 KG MAGNESIUM SULFATE/EPSOM SALT, 1 KG SULFUR POWDER, 1 KG ZINC SULFATE (POWDER), 250 ML METHYLENE BLUE, LIQUID (SOLID OK), 150 G POTASSIUM PERMANGANATE, SOLI, 1 KG SODIUM CHLORIDE, SOLID, 500IRON SULFATE, 100 ML PHENOLPHYHALEN, LIQUID OR SOLID</v>
      </c>
      <c r="E2603" s="196" t="str">
        <f>IFERROR(__xludf.DUMMYFUNCTION("""COMPUTED_VALUE"""),"CHEMICALS FOR USE IN EXPERIMENTS")</f>
        <v>CHEMICALS FOR USE IN EXPERIMENTS</v>
      </c>
    </row>
    <row r="2604">
      <c r="A2604" s="234">
        <f>IFERROR(__xludf.DUMMYFUNCTION("""COMPUTED_VALUE"""),102895.0)</f>
        <v>102895</v>
      </c>
      <c r="B2604" s="235" t="str">
        <f>IFERROR(__xludf.DUMMYFUNCTION("""COMPUTED_VALUE"""),"SHEREE ESPINOSA")</f>
        <v>SHEREE ESPINOSA</v>
      </c>
      <c r="C2604" s="235" t="str">
        <f>IFERROR(__xludf.DUMMYFUNCTION("""COMPUTED_VALUE"""),"ANTEL")</f>
        <v>ANTEL</v>
      </c>
      <c r="D2604" s="196" t="str">
        <f>IFERROR(__xludf.DUMMYFUNCTION("""COMPUTED_VALUE"""),"PLANTS- CONO CORPUZ, EUGENIA, BANABA TREE")</f>
        <v>PLANTS- CONO CORPUZ, EUGENIA, BANABA TREE</v>
      </c>
      <c r="E2604" s="196" t="str">
        <f>IFERROR(__xludf.DUMMYFUNCTION("""COMPUTED_VALUE"""),"FOR SMIS ANTEL LANDSCAPING")</f>
        <v>FOR SMIS ANTEL LANDSCAPING</v>
      </c>
    </row>
    <row r="2605">
      <c r="A2605" s="234">
        <f>IFERROR(__xludf.DUMMYFUNCTION("""COMPUTED_VALUE"""),102896.0)</f>
        <v>102896</v>
      </c>
      <c r="B2605" s="235" t="str">
        <f>IFERROR(__xludf.DUMMYFUNCTION("""COMPUTED_VALUE"""),"SHEREE ESPINOSA")</f>
        <v>SHEREE ESPINOSA</v>
      </c>
      <c r="C2605" s="235" t="str">
        <f>IFERROR(__xludf.DUMMYFUNCTION("""COMPUTED_VALUE"""),"ANTEL")</f>
        <v>ANTEL</v>
      </c>
      <c r="D2605" s="196" t="str">
        <f>IFERROR(__xludf.DUMMYFUNCTION("""COMPUTED_VALUE"""),"GARDEN SOIL")</f>
        <v>GARDEN SOIL</v>
      </c>
      <c r="E2605" s="196" t="str">
        <f>IFERROR(__xludf.DUMMYFUNCTION("""COMPUTED_VALUE"""),"FOR SMIS ANTEL LANDSCAPING")</f>
        <v>FOR SMIS ANTEL LANDSCAPING</v>
      </c>
    </row>
    <row r="2606">
      <c r="A2606" s="234">
        <f>IFERROR(__xludf.DUMMYFUNCTION("""COMPUTED_VALUE"""),102897.0)</f>
        <v>102897</v>
      </c>
      <c r="B2606" s="235" t="str">
        <f>IFERROR(__xludf.DUMMYFUNCTION("""COMPUTED_VALUE"""),"OWIE PAR")</f>
        <v>OWIE PAR</v>
      </c>
      <c r="C2606" s="235" t="str">
        <f>IFERROR(__xludf.DUMMYFUNCTION("""COMPUTED_VALUE"""),"ENGINEERING")</f>
        <v>ENGINEERING</v>
      </c>
      <c r="D2606" s="196" t="str">
        <f>IFERROR(__xludf.DUMMYFUNCTION("""COMPUTED_VALUE"""),"1.5"" X 30 METERS FIRE HOSE")</f>
        <v>1.5" X 30 METERS FIRE HOSE</v>
      </c>
      <c r="E2606" s="196" t="str">
        <f>IFERROR(__xludf.DUMMYFUNCTION("""COMPUTED_VALUE"""),"FOR FIRE HOSE CABINETS MUNICH, COLLEGE AND TROPICAL ")</f>
        <v>FOR FIRE HOSE CABINETS MUNICH, COLLEGE AND TROPICAL </v>
      </c>
    </row>
    <row r="2607">
      <c r="A2607" s="234">
        <f>IFERROR(__xludf.DUMMYFUNCTION("""COMPUTED_VALUE"""),102898.0)</f>
        <v>102898</v>
      </c>
      <c r="B2607" s="235" t="str">
        <f>IFERROR(__xludf.DUMMYFUNCTION("""COMPUTED_VALUE"""),"CAROL LACERNA")</f>
        <v>CAROL LACERNA</v>
      </c>
      <c r="C2607" s="235" t="str">
        <f>IFERROR(__xludf.DUMMYFUNCTION("""COMPUTED_VALUE"""),"ABU")</f>
        <v>ABU</v>
      </c>
      <c r="D2607" s="196" t="str">
        <f>IFERROR(__xludf.DUMMYFUNCTION("""COMPUTED_VALUE"""),"RUBBER CASTER # 3, G1 PIPE 3/4 X 6 METERS SCHEDULE 40, CUTTING DISC #4, EPOXY PRIMER GRAY, PAINT BRUSH 1 1/2"" LACQUER THINNER, DRAWER GUIDE # 12""")</f>
        <v>RUBBER CASTER # 3, G1 PIPE 3/4 X 6 METERS SCHEDULE 40, CUTTING DISC #4, EPOXY PRIMER GRAY, PAINT BRUSH 1 1/2" LACQUER THINNER, DRAWER GUIDE # 12"</v>
      </c>
      <c r="E2607" s="196" t="str">
        <f>IFERROR(__xludf.DUMMYFUNCTION("""COMPUTED_VALUE"""),"PM IN STUFFSHOP")</f>
        <v>PM IN STUFFSHOP</v>
      </c>
    </row>
    <row r="2608">
      <c r="A2608" s="234">
        <f>IFERROR(__xludf.DUMMYFUNCTION("""COMPUTED_VALUE"""),102899.0)</f>
        <v>102899</v>
      </c>
      <c r="B2608" s="235" t="str">
        <f>IFERROR(__xludf.DUMMYFUNCTION("""COMPUTED_VALUE"""),"OWIE PAR/TIM DIOSAY")</f>
        <v>OWIE PAR/TIM DIOSAY</v>
      </c>
      <c r="C2608" s="235" t="str">
        <f>IFERROR(__xludf.DUMMYFUNCTION("""COMPUTED_VALUE"""),"ADMIN")</f>
        <v>ADMIN</v>
      </c>
      <c r="D2608" s="196" t="str">
        <f>IFERROR(__xludf.DUMMYFUNCTION("""COMPUTED_VALUE"""),"TYCO 10 (PERFORMANCE IN LIGHTING) W/ 12V LED DRIVER")</f>
        <v>TYCO 10 (PERFORMANCE IN LIGHTING) W/ 12V LED DRIVER</v>
      </c>
      <c r="E2608" s="196" t="str">
        <f>IFERROR(__xludf.DUMMYFUNCTION("""COMPUTED_VALUE"""),"LIGHTING FIXTURE FOR WATER FEATURE (12V)")</f>
        <v>LIGHTING FIXTURE FOR WATER FEATURE (12V)</v>
      </c>
    </row>
    <row r="2609">
      <c r="A2609" s="234">
        <f>IFERROR(__xludf.DUMMYFUNCTION("""COMPUTED_VALUE"""),102900.0)</f>
        <v>102900</v>
      </c>
      <c r="B2609" s="235" t="str">
        <f>IFERROR(__xludf.DUMMYFUNCTION("""COMPUTED_VALUE"""),"LUCILLE BEYER")</f>
        <v>LUCILLE BEYER</v>
      </c>
      <c r="C2609" s="235" t="str">
        <f>IFERROR(__xludf.DUMMYFUNCTION("""COMPUTED_VALUE"""),"ADMIN")</f>
        <v>ADMIN</v>
      </c>
      <c r="D2609" s="196" t="str">
        <f>IFERROR(__xludf.DUMMYFUNCTION("""COMPUTED_VALUE"""),"MEDICINES FOR CLINIC (SEE ATTACHEMENT)")</f>
        <v>MEDICINES FOR CLINIC (SEE ATTACHEMENT)</v>
      </c>
      <c r="E2609" s="196" t="str">
        <f>IFERROR(__xludf.DUMMYFUNCTION("""COMPUTED_VALUE"""),"REPLENISHMENTS OF CLINIC MEDICINES AND SUPPLIES FOR THE MONTH OF OCT OBER TO NOVEMBER ")</f>
        <v>REPLENISHMENTS OF CLINIC MEDICINES AND SUPPLIES FOR THE MONTH OF OCT OBER TO NOVEMBER </v>
      </c>
    </row>
    <row r="2610">
      <c r="A2610" s="234">
        <f>IFERROR(__xludf.DUMMYFUNCTION("""COMPUTED_VALUE"""),102901.0)</f>
        <v>102901</v>
      </c>
      <c r="B2610" s="235" t="str">
        <f>IFERROR(__xludf.DUMMYFUNCTION("""COMPUTED_VALUE"""),"ELMIE LAUDITO")</f>
        <v>ELMIE LAUDITO</v>
      </c>
      <c r="C2610" s="235" t="str">
        <f>IFERROR(__xludf.DUMMYFUNCTION("""COMPUTED_VALUE"""),"HRMD")</f>
        <v>HRMD</v>
      </c>
      <c r="D2610" s="196" t="str">
        <f>IFERROR(__xludf.DUMMYFUNCTION("""COMPUTED_VALUE"""),"FLOWER WREATH  (HOLY TRINITY CHAPEL)")</f>
        <v>FLOWER WREATH  (HOLY TRINITY CHAPEL)</v>
      </c>
      <c r="E2610" s="196" t="str">
        <f>IFERROR(__xludf.DUMMYFUNCTION("""COMPUTED_VALUE"""),"FLOWER WREATH FOR THE MOTHER OF HANNA STO. DOMINGO")</f>
        <v>FLOWER WREATH FOR THE MOTHER OF HANNA STO. DOMINGO</v>
      </c>
    </row>
    <row r="2611">
      <c r="A2611" s="234">
        <f>IFERROR(__xludf.DUMMYFUNCTION("""COMPUTED_VALUE"""),102902.0)</f>
        <v>102902</v>
      </c>
      <c r="B2611" s="235" t="str">
        <f>IFERROR(__xludf.DUMMYFUNCTION("""COMPUTED_VALUE"""),"CHRISTIAN S. ANDRES ")</f>
        <v>CHRISTIAN S. ANDRES </v>
      </c>
      <c r="C2611" s="235" t="str">
        <f>IFERROR(__xludf.DUMMYFUNCTION("""COMPUTED_VALUE"""),"PR &amp; MARKETING")</f>
        <v>PR &amp; MARKETING</v>
      </c>
      <c r="D2611" s="196" t="str">
        <f>IFERROR(__xludf.DUMMYFUNCTION("""COMPUTED_VALUE"""),"TARPAULIN , 12.2"" X 4.3"" FEET -SOUTHVILLE OPEN HOUSE EVENT BANNER FOR HALLOWEEN, WITH EYELET ALL OVER W/ SEAMING AND BLACK OUT")</f>
        <v>TARPAULIN , 12.2" X 4.3" FEET -SOUTHVILLE OPEN HOUSE EVENT BANNER FOR HALLOWEEN, WITH EYELET ALL OVER W/ SEAMING AND BLACK OUT</v>
      </c>
      <c r="E2611" s="196" t="str">
        <f>IFERROR(__xludf.DUMMYFUNCTION("""COMPUTED_VALUE"""),"MARKETING FOR OPEN HOUSE ")</f>
        <v>MARKETING FOR OPEN HOUSE </v>
      </c>
    </row>
    <row r="2612">
      <c r="A2612" s="234">
        <f>IFERROR(__xludf.DUMMYFUNCTION("""COMPUTED_VALUE"""),102903.0)</f>
        <v>102903</v>
      </c>
      <c r="B2612" s="235" t="str">
        <f>IFERROR(__xludf.DUMMYFUNCTION("""COMPUTED_VALUE"""),"JOMEL BUTIAL")</f>
        <v>JOMEL BUTIAL</v>
      </c>
      <c r="C2612" s="235" t="str">
        <f>IFERROR(__xludf.DUMMYFUNCTION("""COMPUTED_VALUE"""),"AMD")</f>
        <v>AMD</v>
      </c>
      <c r="D2612" s="196" t="str">
        <f>IFERROR(__xludf.DUMMYFUNCTION("""COMPUTED_VALUE"""),"FLANELLA BLUE - 500PCS
FLANELLA PINK - 500 PCS
FLANELLA YELLOW - 500 PCS")</f>
        <v>FLANELLA BLUE - 500PCS
FLANELLA PINK - 500 PCS
FLANELLA YELLOW - 500 PCS</v>
      </c>
      <c r="E2612" s="196" t="str">
        <f>IFERROR(__xludf.DUMMYFUNCTION("""COMPUTED_VALUE"""),"HOUSEKEEPING REPLENISHMENT")</f>
        <v>HOUSEKEEPING REPLENISHMENT</v>
      </c>
    </row>
    <row r="2613">
      <c r="A2613" s="234">
        <f>IFERROR(__xludf.DUMMYFUNCTION("""COMPUTED_VALUE"""),102904.0)</f>
        <v>102904</v>
      </c>
      <c r="B2613" s="235" t="str">
        <f>IFERROR(__xludf.DUMMYFUNCTION("""COMPUTED_VALUE"""),"JOMEL BUTIAL")</f>
        <v>JOMEL BUTIAL</v>
      </c>
      <c r="C2613" s="235" t="str">
        <f>IFERROR(__xludf.DUMMYFUNCTION("""COMPUTED_VALUE"""),"AMD")</f>
        <v>AMD</v>
      </c>
      <c r="D2613" s="196" t="str">
        <f>IFERROR(__xludf.DUMMYFUNCTION("""COMPUTED_VALUE"""),"CHAMOIS RUBBER - 100 PCS
TOILET PUMP - 40 PCS
TOILET BOWL BRUSH - 50 PCS
LIQUID HAND SOAP LEMON SCENT (YELLOW) - 20 PCS
BOWL CARE - 20 PCS
HAND SOAP - 20 PCS
DUST PAN - 50 PCS
STRIPPER PAD BLACK (3M) - 20 PCS
STRPPER PAD WHITE (3M) - 20 PCS
TRASHBAG YELLO"&amp;"W SMALL - 20 PCS
TRASHBAG YELLOW MEDIU - 20PCS")</f>
        <v>CHAMOIS RUBBER - 100 PCS
TOILET PUMP - 40 PCS
TOILET BOWL BRUSH - 50 PCS
LIQUID HAND SOAP LEMON SCENT (YELLOW) - 20 PCS
BOWL CARE - 20 PCS
HAND SOAP - 20 PCS
DUST PAN - 50 PCS
STRIPPER PAD BLACK (3M) - 20 PCS
STRPPER PAD WHITE (3M) - 20 PCS
TRASHBAG YELLOW SMALL - 20 PCS
TRASHBAG YELLOW MEDIU - 20PCS</v>
      </c>
      <c r="E2613" s="196" t="str">
        <f>IFERROR(__xludf.DUMMYFUNCTION("""COMPUTED_VALUE"""),"HOUSEKEEPING REPLENISHMENT")</f>
        <v>HOUSEKEEPING REPLENISHMENT</v>
      </c>
    </row>
    <row r="2614">
      <c r="A2614" s="234">
        <f>IFERROR(__xludf.DUMMYFUNCTION("""COMPUTED_VALUE"""),102905.0)</f>
        <v>102905</v>
      </c>
      <c r="B2614" s="235" t="str">
        <f>IFERROR(__xludf.DUMMYFUNCTION("""COMPUTED_VALUE"""),"JOMEL BUTIAL")</f>
        <v>JOMEL BUTIAL</v>
      </c>
      <c r="C2614" s="235" t="str">
        <f>IFERROR(__xludf.DUMMYFUNCTION("""COMPUTED_VALUE"""),"AMD")</f>
        <v>AMD</v>
      </c>
      <c r="D2614" s="196" t="str">
        <f>IFERROR(__xludf.DUMMYFUNCTION("""COMPUTED_VALUE"""),"TRASHBAG SMALL CLEAR - 50 PCS
TRASHBAG MEDIUM CLEAR - 50 PCS
TRASHBAG LARGE CLEAR - 50 PCS
TRASHBAG XLARGE CLEAR - 50 PCS")</f>
        <v>TRASHBAG SMALL CLEAR - 50 PCS
TRASHBAG MEDIUM CLEAR - 50 PCS
TRASHBAG LARGE CLEAR - 50 PCS
TRASHBAG XLARGE CLEAR - 50 PCS</v>
      </c>
      <c r="E2614" s="196" t="str">
        <f>IFERROR(__xludf.DUMMYFUNCTION("""COMPUTED_VALUE"""),"HOUSEKEEPING REPLENISHMENT")</f>
        <v>HOUSEKEEPING REPLENISHMENT</v>
      </c>
    </row>
    <row r="2615">
      <c r="A2615" s="234">
        <f>IFERROR(__xludf.DUMMYFUNCTION("""COMPUTED_VALUE"""),102906.0)</f>
        <v>102906</v>
      </c>
      <c r="B2615" s="235" t="str">
        <f>IFERROR(__xludf.DUMMYFUNCTION("""COMPUTED_VALUE"""),"JOMEL BUTIAL")</f>
        <v>JOMEL BUTIAL</v>
      </c>
      <c r="C2615" s="235" t="str">
        <f>IFERROR(__xludf.DUMMYFUNCTION("""COMPUTED_VALUE"""),"AMD")</f>
        <v>AMD</v>
      </c>
      <c r="D2615" s="196" t="str">
        <f>IFERROR(__xludf.DUMMYFUNCTION("""COMPUTED_VALUE"""),"SWEET SENSASTION - 30 PCS
ECOLUTION DISENFECTANT - 10PCS
STATE LIME SOLVENT - 10PCS")</f>
        <v>SWEET SENSASTION - 30 PCS
ECOLUTION DISENFECTANT - 10PCS
STATE LIME SOLVENT - 10PCS</v>
      </c>
      <c r="E2615" s="196" t="str">
        <f>IFERROR(__xludf.DUMMYFUNCTION("""COMPUTED_VALUE"""),"HOUSEKEEPING REPLENISHMENT")</f>
        <v>HOUSEKEEPING REPLENISHMENT</v>
      </c>
    </row>
    <row r="2616">
      <c r="A2616" s="234">
        <f>IFERROR(__xludf.DUMMYFUNCTION("""COMPUTED_VALUE"""),102907.0)</f>
        <v>102907</v>
      </c>
      <c r="B2616" s="235" t="str">
        <f>IFERROR(__xludf.DUMMYFUNCTION("""COMPUTED_VALUE"""),"JOMEL BUTIAL")</f>
        <v>JOMEL BUTIAL</v>
      </c>
      <c r="C2616" s="235" t="str">
        <f>IFERROR(__xludf.DUMMYFUNCTION("""COMPUTED_VALUE"""),"AMD")</f>
        <v>AMD</v>
      </c>
      <c r="D2616" s="196" t="str">
        <f>IFERROR(__xludf.DUMMYFUNCTION("""COMPUTED_VALUE"""),"CHAMPION 800G CITRUS - 100PCS
CARTRIDGE SEALANT - 20 PCS
FABRIC CONITIONER DEL (PURPLE) - 20 PCS")</f>
        <v>CHAMPION 800G CITRUS - 100PCS
CARTRIDGE SEALANT - 20 PCS
FABRIC CONITIONER DEL (PURPLE) - 20 PCS</v>
      </c>
      <c r="E2616" s="196" t="str">
        <f>IFERROR(__xludf.DUMMYFUNCTION("""COMPUTED_VALUE"""),"HOUSEKEEPING REPLENISHMENT")</f>
        <v>HOUSEKEEPING REPLENISHMENT</v>
      </c>
    </row>
    <row r="2617">
      <c r="A2617" s="234">
        <f>IFERROR(__xludf.DUMMYFUNCTION("""COMPUTED_VALUE"""),102908.0)</f>
        <v>102908</v>
      </c>
      <c r="B2617" s="235" t="str">
        <f>IFERROR(__xludf.DUMMYFUNCTION("""COMPUTED_VALUE"""),"SARY ESCUREL ")</f>
        <v>SARY ESCUREL </v>
      </c>
      <c r="C2617" s="235" t="str">
        <f>IFERROR(__xludf.DUMMYFUNCTION("""COMPUTED_VALUE"""),"PRINCIPAL'S OFFICE")</f>
        <v>PRINCIPAL'S OFFICE</v>
      </c>
      <c r="D2617" s="196" t="str">
        <f>IFERROR(__xludf.DUMMYFUNCTION("""COMPUTED_VALUE"""),"CALLING CARDS")</f>
        <v>CALLING CARDS</v>
      </c>
      <c r="E2617" s="196" t="str">
        <f>IFERROR(__xludf.DUMMYFUNCTION("""COMPUTED_VALUE"""),"FOR DR. AVIC'S USE ")</f>
        <v>FOR DR. AVIC'S USE </v>
      </c>
    </row>
    <row r="2618">
      <c r="A2618" s="234">
        <f>IFERROR(__xludf.DUMMYFUNCTION("""COMPUTED_VALUE"""),102909.0)</f>
        <v>102909</v>
      </c>
      <c r="B2618" s="235" t="str">
        <f>IFERROR(__xludf.DUMMYFUNCTION("""COMPUTED_VALUE"""),"SHEREE ESPINOSA ")</f>
        <v>SHEREE ESPINOSA </v>
      </c>
      <c r="C2618" s="235" t="str">
        <f>IFERROR(__xludf.DUMMYFUNCTION("""COMPUTED_VALUE"""),"ADMIN")</f>
        <v>ADMIN</v>
      </c>
      <c r="D2618" s="196" t="str">
        <f>IFERROR(__xludf.DUMMYFUNCTION("""COMPUTED_VALUE"""),"KRI TARPAULINE FOR G6-9, GRADE 10, GRADE 11-12")</f>
        <v>KRI TARPAULINE FOR G6-9, GRADE 10, GRADE 11-12</v>
      </c>
      <c r="E2618" s="196" t="str">
        <f>IFERROR(__xludf.DUMMYFUNCTION("""COMPUTED_VALUE"""),"FOR ALL BED CLASSROOMS ")</f>
        <v>FOR ALL BED CLASSROOMS </v>
      </c>
    </row>
    <row r="2619">
      <c r="A2619" s="234">
        <f>IFERROR(__xludf.DUMMYFUNCTION("""COMPUTED_VALUE"""),102910.0)</f>
        <v>102910</v>
      </c>
      <c r="B2619" s="235" t="str">
        <f>IFERROR(__xludf.DUMMYFUNCTION("""COMPUTED_VALUE"""),"PRECIOUS DALUZ")</f>
        <v>PRECIOUS DALUZ</v>
      </c>
      <c r="C2619" s="235" t="str">
        <f>IFERROR(__xludf.DUMMYFUNCTION("""COMPUTED_VALUE"""),"SPECIAL SUBJECTS")</f>
        <v>SPECIAL SUBJECTS</v>
      </c>
      <c r="D2619" s="196" t="str">
        <f>IFERROR(__xludf.DUMMYFUNCTION("""COMPUTED_VALUE"""),"SPOON, FORK, KNIFE HOLDER, TISSUE HOLDER-PIGGY DESIGN, PEEKABOO/ABSTRACT LAMP SAHDE WITH ELECTRICAL DEVICES, HEAVY-DUTY EXTENSION CORD ASSEMBLY  (4-GANG OUTLET OMNI UNIVERSAL PLUG AND #18 FLAT CORD - 3 METERS) - transfer the Tropical Palms")</f>
        <v>SPOON, FORK, KNIFE HOLDER, TISSUE HOLDER-PIGGY DESIGN, PEEKABOO/ABSTRACT LAMP SAHDE WITH ELECTRICAL DEVICES, HEAVY-DUTY EXTENSION CORD ASSEMBLY  (4-GANG OUTLET OMNI UNIVERSAL PLUG AND #18 FLAT CORD - 3 METERS) - transfer the Tropical Palms</v>
      </c>
      <c r="E2619" s="196" t="str">
        <f>IFERROR(__xludf.DUMMYFUNCTION("""COMPUTED_VALUE"""),"KITS FOR TECH ARTS CLASSES")</f>
        <v>KITS FOR TECH ARTS CLASSES</v>
      </c>
    </row>
    <row r="2620">
      <c r="A2620" s="234">
        <f>IFERROR(__xludf.DUMMYFUNCTION("""COMPUTED_VALUE"""),102911.0)</f>
        <v>102911</v>
      </c>
      <c r="B2620" s="235" t="str">
        <f>IFERROR(__xludf.DUMMYFUNCTION("""COMPUTED_VALUE"""),"PHEN PETIN")</f>
        <v>PHEN PETIN</v>
      </c>
      <c r="C2620" s="235" t="str">
        <f>IFERROR(__xludf.DUMMYFUNCTION("""COMPUTED_VALUE"""),"ADMIN - STAR")</f>
        <v>ADMIN - STAR</v>
      </c>
      <c r="D2620" s="196" t="str">
        <f>IFERROR(__xludf.DUMMYFUNCTION("""COMPUTED_VALUE"""),"KARATE (RE-ORDER), 1 BOTTLE")</f>
        <v>KARATE (RE-ORDER), 1 BOTTLE</v>
      </c>
      <c r="E2620" s="196" t="str">
        <f>IFERROR(__xludf.DUMMYFUNCTION("""COMPUTED_VALUE"""),"FOR STAR CAMPUS GARDEN")</f>
        <v>FOR STAR CAMPUS GARDEN</v>
      </c>
    </row>
    <row r="2621">
      <c r="A2621" s="234">
        <f>IFERROR(__xludf.DUMMYFUNCTION("""COMPUTED_VALUE"""),102912.0)</f>
        <v>102912</v>
      </c>
      <c r="B2621" s="235" t="str">
        <f>IFERROR(__xludf.DUMMYFUNCTION("""COMPUTED_VALUE"""),"OWIE PAR")</f>
        <v>OWIE PAR</v>
      </c>
      <c r="C2621" s="235" t="str">
        <f>IFERROR(__xludf.DUMMYFUNCTION("""COMPUTED_VALUE"""),"HOUSEKEEPING")</f>
        <v>HOUSEKEEPING</v>
      </c>
      <c r="D2621" s="196" t="str">
        <f>IFERROR(__xludf.DUMMYFUNCTION("""COMPUTED_VALUE"""),"SAFETY HUSH #2 7 PCS. ")</f>
        <v>SAFETY HUSH #2 7 PCS. </v>
      </c>
      <c r="E2621" s="196" t="str">
        <f>IFERROR(__xludf.DUMMYFUNCTION("""COMPUTED_VALUE"""),"FOR CHEMICAL CABINET")</f>
        <v>FOR CHEMICAL CABINET</v>
      </c>
    </row>
    <row r="2622">
      <c r="A2622" s="234">
        <f>IFERROR(__xludf.DUMMYFUNCTION("""COMPUTED_VALUE"""),102913.0)</f>
        <v>102913</v>
      </c>
      <c r="B2622" s="235" t="str">
        <f>IFERROR(__xludf.DUMMYFUNCTION("""COMPUTED_VALUE"""),"PHEN PETIN ")</f>
        <v>PHEN PETIN </v>
      </c>
      <c r="C2622" s="235" t="str">
        <f>IFERROR(__xludf.DUMMYFUNCTION("""COMPUTED_VALUE"""),"ADMIN - STAR")</f>
        <v>ADMIN - STAR</v>
      </c>
      <c r="D2622" s="196" t="str">
        <f>IFERROR(__xludf.DUMMYFUNCTION("""COMPUTED_VALUE"""),"EXHAUST FAN (SIZE 8"") COLOR WHITE BRAND: 3D 4 PCS. ")</f>
        <v>EXHAUST FAN (SIZE 8") COLOR WHITE BRAND: 3D 4 PCS. </v>
      </c>
      <c r="E2622" s="196" t="str">
        <f>IFERROR(__xludf.DUMMYFUNCTION("""COMPUTED_VALUE"""),"REPLACEMENT OF THE OLD &amp; NOT FUNCTIONING UNIT IN THE BASEMENT AND GUEST RESTROOM. ")</f>
        <v>REPLACEMENT OF THE OLD &amp; NOT FUNCTIONING UNIT IN THE BASEMENT AND GUEST RESTROOM. </v>
      </c>
    </row>
    <row r="2623">
      <c r="A2623" s="234">
        <f>IFERROR(__xludf.DUMMYFUNCTION("""COMPUTED_VALUE"""),102914.0)</f>
        <v>102914</v>
      </c>
      <c r="B2623" s="235" t="str">
        <f>IFERROR(__xludf.DUMMYFUNCTION("""COMPUTED_VALUE"""),"ALFA DE LEON")</f>
        <v>ALFA DE LEON</v>
      </c>
      <c r="C2623" s="235" t="str">
        <f>IFERROR(__xludf.DUMMYFUNCTION("""COMPUTED_VALUE"""),"ADMIN - MUNICH")</f>
        <v>ADMIN - MUNICH</v>
      </c>
      <c r="D2623" s="196" t="str">
        <f>IFERROR(__xludf.DUMMYFUNCTION("""COMPUTED_VALUE"""),"TOILET BOWL")</f>
        <v>TOILET BOWL</v>
      </c>
      <c r="E2623" s="196" t="str">
        <f>IFERROR(__xludf.DUMMYFUNCTION("""COMPUTED_VALUE"""),"REPAIR OF BROKEN TOILET BOWL")</f>
        <v>REPAIR OF BROKEN TOILET BOWL</v>
      </c>
    </row>
    <row r="2624">
      <c r="A2624" s="234">
        <f>IFERROR(__xludf.DUMMYFUNCTION("""COMPUTED_VALUE"""),102915.0)</f>
        <v>102915</v>
      </c>
      <c r="B2624" s="235" t="str">
        <f>IFERROR(__xludf.DUMMYFUNCTION("""COMPUTED_VALUE"""),"OWIE PAR")</f>
        <v>OWIE PAR</v>
      </c>
      <c r="C2624" s="235" t="str">
        <f>IFERROR(__xludf.DUMMYFUNCTION("""COMPUTED_VALUE"""),"ENGINEERING")</f>
        <v>ENGINEERING</v>
      </c>
      <c r="D2624" s="196" t="str">
        <f>IFERROR(__xludf.DUMMYFUNCTION("""COMPUTED_VALUE"""),"SOCCER FIELD LIGHTS 12 PCS., BASKETBALL COURT LIGHTS")</f>
        <v>SOCCER FIELD LIGHTS 12 PCS., BASKETBALL COURT LIGHTS</v>
      </c>
      <c r="E2624" s="196" t="str">
        <f>IFERROR(__xludf.DUMMYFUNCTION("""COMPUTED_VALUE"""),"FOR IMPROVEMENT/REPLACEMENT OF LIGHTS IN SOCCER FIELD AND MONARCH GYM BASKETBALL COURT")</f>
        <v>FOR IMPROVEMENT/REPLACEMENT OF LIGHTS IN SOCCER FIELD AND MONARCH GYM BASKETBALL COURT</v>
      </c>
    </row>
    <row r="2625">
      <c r="A2625" s="234">
        <f>IFERROR(__xludf.DUMMYFUNCTION("""COMPUTED_VALUE"""),102916.0)</f>
        <v>102916</v>
      </c>
      <c r="B2625" s="235" t="str">
        <f>IFERROR(__xludf.DUMMYFUNCTION("""COMPUTED_VALUE"""),"RORY MANSBRIDGE")</f>
        <v>RORY MANSBRIDGE</v>
      </c>
      <c r="C2625" s="235" t="str">
        <f>IFERROR(__xludf.DUMMYFUNCTION("""COMPUTED_VALUE"""),"ATHLETICS")</f>
        <v>ATHLETICS</v>
      </c>
      <c r="D2625" s="196" t="str">
        <f>IFERROR(__xludf.DUMMYFUNCTION("""COMPUTED_VALUE"""),"VOLLEYBALL JERSEYS (LIGHT &amp; DARK)")</f>
        <v>VOLLEYBALL JERSEYS (LIGHT &amp; DARK)</v>
      </c>
      <c r="E2625" s="196" t="str">
        <f>IFERROR(__xludf.DUMMYFUNCTION("""COMPUTED_VALUE"""),"FOR SCHOOL PRIDE - ISAC TOURNAMENT SEASON 1")</f>
        <v>FOR SCHOOL PRIDE - ISAC TOURNAMENT SEASON 1</v>
      </c>
    </row>
    <row r="2626">
      <c r="A2626" s="234">
        <f>IFERROR(__xludf.DUMMYFUNCTION("""COMPUTED_VALUE"""),102917.0)</f>
        <v>102917</v>
      </c>
      <c r="B2626" s="235" t="str">
        <f>IFERROR(__xludf.DUMMYFUNCTION("""COMPUTED_VALUE"""),"ALFA DE LEON")</f>
        <v>ALFA DE LEON</v>
      </c>
      <c r="C2626" s="235" t="str">
        <f>IFERROR(__xludf.DUMMYFUNCTION("""COMPUTED_VALUE"""),"ADMIN")</f>
        <v>ADMIN</v>
      </c>
      <c r="D2626" s="196" t="str">
        <f>IFERROR(__xludf.DUMMYFUNCTION("""COMPUTED_VALUE"""),"ADDTL PLANTS - DURANTA, FORGET ME NOT, BEACH LILY, PICARRA, BANGKOK SCHLEFFERA, DWARF PANDAKAKI, HELICONIA, SELLOUM, PEANUT, SPIDER LILY, PHILODENDRON")</f>
        <v>ADDTL PLANTS - DURANTA, FORGET ME NOT, BEACH LILY, PICARRA, BANGKOK SCHLEFFERA, DWARF PANDAKAKI, HELICONIA, SELLOUM, PEANUT, SPIDER LILY, PHILODENDRON</v>
      </c>
      <c r="E2626" s="196" t="str">
        <f>IFERROR(__xludf.DUMMYFUNCTION("""COMPUTED_VALUE"""),"ADDTL PLANTS FOR MONARCH ADDITIONAL AND REPLACEMENT ")</f>
        <v>ADDTL PLANTS FOR MONARCH ADDITIONAL AND REPLACEMENT </v>
      </c>
    </row>
    <row r="2627">
      <c r="A2627" s="234">
        <f>IFERROR(__xludf.DUMMYFUNCTION("""COMPUTED_VALUE"""),102918.0)</f>
        <v>102918</v>
      </c>
      <c r="B2627" s="235" t="str">
        <f>IFERROR(__xludf.DUMMYFUNCTION("""COMPUTED_VALUE"""),"ALFA DE LEON")</f>
        <v>ALFA DE LEON</v>
      </c>
      <c r="C2627" s="235" t="str">
        <f>IFERROR(__xludf.DUMMYFUNCTION("""COMPUTED_VALUE"""),"ADMIN")</f>
        <v>ADMIN</v>
      </c>
      <c r="D2627" s="196" t="str">
        <f>IFERROR(__xludf.DUMMYFUNCTION("""COMPUTED_VALUE"""),"CITRONELLA PLANTS")</f>
        <v>CITRONELLA PLANTS</v>
      </c>
      <c r="E2627" s="196" t="str">
        <f>IFERROR(__xludf.DUMMYFUNCTION("""COMPUTED_VALUE"""),"MOSQUITO REPELLENT")</f>
        <v>MOSQUITO REPELLENT</v>
      </c>
    </row>
    <row r="2628">
      <c r="A2628" s="234">
        <f>IFERROR(__xludf.DUMMYFUNCTION("""COMPUTED_VALUE"""),102919.0)</f>
        <v>102919</v>
      </c>
      <c r="B2628" s="235" t="str">
        <f>IFERROR(__xludf.DUMMYFUNCTION("""COMPUTED_VALUE"""),"ISABELO LEOPOLDO")</f>
        <v>ISABELO LEOPOLDO</v>
      </c>
      <c r="C2628" s="235" t="str">
        <f>IFERROR(__xludf.DUMMYFUNCTION("""COMPUTED_VALUE"""),"AV/MIS")</f>
        <v>AV/MIS</v>
      </c>
      <c r="D2628" s="196" t="str">
        <f>IFERROR(__xludf.DUMMYFUNCTION("""COMPUTED_VALUE"""),"8 FT STEP LADDER (3), ATEN VGA CORD 20 METERS (15), S. DIRECT PLUS SAMSON DIRECT BOX (3), LAN TO HDMI ADAPTER (1), MIPRO ACT311B- MICROPHONES (2), MICROPHONE STAND (2), LAN TO VGA ADAPTER (1), 3.5MM JACK AUX AUDIO CABLE TO JACK AUDIO CABLE CORD (25)")</f>
        <v>8 FT STEP LADDER (3), ATEN VGA CORD 20 METERS (15), S. DIRECT PLUS SAMSON DIRECT BOX (3), LAN TO HDMI ADAPTER (1), MIPRO ACT311B- MICROPHONES (2), MICROPHONE STAND (2), LAN TO VGA ADAPTER (1), 3.5MM JACK AUX AUDIO CABLE TO JACK AUDIO CABLE CORD (25)</v>
      </c>
      <c r="E2628" s="196" t="str">
        <f>IFERROR(__xludf.DUMMYFUNCTION("""COMPUTED_VALUE"""),"ADDITIONAL EQUIPMENT FOR FACILITATING EVENTS")</f>
        <v>ADDITIONAL EQUIPMENT FOR FACILITATING EVENTS</v>
      </c>
    </row>
    <row r="2629">
      <c r="A2629" s="234">
        <f>IFERROR(__xludf.DUMMYFUNCTION("""COMPUTED_VALUE"""),102920.0)</f>
        <v>102920</v>
      </c>
      <c r="B2629" s="235" t="str">
        <f>IFERROR(__xludf.DUMMYFUNCTION("""COMPUTED_VALUE"""),"RORY MANSBRIDGE")</f>
        <v>RORY MANSBRIDGE</v>
      </c>
      <c r="C2629" s="235" t="str">
        <f>IFERROR(__xludf.DUMMYFUNCTION("""COMPUTED_VALUE"""),"ATHLETICS")</f>
        <v>ATHLETICS</v>
      </c>
      <c r="D2629" s="196" t="str">
        <f>IFERROR(__xludf.DUMMYFUNCTION("""COMPUTED_VALUE"""),"COACHES UNIFORMS")</f>
        <v>COACHES UNIFORMS</v>
      </c>
      <c r="E2629" s="196" t="str">
        <f>IFERROR(__xludf.DUMMYFUNCTION("""COMPUTED_VALUE"""),"FOR SCHOOL PRIDE- ISAC TOURNAMENT 3 SEASONS")</f>
        <v>FOR SCHOOL PRIDE- ISAC TOURNAMENT 3 SEASONS</v>
      </c>
    </row>
    <row r="2630">
      <c r="A2630" s="234">
        <f>IFERROR(__xludf.DUMMYFUNCTION("""COMPUTED_VALUE"""),102921.0)</f>
        <v>102921</v>
      </c>
      <c r="B2630" s="235" t="str">
        <f>IFERROR(__xludf.DUMMYFUNCTION("""COMPUTED_VALUE"""),"BRENT TEMPLO")</f>
        <v>BRENT TEMPLO</v>
      </c>
      <c r="C2630" s="235" t="str">
        <f>IFERROR(__xludf.DUMMYFUNCTION("""COMPUTED_VALUE"""),"AMD")</f>
        <v>AMD</v>
      </c>
      <c r="D2630" s="196" t="str">
        <f>IFERROR(__xludf.DUMMYFUNCTION("""COMPUTED_VALUE"""),"ENVELOPE, LEATHER SISC LONG W/ HANDLE LILAC (PURPLE)")</f>
        <v>ENVELOPE, LEATHER SISC LONG W/ HANDLE LILAC (PURPLE)</v>
      </c>
      <c r="E2630" s="196" t="str">
        <f>IFERROR(__xludf.DUMMYFUNCTION("""COMPUTED_VALUE"""),"STUDENT SUPPLIES STOCK REPLENISHMENT")</f>
        <v>STUDENT SUPPLIES STOCK REPLENISHMENT</v>
      </c>
    </row>
    <row r="2631">
      <c r="A2631" s="234">
        <f>IFERROR(__xludf.DUMMYFUNCTION("""COMPUTED_VALUE"""),102922.0)</f>
        <v>102922</v>
      </c>
      <c r="B2631" s="235" t="str">
        <f>IFERROR(__xludf.DUMMYFUNCTION("""COMPUTED_VALUE"""),"CARLITO DELA VEGA")</f>
        <v>CARLITO DELA VEGA</v>
      </c>
      <c r="C2631" s="235" t="str">
        <f>IFERROR(__xludf.DUMMYFUNCTION("""COMPUTED_VALUE"""),"SECURITY")</f>
        <v>SECURITY</v>
      </c>
      <c r="D2631" s="196" t="str">
        <f>IFERROR(__xludf.DUMMYFUNCTION("""COMPUTED_VALUE"""),"MOU DAHUA WIFI/CAM CAMERA - OUTDOOR BULLET 2C- W/ G4G SO CARD- WIFI HOT STOP")</f>
        <v>MOU DAHUA WIFI/CAM CAMERA - OUTDOOR BULLET 2C- W/ G4G SO CARD- WIFI HOT STOP</v>
      </c>
      <c r="E2631" s="196" t="str">
        <f>IFERROR(__xludf.DUMMYFUNCTION("""COMPUTED_VALUE"""),"SECURITY/PRODUCT  TEST TO BE INSTALLED AROUND MONARCH PARK. ")</f>
        <v>SECURITY/PRODUCT  TEST TO BE INSTALLED AROUND MONARCH PARK. </v>
      </c>
    </row>
    <row r="2632">
      <c r="A2632" s="234">
        <f>IFERROR(__xludf.DUMMYFUNCTION("""COMPUTED_VALUE"""),102923.0)</f>
        <v>102923</v>
      </c>
      <c r="B2632" s="235" t="str">
        <f>IFERROR(__xludf.DUMMYFUNCTION("""COMPUTED_VALUE"""),"CARLITO DELA VEGA")</f>
        <v>CARLITO DELA VEGA</v>
      </c>
      <c r="C2632" s="235" t="str">
        <f>IFERROR(__xludf.DUMMYFUNCTION("""COMPUTED_VALUE"""),"SECURITY")</f>
        <v>SECURITY</v>
      </c>
      <c r="D2632" s="196" t="str">
        <f>IFERROR(__xludf.DUMMYFUNCTION("""COMPUTED_VALUE"""),"1000 PCS. CAR STICKER SISC LOGO 3"" X 2.5"" 3M STICKER, PRENUMBERED 22001 TO 221000")</f>
        <v>1000 PCS. CAR STICKER SISC LOGO 3" X 2.5" 3M STICKER, PRENUMBERED 22001 TO 221000</v>
      </c>
      <c r="E2632" s="196" t="str">
        <f>IFERROR(__xludf.DUMMYFUNCTION("""COMPUTED_VALUE"""),"CAR STICKER/TRAFFIC MANAGEMENT ")</f>
        <v>CAR STICKER/TRAFFIC MANAGEMENT </v>
      </c>
    </row>
    <row r="2633">
      <c r="A2633" s="234">
        <f>IFERROR(__xludf.DUMMYFUNCTION("""COMPUTED_VALUE"""),102924.0)</f>
        <v>102924</v>
      </c>
      <c r="B2633" s="235" t="str">
        <f>IFERROR(__xludf.DUMMYFUNCTION("""COMPUTED_VALUE"""),"SHEREE ESPINOSA")</f>
        <v>SHEREE ESPINOSA</v>
      </c>
      <c r="C2633" s="235" t="str">
        <f>IFERROR(__xludf.DUMMYFUNCTION("""COMPUTED_VALUE"""),"ADMIN")</f>
        <v>ADMIN</v>
      </c>
      <c r="D2633" s="196" t="str">
        <f>IFERROR(__xludf.DUMMYFUNCTION("""COMPUTED_VALUE"""),"VARIOUS MATERIALS FOR THE NEW LAVATORY IN THE NEW ARTROOM  (FULL LIST ATTACHED TO THE PRF)")</f>
        <v>VARIOUS MATERIALS FOR THE NEW LAVATORY IN THE NEW ARTROOM  (FULL LIST ATTACHED TO THE PRF)</v>
      </c>
      <c r="E2633" s="196" t="str">
        <f>IFERROR(__xludf.DUMMYFUNCTION("""COMPUTED_VALUE"""),"CLASSROOM REQUIREMENT")</f>
        <v>CLASSROOM REQUIREMENT</v>
      </c>
    </row>
    <row r="2634">
      <c r="A2634" s="234">
        <f>IFERROR(__xludf.DUMMYFUNCTION("""COMPUTED_VALUE"""),102925.0)</f>
        <v>102925</v>
      </c>
      <c r="B2634" s="235" t="str">
        <f>IFERROR(__xludf.DUMMYFUNCTION("""COMPUTED_VALUE"""),"SHEREE ESPINOSA")</f>
        <v>SHEREE ESPINOSA</v>
      </c>
      <c r="C2634" s="235" t="str">
        <f>IFERROR(__xludf.DUMMYFUNCTION("""COMPUTED_VALUE"""),"ADMIN")</f>
        <v>ADMIN</v>
      </c>
      <c r="D2634" s="196" t="str">
        <f>IFERROR(__xludf.DUMMYFUNCTION("""COMPUTED_VALUE"""),"WATER CLOSET WITH BIDET SET, LAVATORY, FAUCET")</f>
        <v>WATER CLOSET WITH BIDET SET, LAVATORY, FAUCET</v>
      </c>
      <c r="E2634" s="196" t="str">
        <f>IFERROR(__xludf.DUMMYFUNCTION("""COMPUTED_VALUE"""),"FOR PRESIDENTS OFFICE ")</f>
        <v>FOR PRESIDENTS OFFICE </v>
      </c>
    </row>
    <row r="2635">
      <c r="A2635" s="234">
        <f>IFERROR(__xludf.DUMMYFUNCTION("""COMPUTED_VALUE"""),102926.0)</f>
        <v>102926</v>
      </c>
      <c r="B2635" s="235" t="str">
        <f>IFERROR(__xludf.DUMMYFUNCTION("""COMPUTED_VALUE"""),"ELYDS REYES")</f>
        <v>ELYDS REYES</v>
      </c>
      <c r="C2635" s="235" t="str">
        <f>IFERROR(__xludf.DUMMYFUNCTION("""COMPUTED_VALUE"""),"PR &amp; MARKETING")</f>
        <v>PR &amp; MARKETING</v>
      </c>
      <c r="D2635" s="196" t="str">
        <f>IFERROR(__xludf.DUMMYFUNCTION("""COMPUTED_VALUE"""),"2X6 FT X-STAND 32ND ANNIVERSARY")</f>
        <v>2X6 FT X-STAND 32ND ANNIVERSARY</v>
      </c>
      <c r="E2635" s="196" t="str">
        <f>IFERROR(__xludf.DUMMYFUNCTION("""COMPUTED_VALUE"""),"FOR SISC FOUNDATION")</f>
        <v>FOR SISC FOUNDATION</v>
      </c>
    </row>
    <row r="2636">
      <c r="A2636" s="234">
        <f>IFERROR(__xludf.DUMMYFUNCTION("""COMPUTED_VALUE"""),102927.0)</f>
        <v>102927</v>
      </c>
      <c r="B2636" s="235" t="str">
        <f>IFERROR(__xludf.DUMMYFUNCTION("""COMPUTED_VALUE"""),"GARRY BATAO-EY")</f>
        <v>GARRY BATAO-EY</v>
      </c>
      <c r="C2636" s="235" t="str">
        <f>IFERROR(__xludf.DUMMYFUNCTION("""COMPUTED_VALUE"""),"MIS/ICT")</f>
        <v>MIS/ICT</v>
      </c>
      <c r="D2636" s="196" t="str">
        <f>IFERROR(__xludf.DUMMYFUNCTION("""COMPUTED_VALUE"""),"COMPUTER UNITS (29 SETS) : RAM 5 GB, VCARD 8 GB, OS/CPU I7 10TH GEN OR UP amd 7, mONITOR: 22"" FULL SCREEN")</f>
        <v>COMPUTER UNITS (29 SETS) : RAM 5 GB, VCARD 8 GB, OS/CPU I7 10TH GEN OR UP amd 7, mONITOR: 22" FULL SCREEN</v>
      </c>
      <c r="E2636" s="196" t="str">
        <f>IFERROR(__xludf.DUMMYFUNCTION("""COMPUTED_VALUE"""),"COMPUTER UPGRADE IN MMA COMPLAB")</f>
        <v>COMPUTER UPGRADE IN MMA COMPLAB</v>
      </c>
    </row>
    <row r="2637">
      <c r="A2637" s="234">
        <f>IFERROR(__xludf.DUMMYFUNCTION("""COMPUTED_VALUE"""),102928.0)</f>
        <v>102928</v>
      </c>
      <c r="B2637" s="235" t="str">
        <f>IFERROR(__xludf.DUMMYFUNCTION("""COMPUTED_VALUE"""),"CARLITO DELA VEGA")</f>
        <v>CARLITO DELA VEGA</v>
      </c>
      <c r="C2637" s="235" t="str">
        <f>IFERROR(__xludf.DUMMYFUNCTION("""COMPUTED_VALUE"""),"ADMIN")</f>
        <v>ADMIN</v>
      </c>
      <c r="D2637" s="196" t="str">
        <f>IFERROR(__xludf.DUMMYFUNCTION("""COMPUTED_VALUE"""),"RECESSED MOUNTED LED FIXTURE")</f>
        <v>RECESSED MOUNTED LED FIXTURE</v>
      </c>
      <c r="E2637" s="196" t="str">
        <f>IFERROR(__xludf.DUMMYFUNCTION("""COMPUTED_VALUE"""),"GATE 1 LIGHTNINGS")</f>
        <v>GATE 1 LIGHTNINGS</v>
      </c>
    </row>
    <row r="2638">
      <c r="A2638" s="234">
        <f>IFERROR(__xludf.DUMMYFUNCTION("""COMPUTED_VALUE"""),102929.0)</f>
        <v>102929</v>
      </c>
      <c r="B2638" s="235" t="str">
        <f>IFERROR(__xludf.DUMMYFUNCTION("""COMPUTED_VALUE"""),"RONALDO VERDE/ SHEREE ESPINOSA ")</f>
        <v>RONALDO VERDE/ SHEREE ESPINOSA </v>
      </c>
      <c r="C2638" s="235" t="str">
        <f>IFERROR(__xludf.DUMMYFUNCTION("""COMPUTED_VALUE"""),"ADMIN")</f>
        <v>ADMIN</v>
      </c>
      <c r="D2638" s="196" t="str">
        <f>IFERROR(__xludf.DUMMYFUNCTION("""COMPUTED_VALUE"""),"MATERIALS FOR THE REPAIR AND MAINTENANCE OF COLLEGE HALLWAYS ")</f>
        <v>MATERIALS FOR THE REPAIR AND MAINTENANCE OF COLLEGE HALLWAYS </v>
      </c>
      <c r="E2638" s="196" t="str">
        <f>IFERROR(__xludf.DUMMYFUNCTION("""COMPUTED_VALUE"""),"PREVENTIVE MAINTENANCE OF COLLEGE ")</f>
        <v>PREVENTIVE MAINTENANCE OF COLLEGE </v>
      </c>
    </row>
    <row r="2639">
      <c r="A2639" s="234">
        <f>IFERROR(__xludf.DUMMYFUNCTION("""COMPUTED_VALUE"""),102930.0)</f>
        <v>102930</v>
      </c>
      <c r="B2639" s="235" t="str">
        <f>IFERROR(__xludf.DUMMYFUNCTION("""COMPUTED_VALUE"""),"BRENT TEMPLO")</f>
        <v>BRENT TEMPLO</v>
      </c>
      <c r="C2639" s="235" t="str">
        <f>IFERROR(__xludf.DUMMYFUNCTION("""COMPUTED_VALUE"""),"AMD")</f>
        <v>AMD</v>
      </c>
      <c r="D2639" s="196" t="str">
        <f>IFERROR(__xludf.DUMMYFUNCTION("""COMPUTED_VALUE"""),"VELLUM BOARD SHORT, BATTERY ENERGIZER SIZE AAA, CLIP PAPER BIG 120 GMS, CLIP PAPER SMALL 50 GMS, ENVELOPE PLASTIC SHORT ADVENTURER, FOLDER GREEN LONG, FOLDER GREEN SHORT PLAIN, HIGHLIGHTER STABILO GREEN, HIGHLIGHTER STABILO BLUE")</f>
        <v>VELLUM BOARD SHORT, BATTERY ENERGIZER SIZE AAA, CLIP PAPER BIG 120 GMS, CLIP PAPER SMALL 50 GMS, ENVELOPE PLASTIC SHORT ADVENTURER, FOLDER GREEN LONG, FOLDER GREEN SHORT PLAIN, HIGHLIGHTER STABILO GREEN, HIGHLIGHTER STABILO BLUE</v>
      </c>
      <c r="E2639" s="196" t="str">
        <f>IFERROR(__xludf.DUMMYFUNCTION("""COMPUTED_VALUE"""),"OFFICE SUPPLIES REPLENISHMENT")</f>
        <v>OFFICE SUPPLIES REPLENISHMENT</v>
      </c>
    </row>
    <row r="2640">
      <c r="A2640" s="234">
        <f>IFERROR(__xludf.DUMMYFUNCTION("""COMPUTED_VALUE"""),102931.0)</f>
        <v>102931</v>
      </c>
      <c r="B2640" s="235" t="str">
        <f>IFERROR(__xludf.DUMMYFUNCTION("""COMPUTED_VALUE"""),"BRENT TEMPLO")</f>
        <v>BRENT TEMPLO</v>
      </c>
      <c r="C2640" s="235" t="str">
        <f>IFERROR(__xludf.DUMMYFUNCTION("""COMPUTED_VALUE"""),"AMD")</f>
        <v>AMD</v>
      </c>
      <c r="D2640" s="196" t="str">
        <f>IFERROR(__xludf.DUMMYFUNCTION("""COMPUTED_VALUE"""),"VELLUM BOARD LONG, TOWEL GOOD MORNING")</f>
        <v>VELLUM BOARD LONG, TOWEL GOOD MORNING</v>
      </c>
      <c r="E2640" s="196" t="str">
        <f>IFERROR(__xludf.DUMMYFUNCTION("""COMPUTED_VALUE"""),"OFFICE SUPPLIES REPLENISHMENT")</f>
        <v>OFFICE SUPPLIES REPLENISHMENT</v>
      </c>
    </row>
    <row r="2641">
      <c r="A2641" s="234">
        <f>IFERROR(__xludf.DUMMYFUNCTION("""COMPUTED_VALUE"""),102932.0)</f>
        <v>102932</v>
      </c>
      <c r="B2641" s="235" t="str">
        <f>IFERROR(__xludf.DUMMYFUNCTION("""COMPUTED_VALUE"""),"OWIE PAR ")</f>
        <v>OWIE PAR </v>
      </c>
      <c r="C2641" s="235" t="str">
        <f>IFERROR(__xludf.DUMMYFUNCTION("""COMPUTED_VALUE"""),"ENGINEERING")</f>
        <v>ENGINEERING</v>
      </c>
      <c r="D2641" s="196" t="str">
        <f>IFERROR(__xludf.DUMMYFUNCTION("""COMPUTED_VALUE"""),"FLOURESCENT FIXTURE 220VAC ALED-FT89DL")</f>
        <v>FLOURESCENT FIXTURE 220VAC ALED-FT89DL</v>
      </c>
      <c r="E2641" s="196" t="str">
        <f>IFERROR(__xludf.DUMMYFUNCTION("""COMPUTED_VALUE"""),"FOR 5TH FLR. BOYS C.R. ")</f>
        <v>FOR 5TH FLR. BOYS C.R. </v>
      </c>
    </row>
    <row r="2642">
      <c r="A2642" s="234">
        <f>IFERROR(__xludf.DUMMYFUNCTION("""COMPUTED_VALUE"""),102933.0)</f>
        <v>102933</v>
      </c>
      <c r="B2642" s="235" t="str">
        <f>IFERROR(__xludf.DUMMYFUNCTION("""COMPUTED_VALUE"""),"JEREMIAH TIROL/ANGELICA LAGDAMEO")</f>
        <v>JEREMIAH TIROL/ANGELICA LAGDAMEO</v>
      </c>
      <c r="C2642" s="235" t="str">
        <f>IFERROR(__xludf.DUMMYFUNCTION("""COMPUTED_VALUE"""),"SCIENCE LAB COLLEGE")</f>
        <v>SCIENCE LAB COLLEGE</v>
      </c>
      <c r="D2642" s="196" t="str">
        <f>IFERROR(__xludf.DUMMYFUNCTION("""COMPUTED_VALUE"""),"TWO- DOOR REGRIGIARTOR FUJIDENZO")</f>
        <v>TWO- DOOR REGRIGIARTOR FUJIDENZO</v>
      </c>
      <c r="E2642" s="196" t="str">
        <f>IFERROR(__xludf.DUMMYFUNCTION("""COMPUTED_VALUE"""),"FOR STORAGE OF TEMPERATURE CONTROLLED MATERIALS ")</f>
        <v>FOR STORAGE OF TEMPERATURE CONTROLLED MATERIALS </v>
      </c>
    </row>
    <row r="2643">
      <c r="A2643" s="234">
        <f>IFERROR(__xludf.DUMMYFUNCTION("""COMPUTED_VALUE"""),102934.0)</f>
        <v>102934</v>
      </c>
      <c r="B2643" s="235" t="str">
        <f>IFERROR(__xludf.DUMMYFUNCTION("""COMPUTED_VALUE"""),"RAQUELYN NUNEZ")</f>
        <v>RAQUELYN NUNEZ</v>
      </c>
      <c r="C2643" s="235" t="str">
        <f>IFERROR(__xludf.DUMMYFUNCTION("""COMPUTED_VALUE"""),"ADMIN")</f>
        <v>ADMIN</v>
      </c>
      <c r="D2643" s="196" t="str">
        <f>IFERROR(__xludf.DUMMYFUNCTION("""COMPUTED_VALUE"""),"EXHAUST FAN 12"" WALL MOUNTED, , FOOTRUG, (SAME AS THE FIRST PURCHASED, BED FOAM, CIRCULAR LIGHTS (SAME AAS THE FIRST PURCHASED), DISH RACK (SAME AS FIRST PURCHASED), LED LIGHT 13 WATTS DAYLIGHT (SAME AS THE FIRST PURCHASED)")</f>
        <v>EXHAUST FAN 12" WALL MOUNTED, , FOOTRUG, (SAME AS THE FIRST PURCHASED, BED FOAM, CIRCULAR LIGHTS (SAME AAS THE FIRST PURCHASED), DISH RACK (SAME AS FIRST PURCHASED), LED LIGHT 13 WATTS DAYLIGHT (SAME AS THE FIRST PURCHASED)</v>
      </c>
      <c r="E2643" s="196" t="str">
        <f>IFERROR(__xludf.DUMMYFUNCTION("""COMPUTED_VALUE"""),"ADDITIONAL FIXTURES FOR NARRA HOUSE")</f>
        <v>ADDITIONAL FIXTURES FOR NARRA HOUSE</v>
      </c>
    </row>
    <row r="2644">
      <c r="A2644" s="234">
        <f>IFERROR(__xludf.DUMMYFUNCTION("""COMPUTED_VALUE"""),102935.0)</f>
        <v>102935</v>
      </c>
      <c r="B2644" s="235" t="str">
        <f>IFERROR(__xludf.DUMMYFUNCTION("""COMPUTED_VALUE"""),"MELISSA NAVAL - ODOÑO ")</f>
        <v>MELISSA NAVAL - ODOÑO </v>
      </c>
      <c r="C2644" s="235" t="str">
        <f>IFERROR(__xludf.DUMMYFUNCTION("""COMPUTED_VALUE"""),"LIBRARY COLLEGE")</f>
        <v>LIBRARY COLLEGE</v>
      </c>
      <c r="D2644" s="196" t="str">
        <f>IFERROR(__xludf.DUMMYFUNCTION("""COMPUTED_VALUE"""),"DSM 5 TR 5TH EDITION (DIAGNOSTIC AND STATISTICAL MANUAL OF MENTAL DISORDERS) 5TH EDITION PAPER BACK")</f>
        <v>DSM 5 TR 5TH EDITION (DIAGNOSTIC AND STATISTICAL MANUAL OF MENTAL DISORDERS) 5TH EDITION PAPER BACK</v>
      </c>
      <c r="E2644" s="196" t="str">
        <f>IFERROR(__xludf.DUMMYFUNCTION("""COMPUTED_VALUE"""),"FOR FACULTY USE/ LIBRARY'S COPY")</f>
        <v>FOR FACULTY USE/ LIBRARY'S COPY</v>
      </c>
    </row>
    <row r="2645">
      <c r="A2645" s="234">
        <f>IFERROR(__xludf.DUMMYFUNCTION("""COMPUTED_VALUE"""),102936.0)</f>
        <v>102936</v>
      </c>
      <c r="B2645" s="235" t="str">
        <f>IFERROR(__xludf.DUMMYFUNCTION("""COMPUTED_VALUE"""),"RONALDO VERDE")</f>
        <v>RONALDO VERDE</v>
      </c>
      <c r="C2645" s="235" t="str">
        <f>IFERROR(__xludf.DUMMYFUNCTION("""COMPUTED_VALUE"""),"ADMIN")</f>
        <v>ADMIN</v>
      </c>
      <c r="D2645" s="196" t="str">
        <f>IFERROR(__xludf.DUMMYFUNCTION("""COMPUTED_VALUE"""),"EMERGENCY LIGHTS")</f>
        <v>EMERGENCY LIGHTS</v>
      </c>
      <c r="E2645" s="196" t="str">
        <f>IFERROR(__xludf.DUMMYFUNCTION("""COMPUTED_VALUE"""),"PREVENTIVE MAINTENANCE ")</f>
        <v>PREVENTIVE MAINTENANCE </v>
      </c>
    </row>
    <row r="2646">
      <c r="A2646" s="234">
        <f>IFERROR(__xludf.DUMMYFUNCTION("""COMPUTED_VALUE"""),102937.0)</f>
        <v>102937</v>
      </c>
      <c r="B2646" s="235" t="str">
        <f>IFERROR(__xludf.DUMMYFUNCTION("""COMPUTED_VALUE"""),"BRENT TEMPLO")</f>
        <v>BRENT TEMPLO</v>
      </c>
      <c r="C2646" s="235" t="str">
        <f>IFERROR(__xludf.DUMMYFUNCTION("""COMPUTED_VALUE"""),"AMD")</f>
        <v>AMD</v>
      </c>
      <c r="D2646" s="196" t="str">
        <f>IFERROR(__xludf.DUMMYFUNCTION("""COMPUTED_VALUE"""),"85 REAMS PAPER COPY LASER LONG, 35 PCS TONER CARTRIDGE CF210A BLACK, 15 PCS. TONER CARTRIDGE CF211A CYAN, 35 PCS. TONER CARTRIDGE CF212AYELLOW ,15 PCS. TONER CARTRIDGE CF213A MAGENTA,  400 PCS. TISSUE ROLL BATH 2 PLY")</f>
        <v>85 REAMS PAPER COPY LASER LONG, 35 PCS TONER CARTRIDGE CF210A BLACK, 15 PCS. TONER CARTRIDGE CF211A CYAN, 35 PCS. TONER CARTRIDGE CF212AYELLOW ,15 PCS. TONER CARTRIDGE CF213A MAGENTA,  400 PCS. TISSUE ROLL BATH 2 PLY</v>
      </c>
      <c r="E2646" s="196" t="str">
        <f>IFERROR(__xludf.DUMMYFUNCTION("""COMPUTED_VALUE"""),"OSSUP STOCK REPLENISHMENT")</f>
        <v>OSSUP STOCK REPLENISHMENT</v>
      </c>
    </row>
    <row r="2647">
      <c r="A2647" s="234">
        <f>IFERROR(__xludf.DUMMYFUNCTION("""COMPUTED_VALUE"""),102938.0)</f>
        <v>102938</v>
      </c>
      <c r="B2647" s="235" t="str">
        <f>IFERROR(__xludf.DUMMYFUNCTION("""COMPUTED_VALUE"""),"ANN R. VILLARUZ ")</f>
        <v>ANN R. VILLARUZ </v>
      </c>
      <c r="C2647" s="235" t="str">
        <f>IFERROR(__xludf.DUMMYFUNCTION("""COMPUTED_VALUE"""),"VPAR / RESEARCH")</f>
        <v>VPAR / RESEARCH</v>
      </c>
      <c r="D2647" s="196" t="str">
        <f>IFERROR(__xludf.DUMMYFUNCTION("""COMPUTED_VALUE"""),"28 pcs WINDBREAKER JACKET, 51 PCS. IRC POLO SHIRT")</f>
        <v>28 pcs WINDBREAKER JACKET, 51 PCS. IRC POLO SHIRT</v>
      </c>
      <c r="E2647" s="196" t="str">
        <f>IFERROR(__xludf.DUMMYFUNCTION("""COMPUTED_VALUE"""),"FOR IRC WORKING COMMITTEE ")</f>
        <v>FOR IRC WORKING COMMITTEE </v>
      </c>
    </row>
    <row r="2648">
      <c r="A2648" s="234">
        <f>IFERROR(__xludf.DUMMYFUNCTION("""COMPUTED_VALUE"""),102939.0)</f>
        <v>102939</v>
      </c>
      <c r="B2648" s="235" t="str">
        <f>IFERROR(__xludf.DUMMYFUNCTION("""COMPUTED_VALUE"""),"BRENT TEMPLO")</f>
        <v>BRENT TEMPLO</v>
      </c>
      <c r="C2648" s="235" t="str">
        <f>IFERROR(__xludf.DUMMYFUNCTION("""COMPUTED_VALUE"""),"AMD")</f>
        <v>AMD</v>
      </c>
      <c r="D2648" s="196" t="str">
        <f>IFERROR(__xludf.DUMMYFUNCTION("""COMPUTED_VALUE"""),"EZ LABELER FOR CASIO KL-120 12M XR-12 WE 2")</f>
        <v>EZ LABELER FOR CASIO KL-120 12M XR-12 WE 2</v>
      </c>
      <c r="E2648" s="196" t="str">
        <f>IFERROR(__xludf.DUMMYFUNCTION("""COMPUTED_VALUE"""),"FOR LABELING OF COMPUTERS")</f>
        <v>FOR LABELING OF COMPUTERS</v>
      </c>
    </row>
    <row r="2649">
      <c r="A2649" s="234">
        <f>IFERROR(__xludf.DUMMYFUNCTION("""COMPUTED_VALUE"""),102940.0)</f>
        <v>102940</v>
      </c>
      <c r="B2649" s="235" t="str">
        <f>IFERROR(__xludf.DUMMYFUNCTION("""COMPUTED_VALUE"""),"JAYVEN POBLETE")</f>
        <v>JAYVEN POBLETE</v>
      </c>
      <c r="C2649" s="235" t="str">
        <f>IFERROR(__xludf.DUMMYFUNCTION("""COMPUTED_VALUE"""),"PR &amp; MARKETING")</f>
        <v>PR &amp; MARKETING</v>
      </c>
      <c r="D2649" s="196" t="str">
        <f>IFERROR(__xludf.DUMMYFUNCTION("""COMPUTED_VALUE"""),"INSTAGRAM AND FACEBOOK FRAME")</f>
        <v>INSTAGRAM AND FACEBOOK FRAME</v>
      </c>
      <c r="E2649" s="196" t="str">
        <f>IFERROR(__xludf.DUMMYFUNCTION("""COMPUTED_VALUE"""),"MARKETING")</f>
        <v>MARKETING</v>
      </c>
    </row>
    <row r="2650">
      <c r="A2650" s="234">
        <f>IFERROR(__xludf.DUMMYFUNCTION("""COMPUTED_VALUE"""),102941.0)</f>
        <v>102941</v>
      </c>
      <c r="B2650" s="235" t="str">
        <f>IFERROR(__xludf.DUMMYFUNCTION("""COMPUTED_VALUE"""),"BRENT DARRYL TEMPLO")</f>
        <v>BRENT DARRYL TEMPLO</v>
      </c>
      <c r="C2650" s="235" t="str">
        <f>IFERROR(__xludf.DUMMYFUNCTION("""COMPUTED_VALUE"""),"AMD")</f>
        <v>AMD</v>
      </c>
      <c r="D2650" s="196" t="str">
        <f>IFERROR(__xludf.DUMMYFUNCTION("""COMPUTED_VALUE"""),"PLASTIC COVER, GAUGE 4 48' W (PER METER) 250 METERS")</f>
        <v>PLASTIC COVER, GAUGE 4 48' W (PER METER) 250 METERS</v>
      </c>
      <c r="E2650" s="196" t="str">
        <f>IFERROR(__xludf.DUMMYFUNCTION("""COMPUTED_VALUE"""),"OSSUP REPLENISHMENT")</f>
        <v>OSSUP REPLENISHMENT</v>
      </c>
    </row>
    <row r="2651">
      <c r="A2651" s="234">
        <f>IFERROR(__xludf.DUMMYFUNCTION("""COMPUTED_VALUE"""),102942.0)</f>
        <v>102942</v>
      </c>
      <c r="B2651" s="235" t="str">
        <f>IFERROR(__xludf.DUMMYFUNCTION("""COMPUTED_VALUE"""),"BRENT DARRYL TEMPLO")</f>
        <v>BRENT DARRYL TEMPLO</v>
      </c>
      <c r="C2651" s="235" t="str">
        <f>IFERROR(__xludf.DUMMYFUNCTION("""COMPUTED_VALUE"""),"AMD")</f>
        <v>AMD</v>
      </c>
      <c r="D2651" s="196" t="str">
        <f>IFERROR(__xludf.DUMMYFUNCTION("""COMPUTED_VALUE"""),"PAPER, COPY FPRTUNE SUB 24 LONG YELLOW 2 REAMS, PAPER COPY-FORTUNE SUB24 SHORT PINK 2 REAMS ")</f>
        <v>PAPER, COPY FPRTUNE SUB 24 LONG YELLOW 2 REAMS, PAPER COPY-FORTUNE SUB24 SHORT PINK 2 REAMS </v>
      </c>
      <c r="E2651" s="196" t="str">
        <f>IFERROR(__xludf.DUMMYFUNCTION("""COMPUTED_VALUE"""),"OSSUP REPLENISHMENT")</f>
        <v>OSSUP REPLENISHMENT</v>
      </c>
    </row>
    <row r="2652">
      <c r="A2652" s="234">
        <f>IFERROR(__xludf.DUMMYFUNCTION("""COMPUTED_VALUE"""),102943.0)</f>
        <v>102943</v>
      </c>
      <c r="B2652" s="235" t="str">
        <f>IFERROR(__xludf.DUMMYFUNCTION("""COMPUTED_VALUE"""),"BRENT DARRYL TEMPLO")</f>
        <v>BRENT DARRYL TEMPLO</v>
      </c>
      <c r="C2652" s="235" t="str">
        <f>IFERROR(__xludf.DUMMYFUNCTION("""COMPUTED_VALUE"""),"AMD")</f>
        <v>AMD</v>
      </c>
      <c r="D2652" s="196" t="str">
        <f>IFERROR(__xludf.DUMMYFUNCTION("""COMPUTED_VALUE"""),"CMOS BATTERY 50, USB KEYBOARD 50, WIFI CARD PCI-E 10, VGA CORD 1.8 METERS 50, WIFI CARD PCI 5, STRIP WIRE 4 INCHES 50, STRIP WIRE 8 INCHES 50, VIDEO SPLITTER 2-WAY 20, LANCARD PCI 10, LANCARD PCI- E 10,")</f>
        <v>CMOS BATTERY 50, USB KEYBOARD 50, WIFI CARD PCI-E 10, VGA CORD 1.8 METERS 50, WIFI CARD PCI 5, STRIP WIRE 4 INCHES 50, STRIP WIRE 8 INCHES 50, VIDEO SPLITTER 2-WAY 20, LANCARD PCI 10, LANCARD PCI- E 10,</v>
      </c>
      <c r="E2652" s="196" t="str">
        <f>IFERROR(__xludf.DUMMYFUNCTION("""COMPUTED_VALUE"""),"MIS OSSUP REPLENISHMENT ")</f>
        <v>MIS OSSUP REPLENISHMENT </v>
      </c>
    </row>
    <row r="2653">
      <c r="A2653" s="234">
        <f>IFERROR(__xludf.DUMMYFUNCTION("""COMPUTED_VALUE"""),102944.0)</f>
        <v>102944</v>
      </c>
      <c r="B2653" s="235" t="str">
        <f>IFERROR(__xludf.DUMMYFUNCTION("""COMPUTED_VALUE"""),"BRENT DARRYL TEMPLO")</f>
        <v>BRENT DARRYL TEMPLO</v>
      </c>
      <c r="C2653" s="235" t="str">
        <f>IFERROR(__xludf.DUMMYFUNCTION("""COMPUTED_VALUE"""),"AMD")</f>
        <v>AMD</v>
      </c>
      <c r="D2653" s="196" t="str">
        <f>IFERROR(__xludf.DUMMYFUNCTION("""COMPUTED_VALUE"""),"CABLE WRAP 100, AVR SECURE 100, HARD DISK 2TB 2")</f>
        <v>CABLE WRAP 100, AVR SECURE 100, HARD DISK 2TB 2</v>
      </c>
      <c r="E2653" s="196" t="str">
        <f>IFERROR(__xludf.DUMMYFUNCTION("""COMPUTED_VALUE"""),"MIS OSSUP REPLENISHMENT ")</f>
        <v>MIS OSSUP REPLENISHMENT </v>
      </c>
    </row>
    <row r="2654">
      <c r="A2654" s="234">
        <f>IFERROR(__xludf.DUMMYFUNCTION("""COMPUTED_VALUE"""),102945.0)</f>
        <v>102945</v>
      </c>
      <c r="B2654" s="235" t="str">
        <f>IFERROR(__xludf.DUMMYFUNCTION("""COMPUTED_VALUE"""),"ISABELO LEOPOLDO")</f>
        <v>ISABELO LEOPOLDO</v>
      </c>
      <c r="C2654" s="235" t="str">
        <f>IFERROR(__xludf.DUMMYFUNCTION("""COMPUTED_VALUE"""),"AV/MIS")</f>
        <v>AV/MIS</v>
      </c>
      <c r="D2654" s="196" t="str">
        <f>IFERROR(__xludf.DUMMYFUNCTION("""COMPUTED_VALUE"""),"ATLANTA MOULDING (1 INCH)")</f>
        <v>ATLANTA MOULDING (1 INCH)</v>
      </c>
      <c r="E2654" s="196" t="str">
        <f>IFERROR(__xludf.DUMMYFUNCTION("""COMPUTED_VALUE"""),"HYVOLT CLASSROOMS CABLE MANAGEMENT")</f>
        <v>HYVOLT CLASSROOMS CABLE MANAGEMENT</v>
      </c>
    </row>
    <row r="2655">
      <c r="A2655" s="234">
        <f>IFERROR(__xludf.DUMMYFUNCTION("""COMPUTED_VALUE"""),102946.0)</f>
        <v>102946</v>
      </c>
      <c r="B2655" s="235" t="str">
        <f>IFERROR(__xludf.DUMMYFUNCTION("""COMPUTED_VALUE"""),"ALFA DE LEON ")</f>
        <v>ALFA DE LEON </v>
      </c>
      <c r="C2655" s="235" t="str">
        <f>IFERROR(__xludf.DUMMYFUNCTION("""COMPUTED_VALUE"""),"LANDSCAPING")</f>
        <v>LANDSCAPING</v>
      </c>
      <c r="D2655" s="196" t="str">
        <f>IFERROR(__xludf.DUMMYFUNCTION("""COMPUTED_VALUE"""),"HOSE CONNECTOR 6 PCS. , SPRAY NOOZLE 5 PCS. ")</f>
        <v>HOSE CONNECTOR 6 PCS. , SPRAY NOOZLE 5 PCS. </v>
      </c>
      <c r="E2655" s="196" t="str">
        <f>IFERROR(__xludf.DUMMYFUNCTION("""COMPUTED_VALUE"""),"GARDEN MAINTENANCE ")</f>
        <v>GARDEN MAINTENANCE </v>
      </c>
    </row>
    <row r="2656">
      <c r="A2656" s="234">
        <f>IFERROR(__xludf.DUMMYFUNCTION("""COMPUTED_VALUE"""),102947.0)</f>
        <v>102947</v>
      </c>
      <c r="B2656" s="235" t="str">
        <f>IFERROR(__xludf.DUMMYFUNCTION("""COMPUTED_VALUE"""),"ALFA DE LEON")</f>
        <v>ALFA DE LEON</v>
      </c>
      <c r="C2656" s="235" t="str">
        <f>IFERROR(__xludf.DUMMYFUNCTION("""COMPUTED_VALUE"""),"LANDSCAPING")</f>
        <v>LANDSCAPING</v>
      </c>
      <c r="D2656" s="196" t="str">
        <f>IFERROR(__xludf.DUMMYFUNCTION("""COMPUTED_VALUE"""),"POTS XXL 6 PCS, POTS XL 12 PCS.  ")</f>
        <v>POTS XXL 6 PCS, POTS XL 12 PCS.  </v>
      </c>
      <c r="E2656" s="196" t="str">
        <f>IFERROR(__xludf.DUMMYFUNCTION("""COMPUTED_VALUE"""),"GARDEN MAINTENANCE ")</f>
        <v>GARDEN MAINTENANCE </v>
      </c>
    </row>
    <row r="2657">
      <c r="A2657" s="234">
        <f>IFERROR(__xludf.DUMMYFUNCTION("""COMPUTED_VALUE"""),102948.0)</f>
        <v>102948</v>
      </c>
      <c r="B2657" s="235" t="str">
        <f>IFERROR(__xludf.DUMMYFUNCTION("""COMPUTED_VALUE"""),"ALFA DE LEON")</f>
        <v>ALFA DE LEON</v>
      </c>
      <c r="C2657" s="235" t="str">
        <f>IFERROR(__xludf.DUMMYFUNCTION("""COMPUTED_VALUE"""),"LANDSCAPING")</f>
        <v>LANDSCAPING</v>
      </c>
      <c r="D2657" s="196" t="str">
        <f>IFERROR(__xludf.DUMMYFUNCTION("""COMPUTED_VALUE"""),"FURUDAN 2 PCS., KARATE 2 PCS., COMPLETE 1 PC. ")</f>
        <v>FURUDAN 2 PCS., KARATE 2 PCS., COMPLETE 1 PC. </v>
      </c>
      <c r="E2657" s="196" t="str">
        <f>IFERROR(__xludf.DUMMYFUNCTION("""COMPUTED_VALUE"""),"GARDEN MAINTENANCE ")</f>
        <v>GARDEN MAINTENANCE </v>
      </c>
    </row>
    <row r="2658">
      <c r="A2658" s="234">
        <f>IFERROR(__xludf.DUMMYFUNCTION("""COMPUTED_VALUE"""),102949.0)</f>
        <v>102949</v>
      </c>
      <c r="B2658" s="235" t="str">
        <f>IFERROR(__xludf.DUMMYFUNCTION("""COMPUTED_VALUE"""),"RAQUELYN NUÑEZ ")</f>
        <v>RAQUELYN NUÑEZ </v>
      </c>
      <c r="C2658" s="235" t="str">
        <f>IFERROR(__xludf.DUMMYFUNCTION("""COMPUTED_VALUE"""),"ADMIN")</f>
        <v>ADMIN</v>
      </c>
      <c r="D2658" s="196" t="str">
        <f>IFERROR(__xludf.DUMMYFUNCTION("""COMPUTED_VALUE"""),"CENTER TABLE 1 PC. TV RACK 1 PC, 1 CARPET")</f>
        <v>CENTER TABLE 1 PC. TV RACK 1 PC, 1 CARPET</v>
      </c>
      <c r="E2658" s="196" t="str">
        <f>IFERROR(__xludf.DUMMYFUNCTION("""COMPUTED_VALUE"""),"ADDTL FIXTURES FOR NARRA")</f>
        <v>ADDTL FIXTURES FOR NARRA</v>
      </c>
    </row>
    <row r="2659">
      <c r="A2659" s="234">
        <f>IFERROR(__xludf.DUMMYFUNCTION("""COMPUTED_VALUE"""),102950.0)</f>
        <v>102950</v>
      </c>
      <c r="B2659" s="235" t="str">
        <f>IFERROR(__xludf.DUMMYFUNCTION("""COMPUTED_VALUE"""),"BRENT TEMPLO ")</f>
        <v>BRENT TEMPLO </v>
      </c>
      <c r="C2659" s="235" t="str">
        <f>IFERROR(__xludf.DUMMYFUNCTION("""COMPUTED_VALUE"""),"AMD")</f>
        <v>AMD</v>
      </c>
      <c r="D2659" s="196" t="str">
        <f>IFERROR(__xludf.DUMMYFUNCTION("""COMPUTED_VALUE"""),"PAPER, COPY LASER A4 ")</f>
        <v>PAPER, COPY LASER A4 </v>
      </c>
      <c r="E2659" s="196" t="str">
        <f>IFERROR(__xludf.DUMMYFUNCTION("""COMPUTED_VALUE"""),"OSSUP REPENISHMENT")</f>
        <v>OSSUP REPENISHMENT</v>
      </c>
    </row>
    <row r="2660">
      <c r="A2660" s="234">
        <f>IFERROR(__xludf.DUMMYFUNCTION("""COMPUTED_VALUE"""),102951.0)</f>
        <v>102951</v>
      </c>
      <c r="B2660" s="235" t="str">
        <f>IFERROR(__xludf.DUMMYFUNCTION("""COMPUTED_VALUE"""),"ELONA DELA IGLESIA ")</f>
        <v>ELONA DELA IGLESIA </v>
      </c>
      <c r="C2660" s="235" t="str">
        <f>IFERROR(__xludf.DUMMYFUNCTION("""COMPUTED_VALUE"""),"FINANCE &amp; ACCOUNTING")</f>
        <v>FINANCE &amp; ACCOUNTING</v>
      </c>
      <c r="D2660" s="196" t="str">
        <f>IFERROR(__xludf.DUMMYFUNCTION("""COMPUTED_VALUE"""),"PAPER SHREDDER")</f>
        <v>PAPER SHREDDER</v>
      </c>
      <c r="E2660" s="196" t="str">
        <f>IFERROR(__xludf.DUMMYFUNCTION("""COMPUTED_VALUE"""),"OSSUP REPENISHMENT")</f>
        <v>OSSUP REPENISHMENT</v>
      </c>
    </row>
    <row r="2661">
      <c r="A2661" s="234">
        <f>IFERROR(__xludf.DUMMYFUNCTION("""COMPUTED_VALUE"""),102952.0)</f>
        <v>102952</v>
      </c>
      <c r="B2661" s="235" t="str">
        <f>IFERROR(__xludf.DUMMYFUNCTION("""COMPUTED_VALUE"""),"OWIE PAR ")</f>
        <v>OWIE PAR </v>
      </c>
      <c r="C2661" s="235" t="str">
        <f>IFERROR(__xludf.DUMMYFUNCTION("""COMPUTED_VALUE"""),"ADMIN")</f>
        <v>ADMIN</v>
      </c>
      <c r="D2661" s="196" t="str">
        <f>IFERROR(__xludf.DUMMYFUNCTION("""COMPUTED_VALUE"""),"PPR PIPE # 1 1/2, PPR PIPE # 1 1/2, PPR COUPLING # 1 1/2, PPR TEE # 1 1/2, PPR COUPLING REDUCER # 1 1/2 X 1/2, PPR MALE ADAPTOR # 1 1/2, PPR MALE ADAPTOR # 1/2, PPR ELBOW # 1/2, PVC FEMALE  ADAPTOR ADAPTOR # 1/2, PVC FEMALE  ADAPTOR # 1/2, PPR ELBOW #  1/"&amp;"2, PVC FEMALE ADAPTOR # 1/2, BRASS GATE VALVE KITZ 1 1/2, BRASS GATE VALVE KITZ 1/2")</f>
        <v>PPR PIPE # 1 1/2, PPR PIPE # 1 1/2, PPR COUPLING # 1 1/2, PPR TEE # 1 1/2, PPR COUPLING REDUCER # 1 1/2 X 1/2, PPR MALE ADAPTOR # 1 1/2, PPR MALE ADAPTOR # 1/2, PPR ELBOW # 1/2, PVC FEMALE  ADAPTOR ADAPTOR # 1/2, PVC FEMALE  ADAPTOR # 1/2, PPR ELBOW #  1/2, PVC FEMALE ADAPTOR # 1/2, BRASS GATE VALVE KITZ 1 1/2, BRASS GATE VALVE KITZ 1/2</v>
      </c>
      <c r="E2661" s="196" t="str">
        <f>IFERROR(__xludf.DUMMYFUNCTION("""COMPUTED_VALUE"""),"CONNECTION OF H2o, SUPPLY FROM COL BLDG TO NARRA HOUSE")</f>
        <v>CONNECTION OF H2o, SUPPLY FROM COL BLDG TO NARRA HOUSE</v>
      </c>
    </row>
    <row r="2662">
      <c r="A2662" s="234">
        <f>IFERROR(__xludf.DUMMYFUNCTION("""COMPUTED_VALUE"""),102953.0)</f>
        <v>102953</v>
      </c>
      <c r="B2662" s="235" t="str">
        <f>IFERROR(__xludf.DUMMYFUNCTION("""COMPUTED_VALUE"""),"OWIE PAR ")</f>
        <v>OWIE PAR </v>
      </c>
      <c r="C2662" s="235" t="str">
        <f>IFERROR(__xludf.DUMMYFUNCTION("""COMPUTED_VALUE"""),"ADMIN")</f>
        <v>ADMIN</v>
      </c>
      <c r="D2662" s="196" t="str">
        <f>IFERROR(__xludf.DUMMYFUNCTION("""COMPUTED_VALUE"""),"SOLVEN CEMENT (NELTEX), TEFLON TAPE 1/2")</f>
        <v>SOLVEN CEMENT (NELTEX), TEFLON TAPE 1/2</v>
      </c>
      <c r="E2662" s="196" t="str">
        <f>IFERROR(__xludf.DUMMYFUNCTION("""COMPUTED_VALUE"""),"WATER SUPPLY FOR NARRA HOUSE")</f>
        <v>WATER SUPPLY FOR NARRA HOUSE</v>
      </c>
    </row>
    <row r="2663">
      <c r="A2663" s="234">
        <f>IFERROR(__xludf.DUMMYFUNCTION("""COMPUTED_VALUE"""),102954.0)</f>
        <v>102954</v>
      </c>
      <c r="B2663" s="235" t="str">
        <f>IFERROR(__xludf.DUMMYFUNCTION("""COMPUTED_VALUE"""),"OWIE PAR")</f>
        <v>OWIE PAR</v>
      </c>
      <c r="C2663" s="235" t="str">
        <f>IFERROR(__xludf.DUMMYFUNCTION("""COMPUTED_VALUE"""),"ENGINEERING")</f>
        <v>ENGINEERING</v>
      </c>
      <c r="D2663" s="196" t="str">
        <f>IFERROR(__xludf.DUMMYFUNCTION("""COMPUTED_VALUE"""),"4.0 HP DAIKEN CEILING CASSETTE TYPE INVERTER ")</f>
        <v>4.0 HP DAIKEN CEILING CASSETTE TYPE INVERTER </v>
      </c>
      <c r="E2663" s="196" t="str">
        <f>IFERROR(__xludf.DUMMYFUNCTION("""COMPUTED_VALUE"""),"IMPROVEMENTS OF ACU IN BASIC ED FACULTY")</f>
        <v>IMPROVEMENTS OF ACU IN BASIC ED FACULTY</v>
      </c>
    </row>
    <row r="2664">
      <c r="A2664" s="234">
        <f>IFERROR(__xludf.DUMMYFUNCTION("""COMPUTED_VALUE"""),102955.0)</f>
        <v>102955</v>
      </c>
      <c r="B2664" s="235" t="str">
        <f>IFERROR(__xludf.DUMMYFUNCTION("""COMPUTED_VALUE"""),"BRENT TEMPLO")</f>
        <v>BRENT TEMPLO</v>
      </c>
      <c r="C2664" s="235" t="str">
        <f>IFERROR(__xludf.DUMMYFUNCTION("""COMPUTED_VALUE"""),"AMD")</f>
        <v>AMD</v>
      </c>
      <c r="D2664" s="196" t="str">
        <f>IFERROR(__xludf.DUMMYFUNCTION("""COMPUTED_VALUE"""),"500 PCS. BATTERY ENERGIZER AA")</f>
        <v>500 PCS. BATTERY ENERGIZER AA</v>
      </c>
      <c r="E2664" s="196" t="str">
        <f>IFERROR(__xludf.DUMMYFUNCTION("""COMPUTED_VALUE"""),"OSSUP REPLENISHMENT")</f>
        <v>OSSUP REPLENISHMENT</v>
      </c>
    </row>
    <row r="2665">
      <c r="A2665" s="234">
        <f>IFERROR(__xludf.DUMMYFUNCTION("""COMPUTED_VALUE"""),102956.0)</f>
        <v>102956</v>
      </c>
      <c r="B2665" s="235" t="str">
        <f>IFERROR(__xludf.DUMMYFUNCTION("""COMPUTED_VALUE"""),"ELMIE LAUDITO")</f>
        <v>ELMIE LAUDITO</v>
      </c>
      <c r="C2665" s="235" t="str">
        <f>IFERROR(__xludf.DUMMYFUNCTION("""COMPUTED_VALUE"""),"HRMD")</f>
        <v>HRMD</v>
      </c>
      <c r="D2665" s="196" t="str">
        <f>IFERROR(__xludf.DUMMYFUNCTION("""COMPUTED_VALUE"""),"FLOWER WREATH ")</f>
        <v>FLOWER WREATH </v>
      </c>
      <c r="E2665" s="196" t="str">
        <f>IFERROR(__xludf.DUMMYFUNCTION("""COMPUTED_VALUE"""),"FOR THE FATHER OF MS. MYRA LYKA DE LEON")</f>
        <v>FOR THE FATHER OF MS. MYRA LYKA DE LEON</v>
      </c>
    </row>
    <row r="2666">
      <c r="A2666" s="234">
        <f>IFERROR(__xludf.DUMMYFUNCTION("""COMPUTED_VALUE"""),102957.0)</f>
        <v>102957</v>
      </c>
      <c r="B2666" s="235" t="str">
        <f>IFERROR(__xludf.DUMMYFUNCTION("""COMPUTED_VALUE"""),"ELMIE LAUDITO")</f>
        <v>ELMIE LAUDITO</v>
      </c>
      <c r="C2666" s="235" t="str">
        <f>IFERROR(__xludf.DUMMYFUNCTION("""COMPUTED_VALUE"""),"HRMD")</f>
        <v>HRMD</v>
      </c>
      <c r="D2666" s="196" t="str">
        <f>IFERROR(__xludf.DUMMYFUNCTION("""COMPUTED_VALUE"""),"FLOWER WREATH ")</f>
        <v>FLOWER WREATH </v>
      </c>
      <c r="E2666" s="196" t="str">
        <f>IFERROR(__xludf.DUMMYFUNCTION("""COMPUTED_VALUE"""),"FOR THE FATHER OF MS. MARY ANN BARADAS")</f>
        <v>FOR THE FATHER OF MS. MARY ANN BARADAS</v>
      </c>
    </row>
    <row r="2667">
      <c r="A2667" s="234">
        <f>IFERROR(__xludf.DUMMYFUNCTION("""COMPUTED_VALUE"""),102958.0)</f>
        <v>102958</v>
      </c>
      <c r="B2667" s="235" t="str">
        <f>IFERROR(__xludf.DUMMYFUNCTION("""COMPUTED_VALUE"""),"ALFA DE LEON")</f>
        <v>ALFA DE LEON</v>
      </c>
      <c r="C2667" s="235" t="str">
        <f>IFERROR(__xludf.DUMMYFUNCTION("""COMPUTED_VALUE"""),"ADMIN - MUNICH")</f>
        <v>ADMIN - MUNICH</v>
      </c>
      <c r="D2667" s="196" t="str">
        <f>IFERROR(__xludf.DUMMYFUNCTION("""COMPUTED_VALUE"""),"FLAT CORD WIRE #16, ELECTRICAL TAPE")</f>
        <v>FLAT CORD WIRE #16, ELECTRICAL TAPE</v>
      </c>
      <c r="E2667" s="196" t="str">
        <f>IFERROR(__xludf.DUMMYFUNCTION("""COMPUTED_VALUE"""),"FOR THE INSTALLATION OF CAPIZ PANEL IN COLLEGE, LUX, TROPICAL, &amp; MUNICH")</f>
        <v>FOR THE INSTALLATION OF CAPIZ PANEL IN COLLEGE, LUX, TROPICAL, &amp; MUNICH</v>
      </c>
    </row>
    <row r="2668">
      <c r="A2668" s="234">
        <f>IFERROR(__xludf.DUMMYFUNCTION("""COMPUTED_VALUE"""),102959.0)</f>
        <v>102959</v>
      </c>
      <c r="B2668" s="235" t="str">
        <f>IFERROR(__xludf.DUMMYFUNCTION("""COMPUTED_VALUE"""),"ALFA DE LEON")</f>
        <v>ALFA DE LEON</v>
      </c>
      <c r="C2668" s="235" t="str">
        <f>IFERROR(__xludf.DUMMYFUNCTION("""COMPUTED_VALUE"""),"ADMIN - MUNICH")</f>
        <v>ADMIN - MUNICH</v>
      </c>
      <c r="D2668" s="196" t="str">
        <f>IFERROR(__xludf.DUMMYFUNCTION("""COMPUTED_VALUE"""),"BULB 5A, LED ROPE LIGHT WARM WHITE, ROPE LIGHT GREEN, ROPE LIGHT BLUE, ROPE LIGHT RED, ROPE LIGHT YELLOW, CABLE TIE")</f>
        <v>BULB 5A, LED ROPE LIGHT WARM WHITE, ROPE LIGHT GREEN, ROPE LIGHT BLUE, ROPE LIGHT RED, ROPE LIGHT YELLOW, CABLE TIE</v>
      </c>
      <c r="E2668" s="196" t="str">
        <f>IFERROR(__xludf.DUMMYFUNCTION("""COMPUTED_VALUE"""),"REPAIRS &amp; MAINTENANCE OF CAPIZ PANEL")</f>
        <v>REPAIRS &amp; MAINTENANCE OF CAPIZ PANEL</v>
      </c>
    </row>
    <row r="2669">
      <c r="A2669" s="234">
        <f>IFERROR(__xludf.DUMMYFUNCTION("""COMPUTED_VALUE"""),102960.0)</f>
        <v>102960</v>
      </c>
      <c r="B2669" s="235" t="str">
        <f>IFERROR(__xludf.DUMMYFUNCTION("""COMPUTED_VALUE"""),"ALFA DE LEON")</f>
        <v>ALFA DE LEON</v>
      </c>
      <c r="C2669" s="235" t="str">
        <f>IFERROR(__xludf.DUMMYFUNCTION("""COMPUTED_VALUE"""),"ADMIN - MUNICH")</f>
        <v>ADMIN - MUNICH</v>
      </c>
      <c r="D2669" s="196" t="str">
        <f>IFERROR(__xludf.DUMMYFUNCTION("""COMPUTED_VALUE"""),"ACRYLIC SCHEDULER")</f>
        <v>ACRYLIC SCHEDULER</v>
      </c>
      <c r="E2669" s="196" t="str">
        <f>IFERROR(__xludf.DUMMYFUNCTION("""COMPUTED_VALUE"""),"INSTALLATION OF SCHEDULE(CLASSROOM &amp; CR)")</f>
        <v>INSTALLATION OF SCHEDULE(CLASSROOM &amp; CR)</v>
      </c>
    </row>
    <row r="2670">
      <c r="A2670" s="234">
        <f>IFERROR(__xludf.DUMMYFUNCTION("""COMPUTED_VALUE"""),102961.0)</f>
        <v>102961</v>
      </c>
      <c r="B2670" s="235" t="str">
        <f>IFERROR(__xludf.DUMMYFUNCTION("""COMPUTED_VALUE"""),"RORY MANSBRIDGE")</f>
        <v>RORY MANSBRIDGE</v>
      </c>
      <c r="C2670" s="235" t="str">
        <f>IFERROR(__xludf.DUMMYFUNCTION("""COMPUTED_VALUE"""),"ATHLETICS")</f>
        <v>ATHLETICS</v>
      </c>
      <c r="D2670" s="196" t="str">
        <f>IFERROR(__xludf.DUMMYFUNCTION("""COMPUTED_VALUE"""),"PUMA SIZE 4(OUTDOOR), PUMA SIZE 5(OUTDOOR), MOLTEN GG6 BASKETBALL, MOLTEN GG7 BASKETBALL")</f>
        <v>PUMA SIZE 4(OUTDOOR), PUMA SIZE 5(OUTDOOR), MOLTEN GG6 BASKETBALL, MOLTEN GG7 BASKETBALL</v>
      </c>
      <c r="E2670" s="196" t="str">
        <f>IFERROR(__xludf.DUMMYFUNCTION("""COMPUTED_VALUE"""),"VARSITY PRACTICES/GAMES(FOR ISAC COMPETITION)")</f>
        <v>VARSITY PRACTICES/GAMES(FOR ISAC COMPETITION)</v>
      </c>
    </row>
    <row r="2671">
      <c r="A2671" s="234">
        <f>IFERROR(__xludf.DUMMYFUNCTION("""COMPUTED_VALUE"""),102962.0)</f>
        <v>102962</v>
      </c>
      <c r="B2671" s="235" t="str">
        <f>IFERROR(__xludf.DUMMYFUNCTION("""COMPUTED_VALUE"""),"OWIE PAR")</f>
        <v>OWIE PAR</v>
      </c>
      <c r="C2671" s="235" t="str">
        <f>IFERROR(__xludf.DUMMYFUNCTION("""COMPUTED_VALUE"""),"ENGINEERING")</f>
        <v>ENGINEERING</v>
      </c>
      <c r="D2671" s="196" t="str">
        <f>IFERROR(__xludf.DUMMYFUNCTION("""COMPUTED_VALUE"""),"POLY CARBONATED 4FT X X 25 FT 3M (1PC), ALUMINUM FLAT BAR 2""10 (2 PCS), SILICON SEALANT  CLEAR (3TUBE), TEK SCREW #1 METAL (100 PCS)")</f>
        <v>POLY CARBONATED 4FT X X 25 FT 3M (1PC), ALUMINUM FLAT BAR 2"10 (2 PCS), SILICON SEALANT  CLEAR (3TUBE), TEK SCREW #1 METAL (100 PCS)</v>
      </c>
      <c r="E2671" s="196" t="str">
        <f>IFERROR(__xludf.DUMMYFUNCTION("""COMPUTED_VALUE"""),"FOR SCHOLARS HOUSE GIRLS REPLACEMENT DAMAGED B TYPHOON")</f>
        <v>FOR SCHOLARS HOUSE GIRLS REPLACEMENT DAMAGED B TYPHOON</v>
      </c>
    </row>
    <row r="2672">
      <c r="A2672" s="234">
        <f>IFERROR(__xludf.DUMMYFUNCTION("""COMPUTED_VALUE"""),102963.0)</f>
        <v>102963</v>
      </c>
      <c r="B2672" s="235" t="str">
        <f>IFERROR(__xludf.DUMMYFUNCTION("""COMPUTED_VALUE"""),"SHEREE E./ ALFA  D./PHEN P.")</f>
        <v>SHEREE E./ ALFA  D./PHEN P.</v>
      </c>
      <c r="C2672" s="235" t="str">
        <f>IFERROR(__xludf.DUMMYFUNCTION("""COMPUTED_VALUE"""),"ADMIN")</f>
        <v>ADMIN</v>
      </c>
      <c r="D2672" s="196" t="str">
        <f>IFERROR(__xludf.DUMMYFUNCTION("""COMPUTED_VALUE"""),"(3 PCS) CHRISTMAS THREE 8 TO 10 FT, (25 PCS) ASSORTED BALLS 70-100 MM, (7 DOZ) POINSETTIA, (10 DOZ) PICKS,(52 SWAG) GARLAND, (9PCS) SINAMAY, (50PCS) NOIST TWINE, (11 DOZ) TWIGS ASSTD., (5 DOZ) LEAVES, (5 DOZ) ASSORTED FLOWERS")</f>
        <v>(3 PCS) CHRISTMAS THREE 8 TO 10 FT, (25 PCS) ASSORTED BALLS 70-100 MM, (7 DOZ) POINSETTIA, (10 DOZ) PICKS,(52 SWAG) GARLAND, (9PCS) SINAMAY, (50PCS) NOIST TWINE, (11 DOZ) TWIGS ASSTD., (5 DOZ) LEAVES, (5 DOZ) ASSORTED FLOWERS</v>
      </c>
      <c r="E2672" s="196" t="str">
        <f>IFERROR(__xludf.DUMMYFUNCTION("""COMPUTED_VALUE"""),"CHRISTMAS DECORS ")</f>
        <v>CHRISTMAS DECORS </v>
      </c>
    </row>
    <row r="2673">
      <c r="A2673" s="234">
        <f>IFERROR(__xludf.DUMMYFUNCTION("""COMPUTED_VALUE"""),102964.0)</f>
        <v>102964</v>
      </c>
      <c r="B2673" s="235" t="str">
        <f>IFERROR(__xludf.DUMMYFUNCTION("""COMPUTED_VALUE"""),"SHEREE E./ ALFA  D./PHEN P.")</f>
        <v>SHEREE E./ ALFA  D./PHEN P.</v>
      </c>
      <c r="C2673" s="235" t="str">
        <f>IFERROR(__xludf.DUMMYFUNCTION("""COMPUTED_VALUE"""),"ADMIN")</f>
        <v>ADMIN</v>
      </c>
      <c r="D2673" s="196" t="str">
        <f>IFERROR(__xludf.DUMMYFUNCTION("""COMPUTED_VALUE"""),"25 PCS CURTAIN LIGHTS, 105 PCS CHRISTMAS LIGHTS LED")</f>
        <v>25 PCS CURTAIN LIGHTS, 105 PCS CHRISTMAS LIGHTS LED</v>
      </c>
      <c r="E2673" s="196" t="str">
        <f>IFERROR(__xludf.DUMMYFUNCTION("""COMPUTED_VALUE"""),"CHRISTMAS DECORS ")</f>
        <v>CHRISTMAS DECORS </v>
      </c>
    </row>
    <row r="2674">
      <c r="A2674" s="234">
        <f>IFERROR(__xludf.DUMMYFUNCTION("""COMPUTED_VALUE"""),102965.0)</f>
        <v>102965</v>
      </c>
      <c r="B2674" s="235" t="str">
        <f>IFERROR(__xludf.DUMMYFUNCTION("""COMPUTED_VALUE"""),"ALFA DE LEON /PHEN PETIN")</f>
        <v>ALFA DE LEON /PHEN PETIN</v>
      </c>
      <c r="C2674" s="235" t="str">
        <f>IFERROR(__xludf.DUMMYFUNCTION("""COMPUTED_VALUE"""),"ADMIN")</f>
        <v>ADMIN</v>
      </c>
      <c r="D2674" s="196" t="str">
        <f>IFERROR(__xludf.DUMMYFUNCTION("""COMPUTED_VALUE"""),"(2 PCS) MOP SQUEEZER RUBBER MAID, (5PCS) DOOR MATS 240CM")</f>
        <v>(2 PCS) MOP SQUEEZER RUBBER MAID, (5PCS) DOOR MATS 240CM</v>
      </c>
      <c r="E2674" s="196" t="str">
        <f>IFERROR(__xludf.DUMMYFUNCTION("""COMPUTED_VALUE"""),"REPLACEMENT OF BROKEN MOP SQUEEZER FOR STAR CAMPUS AND MUNICH")</f>
        <v>REPLACEMENT OF BROKEN MOP SQUEEZER FOR STAR CAMPUS AND MUNICH</v>
      </c>
    </row>
    <row r="2675">
      <c r="A2675" s="234">
        <f>IFERROR(__xludf.DUMMYFUNCTION("""COMPUTED_VALUE"""),102966.0)</f>
        <v>102966</v>
      </c>
      <c r="B2675" s="235" t="str">
        <f>IFERROR(__xludf.DUMMYFUNCTION("""COMPUTED_VALUE"""),"TIM DIOSAY")</f>
        <v>TIM DIOSAY</v>
      </c>
      <c r="C2675" s="235" t="str">
        <f>IFERROR(__xludf.DUMMYFUNCTION("""COMPUTED_VALUE"""),"FACILITIES")</f>
        <v>FACILITIES</v>
      </c>
      <c r="D2675" s="196" t="str">
        <f>IFERROR(__xludf.DUMMYFUNCTION("""COMPUTED_VALUE"""),"(8 PCS) NEKO SWISS M2 9W TF2 4000K PUND FIXED LED DOWNLIGHT WHITE 40 DEG. W/ TRIDONIC DRIVER PHASE WITH WHITE REFLECTOR AND FROSTED FILM, (5SETS) 60X61 CM SQUARE TROFFER BY SPARKLIGHT W/ LED LIGHTS TUBE, (1PC) LD SERIES EXHAUST FAN, (1SET) TAPELIGHT 1.12 "&amp;"M, 2SET TAPELIGHT 2.53 M")</f>
        <v>(8 PCS) NEKO SWISS M2 9W TF2 4000K PUND FIXED LED DOWNLIGHT WHITE 40 DEG. W/ TRIDONIC DRIVER PHASE WITH WHITE REFLECTOR AND FROSTED FILM, (5SETS) 60X61 CM SQUARE TROFFER BY SPARKLIGHT W/ LED LIGHTS TUBE, (1PC) LD SERIES EXHAUST FAN, (1SET) TAPELIGHT 1.12 M, 2SET TAPELIGHT 2.53 M</v>
      </c>
      <c r="E2675" s="196" t="str">
        <f>IFERROR(__xludf.DUMMYFUNCTION("""COMPUTED_VALUE"""),"LIGHTING FIXTURES FOR PRESIDENT'S OFFICE ")</f>
        <v>LIGHTING FIXTURES FOR PRESIDENT'S OFFICE </v>
      </c>
    </row>
    <row r="2676">
      <c r="A2676" s="234">
        <f>IFERROR(__xludf.DUMMYFUNCTION("""COMPUTED_VALUE"""),102967.0)</f>
        <v>102967</v>
      </c>
      <c r="B2676" s="235" t="str">
        <f>IFERROR(__xludf.DUMMYFUNCTION("""COMPUTED_VALUE"""),"ALFA DE LEON/ PHEN P. ")</f>
        <v>ALFA DE LEON/ PHEN P. </v>
      </c>
      <c r="C2676" s="235" t="str">
        <f>IFERROR(__xludf.DUMMYFUNCTION("""COMPUTED_VALUE"""),"ADMIN")</f>
        <v>ADMIN</v>
      </c>
      <c r="D2676" s="196" t="str">
        <f>IFERROR(__xludf.DUMMYFUNCTION("""COMPUTED_VALUE"""),"(1ROLL) FLAT CORD #16, 7 PCS OUTLET 4 GANG")</f>
        <v>(1ROLL) FLAT CORD #16, 7 PCS OUTLET 4 GANG</v>
      </c>
      <c r="E2676" s="196" t="str">
        <f>IFERROR(__xludf.DUMMYFUNCTION("""COMPUTED_VALUE"""),"EXTENSION WIRES FOR STAR CAMPUS (REPLACEMENT OF VERY OLD EXTENSION)")</f>
        <v>EXTENSION WIRES FOR STAR CAMPUS (REPLACEMENT OF VERY OLD EXTENSION)</v>
      </c>
    </row>
    <row r="2677">
      <c r="A2677" s="234">
        <f>IFERROR(__xludf.DUMMYFUNCTION("""COMPUTED_VALUE"""),102968.0)</f>
        <v>102968</v>
      </c>
      <c r="B2677" s="235" t="str">
        <f>IFERROR(__xludf.DUMMYFUNCTION("""COMPUTED_VALUE"""),"ALFA DE LEON")</f>
        <v>ALFA DE LEON</v>
      </c>
      <c r="C2677" s="235" t="str">
        <f>IFERROR(__xludf.DUMMYFUNCTION("""COMPUTED_VALUE"""),"ADMIN - STAR")</f>
        <v>ADMIN - STAR</v>
      </c>
      <c r="D2677" s="196" t="str">
        <f>IFERROR(__xludf.DUMMYFUNCTION("""COMPUTED_VALUE"""),"12 PCS. CURTAIN LIGHTS LED ")</f>
        <v>12 PCS. CURTAIN LIGHTS LED </v>
      </c>
      <c r="E2677" s="196" t="str">
        <f>IFERROR(__xludf.DUMMYFUNCTION("""COMPUTED_VALUE"""),"CHRISTMAS DECOR- STAR CAMPUS")</f>
        <v>CHRISTMAS DECOR- STAR CAMPUS</v>
      </c>
    </row>
    <row r="2678">
      <c r="A2678" s="234">
        <f>IFERROR(__xludf.DUMMYFUNCTION("""COMPUTED_VALUE"""),102969.0)</f>
        <v>102969</v>
      </c>
      <c r="B2678" s="235" t="str">
        <f>IFERROR(__xludf.DUMMYFUNCTION("""COMPUTED_VALUE"""),"ALFA DE LEON")</f>
        <v>ALFA DE LEON</v>
      </c>
      <c r="C2678" s="235" t="str">
        <f>IFERROR(__xludf.DUMMYFUNCTION("""COMPUTED_VALUE"""),"ADMIN - MUNICH")</f>
        <v>ADMIN - MUNICH</v>
      </c>
      <c r="D2678" s="196" t="str">
        <f>IFERROR(__xludf.DUMMYFUNCTION("""COMPUTED_VALUE"""),"(6 PCS) FLOURESCENT SMALL WITH HOUSING 9 WATTS")</f>
        <v>(6 PCS) FLOURESCENT SMALL WITH HOUSING 9 WATTS</v>
      </c>
      <c r="E2678" s="196" t="str">
        <f>IFERROR(__xludf.DUMMYFUNCTION("""COMPUTED_VALUE"""),"REPAIRS AND MAINTENANCE OF MUNICH PATHWAY")</f>
        <v>REPAIRS AND MAINTENANCE OF MUNICH PATHWAY</v>
      </c>
    </row>
    <row r="2679">
      <c r="A2679" s="234">
        <f>IFERROR(__xludf.DUMMYFUNCTION("""COMPUTED_VALUE"""),102970.0)</f>
        <v>102970</v>
      </c>
      <c r="B2679" s="235" t="str">
        <f>IFERROR(__xludf.DUMMYFUNCTION("""COMPUTED_VALUE"""),"ALFA DE LEON")</f>
        <v>ALFA DE LEON</v>
      </c>
      <c r="C2679" s="235" t="str">
        <f>IFERROR(__xludf.DUMMYFUNCTION("""COMPUTED_VALUE"""),"ADMIN - MUNICH")</f>
        <v>ADMIN - MUNICH</v>
      </c>
      <c r="D2679" s="196" t="str">
        <f>IFERROR(__xludf.DUMMYFUNCTION("""COMPUTED_VALUE"""),"30 METERS THHN WIRE #12, (2PCS) AMCO BOX, (2PCS) OUTLET 2 GANG")</f>
        <v>30 METERS THHN WIRE #12, (2PCS) AMCO BOX, (2PCS) OUTLET 2 GANG</v>
      </c>
      <c r="E2679" s="196" t="str">
        <f>IFERROR(__xludf.DUMMYFUNCTION("""COMPUTED_VALUE"""),"REINSTALLATION OF WIRINGS OF SOUNDBOOTH IN MUNICH")</f>
        <v>REINSTALLATION OF WIRINGS OF SOUNDBOOTH IN MUNICH</v>
      </c>
    </row>
    <row r="2680">
      <c r="A2680" s="234">
        <f>IFERROR(__xludf.DUMMYFUNCTION("""COMPUTED_VALUE"""),102971.0)</f>
        <v>102971</v>
      </c>
      <c r="B2680" s="235" t="str">
        <f>IFERROR(__xludf.DUMMYFUNCTION("""COMPUTED_VALUE"""),"SHEREE ESPINOSA ")</f>
        <v>SHEREE ESPINOSA </v>
      </c>
      <c r="C2680" s="235" t="str">
        <f>IFERROR(__xludf.DUMMYFUNCTION("""COMPUTED_VALUE"""),"ADMIN")</f>
        <v>ADMIN</v>
      </c>
      <c r="D2680" s="196" t="str">
        <f>IFERROR(__xludf.DUMMYFUNCTION("""COMPUTED_VALUE"""),"(5 PCS) ORBIT FANS- SAME SPECS OF EXISTING")</f>
        <v>(5 PCS) ORBIT FANS- SAME SPECS OF EXISTING</v>
      </c>
      <c r="E2680" s="196" t="str">
        <f>IFERROR(__xludf.DUMMYFUNCTION("""COMPUTED_VALUE"""),"REPLACEMENT FOR NURSING FACULTY AND COLLEGE CLASSROOMS")</f>
        <v>REPLACEMENT FOR NURSING FACULTY AND COLLEGE CLASSROOMS</v>
      </c>
    </row>
    <row r="2681">
      <c r="A2681" s="234">
        <f>IFERROR(__xludf.DUMMYFUNCTION("""COMPUTED_VALUE"""),102972.0)</f>
        <v>102972</v>
      </c>
      <c r="B2681" s="235" t="str">
        <f>IFERROR(__xludf.DUMMYFUNCTION("""COMPUTED_VALUE"""),"SHEREE ESPINOSA ")</f>
        <v>SHEREE ESPINOSA </v>
      </c>
      <c r="C2681" s="235" t="str">
        <f>IFERROR(__xludf.DUMMYFUNCTION("""COMPUTED_VALUE"""),"ADMIN")</f>
        <v>ADMIN</v>
      </c>
      <c r="D2681" s="196" t="str">
        <f>IFERROR(__xludf.DUMMYFUNCTION("""COMPUTED_VALUE"""),"(20PCS) WATER GALLON ")</f>
        <v>(20PCS) WATER GALLON </v>
      </c>
      <c r="E2681" s="196" t="str">
        <f>IFERROR(__xludf.DUMMYFUNCTION("""COMPUTED_VALUE"""),"REPLACEMENT OF THE OLD WATER GALLON")</f>
        <v>REPLACEMENT OF THE OLD WATER GALLON</v>
      </c>
    </row>
    <row r="2682">
      <c r="A2682" s="234">
        <f>IFERROR(__xludf.DUMMYFUNCTION("""COMPUTED_VALUE"""),102973.0)</f>
        <v>102973</v>
      </c>
      <c r="B2682" s="235" t="str">
        <f>IFERROR(__xludf.DUMMYFUNCTION("""COMPUTED_VALUE"""),"OWIE PAR")</f>
        <v>OWIE PAR</v>
      </c>
      <c r="C2682" s="235" t="str">
        <f>IFERROR(__xludf.DUMMYFUNCTION("""COMPUTED_VALUE"""),"ADMIN")</f>
        <v>ADMIN</v>
      </c>
      <c r="D2682" s="196" t="str">
        <f>IFERROR(__xludf.DUMMYFUNCTION("""COMPUTED_VALUE"""),"ROOF GLUE MIGHTY SEALANT 20 PCS. ")</f>
        <v>ROOF GLUE MIGHTY SEALANT 20 PCS. </v>
      </c>
      <c r="E2682" s="196" t="str">
        <f>IFERROR(__xludf.DUMMYFUNCTION("""COMPUTED_VALUE"""),"FOR WATER PROOFING OF SISC VARIOUS LEAKS ")</f>
        <v>FOR WATER PROOFING OF SISC VARIOUS LEAKS </v>
      </c>
    </row>
    <row r="2683">
      <c r="A2683" s="234">
        <f>IFERROR(__xludf.DUMMYFUNCTION("""COMPUTED_VALUE"""),102974.0)</f>
        <v>102974</v>
      </c>
      <c r="B2683" s="235" t="str">
        <f>IFERROR(__xludf.DUMMYFUNCTION("""COMPUTED_VALUE"""),"JAYVEN POBLETE")</f>
        <v>JAYVEN POBLETE</v>
      </c>
      <c r="C2683" s="235" t="str">
        <f>IFERROR(__xludf.DUMMYFUNCTION("""COMPUTED_VALUE"""),"PR &amp; MARKETING")</f>
        <v>PR &amp; MARKETING</v>
      </c>
      <c r="D2683" s="196" t="str">
        <f>IFERROR(__xludf.DUMMYFUNCTION("""COMPUTED_VALUE"""),"1 pc. SOUTHVILLE STRANGER THINGS BACKDROP 8X8 FT.")</f>
        <v>1 pc. SOUTHVILLE STRANGER THINGS BACKDROP 8X8 FT.</v>
      </c>
      <c r="E2683" s="196" t="str">
        <f>IFERROR(__xludf.DUMMYFUNCTION("""COMPUTED_VALUE"""),"MARKETING")</f>
        <v>MARKETING</v>
      </c>
    </row>
    <row r="2684">
      <c r="A2684" s="234">
        <f>IFERROR(__xludf.DUMMYFUNCTION("""COMPUTED_VALUE"""),102975.0)</f>
        <v>102975</v>
      </c>
      <c r="B2684" s="235" t="str">
        <f>IFERROR(__xludf.DUMMYFUNCTION("""COMPUTED_VALUE"""),"MAURINE JHOY DOLLESIN")</f>
        <v>MAURINE JHOY DOLLESIN</v>
      </c>
      <c r="C2684" s="235" t="str">
        <f>IFERROR(__xludf.DUMMYFUNCTION("""COMPUTED_VALUE"""),"PRESIDENT'S OFFICE")</f>
        <v>PRESIDENT'S OFFICE</v>
      </c>
      <c r="D2684" s="196" t="str">
        <f>IFERROR(__xludf.DUMMYFUNCTION("""COMPUTED_VALUE"""),"FRAMELESSBEVELLED MIRROR CABINET")</f>
        <v>FRAMELESSBEVELLED MIRROR CABINET</v>
      </c>
      <c r="E2684" s="196" t="str">
        <f>IFERROR(__xludf.DUMMYFUNCTION("""COMPUTED_VALUE"""),"FOR THE NEW PRESIDENT'S OFFICE ")</f>
        <v>FOR THE NEW PRESIDENT'S OFFICE </v>
      </c>
    </row>
    <row r="2685">
      <c r="A2685" s="234">
        <f>IFERROR(__xludf.DUMMYFUNCTION("""COMPUTED_VALUE"""),102976.0)</f>
        <v>102976</v>
      </c>
      <c r="B2685" s="235" t="str">
        <f>IFERROR(__xludf.DUMMYFUNCTION("""COMPUTED_VALUE"""),"MARVIN DOMASIAN")</f>
        <v>MARVIN DOMASIAN</v>
      </c>
      <c r="C2685" s="235" t="str">
        <f>IFERROR(__xludf.DUMMYFUNCTION("""COMPUTED_VALUE"""),"AB COMM/MMA")</f>
        <v>AB COMM/MMA</v>
      </c>
      <c r="D2685" s="196" t="str">
        <f>IFERROR(__xludf.DUMMYFUNCTION("""COMPUTED_VALUE"""),"2 PCS. BATTERY PACK (CANON 1100D), 1 PC. BATTERY CHARGER (CANON 1100D)")</f>
        <v>2 PCS. BATTERY PACK (CANON 1100D), 1 PC. BATTERY CHARGER (CANON 1100D)</v>
      </c>
      <c r="E2685" s="196" t="str">
        <f>IFERROR(__xludf.DUMMYFUNCTION("""COMPUTED_VALUE"""),"TO REPLACE FAILING BATTERY PACK ABND CHARGER")</f>
        <v>TO REPLACE FAILING BATTERY PACK ABND CHARGER</v>
      </c>
    </row>
    <row r="2686">
      <c r="A2686" s="234">
        <f>IFERROR(__xludf.DUMMYFUNCTION("""COMPUTED_VALUE"""),102977.0)</f>
        <v>102977</v>
      </c>
      <c r="B2686" s="235" t="str">
        <f>IFERROR(__xludf.DUMMYFUNCTION("""COMPUTED_VALUE"""),"ALFA DE LEON")</f>
        <v>ALFA DE LEON</v>
      </c>
      <c r="C2686" s="235" t="str">
        <f>IFERROR(__xludf.DUMMYFUNCTION("""COMPUTED_VALUE"""),"ADMIN")</f>
        <v>ADMIN</v>
      </c>
      <c r="D2686" s="196" t="str">
        <f>IFERROR(__xludf.DUMMYFUNCTION("""COMPUTED_VALUE"""),"1 ROLL FLAT CORD 16")</f>
        <v>1 ROLL FLAT CORD 16</v>
      </c>
      <c r="E2686" s="196" t="str">
        <f>IFERROR(__xludf.DUMMYFUNCTION("""COMPUTED_VALUE"""),"INSTALLATION OF CAPIZ PAROL IN BF GATE")</f>
        <v>INSTALLATION OF CAPIZ PAROL IN BF GATE</v>
      </c>
    </row>
    <row r="2687">
      <c r="A2687" s="234">
        <f>IFERROR(__xludf.DUMMYFUNCTION("""COMPUTED_VALUE"""),102978.0)</f>
        <v>102978</v>
      </c>
      <c r="B2687" s="235" t="str">
        <f>IFERROR(__xludf.DUMMYFUNCTION("""COMPUTED_VALUE"""),"ALFA DE LEON")</f>
        <v>ALFA DE LEON</v>
      </c>
      <c r="C2687" s="235" t="str">
        <f>IFERROR(__xludf.DUMMYFUNCTION("""COMPUTED_VALUE"""),"ADMIN")</f>
        <v>ADMIN</v>
      </c>
      <c r="D2687" s="196" t="str">
        <f>IFERROR(__xludf.DUMMYFUNCTION("""COMPUTED_VALUE"""),"6 PCS. CURTAIN LIGHTS LED WARM WHITE, 10 CHRISTMAS LIGHTS LED WARM WHITE, 1 LOT ASSORTED PAINT")</f>
        <v>6 PCS. CURTAIN LIGHTS LED WARM WHITE, 10 CHRISTMAS LIGHTS LED WARM WHITE, 1 LOT ASSORTED PAINT</v>
      </c>
      <c r="E2687" s="196" t="str">
        <f>IFERROR(__xludf.DUMMYFUNCTION("""COMPUTED_VALUE"""),"BF NAGA GATE CHRISTMAS DECORS")</f>
        <v>BF NAGA GATE CHRISTMAS DECORS</v>
      </c>
    </row>
    <row r="2688">
      <c r="A2688" s="234">
        <f>IFERROR(__xludf.DUMMYFUNCTION("""COMPUTED_VALUE"""),102979.0)</f>
        <v>102979</v>
      </c>
      <c r="B2688" s="235" t="str">
        <f>IFERROR(__xludf.DUMMYFUNCTION("""COMPUTED_VALUE"""),"ALFA DE LEON")</f>
        <v>ALFA DE LEON</v>
      </c>
      <c r="C2688" s="235" t="str">
        <f>IFERROR(__xludf.DUMMYFUNCTION("""COMPUTED_VALUE"""),"ADMIN")</f>
        <v>ADMIN</v>
      </c>
      <c r="D2688" s="196" t="str">
        <f>IFERROR(__xludf.DUMMYFUNCTION("""COMPUTED_VALUE"""),"10 PCS. CAPIZ PAROL 42"" LED LIGHT COLOR PURPLE ")</f>
        <v>10 PCS. CAPIZ PAROL 42" LED LIGHT COLOR PURPLE </v>
      </c>
      <c r="E2688" s="196" t="str">
        <f>IFERROR(__xludf.DUMMYFUNCTION("""COMPUTED_VALUE"""),"BF NAGA GATE CHRISTMAS DECORS")</f>
        <v>BF NAGA GATE CHRISTMAS DECORS</v>
      </c>
    </row>
    <row r="2689">
      <c r="A2689" s="234">
        <f>IFERROR(__xludf.DUMMYFUNCTION("""COMPUTED_VALUE"""),102980.0)</f>
        <v>102980</v>
      </c>
      <c r="B2689" s="235" t="str">
        <f>IFERROR(__xludf.DUMMYFUNCTION("""COMPUTED_VALUE"""),"ARNEL MONTABLAN")</f>
        <v>ARNEL MONTABLAN</v>
      </c>
      <c r="C2689" s="235" t="str">
        <f>IFERROR(__xludf.DUMMYFUNCTION("""COMPUTED_VALUE"""),"FOUNDER'S SCHOLARS")</f>
        <v>FOUNDER'S SCHOLARS</v>
      </c>
      <c r="D2689" s="196" t="str">
        <f>IFERROR(__xludf.DUMMYFUNCTION("""COMPUTED_VALUE"""),"FIRST AID SUPPLIES, 6 PCS EMERGENCY LIGHTS")</f>
        <v>FIRST AID SUPPLIES, 6 PCS EMERGENCY LIGHTS</v>
      </c>
      <c r="E2689" s="196" t="str">
        <f>IFERROR(__xludf.DUMMYFUNCTION("""COMPUTED_VALUE"""),"FOR SCHOLAR'S USE/ EMERGENCY USE ")</f>
        <v>FOR SCHOLAR'S USE/ EMERGENCY USE </v>
      </c>
    </row>
    <row r="2690">
      <c r="A2690" s="234">
        <f>IFERROR(__xludf.DUMMYFUNCTION("""COMPUTED_VALUE"""),102981.0)</f>
        <v>102981</v>
      </c>
      <c r="B2690" s="235" t="str">
        <f>IFERROR(__xludf.DUMMYFUNCTION("""COMPUTED_VALUE"""),"PHEN PETIN")</f>
        <v>PHEN PETIN</v>
      </c>
      <c r="C2690" s="235" t="str">
        <f>IFERROR(__xludf.DUMMYFUNCTION("""COMPUTED_VALUE"""),"ADMIN - STAR")</f>
        <v>ADMIN - STAR</v>
      </c>
      <c r="D2690" s="196" t="str">
        <f>IFERROR(__xludf.DUMMYFUNCTION("""COMPUTED_VALUE"""),"4 PCS. EMERGENCY LIGHTS FOR CLINIC, FRONTGATE, 2ND FLOOR HALLWAY, RAMP AREA")</f>
        <v>4 PCS. EMERGENCY LIGHTS FOR CLINIC, FRONTGATE, 2ND FLOOR HALLWAY, RAMP AREA</v>
      </c>
      <c r="E2690" s="196" t="str">
        <f>IFERROR(__xludf.DUMMYFUNCTION("""COMPUTED_VALUE"""),"REPLACEMENT OF BUSTED EMERGENCY LIGHT IN STAR CAMPUS")</f>
        <v>REPLACEMENT OF BUSTED EMERGENCY LIGHT IN STAR CAMPUS</v>
      </c>
    </row>
    <row r="2691">
      <c r="A2691" s="234">
        <f>IFERROR(__xludf.DUMMYFUNCTION("""COMPUTED_VALUE"""),102982.0)</f>
        <v>102982</v>
      </c>
      <c r="B2691" s="235" t="str">
        <f>IFERROR(__xludf.DUMMYFUNCTION("""COMPUTED_VALUE"""),"OWIE PAR")</f>
        <v>OWIE PAR</v>
      </c>
      <c r="C2691" s="235" t="str">
        <f>IFERROR(__xludf.DUMMYFUNCTION("""COMPUTED_VALUE"""),"ENGINEERING")</f>
        <v>ENGINEERING</v>
      </c>
      <c r="D2691" s="196" t="str">
        <f>IFERROR(__xludf.DUMMYFUNCTION("""COMPUTED_VALUE"""),"1 PAIR CIRCUIT BREAKER 30 AMP BOLT ON")</f>
        <v>1 PAIR CIRCUIT BREAKER 30 AMP BOLT ON</v>
      </c>
      <c r="E2691" s="196" t="str">
        <f>IFERROR(__xludf.DUMMYFUNCTION("""COMPUTED_VALUE"""),"FOR ACU OF INNOVE")</f>
        <v>FOR ACU OF INNOVE</v>
      </c>
    </row>
    <row r="2692">
      <c r="A2692" s="234">
        <f>IFERROR(__xludf.DUMMYFUNCTION("""COMPUTED_VALUE"""),102983.0)</f>
        <v>102983</v>
      </c>
      <c r="B2692" s="235" t="str">
        <f>IFERROR(__xludf.DUMMYFUNCTION("""COMPUTED_VALUE"""),"ALFA DE LEON")</f>
        <v>ALFA DE LEON</v>
      </c>
      <c r="C2692" s="235" t="str">
        <f>IFERROR(__xludf.DUMMYFUNCTION("""COMPUTED_VALUE"""),"ADMIN")</f>
        <v>ADMIN</v>
      </c>
      <c r="D2692" s="196" t="str">
        <f>IFERROR(__xludf.DUMMYFUNCTION("""COMPUTED_VALUE"""),"NET FOR SOCCERFIELD (REPLACEMENT)")</f>
        <v>NET FOR SOCCERFIELD (REPLACEMENT)</v>
      </c>
      <c r="E2692" s="196" t="str">
        <f>IFERROR(__xludf.DUMMYFUNCTION("""COMPUTED_VALUE"""),"REPLACEMENT OF NET IN SOCCERFIELD ")</f>
        <v>REPLACEMENT OF NET IN SOCCERFIELD </v>
      </c>
    </row>
    <row r="2693">
      <c r="A2693" s="234">
        <f>IFERROR(__xludf.DUMMYFUNCTION("""COMPUTED_VALUE"""),102984.0)</f>
        <v>102984</v>
      </c>
      <c r="B2693" s="235" t="str">
        <f>IFERROR(__xludf.DUMMYFUNCTION("""COMPUTED_VALUE"""),"BRENT DARYL TEMPLO")</f>
        <v>BRENT DARYL TEMPLO</v>
      </c>
      <c r="C2693" s="235" t="str">
        <f>IFERROR(__xludf.DUMMYFUNCTION("""COMPUTED_VALUE"""),"AMD")</f>
        <v>AMD</v>
      </c>
      <c r="D2693" s="196" t="str">
        <f>IFERROR(__xludf.DUMMYFUNCTION("""COMPUTED_VALUE"""),"100 PCS. LIL HAND MODELING CLAY SCENTED NEON 10S 180 G")</f>
        <v>100 PCS. LIL HAND MODELING CLAY SCENTED NEON 10S 180 G</v>
      </c>
      <c r="E2693" s="196" t="str">
        <f>IFERROR(__xludf.DUMMYFUNCTION("""COMPUTED_VALUE"""),"STUDENT SUPPLIES STOCK REPLENISHMENT")</f>
        <v>STUDENT SUPPLIES STOCK REPLENISHMENT</v>
      </c>
    </row>
    <row r="2694">
      <c r="A2694" s="234">
        <f>IFERROR(__xludf.DUMMYFUNCTION("""COMPUTED_VALUE"""),102985.0)</f>
        <v>102985</v>
      </c>
      <c r="B2694" s="235" t="str">
        <f>IFERROR(__xludf.DUMMYFUNCTION("""COMPUTED_VALUE"""),"Sheree")</f>
        <v>Sheree</v>
      </c>
      <c r="C2694" s="235" t="str">
        <f>IFERROR(__xludf.DUMMYFUNCTION("""COMPUTED_VALUE"""),"HOUSEKEEPING")</f>
        <v>HOUSEKEEPING</v>
      </c>
      <c r="D2694" s="196" t="str">
        <f>IFERROR(__xludf.DUMMYFUNCTION("""COMPUTED_VALUE"""),"4 PCS. EXHAUST FANS (CEILING TYPE) 12"" ")</f>
        <v>4 PCS. EXHAUST FANS (CEILING TYPE) 12" </v>
      </c>
      <c r="E2694" s="196" t="str">
        <f>IFERROR(__xludf.DUMMYFUNCTION("""COMPUTED_VALUE"""),"REPLACEMENT O FEXHAUST FANS FOR CR BOYS AND  GIRLS IN COLLEGE 5TH FLOOR")</f>
        <v>REPLACEMENT O FEXHAUST FANS FOR CR BOYS AND  GIRLS IN COLLEGE 5TH FLOOR</v>
      </c>
    </row>
    <row r="2695">
      <c r="A2695" s="234">
        <f>IFERROR(__xludf.DUMMYFUNCTION("""COMPUTED_VALUE"""),102986.0)</f>
        <v>102986</v>
      </c>
      <c r="B2695" s="235" t="str">
        <f>IFERROR(__xludf.DUMMYFUNCTION("""COMPUTED_VALUE"""),"JOMEL BUTIAL ")</f>
        <v>JOMEL BUTIAL </v>
      </c>
      <c r="C2695" s="235" t="str">
        <f>IFERROR(__xludf.DUMMYFUNCTION("""COMPUTED_VALUE"""),"AMD")</f>
        <v>AMD</v>
      </c>
      <c r="D2695" s="196" t="str">
        <f>IFERROR(__xludf.DUMMYFUNCTION("""COMPUTED_VALUE"""),"LONG HANDLED SCRUB BRUSH 30 PCS
RAIN COAT 20 PCS
FEATHER DUSTER (NOT THE FEATHER ONE) 30 PCS
MOP HANDLE 4FT YELLOW 15 PCS
MOP HANDLE 4FT RED 15 PCS
MOP HANDLE 4FT GREEN 20 PCS
MOP HANDLE 4FT BLUE 20 PCS
MOP HEAD  50 PCS
WET FLOOR SIGNAGE 10 PCS
TRASH BAG "&amp;"CLEAR 2XL 40 PCS
")</f>
        <v>LONG HANDLED SCRUB BRUSH 30 PCS
RAIN COAT 20 PCS
FEATHER DUSTER (NOT THE FEATHER ONE) 30 PCS
MOP HANDLE 4FT YELLOW 15 PCS
MOP HANDLE 4FT RED 15 PCS
MOP HANDLE 4FT GREEN 20 PCS
MOP HANDLE 4FT BLUE 20 PCS
MOP HEAD  50 PCS
WET FLOOR SIGNAGE 10 PCS
TRASH BAG CLEAR 2XL 40 PCS
</v>
      </c>
      <c r="E2695" s="196" t="str">
        <f>IFERROR(__xludf.DUMMYFUNCTION("""COMPUTED_VALUE"""),"HOUSEKEEPING REPLENISHMENT FOR NOVEMBER 2022")</f>
        <v>HOUSEKEEPING REPLENISHMENT FOR NOVEMBER 2022</v>
      </c>
    </row>
    <row r="2696">
      <c r="A2696" s="234">
        <f>IFERROR(__xludf.DUMMYFUNCTION("""COMPUTED_VALUE"""),102987.0)</f>
        <v>102987</v>
      </c>
      <c r="B2696" s="235" t="str">
        <f>IFERROR(__xludf.DUMMYFUNCTION("""COMPUTED_VALUE"""),"JOMEL BUTIAL ")</f>
        <v>JOMEL BUTIAL </v>
      </c>
      <c r="C2696" s="235" t="str">
        <f>IFERROR(__xludf.DUMMYFUNCTION("""COMPUTED_VALUE"""),"AMD")</f>
        <v>AMD</v>
      </c>
      <c r="D2696" s="196" t="str">
        <f>IFERROR(__xludf.DUMMYFUNCTION("""COMPUTED_VALUE"""),"BABY OIL J&amp;J 125 ML 100 PCS
CHAMPION POWDER SOAP CITRUS 100 PCS")</f>
        <v>BABY OIL J&amp;J 125 ML 100 PCS
CHAMPION POWDER SOAP CITRUS 100 PCS</v>
      </c>
      <c r="E2696" s="196" t="str">
        <f>IFERROR(__xludf.DUMMYFUNCTION("""COMPUTED_VALUE"""),"HOUSEKEEPING REPLENISHMENT FOR NOVEMBER 2022")</f>
        <v>HOUSEKEEPING REPLENISHMENT FOR NOVEMBER 2022</v>
      </c>
    </row>
    <row r="2697">
      <c r="A2697" s="234">
        <f>IFERROR(__xludf.DUMMYFUNCTION("""COMPUTED_VALUE"""),102988.0)</f>
        <v>102988</v>
      </c>
      <c r="B2697" s="235" t="str">
        <f>IFERROR(__xludf.DUMMYFUNCTION("""COMPUTED_VALUE"""),"ADOR MARINDA")</f>
        <v>ADOR MARINDA</v>
      </c>
      <c r="C2697" s="235" t="str">
        <f>IFERROR(__xludf.DUMMYFUNCTION("""COMPUTED_VALUE"""),"MIS/ICT")</f>
        <v>MIS/ICT</v>
      </c>
      <c r="D2697" s="196" t="str">
        <f>IFERROR(__xludf.DUMMYFUNCTION("""COMPUTED_VALUE"""),"DELTA DPS- 730ABA POWER SUPPLY 3 PCS., L11OOE SO DELL 1100W POWER SUPPLY")</f>
        <v>DELTA DPS- 730ABA POWER SUPPLY 3 PCS., L11OOE SO DELL 1100W POWER SUPPLY</v>
      </c>
      <c r="E2697" s="196" t="str">
        <f>IFERROR(__xludf.DUMMYFUNCTION("""COMPUTED_VALUE"""),"REPLACEMENT OF DEFECTIVE SERVERS POWER SUPPLY AND STOCK BACK UP. ")</f>
        <v>REPLACEMENT OF DEFECTIVE SERVERS POWER SUPPLY AND STOCK BACK UP. </v>
      </c>
    </row>
    <row r="2698">
      <c r="A2698" s="234">
        <f>IFERROR(__xludf.DUMMYFUNCTION("""COMPUTED_VALUE"""),102989.0)</f>
        <v>102989</v>
      </c>
      <c r="B2698" s="235" t="str">
        <f>IFERROR(__xludf.DUMMYFUNCTION("""COMPUTED_VALUE"""),"CHRISTIAN ANDRES ")</f>
        <v>CHRISTIAN ANDRES </v>
      </c>
      <c r="C2698" s="235" t="str">
        <f>IFERROR(__xludf.DUMMYFUNCTION("""COMPUTED_VALUE"""),"PR &amp; MARKETING")</f>
        <v>PR &amp; MARKETING</v>
      </c>
      <c r="D2698" s="196" t="str">
        <f>IFERROR(__xludf.DUMMYFUNCTION("""COMPUTED_VALUE"""),"TARP- SIZE 6.8"" X 9.7"" FEET EYELET ALL OVER W/ SEAMING AND BLACK OUT, PUT STROKE 1 INCH FOR THE EYELET AREA INSIDE 1 PC. ")</f>
        <v>TARP- SIZE 6.8" X 9.7" FEET EYELET ALL OVER W/ SEAMING AND BLACK OUT, PUT STROKE 1 INCH FOR THE EYELET AREA INSIDE 1 PC. </v>
      </c>
      <c r="E2698" s="196" t="str">
        <f>IFERROR(__xludf.DUMMYFUNCTION("""COMPUTED_VALUE"""),"CONGRATULATORY TARP")</f>
        <v>CONGRATULATORY TARP</v>
      </c>
    </row>
    <row r="2699">
      <c r="A2699" s="234">
        <f>IFERROR(__xludf.DUMMYFUNCTION("""COMPUTED_VALUE"""),102990.0)</f>
        <v>102990</v>
      </c>
      <c r="B2699" s="235" t="str">
        <f>IFERROR(__xludf.DUMMYFUNCTION("""COMPUTED_VALUE"""),"LORRAINE ALMAZAN")</f>
        <v>LORRAINE ALMAZAN</v>
      </c>
      <c r="C2699" s="235" t="str">
        <f>IFERROR(__xludf.DUMMYFUNCTION("""COMPUTED_VALUE"""),"MIS/ICT")</f>
        <v>MIS/ICT</v>
      </c>
      <c r="D2699" s="196" t="str">
        <f>IFERROR(__xludf.DUMMYFUNCTION("""COMPUTED_VALUE"""),"GRAPHICS DRAWIN TABLET 10""X6"" 15 PCS., AIR MOUSE (MDT) 50 PCS")</f>
        <v>GRAPHICS DRAWIN TABLET 10"X6" 15 PCS., AIR MOUSE (MDT) 50 PCS</v>
      </c>
      <c r="E2699" s="196" t="str">
        <f>IFERROR(__xludf.DUMMYFUNCTION("""COMPUTED_VALUE"""),"REQUESTED BY THE BASIC ED DEPARTMENT FOR HIIVOLT TEACHING")</f>
        <v>REQUESTED BY THE BASIC ED DEPARTMENT FOR HIIVOLT TEACHING</v>
      </c>
    </row>
    <row r="2700">
      <c r="A2700" s="234">
        <f>IFERROR(__xludf.DUMMYFUNCTION("""COMPUTED_VALUE"""),102991.0)</f>
        <v>102991</v>
      </c>
      <c r="B2700" s="235" t="str">
        <f>IFERROR(__xludf.DUMMYFUNCTION("""COMPUTED_VALUE"""),"ANGELIE P. MADANLOG")</f>
        <v>ANGELIE P. MADANLOG</v>
      </c>
      <c r="C2700" s="235" t="str">
        <f>IFERROR(__xludf.DUMMYFUNCTION("""COMPUTED_VALUE"""),"FINANCE &amp; ACCOUNTING")</f>
        <v>FINANCE &amp; ACCOUNTING</v>
      </c>
      <c r="D2700" s="196" t="str">
        <f>IFERROR(__xludf.DUMMYFUNCTION("""COMPUTED_VALUE"""),"SPECIAL PAPER; COLOR PURPLE, PINK, YELLOW, GREEN (2 REAMS EACH)")</f>
        <v>SPECIAL PAPER; COLOR PURPLE, PINK, YELLOW, GREEN (2 REAMS EACH)</v>
      </c>
      <c r="E2700" s="196" t="str">
        <f>IFERROR(__xludf.DUMMYFUNCTION("""COMPUTED_VALUE"""),"FOR BASIC ED EXAM PERMIT")</f>
        <v>FOR BASIC ED EXAM PERMIT</v>
      </c>
    </row>
    <row r="2701">
      <c r="A2701" s="234">
        <f>IFERROR(__xludf.DUMMYFUNCTION("""COMPUTED_VALUE"""),102992.0)</f>
        <v>102992</v>
      </c>
      <c r="B2701" s="235" t="str">
        <f>IFERROR(__xludf.DUMMYFUNCTION("""COMPUTED_VALUE"""),"ELMIE LAUDITO")</f>
        <v>ELMIE LAUDITO</v>
      </c>
      <c r="C2701" s="235" t="str">
        <f>IFERROR(__xludf.DUMMYFUNCTION("""COMPUTED_VALUE"""),"HRMD")</f>
        <v>HRMD</v>
      </c>
      <c r="D2701" s="196" t="str">
        <f>IFERROR(__xludf.DUMMYFUNCTION("""COMPUTED_VALUE"""),"HAM 1 KILO 350 PCS. ")</f>
        <v>HAM 1 KILO 350 PCS. </v>
      </c>
      <c r="E2701" s="196" t="str">
        <f>IFERROR(__xludf.DUMMYFUNCTION("""COMPUTED_VALUE"""),"CHRISTMAS PARTY 2022 DOOR PRIZE")</f>
        <v>CHRISTMAS PARTY 2022 DOOR PRIZE</v>
      </c>
    </row>
    <row r="2702">
      <c r="A2702" s="234">
        <f>IFERROR(__xludf.DUMMYFUNCTION("""COMPUTED_VALUE"""),102993.0)</f>
        <v>102993</v>
      </c>
      <c r="B2702" s="235" t="str">
        <f>IFERROR(__xludf.DUMMYFUNCTION("""COMPUTED_VALUE"""),"SHEREE ESPINOSA")</f>
        <v>SHEREE ESPINOSA</v>
      </c>
      <c r="C2702" s="235" t="str">
        <f>IFERROR(__xludf.DUMMYFUNCTION("""COMPUTED_VALUE"""),"HOUSEKEEPING")</f>
        <v>HOUSEKEEPING</v>
      </c>
      <c r="D2702" s="196" t="str">
        <f>IFERROR(__xludf.DUMMYFUNCTION("""COMPUTED_VALUE"""),"MOP BUCKET WITH SQUEEZER GF, LUX HALL, 2F, 4F,5F/6F   5 PCS. ")</f>
        <v>MOP BUCKET WITH SQUEEZER GF, LUX HALL, 2F, 4F,5F/6F   5 PCS. </v>
      </c>
      <c r="E2702" s="196" t="str">
        <f>IFERROR(__xludf.DUMMYFUNCTION("""COMPUTED_VALUE"""),"FOR LUX CAMPUS USAGE")</f>
        <v>FOR LUX CAMPUS USAGE</v>
      </c>
    </row>
    <row r="2703">
      <c r="A2703" s="234">
        <f>IFERROR(__xludf.DUMMYFUNCTION("""COMPUTED_VALUE"""),102994.0)</f>
        <v>102994</v>
      </c>
      <c r="B2703" s="235" t="str">
        <f>IFERROR(__xludf.DUMMYFUNCTION("""COMPUTED_VALUE"""),"SHEREE ESPINOSA")</f>
        <v>SHEREE ESPINOSA</v>
      </c>
      <c r="C2703" s="235" t="str">
        <f>IFERROR(__xludf.DUMMYFUNCTION("""COMPUTED_VALUE"""),"HOUSEKEEPING")</f>
        <v>HOUSEKEEPING</v>
      </c>
      <c r="D2703" s="196" t="str">
        <f>IFERROR(__xludf.DUMMYFUNCTION("""COMPUTED_VALUE"""),"MOP BUCKET WITH SQUEEZER 4 PCS")</f>
        <v>MOP BUCKET WITH SQUEEZER 4 PCS</v>
      </c>
      <c r="E2703" s="196" t="str">
        <f>IFERROR(__xludf.DUMMYFUNCTION("""COMPUTED_VALUE"""),"FOR COLLEGE AND TROPICAL CAMPUS")</f>
        <v>FOR COLLEGE AND TROPICAL CAMPUS</v>
      </c>
    </row>
    <row r="2704">
      <c r="A2704" s="234">
        <f>IFERROR(__xludf.DUMMYFUNCTION("""COMPUTED_VALUE"""),102995.0)</f>
        <v>102995</v>
      </c>
      <c r="B2704" s="235" t="str">
        <f>IFERROR(__xludf.DUMMYFUNCTION("""COMPUTED_VALUE"""),"JAMIE M. RAMOS")</f>
        <v>JAMIE M. RAMOS</v>
      </c>
      <c r="C2704" s="235" t="str">
        <f>IFERROR(__xludf.DUMMYFUNCTION("""COMPUTED_VALUE"""),"SMIS")</f>
        <v>SMIS</v>
      </c>
      <c r="D2704" s="196" t="str">
        <f>IFERROR(__xludf.DUMMYFUNCTION("""COMPUTED_VALUE"""),"FLYER (BACK TO BACK) WIDTH 5.5 INCHES HEIGHT 8.5 INCHES - CANCELLED (CHANGE TO SGEN PRF)")</f>
        <v>FLYER (BACK TO BACK) WIDTH 5.5 INCHES HEIGHT 8.5 INCHES - CANCELLED (CHANGE TO SGEN PRF)</v>
      </c>
      <c r="E2704" s="196" t="str">
        <f>IFERROR(__xludf.DUMMYFUNCTION("""COMPUTED_VALUE"""),"FOR SOUTHVILLE MONARCHS INTERNATIONAL SCHOOL  CAVITE MARKETING")</f>
        <v>FOR SOUTHVILLE MONARCHS INTERNATIONAL SCHOOL  CAVITE MARKETING</v>
      </c>
    </row>
    <row r="2705">
      <c r="A2705" s="234">
        <f>IFERROR(__xludf.DUMMYFUNCTION("""COMPUTED_VALUE"""),102996.0)</f>
        <v>102996</v>
      </c>
      <c r="B2705" s="235" t="str">
        <f>IFERROR(__xludf.DUMMYFUNCTION("""COMPUTED_VALUE"""),"ALFA DE LEON")</f>
        <v>ALFA DE LEON</v>
      </c>
      <c r="C2705" s="235" t="str">
        <f>IFERROR(__xludf.DUMMYFUNCTION("""COMPUTED_VALUE"""),"ADMIN")</f>
        <v>ADMIN</v>
      </c>
      <c r="D2705" s="196" t="str">
        <f>IFERROR(__xludf.DUMMYFUNCTION("""COMPUTED_VALUE"""),"CAPIZ PAROL 42"" WARM WHITE STEADY 3 PCS, CAPIZ PAROL 24' WARM WHITE STEADY 5 PCS, CABBAGE CAPIZ PAROL 10 PCS. ")</f>
        <v>CAPIZ PAROL 42" WARM WHITE STEADY 3 PCS, CAPIZ PAROL 24' WARM WHITE STEADY 5 PCS, CABBAGE CAPIZ PAROL 10 PCS. </v>
      </c>
      <c r="E2705" s="196" t="str">
        <f>IFERROR(__xludf.DUMMYFUNCTION("""COMPUTED_VALUE"""),"REPLACEMENT OF BROKEN CAPIZ PAROL DISPLAYED IN TROPICAL, LUX, MUNICH")</f>
        <v>REPLACEMENT OF BROKEN CAPIZ PAROL DISPLAYED IN TROPICAL, LUX, MUNICH</v>
      </c>
    </row>
    <row r="2706">
      <c r="A2706" s="234">
        <f>IFERROR(__xludf.DUMMYFUNCTION("""COMPUTED_VALUE"""),102997.0)</f>
        <v>102997</v>
      </c>
      <c r="B2706" s="235" t="str">
        <f>IFERROR(__xludf.DUMMYFUNCTION("""COMPUTED_VALUE"""),"BRENT TEMPLO")</f>
        <v>BRENT TEMPLO</v>
      </c>
      <c r="C2706" s="235" t="str">
        <f>IFERROR(__xludf.DUMMYFUNCTION("""COMPUTED_VALUE"""),"AMD")</f>
        <v>AMD</v>
      </c>
      <c r="D2706" s="196" t="str">
        <f>IFERROR(__xludf.DUMMYFUNCTION("""COMPUTED_VALUE"""),"ENVELOPE, BROWN LONG (PLS BUY QUALITY ENVELOPE) (1000 PCS)")</f>
        <v>ENVELOPE, BROWN LONG (PLS BUY QUALITY ENVELOPE) (1000 PCS)</v>
      </c>
      <c r="E2706" s="196" t="str">
        <f>IFERROR(__xludf.DUMMYFUNCTION("""COMPUTED_VALUE"""),"OFFICE SUPPLIES REPENISHMENT ")</f>
        <v>OFFICE SUPPLIES REPENISHMENT </v>
      </c>
    </row>
    <row r="2707">
      <c r="A2707" s="234">
        <f>IFERROR(__xludf.DUMMYFUNCTION("""COMPUTED_VALUE"""),102998.0)</f>
        <v>102998</v>
      </c>
      <c r="B2707" s="235" t="str">
        <f>IFERROR(__xludf.DUMMYFUNCTION("""COMPUTED_VALUE"""),"MARIEL ESTANISLAO")</f>
        <v>MARIEL ESTANISLAO</v>
      </c>
      <c r="C2707" s="235" t="str">
        <f>IFERROR(__xludf.DUMMYFUNCTION("""COMPUTED_VALUE"""),"FINANCE &amp; ACCOUNTING")</f>
        <v>FINANCE &amp; ACCOUNTING</v>
      </c>
      <c r="D2707" s="196" t="str">
        <f>IFERROR(__xludf.DUMMYFUNCTION("""COMPUTED_VALUE"""),"1 PLY CHECK VOUCHER 10 BOXES")</f>
        <v>1 PLY CHECK VOUCHER 10 BOXES</v>
      </c>
      <c r="E2707" s="196" t="str">
        <f>IFERROR(__xludf.DUMMYFUNCTION("""COMPUTED_VALUE"""),"FOR CHECK PREPARATION")</f>
        <v>FOR CHECK PREPARATION</v>
      </c>
    </row>
    <row r="2708">
      <c r="A2708" s="234">
        <f>IFERROR(__xludf.DUMMYFUNCTION("""COMPUTED_VALUE"""),102999.0)</f>
        <v>102999</v>
      </c>
      <c r="B2708" s="235" t="str">
        <f>IFERROR(__xludf.DUMMYFUNCTION("""COMPUTED_VALUE"""),"SHEREE ESPINOSA ")</f>
        <v>SHEREE ESPINOSA </v>
      </c>
      <c r="C2708" s="235" t="str">
        <f>IFERROR(__xludf.DUMMYFUNCTION("""COMPUTED_VALUE"""),"ADMIN")</f>
        <v>ADMIN</v>
      </c>
      <c r="D2708" s="196" t="str">
        <f>IFERROR(__xludf.DUMMYFUNCTION("""COMPUTED_VALUE"""),"WATER CLOSET (ROYAL TERN) 1 SET")</f>
        <v>WATER CLOSET (ROYAL TERN) 1 SET</v>
      </c>
      <c r="E2708" s="196" t="str">
        <f>IFERROR(__xludf.DUMMYFUNCTION("""COMPUTED_VALUE"""),"REPLACEMENT OF BROKEN WATER CLOSET AT THE 4TH FLOOR")</f>
        <v>REPLACEMENT OF BROKEN WATER CLOSET AT THE 4TH FLOOR</v>
      </c>
    </row>
    <row r="2709">
      <c r="A2709" s="234">
        <f>IFERROR(__xludf.DUMMYFUNCTION("""COMPUTED_VALUE"""),103000.0)</f>
        <v>103000</v>
      </c>
      <c r="B2709" s="235" t="str">
        <f>IFERROR(__xludf.DUMMYFUNCTION("""COMPUTED_VALUE"""),"CHIRSTIAN ANDRES")</f>
        <v>CHIRSTIAN ANDRES</v>
      </c>
      <c r="C2709" s="235" t="str">
        <f>IFERROR(__xludf.DUMMYFUNCTION("""COMPUTED_VALUE"""),"PR &amp; MARKETING")</f>
        <v>PR &amp; MARKETING</v>
      </c>
      <c r="D2709" s="196" t="str">
        <f>IFERROR(__xludf.DUMMYFUNCTION("""COMPUTED_VALUE"""),"GATCHALIAN TARP 10X10 FEET, BF AGUIRE TARP 6X6 FEET (EYELET ALL OVER WITH SEAMING AND BLACK OUT)")</f>
        <v>GATCHALIAN TARP 10X10 FEET, BF AGUIRE TARP 6X6 FEET (EYELET ALL OVER WITH SEAMING AND BLACK OUT)</v>
      </c>
      <c r="E2709" s="196" t="str">
        <f>IFERROR(__xludf.DUMMYFUNCTION("""COMPUTED_VALUE"""),"FOR MARKETING ")</f>
        <v>FOR MARKETING </v>
      </c>
    </row>
    <row r="2710">
      <c r="A2710" s="234">
        <f>IFERROR(__xludf.DUMMYFUNCTION("""COMPUTED_VALUE"""),103001.0)</f>
        <v>103001</v>
      </c>
      <c r="B2710" s="235" t="str">
        <f>IFERROR(__xludf.DUMMYFUNCTION("""COMPUTED_VALUE"""),"RORY MANSBRIDGE ")</f>
        <v>RORY MANSBRIDGE </v>
      </c>
      <c r="C2710" s="235" t="str">
        <f>IFERROR(__xludf.DUMMYFUNCTION("""COMPUTED_VALUE"""),"ATHLETICS")</f>
        <v>ATHLETICS</v>
      </c>
      <c r="D2710" s="196" t="str">
        <f>IFERROR(__xludf.DUMMYFUNCTION("""COMPUTED_VALUE"""),"VARSITY UNIFORMS  (201 PCS)")</f>
        <v>VARSITY UNIFORMS  (201 PCS)</v>
      </c>
      <c r="E2710" s="196" t="str">
        <f>IFERROR(__xludf.DUMMYFUNCTION("""COMPUTED_VALUE"""),"VARSITY UNIFORMS FOR ISAC")</f>
        <v>VARSITY UNIFORMS FOR ISAC</v>
      </c>
    </row>
    <row r="2711">
      <c r="A2711" s="234">
        <f>IFERROR(__xludf.DUMMYFUNCTION("""COMPUTED_VALUE"""),103002.0)</f>
        <v>103002</v>
      </c>
      <c r="B2711" s="235" t="str">
        <f>IFERROR(__xludf.DUMMYFUNCTION("""COMPUTED_VALUE"""),"OWIE PAR")</f>
        <v>OWIE PAR</v>
      </c>
      <c r="C2711" s="235" t="str">
        <f>IFERROR(__xludf.DUMMYFUNCTION("""COMPUTED_VALUE"""),"ENGINEERING")</f>
        <v>ENGINEERING</v>
      </c>
      <c r="D2711" s="196" t="str">
        <f>IFERROR(__xludf.DUMMYFUNCTION("""COMPUTED_VALUE"""),"1.5 HP WALL MOUNTED INVERTER ACU")</f>
        <v>1.5 HP WALL MOUNTED INVERTER ACU</v>
      </c>
      <c r="E2711" s="196" t="str">
        <f>IFERROR(__xludf.DUMMYFUNCTION("""COMPUTED_VALUE"""),"FOR ACU REPLACEMENT COLLEGE RM 401")</f>
        <v>FOR ACU REPLACEMENT COLLEGE RM 401</v>
      </c>
    </row>
    <row r="2712">
      <c r="A2712" s="234">
        <f>IFERROR(__xludf.DUMMYFUNCTION("""COMPUTED_VALUE"""),103003.0)</f>
        <v>103003</v>
      </c>
      <c r="B2712" s="235" t="str">
        <f>IFERROR(__xludf.DUMMYFUNCTION("""COMPUTED_VALUE"""),"OWIE PAR")</f>
        <v>OWIE PAR</v>
      </c>
      <c r="C2712" s="235" t="str">
        <f>IFERROR(__xludf.DUMMYFUNCTION("""COMPUTED_VALUE"""),"ENGINEERING")</f>
        <v>ENGINEERING</v>
      </c>
      <c r="D2712" s="196" t="str">
        <f>IFERROR(__xludf.DUMMYFUNCTION("""COMPUTED_VALUE"""),"4.0 HP CELLING CASSETTE TYPE INVERTER ACU")</f>
        <v>4.0 HP CELLING CASSETTE TYPE INVERTER ACU</v>
      </c>
      <c r="E2712" s="196" t="str">
        <f>IFERROR(__xludf.DUMMYFUNCTION("""COMPUTED_VALUE"""),"ACU REPLACEMENT FOR LUX RM 305")</f>
        <v>ACU REPLACEMENT FOR LUX RM 305</v>
      </c>
    </row>
    <row r="2713">
      <c r="A2713" s="234">
        <f>IFERROR(__xludf.DUMMYFUNCTION("""COMPUTED_VALUE"""),103004.0)</f>
        <v>103004</v>
      </c>
      <c r="B2713" s="235" t="str">
        <f>IFERROR(__xludf.DUMMYFUNCTION("""COMPUTED_VALUE"""),"TIM DIOSAY")</f>
        <v>TIM DIOSAY</v>
      </c>
      <c r="C2713" s="235" t="str">
        <f>IFERROR(__xludf.DUMMYFUNCTION("""COMPUTED_VALUE"""),"ADMIN - LUX")</f>
        <v>ADMIN - LUX</v>
      </c>
      <c r="D2713" s="196" t="str">
        <f>IFERROR(__xludf.DUMMYFUNCTION("""COMPUTED_VALUE"""),"LARGE CORNER PROTECTOR(CLEAR) 3.5x3.5 INCHES 4 PIECES PER PACK")</f>
        <v>LARGE CORNER PROTECTOR(CLEAR) 3.5x3.5 INCHES 4 PIECES PER PACK</v>
      </c>
      <c r="E2713" s="196" t="str">
        <f>IFERROR(__xludf.DUMMYFUNCTION("""COMPUTED_VALUE"""),"CORNER PROTECTOR FOR MONARCHS PACK PLANTER BOX &amp; AND BENCHES")</f>
        <v>CORNER PROTECTOR FOR MONARCHS PACK PLANTER BOX &amp; AND BENCHES</v>
      </c>
    </row>
    <row r="2714">
      <c r="A2714" s="234">
        <f>IFERROR(__xludf.DUMMYFUNCTION("""COMPUTED_VALUE"""),103005.0)</f>
        <v>103005</v>
      </c>
      <c r="B2714" s="235" t="str">
        <f>IFERROR(__xludf.DUMMYFUNCTION("""COMPUTED_VALUE"""),"TIM DIOSAY/RONALD VERDE")</f>
        <v>TIM DIOSAY/RONALD VERDE</v>
      </c>
      <c r="C2714" s="235" t="str">
        <f>IFERROR(__xludf.DUMMYFUNCTION("""COMPUTED_VALUE"""),"ADMIN - LUX")</f>
        <v>ADMIN - LUX</v>
      </c>
      <c r="D2714" s="196" t="str">
        <f>IFERROR(__xludf.DUMMYFUNCTION("""COMPUTED_VALUE"""),"BOSCH GLM 40 LASER RANGEFINDER MEASURE 40M PROFESSIONAL LASER RANGEFINDER WITH BAG")</f>
        <v>BOSCH GLM 40 LASER RANGEFINDER MEASURE 40M PROFESSIONAL LASER RANGEFINDER WITH BAG</v>
      </c>
      <c r="E2714" s="196" t="str">
        <f>IFERROR(__xludf.DUMMYFUNCTION("""COMPUTED_VALUE"""),"FOR AS-BUILT MEASURING PURPOSES(BUILDING ADMIN &amp; FACILITIES")</f>
        <v>FOR AS-BUILT MEASURING PURPOSES(BUILDING ADMIN &amp; FACILITIES</v>
      </c>
    </row>
    <row r="2715">
      <c r="A2715" s="234">
        <f>IFERROR(__xludf.DUMMYFUNCTION("""COMPUTED_VALUE"""),103006.0)</f>
        <v>103006</v>
      </c>
      <c r="B2715" s="235" t="str">
        <f>IFERROR(__xludf.DUMMYFUNCTION("""COMPUTED_VALUE"""),"LUCILLE N. BEYER")</f>
        <v>LUCILLE N. BEYER</v>
      </c>
      <c r="C2715" s="235" t="str">
        <f>IFERROR(__xludf.DUMMYFUNCTION("""COMPUTED_VALUE"""),"MEDICAL")</f>
        <v>MEDICAL</v>
      </c>
      <c r="D2715" s="196" t="str">
        <f>IFERROR(__xludf.DUMMYFUNCTION("""COMPUTED_VALUE"""),"200 PCS BIOGESIC
100 PCS CETIRIZINE
100 PCS DECOLGEN
100 PCS NEOZEP
100 PCS KREMIL-S
100 PCS ADVIL
100 PCS SOLMUX
30 PCS CATAPRES
100 PCS MEFENAMIC ACID
5 BOTTLES BACTIDOL
10 BOXES/10S SALONPAS
20 BOXES/100S BAND AID
5 TUBES/30G VOLTAREN OINTMENT
10 BOXES"&amp;"/8S STREPSILS
2 PACKS BROWN BAG(MEDIUM)
40 BOXES/50S DISPOSABLE MASKS
6 TUBES/5G BACTIFREE
3 BOXES/SIZE 7 CLEAN GLOVES/INDOPLAS
1 SET WOODEN SPLINT(ALL SIZES)
5 GALLONS ISPROPYL ALOCHOL 70%")</f>
        <v>200 PCS BIOGESIC
100 PCS CETIRIZINE
100 PCS DECOLGEN
100 PCS NEOZEP
100 PCS KREMIL-S
100 PCS ADVIL
100 PCS SOLMUX
30 PCS CATAPRES
100 PCS MEFENAMIC ACID
5 BOTTLES BACTIDOL
10 BOXES/10S SALONPAS
20 BOXES/100S BAND AID
5 TUBES/30G VOLTAREN OINTMENT
10 BOXES/8S STREPSILS
2 PACKS BROWN BAG(MEDIUM)
40 BOXES/50S DISPOSABLE MASKS
6 TUBES/5G BACTIFREE
3 BOXES/SIZE 7 CLEAN GLOVES/INDOPLAS
1 SET WOODEN SPLINT(ALL SIZES)
5 GALLONS ISPROPYL ALOCHOL 70%</v>
      </c>
      <c r="E2715" s="196" t="str">
        <f>IFERROR(__xludf.DUMMYFUNCTION("""COMPUTED_VALUE"""),"TO REPLENISH CLINIC SUPPLIES &amp; MEDS FOR DECEMBER - JANUARY")</f>
        <v>TO REPLENISH CLINIC SUPPLIES &amp; MEDS FOR DECEMBER - JANUARY</v>
      </c>
    </row>
    <row r="2716">
      <c r="A2716" s="234">
        <f>IFERROR(__xludf.DUMMYFUNCTION("""COMPUTED_VALUE"""),103007.0)</f>
        <v>103007</v>
      </c>
      <c r="B2716" s="235" t="str">
        <f>IFERROR(__xludf.DUMMYFUNCTION("""COMPUTED_VALUE"""),"SHEREE ESPINOSA/ALFA DE LEON")</f>
        <v>SHEREE ESPINOSA/ALFA DE LEON</v>
      </c>
      <c r="C2716" s="235" t="str">
        <f>IFERROR(__xludf.DUMMYFUNCTION("""COMPUTED_VALUE"""),"ADMIN")</f>
        <v>ADMIN</v>
      </c>
      <c r="D2716" s="196" t="str">
        <f>IFERROR(__xludf.DUMMYFUNCTION("""COMPUTED_VALUE"""),"CABBAGE CAPIZ PAROL")</f>
        <v>CABBAGE CAPIZ PAROL</v>
      </c>
      <c r="E2716" s="196" t="str">
        <f>IFERROR(__xludf.DUMMYFUNCTION("""COMPUTED_VALUE"""),"ADDITIONAL LIGHTS FOR MONARCHS PARK AND LUX PARKING TREES - FOR CHRISTMAS DECORS")</f>
        <v>ADDITIONAL LIGHTS FOR MONARCHS PARK AND LUX PARKING TREES - FOR CHRISTMAS DECORS</v>
      </c>
    </row>
    <row r="2717">
      <c r="A2717" s="234">
        <f>IFERROR(__xludf.DUMMYFUNCTION("""COMPUTED_VALUE"""),103008.0)</f>
        <v>103008</v>
      </c>
      <c r="B2717" s="235" t="str">
        <f>IFERROR(__xludf.DUMMYFUNCTION("""COMPUTED_VALUE"""),"OWIE PAR")</f>
        <v>OWIE PAR</v>
      </c>
      <c r="C2717" s="235" t="str">
        <f>IFERROR(__xludf.DUMMYFUNCTION("""COMPUTED_VALUE"""),"ENGINEERING")</f>
        <v>ENGINEERING</v>
      </c>
      <c r="D2717" s="196" t="str">
        <f>IFERROR(__xludf.DUMMYFUNCTION("""COMPUTED_VALUE"""),"2.5 HP DAIKIN D.S. SMART WALL MOUNTED TYPE INVENTED  ")</f>
        <v>2.5 HP DAIKIN D.S. SMART WALL MOUNTED TYPE INVENTED  </v>
      </c>
      <c r="E2717" s="196" t="str">
        <f>IFERROR(__xludf.DUMMYFUNCTION("""COMPUTED_VALUE"""),"SPARE ACU'S FOR CLASSROOM INCASE OF ACU BREAK DOWN")</f>
        <v>SPARE ACU'S FOR CLASSROOM INCASE OF ACU BREAK DOWN</v>
      </c>
    </row>
    <row r="2718">
      <c r="A2718" s="234">
        <f>IFERROR(__xludf.DUMMYFUNCTION("""COMPUTED_VALUE"""),103009.0)</f>
        <v>103009</v>
      </c>
      <c r="B2718" s="235" t="str">
        <f>IFERROR(__xludf.DUMMYFUNCTION("""COMPUTED_VALUE"""),"SHEREE ESPINOSA")</f>
        <v>SHEREE ESPINOSA</v>
      </c>
      <c r="C2718" s="235" t="str">
        <f>IFERROR(__xludf.DUMMYFUNCTION("""COMPUTED_VALUE"""),"ADMIN")</f>
        <v>ADMIN</v>
      </c>
      <c r="D2718" s="196" t="str">
        <f>IFERROR(__xludf.DUMMYFUNCTION("""COMPUTED_VALUE"""),"4 PCS MARINE FLYWOOD 3/4 x 4' x 8'
2 PCS MARINE FLYWOOD 1/4 x 4' x 8'
1 KL FINISHING NAIL 2""
4 PAIRS HYDROLIC DRAWER GUIDE 16
8 PAIRS CONCELLED HINGES 3
2 PCS S4S K.D 2"" x 3"" X 8'
8 PCS S4S K.D 1"" x 2"" x 8""
10 PCS S4S K.D 1/2 x 1"" x 8""
1 GAL PLAZU"&amp;"LOX GRAZING PUTTY 
1 LTR POLYTAFF W/ HARDENER
I MTR SANDING PAPER 100
1 GAL Q.D.E WHITE
1 GAL PAINT THINNER")</f>
        <v>4 PCS MARINE FLYWOOD 3/4 x 4' x 8'
2 PCS MARINE FLYWOOD 1/4 x 4' x 8'
1 KL FINISHING NAIL 2"
4 PAIRS HYDROLIC DRAWER GUIDE 16
8 PAIRS CONCELLED HINGES 3
2 PCS S4S K.D 2" x 3" X 8'
8 PCS S4S K.D 1" x 2" x 8"
10 PCS S4S K.D 1/2 x 1" x 8"
1 GAL PLAZULOX GRAZING PUTTY 
1 LTR POLYTAFF W/ HARDENER
I MTR SANDING PAPER 100
1 GAL Q.D.E WHITE
1 GAL PAINT THINNER</v>
      </c>
      <c r="E2718" s="196" t="str">
        <f>IFERROR(__xludf.DUMMYFUNCTION("""COMPUTED_VALUE"""),"CABINET FABRICATION FOR DOC MARJ OFFICE")</f>
        <v>CABINET FABRICATION FOR DOC MARJ OFFICE</v>
      </c>
    </row>
    <row r="2719">
      <c r="A2719" s="234">
        <f>IFERROR(__xludf.DUMMYFUNCTION("""COMPUTED_VALUE"""),103010.0)</f>
        <v>103010</v>
      </c>
      <c r="B2719" s="339">
        <f>IFERROR(__xludf.DUMMYFUNCTION("""COMPUTED_VALUE"""),44901.0)</f>
        <v>44901</v>
      </c>
      <c r="C2719" s="235" t="str">
        <f>IFERROR(__xludf.DUMMYFUNCTION("""COMPUTED_VALUE"""),"AMD")</f>
        <v>AMD</v>
      </c>
      <c r="D2719" s="196" t="str">
        <f>IFERROR(__xludf.DUMMYFUNCTION("""COMPUTED_VALUE"""),"40 PCS. TONER 85A")</f>
        <v>40 PCS. TONER 85A</v>
      </c>
      <c r="E2719" s="196" t="str">
        <f>IFERROR(__xludf.DUMMYFUNCTION("""COMPUTED_VALUE"""),"OFFICE SUPPLIES REPLENISHMENT ")</f>
        <v>OFFICE SUPPLIES REPLENISHMENT </v>
      </c>
    </row>
    <row r="2720">
      <c r="A2720" s="234">
        <f>IFERROR(__xludf.DUMMYFUNCTION("""COMPUTED_VALUE"""),103011.0)</f>
        <v>103011</v>
      </c>
      <c r="B2720" s="235" t="str">
        <f>IFERROR(__xludf.DUMMYFUNCTION("""COMPUTED_VALUE"""),"SHEREE ESPINOSA/MAURINE DOLLESIN")</f>
        <v>SHEREE ESPINOSA/MAURINE DOLLESIN</v>
      </c>
      <c r="C2720" s="235" t="str">
        <f>IFERROR(__xludf.DUMMYFUNCTION("""COMPUTED_VALUE"""),"ADMIN")</f>
        <v>ADMIN</v>
      </c>
      <c r="D2720" s="196" t="str">
        <f>IFERROR(__xludf.DUMMYFUNCTION("""COMPUTED_VALUE"""),"95 CHRISTMAS GIVEAWAYS
- GROCERY PACKS")</f>
        <v>95 CHRISTMAS GIVEAWAYS
- GROCERY PACKS</v>
      </c>
      <c r="E2720" s="196" t="str">
        <f>IFERROR(__xludf.DUMMYFUNCTION("""COMPUTED_VALUE"""),"CHRISTMAS GIVEAWAY 2022")</f>
        <v>CHRISTMAS GIVEAWAY 2022</v>
      </c>
    </row>
    <row r="2721">
      <c r="A2721" s="234">
        <f>IFERROR(__xludf.DUMMYFUNCTION("""COMPUTED_VALUE"""),103012.0)</f>
        <v>103012</v>
      </c>
      <c r="B2721" s="235" t="str">
        <f>IFERROR(__xludf.DUMMYFUNCTION("""COMPUTED_VALUE"""),"SHEREE ESPINOSA/MAURINE DOLLESIN")</f>
        <v>SHEREE ESPINOSA/MAURINE DOLLESIN</v>
      </c>
      <c r="C2721" s="235" t="str">
        <f>IFERROR(__xludf.DUMMYFUNCTION("""COMPUTED_VALUE"""),"ADMIN")</f>
        <v>ADMIN</v>
      </c>
      <c r="D2721" s="196" t="str">
        <f>IFERROR(__xludf.DUMMYFUNCTION("""COMPUTED_VALUE"""),"18 CHRISTMAS GIVEAWAYS
- CHRISTMAS ICON
- BOXES
- TWIG")</f>
        <v>18 CHRISTMAS GIVEAWAYS
- CHRISTMAS ICON
- BOXES
- TWIG</v>
      </c>
      <c r="E2721" s="196" t="str">
        <f>IFERROR(__xludf.DUMMYFUNCTION("""COMPUTED_VALUE"""),"CHRISTMAS GIVEAWAYS 2022 - ANTEL")</f>
        <v>CHRISTMAS GIVEAWAYS 2022 - ANTEL</v>
      </c>
    </row>
    <row r="2722">
      <c r="A2722" s="234">
        <f>IFERROR(__xludf.DUMMYFUNCTION("""COMPUTED_VALUE"""),103013.0)</f>
        <v>103013</v>
      </c>
      <c r="B2722" s="235" t="str">
        <f>IFERROR(__xludf.DUMMYFUNCTION("""COMPUTED_VALUE"""),"SHEREE ESPINOSA/MAURINE DOLLESIN")</f>
        <v>SHEREE ESPINOSA/MAURINE DOLLESIN</v>
      </c>
      <c r="C2722" s="235" t="str">
        <f>IFERROR(__xludf.DUMMYFUNCTION("""COMPUTED_VALUE"""),"ADMIN")</f>
        <v>ADMIN</v>
      </c>
      <c r="D2722" s="196" t="str">
        <f>IFERROR(__xludf.DUMMYFUNCTION("""COMPUTED_VALUE"""),"132 CHRISTMAS GIVEAWAYS
- CHRISTMAS ICON
- BOXES
- TWIG")</f>
        <v>132 CHRISTMAS GIVEAWAYS
- CHRISTMAS ICON
- BOXES
- TWIG</v>
      </c>
      <c r="E2722" s="196" t="str">
        <f>IFERROR(__xludf.DUMMYFUNCTION("""COMPUTED_VALUE"""),"CHRISTMAS GIVEAWAYS 2022")</f>
        <v>CHRISTMAS GIVEAWAYS 2022</v>
      </c>
    </row>
    <row r="2723">
      <c r="A2723" s="234">
        <f>IFERROR(__xludf.DUMMYFUNCTION("""COMPUTED_VALUE"""),103014.0)</f>
        <v>103014</v>
      </c>
      <c r="B2723" s="235" t="str">
        <f>IFERROR(__xludf.DUMMYFUNCTION("""COMPUTED_VALUE"""),"CHRISTIAN S. ANDRES")</f>
        <v>CHRISTIAN S. ANDRES</v>
      </c>
      <c r="C2723" s="235" t="str">
        <f>IFERROR(__xludf.DUMMYFUNCTION("""COMPUTED_VALUE"""),"PR &amp; MARKETING")</f>
        <v>PR &amp; MARKETING</v>
      </c>
      <c r="D2723" s="196" t="str">
        <f>IFERROR(__xludf.DUMMYFUNCTION("""COMPUTED_VALUE"""),"LUX BIG TARP
- 10""(Width) x 40""(Height) FEET
- EYELET ALL OVER WITH DOUBLE SEAMING AND BLACK OUT")</f>
        <v>LUX BIG TARP
- 10"(Width) x 40"(Height) FEET
- EYELET ALL OVER WITH DOUBLE SEAMING AND BLACK OUT</v>
      </c>
      <c r="E2723" s="196" t="str">
        <f>IFERROR(__xludf.DUMMYFUNCTION("""COMPUTED_VALUE"""),"MARKETING")</f>
        <v>MARKETING</v>
      </c>
    </row>
    <row r="2724">
      <c r="A2724" s="234">
        <f>IFERROR(__xludf.DUMMYFUNCTION("""COMPUTED_VALUE"""),103015.0)</f>
        <v>103015</v>
      </c>
      <c r="B2724" s="235" t="str">
        <f>IFERROR(__xludf.DUMMYFUNCTION("""COMPUTED_VALUE"""),"ALFA DE LEON")</f>
        <v>ALFA DE LEON</v>
      </c>
      <c r="C2724" s="235" t="str">
        <f>IFERROR(__xludf.DUMMYFUNCTION("""COMPUTED_VALUE"""),"ADMIN")</f>
        <v>ADMIN</v>
      </c>
      <c r="D2724" s="196" t="str">
        <f>IFERROR(__xludf.DUMMYFUNCTION("""COMPUTED_VALUE"""),"1 AFRICAN TALISAY 8FT - 10FT")</f>
        <v>1 AFRICAN TALISAY 8FT - 10FT</v>
      </c>
      <c r="E2724" s="196" t="str">
        <f>IFERROR(__xludf.DUMMYFUNCTION("""COMPUTED_VALUE"""),"REPLACEMENT OF DIED TREE - AFRICAN TALISAY")</f>
        <v>REPLACEMENT OF DIED TREE - AFRICAN TALISAY</v>
      </c>
    </row>
    <row r="2725">
      <c r="A2725" s="234">
        <f>IFERROR(__xludf.DUMMYFUNCTION("""COMPUTED_VALUE"""),103016.0)</f>
        <v>103016</v>
      </c>
      <c r="B2725" s="235" t="str">
        <f>IFERROR(__xludf.DUMMYFUNCTION("""COMPUTED_VALUE"""),"CHRISTIAN S. ANDRES")</f>
        <v>CHRISTIAN S. ANDRES</v>
      </c>
      <c r="C2725" s="235" t="str">
        <f>IFERROR(__xludf.DUMMYFUNCTION("""COMPUTED_VALUE"""),"PR &amp; MARKETING")</f>
        <v>PR &amp; MARKETING</v>
      </c>
      <c r="D2725" s="196" t="str">
        <f>IFERROR(__xludf.DUMMYFUNCTION("""COMPUTED_VALUE"""),"MUNICH BIG TARP
- 54""(width) x 13""(height) FEET
- EYELET ALL OVER WITH DOUBLE SEAMING AND BLACK OUT")</f>
        <v>MUNICH BIG TARP
- 54"(width) x 13"(height) FEET
- EYELET ALL OVER WITH DOUBLE SEAMING AND BLACK OUT</v>
      </c>
      <c r="E2725" s="196" t="str">
        <f>IFERROR(__xludf.DUMMYFUNCTION("""COMPUTED_VALUE"""),"MARKETING")</f>
        <v>MARKETING</v>
      </c>
    </row>
    <row r="2726">
      <c r="A2726" s="234">
        <f>IFERROR(__xludf.DUMMYFUNCTION("""COMPUTED_VALUE"""),103017.0)</f>
        <v>103017</v>
      </c>
      <c r="B2726" s="235" t="str">
        <f>IFERROR(__xludf.DUMMYFUNCTION("""COMPUTED_VALUE"""),"KIMBERLY L. DU")</f>
        <v>KIMBERLY L. DU</v>
      </c>
      <c r="C2726" s="235" t="str">
        <f>IFERROR(__xludf.DUMMYFUNCTION("""COMPUTED_VALUE"""),"LIBRARY BASIC ED")</f>
        <v>LIBRARY BASIC ED</v>
      </c>
      <c r="D2726" s="196" t="str">
        <f>IFERROR(__xludf.DUMMYFUNCTION("""COMPUTED_VALUE"""),"1 SANDISK CRUZER BLADE USB(32GB)")</f>
        <v>1 SANDISK CRUZER BLADE USB(32GB)</v>
      </c>
      <c r="E2726" s="196" t="str">
        <f>IFERROR(__xludf.DUMMYFUNCTION("""COMPUTED_VALUE"""),"FOR SAVING FILES OF BASIC ED LIBRARY")</f>
        <v>FOR SAVING FILES OF BASIC ED LIBRARY</v>
      </c>
    </row>
    <row r="2727">
      <c r="A2727" s="234">
        <f>IFERROR(__xludf.DUMMYFUNCTION("""COMPUTED_VALUE"""),103018.0)</f>
        <v>103018</v>
      </c>
      <c r="B2727" s="235" t="str">
        <f>IFERROR(__xludf.DUMMYFUNCTION("""COMPUTED_VALUE"""),"BRENT DARRYL TEMPLO")</f>
        <v>BRENT DARRYL TEMPLO</v>
      </c>
      <c r="C2727" s="235" t="str">
        <f>IFERROR(__xludf.DUMMYFUNCTION("""COMPUTED_VALUE"""),"AMD")</f>
        <v>AMD</v>
      </c>
      <c r="D2727" s="196" t="str">
        <f>IFERROR(__xludf.DUMMYFUNCTION("""COMPUTED_VALUE"""),"- 100 PACKS PAPER, BEST BUY, COLORED ASSORTED, 9x11
- 50 BOX OF CRAYONS, CRAYOLA(16 PCS)
- 50 PAD PADPAPER, FORTUNE INTERMEDIATE")</f>
        <v>- 100 PACKS PAPER, BEST BUY, COLORED ASSORTED, 9x11
- 50 BOX OF CRAYONS, CRAYOLA(16 PCS)
- 50 PAD PADPAPER, FORTUNE INTERMEDIATE</v>
      </c>
      <c r="E2727" s="196" t="str">
        <f>IFERROR(__xludf.DUMMYFUNCTION("""COMPUTED_VALUE"""),"STUDENT SUPPLIES REPLENISHMENT")</f>
        <v>STUDENT SUPPLIES REPLENISHMENT</v>
      </c>
    </row>
    <row r="2728">
      <c r="A2728" s="234">
        <f>IFERROR(__xludf.DUMMYFUNCTION("""COMPUTED_VALUE"""),103019.0)</f>
        <v>103019</v>
      </c>
      <c r="B2728" s="235" t="str">
        <f>IFERROR(__xludf.DUMMYFUNCTION("""COMPUTED_VALUE"""),"BRENT DARRYL TEMPLO")</f>
        <v>BRENT DARRYL TEMPLO</v>
      </c>
      <c r="C2728" s="235" t="str">
        <f>IFERROR(__xludf.DUMMYFUNCTION("""COMPUTED_VALUE"""),"AMD")</f>
        <v>AMD</v>
      </c>
      <c r="D2728" s="196" t="str">
        <f>IFERROR(__xludf.DUMMYFUNCTION("""COMPUTED_VALUE"""),"- 50 REAMS PAPER COPY LASER A4
- 200 REAMS PAPER COPY LASER SHORT
- 200 PCS ENVELOPE EXPANDABLE PLASTIC LONG")</f>
        <v>- 50 REAMS PAPER COPY LASER A4
- 200 REAMS PAPER COPY LASER SHORT
- 200 PCS ENVELOPE EXPANDABLE PLASTIC LONG</v>
      </c>
      <c r="E2728" s="196" t="str">
        <f>IFERROR(__xludf.DUMMYFUNCTION("""COMPUTED_VALUE"""),"OFFICE SUPPLIES REPLENISHMENT")</f>
        <v>OFFICE SUPPLIES REPLENISHMENT</v>
      </c>
    </row>
    <row r="2729">
      <c r="A2729" s="234">
        <f>IFERROR(__xludf.DUMMYFUNCTION("""COMPUTED_VALUE"""),103020.0)</f>
        <v>103020</v>
      </c>
      <c r="B2729" s="235" t="str">
        <f>IFERROR(__xludf.DUMMYFUNCTION("""COMPUTED_VALUE"""),"CHRISTIAN S. ANDRES")</f>
        <v>CHRISTIAN S. ANDRES</v>
      </c>
      <c r="C2729" s="235" t="str">
        <f>IFERROR(__xludf.DUMMYFUNCTION("""COMPUTED_VALUE"""),"PR &amp; MARKETING")</f>
        <v>PR &amp; MARKETING</v>
      </c>
      <c r="D2729" s="196" t="str">
        <f>IFERROR(__xludf.DUMMYFUNCTION("""COMPUTED_VALUE"""),"NOW ACCEPTING APPLICANTS TARP FOR AY 23-24
- 6.7""(HEIGHT) x 13.13""(WIDTH) FEET
- EYELET ALL OVER WITH SEAMING AND BLACKOUT
- PUT STROKE INSIDE THE DESIGN 1 INCH FOR EYELET AREA")</f>
        <v>NOW ACCEPTING APPLICANTS TARP FOR AY 23-24
- 6.7"(HEIGHT) x 13.13"(WIDTH) FEET
- EYELET ALL OVER WITH SEAMING AND BLACKOUT
- PUT STROKE INSIDE THE DESIGN 1 INCH FOR EYELET AREA</v>
      </c>
      <c r="E2729" s="196" t="str">
        <f>IFERROR(__xludf.DUMMYFUNCTION("""COMPUTED_VALUE"""),"MARKETING")</f>
        <v>MARKETING</v>
      </c>
    </row>
    <row r="2730">
      <c r="A2730" s="234">
        <f>IFERROR(__xludf.DUMMYFUNCTION("""COMPUTED_VALUE"""),103021.0)</f>
        <v>103021</v>
      </c>
      <c r="B2730" s="235" t="str">
        <f>IFERROR(__xludf.DUMMYFUNCTION("""COMPUTED_VALUE"""),"ED H. HIDALGO")</f>
        <v>ED H. HIDALGO</v>
      </c>
      <c r="C2730" s="235" t="str">
        <f>IFERROR(__xludf.DUMMYFUNCTION("""COMPUTED_VALUE"""),"PURCHASING")</f>
        <v>PURCHASING</v>
      </c>
      <c r="D2730" s="196" t="str">
        <f>IFERROR(__xludf.DUMMYFUNCTION("""COMPUTED_VALUE"""),"- 10 HEAVY DUTY BALIKBAYAN  BOX 20x20x20
- 1 SHIPPING FEE")</f>
        <v>- 10 HEAVY DUTY BALIKBAYAN  BOX 20x20x20
- 1 SHIPPING FEE</v>
      </c>
      <c r="E2730" s="196" t="str">
        <f>IFERROR(__xludf.DUMMYFUNCTION("""COMPUTED_VALUE"""),"STORAGE OF OLD PURCHASING FILES TO BE TRANSMITTED TO ACT FARM")</f>
        <v>STORAGE OF OLD PURCHASING FILES TO BE TRANSMITTED TO ACT FARM</v>
      </c>
    </row>
    <row r="2731">
      <c r="A2731" s="234">
        <f>IFERROR(__xludf.DUMMYFUNCTION("""COMPUTED_VALUE"""),103022.0)</f>
        <v>103022</v>
      </c>
      <c r="B2731" s="235" t="str">
        <f>IFERROR(__xludf.DUMMYFUNCTION("""COMPUTED_VALUE"""),"JAYVEN POBLETE")</f>
        <v>JAYVEN POBLETE</v>
      </c>
      <c r="C2731" s="235" t="str">
        <f>IFERROR(__xludf.DUMMYFUNCTION("""COMPUTED_VALUE"""),"PR &amp; MARKETING")</f>
        <v>PR &amp; MARKETING</v>
      </c>
      <c r="D2731" s="196" t="str">
        <f>IFERROR(__xludf.DUMMYFUNCTION("""COMPUTED_VALUE"""),"SOUTHVILLE GENERIC FLYER")</f>
        <v>SOUTHVILLE GENERIC FLYER</v>
      </c>
      <c r="E2731" s="196" t="str">
        <f>IFERROR(__xludf.DUMMYFUNCTION("""COMPUTED_VALUE"""),"MARKETING")</f>
        <v>MARKETING</v>
      </c>
    </row>
    <row r="2732">
      <c r="A2732" s="234">
        <f>IFERROR(__xludf.DUMMYFUNCTION("""COMPUTED_VALUE"""),103023.0)</f>
        <v>103023</v>
      </c>
      <c r="B2732" s="235" t="str">
        <f>IFERROR(__xludf.DUMMYFUNCTION("""COMPUTED_VALUE"""),"CARLITO DELA VEGA &amp; JULIUS PAGDATU")</f>
        <v>CARLITO DELA VEGA &amp; JULIUS PAGDATU</v>
      </c>
      <c r="C2732" s="235" t="str">
        <f>IFERROR(__xludf.DUMMYFUNCTION("""COMPUTED_VALUE"""),"SECURITY")</f>
        <v>SECURITY</v>
      </c>
      <c r="D2732" s="196" t="str">
        <f>IFERROR(__xludf.DUMMYFUNCTION("""COMPUTED_VALUE"""),"WIFI/LAN SMART CCTV W/ 128GB SD CARD
- 8 PCS IMOU F42P 4MP OUTDOOR IP67")</f>
        <v>WIFI/LAN SMART CCTV W/ 128GB SD CARD
- 8 PCS IMOU F42P 4MP OUTDOOR IP67</v>
      </c>
      <c r="E2732" s="196" t="str">
        <f>IFERROR(__xludf.DUMMYFUNCTION("""COMPUTED_VALUE"""),"PRIORITY: MONARCH PARK, CANTEEN, &amp; FOOD COURT")</f>
        <v>PRIORITY: MONARCH PARK, CANTEEN, &amp; FOOD COURT</v>
      </c>
    </row>
    <row r="2733">
      <c r="A2733" s="234">
        <f>IFERROR(__xludf.DUMMYFUNCTION("""COMPUTED_VALUE"""),103024.0)</f>
        <v>103024</v>
      </c>
      <c r="B2733" s="235" t="str">
        <f>IFERROR(__xludf.DUMMYFUNCTION("""COMPUTED_VALUE"""),"CHARISMA S. LOMAT")</f>
        <v>CHARISMA S. LOMAT</v>
      </c>
      <c r="C2733" s="235" t="str">
        <f>IFERROR(__xludf.DUMMYFUNCTION("""COMPUTED_VALUE"""),"PR &amp; MARKETING")</f>
        <v>PR &amp; MARKETING</v>
      </c>
      <c r="D2733" s="196" t="str">
        <f>IFERROR(__xludf.DUMMYFUNCTION("""COMPUTED_VALUE"""),"PULL UP BANNERS FOR CAREER PRESENTATION
- 1 PULL UP BANNER FOR EACH LAYOUT(2 LAYOUTS), 3 X 6.5 FT")</f>
        <v>PULL UP BANNERS FOR CAREER PRESENTATION
- 1 PULL UP BANNER FOR EACH LAYOUT(2 LAYOUTS), 3 X 6.5 FT</v>
      </c>
      <c r="E2733" s="196" t="str">
        <f>IFERROR(__xludf.DUMMYFUNCTION("""COMPUTED_VALUE"""),"MARKETING")</f>
        <v>MARKETING</v>
      </c>
    </row>
    <row r="2734">
      <c r="A2734" s="234">
        <f>IFERROR(__xludf.DUMMYFUNCTION("""COMPUTED_VALUE"""),103025.0)</f>
        <v>103025</v>
      </c>
      <c r="B2734" s="235" t="str">
        <f>IFERROR(__xludf.DUMMYFUNCTION("""COMPUTED_VALUE"""),"MARVIN MARASIGAN")</f>
        <v>MARVIN MARASIGAN</v>
      </c>
      <c r="C2734" s="235" t="str">
        <f>IFERROR(__xludf.DUMMYFUNCTION("""COMPUTED_VALUE"""),"PR &amp; MARKETING")</f>
        <v>PR &amp; MARKETING</v>
      </c>
      <c r="D2734" s="196" t="str">
        <f>IFERROR(__xludf.DUMMYFUNCTION("""COMPUTED_VALUE"""),"SIZE 119H x 236W - Inches
9.9 x 19.7 FT
- EYELET ALL OVER W/SEAMING &amp; BLACK OUT
- PUT STROKE INSIDE THE DESIGN 1 INCH FOR EYELET AREA")</f>
        <v>SIZE 119H x 236W - Inches
9.9 x 19.7 FT
- EYELET ALL OVER W/SEAMING &amp; BLACK OUT
- PUT STROKE INSIDE THE DESIGN 1 INCH FOR EYELET AREA</v>
      </c>
      <c r="E2734" s="196" t="str">
        <f>IFERROR(__xludf.DUMMYFUNCTION("""COMPUTED_VALUE"""),"FOR TARP REPLACEMENT")</f>
        <v>FOR TARP REPLACEMENT</v>
      </c>
    </row>
    <row r="2735">
      <c r="A2735" s="234">
        <f>IFERROR(__xludf.DUMMYFUNCTION("""COMPUTED_VALUE"""),103026.0)</f>
        <v>103026</v>
      </c>
      <c r="B2735" s="235" t="str">
        <f>IFERROR(__xludf.DUMMYFUNCTION("""COMPUTED_VALUE"""),"PHEN PETIN")</f>
        <v>PHEN PETIN</v>
      </c>
      <c r="C2735" s="235" t="str">
        <f>IFERROR(__xludf.DUMMYFUNCTION("""COMPUTED_VALUE"""),"ADMIN - STAR")</f>
        <v>ADMIN - STAR</v>
      </c>
      <c r="D2735" s="196" t="str">
        <f>IFERROR(__xludf.DUMMYFUNCTION("""COMPUTED_VALUE"""),"1 WATER DISPENSER")</f>
        <v>1 WATER DISPENSER</v>
      </c>
      <c r="E2735" s="196" t="str">
        <f>IFERROR(__xludf.DUMMYFUNCTION("""COMPUTED_VALUE"""),"REPLACE BROKEN WATER DISPENSER (LAST WATER DISPENSER 2018 FROM THE MUFTI DAY OF STUDENTS)")</f>
        <v>REPLACE BROKEN WATER DISPENSER (LAST WATER DISPENSER 2018 FROM THE MUFTI DAY OF STUDENTS)</v>
      </c>
    </row>
    <row r="2736">
      <c r="A2736" s="234">
        <f>IFERROR(__xludf.DUMMYFUNCTION("""COMPUTED_VALUE"""),103027.0)</f>
        <v>103027</v>
      </c>
      <c r="B2736" s="235" t="str">
        <f>IFERROR(__xludf.DUMMYFUNCTION("""COMPUTED_VALUE"""),"ALFA DE LEON")</f>
        <v>ALFA DE LEON</v>
      </c>
      <c r="C2736" s="235" t="str">
        <f>IFERROR(__xludf.DUMMYFUNCTION("""COMPUTED_VALUE"""),"ADMIN")</f>
        <v>ADMIN</v>
      </c>
      <c r="D2736" s="196" t="str">
        <f>IFERROR(__xludf.DUMMYFUNCTION("""COMPUTED_VALUE"""),"100 RED SANTAN")</f>
        <v>100 RED SANTAN</v>
      </c>
      <c r="E2736" s="196" t="str">
        <f>IFERROR(__xludf.DUMMYFUNCTION("""COMPUTED_VALUE"""),"REFILLING OF SANTAN PLANTS IN TROPICAL AVE. ")</f>
        <v>REFILLING OF SANTAN PLANTS IN TROPICAL AVE. </v>
      </c>
    </row>
    <row r="2737">
      <c r="A2737" s="234">
        <f>IFERROR(__xludf.DUMMYFUNCTION("""COMPUTED_VALUE"""),103028.0)</f>
        <v>103028</v>
      </c>
      <c r="B2737" s="235" t="str">
        <f>IFERROR(__xludf.DUMMYFUNCTION("""COMPUTED_VALUE"""),"ISABELO LEOPOLDO")</f>
        <v>ISABELO LEOPOLDO</v>
      </c>
      <c r="C2737" s="235" t="str">
        <f>IFERROR(__xludf.DUMMYFUNCTION("""COMPUTED_VALUE"""),"MIS/ICT")</f>
        <v>MIS/ICT</v>
      </c>
      <c r="D2737" s="196" t="str">
        <f>IFERROR(__xludf.DUMMYFUNCTION("""COMPUTED_VALUE"""),"Neutrik NC3MXX3-Pin M Cable MT XLR")</f>
        <v>Neutrik NC3MXX3-Pin M Cable MT XLR</v>
      </c>
      <c r="E2737" s="196" t="str">
        <f>IFERROR(__xludf.DUMMYFUNCTION("""COMPUTED_VALUE"""),"Additional Equipment Device For Client")</f>
        <v>Additional Equipment Device For Client</v>
      </c>
    </row>
    <row r="2738">
      <c r="A2738" s="234">
        <f>IFERROR(__xludf.DUMMYFUNCTION("""COMPUTED_VALUE"""),103029.0)</f>
        <v>103029</v>
      </c>
      <c r="B2738" s="235" t="str">
        <f>IFERROR(__xludf.DUMMYFUNCTION("""COMPUTED_VALUE"""),"SHEREE ESPINOSA ")</f>
        <v>SHEREE ESPINOSA </v>
      </c>
      <c r="C2738" s="235" t="str">
        <f>IFERROR(__xludf.DUMMYFUNCTION("""COMPUTED_VALUE"""),"PRESIDENT'S OFFICE")</f>
        <v>PRESIDENT'S OFFICE</v>
      </c>
      <c r="D2738" s="196" t="str">
        <f>IFERROR(__xludf.DUMMYFUNCTION("""COMPUTED_VALUE"""),"50 PCS POTS FOR PLATER BOXES")</f>
        <v>50 PCS POTS FOR PLATER BOXES</v>
      </c>
      <c r="E2738" s="196" t="str">
        <f>IFERROR(__xludf.DUMMYFUNCTION("""COMPUTED_VALUE"""),"FOR PRESIDENTS OFFICE ")</f>
        <v>FOR PRESIDENTS OFFICE </v>
      </c>
    </row>
    <row r="2739">
      <c r="A2739" s="234">
        <f>IFERROR(__xludf.DUMMYFUNCTION("""COMPUTED_VALUE"""),103030.0)</f>
        <v>103030</v>
      </c>
      <c r="B2739" s="235" t="str">
        <f>IFERROR(__xludf.DUMMYFUNCTION("""COMPUTED_VALUE"""),"CHRISTIAN S. ANDRES")</f>
        <v>CHRISTIAN S. ANDRES</v>
      </c>
      <c r="C2739" s="235" t="str">
        <f>IFERROR(__xludf.DUMMYFUNCTION("""COMPUTED_VALUE"""),"PR &amp; MARKETING")</f>
        <v>PR &amp; MARKETING</v>
      </c>
      <c r="D2739" s="196" t="str">
        <f>IFERROR(__xludf.DUMMYFUNCTION("""COMPUTED_VALUE"""),"9.9(HEIGHT) x 19.7(WIDTH) FEET
- EYELET ALL OVER WITH SEAMING AND BLACKOUT")</f>
        <v>9.9(HEIGHT) x 19.7(WIDTH) FEET
- EYELET ALL OVER WITH SEAMING AND BLACKOUT</v>
      </c>
      <c r="E2739" s="196" t="str">
        <f>IFERROR(__xludf.DUMMYFUNCTION("""COMPUTED_VALUE"""),"MARKETING")</f>
        <v>MARKETING</v>
      </c>
    </row>
    <row r="2740">
      <c r="A2740" s="234">
        <f>IFERROR(__xludf.DUMMYFUNCTION("""COMPUTED_VALUE"""),103031.0)</f>
        <v>103031</v>
      </c>
      <c r="B2740" s="235" t="str">
        <f>IFERROR(__xludf.DUMMYFUNCTION("""COMPUTED_VALUE"""),"EDGAR D. REBELLON")</f>
        <v>EDGAR D. REBELLON</v>
      </c>
      <c r="C2740" s="235" t="str">
        <f>IFERROR(__xludf.DUMMYFUNCTION("""COMPUTED_VALUE"""),"AMD")</f>
        <v>AMD</v>
      </c>
      <c r="D2740" s="196" t="str">
        <f>IFERROR(__xludf.DUMMYFUNCTION("""COMPUTED_VALUE"""),"50 PCS. ABANIKO, PRINTED WITH PHIL CULTURE, 15 PCS MOTHER OF PEARL WITH BAHAY KUBO DESIGN, 15 PCS. JEEPNEY MINIATURE, 25 PCS. SCRATCH PAD W/HOLDER BLK BANIG TINALAK")</f>
        <v>50 PCS. ABANIKO, PRINTED WITH PHIL CULTURE, 15 PCS MOTHER OF PEARL WITH BAHAY KUBO DESIGN, 15 PCS. JEEPNEY MINIATURE, 25 PCS. SCRATCH PAD W/HOLDER BLK BANIG TINALAK</v>
      </c>
      <c r="E2740" s="196" t="str">
        <f>IFERROR(__xludf.DUMMYFUNCTION("""COMPUTED_VALUE"""),"INSTITUTIONAL TOKENS FOR AMD STOCKS ")</f>
        <v>INSTITUTIONAL TOKENS FOR AMD STOCKS </v>
      </c>
    </row>
    <row r="2741">
      <c r="A2741" s="234">
        <f>IFERROR(__xludf.DUMMYFUNCTION("""COMPUTED_VALUE"""),103032.0)</f>
        <v>103032</v>
      </c>
      <c r="B2741" s="235" t="str">
        <f>IFERROR(__xludf.DUMMYFUNCTION("""COMPUTED_VALUE"""),"BRENT TEMPLO")</f>
        <v>BRENT TEMPLO</v>
      </c>
      <c r="C2741" s="235" t="str">
        <f>IFERROR(__xludf.DUMMYFUNCTION("""COMPUTED_VALUE"""),"AMD")</f>
        <v>AMD</v>
      </c>
      <c r="D2741" s="196" t="str">
        <f>IFERROR(__xludf.DUMMYFUNCTION("""COMPUTED_VALUE"""),"10 REAMS PAPER GROUNDWOVE MIMEO LONG, 10 REAMS PAPER GROUNDWOVE MIMEO SHORT")</f>
        <v>10 REAMS PAPER GROUNDWOVE MIMEO LONG, 10 REAMS PAPER GROUNDWOVE MIMEO SHORT</v>
      </c>
      <c r="E2741" s="196" t="str">
        <f>IFERROR(__xludf.DUMMYFUNCTION("""COMPUTED_VALUE"""),"OFFICE SUPPLIES REPELENISHMENT")</f>
        <v>OFFICE SUPPLIES REPELENISHMENT</v>
      </c>
    </row>
    <row r="2742">
      <c r="A2742" s="234">
        <f>IFERROR(__xludf.DUMMYFUNCTION("""COMPUTED_VALUE"""),103033.0)</f>
        <v>103033</v>
      </c>
      <c r="B2742" s="235" t="str">
        <f>IFERROR(__xludf.DUMMYFUNCTION("""COMPUTED_VALUE"""),"BRENT TEMPLO")</f>
        <v>BRENT TEMPLO</v>
      </c>
      <c r="C2742" s="235" t="str">
        <f>IFERROR(__xludf.DUMMYFUNCTION("""COMPUTED_VALUE"""),"AMD")</f>
        <v>AMD</v>
      </c>
      <c r="D2742" s="196" t="str">
        <f>IFERROR(__xludf.DUMMYFUNCTION("""COMPUTED_VALUE""")," PAPER, SISC LETTERHEAD COLORED A4 3 REAMS")</f>
        <v> PAPER, SISC LETTERHEAD COLORED A4 3 REAMS</v>
      </c>
      <c r="E2742" s="196" t="str">
        <f>IFERROR(__xludf.DUMMYFUNCTION("""COMPUTED_VALUE"""),"OFFICE SUPPLIES REPELENISHMENT")</f>
        <v>OFFICE SUPPLIES REPELENISHMENT</v>
      </c>
    </row>
    <row r="2743">
      <c r="A2743" s="234">
        <f>IFERROR(__xludf.DUMMYFUNCTION("""COMPUTED_VALUE"""),103034.0)</f>
        <v>103034</v>
      </c>
      <c r="B2743" s="235" t="str">
        <f>IFERROR(__xludf.DUMMYFUNCTION("""COMPUTED_VALUE"""),"CHRISTIAN ANDRES ")</f>
        <v>CHRISTIAN ANDRES </v>
      </c>
      <c r="C2743" s="235" t="str">
        <f>IFERROR(__xludf.DUMMYFUNCTION("""COMPUTED_VALUE"""),"PR &amp; MARKETING")</f>
        <v>PR &amp; MARKETING</v>
      </c>
      <c r="D2743" s="196" t="str">
        <f>IFERROR(__xludf.DUMMYFUNCTION("""COMPUTED_VALUE"""),"S4S K.D. #2""X3""10"", 14 PCS.  (SURFACE ON 4 SIDES) (KILN DRIED HARDWOOD), G.I., wire # 16 1 KILO (halvanized iron wide), COMMON NAIL # 3 2 KILOS")</f>
        <v>S4S K.D. #2"X3"10", 14 PCS.  (SURFACE ON 4 SIDES) (KILN DRIED HARDWOOD), G.I., wire # 16 1 KILO (halvanized iron wide), COMMON NAIL # 3 2 KILOS</v>
      </c>
      <c r="E2743" s="196" t="str">
        <f>IFERROR(__xludf.DUMMYFUNCTION("""COMPUTED_VALUE"""),"MAINTENANCE FOR GATCHALIAN FRAME")</f>
        <v>MAINTENANCE FOR GATCHALIAN FRAME</v>
      </c>
    </row>
    <row r="2744">
      <c r="A2744" s="234">
        <f>IFERROR(__xludf.DUMMYFUNCTION("""COMPUTED_VALUE"""),103035.0)</f>
        <v>103035</v>
      </c>
      <c r="B2744" s="235" t="str">
        <f>IFERROR(__xludf.DUMMYFUNCTION("""COMPUTED_VALUE"""),"JESUIT CHRISTIAN GALICIA")</f>
        <v>JESUIT CHRISTIAN GALICIA</v>
      </c>
      <c r="C2744" s="235" t="str">
        <f>IFERROR(__xludf.DUMMYFUNCTION("""COMPUTED_VALUE"""),"AMD")</f>
        <v>AMD</v>
      </c>
      <c r="D2744" s="196" t="str">
        <f>IFERROR(__xludf.DUMMYFUNCTION("""COMPUTED_VALUE"""),"Door Closer Yale 10, Doorknob Gateman 40, electrical tape 50, teflon tape 30, LED TUBE 16W DAYLIGHT - PHILIPS 150, Bulb Receptacle 4 1/4 100, Toilet Cover Screw with Gasket 30, p-trap stainless 30")</f>
        <v>Door Closer Yale 10, Doorknob Gateman 40, electrical tape 50, teflon tape 30, LED TUBE 16W DAYLIGHT - PHILIPS 150, Bulb Receptacle 4 1/4 100, Toilet Cover Screw with Gasket 30, p-trap stainless 30</v>
      </c>
      <c r="E2744" s="196" t="str">
        <f>IFERROR(__xludf.DUMMYFUNCTION("""COMPUTED_VALUE"""),"ENGINEERING STOCK REPLENISHMENT ")</f>
        <v>ENGINEERING STOCK REPLENISHMENT </v>
      </c>
    </row>
    <row r="2745">
      <c r="A2745" s="234">
        <f>IFERROR(__xludf.DUMMYFUNCTION("""COMPUTED_VALUE"""),103036.0)</f>
        <v>103036</v>
      </c>
      <c r="B2745" s="235" t="str">
        <f>IFERROR(__xludf.DUMMYFUNCTION("""COMPUTED_VALUE"""),"BRENT TEMPLO")</f>
        <v>BRENT TEMPLO</v>
      </c>
      <c r="C2745" s="235" t="str">
        <f>IFERROR(__xludf.DUMMYFUNCTION("""COMPUTED_VALUE"""),"AMD")</f>
        <v>AMD</v>
      </c>
      <c r="D2745" s="196" t="str">
        <f>IFERROR(__xludf.DUMMYFUNCTION("""COMPUTED_VALUE"""),"SCISSORS FOR EMPLOYEE 6 INCHES 100 PCS., SCISSORS STANFORD MAPED STAINLESS 100 PCS., ")</f>
        <v>SCISSORS FOR EMPLOYEE 6 INCHES 100 PCS., SCISSORS STANFORD MAPED STAINLESS 100 PCS., </v>
      </c>
      <c r="E2745" s="196" t="str">
        <f>IFERROR(__xludf.DUMMYFUNCTION("""COMPUTED_VALUE"""),"OFFICE AND STUDENT SUPPLIES REPLENISHMENT ")</f>
        <v>OFFICE AND STUDENT SUPPLIES REPLENISHMENT </v>
      </c>
    </row>
    <row r="2746">
      <c r="A2746" s="234">
        <f>IFERROR(__xludf.DUMMYFUNCTION("""COMPUTED_VALUE"""),103037.0)</f>
        <v>103037</v>
      </c>
      <c r="B2746" s="235" t="str">
        <f>IFERROR(__xludf.DUMMYFUNCTION("""COMPUTED_VALUE"""),"PHEN PETIN")</f>
        <v>PHEN PETIN</v>
      </c>
      <c r="C2746" s="235" t="str">
        <f>IFERROR(__xludf.DUMMYFUNCTION("""COMPUTED_VALUE"""),"ADMIN - STAR")</f>
        <v>ADMIN - STAR</v>
      </c>
      <c r="D2746" s="196" t="str">
        <f>IFERROR(__xludf.DUMMYFUNCTION("""COMPUTED_VALUE"""),"10 UNITS FLOODLIGHT(10 WATTS DAYLIGHT), FLAT CORD #12 1 ROLL")</f>
        <v>10 UNITS FLOODLIGHT(10 WATTS DAYLIGHT), FLAT CORD #12 1 ROLL</v>
      </c>
      <c r="E2746" s="196" t="str">
        <f>IFERROR(__xludf.DUMMYFUNCTION("""COMPUTED_VALUE"""),"CHANGE BUSTED FLOODLIGHT FRONTGATE")</f>
        <v>CHANGE BUSTED FLOODLIGHT FRONTGATE</v>
      </c>
    </row>
    <row r="2747">
      <c r="A2747" s="234">
        <f>IFERROR(__xludf.DUMMYFUNCTION("""COMPUTED_VALUE"""),103038.0)</f>
        <v>103038</v>
      </c>
      <c r="B2747" s="235" t="str">
        <f>IFERROR(__xludf.DUMMYFUNCTION("""COMPUTED_VALUE"""),"OWIE PAR")</f>
        <v>OWIE PAR</v>
      </c>
      <c r="C2747" s="235" t="str">
        <f>IFERROR(__xludf.DUMMYFUNCTION("""COMPUTED_VALUE"""),"ENGINEERING")</f>
        <v>ENGINEERING</v>
      </c>
      <c r="D2747" s="196" t="str">
        <f>IFERROR(__xludf.DUMMYFUNCTION("""COMPUTED_VALUE"""),"16 PCS GI PRE PAINTED GUTTER GUAGE #24
3 PCS GI ROOF 9 FT GUAGE 24
8 PCS 1x12x8 KD
3 PCS 2x4x8 KD
5 PCS 2x3x8 KD
1 PC 4x8x1/2 PLYWOOD
1 KG COMMON NAILS #3
1 KG COMMON NAILS #2
1 KG COMMON NAILS #1 1/2")</f>
        <v>16 PCS GI PRE PAINTED GUTTER GUAGE #24
3 PCS GI ROOF 9 FT GUAGE 24
8 PCS 1x12x8 KD
3 PCS 2x4x8 KD
5 PCS 2x3x8 KD
1 PC 4x8x1/2 PLYWOOD
1 KG COMMON NAILS #3
1 KG COMMON NAILS #2
1 KG COMMON NAILS #1 1/2</v>
      </c>
      <c r="E2747" s="196" t="str">
        <f>IFERROR(__xludf.DUMMYFUNCTION("""COMPUTED_VALUE"""),"FOR REPLACEMENT AT THE BACK AREA LUX BLDG(LAUNDRY AREA)")</f>
        <v>FOR REPLACEMENT AT THE BACK AREA LUX BLDG(LAUNDRY AREA)</v>
      </c>
    </row>
    <row r="2748">
      <c r="A2748" s="234">
        <f>IFERROR(__xludf.DUMMYFUNCTION("""COMPUTED_VALUE"""),103039.0)</f>
        <v>103039</v>
      </c>
      <c r="B2748" s="235" t="str">
        <f>IFERROR(__xludf.DUMMYFUNCTION("""COMPUTED_VALUE"""),"ALFA DE LEON")</f>
        <v>ALFA DE LEON</v>
      </c>
      <c r="C2748" s="235" t="str">
        <f>IFERROR(__xludf.DUMMYFUNCTION("""COMPUTED_VALUE"""),"ADMIN - MUNICH")</f>
        <v>ADMIN - MUNICH</v>
      </c>
      <c r="D2748" s="196" t="str">
        <f>IFERROR(__xludf.DUMMYFUNCTION("""COMPUTED_VALUE"""),"6 PCS FALCON URINAL &amp; CARTRIDGE")</f>
        <v>6 PCS FALCON URINAL &amp; CARTRIDGE</v>
      </c>
      <c r="E2748" s="196" t="str">
        <f>IFERROR(__xludf.DUMMYFUNCTION("""COMPUTED_VALUE"""),"REPLACEMENT OF OLD/UNREPAIRED URINAL 2/F + 3/F + G/F + CR MALE")</f>
        <v>REPLACEMENT OF OLD/UNREPAIRED URINAL 2/F + 3/F + G/F + CR MALE</v>
      </c>
    </row>
    <row r="2749">
      <c r="A2749" s="234">
        <f>IFERROR(__xludf.DUMMYFUNCTION("""COMPUTED_VALUE"""),103040.0)</f>
        <v>103040</v>
      </c>
      <c r="B2749" s="235" t="str">
        <f>IFERROR(__xludf.DUMMYFUNCTION("""COMPUTED_VALUE"""),"RONALDO VERDE")</f>
        <v>RONALDO VERDE</v>
      </c>
      <c r="C2749" s="235" t="str">
        <f>IFERROR(__xludf.DUMMYFUNCTION("""COMPUTED_VALUE"""),"ADMIN")</f>
        <v>ADMIN</v>
      </c>
      <c r="D2749" s="196" t="str">
        <f>IFERROR(__xludf.DUMMYFUNCTION("""COMPUTED_VALUE"""),"8 PCS. 195R15C,YOKOHAMA TIRES WEIGHTS (TINGGA) 16 PCS. ")</f>
        <v>8 PCS. 195R15C,YOKOHAMA TIRES WEIGHTS (TINGGA) 16 PCS. </v>
      </c>
      <c r="E2749" s="196" t="str">
        <f>IFERROR(__xludf.DUMMYFUNCTION("""COMPUTED_VALUE"""),"PREVENTIVE MAINTENANCE ")</f>
        <v>PREVENTIVE MAINTENANCE </v>
      </c>
    </row>
    <row r="2750">
      <c r="A2750" s="234">
        <f>IFERROR(__xludf.DUMMYFUNCTION("""COMPUTED_VALUE"""),103041.0)</f>
        <v>103041</v>
      </c>
      <c r="B2750" s="235" t="str">
        <f>IFERROR(__xludf.DUMMYFUNCTION("""COMPUTED_VALUE"""),"MARVIN MARASIGAN ")</f>
        <v>MARVIN MARASIGAN </v>
      </c>
      <c r="C2750" s="235" t="str">
        <f>IFERROR(__xludf.DUMMYFUNCTION("""COMPUTED_VALUE"""),"PR &amp; MARKETING")</f>
        <v>PR &amp; MARKETING</v>
      </c>
      <c r="D2750" s="196" t="str">
        <f>IFERROR(__xludf.DUMMYFUNCTION("""COMPUTED_VALUE"""),"ACHIEVER'S VERTICAL TARPS 16 PCS. X-STAND 2.5 X 6 FT. 16 PCS. ")</f>
        <v>ACHIEVER'S VERTICAL TARPS 16 PCS. X-STAND 2.5 X 6 FT. 16 PCS. </v>
      </c>
      <c r="E2750" s="196" t="str">
        <f>IFERROR(__xludf.DUMMYFUNCTION("""COMPUTED_VALUE"""),"TO BE USED IN MARKETING THE ACHIEVEMENTS OF SISC STUDENTS ")</f>
        <v>TO BE USED IN MARKETING THE ACHIEVEMENTS OF SISC STUDENTS </v>
      </c>
    </row>
    <row r="2751">
      <c r="A2751" s="234">
        <f>IFERROR(__xludf.DUMMYFUNCTION("""COMPUTED_VALUE"""),103042.0)</f>
        <v>103042</v>
      </c>
      <c r="B2751" s="235" t="str">
        <f>IFERROR(__xludf.DUMMYFUNCTION("""COMPUTED_VALUE"""),"VYE REVOLTAR ")</f>
        <v>VYE REVOLTAR </v>
      </c>
      <c r="C2751" s="235" t="str">
        <f>IFERROR(__xludf.DUMMYFUNCTION("""COMPUTED_VALUE"""),"FOUNDER'S SCHOLARS")</f>
        <v>FOUNDER'S SCHOLARS</v>
      </c>
      <c r="D2751" s="196" t="str">
        <f>IFERROR(__xludf.DUMMYFUNCTION("""COMPUTED_VALUE"""),"ASPIRE 5 A514-54-35EB")</f>
        <v>ASPIRE 5 A514-54-35EB</v>
      </c>
      <c r="E2751" s="196" t="str">
        <f>IFERROR(__xludf.DUMMYFUNCTION("""COMPUTED_VALUE"""),"FOR LAPTOP LOAN OF SCHOLARS")</f>
        <v>FOR LAPTOP LOAN OF SCHOLARS</v>
      </c>
    </row>
    <row r="2752">
      <c r="A2752" s="234">
        <f>IFERROR(__xludf.DUMMYFUNCTION("""COMPUTED_VALUE"""),103043.0)</f>
        <v>103043</v>
      </c>
      <c r="B2752" s="235" t="str">
        <f>IFERROR(__xludf.DUMMYFUNCTION("""COMPUTED_VALUE"""),"VYE REVOLTAR ")</f>
        <v>VYE REVOLTAR </v>
      </c>
      <c r="C2752" s="235" t="str">
        <f>IFERROR(__xludf.DUMMYFUNCTION("""COMPUTED_VALUE"""),"CEM OFFICE")</f>
        <v>CEM OFFICE</v>
      </c>
      <c r="D2752" s="196" t="str">
        <f>IFERROR(__xludf.DUMMYFUNCTION("""COMPUTED_VALUE"""),"TELEPHONE CORDLESS 1 PC. ")</f>
        <v>TELEPHONE CORDLESS 1 PC. </v>
      </c>
      <c r="E2752" s="196" t="str">
        <f>IFERROR(__xludf.DUMMYFUNCTION("""COMPUTED_VALUE"""),"REPLACE THE BROKEN PHONE IN THE CEM RECEPTION AREA")</f>
        <v>REPLACE THE BROKEN PHONE IN THE CEM RECEPTION AREA</v>
      </c>
    </row>
    <row r="2753">
      <c r="A2753" s="234">
        <f>IFERROR(__xludf.DUMMYFUNCTION("""COMPUTED_VALUE"""),103044.0)</f>
        <v>103044</v>
      </c>
      <c r="B2753" s="235" t="str">
        <f>IFERROR(__xludf.DUMMYFUNCTION("""COMPUTED_VALUE"""),"WILBERT BELTRAN")</f>
        <v>WILBERT BELTRAN</v>
      </c>
      <c r="C2753" s="235" t="str">
        <f>IFERROR(__xludf.DUMMYFUNCTION("""COMPUTED_VALUE"""),"MIS")</f>
        <v>MIS</v>
      </c>
      <c r="D2753" s="196" t="str">
        <f>IFERROR(__xludf.DUMMYFUNCTION("""COMPUTED_VALUE"""),"- 10 SMART MOTOR
- 6 ROBOT BRAIN 
- 20 BATTERY
- 2 RUBBER SHAFT COLLARS PACK
- 2 WHEEL KIT
- 1 GEAR BASE PACK
- 2 BASIC MOTION ACCESSORY PACK
- 10 USB CABLE")</f>
        <v>- 10 SMART MOTOR
- 6 ROBOT BRAIN 
- 20 BATTERY
- 2 RUBBER SHAFT COLLARS PACK
- 2 WHEEL KIT
- 1 GEAR BASE PACK
- 2 BASIC MOTION ACCESSORY PACK
- 10 USB CABLE</v>
      </c>
      <c r="E2753" s="196" t="str">
        <f>IFERROR(__xludf.DUMMYFUNCTION("""COMPUTED_VALUE"""),"REPLENISHMENT OF MISSIG/DEFECTED PARTS")</f>
        <v>REPLENISHMENT OF MISSIG/DEFECTED PARTS</v>
      </c>
    </row>
    <row r="2754">
      <c r="A2754" s="234">
        <f>IFERROR(__xludf.DUMMYFUNCTION("""COMPUTED_VALUE"""),103045.0)</f>
        <v>103045</v>
      </c>
      <c r="B2754" s="235" t="str">
        <f>IFERROR(__xludf.DUMMYFUNCTION("""COMPUTED_VALUE"""),"WILBERT BELTRAN")</f>
        <v>WILBERT BELTRAN</v>
      </c>
      <c r="C2754" s="235" t="str">
        <f>IFERROR(__xludf.DUMMYFUNCTION("""COMPUTED_VALUE"""),"MIS/ICT")</f>
        <v>MIS/ICT</v>
      </c>
      <c r="D2754" s="196" t="str">
        <f>IFERROR(__xludf.DUMMYFUNCTION("""COMPUTED_VALUE"""),"- 1 NETGATE X6 - 1540")</f>
        <v>- 1 NETGATE X6 - 1540</v>
      </c>
      <c r="E2754" s="196" t="str">
        <f>IFERROR(__xludf.DUMMYFUNCTION("""COMPUTED_VALUE"""),"BACKUP FIREWALL")</f>
        <v>BACKUP FIREWALL</v>
      </c>
    </row>
    <row r="2755">
      <c r="A2755" s="234">
        <f>IFERROR(__xludf.DUMMYFUNCTION("""COMPUTED_VALUE"""),103046.0)</f>
        <v>103046</v>
      </c>
      <c r="B2755" s="235" t="str">
        <f>IFERROR(__xludf.DUMMYFUNCTION("""COMPUTED_VALUE"""),"WILBERT BELTRAN")</f>
        <v>WILBERT BELTRAN</v>
      </c>
      <c r="C2755" s="235" t="str">
        <f>IFERROR(__xludf.DUMMYFUNCTION("""COMPUTED_VALUE"""),"MIS/ICT")</f>
        <v>MIS/ICT</v>
      </c>
      <c r="D2755" s="196" t="str">
        <f>IFERROR(__xludf.DUMMYFUNCTION("""COMPUTED_VALUE"""),"- 4 TL SG 1W8MP V3(8 PORT GIGABIT POE SWITCH)
- 4 TL SG 1W5P V4(5 PORT GIGABIT POE SWITCH)")</f>
        <v>- 4 TL SG 1W8MP V3(8 PORT GIGABIT POE SWITCH)
- 4 TL SG 1W5P V4(5 PORT GIGABIT POE SWITCH)</v>
      </c>
      <c r="E2755" s="196" t="str">
        <f>IFERROR(__xludf.DUMMYFUNCTION("""COMPUTED_VALUE"""),"FOR OFFICES &amp; EVENTS")</f>
        <v>FOR OFFICES &amp; EVENTS</v>
      </c>
    </row>
    <row r="2756">
      <c r="A2756" s="234">
        <f>IFERROR(__xludf.DUMMYFUNCTION("""COMPUTED_VALUE"""),103047.0)</f>
        <v>103047</v>
      </c>
      <c r="B2756" s="235" t="str">
        <f>IFERROR(__xludf.DUMMYFUNCTION("""COMPUTED_VALUE"""),"CHRISTIAN GALICIA")</f>
        <v>CHRISTIAN GALICIA</v>
      </c>
      <c r="C2756" s="235" t="str">
        <f>IFERROR(__xludf.DUMMYFUNCTION("""COMPUTED_VALUE"""),"AMD")</f>
        <v>AMD</v>
      </c>
      <c r="D2756" s="196" t="str">
        <f>IFERROR(__xludf.DUMMYFUNCTION("""COMPUTED_VALUE"""),"USB MOUSE LOGITECH")</f>
        <v>USB MOUSE LOGITECH</v>
      </c>
      <c r="E2756" s="196" t="str">
        <f>IFERROR(__xludf.DUMMYFUNCTION("""COMPUTED_VALUE"""),"MIS STOCK REPLENISHMENT")</f>
        <v>MIS STOCK REPLENISHMENT</v>
      </c>
    </row>
    <row r="2757">
      <c r="A2757" s="234">
        <f>IFERROR(__xludf.DUMMYFUNCTION("""COMPUTED_VALUE"""),103048.0)</f>
        <v>103048</v>
      </c>
      <c r="B2757" s="235" t="str">
        <f>IFERROR(__xludf.DUMMYFUNCTION("""COMPUTED_VALUE"""),"PHEN PETIN")</f>
        <v>PHEN PETIN</v>
      </c>
      <c r="C2757" s="235" t="str">
        <f>IFERROR(__xludf.DUMMYFUNCTION("""COMPUTED_VALUE"""),"ADMIN - STAR")</f>
        <v>ADMIN - STAR</v>
      </c>
      <c r="D2757" s="196" t="str">
        <f>IFERROR(__xludf.DUMMYFUNCTION("""COMPUTED_VALUE"""),"1 PC. DRILLING MACHINE ")</f>
        <v>1 PC. DRILLING MACHINE </v>
      </c>
      <c r="E2757" s="196" t="str">
        <f>IFERROR(__xludf.DUMMYFUNCTION("""COMPUTED_VALUE"""),"REPLACEMENT OF THE OLD AND BROKEN DRILLING MACHINE OF STAR CAMPUS")</f>
        <v>REPLACEMENT OF THE OLD AND BROKEN DRILLING MACHINE OF STAR CAMPUS</v>
      </c>
    </row>
    <row r="2758">
      <c r="A2758" s="234">
        <f>IFERROR(__xludf.DUMMYFUNCTION("""COMPUTED_VALUE"""),103049.0)</f>
        <v>103049</v>
      </c>
      <c r="B2758" s="235" t="str">
        <f>IFERROR(__xludf.DUMMYFUNCTION("""COMPUTED_VALUE"""),"PHEN PETIN")</f>
        <v>PHEN PETIN</v>
      </c>
      <c r="C2758" s="235" t="str">
        <f>IFERROR(__xludf.DUMMYFUNCTION("""COMPUTED_VALUE"""),"ADMIN - STAR")</f>
        <v>ADMIN - STAR</v>
      </c>
      <c r="D2758" s="196" t="str">
        <f>IFERROR(__xludf.DUMMYFUNCTION("""COMPUTED_VALUE"""),"1 SET ENGINEERING TOOLS ")</f>
        <v>1 SET ENGINEERING TOOLS </v>
      </c>
      <c r="E2758" s="196" t="str">
        <f>IFERROR(__xludf.DUMMYFUNCTION("""COMPUTED_VALUE"""),"FOR ENGINEERING USE IN STAR CAMPUS")</f>
        <v>FOR ENGINEERING USE IN STAR CAMPUS</v>
      </c>
    </row>
    <row r="2759">
      <c r="A2759" s="234">
        <f>IFERROR(__xludf.DUMMYFUNCTION("""COMPUTED_VALUE"""),103050.0)</f>
        <v>103050</v>
      </c>
      <c r="B2759" s="235" t="str">
        <f>IFERROR(__xludf.DUMMYFUNCTION("""COMPUTED_VALUE"""),"LOMAT CHARISMA")</f>
        <v>LOMAT CHARISMA</v>
      </c>
      <c r="C2759" s="235" t="str">
        <f>IFERROR(__xludf.DUMMYFUNCTION("""COMPUTED_VALUE"""),"PR &amp; MARKETING")</f>
        <v>PR &amp; MARKETING</v>
      </c>
      <c r="D2759" s="196" t="str">
        <f>IFERROR(__xludf.DUMMYFUNCTION("""COMPUTED_VALUE"""),"CONGRATULATORY TARP FOR  MATY GABRIELLE SEE VALBUENA, RN. JODI STA. MARIA, GWENYTH MARGAUX G. TANGOG, GUILIANA S. MEDINA, JUNYEONG PARK SIZE: 6.8 X 9.7 FT.")</f>
        <v>CONGRATULATORY TARP FOR  MATY GABRIELLE SEE VALBUENA, RN. JODI STA. MARIA, GWENYTH MARGAUX G. TANGOG, GUILIANA S. MEDINA, JUNYEONG PARK SIZE: 6.8 X 9.7 FT.</v>
      </c>
      <c r="E2759" s="196" t="str">
        <f>IFERROR(__xludf.DUMMYFUNCTION("""COMPUTED_VALUE"""),"MAKETING/SCHOOL PRIDE")</f>
        <v>MAKETING/SCHOOL PRIDE</v>
      </c>
    </row>
    <row r="2760">
      <c r="A2760" s="234">
        <f>IFERROR(__xludf.DUMMYFUNCTION("""COMPUTED_VALUE"""),103051.0)</f>
        <v>103051</v>
      </c>
      <c r="B2760" s="235" t="str">
        <f>IFERROR(__xludf.DUMMYFUNCTION("""COMPUTED_VALUE"""),"ARNEL MONTABLAN")</f>
        <v>ARNEL MONTABLAN</v>
      </c>
      <c r="C2760" s="235" t="str">
        <f>IFERROR(__xludf.DUMMYFUNCTION("""COMPUTED_VALUE"""),"FOUNDERS SCHOLARS")</f>
        <v>FOUNDERS SCHOLARS</v>
      </c>
      <c r="D2760" s="196" t="str">
        <f>IFERROR(__xludf.DUMMYFUNCTION("""COMPUTED_VALUE"""),"TOUGH MAMA GAS STOVE")</f>
        <v>TOUGH MAMA GAS STOVE</v>
      </c>
      <c r="E2760" s="196" t="str">
        <f>IFERROR(__xludf.DUMMYFUNCTION("""COMPUTED_VALUE"""),"REPLACEMENT FOR THE GAS TOVE(NOT ANYMORE FUNCTIONING)")</f>
        <v>REPLACEMENT FOR THE GAS TOVE(NOT ANYMORE FUNCTIONING)</v>
      </c>
    </row>
    <row r="2761">
      <c r="A2761" s="234">
        <f>IFERROR(__xludf.DUMMYFUNCTION("""COMPUTED_VALUE"""),103052.0)</f>
        <v>103052</v>
      </c>
      <c r="B2761" s="235" t="str">
        <f>IFERROR(__xludf.DUMMYFUNCTION("""COMPUTED_VALUE"""),"JAYVEN POBLETE")</f>
        <v>JAYVEN POBLETE</v>
      </c>
      <c r="C2761" s="235" t="str">
        <f>IFERROR(__xludf.DUMMYFUNCTION("""COMPUTED_VALUE"""),"PR &amp; MARKETING")</f>
        <v>PR &amp; MARKETING</v>
      </c>
      <c r="D2761" s="196" t="str">
        <f>IFERROR(__xludf.DUMMYFUNCTION("""COMPUTED_VALUE"""),"1 LAPTOP FOR SCHOOL PRESENTATION 16""
Spec:
- Windows 11 Home
- Intel Core i5-1135G7
- 8GB LPDDR4
- 512 GB NVMe SSD
- 15.6'' &amp; NVIDIA GeForce MX350")</f>
        <v>1 LAPTOP FOR SCHOOL PRESENTATION 16"
Spec:
- Windows 11 Home
- Intel Core i5-1135G7
- 8GB LPDDR4
- 512 GB NVMe SSD
- 15.6'' &amp; NVIDIA GeForce MX350</v>
      </c>
      <c r="E2761" s="196" t="str">
        <f>IFERROR(__xludf.DUMMYFUNCTION("""COMPUTED_VALUE"""),"MARKETING/FIELD WORK * PR LAPTOP BEFORE (JULY) CAN'T CONNECT TO WIFI AND LAGS AND FREEZES")</f>
        <v>MARKETING/FIELD WORK * PR LAPTOP BEFORE (JULY) CAN'T CONNECT TO WIFI AND LAGS AND FREEZES</v>
      </c>
    </row>
    <row r="2762">
      <c r="A2762" s="234">
        <f>IFERROR(__xludf.DUMMYFUNCTION("""COMPUTED_VALUE"""),103053.0)</f>
        <v>103053</v>
      </c>
      <c r="B2762" s="235" t="str">
        <f>IFERROR(__xludf.DUMMYFUNCTION("""COMPUTED_VALUE"""),"CHRISTIAN GALICIA")</f>
        <v>CHRISTIAN GALICIA</v>
      </c>
      <c r="C2762" s="235" t="str">
        <f>IFERROR(__xludf.DUMMYFUNCTION("""COMPUTED_VALUE"""),"AMD")</f>
        <v>AMD</v>
      </c>
      <c r="D2762" s="196" t="str">
        <f>IFERROR(__xludf.DUMMYFUNCTION("""COMPUTED_VALUE"""),"Goose Neck - 30 PCS - (COMPLETE)
flexible hose 1/4 x 7/8- 30 PCS - (COMPLETE)
flexible hose 1/2 x 3/8 - 30 PCS- (COMPLETE)
LED BULB 8W DAYLIGHT - PHILIPS 150 PCS (partial )
drawer lock 20 PCS - (COMPLETE)
PO Plug 20 PCS - (COMPLETE)
")</f>
        <v>Goose Neck - 30 PCS - (COMPLETE)
flexible hose 1/4 x 7/8- 30 PCS - (COMPLETE)
flexible hose 1/2 x 3/8 - 30 PCS- (COMPLETE)
LED BULB 8W DAYLIGHT - PHILIPS 150 PCS (partial )
drawer lock 20 PCS - (COMPLETE)
PO Plug 20 PCS - (COMPLETE)
</v>
      </c>
      <c r="E2762" s="196" t="str">
        <f>IFERROR(__xludf.DUMMYFUNCTION("""COMPUTED_VALUE"""),"ENGINEERING STOCK REPLENISHMENT")</f>
        <v>ENGINEERING STOCK REPLENISHMENT</v>
      </c>
    </row>
    <row r="2763">
      <c r="A2763" s="234">
        <f>IFERROR(__xludf.DUMMYFUNCTION("""COMPUTED_VALUE"""),103054.0)</f>
        <v>103054</v>
      </c>
      <c r="B2763" s="235" t="str">
        <f>IFERROR(__xludf.DUMMYFUNCTION("""COMPUTED_VALUE"""),"ALFA DE LEON")</f>
        <v>ALFA DE LEON</v>
      </c>
      <c r="C2763" s="235" t="str">
        <f>IFERROR(__xludf.DUMMYFUNCTION("""COMPUTED_VALUE"""),"ADMIN - MUNICH")</f>
        <v>ADMIN - MUNICH</v>
      </c>
      <c r="D2763" s="196" t="str">
        <f>IFERROR(__xludf.DUMMYFUNCTION("""COMPUTED_VALUE"""),"1 WALL FAN")</f>
        <v>1 WALL FAN</v>
      </c>
      <c r="E2763" s="196" t="str">
        <f>IFERROR(__xludf.DUMMYFUNCTION("""COMPUTED_VALUE"""),"REPLACEMENT FOR BROKEN FAN")</f>
        <v>REPLACEMENT FOR BROKEN FAN</v>
      </c>
    </row>
    <row r="2764">
      <c r="A2764" s="234">
        <f>IFERROR(__xludf.DUMMYFUNCTION("""COMPUTED_VALUE"""),103055.0)</f>
        <v>103055</v>
      </c>
      <c r="B2764" s="235" t="str">
        <f>IFERROR(__xludf.DUMMYFUNCTION("""COMPUTED_VALUE"""),"ALFA DE LEON")</f>
        <v>ALFA DE LEON</v>
      </c>
      <c r="C2764" s="235" t="str">
        <f>IFERROR(__xludf.DUMMYFUNCTION("""COMPUTED_VALUE"""),"ADMIN - MUNICH")</f>
        <v>ADMIN - MUNICH</v>
      </c>
      <c r="D2764" s="196" t="str">
        <f>IFERROR(__xludf.DUMMYFUNCTION("""COMPUTED_VALUE"""),"1 FLOOR POLISHER")</f>
        <v>1 FLOOR POLISHER</v>
      </c>
      <c r="E2764" s="196" t="str">
        <f>IFERROR(__xludf.DUMMYFUNCTION("""COMPUTED_VALUE"""),"HOUSEKEEPING MAINTENANCE - REPLACEMENT OF BROKEN ONES'")</f>
        <v>HOUSEKEEPING MAINTENANCE - REPLACEMENT OF BROKEN ONES'</v>
      </c>
    </row>
    <row r="2765">
      <c r="A2765" s="234">
        <f>IFERROR(__xludf.DUMMYFUNCTION("""COMPUTED_VALUE"""),103056.0)</f>
        <v>103056</v>
      </c>
      <c r="B2765" s="235" t="str">
        <f>IFERROR(__xludf.DUMMYFUNCTION("""COMPUTED_VALUE"""),"ALFA DE LEON")</f>
        <v>ALFA DE LEON</v>
      </c>
      <c r="C2765" s="235" t="str">
        <f>IFERROR(__xludf.DUMMYFUNCTION("""COMPUTED_VALUE"""),"ADMIN - MUNICH")</f>
        <v>ADMIN - MUNICH</v>
      </c>
      <c r="D2765" s="196" t="str">
        <f>IFERROR(__xludf.DUMMYFUNCTION("""COMPUTED_VALUE"""),"1 WATER DISPENSER")</f>
        <v>1 WATER DISPENSER</v>
      </c>
      <c r="E2765" s="196" t="str">
        <f>IFERROR(__xludf.DUMMYFUNCTION("""COMPUTED_VALUE"""),"REPLACEMENT OF BROKEN WATER DISPENSERS G/F")</f>
        <v>REPLACEMENT OF BROKEN WATER DISPENSERS G/F</v>
      </c>
    </row>
    <row r="2766">
      <c r="A2766" s="234">
        <f>IFERROR(__xludf.DUMMYFUNCTION("""COMPUTED_VALUE"""),103057.0)</f>
        <v>103057</v>
      </c>
      <c r="B2766" s="235" t="str">
        <f>IFERROR(__xludf.DUMMYFUNCTION("""COMPUTED_VALUE"""),"ALFA DE LEON")</f>
        <v>ALFA DE LEON</v>
      </c>
      <c r="C2766" s="235" t="str">
        <f>IFERROR(__xludf.DUMMYFUNCTION("""COMPUTED_VALUE"""),"ADMIN - MUNICH")</f>
        <v>ADMIN - MUNICH</v>
      </c>
      <c r="D2766" s="196" t="str">
        <f>IFERROR(__xludf.DUMMYFUNCTION("""COMPUTED_VALUE"""),"2 FLOOR POLISHER")</f>
        <v>2 FLOOR POLISHER</v>
      </c>
      <c r="E2766" s="196" t="str">
        <f>IFERROR(__xludf.DUMMYFUNCTION("""COMPUTED_VALUE"""),"REPAIRS OF POLISHER")</f>
        <v>REPAIRS OF POLISHER</v>
      </c>
    </row>
    <row r="2767">
      <c r="A2767" s="234">
        <f>IFERROR(__xludf.DUMMYFUNCTION("""COMPUTED_VALUE"""),103058.0)</f>
        <v>103058</v>
      </c>
      <c r="B2767" s="235" t="str">
        <f>IFERROR(__xludf.DUMMYFUNCTION("""COMPUTED_VALUE"""),"ALFA DE LEON")</f>
        <v>ALFA DE LEON</v>
      </c>
      <c r="C2767" s="235" t="str">
        <f>IFERROR(__xludf.DUMMYFUNCTION("""COMPUTED_VALUE"""),"ADMIN - MUNICH")</f>
        <v>ADMIN - MUNICH</v>
      </c>
      <c r="D2767" s="196" t="str">
        <f>IFERROR(__xludf.DUMMYFUNCTION("""COMPUTED_VALUE"""),"EQUIPMENT FOR THE SPORTS CONDITIONING ROOM
- 12 PCS MEDICINE BALLS
- 1 PC INCL/DECL BENCH
- 22 PCS FREE WEIGHTS
- 1 PC TRX WITH ROPE
- 6 PCS BOSU BALLS
- 24 PCS DUMBBELLS
- 19 PCS KETTLEBELLS
- 4 PCS FREE BAR FOR BENCH PRESS
- 2 PCS FREE BENCH
- 8 PCS DUM"&amp;"BBELL FREE BAR
- 1 PC BATTLE ROPES")</f>
        <v>EQUIPMENT FOR THE SPORTS CONDITIONING ROOM
- 12 PCS MEDICINE BALLS
- 1 PC INCL/DECL BENCH
- 22 PCS FREE WEIGHTS
- 1 PC TRX WITH ROPE
- 6 PCS BOSU BALLS
- 24 PCS DUMBBELLS
- 19 PCS KETTLEBELLS
- 4 PCS FREE BAR FOR BENCH PRESS
- 2 PCS FREE BENCH
- 8 PCS DUMBBELL FREE BAR
- 1 PC BATTLE ROPES</v>
      </c>
      <c r="E2767" s="196" t="str">
        <f>IFERROR(__xludf.DUMMYFUNCTION("""COMPUTED_VALUE"""),"FOR SPORTS CONDITIONING ROOM")</f>
        <v>FOR SPORTS CONDITIONING ROOM</v>
      </c>
    </row>
    <row r="2768">
      <c r="A2768" s="234">
        <f>IFERROR(__xludf.DUMMYFUNCTION("""COMPUTED_VALUE"""),103059.0)</f>
        <v>103059</v>
      </c>
      <c r="B2768" s="235" t="str">
        <f>IFERROR(__xludf.DUMMYFUNCTION("""COMPUTED_VALUE"""),"CHARISMA S. LOMAT")</f>
        <v>CHARISMA S. LOMAT</v>
      </c>
      <c r="C2768" s="235" t="str">
        <f>IFERROR(__xludf.DUMMYFUNCTION("""COMPUTED_VALUE"""),"PR &amp; MARKETING")</f>
        <v>PR &amp; MARKETING</v>
      </c>
      <c r="D2768" s="196" t="str">
        <f>IFERROR(__xludf.DUMMYFUNCTION("""COMPUTED_VALUE"""),"THE SOUTHVILLE FUSION 2023 TARP
SIZE: W - 13.5 FT
          H  - 6.5 FT
WITH SEAMING AND EYELETS ALL OVER
PLEASE RUSH")</f>
        <v>THE SOUTHVILLE FUSION 2023 TARP
SIZE: W - 13.5 FT
          H  - 6.5 FT
WITH SEAMING AND EYELETS ALL OVER
PLEASE RUSH</v>
      </c>
      <c r="E2768" s="196" t="str">
        <f>IFERROR(__xludf.DUMMYFUNCTION("""COMPUTED_VALUE"""),"PROMOTION OF TOURISM EXPO EVENT")</f>
        <v>PROMOTION OF TOURISM EXPO EVENT</v>
      </c>
    </row>
    <row r="2769">
      <c r="A2769" s="234">
        <f>IFERROR(__xludf.DUMMYFUNCTION("""COMPUTED_VALUE"""),103060.0)</f>
        <v>103060</v>
      </c>
      <c r="B2769" s="235" t="str">
        <f>IFERROR(__xludf.DUMMYFUNCTION("""COMPUTED_VALUE"""),"AMI SALANGUIT")</f>
        <v>AMI SALANGUIT</v>
      </c>
      <c r="C2769" s="235" t="str">
        <f>IFERROR(__xludf.DUMMYFUNCTION("""COMPUTED_VALUE"""),"HRMD")</f>
        <v>HRMD</v>
      </c>
      <c r="D2769" s="196" t="str">
        <f>IFERROR(__xludf.DUMMYFUNCTION("""COMPUTED_VALUE"""),"1 STEEL CABINET(3 LAYERS W/LOCK)")</f>
        <v>1 STEEL CABINET(3 LAYERS W/LOCK)</v>
      </c>
      <c r="E2769" s="196" t="str">
        <f>IFERROR(__xludf.DUMMYFUNCTION("""COMPUTED_VALUE"""),"STEEL CABINET FOR GLL/ASAT 201 FILES")</f>
        <v>STEEL CABINET FOR GLL/ASAT 201 FILES</v>
      </c>
    </row>
    <row r="2770">
      <c r="A2770" s="234">
        <f>IFERROR(__xludf.DUMMYFUNCTION("""COMPUTED_VALUE"""),103061.0)</f>
        <v>103061</v>
      </c>
      <c r="B2770" s="235" t="str">
        <f>IFERROR(__xludf.DUMMYFUNCTION("""COMPUTED_VALUE"""),"SHEREE ESPINOSA")</f>
        <v>SHEREE ESPINOSA</v>
      </c>
      <c r="C2770" s="235" t="str">
        <f>IFERROR(__xludf.DUMMYFUNCTION("""COMPUTED_VALUE"""),"ADMIN")</f>
        <v>ADMIN</v>
      </c>
      <c r="D2770" s="196" t="str">
        <f>IFERROR(__xludf.DUMMYFUNCTION("""COMPUTED_VALUE"""),"32 PCS CARTRIDGE")</f>
        <v>32 PCS CARTRIDGE</v>
      </c>
      <c r="E2770" s="196" t="str">
        <f>IFERROR(__xludf.DUMMYFUNCTION("""COMPUTED_VALUE"""),"FOR LUX BLDG. CR'S(BED)")</f>
        <v>FOR LUX BLDG. CR'S(BED)</v>
      </c>
    </row>
    <row r="2771">
      <c r="A2771" s="234">
        <f>IFERROR(__xludf.DUMMYFUNCTION("""COMPUTED_VALUE"""),103062.0)</f>
        <v>103062</v>
      </c>
      <c r="B2771" s="235" t="str">
        <f>IFERROR(__xludf.DUMMYFUNCTION("""COMPUTED_VALUE"""),"SHEREE ESPINOSA")</f>
        <v>SHEREE ESPINOSA</v>
      </c>
      <c r="C2771" s="235" t="str">
        <f>IFERROR(__xludf.DUMMYFUNCTION("""COMPUTED_VALUE"""),"ADMIN")</f>
        <v>ADMIN</v>
      </c>
      <c r="D2771" s="196" t="str">
        <f>IFERROR(__xludf.DUMMYFUNCTION("""COMPUTED_VALUE"""),"1 ORBIT FAN")</f>
        <v>1 ORBIT FAN</v>
      </c>
      <c r="E2771" s="196" t="str">
        <f>IFERROR(__xludf.DUMMYFUNCTION("""COMPUTED_VALUE"""),"FOR LUX FOOD COURT")</f>
        <v>FOR LUX FOOD COURT</v>
      </c>
    </row>
    <row r="2772">
      <c r="A2772" s="234">
        <f>IFERROR(__xludf.DUMMYFUNCTION("""COMPUTED_VALUE"""),103063.0)</f>
        <v>103063</v>
      </c>
      <c r="B2772" s="235" t="str">
        <f>IFERROR(__xludf.DUMMYFUNCTION("""COMPUTED_VALUE"""),"SARY ESCUREL/JOMEL BUTIAL")</f>
        <v>SARY ESCUREL/JOMEL BUTIAL</v>
      </c>
      <c r="C2772" s="235" t="str">
        <f>IFERROR(__xludf.DUMMYFUNCTION("""COMPUTED_VALUE"""),"BASIC ED")</f>
        <v>BASIC ED</v>
      </c>
      <c r="D2772" s="196" t="str">
        <f>IFERROR(__xludf.DUMMYFUNCTION("""COMPUTED_VALUE"""),"1 YAMAHA DIGITAL KEYBOARD W/ POWER SUPPLY ADAPTOR")</f>
        <v>1 YAMAHA DIGITAL KEYBOARD W/ POWER SUPPLY ADAPTOR</v>
      </c>
      <c r="E2772" s="196" t="str">
        <f>IFERROR(__xludf.DUMMYFUNCTION("""COMPUTED_VALUE"""),"USE FOR CHOIR REHEARSALS AND OTHER MUSIC RELATED ACTIVITIES")</f>
        <v>USE FOR CHOIR REHEARSALS AND OTHER MUSIC RELATED ACTIVITIES</v>
      </c>
    </row>
    <row r="2773">
      <c r="A2773" s="234">
        <f>IFERROR(__xludf.DUMMYFUNCTION("""COMPUTED_VALUE"""),103064.0)</f>
        <v>103064</v>
      </c>
      <c r="B2773" s="235" t="str">
        <f>IFERROR(__xludf.DUMMYFUNCTION("""COMPUTED_VALUE"""),"PHEN PETIN")</f>
        <v>PHEN PETIN</v>
      </c>
      <c r="C2773" s="235" t="str">
        <f>IFERROR(__xludf.DUMMYFUNCTION("""COMPUTED_VALUE"""),"ADMIN - STAR")</f>
        <v>ADMIN - STAR</v>
      </c>
      <c r="D2773" s="196" t="str">
        <f>IFERROR(__xludf.DUMMYFUNCTION("""COMPUTED_VALUE"""),"CHRLORINE POWDER  (1 LITER PER CONTAINER)")</f>
        <v>CHRLORINE POWDER  (1 LITER PER CONTAINER)</v>
      </c>
      <c r="E2773" s="196" t="str">
        <f>IFERROR(__xludf.DUMMYFUNCTION("""COMPUTED_VALUE"""),"FOR WATER CISTERN (STAR CAMPUS)")</f>
        <v>FOR WATER CISTERN (STAR CAMPUS)</v>
      </c>
    </row>
    <row r="2774">
      <c r="A2774" s="234">
        <f>IFERROR(__xludf.DUMMYFUNCTION("""COMPUTED_VALUE"""),103065.0)</f>
        <v>103065</v>
      </c>
      <c r="B2774" s="235" t="str">
        <f>IFERROR(__xludf.DUMMYFUNCTION("""COMPUTED_VALUE"""),"OWIE PAR")</f>
        <v>OWIE PAR</v>
      </c>
      <c r="C2774" s="235" t="str">
        <f>IFERROR(__xludf.DUMMYFUNCTION("""COMPUTED_VALUE"""),"ENGINEERING")</f>
        <v>ENGINEERING</v>
      </c>
      <c r="D2774" s="196" t="str">
        <f>IFERROR(__xludf.DUMMYFUNCTION("""COMPUTED_VALUE"""),"- 1 UNIT 3.0 HP DAIKEN CELLING CASSETE
- 1 UNIT 1.5 HP DAIKEN WALL MOUNTED")</f>
        <v>- 1 UNIT 3.0 HP DAIKEN CELLING CASSETE
- 1 UNIT 1.5 HP DAIKEN WALL MOUNTED</v>
      </c>
      <c r="E2774" s="196" t="str">
        <f>IFERROR(__xludf.DUMMYFUNCTION("""COMPUTED_VALUE"""),"FOR MUNICH ROOM 305 313")</f>
        <v>FOR MUNICH ROOM 305 313</v>
      </c>
    </row>
    <row r="2775">
      <c r="A2775" s="234">
        <f>IFERROR(__xludf.DUMMYFUNCTION("""COMPUTED_VALUE"""),103066.0)</f>
        <v>103066</v>
      </c>
      <c r="B2775" s="235" t="str">
        <f>IFERROR(__xludf.DUMMYFUNCTION("""COMPUTED_VALUE"""),"ALFA DE LEON")</f>
        <v>ALFA DE LEON</v>
      </c>
      <c r="C2775" s="235" t="str">
        <f>IFERROR(__xludf.DUMMYFUNCTION("""COMPUTED_VALUE"""),"ADMIN")</f>
        <v>ADMIN</v>
      </c>
      <c r="D2775" s="196" t="str">
        <f>IFERROR(__xludf.DUMMYFUNCTION("""COMPUTED_VALUE"""),"1 SISC FLAG(HEAVY DUTY) FOR FRONT DOOR")</f>
        <v>1 SISC FLAG(HEAVY DUTY) FOR FRONT DOOR</v>
      </c>
      <c r="E2775" s="196" t="str">
        <f>IFERROR(__xludf.DUMMYFUNCTION("""COMPUTED_VALUE"""),"REPLACEMENT OF TORN FLAG(SISC)")</f>
        <v>REPLACEMENT OF TORN FLAG(SISC)</v>
      </c>
    </row>
    <row r="2776">
      <c r="A2776" s="234">
        <f>IFERROR(__xludf.DUMMYFUNCTION("""COMPUTED_VALUE"""),103067.0)</f>
        <v>103067</v>
      </c>
      <c r="B2776" s="235" t="str">
        <f>IFERROR(__xludf.DUMMYFUNCTION("""COMPUTED_VALUE"""),"JESUIT CHRISTIAN GALICIA")</f>
        <v>JESUIT CHRISTIAN GALICIA</v>
      </c>
      <c r="C2776" s="235" t="str">
        <f>IFERROR(__xludf.DUMMYFUNCTION("""COMPUTED_VALUE"""),"AMD")</f>
        <v>AMD</v>
      </c>
      <c r="D2776" s="196" t="str">
        <f>IFERROR(__xludf.DUMMYFUNCTION("""COMPUTED_VALUE"""),"- 100 PCS BOARD, VELLUM(LONG)
- 100 PCS BOARD, VELLUM(SHORT)
- 100 PCS CARTOLINA, RED
- 300 PCS BATTERY, ENERGIZER SIZE AAA
- 30 PCS BATTERY, MAXWELL CR2032
- 20 PCS CLEARBOOK, UNREFILLABLE 40'S LONG
- 50 PCS CUTTER BLADE, BIG
- 180 PCS PEN, SIGN - PILOT "&amp;"BX-V5 BLUE
- 240 PCS PEN, SIGN - PILOT BX-V5 BLACK
- 120 PCS PEN, SIGN - PILOT BX-V5 RED
- 20 PCS PEN, OVERHEAD PROJECTOR - PILOT BLACK")</f>
        <v>- 100 PCS BOARD, VELLUM(LONG)
- 100 PCS BOARD, VELLUM(SHORT)
- 100 PCS CARTOLINA, RED
- 300 PCS BATTERY, ENERGIZER SIZE AAA
- 30 PCS BATTERY, MAXWELL CR2032
- 20 PCS CLEARBOOK, UNREFILLABLE 40'S LONG
- 50 PCS CUTTER BLADE, BIG
- 180 PCS PEN, SIGN - PILOT BX-V5 BLUE
- 240 PCS PEN, SIGN - PILOT BX-V5 BLACK
- 120 PCS PEN, SIGN - PILOT BX-V5 RED
- 20 PCS PEN, OVERHEAD PROJECTOR - PILOT BLACK</v>
      </c>
      <c r="E2776" s="196" t="str">
        <f>IFERROR(__xludf.DUMMYFUNCTION("""COMPUTED_VALUE"""),"STOCK REPLENISHMENT FOR OSSUP SUPPLIES")</f>
        <v>STOCK REPLENISHMENT FOR OSSUP SUPPLIES</v>
      </c>
    </row>
    <row r="2777">
      <c r="A2777" s="234">
        <f>IFERROR(__xludf.DUMMYFUNCTION("""COMPUTED_VALUE"""),103068.0)</f>
        <v>103068</v>
      </c>
      <c r="B2777" s="235" t="str">
        <f>IFERROR(__xludf.DUMMYFUNCTION("""COMPUTED_VALUE"""),"OWIE PAR")</f>
        <v>OWIE PAR</v>
      </c>
      <c r="C2777" s="235" t="str">
        <f>IFERROR(__xludf.DUMMYFUNCTION("""COMPUTED_VALUE"""),"ENGINEERING")</f>
        <v>ENGINEERING</v>
      </c>
      <c r="D2777" s="196" t="str">
        <f>IFERROR(__xludf.DUMMYFUNCTION("""COMPUTED_VALUE"""),"- 1ROLL THHN #12
- 4 PCS AMCO BOX
- 6 PCS PVC MOULDING 5/8
- 4 SETS WIDE SERIES OUTLER 1 GANG")</f>
        <v>- 1ROLL THHN #12
- 4 PCS AMCO BOX
- 6 PCS PVC MOULDING 5/8
- 4 SETS WIDE SERIES OUTLER 1 GANG</v>
      </c>
      <c r="E2777" s="196" t="str">
        <f>IFERROR(__xludf.DUMMYFUNCTION("""COMPUTED_VALUE"""),"FOR INSTALLATION OF EMERGENCY LIGHTS AT SCHOLAR'S HOUSE")</f>
        <v>FOR INSTALLATION OF EMERGENCY LIGHTS AT SCHOLAR'S HOUSE</v>
      </c>
    </row>
    <row r="2778">
      <c r="A2778" s="234">
        <f>IFERROR(__xludf.DUMMYFUNCTION("""COMPUTED_VALUE"""),103069.0)</f>
        <v>103069</v>
      </c>
      <c r="B2778" s="235" t="str">
        <f>IFERROR(__xludf.DUMMYFUNCTION("""COMPUTED_VALUE"""),"ALFA DE LEON")</f>
        <v>ALFA DE LEON</v>
      </c>
      <c r="C2778" s="235" t="str">
        <f>IFERROR(__xludf.DUMMYFUNCTION("""COMPUTED_VALUE"""),"ADMIN - MUNICH")</f>
        <v>ADMIN - MUNICH</v>
      </c>
      <c r="D2778" s="196" t="str">
        <f>IFERROR(__xludf.DUMMYFUNCTION("""COMPUTED_VALUE"""),"1 IWATA")</f>
        <v>1 IWATA</v>
      </c>
      <c r="E2778" s="196" t="str">
        <f>IFERROR(__xludf.DUMMYFUNCTION("""COMPUTED_VALUE"""),"REPLACEMENT OF BROKEN IWATA FOR G/F")</f>
        <v>REPLACEMENT OF BROKEN IWATA FOR G/F</v>
      </c>
    </row>
    <row r="2779">
      <c r="A2779" s="234">
        <f>IFERROR(__xludf.DUMMYFUNCTION("""COMPUTED_VALUE"""),103070.0)</f>
        <v>103070</v>
      </c>
      <c r="B2779" s="235" t="str">
        <f>IFERROR(__xludf.DUMMYFUNCTION("""COMPUTED_VALUE"""),"EDGAR REBELLON")</f>
        <v>EDGAR REBELLON</v>
      </c>
      <c r="C2779" s="235" t="str">
        <f>IFERROR(__xludf.DUMMYFUNCTION("""COMPUTED_VALUE"""),"AMD")</f>
        <v>AMD</v>
      </c>
      <c r="D2779" s="196" t="str">
        <f>IFERROR(__xludf.DUMMYFUNCTION("""COMPUTED_VALUE"""),"- 50 PCS. POWERBANK, SISC BLK, 50 PCS. TUMBLER, SISC MIGHTY MUG, 50 PCS. TUMBLER, SISC BAMBOO")</f>
        <v>- 50 PCS. POWERBANK, SISC BLK, 50 PCS. TUMBLER, SISC MIGHTY MUG, 50 PCS. TUMBLER, SISC BAMBOO</v>
      </c>
      <c r="E2779" s="196" t="str">
        <f>IFERROR(__xludf.DUMMYFUNCTION("""COMPUTED_VALUE"""),"STOCK REPLENISHMENT  FOR INSTITUTIONAL TOKEN CLASS B (FOR COUNSELORS AND PRINCIPALS")</f>
        <v>STOCK REPLENISHMENT  FOR INSTITUTIONAL TOKEN CLASS B (FOR COUNSELORS AND PRINCIPALS</v>
      </c>
    </row>
    <row r="2780">
      <c r="A2780" s="234">
        <f>IFERROR(__xludf.DUMMYFUNCTION("""COMPUTED_VALUE"""),103071.0)</f>
        <v>103071</v>
      </c>
      <c r="B2780" s="235" t="str">
        <f>IFERROR(__xludf.DUMMYFUNCTION("""COMPUTED_VALUE"""),"MELISSA NAVAL-ODONO/DR, AVIC F. SUAREZ")</f>
        <v>MELISSA NAVAL-ODONO/DR, AVIC F. SUAREZ</v>
      </c>
      <c r="C2780" s="235" t="str">
        <f>IFERROR(__xludf.DUMMYFUNCTION("""COMPUTED_VALUE"""),"LIBRARY")</f>
        <v>LIBRARY</v>
      </c>
      <c r="D2780" s="196" t="str">
        <f>IFERROR(__xludf.DUMMYFUNCTION("""COMPUTED_VALUE"""),"1 THE 5% ZONE: VISIBILITY STRATEGIES THAT GET YOU RECOGNIZED AND REWARDED IN ANY ORGANIZATION")</f>
        <v>1 THE 5% ZONE: VISIBILITY STRATEGIES THAT GET YOU RECOGNIZED AND REWARDED IN ANY ORGANIZATION</v>
      </c>
      <c r="E2780" s="196" t="str">
        <f>IFERROR(__xludf.DUMMYFUNCTION("""COMPUTED_VALUE"""),"FOR LIBRARY USE")</f>
        <v>FOR LIBRARY USE</v>
      </c>
    </row>
    <row r="2781">
      <c r="A2781" s="234">
        <f>IFERROR(__xludf.DUMMYFUNCTION("""COMPUTED_VALUE"""),103072.0)</f>
        <v>103072</v>
      </c>
      <c r="B2781" s="235" t="str">
        <f>IFERROR(__xludf.DUMMYFUNCTION("""COMPUTED_VALUE"""),"ELYDS REYES")</f>
        <v>ELYDS REYES</v>
      </c>
      <c r="C2781" s="235" t="str">
        <f>IFERROR(__xludf.DUMMYFUNCTION("""COMPUTED_VALUE"""),"PR &amp; MARKETING")</f>
        <v>PR &amp; MARKETING</v>
      </c>
      <c r="D2781" s="196" t="str">
        <f>IFERROR(__xludf.DUMMYFUNCTION("""COMPUTED_VALUE"""),"TARPAULIN 4FT x 11FT WITH SEAMING, BLACKOUT, EYELET ALLOVER")</f>
        <v>TARPAULIN 4FT x 11FT WITH SEAMING, BLACKOUT, EYELET ALLOVER</v>
      </c>
      <c r="E2781" s="196" t="str">
        <f>IFERROR(__xludf.DUMMYFUNCTION("""COMPUTED_VALUE"""),"MARKETING IN BATANGAS")</f>
        <v>MARKETING IN BATANGAS</v>
      </c>
    </row>
    <row r="2782">
      <c r="A2782" s="234">
        <f>IFERROR(__xludf.DUMMYFUNCTION("""COMPUTED_VALUE"""),103073.0)</f>
        <v>103073</v>
      </c>
      <c r="B2782" s="235" t="str">
        <f>IFERROR(__xludf.DUMMYFUNCTION("""COMPUTED_VALUE"""),"SHEREE ESPINOSA")</f>
        <v>SHEREE ESPINOSA</v>
      </c>
      <c r="C2782" s="235" t="str">
        <f>IFERROR(__xludf.DUMMYFUNCTION("""COMPUTED_VALUE"""),"ADMIN")</f>
        <v>ADMIN</v>
      </c>
      <c r="D2782" s="196" t="str">
        <f>IFERROR(__xludf.DUMMYFUNCTION("""COMPUTED_VALUE"""),"STANCHION")</f>
        <v>STANCHION</v>
      </c>
      <c r="E2782" s="196" t="str">
        <f>IFERROR(__xludf.DUMMYFUNCTION("""COMPUTED_VALUE"""),"ADDITIONAL FOR GRADUATION CEREMONY")</f>
        <v>ADDITIONAL FOR GRADUATION CEREMONY</v>
      </c>
    </row>
    <row r="2783">
      <c r="A2783" s="234">
        <f>IFERROR(__xludf.DUMMYFUNCTION("""COMPUTED_VALUE"""),103074.0)</f>
        <v>103074</v>
      </c>
      <c r="B2783" s="235" t="str">
        <f>IFERROR(__xludf.DUMMYFUNCTION("""COMPUTED_VALUE"""),"SHEREE ESPINOSA")</f>
        <v>SHEREE ESPINOSA</v>
      </c>
      <c r="C2783" s="235" t="str">
        <f>IFERROR(__xludf.DUMMYFUNCTION("""COMPUTED_VALUE"""),"ADMIN")</f>
        <v>ADMIN</v>
      </c>
      <c r="D2783" s="196" t="str">
        <f>IFERROR(__xludf.DUMMYFUNCTION("""COMPUTED_VALUE"""),"RED CARPET")</f>
        <v>RED CARPET</v>
      </c>
      <c r="E2783" s="196" t="str">
        <f>IFERROR(__xludf.DUMMYFUNCTION("""COMPUTED_VALUE"""),"FOR GRADUATION CEREMONY USE(EXISTING MORE THAN 10 YEARS)")</f>
        <v>FOR GRADUATION CEREMONY USE(EXISTING MORE THAN 10 YEARS)</v>
      </c>
    </row>
    <row r="2784">
      <c r="A2784" s="234">
        <f>IFERROR(__xludf.DUMMYFUNCTION("""COMPUTED_VALUE"""),103075.0)</f>
        <v>103075</v>
      </c>
      <c r="B2784" s="235" t="str">
        <f>IFERROR(__xludf.DUMMYFUNCTION("""COMPUTED_VALUE"""),"SHEREE ESPINOSA")</f>
        <v>SHEREE ESPINOSA</v>
      </c>
      <c r="C2784" s="235" t="str">
        <f>IFERROR(__xludf.DUMMYFUNCTION("""COMPUTED_VALUE"""),"ADMIN")</f>
        <v>ADMIN</v>
      </c>
      <c r="D2784" s="196" t="str">
        <f>IFERROR(__xludf.DUMMYFUNCTION("""COMPUTED_VALUE"""),"2 FLOOR POLISHER")</f>
        <v>2 FLOOR POLISHER</v>
      </c>
      <c r="E2784" s="196" t="str">
        <f>IFERROR(__xludf.DUMMYFUNCTION("""COMPUTED_VALUE"""),"FOR LUX, COLLEGE, AND TROPICAL USE")</f>
        <v>FOR LUX, COLLEGE, AND TROPICAL USE</v>
      </c>
    </row>
    <row r="2785">
      <c r="A2785" s="234">
        <f>IFERROR(__xludf.DUMMYFUNCTION("""COMPUTED_VALUE"""),103076.0)</f>
        <v>103076</v>
      </c>
      <c r="B2785" s="235" t="str">
        <f>IFERROR(__xludf.DUMMYFUNCTION("""COMPUTED_VALUE"""),"CHRISTIAN GALICIA")</f>
        <v>CHRISTIAN GALICIA</v>
      </c>
      <c r="C2785" s="235" t="str">
        <f>IFERROR(__xludf.DUMMYFUNCTION("""COMPUTED_VALUE"""),"AMD")</f>
        <v>AMD</v>
      </c>
      <c r="D2785" s="196" t="str">
        <f>IFERROR(__xludf.DUMMYFUNCTION("""COMPUTED_VALUE"""),"150 GALLONS 70% ISOPHROPYL ALCOHOL")</f>
        <v>150 GALLONS 70% ISOPHROPYL ALCOHOL</v>
      </c>
      <c r="E2785" s="196" t="str">
        <f>IFERROR(__xludf.DUMMYFUNCTION("""COMPUTED_VALUE"""),"STOCK REPLACEMENT")</f>
        <v>STOCK REPLACEMENT</v>
      </c>
    </row>
    <row r="2786">
      <c r="A2786" s="234">
        <f>IFERROR(__xludf.DUMMYFUNCTION("""COMPUTED_VALUE"""),103077.0)</f>
        <v>103077</v>
      </c>
      <c r="B2786" s="235" t="str">
        <f>IFERROR(__xludf.DUMMYFUNCTION("""COMPUTED_VALUE"""),"CHRISTIAN GALICIA")</f>
        <v>CHRISTIAN GALICIA</v>
      </c>
      <c r="C2786" s="235" t="str">
        <f>IFERROR(__xludf.DUMMYFUNCTION("""COMPUTED_VALUE"""),"AMD")</f>
        <v>AMD</v>
      </c>
      <c r="D2786" s="196" t="str">
        <f>IFERROR(__xludf.DUMMYFUNCTION("""COMPUTED_VALUE"""),"RJ45 CONNECTOR")</f>
        <v>RJ45 CONNECTOR</v>
      </c>
      <c r="E2786" s="196" t="str">
        <f>IFERROR(__xludf.DUMMYFUNCTION("""COMPUTED_VALUE"""),"MIS STOCK REPLENISHMENT ")</f>
        <v>MIS STOCK REPLENISHMENT </v>
      </c>
    </row>
    <row r="2787">
      <c r="A2787" s="234">
        <f>IFERROR(__xludf.DUMMYFUNCTION("""COMPUTED_VALUE"""),103078.0)</f>
        <v>103078</v>
      </c>
      <c r="B2787" s="235" t="str">
        <f>IFERROR(__xludf.DUMMYFUNCTION("""COMPUTED_VALUE"""),"JOMEL BUTIAL ")</f>
        <v>JOMEL BUTIAL </v>
      </c>
      <c r="C2787" s="235" t="str">
        <f>IFERROR(__xludf.DUMMYFUNCTION("""COMPUTED_VALUE"""),"AMD ")</f>
        <v>AMD </v>
      </c>
      <c r="D2787" s="196" t="str">
        <f>IFERROR(__xludf.DUMMYFUNCTION("""COMPUTED_VALUE"""),"SOFT BROOM (SCOTCH BRITE) 50 PCS
TRASHBAG XL CLEAR 30 PCS
ZIM GLASS CLEANER 500 ML 100 PCS
BAYGON ORANGE SCENT 500 ML 75 PCS
SPOTLESS HOUSEHOLD CLEANING PASTE 50 PCS
MR. MUSCLE TOILET BOWL CLEANER LAVANDER SCENT 500 ML 75 PCS
CHLORINE 1 KG 50 PCS
STICK BR"&amp;"OOM 25 PCS")</f>
        <v>SOFT BROOM (SCOTCH BRITE) 50 PCS
TRASHBAG XL CLEAR 30 PCS
ZIM GLASS CLEANER 500 ML 100 PCS
BAYGON ORANGE SCENT 500 ML 75 PCS
SPOTLESS HOUSEHOLD CLEANING PASTE 50 PCS
MR. MUSCLE TOILET BOWL CLEANER LAVANDER SCENT 500 ML 75 PCS
CHLORINE 1 KG 50 PCS
STICK BROOM 25 PCS</v>
      </c>
      <c r="E2787" s="196" t="str">
        <f>IFERROR(__xludf.DUMMYFUNCTION("""COMPUTED_VALUE"""),"HOUSEKEEPING REPLENISHMENT FOR FEB 2023")</f>
        <v>HOUSEKEEPING REPLENISHMENT FOR FEB 2023</v>
      </c>
    </row>
    <row r="2788">
      <c r="A2788" s="234">
        <f>IFERROR(__xludf.DUMMYFUNCTION("""COMPUTED_VALUE"""),103079.0)</f>
        <v>103079</v>
      </c>
      <c r="B2788" s="235" t="str">
        <f>IFERROR(__xludf.DUMMYFUNCTION("""COMPUTED_VALUE"""),"JOMEL BUTIAL ")</f>
        <v>JOMEL BUTIAL </v>
      </c>
      <c r="C2788" s="235" t="str">
        <f>IFERROR(__xludf.DUMMYFUNCTION("""COMPUTED_VALUE"""),"AMD ")</f>
        <v>AMD </v>
      </c>
      <c r="D2788" s="196" t="str">
        <f>IFERROR(__xludf.DUMMYFUNCTION("""COMPUTED_VALUE"""),"STATE SHARK 20 PCS")</f>
        <v>STATE SHARK 20 PCS</v>
      </c>
      <c r="E2788" s="196" t="str">
        <f>IFERROR(__xludf.DUMMYFUNCTION("""COMPUTED_VALUE"""),"HOUSEKEEPING REPLENISHMENT FOR FEB 2023")</f>
        <v>HOUSEKEEPING REPLENISHMENT FOR FEB 2023</v>
      </c>
    </row>
    <row r="2789">
      <c r="A2789" s="234">
        <f>IFERROR(__xludf.DUMMYFUNCTION("""COMPUTED_VALUE"""),103080.0)</f>
        <v>103080</v>
      </c>
      <c r="B2789" s="235" t="str">
        <f>IFERROR(__xludf.DUMMYFUNCTION("""COMPUTED_VALUE"""),"JOMEL BUTIAL ")</f>
        <v>JOMEL BUTIAL </v>
      </c>
      <c r="C2789" s="235" t="str">
        <f>IFERROR(__xludf.DUMMYFUNCTION("""COMPUTED_VALUE"""),"AMD ")</f>
        <v>AMD </v>
      </c>
      <c r="D2789" s="196" t="str">
        <f>IFERROR(__xludf.DUMMYFUNCTION("""COMPUTED_VALUE"""),"ARIEL POWDER 3KG 15 PCS
BABY OIL 125 ML 30 PCS")</f>
        <v>ARIEL POWDER 3KG 15 PCS
BABY OIL 125 ML 30 PCS</v>
      </c>
      <c r="E2789" s="196" t="str">
        <f>IFERROR(__xludf.DUMMYFUNCTION("""COMPUTED_VALUE"""),"HOUSEKEEPING REPLENISHMENT FOR FEB 2023")</f>
        <v>HOUSEKEEPING REPLENISHMENT FOR FEB 2023</v>
      </c>
    </row>
    <row r="2790">
      <c r="A2790" s="234">
        <f>IFERROR(__xludf.DUMMYFUNCTION("""COMPUTED_VALUE"""),103081.0)</f>
        <v>103081</v>
      </c>
      <c r="B2790" s="235" t="str">
        <f>IFERROR(__xludf.DUMMYFUNCTION("""COMPUTED_VALUE"""),"JAYVEN POBLETE")</f>
        <v>JAYVEN POBLETE</v>
      </c>
      <c r="C2790" s="235" t="str">
        <f>IFERROR(__xludf.DUMMYFUNCTION("""COMPUTED_VALUE"""),"PR &amp; MARKETING")</f>
        <v>PR &amp; MARKETING</v>
      </c>
      <c r="D2790" s="196" t="str">
        <f>IFERROR(__xludf.DUMMYFUNCTION("""COMPUTED_VALUE"""),"IB GENERIC FLYER 8.5"" X 5.5"" 3000 PCS")</f>
        <v>IB GENERIC FLYER 8.5" X 5.5" 3000 PCS</v>
      </c>
      <c r="E2790" s="196" t="str">
        <f>IFERROR(__xludf.DUMMYFUNCTION("""COMPUTED_VALUE"""),"MARKETING ")</f>
        <v>MARKETING </v>
      </c>
    </row>
    <row r="2791">
      <c r="A2791" s="234">
        <f>IFERROR(__xludf.DUMMYFUNCTION("""COMPUTED_VALUE"""),103082.0)</f>
        <v>103082</v>
      </c>
      <c r="B2791" s="235" t="str">
        <f>IFERROR(__xludf.DUMMYFUNCTION("""COMPUTED_VALUE"""),"CARLITO DELA VEGA ")</f>
        <v>CARLITO DELA VEGA </v>
      </c>
      <c r="C2791" s="235" t="str">
        <f>IFERROR(__xludf.DUMMYFUNCTION("""COMPUTED_VALUE"""),"SECURITY")</f>
        <v>SECURITY</v>
      </c>
      <c r="D2791" s="196" t="str">
        <f>IFERROR(__xludf.DUMMYFUNCTION("""COMPUTED_VALUE"""),"- 1 ROLL #16 FLAT CORD WIRE BLACK
- 10 ROLL ELECTRICAL TAPE THICK")</f>
        <v>- 1 ROLL #16 FLAT CORD WIRE BLACK
- 10 ROLL ELECTRICAL TAPE THICK</v>
      </c>
      <c r="E2791" s="196" t="str">
        <f>IFERROR(__xludf.DUMMYFUNCTION("""COMPUTED_VALUE"""),"FOR WIFI CCTV INSTALLATION MONARCH PARK/CANTEEN/CAFETERIA")</f>
        <v>FOR WIFI CCTV INSTALLATION MONARCH PARK/CANTEEN/CAFETERIA</v>
      </c>
    </row>
    <row r="2792">
      <c r="A2792" s="234">
        <f>IFERROR(__xludf.DUMMYFUNCTION("""COMPUTED_VALUE"""),103083.0)</f>
        <v>103083</v>
      </c>
      <c r="B2792" s="235" t="str">
        <f>IFERROR(__xludf.DUMMYFUNCTION("""COMPUTED_VALUE"""),"LORRAINE ALMAZAN")</f>
        <v>LORRAINE ALMAZAN</v>
      </c>
      <c r="C2792" s="235" t="str">
        <f>IFERROR(__xludf.DUMMYFUNCTION("""COMPUTED_VALUE"""),"MIS/ICT")</f>
        <v>MIS/ICT</v>
      </c>
      <c r="D2792" s="196" t="str">
        <f>IFERROR(__xludf.DUMMYFUNCTION("""COMPUTED_VALUE"""),"- 4 PCS KINGSTON DDR3 8GB 1333MHZ RAM
- 1 PC KINGSTON 2.5 INCH 256 GB SSD")</f>
        <v>- 4 PCS KINGSTON DDR3 8GB 1333MHZ RAM
- 1 PC KINGSTON 2.5 INCH 256 GB SSD</v>
      </c>
      <c r="E2792" s="196" t="str">
        <f>IFERROR(__xludf.DUMMYFUNCTION("""COMPUTED_VALUE"""),"RAM &amp; STORAGE UPGRADE SERVER")</f>
        <v>RAM &amp; STORAGE UPGRADE SERVER</v>
      </c>
    </row>
    <row r="2793">
      <c r="A2793" s="234">
        <f>IFERROR(__xludf.DUMMYFUNCTION("""COMPUTED_VALUE"""),103084.0)</f>
        <v>103084</v>
      </c>
      <c r="B2793" s="235" t="str">
        <f>IFERROR(__xludf.DUMMYFUNCTION("""COMPUTED_VALUE"""),"CARLITO DELA VEGA")</f>
        <v>CARLITO DELA VEGA</v>
      </c>
      <c r="C2793" s="235" t="str">
        <f>IFERROR(__xludf.DUMMYFUNCTION("""COMPUTED_VALUE"""),"SECURITY")</f>
        <v>SECURITY</v>
      </c>
      <c r="D2793" s="196" t="str">
        <f>IFERROR(__xludf.DUMMYFUNCTION("""COMPUTED_VALUE"""),"- 30 PCS LAMINATED STICKER ON ACP 3MM 20"" x 26""
-  LAYOUT SAME JULY REPRINTING ON IMPROVED AND HIGH QUALITY MATERIALS ONLY
- QUOTATION FOR IMPRENTA GRAPHICS MANILA")</f>
        <v>- 30 PCS LAMINATED STICKER ON ACP 3MM 20" x 26"
-  LAYOUT SAME JULY REPRINTING ON IMPROVED AND HIGH QUALITY MATERIALS ONLY
- QUOTATION FOR IMPRENTA GRAPHICS MANILA</v>
      </c>
      <c r="E2793" s="196" t="str">
        <f>IFERROR(__xludf.DUMMYFUNCTION("""COMPUTED_VALUE"""),"LUX, AND MUNICH PARKING ")</f>
        <v>LUX, AND MUNICH PARKING </v>
      </c>
    </row>
    <row r="2794">
      <c r="A2794" s="234">
        <f>IFERROR(__xludf.DUMMYFUNCTION("""COMPUTED_VALUE"""),103085.0)</f>
        <v>103085</v>
      </c>
      <c r="B2794" s="235" t="str">
        <f>IFERROR(__xludf.DUMMYFUNCTION("""COMPUTED_VALUE"""),"CHARISMA S. LOMAT")</f>
        <v>CHARISMA S. LOMAT</v>
      </c>
      <c r="C2794" s="235" t="str">
        <f>IFERROR(__xludf.DUMMYFUNCTION("""COMPUTED_VALUE"""),"PR &amp; MARKETING")</f>
        <v>PR &amp; MARKETING</v>
      </c>
      <c r="D2794" s="196" t="str">
        <f>IFERROR(__xludf.DUMMYFUNCTION("""COMPUTED_VALUE"""),"1 LEARNING VILLAGE BIRTHDAY RENTAL TARP
5x6 FT
EYELET AND SEAMING ALL OVER")</f>
        <v>1 LEARNING VILLAGE BIRTHDAY RENTAL TARP
5x6 FT
EYELET AND SEAMING ALL OVER</v>
      </c>
      <c r="E2794" s="196" t="str">
        <f>IFERROR(__xludf.DUMMYFUNCTION("""COMPUTED_VALUE"""),"MARKETING")</f>
        <v>MARKETING</v>
      </c>
    </row>
    <row r="2795">
      <c r="A2795" s="234">
        <f>IFERROR(__xludf.DUMMYFUNCTION("""COMPUTED_VALUE"""),103086.0)</f>
        <v>103086</v>
      </c>
      <c r="B2795" s="235" t="str">
        <f>IFERROR(__xludf.DUMMYFUNCTION("""COMPUTED_VALUE"""),"OWIE PAR/RONALDO D. VERDE")</f>
        <v>OWIE PAR/RONALDO D. VERDE</v>
      </c>
      <c r="C2795" s="235" t="str">
        <f>IFERROR(__xludf.DUMMYFUNCTION("""COMPUTED_VALUE"""),"ADMIN")</f>
        <v>ADMIN</v>
      </c>
      <c r="D2795" s="196" t="str">
        <f>IFERROR(__xludf.DUMMYFUNCTION("""COMPUTED_VALUE"""),"- 5 PCS TUBULAR #20 x 2"" x 2""
- 2 KGS Welding ROD(SPECIAL)
- 1 LITER EPOXY PRIMER GRAY
- 4 PCS CYLINDRICAL HINGES #1
- 1 SET PANIC DOOR LOCK
- 5 PCS CUTTING DISC #4""
- 3 PCS MARINE PLYWOOD 3/4"" 4 x 8
- 1 KG FINISHING NAIL #2""")</f>
        <v>- 5 PCS TUBULAR #20 x 2" x 2"
- 2 KGS Welding ROD(SPECIAL)
- 1 LITER EPOXY PRIMER GRAY
- 4 PCS CYLINDRICAL HINGES #1
- 1 SET PANIC DOOR LOCK
- 5 PCS CUTTING DISC #4"
- 3 PCS MARINE PLYWOOD 3/4" 4 x 8
- 1 KG FINISHING NAIL #2"</v>
      </c>
      <c r="E2795" s="196" t="str">
        <f>IFERROR(__xludf.DUMMYFUNCTION("""COMPUTED_VALUE"""),"PREVENTIVE MAINTENANCE REF: JO#0123-0095 &amp; 0123-0096")</f>
        <v>PREVENTIVE MAINTENANCE REF: JO#0123-0095 &amp; 0123-0096</v>
      </c>
    </row>
    <row r="2796">
      <c r="A2796" s="234">
        <f>IFERROR(__xludf.DUMMYFUNCTION("""COMPUTED_VALUE"""),103087.0)</f>
        <v>103087</v>
      </c>
      <c r="B2796" s="235" t="str">
        <f>IFERROR(__xludf.DUMMYFUNCTION("""COMPUTED_VALUE"""),"LUCILLE BEYER")</f>
        <v>LUCILLE BEYER</v>
      </c>
      <c r="C2796" s="235" t="str">
        <f>IFERROR(__xludf.DUMMYFUNCTION("""COMPUTED_VALUE"""),"MEDICAL")</f>
        <v>MEDICAL</v>
      </c>
      <c r="D2796" s="196" t="str">
        <f>IFERROR(__xludf.DUMMYFUNCTION("""COMPUTED_VALUE"""),"- 100 PCS BIOGESIC
- 100 PCS CETIRIZINE
- 100 PCS DECOLGEN
- 100 PCS NEOZEP
- 100 PCS KREMIL-S
- 100 PCS ADVIL
- 5 BOTS/100ML ACEITE DE MANZANILLA
- 20 PCS CATAPRES
- 100 PCS MEFENAMIC ACID
- 4 BOTTLES BACTIDOL
-10 BOXES/10S SALONPAS
- 10 BOXES/100S BAND "&amp;"AID
- 3 BOTTLES PAIN RELIEF SPRAY
- 10 ROLLS KINESEOLOGY TAPE
- 10 BOTTLES WHITE FLOWER 20ML
- 30 BOXES/50S DISPOSABLE MASKS
- 50 ROLLS ELASTIC BANDAGE 2""
- 4"" x 4""/10PCS/PACK GAUZE PAD
- 5 BOTS OMEGA PAIN KILLER OINTMENT
- 3 BOTS/235ML EFFICASENT OIL
"&amp;"- 3 GALLONS ISOPROPYL ALCOHOL 70%")</f>
        <v>- 100 PCS BIOGESIC
- 100 PCS CETIRIZINE
- 100 PCS DECOLGEN
- 100 PCS NEOZEP
- 100 PCS KREMIL-S
- 100 PCS ADVIL
- 5 BOTS/100ML ACEITE DE MANZANILLA
- 20 PCS CATAPRES
- 100 PCS MEFENAMIC ACID
- 4 BOTTLES BACTIDOL
-10 BOXES/10S SALONPAS
- 10 BOXES/100S BAND AID
- 3 BOTTLES PAIN RELIEF SPRAY
- 10 ROLLS KINESEOLOGY TAPE
- 10 BOTTLES WHITE FLOWER 20ML
- 30 BOXES/50S DISPOSABLE MASKS
- 50 ROLLS ELASTIC BANDAGE 2"
- 4" x 4"/10PCS/PACK GAUZE PAD
- 5 BOTS OMEGA PAIN KILLER OINTMENT
- 3 BOTS/235ML EFFICASENT OIL
- 3 GALLONS ISOPROPYL ALCOHOL 70%</v>
      </c>
      <c r="E2796" s="196" t="str">
        <f>IFERROR(__xludf.DUMMYFUNCTION("""COMPUTED_VALUE"""),"REPLENISMENT OF CLINIC &amp; MED SUPPLIES FOR MONTH OF FEB AND MARCH")</f>
        <v>REPLENISMENT OF CLINIC &amp; MED SUPPLIES FOR MONTH OF FEB AND MARCH</v>
      </c>
    </row>
    <row r="2797">
      <c r="A2797" s="234">
        <f>IFERROR(__xludf.DUMMYFUNCTION("""COMPUTED_VALUE"""),103088.0)</f>
        <v>103088</v>
      </c>
      <c r="B2797" s="235" t="str">
        <f>IFERROR(__xludf.DUMMYFUNCTION("""COMPUTED_VALUE"""),"LORRAINE ALMAZAN/LYN NUNEZ")</f>
        <v>LORRAINE ALMAZAN/LYN NUNEZ</v>
      </c>
      <c r="C2797" s="235" t="str">
        <f>IFERROR(__xludf.DUMMYFUNCTION("""COMPUTED_VALUE"""),"SISC")</f>
        <v>SISC</v>
      </c>
      <c r="D2797" s="196" t="str">
        <f>IFERROR(__xludf.DUMMYFUNCTION("""COMPUTED_VALUE"""),"- 1 SET TP-LINK DECO EY AC1200 WHOLE HOME MESH WIFI SYSTEM(3 PACK)
- 1 SET TP-LINK TL-SG10080 8 PORT GIGABIT DESKTOP SWITCH")</f>
        <v>- 1 SET TP-LINK DECO EY AC1200 WHOLE HOME MESH WIFI SYSTEM(3 PACK)
- 1 SET TP-LINK TL-SG10080 8 PORT GIGABIT DESKTOP SWITCH</v>
      </c>
      <c r="E2797" s="196" t="str">
        <f>IFERROR(__xludf.DUMMYFUNCTION("""COMPUTED_VALUE"""),"INTERNET CONNECTION FOR SYCAMORE DORM")</f>
        <v>INTERNET CONNECTION FOR SYCAMORE DORM</v>
      </c>
    </row>
    <row r="2798">
      <c r="A2798" s="234">
        <f>IFERROR(__xludf.DUMMYFUNCTION("""COMPUTED_VALUE"""),103089.0)</f>
        <v>103089</v>
      </c>
      <c r="B2798" s="235" t="str">
        <f>IFERROR(__xludf.DUMMYFUNCTION("""COMPUTED_VALUE"""),"RORY MANSBRIDGE")</f>
        <v>RORY MANSBRIDGE</v>
      </c>
      <c r="C2798" s="235" t="str">
        <f>IFERROR(__xludf.DUMMYFUNCTION("""COMPUTED_VALUE"""),"ATHLETICS")</f>
        <v>ATHLETICS</v>
      </c>
      <c r="D2798" s="196" t="str">
        <f>IFERROR(__xludf.DUMMYFUNCTION("""COMPUTED_VALUE"""),"68 PCS TRAVELLING SHIRTS")</f>
        <v>68 PCS TRAVELLING SHIRTS</v>
      </c>
      <c r="E2798" s="196" t="str">
        <f>IFERROR(__xludf.DUMMYFUNCTION("""COMPUTED_VALUE"""),"TRAVELLING SHIRT DURING ISAC FOR SAFETY &amp; SECURITY")</f>
        <v>TRAVELLING SHIRT DURING ISAC FOR SAFETY &amp; SECURITY</v>
      </c>
    </row>
    <row r="2799">
      <c r="A2799" s="234">
        <f>IFERROR(__xludf.DUMMYFUNCTION("""COMPUTED_VALUE"""),103090.0)</f>
        <v>103090</v>
      </c>
      <c r="B2799" s="235" t="str">
        <f>IFERROR(__xludf.DUMMYFUNCTION("""COMPUTED_VALUE"""),"HANNAH STO. DOMINGO")</f>
        <v>HANNAH STO. DOMINGO</v>
      </c>
      <c r="C2799" s="235" t="str">
        <f>IFERROR(__xludf.DUMMYFUNCTION("""COMPUTED_VALUE"""),"NURSING")</f>
        <v>NURSING</v>
      </c>
      <c r="D2799" s="196" t="str">
        <f>IFERROR(__xludf.DUMMYFUNCTION("""COMPUTED_VALUE"""),"- 73 PCS INVITATION
- 1 PC BIG CANDLE(SHOULD FIT THE LAMP IN THE NSG OFFICE)
- 73 PCS NURSING PINS
- 73 NURSING LAMP WITH NON-DRIP WHITE CANDLE &amp; GREEN RIBBON FLOWERS(QUOTED PRICE/BUDGET AT PHP 10,000) ON THE STAGE")</f>
        <v>- 73 PCS INVITATION
- 1 PC BIG CANDLE(SHOULD FIT THE LAMP IN THE NSG OFFICE)
- 73 PCS NURSING PINS
- 73 NURSING LAMP WITH NON-DRIP WHITE CANDLE &amp; GREEN RIBBON FLOWERS(QUOTED PRICE/BUDGET AT PHP 10,000) ON THE STAGE</v>
      </c>
      <c r="E2799" s="196" t="str">
        <f>IFERROR(__xludf.DUMMYFUNCTION("""COMPUTED_VALUE"""),"CANDLELIGHTING &amp; PINNING CEREMONY BSN2")</f>
        <v>CANDLELIGHTING &amp; PINNING CEREMONY BSN2</v>
      </c>
    </row>
    <row r="2800">
      <c r="A2800" s="234">
        <f>IFERROR(__xludf.DUMMYFUNCTION("""COMPUTED_VALUE"""),103091.0)</f>
        <v>103091</v>
      </c>
      <c r="B2800" s="235" t="str">
        <f>IFERROR(__xludf.DUMMYFUNCTION("""COMPUTED_VALUE"""),"SHEREE ESPINOSA")</f>
        <v>SHEREE ESPINOSA</v>
      </c>
      <c r="C2800" s="235" t="str">
        <f>IFERROR(__xludf.DUMMYFUNCTION("""COMPUTED_VALUE"""),"PRESIDENT'S OFFICE")</f>
        <v>PRESIDENT'S OFFICE</v>
      </c>
      <c r="D2800" s="196" t="str">
        <f>IFERROR(__xludf.DUMMYFUNCTION("""COMPUTED_VALUE"""),"- 1 PC EXECUTIVE CHAIR - DR. JO
- 1 PC SWIVEL CHAIR(RE-ORDER)")</f>
        <v>- 1 PC EXECUTIVE CHAIR - DR. JO
- 1 PC SWIVEL CHAIR(RE-ORDER)</v>
      </c>
      <c r="E2800" s="196" t="str">
        <f>IFERROR(__xludf.DUMMYFUNCTION("""COMPUTED_VALUE"""),"FOR PRESIDENT'S OFFICE")</f>
        <v>FOR PRESIDENT'S OFFICE</v>
      </c>
    </row>
    <row r="2801">
      <c r="A2801" s="234">
        <f>IFERROR(__xludf.DUMMYFUNCTION("""COMPUTED_VALUE"""),103092.0)</f>
        <v>103092</v>
      </c>
      <c r="B2801" s="235" t="str">
        <f>IFERROR(__xludf.DUMMYFUNCTION("""COMPUTED_VALUE"""),"SHEREE ESPINOSA")</f>
        <v>SHEREE ESPINOSA</v>
      </c>
      <c r="C2801" s="235" t="str">
        <f>IFERROR(__xludf.DUMMYFUNCTION("""COMPUTED_VALUE"""),"HOUSEKEEPING")</f>
        <v>HOUSEKEEPING</v>
      </c>
      <c r="D2801" s="196" t="str">
        <f>IFERROR(__xludf.DUMMYFUNCTION("""COMPUTED_VALUE"""),"1 VACUUM")</f>
        <v>1 VACUUM</v>
      </c>
      <c r="E2801" s="196" t="str">
        <f>IFERROR(__xludf.DUMMYFUNCTION("""COMPUTED_VALUE"""),"FOR LUX, COLLEGE, &amp; TROPICAL CAMPUSES")</f>
        <v>FOR LUX, COLLEGE, &amp; TROPICAL CAMPUSES</v>
      </c>
    </row>
    <row r="2802">
      <c r="A2802" s="234">
        <f>IFERROR(__xludf.DUMMYFUNCTION("""COMPUTED_VALUE"""),103093.0)</f>
        <v>103093</v>
      </c>
      <c r="B2802" s="235" t="str">
        <f>IFERROR(__xludf.DUMMYFUNCTION("""COMPUTED_VALUE"""),"CHRISTINE IVY E. BACULAO")</f>
        <v>CHRISTINE IVY E. BACULAO</v>
      </c>
      <c r="C2802" s="235" t="str">
        <f>IFERROR(__xludf.DUMMYFUNCTION("""COMPUTED_VALUE"""),"COLLEGE OF BUSINESS AND ACCTY")</f>
        <v>COLLEGE OF BUSINESS AND ACCTY</v>
      </c>
      <c r="D2802" s="196" t="str">
        <f>IFERROR(__xludf.DUMMYFUNCTION("""COMPUTED_VALUE"""),"- 100 PCS SOUTHVILLE CALLING CARD - IVY BACULAO
- 100 PCS SOUTHVILLE CALLING CARD - JASIN BUGATAN
- 100 PCS SOUTHVILLE CALLING CARD - JORALYN CASIS
*CALLING CARDS TO SUBMIT THE SOFTCOPY VIA EMAIL*")</f>
        <v>- 100 PCS SOUTHVILLE CALLING CARD - IVY BACULAO
- 100 PCS SOUTHVILLE CALLING CARD - JASIN BUGATAN
- 100 PCS SOUTHVILLE CALLING CARD - JORALYN CASIS
*CALLING CARDS TO SUBMIT THE SOFTCOPY VIA EMAIL*</v>
      </c>
      <c r="E2802" s="196" t="str">
        <f>IFERROR(__xludf.DUMMYFUNCTION("""COMPUTED_VALUE"""),"SOUTHVILLE CALLING CARDS - COORDINATORS(COLLEGE OF BUSINESS &amp; ACCTY)")</f>
        <v>SOUTHVILLE CALLING CARDS - COORDINATORS(COLLEGE OF BUSINESS &amp; ACCTY)</v>
      </c>
    </row>
    <row r="2803">
      <c r="A2803" s="234">
        <f>IFERROR(__xludf.DUMMYFUNCTION("""COMPUTED_VALUE"""),103094.0)</f>
        <v>103094</v>
      </c>
      <c r="B2803" s="235" t="str">
        <f>IFERROR(__xludf.DUMMYFUNCTION("""COMPUTED_VALUE"""),"PAUL ARAÑA / LYN NUÑEZ ")</f>
        <v>PAUL ARAÑA / LYN NUÑEZ </v>
      </c>
      <c r="C2803" s="235" t="str">
        <f>IFERROR(__xludf.DUMMYFUNCTION("""COMPUTED_VALUE"""),"MIS/ICT")</f>
        <v>MIS/ICT</v>
      </c>
      <c r="D2803" s="196" t="str">
        <f>IFERROR(__xludf.DUMMYFUNCTION("""COMPUTED_VALUE"""),"
PRF AND SRF ONLINE MONITORING
PRF AND SRF ONLINE MONITORING
100%
10
tx0187
1 of 1
A106 TX0187 
D106
1SET TP-LINK DECO E4 AC 1200 WHOLE HOME MESH WI-FI SYSTEM (3 PACK), TP-LINK TL SG10080 8-PORT GIGABIT DESKTOP SWITCH
To enable screen reader support, pre"&amp;"ss Ctrl+Alt+Z To learn about keyboard shortcuts, press Ctrl+slash
1SET TP-LINK DECO E4 AC 1200 WHOLE HOME MESH WI-FI SYSTEM (3 PACK), TP-LINK TL SG10080 8-PORT GIGABIT DESKTOP SWITCH
Turn on screen reader support
5 collaborators have"&amp;" joined the document.")</f>
        <v>
PRF AND SRF ONLINE MONITORING
PRF AND SRF ONLINE MONITORING
100%
10
tx0187
1 of 1
A106 TX0187 
D106
1SET TP-LINK DECO E4 AC 1200 WHOLE HOME MESH WI-FI SYSTEM (3 PACK), TP-LINK TL SG10080 8-PORT GIGABIT DESKTOP SWITCH
To enable screen reader support, press Ctrl+Alt+Z To learn about keyboard shortcuts, press Ctrl+slash
1SET TP-LINK DECO E4 AC 1200 WHOLE HOME MESH WI-FI SYSTEM (3 PACK), TP-LINK TL SG10080 8-PORT GIGABIT DESKTOP SWITCH
Turn on screen reader support
5 collaborators have joined the document.</v>
      </c>
      <c r="E2803" s="196" t="str">
        <f>IFERROR(__xludf.DUMMYFUNCTION("""COMPUTED_VALUE"""),"FOR DEPLOYMENT IN FORM YLANG YLANG")</f>
        <v>FOR DEPLOYMENT IN FORM YLANG YLANG</v>
      </c>
    </row>
    <row r="2804">
      <c r="A2804" s="234">
        <f>IFERROR(__xludf.DUMMYFUNCTION("""COMPUTED_VALUE"""),103095.0)</f>
        <v>103095</v>
      </c>
      <c r="B2804" s="235" t="str">
        <f>IFERROR(__xludf.DUMMYFUNCTION("""COMPUTED_VALUE"""),"ALFA DE LEON")</f>
        <v>ALFA DE LEON</v>
      </c>
      <c r="C2804" s="235" t="str">
        <f>IFERROR(__xludf.DUMMYFUNCTION("""COMPUTED_VALUE"""),"ANTEL")</f>
        <v>ANTEL</v>
      </c>
      <c r="D2804" s="196" t="str">
        <f>IFERROR(__xludf.DUMMYFUNCTION("""COMPUTED_VALUE"""),"1 ROLL GARDEN HOSE 3/4 (TRANSFERRED TO PRF - SGEN)")</f>
        <v>1 ROLL GARDEN HOSE 3/4 (TRANSFERRED TO PRF - SGEN)</v>
      </c>
      <c r="E2804" s="196" t="str">
        <f>IFERROR(__xludf.DUMMYFUNCTION("""COMPUTED_VALUE"""),"GARDEN HOSE")</f>
        <v>GARDEN HOSE</v>
      </c>
    </row>
    <row r="2805">
      <c r="A2805" s="234">
        <f>IFERROR(__xludf.DUMMYFUNCTION("""COMPUTED_VALUE"""),103096.0)</f>
        <v>103096</v>
      </c>
      <c r="B2805" s="235" t="str">
        <f>IFERROR(__xludf.DUMMYFUNCTION("""COMPUTED_VALUE"""),"PHEN PETIN")</f>
        <v>PHEN PETIN</v>
      </c>
      <c r="C2805" s="235" t="str">
        <f>IFERROR(__xludf.DUMMYFUNCTION("""COMPUTED_VALUE"""),"ADMIN - STAR")</f>
        <v>ADMIN - STAR</v>
      </c>
      <c r="D2805" s="196" t="str">
        <f>IFERROR(__xludf.DUMMYFUNCTION("""COMPUTED_VALUE"""),"2 UNITS HEAVY DUTY IRON")</f>
        <v>2 UNITS HEAVY DUTY IRON</v>
      </c>
      <c r="E2805" s="196" t="str">
        <f>IFERROR(__xludf.DUMMYFUNCTION("""COMPUTED_VALUE"""),"FOR STAR AND LEARNING VILLAGE")</f>
        <v>FOR STAR AND LEARNING VILLAGE</v>
      </c>
    </row>
    <row r="2806">
      <c r="A2806" s="234">
        <f>IFERROR(__xludf.DUMMYFUNCTION("""COMPUTED_VALUE"""),103097.0)</f>
        <v>103097</v>
      </c>
      <c r="B2806" s="235" t="str">
        <f>IFERROR(__xludf.DUMMYFUNCTION("""COMPUTED_VALUE"""),"PHEN PETIN")</f>
        <v>PHEN PETIN</v>
      </c>
      <c r="C2806" s="235" t="str">
        <f>IFERROR(__xludf.DUMMYFUNCTION("""COMPUTED_VALUE"""),"ADMIN - STAR")</f>
        <v>ADMIN - STAR</v>
      </c>
      <c r="D2806" s="196" t="str">
        <f>IFERROR(__xludf.DUMMYFUNCTION("""COMPUTED_VALUE"""),"1 MICROWAVE")</f>
        <v>1 MICROWAVE</v>
      </c>
      <c r="E2806" s="196" t="str">
        <f>IFERROR(__xludf.DUMMYFUNCTION("""COMPUTED_VALUE"""),"FOR RE-HEATING OF FOOD FOR FACULTY/STAFF(STAR)")</f>
        <v>FOR RE-HEATING OF FOOD FOR FACULTY/STAFF(STAR)</v>
      </c>
    </row>
    <row r="2807">
      <c r="A2807" s="234">
        <f>IFERROR(__xludf.DUMMYFUNCTION("""COMPUTED_VALUE"""),103098.0)</f>
        <v>103098</v>
      </c>
      <c r="B2807" s="235" t="str">
        <f>IFERROR(__xludf.DUMMYFUNCTION("""COMPUTED_VALUE"""),"OWIE PAR")</f>
        <v>OWIE PAR</v>
      </c>
      <c r="C2807" s="235" t="str">
        <f>IFERROR(__xludf.DUMMYFUNCTION("""COMPUTED_VALUE"""),"ENGINEERING")</f>
        <v>ENGINEERING</v>
      </c>
      <c r="D2807" s="196" t="str">
        <f>IFERROR(__xludf.DUMMYFUNCTION("""COMPUTED_VALUE"""),"5 PCS LAMP HOLDER SPKL MODEL KTK1-8130 INPUT 220 AC
NOTE: AS PER SAMPLE")</f>
        <v>5 PCS LAMP HOLDER SPKL MODEL KTK1-8130 INPUT 220 AC
NOTE: AS PER SAMPLE</v>
      </c>
      <c r="E2807" s="196" t="str">
        <f>IFERROR(__xludf.DUMMYFUNCTION("""COMPUTED_VALUE"""),"FOR STUFFSHOP")</f>
        <v>FOR STUFFSHOP</v>
      </c>
    </row>
    <row r="2808">
      <c r="A2808" s="234">
        <f>IFERROR(__xludf.DUMMYFUNCTION("""COMPUTED_VALUE"""),103099.0)</f>
        <v>103099</v>
      </c>
      <c r="B2808" s="235" t="str">
        <f>IFERROR(__xludf.DUMMYFUNCTION("""COMPUTED_VALUE"""),"ELYDIA REYES")</f>
        <v>ELYDIA REYES</v>
      </c>
      <c r="C2808" s="235" t="str">
        <f>IFERROR(__xludf.DUMMYFUNCTION("""COMPUTED_VALUE"""),"PR &amp; MARKETING")</f>
        <v>PR &amp; MARKETING</v>
      </c>
      <c r="D2808" s="196" t="str">
        <f>IFERROR(__xludf.DUMMYFUNCTION("""COMPUTED_VALUE"""),"TCP 2022 CONGRATULATORY TARP 6.5 X 13.50 FT. ")</f>
        <v>TCP 2022 CONGRATULATORY TARP 6.5 X 13.50 FT. </v>
      </c>
      <c r="E2808" s="196" t="str">
        <f>IFERROR(__xludf.DUMMYFUNCTION("""COMPUTED_VALUE"""),"FOR  MARKETING")</f>
        <v>FOR  MARKETING</v>
      </c>
    </row>
    <row r="2809">
      <c r="A2809" s="234">
        <f>IFERROR(__xludf.DUMMYFUNCTION("""COMPUTED_VALUE"""),103100.0)</f>
        <v>103100</v>
      </c>
      <c r="B2809" s="235" t="str">
        <f>IFERROR(__xludf.DUMMYFUNCTION("""COMPUTED_VALUE"""),"JAYVEN POBLETE")</f>
        <v>JAYVEN POBLETE</v>
      </c>
      <c r="C2809" s="235" t="str">
        <f>IFERROR(__xludf.DUMMYFUNCTION("""COMPUTED_VALUE"""),"PR &amp; MARKETING")</f>
        <v>PR &amp; MARKETING</v>
      </c>
      <c r="D2809" s="196" t="str">
        <f>IFERROR(__xludf.DUMMYFUNCTION("""COMPUTED_VALUE"""),"CALLING CARD:
- JAYVEN(3 BOXES, RE-ORDER)
- ELYDS(1 BOX)
- VERGE(1 BOX)")</f>
        <v>CALLING CARD:
- JAYVEN(3 BOXES, RE-ORDER)
- ELYDS(1 BOX)
- VERGE(1 BOX)</v>
      </c>
      <c r="E2809" s="196" t="str">
        <f>IFERROR(__xludf.DUMMYFUNCTION("""COMPUTED_VALUE"""),"MARKETING")</f>
        <v>MARKETING</v>
      </c>
    </row>
    <row r="2810">
      <c r="A2810" s="234">
        <f>IFERROR(__xludf.DUMMYFUNCTION("""COMPUTED_VALUE"""),103101.0)</f>
        <v>103101</v>
      </c>
      <c r="B2810" s="235" t="str">
        <f>IFERROR(__xludf.DUMMYFUNCTION("""COMPUTED_VALUE"""),"OWIE PAR")</f>
        <v>OWIE PAR</v>
      </c>
      <c r="C2810" s="235" t="str">
        <f>IFERROR(__xludf.DUMMYFUNCTION("""COMPUTED_VALUE"""),"ENGINEERING")</f>
        <v>ENGINEERING</v>
      </c>
      <c r="D2810" s="196" t="str">
        <f>IFERROR(__xludf.DUMMYFUNCTION("""COMPUTED_VALUE"""),"- 1 GAL EPOXY PRIMER GRAY
- 1 GAL AUTOMOTIVE PAINT SILVER
- 1 GAL LACQUER THINNER
- 2 PCS PAINT ROLLER #4
- 2 PCS PAINT BRUSH #2
- 1 KG BASAHAN
- 2 KGS WELDING RODS")</f>
        <v>- 1 GAL EPOXY PRIMER GRAY
- 1 GAL AUTOMOTIVE PAINT SILVER
- 1 GAL LACQUER THINNER
- 2 PCS PAINT ROLLER #4
- 2 PCS PAINT BRUSH #2
- 1 KG BASAHAN
- 2 KGS WELDING RODS</v>
      </c>
      <c r="E2810" s="196" t="str">
        <f>IFERROR(__xludf.DUMMYFUNCTION("""COMPUTED_VALUE"""),"FOR ELIZALDE ANNEX OVER HEAD TAN")</f>
        <v>FOR ELIZALDE ANNEX OVER HEAD TAN</v>
      </c>
    </row>
    <row r="2811">
      <c r="A2811" s="234">
        <f>IFERROR(__xludf.DUMMYFUNCTION("""COMPUTED_VALUE"""),103102.0)</f>
        <v>103102</v>
      </c>
      <c r="B2811" s="235" t="str">
        <f>IFERROR(__xludf.DUMMYFUNCTION("""COMPUTED_VALUE"""),"OWIE PAR")</f>
        <v>OWIE PAR</v>
      </c>
      <c r="C2811" s="235" t="str">
        <f>IFERROR(__xludf.DUMMYFUNCTION("""COMPUTED_VALUE"""),"ENGINEERING")</f>
        <v>ENGINEERING</v>
      </c>
      <c r="D2811" s="196" t="str">
        <f>IFERROR(__xludf.DUMMYFUNCTION("""COMPUTED_VALUE"""),"- 1 PC GI TEE #1 1/4
- 1 PC GI BUSHING REDUCER #1 1/4 x 1/2
- 1 PC GI UNION PATENTE #1 1/4
- 1 PC BALL VALVE #1 1/4 KITZ
- 1 PC BALL VALVE #1/2 KITZ
- 5 PCS PVC MALE ADAPTOR #1/2
- 1 PC PVC END CAP
- 2 PCS PVC PIPE #1/2
- 1 CAN SOLVENT CEMENT 100CC
- 10 R"&amp;"OLLS TEPLON TAPE #3/4")</f>
        <v>- 1 PC GI TEE #1 1/4
- 1 PC GI BUSHING REDUCER #1 1/4 x 1/2
- 1 PC GI UNION PATENTE #1 1/4
- 1 PC BALL VALVE #1 1/4 KITZ
- 1 PC BALL VALVE #1/2 KITZ
- 5 PCS PVC MALE ADAPTOR #1/2
- 1 PC PVC END CAP
- 2 PCS PVC PIPE #1/2
- 1 CAN SOLVENT CEMENT 100CC
- 10 ROLLS TEPLON TAPE #3/4</v>
      </c>
      <c r="E2811" s="196" t="str">
        <f>IFERROR(__xludf.DUMMYFUNCTION("""COMPUTED_VALUE"""),"FOR ELI CONNECTION OF DEEPWELL TO TANK")</f>
        <v>FOR ELI CONNECTION OF DEEPWELL TO TANK</v>
      </c>
    </row>
    <row r="2812">
      <c r="A2812" s="234">
        <f>IFERROR(__xludf.DUMMYFUNCTION("""COMPUTED_VALUE"""),103103.0)</f>
        <v>103103</v>
      </c>
      <c r="B2812" s="235" t="str">
        <f>IFERROR(__xludf.DUMMYFUNCTION("""COMPUTED_VALUE"""),"ELMIE LAUDIATO")</f>
        <v>ELMIE LAUDIATO</v>
      </c>
      <c r="C2812" s="235" t="str">
        <f>IFERROR(__xludf.DUMMYFUNCTION("""COMPUTED_VALUE"""),"HRMD")</f>
        <v>HRMD</v>
      </c>
      <c r="D2812" s="196" t="str">
        <f>IFERROR(__xludf.DUMMYFUNCTION("""COMPUTED_VALUE"""),"FLOWER WREATH, SAINT ALPHONSUS DE LIGUORI PARISH, HUMALOG PLACE, MAGALLANES VILLAGE, MAKATI")</f>
        <v>FLOWER WREATH, SAINT ALPHONSUS DE LIGUORI PARISH, HUMALOG PLACE, MAGALLANES VILLAGE, MAKATI</v>
      </c>
      <c r="E2812" s="196" t="str">
        <f>IFERROR(__xludf.DUMMYFUNCTION("""COMPUTED_VALUE"""),"FLOWER WREATH FOR THE MOTHER OF MS. JULI-ANN BALMONTE")</f>
        <v>FLOWER WREATH FOR THE MOTHER OF MS. JULI-ANN BALMONTE</v>
      </c>
    </row>
    <row r="2813">
      <c r="A2813" s="234">
        <f>IFERROR(__xludf.DUMMYFUNCTION("""COMPUTED_VALUE"""),103104.0)</f>
        <v>103104</v>
      </c>
      <c r="B2813" s="235" t="str">
        <f>IFERROR(__xludf.DUMMYFUNCTION("""COMPUTED_VALUE"""),"OWIE PAR")</f>
        <v>OWIE PAR</v>
      </c>
      <c r="C2813" s="235" t="str">
        <f>IFERROR(__xludf.DUMMYFUNCTION("""COMPUTED_VALUE"""),"ENGINEERING")</f>
        <v>ENGINEERING</v>
      </c>
      <c r="D2813" s="196" t="str">
        <f>IFERROR(__xludf.DUMMYFUNCTION("""COMPUTED_VALUE"""),"- 100 PCS TILES FOR CLASSROOM 60 x 60
- 5 GAL STICKWELL
- 1 BAG CEMENT
- 1 BAG ADHESIVE")</f>
        <v>- 100 PCS TILES FOR CLASSROOM 60 x 60
- 5 GAL STICKWELL
- 1 BAG CEMENT
- 1 BAG ADHESIVE</v>
      </c>
      <c r="E2813" s="196" t="str">
        <f>IFERROR(__xludf.DUMMYFUNCTION("""COMPUTED_VALUE"""),"FOR REPAIR OF TILES FOR LUX &amp; CLASSROOM")</f>
        <v>FOR REPAIR OF TILES FOR LUX &amp; CLASSROOM</v>
      </c>
    </row>
    <row r="2814">
      <c r="A2814" s="234">
        <f>IFERROR(__xludf.DUMMYFUNCTION("""COMPUTED_VALUE"""),103105.0)</f>
        <v>103105</v>
      </c>
      <c r="B2814" s="235" t="str">
        <f>IFERROR(__xludf.DUMMYFUNCTION("""COMPUTED_VALUE"""),"PENELOPE B. AGUSTIN")</f>
        <v>PENELOPE B. AGUSTIN</v>
      </c>
      <c r="C2814" s="235" t="str">
        <f>IFERROR(__xludf.DUMMYFUNCTION("""COMPUTED_VALUE"""),"FINANCE &amp; ACCOUNTING")</f>
        <v>FINANCE &amp; ACCOUNTING</v>
      </c>
      <c r="D2814" s="196" t="str">
        <f>IFERROR(__xludf.DUMMYFUNCTION("""COMPUTED_VALUE"""),"5 BOXES CONFIDENTIAL PAYSLIP
Width: 9 1/2
Height: 5 1/2
2 PLY")</f>
        <v>5 BOXES CONFIDENTIAL PAYSLIP
Width: 9 1/2
Height: 5 1/2
2 PLY</v>
      </c>
      <c r="E2814" s="196" t="str">
        <f>IFERROR(__xludf.DUMMYFUNCTION("""COMPUTED_VALUE"""),"PAYROLL PROCESSING")</f>
        <v>PAYROLL PROCESSING</v>
      </c>
    </row>
    <row r="2815">
      <c r="A2815" s="234">
        <f>IFERROR(__xludf.DUMMYFUNCTION("""COMPUTED_VALUE"""),103106.0)</f>
        <v>103106</v>
      </c>
      <c r="B2815" s="235" t="str">
        <f>IFERROR(__xludf.DUMMYFUNCTION("""COMPUTED_VALUE"""),"ALFA DE LEON")</f>
        <v>ALFA DE LEON</v>
      </c>
      <c r="C2815" s="235" t="str">
        <f>IFERROR(__xludf.DUMMYFUNCTION("""COMPUTED_VALUE"""),"ADMIN - MUNICH")</f>
        <v>ADMIN - MUNICH</v>
      </c>
      <c r="D2815" s="196" t="str">
        <f>IFERROR(__xludf.DUMMYFUNCTION("""COMPUTED_VALUE"""),"- 100 PCS PANDAKAKI
- 150 PCS DURANTA
- 20 PCS SPOTTY PHYLUM")</f>
        <v>- 100 PCS PANDAKAKI
- 150 PCS DURANTA
- 20 PCS SPOTTY PHYLUM</v>
      </c>
      <c r="E2815" s="196" t="str">
        <f>IFERROR(__xludf.DUMMYFUNCTION("""COMPUTED_VALUE"""),"MAINTENANCE OF PLANTS TROPICAL &amp; YOKOHAMA")</f>
        <v>MAINTENANCE OF PLANTS TROPICAL &amp; YOKOHAMA</v>
      </c>
    </row>
    <row r="2816">
      <c r="A2816" s="234">
        <f>IFERROR(__xludf.DUMMYFUNCTION("""COMPUTED_VALUE"""),103107.0)</f>
        <v>103107</v>
      </c>
      <c r="B2816" s="235" t="str">
        <f>IFERROR(__xludf.DUMMYFUNCTION("""COMPUTED_VALUE"""),"ALFA DE LEON")</f>
        <v>ALFA DE LEON</v>
      </c>
      <c r="C2816" s="235" t="str">
        <f>IFERROR(__xludf.DUMMYFUNCTION("""COMPUTED_VALUE"""),"ADMIN - MUNICH")</f>
        <v>ADMIN - MUNICH</v>
      </c>
      <c r="D2816" s="196" t="str">
        <f>IFERROR(__xludf.DUMMYFUNCTION("""COMPUTED_VALUE"""),"50 PCS BEACH LILY")</f>
        <v>50 PCS BEACH LILY</v>
      </c>
      <c r="E2816" s="196" t="str">
        <f>IFERROR(__xludf.DUMMYFUNCTION("""COMPUTED_VALUE"""),"MONARCH PARK MAINTENANCE OF PLANTS")</f>
        <v>MONARCH PARK MAINTENANCE OF PLANTS</v>
      </c>
    </row>
    <row r="2817">
      <c r="A2817" s="234">
        <f>IFERROR(__xludf.DUMMYFUNCTION("""COMPUTED_VALUE"""),103108.0)</f>
        <v>103108</v>
      </c>
      <c r="B2817" s="235" t="str">
        <f>IFERROR(__xludf.DUMMYFUNCTION("""COMPUTED_VALUE"""),"SHEREE ESPINOSA")</f>
        <v>SHEREE ESPINOSA</v>
      </c>
      <c r="C2817" s="235" t="str">
        <f>IFERROR(__xludf.DUMMYFUNCTION("""COMPUTED_VALUE"""),"ADMIN")</f>
        <v>ADMIN</v>
      </c>
      <c r="D2817" s="196" t="str">
        <f>IFERROR(__xludf.DUMMYFUNCTION("""COMPUTED_VALUE"""),"5 PCS SWIVEL CHAIRS")</f>
        <v>5 PCS SWIVEL CHAIRS</v>
      </c>
      <c r="E2817" s="196" t="str">
        <f>IFERROR(__xludf.DUMMYFUNCTION("""COMPUTED_VALUE"""),"FOR CAPS COLLEGE - REPLACEMENT FOR DEFECTIVE CHAIRS")</f>
        <v>FOR CAPS COLLEGE - REPLACEMENT FOR DEFECTIVE CHAIRS</v>
      </c>
    </row>
    <row r="2818">
      <c r="A2818" s="234">
        <f>IFERROR(__xludf.DUMMYFUNCTION("""COMPUTED_VALUE"""),103109.0)</f>
        <v>103109</v>
      </c>
      <c r="B2818" s="235" t="str">
        <f>IFERROR(__xludf.DUMMYFUNCTION("""COMPUTED_VALUE"""),"ALFA DE LEON/RONALDO VERDE")</f>
        <v>ALFA DE LEON/RONALDO VERDE</v>
      </c>
      <c r="C2818" s="235" t="str">
        <f>IFERROR(__xludf.DUMMYFUNCTION("""COMPUTED_VALUE"""),"ADMIN")</f>
        <v>ADMIN</v>
      </c>
      <c r="D2818" s="196" t="str">
        <f>IFERROR(__xludf.DUMMYFUNCTION("""COMPUTED_VALUE"""),"5 SETS SOLAR LIGHTS")</f>
        <v>5 SETS SOLAR LIGHTS</v>
      </c>
      <c r="E2818" s="196" t="str">
        <f>IFERROR(__xludf.DUMMYFUNCTION("""COMPUTED_VALUE"""),"ADDITIONAL LIGHT(PERIMETER) OF MUNICH PARKING")</f>
        <v>ADDITIONAL LIGHT(PERIMETER) OF MUNICH PARKING</v>
      </c>
    </row>
    <row r="2819">
      <c r="A2819" s="234">
        <f>IFERROR(__xludf.DUMMYFUNCTION("""COMPUTED_VALUE"""),103110.0)</f>
        <v>103110</v>
      </c>
      <c r="B2819" s="235" t="str">
        <f>IFERROR(__xludf.DUMMYFUNCTION("""COMPUTED_VALUE"""),"SHEREE ESPINOSA")</f>
        <v>SHEREE ESPINOSA</v>
      </c>
      <c r="C2819" s="235" t="str">
        <f>IFERROR(__xludf.DUMMYFUNCTION("""COMPUTED_VALUE"""),"ADMIN")</f>
        <v>ADMIN</v>
      </c>
      <c r="D2819" s="196" t="str">
        <f>IFERROR(__xludf.DUMMYFUNCTION("""COMPUTED_VALUE"""),"- 5 TIN ROOF GUARD BEIGE
- 3 PCS PAINT ROLLER 8""
- 3 PCS PAINT BRUSH 3""
- 1 LITER VULCA SEAL")</f>
        <v>- 5 TIN ROOF GUARD BEIGE
- 3 PCS PAINT ROLLER 8"
- 3 PCS PAINT BRUSH 3"
- 1 LITER VULCA SEAL</v>
      </c>
      <c r="E2819" s="196" t="str">
        <f>IFERROR(__xludf.DUMMYFUNCTION("""COMPUTED_VALUE"""),"PREVENTIVE MAINTENANCE OF ENGINEERING/CCTV/HOUSEKEEPING LAUNDRY/ARCHIVE ROOM OF REGISTRATION ROOFING")</f>
        <v>PREVENTIVE MAINTENANCE OF ENGINEERING/CCTV/HOUSEKEEPING LAUNDRY/ARCHIVE ROOM OF REGISTRATION ROOFING</v>
      </c>
    </row>
    <row r="2820">
      <c r="A2820" s="234">
        <f>IFERROR(__xludf.DUMMYFUNCTION("""COMPUTED_VALUE"""),103111.0)</f>
        <v>103111</v>
      </c>
      <c r="B2820" s="235" t="str">
        <f>IFERROR(__xludf.DUMMYFUNCTION("""COMPUTED_VALUE"""),"OWIE PAR/RONALDO D. VERDE")</f>
        <v>OWIE PAR/RONALDO D. VERDE</v>
      </c>
      <c r="C2820" s="235" t="str">
        <f>IFERROR(__xludf.DUMMYFUNCTION("""COMPUTED_VALUE"""),"ADMIN")</f>
        <v>ADMIN</v>
      </c>
      <c r="D2820" s="196" t="str">
        <f>IFERROR(__xludf.DUMMYFUNCTION("""COMPUTED_VALUE"""),"- 1 PC PPR TEE 1 1/4
- 1 PC PPR COUPLING REDUCER 1 1/2 x 1 1/4
- 8 PCS  PPR ELBOW 1 1/2
- 1 PC PVC TEE 1/2
- 1 PC PVC FEMALE ADAPTOR 1/2
- 2 PC PVC ELBOW 1/2
- 1 LENGTH PVC PIPE 1/2 BLUE
- 1 CAN PVC SOLVENT 100CC
- 5 ROLLS TEPLON TAPE 3/4")</f>
        <v>- 1 PC PPR TEE 1 1/4
- 1 PC PPR COUPLING REDUCER 1 1/2 x 1 1/4
- 8 PCS  PPR ELBOW 1 1/2
- 1 PC PVC TEE 1/2
- 1 PC PVC FEMALE ADAPTOR 1/2
- 2 PC PVC ELBOW 1/2
- 1 LENGTH PVC PIPE 1/2 BLUE
- 1 CAN PVC SOLVENT 100CC
- 5 ROLLS TEPLON TAPE 3/4</v>
      </c>
      <c r="E2820" s="196" t="str">
        <f>IFERROR(__xludf.DUMMYFUNCTION("""COMPUTED_VALUE"""),"ADDITIONAL WALLS FOR H20 SUPPLY FOR NARRA FROM LUX BLDG")</f>
        <v>ADDITIONAL WALLS FOR H20 SUPPLY FOR NARRA FROM LUX BLDG</v>
      </c>
    </row>
    <row r="2821">
      <c r="A2821" s="234">
        <f>IFERROR(__xludf.DUMMYFUNCTION("""COMPUTED_VALUE"""),103112.0)</f>
        <v>103112</v>
      </c>
      <c r="B2821" s="235" t="str">
        <f>IFERROR(__xludf.DUMMYFUNCTION("""COMPUTED_VALUE"""),"ELYDIA REYES")</f>
        <v>ELYDIA REYES</v>
      </c>
      <c r="C2821" s="235" t="str">
        <f>IFERROR(__xludf.DUMMYFUNCTION("""COMPUTED_VALUE"""),"PR &amp; MARKETING")</f>
        <v>PR &amp; MARKETING</v>
      </c>
      <c r="D2821" s="196" t="str">
        <f>IFERROR(__xludf.DUMMYFUNCTION("""COMPUTED_VALUE"""),"1 STORY TARP
8.5 x 4 ft
MALARAYAT PROMOTION
w/ EYELET AND SEAMING")</f>
        <v>1 STORY TARP
8.5 x 4 ft
MALARAYAT PROMOTION
w/ EYELET AND SEAMING</v>
      </c>
      <c r="E2821" s="196" t="str">
        <f>IFERROR(__xludf.DUMMYFUNCTION("""COMPUTED_VALUE"""),"MARKETING")</f>
        <v>MARKETING</v>
      </c>
    </row>
    <row r="2822">
      <c r="A2822" s="234">
        <f>IFERROR(__xludf.DUMMYFUNCTION("""COMPUTED_VALUE"""),103113.0)</f>
        <v>103113</v>
      </c>
      <c r="B2822" s="235" t="str">
        <f>IFERROR(__xludf.DUMMYFUNCTION("""COMPUTED_VALUE"""),"JESUIT CHRISTIAN GALICIA")</f>
        <v>JESUIT CHRISTIAN GALICIA</v>
      </c>
      <c r="C2822" s="235" t="str">
        <f>IFERROR(__xludf.DUMMYFUNCTION("""COMPUTED_VALUE"""),"AMD")</f>
        <v>AMD</v>
      </c>
      <c r="D2822" s="196" t="str">
        <f>IFERROR(__xludf.DUMMYFUNCTION("""COMPUTED_VALUE"""),"- 50 PCS LED BULB 3W DAYLIGHT PHILIPS
- 150 PCS LED TUBE 8W DAYLIGHT PHILIPS")</f>
        <v>- 50 PCS LED BULB 3W DAYLIGHT PHILIPS
- 150 PCS LED TUBE 8W DAYLIGHT PHILIPS</v>
      </c>
      <c r="E2822" s="196" t="str">
        <f>IFERROR(__xludf.DUMMYFUNCTION("""COMPUTED_VALUE"""),"ENGINEERING AMD WAREHOUSE SUPPLIES")</f>
        <v>ENGINEERING AMD WAREHOUSE SUPPLIES</v>
      </c>
    </row>
    <row r="2823">
      <c r="A2823" s="234">
        <f>IFERROR(__xludf.DUMMYFUNCTION("""COMPUTED_VALUE"""),103114.0)</f>
        <v>103114</v>
      </c>
      <c r="B2823" s="235" t="str">
        <f>IFERROR(__xludf.DUMMYFUNCTION("""COMPUTED_VALUE"""),"OWIE PAR")</f>
        <v>OWIE PAR</v>
      </c>
      <c r="C2823" s="235" t="str">
        <f>IFERROR(__xludf.DUMMYFUNCTION("""COMPUTED_VALUE"""),"ENGINEERING")</f>
        <v>ENGINEERING</v>
      </c>
      <c r="D2823" s="196" t="str">
        <f>IFERROR(__xludf.DUMMYFUNCTION("""COMPUTED_VALUE"""),"4 UNITS 0.5 LBS CAP DRY CHEM F.E.")</f>
        <v>4 UNITS 0.5 LBS CAP DRY CHEM F.E.</v>
      </c>
      <c r="E2823" s="196" t="str">
        <f>IFERROR(__xludf.DUMMYFUNCTION("""COMPUTED_VALUE"""),"FOR SISC VEHICLES(AUDITOR'S SUGGESTION DURING AUDIT)")</f>
        <v>FOR SISC VEHICLES(AUDITOR'S SUGGESTION DURING AUDIT)</v>
      </c>
    </row>
    <row r="2824">
      <c r="A2824" s="234">
        <f>IFERROR(__xludf.DUMMYFUNCTION("""COMPUTED_VALUE"""),103115.0)</f>
        <v>103115</v>
      </c>
      <c r="B2824" s="235" t="str">
        <f>IFERROR(__xludf.DUMMYFUNCTION("""COMPUTED_VALUE"""),"SHEREE ESPINOSA")</f>
        <v>SHEREE ESPINOSA</v>
      </c>
      <c r="C2824" s="235" t="str">
        <f>IFERROR(__xludf.DUMMYFUNCTION("""COMPUTED_VALUE"""),"ADMIN")</f>
        <v>ADMIN</v>
      </c>
      <c r="D2824" s="196" t="str">
        <f>IFERROR(__xludf.DUMMYFUNCTION("""COMPUTED_VALUE"""),"40 PCS BASKET(FOR HSKPG: CLEANING MATERIAL CONTAINER)
COLOR: WHITE
H - 8.5""
W - 10.10""
L - 14""")</f>
        <v>40 PCS BASKET(FOR HSKPG: CLEANING MATERIAL CONTAINER)
COLOR: WHITE
H - 8.5"
W - 10.10"
L - 14"</v>
      </c>
      <c r="E2824" s="196" t="str">
        <f>IFERROR(__xludf.DUMMYFUNCTION("""COMPUTED_VALUE"""),"FOR HSKPG. PERSONNEL USE")</f>
        <v>FOR HSKPG. PERSONNEL USE</v>
      </c>
    </row>
    <row r="2825">
      <c r="A2825" s="234">
        <f>IFERROR(__xludf.DUMMYFUNCTION("""COMPUTED_VALUE"""),103116.0)</f>
        <v>103116</v>
      </c>
      <c r="B2825" s="235" t="str">
        <f>IFERROR(__xludf.DUMMYFUNCTION("""COMPUTED_VALUE"""),"LORRAINE ALMAZAN")</f>
        <v>LORRAINE ALMAZAN</v>
      </c>
      <c r="C2825" s="235" t="str">
        <f>IFERROR(__xludf.DUMMYFUNCTION("""COMPUTED_VALUE"""),"MIS")</f>
        <v>MIS</v>
      </c>
      <c r="D2825" s="196" t="str">
        <f>IFERROR(__xludf.DUMMYFUNCTION("""COMPUTED_VALUE"""),"- 4 PCS NEC VE303 PROJECTOR REMOTE
- 2 PCS CASIO XJ V1 REMOTE
- 2 EIKI LC-XBL25 PROJECTOR REMOTE
- 3 SANYO XGA PROJECTOR REMOTE
- 6 PCS EPSON EB-U42 PROJECTOR REMOTE")</f>
        <v>- 4 PCS NEC VE303 PROJECTOR REMOTE
- 2 PCS CASIO XJ V1 REMOTE
- 2 EIKI LC-XBL25 PROJECTOR REMOTE
- 3 SANYO XGA PROJECTOR REMOTE
- 6 PCS EPSON EB-U42 PROJECTOR REMOTE</v>
      </c>
      <c r="E2825" s="196" t="str">
        <f>IFERROR(__xludf.DUMMYFUNCTION("""COMPUTED_VALUE"""),"REPLACEMENT OF OL PROJECTOR REMOTES")</f>
        <v>REPLACEMENT OF OL PROJECTOR REMOTES</v>
      </c>
    </row>
    <row r="2826">
      <c r="A2826" s="234" t="str">
        <f>IFERROR(__xludf.DUMMYFUNCTION("""COMPUTED_VALUE"""),"FOR GLL SCHOLAR")</f>
        <v>FOR GLL SCHOLAR</v>
      </c>
      <c r="B2826" s="235" t="str">
        <f>IFERROR(__xludf.DUMMYFUNCTION("""COMPUTED_VALUE"""),"CHONA DELOS TRINOS")</f>
        <v>CHONA DELOS TRINOS</v>
      </c>
      <c r="C2826" s="235" t="str">
        <f>IFERROR(__xludf.DUMMYFUNCTION("""COMPUTED_VALUE"""),"AUDIT")</f>
        <v>AUDIT</v>
      </c>
      <c r="D2826" s="196" t="str">
        <f>IFERROR(__xludf.DUMMYFUNCTION("""COMPUTED_VALUE"""),"1 PC TRODAT STAMP")</f>
        <v>1 PC TRODAT STAMP</v>
      </c>
      <c r="E2826" s="196" t="str">
        <f>IFERROR(__xludf.DUMMYFUNCTION("""COMPUTED_VALUE"""),"EFFICIENCY FOR LIQUIDATION, OFFICIAL RECEIPTS/CASH INVOICE, MRR, CERTIFICATE OF JOB COMPLETION, CLEARANCE, ORIG SALES INVOICE, AND OTHERS")</f>
        <v>EFFICIENCY FOR LIQUIDATION, OFFICIAL RECEIPTS/CASH INVOICE, MRR, CERTIFICATE OF JOB COMPLETION, CLEARANCE, ORIG SALES INVOICE, AND OTHERS</v>
      </c>
    </row>
    <row r="2827">
      <c r="A2827" s="234">
        <f>IFERROR(__xludf.DUMMYFUNCTION("""COMPUTED_VALUE"""),103118.0)</f>
        <v>103118</v>
      </c>
      <c r="B2827" s="235" t="str">
        <f>IFERROR(__xludf.DUMMYFUNCTION("""COMPUTED_VALUE"""),"SHEREE ESPINOSA")</f>
        <v>SHEREE ESPINOSA</v>
      </c>
      <c r="C2827" s="235" t="str">
        <f>IFERROR(__xludf.DUMMYFUNCTION("""COMPUTED_VALUE"""),"PRESIDENT'S OFFICE")</f>
        <v>PRESIDENT'S OFFICE</v>
      </c>
      <c r="D2827" s="196" t="str">
        <f>IFERROR(__xludf.DUMMYFUNCTION("""COMPUTED_VALUE"""),"50 PCS POTS PLATES")</f>
        <v>50 PCS POTS PLATES</v>
      </c>
      <c r="E2827" s="196" t="str">
        <f>IFERROR(__xludf.DUMMYFUNCTION("""COMPUTED_VALUE"""),"FOR PRESIDENT'S OFFICE")</f>
        <v>FOR PRESIDENT'S OFFICE</v>
      </c>
    </row>
    <row r="2828">
      <c r="A2828" s="234">
        <f>IFERROR(__xludf.DUMMYFUNCTION("""COMPUTED_VALUE"""),103119.0)</f>
        <v>103119</v>
      </c>
      <c r="B2828" s="235" t="str">
        <f>IFERROR(__xludf.DUMMYFUNCTION("""COMPUTED_VALUE"""),"SHEREE ESPINOSA")</f>
        <v>SHEREE ESPINOSA</v>
      </c>
      <c r="C2828" s="235" t="str">
        <f>IFERROR(__xludf.DUMMYFUNCTION("""COMPUTED_VALUE"""),"PRESIDENT'S OFFICE")</f>
        <v>PRESIDENT'S OFFICE</v>
      </c>
      <c r="D2828" s="196" t="str">
        <f>IFERROR(__xludf.DUMMYFUNCTION("""COMPUTED_VALUE"""),"1 PC FLANGE FOR TOILET BOWL")</f>
        <v>1 PC FLANGE FOR TOILET BOWL</v>
      </c>
      <c r="E2828" s="196" t="str">
        <f>IFERROR(__xludf.DUMMYFUNCTION("""COMPUTED_VALUE"""),"FOR PRESIDENT'S OFFICE")</f>
        <v>FOR PRESIDENT'S OFFICE</v>
      </c>
    </row>
    <row r="2829">
      <c r="A2829" s="234">
        <f>IFERROR(__xludf.DUMMYFUNCTION("""COMPUTED_VALUE"""),103120.0)</f>
        <v>103120</v>
      </c>
      <c r="B2829" s="235" t="str">
        <f>IFERROR(__xludf.DUMMYFUNCTION("""COMPUTED_VALUE"""),"JOMEL BUTIAL ")</f>
        <v>JOMEL BUTIAL </v>
      </c>
      <c r="C2829" s="235" t="str">
        <f>IFERROR(__xludf.DUMMYFUNCTION("""COMPUTED_VALUE"""),"AMD")</f>
        <v>AMD</v>
      </c>
      <c r="D2829" s="196" t="str">
        <f>IFERROR(__xludf.DUMMYFUNCTION("""COMPUTED_VALUE"""),"BIG PLASTIC 40""X60"" .003 THICKNESS 100 PCS; BIG BROWN PAPER BAGS SIZE: #25 8/1/4 X 5 X 17 1/4 1000PCS")</f>
        <v>BIG PLASTIC 40"X60" .003 THICKNESS 100 PCS; BIG BROWN PAPER BAGS SIZE: #25 8/1/4 X 5 X 17 1/4 1000PCS</v>
      </c>
      <c r="E2829" s="196" t="str">
        <f>IFERROR(__xludf.DUMMYFUNCTION("""COMPUTED_VALUE"""),"TOGA PACKAGING ")</f>
        <v>TOGA PACKAGING </v>
      </c>
    </row>
    <row r="2830">
      <c r="A2830" s="234">
        <f>IFERROR(__xludf.DUMMYFUNCTION("""COMPUTED_VALUE"""),103121.0)</f>
        <v>103121</v>
      </c>
      <c r="B2830" s="235" t="str">
        <f>IFERROR(__xludf.DUMMYFUNCTION("""COMPUTED_VALUE"""),"EDILBERTO HIDALGO JR")</f>
        <v>EDILBERTO HIDALGO JR</v>
      </c>
      <c r="C2830" s="235" t="str">
        <f>IFERROR(__xludf.DUMMYFUNCTION("""COMPUTED_VALUE"""),"PURCHASING")</f>
        <v>PURCHASING</v>
      </c>
      <c r="D2830" s="196" t="str">
        <f>IFERROR(__xludf.DUMMYFUNCTION("""COMPUTED_VALUE"""),"EPSON LX310")</f>
        <v>EPSON LX310</v>
      </c>
      <c r="E2830" s="196" t="str">
        <f>IFERROR(__xludf.DUMMYFUNCTION("""COMPUTED_VALUE"""),"TO PROCURE A NEW EPSON LX310 PRINTER TO REPLACE THE INOPERABLE EXISTING PRINTER THAT IS CURRENTLY UTILIZED FOR PRINTING")</f>
        <v>TO PROCURE A NEW EPSON LX310 PRINTER TO REPLACE THE INOPERABLE EXISTING PRINTER THAT IS CURRENTLY UTILIZED FOR PRINTING</v>
      </c>
    </row>
    <row r="2831">
      <c r="A2831" s="234">
        <f>IFERROR(__xludf.DUMMYFUNCTION("""COMPUTED_VALUE"""),103122.0)</f>
        <v>103122</v>
      </c>
      <c r="B2831" s="235" t="str">
        <f>IFERROR(__xludf.DUMMYFUNCTION("""COMPUTED_VALUE"""),"CARLITO DELA VEGA")</f>
        <v>CARLITO DELA VEGA</v>
      </c>
      <c r="C2831" s="235" t="str">
        <f>IFERROR(__xludf.DUMMYFUNCTION("""COMPUTED_VALUE"""),"SECURITY")</f>
        <v>SECURITY</v>
      </c>
      <c r="D2831" s="196" t="str">
        <f>IFERROR(__xludf.DUMMYFUNCTION("""COMPUTED_VALUE"""),"1000 PCS BACK CAR STICKER 2023
- 3M STICKER
- DIGITALLY PRINTED 
- 2.5 x 7.5 INCHES")</f>
        <v>1000 PCS BACK CAR STICKER 2023
- 3M STICKER
- DIGITALLY PRINTED 
- 2.5 x 7.5 INCHES</v>
      </c>
      <c r="E2831" s="196" t="str">
        <f>IFERROR(__xludf.DUMMYFUNCTION("""COMPUTED_VALUE"""),"FOR CAR/VEHICLE STOCKS")</f>
        <v>FOR CAR/VEHICLE STOCKS</v>
      </c>
    </row>
    <row r="2832">
      <c r="A2832" s="234">
        <f>IFERROR(__xludf.DUMMYFUNCTION("""COMPUTED_VALUE"""),103123.0)</f>
        <v>103123</v>
      </c>
      <c r="B2832" s="235" t="str">
        <f>IFERROR(__xludf.DUMMYFUNCTION("""COMPUTED_VALUE"""),"SHEREE ESPINOSA")</f>
        <v>SHEREE ESPINOSA</v>
      </c>
      <c r="C2832" s="235" t="str">
        <f>IFERROR(__xludf.DUMMYFUNCTION("""COMPUTED_VALUE"""),"PRESIDENT'S OFFICE")</f>
        <v>PRESIDENT'S OFFICE</v>
      </c>
      <c r="D2832" s="196" t="str">
        <f>IFERROR(__xludf.DUMMYFUNCTION("""COMPUTED_VALUE"""),"- 35 PCS MARIAN PLANTS
- 1 SACK PEBBLES")</f>
        <v>- 35 PCS MARIAN PLANTS
- 1 SACK PEBBLES</v>
      </c>
      <c r="E2832" s="196" t="str">
        <f>IFERROR(__xludf.DUMMYFUNCTION("""COMPUTED_VALUE"""),"FOR PRESIDENT'S OFFICE")</f>
        <v>FOR PRESIDENT'S OFFICE</v>
      </c>
    </row>
    <row r="2833">
      <c r="A2833" s="234">
        <f>IFERROR(__xludf.DUMMYFUNCTION("""COMPUTED_VALUE"""),103124.0)</f>
        <v>103124</v>
      </c>
      <c r="B2833" s="235" t="str">
        <f>IFERROR(__xludf.DUMMYFUNCTION("""COMPUTED_VALUE"""),"OWIE PAR")</f>
        <v>OWIE PAR</v>
      </c>
      <c r="C2833" s="235" t="str">
        <f>IFERROR(__xludf.DUMMYFUNCTION("""COMPUTED_VALUE"""),"ENGINEERING")</f>
        <v>ENGINEERING</v>
      </c>
      <c r="D2833" s="196" t="str">
        <f>IFERROR(__xludf.DUMMYFUNCTION("""COMPUTED_VALUE"""),"- 13 PCS UTILITY BOX
-  13 SETS PANASONIC WIDE SERIES OUTLET 2 GANG
- 1 ROLL BIG ELECTRICAL TAPE")</f>
        <v>- 13 PCS UTILITY BOX
-  13 SETS PANASONIC WIDE SERIES OUTLET 2 GANG
- 1 ROLL BIG ELECTRICAL TAPE</v>
      </c>
      <c r="E2833" s="196" t="str">
        <f>IFERROR(__xludf.DUMMYFUNCTION("""COMPUTED_VALUE"""),"FOR MMA COMLAB 2")</f>
        <v>FOR MMA COMLAB 2</v>
      </c>
    </row>
    <row r="2834">
      <c r="A2834" s="234">
        <f>IFERROR(__xludf.DUMMYFUNCTION("""COMPUTED_VALUE"""),103125.0)</f>
        <v>103125</v>
      </c>
      <c r="B2834" s="235" t="str">
        <f>IFERROR(__xludf.DUMMYFUNCTION("""COMPUTED_VALUE"""),"ALFA DE LEON")</f>
        <v>ALFA DE LEON</v>
      </c>
      <c r="C2834" s="235" t="str">
        <f>IFERROR(__xludf.DUMMYFUNCTION("""COMPUTED_VALUE"""),"TROPICAL")</f>
        <v>TROPICAL</v>
      </c>
      <c r="D2834" s="196" t="str">
        <f>IFERROR(__xludf.DUMMYFUNCTION("""COMPUTED_VALUE"""),"- 30 PCS LARGE POTS")</f>
        <v>- 30 PCS LARGE POTS</v>
      </c>
      <c r="E2834" s="196" t="str">
        <f>IFERROR(__xludf.DUMMYFUNCTION("""COMPUTED_VALUE"""),"MAINTENANCE OF PLANT POTS")</f>
        <v>MAINTENANCE OF PLANT POTS</v>
      </c>
    </row>
    <row r="2835">
      <c r="A2835" s="234">
        <f>IFERROR(__xludf.DUMMYFUNCTION("""COMPUTED_VALUE"""),103126.0)</f>
        <v>103126</v>
      </c>
      <c r="B2835" s="235" t="str">
        <f>IFERROR(__xludf.DUMMYFUNCTION("""COMPUTED_VALUE"""),"ALFA DE LEON/PHEN PETIN")</f>
        <v>ALFA DE LEON/PHEN PETIN</v>
      </c>
      <c r="C2835" s="235" t="str">
        <f>IFERROR(__xludf.DUMMYFUNCTION("""COMPUTED_VALUE"""),"STAR")</f>
        <v>STAR</v>
      </c>
      <c r="D2835" s="196" t="str">
        <f>IFERROR(__xludf.DUMMYFUNCTION("""COMPUTED_VALUE"""),"30 PCS EXTRA LARGE POTS")</f>
        <v>30 PCS EXTRA LARGE POTS</v>
      </c>
      <c r="E2835" s="196" t="str">
        <f>IFERROR(__xludf.DUMMYFUNCTION("""COMPUTED_VALUE"""),"STAR CAMPUS REPLACEMENT OF SOME POTS AND PROPAGATED PLANTS")</f>
        <v>STAR CAMPUS REPLACEMENT OF SOME POTS AND PROPAGATED PLANTS</v>
      </c>
    </row>
    <row r="2836">
      <c r="A2836" s="234">
        <f>IFERROR(__xludf.DUMMYFUNCTION("""COMPUTED_VALUE"""),103127.0)</f>
        <v>103127</v>
      </c>
      <c r="B2836" s="235" t="str">
        <f>IFERROR(__xludf.DUMMYFUNCTION("""COMPUTED_VALUE"""),"OWIE PAR")</f>
        <v>OWIE PAR</v>
      </c>
      <c r="C2836" s="235" t="str">
        <f>IFERROR(__xludf.DUMMYFUNCTION("""COMPUTED_VALUE"""),"ENGINEERING")</f>
        <v>ENGINEERING</v>
      </c>
      <c r="D2836" s="196" t="str">
        <f>IFERROR(__xludf.DUMMYFUNCTION("""COMPUTED_VALUE"""),"1 UNIT 20 HP WALL-MOUNTED INVERTER")</f>
        <v>1 UNIT 20 HP WALL-MOUNTED INVERTER</v>
      </c>
      <c r="E2836" s="196" t="str">
        <f>IFERROR(__xludf.DUMMYFUNCTION("""COMPUTED_VALUE"""),"FOR MUNICH RM 312 ACU REPLACEMENT")</f>
        <v>FOR MUNICH RM 312 ACU REPLACEMENT</v>
      </c>
    </row>
    <row r="2837">
      <c r="A2837" s="234">
        <f>IFERROR(__xludf.DUMMYFUNCTION("""COMPUTED_VALUE"""),103128.0)</f>
        <v>103128</v>
      </c>
      <c r="B2837" s="235" t="str">
        <f>IFERROR(__xludf.DUMMYFUNCTION("""COMPUTED_VALUE"""),"ANN DELA ISLA")</f>
        <v>ANN DELA ISLA</v>
      </c>
      <c r="C2837" s="235" t="str">
        <f>IFERROR(__xludf.DUMMYFUNCTION("""COMPUTED_VALUE"""),"IB")</f>
        <v>IB</v>
      </c>
      <c r="D2837" s="196" t="str">
        <f>IFERROR(__xludf.DUMMYFUNCTION("""COMPUTED_VALUE"""),"3 PIGS LIVER - FRESH(NOT FROZEN)")</f>
        <v>3 PIGS LIVER - FRESH(NOT FROZEN)</v>
      </c>
      <c r="E2837" s="196" t="str">
        <f>IFERROR(__xludf.DUMMYFUNCTION("""COMPUTED_VALUE"""),"FOR BIOLOGY EXPERIMENT")</f>
        <v>FOR BIOLOGY EXPERIMENT</v>
      </c>
    </row>
    <row r="2838">
      <c r="A2838" s="234">
        <f>IFERROR(__xludf.DUMMYFUNCTION("""COMPUTED_VALUE"""),103129.0)</f>
        <v>103129</v>
      </c>
      <c r="B2838" s="235" t="str">
        <f>IFERROR(__xludf.DUMMYFUNCTION("""COMPUTED_VALUE"""),"OWIE PAR/PHEN PETIN")</f>
        <v>OWIE PAR/PHEN PETIN</v>
      </c>
      <c r="C2838" s="235" t="str">
        <f>IFERROR(__xludf.DUMMYFUNCTION("""COMPUTED_VALUE"""),"ENGINEERING/ADMIN")</f>
        <v>ENGINEERING/ADMIN</v>
      </c>
      <c r="D2838" s="196" t="str">
        <f>IFERROR(__xludf.DUMMYFUNCTION("""COMPUTED_VALUE"""),"- 18 PCS PVC PIPE 3/4 W/ HUB(BLUE)
- 20 PCS PVC ELBOW 3/4(BLUE)
- 10 PCS PVC TEE 3/4(BLUE)
- 10 PCS PVC COUPLING REDUCER 3/4 x 1/2(BLUE)
- 8 PCS PVC PIPE 1/2(BLUE)
- 12 PCS PVC TEE 1/2(BLUE)
- 5 PCS PVC TEE W/ TREAD 1/2(BLUE)
- 5 PCS PVC ELBOW W/ TREAD 1/"&amp;"2(BLUE
- 15 PCS PVC ELBOW 1/2(BLUE)
- 8 PCS PVC FEMALE ADAPTOR 1/2(BLUE)
- 15 PCS MALE ADAPTOR 1/2(BLUE)
- 2 CANS SOLVENT CEMENT 400CC
- 5 PCS SHOWER HEAD
- 7 PCS GARDEN FAUCET(BRASS)
- 4 PCS ANGLE VALVE(DUAL) 1/2 x 1/2 x 18
- 4 PCS BIDET
- 4 PCS FLEXSIBL"&amp;"E HOSE 1/2 x 1/2 x 18
- 4 PCS FLEXSIBLE HOSE 1/2 x 1/2 x 18
- BALL VALVE 1/2 BRASS
- 6 PCS TEPLON TAPE 3/4")</f>
        <v>- 18 PCS PVC PIPE 3/4 W/ HUB(BLUE)
- 20 PCS PVC ELBOW 3/4(BLUE)
- 10 PCS PVC TEE 3/4(BLUE)
- 10 PCS PVC COUPLING REDUCER 3/4 x 1/2(BLUE)
- 8 PCS PVC PIPE 1/2(BLUE)
- 12 PCS PVC TEE 1/2(BLUE)
- 5 PCS PVC TEE W/ TREAD 1/2(BLUE)
- 5 PCS PVC ELBOW W/ TREAD 1/2(BLUE
- 15 PCS PVC ELBOW 1/2(BLUE)
- 8 PCS PVC FEMALE ADAPTOR 1/2(BLUE)
- 15 PCS MALE ADAPTOR 1/2(BLUE)
- 2 CANS SOLVENT CEMENT 400CC
- 5 PCS SHOWER HEAD
- 7 PCS GARDEN FAUCET(BRASS)
- 4 PCS ANGLE VALVE(DUAL) 1/2 x 1/2 x 18
- 4 PCS BIDET
- 4 PCS FLEXSIBLE HOSE 1/2 x 1/2 x 18
- 4 PCS FLEXSIBLE HOSE 1/2 x 1/2 x 18
- BALL VALVE 1/2 BRASS
- 6 PCS TEPLON TAPE 3/4</v>
      </c>
      <c r="E2838" s="196" t="str">
        <f>IFERROR(__xludf.DUMMYFUNCTION("""COMPUTED_VALUE"""),"FOR ANNEX BLDG. REPIPING OF WATERLINE SYSTEM(TO ADDRESS LEAKS)")</f>
        <v>FOR ANNEX BLDG. REPIPING OF WATERLINE SYSTEM(TO ADDRESS LEAKS)</v>
      </c>
    </row>
    <row r="2839">
      <c r="A2839" s="234">
        <f>IFERROR(__xludf.DUMMYFUNCTION("""COMPUTED_VALUE"""),103130.0)</f>
        <v>103130</v>
      </c>
      <c r="B2839" s="235" t="str">
        <f>IFERROR(__xludf.DUMMYFUNCTION("""COMPUTED_VALUE"""),"JESUIT CHRISTIAN GALICIA")</f>
        <v>JESUIT CHRISTIAN GALICIA</v>
      </c>
      <c r="C2839" s="235" t="str">
        <f>IFERROR(__xludf.DUMMYFUNCTION("""COMPUTED_VALUE"""),"AMD")</f>
        <v>AMD</v>
      </c>
      <c r="D2839" s="196" t="str">
        <f>IFERROR(__xludf.DUMMYFUNCTION("""COMPUTED_VALUE"""),"1 PC STANLEY PLATFORM TRUCK PUSH CART TROLLEY FLAT BED 150KG PC527")</f>
        <v>1 PC STANLEY PLATFORM TRUCK PUSH CART TROLLEY FLAT BED 150KG PC527</v>
      </c>
      <c r="E2839" s="196" t="str">
        <f>IFERROR(__xludf.DUMMYFUNCTION("""COMPUTED_VALUE"""),"WAREHOUSE EQUIPMENT USE")</f>
        <v>WAREHOUSE EQUIPMENT USE</v>
      </c>
    </row>
    <row r="2840">
      <c r="A2840" s="234">
        <f>IFERROR(__xludf.DUMMYFUNCTION("""COMPUTED_VALUE"""),103131.0)</f>
        <v>103131</v>
      </c>
      <c r="B2840" s="235" t="str">
        <f>IFERROR(__xludf.DUMMYFUNCTION("""COMPUTED_VALUE"""),"OWIE PAR")</f>
        <v>OWIE PAR</v>
      </c>
      <c r="C2840" s="235" t="str">
        <f>IFERROR(__xludf.DUMMYFUNCTION("""COMPUTED_VALUE"""),"ENGINEERING")</f>
        <v>ENGINEERING</v>
      </c>
      <c r="D2840" s="196" t="str">
        <f>IFERROR(__xludf.DUMMYFUNCTION("""COMPUTED_VALUE"""),"1 UNIT CEILING SUSPENDED 3.0 HP INVERTER")</f>
        <v>1 UNIT CEILING SUSPENDED 3.0 HP INVERTER</v>
      </c>
      <c r="E2840" s="196" t="str">
        <f>IFERROR(__xludf.DUMMYFUNCTION("""COMPUTED_VALUE"""),"REPLACEMENT ACU BASIC EDUCATION LIBRARY READING AREA ACU #4")</f>
        <v>REPLACEMENT ACU BASIC EDUCATION LIBRARY READING AREA ACU #4</v>
      </c>
    </row>
    <row r="2841">
      <c r="A2841" s="234">
        <f>IFERROR(__xludf.DUMMYFUNCTION("""COMPUTED_VALUE"""),103132.0)</f>
        <v>103132</v>
      </c>
      <c r="B2841" s="235" t="str">
        <f>IFERROR(__xludf.DUMMYFUNCTION("""COMPUTED_VALUE"""),"OWIE PAR")</f>
        <v>OWIE PAR</v>
      </c>
      <c r="C2841" s="235" t="str">
        <f>IFERROR(__xludf.DUMMYFUNCTION("""COMPUTED_VALUE"""),"ENGINEERING")</f>
        <v>ENGINEERING</v>
      </c>
      <c r="D2841" s="196" t="str">
        <f>IFERROR(__xludf.DUMMYFUNCTION("""COMPUTED_VALUE"""),"1 UNIT CEILING SUSPENDED 3.0 PHP INVERTER")</f>
        <v>1 UNIT CEILING SUSPENDED 3.0 PHP INVERTER</v>
      </c>
      <c r="E2841" s="196" t="str">
        <f>IFERROR(__xludf.DUMMYFUNCTION("""COMPUTED_VALUE"""),"REPLACEMENT OF ACU COLLEGE LIBRARY READING AREA ACU #4")</f>
        <v>REPLACEMENT OF ACU COLLEGE LIBRARY READING AREA ACU #4</v>
      </c>
    </row>
    <row r="2842">
      <c r="A2842" s="234">
        <f>IFERROR(__xludf.DUMMYFUNCTION("""COMPUTED_VALUE"""),103133.0)</f>
        <v>103133</v>
      </c>
      <c r="B2842" s="235" t="str">
        <f>IFERROR(__xludf.DUMMYFUNCTION("""COMPUTED_VALUE"""),"JESUIT CHRISTIAN GALICIA")</f>
        <v>JESUIT CHRISTIAN GALICIA</v>
      </c>
      <c r="C2842" s="235" t="str">
        <f>IFERROR(__xludf.DUMMYFUNCTION("""COMPUTED_VALUE"""),"AMD")</f>
        <v>AMD</v>
      </c>
      <c r="D2842" s="196" t="str">
        <f>IFERROR(__xludf.DUMMYFUNCTION("""COMPUTED_VALUE"""),"15 PCS AMANO EX9305 BUNDY CLOCK CARTRIDGE")</f>
        <v>15 PCS AMANO EX9305 BUNDY CLOCK CARTRIDGE</v>
      </c>
      <c r="E2842" s="196" t="str">
        <f>IFERROR(__xludf.DUMMYFUNCTION("""COMPUTED_VALUE"""),"WAREHOUSE STOCK REPLENISHMENT")</f>
        <v>WAREHOUSE STOCK REPLENISHMENT</v>
      </c>
    </row>
    <row r="2843">
      <c r="A2843" s="234">
        <f>IFERROR(__xludf.DUMMYFUNCTION("""COMPUTED_VALUE"""),103134.0)</f>
        <v>103134</v>
      </c>
      <c r="B2843" s="235" t="str">
        <f>IFERROR(__xludf.DUMMYFUNCTION("""COMPUTED_VALUE"""),"OWIE PAR")</f>
        <v>OWIE PAR</v>
      </c>
      <c r="C2843" s="235" t="str">
        <f>IFERROR(__xludf.DUMMYFUNCTION("""COMPUTED_VALUE"""),"ENGINEERING")</f>
        <v>ENGINEERING</v>
      </c>
      <c r="D2843" s="196" t="str">
        <f>IFERROR(__xludf.DUMMYFUNCTION("""COMPUTED_VALUE"""),"BULB 5.5 WATTS ANY BRAND (10PCS)")</f>
        <v>BULB 5.5 WATTS ANY BRAND (10PCS)</v>
      </c>
      <c r="E2843" s="196" t="str">
        <f>IFERROR(__xludf.DUMMYFUNCTION("""COMPUTED_VALUE"""),"FOR LUX HALLWAY FRONT PRINCIPAL'S OFFICE")</f>
        <v>FOR LUX HALLWAY FRONT PRINCIPAL'S OFFICE</v>
      </c>
    </row>
    <row r="2844">
      <c r="A2844" s="234">
        <f>IFERROR(__xludf.DUMMYFUNCTION("""COMPUTED_VALUE"""),103135.0)</f>
        <v>103135</v>
      </c>
      <c r="B2844" s="235" t="str">
        <f>IFERROR(__xludf.DUMMYFUNCTION("""COMPUTED_VALUE"""),"ALFA DE LEON")</f>
        <v>ALFA DE LEON</v>
      </c>
      <c r="C2844" s="235" t="str">
        <f>IFERROR(__xludf.DUMMYFUNCTION("""COMPUTED_VALUE"""),"ADMIN - MUNICH")</f>
        <v>ADMIN - MUNICH</v>
      </c>
      <c r="D2844" s="196" t="str">
        <f>IFERROR(__xludf.DUMMYFUNCTION("""COMPUTED_VALUE"""),"3 PCS EMERGENCY LIGHTS")</f>
        <v>3 PCS EMERGENCY LIGHTS</v>
      </c>
      <c r="E2844" s="196" t="str">
        <f>IFERROR(__xludf.DUMMYFUNCTION("""COMPUTED_VALUE"""),"REPLACEMENT OF BROKEN EMERGENCY LIGHTS IN THE 3/F RAMP, 2/F WW, AND 2/F HALLWAY")</f>
        <v>REPLACEMENT OF BROKEN EMERGENCY LIGHTS IN THE 3/F RAMP, 2/F WW, AND 2/F HALLWAY</v>
      </c>
    </row>
    <row r="2845">
      <c r="A2845" s="234">
        <f>IFERROR(__xludf.DUMMYFUNCTION("""COMPUTED_VALUE"""),103136.0)</f>
        <v>103136</v>
      </c>
      <c r="B2845" s="235" t="str">
        <f>IFERROR(__xludf.DUMMYFUNCTION("""COMPUTED_VALUE"""),"PHEN PETIN")</f>
        <v>PHEN PETIN</v>
      </c>
      <c r="C2845" s="235" t="str">
        <f>IFERROR(__xludf.DUMMYFUNCTION("""COMPUTED_VALUE"""),"ADMIN - STAR")</f>
        <v>ADMIN - STAR</v>
      </c>
      <c r="D2845" s="196" t="str">
        <f>IFERROR(__xludf.DUMMYFUNCTION("""COMPUTED_VALUE"""),"3 PCS HAND DRYER")</f>
        <v>3 PCS HAND DRYER</v>
      </c>
      <c r="E2845" s="196" t="str">
        <f>IFERROR(__xludf.DUMMYFUNCTION("""COMPUTED_VALUE"""),"CHANGE BROKEN HAND DRYER 3RD FLOOR BOYS &amp; GIRLS AND 2ND FLOOR BOYS")</f>
        <v>CHANGE BROKEN HAND DRYER 3RD FLOOR BOYS &amp; GIRLS AND 2ND FLOOR BOYS</v>
      </c>
    </row>
    <row r="2846">
      <c r="A2846" s="234">
        <f>IFERROR(__xludf.DUMMYFUNCTION("""COMPUTED_VALUE"""),103137.0)</f>
        <v>103137</v>
      </c>
      <c r="B2846" s="235" t="str">
        <f>IFERROR(__xludf.DUMMYFUNCTION("""COMPUTED_VALUE"""),"JESUIT CHRISTIAN GALICIA")</f>
        <v>JESUIT CHRISTIAN GALICIA</v>
      </c>
      <c r="C2846" s="235" t="str">
        <f>IFERROR(__xludf.DUMMYFUNCTION("""COMPUTED_VALUE"""),"AMD")</f>
        <v>AMD</v>
      </c>
      <c r="D2846" s="196" t="str">
        <f>IFERROR(__xludf.DUMMYFUNCTION("""COMPUTED_VALUE"""),"- 50 PCS BATTERY, EVEREADY SIZE C
- 30 PCS BATTERY, EVEREADY SIZE D
- 1000 PCS FOLDER, FORTUNE WHITE LONG
- 800 PCS FOLDER FORTUNE WHITE SHORT
- 1000 PCS FOLDER, PRESSBOARD GREEN LONG(NOTE: THICKER)
- 15 PCS HIGHLIGHTER, STABILO PINK
- 200 PCS PAPER, COPY"&amp;"-LASER SUB. 20 LONG WHITE")</f>
        <v>- 50 PCS BATTERY, EVEREADY SIZE C
- 30 PCS BATTERY, EVEREADY SIZE D
- 1000 PCS FOLDER, FORTUNE WHITE LONG
- 800 PCS FOLDER FORTUNE WHITE SHORT
- 1000 PCS FOLDER, PRESSBOARD GREEN LONG(NOTE: THICKER)
- 15 PCS HIGHLIGHTER, STABILO PINK
- 200 PCS PAPER, COPY-LASER SUB. 20 LONG WHITE</v>
      </c>
      <c r="E2846" s="196" t="str">
        <f>IFERROR(__xludf.DUMMYFUNCTION("""COMPUTED_VALUE"""),"OSSUP REPLENISHMENT")</f>
        <v>OSSUP REPLENISHMENT</v>
      </c>
    </row>
    <row r="2847">
      <c r="A2847" s="234">
        <f>IFERROR(__xludf.DUMMYFUNCTION("""COMPUTED_VALUE"""),103138.0)</f>
        <v>103138</v>
      </c>
      <c r="B2847" s="235" t="str">
        <f>IFERROR(__xludf.DUMMYFUNCTION("""COMPUTED_VALUE"""),"SHEREE ESPINOSA")</f>
        <v>SHEREE ESPINOSA</v>
      </c>
      <c r="C2847" s="235" t="str">
        <f>IFERROR(__xludf.DUMMYFUNCTION("""COMPUTED_VALUE"""),"ADMIN")</f>
        <v>ADMIN</v>
      </c>
      <c r="D2847" s="196" t="str">
        <f>IFERROR(__xludf.DUMMYFUNCTION("""COMPUTED_VALUE"""),"- 12 GAL STRIPSOL
- 4 PCS SPATULA
- 1 GAL POLYTUFF
- 5 METER SANDING PAPER
- 12 BAGS SKIMCOAT
- 1 GAL PACIFIC RED")</f>
        <v>- 12 GAL STRIPSOL
- 4 PCS SPATULA
- 1 GAL POLYTUFF
- 5 METER SANDING PAPER
- 12 BAGS SKIMCOAT
- 1 GAL PACIFIC RED</v>
      </c>
      <c r="E2847" s="196" t="str">
        <f>IFERROR(__xludf.DUMMYFUNCTION("""COMPUTED_VALUE"""),"REPAR OF DANCE STUDIO FLOORING")</f>
        <v>REPAR OF DANCE STUDIO FLOORING</v>
      </c>
    </row>
    <row r="2848">
      <c r="A2848" s="234">
        <f>IFERROR(__xludf.DUMMYFUNCTION("""COMPUTED_VALUE"""),103139.0)</f>
        <v>103139</v>
      </c>
      <c r="B2848" s="235" t="str">
        <f>IFERROR(__xludf.DUMMYFUNCTION("""COMPUTED_VALUE"""),"JESUIT CHRISTIAN GALICIA")</f>
        <v>JESUIT CHRISTIAN GALICIA</v>
      </c>
      <c r="C2848" s="235" t="str">
        <f>IFERROR(__xludf.DUMMYFUNCTION("""COMPUTED_VALUE"""),"AMD")</f>
        <v>AMD</v>
      </c>
      <c r="D2848" s="196" t="str">
        <f>IFERROR(__xludf.DUMMYFUNCTION("""COMPUTED_VALUE"""),"100 PCS CLEARBOOK, REFILLER LONG 3 HOLES")</f>
        <v>100 PCS CLEARBOOK, REFILLER LONG 3 HOLES</v>
      </c>
      <c r="E2848" s="196" t="str">
        <f>IFERROR(__xludf.DUMMYFUNCTION("""COMPUTED_VALUE"""),"WAREHOUSE STOCK REPLENISHMENT")</f>
        <v>WAREHOUSE STOCK REPLENISHMENT</v>
      </c>
    </row>
    <row r="2849">
      <c r="A2849" s="234">
        <f>IFERROR(__xludf.DUMMYFUNCTION("""COMPUTED_VALUE"""),103140.0)</f>
        <v>103140</v>
      </c>
      <c r="B2849" s="235" t="str">
        <f>IFERROR(__xludf.DUMMYFUNCTION("""COMPUTED_VALUE"""),"KRISTEN GABUTERO")</f>
        <v>KRISTEN GABUTERO</v>
      </c>
      <c r="C2849" s="235" t="str">
        <f>IFERROR(__xludf.DUMMYFUNCTION("""COMPUTED_VALUE"""),"COLLEGE")</f>
        <v>COLLEGE</v>
      </c>
      <c r="D2849" s="196" t="str">
        <f>IFERROR(__xludf.DUMMYFUNCTION("""COMPUTED_VALUE"""),"1 PC MEDIUM PLAQUE OF APPRECIATION")</f>
        <v>1 PC MEDIUM PLAQUE OF APPRECIATION</v>
      </c>
      <c r="E2849" s="196" t="str">
        <f>IFERROR(__xludf.DUMMYFUNCTION("""COMPUTED_VALUE"""),"AWARDING FOR DR. TRIA AT THE ALUMNI HOMECOMING")</f>
        <v>AWARDING FOR DR. TRIA AT THE ALUMNI HOMECOMING</v>
      </c>
    </row>
    <row r="2850">
      <c r="A2850" s="234">
        <f>IFERROR(__xludf.DUMMYFUNCTION("""COMPUTED_VALUE"""),103141.0)</f>
        <v>103141</v>
      </c>
      <c r="B2850" s="235" t="str">
        <f>IFERROR(__xludf.DUMMYFUNCTION("""COMPUTED_VALUE"""),"SHEREE ESPINOSA")</f>
        <v>SHEREE ESPINOSA</v>
      </c>
      <c r="C2850" s="235" t="str">
        <f>IFERROR(__xludf.DUMMYFUNCTION("""COMPUTED_VALUE"""),"PRESIDENT'S OFFICE")</f>
        <v>PRESIDENT'S OFFICE</v>
      </c>
      <c r="D2850" s="196" t="str">
        <f>IFERROR(__xludf.DUMMYFUNCTION("""COMPUTED_VALUE"""),"1 PC SIDE TABLE")</f>
        <v>1 PC SIDE TABLE</v>
      </c>
      <c r="E2850" s="196" t="str">
        <f>IFERROR(__xludf.DUMMYFUNCTION("""COMPUTED_VALUE"""),"FOR NEW OFFICE OF THE PRESIDENT")</f>
        <v>FOR NEW OFFICE OF THE PRESIDENT</v>
      </c>
    </row>
    <row r="2851">
      <c r="A2851" s="234">
        <f>IFERROR(__xludf.DUMMYFUNCTION("""COMPUTED_VALUE"""),103142.0)</f>
        <v>103142</v>
      </c>
      <c r="B2851" s="235" t="str">
        <f>IFERROR(__xludf.DUMMYFUNCTION("""COMPUTED_VALUE"""),"JONALYN CASIS")</f>
        <v>JONALYN CASIS</v>
      </c>
      <c r="C2851" s="235" t="str">
        <f>IFERROR(__xludf.DUMMYFUNCTION("""COMPUTED_VALUE"""),"COLLEGE")</f>
        <v>COLLEGE</v>
      </c>
      <c r="D2851" s="196" t="str">
        <f>IFERROR(__xludf.DUMMYFUNCTION("""COMPUTED_VALUE"""),"1 PC STEEL CABINET")</f>
        <v>1 PC STEEL CABINET</v>
      </c>
      <c r="E2851" s="196" t="str">
        <f>IFERROR(__xludf.DUMMYFUNCTION("""COMPUTED_VALUE"""),"OFFICE STUFF/NEW CABINET")</f>
        <v>OFFICE STUFF/NEW CABINET</v>
      </c>
    </row>
    <row r="2852">
      <c r="A2852" s="234">
        <f>IFERROR(__xludf.DUMMYFUNCTION("""COMPUTED_VALUE"""),103143.0)</f>
        <v>103143</v>
      </c>
      <c r="B2852" s="235" t="str">
        <f>IFERROR(__xludf.DUMMYFUNCTION("""COMPUTED_VALUE"""),"JAYVEN POBLETE")</f>
        <v>JAYVEN POBLETE</v>
      </c>
      <c r="C2852" s="235" t="str">
        <f>IFERROR(__xludf.DUMMYFUNCTION("""COMPUTED_VALUE"""),"PR &amp; MARKETING")</f>
        <v>PR &amp; MARKETING</v>
      </c>
      <c r="D2852" s="196" t="str">
        <f>IFERROR(__xludf.DUMMYFUNCTION("""COMPUTED_VALUE"""),"- 150 PCS PURPLE BOTTLE ALCOHOL
- 100 PCS TOTE BAG")</f>
        <v>- 150 PCS PURPLE BOTTLE ALCOHOL
- 100 PCS TOTE BAG</v>
      </c>
      <c r="E2852" s="196" t="str">
        <f>IFERROR(__xludf.DUMMYFUNCTION("""COMPUTED_VALUE"""),"SOUTHVILLE GIVE-AWAY FOR THE OPEN HOUSE")</f>
        <v>SOUTHVILLE GIVE-AWAY FOR THE OPEN HOUSE</v>
      </c>
    </row>
    <row r="2853">
      <c r="A2853" s="234">
        <f>IFERROR(__xludf.DUMMYFUNCTION("""COMPUTED_VALUE"""),103144.0)</f>
        <v>103144</v>
      </c>
      <c r="B2853" s="235" t="str">
        <f>IFERROR(__xludf.DUMMYFUNCTION("""COMPUTED_VALUE"""),"OWIE PAR")</f>
        <v>OWIE PAR</v>
      </c>
      <c r="C2853" s="235" t="str">
        <f>IFERROR(__xludf.DUMMYFUNCTION("""COMPUTED_VALUE"""),"ENGINEERING")</f>
        <v>ENGINEERING</v>
      </c>
      <c r="D2853" s="196" t="str">
        <f>IFERROR(__xludf.DUMMYFUNCTION("""COMPUTED_VALUE"""),"1 UNIT EXHAUST FAN #10")</f>
        <v>1 UNIT EXHAUST FAN #10</v>
      </c>
      <c r="E2853" s="196" t="str">
        <f>IFERROR(__xludf.DUMMYFUNCTION("""COMPUTED_VALUE"""),"FOR MUNICH WAITING AREA")</f>
        <v>FOR MUNICH WAITING AREA</v>
      </c>
    </row>
    <row r="2854">
      <c r="A2854" s="234">
        <f>IFERROR(__xludf.DUMMYFUNCTION("""COMPUTED_VALUE"""),103145.0)</f>
        <v>103145</v>
      </c>
      <c r="B2854" s="235" t="str">
        <f>IFERROR(__xludf.DUMMYFUNCTION("""COMPUTED_VALUE"""),"ESTHER JOY LARITA")</f>
        <v>ESTHER JOY LARITA</v>
      </c>
      <c r="C2854" s="235" t="str">
        <f>IFERROR(__xludf.DUMMYFUNCTION("""COMPUTED_VALUE"""),"ISO")</f>
        <v>ISO</v>
      </c>
      <c r="D2854" s="196" t="str">
        <f>IFERROR(__xludf.DUMMYFUNCTION("""COMPUTED_VALUE"""),"IQA AUDITOR POLO SHIRT")</f>
        <v>IQA AUDITOR POLO SHIRT</v>
      </c>
      <c r="E2854" s="196" t="str">
        <f>IFERROR(__xludf.DUMMYFUNCTION("""COMPUTED_VALUE"""),"FOR THE IQA AUDITOR TOKENS")</f>
        <v>FOR THE IQA AUDITOR TOKENS</v>
      </c>
    </row>
    <row r="2855">
      <c r="A2855" s="234">
        <f>IFERROR(__xludf.DUMMYFUNCTION("""COMPUTED_VALUE"""),103146.0)</f>
        <v>103146</v>
      </c>
      <c r="B2855" s="235" t="str">
        <f>IFERROR(__xludf.DUMMYFUNCTION("""COMPUTED_VALUE"""),"JESUIT CHRISTIAN GALICIA")</f>
        <v>JESUIT CHRISTIAN GALICIA</v>
      </c>
      <c r="C2855" s="235" t="str">
        <f>IFERROR(__xludf.DUMMYFUNCTION("""COMPUTED_VALUE"""),"AMD")</f>
        <v>AMD</v>
      </c>
      <c r="D2855" s="196" t="str">
        <f>IFERROR(__xludf.DUMMYFUNCTION("""COMPUTED_VALUE"""),"1 ROLL PROPERTY STICKER BEGINNING NUMBER WITH 66006")</f>
        <v>1 ROLL PROPERTY STICKER BEGINNING NUMBER WITH 66006</v>
      </c>
      <c r="E2855" s="196" t="str">
        <f>IFERROR(__xludf.DUMMYFUNCTION("""COMPUTED_VALUE"""),"for FIXED ASSET INVENTORY PROPERTY STICKER")</f>
        <v>for FIXED ASSET INVENTORY PROPERTY STICKER</v>
      </c>
    </row>
    <row r="2856">
      <c r="A2856" s="234">
        <f>IFERROR(__xludf.DUMMYFUNCTION("""COMPUTED_VALUE"""),103147.0)</f>
        <v>103147</v>
      </c>
      <c r="B2856" s="235" t="str">
        <f>IFERROR(__xludf.DUMMYFUNCTION("""COMPUTED_VALUE"""),"JORA CASIS")</f>
        <v>JORA CASIS</v>
      </c>
      <c r="C2856" s="235" t="str">
        <f>IFERROR(__xludf.DUMMYFUNCTION("""COMPUTED_VALUE"""),"COLLEGE - CBET")</f>
        <v>COLLEGE - CBET</v>
      </c>
      <c r="D2856" s="196" t="str">
        <f>IFERROR(__xludf.DUMMYFUNCTION("""COMPUTED_VALUE"""),"TRODAT FOR:
 - DR. RENE ALIGONERO
 - DR. VICTOR MANABAT
 - MS. IVY BACULAO
 - SIR JASON BUGATAN")</f>
        <v>TRODAT FOR:
 - DR. RENE ALIGONERO
 - DR. VICTOR MANABAT
 - MS. IVY BACULAO
 - SIR JASON BUGATAN</v>
      </c>
      <c r="E2856" s="196" t="str">
        <f>IFERROR(__xludf.DUMMYFUNCTION("""COMPUTED_VALUE"""),"FOR OFFICER OF SBS/SIT")</f>
        <v>FOR OFFICER OF SBS/SIT</v>
      </c>
    </row>
    <row r="2857">
      <c r="A2857" s="234">
        <f>IFERROR(__xludf.DUMMYFUNCTION("""COMPUTED_VALUE"""),103148.0)</f>
        <v>103148</v>
      </c>
      <c r="B2857" s="235" t="str">
        <f>IFERROR(__xludf.DUMMYFUNCTION("""COMPUTED_VALUE"""),"JOMEL BUTIAL ")</f>
        <v>JOMEL BUTIAL </v>
      </c>
      <c r="C2857" s="235" t="str">
        <f>IFERROR(__xludf.DUMMYFUNCTION("""COMPUTED_VALUE"""),"AMD ")</f>
        <v>AMD </v>
      </c>
      <c r="D2857" s="196" t="str">
        <f>IFERROR(__xludf.DUMMYFUNCTION("""COMPUTED_VALUE"""),"GLOW FURNITURE CLEANER &amp; POLISH 25 PCS; LAUNDRY BRUSH 30 PCS;")</f>
        <v>GLOW FURNITURE CLEANER &amp; POLISH 25 PCS; LAUNDRY BRUSH 30 PCS;</v>
      </c>
      <c r="E2857" s="196" t="str">
        <f>IFERROR(__xludf.DUMMYFUNCTION("""COMPUTED_VALUE"""),"ADDITIONAL HOUSEKEEPING REPLENISHMENT FOR FEB 2023")</f>
        <v>ADDITIONAL HOUSEKEEPING REPLENISHMENT FOR FEB 2023</v>
      </c>
    </row>
    <row r="2858">
      <c r="A2858" s="234">
        <f>IFERROR(__xludf.DUMMYFUNCTION("""COMPUTED_VALUE"""),103149.0)</f>
        <v>103149</v>
      </c>
      <c r="B2858" s="235" t="str">
        <f>IFERROR(__xludf.DUMMYFUNCTION("""COMPUTED_VALUE"""),"JESUIT CHRISTIAN GALICIA")</f>
        <v>JESUIT CHRISTIAN GALICIA</v>
      </c>
      <c r="C2858" s="235" t="str">
        <f>IFERROR(__xludf.DUMMYFUNCTION("""COMPUTED_VALUE"""),"AMD")</f>
        <v>AMD</v>
      </c>
      <c r="D2858" s="196" t="str">
        <f>IFERROR(__xludf.DUMMYFUNCTION("""COMPUTED_VALUE"""),"GLOW FURNITURE CLEANER &amp; POLISH 25 PCS; LAUNDRY BRUSH 30 PCS;")</f>
        <v>GLOW FURNITURE CLEANER &amp; POLISH 25 PCS; LAUNDRY BRUSH 30 PCS;</v>
      </c>
      <c r="E2858" s="196" t="str">
        <f>IFERROR(__xludf.DUMMYFUNCTION("""COMPUTED_VALUE"""),"OSSUP REPLENISHMENT")</f>
        <v>OSSUP REPLENISHMENT</v>
      </c>
    </row>
    <row r="2859">
      <c r="A2859" s="234">
        <f>IFERROR(__xludf.DUMMYFUNCTION("""COMPUTED_VALUE"""),103150.0)</f>
        <v>103150</v>
      </c>
      <c r="B2859" s="235" t="str">
        <f>IFERROR(__xludf.DUMMYFUNCTION("""COMPUTED_VALUE"""),"SHEREE ESPINOSA")</f>
        <v>SHEREE ESPINOSA</v>
      </c>
      <c r="C2859" s="235" t="str">
        <f>IFERROR(__xludf.DUMMYFUNCTION("""COMPUTED_VALUE"""),"ADMIN")</f>
        <v>ADMIN</v>
      </c>
      <c r="D2859" s="196" t="str">
        <f>IFERROR(__xludf.DUMMYFUNCTION("""COMPUTED_VALUE"""),"- 64 PCS # 1/2"" x 8"" x 48"" LAMINATED FLOORING
- 16 PCS # 1 x 4 x 10 CORNIZA
- 6 SETS #16"" DRAWER QUIDE
- 2 GAL SANDING SEALER 
- 2 GAL CREAR GROSS LACQUER
- 2 QUART POLYTUFF W/ HARDINER
- 10 PCS MIGHTY BOND
- 10 PCS #120 SANDING PAPER
- 10 PCS #150 SA"&amp;"NDING PAPER
- 2 GAL LACQUER THINNER
- 1 KILO STICKWELL
- 2 PCS #3"" PAINT BRUSH
- 2 PCS #2"" PAINT BRUSH
- 1 KILO #2"" FINISHING NAILS
- 1/2 KILO #1"" FINISHING NAILS
- 1 KILO RUGS CLOTH(BASAHAN)")</f>
        <v>- 64 PCS # 1/2" x 8" x 48" LAMINATED FLOORING
- 16 PCS # 1 x 4 x 10 CORNIZA
- 6 SETS #16" DRAWER QUIDE
- 2 GAL SANDING SEALER 
- 2 GAL CREAR GROSS LACQUER
- 2 QUART POLYTUFF W/ HARDINER
- 10 PCS MIGHTY BOND
- 10 PCS #120 SANDING PAPER
- 10 PCS #150 SANDING PAPER
- 2 GAL LACQUER THINNER
- 1 KILO STICKWELL
- 2 PCS #3" PAINT BRUSH
- 2 PCS #2" PAINT BRUSH
- 1 KILO #2" FINISHING NAILS
- 1/2 KILO #1" FINISHING NAILS
- 1 KILO RUGS CLOTH(BASAHAN)</v>
      </c>
      <c r="E2859" s="196" t="str">
        <f>IFERROR(__xludf.DUMMYFUNCTION("""COMPUTED_VALUE"""),"REPAIR OF DOC GENE'S OFFICE")</f>
        <v>REPAIR OF DOC GENE'S OFFICE</v>
      </c>
    </row>
    <row r="2860">
      <c r="A2860" s="234">
        <f>IFERROR(__xludf.DUMMYFUNCTION("""COMPUTED_VALUE"""),103151.0)</f>
        <v>103151</v>
      </c>
      <c r="B2860" s="235" t="str">
        <f>IFERROR(__xludf.DUMMYFUNCTION("""COMPUTED_VALUE"""),"JESUIT CHRISTIAN GALICIA")</f>
        <v>JESUIT CHRISTIAN GALICIA</v>
      </c>
      <c r="C2860" s="235" t="str">
        <f>IFERROR(__xludf.DUMMYFUNCTION("""COMPUTED_VALUE"""),"AMD")</f>
        <v>AMD</v>
      </c>
      <c r="D2860" s="196" t="str">
        <f>IFERROR(__xludf.DUMMYFUNCTION("""COMPUTED_VALUE"""),"50 PCS TONER CARTRIDGE INKONVERT LBP6000 85A")</f>
        <v>50 PCS TONER CARTRIDGE INKONVERT LBP6000 85A</v>
      </c>
      <c r="E2860" s="196" t="str">
        <f>IFERROR(__xludf.DUMMYFUNCTION("""COMPUTED_VALUE"""),"STOCK REPLENISHMENT FOR OSSUP WAREHOUSE")</f>
        <v>STOCK REPLENISHMENT FOR OSSUP WAREHOUSE</v>
      </c>
    </row>
    <row r="2861">
      <c r="A2861" s="234">
        <f>IFERROR(__xludf.DUMMYFUNCTION("""COMPUTED_VALUE"""),103152.0)</f>
        <v>103152</v>
      </c>
      <c r="B2861" s="235" t="str">
        <f>IFERROR(__xludf.DUMMYFUNCTION("""COMPUTED_VALUE"""),"JESUIT CHRISTIAN GALICIA")</f>
        <v>JESUIT CHRISTIAN GALICIA</v>
      </c>
      <c r="C2861" s="235" t="str">
        <f>IFERROR(__xludf.DUMMYFUNCTION("""COMPUTED_VALUE"""),"AMD")</f>
        <v>AMD</v>
      </c>
      <c r="D2861" s="196" t="str">
        <f>IFERROR(__xludf.DUMMYFUNCTION("""COMPUTED_VALUE"""),"700 PCS ENVELOPE, EXPANDING PLASTIC-LONG, ADVENTURE(E-4II-L), PUSH PINS 20 BOXES")</f>
        <v>700 PCS ENVELOPE, EXPANDING PLASTIC-LONG, ADVENTURE(E-4II-L), PUSH PINS 20 BOXES</v>
      </c>
      <c r="E2861" s="196" t="str">
        <f>IFERROR(__xludf.DUMMYFUNCTION("""COMPUTED_VALUE"""),"OSSUP WAREHOUSE STOCK REPLENISHMENT")</f>
        <v>OSSUP WAREHOUSE STOCK REPLENISHMENT</v>
      </c>
    </row>
    <row r="2862">
      <c r="A2862" s="234">
        <f>IFERROR(__xludf.DUMMYFUNCTION("""COMPUTED_VALUE"""),103153.0)</f>
        <v>103153</v>
      </c>
      <c r="B2862" s="235" t="str">
        <f>IFERROR(__xludf.DUMMYFUNCTION("""COMPUTED_VALUE"""),"PHEN PETIN")</f>
        <v>PHEN PETIN</v>
      </c>
      <c r="C2862" s="235" t="str">
        <f>IFERROR(__xludf.DUMMYFUNCTION("""COMPUTED_VALUE"""),"ADMIN - STAR")</f>
        <v>ADMIN - STAR</v>
      </c>
      <c r="D2862" s="196" t="str">
        <f>IFERROR(__xludf.DUMMYFUNCTION("""COMPUTED_VALUE"""),"- 10 PCS FLEXIBLE HOSE 3/8 x 7/8
- 10 PCS FLEXIBLE HOSE 1/4 x 7/8
- 10 PCS FLEXIBLE HOSE 1/2 x 3/8
- 10 PCS FLEXIBLE HOSE 1/4 x 1/2")</f>
        <v>- 10 PCS FLEXIBLE HOSE 3/8 x 7/8
- 10 PCS FLEXIBLE HOSE 1/4 x 7/8
- 10 PCS FLEXIBLE HOSE 1/2 x 3/8
- 10 PCS FLEXIBLE HOSE 1/4 x 1/2</v>
      </c>
      <c r="E2862" s="196" t="str">
        <f>IFERROR(__xludf.DUMMYFUNCTION("""COMPUTED_VALUE"""),"FOR ENGINEERING USE IN STAR CAMPUS")</f>
        <v>FOR ENGINEERING USE IN STAR CAMPUS</v>
      </c>
    </row>
    <row r="2863">
      <c r="A2863" s="234">
        <f>IFERROR(__xludf.DUMMYFUNCTION("""COMPUTED_VALUE"""),103154.0)</f>
        <v>103154</v>
      </c>
      <c r="B2863" s="235" t="str">
        <f>IFERROR(__xludf.DUMMYFUNCTION("""COMPUTED_VALUE"""),"PHEN PETIN")</f>
        <v>PHEN PETIN</v>
      </c>
      <c r="C2863" s="235" t="str">
        <f>IFERROR(__xludf.DUMMYFUNCTION("""COMPUTED_VALUE"""),"ADMIN - STAR")</f>
        <v>ADMIN - STAR</v>
      </c>
      <c r="D2863" s="196" t="str">
        <f>IFERROR(__xludf.DUMMYFUNCTION("""COMPUTED_VALUE"""),"- 3 BOXES ROPE LIGHTS(WHITE)
- 15 PCS ADAPTOR")</f>
        <v>- 3 BOXES ROPE LIGHTS(WHITE)
- 15 PCS ADAPTOR</v>
      </c>
      <c r="E2863" s="196" t="str">
        <f>IFERROR(__xludf.DUMMYFUNCTION("""COMPUTED_VALUE"""),"REPLACE BUSTED ROPE LIGHT STAR FACADE")</f>
        <v>REPLACE BUSTED ROPE LIGHT STAR FACADE</v>
      </c>
    </row>
    <row r="2864">
      <c r="A2864" s="234">
        <f>IFERROR(__xludf.DUMMYFUNCTION("""COMPUTED_VALUE"""),103155.0)</f>
        <v>103155</v>
      </c>
      <c r="B2864" s="235" t="str">
        <f>IFERROR(__xludf.DUMMYFUNCTION("""COMPUTED_VALUE"""),"PHEN PETIN")</f>
        <v>PHEN PETIN</v>
      </c>
      <c r="C2864" s="235" t="str">
        <f>IFERROR(__xludf.DUMMYFUNCTION("""COMPUTED_VALUE"""),"ADMIN - STAR")</f>
        <v>ADMIN - STAR</v>
      </c>
      <c r="D2864" s="196" t="str">
        <f>IFERROR(__xludf.DUMMYFUNCTION("""COMPUTED_VALUE"""),"- 2 PCS WIDE 3 GANG SWITCH
- 2 PCS WIDE 2 GANG SWITCH
- 2 PCS WIDE 1 GANG SWITCH
- 4 PCS WIDE 2 GANG OUTLET
- 5 PCS BLANK COVER
- 1 AMCO BOX
- 100 PCS BLACK SCREW 1 1/2
- 1 PC PVC MOULDING 3/4")</f>
        <v>- 2 PCS WIDE 3 GANG SWITCH
- 2 PCS WIDE 2 GANG SWITCH
- 2 PCS WIDE 1 GANG SWITCH
- 4 PCS WIDE 2 GANG OUTLET
- 5 PCS BLANK COVER
- 1 AMCO BOX
- 100 PCS BLACK SCREW 1 1/2
- 1 PC PVC MOULDING 3/4</v>
      </c>
      <c r="E2864" s="196" t="str">
        <f>IFERROR(__xludf.DUMMYFUNCTION("""COMPUTED_VALUE"""),"ELECTRICAL MATERIALS FOR HOPKINS AREA(STORAGE)")</f>
        <v>ELECTRICAL MATERIALS FOR HOPKINS AREA(STORAGE)</v>
      </c>
    </row>
    <row r="2865">
      <c r="A2865" s="234">
        <f>IFERROR(__xludf.DUMMYFUNCTION("""COMPUTED_VALUE"""),103156.0)</f>
        <v>103156</v>
      </c>
      <c r="B2865" s="235" t="str">
        <f>IFERROR(__xludf.DUMMYFUNCTION("""COMPUTED_VALUE"""),"ALFA DE LEON")</f>
        <v>ALFA DE LEON</v>
      </c>
      <c r="C2865" s="235" t="str">
        <f>IFERROR(__xludf.DUMMYFUNCTION("""COMPUTED_VALUE"""),"ADMIN - MUNICH")</f>
        <v>ADMIN - MUNICH</v>
      </c>
      <c r="D2865" s="196" t="str">
        <f>IFERROR(__xludf.DUMMYFUNCTION("""COMPUTED_VALUE"""),"1 PC HEAVY DUTY TRASH BIN")</f>
        <v>1 PC HEAVY DUTY TRASH BIN</v>
      </c>
      <c r="E2865" s="196" t="str">
        <f>IFERROR(__xludf.DUMMYFUNCTION("""COMPUTED_VALUE"""),"REPLACEMENT OF BROKEN TRASH BIN")</f>
        <v>REPLACEMENT OF BROKEN TRASH BIN</v>
      </c>
    </row>
    <row r="2866">
      <c r="A2866" s="234">
        <f>IFERROR(__xludf.DUMMYFUNCTION("""COMPUTED_VALUE"""),103157.0)</f>
        <v>103157</v>
      </c>
      <c r="B2866" s="235" t="str">
        <f>IFERROR(__xludf.DUMMYFUNCTION("""COMPUTED_VALUE"""),"ELMIE LAUDIATO")</f>
        <v>ELMIE LAUDIATO</v>
      </c>
      <c r="C2866" s="235" t="str">
        <f>IFERROR(__xludf.DUMMYFUNCTION("""COMPUTED_VALUE"""),"HRMD")</f>
        <v>HRMD</v>
      </c>
      <c r="D2866" s="196" t="str">
        <f>IFERROR(__xludf.DUMMYFUNCTION("""COMPUTED_VALUE"""),"EMPLOYEE UNIFORM(BATCH 1) AY 2022-2023")</f>
        <v>EMPLOYEE UNIFORM(BATCH 1) AY 2022-2023</v>
      </c>
      <c r="E2866" s="196" t="str">
        <f>IFERROR(__xludf.DUMMYFUNCTION("""COMPUTED_VALUE"""),"EMPLOYEE UNIFORM FOR AY 2022-2023")</f>
        <v>EMPLOYEE UNIFORM FOR AY 2022-2023</v>
      </c>
    </row>
    <row r="2867">
      <c r="A2867" s="234">
        <f>IFERROR(__xludf.DUMMYFUNCTION("""COMPUTED_VALUE"""),103158.0)</f>
        <v>103158</v>
      </c>
      <c r="B2867" s="235" t="str">
        <f>IFERROR(__xludf.DUMMYFUNCTION("""COMPUTED_VALUE"""),"ALFA DE LEON")</f>
        <v>ALFA DE LEON</v>
      </c>
      <c r="C2867" s="235" t="str">
        <f>IFERROR(__xludf.DUMMYFUNCTION("""COMPUTED_VALUE"""),"ADMIN - MUNICH")</f>
        <v>ADMIN - MUNICH</v>
      </c>
      <c r="D2867" s="196" t="str">
        <f>IFERROR(__xludf.DUMMYFUNCTION("""COMPUTED_VALUE"""),"4 PCS WATER GALLON COVER FOR THE DISPENSERS(WATER)")</f>
        <v>4 PCS WATER GALLON COVER FOR THE DISPENSERS(WATER)</v>
      </c>
      <c r="E2867" s="196" t="str">
        <f>IFERROR(__xludf.DUMMYFUNCTION("""COMPUTED_VALUE"""),"MAINTENANCE(REPAIRS)")</f>
        <v>MAINTENANCE(REPAIRS)</v>
      </c>
    </row>
    <row r="2868">
      <c r="A2868" s="234">
        <f>IFERROR(__xludf.DUMMYFUNCTION("""COMPUTED_VALUE"""),103159.0)</f>
        <v>103159</v>
      </c>
      <c r="B2868" s="235" t="str">
        <f>IFERROR(__xludf.DUMMYFUNCTION("""COMPUTED_VALUE"""),"EDGAR D. REBELLON")</f>
        <v>EDGAR D. REBELLON</v>
      </c>
      <c r="C2868" s="235" t="str">
        <f>IFERROR(__xludf.DUMMYFUNCTION("""COMPUTED_VALUE"""),"AMD")</f>
        <v>AMD</v>
      </c>
      <c r="D2868" s="196" t="str">
        <f>IFERROR(__xludf.DUMMYFUNCTION("""COMPUTED_VALUE"""),"- 79 PCS PAINT BRUSH - NYLON SOFT BRUSH FLAT
- 147 PCS CLAY, MODELLING CLAY DONG-A 6'S ASSORTED COLORS
- 216 PCS PAPER, WATER COLOR PAPER CANSON A4(10PCS/PACK)")</f>
        <v>- 79 PCS PAINT BRUSH - NYLON SOFT BRUSH FLAT
- 147 PCS CLAY, MODELLING CLAY DONG-A 6'S ASSORTED COLORS
- 216 PCS PAPER, WATER COLOR PAPER CANSON A4(10PCS/PACK)</v>
      </c>
      <c r="E2868" s="196" t="str">
        <f>IFERROR(__xludf.DUMMYFUNCTION("""COMPUTED_VALUE"""),"STUDENT MATERIALS FOR AY 2023-2024")</f>
        <v>STUDENT MATERIALS FOR AY 2023-2024</v>
      </c>
    </row>
    <row r="2869">
      <c r="A2869" s="234">
        <f>IFERROR(__xludf.DUMMYFUNCTION("""COMPUTED_VALUE"""),103160.0)</f>
        <v>103160</v>
      </c>
      <c r="B2869" s="235" t="str">
        <f>IFERROR(__xludf.DUMMYFUNCTION("""COMPUTED_VALUE"""),"EDGAR D. REBELLON")</f>
        <v>EDGAR D. REBELLON</v>
      </c>
      <c r="C2869" s="235" t="str">
        <f>IFERROR(__xludf.DUMMYFUNCTION("""COMPUTED_VALUE"""),"AMD")</f>
        <v>AMD</v>
      </c>
      <c r="D2869" s="196" t="str">
        <f>IFERROR(__xludf.DUMMYFUNCTION("""COMPUTED_VALUE"""),"- 619 PCS LIL HAND MODELLING CLAY SCENTED NEON COLORS 10S 180G
- 1473 PCS BOX OF CRAYONS - CRAYOLA DOUBLE(16 PCS)
- 649 PCS PENCIL, SISC PURPLE")</f>
        <v>- 619 PCS LIL HAND MODELLING CLAY SCENTED NEON COLORS 10S 180G
- 1473 PCS BOX OF CRAYONS - CRAYOLA DOUBLE(16 PCS)
- 649 PCS PENCIL, SISC PURPLE</v>
      </c>
      <c r="E2869" s="196" t="str">
        <f>IFERROR(__xludf.DUMMYFUNCTION("""COMPUTED_VALUE"""),"STUDENT MATERIALS FOR AY 2023-2024")</f>
        <v>STUDENT MATERIALS FOR AY 2023-2024</v>
      </c>
    </row>
    <row r="2870">
      <c r="A2870" s="234">
        <f>IFERROR(__xludf.DUMMYFUNCTION("""COMPUTED_VALUE"""),103161.0)</f>
        <v>103161</v>
      </c>
      <c r="B2870" s="235" t="str">
        <f>IFERROR(__xludf.DUMMYFUNCTION("""COMPUTED_VALUE"""),"EDGAR D. REBELLON")</f>
        <v>EDGAR D. REBELLON</v>
      </c>
      <c r="C2870" s="235" t="str">
        <f>IFERROR(__xludf.DUMMYFUNCTION("""COMPUTED_VALUE"""),"AMD")</f>
        <v>AMD</v>
      </c>
      <c r="D2870" s="196" t="str">
        <f>IFERROR(__xludf.DUMMYFUNCTION("""COMPUTED_VALUE"""),"- 25 PCS CLEARBOOK, SPIRAL REFILLABLE 20'S BLACK LONG
- 459 PCS ERASER, MAPED(BIG)
- 4076 PCS FASTENER, PLASTIC COATED - PRINCE
- 492 PCS GLUE, ELMER'S - 130G
- 358 PCS MAP, WORLD(BIG) POLITICAL
- 948 PCS MARKER, PILOT PERMANENT FINE BLACK
- 518 PCS PAD P"&amp;"APER, FORTUNE QUIZ PAD WHOLE, INTERMEDIATE(80 LEAVES)
- 1348 PCS PAPER, OSLO(DRAWING) FORTUNE(20'S)
- 180 PCS PAPER BOOKLONG 20/PACK")</f>
        <v>- 25 PCS CLEARBOOK, SPIRAL REFILLABLE 20'S BLACK LONG
- 459 PCS ERASER, MAPED(BIG)
- 4076 PCS FASTENER, PLASTIC COATED - PRINCE
- 492 PCS GLUE, ELMER'S - 130G
- 358 PCS MAP, WORLD(BIG) POLITICAL
- 948 PCS MARKER, PILOT PERMANENT FINE BLACK
- 518 PCS PAD PAPER, FORTUNE QUIZ PAD WHOLE, INTERMEDIATE(80 LEAVES)
- 1348 PCS PAPER, OSLO(DRAWING) FORTUNE(20'S)
- 180 PCS PAPER BOOKLONG 20/PACK</v>
      </c>
      <c r="E2870" s="196" t="str">
        <f>IFERROR(__xludf.DUMMYFUNCTION("""COMPUTED_VALUE"""),"STUDENT MATERIALS FOR AY 2023-2024")</f>
        <v>STUDENT MATERIALS FOR AY 2023-2024</v>
      </c>
    </row>
    <row r="2871">
      <c r="A2871" s="234">
        <f>IFERROR(__xludf.DUMMYFUNCTION("""COMPUTED_VALUE"""),103162.0)</f>
        <v>103162</v>
      </c>
      <c r="B2871" s="235" t="str">
        <f>IFERROR(__xludf.DUMMYFUNCTION("""COMPUTED_VALUE"""),"EDGAR D. REBELLON")</f>
        <v>EDGAR D. REBELLON</v>
      </c>
      <c r="C2871" s="235" t="str">
        <f>IFERROR(__xludf.DUMMYFUNCTION("""COMPUTED_VALUE"""),"AMD")</f>
        <v>AMD</v>
      </c>
      <c r="D2871" s="196" t="str">
        <f>IFERROR(__xludf.DUMMYFUNCTION("""COMPUTED_VALUE"""),"- 2155 PCS PAPER BOND, 8.5"" x 11"" 50/PACK
- 1122 PCS PENCIL, COLORED(12'S) LI'L HANDS
- 1181 PCS PEN, COLORED FABER CASTEL(10S)
- 51 PCS BALLPEN, HBW BALLPOINT STICK 2000 BLACK FINE(GRADE 5 ONLY)
- 178 PCS PERIODIC TABLE OF ELEMENTS, BIG
- 630 PCS RULER"&amp;", PLASTIC - FABER CASTEL
- 768 PCS SCISSORS, STUDENTS 5', MAPED
- 165 PCS POPSICLE STICK, PACK(100 STICKS)
- 216 PCS WATER COLOR, PRANG 8'S
- 176 PCS, YARN YARN ASSTD COLOR")</f>
        <v>- 2155 PCS PAPER BOND, 8.5" x 11" 50/PACK
- 1122 PCS PENCIL, COLORED(12'S) LI'L HANDS
- 1181 PCS PEN, COLORED FABER CASTEL(10S)
- 51 PCS BALLPEN, HBW BALLPOINT STICK 2000 BLACK FINE(GRADE 5 ONLY)
- 178 PCS PERIODIC TABLE OF ELEMENTS, BIG
- 630 PCS RULER, PLASTIC - FABER CASTEL
- 768 PCS SCISSORS, STUDENTS 5', MAPED
- 165 PCS POPSICLE STICK, PACK(100 STICKS)
- 216 PCS WATER COLOR, PRANG 8'S
- 176 PCS, YARN YARN ASSTD COLOR</v>
      </c>
      <c r="E2871" s="196" t="str">
        <f>IFERROR(__xludf.DUMMYFUNCTION("""COMPUTED_VALUE"""),"STUDENT MATERIALS FOR AY 2023-2024")</f>
        <v>STUDENT MATERIALS FOR AY 2023-2024</v>
      </c>
    </row>
    <row r="2872">
      <c r="A2872" s="234">
        <f>IFERROR(__xludf.DUMMYFUNCTION("""COMPUTED_VALUE"""),103163.0)</f>
        <v>103163</v>
      </c>
      <c r="B2872" s="235" t="str">
        <f>IFERROR(__xludf.DUMMYFUNCTION("""COMPUTED_VALUE"""),"EDGAR D. REBELLON")</f>
        <v>EDGAR D. REBELLON</v>
      </c>
      <c r="C2872" s="235" t="str">
        <f>IFERROR(__xludf.DUMMYFUNCTION("""COMPUTED_VALUE"""),"AMD")</f>
        <v>AMD</v>
      </c>
      <c r="D2872" s="196" t="str">
        <f>IFERROR(__xludf.DUMMYFUNCTION("""COMPUTED_VALUE"""),"- 767 PCS BOX OF COLOR POSTER POINTS - MIGHTEE BRILLIANT 20ML 12'S
- 906 PCS PAPER, BEST BUY COLORED ASSORTED 9"" x 11""
- 190 PCS SKETCH BOOK, LANDSCAPE NON-SPIRAL
- 170 PCS BEADS WITH BIG HOLE")</f>
        <v>- 767 PCS BOX OF COLOR POSTER POINTS - MIGHTEE BRILLIANT 20ML 12'S
- 906 PCS PAPER, BEST BUY COLORED ASSORTED 9" x 11"
- 190 PCS SKETCH BOOK, LANDSCAPE NON-SPIRAL
- 170 PCS BEADS WITH BIG HOLE</v>
      </c>
      <c r="E2872" s="196" t="str">
        <f>IFERROR(__xludf.DUMMYFUNCTION("""COMPUTED_VALUE"""),"STUDENTS MATERIALS FOR AY 2023-2024")</f>
        <v>STUDENTS MATERIALS FOR AY 2023-2024</v>
      </c>
    </row>
    <row r="2873">
      <c r="A2873" s="234">
        <f>IFERROR(__xludf.DUMMYFUNCTION("""COMPUTED_VALUE"""),103164.0)</f>
        <v>103164</v>
      </c>
      <c r="B2873" s="235" t="str">
        <f>IFERROR(__xludf.DUMMYFUNCTION("""COMPUTED_VALUE"""),"EDGAR D. REBELLON")</f>
        <v>EDGAR D. REBELLON</v>
      </c>
      <c r="C2873" s="235" t="str">
        <f>IFERROR(__xludf.DUMMYFUNCTION("""COMPUTED_VALUE"""),"AMD")</f>
        <v>AMD</v>
      </c>
      <c r="D2873" s="196" t="str">
        <f>IFERROR(__xludf.DUMMYFUNCTION("""COMPUTED_VALUE"""),"- 921 PCS ENEVLOPE, LEATHER SISC LONG W/ HANDLE (PURPLE)
- 492 PCS ENVELOPE, LEATHER SISC LONG W/ HANDLE (NAVY BLUE)")</f>
        <v>- 921 PCS ENEVLOPE, LEATHER SISC LONG W/ HANDLE (PURPLE)
- 492 PCS ENVELOPE, LEATHER SISC LONG W/ HANDLE (NAVY BLUE)</v>
      </c>
      <c r="E2873" s="196" t="str">
        <f>IFERROR(__xludf.DUMMYFUNCTION("""COMPUTED_VALUE"""),"STUDENTS MATERIALS FOR AY 2023-2024")</f>
        <v>STUDENTS MATERIALS FOR AY 2023-2024</v>
      </c>
    </row>
    <row r="2874">
      <c r="A2874" s="234">
        <f>IFERROR(__xludf.DUMMYFUNCTION("""COMPUTED_VALUE"""),103165.0)</f>
        <v>103165</v>
      </c>
      <c r="B2874" s="235" t="str">
        <f>IFERROR(__xludf.DUMMYFUNCTION("""COMPUTED_VALUE"""),"EDGAR D. REBELLON")</f>
        <v>EDGAR D. REBELLON</v>
      </c>
      <c r="C2874" s="235" t="str">
        <f>IFERROR(__xludf.DUMMYFUNCTION("""COMPUTED_VALUE"""),"AMD")</f>
        <v>AMD</v>
      </c>
      <c r="D2874" s="196" t="str">
        <f>IFERROR(__xludf.DUMMYFUNCTION("""COMPUTED_VALUE"""),"- 562 PCS SPELLING BOOKLET
- 648 PCS NOTEBOOK, HIGH SHOOL MATHEMATICS ABSTRACT SMALL SQ.
- 612 PCS NOTEBOOK, HIGH SCHOOL MATHEMATICS ABSTRACT BIG SQ.
- 641 PCS NOTEBOOK, HIGH SCHOOL COMPOSITION PURPLE
- 107 PCS NOTEBOOK, GRADE SCHOOL COMPOSITION SISC BLUE"&amp;" LINES PURPLE
- 2789 PCS NOTEBOOK, WRITING SISC R/B LINES PURPLE PORTRAIT
- 435 PCS NOTEBOOKLET, WRITING SISC LANDSCAPE PURPLE")</f>
        <v>- 562 PCS SPELLING BOOKLET
- 648 PCS NOTEBOOK, HIGH SHOOL MATHEMATICS ABSTRACT SMALL SQ.
- 612 PCS NOTEBOOK, HIGH SCHOOL MATHEMATICS ABSTRACT BIG SQ.
- 641 PCS NOTEBOOK, HIGH SCHOOL COMPOSITION PURPLE
- 107 PCS NOTEBOOK, GRADE SCHOOL COMPOSITION SISC BLUE LINES PURPLE
- 2789 PCS NOTEBOOK, WRITING SISC R/B LINES PURPLE PORTRAIT
- 435 PCS NOTEBOOKLET, WRITING SISC LANDSCAPE PURPLE</v>
      </c>
      <c r="E2874" s="196" t="str">
        <f>IFERROR(__xludf.DUMMYFUNCTION("""COMPUTED_VALUE"""),"STUDENTS MATERIALS FOR AY 2023-2024")</f>
        <v>STUDENTS MATERIALS FOR AY 2023-2024</v>
      </c>
    </row>
    <row r="2875">
      <c r="A2875" s="234">
        <f>IFERROR(__xludf.DUMMYFUNCTION("""COMPUTED_VALUE"""),103166.0)</f>
        <v>103166</v>
      </c>
      <c r="B2875" s="235" t="str">
        <f>IFERROR(__xludf.DUMMYFUNCTION("""COMPUTED_VALUE"""),"EDGAR D. REBELLON")</f>
        <v>EDGAR D. REBELLON</v>
      </c>
      <c r="C2875" s="235" t="str">
        <f>IFERROR(__xludf.DUMMYFUNCTION("""COMPUTED_VALUE"""),"AMD")</f>
        <v>AMD</v>
      </c>
      <c r="D2875" s="196" t="str">
        <f>IFERROR(__xludf.DUMMYFUNCTION("""COMPUTED_VALUE"""),"- 246 PCS DIARY, GRADE 1 &amp; 2
- 223 PCS DIARY, PREPARATORY(PRE-K TO SK)
- 1159 PCS DIARY, GRADE 3-10 SET A SILVER SEPTEMBER TO JANUARY
- 1153 PCS DIARY, GRADE 3-10 SET B GOLD FEBRUARY TO JULY
- 338 PCS DIARY, SHS APPLE GREEN LINEN AUGUST TO JULY")</f>
        <v>- 246 PCS DIARY, GRADE 1 &amp; 2
- 223 PCS DIARY, PREPARATORY(PRE-K TO SK)
- 1159 PCS DIARY, GRADE 3-10 SET A SILVER SEPTEMBER TO JANUARY
- 1153 PCS DIARY, GRADE 3-10 SET B GOLD FEBRUARY TO JULY
- 338 PCS DIARY, SHS APPLE GREEN LINEN AUGUST TO JULY</v>
      </c>
      <c r="E2875" s="196" t="str">
        <f>IFERROR(__xludf.DUMMYFUNCTION("""COMPUTED_VALUE"""),"STUDENTS MATERIALS FOR AY 2023-2024")</f>
        <v>STUDENTS MATERIALS FOR AY 2023-2024</v>
      </c>
    </row>
    <row r="2876">
      <c r="A2876" s="234">
        <f>IFERROR(__xludf.DUMMYFUNCTION("""COMPUTED_VALUE"""),103167.0)</f>
        <v>103167</v>
      </c>
      <c r="B2876" s="235" t="str">
        <f>IFERROR(__xludf.DUMMYFUNCTION("""COMPUTED_VALUE"""),"EDGAR D. REBELLON")</f>
        <v>EDGAR D. REBELLON</v>
      </c>
      <c r="C2876" s="235" t="str">
        <f>IFERROR(__xludf.DUMMYFUNCTION("""COMPUTED_VALUE"""),"AMD")</f>
        <v>AMD</v>
      </c>
      <c r="D2876" s="196" t="str">
        <f>IFERROR(__xludf.DUMMYFUNCTION("""COMPUTED_VALUE"""),"- 6198 PCS FOLDER, PLASTIC COVER LONG
- 5114 PCS FOLDER, WHITE LONG W/ SISC LOGO")</f>
        <v>- 6198 PCS FOLDER, PLASTIC COVER LONG
- 5114 PCS FOLDER, WHITE LONG W/ SISC LOGO</v>
      </c>
      <c r="E2876" s="196" t="str">
        <f>IFERROR(__xludf.DUMMYFUNCTION("""COMPUTED_VALUE"""),"STUDENTS MATERIALS FOR AY 2023-2024")</f>
        <v>STUDENTS MATERIALS FOR AY 2023-2024</v>
      </c>
    </row>
    <row r="2877">
      <c r="A2877" s="234">
        <f>IFERROR(__xludf.DUMMYFUNCTION("""COMPUTED_VALUE"""),103168.0)</f>
        <v>103168</v>
      </c>
      <c r="B2877" s="235" t="str">
        <f>IFERROR(__xludf.DUMMYFUNCTION("""COMPUTED_VALUE"""),"OWIE PAR")</f>
        <v>OWIE PAR</v>
      </c>
      <c r="C2877" s="235" t="str">
        <f>IFERROR(__xludf.DUMMYFUNCTION("""COMPUTED_VALUE"""),"ENGINEERING")</f>
        <v>ENGINEERING</v>
      </c>
      <c r="D2877" s="196" t="str">
        <f>IFERROR(__xludf.DUMMYFUNCTION("""COMPUTED_VALUE"""),"1 SET VOLTAGE MONITOR
TYPE: JVM-2")</f>
        <v>1 SET VOLTAGE MONITOR
TYPE: JVM-2</v>
      </c>
      <c r="E2877" s="196" t="str">
        <f>IFERROR(__xludf.DUMMYFUNCTION("""COMPUTED_VALUE"""),"FOR LUX BOOSTER PUMP WATER, WATER PUMP CONTROLLER")</f>
        <v>FOR LUX BOOSTER PUMP WATER, WATER PUMP CONTROLLER</v>
      </c>
    </row>
    <row r="2878">
      <c r="A2878" s="234">
        <f>IFERROR(__xludf.DUMMYFUNCTION("""COMPUTED_VALUE"""),103169.0)</f>
        <v>103169</v>
      </c>
      <c r="B2878" s="235" t="str">
        <f>IFERROR(__xludf.DUMMYFUNCTION("""COMPUTED_VALUE"""),"MELISSA NAVAL-ODONO/ARMIE ABABA")</f>
        <v>MELISSA NAVAL-ODONO/ARMIE ABABA</v>
      </c>
      <c r="C2878" s="235" t="str">
        <f>IFERROR(__xludf.DUMMYFUNCTION("""COMPUTED_VALUE"""),"LIBRARY")</f>
        <v>LIBRARY</v>
      </c>
      <c r="D2878" s="196" t="str">
        <f>IFERROR(__xludf.DUMMYFUNCTION("""COMPUTED_VALUE"""),"- 1 PC MAY 2022 MANDARIN AB INITIO
- 1 PC MAY 2022 FRENCH AB INITIO
- 1 PC MAY 2022 ENGLISH B HL
- 1 PC MAY 2022 ENGLISH B SL
- 1 PC MATHEMATICS QUESTIONBANK")</f>
        <v>- 1 PC MAY 2022 MANDARIN AB INITIO
- 1 PC MAY 2022 FRENCH AB INITIO
- 1 PC MAY 2022 ENGLISH B HL
- 1 PC MAY 2022 ENGLISH B SL
- 1 PC MATHEMATICS QUESTIONBANK</v>
      </c>
      <c r="E2878" s="196" t="str">
        <f>IFERROR(__xludf.DUMMYFUNCTION("""COMPUTED_VALUE"""),"LIBRARY'S COPY/FOR FACULTY")</f>
        <v>LIBRARY'S COPY/FOR FACULTY</v>
      </c>
    </row>
    <row r="2879">
      <c r="A2879" s="234">
        <f>IFERROR(__xludf.DUMMYFUNCTION("""COMPUTED_VALUE"""),103170.0)</f>
        <v>103170</v>
      </c>
      <c r="B2879" s="235" t="str">
        <f>IFERROR(__xludf.DUMMYFUNCTION("""COMPUTED_VALUE"""),"EDGAR REBELLON")</f>
        <v>EDGAR REBELLON</v>
      </c>
      <c r="C2879" s="235" t="str">
        <f>IFERROR(__xludf.DUMMYFUNCTION("""COMPUTED_VALUE"""),"AMD")</f>
        <v>AMD</v>
      </c>
      <c r="D2879" s="196" t="str">
        <f>IFERROR(__xludf.DUMMYFUNCTION("""COMPUTED_VALUE"""),"SISC UMBRELLA 2 FOLDS CUSTOMIZED (PURPLE AND WHITE)")</f>
        <v>SISC UMBRELLA 2 FOLDS CUSTOMIZED (PURPLE AND WHITE)</v>
      </c>
      <c r="E2879" s="196" t="str">
        <f>IFERROR(__xludf.DUMMYFUNCTION("""COMPUTED_VALUE"""),"WELCOME TOKEN FOR STUDENTS AY23-24")</f>
        <v>WELCOME TOKEN FOR STUDENTS AY23-24</v>
      </c>
    </row>
    <row r="2880">
      <c r="A2880" s="234">
        <f>IFERROR(__xludf.DUMMYFUNCTION("""COMPUTED_VALUE"""),103171.0)</f>
        <v>103171</v>
      </c>
      <c r="B2880" s="235" t="str">
        <f>IFERROR(__xludf.DUMMYFUNCTION("""COMPUTED_VALUE"""),"MELISSA NAVAL-ODONO/DR. VIC MANABAT")</f>
        <v>MELISSA NAVAL-ODONO/DR. VIC MANABAT</v>
      </c>
      <c r="C2880" s="235" t="str">
        <f>IFERROR(__xludf.DUMMYFUNCTION("""COMPUTED_VALUE"""),"LIBRARY/BSBA-MBA")</f>
        <v>LIBRARY/BSBA-MBA</v>
      </c>
      <c r="D2880" s="196" t="str">
        <f>IFERROR(__xludf.DUMMYFUNCTION("""COMPUTED_VALUE"""),"- 1 PC PRINCIPLE OF MANAGEMENT 7E
- 1 PC QUALITY SERVICE MANAGEMENT: A GUIDE TO IMPROVING BUSINESS PROCESS
- 1 PC SUCCESSFUL EMPLOYEE COMMUNICATIONS: A PRACTITIONER'S GUIDE TO TOOLS
- 1 PC QUANTITATIVE METHODS FOE MANAGEMENT: PRACTICAL APPROACH
- 1 PC CUS"&amp;"TOMER SERVICE MARKETING
- 1 PC MARKETING ALTERNATIVE INVESTMENTS
- 1 PC CONSUMER BEHAVIOR 3E
- 1 PC DIGITAL MARKETING STRATEGY: AND INTEGRATED APPRAOCH 3E
- 1 PC NEW RULES OF MARKETING: CREATING COMPETITIVE ADVANTAGE
- 1 PC STRATEGIC MARKETING; CREATING C"&amp;"OMPETITIVE ADVANTAGE
- 1 PC COMMERCIAL CHARITY, THE HOW BUSINESS THINKING CAN HELP NON-PROFITS
- 1 PC MARKETING RESEARCH: AN APPLIED ORIENTATION 7E
- 1 PC RESEARCH METHODOLOGY IN MARKETING THEORY DEVELOPMENT")</f>
        <v>- 1 PC PRINCIPLE OF MANAGEMENT 7E
- 1 PC QUALITY SERVICE MANAGEMENT: A GUIDE TO IMPROVING BUSINESS PROCESS
- 1 PC SUCCESSFUL EMPLOYEE COMMUNICATIONS: A PRACTITIONER'S GUIDE TO TOOLS
- 1 PC QUANTITATIVE METHODS FOE MANAGEMENT: PRACTICAL APPROACH
- 1 PC CUSTOMER SERVICE MARKETING
- 1 PC MARKETING ALTERNATIVE INVESTMENTS
- 1 PC CONSUMER BEHAVIOR 3E
- 1 PC DIGITAL MARKETING STRATEGY: AND INTEGRATED APPRAOCH 3E
- 1 PC NEW RULES OF MARKETING: CREATING COMPETITIVE ADVANTAGE
- 1 PC STRATEGIC MARKETING; CREATING COMPETITIVE ADVANTAGE
- 1 PC COMMERCIAL CHARITY, THE HOW BUSINESS THINKING CAN HELP NON-PROFITS
- 1 PC MARKETING RESEARCH: AN APPLIED ORIENTATION 7E
- 1 PC RESEARCH METHODOLOGY IN MARKETING THEORY DEVELOPMENT</v>
      </c>
      <c r="E2880" s="196" t="str">
        <f>IFERROR(__xludf.DUMMYFUNCTION("""COMPUTED_VALUE"""),"LIBRARY'S COPY/FOR FACULTY/MGT/STAFF USE/PACUCOA COMPLIANCE")</f>
        <v>LIBRARY'S COPY/FOR FACULTY/MGT/STAFF USE/PACUCOA COMPLIANCE</v>
      </c>
    </row>
    <row r="2881">
      <c r="A2881" s="234">
        <f>IFERROR(__xludf.DUMMYFUNCTION("""COMPUTED_VALUE"""),103172.0)</f>
        <v>103172</v>
      </c>
      <c r="B2881" s="235" t="str">
        <f>IFERROR(__xludf.DUMMYFUNCTION("""COMPUTED_VALUE"""),"MELISSA NAVAL-ODONO/DR. VIC MANABAT")</f>
        <v>MELISSA NAVAL-ODONO/DR. VIC MANABAT</v>
      </c>
      <c r="C2881" s="235" t="str">
        <f>IFERROR(__xludf.DUMMYFUNCTION("""COMPUTED_VALUE"""),"LIBRARY/BSBA-MBA")</f>
        <v>LIBRARY/BSBA-MBA</v>
      </c>
      <c r="D2881" s="196" t="str">
        <f>IFERROR(__xludf.DUMMYFUNCTION("""COMPUTED_VALUE"""),"- 1 PC BUSINESS ANALYRICS ISE: COMMUNICATING WITH NUMBERS
- 1 PC ENTREPRENEURSHIP FOR DUMMIES 2E
- 1 PC BUSINESS INNOVATION: A CASE STUDY APPROACH
- 1 PC DESIGN CENTER ENTREPRENEURSHIP 2E
- 1 PC REAL ESTATE DEVELOPMENT STRATEGY FOR INVESTORS
- 1 PC SUSTAI"&amp;"NABLE BUSINESS: A GUIDE TO BECOMING MORE INNOVATIVE
- 1 PC REAL ESTATE: THE BASICS
- 1 PC ART OF MAKING SHIT UP: USING THE PRINCIPLES OF IMPROVING TO BECOME AN UNSTOPPABLE POWERHOUSE
- 1 PC MORAL REASONING AT WORK: RETHINKING ETHICS IN ORGANIZATION
- 1 PC"&amp;" ESSENTIALS OF CORPORATE
- 1 PC FOUNDATION OF FINANCIAL MANAGEMENT 8E
- 1 PC CASES IN FINANCIAL
- 1 PC REAL ESTATE INVESTING: ALL IN ONE DUMMIES
- 1 PC INTRODUCTION TO BANKING 3E
- 1 PC REAL ESTATE DEVELOPMENT STRATEGY FOR INVESTORS")</f>
        <v>- 1 PC BUSINESS ANALYRICS ISE: COMMUNICATING WITH NUMBERS
- 1 PC ENTREPRENEURSHIP FOR DUMMIES 2E
- 1 PC BUSINESS INNOVATION: A CASE STUDY APPROACH
- 1 PC DESIGN CENTER ENTREPRENEURSHIP 2E
- 1 PC REAL ESTATE DEVELOPMENT STRATEGY FOR INVESTORS
- 1 PC SUSTAINABLE BUSINESS: A GUIDE TO BECOMING MORE INNOVATIVE
- 1 PC REAL ESTATE: THE BASICS
- 1 PC ART OF MAKING SHIT UP: USING THE PRINCIPLES OF IMPROVING TO BECOME AN UNSTOPPABLE POWERHOUSE
- 1 PC MORAL REASONING AT WORK: RETHINKING ETHICS IN ORGANIZATION
- 1 PC ESSENTIALS OF CORPORATE
- 1 PC FOUNDATION OF FINANCIAL MANAGEMENT 8E
- 1 PC CASES IN FINANCIAL
- 1 PC REAL ESTATE INVESTING: ALL IN ONE DUMMIES
- 1 PC INTRODUCTION TO BANKING 3E
- 1 PC REAL ESTATE DEVELOPMENT STRATEGY FOR INVESTORS</v>
      </c>
      <c r="E2881" s="196" t="str">
        <f>IFERROR(__xludf.DUMMYFUNCTION("""COMPUTED_VALUE"""),"LIBRARY'S COPY/FOR FACULTY/MGT/STAFF USE/PACUCOA COMPLIANCE")</f>
        <v>LIBRARY'S COPY/FOR FACULTY/MGT/STAFF USE/PACUCOA COMPLIANCE</v>
      </c>
    </row>
    <row r="2882">
      <c r="A2882" s="234">
        <f>IFERROR(__xludf.DUMMYFUNCTION("""COMPUTED_VALUE"""),103173.0)</f>
        <v>103173</v>
      </c>
      <c r="B2882" s="235" t="str">
        <f>IFERROR(__xludf.DUMMYFUNCTION("""COMPUTED_VALUE"""),"MELISSA NAVAL-ODONO/DR. VIC MANABAT")</f>
        <v>MELISSA NAVAL-ODONO/DR. VIC MANABAT</v>
      </c>
      <c r="C2882" s="235" t="str">
        <f>IFERROR(__xludf.DUMMYFUNCTION("""COMPUTED_VALUE"""),"LIBRARY/BSBA-MBA")</f>
        <v>LIBRARY/BSBA-MBA</v>
      </c>
      <c r="D2882" s="196" t="str">
        <f>IFERROR(__xludf.DUMMYFUNCTION("""COMPUTED_VALUE"""),"- 1 PC BUSINESS DRIVEN INFORMATION SYSTEM 8E
- 1 PC INTERNATIONAL MANAGEMENT: MANAGING ACROSS BORDERS AND CULTURE
- 1 PC INTRODUCTION TO MANAGEMENT SCIENCE
- 1 PC MILLENIALS AND CONFLICT IN THE WORKPLACE
- 1 PC OPERATIONS AND SUPPLY CHAIN MANAGEMENT 6E
- "&amp;"1 PC PROJECT MANAGER'S BOOK OF TEMPLATES
- 1 PC DESIGN THINKING FOR STUDENTS PROJECTS
- 1 PC HOW TO MANAGE PROJECTS AND PROPOSALS: ESSENTIAL PROJECT MANAGEMENT SKILLS 2E
- 1 PC HOW TO WRITE REPORTS AND PROPOSAL
- 1 PC INTERCULTURAL MANAGEMENT CONCEPTS, PR"&amp;"ATICE, CRITICAL REFLECTION")</f>
        <v>- 1 PC BUSINESS DRIVEN INFORMATION SYSTEM 8E
- 1 PC INTERNATIONAL MANAGEMENT: MANAGING ACROSS BORDERS AND CULTURE
- 1 PC INTRODUCTION TO MANAGEMENT SCIENCE
- 1 PC MILLENIALS AND CONFLICT IN THE WORKPLACE
- 1 PC OPERATIONS AND SUPPLY CHAIN MANAGEMENT 6E
- 1 PC PROJECT MANAGER'S BOOK OF TEMPLATES
- 1 PC DESIGN THINKING FOR STUDENTS PROJECTS
- 1 PC HOW TO MANAGE PROJECTS AND PROPOSALS: ESSENTIAL PROJECT MANAGEMENT SKILLS 2E
- 1 PC HOW TO WRITE REPORTS AND PROPOSAL
- 1 PC INTERCULTURAL MANAGEMENT CONCEPTS, PRATICE, CRITICAL REFLECTION</v>
      </c>
      <c r="E2882" s="196" t="str">
        <f>IFERROR(__xludf.DUMMYFUNCTION("""COMPUTED_VALUE"""),"LIBRARY'S COPY/FOR FACULTY/MGT/STAFF USE/PACUCOA COMPLIANCE")</f>
        <v>LIBRARY'S COPY/FOR FACULTY/MGT/STAFF USE/PACUCOA COMPLIANCE</v>
      </c>
    </row>
    <row r="2883">
      <c r="A2883" s="234">
        <f>IFERROR(__xludf.DUMMYFUNCTION("""COMPUTED_VALUE"""),103174.0)</f>
        <v>103174</v>
      </c>
      <c r="B2883" s="235" t="str">
        <f>IFERROR(__xludf.DUMMYFUNCTION("""COMPUTED_VALUE"""),"MELISSA NAVAL-ODONO/IVY BACULAO")</f>
        <v>MELISSA NAVAL-ODONO/IVY BACULAO</v>
      </c>
      <c r="C2883" s="235" t="str">
        <f>IFERROR(__xludf.DUMMYFUNCTION("""COMPUTED_VALUE"""),"LIBRARY/BSA")</f>
        <v>LIBRARY/BSA</v>
      </c>
      <c r="D2883" s="196" t="str">
        <f>IFERROR(__xludf.DUMMYFUNCTION("""COMPUTED_VALUE"""),"- 1 PC ADVANCED FINANCIAL ACCOUNTING 13E
- 1 PC CORPORATE FINANCE: THEORY AND PRACTICE 6E
- 1 PC ENTREPRENEURAL FINANCE 4E
- 1 PC FINANCIAL ACCOUNTING FOR MANAGERS
- 1 PC FUNDAMENTALS OF FINANCIAL MANAGEMENT
- 1 PC INTERMEDIATE ACCOUNTING 11E
- 1 PC INTER"&amp;"MEDIATE ACCOUNTING REPORTING AND ANALYSIS 3E
- 1 PC INTERNATIONAL FINANCIAL MANAGEMENT 2E
- 1 PC MANAGEMENT AND COST ACCOUNTING 11E
- 1 PC PERSONAL FINANCE 14E
- 1 PC READING FINANCIAL REPORTS FOR DUMMIES 4E")</f>
        <v>- 1 PC ADVANCED FINANCIAL ACCOUNTING 13E
- 1 PC CORPORATE FINANCE: THEORY AND PRACTICE 6E
- 1 PC ENTREPRENEURAL FINANCE 4E
- 1 PC FINANCIAL ACCOUNTING FOR MANAGERS
- 1 PC FUNDAMENTALS OF FINANCIAL MANAGEMENT
- 1 PC INTERMEDIATE ACCOUNTING 11E
- 1 PC INTERMEDIATE ACCOUNTING REPORTING AND ANALYSIS 3E
- 1 PC INTERNATIONAL FINANCIAL MANAGEMENT 2E
- 1 PC MANAGEMENT AND COST ACCOUNTING 11E
- 1 PC PERSONAL FINANCE 14E
- 1 PC READING FINANCIAL REPORTS FOR DUMMIES 4E</v>
      </c>
      <c r="E2883" s="196" t="str">
        <f>IFERROR(__xludf.DUMMYFUNCTION("""COMPUTED_VALUE"""),"LIBRARY'S COPY/FOR FACULTY/MGT/STAFF USE/PACUCOA COMPLIANCE")</f>
        <v>LIBRARY'S COPY/FOR FACULTY/MGT/STAFF USE/PACUCOA COMPLIANCE</v>
      </c>
    </row>
    <row r="2884">
      <c r="A2884" s="234">
        <f>IFERROR(__xludf.DUMMYFUNCTION("""COMPUTED_VALUE"""),103175.0)</f>
        <v>103175</v>
      </c>
      <c r="B2884" s="235" t="str">
        <f>IFERROR(__xludf.DUMMYFUNCTION("""COMPUTED_VALUE"""),"MELISSA NAVAL-ODONO/RENE ALIGONERO")</f>
        <v>MELISSA NAVAL-ODONO/RENE ALIGONERO</v>
      </c>
      <c r="C2884" s="235" t="str">
        <f>IFERROR(__xludf.DUMMYFUNCTION("""COMPUTED_VALUE"""),"LIBRARY/BST")</f>
        <v>LIBRARY/BST</v>
      </c>
      <c r="D2884" s="196" t="str">
        <f>IFERROR(__xludf.DUMMYFUNCTION("""COMPUTED_VALUE"""),"- 1 PC DARK SKIES: A PRACTICAL GUIDE TO ASTROTOURISM
- 1 PC TOURISM MARKETING \1ED.: IN THE AGE OF THE CONSUMER")</f>
        <v>- 1 PC DARK SKIES: A PRACTICAL GUIDE TO ASTROTOURISM
- 1 PC TOURISM MARKETING \1ED.: IN THE AGE OF THE CONSUMER</v>
      </c>
      <c r="E2884" s="196" t="str">
        <f>IFERROR(__xludf.DUMMYFUNCTION("""COMPUTED_VALUE"""),"LIBRARY'S COPY/FOR FACULTY/MGT/STAFF USE/PACUCOA COMPLIANCE")</f>
        <v>LIBRARY'S COPY/FOR FACULTY/MGT/STAFF USE/PACUCOA COMPLIANCE</v>
      </c>
    </row>
    <row r="2885">
      <c r="A2885" s="234">
        <f>IFERROR(__xludf.DUMMYFUNCTION("""COMPUTED_VALUE"""),103176.0)</f>
        <v>103176</v>
      </c>
      <c r="B2885" s="235" t="str">
        <f>IFERROR(__xludf.DUMMYFUNCTION("""COMPUTED_VALUE"""),"MELISSA NAVAL-ODONO/DR. ARIS IGNACIO")</f>
        <v>MELISSA NAVAL-ODONO/DR. ARIS IGNACIO</v>
      </c>
      <c r="C2885" s="235" t="str">
        <f>IFERROR(__xludf.DUMMYFUNCTION("""COMPUTED_VALUE"""),"LIBRARY/BSIT-MIT")</f>
        <v>LIBRARY/BSIT-MIT</v>
      </c>
      <c r="D2885" s="196" t="str">
        <f>IFERROR(__xludf.DUMMYFUNCTION("""COMPUTED_VALUE"""),"- 1 PC ARTIFICIAL INTELLIGENCE PROGRAMMING WITH PYTHON: FROM ZERO TO HERO
- 1 PC CONCEPTS OF DATABASE MANAGEMENT
- 1 PC CYBERSECURITY FOR DUMMIES
- 1 PC HACKING FOR DUMMIES
- 1 PC INFORMATICS AND MACHINE LEARNING
- 1 PC MOBILE APP DEVELOPMENT: A CAREER GU"&amp;"IDE
- 1 PC NETWORK SECURITY FIREWALL AND VPNS
- 1 PC NETWORKING FUNDAMENTALS
- 1 PC SPEECH RECOGNITION AND UNDERSTANDING
- 1 PC TEACH YOURSELF VISUALLY WINDOWS 11
- 1 PC WINDOWS SERVER 2022 &amp; POWERSHELL ALL-IN-ONE FOR DUMMIES")</f>
        <v>- 1 PC ARTIFICIAL INTELLIGENCE PROGRAMMING WITH PYTHON: FROM ZERO TO HERO
- 1 PC CONCEPTS OF DATABASE MANAGEMENT
- 1 PC CYBERSECURITY FOR DUMMIES
- 1 PC HACKING FOR DUMMIES
- 1 PC INFORMATICS AND MACHINE LEARNING
- 1 PC MOBILE APP DEVELOPMENT: A CAREER GUIDE
- 1 PC NETWORK SECURITY FIREWALL AND VPNS
- 1 PC NETWORKING FUNDAMENTALS
- 1 PC SPEECH RECOGNITION AND UNDERSTANDING
- 1 PC TEACH YOURSELF VISUALLY WINDOWS 11
- 1 PC WINDOWS SERVER 2022 &amp; POWERSHELL ALL-IN-ONE FOR DUMMIES</v>
      </c>
      <c r="E2885" s="196" t="str">
        <f>IFERROR(__xludf.DUMMYFUNCTION("""COMPUTED_VALUE"""),"LIBRARY'S COPY/FOR FACULTY/MGT/STAFF USE/PACUCOA COMPLIANCE")</f>
        <v>LIBRARY'S COPY/FOR FACULTY/MGT/STAFF USE/PACUCOA COMPLIANCE</v>
      </c>
    </row>
    <row r="2886">
      <c r="A2886" s="234">
        <f>IFERROR(__xludf.DUMMYFUNCTION("""COMPUTED_VALUE"""),103177.0)</f>
        <v>103177</v>
      </c>
      <c r="B2886" s="235" t="str">
        <f>IFERROR(__xludf.DUMMYFUNCTION("""COMPUTED_VALUE"""),"MELISSA NAVAL-ODONO/KRISTEN GABUTERO")</f>
        <v>MELISSA NAVAL-ODONO/KRISTEN GABUTERO</v>
      </c>
      <c r="C2886" s="235" t="str">
        <f>IFERROR(__xludf.DUMMYFUNCTION("""COMPUTED_VALUE"""),"LIBRARY/COMMA-MMA")</f>
        <v>LIBRARY/COMMA-MMA</v>
      </c>
      <c r="D2886" s="196" t="str">
        <f>IFERROR(__xludf.DUMMYFUNCTION("""COMPUTED_VALUE"""),"- 1 PC 3G HANDY GUIDE: ACTING AND TV PRESENTATION
- 1 PC 3G HANDY GUIDE: DIGITAL PRODUCTION AND EDITING
- 1 PC 3G HANDY GUIDE: DRAMATICS
- 1 PC 3G HANDY GUIDE: TELEVISION PRODUCTION
- 1 PC ACTOR AND STRATEGY MODELS
- 1 PC APPLIED MASS COMMUNICATION THEORY"&amp;"
- 1 PC AUDITIONING FOR FILM &amp; TELEVISION
- 1 PC BROADCAST JOURNALISM
- 1 PC CAREERS IN DIGITAL MEDIA
- 1 PC COMPOSITION OF EVERYDAY LIFE: GUIDE TO WRITING")</f>
        <v>- 1 PC 3G HANDY GUIDE: ACTING AND TV PRESENTATION
- 1 PC 3G HANDY GUIDE: DIGITAL PRODUCTION AND EDITING
- 1 PC 3G HANDY GUIDE: DRAMATICS
- 1 PC 3G HANDY GUIDE: TELEVISION PRODUCTION
- 1 PC ACTOR AND STRATEGY MODELS
- 1 PC APPLIED MASS COMMUNICATION THEORY
- 1 PC AUDITIONING FOR FILM &amp; TELEVISION
- 1 PC BROADCAST JOURNALISM
- 1 PC CAREERS IN DIGITAL MEDIA
- 1 PC COMPOSITION OF EVERYDAY LIFE: GUIDE TO WRITING</v>
      </c>
      <c r="E2886" s="196" t="str">
        <f>IFERROR(__xludf.DUMMYFUNCTION("""COMPUTED_VALUE"""),"LIBRARY'S COPY/FOR FACULTY/MGT/STAFF USE/PACUCOA COMPLIANCE")</f>
        <v>LIBRARY'S COPY/FOR FACULTY/MGT/STAFF USE/PACUCOA COMPLIANCE</v>
      </c>
    </row>
    <row r="2887">
      <c r="A2887" s="234">
        <f>IFERROR(__xludf.DUMMYFUNCTION("""COMPUTED_VALUE"""),103178.0)</f>
        <v>103178</v>
      </c>
      <c r="B2887" s="235" t="str">
        <f>IFERROR(__xludf.DUMMYFUNCTION("""COMPUTED_VALUE"""),"MELISSA NAVAL-ODONO/KRISTEN GABUTERO")</f>
        <v>MELISSA NAVAL-ODONO/KRISTEN GABUTERO</v>
      </c>
      <c r="C2887" s="235" t="str">
        <f>IFERROR(__xludf.DUMMYFUNCTION("""COMPUTED_VALUE"""),"LIBRARY/COMMA-MMA")</f>
        <v>LIBRARY/COMMA-MMA</v>
      </c>
      <c r="D2887" s="196" t="str">
        <f>IFERROR(__xludf.DUMMYFUNCTION("""COMPUTED_VALUE"""),"- 1 PC CRITICAL MEDIA STUDIES: AN INTRO 3E
- 1 PC CURRENT PERSPECTIVE ON SOCIAL MEDIA
- 1 PC DOING ETHICS IN MEDIA
- 1 PC ENVIRONMENTAL JOURNALISM
- 1 PC FILM HISTORY: AN INTRO 5E
- 1 PC INSIGHTS ON PEACE AND CONFLICT REPORTING
- 1 PC INSTAGRAM
- 1 PC INT"&amp;"RODUCTION TO MASS COMMUNICATION
- 1 PC INTRODUCTION TO MASS MEDIA COMMUNICATION 12E
- 1 PC JOURNALISM BEHIND JOURNALISM")</f>
        <v>- 1 PC CRITICAL MEDIA STUDIES: AN INTRO 3E
- 1 PC CURRENT PERSPECTIVE ON SOCIAL MEDIA
- 1 PC DOING ETHICS IN MEDIA
- 1 PC ENVIRONMENTAL JOURNALISM
- 1 PC FILM HISTORY: AN INTRO 5E
- 1 PC INSIGHTS ON PEACE AND CONFLICT REPORTING
- 1 PC INSTAGRAM
- 1 PC INTRODUCTION TO MASS COMMUNICATION
- 1 PC INTRODUCTION TO MASS MEDIA COMMUNICATION 12E
- 1 PC JOURNALISM BEHIND JOURNALISM</v>
      </c>
      <c r="E2887" s="196" t="str">
        <f>IFERROR(__xludf.DUMMYFUNCTION("""COMPUTED_VALUE"""),"LIBRARY'S COPY/FOR FACULTY/MGT/STAFF USE/PACUCOA COMPLIANCE")</f>
        <v>LIBRARY'S COPY/FOR FACULTY/MGT/STAFF USE/PACUCOA COMPLIANCE</v>
      </c>
    </row>
    <row r="2888">
      <c r="A2888" s="234">
        <f>IFERROR(__xludf.DUMMYFUNCTION("""COMPUTED_VALUE"""),103179.0)</f>
        <v>103179</v>
      </c>
      <c r="B2888" s="235" t="str">
        <f>IFERROR(__xludf.DUMMYFUNCTION("""COMPUTED_VALUE"""),"MELISSA NAVAL-ODONO/KRISTEN GABUTERO")</f>
        <v>MELISSA NAVAL-ODONO/KRISTEN GABUTERO</v>
      </c>
      <c r="C2888" s="235" t="str">
        <f>IFERROR(__xludf.DUMMYFUNCTION("""COMPUTED_VALUE"""),"LIBRARY/COMMA-MMA")</f>
        <v>LIBRARY/COMMA-MMA</v>
      </c>
      <c r="D2888" s="196" t="str">
        <f>IFERROR(__xludf.DUMMYFUNCTION("""COMPUTED_VALUE"""),"- 1 PC JOURNALISM IN THE DATA AGE
- 1 PC JOURNALISM WRITING TECHNIQUES
- 1 PC LIKEABLE SOCIAL MEDIA 3E
- 1 PC LITERAINESS OF MEDIA ART
- 1 PC MASS COMMUNICATION AND NATIOANL SECURITY
- 1 PC NEWS MEDIA INNOVATION RECONSIDERED
- 1 PC PERFORMER TRAINING RECO"&amp;"NFIGURED
- 1 PC POETICS OF DIGITAL MEDIA
- 1 PC SCREENWRITING ADOLESCENT ROMANCE")</f>
        <v>- 1 PC JOURNALISM IN THE DATA AGE
- 1 PC JOURNALISM WRITING TECHNIQUES
- 1 PC LIKEABLE SOCIAL MEDIA 3E
- 1 PC LITERAINESS OF MEDIA ART
- 1 PC MASS COMMUNICATION AND NATIOANL SECURITY
- 1 PC NEWS MEDIA INNOVATION RECONSIDERED
- 1 PC PERFORMER TRAINING RECONFIGURED
- 1 PC POETICS OF DIGITAL MEDIA
- 1 PC SCREENWRITING ADOLESCENT ROMANCE</v>
      </c>
      <c r="E2888" s="196" t="str">
        <f>IFERROR(__xludf.DUMMYFUNCTION("""COMPUTED_VALUE"""),"LIBRARY'S COPY/FOR FACULTY/MGT/STAFF USE/PACUCOA COMPLIANCE")</f>
        <v>LIBRARY'S COPY/FOR FACULTY/MGT/STAFF USE/PACUCOA COMPLIANCE</v>
      </c>
    </row>
    <row r="2889">
      <c r="A2889" s="234">
        <f>IFERROR(__xludf.DUMMYFUNCTION("""COMPUTED_VALUE"""),103180.0)</f>
        <v>103180</v>
      </c>
      <c r="B2889" s="235" t="str">
        <f>IFERROR(__xludf.DUMMYFUNCTION("""COMPUTED_VALUE"""),"MELISSA NAVAL-ODONO/KRISTEN GABUTERO")</f>
        <v>MELISSA NAVAL-ODONO/KRISTEN GABUTERO</v>
      </c>
      <c r="C2889" s="235" t="str">
        <f>IFERROR(__xludf.DUMMYFUNCTION("""COMPUTED_VALUE"""),"LIBRARY/COMMA-MMA")</f>
        <v>LIBRARY/COMMA-MMA</v>
      </c>
      <c r="D2889" s="196" t="str">
        <f>IFERROR(__xludf.DUMMYFUNCTION("""COMPUTED_VALUE"""),"- 1 PC SOUND DESIGN FOR MOVING IMAGE
- 1 PC USING FILM AND MEDIA IN THE LANGUAGE CLASSROOM REFLECTIONS
- 1 PC VIDEO THEORIES
- 1 PC WRITING FOR ANIMATION")</f>
        <v>- 1 PC SOUND DESIGN FOR MOVING IMAGE
- 1 PC USING FILM AND MEDIA IN THE LANGUAGE CLASSROOM REFLECTIONS
- 1 PC VIDEO THEORIES
- 1 PC WRITING FOR ANIMATION</v>
      </c>
      <c r="E2889" s="196" t="str">
        <f>IFERROR(__xludf.DUMMYFUNCTION("""COMPUTED_VALUE"""),"LIBRARY'S COPY/FOR FACULTY/MGT/STAFF USE/PACUCOA COMPLIANCE")</f>
        <v>LIBRARY'S COPY/FOR FACULTY/MGT/STAFF USE/PACUCOA COMPLIANCE</v>
      </c>
    </row>
    <row r="2890">
      <c r="A2890" s="234">
        <f>IFERROR(__xludf.DUMMYFUNCTION("""COMPUTED_VALUE"""),103181.0)</f>
        <v>103181</v>
      </c>
      <c r="B2890" s="235" t="str">
        <f>IFERROR(__xludf.DUMMYFUNCTION("""COMPUTED_VALUE"""),"ELMIE LAUDIATO")</f>
        <v>ELMIE LAUDIATO</v>
      </c>
      <c r="C2890" s="235" t="str">
        <f>IFERROR(__xludf.DUMMYFUNCTION("""COMPUTED_VALUE"""),"HRMD")</f>
        <v>HRMD</v>
      </c>
      <c r="D2890" s="196" t="str">
        <f>IFERROR(__xludf.DUMMYFUNCTION("""COMPUTED_VALUE"""),"1 PC FLOWER WREATH")</f>
        <v>1 PC FLOWER WREATH</v>
      </c>
      <c r="E2890" s="196" t="str">
        <f>IFERROR(__xludf.DUMMYFUNCTION("""COMPUTED_VALUE"""),"FLOWER WREATH FOR THE MOTHER OF MS. JING CLIMACOSA")</f>
        <v>FLOWER WREATH FOR THE MOTHER OF MS. JING CLIMACOSA</v>
      </c>
    </row>
    <row r="2891">
      <c r="A2891" s="234">
        <f>IFERROR(__xludf.DUMMYFUNCTION("""COMPUTED_VALUE"""),103182.0)</f>
        <v>103182</v>
      </c>
      <c r="B2891" s="235" t="str">
        <f>IFERROR(__xludf.DUMMYFUNCTION("""COMPUTED_VALUE"""),"OWIE PAR/ALFA/PHEN")</f>
        <v>OWIE PAR/ALFA/PHEN</v>
      </c>
      <c r="C2891" s="235" t="str">
        <f>IFERROR(__xludf.DUMMYFUNCTION("""COMPUTED_VALUE"""),"ENGINEERING/ADMIN")</f>
        <v>ENGINEERING/ADMIN</v>
      </c>
      <c r="D2891" s="196" t="str">
        <f>IFERROR(__xludf.DUMMYFUNCTION("""COMPUTED_VALUE"""),"- 4 PCS 3/4 x 4 x 8 MARINE PLY
- 20 PCS 1 x 4 x 10 S4S KD
- 20 PCS 1 x 2 x 10 S4S KD
- 4 PCS FORMICA
- 1 GAL RUGBY
- 4 SETS DRAWER GUIDE 20""
- 6 PCS CABINET HANDLE
- 4 PCS DRAWER LOCK
- 8 PCS #3 CONCEALED HINGES
- 10 PCS 1/2 x 1 x 10 S4S KD
- 1 KL STICKW"&amp;"ELL
- 1 KL 2"" FINISHING NAILS
- 1 KL 1 1/2 FINISHING NAILS
- 1 QUART POLYTUFF W/ HARDINER
- 1 QUART WOOD STAIN(MAPLE)
- 1 GAL CLEAR GLOSS LACQUER
- 1 GAL SANDING SEALER
- 2 GAL LACQUER THINNER
- 2 PCS 2"" PAINT BRUSH
- 2 PCS 3"" PAINT BRUSH
- 10 PCS #120"&amp;" SANDING PAPER
-  10 PCS #150 SANDING PAPER
- 1/4 LT TIN-TING COLOR RED
- 1.4 LT TIN-TING COLOR LAMP BLACK")</f>
        <v>- 4 PCS 3/4 x 4 x 8 MARINE PLY
- 20 PCS 1 x 4 x 10 S4S KD
- 20 PCS 1 x 2 x 10 S4S KD
- 4 PCS FORMICA
- 1 GAL RUGBY
- 4 SETS DRAWER GUIDE 20"
- 6 PCS CABINET HANDLE
- 4 PCS DRAWER LOCK
- 8 PCS #3 CONCEALED HINGES
- 10 PCS 1/2 x 1 x 10 S4S KD
- 1 KL STICKWELL
- 1 KL 2" FINISHING NAILS
- 1 KL 1 1/2 FINISHING NAILS
- 1 QUART POLYTUFF W/ HARDINER
- 1 QUART WOOD STAIN(MAPLE)
- 1 GAL CLEAR GLOSS LACQUER
- 1 GAL SANDING SEALER
- 2 GAL LACQUER THINNER
- 2 PCS 2" PAINT BRUSH
- 2 PCS 3" PAINT BRUSH
- 10 PCS #120 SANDING PAPER
-  10 PCS #150 SANDING PAPER
- 1/4 LT TIN-TING COLOR RED
- 1.4 LT TIN-TING COLOR LAMP BLACK</v>
      </c>
      <c r="E2891" s="196" t="str">
        <f>IFERROR(__xludf.DUMMYFUNCTION("""COMPUTED_VALUE"""),"MUNICH &amp; ELIZALDE PODIUM JO#0223 - 0088;0089")</f>
        <v>MUNICH &amp; ELIZALDE PODIUM JO#0223 - 0088;0089</v>
      </c>
    </row>
    <row r="2892">
      <c r="A2892" s="234">
        <f>IFERROR(__xludf.DUMMYFUNCTION("""COMPUTED_VALUE"""),103183.0)</f>
        <v>103183</v>
      </c>
      <c r="B2892" s="235" t="str">
        <f>IFERROR(__xludf.DUMMYFUNCTION("""COMPUTED_VALUE"""),"JOMEL BUTIAL ")</f>
        <v>JOMEL BUTIAL </v>
      </c>
      <c r="C2892" s="235" t="str">
        <f>IFERROR(__xludf.DUMMYFUNCTION("""COMPUTED_VALUE"""),"AMD")</f>
        <v>AMD</v>
      </c>
      <c r="D2892" s="196" t="str">
        <f>IFERROR(__xludf.DUMMYFUNCTION("""COMPUTED_VALUE"""),"50 GAL HAND SOAP CHERRY FLAVOR")</f>
        <v>50 GAL HAND SOAP CHERRY FLAVOR</v>
      </c>
      <c r="E2892" s="196" t="str">
        <f>IFERROR(__xludf.DUMMYFUNCTION("""COMPUTED_VALUE"""),"HOUSEKEEPING REPLENISHMENT")</f>
        <v>HOUSEKEEPING REPLENISHMENT</v>
      </c>
    </row>
    <row r="2893">
      <c r="A2893" s="234">
        <f>IFERROR(__xludf.DUMMYFUNCTION("""COMPUTED_VALUE"""),103184.0)</f>
        <v>103184</v>
      </c>
      <c r="B2893" s="235" t="str">
        <f>IFERROR(__xludf.DUMMYFUNCTION("""COMPUTED_VALUE"""),"JOMEL BUTIAL ")</f>
        <v>JOMEL BUTIAL </v>
      </c>
      <c r="C2893" s="235" t="str">
        <f>IFERROR(__xludf.DUMMYFUNCTION("""COMPUTED_VALUE"""),"AMD")</f>
        <v>AMD</v>
      </c>
      <c r="D2893" s="196" t="str">
        <f>IFERROR(__xludf.DUMMYFUNCTION("""COMPUTED_VALUE"""),"30 GAL SWEET SUNSATION")</f>
        <v>30 GAL SWEET SUNSATION</v>
      </c>
      <c r="E2893" s="196" t="str">
        <f>IFERROR(__xludf.DUMMYFUNCTION("""COMPUTED_VALUE"""),"HOUSEKEEPING REPLENISHMENT")</f>
        <v>HOUSEKEEPING REPLENISHMENT</v>
      </c>
    </row>
    <row r="2894">
      <c r="A2894" s="234">
        <f>IFERROR(__xludf.DUMMYFUNCTION("""COMPUTED_VALUE"""),103185.0)</f>
        <v>103185</v>
      </c>
      <c r="B2894" s="235" t="str">
        <f>IFERROR(__xludf.DUMMYFUNCTION("""COMPUTED_VALUE"""),"JOMEL BUTIAL ")</f>
        <v>JOMEL BUTIAL </v>
      </c>
      <c r="C2894" s="235" t="str">
        <f>IFERROR(__xludf.DUMMYFUNCTION("""COMPUTED_VALUE"""),"AMD")</f>
        <v>AMD</v>
      </c>
      <c r="D2894" s="196" t="str">
        <f>IFERROR(__xludf.DUMMYFUNCTION("""COMPUTED_VALUE"""),"- 300 PCS BABY OIL 125 ML CS&amp;J
- 20 SMALL SPATULA")</f>
        <v>- 300 PCS BABY OIL 125 ML CS&amp;J
- 20 SMALL SPATULA</v>
      </c>
      <c r="E2894" s="196" t="str">
        <f>IFERROR(__xludf.DUMMYFUNCTION("""COMPUTED_VALUE"""),"HOUSEKEEPING REPLENISHMENT")</f>
        <v>HOUSEKEEPING REPLENISHMENT</v>
      </c>
    </row>
    <row r="2895">
      <c r="A2895" s="234">
        <f>IFERROR(__xludf.DUMMYFUNCTION("""COMPUTED_VALUE"""),103186.0)</f>
        <v>103186</v>
      </c>
      <c r="B2895" s="235" t="str">
        <f>IFERROR(__xludf.DUMMYFUNCTION("""COMPUTED_VALUE"""),"LORRAINE ALMAZAN/ISABELO LEOPOLDO")</f>
        <v>LORRAINE ALMAZAN/ISABELO LEOPOLDO</v>
      </c>
      <c r="C2895" s="235" t="str">
        <f>IFERROR(__xludf.DUMMYFUNCTION("""COMPUTED_VALUE"""),"MIS/AV")</f>
        <v>MIS/AV</v>
      </c>
      <c r="D2895" s="196" t="str">
        <f>IFERROR(__xludf.DUMMYFUNCTION("""COMPUTED_VALUE"""),"50 PCS ATLANTA MOULDING(1 INCH)")</f>
        <v>50 PCS ATLANTA MOULDING(1 INCH)</v>
      </c>
      <c r="E2895" s="196" t="str">
        <f>IFERROR(__xludf.DUMMYFUNCTION("""COMPUTED_VALUE"""),"CABLE MANAGEMENT FOR TROPICAL AND MUNICH E-CLASSROOMS")</f>
        <v>CABLE MANAGEMENT FOR TROPICAL AND MUNICH E-CLASSROOMS</v>
      </c>
    </row>
    <row r="2896">
      <c r="A2896" s="234">
        <f>IFERROR(__xludf.DUMMYFUNCTION("""COMPUTED_VALUE"""),103187.0)</f>
        <v>103187</v>
      </c>
      <c r="B2896" s="235" t="str">
        <f>IFERROR(__xludf.DUMMYFUNCTION("""COMPUTED_VALUE"""),"JESUIT CHRISTIAN GALICIA")</f>
        <v>JESUIT CHRISTIAN GALICIA</v>
      </c>
      <c r="C2896" s="235" t="str">
        <f>IFERROR(__xludf.DUMMYFUNCTION("""COMPUTED_VALUE"""),"AMD")</f>
        <v>AMD</v>
      </c>
      <c r="D2896" s="196" t="str">
        <f>IFERROR(__xludf.DUMMYFUNCTION("""COMPUTED_VALUE"""),"- 12 PCS DOUBLE ACTION VALVE 1/2 x 1/2
- 14 PCS LOCK YALE PADLOCK 50MM
- 20 PCS MALE PLUG HEAVY DUTY")</f>
        <v>- 12 PCS DOUBLE ACTION VALVE 1/2 x 1/2
- 14 PCS LOCK YALE PADLOCK 50MM
- 20 PCS MALE PLUG HEAVY DUTY</v>
      </c>
      <c r="E2896" s="196" t="str">
        <f>IFERROR(__xludf.DUMMYFUNCTION("""COMPUTED_VALUE"""),"ENGINEERING WAREHOUSE STOCK REPLENISHMENT")</f>
        <v>ENGINEERING WAREHOUSE STOCK REPLENISHMENT</v>
      </c>
    </row>
    <row r="2897">
      <c r="A2897" s="234">
        <f>IFERROR(__xludf.DUMMYFUNCTION("""COMPUTED_VALUE"""),103188.0)</f>
        <v>103188</v>
      </c>
      <c r="B2897" s="235" t="str">
        <f>IFERROR(__xludf.DUMMYFUNCTION("""COMPUTED_VALUE"""),"ALFA DE LEON")</f>
        <v>ALFA DE LEON</v>
      </c>
      <c r="C2897" s="235" t="str">
        <f>IFERROR(__xludf.DUMMYFUNCTION("""COMPUTED_VALUE"""),"ADMIN")</f>
        <v>ADMIN</v>
      </c>
      <c r="D2897" s="196" t="str">
        <f>IFERROR(__xludf.DUMMYFUNCTION("""COMPUTED_VALUE"""),"- 20 PCS BOSTON FERN
- 30 PCS SELLOUM")</f>
        <v>- 20 PCS BOSTON FERN
- 30 PCS SELLOUM</v>
      </c>
      <c r="E2897" s="196" t="str">
        <f>IFERROR(__xludf.DUMMYFUNCTION("""COMPUTED_VALUE"""),"MAINTENANCE OF PLANTS IN MUNICH PARK")</f>
        <v>MAINTENANCE OF PLANTS IN MUNICH PARK</v>
      </c>
    </row>
    <row r="2898">
      <c r="A2898" s="234">
        <f>IFERROR(__xludf.DUMMYFUNCTION("""COMPUTED_VALUE"""),103189.0)</f>
        <v>103189</v>
      </c>
      <c r="B2898" s="235" t="str">
        <f>IFERROR(__xludf.DUMMYFUNCTION("""COMPUTED_VALUE"""),"JESUIT CHRISTIAN GALICIA")</f>
        <v>JESUIT CHRISTIAN GALICIA</v>
      </c>
      <c r="C2898" s="235" t="str">
        <f>IFERROR(__xludf.DUMMYFUNCTION("""COMPUTED_VALUE"""),"AMD")</f>
        <v>AMD</v>
      </c>
      <c r="D2898" s="196" t="str">
        <f>IFERROR(__xludf.DUMMYFUNCTION("""COMPUTED_VALUE"""),"- 10 PCS DOOR CLOSER YALE
- 15 PCS TANK FILL VALVE")</f>
        <v>- 10 PCS DOOR CLOSER YALE
- 15 PCS TANK FILL VALVE</v>
      </c>
      <c r="E2898" s="196" t="str">
        <f>IFERROR(__xludf.DUMMYFUNCTION("""COMPUTED_VALUE"""),"ENGINEERING WAREHOUSE STOCK REPLENISHMENT")</f>
        <v>ENGINEERING WAREHOUSE STOCK REPLENISHMENT</v>
      </c>
    </row>
    <row r="2899">
      <c r="A2899" s="234">
        <f>IFERROR(__xludf.DUMMYFUNCTION("""COMPUTED_VALUE"""),103190.0)</f>
        <v>103190</v>
      </c>
      <c r="B2899" s="235" t="str">
        <f>IFERROR(__xludf.DUMMYFUNCTION("""COMPUTED_VALUE"""),"PRECIOUS DALUZ")</f>
        <v>PRECIOUS DALUZ</v>
      </c>
      <c r="C2899" s="235" t="str">
        <f>IFERROR(__xludf.DUMMYFUNCTION("""COMPUTED_VALUE"""),"SPECIAL SUBJECTS")</f>
        <v>SPECIAL SUBJECTS</v>
      </c>
      <c r="D2899" s="196" t="str">
        <f>IFERROR(__xludf.DUMMYFUNCTION("""COMPUTED_VALUE"""),"1 PC 8 x 10FT TARPAULIN")</f>
        <v>1 PC 8 x 10FT TARPAULIN</v>
      </c>
      <c r="E2899" s="196" t="str">
        <f>IFERROR(__xludf.DUMMYFUNCTION("""COMPUTED_VALUE"""),"FOR PROM BACKDROP")</f>
        <v>FOR PROM BACKDROP</v>
      </c>
    </row>
    <row r="2900">
      <c r="A2900" s="234">
        <f>IFERROR(__xludf.DUMMYFUNCTION("""COMPUTED_VALUE"""),103191.0)</f>
        <v>103191</v>
      </c>
      <c r="B2900" s="235" t="str">
        <f>IFERROR(__xludf.DUMMYFUNCTION("""COMPUTED_VALUE"""),"JESUIT CHRISTIAN GALICIA")</f>
        <v>JESUIT CHRISTIAN GALICIA</v>
      </c>
      <c r="C2900" s="235" t="str">
        <f>IFERROR(__xludf.DUMMYFUNCTION("""COMPUTED_VALUE"""),"AMD")</f>
        <v>AMD</v>
      </c>
      <c r="D2900" s="196" t="str">
        <f>IFERROR(__xludf.DUMMYFUNCTION("""COMPUTED_VALUE"""),"30 PCS LAVATORY FAUCET(LONG)")</f>
        <v>30 PCS LAVATORY FAUCET(LONG)</v>
      </c>
      <c r="E2900" s="196" t="str">
        <f>IFERROR(__xludf.DUMMYFUNCTION("""COMPUTED_VALUE"""),"ENGINEERING WAREHOUSE STOCK REPLENISHMENT")</f>
        <v>ENGINEERING WAREHOUSE STOCK REPLENISHMENT</v>
      </c>
    </row>
    <row r="2901">
      <c r="A2901" s="234">
        <f>IFERROR(__xludf.DUMMYFUNCTION("""COMPUTED_VALUE"""),103192.0)</f>
        <v>103192</v>
      </c>
      <c r="B2901" s="235" t="str">
        <f>IFERROR(__xludf.DUMMYFUNCTION("""COMPUTED_VALUE"""),"JOHN MICHAEL MANANSALA")</f>
        <v>JOHN MICHAEL MANANSALA</v>
      </c>
      <c r="C2901" s="235" t="str">
        <f>IFERROR(__xludf.DUMMYFUNCTION("""COMPUTED_VALUE"""),"AB COMM/MMA")</f>
        <v>AB COMM/MMA</v>
      </c>
      <c r="D2901" s="196" t="str">
        <f>IFERROR(__xludf.DUMMYFUNCTION("""COMPUTED_VALUE"""),"2 PCS 155L MEGABOX STORAGE MG-800 L--80 W-59 H-51cm PP PLASTIC STORAGE AND ORGANIZER BOX")</f>
        <v>2 PCS 155L MEGABOX STORAGE MG-800 L--80 W-59 H-51cm PP PLASTIC STORAGE AND ORGANIZER BOX</v>
      </c>
      <c r="E2901" s="196" t="str">
        <f>IFERROR(__xludf.DUMMYFUNCTION("""COMPUTED_VALUE"""),"STORAGE BOXES FOR EXHIBIT ITEMS")</f>
        <v>STORAGE BOXES FOR EXHIBIT ITEMS</v>
      </c>
    </row>
    <row r="2902">
      <c r="A2902" s="234">
        <f>IFERROR(__xludf.DUMMYFUNCTION("""COMPUTED_VALUE"""),103193.0)</f>
        <v>103193</v>
      </c>
      <c r="B2902" s="235" t="str">
        <f>IFERROR(__xludf.DUMMYFUNCTION("""COMPUTED_VALUE"""),"ALFA DE LEON")</f>
        <v>ALFA DE LEON</v>
      </c>
      <c r="C2902" s="235" t="str">
        <f>IFERROR(__xludf.DUMMYFUNCTION("""COMPUTED_VALUE"""),"ADMIN - MUNICH")</f>
        <v>ADMIN - MUNICH</v>
      </c>
      <c r="D2902" s="196" t="str">
        <f>IFERROR(__xludf.DUMMYFUNCTION("""COMPUTED_VALUE"""),"1 PC 8"" GRAY ORBIT FAN(ABAHI)")</f>
        <v>1 PC 8" GRAY ORBIT FAN(ABAHI)</v>
      </c>
      <c r="E2902" s="196" t="str">
        <f>IFERROR(__xludf.DUMMYFUNCTION("""COMPUTED_VALUE"""),"REPLACEMENT OF BROKEN UNIT ORBIT FAN ON ROOM 10")</f>
        <v>REPLACEMENT OF BROKEN UNIT ORBIT FAN ON ROOM 10</v>
      </c>
    </row>
    <row r="2903">
      <c r="A2903" s="234">
        <f>IFERROR(__xludf.DUMMYFUNCTION("""COMPUTED_VALUE"""),103194.0)</f>
        <v>103194</v>
      </c>
      <c r="B2903" s="235" t="str">
        <f>IFERROR(__xludf.DUMMYFUNCTION("""COMPUTED_VALUE"""),"ANN VILLARUZ")</f>
        <v>ANN VILLARUZ</v>
      </c>
      <c r="C2903" s="235" t="str">
        <f>IFERROR(__xludf.DUMMYFUNCTION("""COMPUTED_VALUE"""),"STUDENT AFFAIRS BED")</f>
        <v>STUDENT AFFAIRS BED</v>
      </c>
      <c r="D2903" s="196" t="str">
        <f>IFERROR(__xludf.DUMMYFUNCTION("""COMPUTED_VALUE"""),"320 JS PROM INVITES")</f>
        <v>320 JS PROM INVITES</v>
      </c>
      <c r="E2903" s="196" t="str">
        <f>IFERROR(__xludf.DUMMYFUNCTION("""COMPUTED_VALUE"""),"JS PROM INVITES")</f>
        <v>JS PROM INVITES</v>
      </c>
    </row>
    <row r="2904">
      <c r="A2904" s="234">
        <f>IFERROR(__xludf.DUMMYFUNCTION("""COMPUTED_VALUE"""),103195.0)</f>
        <v>103195</v>
      </c>
      <c r="B2904" s="235" t="str">
        <f>IFERROR(__xludf.DUMMYFUNCTION("""COMPUTED_VALUE"""),"CHRISTIAN GALICIA")</f>
        <v>CHRISTIAN GALICIA</v>
      </c>
      <c r="C2904" s="235" t="str">
        <f>IFERROR(__xludf.DUMMYFUNCTION("""COMPUTED_VALUE"""),"AMD")</f>
        <v>AMD</v>
      </c>
      <c r="D2904" s="196" t="str">
        <f>IFERROR(__xludf.DUMMYFUNCTION("""COMPUTED_VALUE"""),"30 PCS SHARPENER, PENCIL")</f>
        <v>30 PCS SHARPENER, PENCIL</v>
      </c>
      <c r="E2904" s="196" t="str">
        <f>IFERROR(__xludf.DUMMYFUNCTION("""COMPUTED_VALUE"""),"OSSUP STOCK REPLENISHMENT")</f>
        <v>OSSUP STOCK REPLENISHMENT</v>
      </c>
    </row>
    <row r="2905">
      <c r="A2905" s="234">
        <f>IFERROR(__xludf.DUMMYFUNCTION("""COMPUTED_VALUE"""),103196.0)</f>
        <v>103196</v>
      </c>
      <c r="B2905" s="235" t="str">
        <f>IFERROR(__xludf.DUMMYFUNCTION("""COMPUTED_VALUE"""),"PHEN PETIN")</f>
        <v>PHEN PETIN</v>
      </c>
      <c r="C2905" s="235" t="str">
        <f>IFERROR(__xludf.DUMMYFUNCTION("""COMPUTED_VALUE"""),"ADMIN - STAR")</f>
        <v>ADMIN - STAR</v>
      </c>
      <c r="D2905" s="196" t="str">
        <f>IFERROR(__xludf.DUMMYFUNCTION("""COMPUTED_VALUE"""),"SGEN TARP 
- LENGTH: 114"" INCHES
- WIDTH: 210"" INCHES")</f>
        <v>SGEN TARP 
- LENGTH: 114" INCHES
- WIDTH: 210" INCHES</v>
      </c>
      <c r="E2905" s="196" t="str">
        <f>IFERROR(__xludf.DUMMYFUNCTION("""COMPUTED_VALUE"""),"TARP FOR SOUTHVILLE GLOBAL EDUCATION NETWORK(FOR DEPED PARANAQUE)")</f>
        <v>TARP FOR SOUTHVILLE GLOBAL EDUCATION NETWORK(FOR DEPED PARANAQUE)</v>
      </c>
    </row>
    <row r="2906">
      <c r="A2906" s="234">
        <f>IFERROR(__xludf.DUMMYFUNCTION("""COMPUTED_VALUE"""),103197.0)</f>
        <v>103197</v>
      </c>
      <c r="B2906" s="235" t="str">
        <f>IFERROR(__xludf.DUMMYFUNCTION("""COMPUTED_VALUE"""),"ALFA DE LEON")</f>
        <v>ALFA DE LEON</v>
      </c>
      <c r="C2906" s="235" t="str">
        <f>IFERROR(__xludf.DUMMYFUNCTION("""COMPUTED_VALUE"""),"ADMIN")</f>
        <v>ADMIN</v>
      </c>
      <c r="D2906" s="196" t="str">
        <f>IFERROR(__xludf.DUMMYFUNCTION("""COMPUTED_VALUE"""),"16 PCS HEAVY DUTY FLAG(FOR OUTDOOR) 3' x 5'
- AUSTRALIA, BANGLADESH, CANADA, EGYPT, GERMANY, HONGKONG, INDONESIA, IRELAND, ITALY, JORDAN, LIBERIA, NIGERIA, RUSSIA, SRI LANKA, SWITZERLAND, THAILAND(1 EACH)
20 PCS HEAVY DUTY FLAG(FOR OUTDOOR) 3' x 5'
- INDI"&amp;"A, USA, SOUTH KOREA, UK, JAPAN, CHINA, PAKISTAN, NETHERLANDS, PHILIPPINES, SISC(2 EACH)")</f>
        <v>16 PCS HEAVY DUTY FLAG(FOR OUTDOOR) 3' x 5'
- AUSTRALIA, BANGLADESH, CANADA, EGYPT, GERMANY, HONGKONG, INDONESIA, IRELAND, ITALY, JORDAN, LIBERIA, NIGERIA, RUSSIA, SRI LANKA, SWITZERLAND, THAILAND(1 EACH)
20 PCS HEAVY DUTY FLAG(FOR OUTDOOR) 3' x 5'
- INDIA, USA, SOUTH KOREA, UK, JAPAN, CHINA, PAKISTAN, NETHERLANDS, PHILIPPINES, SISC(2 EACH)</v>
      </c>
      <c r="E2906" s="196" t="str">
        <f>IFERROR(__xludf.DUMMYFUNCTION("""COMPUTED_VALUE"""),"MAINTENANCE OF FLAGS(LUX &amp; COLLEGE)")</f>
        <v>MAINTENANCE OF FLAGS(LUX &amp; COLLEGE)</v>
      </c>
    </row>
    <row r="2907">
      <c r="A2907" s="234">
        <f>IFERROR(__xludf.DUMMYFUNCTION("""COMPUTED_VALUE"""),103198.0)</f>
        <v>103198</v>
      </c>
      <c r="B2907" s="235" t="str">
        <f>IFERROR(__xludf.DUMMYFUNCTION("""COMPUTED_VALUE"""),"ALFA DE LEON")</f>
        <v>ALFA DE LEON</v>
      </c>
      <c r="C2907" s="235" t="str">
        <f>IFERROR(__xludf.DUMMYFUNCTION("""COMPUTED_VALUE"""),"ADMIN - MUNICH")</f>
        <v>ADMIN - MUNICH</v>
      </c>
      <c r="D2907" s="196" t="str">
        <f>IFERROR(__xludf.DUMMYFUNCTION("""COMPUTED_VALUE"""),"1 PC SINK
COLOR: LIGHT PINK
SIZE: H18"" x W22.5""")</f>
        <v>1 PC SINK
COLOR: LIGHT PINK
SIZE: H18" x W22.5"</v>
      </c>
      <c r="E2907" s="196" t="str">
        <f>IFERROR(__xludf.DUMMYFUNCTION("""COMPUTED_VALUE"""),"REPLACEMENT OF BROKEN SINK")</f>
        <v>REPLACEMENT OF BROKEN SINK</v>
      </c>
    </row>
    <row r="2908">
      <c r="A2908" s="234">
        <f>IFERROR(__xludf.DUMMYFUNCTION("""COMPUTED_VALUE"""),103199.0)</f>
        <v>103199</v>
      </c>
      <c r="B2908" s="235" t="str">
        <f>IFERROR(__xludf.DUMMYFUNCTION("""COMPUTED_VALUE"""),"PHEN PETIN")</f>
        <v>PHEN PETIN</v>
      </c>
      <c r="C2908" s="235" t="str">
        <f>IFERROR(__xludf.DUMMYFUNCTION("""COMPUTED_VALUE"""),"ADMIN - STAR")</f>
        <v>ADMIN - STAR</v>
      </c>
      <c r="D2908" s="196" t="str">
        <f>IFERROR(__xludf.DUMMYFUNCTION("""COMPUTED_VALUE"""),"- 6 PCS S4S K.D # 1/2 x 1"" x 8'
- 1 PC MARINE FLY # 3/4 x 4' x 8'
- 1 LITER FLAT WALL ENAMEL WHITE
- 2 BOTTLES RUGBY
- 2 PCS PAINT BRUSH 1 1/2
- 2 PCS BABY ROLLER COTTON
-1 GALLON QUICK DRY ENAMEL")</f>
        <v>- 6 PCS S4S K.D # 1/2 x 1" x 8'
- 1 PC MARINE FLY # 3/4 x 4' x 8'
- 1 LITER FLAT WALL ENAMEL WHITE
- 2 BOTTLES RUGBY
- 2 PCS PAINT BRUSH 1 1/2
- 2 PCS BABY ROLLER COTTON
-1 GALLON QUICK DRY ENAMEL</v>
      </c>
      <c r="E2908" s="196" t="str">
        <f>IFERROR(__xludf.DUMMYFUNCTION("""COMPUTED_VALUE"""),"RISER FOR BASEMENT RESTROOM BOYS/GIRLS AND FOR REPAINTING OF CABINET WITH GLASS COVER - SGEN DEPED VISIT ON MARCH 9, 2023")</f>
        <v>RISER FOR BASEMENT RESTROOM BOYS/GIRLS AND FOR REPAINTING OF CABINET WITH GLASS COVER - SGEN DEPED VISIT ON MARCH 9, 2023</v>
      </c>
    </row>
    <row r="2909">
      <c r="A2909" s="234">
        <f>IFERROR(__xludf.DUMMYFUNCTION("""COMPUTED_VALUE"""),103200.0)</f>
        <v>103200</v>
      </c>
      <c r="B2909" s="235" t="str">
        <f>IFERROR(__xludf.DUMMYFUNCTION("""COMPUTED_VALUE"""),"CHRISTIAN GALICIA")</f>
        <v>CHRISTIAN GALICIA</v>
      </c>
      <c r="C2909" s="235" t="str">
        <f>IFERROR(__xludf.DUMMYFUNCTION("""COMPUTED_VALUE"""),"AMD")</f>
        <v>AMD</v>
      </c>
      <c r="D2909" s="196" t="str">
        <f>IFERROR(__xludf.DUMMYFUNCTION("""COMPUTED_VALUE"""),"- 384 PCS TISSUE ROLL PAFH 2 PLY
- 20 PCS PUSHPINS 30'S")</f>
        <v>- 384 PCS TISSUE ROLL PAFH 2 PLY
- 20 PCS PUSHPINS 30'S</v>
      </c>
      <c r="E2909" s="196" t="str">
        <f>IFERROR(__xludf.DUMMYFUNCTION("""COMPUTED_VALUE"""),"OSSUP STOCK REPLENISHMENT")</f>
        <v>OSSUP STOCK REPLENISHMENT</v>
      </c>
    </row>
    <row r="2910">
      <c r="A2910" s="234">
        <f>IFERROR(__xludf.DUMMYFUNCTION("""COMPUTED_VALUE"""),103201.0)</f>
        <v>103201</v>
      </c>
      <c r="B2910" s="235" t="str">
        <f>IFERROR(__xludf.DUMMYFUNCTION("""COMPUTED_VALUE"""),"ELYDIA REYES")</f>
        <v>ELYDIA REYES</v>
      </c>
      <c r="C2910" s="235" t="str">
        <f>IFERROR(__xludf.DUMMYFUNCTION("""COMPUTED_VALUE"""),"PR &amp; MARKETING")</f>
        <v>PR &amp; MARKETING</v>
      </c>
      <c r="D2910" s="196" t="str">
        <f>IFERROR(__xludf.DUMMYFUNCTION("""COMPUTED_VALUE"""),"2 PCS EXTENSION WHEEL 15-METER CORD LENGTH 10A - WEW - 15M/U")</f>
        <v>2 PCS EXTENSION WHEEL 15-METER CORD LENGTH 10A - WEW - 15M/U</v>
      </c>
      <c r="E2910" s="196" t="str">
        <f>IFERROR(__xludf.DUMMYFUNCTION("""COMPUTED_VALUE"""),"FOR EVENTS/EXHIBIT OUTSIDE AND PHOTOGRAPHY")</f>
        <v>FOR EVENTS/EXHIBIT OUTSIDE AND PHOTOGRAPHY</v>
      </c>
    </row>
    <row r="2911">
      <c r="A2911" s="234">
        <f>IFERROR(__xludf.DUMMYFUNCTION("""COMPUTED_VALUE"""),103202.0)</f>
        <v>103202</v>
      </c>
      <c r="B2911" s="235" t="str">
        <f>IFERROR(__xludf.DUMMYFUNCTION("""COMPUTED_VALUE"""),"ANGELO PARAS")</f>
        <v>ANGELO PARAS</v>
      </c>
      <c r="C2911" s="235" t="str">
        <f>IFERROR(__xludf.DUMMYFUNCTION("""COMPUTED_VALUE"""),"SCIENCE LAB BASIC ED.")</f>
        <v>SCIENCE LAB BASIC ED.</v>
      </c>
      <c r="D2911" s="196" t="str">
        <f>IFERROR(__xludf.DUMMYFUNCTION("""COMPUTED_VALUE"""),"- 3 LITERS HYDROCHLORIC ACID, 37%
- 2 LITERS HYDROGEN PEROXIDE, 30%
- 3 LITERS DENATURED ALCOHOL
- 2 LITERS ISOPROPYL ALCOHOL, 70%
- 300 GRAMS MOSSY ZINC
- 2 LITERS METHANOL
- 200ML IODINE SOLUTION/LUGOL'S IODINE
- 20 LITERS DISTILLED WATER, ANY BRAND")</f>
        <v>- 3 LITERS HYDROCHLORIC ACID, 37%
- 2 LITERS HYDROGEN PEROXIDE, 30%
- 3 LITERS DENATURED ALCOHOL
- 2 LITERS ISOPROPYL ALCOHOL, 70%
- 300 GRAMS MOSSY ZINC
- 2 LITERS METHANOL
- 200ML IODINE SOLUTION/LUGOL'S IODINE
- 20 LITERS DISTILLED WATER, ANY BRAND</v>
      </c>
      <c r="E2911" s="196" t="str">
        <f>IFERROR(__xludf.DUMMYFUNCTION("""COMPUTED_VALUE"""),"FOR USE IN LAB EXPERIMENTS &amp; STUDENT PROJECTS")</f>
        <v>FOR USE IN LAB EXPERIMENTS &amp; STUDENT PROJECTS</v>
      </c>
    </row>
    <row r="2912">
      <c r="A2912" s="234">
        <f>IFERROR(__xludf.DUMMYFUNCTION("""COMPUTED_VALUE"""),103203.0)</f>
        <v>103203</v>
      </c>
      <c r="B2912" s="235" t="str">
        <f>IFERROR(__xludf.DUMMYFUNCTION("""COMPUTED_VALUE"""),"ARNEL MONTABLAN")</f>
        <v>ARNEL MONTABLAN</v>
      </c>
      <c r="C2912" s="235" t="str">
        <f>IFERROR(__xludf.DUMMYFUNCTION("""COMPUTED_VALUE"""),"SCHOLARSHIP COMMITEE")</f>
        <v>SCHOLARSHIP COMMITEE</v>
      </c>
      <c r="D2912" s="196" t="str">
        <f>IFERROR(__xludf.DUMMYFUNCTION("""COMPUTED_VALUE"""),"1 BOX/SET TP LINK DECO E4")</f>
        <v>1 BOX/SET TP LINK DECO E4</v>
      </c>
      <c r="E2912" s="196" t="str">
        <f>IFERROR(__xludf.DUMMYFUNCTION("""COMPUTED_VALUE"""),"FOR HEART'S DORMITORY USE")</f>
        <v>FOR HEART'S DORMITORY USE</v>
      </c>
    </row>
    <row r="2913">
      <c r="A2913" s="234">
        <f>IFERROR(__xludf.DUMMYFUNCTION("""COMPUTED_VALUE"""),103204.0)</f>
        <v>103204</v>
      </c>
      <c r="B2913" s="235" t="str">
        <f>IFERROR(__xludf.DUMMYFUNCTION("""COMPUTED_VALUE"""),"CARLITO DELA VEGA")</f>
        <v>CARLITO DELA VEGA</v>
      </c>
      <c r="C2913" s="235" t="str">
        <f>IFERROR(__xludf.DUMMYFUNCTION("""COMPUTED_VALUE"""),"SECURITY")</f>
        <v>SECURITY</v>
      </c>
      <c r="D2913" s="196" t="str">
        <f>IFERROR(__xludf.DUMMYFUNCTION("""COMPUTED_VALUE"""),"17 PCS IMOU DAHOY WIFI/SMART CAMERA BULLET 2E AI W/ 256GC SD CARD")</f>
        <v>17 PCS IMOU DAHOY WIFI/SMART CAMERA BULLET 2E AI W/ 256GC SD CARD</v>
      </c>
      <c r="E2913" s="196" t="str">
        <f>IFERROR(__xludf.DUMMYFUNCTION("""COMPUTED_VALUE"""),"TO ADDRESS SECURITY CONCERNS FOR IDENTIFIED CRITICAL AREAS OF TROPICAL BLDG")</f>
        <v>TO ADDRESS SECURITY CONCERNS FOR IDENTIFIED CRITICAL AREAS OF TROPICAL BLDG</v>
      </c>
    </row>
    <row r="2914">
      <c r="A2914" s="234">
        <f>IFERROR(__xludf.DUMMYFUNCTION("""COMPUTED_VALUE"""),103205.0)</f>
        <v>103205</v>
      </c>
      <c r="B2914" s="235" t="str">
        <f>IFERROR(__xludf.DUMMYFUNCTION("""COMPUTED_VALUE"""),"CARLITO DELA VEGA")</f>
        <v>CARLITO DELA VEGA</v>
      </c>
      <c r="C2914" s="235" t="str">
        <f>IFERROR(__xludf.DUMMYFUNCTION("""COMPUTED_VALUE"""),"SECURITY")</f>
        <v>SECURITY</v>
      </c>
      <c r="D2914" s="196" t="str">
        <f>IFERROR(__xludf.DUMMYFUNCTION("""COMPUTED_VALUE"""),"20 PCS IMOU DAHOU WIFI/SMART CCTV CAMERA BULLET 2E AI W/ 256 GB SD CARD")</f>
        <v>20 PCS IMOU DAHOU WIFI/SMART CCTV CAMERA BULLET 2E AI W/ 256 GB SD CARD</v>
      </c>
      <c r="E2914" s="196" t="str">
        <f>IFERROR(__xludf.DUMMYFUNCTION("""COMPUTED_VALUE"""),"TO ADDRESS SECURITY CONCERNS FOR IDENTIFIED CRITICAL AREA AT LUX CAMPUS")</f>
        <v>TO ADDRESS SECURITY CONCERNS FOR IDENTIFIED CRITICAL AREA AT LUX CAMPUS</v>
      </c>
    </row>
    <row r="2915">
      <c r="A2915" s="234">
        <f>IFERROR(__xludf.DUMMYFUNCTION("""COMPUTED_VALUE"""),103206.0)</f>
        <v>103206</v>
      </c>
      <c r="B2915" s="235" t="str">
        <f>IFERROR(__xludf.DUMMYFUNCTION("""COMPUTED_VALUE"""),"OWIE PAR")</f>
        <v>OWIE PAR</v>
      </c>
      <c r="C2915" s="235" t="str">
        <f>IFERROR(__xludf.DUMMYFUNCTION("""COMPUTED_VALUE"""),"ENGINEERING")</f>
        <v>ENGINEERING</v>
      </c>
      <c r="D2915" s="196" t="str">
        <f>IFERROR(__xludf.DUMMYFUNCTION("""COMPUTED_VALUE"""),"- 3 PCS PARKING LIGHTS 60W LED
- 1 SETS WIDE SERIES SWITCH 3GANG
- 2 ROLLS ELECTRICAL TAPE")</f>
        <v>- 3 PCS PARKING LIGHTS 60W LED
- 1 SETS WIDE SERIES SWITCH 3GANG
- 2 ROLLS ELECTRICAL TAPE</v>
      </c>
      <c r="E2915" s="196" t="str">
        <f>IFERROR(__xludf.DUMMYFUNCTION("""COMPUTED_VALUE"""),"IMPROVEMENT OF LIGHTING IN GATE J.O 0223 - 0182")</f>
        <v>IMPROVEMENT OF LIGHTING IN GATE J.O 0223 - 0182</v>
      </c>
    </row>
    <row r="2916">
      <c r="A2916" s="234">
        <f>IFERROR(__xludf.DUMMYFUNCTION("""COMPUTED_VALUE"""),103207.0)</f>
        <v>103207</v>
      </c>
      <c r="B2916" s="235" t="str">
        <f>IFERROR(__xludf.DUMMYFUNCTION("""COMPUTED_VALUE"""),"JESUIT CHRISTIAN GALICIA")</f>
        <v>JESUIT CHRISTIAN GALICIA</v>
      </c>
      <c r="C2916" s="235" t="str">
        <f>IFERROR(__xludf.DUMMYFUNCTION("""COMPUTED_VALUE"""),"AMD")</f>
        <v>AMD</v>
      </c>
      <c r="D2916" s="196" t="str">
        <f>IFERROR(__xludf.DUMMYFUNCTION("""COMPUTED_VALUE"""),"4 PCS FREON R22")</f>
        <v>4 PCS FREON R22</v>
      </c>
      <c r="E2916" s="196" t="str">
        <f>IFERROR(__xludf.DUMMYFUNCTION("""COMPUTED_VALUE"""),"ENGINEERING WAREHOUSE STOCK REPLENISHMENT")</f>
        <v>ENGINEERING WAREHOUSE STOCK REPLENISHMENT</v>
      </c>
    </row>
    <row r="2917">
      <c r="A2917" s="234">
        <f>IFERROR(__xludf.DUMMYFUNCTION("""COMPUTED_VALUE"""),103208.0)</f>
        <v>103208</v>
      </c>
      <c r="B2917" s="235" t="str">
        <f>IFERROR(__xludf.DUMMYFUNCTION("""COMPUTED_VALUE"""),"OWIE PAR")</f>
        <v>OWIE PAR</v>
      </c>
      <c r="C2917" s="235" t="str">
        <f>IFERROR(__xludf.DUMMYFUNCTION("""COMPUTED_VALUE"""),"ENGINEERING")</f>
        <v>ENGINEERING</v>
      </c>
      <c r="D2917" s="196" t="str">
        <f>IFERROR(__xludf.DUMMYFUNCTION("""COMPUTED_VALUE"""),"- 10 SETS LED MODULES 12 VOLTS 50 PCS
- 4 UNITS SMPS BALLAST 200W 220 INPUT 12 VOLTS OUTPUT")</f>
        <v>- 10 SETS LED MODULES 12 VOLTS 50 PCS
- 4 UNITS SMPS BALLAST 200W 220 INPUT 12 VOLTS OUTPUT</v>
      </c>
      <c r="E2917" s="196" t="str">
        <f>IFERROR(__xludf.DUMMYFUNCTION("""COMPUTED_VALUE"""),"FOR SISC SIGNAGE SOCCER FIELD AND MUNICH, TROPICAL")</f>
        <v>FOR SISC SIGNAGE SOCCER FIELD AND MUNICH, TROPICAL</v>
      </c>
    </row>
    <row r="2918">
      <c r="A2918" s="234">
        <f>IFERROR(__xludf.DUMMYFUNCTION("""COMPUTED_VALUE"""),103209.0)</f>
        <v>103209</v>
      </c>
      <c r="B2918" s="235" t="str">
        <f>IFERROR(__xludf.DUMMYFUNCTION("""COMPUTED_VALUE"""),"OWIE PAR")</f>
        <v>OWIE PAR</v>
      </c>
      <c r="C2918" s="235" t="str">
        <f>IFERROR(__xludf.DUMMYFUNCTION("""COMPUTED_VALUE"""),"ENGINEERING")</f>
        <v>ENGINEERING</v>
      </c>
      <c r="D2918" s="196" t="str">
        <f>IFERROR(__xludf.DUMMYFUNCTION("""COMPUTED_VALUE"""),"- 4 LENGTHS GI TUBULAR BAR 2 x 4 x 6(PINAKA MAKAPAL)
- 1 LENGTH FLAT BAR")</f>
        <v>- 4 LENGTHS GI TUBULAR BAR 2 x 4 x 6(PINAKA MAKAPAL)
- 1 LENGTH FLAT BAR</v>
      </c>
      <c r="E2918" s="196" t="str">
        <f>IFERROR(__xludf.DUMMYFUNCTION("""COMPUTED_VALUE"""),"FOR MUNICH #7 ENTRANCE JO 0323-0018")</f>
        <v>FOR MUNICH #7 ENTRANCE JO 0323-0018</v>
      </c>
    </row>
    <row r="2919">
      <c r="A2919" s="234">
        <f>IFERROR(__xludf.DUMMYFUNCTION("""COMPUTED_VALUE"""),103210.0)</f>
        <v>103210</v>
      </c>
      <c r="B2919" s="235" t="str">
        <f>IFERROR(__xludf.DUMMYFUNCTION("""COMPUTED_VALUE"""),"SHEREE ESPINOSA")</f>
        <v>SHEREE ESPINOSA</v>
      </c>
      <c r="C2919" s="235" t="str">
        <f>IFERROR(__xludf.DUMMYFUNCTION("""COMPUTED_VALUE"""),"ADMIN")</f>
        <v>ADMIN</v>
      </c>
      <c r="D2919" s="196" t="str">
        <f>IFERROR(__xludf.DUMMYFUNCTION("""COMPUTED_VALUE"""),"1 LOT NET PARTITION
HEIGHT: 5M &amp; 35 CM
WIDTH: 14 M &amp; 20 CM")</f>
        <v>1 LOT NET PARTITION
HEIGHT: 5M &amp; 35 CM
WIDTH: 14 M &amp; 20 CM</v>
      </c>
      <c r="E2919" s="196" t="str">
        <f>IFERROR(__xludf.DUMMYFUNCTION("""COMPUTED_VALUE"""),"REPLACEMENT FOR MONARCHS GYM")</f>
        <v>REPLACEMENT FOR MONARCHS GYM</v>
      </c>
    </row>
    <row r="2920">
      <c r="A2920" s="234">
        <f>IFERROR(__xludf.DUMMYFUNCTION("""COMPUTED_VALUE"""),103211.0)</f>
        <v>103211</v>
      </c>
      <c r="B2920" s="235" t="str">
        <f>IFERROR(__xludf.DUMMYFUNCTION("""COMPUTED_VALUE"""),"SHEREE ESPINOSA")</f>
        <v>SHEREE ESPINOSA</v>
      </c>
      <c r="C2920" s="235" t="str">
        <f>IFERROR(__xludf.DUMMYFUNCTION("""COMPUTED_VALUE"""),"ADMIN")</f>
        <v>ADMIN</v>
      </c>
      <c r="D2920" s="196" t="str">
        <f>IFERROR(__xludf.DUMMYFUNCTION("""COMPUTED_VALUE"""),"2 PCS HEAVY DUTY HAND TRUCKS(WITH TUBULAR HANDLE)")</f>
        <v>2 PCS HEAVY DUTY HAND TRUCKS(WITH TUBULAR HANDLE)</v>
      </c>
      <c r="E2920" s="196" t="str">
        <f>IFERROR(__xludf.DUMMYFUNCTION("""COMPUTED_VALUE"""),"ADDITIONAL FOR COLLEGE/LUX AND MARCHS GYM - FOR TRANSPORTING OF TABLES/CHAIRS OR MATERIALS FOR EVENTS")</f>
        <v>ADDITIONAL FOR COLLEGE/LUX AND MARCHS GYM - FOR TRANSPORTING OF TABLES/CHAIRS OR MATERIALS FOR EVENTS</v>
      </c>
    </row>
    <row r="2921">
      <c r="A2921" s="234">
        <f>IFERROR(__xludf.DUMMYFUNCTION("""COMPUTED_VALUE"""),103212.0)</f>
        <v>103212</v>
      </c>
      <c r="B2921" s="235" t="str">
        <f>IFERROR(__xludf.DUMMYFUNCTION("""COMPUTED_VALUE"""),"SHEREE ESPINOSA")</f>
        <v>SHEREE ESPINOSA</v>
      </c>
      <c r="C2921" s="235" t="str">
        <f>IFERROR(__xludf.DUMMYFUNCTION("""COMPUTED_VALUE"""),"ADMIN")</f>
        <v>ADMIN</v>
      </c>
      <c r="D2921" s="196" t="str">
        <f>IFERROR(__xludf.DUMMYFUNCTION("""COMPUTED_VALUE"""),"3 PCS. PODIUM ")</f>
        <v>3 PCS. PODIUM </v>
      </c>
      <c r="E2921" s="196" t="str">
        <f>IFERROR(__xludf.DUMMYFUNCTION("""COMPUTED_VALUE"""),"REPLACEMENT OF 2 BROKEN AND 1 PODIUM TO UPDATE THE LOGO - IN PREPARATION FOR GRADUATION ")</f>
        <v>REPLACEMENT OF 2 BROKEN AND 1 PODIUM TO UPDATE THE LOGO - IN PREPARATION FOR GRADUATION </v>
      </c>
    </row>
    <row r="2922">
      <c r="A2922" s="234">
        <f>IFERROR(__xludf.DUMMYFUNCTION("""COMPUTED_VALUE"""),103213.0)</f>
        <v>103213</v>
      </c>
      <c r="B2922" s="235" t="str">
        <f>IFERROR(__xludf.DUMMYFUNCTION("""COMPUTED_VALUE"""),"JESUIT CHRISTIAN GALICIA")</f>
        <v>JESUIT CHRISTIAN GALICIA</v>
      </c>
      <c r="C2922" s="235" t="str">
        <f>IFERROR(__xludf.DUMMYFUNCTION("""COMPUTED_VALUE"""),"AMD")</f>
        <v>AMD</v>
      </c>
      <c r="D2922" s="196" t="str">
        <f>IFERROR(__xludf.DUMMYFUNCTION("""COMPUTED_VALUE"""),"100 PCS- AVR SECURE, 50 PCS- USB KEYBOARD (LOGITECH) 10 PCS- LAN CARD PCI, 100 PCS- USB MOUSE LOGITECH, 30 PCS- PATCH CORD CAT6 2 M, 10 PCS USB EXTENDER 10 METERS")</f>
        <v>100 PCS- AVR SECURE, 50 PCS- USB KEYBOARD (LOGITECH) 10 PCS- LAN CARD PCI, 100 PCS- USB MOUSE LOGITECH, 30 PCS- PATCH CORD CAT6 2 M, 10 PCS USB EXTENDER 10 METERS</v>
      </c>
      <c r="E2922" s="196" t="str">
        <f>IFERROR(__xludf.DUMMYFUNCTION("""COMPUTED_VALUE"""),"MIS WAREHOUSE STOCK REPLENISHMENT")</f>
        <v>MIS WAREHOUSE STOCK REPLENISHMENT</v>
      </c>
    </row>
    <row r="2923">
      <c r="A2923" s="234">
        <f>IFERROR(__xludf.DUMMYFUNCTION("""COMPUTED_VALUE"""),103214.0)</f>
        <v>103214</v>
      </c>
      <c r="B2923" s="235" t="str">
        <f>IFERROR(__xludf.DUMMYFUNCTION("""COMPUTED_VALUE"""),"ALFA DE LEON")</f>
        <v>ALFA DE LEON</v>
      </c>
      <c r="C2923" s="235" t="str">
        <f>IFERROR(__xludf.DUMMYFUNCTION("""COMPUTED_VALUE"""),"LANDSCAPING")</f>
        <v>LANDSCAPING</v>
      </c>
      <c r="D2923" s="196" t="str">
        <f>IFERROR(__xludf.DUMMYFUNCTION("""COMPUTED_VALUE"""),"100 METERS GARDEN HOSE 5/8")</f>
        <v>100 METERS GARDEN HOSE 5/8</v>
      </c>
      <c r="E2923" s="196" t="str">
        <f>IFERROR(__xludf.DUMMYFUNCTION("""COMPUTED_VALUE"""),"BROKEN GARDEN HOSE(LOTS OF HOLES) MONARCH GYM")</f>
        <v>BROKEN GARDEN HOSE(LOTS OF HOLES) MONARCH GYM</v>
      </c>
    </row>
    <row r="2924">
      <c r="A2924" s="234">
        <f>IFERROR(__xludf.DUMMYFUNCTION("""COMPUTED_VALUE"""),103215.0)</f>
        <v>103215</v>
      </c>
      <c r="B2924" s="235" t="str">
        <f>IFERROR(__xludf.DUMMYFUNCTION("""COMPUTED_VALUE"""),"ALFA DE LEON")</f>
        <v>ALFA DE LEON</v>
      </c>
      <c r="C2924" s="235" t="str">
        <f>IFERROR(__xludf.DUMMYFUNCTION("""COMPUTED_VALUE"""),"LANDSCAPING")</f>
        <v>LANDSCAPING</v>
      </c>
      <c r="D2924" s="196" t="str">
        <f>IFERROR(__xludf.DUMMYFUNCTION("""COMPUTED_VALUE"""),"100 METERS GARDEN HOSE 5/8")</f>
        <v>100 METERS GARDEN HOSE 5/8</v>
      </c>
      <c r="E2924" s="196" t="str">
        <f>IFERROR(__xludf.DUMMYFUNCTION("""COMPUTED_VALUE"""),"BROKEN GARDEN HOSE(LOTS OF HOLES) MONARCH PARK")</f>
        <v>BROKEN GARDEN HOSE(LOTS OF HOLES) MONARCH PARK</v>
      </c>
    </row>
    <row r="2925">
      <c r="A2925" s="234">
        <f>IFERROR(__xludf.DUMMYFUNCTION("""COMPUTED_VALUE"""),103216.0)</f>
        <v>103216</v>
      </c>
      <c r="B2925" s="235" t="str">
        <f>IFERROR(__xludf.DUMMYFUNCTION("""COMPUTED_VALUE"""),"CARLITO DELA VEGA")</f>
        <v>CARLITO DELA VEGA</v>
      </c>
      <c r="C2925" s="235" t="str">
        <f>IFERROR(__xludf.DUMMYFUNCTION("""COMPUTED_VALUE"""),"SECURITY")</f>
        <v>SECURITY</v>
      </c>
      <c r="D2925" s="196" t="str">
        <f>IFERROR(__xludf.DUMMYFUNCTION("""COMPUTED_VALUE"""),"- 30 PCS EVAC AREA LABEL 12"" x 24""
- 6 PCS 3 METERS DEMARKATION LABEL 12"" x 36""
- 1 PC DANGER SIGN/LABEL 12"" x 12""
- 1 PC MATERIAL RECOVERY FACILITY LABEL 12"" x 24""
MATERIALS:
3MM ALUMINUM  COMPOSITE, STICKER PRINTED &amp; LAMINATED
QUOTE BY: IMPRENTA"&amp;" GRAPHICS MANILA")</f>
        <v>- 30 PCS EVAC AREA LABEL 12" x 24"
- 6 PCS 3 METERS DEMARKATION LABEL 12" x 36"
- 1 PC DANGER SIGN/LABEL 12" x 12"
- 1 PC MATERIAL RECOVERY FACILITY LABEL 12" x 24"
MATERIALS:
3MM ALUMINUM  COMPOSITE, STICKER PRINTED &amp; LAMINATED
QUOTE BY: IMPRENTA GRAPHICS MANILA</v>
      </c>
      <c r="E2925" s="196" t="str">
        <f>IFERROR(__xludf.DUMMYFUNCTION("""COMPUTED_VALUE"""),"EVAC AREA #11 LABEL")</f>
        <v>EVAC AREA #11 LABEL</v>
      </c>
    </row>
    <row r="2926">
      <c r="A2926" s="234">
        <f>IFERROR(__xludf.DUMMYFUNCTION("""COMPUTED_VALUE"""),103217.0)</f>
        <v>103217</v>
      </c>
      <c r="B2926" s="235" t="str">
        <f>IFERROR(__xludf.DUMMYFUNCTION("""COMPUTED_VALUE"""),"PHEN PETIN")</f>
        <v>PHEN PETIN</v>
      </c>
      <c r="C2926" s="235" t="str">
        <f>IFERROR(__xludf.DUMMYFUNCTION("""COMPUTED_VALUE"""),"ADMIN - STAR")</f>
        <v>ADMIN - STAR</v>
      </c>
      <c r="D2926" s="196" t="str">
        <f>IFERROR(__xludf.DUMMYFUNCTION("""COMPUTED_VALUE"""),"KD WOOD 2X2X10 10 PCS; EPOXY PRIMER 1 TINT; EPOXY ENAMEL 1L; ROLLER 2 PCS;  PAINT BRUSH 2"", CW NAIL  #3 1 KG;")</f>
        <v>KD WOOD 2X2X10 10 PCS; EPOXY PRIMER 1 TINT; EPOXY ENAMEL 1L; ROLLER 2 PCS;  PAINT BRUSH 2", CW NAIL  #3 1 KG;</v>
      </c>
      <c r="E2926" s="196" t="str">
        <f>IFERROR(__xludf.DUMMYFUNCTION("""COMPUTED_VALUE"""),"MATERIALS FOR TARPAULIN INSTALLATION FOR THE SGEN VISIT (STAR CAMPUS)")</f>
        <v>MATERIALS FOR TARPAULIN INSTALLATION FOR THE SGEN VISIT (STAR CAMPUS)</v>
      </c>
    </row>
    <row r="2927">
      <c r="A2927" s="234">
        <f>IFERROR(__xludf.DUMMYFUNCTION("""COMPUTED_VALUE"""),103218.0)</f>
        <v>103218</v>
      </c>
      <c r="B2927" s="235" t="str">
        <f>IFERROR(__xludf.DUMMYFUNCTION("""COMPUTED_VALUE"""),"JOMEL BUTIAL ")</f>
        <v>JOMEL BUTIAL </v>
      </c>
      <c r="C2927" s="235" t="str">
        <f>IFERROR(__xludf.DUMMYFUNCTION("""COMPUTED_VALUE"""),"AMD")</f>
        <v>AMD</v>
      </c>
      <c r="D2927" s="196" t="str">
        <f>IFERROR(__xludf.DUMMYFUNCTION("""COMPUTED_VALUE"""),"- 200 PCS SCOTCH BRITE
- 50 PCS BAYGON WATERBASE 500ML CAN
- 30 GALLON TOP LUSTER
- 50 PACKS CHLORINE PER KILO
- 100 PCS RUBBER GLOVE(BLUE)
- 60 PCS CHAMOIS RUBBER
- 7 PCS CARPET SHAMPOO(TOPNOTCH)
- 7 PCS ZONROX I-9 L")</f>
        <v>- 200 PCS SCOTCH BRITE
- 50 PCS BAYGON WATERBASE 500ML CAN
- 30 GALLON TOP LUSTER
- 50 PACKS CHLORINE PER KILO
- 100 PCS RUBBER GLOVE(BLUE)
- 60 PCS CHAMOIS RUBBER
- 7 PCS CARPET SHAMPOO(TOPNOTCH)
- 7 PCS ZONROX I-9 L</v>
      </c>
      <c r="E2927" s="196" t="str">
        <f>IFERROR(__xludf.DUMMYFUNCTION("""COMPUTED_VALUE"""),"HOUSEKEEPING REPLENISHMENT")</f>
        <v>HOUSEKEEPING REPLENISHMENT</v>
      </c>
    </row>
    <row r="2928">
      <c r="A2928" s="234">
        <f>IFERROR(__xludf.DUMMYFUNCTION("""COMPUTED_VALUE"""),103219.0)</f>
        <v>103219</v>
      </c>
      <c r="B2928" s="235" t="str">
        <f>IFERROR(__xludf.DUMMYFUNCTION("""COMPUTED_VALUE"""),"JOMEL BUTIAL ")</f>
        <v>JOMEL BUTIAL </v>
      </c>
      <c r="C2928" s="235" t="str">
        <f>IFERROR(__xludf.DUMMYFUNCTION("""COMPUTED_VALUE"""),"AMD")</f>
        <v>AMD</v>
      </c>
      <c r="D2928" s="196" t="str">
        <f>IFERROR(__xludf.DUMMYFUNCTION("""COMPUTED_VALUE"""),"ODOR MASCANT -PLEASAN EAROSENSE 20 GALS")</f>
        <v>ODOR MASCANT -PLEASAN EAROSENSE 20 GALS</v>
      </c>
      <c r="E2928" s="196" t="str">
        <f>IFERROR(__xludf.DUMMYFUNCTION("""COMPUTED_VALUE"""),"HOUSEKEEPING REPLENISHMENT")</f>
        <v>HOUSEKEEPING REPLENISHMENT</v>
      </c>
    </row>
    <row r="2929">
      <c r="A2929" s="234">
        <f>IFERROR(__xludf.DUMMYFUNCTION("""COMPUTED_VALUE"""),103220.0)</f>
        <v>103220</v>
      </c>
      <c r="B2929" s="235" t="str">
        <f>IFERROR(__xludf.DUMMYFUNCTION("""COMPUTED_VALUE"""),"JOMEL BUTIAL ")</f>
        <v>JOMEL BUTIAL </v>
      </c>
      <c r="C2929" s="235" t="str">
        <f>IFERROR(__xludf.DUMMYFUNCTION("""COMPUTED_VALUE"""),"AMD")</f>
        <v>AMD</v>
      </c>
      <c r="D2929" s="196" t="str">
        <f>IFERROR(__xludf.DUMMYFUNCTION("""COMPUTED_VALUE"""),"Bidet 30 pcs; Champion Powder Soap 100 pcs")</f>
        <v>Bidet 30 pcs; Champion Powder Soap 100 pcs</v>
      </c>
      <c r="E2929" s="196" t="str">
        <f>IFERROR(__xludf.DUMMYFUNCTION("""COMPUTED_VALUE"""),"HOUSEKEEPING REPLENISHMENT")</f>
        <v>HOUSEKEEPING REPLENISHMENT</v>
      </c>
    </row>
    <row r="2930">
      <c r="A2930" s="234">
        <f>IFERROR(__xludf.DUMMYFUNCTION("""COMPUTED_VALUE"""),103221.0)</f>
        <v>103221</v>
      </c>
      <c r="B2930" s="235" t="str">
        <f>IFERROR(__xludf.DUMMYFUNCTION("""COMPUTED_VALUE"""),"SHEREE ESPINOSA")</f>
        <v>SHEREE ESPINOSA</v>
      </c>
      <c r="C2930" s="235" t="str">
        <f>IFERROR(__xludf.DUMMYFUNCTION("""COMPUTED_VALUE"""),"ADMIN")</f>
        <v>ADMIN</v>
      </c>
      <c r="D2930" s="196" t="str">
        <f>IFERROR(__xludf.DUMMYFUNCTION("""COMPUTED_VALUE"""),"- 2 PCS POWER SPRAY HOSE(50 METERS)
- 1 PC POWER SPRAY GUN")</f>
        <v>- 2 PCS POWER SPRAY HOSE(50 METERS)
- 1 PC POWER SPRAY GUN</v>
      </c>
      <c r="E2930" s="196" t="str">
        <f>IFERROR(__xludf.DUMMYFUNCTION("""COMPUTED_VALUE"""),"FOR REPLACEMENT FTOM POLARIS(BORROWED) BROKEN; USE FOR REGULAR CLEANING IN ALL CAMPUS")</f>
        <v>FOR REPLACEMENT FTOM POLARIS(BORROWED) BROKEN; USE FOR REGULAR CLEANING IN ALL CAMPUS</v>
      </c>
    </row>
    <row r="2931">
      <c r="A2931" s="234">
        <f>IFERROR(__xludf.DUMMYFUNCTION("""COMPUTED_VALUE"""),103222.0)</f>
        <v>103222</v>
      </c>
      <c r="B2931" s="235" t="str">
        <f>IFERROR(__xludf.DUMMYFUNCTION("""COMPUTED_VALUE"""),"ALFA DE LEON")</f>
        <v>ALFA DE LEON</v>
      </c>
      <c r="C2931" s="235" t="str">
        <f>IFERROR(__xludf.DUMMYFUNCTION("""COMPUTED_VALUE"""),"ADMIN - MUNICH")</f>
        <v>ADMIN - MUNICH</v>
      </c>
      <c r="D2931" s="196" t="str">
        <f>IFERROR(__xludf.DUMMYFUNCTION("""COMPUTED_VALUE"""),"12 PCS POTS XL")</f>
        <v>12 PCS POTS XL</v>
      </c>
      <c r="E2931" s="196" t="str">
        <f>IFERROR(__xludf.DUMMYFUNCTION("""COMPUTED_VALUE"""),"MUNICH PREPARATION")</f>
        <v>MUNICH PREPARATION</v>
      </c>
    </row>
    <row r="2932">
      <c r="A2932" s="234">
        <f>IFERROR(__xludf.DUMMYFUNCTION("""COMPUTED_VALUE"""),103223.0)</f>
        <v>103223</v>
      </c>
      <c r="B2932" s="235" t="str">
        <f>IFERROR(__xludf.DUMMYFUNCTION("""COMPUTED_VALUE"""),"ELYDIA REYES")</f>
        <v>ELYDIA REYES</v>
      </c>
      <c r="C2932" s="235" t="str">
        <f>IFERROR(__xludf.DUMMYFUNCTION("""COMPUTED_VALUE"""),"PR &amp; MARKETING")</f>
        <v>PR &amp; MARKETING</v>
      </c>
      <c r="D2932" s="196" t="str">
        <f>IFERROR(__xludf.DUMMYFUNCTION("""COMPUTED_VALUE"""),"2 PCS AZ ROAD BILLBOAD 15 OZ TARP 1.5 x 3.5 METERS")</f>
        <v>2 PCS AZ ROAD BILLBOAD 15 OZ TARP 1.5 x 3.5 METERS</v>
      </c>
      <c r="E2932" s="196" t="str">
        <f>IFERROR(__xludf.DUMMYFUNCTION("""COMPUTED_VALUE"""),"MARKETING PROMOTION")</f>
        <v>MARKETING PROMOTION</v>
      </c>
    </row>
    <row r="2933">
      <c r="A2933" s="234">
        <f>IFERROR(__xludf.DUMMYFUNCTION("""COMPUTED_VALUE"""),103224.0)</f>
        <v>103224</v>
      </c>
      <c r="B2933" s="235" t="str">
        <f>IFERROR(__xludf.DUMMYFUNCTION("""COMPUTED_VALUE"""),"JOHN ROEZEL FUENTES")</f>
        <v>JOHN ROEZEL FUENTES</v>
      </c>
      <c r="C2933" s="235" t="str">
        <f>IFERROR(__xludf.DUMMYFUNCTION("""COMPUTED_VALUE"""),"REGISTRATION")</f>
        <v>REGISTRATION</v>
      </c>
      <c r="D2933" s="196" t="str">
        <f>IFERROR(__xludf.DUMMYFUNCTION("""COMPUTED_VALUE"""),"- 2 REAMS/BOX PURPLE SPECIAL PAPER ASTROBRIGHT/COLORPLUS
- 2 REAMS/BOX COSMIC ORANGE SPECIAL PAPER ASTROBRIGHT/COLORPLUS
- 1 REAM/BOX SOLAR YELLOW SPECIAL PAPER ASTROBRIGHT/COLORPLUS
- 3 REAMS/BOX TERRA GREEN SPECIAL PAPER ASTROBRIGHT/COLORPLUS
- 2 REAMS/"&amp;"BOX BLUE SPECIAL PAPER ASTROBRIGHT/COLORPLUS
- 2 REAMS/BOX GRAY SPECIAL PAPER ASTROBRIGHT/COLORPLUS")</f>
        <v>- 2 REAMS/BOX PURPLE SPECIAL PAPER ASTROBRIGHT/COLORPLUS
- 2 REAMS/BOX COSMIC ORANGE SPECIAL PAPER ASTROBRIGHT/COLORPLUS
- 1 REAM/BOX SOLAR YELLOW SPECIAL PAPER ASTROBRIGHT/COLORPLUS
- 3 REAMS/BOX TERRA GREEN SPECIAL PAPER ASTROBRIGHT/COLORPLUS
- 2 REAMS/BOX BLUE SPECIAL PAPER ASTROBRIGHT/COLORPLUS
- 2 REAMS/BOX GRAY SPECIAL PAPER ASTROBRIGHT/COLORPLUS</v>
      </c>
      <c r="E2933" s="196" t="str">
        <f>IFERROR(__xludf.DUMMYFUNCTION("""COMPUTED_VALUE"""),"FOR PRINTING OFFICIAL REGISTRATION FORMS")</f>
        <v>FOR PRINTING OFFICIAL REGISTRATION FORMS</v>
      </c>
    </row>
    <row r="2934">
      <c r="A2934" s="234">
        <f>IFERROR(__xludf.DUMMYFUNCTION("""COMPUTED_VALUE"""),103225.0)</f>
        <v>103225</v>
      </c>
      <c r="B2934" s="235" t="str">
        <f>IFERROR(__xludf.DUMMYFUNCTION("""COMPUTED_VALUE"""),"GENE L-L")</f>
        <v>GENE L-L</v>
      </c>
      <c r="C2934" s="235" t="str">
        <f>IFERROR(__xludf.DUMMYFUNCTION("""COMPUTED_VALUE"""),"CEM")</f>
        <v>CEM</v>
      </c>
      <c r="D2934" s="196" t="str">
        <f>IFERROR(__xludf.DUMMYFUNCTION("""COMPUTED_VALUE"""),"- 75 PCS LONG PLASTIC NOT EXPANDABLE ENVELOPE
- 100 PCS SHORT PLASTIC NOT EXPANDABLE ENVELOPE")</f>
        <v>- 75 PCS LONG PLASTIC NOT EXPANDABLE ENVELOPE
- 100 PCS SHORT PLASTIC NOT EXPANDABLE ENVELOPE</v>
      </c>
      <c r="E2934" s="196" t="str">
        <f>IFERROR(__xludf.DUMMYFUNCTION("""COMPUTED_VALUE"""),"FOR MESSENGERING BETWEEN SATELLITE OFFICE")</f>
        <v>FOR MESSENGERING BETWEEN SATELLITE OFFICE</v>
      </c>
    </row>
    <row r="2935">
      <c r="A2935" s="234">
        <f>IFERROR(__xludf.DUMMYFUNCTION("""COMPUTED_VALUE"""),103226.0)</f>
        <v>103226</v>
      </c>
      <c r="B2935" s="235" t="str">
        <f>IFERROR(__xludf.DUMMYFUNCTION("""COMPUTED_VALUE"""),"ALFA DE LEON")</f>
        <v>ALFA DE LEON</v>
      </c>
      <c r="C2935" s="235" t="str">
        <f>IFERROR(__xludf.DUMMYFUNCTION("""COMPUTED_VALUE"""),"LANDSCAPING")</f>
        <v>LANDSCAPING</v>
      </c>
      <c r="D2935" s="196" t="str">
        <f>IFERROR(__xludf.DUMMYFUNCTION("""COMPUTED_VALUE""")," 3 PCS WHEELBARROW")</f>
        <v> 3 PCS WHEELBARROW</v>
      </c>
      <c r="E2935" s="196" t="str">
        <f>IFERROR(__xludf.DUMMYFUNCTION("""COMPUTED_VALUE"""),"REPLACEMENT OF BROKEN WHEELBARROW - SOCCERFIELD, TROPICAL/COLLEGE/MUNICH/LUX")</f>
        <v>REPLACEMENT OF BROKEN WHEELBARROW - SOCCERFIELD, TROPICAL/COLLEGE/MUNICH/LUX</v>
      </c>
    </row>
    <row r="2936">
      <c r="A2936" s="234">
        <f>IFERROR(__xludf.DUMMYFUNCTION("""COMPUTED_VALUE"""),103227.0)</f>
        <v>103227</v>
      </c>
      <c r="B2936" s="235" t="str">
        <f>IFERROR(__xludf.DUMMYFUNCTION("""COMPUTED_VALUE"""),"MELISSA N. ODONO/MARIE MIRANDO")</f>
        <v>MELISSA N. ODONO/MARIE MIRANDO</v>
      </c>
      <c r="C2936" s="235" t="str">
        <f>IFERROR(__xludf.DUMMYFUNCTION("""COMPUTED_VALUE"""),"LIBRARY")</f>
        <v>LIBRARY</v>
      </c>
      <c r="D2936" s="196" t="str">
        <f>IFERROR(__xludf.DUMMYFUNCTION("""COMPUTED_VALUE"""),"- 1 PC BIOLOGY, 2023, PB
- 1 PC CHEMISTRY FOR TODAY, 2022, 10E, HB
- 1 PC GENERAL PHYSICS 1 W/ DVD, 2022, 3E, PB
- 1 PC KEY CONCEPTS IN CHEMISTRY, 2022, PB
- 1 PC TEXTBOOK OF CHEMISTRY, 2020, PB
- 1 PC ESSENTIALS OF YOUTH FITNESS, W/ DVD, 2022, PB
- 1 PC "&amp;"PHYSICAL EDUCATION AND DEVELOPMENT, 2020, HB
- 1 PC LIFETIME PHYSICAL FITNESS &amp; WELNNES, 2022, 16E, PB
- 1 PC APPLIED ALGEBRAIC &amp; DIFFERENTIAL CALCULUS, 2022, HB
- 1 PC SAMPLING: DESIGN AND ANALYSIS, 2022, 3E, HB
- 1 PC STATISTICAL INFERENCE AND PROBABILI"&amp;"TY, 2022, PB
- 1 PC STATISTICAL METHODS FOR RELIABILITY DATA, 2022, 2E, HB
- 1 PC ELEMENTS OF PHILOSOPHY, THE, 2022, PB")</f>
        <v>- 1 PC BIOLOGY, 2023, PB
- 1 PC CHEMISTRY FOR TODAY, 2022, 10E, HB
- 1 PC GENERAL PHYSICS 1 W/ DVD, 2022, 3E, PB
- 1 PC KEY CONCEPTS IN CHEMISTRY, 2022, PB
- 1 PC TEXTBOOK OF CHEMISTRY, 2020, PB
- 1 PC ESSENTIALS OF YOUTH FITNESS, W/ DVD, 2022, PB
- 1 PC PHYSICAL EDUCATION AND DEVELOPMENT, 2020, HB
- 1 PC LIFETIME PHYSICAL FITNESS &amp; WELNNES, 2022, 16E, PB
- 1 PC APPLIED ALGEBRAIC &amp; DIFFERENTIAL CALCULUS, 2022, HB
- 1 PC SAMPLING: DESIGN AND ANALYSIS, 2022, 3E, HB
- 1 PC STATISTICAL INFERENCE AND PROBABILITY, 2022, PB
- 1 PC STATISTICAL METHODS FOR RELIABILITY DATA, 2022, 2E, HB
- 1 PC ELEMENTS OF PHILOSOPHY, THE, 2022, PB</v>
      </c>
      <c r="E2936" s="196" t="str">
        <f>IFERROR(__xludf.DUMMYFUNCTION("""COMPUTED_VALUE"""),"LIBRARY'S COPY/FOR FACULTY/MGT/STAFF USE/PACUCOA COMPLIANCE")</f>
        <v>LIBRARY'S COPY/FOR FACULTY/MGT/STAFF USE/PACUCOA COMPLIANCE</v>
      </c>
    </row>
    <row r="2937">
      <c r="A2937" s="234">
        <f>IFERROR(__xludf.DUMMYFUNCTION("""COMPUTED_VALUE"""),103228.0)</f>
        <v>103228</v>
      </c>
      <c r="B2937" s="235" t="str">
        <f>IFERROR(__xludf.DUMMYFUNCTION("""COMPUTED_VALUE"""),"MELISSA N. ODONO/KRISTEN GABUTERO")</f>
        <v>MELISSA N. ODONO/KRISTEN GABUTERO</v>
      </c>
      <c r="C2937" s="235" t="str">
        <f>IFERROR(__xludf.DUMMYFUNCTION("""COMPUTED_VALUE"""),"LIBRARY")</f>
        <v>LIBRARY</v>
      </c>
      <c r="D2937" s="196" t="str">
        <f>IFERROR(__xludf.DUMMYFUNCTION("""COMPUTED_VALUE"""),"- 1 PC ENVIRONMENT ETHICS
- 1 PC ETHICS AND ATTACHMENT
- 1 PC PHILOSOPHY OF MIND: AN INTRO
- 1 PC COLLEGE WRITING SKILLS WITH READING AND WRITING
- 1 PC COMMUNICATION ENGLISH LANGUAGE SKILLS
- 1 PC IMPROVE YOUR GRAMMAR: THE ESSENTIAL TO ACCURATE WRITING
-"&amp;" 1 PC INTERCHANGE: READING AND WRITING CRITICALLY
- 1 PC LEARNING TO TEACH ENGLISH AND LANGUAGE ARTS")</f>
        <v>- 1 PC ENVIRONMENT ETHICS
- 1 PC ETHICS AND ATTACHMENT
- 1 PC PHILOSOPHY OF MIND: AN INTRO
- 1 PC COLLEGE WRITING SKILLS WITH READING AND WRITING
- 1 PC COMMUNICATION ENGLISH LANGUAGE SKILLS
- 1 PC IMPROVE YOUR GRAMMAR: THE ESSENTIAL TO ACCURATE WRITING
- 1 PC INTERCHANGE: READING AND WRITING CRITICALLY
- 1 PC LEARNING TO TEACH ENGLISH AND LANGUAGE ARTS</v>
      </c>
      <c r="E2937" s="196" t="str">
        <f>IFERROR(__xludf.DUMMYFUNCTION("""COMPUTED_VALUE"""),"LIBRARY'S COPY/FOR FACULTY/MGT/STAFF USE/PACUCOA COMPLIANCE")</f>
        <v>LIBRARY'S COPY/FOR FACULTY/MGT/STAFF USE/PACUCOA COMPLIANCE</v>
      </c>
    </row>
    <row r="2938">
      <c r="A2938" s="234">
        <f>IFERROR(__xludf.DUMMYFUNCTION("""COMPUTED_VALUE"""),103229.0)</f>
        <v>103229</v>
      </c>
      <c r="B2938" s="235" t="str">
        <f>IFERROR(__xludf.DUMMYFUNCTION("""COMPUTED_VALUE"""),"ALLISTINE C. PEREZ")</f>
        <v>ALLISTINE C. PEREZ</v>
      </c>
      <c r="C2938" s="235" t="str">
        <f>IFERROR(__xludf.DUMMYFUNCTION("""COMPUTED_VALUE"""),"REGISTRATION")</f>
        <v>REGISTRATION</v>
      </c>
      <c r="D2938" s="196" t="str">
        <f>IFERROR(__xludf.DUMMYFUNCTION("""COMPUTED_VALUE"""),"- 200 PCS GRADE SCHOOL REPORT CARD PAPER
- 200 PCS JUNIOR HIGH SCHOOL REPORT CARD PAPER
- 200 PCS SENIOR HIGH SCHOOL REPORT CARD PAPER
- 1200 PCS REPORT CARD HOLDER
- 1400 PCS SOUTHVILLE ENVELOPE(BIG)
NOTE:
PLEASE SEE ATTACHED SAMPLES. FOR THE BIG ENVELO"&amp;"PE, WE WILL SEND THE DESIGN TO SIR JC CAMPIT'S EMAIL.")</f>
        <v>- 200 PCS GRADE SCHOOL REPORT CARD PAPER
- 200 PCS JUNIOR HIGH SCHOOL REPORT CARD PAPER
- 200 PCS SENIOR HIGH SCHOOL REPORT CARD PAPER
- 1200 PCS REPORT CARD HOLDER
- 1400 PCS SOUTHVILLE ENVELOPE(BIG)
NOTE:
PLEASE SEE ATTACHED SAMPLES. FOR THE BIG ENVELOPE, WE WILL SEND THE DESIGN TO SIR JC CAMPIT'S EMAIL.</v>
      </c>
      <c r="E2938" s="196" t="str">
        <f>IFERROR(__xludf.DUMMYFUNCTION("""COMPUTED_VALUE"""),"FOR REPORT CARD RELEASE")</f>
        <v>FOR REPORT CARD RELEASE</v>
      </c>
    </row>
    <row r="2939">
      <c r="A2939" s="234">
        <f>IFERROR(__xludf.DUMMYFUNCTION("""COMPUTED_VALUE"""),103230.0)</f>
        <v>103230</v>
      </c>
      <c r="B2939" s="235" t="str">
        <f>IFERROR(__xludf.DUMMYFUNCTION("""COMPUTED_VALUE"""),"CHRISTIAN GALICIA")</f>
        <v>CHRISTIAN GALICIA</v>
      </c>
      <c r="C2939" s="235" t="str">
        <f>IFERROR(__xludf.DUMMYFUNCTION("""COMPUTED_VALUE"""),"AMD")</f>
        <v>AMD</v>
      </c>
      <c r="D2939" s="196" t="str">
        <f>IFERROR(__xludf.DUMMYFUNCTION("""COMPUTED_VALUE"""),"- 4 PCS HDP500 FILM(FOR ID PRINTER HDP5000)
- 10 PCS HDP500 YMCR RIBBON(FOR ID PRINTER HDP500)")</f>
        <v>- 4 PCS HDP500 FILM(FOR ID PRINTER HDP5000)
- 10 PCS HDP500 YMCR RIBBON(FOR ID PRINTER HDP500)</v>
      </c>
      <c r="E2939" s="196" t="str">
        <f>IFERROR(__xludf.DUMMYFUNCTION("""COMPUTED_VALUE"""),"FOR PRINTING OF ID FOR AY 2023 - 2024")</f>
        <v>FOR PRINTING OF ID FOR AY 2023 - 2024</v>
      </c>
    </row>
    <row r="2940">
      <c r="A2940" s="234">
        <f>IFERROR(__xludf.DUMMYFUNCTION("""COMPUTED_VALUE"""),103231.0)</f>
        <v>103231</v>
      </c>
      <c r="B2940" s="235" t="str">
        <f>IFERROR(__xludf.DUMMYFUNCTION("""COMPUTED_VALUE"""),"CHRISTIAN GALICIA")</f>
        <v>CHRISTIAN GALICIA</v>
      </c>
      <c r="C2940" s="235" t="str">
        <f>IFERROR(__xludf.DUMMYFUNCTION("""COMPUTED_VALUE"""),"AMD")</f>
        <v>AMD</v>
      </c>
      <c r="D2940" s="196" t="str">
        <f>IFERROR(__xludf.DUMMYFUNCTION("""COMPUTED_VALUE"""),"2,055 PCS LANYARD, SISC PRINT W/ ID PRO LANOSCAPE(NEW LOGO) 20CM")</f>
        <v>2,055 PCS LANYARD, SISC PRINT W/ ID PRO LANOSCAPE(NEW LOGO) 20CM</v>
      </c>
      <c r="E2940" s="196" t="str">
        <f>IFERROR(__xludf.DUMMYFUNCTION("""COMPUTED_VALUE"""),"ID MATERIALS FOR AY 2023 - 2024")</f>
        <v>ID MATERIALS FOR AY 2023 - 2024</v>
      </c>
    </row>
    <row r="2941">
      <c r="A2941" s="234">
        <f>IFERROR(__xludf.DUMMYFUNCTION("""COMPUTED_VALUE"""),103232.0)</f>
        <v>103232</v>
      </c>
      <c r="B2941" s="235" t="str">
        <f>IFERROR(__xludf.DUMMYFUNCTION("""COMPUTED_VALUE"""),"CHRISTIAN GALICIA")</f>
        <v>CHRISTIAN GALICIA</v>
      </c>
      <c r="C2941" s="235" t="str">
        <f>IFERROR(__xludf.DUMMYFUNCTION("""COMPUTED_VALUE"""),"AMD")</f>
        <v>AMD</v>
      </c>
      <c r="D2941" s="196" t="str">
        <f>IFERROR(__xludf.DUMMYFUNCTION("""COMPUTED_VALUE"""),"3,921 PCS MIFARE IK BIT-CONTACTLESS CARD MODEL 10T CROM65")</f>
        <v>3,921 PCS MIFARE IK BIT-CONTACTLESS CARD MODEL 10T CROM65</v>
      </c>
      <c r="E2941" s="196" t="str">
        <f>IFERROR(__xludf.DUMMYFUNCTION("""COMPUTED_VALUE"""),"ID MATERIALS FOR AY 2023 - 2024")</f>
        <v>ID MATERIALS FOR AY 2023 - 2024</v>
      </c>
    </row>
    <row r="2942">
      <c r="A2942" s="234">
        <f>IFERROR(__xludf.DUMMYFUNCTION("""COMPUTED_VALUE"""),103233.0)</f>
        <v>103233</v>
      </c>
      <c r="B2942" s="235" t="str">
        <f>IFERROR(__xludf.DUMMYFUNCTION("""COMPUTED_VALUE"""),"CHRISTIAN ANDRES ")</f>
        <v>CHRISTIAN ANDRES </v>
      </c>
      <c r="C2942" s="235" t="str">
        <f>IFERROR(__xludf.DUMMYFUNCTION("""COMPUTED_VALUE"""),"PR &amp; MARKETING")</f>
        <v>PR &amp; MARKETING</v>
      </c>
      <c r="D2942" s="196" t="str">
        <f>IFERROR(__xludf.DUMMYFUNCTION("""COMPUTED_VALUE"""),"1 PC LEVEL UP YOUR CAREER TARP(EYELET ALL OVER W/ SEAMING AND BLACK OUT)
- 12.2 x 14.3 FEET")</f>
        <v>1 PC LEVEL UP YOUR CAREER TARP(EYELET ALL OVER W/ SEAMING AND BLACK OUT)
- 12.2 x 14.3 FEET</v>
      </c>
      <c r="E2942" s="196" t="str">
        <f>IFERROR(__xludf.DUMMYFUNCTION("""COMPUTED_VALUE"""),"FOR PROMOTION")</f>
        <v>FOR PROMOTION</v>
      </c>
    </row>
    <row r="2943">
      <c r="A2943" s="234">
        <f>IFERROR(__xludf.DUMMYFUNCTION("""COMPUTED_VALUE"""),103234.0)</f>
        <v>103234</v>
      </c>
      <c r="B2943" s="235" t="str">
        <f>IFERROR(__xludf.DUMMYFUNCTION("""COMPUTED_VALUE"""),"OWIE PAR")</f>
        <v>OWIE PAR</v>
      </c>
      <c r="C2943" s="235" t="str">
        <f>IFERROR(__xludf.DUMMYFUNCTION("""COMPUTED_VALUE"""),"ENGINEERING")</f>
        <v>ENGINEERING</v>
      </c>
      <c r="D2943" s="196" t="str">
        <f>IFERROR(__xludf.DUMMYFUNCTION("""COMPUTED_VALUE"""),"2 UNITS FLOOD LIGHT 150 WATT DAYLIGHT AC TYPE")</f>
        <v>2 UNITS FLOOD LIGHT 150 WATT DAYLIGHT AC TYPE</v>
      </c>
      <c r="E2943" s="196" t="str">
        <f>IFERROR(__xludf.DUMMYFUNCTION("""COMPUTED_VALUE"""),"FOR MONARCH PARK ADDITIONAL LIGHTS")</f>
        <v>FOR MONARCH PARK ADDITIONAL LIGHTS</v>
      </c>
    </row>
    <row r="2944">
      <c r="A2944" s="234">
        <f>IFERROR(__xludf.DUMMYFUNCTION("""COMPUTED_VALUE"""),103235.0)</f>
        <v>103235</v>
      </c>
      <c r="B2944" s="235" t="str">
        <f>IFERROR(__xludf.DUMMYFUNCTION("""COMPUTED_VALUE"""),"OWIE PAR")</f>
        <v>OWIE PAR</v>
      </c>
      <c r="C2944" s="235" t="str">
        <f>IFERROR(__xludf.DUMMYFUNCTION("""COMPUTED_VALUE"""),"ENGINEERING")</f>
        <v>ENGINEERING</v>
      </c>
      <c r="D2944" s="196" t="str">
        <f>IFERROR(__xludf.DUMMYFUNCTION("""COMPUTED_VALUE"""),"1 SET CIRCUIT BREAKER 30 AMP 2 POLE BOLT ON IN NEMA ENCLOSURE(METALLIC)")</f>
        <v>1 SET CIRCUIT BREAKER 30 AMP 2 POLE BOLT ON IN NEMA ENCLOSURE(METALLIC)</v>
      </c>
      <c r="E2944" s="196" t="str">
        <f>IFERROR(__xludf.DUMMYFUNCTION("""COMPUTED_VALUE"""),"FOR MMA DRAWING ROOM")</f>
        <v>FOR MMA DRAWING ROOM</v>
      </c>
    </row>
    <row r="2945">
      <c r="A2945" s="234">
        <f>IFERROR(__xludf.DUMMYFUNCTION("""COMPUTED_VALUE"""),103236.0)</f>
        <v>103236</v>
      </c>
      <c r="B2945" s="235" t="str">
        <f>IFERROR(__xludf.DUMMYFUNCTION("""COMPUTED_VALUE"""),"LIZA JIMENEZ")</f>
        <v>LIZA JIMENEZ</v>
      </c>
      <c r="C2945" s="235" t="str">
        <f>IFERROR(__xludf.DUMMYFUNCTION("""COMPUTED_VALUE"""),"NURSING")</f>
        <v>NURSING</v>
      </c>
      <c r="D2945" s="196" t="str">
        <f>IFERROR(__xludf.DUMMYFUNCTION("""COMPUTED_VALUE"""),"59 PCS. NAMEPLATE")</f>
        <v>59 PCS. NAMEPLATE</v>
      </c>
      <c r="E2945" s="196" t="str">
        <f>IFERROR(__xludf.DUMMYFUNCTION("""COMPUTED_VALUE"""),"BSN 4 NAME PLATE")</f>
        <v>BSN 4 NAME PLATE</v>
      </c>
    </row>
    <row r="2946">
      <c r="A2946" s="234">
        <f>IFERROR(__xludf.DUMMYFUNCTION("""COMPUTED_VALUE"""),103237.0)</f>
        <v>103237</v>
      </c>
      <c r="B2946" s="235" t="str">
        <f>IFERROR(__xludf.DUMMYFUNCTION("""COMPUTED_VALUE"""),"OWIE PAR")</f>
        <v>OWIE PAR</v>
      </c>
      <c r="C2946" s="235" t="str">
        <f>IFERROR(__xludf.DUMMYFUNCTION("""COMPUTED_VALUE"""),"ENGINEERING")</f>
        <v>ENGINEERING</v>
      </c>
      <c r="D2946" s="196" t="str">
        <f>IFERROR(__xludf.DUMMYFUNCTION("""COMPUTED_VALUE"""),"2 PAILS STATE LIME SOLVENT")</f>
        <v>2 PAILS STATE LIME SOLVENT</v>
      </c>
      <c r="E2946" s="196" t="str">
        <f>IFERROR(__xludf.DUMMYFUNCTION("""COMPUTED_VALUE"""),"FOR MOTOR WATERPUMP, ELECTRIC FANS, ACUS, AND OTHERS")</f>
        <v>FOR MOTOR WATERPUMP, ELECTRIC FANS, ACUS, AND OTHERS</v>
      </c>
    </row>
    <row r="2947">
      <c r="A2947" s="234">
        <f>IFERROR(__xludf.DUMMYFUNCTION("""COMPUTED_VALUE"""),103238.0)</f>
        <v>103238</v>
      </c>
      <c r="B2947" s="235" t="str">
        <f>IFERROR(__xludf.DUMMYFUNCTION("""COMPUTED_VALUE"""),"OWIE PAR")</f>
        <v>OWIE PAR</v>
      </c>
      <c r="C2947" s="235" t="str">
        <f>IFERROR(__xludf.DUMMYFUNCTION("""COMPUTED_VALUE"""),"ENGINEERING")</f>
        <v>ENGINEERING</v>
      </c>
      <c r="D2947" s="196" t="str">
        <f>IFERROR(__xludf.DUMMYFUNCTION("""COMPUTED_VALUE"""),"2 PAILS STATE GREASE B GONE")</f>
        <v>2 PAILS STATE GREASE B GONE</v>
      </c>
      <c r="E2947" s="196" t="str">
        <f>IFERROR(__xludf.DUMMYFUNCTION("""COMPUTED_VALUE"""),"FOR GREASE TRAP CLEANING, LUX, COLLEGE, FOODCOURT, AND MUNICH")</f>
        <v>FOR GREASE TRAP CLEANING, LUX, COLLEGE, FOODCOURT, AND MUNICH</v>
      </c>
    </row>
    <row r="2948">
      <c r="A2948" s="234">
        <f>IFERROR(__xludf.DUMMYFUNCTION("""COMPUTED_VALUE"""),103239.0)</f>
        <v>103239</v>
      </c>
      <c r="B2948" s="235" t="str">
        <f>IFERROR(__xludf.DUMMYFUNCTION("""COMPUTED_VALUE"""),"OWIE PAR")</f>
        <v>OWIE PAR</v>
      </c>
      <c r="C2948" s="235" t="str">
        <f>IFERROR(__xludf.DUMMYFUNCTION("""COMPUTED_VALUE"""),"ENGINEERING")</f>
        <v>ENGINEERING</v>
      </c>
      <c r="D2948" s="196" t="str">
        <f>IFERROR(__xludf.DUMMYFUNCTION("""COMPUTED_VALUE"""),"1 UNIT WALL MOUNTED TYPE EXHAUST FAN 12 x 12")</f>
        <v>1 UNIT WALL MOUNTED TYPE EXHAUST FAN 12 x 12</v>
      </c>
      <c r="E2948" s="196" t="str">
        <f>IFERROR(__xludf.DUMMYFUNCTION("""COMPUTED_VALUE"""),"FOR V-PAR OFFICE COLLEGE ROOM")</f>
        <v>FOR V-PAR OFFICE COLLEGE ROOM</v>
      </c>
    </row>
    <row r="2949">
      <c r="A2949" s="234">
        <f>IFERROR(__xludf.DUMMYFUNCTION("""COMPUTED_VALUE"""),103240.0)</f>
        <v>103240</v>
      </c>
      <c r="B2949" s="235" t="str">
        <f>IFERROR(__xludf.DUMMYFUNCTION("""COMPUTED_VALUE"""),"OWIE PAR")</f>
        <v>OWIE PAR</v>
      </c>
      <c r="C2949" s="235" t="str">
        <f>IFERROR(__xludf.DUMMYFUNCTION("""COMPUTED_VALUE"""),"ENGINEERING")</f>
        <v>ENGINEERING</v>
      </c>
      <c r="D2949" s="196" t="str">
        <f>IFERROR(__xludf.DUMMYFUNCTION("""COMPUTED_VALUE"""),"- 50 KGS ALUMINUM SULFATE
- 50 KGS ANFLOC POLYMER")</f>
        <v>- 50 KGS ALUMINUM SULFATE
- 50 KGS ANFLOC POLYMER</v>
      </c>
      <c r="E2949" s="196" t="str">
        <f>IFERROR(__xludf.DUMMYFUNCTION("""COMPUTED_VALUE"""),"FOR WATER TREATMENT FACILITIES")</f>
        <v>FOR WATER TREATMENT FACILITIES</v>
      </c>
    </row>
    <row r="2950">
      <c r="A2950" s="234">
        <f>IFERROR(__xludf.DUMMYFUNCTION("""COMPUTED_VALUE"""),103241.0)</f>
        <v>103241</v>
      </c>
      <c r="B2950" s="235" t="str">
        <f>IFERROR(__xludf.DUMMYFUNCTION("""COMPUTED_VALUE"""),"LUCILLE BEYER")</f>
        <v>LUCILLE BEYER</v>
      </c>
      <c r="C2950" s="235" t="str">
        <f>IFERROR(__xludf.DUMMYFUNCTION("""COMPUTED_VALUE"""),"MEDICAL")</f>
        <v>MEDICAL</v>
      </c>
      <c r="D2950" s="196" t="str">
        <f>IFERROR(__xludf.DUMMYFUNCTION("""COMPUTED_VALUE"""),"- 100 PCS BIOGEIC
- 100 PCS BIOFLU
- 100 PCS ALAXAN
- 1OO PCS NEOZEP
- 4 PACKS/5S NEBULE
- 100 PCS ADVIL
- 4 BOTS/120 MG/5 ML PARACETAMOL-TEMPRA
- 20 PCS CATAPRES
- 100 PCS LOPERAMIDE
- 50 PCS SOLMUX
- 50 PCS DIZZITAB 25 MG
- 100 PCS MEFENAMIC ACID
- 1 BO"&amp;"X/20S CALMOSEPTINE
- 20 BOXES/10S SALONPAS
- 10 BOXES/100S BAND AID
- 2 BOTTLES PAIN RELIEF SPRAY
- 5 200S/PACK COTTON BUDS
- 10 BOTTLES WHITE FLOWER 20ML
- 30 BOXES/BY 50S DISPOSABLE MASKS
- 20 ROLLS ELASTIC BANDAGE 4""
- 100 4"" x 4""/10 PCS/PACK GAUZE "&amp;"PAD
- 5 BOTS/120ML OMEGA PAIN KILLER OINTMENT
- 5 BOTS/235 ML EFFICASENT OIL
- 3 BOTS/681 ML LYSOL SPRAY ORANGE
- 10 PACK/150 BALLS CLEENE COTTON BALLS")</f>
        <v>- 100 PCS BIOGEIC
- 100 PCS BIOFLU
- 100 PCS ALAXAN
- 1OO PCS NEOZEP
- 4 PACKS/5S NEBULE
- 100 PCS ADVIL
- 4 BOTS/120 MG/5 ML PARACETAMOL-TEMPRA
- 20 PCS CATAPRES
- 100 PCS LOPERAMIDE
- 50 PCS SOLMUX
- 50 PCS DIZZITAB 25 MG
- 100 PCS MEFENAMIC ACID
- 1 BOX/20S CALMOSEPTINE
- 20 BOXES/10S SALONPAS
- 10 BOXES/100S BAND AID
- 2 BOTTLES PAIN RELIEF SPRAY
- 5 200S/PACK COTTON BUDS
- 10 BOTTLES WHITE FLOWER 20ML
- 30 BOXES/BY 50S DISPOSABLE MASKS
- 20 ROLLS ELASTIC BANDAGE 4"
- 100 4" x 4"/10 PCS/PACK GAUZE PAD
- 5 BOTS/120ML OMEGA PAIN KILLER OINTMENT
- 5 BOTS/235 ML EFFICASENT OIL
- 3 BOTS/681 ML LYSOL SPRAY ORANGE
- 10 PACK/150 BALLS CLEENE COTTON BALLS</v>
      </c>
      <c r="E2950" s="196" t="str">
        <f>IFERROR(__xludf.DUMMYFUNCTION("""COMPUTED_VALUE"""),"REPLENISHMENT OF CLINIC SUPPLIES/MEDICINES FOR 3 CLINICS")</f>
        <v>REPLENISHMENT OF CLINIC SUPPLIES/MEDICINES FOR 3 CLINICS</v>
      </c>
    </row>
    <row r="2951">
      <c r="A2951" s="234">
        <f>IFERROR(__xludf.DUMMYFUNCTION("""COMPUTED_VALUE"""),103242.0)</f>
        <v>103242</v>
      </c>
      <c r="B2951" s="235" t="str">
        <f>IFERROR(__xludf.DUMMYFUNCTION("""COMPUTED_VALUE"""),"SHEREE ESPINOSA")</f>
        <v>SHEREE ESPINOSA</v>
      </c>
      <c r="C2951" s="235" t="str">
        <f>IFERROR(__xludf.DUMMYFUNCTION("""COMPUTED_VALUE"""),"ADMIN")</f>
        <v>ADMIN</v>
      </c>
      <c r="D2951" s="196" t="str">
        <f>IFERROR(__xludf.DUMMYFUNCTION("""COMPUTED_VALUE"""),"2 SETS SOFA CUSHION COVER(DESIGN C/O PALMS)
COLOR: BEIGE")</f>
        <v>2 SETS SOFA CUSHION COVER(DESIGN C/O PALMS)
COLOR: BEIGE</v>
      </c>
      <c r="E2951" s="196" t="str">
        <f>IFERROR(__xludf.DUMMYFUNCTION("""COMPUTED_VALUE"""),"SOFA CUSHION COVER FOR COLLEGE LOUNGE")</f>
        <v>SOFA CUSHION COVER FOR COLLEGE LOUNGE</v>
      </c>
    </row>
    <row r="2952">
      <c r="A2952" s="234">
        <f>IFERROR(__xludf.DUMMYFUNCTION("""COMPUTED_VALUE"""),103243.0)</f>
        <v>103243</v>
      </c>
      <c r="B2952" s="235" t="str">
        <f>IFERROR(__xludf.DUMMYFUNCTION("""COMPUTED_VALUE"""),"ANGELICA LAGDAMEO/JEREMIAH TIROL")</f>
        <v>ANGELICA LAGDAMEO/JEREMIAH TIROL</v>
      </c>
      <c r="C2952" s="235" t="str">
        <f>IFERROR(__xludf.DUMMYFUNCTION("""COMPUTED_VALUE"""),"COLLEGE DEPARTMENT")</f>
        <v>COLLEGE DEPARTMENT</v>
      </c>
      <c r="D2952" s="196" t="str">
        <f>IFERROR(__xludf.DUMMYFUNCTION("""COMPUTED_VALUE"""),"1 LOT CONSUMABLES/NON-CONSUMABLES CHEMICALS")</f>
        <v>1 LOT CONSUMABLES/NON-CONSUMABLES CHEMICALS</v>
      </c>
      <c r="E2952" s="196" t="str">
        <f>IFERROR(__xludf.DUMMYFUNCTION("""COMPUTED_VALUE"""),"REPLENISHMENT OF MATERIALS")</f>
        <v>REPLENISHMENT OF MATERIALS</v>
      </c>
    </row>
    <row r="2953">
      <c r="A2953" s="234">
        <f>IFERROR(__xludf.DUMMYFUNCTION("""COMPUTED_VALUE"""),103244.0)</f>
        <v>103244</v>
      </c>
      <c r="B2953" s="235" t="str">
        <f>IFERROR(__xludf.DUMMYFUNCTION("""COMPUTED_VALUE"""),"MARK M. PABUSTAN")</f>
        <v>MARK M. PABUSTAN</v>
      </c>
      <c r="C2953" s="235" t="str">
        <f>IFERROR(__xludf.DUMMYFUNCTION("""COMPUTED_VALUE"""),"MIS")</f>
        <v>MIS</v>
      </c>
      <c r="D2953" s="196" t="str">
        <f>IFERROR(__xludf.DUMMYFUNCTION("""COMPUTED_VALUE"""),"- 1 DIMAFIX PEN 90ML(ADHESIVE)
- 2 3D PRINTER FILAMENT PLA(1.75 MM)(SILVER)")</f>
        <v>- 1 DIMAFIX PEN 90ML(ADHESIVE)
- 2 3D PRINTER FILAMENT PLA(1.75 MM)(SILVER)</v>
      </c>
      <c r="E2953" s="196" t="str">
        <f>IFERROR(__xludf.DUMMYFUNCTION("""COMPUTED_VALUE"""),"FOR REPLACEMENT")</f>
        <v>FOR REPLACEMENT</v>
      </c>
    </row>
    <row r="2954">
      <c r="A2954" s="234">
        <f>IFERROR(__xludf.DUMMYFUNCTION("""COMPUTED_VALUE"""),103245.0)</f>
        <v>103245</v>
      </c>
      <c r="B2954" s="235" t="str">
        <f>IFERROR(__xludf.DUMMYFUNCTION("""COMPUTED_VALUE"""),"ALFA DE LEON")</f>
        <v>ALFA DE LEON</v>
      </c>
      <c r="C2954" s="235" t="str">
        <f>IFERROR(__xludf.DUMMYFUNCTION("""COMPUTED_VALUE"""),"LANDSCAPING")</f>
        <v>LANDSCAPING</v>
      </c>
      <c r="D2954" s="196" t="str">
        <f>IFERROR(__xludf.DUMMYFUNCTION("""COMPUTED_VALUE"""),"50 PCS PICARRA")</f>
        <v>50 PCS PICARRA</v>
      </c>
      <c r="E2954" s="196" t="str">
        <f>IFERROR(__xludf.DUMMYFUNCTION("""COMPUTED_VALUE"""),"MAINTENANCE OF GREEN WALL PLANTS")</f>
        <v>MAINTENANCE OF GREEN WALL PLANTS</v>
      </c>
    </row>
    <row r="2955">
      <c r="A2955" s="234">
        <f>IFERROR(__xludf.DUMMYFUNCTION("""COMPUTED_VALUE"""),103246.0)</f>
        <v>103246</v>
      </c>
      <c r="B2955" s="235" t="str">
        <f>IFERROR(__xludf.DUMMYFUNCTION("""COMPUTED_VALUE"""),"ALFA DE LEON")</f>
        <v>ALFA DE LEON</v>
      </c>
      <c r="C2955" s="235" t="str">
        <f>IFERROR(__xludf.DUMMYFUNCTION("""COMPUTED_VALUE"""),"LANDSCAPING")</f>
        <v>LANDSCAPING</v>
      </c>
      <c r="D2955" s="196" t="str">
        <f>IFERROR(__xludf.DUMMYFUNCTION("""COMPUTED_VALUE"""),"- 1 PC GARDEN HOSE CONNECTORS
- 1 PC SPRAYER
- 1 PC SPRAYER
- 1 PC GARDEN HOSE CONNECTORS")</f>
        <v>- 1 PC GARDEN HOSE CONNECTORS
- 1 PC SPRAYER
- 1 PC SPRAYER
- 1 PC GARDEN HOSE CONNECTORS</v>
      </c>
      <c r="E2955" s="196" t="str">
        <f>IFERROR(__xludf.DUMMYFUNCTION("""COMPUTED_VALUE"""),"GARDEN HOSE FITTINGS")</f>
        <v>GARDEN HOSE FITTINGS</v>
      </c>
    </row>
    <row r="2956">
      <c r="A2956" s="234">
        <f>IFERROR(__xludf.DUMMYFUNCTION("""COMPUTED_VALUE"""),103247.0)</f>
        <v>103247</v>
      </c>
      <c r="B2956" s="235" t="str">
        <f>IFERROR(__xludf.DUMMYFUNCTION("""COMPUTED_VALUE"""),"OWIE PAR")</f>
        <v>OWIE PAR</v>
      </c>
      <c r="C2956" s="235" t="str">
        <f>IFERROR(__xludf.DUMMYFUNCTION("""COMPUTED_VALUE"""),"ENGINEERING")</f>
        <v>ENGINEERING</v>
      </c>
      <c r="D2956" s="196" t="str">
        <f>IFERROR(__xludf.DUMMYFUNCTION("""COMPUTED_VALUE"""),"- 1 UNIT TELEPHONE HAND SET
- 1 SET TONE TRACER")</f>
        <v>- 1 UNIT TELEPHONE HAND SET
- 1 SET TONE TRACER</v>
      </c>
      <c r="E2956" s="196" t="str">
        <f>IFERROR(__xludf.DUMMYFUNCTION("""COMPUTED_VALUE"""),"ENGINEERING USE FOR TROUBLE SHOOTING AND REPAIR OF TELEPHONE SYSTEM")</f>
        <v>ENGINEERING USE FOR TROUBLE SHOOTING AND REPAIR OF TELEPHONE SYSTEM</v>
      </c>
    </row>
    <row r="2957">
      <c r="A2957" s="234">
        <f>IFERROR(__xludf.DUMMYFUNCTION("""COMPUTED_VALUE"""),103248.0)</f>
        <v>103248</v>
      </c>
      <c r="B2957" s="235" t="str">
        <f>IFERROR(__xludf.DUMMYFUNCTION("""COMPUTED_VALUE"""),"MARIEL R. ESTANISLAO")</f>
        <v>MARIEL R. ESTANISLAO</v>
      </c>
      <c r="C2957" s="235" t="str">
        <f>IFERROR(__xludf.DUMMYFUNCTION("""COMPUTED_VALUE"""),"FINANCE &amp; ACCOUNTING")</f>
        <v>FINANCE &amp; ACCOUNTING</v>
      </c>
      <c r="D2957" s="196" t="str">
        <f>IFERROR(__xludf.DUMMYFUNCTION("""COMPUTED_VALUE"""),"10 PC CHECK VOUCHER FOR ERF(2 PLY)")</f>
        <v>10 PC CHECK VOUCHER FOR ERF(2 PLY)</v>
      </c>
      <c r="E2957" s="196" t="str">
        <f>IFERROR(__xludf.DUMMYFUNCTION("""COMPUTED_VALUE"""),"FOR ERF CHECK PREPARATION")</f>
        <v>FOR ERF CHECK PREPARATION</v>
      </c>
    </row>
    <row r="2958">
      <c r="A2958" s="234">
        <f>IFERROR(__xludf.DUMMYFUNCTION("""COMPUTED_VALUE"""),103249.0)</f>
        <v>103249</v>
      </c>
      <c r="B2958" s="235" t="str">
        <f>IFERROR(__xludf.DUMMYFUNCTION("""COMPUTED_VALUE"""),"CHRISTIAN ANDRES ")</f>
        <v>CHRISTIAN ANDRES </v>
      </c>
      <c r="C2958" s="235" t="str">
        <f>IFERROR(__xludf.DUMMYFUNCTION("""COMPUTED_VALUE"""),"PR &amp; MARKETING")</f>
        <v>PR &amp; MARKETING</v>
      </c>
      <c r="D2958" s="196" t="str">
        <f>IFERROR(__xludf.DUMMYFUNCTION("""COMPUTED_VALUE"""),"5000 PCS 8.5 x 5.5 GENERIC FLYER BACK TO BACK
REORDER BUT UPDATED LAYOUT")</f>
        <v>5000 PCS 8.5 x 5.5 GENERIC FLYER BACK TO BACK
REORDER BUT UPDATED LAYOUT</v>
      </c>
      <c r="E2958" s="196" t="str">
        <f>IFERROR(__xludf.DUMMYFUNCTION("""COMPUTED_VALUE"""),"MARKETING")</f>
        <v>MARKETING</v>
      </c>
    </row>
    <row r="2959">
      <c r="A2959" s="234">
        <f>IFERROR(__xludf.DUMMYFUNCTION("""COMPUTED_VALUE"""),103250.0)</f>
        <v>103250</v>
      </c>
      <c r="B2959" s="235" t="str">
        <f>IFERROR(__xludf.DUMMYFUNCTION("""COMPUTED_VALUE"""),"MARVIN D.")</f>
        <v>MARVIN D.</v>
      </c>
      <c r="C2959" s="235" t="str">
        <f>IFERROR(__xludf.DUMMYFUNCTION("""COMPUTED_VALUE"""),"AB COMM/MMA")</f>
        <v>AB COMM/MMA</v>
      </c>
      <c r="D2959" s="196" t="str">
        <f>IFERROR(__xludf.DUMMYFUNCTION("""COMPUTED_VALUE"""),"1 PC CAMERA LENS(CANON CAMERA LENS ZOOM EF-S 18-55 MM)")</f>
        <v>1 PC CAMERA LENS(CANON CAMERA LENS ZOOM EF-S 18-55 MM)</v>
      </c>
      <c r="E2959" s="196" t="str">
        <f>IFERROR(__xludf.DUMMYFUNCTION("""COMPUTED_VALUE"""),"FOR PHOTOGRAPHY CLASSES")</f>
        <v>FOR PHOTOGRAPHY CLASSES</v>
      </c>
    </row>
    <row r="2960">
      <c r="A2960" s="234">
        <f>IFERROR(__xludf.DUMMYFUNCTION("""COMPUTED_VALUE"""),103251.0)</f>
        <v>103251</v>
      </c>
      <c r="B2960" s="235" t="str">
        <f>IFERROR(__xludf.DUMMYFUNCTION("""COMPUTED_VALUE"""),"JESUIT CHRISTIAN GALICIA")</f>
        <v>JESUIT CHRISTIAN GALICIA</v>
      </c>
      <c r="C2960" s="235" t="str">
        <f>IFERROR(__xludf.DUMMYFUNCTION("""COMPUTED_VALUE"""),"AMD")</f>
        <v>AMD</v>
      </c>
      <c r="D2960" s="196" t="str">
        <f>IFERROR(__xludf.DUMMYFUNCTION("""COMPUTED_VALUE"""),"700 PCS BATTERY ENERGIZER SIZE AA")</f>
        <v>700 PCS BATTERY ENERGIZER SIZE AA</v>
      </c>
      <c r="E2960" s="196" t="str">
        <f>IFERROR(__xludf.DUMMYFUNCTION("""COMPUTED_VALUE"""),"OSSUP STOCK REPLENISHMENT")</f>
        <v>OSSUP STOCK REPLENISHMENT</v>
      </c>
    </row>
    <row r="2961">
      <c r="A2961" s="234">
        <f>IFERROR(__xludf.DUMMYFUNCTION("""COMPUTED_VALUE"""),103252.0)</f>
        <v>103252</v>
      </c>
      <c r="B2961" s="235" t="str">
        <f>IFERROR(__xludf.DUMMYFUNCTION("""COMPUTED_VALUE"""),"MARVIN D.")</f>
        <v>MARVIN D.</v>
      </c>
      <c r="C2961" s="235" t="str">
        <f>IFERROR(__xludf.DUMMYFUNCTION("""COMPUTED_VALUE"""),"AB COMM/MMA")</f>
        <v>AB COMM/MMA</v>
      </c>
      <c r="D2961" s="196" t="str">
        <f>IFERROR(__xludf.DUMMYFUNCTION("""COMPUTED_VALUE"""),"5 PCS DRONE BATTERY PACKS(MAVIC PRO)")</f>
        <v>5 PCS DRONE BATTERY PACKS(MAVIC PRO)</v>
      </c>
      <c r="E2961" s="196" t="str">
        <f>IFERROR(__xludf.DUMMYFUNCTION("""COMPUTED_VALUE"""),"TO REPLACE BUSTED BATTERY PACKS")</f>
        <v>TO REPLACE BUSTED BATTERY PACKS</v>
      </c>
    </row>
    <row r="2962">
      <c r="A2962" s="234">
        <f>IFERROR(__xludf.DUMMYFUNCTION("""COMPUTED_VALUE"""),103253.0)</f>
        <v>103253</v>
      </c>
      <c r="B2962" s="235" t="str">
        <f>IFERROR(__xludf.DUMMYFUNCTION("""COMPUTED_VALUE"""),"JESUIT CHRISTIAN GALICIA")</f>
        <v>JESUIT CHRISTIAN GALICIA</v>
      </c>
      <c r="C2962" s="235" t="str">
        <f>IFERROR(__xludf.DUMMYFUNCTION("""COMPUTED_VALUE"""),"AMD")</f>
        <v>AMD</v>
      </c>
      <c r="D2962" s="196" t="str">
        <f>IFERROR(__xludf.DUMMYFUNCTION("""COMPUTED_VALUE"""),"200 PCS MOUSE PAD, BIG")</f>
        <v>200 PCS MOUSE PAD, BIG</v>
      </c>
      <c r="E2962" s="196" t="str">
        <f>IFERROR(__xludf.DUMMYFUNCTION("""COMPUTED_VALUE"""),"MIS SUPPLIES STOCK REPLENISHMENT")</f>
        <v>MIS SUPPLIES STOCK REPLENISHMENT</v>
      </c>
    </row>
    <row r="2963">
      <c r="A2963" s="234">
        <f>IFERROR(__xludf.DUMMYFUNCTION("""COMPUTED_VALUE"""),103254.0)</f>
        <v>103254</v>
      </c>
      <c r="B2963" s="235" t="str">
        <f>IFERROR(__xludf.DUMMYFUNCTION("""COMPUTED_VALUE"""),"MELISSA ODONO/CARMEL VILLEGAS")</f>
        <v>MELISSA ODONO/CARMEL VILLEGAS</v>
      </c>
      <c r="C2963" s="235" t="str">
        <f>IFERROR(__xludf.DUMMYFUNCTION("""COMPUTED_VALUE"""),"LIBRARY/NURSING")</f>
        <v>LIBRARY/NURSING</v>
      </c>
      <c r="D2963" s="196" t="str">
        <f>IFERROR(__xludf.DUMMYFUNCTION("""COMPUTED_VALUE"""),"- 1 PC CASES IN HEALTH CARE MANAGEMENT \2ED
- 1 PC ESSENTIALS OF NURSING PRACTICE \3ED
- 1 PC ESSENTIALS OF PATHOPHYSIOLOGY FOR NURSING PRACTICE \2ED
- 1 PC EVIDENCE-BASED PRACTICE FOR NURSES AND ALLIED HEALTH
- 1 PC HEALTH PROGRAM PLANNING AND EVALUATION"&amp;" 5ED
- 1 PC INTERNATIONAL TRAUMA LIFE SUPPORT FOR EMERGENCY CARE PROVIDE: GE \9ED
- 1 PC PRINCIPLES OF ACUTE CARE NURSING
- 1 PC QUALITY IMPROMENT IN NURSING 1ED
- 1 PC UNDERSTANDING MENTAL HEALTH PRACTICE FOR ADULT NURSING
- 1 PC UNDERSTANDING NURSING RE"&amp;"SEARCH 8ED.: BUILDING AN...
- 1 PC UNDERSTANDING RESEARCH FOR NURSING STUDENTS 5ED")</f>
        <v>- 1 PC CASES IN HEALTH CARE MANAGEMENT \2ED
- 1 PC ESSENTIALS OF NURSING PRACTICE \3ED
- 1 PC ESSENTIALS OF PATHOPHYSIOLOGY FOR NURSING PRACTICE \2ED
- 1 PC EVIDENCE-BASED PRACTICE FOR NURSES AND ALLIED HEALTH
- 1 PC HEALTH PROGRAM PLANNING AND EVALUATION 5ED
- 1 PC INTERNATIONAL TRAUMA LIFE SUPPORT FOR EMERGENCY CARE PROVIDE: GE \9ED
- 1 PC PRINCIPLES OF ACUTE CARE NURSING
- 1 PC QUALITY IMPROMENT IN NURSING 1ED
- 1 PC UNDERSTANDING MENTAL HEALTH PRACTICE FOR ADULT NURSING
- 1 PC UNDERSTANDING NURSING RESEARCH 8ED.: BUILDING AN...
- 1 PC UNDERSTANDING RESEARCH FOR NURSING STUDENTS 5ED</v>
      </c>
      <c r="E2963" s="196" t="str">
        <f>IFERROR(__xludf.DUMMYFUNCTION("""COMPUTED_VALUE"""),"LIBRARY'S COPY FOR FACULTY/MGT/STAFF USE/PACUCOA COMPLIANCE")</f>
        <v>LIBRARY'S COPY FOR FACULTY/MGT/STAFF USE/PACUCOA COMPLIANCE</v>
      </c>
    </row>
    <row r="2964">
      <c r="A2964" s="234">
        <f>IFERROR(__xludf.DUMMYFUNCTION("""COMPUTED_VALUE"""),103255.0)</f>
        <v>103255</v>
      </c>
      <c r="B2964" s="235" t="str">
        <f>IFERROR(__xludf.DUMMYFUNCTION("""COMPUTED_VALUE"""),"EDGAR REBELLON")</f>
        <v>EDGAR REBELLON</v>
      </c>
      <c r="C2964" s="235" t="str">
        <f>IFERROR(__xludf.DUMMYFUNCTION("""COMPUTED_VALUE"""),"AMD")</f>
        <v>AMD</v>
      </c>
      <c r="D2964" s="196" t="str">
        <f>IFERROR(__xludf.DUMMYFUNCTION("""COMPUTED_VALUE"""),"1800 PCS SISC WHISTLE")</f>
        <v>1800 PCS SISC WHISTLE</v>
      </c>
      <c r="E2964" s="196" t="str">
        <f>IFERROR(__xludf.DUMMYFUNCTION("""COMPUTED_VALUE"""),"ADDITIONAL SUPPLIES FOR STUDENTS TO BE INCLUDED IN THE ID TO ENHANCE AWARENESS PREPARED OF STUDENTS")</f>
        <v>ADDITIONAL SUPPLIES FOR STUDENTS TO BE INCLUDED IN THE ID TO ENHANCE AWARENESS PREPARED OF STUDENTS</v>
      </c>
    </row>
    <row r="2965">
      <c r="A2965" s="234">
        <f>IFERROR(__xludf.DUMMYFUNCTION("""COMPUTED_VALUE"""),103256.0)</f>
        <v>103256</v>
      </c>
      <c r="B2965" s="235" t="str">
        <f>IFERROR(__xludf.DUMMYFUNCTION("""COMPUTED_VALUE"""),"CHRISTIAN C. ANDRES")</f>
        <v>CHRISTIAN C. ANDRES</v>
      </c>
      <c r="C2965" s="235" t="str">
        <f>IFERROR(__xludf.DUMMYFUNCTION("""COMPUTED_VALUE"""),"PR &amp; MARKETING")</f>
        <v>PR &amp; MARKETING</v>
      </c>
      <c r="D2965" s="196" t="str">
        <f>IFERROR(__xludf.DUMMYFUNCTION("""COMPUTED_VALUE"""),"1 PC PARKING LOT GIANT TARO
- EYELET ALL OVER
- DOUBLE SEAMING
- BLACKOUT
- 13x78 FEET")</f>
        <v>1 PC PARKING LOT GIANT TARO
- EYELET ALL OVER
- DOUBLE SEAMING
- BLACKOUT
- 13x78 FEET</v>
      </c>
      <c r="E2965" s="196" t="str">
        <f>IFERROR(__xludf.DUMMYFUNCTION("""COMPUTED_VALUE"""),"MARKETING/PROMOTION")</f>
        <v>MARKETING/PROMOTION</v>
      </c>
    </row>
    <row r="2966">
      <c r="A2966" s="234">
        <f>IFERROR(__xludf.DUMMYFUNCTION("""COMPUTED_VALUE"""),103257.0)</f>
        <v>103257</v>
      </c>
      <c r="B2966" s="235" t="str">
        <f>IFERROR(__xludf.DUMMYFUNCTION("""COMPUTED_VALUE"""),"ALFA DE LEON")</f>
        <v>ALFA DE LEON</v>
      </c>
      <c r="C2966" s="235" t="str">
        <f>IFERROR(__xludf.DUMMYFUNCTION("""COMPUTED_VALUE"""),"LANDSCAPING")</f>
        <v>LANDSCAPING</v>
      </c>
      <c r="D2966" s="196" t="str">
        <f>IFERROR(__xludf.DUMMYFUNCTION("""COMPUTED_VALUE"""),"- 150 PCS PANDAKAKI
- 60 PCS DURANTA")</f>
        <v>- 150 PCS PANDAKAKI
- 60 PCS DURANTA</v>
      </c>
      <c r="E2966" s="196" t="str">
        <f>IFERROR(__xludf.DUMMYFUNCTION("""COMPUTED_VALUE"""),"YOKOHAMA + MUNICH ROTONDA MAINTENANCE OF PLANTS")</f>
        <v>YOKOHAMA + MUNICH ROTONDA MAINTENANCE OF PLANTS</v>
      </c>
    </row>
    <row r="2967">
      <c r="A2967" s="234">
        <f>IFERROR(__xludf.DUMMYFUNCTION("""COMPUTED_VALUE"""),103258.0)</f>
        <v>103258</v>
      </c>
      <c r="B2967" s="235" t="str">
        <f>IFERROR(__xludf.DUMMYFUNCTION("""COMPUTED_VALUE"""),"ALFA DE LEON")</f>
        <v>ALFA DE LEON</v>
      </c>
      <c r="C2967" s="235" t="str">
        <f>IFERROR(__xludf.DUMMYFUNCTION("""COMPUTED_VALUE"""),"LANDSCAPING")</f>
        <v>LANDSCAPING</v>
      </c>
      <c r="D2967" s="196" t="str">
        <f>IFERROR(__xludf.DUMMYFUNCTION("""COMPUTED_VALUE"""),"- 30 PCS SILVER PANDAKAKI
- 30 PCS BOSTON FERN
- 40 PCS PICARRA")</f>
        <v>- 30 PCS SILVER PANDAKAKI
- 30 PCS BOSTON FERN
- 40 PCS PICARRA</v>
      </c>
      <c r="E2967" s="196" t="str">
        <f>IFERROR(__xludf.DUMMYFUNCTION("""COMPUTED_VALUE"""),"MONRACH PARK MAINTENANCE OF PLANTS GREEN WALL + PLANT BOXES")</f>
        <v>MONRACH PARK MAINTENANCE OF PLANTS GREEN WALL + PLANT BOXES</v>
      </c>
    </row>
    <row r="2968">
      <c r="A2968" s="234">
        <f>IFERROR(__xludf.DUMMYFUNCTION("""COMPUTED_VALUE"""),103259.0)</f>
        <v>103259</v>
      </c>
      <c r="B2968" s="235" t="str">
        <f>IFERROR(__xludf.DUMMYFUNCTION("""COMPUTED_VALUE"""),"CARLITO DELA VEGA")</f>
        <v>CARLITO DELA VEGA</v>
      </c>
      <c r="C2968" s="235" t="str">
        <f>IFERROR(__xludf.DUMMYFUNCTION("""COMPUTED_VALUE"""),"SECURITY")</f>
        <v>SECURITY</v>
      </c>
      <c r="D2968" s="196" t="str">
        <f>IFERROR(__xludf.DUMMYFUNCTION("""COMPUTED_VALUE"""),"- 3 PCS SISC FLAG 3' x 6' HEAVY DUTY
- 3 PCS PHIL. FLAG 3' x 6' HEAVY DUTY")</f>
        <v>- 3 PCS SISC FLAG 3' x 6' HEAVY DUTY
- 3 PCS PHIL. FLAG 3' x 6' HEAVY DUTY</v>
      </c>
      <c r="E2968" s="196" t="str">
        <f>IFERROR(__xludf.DUMMYFUNCTION("""COMPUTED_VALUE"""),"LUX + ELI FLAGPOLE REPLACEMENT/STOCK SET")</f>
        <v>LUX + ELI FLAGPOLE REPLACEMENT/STOCK SET</v>
      </c>
    </row>
    <row r="2969">
      <c r="A2969" s="234">
        <f>IFERROR(__xludf.DUMMYFUNCTION("""COMPUTED_VALUE"""),103260.0)</f>
        <v>103260</v>
      </c>
      <c r="B2969" s="235" t="str">
        <f>IFERROR(__xludf.DUMMYFUNCTION("""COMPUTED_VALUE"""),"ARNEL MONTABLAN")</f>
        <v>ARNEL MONTABLAN</v>
      </c>
      <c r="C2969" s="235" t="str">
        <f>IFERROR(__xludf.DUMMYFUNCTION("""COMPUTED_VALUE"""),"CEM OFFICE")</f>
        <v>CEM OFFICE</v>
      </c>
      <c r="D2969" s="196" t="str">
        <f>IFERROR(__xludf.DUMMYFUNCTION("""COMPUTED_VALUE"""),"- 28 SETS BEDDINGS(BED SHEETS, PILLOW CASES &amp; BLANKET) FOR SINGLE BEDS)
- 30 PCS PILLOWS")</f>
        <v>- 28 SETS BEDDINGS(BED SHEETS, PILLOW CASES &amp; BLANKET) FOR SINGLE BEDS)
- 30 PCS PILLOWS</v>
      </c>
      <c r="E2969" s="196" t="str">
        <f>IFERROR(__xludf.DUMMYFUNCTION("""COMPUTED_VALUE"""),"FOR NEW FOUNDER SCHOLARS &amp; TO REPLACE VERY BAD PILLOWS OF OLD SCHOLARS")</f>
        <v>FOR NEW FOUNDER SCHOLARS &amp; TO REPLACE VERY BAD PILLOWS OF OLD SCHOLARS</v>
      </c>
    </row>
    <row r="2970">
      <c r="A2970" s="234">
        <f>IFERROR(__xludf.DUMMYFUNCTION("""COMPUTED_VALUE"""),103261.0)</f>
        <v>103261</v>
      </c>
      <c r="B2970" s="235" t="str">
        <f>IFERROR(__xludf.DUMMYFUNCTION("""COMPUTED_VALUE"""),"OWIE PAR")</f>
        <v>OWIE PAR</v>
      </c>
      <c r="C2970" s="235" t="str">
        <f>IFERROR(__xludf.DUMMYFUNCTION("""COMPUTED_VALUE"""),"ENGINEERING")</f>
        <v>ENGINEERING</v>
      </c>
      <c r="D2970" s="196" t="str">
        <f>IFERROR(__xludf.DUMMYFUNCTION("""COMPUTED_VALUE"""),"2 LENGTHS RUBBER NOSING")</f>
        <v>2 LENGTHS RUBBER NOSING</v>
      </c>
      <c r="E2970" s="196" t="str">
        <f>IFERROR(__xludf.DUMMYFUNCTION("""COMPUTED_VALUE"""),"FOR RM 202 LUX")</f>
        <v>FOR RM 202 LUX</v>
      </c>
    </row>
    <row r="2971">
      <c r="A2971" s="234">
        <f>IFERROR(__xludf.DUMMYFUNCTION("""COMPUTED_VALUE"""),103262.0)</f>
        <v>103262</v>
      </c>
      <c r="B2971" s="235" t="str">
        <f>IFERROR(__xludf.DUMMYFUNCTION("""COMPUTED_VALUE"""),"OWIE PAR")</f>
        <v>OWIE PAR</v>
      </c>
      <c r="C2971" s="235" t="str">
        <f>IFERROR(__xludf.DUMMYFUNCTION("""COMPUTED_VALUE"""),"ENGINEERING")</f>
        <v>ENGINEERING</v>
      </c>
      <c r="D2971" s="196" t="str">
        <f>IFERROR(__xludf.DUMMYFUNCTION("""COMPUTED_VALUE"""),"- 6 GALS EPOXY PRIMER(GRAY)
- 3 GALS TRAFFIC ENAMEL(BLACK)
- 3 GALS TRAFFIC ENAMEL(YELLOW)
- 4 PCS PAINT BRUSH #3
- 4 PCS PAINT ROLLER #4
- 2 PCS PAINT ROLLER #7
- 2 GAL LACQUER THINNER
- 2 GAL PAINT THINNER")</f>
        <v>- 6 GALS EPOXY PRIMER(GRAY)
- 3 GALS TRAFFIC ENAMEL(BLACK)
- 3 GALS TRAFFIC ENAMEL(YELLOW)
- 4 PCS PAINT BRUSH #3
- 4 PCS PAINT ROLLER #4
- 2 PCS PAINT ROLLER #7
- 2 GAL LACQUER THINNER
- 2 GAL PAINT THINNER</v>
      </c>
      <c r="E2971" s="196" t="str">
        <f>IFERROR(__xludf.DUMMYFUNCTION("""COMPUTED_VALUE"""),"FOR REPAINTING OF STAR CAMPUS PEDESTRIAN LANE")</f>
        <v>FOR REPAINTING OF STAR CAMPUS PEDESTRIAN LANE</v>
      </c>
    </row>
    <row r="2972">
      <c r="A2972" s="234">
        <f>IFERROR(__xludf.DUMMYFUNCTION("""COMPUTED_VALUE"""),103263.0)</f>
        <v>103263</v>
      </c>
      <c r="B2972" s="235" t="str">
        <f>IFERROR(__xludf.DUMMYFUNCTION("""COMPUTED_VALUE"""),"CHRISTIAN ANDRES")</f>
        <v>CHRISTIAN ANDRES</v>
      </c>
      <c r="C2972" s="235" t="str">
        <f>IFERROR(__xludf.DUMMYFUNCTION("""COMPUTED_VALUE"""),"PR &amp; MARKETING")</f>
        <v>PR &amp; MARKETING</v>
      </c>
      <c r="D2972" s="196" t="str">
        <f>IFERROR(__xludf.DUMMYFUNCTION("""COMPUTED_VALUE"""),"TARPAULIN SIZE 3""X15"" FEET WITH SEAMING EYELET ALL OVER BLACK OUT, 5 PCS. ")</f>
        <v>TARPAULIN SIZE 3"X15" FEET WITH SEAMING EYELET ALL OVER BLACK OUT, 5 PCS. </v>
      </c>
      <c r="E2972" s="196" t="str">
        <f>IFERROR(__xludf.DUMMYFUNCTION("""COMPUTED_VALUE"""),"PROMOTIONAL/ MARKETING ")</f>
        <v>PROMOTIONAL/ MARKETING </v>
      </c>
    </row>
    <row r="2973">
      <c r="A2973" s="234">
        <f>IFERROR(__xludf.DUMMYFUNCTION("""COMPUTED_VALUE"""),103264.0)</f>
        <v>103264</v>
      </c>
      <c r="B2973" s="235" t="str">
        <f>IFERROR(__xludf.DUMMYFUNCTION("""COMPUTED_VALUE"""),"MAURINE JHOY DOLLESIN")</f>
        <v>MAURINE JHOY DOLLESIN</v>
      </c>
      <c r="C2973" s="235" t="str">
        <f>IFERROR(__xludf.DUMMYFUNCTION("""COMPUTED_VALUE"""),"PRESIDENT'S OFFICE")</f>
        <v>PRESIDENT'S OFFICE</v>
      </c>
      <c r="D2973" s="196" t="str">
        <f>IFERROR(__xludf.DUMMYFUNCTION("""COMPUTED_VALUE"""),"1 PC ACER ASPIRE 3 A315 59 30HT")</f>
        <v>1 PC ACER ASPIRE 3 A315 59 30HT</v>
      </c>
      <c r="E2973" s="196" t="str">
        <f>IFERROR(__xludf.DUMMYFUNCTION("""COMPUTED_VALUE"""),"EXECUTIVE LAPTOP FOR CEM BOARD ROOM")</f>
        <v>EXECUTIVE LAPTOP FOR CEM BOARD ROOM</v>
      </c>
    </row>
    <row r="2974">
      <c r="A2974" s="234">
        <f>IFERROR(__xludf.DUMMYFUNCTION("""COMPUTED_VALUE"""),103265.0)</f>
        <v>103265</v>
      </c>
      <c r="B2974" s="235" t="str">
        <f>IFERROR(__xludf.DUMMYFUNCTION("""COMPUTED_VALUE"""),"MELISSA NAVAL-ODONO")</f>
        <v>MELISSA NAVAL-ODONO</v>
      </c>
      <c r="C2974" s="235" t="str">
        <f>IFERROR(__xludf.DUMMYFUNCTION("""COMPUTED_VALUE"""),"LIBRARY")</f>
        <v>LIBRARY</v>
      </c>
      <c r="D2974" s="196" t="str">
        <f>IFERROR(__xludf.DUMMYFUNCTION("""COMPUTED_VALUE"""),"- 1000 PCS BOOK CARDS
- 1000 PCS BOOK POCKET")</f>
        <v>- 1000 PCS BOOK CARDS
- 1000 PCS BOOK POCKET</v>
      </c>
      <c r="E2974" s="196" t="str">
        <f>IFERROR(__xludf.DUMMYFUNCTION("""COMPUTED_VALUE"""),"FOR LIBRARY USE")</f>
        <v>FOR LIBRARY USE</v>
      </c>
    </row>
    <row r="2975">
      <c r="A2975" s="234">
        <f>IFERROR(__xludf.DUMMYFUNCTION("""COMPUTED_VALUE"""),103266.0)</f>
        <v>103266</v>
      </c>
      <c r="B2975" s="235" t="str">
        <f>IFERROR(__xludf.DUMMYFUNCTION("""COMPUTED_VALUE"""),"JESUIT CHRISTIAN GALICIA")</f>
        <v>JESUIT CHRISTIAN GALICIA</v>
      </c>
      <c r="C2975" s="235" t="str">
        <f>IFERROR(__xludf.DUMMYFUNCTION("""COMPUTED_VALUE"""),"AMD")</f>
        <v>AMD</v>
      </c>
      <c r="D2975" s="196" t="str">
        <f>IFERROR(__xludf.DUMMYFUNCTION("""COMPUTED_VALUE"""),"- 1 PC TRODAT PRINTY 4910(JESUIT CHRISTIAN GALICIA)
- 1 PC TRODAT PRINTY 4910(EARL JOSEF ALIERMO)")</f>
        <v>- 1 PC TRODAT PRINTY 4910(JESUIT CHRISTIAN GALICIA)
- 1 PC TRODAT PRINTY 4910(EARL JOSEF ALIERMO)</v>
      </c>
      <c r="E2975" s="196" t="str">
        <f>IFERROR(__xludf.DUMMYFUNCTION("""COMPUTED_VALUE"""),"FOR OFFICE USE")</f>
        <v>FOR OFFICE USE</v>
      </c>
    </row>
    <row r="2976">
      <c r="A2976" s="234">
        <f>IFERROR(__xludf.DUMMYFUNCTION("""COMPUTED_VALUE"""),103267.0)</f>
        <v>103267</v>
      </c>
      <c r="B2976" s="235" t="str">
        <f>IFERROR(__xludf.DUMMYFUNCTION("""COMPUTED_VALUE"""),"CAROL LACERNA/MELISSA ODONO")</f>
        <v>CAROL LACERNA/MELISSA ODONO</v>
      </c>
      <c r="C2976" s="235" t="str">
        <f>IFERROR(__xludf.DUMMYFUNCTION("""COMPUTED_VALUE"""),"STUFFSHOP")</f>
        <v>STUFFSHOP</v>
      </c>
      <c r="D2976" s="196" t="str">
        <f>IFERROR(__xludf.DUMMYFUNCTION("""COMPUTED_VALUE"""),"- 140 PCS MCGRAW HILL SCIENCE A CLOSER LOOK 1
- 120 PCS MCGRAW HILL SCIENCE A CLOSER LOOK 2")</f>
        <v>- 140 PCS MCGRAW HILL SCIENCE A CLOSER LOOK 1
- 120 PCS MCGRAW HILL SCIENCE A CLOSER LOOK 2</v>
      </c>
      <c r="E2976" s="196" t="str">
        <f>IFERROR(__xludf.DUMMYFUNCTION("""COMPUTED_VALUE"""),"TEXTBOOKS FOR AY 2023 - 2024(PHOENIX PUBLISHING)")</f>
        <v>TEXTBOOKS FOR AY 2023 - 2024(PHOENIX PUBLISHING)</v>
      </c>
    </row>
    <row r="2977">
      <c r="A2977" s="234">
        <f>IFERROR(__xludf.DUMMYFUNCTION("""COMPUTED_VALUE"""),103268.0)</f>
        <v>103268</v>
      </c>
      <c r="B2977" s="235" t="str">
        <f>IFERROR(__xludf.DUMMYFUNCTION("""COMPUTED_VALUE"""),"MISS MYLES MANALO")</f>
        <v>MISS MYLES MANALO</v>
      </c>
      <c r="C2977" s="235" t="str">
        <f>IFERROR(__xludf.DUMMYFUNCTION("""COMPUTED_VALUE"""),"COMMA")</f>
        <v>COMMA</v>
      </c>
      <c r="D2977" s="196" t="str">
        <f>IFERROR(__xludf.DUMMYFUNCTION("""COMPUTED_VALUE"""),"3 PCS REGULAR SPORTS TROPHY")</f>
        <v>3 PCS REGULAR SPORTS TROPHY</v>
      </c>
      <c r="E2977" s="196" t="str">
        <f>IFERROR(__xludf.DUMMYFUNCTION("""COMPUTED_VALUE"""),"COMMAglaro: A SAMA-SUMMER SAYA MENTORING EVENT")</f>
        <v>COMMAglaro: A SAMA-SUMMER SAYA MENTORING EVENT</v>
      </c>
    </row>
    <row r="2978">
      <c r="A2978" s="234">
        <f>IFERROR(__xludf.DUMMYFUNCTION("""COMPUTED_VALUE"""),103269.0)</f>
        <v>103269</v>
      </c>
      <c r="B2978" s="235" t="str">
        <f>IFERROR(__xludf.DUMMYFUNCTION("""COMPUTED_VALUE"""),"CAROL LACERNA/MELISSA ODONO")</f>
        <v>CAROL LACERNA/MELISSA ODONO</v>
      </c>
      <c r="C2978" s="235" t="str">
        <f>IFERROR(__xludf.DUMMYFUNCTION("""COMPUTED_VALUE"""),"STUFFSHOP")</f>
        <v>STUFFSHOP</v>
      </c>
      <c r="D2978" s="196" t="str">
        <f>IFERROR(__xludf.DUMMYFUNCTION("""COMPUTED_VALUE"""),"- 140 PCS GO MATH - GRADE 1 VOL 1
- 140 PCS GO MATH - GRADE 1 VOL 2
- 120 PCS GO MATH - GRADE 2 VOL 1
- 120 PCS GO MATH - GRADE 2 VOL 2
- 130 PCS GO MATH - GRADE 3 VOL 1
- 130 PCS GO MATH - GRADE 3 VOL 2
- 100 PCS GO MATH - GRADE 4 VOL 1
- 100 PCS GO MATH"&amp;" - GRADE 4 VOL 2
- 110 PCS GO MATH - GRADE 5 VOL 1
- 110 PCS GO MATH - GRADE 5 VOL 2
- 140 PCS ENGLISH COMPASS - GRADE 1
- 120 PCS ENGLISH COMPASS - GRADE 2")</f>
        <v>- 140 PCS GO MATH - GRADE 1 VOL 1
- 140 PCS GO MATH - GRADE 1 VOL 2
- 120 PCS GO MATH - GRADE 2 VOL 1
- 120 PCS GO MATH - GRADE 2 VOL 2
- 130 PCS GO MATH - GRADE 3 VOL 1
- 130 PCS GO MATH - GRADE 3 VOL 2
- 100 PCS GO MATH - GRADE 4 VOL 1
- 100 PCS GO MATH - GRADE 4 VOL 2
- 110 PCS GO MATH - GRADE 5 VOL 1
- 110 PCS GO MATH - GRADE 5 VOL 2
- 140 PCS ENGLISH COMPASS - GRADE 1
- 120 PCS ENGLISH COMPASS - GRADE 2</v>
      </c>
      <c r="E2978" s="196" t="str">
        <f>IFERROR(__xludf.DUMMYFUNCTION("""COMPUTED_VALUE"""),"TEXTBOOKS FOR AY 2023 - 2024(C+E PUBLISHING)")</f>
        <v>TEXTBOOKS FOR AY 2023 - 2024(C+E PUBLISHING)</v>
      </c>
    </row>
    <row r="2979">
      <c r="A2979" s="234">
        <f>IFERROR(__xludf.DUMMYFUNCTION("""COMPUTED_VALUE"""),103270.0)</f>
        <v>103270</v>
      </c>
      <c r="B2979" s="235" t="str">
        <f>IFERROR(__xludf.DUMMYFUNCTION("""COMPUTED_VALUE"""),"EDGAR REBELLON")</f>
        <v>EDGAR REBELLON</v>
      </c>
      <c r="C2979" s="235" t="str">
        <f>IFERROR(__xludf.DUMMYFUNCTION("""COMPUTED_VALUE"""),"AMD")</f>
        <v>AMD</v>
      </c>
      <c r="D2979" s="196" t="str">
        <f>IFERROR(__xludf.DUMMYFUNCTION("""COMPUTED_VALUE"""),"- 30 PCS PLATE, HAPAO ROUND W/ LEAVES
- 34 PCS STAND, DISPLAY WOODEN BRACKET")</f>
        <v>- 30 PCS PLATE, HAPAO ROUND W/ LEAVES
- 34 PCS STAND, DISPLAY WOODEN BRACKET</v>
      </c>
      <c r="E2979" s="196" t="str">
        <f>IFERROR(__xludf.DUMMYFUNCTION("""COMPUTED_VALUE"""),"INSTITUTIONAL TOKEN")</f>
        <v>INSTITUTIONAL TOKEN</v>
      </c>
    </row>
    <row r="2980">
      <c r="A2980" s="234">
        <f>IFERROR(__xludf.DUMMYFUNCTION("""COMPUTED_VALUE"""),103271.0)</f>
        <v>103271</v>
      </c>
      <c r="B2980" s="235" t="str">
        <f>IFERROR(__xludf.DUMMYFUNCTION("""COMPUTED_VALUE"""),"EDGAR REBELLON")</f>
        <v>EDGAR REBELLON</v>
      </c>
      <c r="C2980" s="235" t="str">
        <f>IFERROR(__xludf.DUMMYFUNCTION("""COMPUTED_VALUE"""),"AMD")</f>
        <v>AMD</v>
      </c>
      <c r="D2980" s="196" t="str">
        <f>IFERROR(__xludf.DUMMYFUNCTION("""COMPUTED_VALUE"""),"- 100 PCS BOX, GIFT, BLACK W/ SILVER SISC PRINT ""9x9"" H: 3""
- 40 PACKS PAPER, SHREDDED/FILLER WHITE")</f>
        <v>- 100 PCS BOX, GIFT, BLACK W/ SILVER SISC PRINT "9x9" H: 3"
- 40 PACKS PAPER, SHREDDED/FILLER WHITE</v>
      </c>
      <c r="E2980" s="196" t="str">
        <f>IFERROR(__xludf.DUMMYFUNCTION("""COMPUTED_VALUE"""),"BOX FOR INSTITUTIONAL TOKENS(SAMPLE ONLY)")</f>
        <v>BOX FOR INSTITUTIONAL TOKENS(SAMPLE ONLY)</v>
      </c>
    </row>
    <row r="2981">
      <c r="A2981" s="234">
        <f>IFERROR(__xludf.DUMMYFUNCTION("""COMPUTED_VALUE"""),103272.0)</f>
        <v>103272</v>
      </c>
      <c r="B2981" s="235" t="str">
        <f>IFERROR(__xludf.DUMMYFUNCTION("""COMPUTED_VALUE"""),"EDGAR REBELLON")</f>
        <v>EDGAR REBELLON</v>
      </c>
      <c r="C2981" s="235" t="str">
        <f>IFERROR(__xludf.DUMMYFUNCTION("""COMPUTED_VALUE"""),"AMD")</f>
        <v>AMD</v>
      </c>
      <c r="D2981" s="196" t="str">
        <f>IFERROR(__xludf.DUMMYFUNCTION("""COMPUTED_VALUE"""),"1000 PCS SISC TISSUE WRAPPING PAPER")</f>
        <v>1000 PCS SISC TISSUE WRAPPING PAPER</v>
      </c>
      <c r="E2981" s="196" t="str">
        <f>IFERROR(__xludf.DUMMYFUNCTION("""COMPUTED_VALUE"""),"PACKAGING OF INSTITUTIONAL TOKENS")</f>
        <v>PACKAGING OF INSTITUTIONAL TOKENS</v>
      </c>
    </row>
    <row r="2982">
      <c r="A2982" s="234">
        <f>IFERROR(__xludf.DUMMYFUNCTION("""COMPUTED_VALUE"""),103273.0)</f>
        <v>103273</v>
      </c>
      <c r="B2982" s="235" t="str">
        <f>IFERROR(__xludf.DUMMYFUNCTION("""COMPUTED_VALUE"""),"ELYDIA REYES")</f>
        <v>ELYDIA REYES</v>
      </c>
      <c r="C2982" s="235" t="str">
        <f>IFERROR(__xludf.DUMMYFUNCTION("""COMPUTED_VALUE"""),"PR &amp; MARKETING")</f>
        <v>PR &amp; MARKETING</v>
      </c>
      <c r="D2982" s="196" t="str">
        <f>IFERROR(__xludf.DUMMYFUNCTION("""COMPUTED_VALUE"""),"1 PC IB 10 x 20 FT EYELET ALL OVER 2 FOLD SEAMING BLACKOUT")</f>
        <v>1 PC IB 10 x 20 FT EYELET ALL OVER 2 FOLD SEAMING BLACKOUT</v>
      </c>
      <c r="E2982" s="196" t="str">
        <f>IFERROR(__xludf.DUMMYFUNCTION("""COMPUTED_VALUE"""),"IB MARKETING")</f>
        <v>IB MARKETING</v>
      </c>
    </row>
    <row r="2983">
      <c r="A2983" s="234">
        <f>IFERROR(__xludf.DUMMYFUNCTION("""COMPUTED_VALUE"""),103274.0)</f>
        <v>103274</v>
      </c>
      <c r="B2983" s="235" t="str">
        <f>IFERROR(__xludf.DUMMYFUNCTION("""COMPUTED_VALUE"""),"ELYDIA REYES")</f>
        <v>ELYDIA REYES</v>
      </c>
      <c r="C2983" s="235" t="str">
        <f>IFERROR(__xludf.DUMMYFUNCTION("""COMPUTED_VALUE"""),"PR &amp; MARKETING")</f>
        <v>PR &amp; MARKETING</v>
      </c>
      <c r="D2983" s="196" t="str">
        <f>IFERROR(__xludf.DUMMYFUNCTION("""COMPUTED_VALUE"""),"1 PC STAR CAMPUS GIANT 10 x 24 FEET WITH EYELET ALL OVER AND SEAMING BLACKOUT")</f>
        <v>1 PC STAR CAMPUS GIANT 10 x 24 FEET WITH EYELET ALL OVER AND SEAMING BLACKOUT</v>
      </c>
      <c r="E2983" s="196" t="str">
        <f>IFERROR(__xludf.DUMMYFUNCTION("""COMPUTED_VALUE"""),"STAR MARKETING")</f>
        <v>STAR MARKETING</v>
      </c>
    </row>
    <row r="2984">
      <c r="A2984" s="234">
        <f>IFERROR(__xludf.DUMMYFUNCTION("""COMPUTED_VALUE"""),103275.0)</f>
        <v>103275</v>
      </c>
      <c r="B2984" s="235" t="str">
        <f>IFERROR(__xludf.DUMMYFUNCTION("""COMPUTED_VALUE"""),"ELYDIA REYES")</f>
        <v>ELYDIA REYES</v>
      </c>
      <c r="C2984" s="235" t="str">
        <f>IFERROR(__xludf.DUMMYFUNCTION("""COMPUTED_VALUE"""),"PR &amp; MARKETING")</f>
        <v>PR &amp; MARKETING</v>
      </c>
      <c r="D2984" s="196" t="str">
        <f>IFERROR(__xludf.DUMMYFUNCTION("""COMPUTED_VALUE"""),"4 PCS 2.5 x 6 FT WITH SEAMING AND EYELET ON 4 CORNERS &amp; LMAPPOST STAR")</f>
        <v>4 PCS 2.5 x 6 FT WITH SEAMING AND EYELET ON 4 CORNERS &amp; LMAPPOST STAR</v>
      </c>
      <c r="E2984" s="196" t="str">
        <f>IFERROR(__xludf.DUMMYFUNCTION("""COMPUTED_VALUE"""),"MARKETING K-12")</f>
        <v>MARKETING K-12</v>
      </c>
    </row>
    <row r="2985">
      <c r="A2985" s="234">
        <f>IFERROR(__xludf.DUMMYFUNCTION("""COMPUTED_VALUE"""),103276.0)</f>
        <v>103276</v>
      </c>
      <c r="B2985" s="235" t="str">
        <f>IFERROR(__xludf.DUMMYFUNCTION("""COMPUTED_VALUE"""),"CAROL LACERNA")</f>
        <v>CAROL LACERNA</v>
      </c>
      <c r="C2985" s="235" t="str">
        <f>IFERROR(__xludf.DUMMYFUNCTION("""COMPUTED_VALUE"""),"ABU")</f>
        <v>ABU</v>
      </c>
      <c r="D2985" s="196" t="str">
        <f>IFERROR(__xludf.DUMMYFUNCTION("""COMPUTED_VALUE"""),"- 120 PCS CURSIVE WRITING - GRADE 3
- 90 PCS CURSIVE WRITING - GRADE 4
- 110 PCS CURSIVE WRITING - GRADE 5")</f>
        <v>- 120 PCS CURSIVE WRITING - GRADE 3
- 90 PCS CURSIVE WRITING - GRADE 4
- 110 PCS CURSIVE WRITING - GRADE 5</v>
      </c>
      <c r="E2985" s="196" t="str">
        <f>IFERROR(__xludf.DUMMYFUNCTION("""COMPUTED_VALUE"""),"TEXTBOOK FOR SALE IN STUFFSHOP FOR AY 2023 - 2024")</f>
        <v>TEXTBOOK FOR SALE IN STUFFSHOP FOR AY 2023 - 2024</v>
      </c>
    </row>
    <row r="2986">
      <c r="A2986" s="234">
        <f>IFERROR(__xludf.DUMMYFUNCTION("""COMPUTED_VALUE"""),103277.0)</f>
        <v>103277</v>
      </c>
      <c r="B2986" s="235" t="str">
        <f>IFERROR(__xludf.DUMMYFUNCTION("""COMPUTED_VALUE"""),"CAROL LACERNA")</f>
        <v>CAROL LACERNA</v>
      </c>
      <c r="C2986" s="235" t="str">
        <f>IFERROR(__xludf.DUMMYFUNCTION("""COMPUTED_VALUE"""),"ABU")</f>
        <v>ABU</v>
      </c>
      <c r="D2986" s="196" t="str">
        <f>IFERROR(__xludf.DUMMYFUNCTION("""COMPUTED_VALUE"""),"- 40 PCS STANFORD SKILLBOOK - MATH B
- 40 PCS STANFORD SKILLBOOK - READING B
- 80 PCS STANFORD SKILLBOOK - MATH C
- 80 PCS STANFORD SKILLBOOK - READING C
- 120 PCS STANFORD SKILLBOOK - MATH D
- 120 PCS STANFORD SKILLBOOK - READING D")</f>
        <v>- 40 PCS STANFORD SKILLBOOK - MATH B
- 40 PCS STANFORD SKILLBOOK - READING B
- 80 PCS STANFORD SKILLBOOK - MATH C
- 80 PCS STANFORD SKILLBOOK - READING C
- 120 PCS STANFORD SKILLBOOK - MATH D
- 120 PCS STANFORD SKILLBOOK - READING D</v>
      </c>
      <c r="E2986" s="196" t="str">
        <f>IFERROR(__xludf.DUMMYFUNCTION("""COMPUTED_VALUE"""),"TEXTBOOK FOR SALE IN STUFFSHOP FOR AY 2023 - 2024")</f>
        <v>TEXTBOOK FOR SALE IN STUFFSHOP FOR AY 2023 - 2024</v>
      </c>
    </row>
    <row r="2987">
      <c r="A2987" s="234">
        <f>IFERROR(__xludf.DUMMYFUNCTION("""COMPUTED_VALUE"""),103278.0)</f>
        <v>103278</v>
      </c>
      <c r="B2987" s="235" t="str">
        <f>IFERROR(__xludf.DUMMYFUNCTION("""COMPUTED_VALUE"""),"CAROL LACERNA")</f>
        <v>CAROL LACERNA</v>
      </c>
      <c r="C2987" s="235" t="str">
        <f>IFERROR(__xludf.DUMMYFUNCTION("""COMPUTED_VALUE"""),"ABU")</f>
        <v>ABU</v>
      </c>
      <c r="D2987" s="196" t="str">
        <f>IFERROR(__xludf.DUMMYFUNCTION("""COMPUTED_VALUE"""),"- 140 PCS EQ/ACT BOOK GRADE 1
- 120 PCS EQ/ACT BOOK GRADE 2
- 130 PCS EQ/ACT BOOK GRADE 3
- 100 PCS EQ/ACT BOOK GRADE 4
- 110 PCS EQ/ACT BOOK GRADE 5
- 110 PCS EQ/ACT BOOK GRADE 6
- 165 PCS EQ/ACT BOOK GRADE 7
- 170 PCS EQ/ACT BOOK GRADE 8
- 155 PCS EQ/AC"&amp;"T BOOK GRADE 9
- 195 PCS EQ/ACT BOOK GRADE 10
- 195 PCS EQ/ACT BOOK GRADE 11
- 130 PCS EQ/ACT BOOK GRADE 12")</f>
        <v>- 140 PCS EQ/ACT BOOK GRADE 1
- 120 PCS EQ/ACT BOOK GRADE 2
- 130 PCS EQ/ACT BOOK GRADE 3
- 100 PCS EQ/ACT BOOK GRADE 4
- 110 PCS EQ/ACT BOOK GRADE 5
- 110 PCS EQ/ACT BOOK GRADE 6
- 165 PCS EQ/ACT BOOK GRADE 7
- 170 PCS EQ/ACT BOOK GRADE 8
- 155 PCS EQ/ACT BOOK GRADE 9
- 195 PCS EQ/ACT BOOK GRADE 10
- 195 PCS EQ/ACT BOOK GRADE 11
- 130 PCS EQ/ACT BOOK GRADE 12</v>
      </c>
      <c r="E2987" s="196" t="str">
        <f>IFERROR(__xludf.DUMMYFUNCTION("""COMPUTED_VALUE"""),"TEXTBOOKS FOR SALE IN STUFFSHOP FOR AY 2023 - 2024")</f>
        <v>TEXTBOOKS FOR SALE IN STUFFSHOP FOR AY 2023 - 2024</v>
      </c>
    </row>
    <row r="2988">
      <c r="A2988" s="234">
        <f>IFERROR(__xludf.DUMMYFUNCTION("""COMPUTED_VALUE"""),103279.0)</f>
        <v>103279</v>
      </c>
      <c r="B2988" s="235" t="str">
        <f>IFERROR(__xludf.DUMMYFUNCTION("""COMPUTED_VALUE"""),"ELIZAMAE GAW")</f>
        <v>ELIZAMAE GAW</v>
      </c>
      <c r="C2988" s="235" t="str">
        <f>IFERROR(__xludf.DUMMYFUNCTION("""COMPUTED_VALUE"""),"HRMD")</f>
        <v>HRMD</v>
      </c>
      <c r="D2988" s="196" t="str">
        <f>IFERROR(__xludf.DUMMYFUNCTION("""COMPUTED_VALUE"""),"FLOWER WREATH
ROOM 104, ST. PETER CHAPELS, TRAMO ST., ZAPOTE LAS PINAS")</f>
        <v>FLOWER WREATH
ROOM 104, ST. PETER CHAPELS, TRAMO ST., ZAPOTE LAS PINAS</v>
      </c>
      <c r="E2988" s="196" t="str">
        <f>IFERROR(__xludf.DUMMYFUNCTION("""COMPUTED_VALUE"""),"FLOWER WREATH FOR THE MOTHER OF MR. OSCALON BALTAZAR")</f>
        <v>FLOWER WREATH FOR THE MOTHER OF MR. OSCALON BALTAZAR</v>
      </c>
    </row>
    <row r="2989">
      <c r="A2989" s="234">
        <f>IFERROR(__xludf.DUMMYFUNCTION("""COMPUTED_VALUE"""),103280.0)</f>
        <v>103280</v>
      </c>
      <c r="B2989" s="235" t="str">
        <f>IFERROR(__xludf.DUMMYFUNCTION("""COMPUTED_VALUE"""),"ELMIE LAUDIATO")</f>
        <v>ELMIE LAUDIATO</v>
      </c>
      <c r="C2989" s="235" t="str">
        <f>IFERROR(__xludf.DUMMYFUNCTION("""COMPUTED_VALUE"""),"HRMD")</f>
        <v>HRMD</v>
      </c>
      <c r="D2989" s="196" t="str">
        <f>IFERROR(__xludf.DUMMYFUNCTION("""COMPUTED_VALUE"""),"- PLAQUE 5 YEARS (6"")
- PLAQUE 10 YEARS (8"")
- PLAQUE 15 YEARS (10"")
- PLAQUE 20 YEARS (12"")
- PLAQUE 25 YEARS (14"")")</f>
        <v>- PLAQUE 5 YEARS (6")
- PLAQUE 10 YEARS (8")
- PLAQUE 15 YEARS (10")
- PLAQUE 20 YEARS (12")
- PLAQUE 25 YEARS (14")</v>
      </c>
      <c r="E2989" s="196" t="str">
        <f>IFERROR(__xludf.DUMMYFUNCTION("""COMPUTED_VALUE"""),"PLAQUE FOR SERVICE AWARDEES(KRA 2023)")</f>
        <v>PLAQUE FOR SERVICE AWARDEES(KRA 2023)</v>
      </c>
    </row>
    <row r="2990">
      <c r="A2990" s="234">
        <f>IFERROR(__xludf.DUMMYFUNCTION("""COMPUTED_VALUE"""),103281.0)</f>
        <v>103281</v>
      </c>
      <c r="B2990" s="235" t="str">
        <f>IFERROR(__xludf.DUMMYFUNCTION("""COMPUTED_VALUE"""),"CHRISTIAN GALICIA")</f>
        <v>CHRISTIAN GALICIA</v>
      </c>
      <c r="C2990" s="235" t="str">
        <f>IFERROR(__xludf.DUMMYFUNCTION("""COMPUTED_VALUE"""),"AMD")</f>
        <v>AMD</v>
      </c>
      <c r="D2990" s="196" t="str">
        <f>IFERROR(__xludf.DUMMYFUNCTION("""COMPUTED_VALUE"""),"- 200 PCS PAPER BAG, SISC WHITE, SMALL
- 200 PCS PAPER BAG, SISC WHITE, MEDIUM
- 200 PCS PAPER BAG, SISC WHITE, LARGE")</f>
        <v>- 200 PCS PAPER BAG, SISC WHITE, SMALL
- 200 PCS PAPER BAG, SISC WHITE, MEDIUM
- 200 PCS PAPER BAG, SISC WHITE, LARGE</v>
      </c>
      <c r="E2990" s="196" t="str">
        <f>IFERROR(__xludf.DUMMYFUNCTION("""COMPUTED_VALUE"""),"PACKAGING FOR INSTITUTIONAL TOKENS")</f>
        <v>PACKAGING FOR INSTITUTIONAL TOKENS</v>
      </c>
    </row>
    <row r="2991">
      <c r="A2991" s="234">
        <f>IFERROR(__xludf.DUMMYFUNCTION("""COMPUTED_VALUE"""),103282.0)</f>
        <v>103282</v>
      </c>
      <c r="B2991" s="235" t="str">
        <f>IFERROR(__xludf.DUMMYFUNCTION("""COMPUTED_VALUE"""),"RORY MANSBRIDGE/OWIE PAR")</f>
        <v>RORY MANSBRIDGE/OWIE PAR</v>
      </c>
      <c r="C2991" s="235" t="str">
        <f>IFERROR(__xludf.DUMMYFUNCTION("""COMPUTED_VALUE"""),"ADMIN")</f>
        <v>ADMIN</v>
      </c>
      <c r="D2991" s="196" t="str">
        <f>IFERROR(__xludf.DUMMYFUNCTION("""COMPUTED_VALUE"""),"2 SET LED CEILING LIGHT FOR COACH ROOM")</f>
        <v>2 SET LED CEILING LIGHT FOR COACH ROOM</v>
      </c>
      <c r="E2991" s="196" t="str">
        <f>IFERROR(__xludf.DUMMYFUNCTION("""COMPUTED_VALUE"""),"LIGHTS FOR COACH ROOM(BUSTED) JO#16 APRIL")</f>
        <v>LIGHTS FOR COACH ROOM(BUSTED) JO#16 APRIL</v>
      </c>
    </row>
    <row r="2992">
      <c r="A2992" s="234">
        <f>IFERROR(__xludf.DUMMYFUNCTION("""COMPUTED_VALUE"""),103283.0)</f>
        <v>103283</v>
      </c>
      <c r="B2992" s="235" t="str">
        <f>IFERROR(__xludf.DUMMYFUNCTION("""COMPUTED_VALUE"""),"ALFA DE LEON")</f>
        <v>ALFA DE LEON</v>
      </c>
      <c r="C2992" s="235" t="str">
        <f>IFERROR(__xludf.DUMMYFUNCTION("""COMPUTED_VALUE"""),"ADMIN")</f>
        <v>ADMIN</v>
      </c>
      <c r="D2992" s="196" t="str">
        <f>IFERROR(__xludf.DUMMYFUNCTION("""COMPUTED_VALUE"""),"- 50 PCS FORGET ME NOT
- 100 PCS MANI-MANI
- 1 PC ANAHAO 8FT
- 1 PC RED KALACHUCHI")</f>
        <v>- 50 PCS FORGET ME NOT
- 100 PCS MANI-MANI
- 1 PC ANAHAO 8FT
- 1 PC RED KALACHUCHI</v>
      </c>
      <c r="E2992" s="196" t="str">
        <f>IFERROR(__xludf.DUMMYFUNCTION("""COMPUTED_VALUE"""),"FOR MONARCH'S PARK")</f>
        <v>FOR MONARCH'S PARK</v>
      </c>
    </row>
    <row r="2993">
      <c r="A2993" s="234">
        <f>IFERROR(__xludf.DUMMYFUNCTION("""COMPUTED_VALUE"""),103284.0)</f>
        <v>103284</v>
      </c>
      <c r="B2993" s="235" t="str">
        <f>IFERROR(__xludf.DUMMYFUNCTION("""COMPUTED_VALUE"""),"ELYDIA REYES")</f>
        <v>ELYDIA REYES</v>
      </c>
      <c r="C2993" s="235" t="str">
        <f>IFERROR(__xludf.DUMMYFUNCTION("""COMPUTED_VALUE"""),"PR &amp; MARKETING")</f>
        <v>PR &amp; MARKETING</v>
      </c>
      <c r="D2993" s="196" t="str">
        <f>IFERROR(__xludf.DUMMYFUNCTION("""COMPUTED_VALUE"""),"2 PCS 10 x 20 FT SUMMER FEST WITH EYELET AND SEAMING")</f>
        <v>2 PCS 10 x 20 FT SUMMER FEST WITH EYELET AND SEAMING</v>
      </c>
      <c r="E2993" s="196" t="str">
        <f>IFERROR(__xludf.DUMMYFUNCTION("""COMPUTED_VALUE"""),"OPEN HOUSE")</f>
        <v>OPEN HOUSE</v>
      </c>
    </row>
    <row r="2994">
      <c r="A2994" s="234">
        <f>IFERROR(__xludf.DUMMYFUNCTION("""COMPUTED_VALUE"""),103285.0)</f>
        <v>103285</v>
      </c>
      <c r="B2994" s="235" t="str">
        <f>IFERROR(__xludf.DUMMYFUNCTION("""COMPUTED_VALUE"""),"JESUIT CHRISTIAN GALICIA")</f>
        <v>JESUIT CHRISTIAN GALICIA</v>
      </c>
      <c r="C2994" s="235" t="str">
        <f>IFERROR(__xludf.DUMMYFUNCTION("""COMPUTED_VALUE"""),"AMD")</f>
        <v>AMD</v>
      </c>
      <c r="D2994" s="196" t="str">
        <f>IFERROR(__xludf.DUMMYFUNCTION("""COMPUTED_VALUE"""),"200 REAMS PAPER, COPY-LASER SUB 20 SHORT WHITE")</f>
        <v>200 REAMS PAPER, COPY-LASER SUB 20 SHORT WHITE</v>
      </c>
      <c r="E2994" s="196" t="str">
        <f>IFERROR(__xludf.DUMMYFUNCTION("""COMPUTED_VALUE"""),"OSSUP STOCK REPLENISHMENT")</f>
        <v>OSSUP STOCK REPLENISHMENT</v>
      </c>
    </row>
    <row r="2995">
      <c r="A2995" s="234">
        <f>IFERROR(__xludf.DUMMYFUNCTION("""COMPUTED_VALUE"""),103286.0)</f>
        <v>103286</v>
      </c>
      <c r="B2995" s="235" t="str">
        <f>IFERROR(__xludf.DUMMYFUNCTION("""COMPUTED_VALUE"""),"CHRISTIAN S. ANDRES")</f>
        <v>CHRISTIAN S. ANDRES</v>
      </c>
      <c r="C2995" s="235" t="str">
        <f>IFERROR(__xludf.DUMMYFUNCTION("""COMPUTED_VALUE"""),"PR &amp; MARKETING")</f>
        <v>PR &amp; MARKETING</v>
      </c>
      <c r="D2995" s="196" t="str">
        <f>IFERROR(__xludf.DUMMYFUNCTION("""COMPUTED_VALUE"""),"6 PCS 3MUNICH IB BANNERS 3 x 15 FEET EYELET ALL OVER W/ SEAMING")</f>
        <v>6 PCS 3MUNICH IB BANNERS 3 x 15 FEET EYELET ALL OVER W/ SEAMING</v>
      </c>
      <c r="E2995" s="196" t="str">
        <f>IFERROR(__xludf.DUMMYFUNCTION("""COMPUTED_VALUE"""),"PROMOTION/MARKETING")</f>
        <v>PROMOTION/MARKETING</v>
      </c>
    </row>
    <row r="2996">
      <c r="A2996" s="234">
        <f>IFERROR(__xludf.DUMMYFUNCTION("""COMPUTED_VALUE"""),103287.0)</f>
        <v>103287</v>
      </c>
      <c r="B2996" s="235" t="str">
        <f>IFERROR(__xludf.DUMMYFUNCTION("""COMPUTED_VALUE"""),"ELYDIA REYES")</f>
        <v>ELYDIA REYES</v>
      </c>
      <c r="C2996" s="235" t="str">
        <f>IFERROR(__xludf.DUMMYFUNCTION("""COMPUTED_VALUE"""),"PR &amp; MARKETING")</f>
        <v>PR &amp; MARKETING</v>
      </c>
      <c r="D2996" s="196" t="str">
        <f>IFERROR(__xludf.DUMMYFUNCTION("""COMPUTED_VALUE"""),"BE AMAZING T-SHIRT(WHITE &amp; PURPLE)
- 20 PCS(10 WHITE &amp; 10 PURPLE) SMALL SIZE
- 20 PCS(10 WHITE &amp; 10 PURPLE) MEDIUM SIZE
- 20 PCS(10 WHITE &amp; 10 PURPLE) LARGE SIZE
- 20 PCS(10 WHITE &amp; 10 PURPLE) EXTRA LARGE)")</f>
        <v>BE AMAZING T-SHIRT(WHITE &amp; PURPLE)
- 20 PCS(10 WHITE &amp; 10 PURPLE) SMALL SIZE
- 20 PCS(10 WHITE &amp; 10 PURPLE) MEDIUM SIZE
- 20 PCS(10 WHITE &amp; 10 PURPLE) LARGE SIZE
- 20 PCS(10 WHITE &amp; 10 PURPLE) EXTRA LARGE)</v>
      </c>
      <c r="E2996" s="196" t="str">
        <f>IFERROR(__xludf.DUMMYFUNCTION("""COMPUTED_VALUE"""),"FOR GIVEAWAYS")</f>
        <v>FOR GIVEAWAYS</v>
      </c>
    </row>
    <row r="2997">
      <c r="A2997" s="234">
        <f>IFERROR(__xludf.DUMMYFUNCTION("""COMPUTED_VALUE"""),103288.0)</f>
        <v>103288</v>
      </c>
      <c r="B2997" s="235" t="str">
        <f>IFERROR(__xludf.DUMMYFUNCTION("""COMPUTED_VALUE"""),"JAYVEN POBLETE")</f>
        <v>JAYVEN POBLETE</v>
      </c>
      <c r="C2997" s="235" t="str">
        <f>IFERROR(__xludf.DUMMYFUNCTION("""COMPUTED_VALUE"""),"PR &amp; MARKETING")</f>
        <v>PR &amp; MARKETING</v>
      </c>
      <c r="D2997" s="196" t="str">
        <f>IFERROR(__xludf.DUMMYFUNCTION("""COMPUTED_VALUE"""),"1 PC TV SCREEN(FOR CANVASSING) 43 INCHES")</f>
        <v>1 PC TV SCREEN(FOR CANVASSING) 43 INCHES</v>
      </c>
      <c r="E2997" s="196" t="str">
        <f>IFERROR(__xludf.DUMMYFUNCTION("""COMPUTED_VALUE"""),"MARKETING - PLAYING OF VIDEO PROMOTIONS/BRANDING")</f>
        <v>MARKETING - PLAYING OF VIDEO PROMOTIONS/BRANDING</v>
      </c>
    </row>
    <row r="2998">
      <c r="A2998" s="234">
        <f>IFERROR(__xludf.DUMMYFUNCTION("""COMPUTED_VALUE"""),103289.0)</f>
        <v>103289</v>
      </c>
      <c r="B2998" s="235" t="str">
        <f>IFERROR(__xludf.DUMMYFUNCTION("""COMPUTED_VALUE"""),"JAYVEN POBLETE")</f>
        <v>JAYVEN POBLETE</v>
      </c>
      <c r="C2998" s="235" t="str">
        <f>IFERROR(__xludf.DUMMYFUNCTION("""COMPUTED_VALUE"""),"PR &amp; MARKETING")</f>
        <v>PR &amp; MARKETING</v>
      </c>
      <c r="D2998" s="196" t="str">
        <f>IFERROR(__xludf.DUMMYFUNCTION("""COMPUTED_VALUE"""),"5 PCS TABLE STANDERS")</f>
        <v>5 PCS TABLE STANDERS</v>
      </c>
      <c r="E2998" s="196" t="str">
        <f>IFERROR(__xludf.DUMMYFUNCTION("""COMPUTED_VALUE"""),"FRONT DESK &amp; SCHOOL/ PRESENTATION BOOTH")</f>
        <v>FRONT DESK &amp; SCHOOL/ PRESENTATION BOOTH</v>
      </c>
    </row>
    <row r="2999">
      <c r="A2999" s="234">
        <f>IFERROR(__xludf.DUMMYFUNCTION("""COMPUTED_VALUE"""),103290.0)</f>
        <v>103290</v>
      </c>
      <c r="B2999" s="235" t="str">
        <f>IFERROR(__xludf.DUMMYFUNCTION("""COMPUTED_VALUE"""),"OWIE PAR")</f>
        <v>OWIE PAR</v>
      </c>
      <c r="C2999" s="235" t="str">
        <f>IFERROR(__xludf.DUMMYFUNCTION("""COMPUTED_VALUE"""),"ENGINEERING")</f>
        <v>ENGINEERING</v>
      </c>
      <c r="D2999" s="196" t="str">
        <f>IFERROR(__xludf.DUMMYFUNCTION("""COMPUTED_VALUE"""),"1 UNIT 6.0 HP CEILING CONCEALED DUCTED TYPE INVERTER")</f>
        <v>1 UNIT 6.0 HP CEILING CONCEALED DUCTED TYPE INVERTER</v>
      </c>
      <c r="E2999" s="196" t="str">
        <f>IFERROR(__xludf.DUMMYFUNCTION("""COMPUTED_VALUE"""),"ADDITIONAL ACU FOR LUX HALL WITH DUCTING")</f>
        <v>ADDITIONAL ACU FOR LUX HALL WITH DUCTING</v>
      </c>
    </row>
    <row r="3000">
      <c r="A3000" s="234">
        <f>IFERROR(__xludf.DUMMYFUNCTION("""COMPUTED_VALUE"""),103291.0)</f>
        <v>103291</v>
      </c>
      <c r="B3000" s="235" t="str">
        <f>IFERROR(__xludf.DUMMYFUNCTION("""COMPUTED_VALUE"""),"OWIE PAR")</f>
        <v>OWIE PAR</v>
      </c>
      <c r="C3000" s="235" t="str">
        <f>IFERROR(__xludf.DUMMYFUNCTION("""COMPUTED_VALUE"""),"ENGINEERING")</f>
        <v>ENGINEERING</v>
      </c>
      <c r="D3000" s="196" t="str">
        <f>IFERROR(__xludf.DUMMYFUNCTION("""COMPUTED_VALUE"""),"1 UNIT 2.5 HP CEILING CASSETTE INVERTER")</f>
        <v>1 UNIT 2.5 HP CEILING CASSETTE INVERTER</v>
      </c>
      <c r="E3000" s="196" t="str">
        <f>IFERROR(__xludf.DUMMYFUNCTION("""COMPUTED_VALUE"""),"REPLACEMENT OF ACU FOR COLLEGE LIBRARY FILIPINIANA")</f>
        <v>REPLACEMENT OF ACU FOR COLLEGE LIBRARY FILIPINIANA</v>
      </c>
    </row>
    <row r="3001">
      <c r="A3001" s="234">
        <f>IFERROR(__xludf.DUMMYFUNCTION("""COMPUTED_VALUE"""),103292.0)</f>
        <v>103292</v>
      </c>
      <c r="B3001" s="235" t="str">
        <f>IFERROR(__xludf.DUMMYFUNCTION("""COMPUTED_VALUE"""),"OWIE PAR")</f>
        <v>OWIE PAR</v>
      </c>
      <c r="C3001" s="235" t="str">
        <f>IFERROR(__xludf.DUMMYFUNCTION("""COMPUTED_VALUE"""),"ENGINEERING")</f>
        <v>ENGINEERING</v>
      </c>
      <c r="D3001" s="196" t="str">
        <f>IFERROR(__xludf.DUMMYFUNCTION("""COMPUTED_VALUE"""),"1 UNIT 6.0 HP CEILING CASSETTE INVERTER")</f>
        <v>1 UNIT 6.0 HP CEILING CASSETTE INVERTER</v>
      </c>
      <c r="E3001" s="196" t="str">
        <f>IFERROR(__xludf.DUMMYFUNCTION("""COMPUTED_VALUE"""),"ACU REPLACEMENT FOR PRUDENCE RM")</f>
        <v>ACU REPLACEMENT FOR PRUDENCE RM</v>
      </c>
    </row>
    <row r="3002">
      <c r="A3002" s="234">
        <f>IFERROR(__xludf.DUMMYFUNCTION("""COMPUTED_VALUE"""),103293.0)</f>
        <v>103293</v>
      </c>
      <c r="B3002" s="235" t="str">
        <f>IFERROR(__xludf.DUMMYFUNCTION("""COMPUTED_VALUE"""),"JOMEL BUTIAL ")</f>
        <v>JOMEL BUTIAL </v>
      </c>
      <c r="C3002" s="235" t="str">
        <f>IFERROR(__xludf.DUMMYFUNCTION("""COMPUTED_VALUE"""),"AMD")</f>
        <v>AMD</v>
      </c>
      <c r="D3002" s="196" t="str">
        <f>IFERROR(__xludf.DUMMYFUNCTION("""COMPUTED_VALUE"""),"TB SMALL YELLOW 30 PCS; TB CLEAR L 30 PCS; TB CLEAR XL 50 PCS; TB CLEAR 2XL 30 PCS; BOWL CARE  60 GAL;  BAYGON SCENTED 50 CAN; TOPLUSTER 30 GALS")</f>
        <v>TB SMALL YELLOW 30 PCS; TB CLEAR L 30 PCS; TB CLEAR XL 50 PCS; TB CLEAR 2XL 30 PCS; BOWL CARE  60 GAL;  BAYGON SCENTED 50 CAN; TOPLUSTER 30 GALS</v>
      </c>
      <c r="E3002" s="196" t="str">
        <f>IFERROR(__xludf.DUMMYFUNCTION("""COMPUTED_VALUE"""),"HOUSEKEEPING REPLENISHMENT APRIL 2023")</f>
        <v>HOUSEKEEPING REPLENISHMENT APRIL 2023</v>
      </c>
    </row>
    <row r="3003">
      <c r="A3003" s="234">
        <f>IFERROR(__xludf.DUMMYFUNCTION("""COMPUTED_VALUE"""),103294.0)</f>
        <v>103294</v>
      </c>
      <c r="B3003" s="235" t="str">
        <f>IFERROR(__xludf.DUMMYFUNCTION("""COMPUTED_VALUE"""),"EJ ALIERMO")</f>
        <v>EJ ALIERMO</v>
      </c>
      <c r="C3003" s="235" t="str">
        <f>IFERROR(__xludf.DUMMYFUNCTION("""COMPUTED_VALUE"""),"AMD")</f>
        <v>AMD</v>
      </c>
      <c r="D3003" s="196" t="str">
        <f>IFERROR(__xludf.DUMMYFUNCTION("""COMPUTED_VALUE"""),"CHAMPION 800 GRAMS 200 PCS, BABY OIL 125ML 200 PCS, BIDET 15PCS")</f>
        <v>CHAMPION 800 GRAMS 200 PCS, BABY OIL 125ML 200 PCS, BIDET 15PCS</v>
      </c>
      <c r="E3003" s="196" t="str">
        <f>IFERROR(__xludf.DUMMYFUNCTION("""COMPUTED_VALUE"""),"HOUSEKEEPING REPLENISHMENT  APRIL 2023")</f>
        <v>HOUSEKEEPING REPLENISHMENT  APRIL 2023</v>
      </c>
    </row>
    <row r="3004">
      <c r="A3004" s="234">
        <f>IFERROR(__xludf.DUMMYFUNCTION("""COMPUTED_VALUE"""),103295.0)</f>
        <v>103295</v>
      </c>
      <c r="B3004" s="235" t="str">
        <f>IFERROR(__xludf.DUMMYFUNCTION("""COMPUTED_VALUE"""),"EJ ALIERMO")</f>
        <v>EJ ALIERMO</v>
      </c>
      <c r="C3004" s="235" t="str">
        <f>IFERROR(__xludf.DUMMYFUNCTION("""COMPUTED_VALUE"""),"AMD")</f>
        <v>AMD</v>
      </c>
      <c r="D3004" s="196" t="str">
        <f>IFERROR(__xludf.DUMMYFUNCTION("""COMPUTED_VALUE"""),"SWEET SUNSATION")</f>
        <v>SWEET SUNSATION</v>
      </c>
      <c r="E3004" s="196" t="str">
        <f>IFERROR(__xludf.DUMMYFUNCTION("""COMPUTED_VALUE"""),"HOUSEKEEPING REPLENISHMENT APRIL 2023")</f>
        <v>HOUSEKEEPING REPLENISHMENT APRIL 2023</v>
      </c>
    </row>
    <row r="3005">
      <c r="A3005" s="234">
        <f>IFERROR(__xludf.DUMMYFUNCTION("""COMPUTED_VALUE"""),103296.0)</f>
        <v>103296</v>
      </c>
      <c r="B3005" s="235" t="str">
        <f>IFERROR(__xludf.DUMMYFUNCTION("""COMPUTED_VALUE"""),"ANGELO PARAS")</f>
        <v>ANGELO PARAS</v>
      </c>
      <c r="C3005" s="235" t="str">
        <f>IFERROR(__xludf.DUMMYFUNCTION("""COMPUTED_VALUE"""),"SCIENCE LAB BASIC ED.")</f>
        <v>SCIENCE LAB BASIC ED.</v>
      </c>
      <c r="D3005" s="196" t="str">
        <f>IFERROR(__xludf.DUMMYFUNCTION("""COMPUTED_VALUE"""),"- 20 PCS THERMOMETER, GLASS OR ALCOHOL, NO MERCURY
- 500 PCS DROPPERS/PINETTE, PLASTIC
- 10 PCS TRIPOD STAND, FOR LAB
- 20 PCS CALORIMETER, DOUBLE WALLED
- 20 PCS WIRE GAUZE
- 15 PCS BUNSEN BURNER
- 10 PCS UNIVERSAL ADAPTOR, OMNI BRAND
- 20 PCS INOCULATIN"&amp;"G LOOP
- 10 PCS IRON RING, FOR IRON RETORT STAND(IRON CLAMP)")</f>
        <v>- 20 PCS THERMOMETER, GLASS OR ALCOHOL, NO MERCURY
- 500 PCS DROPPERS/PINETTE, PLASTIC
- 10 PCS TRIPOD STAND, FOR LAB
- 20 PCS CALORIMETER, DOUBLE WALLED
- 20 PCS WIRE GAUZE
- 15 PCS BUNSEN BURNER
- 10 PCS UNIVERSAL ADAPTOR, OMNI BRAND
- 20 PCS INOCULATING LOOP
- 10 PCS IRON RING, FOR IRON RETORT STAND(IRON CLAMP)</v>
      </c>
      <c r="E3005" s="196" t="str">
        <f>IFERROR(__xludf.DUMMYFUNCTION("""COMPUTED_VALUE"""),"MATERIALS NEEDED FOR SCIENCE LAB EXPERIMENTS")</f>
        <v>MATERIALS NEEDED FOR SCIENCE LAB EXPERIMENTS</v>
      </c>
    </row>
    <row r="3006">
      <c r="A3006" s="234">
        <f>IFERROR(__xludf.DUMMYFUNCTION("""COMPUTED_VALUE"""),103297.0)</f>
        <v>103297</v>
      </c>
      <c r="B3006" s="235" t="str">
        <f>IFERROR(__xludf.DUMMYFUNCTION("""COMPUTED_VALUE"""),"JOSSA MARIE GALLANOSA")</f>
        <v>JOSSA MARIE GALLANOSA</v>
      </c>
      <c r="C3006" s="235" t="str">
        <f>IFERROR(__xludf.DUMMYFUNCTION("""COMPUTED_VALUE"""),"CEM OFFICE")</f>
        <v>CEM OFFICE</v>
      </c>
      <c r="D3006" s="196" t="str">
        <f>IFERROR(__xludf.DUMMYFUNCTION("""COMPUTED_VALUE"""),"2 PCS PURPOSEFUL DEVELOPMENT OF PROFESSIONAL LEARNING PROCESSES: CONSIDERATIONS FOR PEDAGOGY, RESEARCH, AND PRACTICE(PAPERBACK)")</f>
        <v>2 PCS PURPOSEFUL DEVELOPMENT OF PROFESSIONAL LEARNING PROCESSES: CONSIDERATIONS FOR PEDAGOGY, RESEARCH, AND PRACTICE(PAPERBACK)</v>
      </c>
      <c r="E3006" s="196" t="str">
        <f>IFERROR(__xludf.DUMMYFUNCTION("""COMPUTED_VALUE"""),"SGEN USE(RESEARCH REFERENCE)")</f>
        <v>SGEN USE(RESEARCH REFERENCE)</v>
      </c>
    </row>
    <row r="3007">
      <c r="A3007" s="234">
        <f>IFERROR(__xludf.DUMMYFUNCTION("""COMPUTED_VALUE"""),103298.0)</f>
        <v>103298</v>
      </c>
      <c r="B3007" s="235" t="str">
        <f>IFERROR(__xludf.DUMMYFUNCTION("""COMPUTED_VALUE"""),"JOMEL BUTIAL ")</f>
        <v>JOMEL BUTIAL </v>
      </c>
      <c r="C3007" s="235" t="str">
        <f>IFERROR(__xludf.DUMMYFUNCTION("""COMPUTED_VALUE"""),"PR &amp; MARKETING")</f>
        <v>PR &amp; MARKETING</v>
      </c>
      <c r="D3007" s="196" t="str">
        <f>IFERROR(__xludf.DUMMYFUNCTION("""COMPUTED_VALUE"""),"PURPLE PEN FOR GIVE AWAYS OR SILVER PEN WITH PURPLE SOUTHVILLE NAME ")</f>
        <v>PURPLE PEN FOR GIVE AWAYS OR SILVER PEN WITH PURPLE SOUTHVILLE NAME </v>
      </c>
      <c r="E3007" s="196" t="str">
        <f>IFERROR(__xludf.DUMMYFUNCTION("""COMPUTED_VALUE"""),"OPEN HOUSE EVENT ")</f>
        <v>OPEN HOUSE EVENT </v>
      </c>
    </row>
    <row r="3008">
      <c r="A3008" s="234">
        <f>IFERROR(__xludf.DUMMYFUNCTION("""COMPUTED_VALUE"""),103299.0)</f>
        <v>103299</v>
      </c>
      <c r="B3008" s="235" t="str">
        <f>IFERROR(__xludf.DUMMYFUNCTION("""COMPUTED_VALUE"""),"JOCELYN TIZON/ MELISSA ODONO")</f>
        <v>JOCELYN TIZON/ MELISSA ODONO</v>
      </c>
      <c r="C3008" s="235" t="str">
        <f>IFERROR(__xludf.DUMMYFUNCTION("""COMPUTED_VALUE"""),"LIBRARY")</f>
        <v>LIBRARY</v>
      </c>
      <c r="D3008" s="196" t="str">
        <f>IFERROR(__xludf.DUMMYFUNCTION("""COMPUTED_VALUE"""),"2 PCS PURPOSEFUL DEVELOPMENT OF PROFESSIONAL LEANING PROCESS: CONSIDERATIONS FOR PEDAGOGY, RESEARCH")</f>
        <v>2 PCS PURPOSEFUL DEVELOPMENT OF PROFESSIONAL LEANING PROCESS: CONSIDERATIONS FOR PEDAGOGY, RESEARCH</v>
      </c>
      <c r="E3008" s="196" t="str">
        <f>IFERROR(__xludf.DUMMYFUNCTION("""COMPUTED_VALUE"""),"LIBRARY'S COPY AY 2023 - 2024 FOR FACULTY/MGT/STAFF USE")</f>
        <v>LIBRARY'S COPY AY 2023 - 2024 FOR FACULTY/MGT/STAFF USE</v>
      </c>
    </row>
    <row r="3009">
      <c r="A3009" s="234">
        <f>IFERROR(__xludf.DUMMYFUNCTION("""COMPUTED_VALUE"""),103300.0)</f>
        <v>103300</v>
      </c>
      <c r="B3009" s="235" t="str">
        <f>IFERROR(__xludf.DUMMYFUNCTION("""COMPUTED_VALUE"""),"JESUIT CHRISTIAN GALICIA")</f>
        <v>JESUIT CHRISTIAN GALICIA</v>
      </c>
      <c r="C3009" s="235" t="str">
        <f>IFERROR(__xludf.DUMMYFUNCTION("""COMPUTED_VALUE"""),"AMD")</f>
        <v>AMD</v>
      </c>
      <c r="D3009" s="196" t="str">
        <f>IFERROR(__xludf.DUMMYFUNCTION("""COMPUTED_VALUE"""),"300 PCS BALLPEN, PANDA BLACK")</f>
        <v>300 PCS BALLPEN, PANDA BLACK</v>
      </c>
      <c r="E3009" s="196" t="str">
        <f>IFERROR(__xludf.DUMMYFUNCTION("""COMPUTED_VALUE"""),"OSSUP STOCK REPLENISHMENT")</f>
        <v>OSSUP STOCK REPLENISHMENT</v>
      </c>
    </row>
    <row r="3010">
      <c r="A3010" s="234">
        <f>IFERROR(__xludf.DUMMYFUNCTION("""COMPUTED_VALUE"""),103301.0)</f>
        <v>103301</v>
      </c>
      <c r="B3010" s="235" t="str">
        <f>IFERROR(__xludf.DUMMYFUNCTION("""COMPUTED_VALUE"""),"CHRISTIAN ANDRES")</f>
        <v>CHRISTIAN ANDRES</v>
      </c>
      <c r="C3010" s="235" t="str">
        <f>IFERROR(__xludf.DUMMYFUNCTION("""COMPUTED_VALUE"""),"PR &amp; MARKETING")</f>
        <v>PR &amp; MARKETING</v>
      </c>
      <c r="D3010" s="196" t="str">
        <f>IFERROR(__xludf.DUMMYFUNCTION("""COMPUTED_VALUE"""),"K-12 INFORMATION PACKET 8.5 X11, 48 PAGES MAGAZINE TYPE GLOSSY")</f>
        <v>K-12 INFORMATION PACKET 8.5 X11, 48 PAGES MAGAZINE TYPE GLOSSY</v>
      </c>
      <c r="E3010" s="196" t="str">
        <f>IFERROR(__xludf.DUMMYFUNCTION("""COMPUTED_VALUE"""),"MARKETING OF K-12")</f>
        <v>MARKETING OF K-12</v>
      </c>
    </row>
    <row r="3011">
      <c r="A3011" s="234">
        <f>IFERROR(__xludf.DUMMYFUNCTION("""COMPUTED_VALUE"""),103302.0)</f>
        <v>103302</v>
      </c>
      <c r="B3011" s="235" t="str">
        <f>IFERROR(__xludf.DUMMYFUNCTION("""COMPUTED_VALUE"""),"OWIE PAR")</f>
        <v>OWIE PAR</v>
      </c>
      <c r="C3011" s="235" t="str">
        <f>IFERROR(__xludf.DUMMYFUNCTION("""COMPUTED_VALUE"""),"ENGINEERING")</f>
        <v>ENGINEERING</v>
      </c>
      <c r="D3011" s="196" t="str">
        <f>IFERROR(__xludf.DUMMYFUNCTION("""COMPUTED_VALUE"""),"2X2X8 S4S KD 4PCS., 14X4X8 MARINE 2 PCS. ")</f>
        <v>2X2X8 S4S KD 4PCS., 14X4X8 MARINE 2 PCS. </v>
      </c>
      <c r="E3011" s="196" t="str">
        <f>IFERROR(__xludf.DUMMYFUNCTION("""COMPUTED_VALUE"""),"FOR CCTV RM. REPAIR OF DOOR JO. 0423-0019")</f>
        <v>FOR CCTV RM. REPAIR OF DOOR JO. 0423-0019</v>
      </c>
    </row>
    <row r="3012">
      <c r="A3012" s="234">
        <f>IFERROR(__xludf.DUMMYFUNCTION("""COMPUTED_VALUE"""),103303.0)</f>
        <v>103303</v>
      </c>
      <c r="B3012" s="235" t="str">
        <f>IFERROR(__xludf.DUMMYFUNCTION("""COMPUTED_VALUE"""),"OWIE PAR")</f>
        <v>OWIE PAR</v>
      </c>
      <c r="C3012" s="235" t="str">
        <f>IFERROR(__xludf.DUMMYFUNCTION("""COMPUTED_VALUE"""),"ENGINEERING")</f>
        <v>ENGINEERING</v>
      </c>
      <c r="D3012" s="196" t="str">
        <f>IFERROR(__xludf.DUMMYFUNCTION("""COMPUTED_VALUE"""),"12 pcs. AKIRA LAMP HOLDER, 12 PCS., LED BULB 9 WATTS, 2 PCS. MASONRY BIT #8, 100 PCS. TOX &amp; SCREW #8, 1 ROLL ROYAL CORD #14 3 WIRE, 1 PC. AMCO BOX, 1SET WIDE SERIES SWITCH (PANASONIC) 2 GANG ")</f>
        <v>12 pcs. AKIRA LAMP HOLDER, 12 PCS., LED BULB 9 WATTS, 2 PCS. MASONRY BIT #8, 100 PCS. TOX &amp; SCREW #8, 1 ROLL ROYAL CORD #14 3 WIRE, 1 PC. AMCO BOX, 1SET WIDE SERIES SWITCH (PANASONIC) 2 GANG </v>
      </c>
      <c r="E3012" s="196" t="str">
        <f>IFERROR(__xludf.DUMMYFUNCTION("""COMPUTED_VALUE"""),"FOR TROPICAL PAID PARKING PERIMIETER ADDTL LIGHTS J.O. 0423-0040")</f>
        <v>FOR TROPICAL PAID PARKING PERIMIETER ADDTL LIGHTS J.O. 0423-0040</v>
      </c>
    </row>
    <row r="3013">
      <c r="A3013" s="234">
        <f>IFERROR(__xludf.DUMMYFUNCTION("""COMPUTED_VALUE"""),103304.0)</f>
        <v>103304</v>
      </c>
      <c r="B3013" s="235" t="str">
        <f>IFERROR(__xludf.DUMMYFUNCTION("""COMPUTED_VALUE"""),"OWIE PAR")</f>
        <v>OWIE PAR</v>
      </c>
      <c r="C3013" s="235" t="str">
        <f>IFERROR(__xludf.DUMMYFUNCTION("""COMPUTED_VALUE"""),"ENGINEERING")</f>
        <v>ENGINEERING</v>
      </c>
      <c r="D3013" s="196" t="str">
        <f>IFERROR(__xludf.DUMMYFUNCTION("""COMPUTED_VALUE"""),"1 CUBIC METER GRAVEL 3/4")</f>
        <v>1 CUBIC METER GRAVEL 3/4</v>
      </c>
      <c r="E3013" s="196" t="str">
        <f>IFERROR(__xludf.DUMMYFUNCTION("""COMPUTED_VALUE"""),"FOR MUNICH REPAIR OF POT HOLES JO. NO. 0423-0042")</f>
        <v>FOR MUNICH REPAIR OF POT HOLES JO. NO. 0423-0042</v>
      </c>
    </row>
    <row r="3014">
      <c r="A3014" s="234">
        <f>IFERROR(__xludf.DUMMYFUNCTION("""COMPUTED_VALUE"""),103305.0)</f>
        <v>103305</v>
      </c>
      <c r="B3014" s="235" t="str">
        <f>IFERROR(__xludf.DUMMYFUNCTION("""COMPUTED_VALUE"""),"MARVIN MARASIGAN")</f>
        <v>MARVIN MARASIGAN</v>
      </c>
      <c r="C3014" s="235" t="str">
        <f>IFERROR(__xludf.DUMMYFUNCTION("""COMPUTED_VALUE"""),"PR &amp; MARKETING")</f>
        <v>PR &amp; MARKETING</v>
      </c>
      <c r="D3014" s="196" t="str">
        <f>IFERROR(__xludf.DUMMYFUNCTION("""COMPUTED_VALUE"""),"- 1 PC CANON LENS STANDARD - 24-70MM F/2.8
- 1 PC CANON TELEPHOTO LENS - 70-200MM F/2.8
- 1 PC PRIME LENS CANON - 50MM F/1.8
- 1 PC CANON WIDE LENS - 17-50MM F/2.8")</f>
        <v>- 1 PC CANON LENS STANDARD - 24-70MM F/2.8
- 1 PC CANON TELEPHOTO LENS - 70-200MM F/2.8
- 1 PC PRIME LENS CANON - 50MM F/1.8
- 1 PC CANON WIDE LENS - 17-50MM F/2.8</v>
      </c>
      <c r="E3014" s="196" t="str">
        <f>IFERROR(__xludf.DUMMYFUNCTION("""COMPUTED_VALUE"""),"TO PROVIDE HIGHER QUALITY PHOTOS FOR DOCUMENTATION, PHOTO MATERIALS, &amp; CONTENT")</f>
        <v>TO PROVIDE HIGHER QUALITY PHOTOS FOR DOCUMENTATION, PHOTO MATERIALS, &amp; CONTENT</v>
      </c>
    </row>
    <row r="3015">
      <c r="A3015" s="234">
        <f>IFERROR(__xludf.DUMMYFUNCTION("""COMPUTED_VALUE"""),103306.0)</f>
        <v>103306</v>
      </c>
      <c r="B3015" s="235" t="str">
        <f>IFERROR(__xludf.DUMMYFUNCTION("""COMPUTED_VALUE"""),"EDGAR REBELLON")</f>
        <v>EDGAR REBELLON</v>
      </c>
      <c r="C3015" s="235" t="str">
        <f>IFERROR(__xludf.DUMMYFUNCTION("""COMPUTED_VALUE"""),"AMD")</f>
        <v>AMD</v>
      </c>
      <c r="D3015" s="196" t="str">
        <f>IFERROR(__xludf.DUMMYFUNCTION("""COMPUTED_VALUE"""),"50 PCS SISC GIFT SET, FLASH DRIVE, PEN AND CARD HOLDER")</f>
        <v>50 PCS SISC GIFT SET, FLASH DRIVE, PEN AND CARD HOLDER</v>
      </c>
      <c r="E3015" s="196" t="str">
        <f>IFERROR(__xludf.DUMMYFUNCTION("""COMPUTED_VALUE"""),"ADDITIONAL INSTITUTIONAL TOKEN")</f>
        <v>ADDITIONAL INSTITUTIONAL TOKEN</v>
      </c>
    </row>
    <row r="3016">
      <c r="A3016" s="234">
        <f>IFERROR(__xludf.DUMMYFUNCTION("""COMPUTED_VALUE"""),103307.0)</f>
        <v>103307</v>
      </c>
      <c r="B3016" s="235" t="str">
        <f>IFERROR(__xludf.DUMMYFUNCTION("""COMPUTED_VALUE"""),"EVA M. NECOSIA")</f>
        <v>EVA M. NECOSIA</v>
      </c>
      <c r="C3016" s="235" t="str">
        <f>IFERROR(__xludf.DUMMYFUNCTION("""COMPUTED_VALUE"""),"FINANCE &amp; ACCOUNTING")</f>
        <v>FINANCE &amp; ACCOUNTING</v>
      </c>
      <c r="D3016" s="196" t="str">
        <f>IFERROR(__xludf.DUMMYFUNCTION("""COMPUTED_VALUE"""),"3 PCS CPU")</f>
        <v>3 PCS CPU</v>
      </c>
      <c r="E3016" s="196" t="str">
        <f>IFERROR(__xludf.DUMMYFUNCTION("""COMPUTED_VALUE"""),"FOR REPLACEMENT OF OLD CPU")</f>
        <v>FOR REPLACEMENT OF OLD CPU</v>
      </c>
    </row>
    <row r="3017">
      <c r="A3017" s="234">
        <f>IFERROR(__xludf.DUMMYFUNCTION("""COMPUTED_VALUE"""),103308.0)</f>
        <v>103308</v>
      </c>
      <c r="B3017" s="235" t="str">
        <f>IFERROR(__xludf.DUMMYFUNCTION("""COMPUTED_VALUE"""),"EDGAR REBELLON")</f>
        <v>EDGAR REBELLON</v>
      </c>
      <c r="C3017" s="235" t="str">
        <f>IFERROR(__xludf.DUMMYFUNCTION("""COMPUTED_VALUE"""),"AMD")</f>
        <v>AMD</v>
      </c>
      <c r="D3017" s="196" t="str">
        <f>IFERROR(__xludf.DUMMYFUNCTION("""COMPUTED_VALUE"""),"50 PCS. NOTEBOOK, SISC LEATHERETTE SPIRAL ")</f>
        <v>50 PCS. NOTEBOOK, SISC LEATHERETTE SPIRAL </v>
      </c>
      <c r="E3017" s="196" t="str">
        <f>IFERROR(__xludf.DUMMYFUNCTION("""COMPUTED_VALUE"""),"ADDITIONAL INSTITUTIONAL TOKEN ")</f>
        <v>ADDITIONAL INSTITUTIONAL TOKEN </v>
      </c>
    </row>
    <row r="3018">
      <c r="A3018" s="234">
        <f>IFERROR(__xludf.DUMMYFUNCTION("""COMPUTED_VALUE"""),103309.0)</f>
        <v>103309</v>
      </c>
      <c r="B3018" s="235" t="str">
        <f>IFERROR(__xludf.DUMMYFUNCTION("""COMPUTED_VALUE"""),"EDGAR REBELLON")</f>
        <v>EDGAR REBELLON</v>
      </c>
      <c r="C3018" s="235" t="str">
        <f>IFERROR(__xludf.DUMMYFUNCTION("""COMPUTED_VALUE"""),"AMD")</f>
        <v>AMD</v>
      </c>
      <c r="D3018" s="196" t="str">
        <f>IFERROR(__xludf.DUMMYFUNCTION("""COMPUTED_VALUE"""),"4 PCS UMBRELLA, OIL PAINTING DESIGN")</f>
        <v>4 PCS UMBRELLA, OIL PAINTING DESIGN</v>
      </c>
      <c r="E3018" s="196" t="str">
        <f>IFERROR(__xludf.DUMMYFUNCTION("""COMPUTED_VALUE"""),"ADDITIONAL INSTITUTIONAL TOKEN(FOR SAMPLING ONLY)")</f>
        <v>ADDITIONAL INSTITUTIONAL TOKEN(FOR SAMPLING ONLY)</v>
      </c>
    </row>
    <row r="3019">
      <c r="A3019" s="234">
        <f>IFERROR(__xludf.DUMMYFUNCTION("""COMPUTED_VALUE"""),103310.0)</f>
        <v>103310</v>
      </c>
      <c r="B3019" s="235" t="str">
        <f>IFERROR(__xludf.DUMMYFUNCTION("""COMPUTED_VALUE"""),"PRECIOUS DALUZ")</f>
        <v>PRECIOUS DALUZ</v>
      </c>
      <c r="C3019" s="235" t="str">
        <f>IFERROR(__xludf.DUMMYFUNCTION("""COMPUTED_VALUE"""),"SPECIAL SUBJECTS")</f>
        <v>SPECIAL SUBJECTS</v>
      </c>
      <c r="D3019" s="196" t="str">
        <f>IFERROR(__xludf.DUMMYFUNCTION("""COMPUTED_VALUE"""),"- 1 PC AMERICAN HOME ACM-M0819W WHITE COFFEE MAKER
- 1 PC PHILIPS BLENDER 1L(HR2041) 450 W
- 1 PC PHILIPS VIVA COLLECTION MIXER FOR BAKING(HR3745/11)
- 1 PC ASAHI OVEN TOASTER 612 ELECTRIC OVEN TOASTER 6 LITER
- 1 SET KIRKLAND SIGNATURE CRYSTAL CLEAR CUTL"&amp;"ERY SET 360 PCS")</f>
        <v>- 1 PC AMERICAN HOME ACM-M0819W WHITE COFFEE MAKER
- 1 PC PHILIPS BLENDER 1L(HR2041) 450 W
- 1 PC PHILIPS VIVA COLLECTION MIXER FOR BAKING(HR3745/11)
- 1 PC ASAHI OVEN TOASTER 612 ELECTRIC OVEN TOASTER 6 LITER
- 1 SET KIRKLAND SIGNATURE CRYSTAL CLEAR CUTLERY SET 360 PCS</v>
      </c>
      <c r="E3019" s="196" t="str">
        <f>IFERROR(__xludf.DUMMYFUNCTION("""COMPUTED_VALUE"""),"APPLIANCES FOR THE HE ROOM AND CONSUMER SCIENCE CLASSES")</f>
        <v>APPLIANCES FOR THE HE ROOM AND CONSUMER SCIENCE CLASSES</v>
      </c>
    </row>
    <row r="3020">
      <c r="A3020" s="234">
        <f>IFERROR(__xludf.DUMMYFUNCTION("""COMPUTED_VALUE"""),103311.0)</f>
        <v>103311</v>
      </c>
      <c r="B3020" s="235" t="str">
        <f>IFERROR(__xludf.DUMMYFUNCTION("""COMPUTED_VALUE"""),"ALLISTINE PEREZ")</f>
        <v>ALLISTINE PEREZ</v>
      </c>
      <c r="C3020" s="235" t="str">
        <f>IFERROR(__xludf.DUMMYFUNCTION("""COMPUTED_VALUE"""),"REGISTRATION")</f>
        <v>REGISTRATION</v>
      </c>
      <c r="D3020" s="196" t="str">
        <f>IFERROR(__xludf.DUMMYFUNCTION("""COMPUTED_VALUE"""),"500 PCS. BASIC ED DIPLOMA HOLDER (SHORT SIZED INNER) 400 PCS. COLLEGE DIPLOMA HOLDER ( A4 SIZED INNER)")</f>
        <v>500 PCS. BASIC ED DIPLOMA HOLDER (SHORT SIZED INNER) 400 PCS. COLLEGE DIPLOMA HOLDER ( A4 SIZED INNER)</v>
      </c>
      <c r="E3020" s="196" t="str">
        <f>IFERROR(__xludf.DUMMYFUNCTION("""COMPUTED_VALUE"""),"IN PREPARATION FOR THE UPCOMING GRADUATION")</f>
        <v>IN PREPARATION FOR THE UPCOMING GRADUATION</v>
      </c>
    </row>
    <row r="3021">
      <c r="A3021" s="234">
        <f>IFERROR(__xludf.DUMMYFUNCTION("""COMPUTED_VALUE"""),103312.0)</f>
        <v>103312</v>
      </c>
      <c r="B3021" s="235" t="str">
        <f>IFERROR(__xludf.DUMMYFUNCTION("""COMPUTED_VALUE"""),"ALFA DE LEON")</f>
        <v>ALFA DE LEON</v>
      </c>
      <c r="C3021" s="235" t="str">
        <f>IFERROR(__xludf.DUMMYFUNCTION("""COMPUTED_VALUE"""),"LANDSCAPING")</f>
        <v>LANDSCAPING</v>
      </c>
      <c r="D3021" s="196" t="str">
        <f>IFERROR(__xludf.DUMMYFUNCTION("""COMPUTED_VALUE"""),"100 PCS SANTAN, 1 PC. KAWA MED. SIZE")</f>
        <v>100 PCS SANTAN, 1 PC. KAWA MED. SIZE</v>
      </c>
      <c r="E3021" s="196" t="str">
        <f>IFERROR(__xludf.DUMMYFUNCTION("""COMPUTED_VALUE"""),"PLANT BOX MAINTENANCE- TRYCICLE SIDE")</f>
        <v>PLANT BOX MAINTENANCE- TRYCICLE SIDE</v>
      </c>
    </row>
    <row r="3022">
      <c r="A3022" s="234">
        <f>IFERROR(__xludf.DUMMYFUNCTION("""COMPUTED_VALUE"""),103313.0)</f>
        <v>103313</v>
      </c>
      <c r="B3022" s="235" t="str">
        <f>IFERROR(__xludf.DUMMYFUNCTION("""COMPUTED_VALUE"""),"MARVIN DOMASIAN")</f>
        <v>MARVIN DOMASIAN</v>
      </c>
      <c r="C3022" s="235" t="str">
        <f>IFERROR(__xludf.DUMMYFUNCTION("""COMPUTED_VALUE"""),"AB COMM/MMA")</f>
        <v>AB COMM/MMA</v>
      </c>
      <c r="D3022" s="196" t="str">
        <f>IFERROR(__xludf.DUMMYFUNCTION("""COMPUTED_VALUE"""),"DLP RPOJECTOR")</f>
        <v>DLP RPOJECTOR</v>
      </c>
      <c r="E3022" s="196" t="str">
        <f>IFERROR(__xludf.DUMMYFUNCTION("""COMPUTED_VALUE"""),"TO REPLACE OLD UNIT (POOR PICTURE QUALITY)(CANVAS2)")</f>
        <v>TO REPLACE OLD UNIT (POOR PICTURE QUALITY)(CANVAS2)</v>
      </c>
    </row>
    <row r="3023">
      <c r="A3023" s="234">
        <f>IFERROR(__xludf.DUMMYFUNCTION("""COMPUTED_VALUE"""),103314.0)</f>
        <v>103314</v>
      </c>
      <c r="B3023" s="235" t="str">
        <f>IFERROR(__xludf.DUMMYFUNCTION("""COMPUTED_VALUE"""),"ALFA DE LEON")</f>
        <v>ALFA DE LEON</v>
      </c>
      <c r="C3023" s="235" t="str">
        <f>IFERROR(__xludf.DUMMYFUNCTION("""COMPUTED_VALUE"""),"ADMIN - MUNICH")</f>
        <v>ADMIN - MUNICH</v>
      </c>
      <c r="D3023" s="196" t="str">
        <f>IFERROR(__xludf.DUMMYFUNCTION("""COMPUTED_VALUE"""),"- FORMICA WHITE (8PCS)
- RUGBY (1GAL)
- MARINE FLYWOOD(1/4X4X8)
- CHOCOLATE BROWN (2GAL)
- PAINT ROLLER (COTTON)#4 (3PCS)
- PAINT THINNER (1 GAL)
- PAINT BRUSH # 1AND1/2 (3PCS)
- SAND PAPER #100 (2METERS)")</f>
        <v>- FORMICA WHITE (8PCS)
- RUGBY (1GAL)
- MARINE FLYWOOD(1/4X4X8)
- CHOCOLATE BROWN (2GAL)
- PAINT ROLLER (COTTON)#4 (3PCS)
- PAINT THINNER (1 GAL)
- PAINT BRUSH # 1AND1/2 (3PCS)
- SAND PAPER #100 (2METERS)</v>
      </c>
      <c r="E3023" s="196" t="str">
        <f>IFERROR(__xludf.DUMMYFUNCTION("""COMPUTED_VALUE"""),"REPAIR OF DIARY BOARD IN THE CLASSROOM")</f>
        <v>REPAIR OF DIARY BOARD IN THE CLASSROOM</v>
      </c>
    </row>
    <row r="3024">
      <c r="A3024" s="234">
        <f>IFERROR(__xludf.DUMMYFUNCTION("""COMPUTED_VALUE"""),103315.0)</f>
        <v>103315</v>
      </c>
      <c r="B3024" s="235" t="str">
        <f>IFERROR(__xludf.DUMMYFUNCTION("""COMPUTED_VALUE"""),"OWIE PAR")</f>
        <v>OWIE PAR</v>
      </c>
      <c r="C3024" s="235" t="str">
        <f>IFERROR(__xludf.DUMMYFUNCTION("""COMPUTED_VALUE"""),"ENGINEERING")</f>
        <v>ENGINEERING</v>
      </c>
      <c r="D3024" s="196" t="str">
        <f>IFERROR(__xludf.DUMMYFUNCTION("""COMPUTED_VALUE"""),"EXHAUST FAN #12 (CEILING MOUNTED 12X12) 2 UNITS")</f>
        <v>EXHAUST FAN #12 (CEILING MOUNTED 12X12) 2 UNITS</v>
      </c>
      <c r="E3024" s="196" t="str">
        <f>IFERROR(__xludf.DUMMYFUNCTION("""COMPUTED_VALUE"""),"FOR CR AT BOY'S SCHOLAR DORMITORY  ")</f>
        <v>FOR CR AT BOY'S SCHOLAR DORMITORY  </v>
      </c>
    </row>
    <row r="3025">
      <c r="A3025" s="234">
        <f>IFERROR(__xludf.DUMMYFUNCTION("""COMPUTED_VALUE"""),103316.0)</f>
        <v>103316</v>
      </c>
      <c r="B3025" s="235" t="str">
        <f>IFERROR(__xludf.DUMMYFUNCTION("""COMPUTED_VALUE"""),"ESTHER LARITA")</f>
        <v>ESTHER LARITA</v>
      </c>
      <c r="C3025" s="235" t="str">
        <f>IFERROR(__xludf.DUMMYFUNCTION("""COMPUTED_VALUE"""),"DCO/ISO")</f>
        <v>DCO/ISO</v>
      </c>
      <c r="D3025" s="196" t="str">
        <f>IFERROR(__xludf.DUMMYFUNCTION("""COMPUTED_VALUE"""),"LEI FR ISO AUDITORS")</f>
        <v>LEI FR ISO AUDITORS</v>
      </c>
      <c r="E3025" s="196" t="str">
        <f>IFERROR(__xludf.DUMMYFUNCTION("""COMPUTED_VALUE"""),"EQA IST SURVEILLANCE VISIT")</f>
        <v>EQA IST SURVEILLANCE VISIT</v>
      </c>
    </row>
    <row r="3026">
      <c r="A3026" s="234">
        <f>IFERROR(__xludf.DUMMYFUNCTION("""COMPUTED_VALUE"""),103317.0)</f>
        <v>103317</v>
      </c>
      <c r="B3026" s="235" t="str">
        <f>IFERROR(__xludf.DUMMYFUNCTION("""COMPUTED_VALUE"""),"MARVIN MARASIGAN")</f>
        <v>MARVIN MARASIGAN</v>
      </c>
      <c r="C3026" s="235" t="str">
        <f>IFERROR(__xludf.DUMMYFUNCTION("""COMPUTED_VALUE"""),"PR &amp; MARKETING")</f>
        <v>PR &amp; MARKETING</v>
      </c>
      <c r="D3026" s="196" t="str">
        <f>IFERROR(__xludf.DUMMYFUNCTION("""COMPUTED_VALUE"""),"COLLEGE INFORMATION PACKET(MAGAZINE STYLE) (2000)")</f>
        <v>COLLEGE INFORMATION PACKET(MAGAZINE STYLE) (2000)</v>
      </c>
      <c r="E3026" s="196" t="str">
        <f>IFERROR(__xludf.DUMMYFUNCTION("""COMPUTED_VALUE"""),"FOR MARKETING PURPOSES")</f>
        <v>FOR MARKETING PURPOSES</v>
      </c>
    </row>
    <row r="3027">
      <c r="A3027" s="234">
        <f>IFERROR(__xludf.DUMMYFUNCTION("""COMPUTED_VALUE"""),103318.0)</f>
        <v>103318</v>
      </c>
      <c r="B3027" s="235" t="str">
        <f>IFERROR(__xludf.DUMMYFUNCTION("""COMPUTED_VALUE"""),"CHRISTIAN ANDES")</f>
        <v>CHRISTIAN ANDES</v>
      </c>
      <c r="C3027" s="235" t="str">
        <f>IFERROR(__xludf.DUMMYFUNCTION("""COMPUTED_VALUE"""),"PR &amp; MARKETING")</f>
        <v>PR &amp; MARKETING</v>
      </c>
      <c r="D3027" s="196" t="str">
        <f>IFERROR(__xludf.DUMMYFUNCTION("""COMPUTED_VALUE"""),"*FOLDER WITH BUSINESS CARD SLOT(500)
*FOLDER SPREAD SIZE (1000)
*FOLDER FOLDED ""9X12""
*GLOSS LAMINATED
*COLORED BUSINESS CARD SLOT(1500)")</f>
        <v>*FOLDER WITH BUSINESS CARD SLOT(500)
*FOLDER SPREAD SIZE (1000)
*FOLDER FOLDED "9X12"
*GLOSS LAMINATED
*COLORED BUSINESS CARD SLOT(1500)</v>
      </c>
      <c r="E3027" s="196" t="str">
        <f>IFERROR(__xludf.DUMMYFUNCTION("""COMPUTED_VALUE"""),"PROMOTIONAL MATERIAL")</f>
        <v>PROMOTIONAL MATERIAL</v>
      </c>
    </row>
    <row r="3028">
      <c r="A3028" s="234">
        <f>IFERROR(__xludf.DUMMYFUNCTION("""COMPUTED_VALUE"""),103319.0)</f>
        <v>103319</v>
      </c>
      <c r="B3028" s="235" t="str">
        <f>IFERROR(__xludf.DUMMYFUNCTION("""COMPUTED_VALUE"""),"OWIE PAR")</f>
        <v>OWIE PAR</v>
      </c>
      <c r="C3028" s="235" t="str">
        <f>IFERROR(__xludf.DUMMYFUNCTION("""COMPUTED_VALUE"""),"ENGINEERING")</f>
        <v>ENGINEERING</v>
      </c>
      <c r="D3028" s="196" t="str">
        <f>IFERROR(__xludf.DUMMYFUNCTION("""COMPUTED_VALUE"""),"3 LENGTH GI PIPE 3/4 SCH 40, 1 LENGTH FLAT BAR # 12, 25 PCS. INSULATOR SPOLL 5/8, 3 PCS. RPOUND BAR 1/2 ")</f>
        <v>3 LENGTH GI PIPE 3/4 SCH 40, 1 LENGTH FLAT BAR # 12, 25 PCS. INSULATOR SPOLL 5/8, 3 PCS. RPOUND BAR 1/2 </v>
      </c>
      <c r="E3028" s="196" t="str">
        <f>IFERROR(__xludf.DUMMYFUNCTION("""COMPUTED_VALUE"""),"FOR INSTALLATION OF LIGHTS FOR MUNICH")</f>
        <v>FOR INSTALLATION OF LIGHTS FOR MUNICH</v>
      </c>
    </row>
    <row r="3029">
      <c r="A3029" s="234">
        <f>IFERROR(__xludf.DUMMYFUNCTION("""COMPUTED_VALUE"""),103320.0)</f>
        <v>103320</v>
      </c>
      <c r="B3029" s="235" t="str">
        <f>IFERROR(__xludf.DUMMYFUNCTION("""COMPUTED_VALUE"""),"JESUIT CHRISTIAN GALICIA")</f>
        <v>JESUIT CHRISTIAN GALICIA</v>
      </c>
      <c r="C3029" s="235" t="str">
        <f>IFERROR(__xludf.DUMMYFUNCTION("""COMPUTED_VALUE"""),"AMD")</f>
        <v>AMD</v>
      </c>
      <c r="D3029" s="196" t="str">
        <f>IFERROR(__xludf.DUMMYFUNCTION("""COMPUTED_VALUE"""),"130 PCS HEADSET RAPOO H100 WITH NOISE CANCELLING MIC")</f>
        <v>130 PCS HEADSET RAPOO H100 WITH NOISE CANCELLING MIC</v>
      </c>
      <c r="E3029" s="196" t="str">
        <f>IFERROR(__xludf.DUMMYFUNCTION("""COMPUTED_VALUE"""),"FOR MIS STOCK REPLENISHMENT")</f>
        <v>FOR MIS STOCK REPLENISHMENT</v>
      </c>
    </row>
    <row r="3030">
      <c r="A3030" s="234">
        <f>IFERROR(__xludf.DUMMYFUNCTION("""COMPUTED_VALUE"""),103321.0)</f>
        <v>103321</v>
      </c>
      <c r="B3030" s="235" t="str">
        <f>IFERROR(__xludf.DUMMYFUNCTION("""COMPUTED_VALUE"""),"OWIE PAR")</f>
        <v>OWIE PAR</v>
      </c>
      <c r="C3030" s="235" t="str">
        <f>IFERROR(__xludf.DUMMYFUNCTION("""COMPUTED_VALUE"""),"ENGINEERING")</f>
        <v>ENGINEERING</v>
      </c>
      <c r="D3030" s="196" t="str">
        <f>IFERROR(__xludf.DUMMYFUNCTION("""COMPUTED_VALUE"""),"1 UNIT 1.0 HP DAIKEN WALL MOUNTED INVERTER")</f>
        <v>1 UNIT 1.0 HP DAIKEN WALL MOUNTED INVERTER</v>
      </c>
      <c r="E3030" s="196" t="str">
        <f>IFERROR(__xludf.DUMMYFUNCTION("""COMPUTED_VALUE"""),"REPLACEMENT OF ACU CCTV(DAY)")</f>
        <v>REPLACEMENT OF ACU CCTV(DAY)</v>
      </c>
    </row>
    <row r="3031">
      <c r="A3031" s="234">
        <f>IFERROR(__xludf.DUMMYFUNCTION("""COMPUTED_VALUE"""),103322.0)</f>
        <v>103322</v>
      </c>
      <c r="B3031" s="235" t="str">
        <f>IFERROR(__xludf.DUMMYFUNCTION("""COMPUTED_VALUE"""),"JOHN ROEZEL FUENTES")</f>
        <v>JOHN ROEZEL FUENTES</v>
      </c>
      <c r="C3031" s="235" t="str">
        <f>IFERROR(__xludf.DUMMYFUNCTION("""COMPUTED_VALUE"""),"REGISTRATION")</f>
        <v>REGISTRATION</v>
      </c>
      <c r="D3031" s="196" t="str">
        <f>IFERROR(__xludf.DUMMYFUNCTION("""COMPUTED_VALUE"""),"1 BOX SOUTHVILLE LETTER ENVELOPE(W/O WINDOW)")</f>
        <v>1 BOX SOUTHVILLE LETTER ENVELOPE(W/O WINDOW)</v>
      </c>
      <c r="E3031" s="196" t="str">
        <f>IFERROR(__xludf.DUMMYFUNCTION("""COMPUTED_VALUE"""),"FOR ENCLOSING DOCUMENTS/CREDENTIAL REQUESTS(OFFICE SUPPLY)")</f>
        <v>FOR ENCLOSING DOCUMENTS/CREDENTIAL REQUESTS(OFFICE SUPPLY)</v>
      </c>
    </row>
    <row r="3032">
      <c r="A3032" s="234">
        <f>IFERROR(__xludf.DUMMYFUNCTION("""COMPUTED_VALUE"""),103323.0)</f>
        <v>103323</v>
      </c>
      <c r="B3032" s="235" t="str">
        <f>IFERROR(__xludf.DUMMYFUNCTION("""COMPUTED_VALUE"""),"OWIE PAR")</f>
        <v>OWIE PAR</v>
      </c>
      <c r="C3032" s="235" t="str">
        <f>IFERROR(__xludf.DUMMYFUNCTION("""COMPUTED_VALUE"""),"ENGINEERING")</f>
        <v>ENGINEERING</v>
      </c>
      <c r="D3032" s="196" t="str">
        <f>IFERROR(__xludf.DUMMYFUNCTION("""COMPUTED_VALUE"""),"1 UNIT EXHAUST FAN #10 CEILING TYPE")</f>
        <v>1 UNIT EXHAUST FAN #10 CEILING TYPE</v>
      </c>
      <c r="E3032" s="196" t="str">
        <f>IFERROR(__xludf.DUMMYFUNCTION("""COMPUTED_VALUE"""),"FOR ACCOUNTING CR")</f>
        <v>FOR ACCOUNTING CR</v>
      </c>
    </row>
    <row r="3033">
      <c r="A3033" s="234">
        <f>IFERROR(__xludf.DUMMYFUNCTION("""COMPUTED_VALUE"""),103324.0)</f>
        <v>103324</v>
      </c>
      <c r="B3033" s="235" t="str">
        <f>IFERROR(__xludf.DUMMYFUNCTION("""COMPUTED_VALUE"""),"PHEN PETIN")</f>
        <v>PHEN PETIN</v>
      </c>
      <c r="C3033" s="235" t="str">
        <f>IFERROR(__xludf.DUMMYFUNCTION("""COMPUTED_VALUE"""),"ADMIN - STAR")</f>
        <v>ADMIN - STAR</v>
      </c>
      <c r="D3033" s="196" t="str">
        <f>IFERROR(__xludf.DUMMYFUNCTION("""COMPUTED_VALUE"""),"- 6 PCS AKIRA LAMP HOLDER
- 6 PCS LED BULB(COOL DAY) 9W
- 1 ROLL ROYAL CORD #14 2WIRE
- 20 SETS TOX SCREW #6
- 2 PCS MASONRY BIT #6
- 1 SET 3 GANG SWITCH(PANASONIC) (WIDE SERIES)
- 1 SET 2 GANG OUTLET(PANASONIC) (WIDE SERIES)")</f>
        <v>- 6 PCS AKIRA LAMP HOLDER
- 6 PCS LED BULB(COOL DAY) 9W
- 1 ROLL ROYAL CORD #14 2WIRE
- 20 SETS TOX SCREW #6
- 2 PCS MASONRY BIT #6
- 1 SET 3 GANG SWITCH(PANASONIC) (WIDE SERIES)
- 1 SET 2 GANG OUTLET(PANASONIC) (WIDE SERIES)</v>
      </c>
      <c r="E3033" s="196" t="str">
        <f>IFERROR(__xludf.DUMMYFUNCTION("""COMPUTED_VALUE"""),"FOR ANNEX PERIMETER ADDITIONAL LIGHTS")</f>
        <v>FOR ANNEX PERIMETER ADDITIONAL LIGHTS</v>
      </c>
    </row>
    <row r="3034">
      <c r="A3034" s="234">
        <f>IFERROR(__xludf.DUMMYFUNCTION("""COMPUTED_VALUE"""),103325.0)</f>
        <v>103325</v>
      </c>
      <c r="B3034" s="235" t="str">
        <f>IFERROR(__xludf.DUMMYFUNCTION("""COMPUTED_VALUE"""),"MARIEL R. ESTANISLAO")</f>
        <v>MARIEL R. ESTANISLAO</v>
      </c>
      <c r="C3034" s="235" t="str">
        <f>IFERROR(__xludf.DUMMYFUNCTION("""COMPUTED_VALUE"""),"FINANCE &amp; ACCOUNTING")</f>
        <v>FINANCE &amp; ACCOUNTING</v>
      </c>
      <c r="D3034" s="196" t="str">
        <f>IFERROR(__xludf.DUMMYFUNCTION("""COMPUTED_VALUE"""),"1 FILING CABINET COLOR BEIGE")</f>
        <v>1 FILING CABINET COLOR BEIGE</v>
      </c>
      <c r="E3034" s="196" t="str">
        <f>IFERROR(__xludf.DUMMYFUNCTION("""COMPUTED_VALUE"""),"CABINET FOR CHECK VOUCHER FOR RELEASE")</f>
        <v>CABINET FOR CHECK VOUCHER FOR RELEASE</v>
      </c>
    </row>
    <row r="3035">
      <c r="A3035" s="234">
        <f>IFERROR(__xludf.DUMMYFUNCTION("""COMPUTED_VALUE"""),103326.0)</f>
        <v>103326</v>
      </c>
      <c r="B3035" s="235" t="str">
        <f>IFERROR(__xludf.DUMMYFUNCTION("""COMPUTED_VALUE"""),"JOMEL BUTIAL ")</f>
        <v>JOMEL BUTIAL </v>
      </c>
      <c r="C3035" s="235" t="str">
        <f>IFERROR(__xludf.DUMMYFUNCTION("""COMPUTED_VALUE"""),"PR AND MARKETING")</f>
        <v>PR AND MARKETING</v>
      </c>
      <c r="D3035" s="196" t="str">
        <f>IFERROR(__xludf.DUMMYFUNCTION("""COMPUTED_VALUE"""),"ISO TARP 13 X 16.5 FT 1 PC; ISO XTAND SISC 6 X 2.5 FT 6 PCS; ISO XTAND SISFU 6 X 2.5 FT 1 PC")</f>
        <v>ISO TARP 13 X 16.5 FT 1 PC; ISO XTAND SISC 6 X 2.5 FT 6 PCS; ISO XTAND SISFU 6 X 2.5 FT 1 PC</v>
      </c>
      <c r="E3035" s="196" t="str">
        <f>IFERROR(__xludf.DUMMYFUNCTION("""COMPUTED_VALUE"""),"EXTERNAL AUDIT ON MAY 2-3 2023")</f>
        <v>EXTERNAL AUDIT ON MAY 2-3 2023</v>
      </c>
    </row>
    <row r="3036">
      <c r="A3036" s="234">
        <f>IFERROR(__xludf.DUMMYFUNCTION("""COMPUTED_VALUE"""),103327.0)</f>
        <v>103327</v>
      </c>
      <c r="B3036" s="235" t="str">
        <f>IFERROR(__xludf.DUMMYFUNCTION("""COMPUTED_VALUE"""),"PRECIOUS DALUZ")</f>
        <v>PRECIOUS DALUZ</v>
      </c>
      <c r="C3036" s="235" t="str">
        <f>IFERROR(__xludf.DUMMYFUNCTION("""COMPUTED_VALUE"""),"SPECIAL SUBJECTS")</f>
        <v>SPECIAL SUBJECTS</v>
      </c>
      <c r="D3036" s="196" t="str">
        <f>IFERROR(__xludf.DUMMYFUNCTION("""COMPUTED_VALUE"""),"- 30 PCS LUX LIFE ADJUSTABLE SKIPPING ROPE(WEIGHTED JUMP ROPE)
- 30 PCS ORIGINAL YONEX-ASTROX-100ZZ
- 5 PCS 4U CARBON BADMINTON FIBER RACKET
- 10 PCS RSL OFFICIAL BADMINTON SHUTTLECOCK
- 1 PC VERZA TOURNAMENT CHESS SET")</f>
        <v>- 30 PCS LUX LIFE ADJUSTABLE SKIPPING ROPE(WEIGHTED JUMP ROPE)
- 30 PCS ORIGINAL YONEX-ASTROX-100ZZ
- 5 PCS 4U CARBON BADMINTON FIBER RACKET
- 10 PCS RSL OFFICIAL BADMINTON SHUTTLECOCK
- 1 PC VERZA TOURNAMENT CHESS SET</v>
      </c>
      <c r="E3036" s="196" t="str">
        <f>IFERROR(__xludf.DUMMYFUNCTION("""COMPUTED_VALUE"""),"SUPPLY OF SPORTS EQUIPMENT FOR PE CLASSES")</f>
        <v>SUPPLY OF SPORTS EQUIPMENT FOR PE CLASSES</v>
      </c>
    </row>
    <row r="3037">
      <c r="A3037" s="234">
        <f>IFERROR(__xludf.DUMMYFUNCTION("""COMPUTED_VALUE"""),103328.0)</f>
        <v>103328</v>
      </c>
      <c r="B3037" s="235" t="str">
        <f>IFERROR(__xludf.DUMMYFUNCTION("""COMPUTED_VALUE"""),"RENZ BLANCA")</f>
        <v>RENZ BLANCA</v>
      </c>
      <c r="C3037" s="235" t="str">
        <f>IFERROR(__xludf.DUMMYFUNCTION("""COMPUTED_VALUE"""),"MEDICAL")</f>
        <v>MEDICAL</v>
      </c>
      <c r="D3037" s="196" t="str">
        <f>IFERROR(__xludf.DUMMYFUNCTION("""COMPUTED_VALUE"""),"- 4 BOXES JOINSTAR TESTING KITS
- 3 BOXES DISPOSABLE GLOVES(LARGE)(NITRILE)
- 30 BOXES PARTNERS FACE MASK")</f>
        <v>- 4 BOXES JOINSTAR TESTING KITS
- 3 BOXES DISPOSABLE GLOVES(LARGE)(NITRILE)
- 30 BOXES PARTNERS FACE MASK</v>
      </c>
      <c r="E3037" s="196" t="str">
        <f>IFERROR(__xludf.DUMMYFUNCTION("""COMPUTED_VALUE"""),"URGENT CLINIC SUPPLIES")</f>
        <v>URGENT CLINIC SUPPLIES</v>
      </c>
    </row>
    <row r="3038">
      <c r="A3038" s="234">
        <f>IFERROR(__xludf.DUMMYFUNCTION("""COMPUTED_VALUE"""),103329.0)</f>
        <v>103329</v>
      </c>
      <c r="B3038" s="235" t="str">
        <f>IFERROR(__xludf.DUMMYFUNCTION("""COMPUTED_VALUE"""),"SHEREE ESPINOSA")</f>
        <v>SHEREE ESPINOSA</v>
      </c>
      <c r="C3038" s="235" t="str">
        <f>IFERROR(__xludf.DUMMYFUNCTION("""COMPUTED_VALUE"""),"ADMIN")</f>
        <v>ADMIN</v>
      </c>
      <c r="D3038" s="196" t="str">
        <f>IFERROR(__xludf.DUMMYFUNCTION("""COMPUTED_VALUE"""),"- 15 PCS 3 GANG SWITCH
- 1 ROLL FLAT CORD
- 15 PCS MALE PLUG(HEAVY DUTY)")</f>
        <v>- 15 PCS 3 GANG SWITCH
- 1 ROLL FLAT CORD
- 15 PCS MALE PLUG(HEAVY DUTY)</v>
      </c>
      <c r="E3038" s="196" t="str">
        <f>IFERROR(__xludf.DUMMYFUNCTION("""COMPUTED_VALUE"""),"FOR EVENTS USE")</f>
        <v>FOR EVENTS USE</v>
      </c>
    </row>
    <row r="3039">
      <c r="A3039" s="234">
        <f>IFERROR(__xludf.DUMMYFUNCTION("""COMPUTED_VALUE"""),103330.0)</f>
        <v>103330</v>
      </c>
      <c r="B3039" s="235" t="str">
        <f>IFERROR(__xludf.DUMMYFUNCTION("""COMPUTED_VALUE"""),"JESUIT CHRISTIAN GALICIA")</f>
        <v>JESUIT CHRISTIAN GALICIA</v>
      </c>
      <c r="C3039" s="235" t="str">
        <f>IFERROR(__xludf.DUMMYFUNCTION("""COMPUTED_VALUE"""),"AMD")</f>
        <v>AMD</v>
      </c>
      <c r="D3039" s="196" t="str">
        <f>IFERROR(__xludf.DUMMYFUNCTION("""COMPUTED_VALUE"""),"- 20 PCS BATTERY, ENELOPE AAA
- 100 PCS BATTERY, ENERGIZER 9V
- 20 PCS BATTERY, EVEREADY SIZE C
- 30 PCS BATTERY, MAXWELL CR2032
- 20 PCS ILLUSTRATION BOARD 1/2
- 100 PCS VELLUM BOARD SHORT 
- 100 PCS CARTOLINA PINK")</f>
        <v>- 20 PCS BATTERY, ENELOPE AAA
- 100 PCS BATTERY, ENERGIZER 9V
- 20 PCS BATTERY, EVEREADY SIZE C
- 30 PCS BATTERY, MAXWELL CR2032
- 20 PCS ILLUSTRATION BOARD 1/2
- 100 PCS VELLUM BOARD SHORT 
- 100 PCS CARTOLINA PINK</v>
      </c>
      <c r="E3039" s="196" t="str">
        <f>IFERROR(__xludf.DUMMYFUNCTION("""COMPUTED_VALUE"""),"OSSUP STOCK REPLENISHMENT")</f>
        <v>OSSUP STOCK REPLENISHMENT</v>
      </c>
    </row>
    <row r="3040">
      <c r="A3040" s="234">
        <f>IFERROR(__xludf.DUMMYFUNCTION("""COMPUTED_VALUE"""),103331.0)</f>
        <v>103331</v>
      </c>
      <c r="B3040" s="235" t="str">
        <f>IFERROR(__xludf.DUMMYFUNCTION("""COMPUTED_VALUE"""),"ALFA DE LEON")</f>
        <v>ALFA DE LEON</v>
      </c>
      <c r="C3040" s="235" t="str">
        <f>IFERROR(__xludf.DUMMYFUNCTION("""COMPUTED_VALUE"""),"ADMIN - MUNICH")</f>
        <v>ADMIN - MUNICH</v>
      </c>
      <c r="D3040" s="196" t="str">
        <f>IFERROR(__xludf.DUMMYFUNCTION("""COMPUTED_VALUE"""),"1 PC PERCULATOR")</f>
        <v>1 PC PERCULATOR</v>
      </c>
      <c r="E3040" s="196" t="str">
        <f>IFERROR(__xludf.DUMMYFUNCTION("""COMPUTED_VALUE"""),"REPLACEMENT FOR MUNICH CAMPUS EVENTS")</f>
        <v>REPLACEMENT FOR MUNICH CAMPUS EVENTS</v>
      </c>
    </row>
    <row r="3041">
      <c r="A3041" s="234">
        <f>IFERROR(__xludf.DUMMYFUNCTION("""COMPUTED_VALUE"""),103332.0)</f>
        <v>103332</v>
      </c>
      <c r="B3041" s="235" t="str">
        <f>IFERROR(__xludf.DUMMYFUNCTION("""COMPUTED_VALUE"""),"NESSIE A. LUMBRES")</f>
        <v>NESSIE A. LUMBRES</v>
      </c>
      <c r="C3041" s="235" t="str">
        <f>IFERROR(__xludf.DUMMYFUNCTION("""COMPUTED_VALUE"""),"BASIC ED")</f>
        <v>BASIC ED</v>
      </c>
      <c r="D3041" s="196" t="str">
        <f>IFERROR(__xludf.DUMMYFUNCTION("""COMPUTED_VALUE"""),"110 SOUTHVILLE PIN")</f>
        <v>110 SOUTHVILLE PIN</v>
      </c>
      <c r="E3041" s="196" t="str">
        <f>IFERROR(__xludf.DUMMYFUNCTION("""COMPUTED_VALUE"""),"ALUMNI PINS OF BATCH 23")</f>
        <v>ALUMNI PINS OF BATCH 23</v>
      </c>
    </row>
    <row r="3042">
      <c r="A3042" s="234">
        <f>IFERROR(__xludf.DUMMYFUNCTION("""COMPUTED_VALUE"""),103333.0)</f>
        <v>103333</v>
      </c>
      <c r="B3042" s="235" t="str">
        <f>IFERROR(__xludf.DUMMYFUNCTION("""COMPUTED_VALUE"""),"JAYVEN POBLETE")</f>
        <v>JAYVEN POBLETE</v>
      </c>
      <c r="C3042" s="235" t="str">
        <f>IFERROR(__xludf.DUMMYFUNCTION("""COMPUTED_VALUE"""),"PR &amp; MARKETING")</f>
        <v>PR &amp; MARKETING</v>
      </c>
      <c r="D3042" s="196" t="str">
        <f>IFERROR(__xludf.DUMMYFUNCTION("""COMPUTED_VALUE"""),"1 BOB TARP DESIGN 250CM X 173CM WITH SEAMING AND EYELET")</f>
        <v>1 BOB TARP DESIGN 250CM X 173CM WITH SEAMING AND EYELET</v>
      </c>
      <c r="E3042" s="196" t="str">
        <f>IFERROR(__xludf.DUMMYFUNCTION("""COMPUTED_VALUE"""),"OPEN HOUSE")</f>
        <v>OPEN HOUSE</v>
      </c>
    </row>
    <row r="3043">
      <c r="A3043" s="234">
        <f>IFERROR(__xludf.DUMMYFUNCTION("""COMPUTED_VALUE"""),103334.0)</f>
        <v>103334</v>
      </c>
      <c r="B3043" s="235" t="str">
        <f>IFERROR(__xludf.DUMMYFUNCTION("""COMPUTED_VALUE"""),"WILBERT BELTRAN")</f>
        <v>WILBERT BELTRAN</v>
      </c>
      <c r="C3043" s="235" t="str">
        <f>IFERROR(__xludf.DUMMYFUNCTION("""COMPUTED_VALUE"""),"MIS")</f>
        <v>MIS</v>
      </c>
      <c r="D3043" s="196" t="str">
        <f>IFERROR(__xludf.DUMMYFUNCTION("""COMPUTED_VALUE"""),"- 2 PCS CISCO CATALYST 3850 - NON POE
- 3 PCS CISCO CATALYST 2960 - POE
- 2 PCS CISCO CATALYST 2960 - NON POE")</f>
        <v>- 2 PCS CISCO CATALYST 3850 - NON POE
- 3 PCS CISCO CATALYST 2960 - POE
- 2 PCS CISCO CATALYST 2960 - NON POE</v>
      </c>
      <c r="E3043" s="196" t="str">
        <f>IFERROR(__xludf.DUMMYFUNCTION("""COMPUTED_VALUE"""),"BACKUP SWITCHES")</f>
        <v>BACKUP SWITCHES</v>
      </c>
    </row>
    <row r="3044">
      <c r="A3044" s="234">
        <f>IFERROR(__xludf.DUMMYFUNCTION("""COMPUTED_VALUE"""),103335.0)</f>
        <v>103335</v>
      </c>
      <c r="B3044" s="235" t="str">
        <f>IFERROR(__xludf.DUMMYFUNCTION("""COMPUTED_VALUE"""),"ANN DELA ISLA")</f>
        <v>ANN DELA ISLA</v>
      </c>
      <c r="C3044" s="235" t="str">
        <f>IFERROR(__xludf.DUMMYFUNCTION("""COMPUTED_VALUE"""),"I.B.")</f>
        <v>I.B.</v>
      </c>
      <c r="D3044" s="196" t="str">
        <f>IFERROR(__xludf.DUMMYFUNCTION("""COMPUTED_VALUE"""),"- 55 PCS IB GRADUATION PROGRAM COVER
- 1 REAM PROGRAM BORDER -  SHORT PAPER
- 55 PCS IB GRADUATION INVITE W/ ENVELOPE")</f>
        <v>- 55 PCS IB GRADUATION PROGRAM COVER
- 1 REAM PROGRAM BORDER -  SHORT PAPER
- 55 PCS IB GRADUATION INVITE W/ ENVELOPE</v>
      </c>
      <c r="E3044" s="196" t="str">
        <f>IFERROR(__xludf.DUMMYFUNCTION("""COMPUTED_VALUE"""),"IB GRADUATION")</f>
        <v>IB GRADUATION</v>
      </c>
    </row>
    <row r="3045">
      <c r="A3045" s="234">
        <f>IFERROR(__xludf.DUMMYFUNCTION("""COMPUTED_VALUE"""),103336.0)</f>
        <v>103336</v>
      </c>
      <c r="B3045" s="235" t="str">
        <f>IFERROR(__xludf.DUMMYFUNCTION("""COMPUTED_VALUE"""),"JESUIT CHRISTIAN GALICIA")</f>
        <v>JESUIT CHRISTIAN GALICIA</v>
      </c>
      <c r="C3045" s="235" t="str">
        <f>IFERROR(__xludf.DUMMYFUNCTION("""COMPUTED_VALUE"""),"AMD")</f>
        <v>AMD</v>
      </c>
      <c r="D3045" s="196" t="str">
        <f>IFERROR(__xludf.DUMMYFUNCTION("""COMPUTED_VALUE"""),"- 500 PCS CLEARBOOK, REFILLER SHORT 3 HOLES
- 750 PCS ENVELOPE, BROWN LONG
- 150 PCS CORRECTION TAPE, JOY
- 50 PCS FRAME, CERTIFICATE GLASS 8.5 x 11
- 5 PCS HIGHLIGHTER, STABILO ORANGE
- 100 PCS TAPE, DOUBLE ADHESIVE W/ FOAM 
- 100 PCS TAPE, DOUBLE SIDED "&amp;"TAPE W/O FOAM
- 50 PCS TAPE, DUCT TAPE(2 INCHES x 10 METERS)
- 20 PCS TAPE, PACKAGING TAPE (2"")
- 100 PCS TOWEL, HAND-GOOD MORNING")</f>
        <v>- 500 PCS CLEARBOOK, REFILLER SHORT 3 HOLES
- 750 PCS ENVELOPE, BROWN LONG
- 150 PCS CORRECTION TAPE, JOY
- 50 PCS FRAME, CERTIFICATE GLASS 8.5 x 11
- 5 PCS HIGHLIGHTER, STABILO ORANGE
- 100 PCS TAPE, DOUBLE ADHESIVE W/ FOAM 
- 100 PCS TAPE, DOUBLE SIDED TAPE W/O FOAM
- 50 PCS TAPE, DUCT TAPE(2 INCHES x 10 METERS)
- 20 PCS TAPE, PACKAGING TAPE (2")
- 100 PCS TOWEL, HAND-GOOD MORNING</v>
      </c>
      <c r="E3045" s="196" t="str">
        <f>IFERROR(__xludf.DUMMYFUNCTION("""COMPUTED_VALUE"""),"OSSUP STOCK REPLENISHMENT")</f>
        <v>OSSUP STOCK REPLENISHMENT</v>
      </c>
    </row>
    <row r="3046">
      <c r="A3046" s="234">
        <f>IFERROR(__xludf.DUMMYFUNCTION("""COMPUTED_VALUE"""),103337.0)</f>
        <v>103337</v>
      </c>
      <c r="B3046" s="235" t="str">
        <f>IFERROR(__xludf.DUMMYFUNCTION("""COMPUTED_VALUE"""),"ALFA DE LEON")</f>
        <v>ALFA DE LEON</v>
      </c>
      <c r="C3046" s="235" t="str">
        <f>IFERROR(__xludf.DUMMYFUNCTION("""COMPUTED_VALUE"""),"ADMIN - MUNICH")</f>
        <v>ADMIN - MUNICH</v>
      </c>
      <c r="D3046" s="196" t="str">
        <f>IFERROR(__xludf.DUMMYFUNCTION("""COMPUTED_VALUE"""),"GARDEN HOSE CONNECTORS
- 10 PCS MALE CONNECTOR
- 10 PCS FEMALE CONNECTOR")</f>
        <v>GARDEN HOSE CONNECTORS
- 10 PCS MALE CONNECTOR
- 10 PCS FEMALE CONNECTOR</v>
      </c>
      <c r="E3046" s="196" t="str">
        <f>IFERROR(__xludf.DUMMYFUNCTION("""COMPUTED_VALUE"""),"LANDSCAPING")</f>
        <v>LANDSCAPING</v>
      </c>
    </row>
    <row r="3047">
      <c r="A3047" s="234">
        <f>IFERROR(__xludf.DUMMYFUNCTION("""COMPUTED_VALUE"""),103338.0)</f>
        <v>103338</v>
      </c>
      <c r="B3047" s="235" t="str">
        <f>IFERROR(__xludf.DUMMYFUNCTION("""COMPUTED_VALUE"""),"CARLITO DELA VEGA")</f>
        <v>CARLITO DELA VEGA</v>
      </c>
      <c r="C3047" s="235" t="str">
        <f>IFERROR(__xludf.DUMMYFUNCTION("""COMPUTED_VALUE"""),"ADMIN")</f>
        <v>ADMIN</v>
      </c>
      <c r="D3047" s="196" t="str">
        <f>IFERROR(__xludf.DUMMYFUNCTION("""COMPUTED_VALUE"""),"- 50 BOXES CLINICAL FACE MASK
- 12 PCS HANDHELD SCANNER - BATTERY OPERATED")</f>
        <v>- 50 BOXES CLINICAL FACE MASK
- 12 PCS HANDHELD SCANNER - BATTERY OPERATED</v>
      </c>
      <c r="E3047" s="196" t="str">
        <f>IFERROR(__xludf.DUMMYFUNCTION("""COMPUTED_VALUE"""),"REQUIREMENT UPON ENTRY")</f>
        <v>REQUIREMENT UPON ENTRY</v>
      </c>
    </row>
    <row r="3048">
      <c r="A3048" s="234">
        <f>IFERROR(__xludf.DUMMYFUNCTION("""COMPUTED_VALUE"""),103339.0)</f>
        <v>103339</v>
      </c>
      <c r="B3048" s="235" t="str">
        <f>IFERROR(__xludf.DUMMYFUNCTION("""COMPUTED_VALUE"""),"JESUIT CHRISTIAN GALICIA")</f>
        <v>JESUIT CHRISTIAN GALICIA</v>
      </c>
      <c r="C3048" s="235" t="str">
        <f>IFERROR(__xludf.DUMMYFUNCTION("""COMPUTED_VALUE"""),"AMD")</f>
        <v>AMD</v>
      </c>
      <c r="D3048" s="196" t="str">
        <f>IFERROR(__xludf.DUMMYFUNCTION("""COMPUTED_VALUE"""),"150 PCS LED TUBE 16W DAYLIGHT - PHILIPS")</f>
        <v>150 PCS LED TUBE 16W DAYLIGHT - PHILIPS</v>
      </c>
      <c r="E3048" s="196" t="str">
        <f>IFERROR(__xludf.DUMMYFUNCTION("""COMPUTED_VALUE"""),"ENGINEERING WAREHOUSE STOCK REPLENISHMENT")</f>
        <v>ENGINEERING WAREHOUSE STOCK REPLENISHMENT</v>
      </c>
    </row>
    <row r="3049">
      <c r="A3049" s="234">
        <f>IFERROR(__xludf.DUMMYFUNCTION("""COMPUTED_VALUE"""),103340.0)</f>
        <v>103340</v>
      </c>
      <c r="B3049" s="235" t="str">
        <f>IFERROR(__xludf.DUMMYFUNCTION("""COMPUTED_VALUE"""),"SAMUEL RAIZ")</f>
        <v>SAMUEL RAIZ</v>
      </c>
      <c r="C3049" s="235" t="str">
        <f>IFERROR(__xludf.DUMMYFUNCTION("""COMPUTED_VALUE"""),"MIS")</f>
        <v>MIS</v>
      </c>
      <c r="D3049" s="196" t="str">
        <f>IFERROR(__xludf.DUMMYFUNCTION("""COMPUTED_VALUE"""),"- 8 PCKS COTTON BALLS(SANICARE) 150 PCS PER PACK
- 8 BOTTLES HYDROGEN PEROXIDE (120ML)
- 8 BOTTLES BETADINE(POVIDONE - IODINE) 15ML
- 8 BOXES BAND- AIDS 50 STRIPS
- 8 PCS 3M SURGICAL TAPE
- 8 BOTTLES GREEN CROSS ISOPROPRYL ALCOHOL 500 ML
- 2 BOXES STERILE"&amp;" GAUZE PAD 4x4x8 100 PCS")</f>
        <v>- 8 PCKS COTTON BALLS(SANICARE) 150 PCS PER PACK
- 8 BOTTLES HYDROGEN PEROXIDE (120ML)
- 8 BOTTLES BETADINE(POVIDONE - IODINE) 15ML
- 8 BOXES BAND- AIDS 50 STRIPS
- 8 PCS 3M SURGICAL TAPE
- 8 BOTTLES GREEN CROSS ISOPROPRYL ALCOHOL 500 ML
- 2 BOXES STERILE GAUZE PAD 4x4x8 100 PCS</v>
      </c>
      <c r="E3049" s="196" t="str">
        <f>IFERROR(__xludf.DUMMYFUNCTION("""COMPUTED_VALUE"""),"FOR THE REPLENISHMENT OF THE MEDICINE KITS FOR COMPUTER LABS AND ROBOTICS LAB")</f>
        <v>FOR THE REPLENISHMENT OF THE MEDICINE KITS FOR COMPUTER LABS AND ROBOTICS LAB</v>
      </c>
    </row>
    <row r="3050">
      <c r="A3050" s="234">
        <f>IFERROR(__xludf.DUMMYFUNCTION("""COMPUTED_VALUE"""),103341.0)</f>
        <v>103341</v>
      </c>
      <c r="B3050" s="235" t="str">
        <f>IFERROR(__xludf.DUMMYFUNCTION("""COMPUTED_VALUE"""),"JOMEL BUTIAL ")</f>
        <v>JOMEL BUTIAL </v>
      </c>
      <c r="C3050" s="235" t="str">
        <f>IFERROR(__xludf.DUMMYFUNCTION("""COMPUTED_VALUE"""),"PR &amp; MARKETING")</f>
        <v>PR &amp; MARKETING</v>
      </c>
      <c r="D3050" s="196" t="str">
        <f>IFERROR(__xludf.DUMMYFUNCTION("""COMPUTED_VALUE"""),"13 PCS COLLEGE COURSES BANNERS
- 63"" x 32""")</f>
        <v>13 PCS COLLEGE COURSES BANNERS
- 63" x 32"</v>
      </c>
      <c r="E3050" s="196" t="str">
        <f>IFERROR(__xludf.DUMMYFUNCTION("""COMPUTED_VALUE"""),"FOR MARKETING")</f>
        <v>FOR MARKETING</v>
      </c>
    </row>
    <row r="3051">
      <c r="A3051" s="234">
        <f>IFERROR(__xludf.DUMMYFUNCTION("""COMPUTED_VALUE"""),103342.0)</f>
        <v>103342</v>
      </c>
      <c r="B3051" s="235" t="str">
        <f>IFERROR(__xludf.DUMMYFUNCTION("""COMPUTED_VALUE"""),"JOMEL BUTIAL ")</f>
        <v>JOMEL BUTIAL </v>
      </c>
      <c r="C3051" s="235" t="str">
        <f>IFERROR(__xludf.DUMMYFUNCTION("""COMPUTED_VALUE"""),"PR &amp; MARKETING")</f>
        <v>PR &amp; MARKETING</v>
      </c>
      <c r="D3051" s="196" t="str">
        <f>IFERROR(__xludf.DUMMYFUNCTION("""COMPUTED_VALUE"""),"- 6 PCS 2x2x10 WOOD ROUGH
- 9 PCS 2x2x8 WOOD ROUGH
- 2 PCS 1/2 KILO FINISHING NAIL #2""
- 2 PCS 1/2 KILO FINISHING NAIL #3""")</f>
        <v>- 6 PCS 2x2x10 WOOD ROUGH
- 9 PCS 2x2x8 WOOD ROUGH
- 2 PCS 1/2 KILO FINISHING NAIL #2"
- 2 PCS 1/2 KILO FINISHING NAIL #3"</v>
      </c>
      <c r="E3051" s="196" t="str">
        <f>IFERROR(__xludf.DUMMYFUNCTION("""COMPUTED_VALUE"""),"TARPAULIN FRAMES MATERIAL")</f>
        <v>TARPAULIN FRAMES MATERIAL</v>
      </c>
    </row>
    <row r="3052">
      <c r="A3052" s="234">
        <f>IFERROR(__xludf.DUMMYFUNCTION("""COMPUTED_VALUE"""),103343.0)</f>
        <v>103343</v>
      </c>
      <c r="B3052" s="235" t="str">
        <f>IFERROR(__xludf.DUMMYFUNCTION("""COMPUTED_VALUE"""),"JORALYN CASIS")</f>
        <v>JORALYN CASIS</v>
      </c>
      <c r="C3052" s="235" t="str">
        <f>IFERROR(__xludf.DUMMYFUNCTION("""COMPUTED_VALUE"""),"TOURISM")</f>
        <v>TOURISM</v>
      </c>
      <c r="D3052" s="196" t="str">
        <f>IFERROR(__xludf.DUMMYFUNCTION("""COMPUTED_VALUE"""),"10 PCS FILE HOLDERS")</f>
        <v>10 PCS FILE HOLDERS</v>
      </c>
      <c r="E3052" s="196" t="str">
        <f>IFERROR(__xludf.DUMMYFUNCTION("""COMPUTED_VALUE"""),"TOURISM FILING BOXES")</f>
        <v>TOURISM FILING BOXES</v>
      </c>
    </row>
    <row r="3053">
      <c r="A3053" s="234">
        <f>IFERROR(__xludf.DUMMYFUNCTION("""COMPUTED_VALUE"""),103344.0)</f>
        <v>103344</v>
      </c>
      <c r="B3053" s="235" t="str">
        <f>IFERROR(__xludf.DUMMYFUNCTION("""COMPUTED_VALUE"""),"DAN LO IGOR FAMADOR")</f>
        <v>DAN LO IGOR FAMADOR</v>
      </c>
      <c r="C3053" s="235" t="str">
        <f>IFERROR(__xludf.DUMMYFUNCTION("""COMPUTED_VALUE"""),"PR &amp; MARKETING")</f>
        <v>PR &amp; MARKETING</v>
      </c>
      <c r="D3053" s="196" t="str">
        <f>IFERROR(__xludf.DUMMYFUNCTION("""COMPUTED_VALUE"""),"1 PC LENOVO IP G3-I5")</f>
        <v>1 PC LENOVO IP G3-I5</v>
      </c>
      <c r="E3053" s="196" t="str">
        <f>IFERROR(__xludf.DUMMYFUNCTION("""COMPUTED_VALUE"""),"SGEN DIGITAL MARKETING")</f>
        <v>SGEN DIGITAL MARKETING</v>
      </c>
    </row>
    <row r="3054">
      <c r="A3054" s="234">
        <f>IFERROR(__xludf.DUMMYFUNCTION("""COMPUTED_VALUE"""),103345.0)</f>
        <v>103345</v>
      </c>
      <c r="B3054" s="235" t="str">
        <f>IFERROR(__xludf.DUMMYFUNCTION("""COMPUTED_VALUE"""),"ELMIE LAUDIATO")</f>
        <v>ELMIE LAUDIATO</v>
      </c>
      <c r="C3054" s="235" t="str">
        <f>IFERROR(__xludf.DUMMYFUNCTION("""COMPUTED_VALUE"""),"HRMD")</f>
        <v>HRMD</v>
      </c>
      <c r="D3054" s="196" t="str">
        <f>IFERROR(__xludf.DUMMYFUNCTION("""COMPUTED_VALUE"""),"EMPLOYEE UNIFORMS:
- 7 PCS BED FEMALE FACULTY BLOUSE
- 2 PCS BED FEMALE FACULTY SKIRT
- 5 PCS BED FEMALE FACULTY LONGPANTS
- 2 PCS BED FEMALE FACULTY BLAZER LONGSLEEVES
- 1 PC BED MALE FACULTY LONGPANTS
- 2 PCS BED MALE FACULTY COATS LS
- 6 PCS NTE BLOUSE"&amp;"
- 2 PCS NTE SKIRT
- 1 PC EMPLOYEE TYPE B UNIFORM POLO SHIRT
- 4 PCS NTE POLO LONGSLEEVES
- 3 PCS NTE LONGPANTS MALE
- 3 PCS NTE COAT LS
-  3 PCS MANAGEMENT BLOUSE SS
- 2 PCS MANAGEMENT LONGPANTS FEMALE
- 6 PCS MANAGEMENT POLO LONGSLEEVES
- 6 PCS MANAGEME"&amp;"NT LONGPANTS MALE
- 1 PC MANAGEMENT COAT LS
- 2 PCS COLLEGE FACULTY POLO SLEEVES
- 2 PCS COLLEGE FACULTY LONGPANTS
- 1 PC AIDES AND MAINTENANCE LONGPANTS FEMALE
ALTERATION/REPAIR
- 1 PC FOR GONZALO, GARRY(REPAIR)")</f>
        <v>EMPLOYEE UNIFORMS:
- 7 PCS BED FEMALE FACULTY BLOUSE
- 2 PCS BED FEMALE FACULTY SKIRT
- 5 PCS BED FEMALE FACULTY LONGPANTS
- 2 PCS BED FEMALE FACULTY BLAZER LONGSLEEVES
- 1 PC BED MALE FACULTY LONGPANTS
- 2 PCS BED MALE FACULTY COATS LS
- 6 PCS NTE BLOUSE
- 2 PCS NTE SKIRT
- 1 PC EMPLOYEE TYPE B UNIFORM POLO SHIRT
- 4 PCS NTE POLO LONGSLEEVES
- 3 PCS NTE LONGPANTS MALE
- 3 PCS NTE COAT LS
-  3 PCS MANAGEMENT BLOUSE SS
- 2 PCS MANAGEMENT LONGPANTS FEMALE
- 6 PCS MANAGEMENT POLO LONGSLEEVES
- 6 PCS MANAGEMENT LONGPANTS MALE
- 1 PC MANAGEMENT COAT LS
- 2 PCS COLLEGE FACULTY POLO SLEEVES
- 2 PCS COLLEGE FACULTY LONGPANTS
- 1 PC AIDES AND MAINTENANCE LONGPANTS FEMALE
ALTERATION/REPAIR
- 1 PC FOR GONZALO, GARRY(REPAIR)</v>
      </c>
      <c r="E3054" s="196" t="str">
        <f>IFERROR(__xludf.DUMMYFUNCTION("""COMPUTED_VALUE"""),"UNIFORM FOR AY 22-23 2ND BATCH PAYMENT")</f>
        <v>UNIFORM FOR AY 22-23 2ND BATCH PAYMENT</v>
      </c>
    </row>
    <row r="3055">
      <c r="A3055" s="234">
        <f>IFERROR(__xludf.DUMMYFUNCTION("""COMPUTED_VALUE"""),103346.0)</f>
        <v>103346</v>
      </c>
      <c r="B3055" s="235" t="str">
        <f>IFERROR(__xludf.DUMMYFUNCTION("""COMPUTED_VALUE"""),"ELMIE LAUDITO")</f>
        <v>ELMIE LAUDITO</v>
      </c>
      <c r="C3055" s="235" t="str">
        <f>IFERROR(__xludf.DUMMYFUNCTION("""COMPUTED_VALUE"""),"HRMD")</f>
        <v>HRMD</v>
      </c>
      <c r="D3055" s="196" t="str">
        <f>IFERROR(__xludf.DUMMYFUNCTION("""COMPUTED_VALUE"""),"- 136 PCS BED MALE AND FEMALE
- 13 PCS COLLEGE MALE &amp; FEMALE
- 31 PCS MANAGEMENT MALE &amp; FEMALE
- 91 PCS NTE MALE &amp; FEMALE")</f>
        <v>- 136 PCS BED MALE AND FEMALE
- 13 PCS COLLEGE MALE &amp; FEMALE
- 31 PCS MANAGEMENT MALE &amp; FEMALE
- 91 PCS NTE MALE &amp; FEMALE</v>
      </c>
      <c r="E3055" s="196" t="str">
        <f>IFERROR(__xludf.DUMMYFUNCTION("""COMPUTED_VALUE"""),"AY 2023 - 2024 UNIFORM TAILORING SERVICES(OUTSOURCE)")</f>
        <v>AY 2023 - 2024 UNIFORM TAILORING SERVICES(OUTSOURCE)</v>
      </c>
    </row>
    <row r="3056">
      <c r="A3056" s="234">
        <f>IFERROR(__xludf.DUMMYFUNCTION("""COMPUTED_VALUE"""),103347.0)</f>
        <v>103347</v>
      </c>
      <c r="B3056" s="235" t="str">
        <f>IFERROR(__xludf.DUMMYFUNCTION("""COMPUTED_VALUE"""),"JESUIT CHRISTIAN GALICIA")</f>
        <v>JESUIT CHRISTIAN GALICIA</v>
      </c>
      <c r="C3056" s="235" t="str">
        <f>IFERROR(__xludf.DUMMYFUNCTION("""COMPUTED_VALUE"""),"AMD")</f>
        <v>AMD</v>
      </c>
      <c r="D3056" s="196" t="str">
        <f>IFERROR(__xludf.DUMMYFUNCTION("""COMPUTED_VALUE"""),"- 10 PCS PANASONIC WIRELESS TELEPHONE
- 5 PCS PANASONIC WIRED TELEPHONE")</f>
        <v>- 10 PCS PANASONIC WIRELESS TELEPHONE
- 5 PCS PANASONIC WIRED TELEPHONE</v>
      </c>
      <c r="E3056" s="196" t="str">
        <f>IFERROR(__xludf.DUMMYFUNCTION("""COMPUTED_VALUE"""),"FOR STOCK REPLENISHMENT")</f>
        <v>FOR STOCK REPLENISHMENT</v>
      </c>
    </row>
    <row r="3057">
      <c r="A3057" s="234">
        <f>IFERROR(__xludf.DUMMYFUNCTION("""COMPUTED_VALUE"""),103348.0)</f>
        <v>103348</v>
      </c>
      <c r="B3057" s="235" t="str">
        <f>IFERROR(__xludf.DUMMYFUNCTION("""COMPUTED_VALUE"""),"ALLISTINE PEREZ")</f>
        <v>ALLISTINE PEREZ</v>
      </c>
      <c r="C3057" s="235" t="str">
        <f>IFERROR(__xludf.DUMMYFUNCTION("""COMPUTED_VALUE"""),"REGISTRATION")</f>
        <v>REGISTRATION</v>
      </c>
      <c r="D3057" s="196" t="str">
        <f>IFERROR(__xludf.DUMMYFUNCTION("""COMPUTED_VALUE"""),"2 PCS WIRELESS PHONE")</f>
        <v>2 PCS WIRELESS PHONE</v>
      </c>
      <c r="E3057" s="196" t="str">
        <f>IFERROR(__xludf.DUMMYFUNCTION("""COMPUTED_VALUE"""),"DEPARTMENT USE ESPECIALLY DURING ONE STEP ENROLLMENT")</f>
        <v>DEPARTMENT USE ESPECIALLY DURING ONE STEP ENROLLMENT</v>
      </c>
    </row>
    <row r="3058">
      <c r="A3058" s="234">
        <f>IFERROR(__xludf.DUMMYFUNCTION("""COMPUTED_VALUE"""),103349.0)</f>
        <v>103349</v>
      </c>
      <c r="B3058" s="235" t="str">
        <f>IFERROR(__xludf.DUMMYFUNCTION("""COMPUTED_VALUE"""),"PHEN PETIN")</f>
        <v>PHEN PETIN</v>
      </c>
      <c r="C3058" s="235" t="str">
        <f>IFERROR(__xludf.DUMMYFUNCTION("""COMPUTED_VALUE"""),"ADMIN - STAR")</f>
        <v>ADMIN - STAR</v>
      </c>
      <c r="D3058" s="196" t="str">
        <f>IFERROR(__xludf.DUMMYFUNCTION("""COMPUTED_VALUE"""),"1 INKED RIBBON CARTRIDGE(SINGLE COLOR)")</f>
        <v>1 INKED RIBBON CARTRIDGE(SINGLE COLOR)</v>
      </c>
      <c r="E3058" s="196" t="str">
        <f>IFERROR(__xludf.DUMMYFUNCTION("""COMPUTED_VALUE"""),"FOR STAR CAMPUS BUNDY CLOCK(FOR GUARD AND ALTA SERVE STAFF USE)")</f>
        <v>FOR STAR CAMPUS BUNDY CLOCK(FOR GUARD AND ALTA SERVE STAFF USE)</v>
      </c>
    </row>
    <row r="3059">
      <c r="A3059" s="234">
        <f>IFERROR(__xludf.DUMMYFUNCTION("""COMPUTED_VALUE"""),103350.0)</f>
        <v>103350</v>
      </c>
      <c r="B3059" s="235" t="str">
        <f>IFERROR(__xludf.DUMMYFUNCTION("""COMPUTED_VALUE"""),"PHEN PETIN")</f>
        <v>PHEN PETIN</v>
      </c>
      <c r="C3059" s="235" t="str">
        <f>IFERROR(__xludf.DUMMYFUNCTION("""COMPUTED_VALUE"""),"ADMIN - STAR")</f>
        <v>ADMIN - STAR</v>
      </c>
      <c r="D3059" s="196" t="str">
        <f>IFERROR(__xludf.DUMMYFUNCTION("""COMPUTED_VALUE"""),"6 PCS HOUSEKEEPING BASKET(WHITE)")</f>
        <v>6 PCS HOUSEKEEPING BASKET(WHITE)</v>
      </c>
      <c r="E3059" s="196" t="str">
        <f>IFERROR(__xludf.DUMMYFUNCTION("""COMPUTED_VALUE"""),"FOR HOUSEKEEPING STAFF USE IN STAR CAMPUS")</f>
        <v>FOR HOUSEKEEPING STAFF USE IN STAR CAMPUS</v>
      </c>
    </row>
    <row r="3060">
      <c r="A3060" s="234">
        <f>IFERROR(__xludf.DUMMYFUNCTION("""COMPUTED_VALUE"""),103351.0)</f>
        <v>103351</v>
      </c>
      <c r="B3060" s="235" t="str">
        <f>IFERROR(__xludf.DUMMYFUNCTION("""COMPUTED_VALUE"""),"ALFA DE LEON")</f>
        <v>ALFA DE LEON</v>
      </c>
      <c r="C3060" s="235" t="str">
        <f>IFERROR(__xludf.DUMMYFUNCTION("""COMPUTED_VALUE"""),"ADMIN - MUNICH")</f>
        <v>ADMIN - MUNICH</v>
      </c>
      <c r="D3060" s="196" t="str">
        <f>IFERROR(__xludf.DUMMYFUNCTION("""COMPUTED_VALUE"""),"- 3 GALLONS EPOXY ENAMEL WHITE
- 2 GALLONS EPOXY REDUCER")</f>
        <v>- 3 GALLONS EPOXY ENAMEL WHITE
- 2 GALLONS EPOXY REDUCER</v>
      </c>
      <c r="E3060" s="196" t="str">
        <f>IFERROR(__xludf.DUMMYFUNCTION("""COMPUTED_VALUE"""),"REPAINTING OF ORBIT FANS CORNER")</f>
        <v>REPAINTING OF ORBIT FANS CORNER</v>
      </c>
    </row>
    <row r="3061">
      <c r="A3061" s="234">
        <f>IFERROR(__xludf.DUMMYFUNCTION("""COMPUTED_VALUE"""),103352.0)</f>
        <v>103352</v>
      </c>
      <c r="B3061" s="235" t="str">
        <f>IFERROR(__xludf.DUMMYFUNCTION("""COMPUTED_VALUE"""),"ARNEL MONTABLAN")</f>
        <v>ARNEL MONTABLAN</v>
      </c>
      <c r="C3061" s="235" t="str">
        <f>IFERROR(__xludf.DUMMYFUNCTION("""COMPUTED_VALUE"""),"GLT SCHOLAR")</f>
        <v>GLT SCHOLAR</v>
      </c>
      <c r="D3061" s="196" t="str">
        <f>IFERROR(__xludf.DUMMYFUNCTION("""COMPUTED_VALUE"""),"1 ELECTRIC FAN")</f>
        <v>1 ELECTRIC FAN</v>
      </c>
      <c r="E3061" s="196" t="str">
        <f>IFERROR(__xludf.DUMMYFUNCTION("""COMPUTED_VALUE"""),"FOR REPLACEMENT OF ELECTRIC FAN AS PER ADMIN'S RECOMMENDATION")</f>
        <v>FOR REPLACEMENT OF ELECTRIC FAN AS PER ADMIN'S RECOMMENDATION</v>
      </c>
    </row>
    <row r="3062">
      <c r="A3062" s="234">
        <f>IFERROR(__xludf.DUMMYFUNCTION("""COMPUTED_VALUE"""),103353.0)</f>
        <v>103353</v>
      </c>
      <c r="B3062" s="235" t="str">
        <f>IFERROR(__xludf.DUMMYFUNCTION("""COMPUTED_VALUE"""),"JESUIT CHRISTIAN GALICIA")</f>
        <v>JESUIT CHRISTIAN GALICIA</v>
      </c>
      <c r="C3062" s="235" t="str">
        <f>IFERROR(__xludf.DUMMYFUNCTION("""COMPUTED_VALUE"""),"AMD")</f>
        <v>AMD</v>
      </c>
      <c r="D3062" s="196" t="str">
        <f>IFERROR(__xludf.DUMMYFUNCTION("""COMPUTED_VALUE"""),"50 PCS TONER CARTRIDGE INKONVERT LBP6000 85A")</f>
        <v>50 PCS TONER CARTRIDGE INKONVERT LBP6000 85A</v>
      </c>
      <c r="E3062" s="196" t="str">
        <f>IFERROR(__xludf.DUMMYFUNCTION("""COMPUTED_VALUE"""),"STOCK REPLENISHMENT FOR OSSUP WAREHOUSE")</f>
        <v>STOCK REPLENISHMENT FOR OSSUP WAREHOUSE</v>
      </c>
    </row>
    <row r="3063">
      <c r="A3063" s="234">
        <f>IFERROR(__xludf.DUMMYFUNCTION("""COMPUTED_VALUE"""),103354.0)</f>
        <v>103354</v>
      </c>
      <c r="B3063" s="235" t="str">
        <f>IFERROR(__xludf.DUMMYFUNCTION("""COMPUTED_VALUE"""),"ANGELICA LAGDAMEO/JEREMIAH TIROL")</f>
        <v>ANGELICA LAGDAMEO/JEREMIAH TIROL</v>
      </c>
      <c r="C3063" s="235" t="str">
        <f>IFERROR(__xludf.DUMMYFUNCTION("""COMPUTED_VALUE"""),"COLLEGE DEPARTMENT")</f>
        <v>COLLEGE DEPARTMENT</v>
      </c>
      <c r="D3063" s="196" t="str">
        <f>IFERROR(__xludf.DUMMYFUNCTION("""COMPUTED_VALUE"""),"- 100 PCS PLASTIC PASTEUR PIPETTE(DISPOSABLE)
- 1 BOX/100 PCS SCALPEL BLADE #10
- 2 M WICK FOR ALCOHOL LAMP
- 2 SACKS SAND
- 4 BOXES MATCHSTICKS
- 2 BOTTLES LIGHTER FLUID
- 4 BOTTLES SPILL MAGIC POWDER
- 4 ROLLS/1 INCH MICROPORE TAPE
- 6 PCS SPONGE
- 2 BA"&amp;"GS COTTON BALLS
- 2 BOXES ALCOHOL PADS
- 4 PACKS COTTON BUDS
- 10 PCS TEST TUBE BRUSH
- 3 PCS POLYPROPYLENE CARRIER TRAY
- 1 SET MEASURING SPOONS(METAL)
- 1 SET MEASURING CUPS(METAL)
- 3 PAIRS CHEMICAL RESISTANT GLOVES
- 10 PCS CONTAINERS/TRAY(PLASTIC)
- "&amp;"2 LITERS ETHYL ALCOHOL
- 2 LITERS ISPROPYL ALCOHOL
- 1 LITER VEGETABLE OIL
- 1 LITER COCONUT OIL
- 500 ML OLIVE OIL
- 500 ML CORN OIL
- 500 ML PHENOLPHTALEIN
- 500 GRAMS SODIUM BICARBONATE
- 500 ML CARBOL FUCHSIN
- 1 LITER METHYL ALCOHOL
- 500 ML PARAFFIN"&amp;" OIL
- 1 LITER HYDROGEN PEROXIDE
- 1 KG SODIUM HYDROXIDE FLAKES
- 500 ML ALPHA-NAPTHOL SOLUTION
- 500 ML ACETO-CARMINE
- 1 KG ALUM POTASH
- 500 ML BENEDICT'S REAGENT
- 500 ML ACETONE
- 500 ML PROPANOL
- 500 GRAMS AMMONIUM OXALATE
- 1 TUBE SALMONELLA SPP.
"&amp;"- 1 TUBE E. COLI
- 1 TUBE STAPHYLOCOCCUS AUREUS
- 1 TUBE BACILLUS AUREUS
- 1 TUBE PSEUDOMONAS AERUGINOSA")</f>
        <v>- 100 PCS PLASTIC PASTEUR PIPETTE(DISPOSABLE)
- 1 BOX/100 PCS SCALPEL BLADE #10
- 2 M WICK FOR ALCOHOL LAMP
- 2 SACKS SAND
- 4 BOXES MATCHSTICKS
- 2 BOTTLES LIGHTER FLUID
- 4 BOTTLES SPILL MAGIC POWDER
- 4 ROLLS/1 INCH MICROPORE TAPE
- 6 PCS SPONGE
- 2 BAGS COTTON BALLS
- 2 BOXES ALCOHOL PADS
- 4 PACKS COTTON BUDS
- 10 PCS TEST TUBE BRUSH
- 3 PCS POLYPROPYLENE CARRIER TRAY
- 1 SET MEASURING SPOONS(METAL)
- 1 SET MEASURING CUPS(METAL)
- 3 PAIRS CHEMICAL RESISTANT GLOVES
- 10 PCS CONTAINERS/TRAY(PLASTIC)
- 2 LITERS ETHYL ALCOHOL
- 2 LITERS ISPROPYL ALCOHOL
- 1 LITER VEGETABLE OIL
- 1 LITER COCONUT OIL
- 500 ML OLIVE OIL
- 500 ML CORN OIL
- 500 ML PHENOLPHTALEIN
- 500 GRAMS SODIUM BICARBONATE
- 500 ML CARBOL FUCHSIN
- 1 LITER METHYL ALCOHOL
- 500 ML PARAFFIN OIL
- 1 LITER HYDROGEN PEROXIDE
- 1 KG SODIUM HYDROXIDE FLAKES
- 500 ML ALPHA-NAPTHOL SOLUTION
- 500 ML ACETO-CARMINE
- 1 KG ALUM POTASH
- 500 ML BENEDICT'S REAGENT
- 500 ML ACETONE
- 500 ML PROPANOL
- 500 GRAMS AMMONIUM OXALATE
- 1 TUBE SALMONELLA SPP.
- 1 TUBE E. COLI
- 1 TUBE STAPHYLOCOCCUS AUREUS
- 1 TUBE BACILLUS AUREUS
- 1 TUBE PSEUDOMONAS AERUGINOSA</v>
      </c>
      <c r="E3063" s="196" t="str">
        <f>IFERROR(__xludf.DUMMYFUNCTION("""COMPUTED_VALUE"""),"REPLENISHMENT OF MATERIALS")</f>
        <v>REPLENISHMENT OF MATERIALS</v>
      </c>
    </row>
    <row r="3064">
      <c r="A3064" s="234">
        <f>IFERROR(__xludf.DUMMYFUNCTION("""COMPUTED_VALUE"""),103355.0)</f>
        <v>103355</v>
      </c>
      <c r="B3064" s="235" t="str">
        <f>IFERROR(__xludf.DUMMYFUNCTION("""COMPUTED_VALUE"""),"NESSIE A. LUMBRES")</f>
        <v>NESSIE A. LUMBRES</v>
      </c>
      <c r="C3064" s="235" t="str">
        <f>IFERROR(__xludf.DUMMYFUNCTION("""COMPUTED_VALUE"""),"JHS(K12)")</f>
        <v>JHS(K12)</v>
      </c>
      <c r="D3064" s="196" t="str">
        <f>IFERROR(__xludf.DUMMYFUNCTION("""COMPUTED_VALUE"""),"- 20 PCS ACADEMIC EXCELLENCE(BRONZE MEDAL W/ PINK LACE)
- 32 PCS ACADEMIC EXCELLENCE(SILVER MEDAL W/ PURPLE LACE)
- 48 PCS ACADEMIC EXCELLENCE(GOLD MEDAL W/ GREEN LACE)
- 15 PCS SUBJECT EXCELLENCE(WITH TRICOLOR LACE)
- 6 PCS GENERAL SCHOLASTIC(GOLD MEDAL "&amp;"W/ TRICOLOR LACE)
- 65 PCS VALUES EXCELLENCE(W/ WHITE LACE)
- 25 PCS PERFECT ATTENDANCE(WITH YELLOW LACE)
- 2 PCS ATHLETE OF THE YEAR(WITH BLUE LACE)")</f>
        <v>- 20 PCS ACADEMIC EXCELLENCE(BRONZE MEDAL W/ PINK LACE)
- 32 PCS ACADEMIC EXCELLENCE(SILVER MEDAL W/ PURPLE LACE)
- 48 PCS ACADEMIC EXCELLENCE(GOLD MEDAL W/ GREEN LACE)
- 15 PCS SUBJECT EXCELLENCE(WITH TRICOLOR LACE)
- 6 PCS GENERAL SCHOLASTIC(GOLD MEDAL W/ TRICOLOR LACE)
- 65 PCS VALUES EXCELLENCE(W/ WHITE LACE)
- 25 PCS PERFECT ATTENDANCE(WITH YELLOW LACE)
- 2 PCS ATHLETE OF THE YEAR(WITH BLUE LACE)</v>
      </c>
      <c r="E3064" s="196" t="str">
        <f>IFERROR(__xludf.DUMMYFUNCTION("""COMPUTED_VALUE"""),"GRADUATION CEREMONY")</f>
        <v>GRADUATION CEREMONY</v>
      </c>
    </row>
    <row r="3065">
      <c r="A3065" s="234">
        <f>IFERROR(__xludf.DUMMYFUNCTION("""COMPUTED_VALUE"""),103356.0)</f>
        <v>103356</v>
      </c>
      <c r="B3065" s="235" t="str">
        <f>IFERROR(__xludf.DUMMYFUNCTION("""COMPUTED_VALUE"""),"MICHAEL GRAVAMEN")</f>
        <v>MICHAEL GRAVAMEN</v>
      </c>
      <c r="C3065" s="235" t="str">
        <f>IFERROR(__xludf.DUMMYFUNCTION("""COMPUTED_VALUE"""),"ROBOTICS")</f>
        <v>ROBOTICS</v>
      </c>
      <c r="D3065" s="196" t="str">
        <f>IFERROR(__xludf.DUMMYFUNCTION("""COMPUTED_VALUE"""),"- 2 SETS VEX IQ COMPETITION KIT(2ND GENERATION)
- 1 SET VEX IQ COMPETITION FIELD PERIMETER &amp; TILES
- 1 SET VIQC 2023 - 2024 FULL GAME &amp; FIELD ELEMENT KIT
- 2 SETS VEX IQ FIELD CASE")</f>
        <v>- 2 SETS VEX IQ COMPETITION KIT(2ND GENERATION)
- 1 SET VEX IQ COMPETITION FIELD PERIMETER &amp; TILES
- 1 SET VIQC 2023 - 2024 FULL GAME &amp; FIELD ELEMENT KIT
- 2 SETS VEX IQ FIELD CASE</v>
      </c>
      <c r="E3065" s="196" t="str">
        <f>IFERROR(__xludf.DUMMYFUNCTION("""COMPUTED_VALUE"""),"UPGRADES FOR THE VEX ROBOTICS KITS FOR CLASSES AND COMPETITION")</f>
        <v>UPGRADES FOR THE VEX ROBOTICS KITS FOR CLASSES AND COMPETITION</v>
      </c>
    </row>
    <row r="3066">
      <c r="A3066" s="234">
        <f>IFERROR(__xludf.DUMMYFUNCTION("""COMPUTED_VALUE"""),103357.0)</f>
        <v>103357</v>
      </c>
      <c r="B3066" s="235" t="str">
        <f>IFERROR(__xludf.DUMMYFUNCTION("""COMPUTED_VALUE"""),"SHEREE ESPINOSA")</f>
        <v>SHEREE ESPINOSA</v>
      </c>
      <c r="C3066" s="235" t="str">
        <f>IFERROR(__xludf.DUMMYFUNCTION("""COMPUTED_VALUE"""),"ADMIN")</f>
        <v>ADMIN</v>
      </c>
      <c r="D3066" s="196" t="str">
        <f>IFERROR(__xludf.DUMMYFUNCTION("""COMPUTED_VALUE"""),"10 UNITS SOLAR LIGHTS FOR TARPAULIN FRAMES ALONG TROPICAL AVENUE")</f>
        <v>10 UNITS SOLAR LIGHTS FOR TARPAULIN FRAMES ALONG TROPICAL AVENUE</v>
      </c>
      <c r="E3066" s="196" t="str">
        <f>IFERROR(__xludf.DUMMYFUNCTION("""COMPUTED_VALUE"""),"SOLAR LIGHTS FOR TARPAULIN FRAMES ALONG TROPICAL AVENUE")</f>
        <v>SOLAR LIGHTS FOR TARPAULIN FRAMES ALONG TROPICAL AVENUE</v>
      </c>
    </row>
    <row r="3067">
      <c r="A3067" s="234">
        <f>IFERROR(__xludf.DUMMYFUNCTION("""COMPUTED_VALUE"""),103358.0)</f>
        <v>103358</v>
      </c>
      <c r="B3067" s="235" t="str">
        <f>IFERROR(__xludf.DUMMYFUNCTION("""COMPUTED_VALUE"""),"ARMIE ABABA")</f>
        <v>ARMIE ABABA</v>
      </c>
      <c r="C3067" s="235" t="str">
        <f>IFERROR(__xludf.DUMMYFUNCTION("""COMPUTED_VALUE"""),"I.B.")</f>
        <v>I.B.</v>
      </c>
      <c r="D3067" s="196" t="str">
        <f>IFERROR(__xludf.DUMMYFUNCTION("""COMPUTED_VALUE"""),"1B MEDALS
- 5 PCS LOYALTY AWARD
- 6 PCS GOLD MEDALS
- 5 PCS SILVER MEDALS
- 3 PCS BRONZE MEDALS
- 25 PCS SUBJECT EXCELLENCES")</f>
        <v>1B MEDALS
- 5 PCS LOYALTY AWARD
- 6 PCS GOLD MEDALS
- 5 PCS SILVER MEDALS
- 3 PCS BRONZE MEDALS
- 25 PCS SUBJECT EXCELLENCES</v>
      </c>
      <c r="E3067" s="196" t="str">
        <f>IFERROR(__xludf.DUMMYFUNCTION("""COMPUTED_VALUE"""),"IB GRADUATION")</f>
        <v>IB GRADUATION</v>
      </c>
    </row>
    <row r="3068">
      <c r="A3068" s="234">
        <f>IFERROR(__xludf.DUMMYFUNCTION("""COMPUTED_VALUE"""),103359.0)</f>
        <v>103359</v>
      </c>
      <c r="B3068" s="235" t="str">
        <f>IFERROR(__xludf.DUMMYFUNCTION("""COMPUTED_VALUE"""),"JOMEL BUTIAL ")</f>
        <v>JOMEL BUTIAL </v>
      </c>
      <c r="C3068" s="235" t="str">
        <f>IFERROR(__xludf.DUMMYFUNCTION("""COMPUTED_VALUE"""),"PR &amp; MARKETING")</f>
        <v>PR &amp; MARKETING</v>
      </c>
      <c r="D3068" s="196" t="str">
        <f>IFERROR(__xludf.DUMMYFUNCTION("""COMPUTED_VALUE"""),"WHEEL OF FORTUNE 1 PC")</f>
        <v>WHEEL OF FORTUNE 1 PC</v>
      </c>
      <c r="E3068" s="196" t="str">
        <f>IFERROR(__xludf.DUMMYFUNCTION("""COMPUTED_VALUE"""),"SCHOOL EXHIBIT ")</f>
        <v>SCHOOL EXHIBIT </v>
      </c>
    </row>
    <row r="3069">
      <c r="A3069" s="234">
        <f>IFERROR(__xludf.DUMMYFUNCTION("""COMPUTED_VALUE"""),103360.0)</f>
        <v>103360</v>
      </c>
      <c r="B3069" s="235" t="str">
        <f>IFERROR(__xludf.DUMMYFUNCTION("""COMPUTED_VALUE"""),"CHRISTIAN ANDRES")</f>
        <v>CHRISTIAN ANDRES</v>
      </c>
      <c r="C3069" s="235" t="str">
        <f>IFERROR(__xludf.DUMMYFUNCTION("""COMPUTED_VALUE"""),"PR &amp; MARKETING")</f>
        <v>PR &amp; MARKETING</v>
      </c>
      <c r="D3069" s="196" t="str">
        <f>IFERROR(__xludf.DUMMYFUNCTION("""COMPUTED_VALUE"""),"4 PCS. SOUTHVILLE PROMOTIONAL TARP ON LIMA ST. ")</f>
        <v>4 PCS. SOUTHVILLE PROMOTIONAL TARP ON LIMA ST. </v>
      </c>
      <c r="E3069" s="196" t="str">
        <f>IFERROR(__xludf.DUMMYFUNCTION("""COMPUTED_VALUE"""),"FOR PROMOTIONAL AND MARKETING")</f>
        <v>FOR PROMOTIONAL AND MARKETING</v>
      </c>
    </row>
    <row r="3070">
      <c r="A3070" s="234">
        <f>IFERROR(__xludf.DUMMYFUNCTION("""COMPUTED_VALUE"""),103361.0)</f>
        <v>103361</v>
      </c>
      <c r="B3070" s="235" t="str">
        <f>IFERROR(__xludf.DUMMYFUNCTION("""COMPUTED_VALUE"""),"CHRISTIAN ANDRES")</f>
        <v>CHRISTIAN ANDRES</v>
      </c>
      <c r="C3070" s="235" t="str">
        <f>IFERROR(__xludf.DUMMYFUNCTION("""COMPUTED_VALUE"""),"PR &amp; MARKETING")</f>
        <v>PR &amp; MARKETING</v>
      </c>
      <c r="D3070" s="196" t="str">
        <f>IFERROR(__xludf.DUMMYFUNCTION("""COMPUTED_VALUE"""),"1 PC. LOPEZ TARP 6X8 FEET W/ SEAMING EYELET ALLOVER")</f>
        <v>1 PC. LOPEZ TARP 6X8 FEET W/ SEAMING EYELET ALLOVER</v>
      </c>
      <c r="E3070" s="196" t="str">
        <f>IFERROR(__xludf.DUMMYFUNCTION("""COMPUTED_VALUE"""),"FOR PROMOTIONAL AND MARKETING")</f>
        <v>FOR PROMOTIONAL AND MARKETING</v>
      </c>
    </row>
    <row r="3071">
      <c r="A3071" s="234">
        <f>IFERROR(__xludf.DUMMYFUNCTION("""COMPUTED_VALUE"""),103362.0)</f>
        <v>103362</v>
      </c>
      <c r="B3071" s="235" t="str">
        <f>IFERROR(__xludf.DUMMYFUNCTION("""COMPUTED_VALUE"""),"JESUIT CHRISTIAN GALICIA")</f>
        <v>JESUIT CHRISTIAN GALICIA</v>
      </c>
      <c r="C3071" s="235" t="str">
        <f>IFERROR(__xludf.DUMMYFUNCTION("""COMPUTED_VALUE"""),"AMD")</f>
        <v>AMD</v>
      </c>
      <c r="D3071" s="196" t="str">
        <f>IFERROR(__xludf.DUMMYFUNCTION("""COMPUTED_VALUE"""),"- 10 PCS YALE PADLOCK 25MM
- 30 PCS FELXIBLE HOSE 1/2 x 1/2
- 20 PCS PO PLUG
- 25 PCS FLEXIBLE HOSE 1/2 x 1/4")</f>
        <v>- 10 PCS YALE PADLOCK 25MM
- 30 PCS FELXIBLE HOSE 1/2 x 1/2
- 20 PCS PO PLUG
- 25 PCS FLEXIBLE HOSE 1/2 x 1/4</v>
      </c>
      <c r="E3071" s="196" t="str">
        <f>IFERROR(__xludf.DUMMYFUNCTION("""COMPUTED_VALUE"""),"ENGINEERING WAREHOUSE STOCK REPLENISHMENT")</f>
        <v>ENGINEERING WAREHOUSE STOCK REPLENISHMENT</v>
      </c>
    </row>
    <row r="3072">
      <c r="A3072" s="234">
        <f>IFERROR(__xludf.DUMMYFUNCTION("""COMPUTED_VALUE"""),103363.0)</f>
        <v>103363</v>
      </c>
      <c r="B3072" s="235" t="str">
        <f>IFERROR(__xludf.DUMMYFUNCTION("""COMPUTED_VALUE"""),"ADOR MARINDA")</f>
        <v>ADOR MARINDA</v>
      </c>
      <c r="C3072" s="235" t="str">
        <f>IFERROR(__xludf.DUMMYFUNCTION("""COMPUTED_VALUE"""),"MIS")</f>
        <v>MIS</v>
      </c>
      <c r="D3072" s="196" t="str">
        <f>IFERROR(__xludf.DUMMYFUNCTION("""COMPUTED_VALUE"""),"3 PCS VERTIV LIEBERT EDGE - 1000IRM1U")</f>
        <v>3 PCS VERTIV LIEBERT EDGE - 1000IRM1U</v>
      </c>
      <c r="E3072" s="196" t="str">
        <f>IFERROR(__xludf.DUMMYFUNCTION("""COMPUTED_VALUE"""),"UPS FOR PR IDF &amp; ELIZALDE IDF")</f>
        <v>UPS FOR PR IDF &amp; ELIZALDE IDF</v>
      </c>
    </row>
    <row r="3073">
      <c r="A3073" s="234">
        <f>IFERROR(__xludf.DUMMYFUNCTION("""COMPUTED_VALUE"""),103364.0)</f>
        <v>103364</v>
      </c>
      <c r="B3073" s="235" t="str">
        <f>IFERROR(__xludf.DUMMYFUNCTION("""COMPUTED_VALUE"""),"PENELOPE B. AGUSTIN")</f>
        <v>PENELOPE B. AGUSTIN</v>
      </c>
      <c r="C3073" s="235" t="str">
        <f>IFERROR(__xludf.DUMMYFUNCTION("""COMPUTED_VALUE"""),"FINANCE &amp; ACCOUNTING")</f>
        <v>FINANCE &amp; ACCOUNTING</v>
      </c>
      <c r="D3073" s="196" t="str">
        <f>IFERROR(__xludf.DUMMYFUNCTION("""COMPUTED_VALUE"""),"3 PCS STORAGE BOX(155L - TRANSPARENT)")</f>
        <v>3 PCS STORAGE BOX(155L - TRANSPARENT)</v>
      </c>
      <c r="E3073" s="196" t="str">
        <f>IFERROR(__xludf.DUMMYFUNCTION("""COMPUTED_VALUE"""),"FILING OF PAYROLL DOCS")</f>
        <v>FILING OF PAYROLL DOCS</v>
      </c>
    </row>
    <row r="3074">
      <c r="A3074" s="234">
        <f>IFERROR(__xludf.DUMMYFUNCTION("""COMPUTED_VALUE"""),103365.0)</f>
        <v>103365</v>
      </c>
      <c r="B3074" s="235" t="str">
        <f>IFERROR(__xludf.DUMMYFUNCTION("""COMPUTED_VALUE"""),"OWIE PAR")</f>
        <v>OWIE PAR</v>
      </c>
      <c r="C3074" s="235" t="str">
        <f>IFERROR(__xludf.DUMMYFUNCTION("""COMPUTED_VALUE"""),"ENGINEERING")</f>
        <v>ENGINEERING</v>
      </c>
      <c r="D3074" s="196" t="str">
        <f>IFERROR(__xludf.DUMMYFUNCTION("""COMPUTED_VALUE"""),"2 UNITS VOLTAGE MONITOR")</f>
        <v>2 UNITS VOLTAGE MONITOR</v>
      </c>
      <c r="E3074" s="196" t="str">
        <f>IFERROR(__xludf.DUMMYFUNCTION("""COMPUTED_VALUE"""),"FOR MUNICH AUTOMATIC WATER PUMP CONTROLLER")</f>
        <v>FOR MUNICH AUTOMATIC WATER PUMP CONTROLLER</v>
      </c>
    </row>
    <row r="3075">
      <c r="A3075" s="234">
        <f>IFERROR(__xludf.DUMMYFUNCTION("""COMPUTED_VALUE"""),103366.0)</f>
        <v>103366</v>
      </c>
      <c r="B3075" s="235" t="str">
        <f>IFERROR(__xludf.DUMMYFUNCTION("""COMPUTED_VALUE"""),"CHOY JAMIAS")</f>
        <v>CHOY JAMIAS</v>
      </c>
      <c r="C3075" s="235" t="str">
        <f>IFERROR(__xludf.DUMMYFUNCTION("""COMPUTED_VALUE"""),"OSA")</f>
        <v>OSA</v>
      </c>
      <c r="D3075" s="196" t="str">
        <f>IFERROR(__xludf.DUMMYFUNCTION("""COMPUTED_VALUE"""),"260 YEARBOOK PRINTING")</f>
        <v>260 YEARBOOK PRINTING</v>
      </c>
      <c r="E3075" s="196" t="str">
        <f>IFERROR(__xludf.DUMMYFUNCTION("""COMPUTED_VALUE"""),"YB FOR CLASS 2023")</f>
        <v>YB FOR CLASS 2023</v>
      </c>
    </row>
    <row r="3076">
      <c r="A3076" s="234">
        <f>IFERROR(__xludf.DUMMYFUNCTION("""COMPUTED_VALUE"""),103367.0)</f>
        <v>103367</v>
      </c>
      <c r="B3076" s="235" t="str">
        <f>IFERROR(__xludf.DUMMYFUNCTION("""COMPUTED_VALUE"""),"JESUIT CHRISTIAN GALICIA")</f>
        <v>JESUIT CHRISTIAN GALICIA</v>
      </c>
      <c r="C3076" s="235" t="str">
        <f>IFERROR(__xludf.DUMMYFUNCTION("""COMPUTED_VALUE"""),"AMD")</f>
        <v>AMD</v>
      </c>
      <c r="D3076" s="196" t="str">
        <f>IFERROR(__xludf.DUMMYFUNCTION("""COMPUTED_VALUE"""),"50 PCS JEEPNEY MINIATURE SMALL")</f>
        <v>50 PCS JEEPNEY MINIATURE SMALL</v>
      </c>
      <c r="E3076" s="196" t="str">
        <f>IFERROR(__xludf.DUMMYFUNCTION("""COMPUTED_VALUE"""),"REPLENISHMENT OF INSTITUINAL TOKEN")</f>
        <v>REPLENISHMENT OF INSTITUINAL TOKEN</v>
      </c>
    </row>
    <row r="3077">
      <c r="A3077" s="234">
        <f>IFERROR(__xludf.DUMMYFUNCTION("""COMPUTED_VALUE"""),103368.0)</f>
        <v>103368</v>
      </c>
      <c r="B3077" s="235" t="str">
        <f>IFERROR(__xludf.DUMMYFUNCTION("""COMPUTED_VALUE"""),"MELISSA ODONO/ARIS IGNACIO")</f>
        <v>MELISSA ODONO/ARIS IGNACIO</v>
      </c>
      <c r="C3077" s="235" t="str">
        <f>IFERROR(__xludf.DUMMYFUNCTION("""COMPUTED_VALUE"""),"LIBRARY COLLEGE")</f>
        <v>LIBRARY COLLEGE</v>
      </c>
      <c r="D3077" s="196" t="str">
        <f>IFERROR(__xludf.DUMMYFUNCTION("""COMPUTED_VALUE"""),"- 1 PC ARTICIAL INTELLIGENCE PROGRAMMING WITH PYTHON: FROM ZERO TO HERO
- 1 PC COMPUTING ESSENTIALS 2023 \29ED: MAKING IT WORK FOR YOU
- 1 PC CONNECTING DISCRETE MATHEMATICS AND COMPUTER SCIENCE \2ED
- 1 PC DATABASE DESIGN USING ENTITY-RELATIONSHIP DIAGRA"&amp;"MS
- 1 PC DATABASE SYSTEM \3ED
- 1 PC DISCOVERING COMPUTERS \17ED
- 1 PC ESSENTIALS OF DISCRETE MATHEMATICS \4ED
- 1 PC ETHICS IN INFORMATION TECHNOLOGY \1ED: A PRACTICAL GUIDE
- 1 PC EVIDENCE-BASED CYBERSECURITY \1ED: FOUNDATIONS RESEARCH, AND PRACTICE
-"&amp;" 1 PC FUNDAMENTAL OF INFORMATION SYSTEMS SECURITY \4ED
- 1 PC MASTERING C# \1ED; A BEGINNER'S GUIDE
- 1 PC MASTERING MYSQL FOR WEB \1ED; A BEGINNER'S GUIDE
- 1 PC OPERATING AI: BRIDGE THE GAP BETWEEN TECHNOLOGY AND BUSINESS
- 1 PC SOFTWARE ENGINEERING BAS"&amp;"IC PRINCIPLES AND BEST PRACTICES
- 1 PC SURVEY OF OPERATING SYSTEMS
- 1 PC WEB ENGINEERING HANDBOOK")</f>
        <v>- 1 PC ARTICIAL INTELLIGENCE PROGRAMMING WITH PYTHON: FROM ZERO TO HERO
- 1 PC COMPUTING ESSENTIALS 2023 \29ED: MAKING IT WORK FOR YOU
- 1 PC CONNECTING DISCRETE MATHEMATICS AND COMPUTER SCIENCE \2ED
- 1 PC DATABASE DESIGN USING ENTITY-RELATIONSHIP DIAGRAMS
- 1 PC DATABASE SYSTEM \3ED
- 1 PC DISCOVERING COMPUTERS \17ED
- 1 PC ESSENTIALS OF DISCRETE MATHEMATICS \4ED
- 1 PC ETHICS IN INFORMATION TECHNOLOGY \1ED: A PRACTICAL GUIDE
- 1 PC EVIDENCE-BASED CYBERSECURITY \1ED: FOUNDATIONS RESEARCH, AND PRACTICE
- 1 PC FUNDAMENTAL OF INFORMATION SYSTEMS SECURITY \4ED
- 1 PC MASTERING C# \1ED; A BEGINNER'S GUIDE
- 1 PC MASTERING MYSQL FOR WEB \1ED; A BEGINNER'S GUIDE
- 1 PC OPERATING AI: BRIDGE THE GAP BETWEEN TECHNOLOGY AND BUSINESS
- 1 PC SOFTWARE ENGINEERING BASIC PRINCIPLES AND BEST PRACTICES
- 1 PC SURVEY OF OPERATING SYSTEMS
- 1 PC WEB ENGINEERING HANDBOOK</v>
      </c>
      <c r="E3077" s="196" t="str">
        <f>IFERROR(__xludf.DUMMYFUNCTION("""COMPUTED_VALUE"""),"LIBRARY'S COPY/FOR FACULTY/MGT/STAFF USE/PACUCOA COMPLIANCE")</f>
        <v>LIBRARY'S COPY/FOR FACULTY/MGT/STAFF USE/PACUCOA COMPLIANCE</v>
      </c>
    </row>
    <row r="3078">
      <c r="A3078" s="234">
        <f>IFERROR(__xludf.DUMMYFUNCTION("""COMPUTED_VALUE"""),103369.0)</f>
        <v>103369</v>
      </c>
      <c r="B3078" s="235" t="str">
        <f>IFERROR(__xludf.DUMMYFUNCTION("""COMPUTED_VALUE"""),"MELISSA ODONO/ARIS IGNACIO")</f>
        <v>MELISSA ODONO/ARIS IGNACIO</v>
      </c>
      <c r="C3078" s="235" t="str">
        <f>IFERROR(__xludf.DUMMYFUNCTION("""COMPUTED_VALUE"""),"LIBRARY COLLEGE")</f>
        <v>LIBRARY COLLEGE</v>
      </c>
      <c r="D3078" s="196" t="str">
        <f>IFERROR(__xludf.DUMMYFUNCTION("""COMPUTED_VALUE"""),"- 1 PC ADVANCED DATABASE MANAGEMENT SYSTEMS, 3E
- 1 PC ARTIFICIAL INTELLIGENCE
- 1 PC COMPLETE DATA ANALYSIS USING R
- 1 PC COMPUTER NETWORKING: AN INNOVATIVE APPROACH
- 1 PC COMPUTER NETWORK AND SECURITY 2E
- 1 PC COMPUTER ORGANIZATION, 3E
- 1 PC CYBER S"&amp;"ECURITY, 3E
- 1 PC CYBERSECURITY ALL-IN-ONE FOR DUMMIES
- 1 PC DATA COMMUNICATION &amp; COMPUTER NETWORKS, 9E
- 1 PC DATABASE SYSTEMS, 3E
- 1 PC DATABASE SYSTEMS: DESIGN AND MANAGEMENT
- 1 PC ESSENTIALS OF USER INTERFACE DESIGN
- 1 PC FUNDAMENTAL OF HUMAN COM"&amp;"PUTER INTERACTION
- 1 PC INFORMATION TECHNOLOGY PROJECT MANAGEMENT, 3E
- 1 PC INTRODUCTION TO COMPUTING
- 1 PC INTRODUCTION TO DATA COMMUNICATION AND NETWORKS
- 1 PC LIVING IN THE IT ERA
- 1 PC MOBILE APPLICATIONS DEVELOPMENT TECHNOLOGIES, 2E
- 1 PC OBJEC"&amp;"T ORIENTED PROGRAMMING, 3E
- 1 PC PROBABILITY &amp; STATISTICS W/ RELIABILITY, QUEUEING &amp; COMPUTER SCIENCE APP
- 1 PC PROGRAMMING LOGIC DESIGN, 2E
- 1 PC SOFTWARE TESTING AND USER EXPERIENCE, 3E
- 1 PC SYSTEMS ANALYSIS AND DESIGN, 3E")</f>
        <v>- 1 PC ADVANCED DATABASE MANAGEMENT SYSTEMS, 3E
- 1 PC ARTIFICIAL INTELLIGENCE
- 1 PC COMPLETE DATA ANALYSIS USING R
- 1 PC COMPUTER NETWORKING: AN INNOVATIVE APPROACH
- 1 PC COMPUTER NETWORK AND SECURITY 2E
- 1 PC COMPUTER ORGANIZATION, 3E
- 1 PC CYBER SECURITY, 3E
- 1 PC CYBERSECURITY ALL-IN-ONE FOR DUMMIES
- 1 PC DATA COMMUNICATION &amp; COMPUTER NETWORKS, 9E
- 1 PC DATABASE SYSTEMS, 3E
- 1 PC DATABASE SYSTEMS: DESIGN AND MANAGEMENT
- 1 PC ESSENTIALS OF USER INTERFACE DESIGN
- 1 PC FUNDAMENTAL OF HUMAN COMPUTER INTERACTION
- 1 PC INFORMATION TECHNOLOGY PROJECT MANAGEMENT, 3E
- 1 PC INTRODUCTION TO COMPUTING
- 1 PC INTRODUCTION TO DATA COMMUNICATION AND NETWORKS
- 1 PC LIVING IN THE IT ERA
- 1 PC MOBILE APPLICATIONS DEVELOPMENT TECHNOLOGIES, 2E
- 1 PC OBJECT ORIENTED PROGRAMMING, 3E
- 1 PC PROBABILITY &amp; STATISTICS W/ RELIABILITY, QUEUEING &amp; COMPUTER SCIENCE APP
- 1 PC PROGRAMMING LOGIC DESIGN, 2E
- 1 PC SOFTWARE TESTING AND USER EXPERIENCE, 3E
- 1 PC SYSTEMS ANALYSIS AND DESIGN, 3E</v>
      </c>
      <c r="E3078" s="196" t="str">
        <f>IFERROR(__xludf.DUMMYFUNCTION("""COMPUTED_VALUE"""),"LIBRARY'S COPY/FOR FACULTY/MGT/STAFF USE/PACUCOA COMPLIANCE")</f>
        <v>LIBRARY'S COPY/FOR FACULTY/MGT/STAFF USE/PACUCOA COMPLIANCE</v>
      </c>
    </row>
    <row r="3079">
      <c r="A3079" s="234">
        <f>IFERROR(__xludf.DUMMYFUNCTION("""COMPUTED_VALUE"""),103370.0)</f>
        <v>103370</v>
      </c>
      <c r="B3079" s="235" t="str">
        <f>IFERROR(__xludf.DUMMYFUNCTION("""COMPUTED_VALUE"""),"MELISSA ODONO/KRISTEN GABUTERO")</f>
        <v>MELISSA ODONO/KRISTEN GABUTERO</v>
      </c>
      <c r="C3079" s="235" t="str">
        <f>IFERROR(__xludf.DUMMYFUNCTION("""COMPUTED_VALUE"""),"LIBRARY COLLEGE")</f>
        <v>LIBRARY COLLEGE</v>
      </c>
      <c r="D3079" s="196" t="str">
        <f>IFERROR(__xludf.DUMMYFUNCTION("""COMPUTED_VALUE"""),"- 1 PC A NEW HISTORY OF DOCUMENTS FILM
- 1 PC AN INTRODUCTION TO GLOBAL MEDIA FOR THE TWENTY-FIRST CENTURY
- 1 PC CINEMATIC MODERNISM AND CONTEMPORARY FILM
- 1 PC COMPOSING FOR THE SCREEN
- 1 PC INTRODUCTION TO MEDIA PRODUCTION AND MARKETING
- 1 PC MIXED "&amp;"METHODS PERSPECTIVES ON COMMUNICATION &amp; SOCIAL MEDIA RESEARCHES
- 1 PC PRINCIPLES OF JOURNALISM
- 1 PC SOUND AFFECTS
- 1 PC THE SAGE HANDBOOK OF SOCIAL MEDIA RESEARCH METHODS, 2E
- 1 PC THE SAGE HANDBOOK OF THE DIGITAL MEDIA ECONOMY
- 1 PC TOURING THEATRI"&amp;"CAL PRODUCTIONS
- 1 PC UNDERSTANDING MEDIA AND MASS COMMUNICATION
- 1 PC VISUAL ARTS")</f>
        <v>- 1 PC A NEW HISTORY OF DOCUMENTS FILM
- 1 PC AN INTRODUCTION TO GLOBAL MEDIA FOR THE TWENTY-FIRST CENTURY
- 1 PC CINEMATIC MODERNISM AND CONTEMPORARY FILM
- 1 PC COMPOSING FOR THE SCREEN
- 1 PC INTRODUCTION TO MEDIA PRODUCTION AND MARKETING
- 1 PC MIXED METHODS PERSPECTIVES ON COMMUNICATION &amp; SOCIAL MEDIA RESEARCHES
- 1 PC PRINCIPLES OF JOURNALISM
- 1 PC SOUND AFFECTS
- 1 PC THE SAGE HANDBOOK OF SOCIAL MEDIA RESEARCH METHODS, 2E
- 1 PC THE SAGE HANDBOOK OF THE DIGITAL MEDIA ECONOMY
- 1 PC TOURING THEATRICAL PRODUCTIONS
- 1 PC UNDERSTANDING MEDIA AND MASS COMMUNICATION
- 1 PC VISUAL ARTS</v>
      </c>
      <c r="E3079" s="196" t="str">
        <f>IFERROR(__xludf.DUMMYFUNCTION("""COMPUTED_VALUE"""),"LIBRARY'S COPY/FOR FACULTY/MGT/STAFF USE/PACUCOA COMPLIANCE")</f>
        <v>LIBRARY'S COPY/FOR FACULTY/MGT/STAFF USE/PACUCOA COMPLIANCE</v>
      </c>
    </row>
    <row r="3080">
      <c r="A3080" s="234">
        <f>IFERROR(__xludf.DUMMYFUNCTION("""COMPUTED_VALUE"""),103371.0)</f>
        <v>103371</v>
      </c>
      <c r="B3080" s="235" t="str">
        <f>IFERROR(__xludf.DUMMYFUNCTION("""COMPUTED_VALUE"""),"ALFA DE LEON")</f>
        <v>ALFA DE LEON</v>
      </c>
      <c r="C3080" s="235" t="str">
        <f>IFERROR(__xludf.DUMMYFUNCTION("""COMPUTED_VALUE"""),"ADMIN - MUNICH")</f>
        <v>ADMIN - MUNICH</v>
      </c>
      <c r="D3080" s="196" t="str">
        <f>IFERROR(__xludf.DUMMYFUNCTION("""COMPUTED_VALUE"""),"3 PCS ORBIT FANS")</f>
        <v>3 PCS ORBIT FANS</v>
      </c>
      <c r="E3080" s="196" t="str">
        <f>IFERROR(__xludf.DUMMYFUNCTION("""COMPUTED_VALUE"""),"REPLACEMENT OF ORBIT FAN FOR CARES CAFE, RM 106, RM 303)")</f>
        <v>REPLACEMENT OF ORBIT FAN FOR CARES CAFE, RM 106, RM 303)</v>
      </c>
    </row>
    <row r="3081">
      <c r="A3081" s="234">
        <f>IFERROR(__xludf.DUMMYFUNCTION("""COMPUTED_VALUE"""),103372.0)</f>
        <v>103372</v>
      </c>
      <c r="B3081" s="235" t="str">
        <f>IFERROR(__xludf.DUMMYFUNCTION("""COMPUTED_VALUE"""),"JAN GUTIERREZ")</f>
        <v>JAN GUTIERREZ</v>
      </c>
      <c r="C3081" s="235" t="str">
        <f>IFERROR(__xludf.DUMMYFUNCTION("""COMPUTED_VALUE"""),"SHS DEPARTMENT")</f>
        <v>SHS DEPARTMENT</v>
      </c>
      <c r="D3081" s="196" t="str">
        <f>IFERROR(__xludf.DUMMYFUNCTION("""COMPUTED_VALUE"""),"- 93 PCS VALUES EXCELLENCE(WHITE LACE)
- 30 PCS PERFECT ATTENDANCE(YELLOW LACE)
- 21 PCS LOYALTY MEDAL(TRICOLOR)
- 36 PCS SUBJECT EXCELLENCE(TRICOLOR)
- 54 PCS ACADEMIC EXCELLENCE(GREEN LACE) GOLD
- 33 PCS ACADEMIC EXCELLENCE(PURPLE LACE) SILVER
- 33 PCS "&amp;"ACADEMIC EXCELLENCE(PINK LACE)
- 14 PCS GEN. SCHOLASTIC(TRICOLOR) GOLD
- 15 PCS AFSL
- 2 PCS ATHLETE OF THE YEAR")</f>
        <v>- 93 PCS VALUES EXCELLENCE(WHITE LACE)
- 30 PCS PERFECT ATTENDANCE(YELLOW LACE)
- 21 PCS LOYALTY MEDAL(TRICOLOR)
- 36 PCS SUBJECT EXCELLENCE(TRICOLOR)
- 54 PCS ACADEMIC EXCELLENCE(GREEN LACE) GOLD
- 33 PCS ACADEMIC EXCELLENCE(PURPLE LACE) SILVER
- 33 PCS ACADEMIC EXCELLENCE(PINK LACE)
- 14 PCS GEN. SCHOLASTIC(TRICOLOR) GOLD
- 15 PCS AFSL
- 2 PCS ATHLETE OF THE YEAR</v>
      </c>
      <c r="E3081" s="196" t="str">
        <f>IFERROR(__xludf.DUMMYFUNCTION("""COMPUTED_VALUE"""),"SHS GRADUATION MEDAL")</f>
        <v>SHS GRADUATION MEDAL</v>
      </c>
    </row>
    <row r="3082">
      <c r="A3082" s="234">
        <f>IFERROR(__xludf.DUMMYFUNCTION("""COMPUTED_VALUE"""),103373.0)</f>
        <v>103373</v>
      </c>
      <c r="B3082" s="235" t="str">
        <f>IFERROR(__xludf.DUMMYFUNCTION("""COMPUTED_VALUE"""),"JOMEL BUTIAL ")</f>
        <v>JOMEL BUTIAL </v>
      </c>
      <c r="C3082" s="235" t="str">
        <f>IFERROR(__xludf.DUMMYFUNCTION("""COMPUTED_VALUE"""),"PR &amp; MARKETING")</f>
        <v>PR &amp; MARKETING</v>
      </c>
      <c r="D3082" s="196" t="str">
        <f>IFERROR(__xludf.DUMMYFUNCTION("""COMPUTED_VALUE"""),"3 PULL UP BANNERS (K12,COLLEGE AND IB)")</f>
        <v>3 PULL UP BANNERS (K12,COLLEGE AND IB)</v>
      </c>
      <c r="E3082" s="196" t="str">
        <f>IFERROR(__xludf.DUMMYFUNCTION("""COMPUTED_VALUE"""),"FOR AYALA MUSUEM EXHIBIT")</f>
        <v>FOR AYALA MUSUEM EXHIBIT</v>
      </c>
    </row>
    <row r="3083">
      <c r="A3083" s="234">
        <f>IFERROR(__xludf.DUMMYFUNCTION("""COMPUTED_VALUE"""),103374.0)</f>
        <v>103374</v>
      </c>
      <c r="B3083" s="235" t="str">
        <f>IFERROR(__xludf.DUMMYFUNCTION("""COMPUTED_VALUE"""),"EDGAR REBELLON")</f>
        <v>EDGAR REBELLON</v>
      </c>
      <c r="C3083" s="235" t="str">
        <f>IFERROR(__xludf.DUMMYFUNCTION("""COMPUTED_VALUE"""),"AMD")</f>
        <v>AMD</v>
      </c>
      <c r="D3083" s="196" t="str">
        <f>IFERROR(__xludf.DUMMYFUNCTION("""COMPUTED_VALUE"""),"CASE, EYEGLASS OIL PAINTERD DESIGN CASE-EYE-001 (30)
POUCH, HATCH, 3 INCHES X 7 INCHES PUC-HAT-10-0001 (30)")</f>
        <v>CASE, EYEGLASS OIL PAINTERD DESIGN CASE-EYE-001 (30)
POUCH, HATCH, 3 INCHES X 7 INCHES PUC-HAT-10-0001 (30)</v>
      </c>
      <c r="E3083" s="196" t="str">
        <f>IFERROR(__xludf.DUMMYFUNCTION("""COMPUTED_VALUE"""),"ADDITIONAL INSTITUTIONAL TOKENS")</f>
        <v>ADDITIONAL INSTITUTIONAL TOKENS</v>
      </c>
    </row>
    <row r="3084">
      <c r="A3084" s="234">
        <f>IFERROR(__xludf.DUMMYFUNCTION("""COMPUTED_VALUE"""),103375.0)</f>
        <v>103375</v>
      </c>
      <c r="B3084" s="235" t="str">
        <f>IFERROR(__xludf.DUMMYFUNCTION("""COMPUTED_VALUE"""),"NESSIE A. LUMBRES")</f>
        <v>NESSIE A. LUMBRES</v>
      </c>
      <c r="C3084" s="235" t="str">
        <f>IFERROR(__xludf.DUMMYFUNCTION("""COMPUTED_VALUE"""),"HIGHSCHOOL BED")</f>
        <v>HIGHSCHOOL BED</v>
      </c>
      <c r="D3084" s="196" t="str">
        <f>IFERROR(__xludf.DUMMYFUNCTION("""COMPUTED_VALUE"""),"LONG STEMMED ROSE (W/EXTRA 10) FOR SK (83)
LING STEMMED ROSE (W/EXTRA10) FOR G6 (115)
LONG STEMMED ROSE (W/EXTRA 10) FOR G12 (149)")</f>
        <v>LONG STEMMED ROSE (W/EXTRA 10) FOR SK (83)
LING STEMMED ROSE (W/EXTRA10) FOR G6 (115)
LONG STEMMED ROSE (W/EXTRA 10) FOR G12 (149)</v>
      </c>
      <c r="E3084" s="196" t="str">
        <f>IFERROR(__xludf.DUMMYFUNCTION("""COMPUTED_VALUE"""),"GRADUATION ")</f>
        <v>GRADUATION </v>
      </c>
    </row>
    <row r="3085">
      <c r="A3085" s="234">
        <f>IFERROR(__xludf.DUMMYFUNCTION("""COMPUTED_VALUE"""),103376.0)</f>
        <v>103376</v>
      </c>
      <c r="B3085" s="235" t="str">
        <f>IFERROR(__xludf.DUMMYFUNCTION("""COMPUTED_VALUE"""),"LUCILLE BEYER")</f>
        <v>LUCILLE BEYER</v>
      </c>
      <c r="C3085" s="235" t="str">
        <f>IFERROR(__xludf.DUMMYFUNCTION("""COMPUTED_VALUE"""),"MEDICAL")</f>
        <v>MEDICAL</v>
      </c>
      <c r="D3085" s="196" t="str">
        <f>IFERROR(__xludf.DUMMYFUNCTION("""COMPUTED_VALUE"""),"ANTIGEN TEST KITS 50 PCS(BOXES)
DISPOSABLE FACE MASKS (20 BX ADULTS &amp; 10 BX KIDS)")</f>
        <v>ANTIGEN TEST KITS 50 PCS(BOXES)
DISPOSABLE FACE MASKS (20 BX ADULTS &amp; 10 BX KIDS)</v>
      </c>
      <c r="E3085" s="196" t="str">
        <f>IFERROR(__xludf.DUMMYFUNCTION("""COMPUTED_VALUE"""),"FOR ADDITIONAL CLINIC SUPPLIES")</f>
        <v>FOR ADDITIONAL CLINIC SUPPLIES</v>
      </c>
    </row>
    <row r="3086">
      <c r="A3086" s="234">
        <f>IFERROR(__xludf.DUMMYFUNCTION("""COMPUTED_VALUE"""),103377.0)</f>
        <v>103377</v>
      </c>
      <c r="B3086" s="235" t="str">
        <f>IFERROR(__xludf.DUMMYFUNCTION("""COMPUTED_VALUE"""),"LUCILLE BEYER")</f>
        <v>LUCILLE BEYER</v>
      </c>
      <c r="C3086" s="235" t="str">
        <f>IFERROR(__xludf.DUMMYFUNCTION("""COMPUTED_VALUE"""),"MEDICAL")</f>
        <v>MEDICAL</v>
      </c>
      <c r="D3086" s="196" t="str">
        <f>IFERROR(__xludf.DUMMYFUNCTION("""COMPUTED_VALUE"""),"ANTIGEN TEST KITS 50 PCS(BOXES)
DISPOSABLE FACE MASKS (20 BX ADULTS &amp; 10 BX KIDS)")</f>
        <v>ANTIGEN TEST KITS 50 PCS(BOXES)
DISPOSABLE FACE MASKS (20 BX ADULTS &amp; 10 BX KIDS)</v>
      </c>
      <c r="E3086" s="196" t="str">
        <f>IFERROR(__xludf.DUMMYFUNCTION("""COMPUTED_VALUE"""),"REPLENISH CLINIC MEDS &amp; SUPPLIES FOR THE ONTH OF JUNE AND JULY FOR CLINICS")</f>
        <v>REPLENISH CLINIC MEDS &amp; SUPPLIES FOR THE ONTH OF JUNE AND JULY FOR CLINICS</v>
      </c>
    </row>
    <row r="3087">
      <c r="A3087" s="234">
        <f>IFERROR(__xludf.DUMMYFUNCTION("""COMPUTED_VALUE"""),103378.0)</f>
        <v>103378</v>
      </c>
      <c r="B3087" s="235" t="str">
        <f>IFERROR(__xludf.DUMMYFUNCTION("""COMPUTED_VALUE"""),"JESUIT CHRISTIAN GALICIA")</f>
        <v>JESUIT CHRISTIAN GALICIA</v>
      </c>
      <c r="C3087" s="235" t="str">
        <f>IFERROR(__xludf.DUMMYFUNCTION("""COMPUTED_VALUE"""),"AMD")</f>
        <v>AMD</v>
      </c>
      <c r="D3087" s="196" t="str">
        <f>IFERROR(__xludf.DUMMYFUNCTION("""COMPUTED_VALUE"""),"TONERS :(CF211A CYAN) 12 PCS
                 (CF212A YELLOW) 15 PCS
                 (CF213A MAGENTA) 14 PCS")</f>
        <v>TONERS :(CF211A CYAN) 12 PCS
                 (CF212A YELLOW) 15 PCS
                 (CF213A MAGENTA) 14 PCS</v>
      </c>
      <c r="E3087" s="196" t="str">
        <f>IFERROR(__xludf.DUMMYFUNCTION("""COMPUTED_VALUE"""),"OSSUP STOCK REPLENISHMENT")</f>
        <v>OSSUP STOCK REPLENISHMENT</v>
      </c>
    </row>
    <row r="3088">
      <c r="A3088" s="234">
        <f>IFERROR(__xludf.DUMMYFUNCTION("""COMPUTED_VALUE"""),103379.0)</f>
        <v>103379</v>
      </c>
      <c r="B3088" s="235" t="str">
        <f>IFERROR(__xludf.DUMMYFUNCTION("""COMPUTED_VALUE"""),"DYAN CHAVEZ")</f>
        <v>DYAN CHAVEZ</v>
      </c>
      <c r="C3088" s="235" t="str">
        <f>IFERROR(__xludf.DUMMYFUNCTION("""COMPUTED_VALUE"""),"GRADES 3-5")</f>
        <v>GRADES 3-5</v>
      </c>
      <c r="D3088" s="196" t="str">
        <f>IFERROR(__xludf.DUMMYFUNCTION("""COMPUTED_VALUE"""),"172 MEDALS - ACADEMIC EXCELLENCE GREEN LACE GOLD W/LABEL, 56 MEDALS - ACADEMIC EXCELLENCE PURPLE LACE SILVER W/ LABEL, 10 MEDALS- ACADEMIC EXCELLENCE PINK LACE BRONZE WITH LABEL, 111 MEDALS VALUES EXCELLENCE WHITE LACE WITH LABEL")</f>
        <v>172 MEDALS - ACADEMIC EXCELLENCE GREEN LACE GOLD W/LABEL, 56 MEDALS - ACADEMIC EXCELLENCE PURPLE LACE SILVER W/ LABEL, 10 MEDALS- ACADEMIC EXCELLENCE PINK LACE BRONZE WITH LABEL, 111 MEDALS VALUES EXCELLENCE WHITE LACE WITH LABEL</v>
      </c>
      <c r="E3088" s="196" t="str">
        <f>IFERROR(__xludf.DUMMYFUNCTION("""COMPUTED_VALUE"""),"GRADES 3-5 RECOGNITION MEDALS")</f>
        <v>GRADES 3-5 RECOGNITION MEDALS</v>
      </c>
    </row>
    <row r="3089">
      <c r="A3089" s="234">
        <f>IFERROR(__xludf.DUMMYFUNCTION("""COMPUTED_VALUE"""),103380.0)</f>
        <v>103380</v>
      </c>
      <c r="B3089" s="235" t="str">
        <f>IFERROR(__xludf.DUMMYFUNCTION("""COMPUTED_VALUE"""),"DYAN CHAVEZ")</f>
        <v>DYAN CHAVEZ</v>
      </c>
      <c r="C3089" s="235" t="str">
        <f>IFERROR(__xludf.DUMMYFUNCTION("""COMPUTED_VALUE"""),"ECED")</f>
        <v>ECED</v>
      </c>
      <c r="D3089" s="196" t="str">
        <f>IFERROR(__xludf.DUMMYFUNCTION("""COMPUTED_VALUE"""),"112 MEDALS- ACADEMIC EXCELLENCE GREEN LACE GOLD WITH LABEL, 45 MEDALS ACAEMIC EXCELLENCE PURPLE LACE SILVER WITH LABEL, 15 ACADEMIC EXCELLENCE PINK LACE BRONZE WITH LABEL")</f>
        <v>112 MEDALS- ACADEMIC EXCELLENCE GREEN LACE GOLD WITH LABEL, 45 MEDALS ACAEMIC EXCELLENCE PURPLE LACE SILVER WITH LABEL, 15 ACADEMIC EXCELLENCE PINK LACE BRONZE WITH LABEL</v>
      </c>
      <c r="E3089" s="196" t="str">
        <f>IFERROR(__xludf.DUMMYFUNCTION("""COMPUTED_VALUE"""),"GRADES 1 TO 2 RECOGNITION")</f>
        <v>GRADES 1 TO 2 RECOGNITION</v>
      </c>
    </row>
    <row r="3090">
      <c r="A3090" s="234">
        <f>IFERROR(__xludf.DUMMYFUNCTION("""COMPUTED_VALUE"""),103381.0)</f>
        <v>103381</v>
      </c>
      <c r="B3090" s="235" t="str">
        <f>IFERROR(__xludf.DUMMYFUNCTION("""COMPUTED_VALUE"""),"DYAN CHAVEZ")</f>
        <v>DYAN CHAVEZ</v>
      </c>
      <c r="C3090" s="235" t="str">
        <f>IFERROR(__xludf.DUMMYFUNCTION("""COMPUTED_VALUE"""),"ECED")</f>
        <v>ECED</v>
      </c>
      <c r="D3090" s="196" t="str">
        <f>IFERROR(__xludf.DUMMYFUNCTION("""COMPUTED_VALUE"""),"40 MEDALS- ACAEMIC EXCELLENCE TRICOLOR LACE GOLD ROUND MEDAL WITH LABEL, 10 MEDALS -SPECIAL AWARD TRICOLOR LACE, GOLD ROUND MEDAL WITH LABEL, 166 MEDALS- VALUES EXCELLENCE AWARD ")</f>
        <v>40 MEDALS- ACAEMIC EXCELLENCE TRICOLOR LACE GOLD ROUND MEDAL WITH LABEL, 10 MEDALS -SPECIAL AWARD TRICOLOR LACE, GOLD ROUND MEDAL WITH LABEL, 166 MEDALS- VALUES EXCELLENCE AWARD </v>
      </c>
      <c r="E3090" s="196" t="str">
        <f>IFERROR(__xludf.DUMMYFUNCTION("""COMPUTED_VALUE"""),"SK GRADUATION MEDALS")</f>
        <v>SK GRADUATION MEDALS</v>
      </c>
    </row>
    <row r="3091">
      <c r="A3091" s="234">
        <f>IFERROR(__xludf.DUMMYFUNCTION("""COMPUTED_VALUE"""),103382.0)</f>
        <v>103382</v>
      </c>
      <c r="B3091" s="235" t="str">
        <f>IFERROR(__xludf.DUMMYFUNCTION("""COMPUTED_VALUE"""),"OWIE PAR")</f>
        <v>OWIE PAR</v>
      </c>
      <c r="C3091" s="235" t="str">
        <f>IFERROR(__xludf.DUMMYFUNCTION("""COMPUTED_VALUE"""),"ENGINEERING")</f>
        <v>ENGINEERING</v>
      </c>
      <c r="D3091" s="196" t="str">
        <f>IFERROR(__xludf.DUMMYFUNCTION("""COMPUTED_VALUE"""),"LAMP HOLDER 22 PCS., LED BULB 7W D.L. 22 PCS. ")</f>
        <v>LAMP HOLDER 22 PCS., LED BULB 7W D.L. 22 PCS. </v>
      </c>
      <c r="E3091" s="196" t="str">
        <f>IFERROR(__xludf.DUMMYFUNCTION("""COMPUTED_VALUE"""),"LIGHTING FOR MUNICH AND TROPICAL VACANT LOT ")</f>
        <v>LIGHTING FOR MUNICH AND TROPICAL VACANT LOT </v>
      </c>
    </row>
    <row r="3092">
      <c r="A3092" s="234">
        <f>IFERROR(__xludf.DUMMYFUNCTION("""COMPUTED_VALUE"""),103383.0)</f>
        <v>103383</v>
      </c>
      <c r="B3092" s="235" t="str">
        <f>IFERROR(__xludf.DUMMYFUNCTION("""COMPUTED_VALUE"""),"RONALD VERDE/ JOMEL BUTIAL ")</f>
        <v>RONALD VERDE/ JOMEL BUTIAL </v>
      </c>
      <c r="C3092" s="235" t="str">
        <f>IFERROR(__xludf.DUMMYFUNCTION("""COMPUTED_VALUE"""),"ADMIN")</f>
        <v>ADMIN</v>
      </c>
      <c r="D3092" s="196" t="str">
        <f>IFERROR(__xludf.DUMMYFUNCTION("""COMPUTED_VALUE"""),"2 PCS PARKINGLIGHT 60 WATTS, 1 ROLL ROYAL CHORD # 14 2 WIRES, 1 PC. ELECTRICAL TAPE")</f>
        <v>2 PCS PARKINGLIGHT 60 WATTS, 1 ROLL ROYAL CHORD # 14 2 WIRES, 1 PC. ELECTRICAL TAPE</v>
      </c>
      <c r="E3092" s="196" t="str">
        <f>IFERROR(__xludf.DUMMYFUNCTION("""COMPUTED_VALUE"""),"LIGHTING TROPICAL CORNER TARPAULIN AND FRAMES")</f>
        <v>LIGHTING TROPICAL CORNER TARPAULIN AND FRAMES</v>
      </c>
    </row>
    <row r="3093">
      <c r="A3093" s="234">
        <f>IFERROR(__xludf.DUMMYFUNCTION("""COMPUTED_VALUE"""),103384.0)</f>
        <v>103384</v>
      </c>
      <c r="B3093" s="235" t="str">
        <f>IFERROR(__xludf.DUMMYFUNCTION("""COMPUTED_VALUE"""),"OWIE PAR")</f>
        <v>OWIE PAR</v>
      </c>
      <c r="C3093" s="235" t="str">
        <f>IFERROR(__xludf.DUMMYFUNCTION("""COMPUTED_VALUE"""),"ENGINEERING")</f>
        <v>ENGINEERING</v>
      </c>
      <c r="D3093" s="196" t="str">
        <f>IFERROR(__xludf.DUMMYFUNCTION("""COMPUTED_VALUE"""),"2 UNITS ACU 6.0 H.P. CEILING CASSETTE")</f>
        <v>2 UNITS ACU 6.0 H.P. CEILING CASSETTE</v>
      </c>
      <c r="E3093" s="196" t="str">
        <f>IFERROR(__xludf.DUMMYFUNCTION("""COMPUTED_VALUE"""),"FOR MUNICH RM. 208, 210 ACU REPLACEMENT")</f>
        <v>FOR MUNICH RM. 208, 210 ACU REPLACEMENT</v>
      </c>
    </row>
    <row r="3094">
      <c r="A3094" s="234">
        <f>IFERROR(__xludf.DUMMYFUNCTION("""COMPUTED_VALUE"""),103385.0)</f>
        <v>103385</v>
      </c>
      <c r="B3094" s="235" t="str">
        <f>IFERROR(__xludf.DUMMYFUNCTION("""COMPUTED_VALUE"""),"OWIE PAR")</f>
        <v>OWIE PAR</v>
      </c>
      <c r="C3094" s="235" t="str">
        <f>IFERROR(__xludf.DUMMYFUNCTION("""COMPUTED_VALUE"""),"ENGINEERING")</f>
        <v>ENGINEERING</v>
      </c>
      <c r="D3094" s="196" t="str">
        <f>IFERROR(__xludf.DUMMYFUNCTION("""COMPUTED_VALUE"""),"1 UNIT ACU 6.0 H.P. CEILING CASSETTE INVERTER")</f>
        <v>1 UNIT ACU 6.0 H.P. CEILING CASSETTE INVERTER</v>
      </c>
      <c r="E3094" s="196" t="str">
        <f>IFERROR(__xludf.DUMMYFUNCTION("""COMPUTED_VALUE"""),"FOR COMMITMENT ROOM")</f>
        <v>FOR COMMITMENT ROOM</v>
      </c>
    </row>
    <row r="3095">
      <c r="A3095" s="234">
        <f>IFERROR(__xludf.DUMMYFUNCTION("""COMPUTED_VALUE"""),103386.0)</f>
        <v>103386</v>
      </c>
      <c r="B3095" s="235" t="str">
        <f>IFERROR(__xludf.DUMMYFUNCTION("""COMPUTED_VALUE"""),"JORGE BALELA/SHEREE ESPINOSA")</f>
        <v>JORGE BALELA/SHEREE ESPINOSA</v>
      </c>
      <c r="C3095" s="235" t="str">
        <f>IFERROR(__xludf.DUMMYFUNCTION("""COMPUTED_VALUE"""),"ADMIN")</f>
        <v>ADMIN</v>
      </c>
      <c r="D3095" s="196" t="str">
        <f>IFERROR(__xludf.DUMMYFUNCTION("""COMPUTED_VALUE"""),"1 PC ACER ASPIRE VERO EVO AV14-51-50BP")</f>
        <v>1 PC ACER ASPIRE VERO EVO AV14-51-50BP</v>
      </c>
      <c r="E3095" s="196" t="str">
        <f>IFERROR(__xludf.DUMMYFUNCTION("""COMPUTED_VALUE"""),"FOR USE OF GLL DURING MEETINGS, SEMINARS, ETC.")</f>
        <v>FOR USE OF GLL DURING MEETINGS, SEMINARS, ETC.</v>
      </c>
    </row>
    <row r="3096">
      <c r="A3096" s="234">
        <f>IFERROR(__xludf.DUMMYFUNCTION("""COMPUTED_VALUE"""),103387.0)</f>
        <v>103387</v>
      </c>
      <c r="B3096" s="235" t="str">
        <f>IFERROR(__xludf.DUMMYFUNCTION("""COMPUTED_VALUE"""),"SHIELA MAE FABELLAR")</f>
        <v>SHIELA MAE FABELLAR</v>
      </c>
      <c r="C3096" s="235" t="str">
        <f>IFERROR(__xludf.DUMMYFUNCTION("""COMPUTED_VALUE"""),"FINANCE &amp; ACCOUNTING")</f>
        <v>FINANCE &amp; ACCOUNTING</v>
      </c>
      <c r="D3096" s="196" t="str">
        <f>IFERROR(__xludf.DUMMYFUNCTION("""COMPUTED_VALUE"""),"2 PCS WIRELESS TELEPHONE")</f>
        <v>2 PCS WIRELESS TELEPHONE</v>
      </c>
      <c r="E3096" s="196" t="str">
        <f>IFERROR(__xludf.DUMMYFUNCTION("""COMPUTED_VALUE"""),"REPLACEMENT OF WIRED PHONES AND FOR OFFICE USE/FOR ENROLLMENT USEE")</f>
        <v>REPLACEMENT OF WIRED PHONES AND FOR OFFICE USE/FOR ENROLLMENT USEE</v>
      </c>
    </row>
    <row r="3097">
      <c r="A3097" s="234">
        <f>IFERROR(__xludf.DUMMYFUNCTION("""COMPUTED_VALUE"""),103388.0)</f>
        <v>103388</v>
      </c>
      <c r="B3097" s="235" t="str">
        <f>IFERROR(__xludf.DUMMYFUNCTION("""COMPUTED_VALUE"""),"OWIE PAR")</f>
        <v>OWIE PAR</v>
      </c>
      <c r="C3097" s="235" t="str">
        <f>IFERROR(__xludf.DUMMYFUNCTION("""COMPUTED_VALUE"""),"ADMIN")</f>
        <v>ADMIN</v>
      </c>
      <c r="D3097" s="196" t="str">
        <f>IFERROR(__xludf.DUMMYFUNCTION("""COMPUTED_VALUE"""),"- 3 PCS PORMICA SAME IN DP'S OFFICE
- 30 MTS PLASTIC EDGING #1""
- 1 GAL RUGBY
- 9 PCS CABINET HANDLE SAME DP'S OFFICE
- 9 PAIRS CONCEALED HINGES #3
- 10 PCS S4S K.D #1/2 x 1"" x 8""
- 1 PC MARINE PLY #3/4 x 4' x 8'")</f>
        <v>- 3 PCS PORMICA SAME IN DP'S OFFICE
- 30 MTS PLASTIC EDGING #1"
- 1 GAL RUGBY
- 9 PCS CABINET HANDLE SAME DP'S OFFICE
- 9 PAIRS CONCEALED HINGES #3
- 10 PCS S4S K.D #1/2 x 1" x 8"
- 1 PC MARINE PLY #3/4 x 4' x 8'</v>
      </c>
      <c r="E3097" s="196" t="str">
        <f>IFERROR(__xludf.DUMMYFUNCTION("""COMPUTED_VALUE"""),"FOR DP'S OFFICE JO# 0523 - 0071")</f>
        <v>FOR DP'S OFFICE JO# 0523 - 0071</v>
      </c>
    </row>
    <row r="3098">
      <c r="A3098" s="234">
        <f>IFERROR(__xludf.DUMMYFUNCTION("""COMPUTED_VALUE"""),103389.0)</f>
        <v>103389</v>
      </c>
      <c r="B3098" s="235" t="str">
        <f>IFERROR(__xludf.DUMMYFUNCTION("""COMPUTED_VALUE"""),"PRECIOUS DALUZ")</f>
        <v>PRECIOUS DALUZ</v>
      </c>
      <c r="C3098" s="235" t="str">
        <f>IFERROR(__xludf.DUMMYFUNCTION("""COMPUTED_VALUE"""),"K12")</f>
        <v>K12</v>
      </c>
      <c r="D3098" s="196" t="str">
        <f>IFERROR(__xludf.DUMMYFUNCTION("""COMPUTED_VALUE"""),"- 5 PCS SCISSORS( brand : SCOTCH)
- 2 REAMS SPECIALTY PAPER (any brand color, beige gsm 110-120)
- 2 REAMS COLORED PAPER(ASSORTED AND VIBRANT COLORS)
- 3 REAMS BOARD PAPER (any brand)
- 2 ROLLS RIBBON(4 INCHES) 
- 1 BAG GLITTERS(GOLD)
- 5 PCS CUTTER (stan"&amp;"ley brand, heavy duty)
- 2 PACKS GUNTACKER W/ BULLETS")</f>
        <v>- 5 PCS SCISSORS( brand : SCOTCH)
- 2 REAMS SPECIALTY PAPER (any brand color, beige gsm 110-120)
- 2 REAMS COLORED PAPER(ASSORTED AND VIBRANT COLORS)
- 3 REAMS BOARD PAPER (any brand)
- 2 ROLLS RIBBON(4 INCHES) 
- 1 BAG GLITTERS(GOLD)
- 5 PCS CUTTER (stanley brand, heavy duty)
- 2 PACKS GUNTACKER W/ BULLETS</v>
      </c>
      <c r="E3098" s="196" t="str">
        <f>IFERROR(__xludf.DUMMYFUNCTION("""COMPUTED_VALUE"""),"TECH ARTS MATERIALS")</f>
        <v>TECH ARTS MATERIALS</v>
      </c>
    </row>
    <row r="3099">
      <c r="A3099" s="234">
        <f>IFERROR(__xludf.DUMMYFUNCTION("""COMPUTED_VALUE"""),103390.0)</f>
        <v>103390</v>
      </c>
      <c r="B3099" s="235" t="str">
        <f>IFERROR(__xludf.DUMMYFUNCTION("""COMPUTED_VALUE"""),"EJ ALIERMO")</f>
        <v>EJ ALIERMO</v>
      </c>
      <c r="C3099" s="235" t="str">
        <f>IFERROR(__xludf.DUMMYFUNCTION("""COMPUTED_VALUE"""),"AMD")</f>
        <v>AMD</v>
      </c>
      <c r="D3099" s="196" t="str">
        <f>IFERROR(__xludf.DUMMYFUNCTION("""COMPUTED_VALUE"""),"50 PCS HANDWASH, ANTI-BACTERIAL")</f>
        <v>50 PCS HANDWASH, ANTI-BACTERIAL</v>
      </c>
      <c r="E3099" s="196" t="str">
        <f>IFERROR(__xludf.DUMMYFUNCTION("""COMPUTED_VALUE"""),"HOUSEKEEPING STOCK REPLENISHMENT")</f>
        <v>HOUSEKEEPING STOCK REPLENISHMENT</v>
      </c>
    </row>
    <row r="3100">
      <c r="A3100" s="234">
        <f>IFERROR(__xludf.DUMMYFUNCTION("""COMPUTED_VALUE"""),103391.0)</f>
        <v>103391</v>
      </c>
      <c r="B3100" s="235" t="str">
        <f>IFERROR(__xludf.DUMMYFUNCTION("""COMPUTED_VALUE"""),"EJ ALIERMO")</f>
        <v>EJ ALIERMO</v>
      </c>
      <c r="C3100" s="235" t="str">
        <f>IFERROR(__xludf.DUMMYFUNCTION("""COMPUTED_VALUE"""),"AMD")</f>
        <v>AMD</v>
      </c>
      <c r="D3100" s="196" t="str">
        <f>IFERROR(__xludf.DUMMYFUNCTION("""COMPUTED_VALUE"""),"- 30 PCS BAYGON WATER-BASED 500 ML BOTTLE
- 50 PCS CHLORINE PER KILO
- 15 PCS TRASH BAG, SMALL CLEAR")</f>
        <v>- 30 PCS BAYGON WATER-BASED 500 ML BOTTLE
- 50 PCS CHLORINE PER KILO
- 15 PCS TRASH BAG, SMALL CLEAR</v>
      </c>
      <c r="E3100" s="196" t="str">
        <f>IFERROR(__xludf.DUMMYFUNCTION("""COMPUTED_VALUE"""),"HOUSEKEEPING STOCK REPLENISHMENT")</f>
        <v>HOUSEKEEPING STOCK REPLENISHMENT</v>
      </c>
    </row>
    <row r="3101">
      <c r="A3101" s="234">
        <f>IFERROR(__xludf.DUMMYFUNCTION("""COMPUTED_VALUE"""),103392.0)</f>
        <v>103392</v>
      </c>
      <c r="B3101" s="235" t="str">
        <f>IFERROR(__xludf.DUMMYFUNCTION("""COMPUTED_VALUE"""),"SHEREE ESPINOSA")</f>
        <v>SHEREE ESPINOSA</v>
      </c>
      <c r="C3101" s="235" t="str">
        <f>IFERROR(__xludf.DUMMYFUNCTION("""COMPUTED_VALUE"""),"ADMIN")</f>
        <v>ADMIN</v>
      </c>
      <c r="D3101" s="196" t="str">
        <f>IFERROR(__xludf.DUMMYFUNCTION("""COMPUTED_VALUE"""),"EMERGENCY LIGHTS ( 7 UNITS LUX, 3 UNITS TROPICAL, 5 UNITS COLLEGE)")</f>
        <v>EMERGENCY LIGHTS ( 7 UNITS LUX, 3 UNITS TROPICAL, 5 UNITS COLLEGE)</v>
      </c>
      <c r="E3101" s="196" t="str">
        <f>IFERROR(__xludf.DUMMYFUNCTION("""COMPUTED_VALUE"""),"BFP REQUIREMENTS")</f>
        <v>BFP REQUIREMENTS</v>
      </c>
    </row>
    <row r="3102">
      <c r="A3102" s="234">
        <f>IFERROR(__xludf.DUMMYFUNCTION("""COMPUTED_VALUE"""),103393.0)</f>
        <v>103393</v>
      </c>
      <c r="B3102" s="235" t="str">
        <f>IFERROR(__xludf.DUMMYFUNCTION("""COMPUTED_VALUE"""),"SHEREE ESPINOSA")</f>
        <v>SHEREE ESPINOSA</v>
      </c>
      <c r="C3102" s="235" t="str">
        <f>IFERROR(__xludf.DUMMYFUNCTION("""COMPUTED_VALUE"""),"ADMIN")</f>
        <v>ADMIN</v>
      </c>
      <c r="D3102" s="196" t="str">
        <f>IFERROR(__xludf.DUMMYFUNCTION("""COMPUTED_VALUE"""),"1 ROLL FLAT CORD #16, 15 PCS. OUTLET 2 GANG (HEAVY DUTY), MALE PLUG (HEAVY DUTY) ELECTRIC TAPE")</f>
        <v>1 ROLL FLAT CORD #16, 15 PCS. OUTLET 2 GANG (HEAVY DUTY), MALE PLUG (HEAVY DUTY) ELECTRIC TAPE</v>
      </c>
      <c r="E3102" s="196" t="str">
        <f>IFERROR(__xludf.DUMMYFUNCTION("""COMPUTED_VALUE"""),"EXTENSION WIRES FOR SMALL EVENTS ")</f>
        <v>EXTENSION WIRES FOR SMALL EVENTS </v>
      </c>
    </row>
    <row r="3103">
      <c r="A3103" s="234">
        <f>IFERROR(__xludf.DUMMYFUNCTION("""COMPUTED_VALUE"""),103394.0)</f>
        <v>103394</v>
      </c>
      <c r="B3103" s="235" t="str">
        <f>IFERROR(__xludf.DUMMYFUNCTION("""COMPUTED_VALUE"""),"CARLITO DELA VEGA")</f>
        <v>CARLITO DELA VEGA</v>
      </c>
      <c r="C3103" s="235" t="str">
        <f>IFERROR(__xludf.DUMMYFUNCTION("""COMPUTED_VALUE"""),"ADMIN")</f>
        <v>ADMIN</v>
      </c>
      <c r="D3103" s="196" t="str">
        <f>IFERROR(__xludf.DUMMYFUNCTION("""COMPUTED_VALUE"""),"2 GALS. TRAFFIC PAINT YELLOW")</f>
        <v>2 GALS. TRAFFIC PAINT YELLOW</v>
      </c>
      <c r="E3103" s="196" t="str">
        <f>IFERROR(__xludf.DUMMYFUNCTION("""COMPUTED_VALUE"""),"SECURING SIDEWALK")</f>
        <v>SECURING SIDEWALK</v>
      </c>
    </row>
    <row r="3104">
      <c r="A3104" s="234">
        <f>IFERROR(__xludf.DUMMYFUNCTION("""COMPUTED_VALUE"""),103395.0)</f>
        <v>103395</v>
      </c>
      <c r="B3104" s="235" t="str">
        <f>IFERROR(__xludf.DUMMYFUNCTION("""COMPUTED_VALUE"""),"JESUIT CHRISTIAN GALICIA")</f>
        <v>JESUIT CHRISTIAN GALICIA</v>
      </c>
      <c r="C3104" s="235" t="str">
        <f>IFERROR(__xludf.DUMMYFUNCTION("""COMPUTED_VALUE"""),"AMD")</f>
        <v>AMD</v>
      </c>
      <c r="D3104" s="196" t="str">
        <f>IFERROR(__xludf.DUMMYFUNCTION("""COMPUTED_VALUE"""),"1 PC STANLEY DURABLE PUSH CART 400KG LOADING CAPACITY(SAME WITH STUFFSHOP PUSH CART)")</f>
        <v>1 PC STANLEY DURABLE PUSH CART 400KG LOADING CAPACITY(SAME WITH STUFFSHOP PUSH CART)</v>
      </c>
      <c r="E3104" s="196" t="str">
        <f>IFERROR(__xludf.DUMMYFUNCTION("""COMPUTED_VALUE"""),"WAREHOUSE EQUIPMENT USE")</f>
        <v>WAREHOUSE EQUIPMENT USE</v>
      </c>
    </row>
    <row r="3105">
      <c r="A3105" s="234">
        <f>IFERROR(__xludf.DUMMYFUNCTION("""COMPUTED_VALUE"""),103396.0)</f>
        <v>103396</v>
      </c>
      <c r="B3105" s="235" t="str">
        <f>IFERROR(__xludf.DUMMYFUNCTION("""COMPUTED_VALUE"""),"ANN DELA ISLA")</f>
        <v>ANN DELA ISLA</v>
      </c>
      <c r="C3105" s="235" t="str">
        <f>IFERROR(__xludf.DUMMYFUNCTION("""COMPUTED_VALUE"""),"I.B.")</f>
        <v>I.B.</v>
      </c>
      <c r="D3105" s="196" t="str">
        <f>IFERROR(__xludf.DUMMYFUNCTION("""COMPUTED_VALUE"""),"FLAGS OF SWEDEN, AUSTRALIA, US AND IRELAND (3X5)")</f>
        <v>FLAGS OF SWEDEN, AUSTRALIA, US AND IRELAND (3X5)</v>
      </c>
      <c r="E3105" s="196" t="str">
        <f>IFERROR(__xludf.DUMMYFUNCTION("""COMPUTED_VALUE"""),"FOR IB GRADUATION")</f>
        <v>FOR IB GRADUATION</v>
      </c>
    </row>
    <row r="3106">
      <c r="A3106" s="234">
        <f>IFERROR(__xludf.DUMMYFUNCTION("""COMPUTED_VALUE"""),103397.0)</f>
        <v>103397</v>
      </c>
      <c r="B3106" s="235" t="str">
        <f>IFERROR(__xludf.DUMMYFUNCTION("""COMPUTED_VALUE"""),"JAN GUTIERREZ/NESSIE LUMBRES")</f>
        <v>JAN GUTIERREZ/NESSIE LUMBRES</v>
      </c>
      <c r="C3106" s="235" t="str">
        <f>IFERROR(__xludf.DUMMYFUNCTION("""COMPUTED_VALUE"""),"JHS AND SHS DEPARTMENT")</f>
        <v>JHS AND SHS DEPARTMENT</v>
      </c>
      <c r="D3106" s="196" t="str">
        <f>IFERROR(__xludf.DUMMYFUNCTION("""COMPUTED_VALUE"""),"- 125 PCS GRADE 6 ENVELOPE(SAME DESIGN)
-  4 RFEAMS GRADE 6 PRINTED PAPER(SAME DESIGN)
- 125 REAMS GRADE 6 COVER(CUSTOMIZED PER DIVISION)
- 175 PCS GRADE 12 ENVELOPE(SAME DESIGN)
- 6 REAMS GRADE 12 PRINTED PAPER(SAME DESIGN)
- 175 PCS GRADE 12 COVER(CUSTO"&amp;"MIZED PER DIVISION)")</f>
        <v>- 125 PCS GRADE 6 ENVELOPE(SAME DESIGN)
-  4 RFEAMS GRADE 6 PRINTED PAPER(SAME DESIGN)
- 125 REAMS GRADE 6 COVER(CUSTOMIZED PER DIVISION)
- 175 PCS GRADE 12 ENVELOPE(SAME DESIGN)
- 6 REAMS GRADE 12 PRINTED PAPER(SAME DESIGN)
- 175 PCS GRADE 12 COVER(CUSTOMIZED PER DIVISION)</v>
      </c>
      <c r="E3106" s="196" t="str">
        <f>IFERROR(__xludf.DUMMYFUNCTION("""COMPUTED_VALUE"""),"JHS-SHS GRADUATION INVITES")</f>
        <v>JHS-SHS GRADUATION INVITES</v>
      </c>
    </row>
    <row r="3107">
      <c r="A3107" s="234">
        <f>IFERROR(__xludf.DUMMYFUNCTION("""COMPUTED_VALUE"""),103398.0)</f>
        <v>103398</v>
      </c>
      <c r="B3107" s="235" t="str">
        <f>IFERROR(__xludf.DUMMYFUNCTION("""COMPUTED_VALUE"""),"ARNEL MONTABLAN")</f>
        <v>ARNEL MONTABLAN</v>
      </c>
      <c r="C3107" s="235" t="str">
        <f>IFERROR(__xludf.DUMMYFUNCTION("""COMPUTED_VALUE"""),"GLL SCHOLARS")</f>
        <v>GLL SCHOLARS</v>
      </c>
      <c r="D3107" s="196" t="str">
        <f>IFERROR(__xludf.DUMMYFUNCTION("""COMPUTED_VALUE"""),"2 PCS MIRROR(LENGTHWISE SIZE)")</f>
        <v>2 PCS MIRROR(LENGTHWISE SIZE)</v>
      </c>
      <c r="E3107" s="196" t="str">
        <f>IFERROR(__xludf.DUMMYFUNCTION("""COMPUTED_VALUE"""),"FOR DORMITORY USE")</f>
        <v>FOR DORMITORY USE</v>
      </c>
    </row>
    <row r="3108">
      <c r="A3108" s="234">
        <f>IFERROR(__xludf.DUMMYFUNCTION("""COMPUTED_VALUE"""),103399.0)</f>
        <v>103399</v>
      </c>
      <c r="B3108" s="235" t="str">
        <f>IFERROR(__xludf.DUMMYFUNCTION("""COMPUTED_VALUE"""),"JESUIT CHRISTIAN GALICIA")</f>
        <v>JESUIT CHRISTIAN GALICIA</v>
      </c>
      <c r="C3108" s="235" t="str">
        <f>IFERROR(__xludf.DUMMYFUNCTION("""COMPUTED_VALUE"""),"AMD")</f>
        <v>AMD</v>
      </c>
      <c r="D3108" s="196" t="str">
        <f>IFERROR(__xludf.DUMMYFUNCTION("""COMPUTED_VALUE"""),"2 PCS HEAVY DUTY SHREDDERS")</f>
        <v>2 PCS HEAVY DUTY SHREDDERS</v>
      </c>
      <c r="E3108" s="196" t="str">
        <f>IFERROR(__xludf.DUMMYFUNCTION("""COMPUTED_VALUE"""),"FOR REPLACEMENT OF OLD SHREDDER")</f>
        <v>FOR REPLACEMENT OF OLD SHREDDER</v>
      </c>
    </row>
    <row r="3109">
      <c r="A3109" s="234">
        <f>IFERROR(__xludf.DUMMYFUNCTION("""COMPUTED_VALUE"""),103400.0)</f>
        <v>103400</v>
      </c>
      <c r="B3109" s="235" t="str">
        <f>IFERROR(__xludf.DUMMYFUNCTION("""COMPUTED_VALUE"""),"JESUIT CHRISTIAN GALICIA")</f>
        <v>JESUIT CHRISTIAN GALICIA</v>
      </c>
      <c r="C3109" s="235" t="str">
        <f>IFERROR(__xludf.DUMMYFUNCTION("""COMPUTED_VALUE"""),"AMD")</f>
        <v>AMD</v>
      </c>
      <c r="D3109" s="196" t="str">
        <f>IFERROR(__xludf.DUMMYFUNCTION("""COMPUTED_VALUE"""),"30 PCS FRAME CERTIFICATE ORDINARY(BROWN 8.5 x 11)")</f>
        <v>30 PCS FRAME CERTIFICATE ORDINARY(BROWN 8.5 x 11)</v>
      </c>
      <c r="E3109" s="196" t="str">
        <f>IFERROR(__xludf.DUMMYFUNCTION("""COMPUTED_VALUE"""),"OSSUP STOCK REPLENISHMENT")</f>
        <v>OSSUP STOCK REPLENISHMENT</v>
      </c>
    </row>
    <row r="3110">
      <c r="A3110" s="234">
        <f>IFERROR(__xludf.DUMMYFUNCTION("""COMPUTED_VALUE"""),103401.0)</f>
        <v>103401</v>
      </c>
      <c r="B3110" s="235" t="str">
        <f>IFERROR(__xludf.DUMMYFUNCTION("""COMPUTED_VALUE"""),"EUGENE MASILUNGAN")</f>
        <v>EUGENE MASILUNGAN</v>
      </c>
      <c r="C3110" s="235" t="str">
        <f>IFERROR(__xludf.DUMMYFUNCTION("""COMPUTED_VALUE"""),"CEM OFFICE")</f>
        <v>CEM OFFICE</v>
      </c>
      <c r="D3110" s="196" t="str">
        <f>IFERROR(__xludf.DUMMYFUNCTION("""COMPUTED_VALUE"""),"600 PCS SHORT CLEARBOOK CLEAR FILLERS(3 HOLES)")</f>
        <v>600 PCS SHORT CLEARBOOK CLEAR FILLERS(3 HOLES)</v>
      </c>
      <c r="E3110" s="196" t="str">
        <f>IFERROR(__xludf.DUMMYFUNCTION("""COMPUTED_VALUE"""),"FOR BINDING AND COMPILATION OF CHRONICLES AY 2021 - 2022")</f>
        <v>FOR BINDING AND COMPILATION OF CHRONICLES AY 2021 - 2022</v>
      </c>
    </row>
    <row r="3111">
      <c r="A3111" s="234">
        <f>IFERROR(__xludf.DUMMYFUNCTION("""COMPUTED_VALUE"""),103402.0)</f>
        <v>103402</v>
      </c>
      <c r="B3111" s="235" t="str">
        <f>IFERROR(__xludf.DUMMYFUNCTION("""COMPUTED_VALUE"""),"SARY ESCUREL")</f>
        <v>SARY ESCUREL</v>
      </c>
      <c r="C3111" s="235" t="str">
        <f>IFERROR(__xludf.DUMMYFUNCTION("""COMPUTED_VALUE"""),"BASIC ED")</f>
        <v>BASIC ED</v>
      </c>
      <c r="D3111" s="196" t="str">
        <f>IFERROR(__xludf.DUMMYFUNCTION("""COMPUTED_VALUE"""),"1 PC MOBILE CABINET(3 DRAWERS)")</f>
        <v>1 PC MOBILE CABINET(3 DRAWERS)</v>
      </c>
      <c r="E3111" s="196" t="str">
        <f>IFERROR(__xludf.DUMMYFUNCTION("""COMPUTED_VALUE"""),"FOR STORAGE USE - FOR MS. KC'S FILES")</f>
        <v>FOR STORAGE USE - FOR MS. KC'S FILES</v>
      </c>
    </row>
    <row r="3112">
      <c r="A3112" s="234">
        <f>IFERROR(__xludf.DUMMYFUNCTION("""COMPUTED_VALUE"""),103403.0)</f>
        <v>103403</v>
      </c>
      <c r="B3112" s="235" t="str">
        <f>IFERROR(__xludf.DUMMYFUNCTION("""COMPUTED_VALUE"""),"MELISSA ODONO/DABE SALIBIO")</f>
        <v>MELISSA ODONO/DABE SALIBIO</v>
      </c>
      <c r="C3112" s="235" t="str">
        <f>IFERROR(__xludf.DUMMYFUNCTION("""COMPUTED_VALUE"""),"LIBRARY BASIC ED")</f>
        <v>LIBRARY BASIC ED</v>
      </c>
      <c r="D3112" s="196" t="str">
        <f>IFERROR(__xludf.DUMMYFUNCTION("""COMPUTED_VALUE"""),"2 PCS 11 PRINCIPLES FRAMEWORK FOR SCHOOLS(ENGLISH)")</f>
        <v>2 PCS 11 PRINCIPLES FRAMEWORK FOR SCHOOLS(ENGLISH)</v>
      </c>
      <c r="E3112" s="196" t="str">
        <f>IFERROR(__xludf.DUMMYFUNCTION("""COMPUTED_VALUE"""),"LIBRARY'S COPY/FOR FACULTY/MGT/STAFF USE/PACUCOA COMPLIANCE")</f>
        <v>LIBRARY'S COPY/FOR FACULTY/MGT/STAFF USE/PACUCOA COMPLIANCE</v>
      </c>
    </row>
    <row r="3113">
      <c r="A3113" s="234">
        <f>IFERROR(__xludf.DUMMYFUNCTION("""COMPUTED_VALUE"""),103404.0)</f>
        <v>103404</v>
      </c>
      <c r="B3113" s="235" t="str">
        <f>IFERROR(__xludf.DUMMYFUNCTION("""COMPUTED_VALUE"""),"JOHN ROEZEL FUENTES")</f>
        <v>JOHN ROEZEL FUENTES</v>
      </c>
      <c r="C3113" s="235" t="str">
        <f>IFERROR(__xludf.DUMMYFUNCTION("""COMPUTED_VALUE"""),"REGISTRATION")</f>
        <v>REGISTRATION</v>
      </c>
      <c r="D3113" s="196" t="str">
        <f>IFERROR(__xludf.DUMMYFUNCTION("""COMPUTED_VALUE"""),"3000 PCS TOR PAPERS(COLLEGE DIVISION)")</f>
        <v>3000 PCS TOR PAPERS(COLLEGE DIVISION)</v>
      </c>
      <c r="E3113" s="196" t="str">
        <f>IFERROR(__xludf.DUMMYFUNCTION("""COMPUTED_VALUE"""),"FOR PRINTING OF CREDENTIAL REQUESTS OF STUDENTS")</f>
        <v>FOR PRINTING OF CREDENTIAL REQUESTS OF STUDENTS</v>
      </c>
    </row>
    <row r="3114">
      <c r="A3114" s="234">
        <f>IFERROR(__xludf.DUMMYFUNCTION("""COMPUTED_VALUE"""),103405.0)</f>
        <v>103405</v>
      </c>
      <c r="B3114" s="235" t="str">
        <f>IFERROR(__xludf.DUMMYFUNCTION("""COMPUTED_VALUE"""),"ESTHER LARITA")</f>
        <v>ESTHER LARITA</v>
      </c>
      <c r="C3114" s="235" t="str">
        <f>IFERROR(__xludf.DUMMYFUNCTION("""COMPUTED_VALUE"""),"DCO/ISO")</f>
        <v>DCO/ISO</v>
      </c>
      <c r="D3114" s="196" t="str">
        <f>IFERROR(__xludf.DUMMYFUNCTION("""COMPUTED_VALUE"""),"4 PCS IQA POLO SHIRT(ADDITIONAL POLO SHIRT)")</f>
        <v>4 PCS IQA POLO SHIRT(ADDITIONAL POLO SHIRT)</v>
      </c>
      <c r="E3114" s="196" t="str">
        <f>IFERROR(__xludf.DUMMYFUNCTION("""COMPUTED_VALUE"""),"IQA AUDITOR'S TOKEN")</f>
        <v>IQA AUDITOR'S TOKEN</v>
      </c>
    </row>
    <row r="3115">
      <c r="A3115" s="234">
        <f>IFERROR(__xludf.DUMMYFUNCTION("""COMPUTED_VALUE"""),103406.0)</f>
        <v>103406</v>
      </c>
      <c r="B3115" s="235" t="str">
        <f>IFERROR(__xludf.DUMMYFUNCTION("""COMPUTED_VALUE"""),"JOMEL BUTIAL ")</f>
        <v>JOMEL BUTIAL </v>
      </c>
      <c r="C3115" s="235" t="str">
        <f>IFERROR(__xludf.DUMMYFUNCTION("""COMPUTED_VALUE"""),"PR &amp; MARKETING")</f>
        <v>PR &amp; MARKETING</v>
      </c>
      <c r="D3115" s="196" t="str">
        <f>IFERROR(__xludf.DUMMYFUNCTION("""COMPUTED_VALUE"""),"1 PC OPENING OF CLASSES TARP
- 6.7 x 13.13 FT")</f>
        <v>1 PC OPENING OF CLASSES TARP
- 6.7 x 13.13 FT</v>
      </c>
      <c r="E3115" s="196" t="str">
        <f>IFERROR(__xludf.DUMMYFUNCTION("""COMPUTED_VALUE"""),"ANNOUNCEMENT TARPAULIN")</f>
        <v>ANNOUNCEMENT TARPAULIN</v>
      </c>
    </row>
    <row r="3116">
      <c r="A3116" s="234">
        <f>IFERROR(__xludf.DUMMYFUNCTION("""COMPUTED_VALUE"""),103407.0)</f>
        <v>103407</v>
      </c>
      <c r="B3116" s="235" t="str">
        <f>IFERROR(__xludf.DUMMYFUNCTION("""COMPUTED_VALUE"""),"MELISSA ODONO/MERSHEIL P. BALELA")</f>
        <v>MELISSA ODONO/MERSHEIL P. BALELA</v>
      </c>
      <c r="C3116" s="235" t="str">
        <f>IFERROR(__xludf.DUMMYFUNCTION("""COMPUTED_VALUE"""),"LIBRARY")</f>
        <v>LIBRARY</v>
      </c>
      <c r="D3116" s="196" t="str">
        <f>IFERROR(__xludf.DUMMYFUNCTION("""COMPUTED_VALUE"""),"2 PCS ALAY PHILIPPINE NATIVE TREES AT VICTOR O. RAMOS")</f>
        <v>2 PCS ALAY PHILIPPINE NATIVE TREES AT VICTOR O. RAMOS</v>
      </c>
      <c r="E3116" s="196" t="str">
        <f>IFERROR(__xludf.DUMMYFUNCTION("""COMPUTED_VALUE"""),"LIBRARY'S COPY/FOR FACULTY/MGT/STAFF USE/PACUCOA COMPLIANCE")</f>
        <v>LIBRARY'S COPY/FOR FACULTY/MGT/STAFF USE/PACUCOA COMPLIANCE</v>
      </c>
    </row>
    <row r="3117">
      <c r="A3117" s="234">
        <f>IFERROR(__xludf.DUMMYFUNCTION("""COMPUTED_VALUE"""),103408.0)</f>
        <v>103408</v>
      </c>
      <c r="B3117" s="235" t="str">
        <f>IFERROR(__xludf.DUMMYFUNCTION("""COMPUTED_VALUE"""),"ANGELO PARAS")</f>
        <v>ANGELO PARAS</v>
      </c>
      <c r="C3117" s="235" t="str">
        <f>IFERROR(__xludf.DUMMYFUNCTION("""COMPUTED_VALUE"""),"SCIENCE LAB BASIC ED.")</f>
        <v>SCIENCE LAB BASIC ED.</v>
      </c>
      <c r="D3117" s="196" t="str">
        <f>IFERROR(__xludf.DUMMYFUNCTION("""COMPUTED_VALUE"""),"- 20 PCS LAB GOWN(10 LARGE &amp; 10 XL)
- 10 PCS PLASTIC BASINS(16 INCHES OR LARGER)
- 1 UNIT SKELETON HUMAN MODEL, 180 CM
- 1 UNIT HEART MODEL, BIG
- 1 UNIT HOT PLATE STIRRER, CORNING BRAND
- 10 PCS WICK FOR ALCOHOL LAMP
- 400 PCS PH TEST STRIPS(UNIVERSAL IN"&amp;"DICATOR)")</f>
        <v>- 20 PCS LAB GOWN(10 LARGE &amp; 10 XL)
- 10 PCS PLASTIC BASINS(16 INCHES OR LARGER)
- 1 UNIT SKELETON HUMAN MODEL, 180 CM
- 1 UNIT HEART MODEL, BIG
- 1 UNIT HOT PLATE STIRRER, CORNING BRAND
- 10 PCS WICK FOR ALCOHOL LAMP
- 400 PCS PH TEST STRIPS(UNIVERSAL INDICATOR)</v>
      </c>
      <c r="E3117" s="196" t="str">
        <f>IFERROR(__xludf.DUMMYFUNCTION("""COMPUTED_VALUE"""),"FOR USE IN THE BASIC ED LABORATORY")</f>
        <v>FOR USE IN THE BASIC ED LABORATORY</v>
      </c>
    </row>
    <row r="3118">
      <c r="A3118" s="234">
        <f>IFERROR(__xludf.DUMMYFUNCTION("""COMPUTED_VALUE"""),103409.0)</f>
        <v>103409</v>
      </c>
      <c r="B3118" s="235" t="str">
        <f>IFERROR(__xludf.DUMMYFUNCTION("""COMPUTED_VALUE"""),"CHRISTIAN LUCAS")</f>
        <v>CHRISTIAN LUCAS</v>
      </c>
      <c r="C3118" s="235" t="str">
        <f>IFERROR(__xludf.DUMMYFUNCTION("""COMPUTED_VALUE"""),"MIS")</f>
        <v>MIS</v>
      </c>
      <c r="D3118" s="196" t="str">
        <f>IFERROR(__xludf.DUMMYFUNCTION("""COMPUTED_VALUE"""),"10 PCS EDIFIER X100 2.1 SPEAKER(BLACK)")</f>
        <v>10 PCS EDIFIER X100 2.1 SPEAKER(BLACK)</v>
      </c>
      <c r="E3118" s="196" t="str">
        <f>IFERROR(__xludf.DUMMYFUNCTION("""COMPUTED_VALUE"""),"MIS WAREHOUSE STOCK REPLENISHMENT")</f>
        <v>MIS WAREHOUSE STOCK REPLENISHMENT</v>
      </c>
    </row>
    <row r="3119">
      <c r="A3119" s="234">
        <f>IFERROR(__xludf.DUMMYFUNCTION("""COMPUTED_VALUE"""),103410.0)</f>
        <v>103410</v>
      </c>
      <c r="B3119" s="235" t="str">
        <f>IFERROR(__xludf.DUMMYFUNCTION("""COMPUTED_VALUE"""),"JESUIT CHRISTIAN GALICIA")</f>
        <v>JESUIT CHRISTIAN GALICIA</v>
      </c>
      <c r="C3119" s="235" t="str">
        <f>IFERROR(__xludf.DUMMYFUNCTION("""COMPUTED_VALUE"""),"AMD")</f>
        <v>AMD</v>
      </c>
      <c r="D3119" s="196" t="str">
        <f>IFERROR(__xludf.DUMMYFUNCTION("""COMPUTED_VALUE"""),"150 PCS 70% ISOPHROPYL ALCOHOL(GALLON)")</f>
        <v>150 PCS 70% ISOPHROPYL ALCOHOL(GALLON)</v>
      </c>
      <c r="E3119" s="196" t="str">
        <f>IFERROR(__xludf.DUMMYFUNCTION("""COMPUTED_VALUE"""),"COVID PROTECTION SUPPLIES STOCK REPLENISHMENT")</f>
        <v>COVID PROTECTION SUPPLIES STOCK REPLENISHMENT</v>
      </c>
    </row>
    <row r="3120">
      <c r="A3120" s="234">
        <f>IFERROR(__xludf.DUMMYFUNCTION("""COMPUTED_VALUE"""),103411.0)</f>
        <v>103411</v>
      </c>
      <c r="B3120" s="235" t="str">
        <f>IFERROR(__xludf.DUMMYFUNCTION("""COMPUTED_VALUE"""),"RORY MANSBRIDGE")</f>
        <v>RORY MANSBRIDGE</v>
      </c>
      <c r="C3120" s="235" t="str">
        <f>IFERROR(__xludf.DUMMYFUNCTION("""COMPUTED_VALUE"""),"ATHLETICS")</f>
        <v>ATHLETICS</v>
      </c>
      <c r="D3120" s="196" t="str">
        <f>IFERROR(__xludf.DUMMYFUNCTION("""COMPUTED_VALUE"""),"40 PCS MOLTEN FSV5000 VANTAGGIO SIZE 5")</f>
        <v>40 PCS MOLTEN FSV5000 VANTAGGIO SIZE 5</v>
      </c>
      <c r="E3120" s="196" t="str">
        <f>IFERROR(__xludf.DUMMYFUNCTION("""COMPUTED_VALUE"""),"PRACTICE/GAME BALLS FOR FOOTBALL")</f>
        <v>PRACTICE/GAME BALLS FOR FOOTBALL</v>
      </c>
    </row>
    <row r="3121">
      <c r="A3121" s="234">
        <f>IFERROR(__xludf.DUMMYFUNCTION("""COMPUTED_VALUE"""),103412.0)</f>
        <v>103412</v>
      </c>
      <c r="B3121" s="235" t="str">
        <f>IFERROR(__xludf.DUMMYFUNCTION("""COMPUTED_VALUE"""),"ANGELO PARAS")</f>
        <v>ANGELO PARAS</v>
      </c>
      <c r="C3121" s="235" t="str">
        <f>IFERROR(__xludf.DUMMYFUNCTION("""COMPUTED_VALUE"""),"SCIENCE LAB BASIC ED.")</f>
        <v>SCIENCE LAB BASIC ED.</v>
      </c>
      <c r="D3121" s="196" t="str">
        <f>IFERROR(__xludf.DUMMYFUNCTION("""COMPUTED_VALUE"""),"- 15 PCS TEST TUBE HOLDER/CLAMP
- 5 UNITS EXTENSION CORD(4M OR 3M, OMNI)
- 10 PCS GRADUATED CYLINDER(GLASS, PYREX BRAND)(5 pcs 50 ML, 5 PCS 100ML)
- 3 PCS BUTANE GAS REFILL CAN
- 2 UNITS ELECTRONIC BALANCE(OHAUS BRAND)(1KG - 2KG)
- 10 PCS BEAKER TONGS(STA"&amp;"INLESS STEEL)
- 10 BOXES MATCHSTICKS(GUITAR OR ROYAL BRAND)
- 5 BOTTLES BETADINE SOLUTION, 120 ML
- 5 UNITS PH METER")</f>
        <v>- 15 PCS TEST TUBE HOLDER/CLAMP
- 5 UNITS EXTENSION CORD(4M OR 3M, OMNI)
- 10 PCS GRADUATED CYLINDER(GLASS, PYREX BRAND)(5 pcs 50 ML, 5 PCS 100ML)
- 3 PCS BUTANE GAS REFILL CAN
- 2 UNITS ELECTRONIC BALANCE(OHAUS BRAND)(1KG - 2KG)
- 10 PCS BEAKER TONGS(STAINLESS STEEL)
- 10 BOXES MATCHSTICKS(GUITAR OR ROYAL BRAND)
- 5 BOTTLES BETADINE SOLUTION, 120 ML
- 5 UNITS PH METER</v>
      </c>
      <c r="E3121" s="196" t="str">
        <f>IFERROR(__xludf.DUMMYFUNCTION("""COMPUTED_VALUE"""),"FOR USE IN SCIENCE LAB AND FOR REPLACEMENT OF MATERIALS")</f>
        <v>FOR USE IN SCIENCE LAB AND FOR REPLACEMENT OF MATERIALS</v>
      </c>
    </row>
    <row r="3122">
      <c r="A3122" s="234">
        <f>IFERROR(__xludf.DUMMYFUNCTION("""COMPUTED_VALUE"""),103413.0)</f>
        <v>103413</v>
      </c>
      <c r="B3122" s="235" t="str">
        <f>IFERROR(__xludf.DUMMYFUNCTION("""COMPUTED_VALUE"""),"PHEN PETIN")</f>
        <v>PHEN PETIN</v>
      </c>
      <c r="C3122" s="235" t="str">
        <f>IFERROR(__xludf.DUMMYFUNCTION("""COMPUTED_VALUE"""),"ADMIN - STAR")</f>
        <v>ADMIN - STAR</v>
      </c>
      <c r="D3122" s="196" t="str">
        <f>IFERROR(__xludf.DUMMYFUNCTION("""COMPUTED_VALUE"""),"4 SETS LED FLOOD LIGHTS(WARM WHITE) 20 WATTS")</f>
        <v>4 SETS LED FLOOD LIGHTS(WARM WHITE) 20 WATTS</v>
      </c>
      <c r="E3122" s="196" t="str">
        <f>IFERROR(__xludf.DUMMYFUNCTION("""COMPUTED_VALUE"""),"CHANGE BUSTED FLOOD LIGHTS FLAG POLE AREA(STAR)")</f>
        <v>CHANGE BUSTED FLOOD LIGHTS FLAG POLE AREA(STAR)</v>
      </c>
    </row>
    <row r="3123">
      <c r="A3123" s="234">
        <f>IFERROR(__xludf.DUMMYFUNCTION("""COMPUTED_VALUE"""),103414.0)</f>
        <v>103414</v>
      </c>
      <c r="B3123" s="235" t="str">
        <f>IFERROR(__xludf.DUMMYFUNCTION("""COMPUTED_VALUE"""),"RORY MANSBRIDGE")</f>
        <v>RORY MANSBRIDGE</v>
      </c>
      <c r="C3123" s="235" t="str">
        <f>IFERROR(__xludf.DUMMYFUNCTION("""COMPUTED_VALUE"""),"ATHLETICS")</f>
        <v>ATHLETICS</v>
      </c>
      <c r="D3123" s="196" t="str">
        <f>IFERROR(__xludf.DUMMYFUNCTION("""COMPUTED_VALUE"""),"- 3 PCS GLASS PLAQUE 10"" TALL
- 50 PCS CRYSTAL MEAD 3"" DIA")</f>
        <v>- 3 PCS GLASS PLAQUE 10" TALL
- 50 PCS CRYSTAL MEAD 3" DIA</v>
      </c>
      <c r="E3123" s="196" t="str">
        <f>IFERROR(__xludf.DUMMYFUNCTION("""COMPUTED_VALUE"""),"VARSITY NIGHT AWARDS")</f>
        <v>VARSITY NIGHT AWARDS</v>
      </c>
    </row>
    <row r="3124">
      <c r="A3124" s="234">
        <f>IFERROR(__xludf.DUMMYFUNCTION("""COMPUTED_VALUE"""),103415.0)</f>
        <v>103415</v>
      </c>
      <c r="B3124" s="235" t="str">
        <f>IFERROR(__xludf.DUMMYFUNCTION("""COMPUTED_VALUE"""),"JOMEL BUTIAL ")</f>
        <v>JOMEL BUTIAL </v>
      </c>
      <c r="C3124" s="235" t="str">
        <f>IFERROR(__xludf.DUMMYFUNCTION("""COMPUTED_VALUE"""),"PR &amp; MARKETING")</f>
        <v>PR &amp; MARKETING</v>
      </c>
      <c r="D3124" s="196" t="str">
        <f>IFERROR(__xludf.DUMMYFUNCTION("""COMPUTED_VALUE"""),"- 4 PCS ENELOOP PANASONIC ORIGINAL AA RECHARGEABLE BATTERY 2100MAH
- 1 PC OLFA PERFORATION CUTTER &amp; BLADE")</f>
        <v>- 4 PCS ENELOOP PANASONIC ORIGINAL AA RECHARGEABLE BATTERY 2100MAH
- 1 PC OLFA PERFORATION CUTTER &amp; BLADE</v>
      </c>
      <c r="E3124" s="196" t="str">
        <f>IFERROR(__xludf.DUMMYFUNCTION("""COMPUTED_VALUE"""),"OFFICE USE")</f>
        <v>OFFICE USE</v>
      </c>
    </row>
    <row r="3125">
      <c r="A3125" s="234">
        <f>IFERROR(__xludf.DUMMYFUNCTION("""COMPUTED_VALUE"""),103416.0)</f>
        <v>103416</v>
      </c>
      <c r="B3125" s="235" t="str">
        <f>IFERROR(__xludf.DUMMYFUNCTION("""COMPUTED_VALUE"""),"OWIE PAR")</f>
        <v>OWIE PAR</v>
      </c>
      <c r="C3125" s="235" t="str">
        <f>IFERROR(__xludf.DUMMYFUNCTION("""COMPUTED_VALUE"""),"ENGINEERING")</f>
        <v>ENGINEERING</v>
      </c>
      <c r="D3125" s="196" t="str">
        <f>IFERROR(__xludf.DUMMYFUNCTION("""COMPUTED_VALUE"""),"6 KGS CHLORINE POWDER/1 KG")</f>
        <v>6 KGS CHLORINE POWDER/1 KG</v>
      </c>
      <c r="E3125" s="196" t="str">
        <f>IFERROR(__xludf.DUMMYFUNCTION("""COMPUTED_VALUE"""),"FOR WASTE WATER TREATMENT")</f>
        <v>FOR WASTE WATER TREATMENT</v>
      </c>
    </row>
    <row r="3126">
      <c r="A3126" s="234">
        <f>IFERROR(__xludf.DUMMYFUNCTION("""COMPUTED_VALUE"""),103417.0)</f>
        <v>103417</v>
      </c>
      <c r="B3126" s="235" t="str">
        <f>IFERROR(__xludf.DUMMYFUNCTION("""COMPUTED_VALUE"""),"OWIE PAR")</f>
        <v>OWIE PAR</v>
      </c>
      <c r="C3126" s="235" t="str">
        <f>IFERROR(__xludf.DUMMYFUNCTION("""COMPUTED_VALUE"""),"ENGINEERING")</f>
        <v>ENGINEERING</v>
      </c>
      <c r="D3126" s="196" t="str">
        <f>IFERROR(__xludf.DUMMYFUNCTION("""COMPUTED_VALUE"""),"1 UNIT 6.0 HP DAIKEN CEILING CASSETTE TYPE INVERTER")</f>
        <v>1 UNIT 6.0 HP DAIKEN CEILING CASSETTE TYPE INVERTER</v>
      </c>
      <c r="E3126" s="196" t="str">
        <f>IFERROR(__xludf.DUMMYFUNCTION("""COMPUTED_VALUE"""),"REPLACEMENT OF ACU TROPICA; MPH")</f>
        <v>REPLACEMENT OF ACU TROPICA; MPH</v>
      </c>
    </row>
    <row r="3127">
      <c r="A3127" s="234">
        <f>IFERROR(__xludf.DUMMYFUNCTION("""COMPUTED_VALUE"""),103418.0)</f>
        <v>103418</v>
      </c>
      <c r="B3127" s="235" t="str">
        <f>IFERROR(__xludf.DUMMYFUNCTION("""COMPUTED_VALUE"""),"MARVIN MARASIGAN")</f>
        <v>MARVIN MARASIGAN</v>
      </c>
      <c r="C3127" s="235" t="str">
        <f>IFERROR(__xludf.DUMMYFUNCTION("""COMPUTED_VALUE"""),"PR &amp; MARKETING")</f>
        <v>PR &amp; MARKETING</v>
      </c>
      <c r="D3127" s="196" t="str">
        <f>IFERROR(__xludf.DUMMYFUNCTION("""COMPUTED_VALUE"""),"- 1000 PCS COMPUTER ENGINEERING COURSE FLYER(3.48 x 8. 247 INCHES)
- 1000 PCS REAL ESTATE MANAGEMENT COURSE FLYER(3.78 x 8.267 INCHES)")</f>
        <v>- 1000 PCS COMPUTER ENGINEERING COURSE FLYER(3.48 x 8. 247 INCHES)
- 1000 PCS REAL ESTATE MANAGEMENT COURSE FLYER(3.78 x 8.267 INCHES)</v>
      </c>
      <c r="E3127" s="196" t="str">
        <f>IFERROR(__xludf.DUMMYFUNCTION("""COMPUTED_VALUE"""),"FOR MARKETING NEW COURSES")</f>
        <v>FOR MARKETING NEW COURSES</v>
      </c>
    </row>
    <row r="3128">
      <c r="A3128" s="234">
        <f>IFERROR(__xludf.DUMMYFUNCTION("""COMPUTED_VALUE"""),103419.0)</f>
        <v>103419</v>
      </c>
      <c r="B3128" s="235" t="str">
        <f>IFERROR(__xludf.DUMMYFUNCTION("""COMPUTED_VALUE"""),"SHEREE ESPINOSA")</f>
        <v>SHEREE ESPINOSA</v>
      </c>
      <c r="C3128" s="235" t="str">
        <f>IFERROR(__xludf.DUMMYFUNCTION("""COMPUTED_VALUE"""),"ADMIN")</f>
        <v>ADMIN</v>
      </c>
      <c r="D3128" s="196" t="str">
        <f>IFERROR(__xludf.DUMMYFUNCTION("""COMPUTED_VALUE"""),"5 ROLLS BLACK CLOTH FOR CEILING")</f>
        <v>5 ROLLS BLACK CLOTH FOR CEILING</v>
      </c>
      <c r="E3128" s="196" t="str">
        <f>IFERROR(__xludf.DUMMYFUNCTION("""COMPUTED_VALUE"""),"FOR LUX HALL CEILING")</f>
        <v>FOR LUX HALL CEILING</v>
      </c>
    </row>
    <row r="3129">
      <c r="A3129" s="234">
        <f>IFERROR(__xludf.DUMMYFUNCTION("""COMPUTED_VALUE"""),103420.0)</f>
        <v>103420</v>
      </c>
      <c r="B3129" s="235" t="str">
        <f>IFERROR(__xludf.DUMMYFUNCTION("""COMPUTED_VALUE"""),"ELYDIA REYES")</f>
        <v>ELYDIA REYES</v>
      </c>
      <c r="C3129" s="235" t="str">
        <f>IFERROR(__xludf.DUMMYFUNCTION("""COMPUTED_VALUE"""),"PR &amp; MARKETING")</f>
        <v>PR &amp; MARKETING</v>
      </c>
      <c r="D3129" s="196" t="str">
        <f>IFERROR(__xludf.DUMMYFUNCTION("""COMPUTED_VALUE"""),"1 PC PANASONIC AIR CONDITIONER REMOTE(INVERTER)
- COLOR WHITE")</f>
        <v>1 PC PANASONIC AIR CONDITIONER REMOTE(INVERTER)
- COLOR WHITE</v>
      </c>
      <c r="E3129" s="196" t="str">
        <f>IFERROR(__xludf.DUMMYFUNCTION("""COMPUTED_VALUE"""),"AIRCON REMOTE FOR PR CONFERENCE")</f>
        <v>AIRCON REMOTE FOR PR CONFERENCE</v>
      </c>
    </row>
    <row r="3130">
      <c r="A3130" s="234">
        <f>IFERROR(__xludf.DUMMYFUNCTION("""COMPUTED_VALUE"""),103421.0)</f>
        <v>103421</v>
      </c>
      <c r="B3130" s="235" t="str">
        <f>IFERROR(__xludf.DUMMYFUNCTION("""COMPUTED_VALUE"""),"ANGELO PARAS")</f>
        <v>ANGELO PARAS</v>
      </c>
      <c r="C3130" s="235" t="str">
        <f>IFERROR(__xludf.DUMMYFUNCTION("""COMPUTED_VALUE"""),"SCIENCE LAB BASIC ED.")</f>
        <v>SCIENCE LAB BASIC ED.</v>
      </c>
      <c r="D3130" s="196" t="str">
        <f>IFERROR(__xludf.DUMMYFUNCTION("""COMPUTED_VALUE"""),"- 5 PCS ALCOHOL THERMOMETER
- 5 PCS STIRRING ROD(BOROSILICATE GLASS)
- 5 PCS ERLENMEYER FLASK(250 ML)
- 6 PCS GRADUATED CYLINDER(10, 50, 100 ML) (2 PCS EACH)
- 5 PCS ALCOHOL LAMP
- 3 PCS BEAKER 1000 ML
- 5 PCS BEAKER 500 ML
- 5 PCS BEAKER 150 ML")</f>
        <v>- 5 PCS ALCOHOL THERMOMETER
- 5 PCS STIRRING ROD(BOROSILICATE GLASS)
- 5 PCS ERLENMEYER FLASK(250 ML)
- 6 PCS GRADUATED CYLINDER(10, 50, 100 ML) (2 PCS EACH)
- 5 PCS ALCOHOL LAMP
- 3 PCS BEAKER 1000 ML
- 5 PCS BEAKER 500 ML
- 5 PCS BEAKER 150 ML</v>
      </c>
      <c r="E3130" s="196" t="str">
        <f>IFERROR(__xludf.DUMMYFUNCTION("""COMPUTED_VALUE"""),"FOR USE IN THE SCIENCE LAB OF MUNICH")</f>
        <v>FOR USE IN THE SCIENCE LAB OF MUNICH</v>
      </c>
    </row>
    <row r="3131">
      <c r="A3131" s="234">
        <f>IFERROR(__xludf.DUMMYFUNCTION("""COMPUTED_VALUE"""),103422.0)</f>
        <v>103422</v>
      </c>
      <c r="B3131" s="235" t="str">
        <f>IFERROR(__xludf.DUMMYFUNCTION("""COMPUTED_VALUE"""),"OWIE PAR")</f>
        <v>OWIE PAR</v>
      </c>
      <c r="C3131" s="235" t="str">
        <f>IFERROR(__xludf.DUMMYFUNCTION("""COMPUTED_VALUE"""),"ENGINEERING")</f>
        <v>ENGINEERING</v>
      </c>
      <c r="D3131" s="196" t="str">
        <f>IFERROR(__xludf.DUMMYFUNCTION("""COMPUTED_VALUE"""),"1 UNIT 2.5 HP DAIKEN CEILING CASSETTE INVERTER")</f>
        <v>1 UNIT 2.5 HP DAIKEN CEILING CASSETTE INVERTER</v>
      </c>
      <c r="E3131" s="196" t="str">
        <f>IFERROR(__xludf.DUMMYFUNCTION("""COMPUTED_VALUE"""),"FOR RM 207 COLLEGE")</f>
        <v>FOR RM 207 COLLEGE</v>
      </c>
    </row>
    <row r="3132">
      <c r="A3132" s="234">
        <f>IFERROR(__xludf.DUMMYFUNCTION("""COMPUTED_VALUE"""),103423.0)</f>
        <v>103423</v>
      </c>
      <c r="B3132" s="235" t="str">
        <f>IFERROR(__xludf.DUMMYFUNCTION("""COMPUTED_VALUE"""),"LUCILLE BEYER")</f>
        <v>LUCILLE BEYER</v>
      </c>
      <c r="C3132" s="235" t="str">
        <f>IFERROR(__xludf.DUMMYFUNCTION("""COMPUTED_VALUE"""),"MEDICAL")</f>
        <v>MEDICAL</v>
      </c>
      <c r="D3132" s="196" t="str">
        <f>IFERROR(__xludf.DUMMYFUNCTION("""COMPUTED_VALUE"""),"- 3 PCS INFRARED FOREHEAD THERMOMETER(GUN) BRAUN
- 3 PCS PULSE OXIMETER(FINGERTIP) OMRON
- 30 PCS ELASTIC BANDAGES 4 INCHES
- 25 PCS ELASTIC BANDAGES 2 INCHES
- 25 PCS ELASTIC BANDAGES 6 INCHES
- 15 BOXES FACE MASK
- 6 PCS COLD COMPRESS(GEL)
- 5 PCS ICE B"&amp;"AG FOR COLD COMPRESS
- 5 PCS HOT BAG 600ML
- 10 LITERS HYDROGEN PEROXIDE
- 3 BOTTLES LYSOL SPRAY 510G
- 5 GALLONS ISPROPYL ALCOHOL 70%
- 3 PCS FIRST AID KIT/TOOL BOX(2 LAYERS)
- 2 PCS STERISTRIPS
- 2 PCS BP APPARATUS
- 2 PCS NEBULIZER KIT
- 20 PCS MUSCLE "&amp;"TAPE(K. TAPE)
- 50 PCS STERILE MEDICAL EYE PAD
- 10 PCS MASK AND TUBING FOR NEBULIZER(PEDIA AND ADULT)
- 20 PCS MEDICAL ELASTIC ADHESIVE BANDAGE)
- 3 PCS BIO FREEZE MUSCLE SPRAY
- 5 PCS NECK BRACE(ADULT AND CHILD)
- 5 PCS BANDAGE SCISSORS
- 2 PCS STRETCHE"&amp;"R, PORTABLE(FOLDABLE)
- 4 PCS GAUZE PAD 4x4
- 5 PCS COTTON BALLS 150s/PACK")</f>
        <v>- 3 PCS INFRARED FOREHEAD THERMOMETER(GUN) BRAUN
- 3 PCS PULSE OXIMETER(FINGERTIP) OMRON
- 30 PCS ELASTIC BANDAGES 4 INCHES
- 25 PCS ELASTIC BANDAGES 2 INCHES
- 25 PCS ELASTIC BANDAGES 6 INCHES
- 15 BOXES FACE MASK
- 6 PCS COLD COMPRESS(GEL)
- 5 PCS ICE BAG FOR COLD COMPRESS
- 5 PCS HOT BAG 600ML
- 10 LITERS HYDROGEN PEROXIDE
- 3 BOTTLES LYSOL SPRAY 510G
- 5 GALLONS ISPROPYL ALCOHOL 70%
- 3 PCS FIRST AID KIT/TOOL BOX(2 LAYERS)
- 2 PCS STERISTRIPS
- 2 PCS BP APPARATUS
- 2 PCS NEBULIZER KIT
- 20 PCS MUSCLE TAPE(K. TAPE)
- 50 PCS STERILE MEDICAL EYE PAD
- 10 PCS MASK AND TUBING FOR NEBULIZER(PEDIA AND ADULT)
- 20 PCS MEDICAL ELASTIC ADHESIVE BANDAGE)
- 3 PCS BIO FREEZE MUSCLE SPRAY
- 5 PCS NECK BRACE(ADULT AND CHILD)
- 5 PCS BANDAGE SCISSORS
- 2 PCS STRETCHER, PORTABLE(FOLDABLE)
- 4 PCS GAUZE PAD 4x4
- 5 PCS COTTON BALLS 150s/PACK</v>
      </c>
      <c r="E3132" s="196" t="str">
        <f>IFERROR(__xludf.DUMMYFUNCTION("""COMPUTED_VALUE"""),"ANNUAL SUPPLY PURCHASE IN BAMBANG FOR 3 CLINICS IN PREPARATION FOR AY 2023 - 2024")</f>
        <v>ANNUAL SUPPLY PURCHASE IN BAMBANG FOR 3 CLINICS IN PREPARATION FOR AY 2023 - 2024</v>
      </c>
    </row>
    <row r="3133">
      <c r="A3133" s="234">
        <f>IFERROR(__xludf.DUMMYFUNCTION("""COMPUTED_VALUE"""),103424.0)</f>
        <v>103424</v>
      </c>
      <c r="B3133" s="235" t="str">
        <f>IFERROR(__xludf.DUMMYFUNCTION("""COMPUTED_VALUE"""),"ASTRID DE LEON")</f>
        <v>ASTRID DE LEON</v>
      </c>
      <c r="C3133" s="235" t="str">
        <f>IFERROR(__xludf.DUMMYFUNCTION("""COMPUTED_VALUE"""),"COLLEGE DIRECTOR")</f>
        <v>COLLEGE DIRECTOR</v>
      </c>
      <c r="D3133" s="196" t="str">
        <f>IFERROR(__xludf.DUMMYFUNCTION("""COMPUTED_VALUE"""),"3 BOXES CALLING CARDS")</f>
        <v>3 BOXES CALLING CARDS</v>
      </c>
      <c r="E3133" s="196" t="str">
        <f>IFERROR(__xludf.DUMMYFUNCTION("""COMPUTED_VALUE"""),"CALLING CARD FOR MS ASTRID")</f>
        <v>CALLING CARD FOR MS ASTRID</v>
      </c>
    </row>
    <row r="3134">
      <c r="A3134" s="234">
        <f>IFERROR(__xludf.DUMMYFUNCTION("""COMPUTED_VALUE"""),103425.0)</f>
        <v>103425</v>
      </c>
      <c r="B3134" s="235" t="str">
        <f>IFERROR(__xludf.DUMMYFUNCTION("""COMPUTED_VALUE"""),"CHRISTIAN S. ANDRES")</f>
        <v>CHRISTIAN S. ANDRES</v>
      </c>
      <c r="C3134" s="235" t="str">
        <f>IFERROR(__xludf.DUMMYFUNCTION("""COMPUTED_VALUE"""),"PR &amp; MARKETING")</f>
        <v>PR &amp; MARKETING</v>
      </c>
      <c r="D3134" s="196" t="str">
        <f>IFERROR(__xludf.DUMMYFUNCTION("""COMPUTED_VALUE"""),"3 PCS SOUTHVILLE PRIDE TARPS
- 7x10 FEET EYELET ALL OVER W/ SEAMING AND BLACKOUT")</f>
        <v>3 PCS SOUTHVILLE PRIDE TARPS
- 7x10 FEET EYELET ALL OVER W/ SEAMING AND BLACKOUT</v>
      </c>
      <c r="E3134" s="196" t="str">
        <f>IFERROR(__xludf.DUMMYFUNCTION("""COMPUTED_VALUE"""),"MARKETING/PROMOTION")</f>
        <v>MARKETING/PROMOTION</v>
      </c>
    </row>
    <row r="3135">
      <c r="A3135" s="234">
        <f>IFERROR(__xludf.DUMMYFUNCTION("""COMPUTED_VALUE"""),103426.0)</f>
        <v>103426</v>
      </c>
      <c r="B3135" s="235" t="str">
        <f>IFERROR(__xludf.DUMMYFUNCTION("""COMPUTED_VALUE"""),"RONALDO VERDE")</f>
        <v>RONALDO VERDE</v>
      </c>
      <c r="C3135" s="235" t="str">
        <f>IFERROR(__xludf.DUMMYFUNCTION("""COMPUTED_VALUE"""),"ADMIN")</f>
        <v>ADMIN</v>
      </c>
      <c r="D3135" s="196" t="str">
        <f>IFERROR(__xludf.DUMMYFUNCTION("""COMPUTED_VALUE"""),"1 UNIT ISUZU ELF DROPSIDE")</f>
        <v>1 UNIT ISUZU ELF DROPSIDE</v>
      </c>
      <c r="E3135" s="196" t="str">
        <f>IFERROR(__xludf.DUMMYFUNCTION("""COMPUTED_VALUE"""),"FOR SCHOOL SERVICE")</f>
        <v>FOR SCHOOL SERVICE</v>
      </c>
    </row>
    <row r="3136">
      <c r="A3136" s="234">
        <f>IFERROR(__xludf.DUMMYFUNCTION("""COMPUTED_VALUE"""),103427.0)</f>
        <v>103427</v>
      </c>
      <c r="B3136" s="235" t="str">
        <f>IFERROR(__xludf.DUMMYFUNCTION("""COMPUTED_VALUE"""),"MAURINE JHOY DOLLESIN")</f>
        <v>MAURINE JHOY DOLLESIN</v>
      </c>
      <c r="C3136" s="235" t="str">
        <f>IFERROR(__xludf.DUMMYFUNCTION("""COMPUTED_VALUE"""),"PRESIDENT'S OFFICE")</f>
        <v>PRESIDENT'S OFFICE</v>
      </c>
      <c r="D3136" s="196" t="str">
        <f>IFERROR(__xludf.DUMMYFUNCTION("""COMPUTED_VALUE"""),"1 PC SYMPHATHY FLOWER")</f>
        <v>1 PC SYMPHATHY FLOWER</v>
      </c>
      <c r="E3136" s="196" t="str">
        <f>IFERROR(__xludf.DUMMYFUNCTION("""COMPUTED_VALUE"""),"SYMPATHY FLOWER FOR SEN. BRAZON")</f>
        <v>SYMPATHY FLOWER FOR SEN. BRAZON</v>
      </c>
    </row>
    <row r="3137">
      <c r="A3137" s="234">
        <f>IFERROR(__xludf.DUMMYFUNCTION("""COMPUTED_VALUE"""),103428.0)</f>
        <v>103428</v>
      </c>
      <c r="B3137" s="235" t="str">
        <f>IFERROR(__xludf.DUMMYFUNCTION("""COMPUTED_VALUE"""),"BELEN MANDIN")</f>
        <v>BELEN MANDIN</v>
      </c>
      <c r="C3137" s="235" t="str">
        <f>IFERROR(__xludf.DUMMYFUNCTION("""COMPUTED_VALUE"""),"CAPS COLLEGE")</f>
        <v>CAPS COLLEGE</v>
      </c>
      <c r="D3137" s="196" t="str">
        <f>IFERROR(__xludf.DUMMYFUNCTION("""COMPUTED_VALUE"""),"- 3 PCS TARPAULIN FOR CAREER FAIR(2-5 FT x 6 FT)
- 3 PCS TARPAULIN STAND")</f>
        <v>- 3 PCS TARPAULIN FOR CAREER FAIR(2-5 FT x 6 FT)
- 3 PCS TARPAULIN STAND</v>
      </c>
      <c r="E3137" s="196" t="str">
        <f>IFERROR(__xludf.DUMMYFUNCTION("""COMPUTED_VALUE"""),"TARPAULIN FOR CAREER FAIR")</f>
        <v>TARPAULIN FOR CAREER FAIR</v>
      </c>
    </row>
    <row r="3138">
      <c r="A3138" s="234">
        <f>IFERROR(__xludf.DUMMYFUNCTION("""COMPUTED_VALUE"""),103429.0)</f>
        <v>103429</v>
      </c>
      <c r="B3138" s="235" t="str">
        <f>IFERROR(__xludf.DUMMYFUNCTION("""COMPUTED_VALUE"""),"CHRISTIAN GALICIA")</f>
        <v>CHRISTIAN GALICIA</v>
      </c>
      <c r="C3138" s="235" t="str">
        <f>IFERROR(__xludf.DUMMYFUNCTION("""COMPUTED_VALUE"""),"AMD")</f>
        <v>AMD</v>
      </c>
      <c r="D3138" s="196" t="str">
        <f>IFERROR(__xludf.DUMMYFUNCTION("""COMPUTED_VALUE"""),"5000 PCS PAPER, SISC LETTERHEAD COL. A4")</f>
        <v>5000 PCS PAPER, SISC LETTERHEAD COL. A4</v>
      </c>
      <c r="E3138" s="196" t="str">
        <f>IFERROR(__xludf.DUMMYFUNCTION("""COMPUTED_VALUE"""),"OSSUP STOCK REPLENISHMENT")</f>
        <v>OSSUP STOCK REPLENISHMENT</v>
      </c>
    </row>
    <row r="3139">
      <c r="A3139" s="234">
        <f>IFERROR(__xludf.DUMMYFUNCTION("""COMPUTED_VALUE"""),103430.0)</f>
        <v>103430</v>
      </c>
      <c r="B3139" s="235" t="str">
        <f>IFERROR(__xludf.DUMMYFUNCTION("""COMPUTED_VALUE"""),"LORRAINE ALMAZAN/ARIS IGNACIO")</f>
        <v>LORRAINE ALMAZAN/ARIS IGNACIO</v>
      </c>
      <c r="C3139" s="235" t="str">
        <f>IFERROR(__xludf.DUMMYFUNCTION("""COMPUTED_VALUE"""),"MIS")</f>
        <v>MIS</v>
      </c>
      <c r="D3139" s="196" t="str">
        <f>IFERROR(__xludf.DUMMYFUNCTION("""COMPUTED_VALUE"""),"80 PCS ACER VERITON X27106 DESKTOP W/
- 80 PCS ADDITIONAL 8 GB RAM
- 80 PCS ADDITIONAL 4 GB GPU
INCLUSIONS: 
- FREE MONITORS &amp; PERIPHERALS
- FREE LAPTOP
- RENEWAL OF PARTNER W/ ACER")</f>
        <v>80 PCS ACER VERITON X27106 DESKTOP W/
- 80 PCS ADDITIONAL 8 GB RAM
- 80 PCS ADDITIONAL 4 GB GPU
INCLUSIONS: 
- FREE MONITORS &amp; PERIPHERALS
- FREE LAPTOP
- RENEWAL OF PARTNER W/ ACER</v>
      </c>
      <c r="E3139" s="196" t="str">
        <f>IFERROR(__xludf.DUMMYFUNCTION("""COMPUTED_VALUE"""),"COLLEGE COMLAB UNITS UPGRADE EXISTING UNITS WERE PURCHASED LAST 2016")</f>
        <v>COLLEGE COMLAB UNITS UPGRADE EXISTING UNITS WERE PURCHASED LAST 2016</v>
      </c>
    </row>
    <row r="3140">
      <c r="A3140" s="234">
        <f>IFERROR(__xludf.DUMMYFUNCTION("""COMPUTED_VALUE"""),103431.0)</f>
        <v>103431</v>
      </c>
      <c r="B3140" s="235" t="str">
        <f>IFERROR(__xludf.DUMMYFUNCTION("""COMPUTED_VALUE"""),"PAUL ARANA")</f>
        <v>PAUL ARANA</v>
      </c>
      <c r="C3140" s="235" t="str">
        <f>IFERROR(__xludf.DUMMYFUNCTION("""COMPUTED_VALUE"""),"MIS")</f>
        <v>MIS</v>
      </c>
      <c r="D3140" s="196" t="str">
        <f>IFERROR(__xludf.DUMMYFUNCTION("""COMPUTED_VALUE"""),"- 10 PCS STANLEY SCREWDRIVER
- 10 PCS STANLEY DIAGONAL CUTTER
- 10 PCS COMPUTER BRUSH
- 5 PCS SCISSORS
- 10 PCS CABLE TIE
- 4 PCS VACUUM CLEANER
- 4 PCS CONTACT CLEANER
- 10 PCS HDD 4TB
- 5 PCS DOCKING STATION USB 3.0
- 20 PCS VGA TO HDMI CONNECTOR
- 50 P"&amp;"CS VGA CABLE")</f>
        <v>- 10 PCS STANLEY SCREWDRIVER
- 10 PCS STANLEY DIAGONAL CUTTER
- 10 PCS COMPUTER BRUSH
- 5 PCS SCISSORS
- 10 PCS CABLE TIE
- 4 PCS VACUUM CLEANER
- 4 PCS CONTACT CLEANER
- 10 PCS HDD 4TB
- 5 PCS DOCKING STATION USB 3.0
- 20 PCS VGA TO HDMI CONNECTOR
- 50 PCS VGA CABLE</v>
      </c>
      <c r="E3140" s="196" t="str">
        <f>IFERROR(__xludf.DUMMYFUNCTION("""COMPUTED_VALUE"""),"FOR PREVENTIVE MAINTENANCE OF COMPUTERS")</f>
        <v>FOR PREVENTIVE MAINTENANCE OF COMPUTERS</v>
      </c>
    </row>
    <row r="3141">
      <c r="A3141" s="234">
        <f>IFERROR(__xludf.DUMMYFUNCTION("""COMPUTED_VALUE"""),103432.0)</f>
        <v>103432</v>
      </c>
      <c r="B3141" s="235" t="str">
        <f>IFERROR(__xludf.DUMMYFUNCTION("""COMPUTED_VALUE"""),"KEI GABUTERO/LORRAINE ALMAZAN")</f>
        <v>KEI GABUTERO/LORRAINE ALMAZAN</v>
      </c>
      <c r="C3141" s="235" t="str">
        <f>IFERROR(__xludf.DUMMYFUNCTION("""COMPUTED_VALUE"""),"MMA/MIS")</f>
        <v>MMA/MIS</v>
      </c>
      <c r="D3141" s="196" t="str">
        <f>IFERROR(__xludf.DUMMYFUNCTION("""COMPUTED_VALUE"""),"29 PCS iMAC 24 INCH, APPLE M1 CHIP
- 8-CORE CPU, 8-CORE GPU, 256 GB
- COLOR: GRAY")</f>
        <v>29 PCS iMAC 24 INCH, APPLE M1 CHIP
- 8-CORE CPU, 8-CORE GPU, 256 GB
- COLOR: GRAY</v>
      </c>
      <c r="E3141" s="196" t="str">
        <f>IFERROR(__xludf.DUMMYFUNCTION("""COMPUTED_VALUE"""),"MMA COMLAB UPGRADE")</f>
        <v>MMA COMLAB UPGRADE</v>
      </c>
    </row>
    <row r="3142">
      <c r="A3142" s="234">
        <f>IFERROR(__xludf.DUMMYFUNCTION("""COMPUTED_VALUE"""),103433.0)</f>
        <v>103433</v>
      </c>
      <c r="B3142" s="235" t="str">
        <f>IFERROR(__xludf.DUMMYFUNCTION("""COMPUTED_VALUE"""),"ALFA DE LEON")</f>
        <v>ALFA DE LEON</v>
      </c>
      <c r="C3142" s="235" t="str">
        <f>IFERROR(__xludf.DUMMYFUNCTION("""COMPUTED_VALUE"""),"ADMIN - MUNICH")</f>
        <v>ADMIN - MUNICH</v>
      </c>
      <c r="D3142" s="196" t="str">
        <f>IFERROR(__xludf.DUMMYFUNCTION("""COMPUTED_VALUE"""),"1 PC PRESSURE TANK 82 GALS STAINLESS GAUGE 14")</f>
        <v>1 PC PRESSURE TANK 82 GALS STAINLESS GAUGE 14</v>
      </c>
      <c r="E3142" s="196" t="str">
        <f>IFERROR(__xludf.DUMMYFUNCTION("""COMPUTED_VALUE"""),"REPLACEMENT OF BROKEN WATER TANK - MUNICH")</f>
        <v>REPLACEMENT OF BROKEN WATER TANK - MUNICH</v>
      </c>
    </row>
    <row r="3143">
      <c r="A3143" s="234">
        <f>IFERROR(__xludf.DUMMYFUNCTION("""COMPUTED_VALUE"""),103434.0)</f>
        <v>103434</v>
      </c>
      <c r="B3143" s="235" t="str">
        <f>IFERROR(__xludf.DUMMYFUNCTION("""COMPUTED_VALUE"""),"JORA CASIS")</f>
        <v>JORA CASIS</v>
      </c>
      <c r="C3143" s="235" t="str">
        <f>IFERROR(__xludf.DUMMYFUNCTION("""COMPUTED_VALUE"""),"CBET")</f>
        <v>CBET</v>
      </c>
      <c r="D3143" s="196" t="str">
        <f>IFERROR(__xludf.DUMMYFUNCTION("""COMPUTED_VALUE"""),"500 PCS CALLING CARD")</f>
        <v>500 PCS CALLING CARD</v>
      </c>
      <c r="E3143" s="196" t="str">
        <f>IFERROR(__xludf.DUMMYFUNCTION("""COMPUTED_VALUE"""),"DR. RENE'S CALLING CARD")</f>
        <v>DR. RENE'S CALLING CARD</v>
      </c>
    </row>
    <row r="3144">
      <c r="A3144" s="234">
        <f>IFERROR(__xludf.DUMMYFUNCTION("""COMPUTED_VALUE"""),103435.0)</f>
        <v>103435</v>
      </c>
      <c r="B3144" s="235" t="str">
        <f>IFERROR(__xludf.DUMMYFUNCTION("""COMPUTED_VALUE"""),"CAROL LACERNA")</f>
        <v>CAROL LACERNA</v>
      </c>
      <c r="C3144" s="235" t="str">
        <f>IFERROR(__xludf.DUMMYFUNCTION("""COMPUTED_VALUE"""),"ABU")</f>
        <v>ABU</v>
      </c>
      <c r="D3144" s="196" t="str">
        <f>IFERROR(__xludf.DUMMYFUNCTION("""COMPUTED_VALUE"""),"- 140 PCS TOWPEP JOURNAL 1
- 120 PCS TOWPEP JOURNAL 2
- 130 PCS TOWPEP JOURNAL 3
- 100 PCS TOWPEP JOURNAL 4
- 110 PCS TOWPEP JOURNAL 5
- 110 PCS TOWPEP JOURNAL 6
- 165 PCS TOWPEP JOURNAL 7
- 170 PCS TOWPEP JOURNAL 8
- 155 PCS TOWPEP JOURNAL 9
- 195 PCS TO"&amp;"WPEP JOURNAL 10
- 195 PCS TOWPEP JOURNAL 11
- 130 PCS TOWPEP JOURNAL 12")</f>
        <v>- 140 PCS TOWPEP JOURNAL 1
- 120 PCS TOWPEP JOURNAL 2
- 130 PCS TOWPEP JOURNAL 3
- 100 PCS TOWPEP JOURNAL 4
- 110 PCS TOWPEP JOURNAL 5
- 110 PCS TOWPEP JOURNAL 6
- 165 PCS TOWPEP JOURNAL 7
- 170 PCS TOWPEP JOURNAL 8
- 155 PCS TOWPEP JOURNAL 9
- 195 PCS TOWPEP JOURNAL 10
- 195 PCS TOWPEP JOURNAL 11
- 130 PCS TOWPEP JOURNAL 12</v>
      </c>
      <c r="E3144" s="196" t="str">
        <f>IFERROR(__xludf.DUMMYFUNCTION("""COMPUTED_VALUE"""),"STUDENT SPECS BOOKS FOR AY 2023 - 2024")</f>
        <v>STUDENT SPECS BOOKS FOR AY 2023 - 2024</v>
      </c>
    </row>
    <row r="3145">
      <c r="A3145" s="234">
        <f>IFERROR(__xludf.DUMMYFUNCTION("""COMPUTED_VALUE"""),103436.0)</f>
        <v>103436</v>
      </c>
      <c r="B3145" s="235" t="str">
        <f>IFERROR(__xludf.DUMMYFUNCTION("""COMPUTED_VALUE"""),"JOHNNY QUIQUI")</f>
        <v>JOHNNY QUIQUI</v>
      </c>
      <c r="C3145" s="235" t="str">
        <f>IFERROR(__xludf.DUMMYFUNCTION("""COMPUTED_VALUE"""),"STUFFSHOP")</f>
        <v>STUFFSHOP</v>
      </c>
      <c r="D3145" s="196" t="str">
        <f>IFERROR(__xludf.DUMMYFUNCTION("""COMPUTED_VALUE"""),"1 PC CASH BOX")</f>
        <v>1 PC CASH BOX</v>
      </c>
      <c r="E3145" s="196" t="str">
        <f>IFERROR(__xludf.DUMMYFUNCTION("""COMPUTED_VALUE"""),"USE FOR BOOK SALES")</f>
        <v>USE FOR BOOK SALES</v>
      </c>
    </row>
    <row r="3146">
      <c r="A3146" s="234">
        <f>IFERROR(__xludf.DUMMYFUNCTION("""COMPUTED_VALUE"""),103437.0)</f>
        <v>103437</v>
      </c>
      <c r="B3146" s="235" t="str">
        <f>IFERROR(__xludf.DUMMYFUNCTION("""COMPUTED_VALUE"""),"JAN GUTTIEREZ")</f>
        <v>JAN GUTTIEREZ</v>
      </c>
      <c r="C3146" s="235" t="str">
        <f>IFERROR(__xludf.DUMMYFUNCTION("""COMPUTED_VALUE"""),"DP'S OFFICE")</f>
        <v>DP'S OFFICE</v>
      </c>
      <c r="D3146" s="196" t="str">
        <f>IFERROR(__xludf.DUMMYFUNCTION("""COMPUTED_VALUE"""),"150 PARENTS INVITATION TICKETS 8.25 X 2.75")</f>
        <v>150 PARENTS INVITATION TICKETS 8.25 X 2.75</v>
      </c>
      <c r="E3146" s="196" t="str">
        <f>IFERROR(__xludf.DUMMYFUNCTION("""COMPUTED_VALUE"""),"SHS GRADUATION AY 22-23")</f>
        <v>SHS GRADUATION AY 22-23</v>
      </c>
    </row>
    <row r="3147">
      <c r="A3147" s="234">
        <f>IFERROR(__xludf.DUMMYFUNCTION("""COMPUTED_VALUE"""),103438.0)</f>
        <v>103438</v>
      </c>
      <c r="B3147" s="235" t="str">
        <f>IFERROR(__xludf.DUMMYFUNCTION("""COMPUTED_VALUE"""),"JOMMEL ESPIGOL")</f>
        <v>JOMMEL ESPIGOL</v>
      </c>
      <c r="C3147" s="235" t="str">
        <f>IFERROR(__xludf.DUMMYFUNCTION("""COMPUTED_VALUE"""),"HRMD")</f>
        <v>HRMD</v>
      </c>
      <c r="D3147" s="196" t="str">
        <f>IFERROR(__xludf.DUMMYFUNCTION("""COMPUTED_VALUE"""),"1 PC SYMPATHY FLOWER WREATH")</f>
        <v>1 PC SYMPATHY FLOWER WREATH</v>
      </c>
      <c r="E3147" s="196" t="str">
        <f>IFERROR(__xludf.DUMMYFUNCTION("""COMPUTED_VALUE"""),"FOR THE FATHER OF JAYSON NOBELLANO")</f>
        <v>FOR THE FATHER OF JAYSON NOBELLANO</v>
      </c>
    </row>
    <row r="3148">
      <c r="A3148" s="234">
        <f>IFERROR(__xludf.DUMMYFUNCTION("""COMPUTED_VALUE"""),103439.0)</f>
        <v>103439</v>
      </c>
      <c r="B3148" s="235" t="str">
        <f>IFERROR(__xludf.DUMMYFUNCTION("""COMPUTED_VALUE"""),"JOMMEL ESPIGOL")</f>
        <v>JOMMEL ESPIGOL</v>
      </c>
      <c r="C3148" s="235" t="str">
        <f>IFERROR(__xludf.DUMMYFUNCTION("""COMPUTED_VALUE"""),"HRMD")</f>
        <v>HRMD</v>
      </c>
      <c r="D3148" s="196" t="str">
        <f>IFERROR(__xludf.DUMMYFUNCTION("""COMPUTED_VALUE"""),"1 PC SYMPATHY FLOWER WREATH")</f>
        <v>1 PC SYMPATHY FLOWER WREATH</v>
      </c>
      <c r="E3148" s="196" t="str">
        <f>IFERROR(__xludf.DUMMYFUNCTION("""COMPUTED_VALUE"""),"FOR THE FATHER OF MS ANN VILLARUZ")</f>
        <v>FOR THE FATHER OF MS ANN VILLARUZ</v>
      </c>
    </row>
    <row r="3149">
      <c r="A3149" s="234">
        <f>IFERROR(__xludf.DUMMYFUNCTION("""COMPUTED_VALUE"""),103440.0)</f>
        <v>103440</v>
      </c>
      <c r="B3149" s="235" t="str">
        <f>IFERROR(__xludf.DUMMYFUNCTION("""COMPUTED_VALUE"""),"NESSIE A. LUMBRES")</f>
        <v>NESSIE A. LUMBRES</v>
      </c>
      <c r="C3149" s="235" t="str">
        <f>IFERROR(__xludf.DUMMYFUNCTION("""COMPUTED_VALUE"""),"BASIC ED")</f>
        <v>BASIC ED</v>
      </c>
      <c r="D3149" s="196" t="str">
        <f>IFERROR(__xludf.DUMMYFUNCTION("""COMPUTED_VALUE"""),"MEDALS
- 70 PCS ACADEMIC EXCELLENCE(BRONZE) PINK LACE
- 85 PCS ACADEMIC EXCELLENCE(SILVER) PURPLE LACE
- 146 PCS ACADEMIC EXCELLENCE(GOLD) GREEN LACE
- 80 PCS PERFECT ATTENDANCE(YELLOW LACE)
- 181 PCS VALUES EXCELLENCE(WHITE LACE)")</f>
        <v>MEDALS
- 70 PCS ACADEMIC EXCELLENCE(BRONZE) PINK LACE
- 85 PCS ACADEMIC EXCELLENCE(SILVER) PURPLE LACE
- 146 PCS ACADEMIC EXCELLENCE(GOLD) GREEN LACE
- 80 PCS PERFECT ATTENDANCE(YELLOW LACE)
- 181 PCS VALUES EXCELLENCE(WHITE LACE)</v>
      </c>
      <c r="E3149" s="196" t="str">
        <f>IFERROR(__xludf.DUMMYFUNCTION("""COMPUTED_VALUE"""),"RECOGNITION JULY 12, 2023")</f>
        <v>RECOGNITION JULY 12, 2023</v>
      </c>
    </row>
    <row r="3150">
      <c r="A3150" s="234">
        <f>IFERROR(__xludf.DUMMYFUNCTION("""COMPUTED_VALUE"""),103441.0)</f>
        <v>103441</v>
      </c>
      <c r="B3150" s="235" t="str">
        <f>IFERROR(__xludf.DUMMYFUNCTION("""COMPUTED_VALUE"""),"JESUIT CHRISTIAN GALICIA")</f>
        <v>JESUIT CHRISTIAN GALICIA</v>
      </c>
      <c r="C3150" s="235" t="str">
        <f>IFERROR(__xludf.DUMMYFUNCTION("""COMPUTED_VALUE"""),"AMD")</f>
        <v>AMD</v>
      </c>
      <c r="D3150" s="196" t="str">
        <f>IFERROR(__xludf.DUMMYFUNCTION("""COMPUTED_VALUE"""),"6500 PCS ENVELOPE, SISC LETTER COLORED(W/O WINDOWS)")</f>
        <v>6500 PCS ENVELOPE, SISC LETTER COLORED(W/O WINDOWS)</v>
      </c>
      <c r="E3150" s="196" t="str">
        <f>IFERROR(__xludf.DUMMYFUNCTION("""COMPUTED_VALUE"""),"OSSUP STOCK REPLENISHMENT")</f>
        <v>OSSUP STOCK REPLENISHMENT</v>
      </c>
    </row>
    <row r="3151">
      <c r="A3151" s="234">
        <f>IFERROR(__xludf.DUMMYFUNCTION("""COMPUTED_VALUE"""),103442.0)</f>
        <v>103442</v>
      </c>
      <c r="B3151" s="235" t="str">
        <f>IFERROR(__xludf.DUMMYFUNCTION("""COMPUTED_VALUE"""),"JAN GUTIERREZ")</f>
        <v>JAN GUTIERREZ</v>
      </c>
      <c r="C3151" s="235" t="str">
        <f>IFERROR(__xludf.DUMMYFUNCTION("""COMPUTED_VALUE"""),"SHS DEPARTMENT")</f>
        <v>SHS DEPARTMENT</v>
      </c>
      <c r="D3151" s="196" t="str">
        <f>IFERROR(__xludf.DUMMYFUNCTION("""COMPUTED_VALUE"""),"- 206 PCS VALUES EXCELLENCE(WHITE LACE)
- 43 PCS PERFECT ATTENDANCE(YELLOW LACE)
- 122 PCS ACADEMIC EXCELLENCE(GREEN LACE) GOLD
- 62 PCS ACADEMIC EXCELLENCE(PURPLE LACE) SILVER
- 52 PCS ACADEMIC EXCELLENCE(PINK LACE) BRONZE")</f>
        <v>- 206 PCS VALUES EXCELLENCE(WHITE LACE)
- 43 PCS PERFECT ATTENDANCE(YELLOW LACE)
- 122 PCS ACADEMIC EXCELLENCE(GREEN LACE) GOLD
- 62 PCS ACADEMIC EXCELLENCE(PURPLE LACE) SILVER
- 52 PCS ACADEMIC EXCELLENCE(PINK LACE) BRONZE</v>
      </c>
      <c r="E3151" s="196" t="str">
        <f>IFERROR(__xludf.DUMMYFUNCTION("""COMPUTED_VALUE"""),"GRADE 10 - 11 RECOGNITION MEDAL")</f>
        <v>GRADE 10 - 11 RECOGNITION MEDAL</v>
      </c>
    </row>
    <row r="3152">
      <c r="A3152" s="234">
        <f>IFERROR(__xludf.DUMMYFUNCTION("""COMPUTED_VALUE"""),103443.0)</f>
        <v>103443</v>
      </c>
      <c r="B3152" s="235" t="str">
        <f>IFERROR(__xludf.DUMMYFUNCTION("""COMPUTED_VALUE"""),"RONALDO VERDE")</f>
        <v>RONALDO VERDE</v>
      </c>
      <c r="C3152" s="235" t="str">
        <f>IFERROR(__xludf.DUMMYFUNCTION("""COMPUTED_VALUE"""),"ADMIN")</f>
        <v>ADMIN</v>
      </c>
      <c r="D3152" s="196" t="str">
        <f>IFERROR(__xludf.DUMMYFUNCTION("""COMPUTED_VALUE"""),"4 PCS TIRES FOR AVANZA")</f>
        <v>4 PCS TIRES FOR AVANZA</v>
      </c>
      <c r="E3152" s="196" t="str">
        <f>IFERROR(__xludf.DUMMYFUNCTION("""COMPUTED_VALUE"""),"PREVENTIVE MAINTENANCE")</f>
        <v>PREVENTIVE MAINTENANCE</v>
      </c>
    </row>
    <row r="3153">
      <c r="A3153" s="234">
        <f>IFERROR(__xludf.DUMMYFUNCTION("""COMPUTED_VALUE"""),103444.0)</f>
        <v>103444</v>
      </c>
      <c r="B3153" s="235" t="str">
        <f>IFERROR(__xludf.DUMMYFUNCTION("""COMPUTED_VALUE"""),"JESUIT CHRISTIAN GALICIA")</f>
        <v>JESUIT CHRISTIAN GALICIA</v>
      </c>
      <c r="C3153" s="235" t="str">
        <f>IFERROR(__xludf.DUMMYFUNCTION("""COMPUTED_VALUE"""),"AMD")</f>
        <v>AMD</v>
      </c>
      <c r="D3153" s="196" t="str">
        <f>IFERROR(__xludf.DUMMYFUNCTION("""COMPUTED_VALUE"""),"- 1000 PCS ENVELOPE, BROWN LONG
- 800 PCS ENVELOPE, BROWN SHORT
- 100 PCS PAPER, CARBON PAPER LONG
- 360 PCS PEN, SIGN - PILOT BX-V5 BLACK")</f>
        <v>- 1000 PCS ENVELOPE, BROWN LONG
- 800 PCS ENVELOPE, BROWN SHORT
- 100 PCS PAPER, CARBON PAPER LONG
- 360 PCS PEN, SIGN - PILOT BX-V5 BLACK</v>
      </c>
      <c r="E3153" s="196" t="str">
        <f>IFERROR(__xludf.DUMMYFUNCTION("""COMPUTED_VALUE"""),"OSSUP STOCK REPLENISHMENT")</f>
        <v>OSSUP STOCK REPLENISHMENT</v>
      </c>
    </row>
    <row r="3154">
      <c r="A3154" s="234">
        <f>IFERROR(__xludf.DUMMYFUNCTION("""COMPUTED_VALUE"""),103445.0)</f>
        <v>103445</v>
      </c>
      <c r="B3154" s="235" t="str">
        <f>IFERROR(__xludf.DUMMYFUNCTION("""COMPUTED_VALUE"""),"JESUIT CHRISTIAN GALICIA")</f>
        <v>JESUIT CHRISTIAN GALICIA</v>
      </c>
      <c r="C3154" s="235" t="str">
        <f>IFERROR(__xludf.DUMMYFUNCTION("""COMPUTED_VALUE"""),"AMD")</f>
        <v>AMD</v>
      </c>
      <c r="D3154" s="196" t="str">
        <f>IFERROR(__xludf.DUMMYFUNCTION("""COMPUTED_VALUE"""),"- 440 PCS BATTERY, ENERGIZER SIZE AAA
- 80 PCS BATTERY, EVEREADY SIZE C
- 160 PCS BOARD, VELLUM(LONG)
- 200 PCS CARTOLINA, BLACK
- 100 PCS CARTOLINA, PINK
- 100 PCS CARTOLINA, WHITE
- 100 PCS CARTOLINA, NEON BLUE
- 40 PCS CLEARBOOK, UNREFILLABLE 20'S LONG"&amp;"
- 70 PCS CLIP, BINDER JOY 2""
- 155 PCS CLIP, PAPER(120GMS/BOX), PRINCE VINYL COATED - BIG")</f>
        <v>- 440 PCS BATTERY, ENERGIZER SIZE AAA
- 80 PCS BATTERY, EVEREADY SIZE C
- 160 PCS BOARD, VELLUM(LONG)
- 200 PCS CARTOLINA, BLACK
- 100 PCS CARTOLINA, PINK
- 100 PCS CARTOLINA, WHITE
- 100 PCS CARTOLINA, NEON BLUE
- 40 PCS CLEARBOOK, UNREFILLABLE 20'S LONG
- 70 PCS CLIP, BINDER JOY 2"
- 155 PCS CLIP, PAPER(120GMS/BOX), PRINCE VINYL COATED - BIG</v>
      </c>
      <c r="E3154" s="196" t="str">
        <f>IFERROR(__xludf.DUMMYFUNCTION("""COMPUTED_VALUE"""),"OSSUP STOCK REPLENISHMENT")</f>
        <v>OSSUP STOCK REPLENISHMENT</v>
      </c>
    </row>
    <row r="3155">
      <c r="A3155" s="234">
        <f>IFERROR(__xludf.DUMMYFUNCTION("""COMPUTED_VALUE"""),103446.0)</f>
        <v>103446</v>
      </c>
      <c r="B3155" s="235" t="str">
        <f>IFERROR(__xludf.DUMMYFUNCTION("""COMPUTED_VALUE"""),"RORY MANSBRIDGE")</f>
        <v>RORY MANSBRIDGE</v>
      </c>
      <c r="C3155" s="235" t="str">
        <f>IFERROR(__xludf.DUMMYFUNCTION("""COMPUTED_VALUE"""),"ATHLETICS")</f>
        <v>ATHLETICS</v>
      </c>
      <c r="D3155" s="196" t="str">
        <f>IFERROR(__xludf.DUMMYFUNCTION("""COMPUTED_VALUE"""),"- 1 PC TREADMILL(DECATHALON)
- 2 PCS SPINNING BIKE(CHRIS SPORTS)
- 1 PC BODYBUILDING RACK(DECATHALON)
- 30 PCS TRAINING BIBS ORANGE(DECATHALON)
- 30 PCS TRAINING BIBS BLUE(DECATHALON)
- 30 PCS TRAINING BIBS GREEN(DECATHALON)")</f>
        <v>- 1 PC TREADMILL(DECATHALON)
- 2 PCS SPINNING BIKE(CHRIS SPORTS)
- 1 PC BODYBUILDING RACK(DECATHALON)
- 30 PCS TRAINING BIBS ORANGE(DECATHALON)
- 30 PCS TRAINING BIBS BLUE(DECATHALON)
- 30 PCS TRAINING BIBS GREEN(DECATHALON)</v>
      </c>
      <c r="E3155" s="196" t="str">
        <f>IFERROR(__xludf.DUMMYFUNCTION("""COMPUTED_VALUE"""),"GYM EQUIPMENT FOR MONARCHS FITNESS HUB")</f>
        <v>GYM EQUIPMENT FOR MONARCHS FITNESS HUB</v>
      </c>
    </row>
    <row r="3156">
      <c r="A3156" s="234">
        <f>IFERROR(__xludf.DUMMYFUNCTION("""COMPUTED_VALUE"""),103447.0)</f>
        <v>103447</v>
      </c>
      <c r="B3156" s="235" t="str">
        <f>IFERROR(__xludf.DUMMYFUNCTION("""COMPUTED_VALUE"""),"ALLISTINE PEREZ")</f>
        <v>ALLISTINE PEREZ</v>
      </c>
      <c r="C3156" s="235" t="str">
        <f>IFERROR(__xludf.DUMMYFUNCTION("""COMPUTED_VALUE"""),"REGISTRATION")</f>
        <v>REGISTRATION</v>
      </c>
      <c r="D3156" s="196" t="str">
        <f>IFERROR(__xludf.DUMMYFUNCTION("""COMPUTED_VALUE"""),"10 REAMS BASIC EDUCATION TOR PAPERS")</f>
        <v>10 REAMS BASIC EDUCATION TOR PAPERS</v>
      </c>
      <c r="E3156" s="196" t="str">
        <f>IFERROR(__xludf.DUMMYFUNCTION("""COMPUTED_VALUE"""),"PEAK SEASON OF CREDENTIAL REQUESTS")</f>
        <v>PEAK SEASON OF CREDENTIAL REQUESTS</v>
      </c>
    </row>
    <row r="3157">
      <c r="A3157" s="234">
        <f>IFERROR(__xludf.DUMMYFUNCTION("""COMPUTED_VALUE"""),103448.0)</f>
        <v>103448</v>
      </c>
      <c r="B3157" s="235" t="str">
        <f>IFERROR(__xludf.DUMMYFUNCTION("""COMPUTED_VALUE"""),"EJ ALIERMO")</f>
        <v>EJ ALIERMO</v>
      </c>
      <c r="C3157" s="235" t="str">
        <f>IFERROR(__xludf.DUMMYFUNCTION("""COMPUTED_VALUE"""),"AMD")</f>
        <v>AMD</v>
      </c>
      <c r="D3157" s="196" t="str">
        <f>IFERROR(__xludf.DUMMYFUNCTION("""COMPUTED_VALUE"""),"- 1 PC SISC SHS TOGA GOWN 3XL
- 21 PCS SISC SHS TOGA GOWN 2XS
- 36 PCS SISC SHS TOGA GOWN XS
- 21 PCS SISC SHS TOGA GOWN S
- 46 PCS SISC TOGA CAP PURPLE SHS
- 43 PCS GRADUATION STOLE SISC SHS")</f>
        <v>- 1 PC SISC SHS TOGA GOWN 3XL
- 21 PCS SISC SHS TOGA GOWN 2XS
- 36 PCS SISC SHS TOGA GOWN XS
- 21 PCS SISC SHS TOGA GOWN S
- 46 PCS SISC TOGA CAP PURPLE SHS
- 43 PCS GRADUATION STOLE SISC SHS</v>
      </c>
      <c r="E3157" s="196" t="str">
        <f>IFERROR(__xludf.DUMMYFUNCTION("""COMPUTED_VALUE"""),"FOR SHS GRADUATION")</f>
        <v>FOR SHS GRADUATION</v>
      </c>
    </row>
    <row r="3158">
      <c r="A3158" s="234">
        <f>IFERROR(__xludf.DUMMYFUNCTION("""COMPUTED_VALUE"""),103449.0)</f>
        <v>103449</v>
      </c>
      <c r="B3158" s="235" t="str">
        <f>IFERROR(__xludf.DUMMYFUNCTION("""COMPUTED_VALUE"""),"EJ ALIERMO")</f>
        <v>EJ ALIERMO</v>
      </c>
      <c r="C3158" s="235" t="str">
        <f>IFERROR(__xludf.DUMMYFUNCTION("""COMPUTED_VALUE"""),"AMD")</f>
        <v>AMD</v>
      </c>
      <c r="D3158" s="196" t="str">
        <f>IFERROR(__xludf.DUMMYFUNCTION("""COMPUTED_VALUE"""),"- 8 PCS IB CAP(GRADUATION) NEW
- 4 PCS IB STOLE NEW")</f>
        <v>- 8 PCS IB CAP(GRADUATION) NEW
- 4 PCS IB STOLE NEW</v>
      </c>
      <c r="E3158" s="196" t="str">
        <f>IFERROR(__xludf.DUMMYFUNCTION("""COMPUTED_VALUE"""),"USED BY STUDENTS; GRADUATING RENTAL")</f>
        <v>USED BY STUDENTS; GRADUATING RENTAL</v>
      </c>
    </row>
    <row r="3159">
      <c r="A3159" s="234">
        <f>IFERROR(__xludf.DUMMYFUNCTION("""COMPUTED_VALUE"""),103450.0)</f>
        <v>103450</v>
      </c>
      <c r="B3159" s="235" t="str">
        <f>IFERROR(__xludf.DUMMYFUNCTION("""COMPUTED_VALUE"""),"SHEREE ESPINOSA")</f>
        <v>SHEREE ESPINOSA</v>
      </c>
      <c r="C3159" s="235" t="str">
        <f>IFERROR(__xludf.DUMMYFUNCTION("""COMPUTED_VALUE"""),"ADMIN")</f>
        <v>ADMIN</v>
      </c>
      <c r="D3159" s="196" t="str">
        <f>IFERROR(__xludf.DUMMYFUNCTION("""COMPUTED_VALUE"""),"MATERIALS FOR LUX CLASSROOM/HALLWAYS REPAINTING
- 10 TIN VANILLA ICE
- 25 KG BORAL
- 3 TIN FLAT LATEX
- 3 TIN SEMI GLOSS
- 2 METER SANDING PAPER
- 5 PCS BABY ROLLER
- 5 PCS PAINT BRUSH")</f>
        <v>MATERIALS FOR LUX CLASSROOM/HALLWAYS REPAINTING
- 10 TIN VANILLA ICE
- 25 KG BORAL
- 3 TIN FLAT LATEX
- 3 TIN SEMI GLOSS
- 2 METER SANDING PAPER
- 5 PCS BABY ROLLER
- 5 PCS PAINT BRUSH</v>
      </c>
      <c r="E3159" s="196" t="str">
        <f>IFERROR(__xludf.DUMMYFUNCTION("""COMPUTED_VALUE"""),"CLASSROOMS PREPARATION/MAINTENANCE")</f>
        <v>CLASSROOMS PREPARATION/MAINTENANCE</v>
      </c>
    </row>
    <row r="3160">
      <c r="A3160" s="234">
        <f>IFERROR(__xludf.DUMMYFUNCTION("""COMPUTED_VALUE"""),103451.0)</f>
        <v>103451</v>
      </c>
      <c r="B3160" s="235" t="str">
        <f>IFERROR(__xludf.DUMMYFUNCTION("""COMPUTED_VALUE"""),"ALFA DE LEON")</f>
        <v>ALFA DE LEON</v>
      </c>
      <c r="C3160" s="235" t="str">
        <f>IFERROR(__xludf.DUMMYFUNCTION("""COMPUTED_VALUE"""),"ADMIN - MUNICH")</f>
        <v>ADMIN - MUNICH</v>
      </c>
      <c r="D3160" s="196" t="str">
        <f>IFERROR(__xludf.DUMMYFUNCTION("""COMPUTED_VALUE"""),"- 50 METERS PLASTIC EDGING BLOCK #2""
- 1 GAL QDE WHITE
- 3 METERS SANDING PAPER 
- 1 GAL RUGBY
- 1 GAL PAINT THINNER
- 2 PCS PAINT ROLLER #4"" COTTON
- 2 PCS PAINT BRUSH #1 1/2")</f>
        <v>- 50 METERS PLASTIC EDGING BLOCK #2"
- 1 GAL QDE WHITE
- 3 METERS SANDING PAPER 
- 1 GAL RUGBY
- 1 GAL PAINT THINNER
- 2 PCS PAINT ROLLER #4" COTTON
- 2 PCS PAINT BRUSH #1 1/2</v>
      </c>
      <c r="E3160" s="196" t="str">
        <f>IFERROR(__xludf.DUMMYFUNCTION("""COMPUTED_VALUE"""),"REPAIR OF TABLES IN WAITING AREA")</f>
        <v>REPAIR OF TABLES IN WAITING AREA</v>
      </c>
    </row>
    <row r="3161">
      <c r="A3161" s="234">
        <f>IFERROR(__xludf.DUMMYFUNCTION("""COMPUTED_VALUE"""),103452.0)</f>
        <v>103452</v>
      </c>
      <c r="B3161" s="235" t="str">
        <f>IFERROR(__xludf.DUMMYFUNCTION("""COMPUTED_VALUE"""),"SHEREE ESPINOSA")</f>
        <v>SHEREE ESPINOSA</v>
      </c>
      <c r="C3161" s="235" t="str">
        <f>IFERROR(__xludf.DUMMYFUNCTION("""COMPUTED_VALUE"""),"ADMIN")</f>
        <v>ADMIN</v>
      </c>
      <c r="D3161" s="196" t="str">
        <f>IFERROR(__xludf.DUMMYFUNCTION("""COMPUTED_VALUE"""),"30 PCS CERAMIC POTS")</f>
        <v>30 PCS CERAMIC POTS</v>
      </c>
      <c r="E3161" s="196" t="str">
        <f>IFERROR(__xludf.DUMMYFUNCTION("""COMPUTED_VALUE"""),"FOR COLLEGE LOBBY")</f>
        <v>FOR COLLEGE LOBBY</v>
      </c>
    </row>
    <row r="3162">
      <c r="A3162" s="234">
        <f>IFERROR(__xludf.DUMMYFUNCTION("""COMPUTED_VALUE"""),103453.0)</f>
        <v>103453</v>
      </c>
      <c r="B3162" s="235" t="str">
        <f>IFERROR(__xludf.DUMMYFUNCTION("""COMPUTED_VALUE"""),"CHRISTIAN ANDRES")</f>
        <v>CHRISTIAN ANDRES</v>
      </c>
      <c r="C3162" s="235" t="str">
        <f>IFERROR(__xludf.DUMMYFUNCTION("""COMPUTED_VALUE"""),"PR &amp; MARKETING")</f>
        <v>PR &amp; MARKETING</v>
      </c>
      <c r="D3162" s="196" t="str">
        <f>IFERROR(__xludf.DUMMYFUNCTION("""COMPUTED_VALUE"""),"1 PC LOPEZ TARP EYELET ALL OVER WITH SEAMING BLACK OUT
- 6 x 10 FEET")</f>
        <v>1 PC LOPEZ TARP EYELET ALL OVER WITH SEAMING BLACK OUT
- 6 x 10 FEET</v>
      </c>
      <c r="E3162" s="196" t="str">
        <f>IFERROR(__xludf.DUMMYFUNCTION("""COMPUTED_VALUE"""),"MARKETING/PROMOTION")</f>
        <v>MARKETING/PROMOTION</v>
      </c>
    </row>
    <row r="3163">
      <c r="A3163" s="234">
        <f>IFERROR(__xludf.DUMMYFUNCTION("""COMPUTED_VALUE"""),103454.0)</f>
        <v>103454</v>
      </c>
      <c r="B3163" s="235" t="str">
        <f>IFERROR(__xludf.DUMMYFUNCTION("""COMPUTED_VALUE"""),"JESUIT CHRISTIAN GALICIA")</f>
        <v>JESUIT CHRISTIAN GALICIA</v>
      </c>
      <c r="C3163" s="235" t="str">
        <f>IFERROR(__xludf.DUMMYFUNCTION("""COMPUTED_VALUE"""),"AMD")</f>
        <v>AMD</v>
      </c>
      <c r="D3163" s="196" t="str">
        <f>IFERROR(__xludf.DUMMYFUNCTION("""COMPUTED_VALUE"""),"2,500 PCS PAPER PARCHMENT 8.5 x 11 ORDINARY")</f>
        <v>2,500 PCS PAPER PARCHMENT 8.5 x 11 ORDINARY</v>
      </c>
      <c r="E3163" s="196" t="str">
        <f>IFERROR(__xludf.DUMMYFUNCTION("""COMPUTED_VALUE"""),"OSSUP STOCK REPLENISHMENT")</f>
        <v>OSSUP STOCK REPLENISHMENT</v>
      </c>
    </row>
    <row r="3164">
      <c r="A3164" s="234">
        <f>IFERROR(__xludf.DUMMYFUNCTION("""COMPUTED_VALUE"""),103455.0)</f>
        <v>103455</v>
      </c>
      <c r="B3164" s="235" t="str">
        <f>IFERROR(__xludf.DUMMYFUNCTION("""COMPUTED_VALUE"""),"CHRISTIAN ANDRES")</f>
        <v>CHRISTIAN ANDRES</v>
      </c>
      <c r="C3164" s="235" t="str">
        <f>IFERROR(__xludf.DUMMYFUNCTION("""COMPUTED_VALUE"""),"PR &amp; MARKETING")</f>
        <v>PR &amp; MARKETING</v>
      </c>
      <c r="D3164" s="196" t="str">
        <f>IFERROR(__xludf.DUMMYFUNCTION("""COMPUTED_VALUE"""),"SISC INTERNAL MEDALS
- 20 PCS GOLD
- 20 PCS SILVER
- 20 PCS BRONZE
SISC FEEDER MEDALS
- 20 PCS BRASS")</f>
        <v>SISC INTERNAL MEDALS
- 20 PCS GOLD
- 20 PCS SILVER
- 20 PCS BRONZE
SISC FEEDER MEDALS
- 20 PCS BRASS</v>
      </c>
      <c r="E3164" s="196" t="str">
        <f>IFERROR(__xludf.DUMMYFUNCTION("""COMPUTED_VALUE"""),"PROMOTIONAL GIVEAWAY")</f>
        <v>PROMOTIONAL GIVEAWAY</v>
      </c>
    </row>
    <row r="3165">
      <c r="A3165" s="234">
        <f>IFERROR(__xludf.DUMMYFUNCTION("""COMPUTED_VALUE"""),103456.0)</f>
        <v>103456</v>
      </c>
      <c r="B3165" s="235" t="str">
        <f>IFERROR(__xludf.DUMMYFUNCTION("""COMPUTED_VALUE"""),"CHRISTIAN ANDRES")</f>
        <v>CHRISTIAN ANDRES</v>
      </c>
      <c r="C3165" s="235" t="str">
        <f>IFERROR(__xludf.DUMMYFUNCTION("""COMPUTED_VALUE"""),"PR &amp; MARKETING")</f>
        <v>PR &amp; MARKETING</v>
      </c>
      <c r="D3165" s="196" t="str">
        <f>IFERROR(__xludf.DUMMYFUNCTION("""COMPUTED_VALUE"""),"1 PC KEN CARE TARP 4 x 8 FEET EYELET ALL OVER WITH SEAMING BLACK OUT")</f>
        <v>1 PC KEN CARE TARP 4 x 8 FEET EYELET ALL OVER WITH SEAMING BLACK OUT</v>
      </c>
      <c r="E3165" s="196" t="str">
        <f>IFERROR(__xludf.DUMMYFUNCTION("""COMPUTED_VALUE"""),"MARKETING/PROMOTION")</f>
        <v>MARKETING/PROMOTION</v>
      </c>
    </row>
    <row r="3166">
      <c r="A3166" s="234">
        <f>IFERROR(__xludf.DUMMYFUNCTION("""COMPUTED_VALUE"""),103457.0)</f>
        <v>103457</v>
      </c>
      <c r="B3166" s="235" t="str">
        <f>IFERROR(__xludf.DUMMYFUNCTION("""COMPUTED_VALUE"""),"MELISSA ODONO/CARMELITA VILLEGAS")</f>
        <v>MELISSA ODONO/CARMELITA VILLEGAS</v>
      </c>
      <c r="C3166" s="235" t="str">
        <f>IFERROR(__xludf.DUMMYFUNCTION("""COMPUTED_VALUE"""),"COLLEGE LIBRARY/BSN")</f>
        <v>COLLEGE LIBRARY/BSN</v>
      </c>
      <c r="D3166" s="196" t="str">
        <f>IFERROR(__xludf.DUMMYFUNCTION("""COMPUTED_VALUE"""),"- 1 PC ESSENTIAL OF NURSING RESEARCH APPRAISING EVIDENCE FOR NURSING PRACTICE 10TH EDITION
- 1 PC MANAGING EMERGENCIES AND CRISES GLOBAL PERSPECTIVES 2ND EDITION
- 1 PC LEADING AND MANAGING IN NURSING 8TH EDITION
- 1 PC PRINCIPLES OF HEALTH EDUCATION AND "&amp;"PROMOTION 8TH EDITION
- 1 PC NURSING INFORMATICS AND THE FOUNDATION OF KNOWLEDGE
- 1 PC NURSING AS EDUCATOR PRINCIPLES OF TEACHING AND LEARNING FOR NURSING PRACTICE
- 1 PC NURSE ETHICS AND PROFESSIONAL RESPONSIBILITY IN ADVANCED PRACTICE
- 1 PC NDH NURSE'"&amp;"S DRUG HANDBOOK
- 1 PC ACKLEY &amp; LADWID'S GUIDE TO NURSING DIAGNOSIS 7TH EDITION
- 1 PC MOSBY'S DIAGNOSTIC &amp; LABORATORY TEST REFERENCE 6TH EDITION")</f>
        <v>- 1 PC ESSENTIAL OF NURSING RESEARCH APPRAISING EVIDENCE FOR NURSING PRACTICE 10TH EDITION
- 1 PC MANAGING EMERGENCIES AND CRISES GLOBAL PERSPECTIVES 2ND EDITION
- 1 PC LEADING AND MANAGING IN NURSING 8TH EDITION
- 1 PC PRINCIPLES OF HEALTH EDUCATION AND PROMOTION 8TH EDITION
- 1 PC NURSING INFORMATICS AND THE FOUNDATION OF KNOWLEDGE
- 1 PC NURSING AS EDUCATOR PRINCIPLES OF TEACHING AND LEARNING FOR NURSING PRACTICE
- 1 PC NURSE ETHICS AND PROFESSIONAL RESPONSIBILITY IN ADVANCED PRACTICE
- 1 PC NDH NURSE'S DRUG HANDBOOK
- 1 PC ACKLEY &amp; LADWID'S GUIDE TO NURSING DIAGNOSIS 7TH EDITION
- 1 PC MOSBY'S DIAGNOSTIC &amp; LABORATORY TEST REFERENCE 6TH EDITION</v>
      </c>
      <c r="E3166" s="196" t="str">
        <f>IFERROR(__xludf.DUMMYFUNCTION("""COMPUTED_VALUE"""),"LIBRARY'S COPY/FOR FACULTY/MGT/STAFF USE/PACUCOA COMPLIANCE")</f>
        <v>LIBRARY'S COPY/FOR FACULTY/MGT/STAFF USE/PACUCOA COMPLIANCE</v>
      </c>
    </row>
    <row r="3167">
      <c r="A3167" s="234">
        <f>IFERROR(__xludf.DUMMYFUNCTION("""COMPUTED_VALUE"""),103458.0)</f>
        <v>103458</v>
      </c>
      <c r="B3167" s="235" t="str">
        <f>IFERROR(__xludf.DUMMYFUNCTION("""COMPUTED_VALUE"""),"MELISSA ODONO/CARMELITA VILLEGAS")</f>
        <v>MELISSA ODONO/CARMELITA VILLEGAS</v>
      </c>
      <c r="C3167" s="235" t="str">
        <f>IFERROR(__xludf.DUMMYFUNCTION("""COMPUTED_VALUE"""),"COLLEGE LIBRARY/BSN")</f>
        <v>COLLEGE LIBRARY/BSN</v>
      </c>
      <c r="D3167" s="196" t="str">
        <f>IFERROR(__xludf.DUMMYFUNCTION("""COMPUTED_VALUE"""),"- 1 PC LEWIS'S MEDICAL-SURGICAL NURSING ASSESSMENT AND MANAGEMENT OF CLINICAL PROBLEMS VOL 1 12TH EDITION
- 1 PC LEWIS'S MEDICAL-SURGICAL NURSING ASSESSMENT AND MANAGEMENT OF CLINICAL PROBLEMS VOL 2 12TH EDITION
- 1 PC ESSENTIALS OF HEALTH, CULTURE, AND D"&amp;"IVERSITY UNDERSTANDING PEOPLE, REDUCING DISPARITIES 2ND EDITION
- 1 PC KARCH'S FOCUS ON NURSING PHARMACOLOGY 9TH EDITION
- 1 PC NUTRITION ESSENTIALS FOR NURSING PRACTICE
- 1 PC PEDRIATIC NURSING CARE A CONCEPT-BASED APPROACH 4TH EDITION
- 1 PC PSYCHIATRIC"&amp;"-MENTAL HEALTH NURSING 9TH EDITION
- 1 PC STATISTICS FOR NURSING A PRACTICAL APPROACH 4TH EDITION
- 1 PC FOUNDATIONS OF NURSING
- 1 PC COMMUNITY AND PUBLIC HEALTH NURSING PROMOTING THE PUBLIC'S HEALTH 10TH EDITION
- 1 PC FOUNDATIONS OF MATERIAL-NEWBORN AN"&amp;"D WOMEN'S HEALTH NURSING 8TH EDITION
- 1 PC TAYLOR'S CLINICAL NURSING SKILLS 6TH EDITION
- 1 PC GERONTOLOGICAL NURSING 10TH EDITION")</f>
        <v>- 1 PC LEWIS'S MEDICAL-SURGICAL NURSING ASSESSMENT AND MANAGEMENT OF CLINICAL PROBLEMS VOL 1 12TH EDITION
- 1 PC LEWIS'S MEDICAL-SURGICAL NURSING ASSESSMENT AND MANAGEMENT OF CLINICAL PROBLEMS VOL 2 12TH EDITION
- 1 PC ESSENTIALS OF HEALTH, CULTURE, AND DIVERSITY UNDERSTANDING PEOPLE, REDUCING DISPARITIES 2ND EDITION
- 1 PC KARCH'S FOCUS ON NURSING PHARMACOLOGY 9TH EDITION
- 1 PC NUTRITION ESSENTIALS FOR NURSING PRACTICE
- 1 PC PEDRIATIC NURSING CARE A CONCEPT-BASED APPROACH 4TH EDITION
- 1 PC PSYCHIATRIC-MENTAL HEALTH NURSING 9TH EDITION
- 1 PC STATISTICS FOR NURSING A PRACTICAL APPROACH 4TH EDITION
- 1 PC FOUNDATIONS OF NURSING
- 1 PC COMMUNITY AND PUBLIC HEALTH NURSING PROMOTING THE PUBLIC'S HEALTH 10TH EDITION
- 1 PC FOUNDATIONS OF MATERIAL-NEWBORN AND WOMEN'S HEALTH NURSING 8TH EDITION
- 1 PC TAYLOR'S CLINICAL NURSING SKILLS 6TH EDITION
- 1 PC GERONTOLOGICAL NURSING 10TH EDITION</v>
      </c>
      <c r="E3167" s="196" t="str">
        <f>IFERROR(__xludf.DUMMYFUNCTION("""COMPUTED_VALUE"""),"LIBRARY'S COPY/FOR FACULTY/MGT/STAFF USE/PACUCOA COMPLIANCE")</f>
        <v>LIBRARY'S COPY/FOR FACULTY/MGT/STAFF USE/PACUCOA COMPLIANCE</v>
      </c>
    </row>
    <row r="3168">
      <c r="A3168" s="234">
        <f>IFERROR(__xludf.DUMMYFUNCTION("""COMPUTED_VALUE"""),103459.0)</f>
        <v>103459</v>
      </c>
      <c r="B3168" s="235" t="str">
        <f>IFERROR(__xludf.DUMMYFUNCTION("""COMPUTED_VALUE"""),"MELISSA ODONO/RUEL CAJILI")</f>
        <v>MELISSA ODONO/RUEL CAJILI</v>
      </c>
      <c r="C3168" s="235" t="str">
        <f>IFERROR(__xludf.DUMMYFUNCTION("""COMPUTED_VALUE"""),"COLLEGE LIBRARY/BSP")</f>
        <v>COLLEGE LIBRARY/BSP</v>
      </c>
      <c r="D3168" s="196" t="str">
        <f>IFERROR(__xludf.DUMMYFUNCTION("""COMPUTED_VALUE"""),"- 1 PC ABNORMAL PSYCHOLOGY
- 1 PC ABNORMAL PSYCHOLOGY CLINICAL PERSPECTIVES ON PSYCHOLOGY DISORDERS
- 1 PC DEVELOPMENTAL PROFILES PRE-BIRTH THROUGH ADOLESCENCE 9TH EDITION
- 1 PC DEVELOPMENT THROUGH THE LIFESPAN 7TH EDITION
- 1 PC GUIDANCE AND COUNSELLING"&amp;" 3RD EDITION
- 1 PC INTRODUCTION TO COUNSELLING 2ND EDITION
- 1 PC INDUSTRIAL/ORGAZINATIONAL PSYCHOLOGY AN APPLIED APPROACH 9TH EDITION
- 1 PC LIFESPAN DEVELOPMENT 5TH AUSTRALIAN EDITION
- 1 PC KEY CONCEPTS IN MENTAL HEALTH 6TH EDITION
- 1 PC ORGANIZATION"&amp;"AL PSYCHOLOGY 2ND EDITION")</f>
        <v>- 1 PC ABNORMAL PSYCHOLOGY
- 1 PC ABNORMAL PSYCHOLOGY CLINICAL PERSPECTIVES ON PSYCHOLOGY DISORDERS
- 1 PC DEVELOPMENTAL PROFILES PRE-BIRTH THROUGH ADOLESCENCE 9TH EDITION
- 1 PC DEVELOPMENT THROUGH THE LIFESPAN 7TH EDITION
- 1 PC GUIDANCE AND COUNSELLING 3RD EDITION
- 1 PC INTRODUCTION TO COUNSELLING 2ND EDITION
- 1 PC INDUSTRIAL/ORGAZINATIONAL PSYCHOLOGY AN APPLIED APPROACH 9TH EDITION
- 1 PC LIFESPAN DEVELOPMENT 5TH AUSTRALIAN EDITION
- 1 PC KEY CONCEPTS IN MENTAL HEALTH 6TH EDITION
- 1 PC ORGANIZATIONAL PSYCHOLOGY 2ND EDITION</v>
      </c>
      <c r="E3168" s="196" t="str">
        <f>IFERROR(__xludf.DUMMYFUNCTION("""COMPUTED_VALUE"""),"LIBRARY'S COPY/FOR FACULTY/MGT/STAFF USE/PACUCOA COMPLIANCE")</f>
        <v>LIBRARY'S COPY/FOR FACULTY/MGT/STAFF USE/PACUCOA COMPLIANCE</v>
      </c>
    </row>
    <row r="3169">
      <c r="A3169" s="234">
        <f>IFERROR(__xludf.DUMMYFUNCTION("""COMPUTED_VALUE"""),103460.0)</f>
        <v>103460</v>
      </c>
      <c r="B3169" s="235" t="str">
        <f>IFERROR(__xludf.DUMMYFUNCTION("""COMPUTED_VALUE"""),"MELISSA ODONO/RUEL CAJILI")</f>
        <v>MELISSA ODONO/RUEL CAJILI</v>
      </c>
      <c r="C3169" s="235" t="str">
        <f>IFERROR(__xludf.DUMMYFUNCTION("""COMPUTED_VALUE"""),"COLLEGE LIBRARY/BSP")</f>
        <v>COLLEGE LIBRARY/BSP</v>
      </c>
      <c r="D3169" s="196" t="str">
        <f>IFERROR(__xludf.DUMMYFUNCTION("""COMPUTED_VALUE"""),"- 1 PC CAREER DEVELOPMENT AND COUNSELING
- 1 PC CLINICAL SOCIAL WORK WITH INDIVIDUALS, FAMILIES, AND GROUPS THE HEALING POWER OF RELATIONSHIPS
- 1 PC TREATING TRAUMA IN TRANS PEOPLE AN INTERSSECTIONAL, PHAE-BASED APPROACH
- 1 PC RELIGION, SPIRITUAL AND SE"&amp;"CULARITY AMONG MILLENNIALS THE GENERATION SHAPING AMERICAN AND CANADIAN TRENDS
- 1 PC THE TRAUMA RECOVERY TOOLKIT A CREATIVE APPROACH TO PSYCHOEDUCATION
- 1 PC PRACTICAL STRESS MANAGEMENT A COMPREHANSIVE WORKBOOK 8TH EDITION")</f>
        <v>- 1 PC CAREER DEVELOPMENT AND COUNSELING
- 1 PC CLINICAL SOCIAL WORK WITH INDIVIDUALS, FAMILIES, AND GROUPS THE HEALING POWER OF RELATIONSHIPS
- 1 PC TREATING TRAUMA IN TRANS PEOPLE AN INTERSSECTIONAL, PHAE-BASED APPROACH
- 1 PC RELIGION, SPIRITUAL AND SECULARITY AMONG MILLENNIALS THE GENERATION SHAPING AMERICAN AND CANADIAN TRENDS
- 1 PC THE TRAUMA RECOVERY TOOLKIT A CREATIVE APPROACH TO PSYCHOEDUCATION
- 1 PC PRACTICAL STRESS MANAGEMENT A COMPREHANSIVE WORKBOOK 8TH EDITION</v>
      </c>
      <c r="E3169" s="196" t="str">
        <f>IFERROR(__xludf.DUMMYFUNCTION("""COMPUTED_VALUE"""),"LIBRARY'S COPY/FOR FACULTY/MGT/STAFF USE/PACUCOA COMPLIANCE")</f>
        <v>LIBRARY'S COPY/FOR FACULTY/MGT/STAFF USE/PACUCOA COMPLIANCE</v>
      </c>
    </row>
    <row r="3170">
      <c r="A3170" s="234">
        <f>IFERROR(__xludf.DUMMYFUNCTION("""COMPUTED_VALUE"""),103461.0)</f>
        <v>103461</v>
      </c>
      <c r="B3170" s="235" t="str">
        <f>IFERROR(__xludf.DUMMYFUNCTION("""COMPUTED_VALUE"""),"MELISSA ODONO/RUEL CAJILI")</f>
        <v>MELISSA ODONO/RUEL CAJILI</v>
      </c>
      <c r="C3170" s="235" t="str">
        <f>IFERROR(__xludf.DUMMYFUNCTION("""COMPUTED_VALUE"""),"COLLEGE LIBRARY/BSP")</f>
        <v>COLLEGE LIBRARY/BSP</v>
      </c>
      <c r="D3170" s="196" t="str">
        <f>IFERROR(__xludf.DUMMYFUNCTION("""COMPUTED_VALUE"""),"- 1 PC PSYCHOLOGICAL TESTING AND ASSESSMENT AN INTRODUCTION TO TEST AND MEASUREMENT 10TH EDITION
- 1 PC PERSONALITY THEORY AND RESEARCH
- 1 PC PERSONALITY 11TH EDITION
- 1 PC PERSONAL DEVELOPMENT 4TH EDITION
- 1 PC UNDERSTANDING ABNORMAL BEHAVIOR 12TH EDI"&amp;"TION")</f>
        <v>- 1 PC PSYCHOLOGICAL TESTING AND ASSESSMENT AN INTRODUCTION TO TEST AND MEASUREMENT 10TH EDITION
- 1 PC PERSONALITY THEORY AND RESEARCH
- 1 PC PERSONALITY 11TH EDITION
- 1 PC PERSONAL DEVELOPMENT 4TH EDITION
- 1 PC UNDERSTANDING ABNORMAL BEHAVIOR 12TH EDITION</v>
      </c>
      <c r="E3170" s="196" t="str">
        <f>IFERROR(__xludf.DUMMYFUNCTION("""COMPUTED_VALUE"""),"LIBRARY'S COPY/FOR FACULTY/MGT/STAFF USE/PACUCOA COMPLIANCE")</f>
        <v>LIBRARY'S COPY/FOR FACULTY/MGT/STAFF USE/PACUCOA COMPLIANCE</v>
      </c>
    </row>
    <row r="3171">
      <c r="A3171" s="234">
        <f>IFERROR(__xludf.DUMMYFUNCTION("""COMPUTED_VALUE"""),103462.0)</f>
        <v>103462</v>
      </c>
      <c r="B3171" s="235" t="str">
        <f>IFERROR(__xludf.DUMMYFUNCTION("""COMPUTED_VALUE"""),"MELISSA ODONO/RUEL CAJILI")</f>
        <v>MELISSA ODONO/RUEL CAJILI</v>
      </c>
      <c r="C3171" s="235" t="str">
        <f>IFERROR(__xludf.DUMMYFUNCTION("""COMPUTED_VALUE"""),"COLLEGE LIBRARY/BSP")</f>
        <v>COLLEGE LIBRARY/BSP</v>
      </c>
      <c r="D3171" s="196" t="str">
        <f>IFERROR(__xludf.DUMMYFUNCTION("""COMPUTED_VALUE"""),"- 1 PC BOUNCING BACK LIFE AND LEARNING IN A TIME OF CRISIS A STUDENT RESILIENCE STUDY OF THE ATENEO DE MANILA OF SCIENCE AND TECHNOLOGY
- 1 PC CORPORATE SOCIAL RESPONSIBILITY
- 1 PC GENDER AND SOCIETY WE ARE ALL EQUAL
- 1 PC GENDER AND SOCIETY
- 1 PC LEVE"&amp;"LING UP YOUR PERSONALITY SEVENFOLD COMPONENTS A PRACTICAL GUIDE
- 1 PC PSYCHOLOGY AND YOU")</f>
        <v>- 1 PC BOUNCING BACK LIFE AND LEARNING IN A TIME OF CRISIS A STUDENT RESILIENCE STUDY OF THE ATENEO DE MANILA OF SCIENCE AND TECHNOLOGY
- 1 PC CORPORATE SOCIAL RESPONSIBILITY
- 1 PC GENDER AND SOCIETY WE ARE ALL EQUAL
- 1 PC GENDER AND SOCIETY
- 1 PC LEVELING UP YOUR PERSONALITY SEVENFOLD COMPONENTS A PRACTICAL GUIDE
- 1 PC PSYCHOLOGY AND YOU</v>
      </c>
      <c r="E3171" s="196" t="str">
        <f>IFERROR(__xludf.DUMMYFUNCTION("""COMPUTED_VALUE"""),"LIBRARY'S COPY/FOR FACULTY/MGT/STAFF USE/PACUCOA COMPLIANCE")</f>
        <v>LIBRARY'S COPY/FOR FACULTY/MGT/STAFF USE/PACUCOA COMPLIANCE</v>
      </c>
    </row>
    <row r="3172">
      <c r="A3172" s="234">
        <f>IFERROR(__xludf.DUMMYFUNCTION("""COMPUTED_VALUE"""),103463.0)</f>
        <v>103463</v>
      </c>
      <c r="B3172" s="235" t="str">
        <f>IFERROR(__xludf.DUMMYFUNCTION("""COMPUTED_VALUE"""),"MELISSA N ODONO/KIMBERLY DU")</f>
        <v>MELISSA N ODONO/KIMBERLY DU</v>
      </c>
      <c r="C3172" s="235" t="str">
        <f>IFERROR(__xludf.DUMMYFUNCTION("""COMPUTED_VALUE"""),"LIBRARY COLLEGE")</f>
        <v>LIBRARY COLLEGE</v>
      </c>
      <c r="D3172" s="196" t="str">
        <f>IFERROR(__xludf.DUMMYFUNCTION("""COMPUTED_VALUE"""),"- 1 PC COUNTERING COVID-19 CASES IN CRISIS RESPONSE
- 1 PCDUTERTE WATCH DESCENT INTO AUTHORITARIANISM COLLECTED COMMENTARIES
- 1 PC DRUGS AND PHILIPPINE SOCIETY
- 1 PC FAITH AND REASON IN THE CATHOLIC INTELLECTUAL TRADITION
- 1 PC HANG THE DOGS THE TRUE T"&amp;"RAGIC HISTORY OF THE BALANGIGA MASSACRE
- 1 PC ARUGA MGA SANAYSAY NG PAGTANGGAP AT PAGLINGAP
- 1 PC BALIK-TANAW THE ROAD TAKEN
- 1 PC BAYAN-BAYANAN ANTOLOHIYA NG MGA KATHA SA LUNAN NG GUNITA
- 1 PC DAPITANON
- 1 PC ANG SARILING SILID A ROOM OF ONE'S OWN
-"&amp;" 1 PC GROWING UP FILIPINO
- 1 PC HAJIMEMASHOU LEARN BASIC JAPANESE
- 1 PC MGA BABASAHIN HINGIL SA KASAYSAYAN NG PILIPINAS(IKALAWANG EDISYON)
- 1 PC THE READINGS IN PHILIPPINE HISTORY
- 1 PC THE MATTER OF RHYME VERSE-MUSIC AND THE RING OF IDEAS")</f>
        <v>- 1 PC COUNTERING COVID-19 CASES IN CRISIS RESPONSE
- 1 PCDUTERTE WATCH DESCENT INTO AUTHORITARIANISM COLLECTED COMMENTARIES
- 1 PC DRUGS AND PHILIPPINE SOCIETY
- 1 PC FAITH AND REASON IN THE CATHOLIC INTELLECTUAL TRADITION
- 1 PC HANG THE DOGS THE TRUE TRAGIC HISTORY OF THE BALANGIGA MASSACRE
- 1 PC ARUGA MGA SANAYSAY NG PAGTANGGAP AT PAGLINGAP
- 1 PC BALIK-TANAW THE ROAD TAKEN
- 1 PC BAYAN-BAYANAN ANTOLOHIYA NG MGA KATHA SA LUNAN NG GUNITA
- 1 PC DAPITANON
- 1 PC ANG SARILING SILID A ROOM OF ONE'S OWN
- 1 PC GROWING UP FILIPINO
- 1 PC HAJIMEMASHOU LEARN BASIC JAPANESE
- 1 PC MGA BABASAHIN HINGIL SA KASAYSAYAN NG PILIPINAS(IKALAWANG EDISYON)
- 1 PC THE READINGS IN PHILIPPINE HISTORY
- 1 PC THE MATTER OF RHYME VERSE-MUSIC AND THE RING OF IDEAS</v>
      </c>
      <c r="E3172" s="196" t="str">
        <f>IFERROR(__xludf.DUMMYFUNCTION("""COMPUTED_VALUE"""),"LIBRARY'S COPY/FOR FACULTY/MGT/STAFF USE/PACUCOA COMPLIANCE")</f>
        <v>LIBRARY'S COPY/FOR FACULTY/MGT/STAFF USE/PACUCOA COMPLIANCE</v>
      </c>
    </row>
    <row r="3173">
      <c r="A3173" s="234">
        <f>IFERROR(__xludf.DUMMYFUNCTION("""COMPUTED_VALUE"""),103464.0)</f>
        <v>103464</v>
      </c>
      <c r="B3173" s="235" t="str">
        <f>IFERROR(__xludf.DUMMYFUNCTION("""COMPUTED_VALUE"""),"MELISSA ODONO/ABIGAIL VALIENTE")</f>
        <v>MELISSA ODONO/ABIGAIL VALIENTE</v>
      </c>
      <c r="C3173" s="235" t="str">
        <f>IFERROR(__xludf.DUMMYFUNCTION("""COMPUTED_VALUE"""),"LIBRARY BASIC ED")</f>
        <v>LIBRARY BASIC ED</v>
      </c>
      <c r="D3173" s="196" t="str">
        <f>IFERROR(__xludf.DUMMYFUNCTION("""COMPUTED_VALUE"""),"- 1 PC BUSINESS ETHICS AND SOCIAL RESPONSIBILITY
- 1 PC PRINCIPLES OF MARKETING
- 1 PC BUSINESS-TO-BUSINESS MARKETING
- 1 PC FUNDAMENTALS OF MARKETING FOR SENIOR HIGH SCHOOL")</f>
        <v>- 1 PC BUSINESS ETHICS AND SOCIAL RESPONSIBILITY
- 1 PC PRINCIPLES OF MARKETING
- 1 PC BUSINESS-TO-BUSINESS MARKETING
- 1 PC FUNDAMENTALS OF MARKETING FOR SENIOR HIGH SCHOOL</v>
      </c>
      <c r="E3173" s="196" t="str">
        <f>IFERROR(__xludf.DUMMYFUNCTION("""COMPUTED_VALUE"""),"LIBRARY'S COPY/FOR FACULTY/MGT/STAFF USE/PACUCOA COMPLIANCE")</f>
        <v>LIBRARY'S COPY/FOR FACULTY/MGT/STAFF USE/PACUCOA COMPLIANCE</v>
      </c>
    </row>
    <row r="3174">
      <c r="A3174" s="234">
        <f>IFERROR(__xludf.DUMMYFUNCTION("""COMPUTED_VALUE"""),103465.0)</f>
        <v>103465</v>
      </c>
      <c r="B3174" s="235" t="str">
        <f>IFERROR(__xludf.DUMMYFUNCTION("""COMPUTED_VALUE"""),"ELMIE LAUDIATO")</f>
        <v>ELMIE LAUDIATO</v>
      </c>
      <c r="C3174" s="235" t="str">
        <f>IFERROR(__xludf.DUMMYFUNCTION("""COMPUTED_VALUE"""),"HRMD")</f>
        <v>HRMD</v>
      </c>
      <c r="D3174" s="196" t="str">
        <f>IFERROR(__xludf.DUMMYFUNCTION("""COMPUTED_VALUE"""),"EMPLOYEE UNIFORMS (ATTACHED FILE)")</f>
        <v>EMPLOYEE UNIFORMS (ATTACHED FILE)</v>
      </c>
      <c r="E3174" s="196" t="str">
        <f>IFERROR(__xludf.DUMMYFUNCTION("""COMPUTED_VALUE"""),"EMPLOYEE UNIFORM FOR AY 22-23")</f>
        <v>EMPLOYEE UNIFORM FOR AY 22-23</v>
      </c>
    </row>
    <row r="3175">
      <c r="A3175" s="234">
        <f>IFERROR(__xludf.DUMMYFUNCTION("""COMPUTED_VALUE"""),103466.0)</f>
        <v>103466</v>
      </c>
      <c r="B3175" s="235" t="str">
        <f>IFERROR(__xludf.DUMMYFUNCTION("""COMPUTED_VALUE"""),"ELMIE LAUDIATO")</f>
        <v>ELMIE LAUDIATO</v>
      </c>
      <c r="C3175" s="235" t="str">
        <f>IFERROR(__xludf.DUMMYFUNCTION("""COMPUTED_VALUE"""),"HRMD")</f>
        <v>HRMD</v>
      </c>
      <c r="D3175" s="196" t="str">
        <f>IFERROR(__xludf.DUMMYFUNCTION("""COMPUTED_VALUE"""),"EMPLOYEE UNIFORMS (ATTACHED FILE)")</f>
        <v>EMPLOYEE UNIFORMS (ATTACHED FILE)</v>
      </c>
      <c r="E3175" s="196" t="str">
        <f>IFERROR(__xludf.DUMMYFUNCTION("""COMPUTED_VALUE"""),"EMPLOYEE UNIFORM FOR AY 22-23")</f>
        <v>EMPLOYEE UNIFORM FOR AY 22-23</v>
      </c>
    </row>
    <row r="3176">
      <c r="A3176" s="234">
        <f>IFERROR(__xludf.DUMMYFUNCTION("""COMPUTED_VALUE"""),103467.0)</f>
        <v>103467</v>
      </c>
      <c r="B3176" s="235" t="str">
        <f>IFERROR(__xludf.DUMMYFUNCTION("""COMPUTED_VALUE"""),"MELISSA ODONO/KIMBERLY DU")</f>
        <v>MELISSA ODONO/KIMBERLY DU</v>
      </c>
      <c r="C3176" s="235" t="str">
        <f>IFERROR(__xludf.DUMMYFUNCTION("""COMPUTED_VALUE"""),"COLLEGE-LIB")</f>
        <v>COLLEGE-LIB</v>
      </c>
      <c r="D3176" s="196" t="str">
        <f>IFERROR(__xludf.DUMMYFUNCTION("""COMPUTED_VALUE"""),"-Business Communication with Fundamentals of Research
-Mga Screenplay ni Ricky Lee Vol. 2
-Research 101 Notes and Style Guide in Thesis and Dissertation Writing for the Filipino Students
-Understanding Research Design and Methods Basic Business Approach f"&amp;"or Undergraduate Level")</f>
        <v>-Business Communication with Fundamentals of Research
-Mga Screenplay ni Ricky Lee Vol. 2
-Research 101 Notes and Style Guide in Thesis and Dissertation Writing for the Filipino Students
-Understanding Research Design and Methods Basic Business Approach for Undergraduate Level</v>
      </c>
      <c r="E3176" s="196" t="str">
        <f>IFERROR(__xludf.DUMMYFUNCTION("""COMPUTED_VALUE"""),"FACULTY/MGT/STAFF USE/PACUCOA COMPLIANCE")</f>
        <v>FACULTY/MGT/STAFF USE/PACUCOA COMPLIANCE</v>
      </c>
    </row>
    <row r="3177">
      <c r="A3177" s="234">
        <f>IFERROR(__xludf.DUMMYFUNCTION("""COMPUTED_VALUE"""),103468.0)</f>
        <v>103468</v>
      </c>
      <c r="B3177" s="235" t="str">
        <f>IFERROR(__xludf.DUMMYFUNCTION("""COMPUTED_VALUE"""),"MELISSA ODONO/KIMBERLY DU")</f>
        <v>MELISSA ODONO/KIMBERLY DU</v>
      </c>
      <c r="C3177" s="235" t="str">
        <f>IFERROR(__xludf.DUMMYFUNCTION("""COMPUTED_VALUE"""),"COLLEGE-LIB")</f>
        <v>COLLEGE-LIB</v>
      </c>
      <c r="D3177" s="196" t="str">
        <f>IFERROR(__xludf.DUMMYFUNCTION("""COMPUTED_VALUE"""),"women Against Marcos Stories of Filipino and Filipino American Woman Who Fought A Dictator
The Collaborators
The Bells of Batangg
The Holy Wife Stories of Extraordinary Love
The Marcos Era A reader
The Marcos Legacy Clear, Intense and Objective
Narr"&amp;"ation and Exposition of Events
Surat ansaya: Deciphering Ancient Bisayan Writing and
Language
The Sociopolitical Discourse of The Catholic Bishops' Conference of The Philippines/Structural Justice and Collective Responsibility
Tangke Mga Gunita ng Pag"&amp;"kabata
Moral Politics in the Philippines inequality, Democracy
and the Urban Poor
Introduction Social Work
Keeping Memories Cinema and Archiving in the Asia-Pacific
A Memory of Timelikalawang Edisyon]
The Contemporary World: Looking Through the Lens"&amp;"es of Globalization
Moral Politics in the Philippines Inequality, Democracy and the Urban Poor
A Modular Approach To Teaching Grammar &amp; Composition 1 Form, Meaning, and Use
Structures of English
Abangan: mga pambungad na resepsiyon sa kultura ng teles"&amp;"erye
Mga screenplay ni Ricky Lee")</f>
        <v>women Against Marcos Stories of Filipino and Filipino American Woman Who Fought A Dictator
The Collaborators
The Bells of Batangg
The Holy Wife Stories of Extraordinary Love
The Marcos Era A reader
The Marcos Legacy Clear, Intense and Objective
Narration and Exposition of Events
Surat ansaya: Deciphering Ancient Bisayan Writing and
Language
The Sociopolitical Discourse of The Catholic Bishops' Conference of The Philippines/Structural Justice and Collective Responsibility
Tangke Mga Gunita ng Pagkabata
Moral Politics in the Philippines inequality, Democracy
and the Urban Poor
Introduction Social Work
Keeping Memories Cinema and Archiving in the Asia-Pacific
A Memory of Timelikalawang Edisyon]
The Contemporary World: Looking Through the Lenses of Globalization
Moral Politics in the Philippines Inequality, Democracy and the Urban Poor
A Modular Approach To Teaching Grammar &amp; Composition 1 Form, Meaning, and Use
Structures of English
Abangan: mga pambungad na resepsiyon sa kultura ng teleserye
Mga screenplay ni Ricky Lee</v>
      </c>
      <c r="E3177" s="196" t="str">
        <f>IFERROR(__xludf.DUMMYFUNCTION("""COMPUTED_VALUE"""),"FACULTY/MGT/STAFF USE/PACUCOA COMPLIANCE")</f>
        <v>FACULTY/MGT/STAFF USE/PACUCOA COMPLIANCE</v>
      </c>
    </row>
    <row r="3178">
      <c r="A3178" s="234">
        <f>IFERROR(__xludf.DUMMYFUNCTION("""COMPUTED_VALUE"""),103469.0)</f>
        <v>103469</v>
      </c>
      <c r="B3178" s="235" t="str">
        <f>IFERROR(__xludf.DUMMYFUNCTION("""COMPUTED_VALUE"""),"MELISSA ODONO/KIMBERLY DU")</f>
        <v>MELISSA ODONO/KIMBERLY DU</v>
      </c>
      <c r="C3178" s="235" t="str">
        <f>IFERROR(__xludf.DUMMYFUNCTION("""COMPUTED_VALUE"""),"COLLEGE-LIB")</f>
        <v>COLLEGE-LIB</v>
      </c>
      <c r="D3178" s="196" t="str">
        <f>IFERROR(__xludf.DUMMYFUNCTION("""COMPUTED_VALUE"""),"between celebration and critique
Drambikong pagsulat sa rady
Filipinas everywhere
Mindanao muslim history
History of the Philippines
The Mysteries of Teal A Phikppine Volcano and Lake,
her sea and lost
Lockdown &amp; Lowdown The Feltics of CDVID-19
Pa"&amp;"ndemic in the Philippines
Kites in The Night a Novel
Practicing Diplomacy Perspective. Application, and
Simulations
Reading Inside Out Interviews and Conversations
Rewinding Up Research Innovation for Social Devlopment Methods and Perspectives
Sa Ma"&amp;"daling Salita Kasaysayan At Pag-unlad ng Wikang Pambansa
Sapantahang Wika
Selected Short Stories
Chasing Freedom The Philippines' Long Journey to Democratic Ambivalence")</f>
        <v>between celebration and critique
Drambikong pagsulat sa rady
Filipinas everywhere
Mindanao muslim history
History of the Philippines
The Mysteries of Teal A Phikppine Volcano and Lake,
her sea and lost
Lockdown &amp; Lowdown The Feltics of CDVID-19
Pandemic in the Philippines
Kites in The Night a Novel
Practicing Diplomacy Perspective. Application, and
Simulations
Reading Inside Out Interviews and Conversations
Rewinding Up Research Innovation for Social Devlopment Methods and Perspectives
Sa Madaling Salita Kasaysayan At Pag-unlad ng Wikang Pambansa
Sapantahang Wika
Selected Short Stories
Chasing Freedom The Philippines' Long Journey to Democratic Ambivalence</v>
      </c>
      <c r="E3178" s="196" t="str">
        <f>IFERROR(__xludf.DUMMYFUNCTION("""COMPUTED_VALUE"""),"FACULTY/MGT/STAFF USE/PACUCOA COMPLIANCE")</f>
        <v>FACULTY/MGT/STAFF USE/PACUCOA COMPLIANCE</v>
      </c>
    </row>
    <row r="3179">
      <c r="A3179" s="234">
        <f>IFERROR(__xludf.DUMMYFUNCTION("""COMPUTED_VALUE"""),103470.0)</f>
        <v>103470</v>
      </c>
      <c r="B3179" s="235" t="str">
        <f>IFERROR(__xludf.DUMMYFUNCTION("""COMPUTED_VALUE"""),"MELISSA ODONO/MIKE GRAVAMEN")</f>
        <v>MELISSA ODONO/MIKE GRAVAMEN</v>
      </c>
      <c r="C3179" s="235" t="str">
        <f>IFERROR(__xludf.DUMMYFUNCTION("""COMPUTED_VALUE"""),"LIBRARY BASIC ED")</f>
        <v>LIBRARY BASIC ED</v>
      </c>
      <c r="D3179" s="196" t="str">
        <f>IFERROR(__xludf.DUMMYFUNCTION("""COMPUTED_VALUE"""),"- 1 PC TRENDS, NETWORKS, AND CRITICAL THINKNG IN THE 21ST CENTURY
- 1 PC MEDIA AND INFORMATION LITERACY FOR SENIOR HIGH SCHOOL
- 1 PC EMPOWERMENT TECHNOLOGIES")</f>
        <v>- 1 PC TRENDS, NETWORKS, AND CRITICAL THINKNG IN THE 21ST CENTURY
- 1 PC MEDIA AND INFORMATION LITERACY FOR SENIOR HIGH SCHOOL
- 1 PC EMPOWERMENT TECHNOLOGIES</v>
      </c>
      <c r="E3179" s="196" t="str">
        <f>IFERROR(__xludf.DUMMYFUNCTION("""COMPUTED_VALUE"""),"LIBRARY'S COPY/FOR FACULTY/MGT/STAFF USE/PACUCOA COMPLIANCE")</f>
        <v>LIBRARY'S COPY/FOR FACULTY/MGT/STAFF USE/PACUCOA COMPLIANCE</v>
      </c>
    </row>
    <row r="3180">
      <c r="A3180" s="234">
        <f>IFERROR(__xludf.DUMMYFUNCTION("""COMPUTED_VALUE"""),103471.0)</f>
        <v>103471</v>
      </c>
      <c r="B3180" s="235" t="str">
        <f>IFERROR(__xludf.DUMMYFUNCTION("""COMPUTED_VALUE"""),"MELISSA ODONO/ARMIE ABABA")</f>
        <v>MELISSA ODONO/ARMIE ABABA</v>
      </c>
      <c r="C3180" s="235" t="str">
        <f>IFERROR(__xludf.DUMMYFUNCTION("""COMPUTED_VALUE"""),"LIBRARY BASIC ED")</f>
        <v>LIBRARY BASIC ED</v>
      </c>
      <c r="D3180" s="196" t="str">
        <f>IFERROR(__xludf.DUMMYFUNCTION("""COMPUTED_VALUE"""),"- 1 PC IB HL ANALYSIS &amp; APPROACHES BUNDLE
-1 PC MATHEMATICS: ANALYSIS AND APPROACHES HL REVISION GUIDE
-1 PC IB SL ANALYSIS &amp; APPROACHES BUNDLE
- 1 PC MATHEMATICS: ANALYSIS AND APPROACHES SL REVISION GUIDE")</f>
        <v>- 1 PC IB HL ANALYSIS &amp; APPROACHES BUNDLE
-1 PC MATHEMATICS: ANALYSIS AND APPROACHES HL REVISION GUIDE
-1 PC IB SL ANALYSIS &amp; APPROACHES BUNDLE
- 1 PC MATHEMATICS: ANALYSIS AND APPROACHES SL REVISION GUIDE</v>
      </c>
      <c r="E3180" s="196" t="str">
        <f>IFERROR(__xludf.DUMMYFUNCTION("""COMPUTED_VALUE"""),"LIBRARY'S COPY/FOR FACULTY/MGT/STAFF USE/PACUCOA COMPLIANCE")</f>
        <v>LIBRARY'S COPY/FOR FACULTY/MGT/STAFF USE/PACUCOA COMPLIANCE</v>
      </c>
    </row>
    <row r="3181">
      <c r="A3181" s="234">
        <f>IFERROR(__xludf.DUMMYFUNCTION("""COMPUTED_VALUE"""),103472.0)</f>
        <v>103472</v>
      </c>
      <c r="B3181" s="235" t="str">
        <f>IFERROR(__xludf.DUMMYFUNCTION("""COMPUTED_VALUE"""),"ELMIE LAUDIATO")</f>
        <v>ELMIE LAUDIATO</v>
      </c>
      <c r="C3181" s="235" t="str">
        <f>IFERROR(__xludf.DUMMYFUNCTION("""COMPUTED_VALUE"""),"HRMD")</f>
        <v>HRMD</v>
      </c>
      <c r="D3181" s="196" t="str">
        <f>IFERROR(__xludf.DUMMYFUNCTION("""COMPUTED_VALUE"""),"500 PCS DTR")</f>
        <v>500 PCS DTR</v>
      </c>
      <c r="E3181" s="196" t="str">
        <f>IFERROR(__xludf.DUMMYFUNCTION("""COMPUTED_VALUE"""),"REPLENISHMENT OF DTR")</f>
        <v>REPLENISHMENT OF DTR</v>
      </c>
    </row>
    <row r="3182">
      <c r="A3182" s="234">
        <f>IFERROR(__xludf.DUMMYFUNCTION("""COMPUTED_VALUE"""),103473.0)</f>
        <v>103473</v>
      </c>
      <c r="B3182" s="235" t="str">
        <f>IFERROR(__xludf.DUMMYFUNCTION("""COMPUTED_VALUE"""),"MELISSA ODONO/ARIS IGNACIO")</f>
        <v>MELISSA ODONO/ARIS IGNACIO</v>
      </c>
      <c r="C3182" s="235" t="str">
        <f>IFERROR(__xludf.DUMMYFUNCTION("""COMPUTED_VALUE"""),"COLLEGE LIBRARY/BSIT")</f>
        <v>COLLEGE LIBRARY/BSIT</v>
      </c>
      <c r="D3182" s="196" t="str">
        <f>IFERROR(__xludf.DUMMYFUNCTION("""COMPUTED_VALUE"""),"- 1 PC DATABSE SYSTEM DESIGN AND MANAGEMENT
- 1 PC COMPUTER ORGANIZATION 3RD EDITION
- 1 PC COMPUTER NETWORKING AN INNOVATIVE APPROACH
- 1 PC ADVANCED DATABASE MANAGEMENT SYSTEMS 3RD EDITION
- 1 PC CYBER SECURITY 3RD EDITION
- 1 PC DATABASE SYSTEMS 3RD ED"&amp;"ITION
- 1 PC FUNDAMENTAL OF HUMAN COMPUTER  INTERACTION
- 1 PC COMPUTER NETWORKS AND SECURITY 2ND EDITION
- 1 PC OBJECT ORIENTED PROGRAMMING 3RD EDITION
- 1 PC LIVING IN THE IT ETA
- 1 PC INFORMATION TECHNOLOGY PROJECT MANAGEMENT
- 1 PC MOBILE APPLICATION"&amp;"S DEVELOPMENT TECHNOLOGIES 2ND EDITION
- 1 PC ESSENTIALS OF USER INTERFACE DESIGN
- 1 PC SYSTEMS ANALYSIS AND DESIGN 3RD EDITION
- 1 PC SOFTWARE TESTING AND USER EXPERIENCE 3RD EDITION
- 1 PC INTRODUCTION DATA COMMUNICATION AND NETWORKS
- 1 PC INTRODUCTIO"&amp;"N TO COMPUTING")</f>
        <v>- 1 PC DATABSE SYSTEM DESIGN AND MANAGEMENT
- 1 PC COMPUTER ORGANIZATION 3RD EDITION
- 1 PC COMPUTER NETWORKING AN INNOVATIVE APPROACH
- 1 PC ADVANCED DATABASE MANAGEMENT SYSTEMS 3RD EDITION
- 1 PC CYBER SECURITY 3RD EDITION
- 1 PC DATABASE SYSTEMS 3RD EDITION
- 1 PC FUNDAMENTAL OF HUMAN COMPUTER  INTERACTION
- 1 PC COMPUTER NETWORKS AND SECURITY 2ND EDITION
- 1 PC OBJECT ORIENTED PROGRAMMING 3RD EDITION
- 1 PC LIVING IN THE IT ETA
- 1 PC INFORMATION TECHNOLOGY PROJECT MANAGEMENT
- 1 PC MOBILE APPLICATIONS DEVELOPMENT TECHNOLOGIES 2ND EDITION
- 1 PC ESSENTIALS OF USER INTERFACE DESIGN
- 1 PC SYSTEMS ANALYSIS AND DESIGN 3RD EDITION
- 1 PC SOFTWARE TESTING AND USER EXPERIENCE 3RD EDITION
- 1 PC INTRODUCTION DATA COMMUNICATION AND NETWORKS
- 1 PC INTRODUCTION TO COMPUTING</v>
      </c>
      <c r="E3182" s="196" t="str">
        <f>IFERROR(__xludf.DUMMYFUNCTION("""COMPUTED_VALUE"""),"LIBRARY'S COPY/FOR FACULTY/MGT/STAFF USE/PACUCOA COMPLIANCE")</f>
        <v>LIBRARY'S COPY/FOR FACULTY/MGT/STAFF USE/PACUCOA COMPLIANCE</v>
      </c>
    </row>
    <row r="3183">
      <c r="A3183" s="234">
        <f>IFERROR(__xludf.DUMMYFUNCTION("""COMPUTED_VALUE"""),103474.0)</f>
        <v>103474</v>
      </c>
      <c r="B3183" s="235" t="str">
        <f>IFERROR(__xludf.DUMMYFUNCTION("""COMPUTED_VALUE"""),"MELISSA ODONO/ARIS IGNACIO")</f>
        <v>MELISSA ODONO/ARIS IGNACIO</v>
      </c>
      <c r="C3183" s="235" t="str">
        <f>IFERROR(__xludf.DUMMYFUNCTION("""COMPUTED_VALUE"""),"COLLEGE LIBRARY/BSIT")</f>
        <v>COLLEGE LIBRARY/BSIT</v>
      </c>
      <c r="D3183" s="196" t="str">
        <f>IFERROR(__xludf.DUMMYFUNCTION("""COMPUTED_VALUE"""),"- 1 PC OUTCOMES-BASED PRACTICAL GUIDE TO THESIS AND CAPSTONE PROJECT WRITING IN COMPUTING
- 1 PC ADVANCED MANAGEMENT INFORMATION SYSTEM
- 1 PC ANGULAR JS PROGRAMMING FOR BEGINNER'S
- 1 PC INTRODUCTION TO JQUERY PROGRAMMING
- 1 PC INTRODUCTION TO PERL PROG"&amp;"RAMMING
- 1 PC INTRODUCTION TO SCALA PROGRAMMING
- 1 PC INTRODUCTION TO COMPUTER PROGRAMMING
- 1 PC INTRODUCTION TO COMPUTER NETWORKING
- 1 PC INTRODUCTION TO GO PROGRAMMING
- 1 PC INTRODUCTION TO HUMAN COMPUTER INTERACTION
- 1 PC INTRODUCTION TO INFORMAT"&amp;"ION AND TECHNOLOGY COMPUTER FUNDAMENTAL 2ND EDITION
- 1 PC INFORMATION ASSURANCE AND SECURITY 1 &amp; 2
- 1 PC UNDERSTANDING PROGRAMMING FOR BEGINNERS USING C#
- 1 PC WEB PROGRAMMING USING PHP &amp; MYSQL")</f>
        <v>- 1 PC OUTCOMES-BASED PRACTICAL GUIDE TO THESIS AND CAPSTONE PROJECT WRITING IN COMPUTING
- 1 PC ADVANCED MANAGEMENT INFORMATION SYSTEM
- 1 PC ANGULAR JS PROGRAMMING FOR BEGINNER'S
- 1 PC INTRODUCTION TO JQUERY PROGRAMMING
- 1 PC INTRODUCTION TO PERL PROGRAMMING
- 1 PC INTRODUCTION TO SCALA PROGRAMMING
- 1 PC INTRODUCTION TO COMPUTER PROGRAMMING
- 1 PC INTRODUCTION TO COMPUTER NETWORKING
- 1 PC INTRODUCTION TO GO PROGRAMMING
- 1 PC INTRODUCTION TO HUMAN COMPUTER INTERACTION
- 1 PC INTRODUCTION TO INFORMATION AND TECHNOLOGY COMPUTER FUNDAMENTAL 2ND EDITION
- 1 PC INFORMATION ASSURANCE AND SECURITY 1 &amp; 2
- 1 PC UNDERSTANDING PROGRAMMING FOR BEGINNERS USING C#
- 1 PC WEB PROGRAMMING USING PHP &amp; MYSQL</v>
      </c>
      <c r="E3183" s="196" t="str">
        <f>IFERROR(__xludf.DUMMYFUNCTION("""COMPUTED_VALUE"""),"LIBRARY'S COPY/FOR FACULTY/MGT/STAFF USE/PACUCOA COMPLIANCE")</f>
        <v>LIBRARY'S COPY/FOR FACULTY/MGT/STAFF USE/PACUCOA COMPLIANCE</v>
      </c>
    </row>
    <row r="3184">
      <c r="A3184" s="234">
        <f>IFERROR(__xludf.DUMMYFUNCTION("""COMPUTED_VALUE"""),103475.0)</f>
        <v>103475</v>
      </c>
      <c r="B3184" s="235" t="str">
        <f>IFERROR(__xludf.DUMMYFUNCTION("""COMPUTED_VALUE"""),"MELISSA ODONO/RENE ALIGONERO")</f>
        <v>MELISSA ODONO/RENE ALIGONERO</v>
      </c>
      <c r="C3184" s="235" t="str">
        <f>IFERROR(__xludf.DUMMYFUNCTION("""COMPUTED_VALUE"""),"COLLEGE LIBRARY/BST")</f>
        <v>COLLEGE LIBRARY/BST</v>
      </c>
      <c r="D3184" s="196" t="str">
        <f>IFERROR(__xludf.DUMMYFUNCTION("""COMPUTED_VALUE"""),"- 1 PC SUSTAINABLE TOURISM
- 1 PC TOTAL QUALITY MANAGEMENT 2ND EDIT
- 1 PC TOURISM &amp; HOSPITALITY MARKETING
- 1 PC LEGAL ASPECTS IN TOURISM &amp; HOSPITALITY: THE PHILIPPINE TOURISM LAWS SIMPLIFIED
- 1 PC ENTRENEURSHIP IN TOURISM AND HOSPITABILITY
- 1 PC PHILI"&amp;"PPINE CULTURE &amp; TOURISM GEOGRAPHY
- 1 PC MIRCO PERSPECTIVES OF TOURISM &amp; HOSPITALITY")</f>
        <v>- 1 PC SUSTAINABLE TOURISM
- 1 PC TOTAL QUALITY MANAGEMENT 2ND EDIT
- 1 PC TOURISM &amp; HOSPITALITY MARKETING
- 1 PC LEGAL ASPECTS IN TOURISM &amp; HOSPITALITY: THE PHILIPPINE TOURISM LAWS SIMPLIFIED
- 1 PC ENTRENEURSHIP IN TOURISM AND HOSPITABILITY
- 1 PC PHILIPPINE CULTURE &amp; TOURISM GEOGRAPHY
- 1 PC MIRCO PERSPECTIVES OF TOURISM &amp; HOSPITALITY</v>
      </c>
      <c r="E3184" s="196" t="str">
        <f>IFERROR(__xludf.DUMMYFUNCTION("""COMPUTED_VALUE"""),"LIBRARY'S COPY/FOR FACULTY/MGT/STAFF USE/PACUCOA COMPLIANCE")</f>
        <v>LIBRARY'S COPY/FOR FACULTY/MGT/STAFF USE/PACUCOA COMPLIANCE</v>
      </c>
    </row>
    <row r="3185">
      <c r="A3185" s="234">
        <f>IFERROR(__xludf.DUMMYFUNCTION("""COMPUTED_VALUE"""),103476.0)</f>
        <v>103476</v>
      </c>
      <c r="B3185" s="235" t="str">
        <f>IFERROR(__xludf.DUMMYFUNCTION("""COMPUTED_VALUE"""),"MELISSA ODONO/RENE ALIGONERO")</f>
        <v>MELISSA ODONO/RENE ALIGONERO</v>
      </c>
      <c r="C3185" s="235" t="str">
        <f>IFERROR(__xludf.DUMMYFUNCTION("""COMPUTED_VALUE"""),"COLLEGE LIBRARY/BST")</f>
        <v>COLLEGE LIBRARY/BST</v>
      </c>
      <c r="D3185" s="196" t="str">
        <f>IFERROR(__xludf.DUMMYFUNCTION("""COMPUTED_VALUE"""),"- 1 PC WILDLIFE TOURISM AND CONSERVATION
- 1 PC MARKETING AND MANAGING TOURISM DESTINATIONS 2ND EDITION
- 1 PC HYGIENE, SAFETY AND FIRST AID IN HOSPITALITY
- 1 PC THE BAR AND BEVERAGE HANDBOOK 3RD EDITION
- 1 PC FOOD STYLING THE ART OF PRESENTING FOOD")</f>
        <v>- 1 PC WILDLIFE TOURISM AND CONSERVATION
- 1 PC MARKETING AND MANAGING TOURISM DESTINATIONS 2ND EDITION
- 1 PC HYGIENE, SAFETY AND FIRST AID IN HOSPITALITY
- 1 PC THE BAR AND BEVERAGE HANDBOOK 3RD EDITION
- 1 PC FOOD STYLING THE ART OF PRESENTING FOOD</v>
      </c>
      <c r="E3185" s="196" t="str">
        <f>IFERROR(__xludf.DUMMYFUNCTION("""COMPUTED_VALUE"""),"LIBRARY'S COPY/FOR FACULTY/MGT/STAFF USE/PACUCOA COMPLIANCE")</f>
        <v>LIBRARY'S COPY/FOR FACULTY/MGT/STAFF USE/PACUCOA COMPLIANCE</v>
      </c>
    </row>
    <row r="3186">
      <c r="A3186" s="234">
        <f>IFERROR(__xludf.DUMMYFUNCTION("""COMPUTED_VALUE"""),103477.0)</f>
        <v>103477</v>
      </c>
      <c r="B3186" s="235" t="str">
        <f>IFERROR(__xludf.DUMMYFUNCTION("""COMPUTED_VALUE"""),"MELISSA ODONO/MARIE MIRANDO")</f>
        <v>MELISSA ODONO/MARIE MIRANDO</v>
      </c>
      <c r="C3186" s="235" t="str">
        <f>IFERROR(__xludf.DUMMYFUNCTION("""COMPUTED_VALUE"""),"COLLEGE LIBRARY/GEN ED")</f>
        <v>COLLEGE LIBRARY/GEN ED</v>
      </c>
      <c r="D3186" s="196" t="str">
        <f>IFERROR(__xludf.DUMMYFUNCTION("""COMPUTED_VALUE"""),"- 1 PC BORDERLESS: PURPOSIVE COMMUNICATION IN THE 21ST CENTURY
- 1 PC ART APPRECIATION
- 1 PC ENTREPRENEURIAL MIND
- 1 PC EMPOWERING THE YOUTH FOR NATION BUILDING THROUGH CIVIC WELFARE TRAINING SERVICE
- 1 PC INTRODUCTION TO HUMANITIES: VISUAL AND PERFORM"&amp;"ING ARTS
- 1 PC METHODS OF RESEARCH IN BUSINESS EDUCATION
- 1 PC PHYSICAL ACTIVITY TOWARDS HEALTH AND FITNESS(PATH-FIT 1): HEALTH &amp; WELLNESS, MOVEMENT EDUCATION AND EXERCISE
- 1 PC PURPOSIVE COMMUNICATION IN DIVERSE CONTEXTS
- 1 PC RISK MANAGEMENT AS APPL"&amp;"IED TO SAFETY, SECURITY AND SANITATION
- 1 PC SCIENCE, TECHNOLOGY AND SOCIETY
- 1 PC UNDERSTANDING HUMAN RIGHTS AND INTERNATIONAL HUMANITARIAN LAW(HUMAN RIGHTS EDUCATION)
- 1 PC UNDERSTANDING THE SELF
- 1 PC DOING PHILOSOPHY IN THE PHILIPPINES: THE THOMAS"&amp;"IAN COLLECTION VOLUME II(1951 - 1959)")</f>
        <v>- 1 PC BORDERLESS: PURPOSIVE COMMUNICATION IN THE 21ST CENTURY
- 1 PC ART APPRECIATION
- 1 PC ENTREPRENEURIAL MIND
- 1 PC EMPOWERING THE YOUTH FOR NATION BUILDING THROUGH CIVIC WELFARE TRAINING SERVICE
- 1 PC INTRODUCTION TO HUMANITIES: VISUAL AND PERFORMING ARTS
- 1 PC METHODS OF RESEARCH IN BUSINESS EDUCATION
- 1 PC PHYSICAL ACTIVITY TOWARDS HEALTH AND FITNESS(PATH-FIT 1): HEALTH &amp; WELLNESS, MOVEMENT EDUCATION AND EXERCISE
- 1 PC PURPOSIVE COMMUNICATION IN DIVERSE CONTEXTS
- 1 PC RISK MANAGEMENT AS APPLIED TO SAFETY, SECURITY AND SANITATION
- 1 PC SCIENCE, TECHNOLOGY AND SOCIETY
- 1 PC UNDERSTANDING HUMAN RIGHTS AND INTERNATIONAL HUMANITARIAN LAW(HUMAN RIGHTS EDUCATION)
- 1 PC UNDERSTANDING THE SELF
- 1 PC DOING PHILOSOPHY IN THE PHILIPPINES: THE THOMASIAN COLLECTION VOLUME II(1951 - 1959)</v>
      </c>
      <c r="E3186" s="196" t="str">
        <f>IFERROR(__xludf.DUMMYFUNCTION("""COMPUTED_VALUE"""),"LIBRARY'S COPY/FOR FACULTY/MGT/STAFF USE/PACUCOA COMPLIANCE")</f>
        <v>LIBRARY'S COPY/FOR FACULTY/MGT/STAFF USE/PACUCOA COMPLIANCE</v>
      </c>
    </row>
    <row r="3187">
      <c r="A3187" s="234">
        <f>IFERROR(__xludf.DUMMYFUNCTION("""COMPUTED_VALUE"""),103478.0)</f>
        <v>103478</v>
      </c>
      <c r="B3187" s="235" t="str">
        <f>IFERROR(__xludf.DUMMYFUNCTION("""COMPUTED_VALUE"""),"MELISSA ODONP/MARIE MIRANDO")</f>
        <v>MELISSA ODONP/MARIE MIRANDO</v>
      </c>
      <c r="C3187" s="235" t="str">
        <f>IFERROR(__xludf.DUMMYFUNCTION("""COMPUTED_VALUE"""),"COLLEGE LIBRARY/GEN ED")</f>
        <v>COLLEGE LIBRARY/GEN ED</v>
      </c>
      <c r="D3187" s="196" t="str">
        <f>IFERROR(__xludf.DUMMYFUNCTION("""COMPUTED_VALUE"""),"- 1 PC PURPOSIVE COMMUNICATION IN THE NOW
- 1 PC PURPOSIVE COMMUNICATION REVISED EDITION
- 1 PC PURPOSIVE COMMUNICATION SECOND EDITION
- 1 PC UNDERSTANDING THE SELF DEVELOPING LIFE SKILLS
- 1 PC UNDERSTANDING THE SELF
- 1 PC PREHISPANIC SOURCE MATERIALS F"&amp;"OR THE STUDY OF PHILIPPINE HISTORY
- 1 PC LOST GRAVES, FOUND LIVES: A HISTORY AND MEMOIR
- 1 PC MORO WARRIOR
- 1 PC PATRONAGE DEMOCRACY IN THE PHILIPPINES
- 1 PC PURPOSIVE COMMUNICATION 3RD EDITION LOOKING FOR THE PREHISPANIC FILIPINO")</f>
        <v>- 1 PC PURPOSIVE COMMUNICATION IN THE NOW
- 1 PC PURPOSIVE COMMUNICATION REVISED EDITION
- 1 PC PURPOSIVE COMMUNICATION SECOND EDITION
- 1 PC UNDERSTANDING THE SELF DEVELOPING LIFE SKILLS
- 1 PC UNDERSTANDING THE SELF
- 1 PC PREHISPANIC SOURCE MATERIALS FOR THE STUDY OF PHILIPPINE HISTORY
- 1 PC LOST GRAVES, FOUND LIVES: A HISTORY AND MEMOIR
- 1 PC MORO WARRIOR
- 1 PC PATRONAGE DEMOCRACY IN THE PHILIPPINES
- 1 PC PURPOSIVE COMMUNICATION 3RD EDITION LOOKING FOR THE PREHISPANIC FILIPINO</v>
      </c>
      <c r="E3187" s="196" t="str">
        <f>IFERROR(__xludf.DUMMYFUNCTION("""COMPUTED_VALUE"""),"LIBRARY'S COPY/FOR FACULTY/MGT/STAFF USE/PACUCOA COMPLIANCE")</f>
        <v>LIBRARY'S COPY/FOR FACULTY/MGT/STAFF USE/PACUCOA COMPLIANCE</v>
      </c>
    </row>
    <row r="3188">
      <c r="A3188" s="234">
        <f>IFERROR(__xludf.DUMMYFUNCTION("""COMPUTED_VALUE"""),103479.0)</f>
        <v>103479</v>
      </c>
      <c r="B3188" s="235" t="str">
        <f>IFERROR(__xludf.DUMMYFUNCTION("""COMPUTED_VALUE"""),"MELISSA ODONO/MARIE MIRANDO")</f>
        <v>MELISSA ODONO/MARIE MIRANDO</v>
      </c>
      <c r="C3188" s="235" t="str">
        <f>IFERROR(__xludf.DUMMYFUNCTION("""COMPUTED_VALUE"""),"COLLEGE LIBRARY/GEN ED")</f>
        <v>COLLEGE LIBRARY/GEN ED</v>
      </c>
      <c r="D3188" s="196" t="str">
        <f>IFERROR(__xludf.DUMMYFUNCTION("""COMPUTED_VALUE"""),"- 1 PC FUNDAMENTALS OF PHYSICS
- 1 PC CUTNELL &amp; JOHNSON PHYSICS 12TH EDITION
- 1 PC HOW TO WRITE BETTER ESSAYS 5TH EDITION
- 1 PC DESIGNING WORLD LANGUAGE CURRICULUM FOR INTERCULTURAL COMMUNICATIVE COMPETENCE PROFICIENT
- 1 PC PURPOSIVE COMMUNICATION
- 1 "&amp;"PC TECHNICAL ENGLISH: TECHNICAL REPORT WRITING AND PRESENTATION
- 1 PC ENGLISH LANGUAGE AND LEARNING A BEGINNER'S GUIDE
- 1 PC ENGLISH LANGUAGE AND LEARNING IN THE DIGITAL AGE
- 1 PC INTERCHANGE READING AND WRITING CRITICALLY
- 1 PC PURPOSIVE COMMUNICATIO"&amp;"N 3RD EDITION
- 1 PC SUCESSFUL WRITING AT WORK
- 1 PC ART APPRECIATION")</f>
        <v>- 1 PC FUNDAMENTALS OF PHYSICS
- 1 PC CUTNELL &amp; JOHNSON PHYSICS 12TH EDITION
- 1 PC HOW TO WRITE BETTER ESSAYS 5TH EDITION
- 1 PC DESIGNING WORLD LANGUAGE CURRICULUM FOR INTERCULTURAL COMMUNICATIVE COMPETENCE PROFICIENT
- 1 PC PURPOSIVE COMMUNICATION
- 1 PC TECHNICAL ENGLISH: TECHNICAL REPORT WRITING AND PRESENTATION
- 1 PC ENGLISH LANGUAGE AND LEARNING A BEGINNER'S GUIDE
- 1 PC ENGLISH LANGUAGE AND LEARNING IN THE DIGITAL AGE
- 1 PC INTERCHANGE READING AND WRITING CRITICALLY
- 1 PC PURPOSIVE COMMUNICATION 3RD EDITION
- 1 PC SUCESSFUL WRITING AT WORK
- 1 PC ART APPRECIATION</v>
      </c>
      <c r="E3188" s="196" t="str">
        <f>IFERROR(__xludf.DUMMYFUNCTION("""COMPUTED_VALUE"""),"LIBRARY'S COPY/FOR FACULTY/MGT/STAFF USE/PACUCOA COMPLIANCE")</f>
        <v>LIBRARY'S COPY/FOR FACULTY/MGT/STAFF USE/PACUCOA COMPLIANCE</v>
      </c>
    </row>
    <row r="3189">
      <c r="A3189" s="234">
        <f>IFERROR(__xludf.DUMMYFUNCTION("""COMPUTED_VALUE"""),103480.0)</f>
        <v>103480</v>
      </c>
      <c r="B3189" s="235" t="str">
        <f>IFERROR(__xludf.DUMMYFUNCTION("""COMPUTED_VALUE"""),"MELISSA ODONO/MARIE MIRANDO")</f>
        <v>MELISSA ODONO/MARIE MIRANDO</v>
      </c>
      <c r="C3189" s="235" t="str">
        <f>IFERROR(__xludf.DUMMYFUNCTION("""COMPUTED_VALUE"""),"COLLEGE LIBRARY/GEN ED")</f>
        <v>COLLEGE LIBRARY/GEN ED</v>
      </c>
      <c r="D3189" s="196" t="str">
        <f>IFERROR(__xludf.DUMMYFUNCTION("""COMPUTED_VALUE"""),"- 1 PC MODERN WORLD MATHEMATICS
- 1 PC PARTIAL DIFFERENTIAL EQUATIONS
- 1 PC GENERAL MATHEMATICS 3RD EDITION
- 1 PC THE MOST TRUSTED NAME IN EDUCATION EASY ALGEBRA STEP-BY-STEP MASTER THE CONCEPTS OF ALGEBRA AND BECOME PROFICIENT
- 1 PC ALGEBRA: A COMPREH"&amp;"ENSIVE COURSE
- 1 PC APPLIED ALGEBRAIC AND DIFFERENTIAL CALCULUS
- 1 PC PRE CALCULUS
- 1 PC BASIC CALCULUS 3RD EDITION
- 1 PC CALCULUS AN INTRODUCTION
- 1 PC FUNDAMENTAL OF STATISTICS
- 1 PC INTRODUCTORY STATISTICS
- 1 PC BIOCHEMISTRY AND ITS APPLICATION
"&amp;"- 1 PC THE TOOLS OF BIOCHEMISTRY
- 1 PC ALL-IN-ONE CHEMISTRY FOR DUMMIES
- 1 PC CHEMISTRY 14TH EDITION
- 1 PC LIPPINCOTT ILLUSTRATED REVIEWS BIOCHEMISTRY 8TH EDITION
- 1 PC BIOCHEMISTRY AN INTEGRATIVE APPROACH WITH EXPANDED TOPICS
- 1 PC MODERN PHYSICS TH"&amp;"E SCENIC ROUTE")</f>
        <v>- 1 PC MODERN WORLD MATHEMATICS
- 1 PC PARTIAL DIFFERENTIAL EQUATIONS
- 1 PC GENERAL MATHEMATICS 3RD EDITION
- 1 PC THE MOST TRUSTED NAME IN EDUCATION EASY ALGEBRA STEP-BY-STEP MASTER THE CONCEPTS OF ALGEBRA AND BECOME PROFICIENT
- 1 PC ALGEBRA: A COMPREHENSIVE COURSE
- 1 PC APPLIED ALGEBRAIC AND DIFFERENTIAL CALCULUS
- 1 PC PRE CALCULUS
- 1 PC BASIC CALCULUS 3RD EDITION
- 1 PC CALCULUS AN INTRODUCTION
- 1 PC FUNDAMENTAL OF STATISTICS
- 1 PC INTRODUCTORY STATISTICS
- 1 PC BIOCHEMISTRY AND ITS APPLICATION
- 1 PC THE TOOLS OF BIOCHEMISTRY
- 1 PC ALL-IN-ONE CHEMISTRY FOR DUMMIES
- 1 PC CHEMISTRY 14TH EDITION
- 1 PC LIPPINCOTT ILLUSTRATED REVIEWS BIOCHEMISTRY 8TH EDITION
- 1 PC BIOCHEMISTRY AN INTEGRATIVE APPROACH WITH EXPANDED TOPICS
- 1 PC MODERN PHYSICS THE SCENIC ROUTE</v>
      </c>
      <c r="E3189" s="196" t="str">
        <f>IFERROR(__xludf.DUMMYFUNCTION("""COMPUTED_VALUE"""),"LIBRARY'S COPY/FOR FACULTY/MGT/STAFF USE/PACUCOA COMPLIANCE")</f>
        <v>LIBRARY'S COPY/FOR FACULTY/MGT/STAFF USE/PACUCOA COMPLIANCE</v>
      </c>
    </row>
    <row r="3190">
      <c r="A3190" s="234">
        <f>IFERROR(__xludf.DUMMYFUNCTION("""COMPUTED_VALUE"""),103481.0)</f>
        <v>103481</v>
      </c>
      <c r="B3190" s="235" t="str">
        <f>IFERROR(__xludf.DUMMYFUNCTION("""COMPUTED_VALUE"""),"MELISSA ODONO/VIC MANABAT")</f>
        <v>MELISSA ODONO/VIC MANABAT</v>
      </c>
      <c r="C3190" s="235" t="str">
        <f>IFERROR(__xludf.DUMMYFUNCTION("""COMPUTED_VALUE"""),"COLLEGE LIBRARY/BSBA")</f>
        <v>COLLEGE LIBRARY/BSBA</v>
      </c>
      <c r="D3190" s="196" t="str">
        <f>IFERROR(__xludf.DUMMYFUNCTION("""COMPUTED_VALUE"""),"- 1 PC CREDIT COLLECTION
- 1 PC FINANCIAL MANAGEMENT
- 1 PC FUNDAMENTALS OF MANAGEMENT
- 1 PC HUMAN RESOURCE MANAGEMENT 2ND EDITION
- 1 PC INTERNATIONAL BUSINESS &amp; TRADE
- 1 PC MANAGEMENT OF HUMAN BEHAVIOR IN AN ORGANIZATION 2ND EDITION
- 1 PC PERSONAL FI"&amp;"NANCE 2022 EDITION
- 1 PC PRICING STRATEGY
- 1 PC PROJECT MANAGEMENT
- 1 PC TEXTBOOK IN AUDITING PRACTICE 2021 EDITION
- 1 PC MANAGEMENT SCIENCE(QUANTITATIVE METHODS FOR BUSINESS OPERATIONS RESEARCH)")</f>
        <v>- 1 PC CREDIT COLLECTION
- 1 PC FINANCIAL MANAGEMENT
- 1 PC FUNDAMENTALS OF MANAGEMENT
- 1 PC HUMAN RESOURCE MANAGEMENT 2ND EDITION
- 1 PC INTERNATIONAL BUSINESS &amp; TRADE
- 1 PC MANAGEMENT OF HUMAN BEHAVIOR IN AN ORGANIZATION 2ND EDITION
- 1 PC PERSONAL FINANCE 2022 EDITION
- 1 PC PRICING STRATEGY
- 1 PC PROJECT MANAGEMENT
- 1 PC TEXTBOOK IN AUDITING PRACTICE 2021 EDITION
- 1 PC MANAGEMENT SCIENCE(QUANTITATIVE METHODS FOR BUSINESS OPERATIONS RESEARCH)</v>
      </c>
      <c r="E3190" s="196" t="str">
        <f>IFERROR(__xludf.DUMMYFUNCTION("""COMPUTED_VALUE"""),"LIBRARY'S COPY/FOR FACULTY/MGT/STAFF USE/PACUCOA COMPLIANCE")</f>
        <v>LIBRARY'S COPY/FOR FACULTY/MGT/STAFF USE/PACUCOA COMPLIANCE</v>
      </c>
    </row>
    <row r="3191">
      <c r="A3191" s="234">
        <f>IFERROR(__xludf.DUMMYFUNCTION("""COMPUTED_VALUE"""),103482.0)</f>
        <v>103482</v>
      </c>
      <c r="B3191" s="235" t="str">
        <f>IFERROR(__xludf.DUMMYFUNCTION("""COMPUTED_VALUE"""),"MELISSA ODONO/VIC MANABAT")</f>
        <v>MELISSA ODONO/VIC MANABAT</v>
      </c>
      <c r="C3191" s="235" t="str">
        <f>IFERROR(__xludf.DUMMYFUNCTION("""COMPUTED_VALUE"""),"COLLEGE LIBRARY/BSBA")</f>
        <v>COLLEGE LIBRARY/BSBA</v>
      </c>
      <c r="D3191" s="196" t="str">
        <f>IFERROR(__xludf.DUMMYFUNCTION("""COMPUTED_VALUE"""),"- 1 PC ADVERTISING CONCEPTS AND APPLICATIONS 2ND EDITION
- 1 PC CORPORATE FINANCE 13TH EDITION
- 1 PC ENTREPRENEURIAL BEHAVIOR 2ND EDITION
- 1 PC E-COMMERCE 3RD EDITION
- 1 PC ECONOMICS IMPROVE YOUR WORLD 3RD EDITION
- 1 PC HUMAN RESOURCE MANAGEMENT
- 1 P"&amp;"C INVESTMENT ANALYSIS &amp; PORTFOLIO MANAGEMENT ASIA PACIFIC EDITION
- 1 PC INTRODUCTION TO MANAGEMENT SCIENCE AND BUSINESS ANALYTICS A MODELING AND CASE STUDIES APPROACH WITH SPREADSHEETS 7TH EDITION
- 1 PC MANAGERIAL ACCOUNTING CREATING VALUE IN A DYNAMIC "&amp;"BUSINESS ENVIRONMENT 13TH EDITION
- 1 PC ORGANIZATIONAL BEHAVIOR IMPROVING PERFORMANCE AND COMMITMENT IN THE WORKPLACE 8TH EDITION
- 1 PC PRINCIPLES OF MARKETING FOR A DIGITAL AGE 2ND EDITION
- 1 PC PRINCIPLES OF SUPPLY CHAIN MANAGEMENT A BALANCED APPROAC"&amp;"H 6TH EDITION
- 1 PC REAL ESTATE FINANCE &amp; INVESTMENT 17TH EDITION
- 1 PC SERVICE MANAGEMENT OPERATIONS, STRATEGY, INFORMATION TECHNOLOGY 10TH EDITION
- 1 PC AUDITING PRINCIPLES &amp; PRACTICES
- 1 PC FUNDAMENTALS OF COST ACCOUNTING 7TH EDITION")</f>
        <v>- 1 PC ADVERTISING CONCEPTS AND APPLICATIONS 2ND EDITION
- 1 PC CORPORATE FINANCE 13TH EDITION
- 1 PC ENTREPRENEURIAL BEHAVIOR 2ND EDITION
- 1 PC E-COMMERCE 3RD EDITION
- 1 PC ECONOMICS IMPROVE YOUR WORLD 3RD EDITION
- 1 PC HUMAN RESOURCE MANAGEMENT
- 1 PC INVESTMENT ANALYSIS &amp; PORTFOLIO MANAGEMENT ASIA PACIFIC EDITION
- 1 PC INTRODUCTION TO MANAGEMENT SCIENCE AND BUSINESS ANALYTICS A MODELING AND CASE STUDIES APPROACH WITH SPREADSHEETS 7TH EDITION
- 1 PC MANAGERIAL ACCOUNTING CREATING VALUE IN A DYNAMIC BUSINESS ENVIRONMENT 13TH EDITION
- 1 PC ORGANIZATIONAL BEHAVIOR IMPROVING PERFORMANCE AND COMMITMENT IN THE WORKPLACE 8TH EDITION
- 1 PC PRINCIPLES OF MARKETING FOR A DIGITAL AGE 2ND EDITION
- 1 PC PRINCIPLES OF SUPPLY CHAIN MANAGEMENT A BALANCED APPROACH 6TH EDITION
- 1 PC REAL ESTATE FINANCE &amp; INVESTMENT 17TH EDITION
- 1 PC SERVICE MANAGEMENT OPERATIONS, STRATEGY, INFORMATION TECHNOLOGY 10TH EDITION
- 1 PC AUDITING PRINCIPLES &amp; PRACTICES
- 1 PC FUNDAMENTALS OF COST ACCOUNTING 7TH EDITION</v>
      </c>
      <c r="E3191" s="196" t="str">
        <f>IFERROR(__xludf.DUMMYFUNCTION("""COMPUTED_VALUE"""),"LIBRARY'S COPY/FOR FACULTY/MGT/STAFF USE/PACUCOA COMPLIANCE")</f>
        <v>LIBRARY'S COPY/FOR FACULTY/MGT/STAFF USE/PACUCOA COMPLIANCE</v>
      </c>
    </row>
    <row r="3192">
      <c r="A3192" s="234">
        <f>IFERROR(__xludf.DUMMYFUNCTION("""COMPUTED_VALUE"""),103483.0)</f>
        <v>103483</v>
      </c>
      <c r="B3192" s="235" t="str">
        <f>IFERROR(__xludf.DUMMYFUNCTION("""COMPUTED_VALUE"""),"MARVIN MARASIGAN")</f>
        <v>MARVIN MARASIGAN</v>
      </c>
      <c r="C3192" s="235" t="str">
        <f>IFERROR(__xludf.DUMMYFUNCTION("""COMPUTED_VALUE"""),"PR &amp; MARKETING")</f>
        <v>PR &amp; MARKETING</v>
      </c>
      <c r="D3192" s="196" t="str">
        <f>IFERROR(__xludf.DUMMYFUNCTION("""COMPUTED_VALUE"""),"- 1 PC WAX STAMP W/ SISC LOGO SET
- 1 SET WAX BEADS(PURPLE)")</f>
        <v>- 1 PC WAX STAMP W/ SISC LOGO SET
- 1 SET WAX BEADS(PURPLE)</v>
      </c>
      <c r="E3192" s="196" t="str">
        <f>IFERROR(__xludf.DUMMYFUNCTION("""COMPUTED_VALUE"""),"FOR SOUTHVILLE BRANDING WHEN SENDING LETTERS")</f>
        <v>FOR SOUTHVILLE BRANDING WHEN SENDING LETTERS</v>
      </c>
    </row>
    <row r="3193">
      <c r="A3193" s="234">
        <f>IFERROR(__xludf.DUMMYFUNCTION("""COMPUTED_VALUE"""),103484.0)</f>
        <v>103484</v>
      </c>
      <c r="B3193" s="235" t="str">
        <f>IFERROR(__xludf.DUMMYFUNCTION("""COMPUTED_VALUE"""),"OWIE PAR")</f>
        <v>OWIE PAR</v>
      </c>
      <c r="C3193" s="235" t="str">
        <f>IFERROR(__xludf.DUMMYFUNCTION("""COMPUTED_VALUE"""),"ENGINEERING")</f>
        <v>ENGINEERING</v>
      </c>
      <c r="D3193" s="196" t="str">
        <f>IFERROR(__xludf.DUMMYFUNCTION("""COMPUTED_VALUE"""),"1 UNIT ASAHI ORBIT FAN")</f>
        <v>1 UNIT ASAHI ORBIT FAN</v>
      </c>
      <c r="E3193" s="196" t="str">
        <f>IFERROR(__xludf.DUMMYFUNCTION("""COMPUTED_VALUE"""),"REPLACEMENT OF BURNED UNIT FOR LUX ROOM 313")</f>
        <v>REPLACEMENT OF BURNED UNIT FOR LUX ROOM 313</v>
      </c>
    </row>
    <row r="3194">
      <c r="A3194" s="234">
        <f>IFERROR(__xludf.DUMMYFUNCTION("""COMPUTED_VALUE"""),103485.0)</f>
        <v>103485</v>
      </c>
      <c r="B3194" s="235" t="str">
        <f>IFERROR(__xludf.DUMMYFUNCTION("""COMPUTED_VALUE"""),"SHEREE ESPINOSA")</f>
        <v>SHEREE ESPINOSA</v>
      </c>
      <c r="C3194" s="235" t="str">
        <f>IFERROR(__xludf.DUMMYFUNCTION("""COMPUTED_VALUE"""),"ADMIN")</f>
        <v>ADMIN</v>
      </c>
      <c r="D3194" s="196" t="str">
        <f>IFERROR(__xludf.DUMMYFUNCTION("""COMPUTED_VALUE"""),"20 BOXES PET CARD SHEETS(50 SHEETS)")</f>
        <v>20 BOXES PET CARD SHEETS(50 SHEETS)</v>
      </c>
      <c r="E3194" s="196" t="str">
        <f>IFERROR(__xludf.DUMMYFUNCTION("""COMPUTED_VALUE"""),"FOR CLASSROOM/OFFICES SIGNAGE")</f>
        <v>FOR CLASSROOM/OFFICES SIGNAGE</v>
      </c>
    </row>
    <row r="3195">
      <c r="A3195" s="234">
        <f>IFERROR(__xludf.DUMMYFUNCTION("""COMPUTED_VALUE"""),103486.0)</f>
        <v>103486</v>
      </c>
      <c r="B3195" s="235" t="str">
        <f>IFERROR(__xludf.DUMMYFUNCTION("""COMPUTED_VALUE"""),"OWIE PAR")</f>
        <v>OWIE PAR</v>
      </c>
      <c r="C3195" s="235" t="str">
        <f>IFERROR(__xludf.DUMMYFUNCTION("""COMPUTED_VALUE"""),"ENGINEERING")</f>
        <v>ENGINEERING</v>
      </c>
      <c r="D3195" s="196" t="str">
        <f>IFERROR(__xludf.DUMMYFUNCTION("""COMPUTED_VALUE"""),"- 10 BAGS ASPHALT
- 2 TIN ASPHALT SEALANT")</f>
        <v>- 10 BAGS ASPHALT
- 2 TIN ASPHALT SEALANT</v>
      </c>
      <c r="E3195" s="196" t="str">
        <f>IFERROR(__xludf.DUMMYFUNCTION("""COMPUTED_VALUE"""),"PREVENTIVE MAINTENANCE OF PARKING")</f>
        <v>PREVENTIVE MAINTENANCE OF PARKING</v>
      </c>
    </row>
    <row r="3196">
      <c r="A3196" s="234">
        <f>IFERROR(__xludf.DUMMYFUNCTION("""COMPUTED_VALUE"""),103487.0)</f>
        <v>103487</v>
      </c>
      <c r="B3196" s="235" t="str">
        <f>IFERROR(__xludf.DUMMYFUNCTION("""COMPUTED_VALUE"""),"OWIE PAR")</f>
        <v>OWIE PAR</v>
      </c>
      <c r="C3196" s="235" t="str">
        <f>IFERROR(__xludf.DUMMYFUNCTION("""COMPUTED_VALUE"""),"ENGINEERING")</f>
        <v>ENGINEERING</v>
      </c>
      <c r="D3196" s="196" t="str">
        <f>IFERROR(__xludf.DUMMYFUNCTION("""COMPUTED_VALUE"""),"50 PCS SMOKE DETECTOR(EDWARDS BRAND)")</f>
        <v>50 PCS SMOKE DETECTOR(EDWARDS BRAND)</v>
      </c>
      <c r="E3196" s="196" t="str">
        <f>IFERROR(__xludf.DUMMYFUNCTION("""COMPUTED_VALUE"""),"REPLACEMENT OF ALL OLD SMOKE DETECTOR FOR COLLEGE BLDG.")</f>
        <v>REPLACEMENT OF ALL OLD SMOKE DETECTOR FOR COLLEGE BLDG.</v>
      </c>
    </row>
    <row r="3197">
      <c r="A3197" s="234">
        <f>IFERROR(__xludf.DUMMYFUNCTION("""COMPUTED_VALUE"""),103488.0)</f>
        <v>103488</v>
      </c>
      <c r="B3197" s="235" t="str">
        <f>IFERROR(__xludf.DUMMYFUNCTION("""COMPUTED_VALUE"""),"JESUIT CHRISTIAN GALECIA")</f>
        <v>JESUIT CHRISTIAN GALECIA</v>
      </c>
      <c r="C3197" s="235" t="str">
        <f>IFERROR(__xludf.DUMMYFUNCTION("""COMPUTED_VALUE"""),"AMD")</f>
        <v>AMD</v>
      </c>
      <c r="D3197" s="196" t="str">
        <f>IFERROR(__xludf.DUMMYFUNCTION("""COMPUTED_VALUE"""),"50 REAMS, PAPER, COPY LASER A4 SUB. 20 WHITE")</f>
        <v>50 REAMS, PAPER, COPY LASER A4 SUB. 20 WHITE</v>
      </c>
      <c r="E3197" s="196" t="str">
        <f>IFERROR(__xludf.DUMMYFUNCTION("""COMPUTED_VALUE"""),"OSSUP STOCK REPLENISHMENT")</f>
        <v>OSSUP STOCK REPLENISHMENT</v>
      </c>
    </row>
    <row r="3198">
      <c r="A3198" s="234">
        <f>IFERROR(__xludf.DUMMYFUNCTION("""COMPUTED_VALUE"""),103489.0)</f>
        <v>103489</v>
      </c>
      <c r="B3198" s="235" t="str">
        <f>IFERROR(__xludf.DUMMYFUNCTION("""COMPUTED_VALUE"""),"JESUIT CHRISTIAN GALECIA")</f>
        <v>JESUIT CHRISTIAN GALECIA</v>
      </c>
      <c r="C3198" s="235" t="str">
        <f>IFERROR(__xludf.DUMMYFUNCTION("""COMPUTED_VALUE"""),"AMD")</f>
        <v>AMD</v>
      </c>
      <c r="D3198" s="196" t="str">
        <f>IFERROR(__xludf.DUMMYFUNCTION("""COMPUTED_VALUE"""),"384 TISSUE, ROLL BATH 2PLY")</f>
        <v>384 TISSUE, ROLL BATH 2PLY</v>
      </c>
      <c r="E3198" s="196" t="str">
        <f>IFERROR(__xludf.DUMMYFUNCTION("""COMPUTED_VALUE"""),"OSSUP STOCK REPLENISHMENT")</f>
        <v>OSSUP STOCK REPLENISHMENT</v>
      </c>
    </row>
    <row r="3199">
      <c r="A3199" s="234">
        <f>IFERROR(__xludf.DUMMYFUNCTION("""COMPUTED_VALUE"""),103490.0)</f>
        <v>103490</v>
      </c>
      <c r="B3199" s="235" t="str">
        <f>IFERROR(__xludf.DUMMYFUNCTION("""COMPUTED_VALUE"""),"RORY MANSBRIDGE")</f>
        <v>RORY MANSBRIDGE</v>
      </c>
      <c r="C3199" s="235" t="str">
        <f>IFERROR(__xludf.DUMMYFUNCTION("""COMPUTED_VALUE"""),"ATHLETICS")</f>
        <v>ATHLETICS</v>
      </c>
      <c r="D3199" s="196" t="str">
        <f>IFERROR(__xludf.DUMMYFUNCTION("""COMPUTED_VALUE"""),"COACHING PANTS")</f>
        <v>COACHING PANTS</v>
      </c>
      <c r="E3199" s="196" t="str">
        <f>IFERROR(__xludf.DUMMYFUNCTION("""COMPUTED_VALUE"""),"COACHES UNIFORM DURING COMPETITION")</f>
        <v>COACHES UNIFORM DURING COMPETITION</v>
      </c>
    </row>
    <row r="3200">
      <c r="A3200" s="234">
        <f>IFERROR(__xludf.DUMMYFUNCTION("""COMPUTED_VALUE"""),103491.0)</f>
        <v>103491</v>
      </c>
      <c r="B3200" s="235" t="str">
        <f>IFERROR(__xludf.DUMMYFUNCTION("""COMPUTED_VALUE"""),"JAN GUTIERREZ")</f>
        <v>JAN GUTIERREZ</v>
      </c>
      <c r="C3200" s="235" t="str">
        <f>IFERROR(__xludf.DUMMYFUNCTION("""COMPUTED_VALUE"""),"SHS DEPARTMENT")</f>
        <v>SHS DEPARTMENT</v>
      </c>
      <c r="D3200" s="196" t="str">
        <f>IFERROR(__xludf.DUMMYFUNCTION("""COMPUTED_VALUE"""),"- 40 PACKS KAPAS SPECIAL PAPER(LETTER SIZE - 80 GSM)
- 30 REAMS CONCORDE SPECIAL PAPER(LETTER SIZE - 90 GSM)")</f>
        <v>- 40 PACKS KAPAS SPECIAL PAPER(LETTER SIZE - 80 GSM)
- 30 REAMS CONCORDE SPECIAL PAPER(LETTER SIZE - 90 GSM)</v>
      </c>
      <c r="E3200" s="196" t="str">
        <f>IFERROR(__xludf.DUMMYFUNCTION("""COMPUTED_VALUE"""),"SHS GRADUATION AY 2022 - 2023")</f>
        <v>SHS GRADUATION AY 2022 - 2023</v>
      </c>
    </row>
    <row r="3201">
      <c r="A3201" s="234">
        <f>IFERROR(__xludf.DUMMYFUNCTION("""COMPUTED_VALUE"""),103492.0)</f>
        <v>103492</v>
      </c>
      <c r="B3201" s="235" t="str">
        <f>IFERROR(__xludf.DUMMYFUNCTION("""COMPUTED_VALUE"""),"MARVIN MARASIGAN")</f>
        <v>MARVIN MARASIGAN</v>
      </c>
      <c r="C3201" s="235" t="str">
        <f>IFERROR(__xludf.DUMMYFUNCTION("""COMPUTED_VALUE"""),"PR &amp; MARKETING")</f>
        <v>PR &amp; MARKETING</v>
      </c>
      <c r="D3201" s="196" t="str">
        <f>IFERROR(__xludf.DUMMYFUNCTION("""COMPUTED_VALUE"""),"1 PC BOUQUET FLOWERS WORTH 3.5K PHP")</f>
        <v>1 PC BOUQUET FLOWERS WORTH 3.5K PHP</v>
      </c>
      <c r="E3201" s="196" t="str">
        <f>IFERROR(__xludf.DUMMYFUNCTION("""COMPUTED_VALUE"""),"FOR TOKEN")</f>
        <v>FOR TOKEN</v>
      </c>
    </row>
    <row r="3202">
      <c r="A3202" s="234">
        <f>IFERROR(__xludf.DUMMYFUNCTION("""COMPUTED_VALUE"""),103493.0)</f>
        <v>103493</v>
      </c>
      <c r="B3202" s="235" t="str">
        <f>IFERROR(__xludf.DUMMYFUNCTION("""COMPUTED_VALUE"""),"SHEREE ESPINOSA")</f>
        <v>SHEREE ESPINOSA</v>
      </c>
      <c r="C3202" s="235" t="str">
        <f>IFERROR(__xludf.DUMMYFUNCTION("""COMPUTED_VALUE"""),"ADMIN")</f>
        <v>ADMIN</v>
      </c>
      <c r="D3202" s="196" t="str">
        <f>IFERROR(__xludf.DUMMYFUNCTION("""COMPUTED_VALUE"""),"- 100 PCS 60 x 60 TILES
- 10 BAGS ADHESIVE
- 10 BAGS CEMENT 
- 2 KGS TILE GROUT")</f>
        <v>- 100 PCS 60 x 60 TILES
- 10 BAGS ADHESIVE
- 10 BAGS CEMENT 
- 2 KGS TILE GROUT</v>
      </c>
      <c r="E3202" s="196" t="str">
        <f>IFERROR(__xludf.DUMMYFUNCTION("""COMPUTED_VALUE"""),"REPLACEMENT OF BROKEN TILES(LUX/COLLEGE)")</f>
        <v>REPLACEMENT OF BROKEN TILES(LUX/COLLEGE)</v>
      </c>
    </row>
    <row r="3203">
      <c r="A3203" s="234">
        <f>IFERROR(__xludf.DUMMYFUNCTION("""COMPUTED_VALUE"""),103494.0)</f>
        <v>103494</v>
      </c>
      <c r="B3203" s="235" t="str">
        <f>IFERROR(__xludf.DUMMYFUNCTION("""COMPUTED_VALUE"""),"ELMIE LAUDIATO")</f>
        <v>ELMIE LAUDIATO</v>
      </c>
      <c r="C3203" s="235" t="str">
        <f>IFERROR(__xludf.DUMMYFUNCTION("""COMPUTED_VALUE"""),"HRMD")</f>
        <v>HRMD</v>
      </c>
      <c r="D3203" s="196" t="str">
        <f>IFERROR(__xludf.DUMMYFUNCTION("""COMPUTED_VALUE"""),"8 PCS OFFICE CHAIR(HR DEPARTMENT IS NOT ERGONOMIC. IT IS UNCOMFORTABLE TO SIT AND THE WHEELS ARE NOT WORKING)")</f>
        <v>8 PCS OFFICE CHAIR(HR DEPARTMENT IS NOT ERGONOMIC. IT IS UNCOMFORTABLE TO SIT AND THE WHEELS ARE NOT WORKING)</v>
      </c>
      <c r="E3203" s="196" t="str">
        <f>IFERROR(__xludf.DUMMYFUNCTION("""COMPUTED_VALUE"""),"REPLACEMENT OF 8 OFFICE CHAIR OF HR OFFICE")</f>
        <v>REPLACEMENT OF 8 OFFICE CHAIR OF HR OFFICE</v>
      </c>
    </row>
    <row r="3204">
      <c r="A3204" s="234">
        <f>IFERROR(__xludf.DUMMYFUNCTION("""COMPUTED_VALUE"""),103495.0)</f>
        <v>103495</v>
      </c>
      <c r="B3204" s="235" t="str">
        <f>IFERROR(__xludf.DUMMYFUNCTION("""COMPUTED_VALUE"""),"MELISSA N ODONO")</f>
        <v>MELISSA N ODONO</v>
      </c>
      <c r="C3204" s="235" t="str">
        <f>IFERROR(__xludf.DUMMYFUNCTION("""COMPUTED_VALUE"""),"LIBRARY MUNICH")</f>
        <v>LIBRARY MUNICH</v>
      </c>
      <c r="D3204" s="196" t="str">
        <f>IFERROR(__xludf.DUMMYFUNCTION("""COMPUTED_VALUE"""),"1 PC TRODAT")</f>
        <v>1 PC TRODAT</v>
      </c>
      <c r="E3204" s="196" t="str">
        <f>IFERROR(__xludf.DUMMYFUNCTION("""COMPUTED_VALUE"""),"FOR LIBRARY USE")</f>
        <v>FOR LIBRARY USE</v>
      </c>
    </row>
    <row r="3205">
      <c r="A3205" s="234">
        <f>IFERROR(__xludf.DUMMYFUNCTION("""COMPUTED_VALUE"""),103496.0)</f>
        <v>103496</v>
      </c>
      <c r="B3205" s="235" t="str">
        <f>IFERROR(__xludf.DUMMYFUNCTION("""COMPUTED_VALUE"""),"MELISSA  ODONO/JUD ARGUELLES")</f>
        <v>MELISSA  ODONO/JUD ARGUELLES</v>
      </c>
      <c r="C3205" s="235" t="str">
        <f>IFERROR(__xludf.DUMMYFUNCTION("""COMPUTED_VALUE"""),"BASIC ED LIBRARY/IB")</f>
        <v>BASIC ED LIBRARY/IB</v>
      </c>
      <c r="D3205" s="196" t="str">
        <f>IFERROR(__xludf.DUMMYFUNCTION("""COMPUTED_VALUE"""),"- 1 PC IB HL ANALYSIS &amp; APPROACHES BUNDLE
- 1 PC MATHEMATICS: ANALYSIS AND APPROACHES HL REVISION GUIDE
- 1 PC IB SL ANALYSIS &amp; APPROACHES BUNDLE
- 1 PC MATHEMATICS: ANALYSIS AND APPROACHES SL REVISION GUIDE")</f>
        <v>- 1 PC IB HL ANALYSIS &amp; APPROACHES BUNDLE
- 1 PC MATHEMATICS: ANALYSIS AND APPROACHES HL REVISION GUIDE
- 1 PC IB SL ANALYSIS &amp; APPROACHES BUNDLE
- 1 PC MATHEMATICS: ANALYSIS AND APPROACHES SL REVISION GUIDE</v>
      </c>
      <c r="E3205" s="196" t="str">
        <f>IFERROR(__xludf.DUMMYFUNCTION("""COMPUTED_VALUE"""),"LIBRARY'S COPY/FOR FACULTY/MGT/STAFF USE/PACUCOA COMPLIANCE")</f>
        <v>LIBRARY'S COPY/FOR FACULTY/MGT/STAFF USE/PACUCOA COMPLIANCE</v>
      </c>
    </row>
    <row r="3206">
      <c r="A3206" s="234">
        <f>IFERROR(__xludf.DUMMYFUNCTION("""COMPUTED_VALUE"""),103497.0)</f>
        <v>103497</v>
      </c>
      <c r="B3206" s="235" t="str">
        <f>IFERROR(__xludf.DUMMYFUNCTION("""COMPUTED_VALUE"""),"MELISSA ODONO/ABIGAIL VALIENTE")</f>
        <v>MELISSA ODONO/ABIGAIL VALIENTE</v>
      </c>
      <c r="C3206" s="235" t="str">
        <f>IFERROR(__xludf.DUMMYFUNCTION("""COMPUTED_VALUE"""),"BASIC ED LIBRARY/IB")</f>
        <v>BASIC ED LIBRARY/IB</v>
      </c>
      <c r="D3206" s="196" t="str">
        <f>IFERROR(__xludf.DUMMYFUNCTION("""COMPUTED_VALUE"""),"- 1 PC IB BUSINESS MANAGEMENT")</f>
        <v>- 1 PC IB BUSINESS MANAGEMENT</v>
      </c>
      <c r="E3206" s="196" t="str">
        <f>IFERROR(__xludf.DUMMYFUNCTION("""COMPUTED_VALUE"""),"LIBRARY'S COPY/FOR FACULTY/MGT/STAFF USE/PACUCOA COMPLIANCE")</f>
        <v>LIBRARY'S COPY/FOR FACULTY/MGT/STAFF USE/PACUCOA COMPLIANCE</v>
      </c>
    </row>
    <row r="3207">
      <c r="A3207" s="234">
        <f>IFERROR(__xludf.DUMMYFUNCTION("""COMPUTED_VALUE"""),103498.0)</f>
        <v>103498</v>
      </c>
      <c r="B3207" s="235" t="str">
        <f>IFERROR(__xludf.DUMMYFUNCTION("""COMPUTED_VALUE"""),"MELISSA ODONO/JOSEPH GREGORIO")</f>
        <v>MELISSA ODONO/JOSEPH GREGORIO</v>
      </c>
      <c r="C3207" s="235" t="str">
        <f>IFERROR(__xludf.DUMMYFUNCTION("""COMPUTED_VALUE"""),"BASIC ED LIBRARY/IB")</f>
        <v>BASIC ED LIBRARY/IB</v>
      </c>
      <c r="D3207" s="196" t="str">
        <f>IFERROR(__xludf.DUMMYFUNCTION("""COMPUTED_VALUE"""),"- 1 PC BUSINESS ETHICS AND SOCIAL RESPONSIBILITY, UNDERSTANDING CULTURE, SOCIETY, AND POLITICS
- 1 PC PERSONAL DEVELOPMENT: THEORY &amp; PRACTICE
- 1 PC DISCIPLINE AND IDEAS IN THE SOCIAL SCIENCE
- 1 PC PERSONAL DEVELOPMENT
- 1 PC PHILIPPINE POLITICS &amp; GOVERN"&amp;"ANCE")</f>
        <v>- 1 PC BUSINESS ETHICS AND SOCIAL RESPONSIBILITY, UNDERSTANDING CULTURE, SOCIETY, AND POLITICS
- 1 PC PERSONAL DEVELOPMENT: THEORY &amp; PRACTICE
- 1 PC DISCIPLINE AND IDEAS IN THE SOCIAL SCIENCE
- 1 PC PERSONAL DEVELOPMENT
- 1 PC PHILIPPINE POLITICS &amp; GOVERNANCE</v>
      </c>
      <c r="E3207" s="196" t="str">
        <f>IFERROR(__xludf.DUMMYFUNCTION("""COMPUTED_VALUE"""),"LIBRARY'S COPY/FOR FACULTY/MGT/STAFF USE/PACUCOA COMPLIANCE")</f>
        <v>LIBRARY'S COPY/FOR FACULTY/MGT/STAFF USE/PACUCOA COMPLIANCE</v>
      </c>
    </row>
    <row r="3208">
      <c r="A3208" s="234">
        <f>IFERROR(__xludf.DUMMYFUNCTION("""COMPUTED_VALUE"""),103499.0)</f>
        <v>103499</v>
      </c>
      <c r="B3208" s="235" t="str">
        <f>IFERROR(__xludf.DUMMYFUNCTION("""COMPUTED_VALUE"""),"MELISSA ODONO/CARLA VILLANUEVA")</f>
        <v>MELISSA ODONO/CARLA VILLANUEVA</v>
      </c>
      <c r="C3208" s="235" t="str">
        <f>IFERROR(__xludf.DUMMYFUNCTION("""COMPUTED_VALUE"""),"LIBRARY BASIC ED")</f>
        <v>LIBRARY BASIC ED</v>
      </c>
      <c r="D3208" s="196" t="str">
        <f>IFERROR(__xludf.DUMMYFUNCTION("""COMPUTED_VALUE"""),"- 1 PC APPLIED ENGLISH FOR ACADEMIC AND PROFESSIONAL PURPOSES
- 1 PC PRACTICAL RESEARCH 2: QUANTITATIVE RESEARCH
- 1 PC READING AND WRITING SKILLS
- 1 PC PRACTICAL RESEARCH 1 ON QUALITATIVE RESEARCH
- 1 PC ORAL COMMUNICATION")</f>
        <v>- 1 PC APPLIED ENGLISH FOR ACADEMIC AND PROFESSIONAL PURPOSES
- 1 PC PRACTICAL RESEARCH 2: QUANTITATIVE RESEARCH
- 1 PC READING AND WRITING SKILLS
- 1 PC PRACTICAL RESEARCH 1 ON QUALITATIVE RESEARCH
- 1 PC ORAL COMMUNICATION</v>
      </c>
      <c r="E3208" s="196" t="str">
        <f>IFERROR(__xludf.DUMMYFUNCTION("""COMPUTED_VALUE"""),"LIBRARY'S COPY/FOR FACULTY/MGT/STAFF USE/PACUCOA COMPLIANCE")</f>
        <v>LIBRARY'S COPY/FOR FACULTY/MGT/STAFF USE/PACUCOA COMPLIANCE</v>
      </c>
    </row>
    <row r="3209">
      <c r="A3209" s="234">
        <f>IFERROR(__xludf.DUMMYFUNCTION("""COMPUTED_VALUE"""),103500.0)</f>
        <v>103500</v>
      </c>
      <c r="B3209" s="235" t="str">
        <f>IFERROR(__xludf.DUMMYFUNCTION("""COMPUTED_VALUE"""),"SAMUEL RAIZ")</f>
        <v>SAMUEL RAIZ</v>
      </c>
      <c r="C3209" s="235" t="str">
        <f>IFERROR(__xludf.DUMMYFUNCTION("""COMPUTED_VALUE"""),"MIS/ICT")</f>
        <v>MIS/ICT</v>
      </c>
      <c r="D3209" s="196" t="str">
        <f>IFERROR(__xludf.DUMMYFUNCTION("""COMPUTED_VALUE"""),"- 2 PCS MINI HDMI TO HDMI CABLE 3M
- 1 PC 120 x 240 CM WHITE PVC BACKDROP
- 2 PCS 50 x 70 CM SOFT BOX WITH STAND
- 2 PCS TRANSPARENT DESKTOP STORAGE
- 1 PC HEKKAW RING LIGHT 36 CM")</f>
        <v>- 2 PCS MINI HDMI TO HDMI CABLE 3M
- 1 PC 120 x 240 CM WHITE PVC BACKDROP
- 2 PCS 50 x 70 CM SOFT BOX WITH STAND
- 2 PCS TRANSPARENT DESKTOP STORAGE
- 1 PC HEKKAW RING LIGHT 36 CM</v>
      </c>
      <c r="E3209" s="196" t="str">
        <f>IFERROR(__xludf.DUMMYFUNCTION("""COMPUTED_VALUE"""),"FOR ID PICTURE DURING ENROLMENTS &amp; ID STORAGE")</f>
        <v>FOR ID PICTURE DURING ENROLMENTS &amp; ID STORAGE</v>
      </c>
    </row>
    <row r="3210">
      <c r="A3210" s="234">
        <f>IFERROR(__xludf.DUMMYFUNCTION("""COMPUTED_VALUE"""),103501.0)</f>
        <v>103501</v>
      </c>
      <c r="B3210" s="235" t="str">
        <f>IFERROR(__xludf.DUMMYFUNCTION("""COMPUTED_VALUE"""),"KHYLE C. CHAVEZ")</f>
        <v>KHYLE C. CHAVEZ</v>
      </c>
      <c r="C3210" s="235" t="str">
        <f>IFERROR(__xludf.DUMMYFUNCTION("""COMPUTED_VALUE"""),"BASIC ED")</f>
        <v>BASIC ED</v>
      </c>
      <c r="D3210" s="196" t="str">
        <f>IFERROR(__xludf.DUMMYFUNCTION("""COMPUTED_VALUE"""),"1 PC WREATH(SYMPATHY FLOWERS) WHITE")</f>
        <v>1 PC WREATH(SYMPATHY FLOWERS) WHITE</v>
      </c>
      <c r="E3210" s="196" t="str">
        <f>IFERROR(__xludf.DUMMYFUNCTION("""COMPUTED_VALUE"""),"FLOWERS FOR MR. DAVID MERCADO")</f>
        <v>FLOWERS FOR MR. DAVID MERCADO</v>
      </c>
    </row>
    <row r="3211">
      <c r="A3211" s="234">
        <f>IFERROR(__xludf.DUMMYFUNCTION("""COMPUTED_VALUE"""),103502.0)</f>
        <v>103502</v>
      </c>
      <c r="B3211" s="235" t="str">
        <f>IFERROR(__xludf.DUMMYFUNCTION("""COMPUTED_VALUE"""),"CHOY JAMIAS")</f>
        <v>CHOY JAMIAS</v>
      </c>
      <c r="C3211" s="235" t="str">
        <f>IFERROR(__xludf.DUMMYFUNCTION("""COMPUTED_VALUE"""),"OSA")</f>
        <v>OSA</v>
      </c>
      <c r="D3211" s="196" t="str">
        <f>IFERROR(__xludf.DUMMYFUNCTION("""COMPUTED_VALUE"""),"- 400 SOUVENIR PROGRAM
- 400 SOUVENIR PROGRAM ENVELOPE
- 400 GRADUATION INVITATION
- 200 RECOGNITION INVITATION")</f>
        <v>- 400 SOUVENIR PROGRAM
- 400 SOUVENIR PROGRAM ENVELOPE
- 400 GRADUATION INVITATION
- 200 RECOGNITION INVITATION</v>
      </c>
      <c r="E3211" s="196" t="str">
        <f>IFERROR(__xludf.DUMMYFUNCTION("""COMPUTED_VALUE"""),"18TH COMMENCEMENT EXERCISE")</f>
        <v>18TH COMMENCEMENT EXERCISE</v>
      </c>
    </row>
    <row r="3212">
      <c r="A3212" s="234">
        <f>IFERROR(__xludf.DUMMYFUNCTION("""COMPUTED_VALUE"""),103503.0)</f>
        <v>103503</v>
      </c>
      <c r="B3212" s="235" t="str">
        <f>IFERROR(__xludf.DUMMYFUNCTION("""COMPUTED_VALUE"""),"OWIE PAR")</f>
        <v>OWIE PAR</v>
      </c>
      <c r="C3212" s="235" t="str">
        <f>IFERROR(__xludf.DUMMYFUNCTION("""COMPUTED_VALUE"""),"ENGINEERING")</f>
        <v>ENGINEERING</v>
      </c>
      <c r="D3212" s="196" t="str">
        <f>IFERROR(__xludf.DUMMYFUNCTION("""COMPUTED_VALUE"""),"2 PCS PARKING LIGHTS 70 WATTS")</f>
        <v>2 PCS PARKING LIGHTS 70 WATTS</v>
      </c>
      <c r="E3212" s="196" t="str">
        <f>IFERROR(__xludf.DUMMYFUNCTION("""COMPUTED_VALUE"""),"FOR REPLACEMENT OF BUSTED PARKING LIGHT ALONG COLLEGE PARKING &amp; PALM J.O. 0623 - 0106")</f>
        <v>FOR REPLACEMENT OF BUSTED PARKING LIGHT ALONG COLLEGE PARKING &amp; PALM J.O. 0623 - 0106</v>
      </c>
    </row>
    <row r="3213">
      <c r="A3213" s="234">
        <f>IFERROR(__xludf.DUMMYFUNCTION("""COMPUTED_VALUE"""),103504.0)</f>
        <v>103504</v>
      </c>
      <c r="B3213" s="235" t="str">
        <f>IFERROR(__xludf.DUMMYFUNCTION("""COMPUTED_VALUE"""),"ELMIE LAUDIATO")</f>
        <v>ELMIE LAUDIATO</v>
      </c>
      <c r="C3213" s="235" t="str">
        <f>IFERROR(__xludf.DUMMYFUNCTION("""COMPUTED_VALUE"""),"HRMD")</f>
        <v>HRMD</v>
      </c>
      <c r="D3213" s="196" t="str">
        <f>IFERROR(__xludf.DUMMYFUNCTION("""COMPUTED_VALUE"""),"- 1 PC PLAQUE 5 YEARS(6"", ANNA MARIE N. SEVA)
- 1 PC PLAQUE 20 YEARS(12"", JULIETA P. CATURGAL)")</f>
        <v>- 1 PC PLAQUE 5 YEARS(6", ANNA MARIE N. SEVA)
- 1 PC PLAQUE 20 YEARS(12", JULIETA P. CATURGAL)</v>
      </c>
      <c r="E3213" s="196" t="str">
        <f>IFERROR(__xludf.DUMMYFUNCTION("""COMPUTED_VALUE"""),"ADDITIONAL REQUEST FOR SERVICE AWARDS PLAQUE AY 2022 - 2023")</f>
        <v>ADDITIONAL REQUEST FOR SERVICE AWARDS PLAQUE AY 2022 - 2023</v>
      </c>
    </row>
    <row r="3214">
      <c r="A3214" s="234">
        <f>IFERROR(__xludf.DUMMYFUNCTION("""COMPUTED_VALUE"""),103505.0)</f>
        <v>103505</v>
      </c>
      <c r="B3214" s="235" t="str">
        <f>IFERROR(__xludf.DUMMYFUNCTION("""COMPUTED_VALUE"""),"MELISSA ODONO")</f>
        <v>MELISSA ODONO</v>
      </c>
      <c r="C3214" s="235" t="str">
        <f>IFERROR(__xludf.DUMMYFUNCTION("""COMPUTED_VALUE"""),"LIBRARY BASIC ED/IB")</f>
        <v>LIBRARY BASIC ED/IB</v>
      </c>
      <c r="D3214" s="196" t="str">
        <f>IFERROR(__xludf.DUMMYFUNCTION("""COMPUTED_VALUE"""),"- 1 PC CAMBRIDGE IGCS PHYSICS FOR THE IB DIPLOMA COURSEBOOK WITH DIGITAL ACCESS (2 YEARS) 7TH EDITION
- 1 PC PHYSICS FOR THE IB DIPLOMA EXAM PREPARATION GUIDE 2ND EDITION
- 1 PC BIOLOGY FOR THE IB DIPLOMA EXAM PREPARATION GUIDE 2ND EDITION BY BRENDA WALPO"&amp;"LE
- 1 PC CHEMISTRY FOR THE IB DIPLOMA EXAM PREPARATION GUIDE 2ND EDITION
- 1 PC BIOLOGY FOR THE IB DIPLOMA COURSEBOOK WITH CAMBRIDGE ELEVATE ENHANCED EDITION (2 YEARS) 2ND EDITION
- 1 PC CHEMISTRY FOR THE IB DIPLOMA COURSEBOOK 2ND EDITION
- 1 PC MYP PHYS"&amp;"ICAL SCIENCES: A CONCEPT BASED APPROACH (IB MYP SERIES)
- 1 PC CAMBRIDGE IGCSE &amp; O LEVEL COMPLETE PHYSICS STUDENT BOOK FOURTH EDITION
- 1 PC CAMBRIDGE ICGSE PHYSICS DIGITAL TEACHER'S RESOURCES ACCESS CARD")</f>
        <v>- 1 PC CAMBRIDGE IGCS PHYSICS FOR THE IB DIPLOMA COURSEBOOK WITH DIGITAL ACCESS (2 YEARS) 7TH EDITION
- 1 PC PHYSICS FOR THE IB DIPLOMA EXAM PREPARATION GUIDE 2ND EDITION
- 1 PC BIOLOGY FOR THE IB DIPLOMA EXAM PREPARATION GUIDE 2ND EDITION BY BRENDA WALPOLE
- 1 PC CHEMISTRY FOR THE IB DIPLOMA EXAM PREPARATION GUIDE 2ND EDITION
- 1 PC BIOLOGY FOR THE IB DIPLOMA COURSEBOOK WITH CAMBRIDGE ELEVATE ENHANCED EDITION (2 YEARS) 2ND EDITION
- 1 PC CHEMISTRY FOR THE IB DIPLOMA COURSEBOOK 2ND EDITION
- 1 PC MYP PHYSICAL SCIENCES: A CONCEPT BASED APPROACH (IB MYP SERIES)
- 1 PC CAMBRIDGE IGCSE &amp; O LEVEL COMPLETE PHYSICS STUDENT BOOK FOURTH EDITION
- 1 PC CAMBRIDGE ICGSE PHYSICS DIGITAL TEACHER'S RESOURCES ACCESS CARD</v>
      </c>
      <c r="E3214" s="196" t="str">
        <f>IFERROR(__xludf.DUMMYFUNCTION("""COMPUTED_VALUE"""),"LIBRARY'S COPY/FOR FACULTY/MGT/STAFF USE/PACUCOA COMPLIANCE")</f>
        <v>LIBRARY'S COPY/FOR FACULTY/MGT/STAFF USE/PACUCOA COMPLIANCE</v>
      </c>
    </row>
    <row r="3215">
      <c r="A3215" s="234">
        <f>IFERROR(__xludf.DUMMYFUNCTION("""COMPUTED_VALUE"""),103506.0)</f>
        <v>103506</v>
      </c>
      <c r="B3215" s="235" t="str">
        <f>IFERROR(__xludf.DUMMYFUNCTION("""COMPUTED_VALUE"""),"JESUIT CHRISTIAN GALICIA")</f>
        <v>JESUIT CHRISTIAN GALICIA</v>
      </c>
      <c r="C3215" s="235" t="str">
        <f>IFERROR(__xludf.DUMMYFUNCTION("""COMPUTED_VALUE"""),"AMD")</f>
        <v>AMD</v>
      </c>
      <c r="D3215" s="196" t="str">
        <f>IFERROR(__xludf.DUMMYFUNCTION("""COMPUTED_VALUE"""),"- 20 PCS FILL VALVE
- 10 PCS CAPACITOR 30 UF
- 5 PCS DOOR CLOSER YALE
- 25 PCS GOOSE NECK FAUCET
- 15 PCS PADLOCK 50MM YALE
- 15 PCS TEFLON TAPE
- 15 PCS FAUCET TANSO")</f>
        <v>- 20 PCS FILL VALVE
- 10 PCS CAPACITOR 30 UF
- 5 PCS DOOR CLOSER YALE
- 25 PCS GOOSE NECK FAUCET
- 15 PCS PADLOCK 50MM YALE
- 15 PCS TEFLON TAPE
- 15 PCS FAUCET TANSO</v>
      </c>
      <c r="E3215" s="196" t="str">
        <f>IFERROR(__xludf.DUMMYFUNCTION("""COMPUTED_VALUE"""),"ENGINEERING WAREHOUSE STOCK REPLENISHMENT")</f>
        <v>ENGINEERING WAREHOUSE STOCK REPLENISHMENT</v>
      </c>
    </row>
    <row r="3216">
      <c r="A3216" s="234">
        <f>IFERROR(__xludf.DUMMYFUNCTION("""COMPUTED_VALUE"""),103507.0)</f>
        <v>103507</v>
      </c>
      <c r="B3216" s="235" t="str">
        <f>IFERROR(__xludf.DUMMYFUNCTION("""COMPUTED_VALUE"""),"MP LOPEZ")</f>
        <v>MP LOPEZ</v>
      </c>
      <c r="C3216" s="235" t="str">
        <f>IFERROR(__xludf.DUMMYFUNCTION("""COMPUTED_VALUE"""),"BEDDSA")</f>
        <v>BEDDSA</v>
      </c>
      <c r="D3216" s="196" t="str">
        <f>IFERROR(__xludf.DUMMYFUNCTION("""COMPUTED_VALUE"""),"2 PCS PROTOYPE STUDENT HANDBOOK 2023")</f>
        <v>2 PCS PROTOYPE STUDENT HANDBOOK 2023</v>
      </c>
      <c r="E3216" s="196" t="str">
        <f>IFERROR(__xludf.DUMMYFUNCTION("""COMPUTED_VALUE"""),"BASIC ED STUDENT HANDBOOK")</f>
        <v>BASIC ED STUDENT HANDBOOK</v>
      </c>
    </row>
    <row r="3217">
      <c r="A3217" s="234">
        <f>IFERROR(__xludf.DUMMYFUNCTION("""COMPUTED_VALUE"""),103508.0)</f>
        <v>103508</v>
      </c>
      <c r="B3217" s="235" t="str">
        <f>IFERROR(__xludf.DUMMYFUNCTION("""COMPUTED_VALUE"""),"JESUIT CHRISTIAN GALICIA")</f>
        <v>JESUIT CHRISTIAN GALICIA</v>
      </c>
      <c r="C3217" s="235" t="str">
        <f>IFERROR(__xludf.DUMMYFUNCTION("""COMPUTED_VALUE"""),"AMD")</f>
        <v>AMD</v>
      </c>
      <c r="D3217" s="196" t="str">
        <f>IFERROR(__xludf.DUMMYFUNCTION("""COMPUTED_VALUE"""),"1 PC STYROFOAM CUTTER")</f>
        <v>1 PC STYROFOAM CUTTER</v>
      </c>
      <c r="E3217" s="196" t="str">
        <f>IFERROR(__xludf.DUMMYFUNCTION("""COMPUTED_VALUE"""),"AMD OFFICE/WAREHOUSE EQUIPMENT")</f>
        <v>AMD OFFICE/WAREHOUSE EQUIPMENT</v>
      </c>
    </row>
    <row r="3218">
      <c r="A3218" s="234">
        <f>IFERROR(__xludf.DUMMYFUNCTION("""COMPUTED_VALUE"""),103509.0)</f>
        <v>103509</v>
      </c>
      <c r="B3218" s="235" t="str">
        <f>IFERROR(__xludf.DUMMYFUNCTION("""COMPUTED_VALUE"""),"JESUIT CHRISTIAN GALICIA")</f>
        <v>JESUIT CHRISTIAN GALICIA</v>
      </c>
      <c r="C3218" s="235" t="str">
        <f>IFERROR(__xludf.DUMMYFUNCTION("""COMPUTED_VALUE"""),"AMD")</f>
        <v>AMD</v>
      </c>
      <c r="D3218" s="196" t="str">
        <f>IFERROR(__xludf.DUMMYFUNCTION("""COMPUTED_VALUE"""),"1000 PCS ENVELOPE, BROWN LONG")</f>
        <v>1000 PCS ENVELOPE, BROWN LONG</v>
      </c>
      <c r="E3218" s="196" t="str">
        <f>IFERROR(__xludf.DUMMYFUNCTION("""COMPUTED_VALUE"""),"OSSUP STOCK REPLENISHMENT")</f>
        <v>OSSUP STOCK REPLENISHMENT</v>
      </c>
    </row>
    <row r="3219">
      <c r="A3219" s="234">
        <f>IFERROR(__xludf.DUMMYFUNCTION("""COMPUTED_VALUE"""),103510.0)</f>
        <v>103510</v>
      </c>
      <c r="B3219" s="235" t="str">
        <f>IFERROR(__xludf.DUMMYFUNCTION("""COMPUTED_VALUE"""),"ASTRID DE LEON")</f>
        <v>ASTRID DE LEON</v>
      </c>
      <c r="C3219" s="235" t="str">
        <f>IFERROR(__xludf.DUMMYFUNCTION("""COMPUTED_VALUE"""),"COLLEGE DIRECTOR")</f>
        <v>COLLEGE DIRECTOR</v>
      </c>
      <c r="D3219" s="196" t="str">
        <f>IFERROR(__xludf.DUMMYFUNCTION("""COMPUTED_VALUE"""),"1 PC TRODAT(DATE) COLLEGE DIRECTOR TRODAT")</f>
        <v>1 PC TRODAT(DATE) COLLEGE DIRECTOR TRODAT</v>
      </c>
      <c r="E3219" s="196" t="str">
        <f>IFERROR(__xludf.DUMMYFUNCTION("""COMPUTED_VALUE"""),"FOR OFFICE USE")</f>
        <v>FOR OFFICE USE</v>
      </c>
    </row>
    <row r="3220">
      <c r="A3220" s="234">
        <f>IFERROR(__xludf.DUMMYFUNCTION("""COMPUTED_VALUE"""),103511.0)</f>
        <v>103511</v>
      </c>
      <c r="B3220" s="235" t="str">
        <f>IFERROR(__xludf.DUMMYFUNCTION("""COMPUTED_VALUE"""),"LIZA JIMENEZ")</f>
        <v>LIZA JIMENEZ</v>
      </c>
      <c r="C3220" s="235" t="str">
        <f>IFERROR(__xludf.DUMMYFUNCTION("""COMPUTED_VALUE"""),"COLLEGE OF NURSING")</f>
        <v>COLLEGE OF NURSING</v>
      </c>
      <c r="D3220" s="196" t="str">
        <f>IFERROR(__xludf.DUMMYFUNCTION("""COMPUTED_VALUE"""),"- STAGE PROPS OF MODERN FILIPINIANA 
- 12 PCS ACRYLIC CUSTOMIZED MEDAL IN RIBBONS")</f>
        <v>- STAGE PROPS OF MODERN FILIPINIANA 
- 12 PCS ACRYLIC CUSTOMIZED MEDAL IN RIBBONS</v>
      </c>
      <c r="E3220" s="196" t="str">
        <f>IFERROR(__xludf.DUMMYFUNCTION("""COMPUTED_VALUE"""),"FOR TESTIMONIAL DINNER")</f>
        <v>FOR TESTIMONIAL DINNER</v>
      </c>
    </row>
    <row r="3221">
      <c r="A3221" s="234">
        <f>IFERROR(__xludf.DUMMYFUNCTION("""COMPUTED_VALUE"""),103512.0)</f>
        <v>103512</v>
      </c>
      <c r="B3221" s="235" t="str">
        <f>IFERROR(__xludf.DUMMYFUNCTION("""COMPUTED_VALUE"""),"OWIE PAR")</f>
        <v>OWIE PAR</v>
      </c>
      <c r="C3221" s="235" t="str">
        <f>IFERROR(__xludf.DUMMYFUNCTION("""COMPUTED_VALUE"""),"ENGINEERING")</f>
        <v>ENGINEERING</v>
      </c>
      <c r="D3221" s="196" t="str">
        <f>IFERROR(__xludf.DUMMYFUNCTION("""COMPUTED_VALUE"""),"1 LOT STOCK FOR WATER FILTRATION SYSTEM")</f>
        <v>1 LOT STOCK FOR WATER FILTRATION SYSTEM</v>
      </c>
      <c r="E3221" s="196" t="str">
        <f>IFERROR(__xludf.DUMMYFUNCTION("""COMPUTED_VALUE"""),"SUPPLIES FOR WATER FILTRATION SYSTEM")</f>
        <v>SUPPLIES FOR WATER FILTRATION SYSTEM</v>
      </c>
    </row>
    <row r="3222">
      <c r="A3222" s="234">
        <f>IFERROR(__xludf.DUMMYFUNCTION("""COMPUTED_VALUE"""),103513.0)</f>
        <v>103513</v>
      </c>
      <c r="B3222" s="235" t="str">
        <f>IFERROR(__xludf.DUMMYFUNCTION("""COMPUTED_VALUE"""),"CHRISTIAN S. ANDRES")</f>
        <v>CHRISTIAN S. ANDRES</v>
      </c>
      <c r="C3222" s="235" t="str">
        <f>IFERROR(__xludf.DUMMYFUNCTION("""COMPUTED_VALUE"""),"PR &amp; MARKETING")</f>
        <v>PR &amp; MARKETING</v>
      </c>
      <c r="D3222" s="196" t="str">
        <f>IFERROR(__xludf.DUMMYFUNCTION("""COMPUTED_VALUE"""),"- 4 PCS TRIKE AREA TARPS (6.5 x 15.5 FEET)
- 4 PCS COLLEGE WALL TARPS (193 x 515 CM)")</f>
        <v>- 4 PCS TRIKE AREA TARPS (6.5 x 15.5 FEET)
- 4 PCS COLLEGE WALL TARPS (193 x 515 CM)</v>
      </c>
      <c r="E3222" s="196" t="str">
        <f>IFERROR(__xludf.DUMMYFUNCTION("""COMPUTED_VALUE"""),"MARKETING/PROMOTIONAL")</f>
        <v>MARKETING/PROMOTIONAL</v>
      </c>
    </row>
    <row r="3223">
      <c r="A3223" s="234">
        <f>IFERROR(__xludf.DUMMYFUNCTION("""COMPUTED_VALUE"""),103514.0)</f>
        <v>103514</v>
      </c>
      <c r="B3223" s="235" t="str">
        <f>IFERROR(__xludf.DUMMYFUNCTION("""COMPUTED_VALUE"""),"OWIE PAR")</f>
        <v>OWIE PAR</v>
      </c>
      <c r="C3223" s="235" t="str">
        <f>IFERROR(__xludf.DUMMYFUNCTION("""COMPUTED_VALUE"""),"ENGINEERING")</f>
        <v>ENGINEERING</v>
      </c>
      <c r="D3223" s="196" t="str">
        <f>IFERROR(__xludf.DUMMYFUNCTION("""COMPUTED_VALUE"""),"- 1 TIN QDE WHITE
- 1 GALLON QDE CHOCO BROWN
- 1 GALLON PAINT THINNER
- 5 METERS SANDING PAPER #100
- 2 TIN SEMI GLASS LATEX WHITE
- 1 TIN FLAT LATEX WHITE
- 4 LITERS POLYTUFF W/HARDINER
- 1 BAG SKIM COAT
- 3 PCS PAINT ROLLER #7 ACRYLON
- 3 PCS PAINT ROLL"&amp;"ER #4
- 1 LITER ACRI COLOR RAW SHIENNA
- 1 PC MARINE PLYWOOD 3/4 x 4 x 8
- 2 PCS MARINE PLYWOOD 1/4 x 4 x 8
- 1 GALLON QDE MAPLE BROWN")</f>
        <v>- 1 TIN QDE WHITE
- 1 GALLON QDE CHOCO BROWN
- 1 GALLON PAINT THINNER
- 5 METERS SANDING PAPER #100
- 2 TIN SEMI GLASS LATEX WHITE
- 1 TIN FLAT LATEX WHITE
- 4 LITERS POLYTUFF W/HARDINER
- 1 BAG SKIM COAT
- 3 PCS PAINT ROLLER #7 ACRYLON
- 3 PCS PAINT ROLLER #4
- 1 LITER ACRI COLOR RAW SHIENNA
- 1 PC MARINE PLYWOOD 3/4 x 4 x 8
- 2 PCS MARINE PLYWOOD 1/4 x 4 x 8
- 1 GALLON QDE MAPLE BROWN</v>
      </c>
      <c r="E3223" s="196" t="str">
        <f>IFERROR(__xludf.DUMMYFUNCTION("""COMPUTED_VALUE"""),"FOR J.O. 0623 - 0048, 0097, 0012, 0099, 0723, 0002")</f>
        <v>FOR J.O. 0623 - 0048, 0097, 0012, 0099, 0723, 0002</v>
      </c>
    </row>
    <row r="3224">
      <c r="A3224" s="234">
        <f>IFERROR(__xludf.DUMMYFUNCTION("""COMPUTED_VALUE"""),103515.0)</f>
        <v>103515</v>
      </c>
      <c r="B3224" s="235" t="str">
        <f>IFERROR(__xludf.DUMMYFUNCTION("""COMPUTED_VALUE"""),"ALFA DE LEON")</f>
        <v>ALFA DE LEON</v>
      </c>
      <c r="C3224" s="235" t="str">
        <f>IFERROR(__xludf.DUMMYFUNCTION("""COMPUTED_VALUE"""),"LANDSCAPING")</f>
        <v>LANDSCAPING</v>
      </c>
      <c r="D3224" s="196" t="str">
        <f>IFERROR(__xludf.DUMMYFUNCTION("""COMPUTED_VALUE"""),"16 PCS ALCOHOL DISPENSER 
- RM 101 (1 PC)
- RM 204 (1 PC)
- RM 206 (1 PC)
- RM 207 (1 PC)
- RM 302 (1 PC)
- RM 303 (1 PC)
- RM 307 (1 PC)
- FRONT GATE(2 PCS)
- G/F CR (1 PC)
- CAFETERIA(2 PCS)
- COMP. LAB (1 PC)
- HALLWAY (3 PCS)")</f>
        <v>16 PCS ALCOHOL DISPENSER 
- RM 101 (1 PC)
- RM 204 (1 PC)
- RM 206 (1 PC)
- RM 207 (1 PC)
- RM 302 (1 PC)
- RM 303 (1 PC)
- RM 307 (1 PC)
- FRONT GATE(2 PCS)
- G/F CR (1 PC)
- CAFETERIA(2 PCS)
- COMP. LAB (1 PC)
- HALLWAY (3 PCS)</v>
      </c>
      <c r="E3224" s="196" t="str">
        <f>IFERROR(__xludf.DUMMYFUNCTION("""COMPUTED_VALUE"""),"SANITATION")</f>
        <v>SANITATION</v>
      </c>
    </row>
    <row r="3225">
      <c r="A3225" s="234">
        <f>IFERROR(__xludf.DUMMYFUNCTION("""COMPUTED_VALUE"""),103516.0)</f>
        <v>103516</v>
      </c>
      <c r="B3225" s="235" t="str">
        <f>IFERROR(__xludf.DUMMYFUNCTION("""COMPUTED_VALUE"""),"ALFA DE LEON")</f>
        <v>ALFA DE LEON</v>
      </c>
      <c r="C3225" s="235" t="str">
        <f>IFERROR(__xludf.DUMMYFUNCTION("""COMPUTED_VALUE"""),"HOUSEKEEPING")</f>
        <v>HOUSEKEEPING</v>
      </c>
      <c r="D3225" s="196" t="str">
        <f>IFERROR(__xludf.DUMMYFUNCTION("""COMPUTED_VALUE"""),"3 PCS MOP SQUEEZER")</f>
        <v>3 PCS MOP SQUEEZER</v>
      </c>
      <c r="E3225" s="196" t="str">
        <f>IFERROR(__xludf.DUMMYFUNCTION("""COMPUTED_VALUE"""),"TO REPLACE THE BROKEN MOP SQUEEZERS")</f>
        <v>TO REPLACE THE BROKEN MOP SQUEEZERS</v>
      </c>
    </row>
    <row r="3226">
      <c r="A3226" s="234">
        <f>IFERROR(__xludf.DUMMYFUNCTION("""COMPUTED_VALUE"""),103517.0)</f>
        <v>103517</v>
      </c>
      <c r="B3226" s="235" t="str">
        <f>IFERROR(__xludf.DUMMYFUNCTION("""COMPUTED_VALUE"""),"ALFA DE LEON")</f>
        <v>ALFA DE LEON</v>
      </c>
      <c r="C3226" s="235" t="str">
        <f>IFERROR(__xludf.DUMMYFUNCTION("""COMPUTED_VALUE"""),"LANDSCAPING")</f>
        <v>LANDSCAPING</v>
      </c>
      <c r="D3226" s="196" t="str">
        <f>IFERROR(__xludf.DUMMYFUNCTION("""COMPUTED_VALUE"""),"2 PCS KARATE")</f>
        <v>2 PCS KARATE</v>
      </c>
      <c r="E3226" s="196" t="str">
        <f>IFERROR(__xludf.DUMMYFUNCTION("""COMPUTED_VALUE"""),"PLANTS MAINTENANCE")</f>
        <v>PLANTS MAINTENANCE</v>
      </c>
    </row>
    <row r="3227">
      <c r="A3227" s="234">
        <f>IFERROR(__xludf.DUMMYFUNCTION("""COMPUTED_VALUE"""),103518.0)</f>
        <v>103518</v>
      </c>
      <c r="B3227" s="235" t="str">
        <f>IFERROR(__xludf.DUMMYFUNCTION("""COMPUTED_VALUE"""),"JESUIT CHRISTIAN GALICIA")</f>
        <v>JESUIT CHRISTIAN GALICIA</v>
      </c>
      <c r="C3227" s="235" t="str">
        <f>IFERROR(__xludf.DUMMYFUNCTION("""COMPUTED_VALUE"""),"AMD")</f>
        <v>AMD</v>
      </c>
      <c r="D3227" s="196" t="str">
        <f>IFERROR(__xludf.DUMMYFUNCTION("""COMPUTED_VALUE"""),"3 PCS. CAT6 CABLE BLUE ")</f>
        <v>3 PCS. CAT6 CABLE BLUE </v>
      </c>
      <c r="E3227" s="196" t="str">
        <f>IFERROR(__xludf.DUMMYFUNCTION("""COMPUTED_VALUE"""),"MIS STOCK REPLENISHMENT")</f>
        <v>MIS STOCK REPLENISHMENT</v>
      </c>
    </row>
    <row r="3228">
      <c r="A3228" s="234">
        <f>IFERROR(__xludf.DUMMYFUNCTION("""COMPUTED_VALUE"""),103519.0)</f>
        <v>103519</v>
      </c>
      <c r="B3228" s="235" t="str">
        <f>IFERROR(__xludf.DUMMYFUNCTION("""COMPUTED_VALUE"""),"ELMIE LAUDIATO")</f>
        <v>ELMIE LAUDIATO</v>
      </c>
      <c r="C3228" s="235" t="str">
        <f>IFERROR(__xludf.DUMMYFUNCTION("""COMPUTED_VALUE"""),"HRMD")</f>
        <v>HRMD</v>
      </c>
      <c r="D3228" s="196" t="str">
        <f>IFERROR(__xludf.DUMMYFUNCTION("""COMPUTED_VALUE"""),"1 PC FLOWER WREATH")</f>
        <v>1 PC FLOWER WREATH</v>
      </c>
      <c r="E3228" s="196" t="str">
        <f>IFERROR(__xludf.DUMMYFUNCTION("""COMPUTED_VALUE"""),"FLOWER WREATH FOR THE FATHER OF MR DANIEL ENRIQUEZ")</f>
        <v>FLOWER WREATH FOR THE FATHER OF MR DANIEL ENRIQUEZ</v>
      </c>
    </row>
    <row r="3229">
      <c r="A3229" s="234">
        <f>IFERROR(__xludf.DUMMYFUNCTION("""COMPUTED_VALUE"""),103520.0)</f>
        <v>103520</v>
      </c>
      <c r="B3229" s="235" t="str">
        <f>IFERROR(__xludf.DUMMYFUNCTION("""COMPUTED_VALUE"""),"ELMIE LAUDIATO")</f>
        <v>ELMIE LAUDIATO</v>
      </c>
      <c r="C3229" s="235" t="str">
        <f>IFERROR(__xludf.DUMMYFUNCTION("""COMPUTED_VALUE"""),"HRMD")</f>
        <v>HRMD</v>
      </c>
      <c r="D3229" s="196" t="str">
        <f>IFERROR(__xludf.DUMMYFUNCTION("""COMPUTED_VALUE"""),"1 PC ANDROID PHONE
- 4 GB RAM
- 64 GB ROM
- ANY BRAND
- WORTH 5,000 PHP")</f>
        <v>1 PC ANDROID PHONE
- 4 GB RAM
- 64 GB ROM
- ANY BRAND
- WORTH 5,000 PHP</v>
      </c>
      <c r="E3229" s="196" t="str">
        <f>IFERROR(__xludf.DUMMYFUNCTION("""COMPUTED_VALUE"""),"REPLACEMENT OF THE OLD PHONE USED IN HIRING")</f>
        <v>REPLACEMENT OF THE OLD PHONE USED IN HIRING</v>
      </c>
    </row>
    <row r="3230">
      <c r="A3230" s="234">
        <f>IFERROR(__xludf.DUMMYFUNCTION("""COMPUTED_VALUE"""),103521.0)</f>
        <v>103521</v>
      </c>
      <c r="B3230" s="235" t="str">
        <f>IFERROR(__xludf.DUMMYFUNCTION("""COMPUTED_VALUE"""),"MONCHING DELA VINA")</f>
        <v>MONCHING DELA VINA</v>
      </c>
      <c r="C3230" s="235" t="str">
        <f>IFERROR(__xludf.DUMMYFUNCTION("""COMPUTED_VALUE"""),"STUDENT AFFAIRS COLLEGE")</f>
        <v>STUDENT AFFAIRS COLLEGE</v>
      </c>
      <c r="D3230" s="196" t="str">
        <f>IFERROR(__xludf.DUMMYFUNCTION("""COMPUTED_VALUE"""),"2 PCS TARPAULIN 8 x 8 FT")</f>
        <v>2 PCS TARPAULIN 8 x 8 FT</v>
      </c>
      <c r="E3230" s="196" t="str">
        <f>IFERROR(__xludf.DUMMYFUNCTION("""COMPUTED_VALUE"""),"COLLEGE RECOGNITION AND GRADUATION BACKDROP")</f>
        <v>COLLEGE RECOGNITION AND GRADUATION BACKDROP</v>
      </c>
    </row>
    <row r="3231">
      <c r="A3231" s="234">
        <f>IFERROR(__xludf.DUMMYFUNCTION("""COMPUTED_VALUE"""),103522.0)</f>
        <v>103522</v>
      </c>
      <c r="B3231" s="235" t="str">
        <f>IFERROR(__xludf.DUMMYFUNCTION("""COMPUTED_VALUE"""),"CHOY JAMIAS")</f>
        <v>CHOY JAMIAS</v>
      </c>
      <c r="C3231" s="235" t="str">
        <f>IFERROR(__xludf.DUMMYFUNCTION("""COMPUTED_VALUE"""),"STUDENT AFFAIRS COLLEGE")</f>
        <v>STUDENT AFFAIRS COLLEGE</v>
      </c>
      <c r="D3231" s="196" t="str">
        <f>IFERROR(__xludf.DUMMYFUNCTION("""COMPUTED_VALUE"""),"1 PC PLAQUE FOR GRADUATION SPEAKER")</f>
        <v>1 PC PLAQUE FOR GRADUATION SPEAKER</v>
      </c>
      <c r="E3231" s="196" t="str">
        <f>IFERROR(__xludf.DUMMYFUNCTION("""COMPUTED_VALUE"""),"18TH COLLEGE COMMENCEMENT EXERCISE")</f>
        <v>18TH COLLEGE COMMENCEMENT EXERCISE</v>
      </c>
    </row>
    <row r="3232">
      <c r="A3232" s="234">
        <f>IFERROR(__xludf.DUMMYFUNCTION("""COMPUTED_VALUE"""),103523.0)</f>
        <v>103523</v>
      </c>
      <c r="B3232" s="235" t="str">
        <f>IFERROR(__xludf.DUMMYFUNCTION("""COMPUTED_VALUE"""),"CHOY JAMIAS")</f>
        <v>CHOY JAMIAS</v>
      </c>
      <c r="C3232" s="235" t="str">
        <f>IFERROR(__xludf.DUMMYFUNCTION("""COMPUTED_VALUE"""),"STUDENT AFFAIRS COLLEGE")</f>
        <v>STUDENT AFFAIRS COLLEGE</v>
      </c>
      <c r="D3232" s="196" t="str">
        <f>IFERROR(__xludf.DUMMYFUNCTION("""COMPUTED_VALUE"""),"ASSORTED MEDALS:
RECOGNITION MEDALS
- 150 PCS PURPLE RIBBON, LAMINATED(NO BAR)
NURSING CLINICAL MEDALS
- 1 PC AMITY AWARD
- 1 PC CLINICAL EXCELLENCE
- 5 PCS CLINICAL RECOGNITION
- 60 PCS NURSING PINS
ACADEMIC MEDALS
- 2 PCS BENE MERITUS
- 5 PCS MERITUS"&amp;"
- 3 PCS SUMMA CUM LAUDE
- 10 PCS MAGNA CUM LAUDE
- 28 PCS CUM LAUDE
- 28 PCS HONORABLE MENTION
- 20 PCS DEAN'S MERIT
- 5 PCS GOLD LOYALTY WITH PIN
- 10 PCS SILVER LOYALTY WITH PIN
- 3 PCS 5CS AWARD(GOLD WITH PURPLE RIBBON")</f>
        <v>ASSORTED MEDALS:
RECOGNITION MEDALS
- 150 PCS PURPLE RIBBON, LAMINATED(NO BAR)
NURSING CLINICAL MEDALS
- 1 PC AMITY AWARD
- 1 PC CLINICAL EXCELLENCE
- 5 PCS CLINICAL RECOGNITION
- 60 PCS NURSING PINS
ACADEMIC MEDALS
- 2 PCS BENE MERITUS
- 5 PCS MERITUS
- 3 PCS SUMMA CUM LAUDE
- 10 PCS MAGNA CUM LAUDE
- 28 PCS CUM LAUDE
- 28 PCS HONORABLE MENTION
- 20 PCS DEAN'S MERIT
- 5 PCS GOLD LOYALTY WITH PIN
- 10 PCS SILVER LOYALTY WITH PIN
- 3 PCS 5CS AWARD(GOLD WITH PURPLE RIBBON</v>
      </c>
      <c r="E3232" s="196" t="str">
        <f>IFERROR(__xludf.DUMMYFUNCTION("""COMPUTED_VALUE"""),"18TH COLLEGE COMMENCEMENT EXERCISES")</f>
        <v>18TH COLLEGE COMMENCEMENT EXERCISES</v>
      </c>
    </row>
    <row r="3233">
      <c r="A3233" s="234">
        <f>IFERROR(__xludf.DUMMYFUNCTION("""COMPUTED_VALUE"""),103524.0)</f>
        <v>103524</v>
      </c>
      <c r="B3233" s="235" t="str">
        <f>IFERROR(__xludf.DUMMYFUNCTION("""COMPUTED_VALUE"""),"CHOY JAMIAS")</f>
        <v>CHOY JAMIAS</v>
      </c>
      <c r="C3233" s="235" t="str">
        <f>IFERROR(__xludf.DUMMYFUNCTION("""COMPUTED_VALUE"""),"STUDENT AFFAIRS COLLEGE")</f>
        <v>STUDENT AFFAIRS COLLEGE</v>
      </c>
      <c r="D3233" s="196" t="str">
        <f>IFERROR(__xludf.DUMMYFUNCTION("""COMPUTED_VALUE"""),"- 400 PCS SOUVENIR PROGRAM
- 400 PCS GRADUATION INVITATION
- 400 PCS ENVELOPE FOR SOUVENIR PROGRAM
- 200 PCS RECOGNITION INVITE")</f>
        <v>- 400 PCS SOUVENIR PROGRAM
- 400 PCS GRADUATION INVITATION
- 400 PCS ENVELOPE FOR SOUVENIR PROGRAM
- 200 PCS RECOGNITION INVITE</v>
      </c>
      <c r="E3233" s="196" t="str">
        <f>IFERROR(__xludf.DUMMYFUNCTION("""COMPUTED_VALUE"""),"18TH COLLEGE COMMENCEMENT EXERCISES")</f>
        <v>18TH COLLEGE COMMENCEMENT EXERCISES</v>
      </c>
    </row>
    <row r="3234">
      <c r="A3234" s="234">
        <f>IFERROR(__xludf.DUMMYFUNCTION("""COMPUTED_VALUE"""),103525.0)</f>
        <v>103525</v>
      </c>
      <c r="B3234" s="235" t="str">
        <f>IFERROR(__xludf.DUMMYFUNCTION("""COMPUTED_VALUE"""),"ALFA DE LEON")</f>
        <v>ALFA DE LEON</v>
      </c>
      <c r="C3234" s="235" t="str">
        <f>IFERROR(__xludf.DUMMYFUNCTION("""COMPUTED_VALUE"""),"ADMIN - MUNICH")</f>
        <v>ADMIN - MUNICH</v>
      </c>
      <c r="D3234" s="196" t="str">
        <f>IFERROR(__xludf.DUMMYFUNCTION("""COMPUTED_VALUE"""),"6 PCS IWATA FAN(BOX FAN)")</f>
        <v>6 PCS IWATA FAN(BOX FAN)</v>
      </c>
      <c r="E3234" s="196" t="str">
        <f>IFERROR(__xludf.DUMMYFUNCTION("""COMPUTED_VALUE"""),"CAFETERIA ADDITIONAL FAN &amp; FOR INDOOR - FOR USE DURING EVENTS")</f>
        <v>CAFETERIA ADDITIONAL FAN &amp; FOR INDOOR - FOR USE DURING EVENTS</v>
      </c>
    </row>
    <row r="3235">
      <c r="A3235" s="234">
        <f>IFERROR(__xludf.DUMMYFUNCTION("""COMPUTED_VALUE"""),103526.0)</f>
        <v>103526</v>
      </c>
      <c r="B3235" s="235" t="str">
        <f>IFERROR(__xludf.DUMMYFUNCTION("""COMPUTED_VALUE"""),"BIRAN PATAG")</f>
        <v>BIRAN PATAG</v>
      </c>
      <c r="C3235" s="235" t="str">
        <f>IFERROR(__xludf.DUMMYFUNCTION("""COMPUTED_VALUE"""),"AMD")</f>
        <v>AMD</v>
      </c>
      <c r="D3235" s="196" t="str">
        <f>IFERROR(__xludf.DUMMYFUNCTION("""COMPUTED_VALUE"""),"- 200 RMS COPYLASER SUB 20 LONG WHITE
- 200 RMS COPYLASER SUB 20 SHORT WHITE")</f>
        <v>- 200 RMS COPYLASER SUB 20 LONG WHITE
- 200 RMS COPYLASER SUB 20 SHORT WHITE</v>
      </c>
      <c r="E3235" s="196" t="str">
        <f>IFERROR(__xludf.DUMMYFUNCTION("""COMPUTED_VALUE"""),"OSSUP STOCK REPLENISHMENT")</f>
        <v>OSSUP STOCK REPLENISHMENT</v>
      </c>
    </row>
    <row r="3236">
      <c r="A3236" s="234">
        <f>IFERROR(__xludf.DUMMYFUNCTION("""COMPUTED_VALUE"""),103527.0)</f>
        <v>103527</v>
      </c>
      <c r="B3236" s="235" t="str">
        <f>IFERROR(__xludf.DUMMYFUNCTION("""COMPUTED_VALUE"""),"JOMEL BUTIAL ")</f>
        <v>JOMEL BUTIAL </v>
      </c>
      <c r="C3236" s="235" t="str">
        <f>IFERROR(__xludf.DUMMYFUNCTION("""COMPUTED_VALUE"""),"PR &amp; MARKETING")</f>
        <v>PR &amp; MARKETING</v>
      </c>
      <c r="D3236" s="196" t="str">
        <f>IFERROR(__xludf.DUMMYFUNCTION("""COMPUTED_VALUE"""),"500 PCS COLLEGE INFORMATION PACKET (WITH LAYOUT DESIGN AND LAYOUTING)
SIZE: 8.5"" x 11""")</f>
        <v>500 PCS COLLEGE INFORMATION PACKET (WITH LAYOUT DESIGN AND LAYOUTING)
SIZE: 8.5" x 11"</v>
      </c>
      <c r="E3236" s="196" t="str">
        <f>IFERROR(__xludf.DUMMYFUNCTION("""COMPUTED_VALUE"""),"INFO PACKETS FOR COLLEGE(MARKETING)")</f>
        <v>INFO PACKETS FOR COLLEGE(MARKETING)</v>
      </c>
    </row>
    <row r="3237">
      <c r="A3237" s="234">
        <f>IFERROR(__xludf.DUMMYFUNCTION("""COMPUTED_VALUE"""),103528.0)</f>
        <v>103528</v>
      </c>
      <c r="B3237" s="235" t="str">
        <f>IFERROR(__xludf.DUMMYFUNCTION("""COMPUTED_VALUE"""),"JOMEL BUTIAL ")</f>
        <v>JOMEL BUTIAL </v>
      </c>
      <c r="C3237" s="235" t="str">
        <f>IFERROR(__xludf.DUMMYFUNCTION("""COMPUTED_VALUE"""),"PR &amp; MARKETING")</f>
        <v>PR &amp; MARKETING</v>
      </c>
      <c r="D3237" s="196" t="str">
        <f>IFERROR(__xludf.DUMMYFUNCTION("""COMPUTED_VALUE"""),"500 PCS K12 INFORMATION PACKET(WITH GRAPHIC DESIGN AND LAY OUTING)
SIZE: 8.5"" x 11""")</f>
        <v>500 PCS K12 INFORMATION PACKET(WITH GRAPHIC DESIGN AND LAY OUTING)
SIZE: 8.5" x 11"</v>
      </c>
      <c r="E3237" s="196" t="str">
        <f>IFERROR(__xludf.DUMMYFUNCTION("""COMPUTED_VALUE"""),"INFO PACKETS FOR K12(MARKETING)")</f>
        <v>INFO PACKETS FOR K12(MARKETING)</v>
      </c>
    </row>
    <row r="3238">
      <c r="A3238" s="234">
        <f>IFERROR(__xludf.DUMMYFUNCTION("""COMPUTED_VALUE"""),103529.0)</f>
        <v>103529</v>
      </c>
      <c r="B3238" s="235" t="str">
        <f>IFERROR(__xludf.DUMMYFUNCTION("""COMPUTED_VALUE"""),"LIZA JIMENEZ")</f>
        <v>LIZA JIMENEZ</v>
      </c>
      <c r="C3238" s="235" t="str">
        <f>IFERROR(__xludf.DUMMYFUNCTION("""COMPUTED_VALUE"""),"COLLEGE OF NURSING")</f>
        <v>COLLEGE OF NURSING</v>
      </c>
      <c r="D3238" s="196" t="str">
        <f>IFERROR(__xludf.DUMMYFUNCTION("""COMPUTED_VALUE"""),"60 PCS CLINICAL GRADUATION INVITATION")</f>
        <v>60 PCS CLINICAL GRADUATION INVITATION</v>
      </c>
      <c r="E3238" s="196" t="str">
        <f>IFERROR(__xludf.DUMMYFUNCTION("""COMPUTED_VALUE"""),"CLINICAL GRADUATION PROGRAM")</f>
        <v>CLINICAL GRADUATION PROGRAM</v>
      </c>
    </row>
    <row r="3239">
      <c r="A3239" s="234">
        <f>IFERROR(__xludf.DUMMYFUNCTION("""COMPUTED_VALUE"""),103530.0)</f>
        <v>103530</v>
      </c>
      <c r="B3239" s="235" t="str">
        <f>IFERROR(__xludf.DUMMYFUNCTION("""COMPUTED_VALUE"""),"OWIE PAR")</f>
        <v>OWIE PAR</v>
      </c>
      <c r="C3239" s="235" t="str">
        <f>IFERROR(__xludf.DUMMYFUNCTION("""COMPUTED_VALUE"""),"ENGINEERING")</f>
        <v>ENGINEERING</v>
      </c>
      <c r="D3239" s="196" t="str">
        <f>IFERROR(__xludf.DUMMYFUNCTION("""COMPUTED_VALUE"""),"- 110 METERS ALPETH CABLE 50 PAIRS
- 1 SET S110 - TERMINAL BLOCK 50 PAIR")</f>
        <v>- 110 METERS ALPETH CABLE 50 PAIRS
- 1 SET S110 - TERMINAL BLOCK 50 PAIR</v>
      </c>
      <c r="E3239" s="196" t="str">
        <f>IFERROR(__xludf.DUMMYFUNCTION("""COMPUTED_VALUE"""),"FOR COLLEGE TEL. LINE")</f>
        <v>FOR COLLEGE TEL. LINE</v>
      </c>
    </row>
    <row r="3240">
      <c r="A3240" s="234">
        <f>IFERROR(__xludf.DUMMYFUNCTION("""COMPUTED_VALUE"""),103531.0)</f>
        <v>103531</v>
      </c>
      <c r="B3240" s="235" t="str">
        <f>IFERROR(__xludf.DUMMYFUNCTION("""COMPUTED_VALUE"""),"OWIE PAR")</f>
        <v>OWIE PAR</v>
      </c>
      <c r="C3240" s="235" t="str">
        <f>IFERROR(__xludf.DUMMYFUNCTION("""COMPUTED_VALUE"""),"ENGINEERING")</f>
        <v>ENGINEERING</v>
      </c>
      <c r="D3240" s="196" t="str">
        <f>IFERROR(__xludf.DUMMYFUNCTION("""COMPUTED_VALUE"""),"- 4 UNITS BATTERY CHARGER
- 1 PC BATTERY GD - MOTOLITE(FOR LUX GENSET) - CANCELLED WRONG FORM")</f>
        <v>- 4 UNITS BATTERY CHARGER
- 1 PC BATTERY GD - MOTOLITE(FOR LUX GENSET) - CANCELLED WRONG FORM</v>
      </c>
      <c r="E3240" s="196" t="str">
        <f>IFERROR(__xludf.DUMMYFUNCTION("""COMPUTED_VALUE"""),"FOR AUTOMATIC BATTERY CHARGING OF GENSETS LUX, COLLEGE, MUNICH, &amp; STAR CAMPUS")</f>
        <v>FOR AUTOMATIC BATTERY CHARGING OF GENSETS LUX, COLLEGE, MUNICH, &amp; STAR CAMPUS</v>
      </c>
    </row>
    <row r="3241">
      <c r="A3241" s="234">
        <f>IFERROR(__xludf.DUMMYFUNCTION("""COMPUTED_VALUE"""),103532.0)</f>
        <v>103532</v>
      </c>
      <c r="B3241" s="235" t="str">
        <f>IFERROR(__xludf.DUMMYFUNCTION("""COMPUTED_VALUE"""),"PAUL ARANA")</f>
        <v>PAUL ARANA</v>
      </c>
      <c r="C3241" s="235" t="str">
        <f>IFERROR(__xludf.DUMMYFUNCTION("""COMPUTED_VALUE"""),"MIS")</f>
        <v>MIS</v>
      </c>
      <c r="D3241" s="196" t="str">
        <f>IFERROR(__xludf.DUMMYFUNCTION("""COMPUTED_VALUE"""),"DELL NB VOSTRO 3510 I3-1115G4")</f>
        <v>DELL NB VOSTRO 3510 I3-1115G4</v>
      </c>
      <c r="E3241" s="196" t="str">
        <f>IFERROR(__xludf.DUMMYFUNCTION("""COMPUTED_VALUE"""),"FOR REPLACEMENT OF OLD SERVICE LAPTOP OF MIS")</f>
        <v>FOR REPLACEMENT OF OLD SERVICE LAPTOP OF MIS</v>
      </c>
    </row>
    <row r="3242">
      <c r="A3242" s="234">
        <f>IFERROR(__xludf.DUMMYFUNCTION("""COMPUTED_VALUE"""),103533.0)</f>
        <v>103533</v>
      </c>
      <c r="B3242" s="235" t="str">
        <f>IFERROR(__xludf.DUMMYFUNCTION("""COMPUTED_VALUE"""),"BRIAN PATAG")</f>
        <v>BRIAN PATAG</v>
      </c>
      <c r="C3242" s="235" t="str">
        <f>IFERROR(__xludf.DUMMYFUNCTION("""COMPUTED_VALUE"""),"AMD")</f>
        <v>AMD</v>
      </c>
      <c r="D3242" s="196" t="str">
        <f>IFERROR(__xludf.DUMMYFUNCTION("""COMPUTED_VALUE"""),"50 PCS RUBBER BAND MULTICOLOR 50G/8x")</f>
        <v>50 PCS RUBBER BAND MULTICOLOR 50G/8x</v>
      </c>
      <c r="E3242" s="196" t="str">
        <f>IFERROR(__xludf.DUMMYFUNCTION("""COMPUTED_VALUE"""),"OSSUP STOCK REPLENISHMENT")</f>
        <v>OSSUP STOCK REPLENISHMENT</v>
      </c>
    </row>
    <row r="3243">
      <c r="A3243" s="234">
        <f>IFERROR(__xludf.DUMMYFUNCTION("""COMPUTED_VALUE"""),103534.0)</f>
        <v>103534</v>
      </c>
      <c r="B3243" s="235" t="str">
        <f>IFERROR(__xludf.DUMMYFUNCTION("""COMPUTED_VALUE"""),"BRIAN PATAG")</f>
        <v>BRIAN PATAG</v>
      </c>
      <c r="C3243" s="235" t="str">
        <f>IFERROR(__xludf.DUMMYFUNCTION("""COMPUTED_VALUE"""),"AMD")</f>
        <v>AMD</v>
      </c>
      <c r="D3243" s="196" t="str">
        <f>IFERROR(__xludf.DUMMYFUNCTION("""COMPUTED_VALUE"""),"PACKAGING TAPE 2"" (CLEAR)")</f>
        <v>PACKAGING TAPE 2" (CLEAR)</v>
      </c>
      <c r="E3243" s="196" t="str">
        <f>IFERROR(__xludf.DUMMYFUNCTION("""COMPUTED_VALUE"""),"OSSUP STOCK REPLENISHMENT")</f>
        <v>OSSUP STOCK REPLENISHMENT</v>
      </c>
    </row>
    <row r="3244">
      <c r="A3244" s="234">
        <f>IFERROR(__xludf.DUMMYFUNCTION("""COMPUTED_VALUE"""),103535.0)</f>
        <v>103535</v>
      </c>
      <c r="B3244" s="235" t="str">
        <f>IFERROR(__xludf.DUMMYFUNCTION("""COMPUTED_VALUE"""),"MAURINE JHOY DOLLESIN")</f>
        <v>MAURINE JHOY DOLLESIN</v>
      </c>
      <c r="C3244" s="235" t="str">
        <f>IFERROR(__xludf.DUMMYFUNCTION("""COMPUTED_VALUE"""),"PRESIDENT'S OFFICE")</f>
        <v>PRESIDENT'S OFFICE</v>
      </c>
      <c r="D3244" s="196" t="str">
        <f>IFERROR(__xludf.DUMMYFUNCTION("""COMPUTED_VALUE"""),"SMART TV 65""")</f>
        <v>SMART TV 65"</v>
      </c>
      <c r="E3244" s="196" t="str">
        <f>IFERROR(__xludf.DUMMYFUNCTION("""COMPUTED_VALUE"""),"FOR HYBRID SETUP")</f>
        <v>FOR HYBRID SETUP</v>
      </c>
    </row>
    <row r="3245">
      <c r="A3245" s="234">
        <f>IFERROR(__xludf.DUMMYFUNCTION("""COMPUTED_VALUE"""),103536.0)</f>
        <v>103536</v>
      </c>
      <c r="B3245" s="235" t="str">
        <f>IFERROR(__xludf.DUMMYFUNCTION("""COMPUTED_VALUE"""),"OWIE PAR")</f>
        <v>OWIE PAR</v>
      </c>
      <c r="C3245" s="235" t="str">
        <f>IFERROR(__xludf.DUMMYFUNCTION("""COMPUTED_VALUE"""),"ENGINEERING")</f>
        <v>ENGINEERING</v>
      </c>
      <c r="D3245" s="196" t="str">
        <f>IFERROR(__xludf.DUMMYFUNCTION("""COMPUTED_VALUE"""),"2.5 DAIKEN WALL MOUNTED TYPE INVERTER R32 REFRIGERANT ")</f>
        <v>2.5 DAIKEN WALL MOUNTED TYPE INVERTER R32 REFRIGERANT </v>
      </c>
      <c r="E3245" s="196" t="str">
        <f>IFERROR(__xludf.DUMMYFUNCTION("""COMPUTED_VALUE"""),"REPLACEMENT FOR RM 301 MUNICH CAMPUS")</f>
        <v>REPLACEMENT FOR RM 301 MUNICH CAMPUS</v>
      </c>
    </row>
    <row r="3246">
      <c r="A3246" s="234">
        <f>IFERROR(__xludf.DUMMYFUNCTION("""COMPUTED_VALUE"""),103537.0)</f>
        <v>103537</v>
      </c>
      <c r="B3246" s="235" t="str">
        <f>IFERROR(__xludf.DUMMYFUNCTION("""COMPUTED_VALUE"""),"OWIE PAR")</f>
        <v>OWIE PAR</v>
      </c>
      <c r="C3246" s="235" t="str">
        <f>IFERROR(__xludf.DUMMYFUNCTION("""COMPUTED_VALUE"""),"ENGINEERING")</f>
        <v>ENGINEERING</v>
      </c>
      <c r="D3246" s="196" t="str">
        <f>IFERROR(__xludf.DUMMYFUNCTION("""COMPUTED_VALUE"""),"MIRROR 3X3 FEET WITH MOUNTING SCREW AND CAP")</f>
        <v>MIRROR 3X3 FEET WITH MOUNTING SCREW AND CAP</v>
      </c>
      <c r="E3246" s="196" t="str">
        <f>IFERROR(__xludf.DUMMYFUNCTION("""COMPUTED_VALUE"""),"FREPLACEMNET OF BROKEN MIRROR AT BACK AREA BOY C.R.")</f>
        <v>FREPLACEMNET OF BROKEN MIRROR AT BACK AREA BOY C.R.</v>
      </c>
    </row>
    <row r="3247">
      <c r="A3247" s="234">
        <f>IFERROR(__xludf.DUMMYFUNCTION("""COMPUTED_VALUE"""),103538.0)</f>
        <v>103538</v>
      </c>
      <c r="B3247" s="235" t="str">
        <f>IFERROR(__xludf.DUMMYFUNCTION("""COMPUTED_VALUE"""),"OWIE PAR")</f>
        <v>OWIE PAR</v>
      </c>
      <c r="C3247" s="235" t="str">
        <f>IFERROR(__xludf.DUMMYFUNCTION("""COMPUTED_VALUE"""),"ENGINEERING")</f>
        <v>ENGINEERING</v>
      </c>
      <c r="D3247" s="196" t="str">
        <f>IFERROR(__xludf.DUMMYFUNCTION("""COMPUTED_VALUE"""),"EXHAUST FAN #12 WALL MOUNTED")</f>
        <v>EXHAUST FAN #12 WALL MOUNTED</v>
      </c>
      <c r="E3247" s="196" t="str">
        <f>IFERROR(__xludf.DUMMYFUNCTION("""COMPUTED_VALUE"""),"FOR SCHOLAR'S HOUSE (YOKO BOYS)")</f>
        <v>FOR SCHOLAR'S HOUSE (YOKO BOYS)</v>
      </c>
    </row>
    <row r="3248">
      <c r="A3248" s="234">
        <f>IFERROR(__xludf.DUMMYFUNCTION("""COMPUTED_VALUE"""),103539.0)</f>
        <v>103539</v>
      </c>
      <c r="B3248" s="235" t="str">
        <f>IFERROR(__xludf.DUMMYFUNCTION("""COMPUTED_VALUE"""),"MARVIN D.")</f>
        <v>MARVIN D.</v>
      </c>
      <c r="C3248" s="235" t="str">
        <f>IFERROR(__xludf.DUMMYFUNCTION("""COMPUTED_VALUE"""),"COMMA")</f>
        <v>COMMA</v>
      </c>
      <c r="D3248" s="196" t="str">
        <f>IFERROR(__xludf.DUMMYFUNCTION("""COMPUTED_VALUE"""),"FLASH TRIGGER, TRANSMITTER")</f>
        <v>FLASH TRIGGER, TRANSMITTER</v>
      </c>
      <c r="E3248" s="196" t="str">
        <f>IFERROR(__xludf.DUMMYFUNCTION("""COMPUTED_VALUE"""),"TO REPLACE OLD/FAILING UNIT - FOR PHOTOGRAPHY CLASSES")</f>
        <v>TO REPLACE OLD/FAILING UNIT - FOR PHOTOGRAPHY CLASSES</v>
      </c>
    </row>
    <row r="3249">
      <c r="A3249" s="234">
        <f>IFERROR(__xludf.DUMMYFUNCTION("""COMPUTED_VALUE"""),103540.0)</f>
        <v>103540</v>
      </c>
      <c r="B3249" s="235" t="str">
        <f>IFERROR(__xludf.DUMMYFUNCTION("""COMPUTED_VALUE"""),"ALFA DE LEON")</f>
        <v>ALFA DE LEON</v>
      </c>
      <c r="C3249" s="235" t="str">
        <f>IFERROR(__xludf.DUMMYFUNCTION("""COMPUTED_VALUE"""),"LANDSCAPING MUNICH")</f>
        <v>LANDSCAPING MUNICH</v>
      </c>
      <c r="D3249" s="196" t="str">
        <f>IFERROR(__xludf.DUMMYFUNCTION("""COMPUTED_VALUE"""),"RAKE")</f>
        <v>RAKE</v>
      </c>
      <c r="E3249" s="196" t="str">
        <f>IFERROR(__xludf.DUMMYFUNCTION("""COMPUTED_VALUE"""),"SWEEPING THE PERIMETER ")</f>
        <v>SWEEPING THE PERIMETER </v>
      </c>
    </row>
    <row r="3250">
      <c r="A3250" s="234">
        <f>IFERROR(__xludf.DUMMYFUNCTION("""COMPUTED_VALUE"""),103541.0)</f>
        <v>103541</v>
      </c>
      <c r="B3250" s="235" t="str">
        <f>IFERROR(__xludf.DUMMYFUNCTION("""COMPUTED_VALUE"""),"OWIE PAR")</f>
        <v>OWIE PAR</v>
      </c>
      <c r="C3250" s="235" t="str">
        <f>IFERROR(__xludf.DUMMYFUNCTION("""COMPUTED_VALUE"""),"ENGINEERING")</f>
        <v>ENGINEERING</v>
      </c>
      <c r="D3250" s="196" t="str">
        <f>IFERROR(__xludf.DUMMYFUNCTION("""COMPUTED_VALUE"""),"2.5 HP DAIKEN WALL MOUNTED TYPE INVERTER R32 REFRIGEMENT")</f>
        <v>2.5 HP DAIKEN WALL MOUNTED TYPE INVERTER R32 REFRIGEMENT</v>
      </c>
      <c r="E3250" s="196" t="str">
        <f>IFERROR(__xludf.DUMMYFUNCTION("""COMPUTED_VALUE"""),"ACU REPLACEMENT FOR ELIZALDE 204,301,303,304")</f>
        <v>ACU REPLACEMENT FOR ELIZALDE 204,301,303,304</v>
      </c>
    </row>
    <row r="3251">
      <c r="A3251" s="234">
        <f>IFERROR(__xludf.DUMMYFUNCTION("""COMPUTED_VALUE"""),103542.0)</f>
        <v>103542</v>
      </c>
      <c r="B3251" s="235" t="str">
        <f>IFERROR(__xludf.DUMMYFUNCTION("""COMPUTED_VALUE"""),"OWIE PAR")</f>
        <v>OWIE PAR</v>
      </c>
      <c r="C3251" s="235" t="str">
        <f>IFERROR(__xludf.DUMMYFUNCTION("""COMPUTED_VALUE"""),"ENGINEERING")</f>
        <v>ENGINEERING</v>
      </c>
      <c r="D3251" s="196" t="str">
        <f>IFERROR(__xludf.DUMMYFUNCTION("""COMPUTED_VALUE"""),"3.0 HP DAIKEN WALL MOUNTED TYPE INVERTER R32 REFRIGEMENT")</f>
        <v>3.0 HP DAIKEN WALL MOUNTED TYPE INVERTER R32 REFRIGEMENT</v>
      </c>
      <c r="E3251" s="196" t="str">
        <f>IFERROR(__xludf.DUMMYFUNCTION("""COMPUTED_VALUE"""),"REPLACEMENT FOR CEM OFFICE")</f>
        <v>REPLACEMENT FOR CEM OFFICE</v>
      </c>
    </row>
    <row r="3252">
      <c r="A3252" s="234">
        <f>IFERROR(__xludf.DUMMYFUNCTION("""COMPUTED_VALUE"""),103543.0)</f>
        <v>103543</v>
      </c>
      <c r="B3252" s="235" t="str">
        <f>IFERROR(__xludf.DUMMYFUNCTION("""COMPUTED_VALUE"""),"ELMIE LAUDIATO")</f>
        <v>ELMIE LAUDIATO</v>
      </c>
      <c r="C3252" s="235" t="str">
        <f>IFERROR(__xludf.DUMMYFUNCTION("""COMPUTED_VALUE"""),"HRMD")</f>
        <v>HRMD</v>
      </c>
      <c r="D3252" s="196" t="str">
        <f>IFERROR(__xludf.DUMMYFUNCTION("""COMPUTED_VALUE"""),"FLOWER WREATH ")</f>
        <v>FLOWER WREATH </v>
      </c>
      <c r="E3252" s="196" t="str">
        <f>IFERROR(__xludf.DUMMYFUNCTION("""COMPUTED_VALUE"""),"FOR THE HUSBAND OF MISS JULIET CATURGAL")</f>
        <v>FOR THE HUSBAND OF MISS JULIET CATURGAL</v>
      </c>
    </row>
    <row r="3253">
      <c r="A3253" s="234">
        <f>IFERROR(__xludf.DUMMYFUNCTION("""COMPUTED_VALUE"""),103544.0)</f>
        <v>103544</v>
      </c>
      <c r="B3253" s="235" t="str">
        <f>IFERROR(__xludf.DUMMYFUNCTION("""COMPUTED_VALUE"""),"JOHN ROEZEL FUENTES")</f>
        <v>JOHN ROEZEL FUENTES</v>
      </c>
      <c r="C3253" s="235" t="str">
        <f>IFERROR(__xludf.DUMMYFUNCTION("""COMPUTED_VALUE"""),"REGISTRATION")</f>
        <v>REGISTRATION</v>
      </c>
      <c r="D3253" s="196" t="str">
        <f>IFERROR(__xludf.DUMMYFUNCTION("""COMPUTED_VALUE"""),"TRODAT FOR OFICIALLY ENROLLED STUDENTS")</f>
        <v>TRODAT FOR OFICIALLY ENROLLED STUDENTS</v>
      </c>
      <c r="E3253" s="196" t="str">
        <f>IFERROR(__xludf.DUMMYFUNCTION("""COMPUTED_VALUE"""),"FOR PROCESSING THE ENROLLMET OF THE STUDENTS")</f>
        <v>FOR PROCESSING THE ENROLLMET OF THE STUDENTS</v>
      </c>
    </row>
    <row r="3254">
      <c r="A3254" s="234">
        <f>IFERROR(__xludf.DUMMYFUNCTION("""COMPUTED_VALUE"""),103545.0)</f>
        <v>103545</v>
      </c>
      <c r="B3254" s="235" t="str">
        <f>IFERROR(__xludf.DUMMYFUNCTION("""COMPUTED_VALUE"""),"JESUIT CHRISTIAN GALICIA")</f>
        <v>JESUIT CHRISTIAN GALICIA</v>
      </c>
      <c r="C3254" s="235" t="str">
        <f>IFERROR(__xludf.DUMMYFUNCTION("""COMPUTED_VALUE"""),"AMD")</f>
        <v>AMD</v>
      </c>
      <c r="D3254" s="196" t="str">
        <f>IFERROR(__xludf.DUMMYFUNCTION("""COMPUTED_VALUE"""),"MELTO HIGH BACK OFFICE CHAIR")</f>
        <v>MELTO HIGH BACK OFFICE CHAIR</v>
      </c>
      <c r="E3254" s="196" t="str">
        <f>IFERROR(__xludf.DUMMYFUNCTION("""COMPUTED_VALUE"""),"REPLACEMENT OF 4 OFFICE CHAIR OF AMD OFFICE")</f>
        <v>REPLACEMENT OF 4 OFFICE CHAIR OF AMD OFFICE</v>
      </c>
    </row>
    <row r="3255">
      <c r="A3255" s="234">
        <f>IFERROR(__xludf.DUMMYFUNCTION("""COMPUTED_VALUE"""),103546.0)</f>
        <v>103546</v>
      </c>
      <c r="B3255" s="235" t="str">
        <f>IFERROR(__xludf.DUMMYFUNCTION("""COMPUTED_VALUE"""),"SHEREE ESPINOSA")</f>
        <v>SHEREE ESPINOSA</v>
      </c>
      <c r="C3255" s="235" t="str">
        <f>IFERROR(__xludf.DUMMYFUNCTION("""COMPUTED_VALUE"""),"ADMIN")</f>
        <v>ADMIN</v>
      </c>
      <c r="D3255" s="196" t="str">
        <f>IFERROR(__xludf.DUMMYFUNCTION("""COMPUTED_VALUE"""),"VANILLA ICE (BOYSEN)
SAND PAPER
PAINT ROLLER 8""
PAINT BRUSH 2""
SEMI GLOSS LATEX
LATEX
RUBBERIZED PAINT (BEIGE)
RAGS")</f>
        <v>VANILLA ICE (BOYSEN)
SAND PAPER
PAINT ROLLER 8"
PAINT BRUSH 2"
SEMI GLOSS LATEX
LATEX
RUBBERIZED PAINT (BEIGE)
RAGS</v>
      </c>
      <c r="E3255" s="196" t="str">
        <f>IFERROR(__xludf.DUMMYFUNCTION("""COMPUTED_VALUE"""),"CLASSROOM PREPARATION (COLLEGE)")</f>
        <v>CLASSROOM PREPARATION (COLLEGE)</v>
      </c>
    </row>
    <row r="3256">
      <c r="A3256" s="234">
        <f>IFERROR(__xludf.DUMMYFUNCTION("""COMPUTED_VALUE"""),103547.0)</f>
        <v>103547</v>
      </c>
      <c r="B3256" s="235" t="str">
        <f>IFERROR(__xludf.DUMMYFUNCTION("""COMPUTED_VALUE"""),"JAMIE RAMOS/SHEREE ESPINOSA")</f>
        <v>JAMIE RAMOS/SHEREE ESPINOSA</v>
      </c>
      <c r="C3256" s="235" t="str">
        <f>IFERROR(__xludf.DUMMYFUNCTION("""COMPUTED_VALUE"""),"ADMIN")</f>
        <v>ADMIN</v>
      </c>
      <c r="D3256" s="196" t="str">
        <f>IFERROR(__xludf.DUMMYFUNCTION("""COMPUTED_VALUE"""),"SUPPLY OF MALE AND FEMALE SYMBOL SIGNAGE")</f>
        <v>SUPPLY OF MALE AND FEMALE SYMBOL SIGNAGE</v>
      </c>
      <c r="E3256" s="196" t="str">
        <f>IFERROR(__xludf.DUMMYFUNCTION("""COMPUTED_VALUE"""),"SOR SIGNAGE OF RESTROOM OF SMLS ")</f>
        <v>SOR SIGNAGE OF RESTROOM OF SMLS </v>
      </c>
    </row>
    <row r="3257">
      <c r="A3257" s="234">
        <f>IFERROR(__xludf.DUMMYFUNCTION("""COMPUTED_VALUE"""),103548.0)</f>
        <v>103548</v>
      </c>
      <c r="B3257" s="235" t="str">
        <f>IFERROR(__xludf.DUMMYFUNCTION("""COMPUTED_VALUE"""),"PHEN PETIN")</f>
        <v>PHEN PETIN</v>
      </c>
      <c r="C3257" s="235" t="str">
        <f>IFERROR(__xludf.DUMMYFUNCTION("""COMPUTED_VALUE"""),"ADMIN - STAR")</f>
        <v>ADMIN - STAR</v>
      </c>
      <c r="D3257" s="196" t="str">
        <f>IFERROR(__xludf.DUMMYFUNCTION("""COMPUTED_VALUE"""),"IWATA BLACK")</f>
        <v>IWATA BLACK</v>
      </c>
      <c r="E3257" s="196" t="str">
        <f>IFERROR(__xludf.DUMMYFUNCTION("""COMPUTED_VALUE"""),"2 IWATA FOR LEARNING VILLAGE AND GUADRANGLE STAR")</f>
        <v>2 IWATA FOR LEARNING VILLAGE AND GUADRANGLE STAR</v>
      </c>
    </row>
    <row r="3258">
      <c r="A3258" s="234">
        <f>IFERROR(__xludf.DUMMYFUNCTION("""COMPUTED_VALUE"""),103549.0)</f>
        <v>103549</v>
      </c>
      <c r="B3258" s="235" t="str">
        <f>IFERROR(__xludf.DUMMYFUNCTION("""COMPUTED_VALUE"""),"BRIAN PATAG")</f>
        <v>BRIAN PATAG</v>
      </c>
      <c r="C3258" s="235" t="str">
        <f>IFERROR(__xludf.DUMMYFUNCTION("""COMPUTED_VALUE"""),"AMD")</f>
        <v>AMD</v>
      </c>
      <c r="D3258" s="196" t="str">
        <f>IFERROR(__xludf.DUMMYFUNCTION("""COMPUTED_VALUE"""),"TRASH BAG XXL CLEAR
HAND SOAP, ANTI BACTERIAL RIVCHEM")</f>
        <v>TRASH BAG XXL CLEAR
HAND SOAP, ANTI BACTERIAL RIVCHEM</v>
      </c>
      <c r="E3258" s="196" t="str">
        <f>IFERROR(__xludf.DUMMYFUNCTION("""COMPUTED_VALUE"""),"REPLENISHMENT OF HSKPG STOCK FOR THE MONTH OF JULY")</f>
        <v>REPLENISHMENT OF HSKPG STOCK FOR THE MONTH OF JULY</v>
      </c>
    </row>
    <row r="3259">
      <c r="A3259" s="234">
        <f>IFERROR(__xludf.DUMMYFUNCTION("""COMPUTED_VALUE"""),103550.0)</f>
        <v>103550</v>
      </c>
      <c r="B3259" s="235" t="str">
        <f>IFERROR(__xludf.DUMMYFUNCTION("""COMPUTED_VALUE"""),"TOM TONGOHAN")</f>
        <v>TOM TONGOHAN</v>
      </c>
      <c r="C3259" s="235" t="str">
        <f>IFERROR(__xludf.DUMMYFUNCTION("""COMPUTED_VALUE"""),"ADMIN")</f>
        <v>ADMIN</v>
      </c>
      <c r="D3259" s="196" t="str">
        <f>IFERROR(__xludf.DUMMYFUNCTION("""COMPUTED_VALUE"""),"FLAT LATEX(BOYSEN)
SEMI GLOSS (BOYSEN)
RAW SIENNA
#100 SAND PAPER
1"" PAINT BRUSH
7"" ROLLER BRUSH 
SKIN COAT")</f>
        <v>FLAT LATEX(BOYSEN)
SEMI GLOSS (BOYSEN)
RAW SIENNA
#100 SAND PAPER
1" PAINT BRUSH
7" ROLLER BRUSH 
SKIN COAT</v>
      </c>
      <c r="E3259" s="196" t="str">
        <f>IFERROR(__xludf.DUMMYFUNCTION("""COMPUTED_VALUE"""),"REPAINTING WORKS DUE TO REPAIR WORKS ON LIBRARY ")</f>
        <v>REPAINTING WORKS DUE TO REPAIR WORKS ON LIBRARY </v>
      </c>
    </row>
    <row r="3260">
      <c r="A3260" s="234">
        <f>IFERROR(__xludf.DUMMYFUNCTION("""COMPUTED_VALUE"""),103551.0)</f>
        <v>103551</v>
      </c>
      <c r="B3260" s="235" t="str">
        <f>IFERROR(__xludf.DUMMYFUNCTION("""COMPUTED_VALUE"""),"ALFA DE LEON")</f>
        <v>ALFA DE LEON</v>
      </c>
      <c r="C3260" s="235" t="str">
        <f>IFERROR(__xludf.DUMMYFUNCTION("""COMPUTED_VALUE"""),"ADMIN")</f>
        <v>ADMIN</v>
      </c>
      <c r="D3260" s="196" t="str">
        <f>IFERROR(__xludf.DUMMYFUNCTION("""COMPUTED_VALUE"""),"RED BANABA 8 - 10 FT")</f>
        <v>RED BANABA 8 - 10 FT</v>
      </c>
      <c r="E3260" s="196" t="str">
        <f>IFERROR(__xludf.DUMMYFUNCTION("""COMPUTED_VALUE"""),"GIFT FOR MS SONY AGUILAR ON HER BRTHDAY")</f>
        <v>GIFT FOR MS SONY AGUILAR ON HER BRTHDAY</v>
      </c>
    </row>
    <row r="3261">
      <c r="A3261" s="234">
        <f>IFERROR(__xludf.DUMMYFUNCTION("""COMPUTED_VALUE"""),103552.0)</f>
        <v>103552</v>
      </c>
      <c r="B3261" s="235" t="str">
        <f>IFERROR(__xludf.DUMMYFUNCTION("""COMPUTED_VALUE"""),"ARNEL MONTABLAN")</f>
        <v>ARNEL MONTABLAN</v>
      </c>
      <c r="C3261" s="235" t="str">
        <f>IFERROR(__xludf.DUMMYFUNCTION("""COMPUTED_VALUE"""),"FOUNDER SHCOLAR")</f>
        <v>FOUNDER SHCOLAR</v>
      </c>
      <c r="D3261" s="196" t="str">
        <f>IFERROR(__xludf.DUMMYFUNCTION("""COMPUTED_VALUE"""),"MEDICINES")</f>
        <v>MEDICINES</v>
      </c>
      <c r="E3261" s="196" t="str">
        <f>IFERROR(__xludf.DUMMYFUNCTION("""COMPUTED_VALUE"""),"REPLENISHMENT OF MEDICAL KITS FOR FOUNDER SCHOLARS(3 DORMITORIES)")</f>
        <v>REPLENISHMENT OF MEDICAL KITS FOR FOUNDER SCHOLARS(3 DORMITORIES)</v>
      </c>
    </row>
    <row r="3262">
      <c r="A3262" s="234">
        <f>IFERROR(__xludf.DUMMYFUNCTION("""COMPUTED_VALUE"""),103553.0)</f>
        <v>103553</v>
      </c>
      <c r="B3262" s="235" t="str">
        <f>IFERROR(__xludf.DUMMYFUNCTION("""COMPUTED_VALUE"""),"EUGENE MASILUNGAN")</f>
        <v>EUGENE MASILUNGAN</v>
      </c>
      <c r="C3262" s="235" t="str">
        <f>IFERROR(__xludf.DUMMYFUNCTION("""COMPUTED_VALUE"""),"CEM OFFICE")</f>
        <v>CEM OFFICE</v>
      </c>
      <c r="D3262" s="196" t="str">
        <f>IFERROR(__xludf.DUMMYFUNCTION("""COMPUTED_VALUE"""),"SYNTHETIC SOFT PILLOW BEDDING SET (BEDSHEET, PILLOW CASE &amp; BLANKET)
EST: MALE 20
        FRMALE 20 OR UNISEX")</f>
        <v>SYNTHETIC SOFT PILLOW BEDDING SET (BEDSHEET, PILLOW CASE &amp; BLANKET)
EST: MALE 20
        FRMALE 20 OR UNISEX</v>
      </c>
      <c r="E3262" s="196" t="str">
        <f>IFERROR(__xludf.DUMMYFUNCTION("""COMPUTED_VALUE"""),"BEDDING OF NEW FOUNDER SCHOLARS")</f>
        <v>BEDDING OF NEW FOUNDER SCHOLARS</v>
      </c>
    </row>
    <row r="3263">
      <c r="A3263" s="234">
        <f>IFERROR(__xludf.DUMMYFUNCTION("""COMPUTED_VALUE"""),103554.0)</f>
        <v>103554</v>
      </c>
      <c r="B3263" s="235" t="str">
        <f>IFERROR(__xludf.DUMMYFUNCTION("""COMPUTED_VALUE"""),"BRIAN PATAG")</f>
        <v>BRIAN PATAG</v>
      </c>
      <c r="C3263" s="235" t="str">
        <f>IFERROR(__xludf.DUMMYFUNCTION("""COMPUTED_VALUE"""),"AMD")</f>
        <v>AMD</v>
      </c>
      <c r="D3263" s="196" t="str">
        <f>IFERROR(__xludf.DUMMYFUNCTION("""COMPUTED_VALUE"""),"TRASH BAG XXL CLEAR
HAND SOAP, LEMON
ZONROX GALLON
BAYGON SCENTED 500 ML
TRASHBAG CLEAR MEDIUM")</f>
        <v>TRASH BAG XXL CLEAR
HAND SOAP, LEMON
ZONROX GALLON
BAYGON SCENTED 500 ML
TRASHBAG CLEAR MEDIUM</v>
      </c>
      <c r="E3263" s="196" t="str">
        <f>IFERROR(__xludf.DUMMYFUNCTION("""COMPUTED_VALUE"""),"HSKPG REPLENISHMENT FOR JULY 2023")</f>
        <v>HSKPG REPLENISHMENT FOR JULY 2023</v>
      </c>
    </row>
    <row r="3264">
      <c r="A3264" s="234">
        <f>IFERROR(__xludf.DUMMYFUNCTION("""COMPUTED_VALUE"""),103555.0)</f>
        <v>103555</v>
      </c>
      <c r="B3264" s="235" t="str">
        <f>IFERROR(__xludf.DUMMYFUNCTION("""COMPUTED_VALUE"""),"JESUIT CHRISTIAN GALICIA")</f>
        <v>JESUIT CHRISTIAN GALICIA</v>
      </c>
      <c r="C3264" s="235" t="str">
        <f>IFERROR(__xludf.DUMMYFUNCTION("""COMPUTED_VALUE"""),"AMD")</f>
        <v>AMD</v>
      </c>
      <c r="D3264" s="196" t="str">
        <f>IFERROR(__xludf.DUMMYFUNCTION("""COMPUTED_VALUE"""),"EZ LABELER 
HARD DISK 2TB
HDMI TO VGA CONVERTER")</f>
        <v>EZ LABELER 
HARD DISK 2TB
HDMI TO VGA CONVERTER</v>
      </c>
      <c r="E3264" s="196" t="str">
        <f>IFERROR(__xludf.DUMMYFUNCTION("""COMPUTED_VALUE"""),"MIS STOCK REPLENISHMENT")</f>
        <v>MIS STOCK REPLENISHMENT</v>
      </c>
    </row>
    <row r="3265">
      <c r="A3265" s="234">
        <f>IFERROR(__xludf.DUMMYFUNCTION("""COMPUTED_VALUE"""),103556.0)</f>
        <v>103556</v>
      </c>
      <c r="B3265" s="235" t="str">
        <f>IFERROR(__xludf.DUMMYFUNCTION("""COMPUTED_VALUE"""),"ALFA DE LEON")</f>
        <v>ALFA DE LEON</v>
      </c>
      <c r="C3265" s="235" t="str">
        <f>IFERROR(__xludf.DUMMYFUNCTION("""COMPUTED_VALUE"""),"ADMIN")</f>
        <v>ADMIN</v>
      </c>
      <c r="D3265" s="196" t="str">
        <f>IFERROR(__xludf.DUMMYFUNCTION("""COMPUTED_VALUE"""),"ONE FLAGS:
AUSTRALIA, BANGLADESH, EGYPT, GERMANY, HONGKONG, INDONESIAN, IRELAND, ITALY, JORDAN, NIGERIA, RUSSIA, SOUTH KOREA, SWITZERLAND, THAILAND, KOREA, SRI LANKA 
TWO FLAGS:
CANADA, CHINA, INDIA, JAPAN, LIBERIA, NETHERLAND, PAKISTAN, UNITED KINGDOM, "&amp;"USA, PHILIPPINES, SISC")</f>
        <v>ONE FLAGS:
AUSTRALIA, BANGLADESH, EGYPT, GERMANY, HONGKONG, INDONESIAN, IRELAND, ITALY, JORDAN, NIGERIA, RUSSIA, SOUTH KOREA, SWITZERLAND, THAILAND, KOREA, SRI LANKA 
TWO FLAGS:
CANADA, CHINA, INDIA, JAPAN, LIBERIA, NETHERLAND, PAKISTAN, UNITED KINGDOM, USA, PHILIPPINES, SISC</v>
      </c>
      <c r="E3265" s="196" t="str">
        <f>IFERROR(__xludf.DUMMYFUNCTION("""COMPUTED_VALUE"""),"MAINTENANCE OF INTERNATIONAL FLAGS, LUX MUNICH AND COLLEGE")</f>
        <v>MAINTENANCE OF INTERNATIONAL FLAGS, LUX MUNICH AND COLLEGE</v>
      </c>
    </row>
    <row r="3266">
      <c r="A3266" s="234">
        <f>IFERROR(__xludf.DUMMYFUNCTION("""COMPUTED_VALUE"""),103557.0)</f>
        <v>103557</v>
      </c>
      <c r="B3266" s="235" t="str">
        <f>IFERROR(__xludf.DUMMYFUNCTION("""COMPUTED_VALUE"""),"ALFA DE LEON")</f>
        <v>ALFA DE LEON</v>
      </c>
      <c r="C3266" s="235" t="str">
        <f>IFERROR(__xludf.DUMMYFUNCTION("""COMPUTED_VALUE"""),"STAR ADMIN")</f>
        <v>STAR ADMIN</v>
      </c>
      <c r="D3266" s="196" t="str">
        <f>IFERROR(__xludf.DUMMYFUNCTION("""COMPUTED_VALUE"""),"TOKEN FOR 5 STAR AUDITORS
TOKEN FOR 5 STAR GUIDE
AQUA FLASK")</f>
        <v>TOKEN FOR 5 STAR AUDITORS
TOKEN FOR 5 STAR GUIDE
AQUA FLASK</v>
      </c>
      <c r="E3266" s="196" t="str">
        <f>IFERROR(__xludf.DUMMYFUNCTION("""COMPUTED_VALUE"""),"TOKEN FOR 5 STARS AUDITORS AND GUIDE 22-23")</f>
        <v>TOKEN FOR 5 STARS AUDITORS AND GUIDE 22-23</v>
      </c>
    </row>
    <row r="3267">
      <c r="A3267" s="234">
        <f>IFERROR(__xludf.DUMMYFUNCTION("""COMPUTED_VALUE"""),103558.0)</f>
        <v>103558</v>
      </c>
      <c r="B3267" s="235" t="str">
        <f>IFERROR(__xludf.DUMMYFUNCTION("""COMPUTED_VALUE"""),"JOHN QUIQUI")</f>
        <v>JOHN QUIQUI</v>
      </c>
      <c r="C3267" s="235" t="str">
        <f>IFERROR(__xludf.DUMMYFUNCTION("""COMPUTED_VALUE"""),"STUFFSHOP")</f>
        <v>STUFFSHOP</v>
      </c>
      <c r="D3267" s="196" t="str">
        <f>IFERROR(__xludf.DUMMYFUNCTION("""COMPUTED_VALUE"""),"RIBBON CARTRIDGE (REGISTER TAPE PRINTER)")</f>
        <v>RIBBON CARTRIDGE (REGISTER TAPE PRINTER)</v>
      </c>
      <c r="E3267" s="196" t="str">
        <f>IFERROR(__xludf.DUMMYFUNCTION("""COMPUTED_VALUE"""),"USE FOR TICKET TAPE PRINTER (BOOKS)")</f>
        <v>USE FOR TICKET TAPE PRINTER (BOOKS)</v>
      </c>
    </row>
    <row r="3268">
      <c r="A3268" s="234">
        <f>IFERROR(__xludf.DUMMYFUNCTION("""COMPUTED_VALUE"""),103559.0)</f>
        <v>103559</v>
      </c>
      <c r="B3268" s="235" t="str">
        <f>IFERROR(__xludf.DUMMYFUNCTION("""COMPUTED_VALUE"""),"ELMIE LAUDIATO")</f>
        <v>ELMIE LAUDIATO</v>
      </c>
      <c r="C3268" s="235" t="str">
        <f>IFERROR(__xludf.DUMMYFUNCTION("""COMPUTED_VALUE"""),"HRMD")</f>
        <v>HRMD</v>
      </c>
      <c r="D3268" s="196" t="str">
        <f>IFERROR(__xludf.DUMMYFUNCTION("""COMPUTED_VALUE"""),"5 YEARS 6"" SHIEL MAE J. ANTALAN
10 YEARS 8"" KHRISTINE ANGELICA B SANTOS")</f>
        <v>5 YEARS 6" SHIEL MAE J. ANTALAN
10 YEARS 8" KHRISTINE ANGELICA B SANTOS</v>
      </c>
      <c r="E3268" s="196" t="str">
        <f>IFERROR(__xludf.DUMMYFUNCTION("""COMPUTED_VALUE"""),"ADDITIONAL PLAQUE")</f>
        <v>ADDITIONAL PLAQUE</v>
      </c>
    </row>
    <row r="3269">
      <c r="A3269" s="234">
        <f>IFERROR(__xludf.DUMMYFUNCTION("""COMPUTED_VALUE"""),103560.0)</f>
        <v>103560</v>
      </c>
      <c r="B3269" s="235" t="str">
        <f>IFERROR(__xludf.DUMMYFUNCTION("""COMPUTED_VALUE"""),"RAHIMA ONA / JAMIE RAMOS")</f>
        <v>RAHIMA ONA / JAMIE RAMOS</v>
      </c>
      <c r="C3269" s="235" t="str">
        <f>IFERROR(__xludf.DUMMYFUNCTION("""COMPUTED_VALUE"""),"SMIS")</f>
        <v>SMIS</v>
      </c>
      <c r="D3269" s="196" t="str">
        <f>IFERROR(__xludf.DUMMYFUNCTION("""COMPUTED_VALUE"""),"PRE-K STUDENT KIT
NURSERY STUDENT KIT
JK STUDENT KIT
SK STUDENT KIT
GRADE1 STUDETN KIT
GRADE2 STUDENT KIT")</f>
        <v>PRE-K STUDENT KIT
NURSERY STUDENT KIT
JK STUDENT KIT
SK STUDENT KIT
GRADE1 STUDETN KIT
GRADE2 STUDENT KIT</v>
      </c>
      <c r="E3269" s="196" t="str">
        <f>IFERROR(__xludf.DUMMYFUNCTION("""COMPUTED_VALUE"""),"STUDENT'S SUPPLIES IN SMIS")</f>
        <v>STUDENT'S SUPPLIES IN SMIS</v>
      </c>
    </row>
    <row r="3270">
      <c r="A3270" s="234">
        <f>IFERROR(__xludf.DUMMYFUNCTION("""COMPUTED_VALUE"""),103561.0)</f>
        <v>103561</v>
      </c>
      <c r="B3270" s="235" t="str">
        <f>IFERROR(__xludf.DUMMYFUNCTION("""COMPUTED_VALUE"""),"RAHIMA ONA / JAMIE RAMOS")</f>
        <v>RAHIMA ONA / JAMIE RAMOS</v>
      </c>
      <c r="C3270" s="235" t="str">
        <f>IFERROR(__xludf.DUMMYFUNCTION("""COMPUTED_VALUE"""),"SMIS")</f>
        <v>SMIS</v>
      </c>
      <c r="D3270" s="196" t="str">
        <f>IFERROR(__xludf.DUMMYFUNCTION("""COMPUTED_VALUE"""),"DISASTER BAG/BOX
BATTERY-POWERED RADIO
FLASHLIGHT
FIRST AID KIT
WHISTLE
DUST MASK
PLASTIC SHEETING 
DUCT TAPE
MOIST TOWELLETES
WRENCH/PLIER")</f>
        <v>DISASTER BAG/BOX
BATTERY-POWERED RADIO
FLASHLIGHT
FIRST AID KIT
WHISTLE
DUST MASK
PLASTIC SHEETING 
DUCT TAPE
MOIST TOWELLETES
WRENCH/PLIER</v>
      </c>
      <c r="E3270" s="196" t="str">
        <f>IFERROR(__xludf.DUMMYFUNCTION("""COMPUTED_VALUE"""),"SMIS OFFICE MATERIALS FIX SAFETY 3 DISASTER PREPAREDNESS")</f>
        <v>SMIS OFFICE MATERIALS FIX SAFETY 3 DISASTER PREPAREDNESS</v>
      </c>
    </row>
    <row r="3271">
      <c r="A3271" s="234">
        <f>IFERROR(__xludf.DUMMYFUNCTION("""COMPUTED_VALUE"""),103562.0)</f>
        <v>103562</v>
      </c>
      <c r="B3271" s="235" t="str">
        <f>IFERROR(__xludf.DUMMYFUNCTION("""COMPUTED_VALUE"""),"JESUIT CHRISTIAN GALICIA")</f>
        <v>JESUIT CHRISTIAN GALICIA</v>
      </c>
      <c r="C3271" s="235" t="str">
        <f>IFERROR(__xludf.DUMMYFUNCTION("""COMPUTED_VALUE"""),"AMD")</f>
        <v>AMD</v>
      </c>
      <c r="D3271" s="196" t="str">
        <f>IFERROR(__xludf.DUMMYFUNCTION("""COMPUTED_VALUE"""),"P-TRAP STAINLESS
P-TRAP (PVC TYPE)")</f>
        <v>P-TRAP STAINLESS
P-TRAP (PVC TYPE)</v>
      </c>
      <c r="E3271" s="196" t="str">
        <f>IFERROR(__xludf.DUMMYFUNCTION("""COMPUTED_VALUE"""),"ENGINEERING WAREHOUSE STOCK REPLENISHMENT")</f>
        <v>ENGINEERING WAREHOUSE STOCK REPLENISHMENT</v>
      </c>
    </row>
    <row r="3272">
      <c r="A3272" s="234">
        <f>IFERROR(__xludf.DUMMYFUNCTION("""COMPUTED_VALUE"""),103563.0)</f>
        <v>103563</v>
      </c>
      <c r="B3272" s="235" t="str">
        <f>IFERROR(__xludf.DUMMYFUNCTION("""COMPUTED_VALUE"""),"CHARLES DONOR")</f>
        <v>CHARLES DONOR</v>
      </c>
      <c r="C3272" s="235" t="str">
        <f>IFERROR(__xludf.DUMMYFUNCTION("""COMPUTED_VALUE"""),"AMD")</f>
        <v>AMD</v>
      </c>
      <c r="D3272" s="196" t="str">
        <f>IFERROR(__xludf.DUMMYFUNCTION("""COMPUTED_VALUE"""),"400 Paper, Colored Fortune Blue
400 Paper, Colored Fortune Green
400 Paper, Colored Fortune Orange
400 Paper, Colored Fortune Pink
400 Paper, Colored Fortune Red
400 Paper, Colored Fortune Violet
400 Paper, Colored Fortune Yellow
300 Cartolina, Black
300 "&amp;"Cartolina, Neon Blue
300 Cartolina, Neon Green
300 Cartolina, Neon Orange
300 Cartolina, Neon Pink
300 Cartolina, White
300 Cartolina, Neon Yellow
72 Glue, Elmer's - 130gs (OSSUP)
400 Paper, Manila - 37 X 45
327 Marker, Pilot Permanent Fine Black
327 Mark"&amp;"er, Pilot Fine Blue
327 Marker, Pilot Fine Red
72 Tape, 3M Masking Tape Big (1"")
400 METERS Plastic Cover, Gauge 4 48'W (per meter)
71 Staple Wire, Max #35- 5M (Box of 5000pcs)
71 Thumb Tacks - Mitsuya /box
255 Ballpen, Panda Black
255 Ballpen, Panda Blu"&amp;"e
255 Ballpen, Panda Red
255 Ballpen, Panda Green
255 Eraser, Whiteboard-Sterling255 
255 Correction Tape, Joy
160 Pad Paper, Yellow (per pad)
255 Pen, Sign - Pilot BX-V5 Black
255 Pen, Sign - Pilot BX-V5 Green
30 Ink, Marking - Pilot Black
30 Ink, Markin"&amp;"g - Pilot Blue
30 Ink, Marking - Pilot Red
30 Ink, Whiteboard-Pilot Black
30 Ink, Whiteboard-Pilot Blue
30 Ink, Whiteboard-Pilot Red
255 Marker, Whiteboard - Pilot Black
255 Marker, Whiteboard - Pilot Blue
255 Marker, Whiteboard - Pilot Red
255 Marker, Pi"&amp;"lot Broad Black
255 Marker, Pilot Broad Blue
255 Marker, Pilot Broad Red
")</f>
        <v>400 Paper, Colored Fortune Blue
400 Paper, Colored Fortune Green
400 Paper, Colored Fortune Orange
400 Paper, Colored Fortune Pink
400 Paper, Colored Fortune Red
400 Paper, Colored Fortune Violet
400 Paper, Colored Fortune Yellow
300 Cartolina, Black
300 Cartolina, Neon Blue
300 Cartolina, Neon Green
300 Cartolina, Neon Orange
300 Cartolina, Neon Pink
300 Cartolina, White
300 Cartolina, Neon Yellow
72 Glue, Elmer's - 130gs (OSSUP)
400 Paper, Manila - 37 X 45
327 Marker, Pilot Permanent Fine Black
327 Marker, Pilot Fine Blue
327 Marker, Pilot Fine Red
72 Tape, 3M Masking Tape Big (1")
400 METERS Plastic Cover, Gauge 4 48'W (per meter)
71 Staple Wire, Max #35- 5M (Box of 5000pcs)
71 Thumb Tacks - Mitsuya /box
255 Ballpen, Panda Black
255 Ballpen, Panda Blue
255 Ballpen, Panda Red
255 Ballpen, Panda Green
255 Eraser, Whiteboard-Sterling255 
255 Correction Tape, Joy
160 Pad Paper, Yellow (per pad)
255 Pen, Sign - Pilot BX-V5 Black
255 Pen, Sign - Pilot BX-V5 Green
30 Ink, Marking - Pilot Black
30 Ink, Marking - Pilot Blue
30 Ink, Marking - Pilot Red
30 Ink, Whiteboard-Pilot Black
30 Ink, Whiteboard-Pilot Blue
30 Ink, Whiteboard-Pilot Red
255 Marker, Whiteboard - Pilot Black
255 Marker, Whiteboard - Pilot Blue
255 Marker, Whiteboard - Pilot Red
255 Marker, Pilot Broad Black
255 Marker, Pilot Broad Blue
255 Marker, Pilot Broad Red
</v>
      </c>
      <c r="E3272" s="196" t="str">
        <f>IFERROR(__xludf.DUMMYFUNCTION("""COMPUTED_VALUE"""),"TEACHER'S OPENING SUPPLIES AND CLASSROOM DECORS")</f>
        <v>TEACHER'S OPENING SUPPLIES AND CLASSROOM DECORS</v>
      </c>
    </row>
    <row r="3273">
      <c r="A3273" s="234">
        <f>IFERROR(__xludf.DUMMYFUNCTION("""COMPUTED_VALUE"""),103564.0)</f>
        <v>103564</v>
      </c>
      <c r="B3273" s="235" t="str">
        <f>IFERROR(__xludf.DUMMYFUNCTION("""COMPUTED_VALUE"""),"JUDE CUNTAPAY")</f>
        <v>JUDE CUNTAPAY</v>
      </c>
      <c r="C3273" s="235" t="str">
        <f>IFERROR(__xludf.DUMMYFUNCTION("""COMPUTED_VALUE"""),"AFSL")</f>
        <v>AFSL</v>
      </c>
      <c r="D3273" s="196" t="str">
        <f>IFERROR(__xludf.DUMMYFUNCTION("""COMPUTED_VALUE"""),"AFSL MEDALS")</f>
        <v>AFSL MEDALS</v>
      </c>
      <c r="E3273" s="196" t="str">
        <f>IFERROR(__xludf.DUMMYFUNCTION("""COMPUTED_VALUE"""),"FOR LEADERSHIP AWARDS FOR SGEN SCHOLAR")</f>
        <v>FOR LEADERSHIP AWARDS FOR SGEN SCHOLAR</v>
      </c>
    </row>
    <row r="3274">
      <c r="A3274" s="234">
        <f>IFERROR(__xludf.DUMMYFUNCTION("""COMPUTED_VALUE"""),103565.0)</f>
        <v>103565</v>
      </c>
      <c r="B3274" s="235" t="str">
        <f>IFERROR(__xludf.DUMMYFUNCTION("""COMPUTED_VALUE"""),"OWIE PAR")</f>
        <v>OWIE PAR</v>
      </c>
      <c r="C3274" s="235" t="str">
        <f>IFERROR(__xludf.DUMMYFUNCTION("""COMPUTED_VALUE"""),"ENGINEERING")</f>
        <v>ENGINEERING</v>
      </c>
      <c r="D3274" s="196" t="str">
        <f>IFERROR(__xludf.DUMMYFUNCTION("""COMPUTED_VALUE"""),"CIRCUIT BREAKER AO AMP. BOLT ON SINGLE PHASE GE")</f>
        <v>CIRCUIT BREAKER AO AMP. BOLT ON SINGLE PHASE GE</v>
      </c>
      <c r="E3274" s="196" t="str">
        <f>IFERROR(__xludf.DUMMYFUNCTION("""COMPUTED_VALUE"""),"FOR LV ACU'S")</f>
        <v>FOR LV ACU'S</v>
      </c>
    </row>
    <row r="3275">
      <c r="A3275" s="234">
        <f>IFERROR(__xludf.DUMMYFUNCTION("""COMPUTED_VALUE"""),103566.0)</f>
        <v>103566</v>
      </c>
      <c r="B3275" s="235" t="str">
        <f>IFERROR(__xludf.DUMMYFUNCTION("""COMPUTED_VALUE"""),"PHEN PETIN")</f>
        <v>PHEN PETIN</v>
      </c>
      <c r="C3275" s="235" t="str">
        <f>IFERROR(__xludf.DUMMYFUNCTION("""COMPUTED_VALUE"""),"ADMIN")</f>
        <v>ADMIN</v>
      </c>
      <c r="D3275" s="196" t="str">
        <f>IFERROR(__xludf.DUMMYFUNCTION("""COMPUTED_VALUE"""),"PARTIAL LIST IF MATERIALS FOR ELIZALDE ")</f>
        <v>PARTIAL LIST IF MATERIALS FOR ELIZALDE </v>
      </c>
      <c r="E3275" s="196" t="str">
        <f>IFERROR(__xludf.DUMMYFUNCTION("""COMPUTED_VALUE"""),"PARTIAL LIST OF MATERIALS SUMMER PROJECT")</f>
        <v>PARTIAL LIST OF MATERIALS SUMMER PROJECT</v>
      </c>
    </row>
    <row r="3276">
      <c r="A3276" s="234">
        <f>IFERROR(__xludf.DUMMYFUNCTION("""COMPUTED_VALUE"""),103567.0)</f>
        <v>103567</v>
      </c>
      <c r="B3276" s="235" t="str">
        <f>IFERROR(__xludf.DUMMYFUNCTION("""COMPUTED_VALUE"""),"JOMEL BUTIAL")</f>
        <v>JOMEL BUTIAL</v>
      </c>
      <c r="C3276" s="235" t="str">
        <f>IFERROR(__xludf.DUMMYFUNCTION("""COMPUTED_VALUE"""),"PR AND MARKETING")</f>
        <v>PR AND MARKETING</v>
      </c>
      <c r="D3276" s="196" t="str">
        <f>IFERROR(__xludf.DUMMYFUNCTION("""COMPUTED_VALUE"""),"NURTURING LEADERS OF THE FUTURE TARP SIZE 6.4X16.9FT")</f>
        <v>NURTURING LEADERS OF THE FUTURE TARP SIZE 6.4X16.9FT</v>
      </c>
      <c r="E3276" s="196" t="str">
        <f>IFERROR(__xludf.DUMMYFUNCTION("""COMPUTED_VALUE"""),"COLLEGE MARKETING")</f>
        <v>COLLEGE MARKETING</v>
      </c>
    </row>
    <row r="3277">
      <c r="A3277" s="234">
        <f>IFERROR(__xludf.DUMMYFUNCTION("""COMPUTED_VALUE"""),103568.0)</f>
        <v>103568</v>
      </c>
      <c r="B3277" s="235" t="str">
        <f>IFERROR(__xludf.DUMMYFUNCTION("""COMPUTED_VALUE"""),"AMI SALANGUIT ")</f>
        <v>AMI SALANGUIT </v>
      </c>
      <c r="C3277" s="235" t="str">
        <f>IFERROR(__xludf.DUMMYFUNCTION("""COMPUTED_VALUE"""),"HRMD")</f>
        <v>HRMD</v>
      </c>
      <c r="D3277" s="196" t="str">
        <f>IFERROR(__xludf.DUMMYFUNCTION("""COMPUTED_VALUE"""),"1 PC SYMPHATY FLOWER")</f>
        <v>1 PC SYMPHATY FLOWER</v>
      </c>
      <c r="E3277" s="196" t="str">
        <f>IFERROR(__xludf.DUMMYFUNCTION("""COMPUTED_VALUE"""),"FLOWERS FOR THE FATHER OF MISS ARMIE CABACANG")</f>
        <v>FLOWERS FOR THE FATHER OF MISS ARMIE CABACANG</v>
      </c>
    </row>
    <row r="3278">
      <c r="A3278" s="234">
        <f>IFERROR(__xludf.DUMMYFUNCTION("""COMPUTED_VALUE"""),103569.0)</f>
        <v>103569</v>
      </c>
      <c r="B3278" s="235" t="str">
        <f>IFERROR(__xludf.DUMMYFUNCTION("""COMPUTED_VALUE"""),"ALFA DE LEON")</f>
        <v>ALFA DE LEON</v>
      </c>
      <c r="C3278" s="235" t="str">
        <f>IFERROR(__xludf.DUMMYFUNCTION("""COMPUTED_VALUE"""),"MUNICH")</f>
        <v>MUNICH</v>
      </c>
      <c r="D3278" s="196" t="str">
        <f>IFERROR(__xludf.DUMMYFUNCTION("""COMPUTED_VALUE"""),"POLISTER LEAD SIZE 16""
                  SIZE A AND B")</f>
        <v>POLISTER LEAD SIZE 16"
                  SIZE A AND B</v>
      </c>
      <c r="E3278" s="196" t="str">
        <f>IFERROR(__xludf.DUMMYFUNCTION("""COMPUTED_VALUE"""),"HSKPG CLEANING EQUIPMENT")</f>
        <v>HSKPG CLEANING EQUIPMENT</v>
      </c>
    </row>
    <row r="3279">
      <c r="A3279" s="234">
        <f>IFERROR(__xludf.DUMMYFUNCTION("""COMPUTED_VALUE"""),103570.0)</f>
        <v>103570</v>
      </c>
      <c r="B3279" s="235" t="str">
        <f>IFERROR(__xludf.DUMMYFUNCTION("""COMPUTED_VALUE"""),"ALFA DE LEON")</f>
        <v>ALFA DE LEON</v>
      </c>
      <c r="C3279" s="235" t="str">
        <f>IFERROR(__xludf.DUMMYFUNCTION("""COMPUTED_VALUE"""),"MUNICH")</f>
        <v>MUNICH</v>
      </c>
      <c r="D3279" s="196" t="str">
        <f>IFERROR(__xludf.DUMMYFUNCTION("""COMPUTED_VALUE"""),"FALCON")</f>
        <v>FALCON</v>
      </c>
      <c r="E3279" s="196" t="str">
        <f>IFERROR(__xludf.DUMMYFUNCTION("""COMPUTED_VALUE"""),"WW CR URINAL")</f>
        <v>WW CR URINAL</v>
      </c>
    </row>
    <row r="3280">
      <c r="A3280" s="234">
        <f>IFERROR(__xludf.DUMMYFUNCTION("""COMPUTED_VALUE"""),103571.0)</f>
        <v>103571</v>
      </c>
      <c r="B3280" s="235" t="str">
        <f>IFERROR(__xludf.DUMMYFUNCTION("""COMPUTED_VALUE"""),"JESUIT CHRISTIAN GALICIA")</f>
        <v>JESUIT CHRISTIAN GALICIA</v>
      </c>
      <c r="C3280" s="235" t="str">
        <f>IFERROR(__xludf.DUMMYFUNCTION("""COMPUTED_VALUE"""),"AMD")</f>
        <v>AMD</v>
      </c>
      <c r="D3280" s="196" t="str">
        <f>IFERROR(__xludf.DUMMYFUNCTION("""COMPUTED_VALUE"""),"LED BULB 8W DAYLIGHT PHILIPS")</f>
        <v>LED BULB 8W DAYLIGHT PHILIPS</v>
      </c>
      <c r="E3280" s="196" t="str">
        <f>IFERROR(__xludf.DUMMYFUNCTION("""COMPUTED_VALUE"""),"ENGINEERING WAREHOUSE STOCK REPLENISHMENT")</f>
        <v>ENGINEERING WAREHOUSE STOCK REPLENISHMENT</v>
      </c>
    </row>
    <row r="3281">
      <c r="A3281" s="234">
        <f>IFERROR(__xludf.DUMMYFUNCTION("""COMPUTED_VALUE"""),103572.0)</f>
        <v>103572</v>
      </c>
      <c r="B3281" s="235" t="str">
        <f>IFERROR(__xludf.DUMMYFUNCTION("""COMPUTED_VALUE"""),"MELISSA ODONO")</f>
        <v>MELISSA ODONO</v>
      </c>
      <c r="C3281" s="235" t="str">
        <f>IFERROR(__xludf.DUMMYFUNCTION("""COMPUTED_VALUE"""),"LIBRARY")</f>
        <v>LIBRARY</v>
      </c>
      <c r="D3281" s="196" t="str">
        <f>IFERROR(__xludf.DUMMYFUNCTION("""COMPUTED_VALUE"""),"LIBRARY'SCOPY / STUDENT'S COPY")</f>
        <v>LIBRARY'SCOPY / STUDENT'S COPY</v>
      </c>
      <c r="E3281" s="196" t="str">
        <f>IFERROR(__xludf.DUMMYFUNCTION("""COMPUTED_VALUE"""),"LIBRARY'SCOPY / STUDENT'S COPY")</f>
        <v>LIBRARY'SCOPY / STUDENT'S COPY</v>
      </c>
    </row>
    <row r="3282">
      <c r="A3282" s="234">
        <f>IFERROR(__xludf.DUMMYFUNCTION("""COMPUTED_VALUE"""),103573.0)</f>
        <v>103573</v>
      </c>
      <c r="B3282" s="235" t="str">
        <f>IFERROR(__xludf.DUMMYFUNCTION("""COMPUTED_VALUE"""),"MELISSA ODONO")</f>
        <v>MELISSA ODONO</v>
      </c>
      <c r="C3282" s="235" t="str">
        <f>IFERROR(__xludf.DUMMYFUNCTION("""COMPUTED_VALUE"""),"LIBRARY")</f>
        <v>LIBRARY</v>
      </c>
      <c r="D3282" s="196" t="str">
        <f>IFERROR(__xludf.DUMMYFUNCTION("""COMPUTED_VALUE"""),"LIBRARY'SCOPY / STUDENT'S COPY")</f>
        <v>LIBRARY'SCOPY / STUDENT'S COPY</v>
      </c>
      <c r="E3282" s="196" t="str">
        <f>IFERROR(__xludf.DUMMYFUNCTION("""COMPUTED_VALUE"""),"LIBRARY'SCOPY / STUDENT'S COPY")</f>
        <v>LIBRARY'SCOPY / STUDENT'S COPY</v>
      </c>
    </row>
    <row r="3283">
      <c r="A3283" s="234">
        <f>IFERROR(__xludf.DUMMYFUNCTION("""COMPUTED_VALUE"""),103574.0)</f>
        <v>103574</v>
      </c>
      <c r="B3283" s="235" t="str">
        <f>IFERROR(__xludf.DUMMYFUNCTION("""COMPUTED_VALUE"""),"MELISSA ODONO")</f>
        <v>MELISSA ODONO</v>
      </c>
      <c r="C3283" s="235" t="str">
        <f>IFERROR(__xludf.DUMMYFUNCTION("""COMPUTED_VALUE"""),"LIBRARY")</f>
        <v>LIBRARY</v>
      </c>
      <c r="D3283" s="196" t="str">
        <f>IFERROR(__xludf.DUMMYFUNCTION("""COMPUTED_VALUE"""),"LIBRARY'SCOPY / STUDENT'S COPY")</f>
        <v>LIBRARY'SCOPY / STUDENT'S COPY</v>
      </c>
      <c r="E3283" s="196" t="str">
        <f>IFERROR(__xludf.DUMMYFUNCTION("""COMPUTED_VALUE"""),"LIBRARY'SCOPY ")</f>
        <v>LIBRARY'SCOPY </v>
      </c>
    </row>
    <row r="3284">
      <c r="A3284" s="234">
        <f>IFERROR(__xludf.DUMMYFUNCTION("""COMPUTED_VALUE"""),103575.0)</f>
        <v>103575</v>
      </c>
      <c r="B3284" s="235" t="str">
        <f>IFERROR(__xludf.DUMMYFUNCTION("""COMPUTED_VALUE"""),"MELISSA ODONO")</f>
        <v>MELISSA ODONO</v>
      </c>
      <c r="C3284" s="235" t="str">
        <f>IFERROR(__xludf.DUMMYFUNCTION("""COMPUTED_VALUE"""),"LIBRARY")</f>
        <v>LIBRARY</v>
      </c>
      <c r="D3284" s="196" t="str">
        <f>IFERROR(__xludf.DUMMYFUNCTION("""COMPUTED_VALUE"""),"LIBRARY'SCOPY / STUDENT'S COPY")</f>
        <v>LIBRARY'SCOPY / STUDENT'S COPY</v>
      </c>
      <c r="E3284" s="196" t="str">
        <f>IFERROR(__xludf.DUMMYFUNCTION("""COMPUTED_VALUE"""),"LIBRARY'SCOPY / STUDENT'S COPY")</f>
        <v>LIBRARY'SCOPY / STUDENT'S COPY</v>
      </c>
    </row>
    <row r="3285">
      <c r="A3285" s="234">
        <f>IFERROR(__xludf.DUMMYFUNCTION("""COMPUTED_VALUE"""),103576.0)</f>
        <v>103576</v>
      </c>
      <c r="B3285" s="235" t="str">
        <f>IFERROR(__xludf.DUMMYFUNCTION("""COMPUTED_VALUE"""),"MELISSA ODONO")</f>
        <v>MELISSA ODONO</v>
      </c>
      <c r="C3285" s="235" t="str">
        <f>IFERROR(__xludf.DUMMYFUNCTION("""COMPUTED_VALUE"""),"LIBRARY")</f>
        <v>LIBRARY</v>
      </c>
      <c r="D3285" s="196" t="str">
        <f>IFERROR(__xludf.DUMMYFUNCTION("""COMPUTED_VALUE"""),"LIBRARY'SCOPY / STUDENT'S COPY")</f>
        <v>LIBRARY'SCOPY / STUDENT'S COPY</v>
      </c>
      <c r="E3285" s="196" t="str">
        <f>IFERROR(__xludf.DUMMYFUNCTION("""COMPUTED_VALUE"""),"LIBRARY'SCOPY / STUDENT'S COPY")</f>
        <v>LIBRARY'SCOPY / STUDENT'S COPY</v>
      </c>
    </row>
    <row r="3286">
      <c r="A3286" s="234">
        <f>IFERROR(__xludf.DUMMYFUNCTION("""COMPUTED_VALUE"""),103577.0)</f>
        <v>103577</v>
      </c>
      <c r="B3286" s="235" t="str">
        <f>IFERROR(__xludf.DUMMYFUNCTION("""COMPUTED_VALUE"""),"MELISSA ODONO")</f>
        <v>MELISSA ODONO</v>
      </c>
      <c r="C3286" s="235" t="str">
        <f>IFERROR(__xludf.DUMMYFUNCTION("""COMPUTED_VALUE"""),"LIBRARY")</f>
        <v>LIBRARY</v>
      </c>
      <c r="D3286" s="196" t="str">
        <f>IFERROR(__xludf.DUMMYFUNCTION("""COMPUTED_VALUE"""),"LIBRARY'SCOPY / STUDENT'S COPY")</f>
        <v>LIBRARY'SCOPY / STUDENT'S COPY</v>
      </c>
      <c r="E3286" s="196" t="str">
        <f>IFERROR(__xludf.DUMMYFUNCTION("""COMPUTED_VALUE"""),"LIBRARY'SCOPY / STUDENT'S COPY")</f>
        <v>LIBRARY'SCOPY / STUDENT'S COPY</v>
      </c>
    </row>
    <row r="3287">
      <c r="A3287" s="234">
        <f>IFERROR(__xludf.DUMMYFUNCTION("""COMPUTED_VALUE"""),103578.0)</f>
        <v>103578</v>
      </c>
      <c r="B3287" s="235" t="str">
        <f>IFERROR(__xludf.DUMMYFUNCTION("""COMPUTED_VALUE"""),"MELISSA ODONO")</f>
        <v>MELISSA ODONO</v>
      </c>
      <c r="C3287" s="235" t="str">
        <f>IFERROR(__xludf.DUMMYFUNCTION("""COMPUTED_VALUE"""),"LIBRARY")</f>
        <v>LIBRARY</v>
      </c>
      <c r="D3287" s="196" t="str">
        <f>IFERROR(__xludf.DUMMYFUNCTION("""COMPUTED_VALUE"""),"LIBRARY'SCOPY / STUDENT'S COPY")</f>
        <v>LIBRARY'SCOPY / STUDENT'S COPY</v>
      </c>
      <c r="E3287" s="196" t="str">
        <f>IFERROR(__xludf.DUMMYFUNCTION("""COMPUTED_VALUE"""),"LIBRARY'SCOPY / STUDENT'S COPY")</f>
        <v>LIBRARY'SCOPY / STUDENT'S COPY</v>
      </c>
    </row>
    <row r="3288">
      <c r="A3288" s="234">
        <f>IFERROR(__xludf.DUMMYFUNCTION("""COMPUTED_VALUE"""),103579.0)</f>
        <v>103579</v>
      </c>
      <c r="B3288" s="235" t="str">
        <f>IFERROR(__xludf.DUMMYFUNCTION("""COMPUTED_VALUE"""),"CHARLES DONOR")</f>
        <v>CHARLES DONOR</v>
      </c>
      <c r="C3288" s="235" t="str">
        <f>IFERROR(__xludf.DUMMYFUNCTION("""COMPUTED_VALUE"""),"AMD")</f>
        <v>AMD</v>
      </c>
      <c r="D3288" s="196" t="str">
        <f>IFERROR(__xludf.DUMMYFUNCTION("""COMPUTED_VALUE"""),"TONER 85A")</f>
        <v>TONER 85A</v>
      </c>
      <c r="E3288" s="196" t="str">
        <f>IFERROR(__xludf.DUMMYFUNCTION("""COMPUTED_VALUE"""),"OSSUP STOCK REPLENISHMENT")</f>
        <v>OSSUP STOCK REPLENISHMENT</v>
      </c>
    </row>
    <row r="3289">
      <c r="A3289" s="234">
        <f>IFERROR(__xludf.DUMMYFUNCTION("""COMPUTED_VALUE"""),103580.0)</f>
        <v>103580</v>
      </c>
      <c r="B3289" s="235" t="str">
        <f>IFERROR(__xludf.DUMMYFUNCTION("""COMPUTED_VALUE"""),"MAJ TOMAS")</f>
        <v>MAJ TOMAS</v>
      </c>
      <c r="C3289" s="235" t="str">
        <f>IFERROR(__xludf.DUMMYFUNCTION("""COMPUTED_VALUE"""),"NURSING")</f>
        <v>NURSING</v>
      </c>
      <c r="D3289" s="196" t="str">
        <f>IFERROR(__xludf.DUMMYFUNCTION("""COMPUTED_VALUE"""),"3 PCS RINGBIND WITH PLASTIC FILLER (3 HOLE, LONG AND COLOR GREEN)")</f>
        <v>3 PCS RINGBIND WITH PLASTIC FILLER (3 HOLE, LONG AND COLOR GREEN)</v>
      </c>
      <c r="E3289" s="196" t="str">
        <f>IFERROR(__xludf.DUMMYFUNCTION("""COMPUTED_VALUE"""),"OFFICE USE ")</f>
        <v>OFFICE USE </v>
      </c>
    </row>
    <row r="3290">
      <c r="A3290" s="234">
        <f>IFERROR(__xludf.DUMMYFUNCTION("""COMPUTED_VALUE"""),103581.0)</f>
        <v>103581</v>
      </c>
      <c r="B3290" s="235" t="str">
        <f>IFERROR(__xludf.DUMMYFUNCTION("""COMPUTED_VALUE"""),"SHEREE ESPINOSA ")</f>
        <v>SHEREE ESPINOSA </v>
      </c>
      <c r="C3290" s="235" t="str">
        <f>IFERROR(__xludf.DUMMYFUNCTION("""COMPUTED_VALUE"""),"ADMIN")</f>
        <v>ADMIN</v>
      </c>
      <c r="D3290" s="196" t="str">
        <f>IFERROR(__xludf.DUMMYFUNCTION("""COMPUTED_VALUE"""),"MATERIALS FOR TROPICAL CLASSROOMS AND HALLWAY REPAINTINGS ")</f>
        <v>MATERIALS FOR TROPICAL CLASSROOMS AND HALLWAY REPAINTINGS </v>
      </c>
      <c r="E3290" s="196" t="str">
        <f>IFERROR(__xludf.DUMMYFUNCTION("""COMPUTED_VALUE"""),"REPAINTING FOR TROPICAL CAMPUS")</f>
        <v>REPAINTING FOR TROPICAL CAMPUS</v>
      </c>
    </row>
    <row r="3291">
      <c r="A3291" s="234">
        <f>IFERROR(__xludf.DUMMYFUNCTION("""COMPUTED_VALUE"""),103582.0)</f>
        <v>103582</v>
      </c>
      <c r="B3291" s="235" t="str">
        <f>IFERROR(__xludf.DUMMYFUNCTION("""COMPUTED_VALUE"""),"ALFA DE LEON")</f>
        <v>ALFA DE LEON</v>
      </c>
      <c r="C3291" s="235" t="str">
        <f>IFERROR(__xludf.DUMMYFUNCTION("""COMPUTED_VALUE"""),"ADMIN - MUNICH")</f>
        <v>ADMIN - MUNICH</v>
      </c>
      <c r="D3291" s="196" t="str">
        <f>IFERROR(__xludf.DUMMYFUNCTION("""COMPUTED_VALUE"""),"4 UNITS 1.0 HP DAIKIN WALL MOUNTED TYPE INVERTER WITH WIRELESS REMOTE CONTROLLER R32 REFRIGERANT,  1 UNIT 4.0 HP DAIKIN MULTI SPLIT OUTDOOR UNIT")</f>
        <v>4 UNITS 1.0 HP DAIKIN WALL MOUNTED TYPE INVERTER WITH WIRELESS REMOTE CONTROLLER R32 REFRIGERANT,  1 UNIT 4.0 HP DAIKIN MULTI SPLIT OUTDOOR UNIT</v>
      </c>
      <c r="E3291" s="196" t="str">
        <f>IFERROR(__xludf.DUMMYFUNCTION("""COMPUTED_VALUE"""),"FOR 3/F ADDTL CLASSROOMS ESL AND INNOVE FOR G6")</f>
        <v>FOR 3/F ADDTL CLASSROOMS ESL AND INNOVE FOR G6</v>
      </c>
    </row>
    <row r="3292">
      <c r="A3292" s="234">
        <f>IFERROR(__xludf.DUMMYFUNCTION("""COMPUTED_VALUE"""),103583.0)</f>
        <v>103583</v>
      </c>
      <c r="B3292" s="235" t="str">
        <f>IFERROR(__xludf.DUMMYFUNCTION("""COMPUTED_VALUE"""),"BRIAN PATAG")</f>
        <v>BRIAN PATAG</v>
      </c>
      <c r="C3292" s="235" t="str">
        <f>IFERROR(__xludf.DUMMYFUNCTION("""COMPUTED_VALUE"""),"AMD")</f>
        <v>AMD</v>
      </c>
      <c r="D3292" s="196" t="str">
        <f>IFERROR(__xludf.DUMMYFUNCTION("""COMPUTED_VALUE"""),"XXL TRASH BAG, POLISHER HEAD WITH BRUSH #16")</f>
        <v>XXL TRASH BAG, POLISHER HEAD WITH BRUSH #16</v>
      </c>
      <c r="E3292" s="196" t="str">
        <f>IFERROR(__xludf.DUMMYFUNCTION("""COMPUTED_VALUE"""),"FOR REPLENISHMENT OF HOUSEKEEPING MATERIALS JULY 2023")</f>
        <v>FOR REPLENISHMENT OF HOUSEKEEPING MATERIALS JULY 2023</v>
      </c>
    </row>
    <row r="3293">
      <c r="A3293" s="234">
        <f>IFERROR(__xludf.DUMMYFUNCTION("""COMPUTED_VALUE"""),103584.0)</f>
        <v>103584</v>
      </c>
      <c r="B3293" s="235" t="str">
        <f>IFERROR(__xludf.DUMMYFUNCTION("""COMPUTED_VALUE"""),"WILBERT BELTRAN")</f>
        <v>WILBERT BELTRAN</v>
      </c>
      <c r="C3293" s="235" t="str">
        <f>IFERROR(__xludf.DUMMYFUNCTION("""COMPUTED_VALUE"""),"MIS/ICT")</f>
        <v>MIS/ICT</v>
      </c>
      <c r="D3293" s="196" t="str">
        <f>IFERROR(__xludf.DUMMYFUNCTION("""COMPUTED_VALUE"""),"CISCO 3850 PSU PWR-C1-350WAC")</f>
        <v>CISCO 3850 PSU PWR-C1-350WAC</v>
      </c>
      <c r="E3293" s="196" t="str">
        <f>IFERROR(__xludf.DUMMYFUNCTION("""COMPUTED_VALUE"""),"REPLACEMENT FOR DEFECTIVE PSU OF CORE SWITCH")</f>
        <v>REPLACEMENT FOR DEFECTIVE PSU OF CORE SWITCH</v>
      </c>
    </row>
    <row r="3294">
      <c r="A3294" s="234">
        <f>IFERROR(__xludf.DUMMYFUNCTION("""COMPUTED_VALUE"""),103585.0)</f>
        <v>103585</v>
      </c>
      <c r="B3294" s="235" t="str">
        <f>IFERROR(__xludf.DUMMYFUNCTION("""COMPUTED_VALUE"""),"JOMEL BUTIAL")</f>
        <v>JOMEL BUTIAL</v>
      </c>
      <c r="C3294" s="235" t="str">
        <f>IFERROR(__xludf.DUMMYFUNCTION("""COMPUTED_VALUE"""),"PR &amp; MARKETING")</f>
        <v>PR &amp; MARKETING</v>
      </c>
      <c r="D3294" s="196" t="str">
        <f>IFERROR(__xludf.DUMMYFUNCTION("""COMPUTED_VALUE"""),"CALLING CARD (JOMEL BUTIAL, JAMIE RAMOS, KAYREEN CARIO, GERALDINE MEDINA, JAYVEN POBLETE, RHEA JOVEREZ, JAIREL MARVIN MARASIGAN)")</f>
        <v>CALLING CARD (JOMEL BUTIAL, JAMIE RAMOS, KAYREEN CARIO, GERALDINE MEDINA, JAYVEN POBLETE, RHEA JOVEREZ, JAIREL MARVIN MARASIGAN)</v>
      </c>
      <c r="E3294" s="196" t="str">
        <f>IFERROR(__xludf.DUMMYFUNCTION("""COMPUTED_VALUE"""),"MARKETING")</f>
        <v>MARKETING</v>
      </c>
    </row>
    <row r="3295">
      <c r="A3295" s="234">
        <f>IFERROR(__xludf.DUMMYFUNCTION("""COMPUTED_VALUE"""),103586.0)</f>
        <v>103586</v>
      </c>
      <c r="B3295" s="235" t="str">
        <f>IFERROR(__xludf.DUMMYFUNCTION("""COMPUTED_VALUE"""),"ESTHER LARITA")</f>
        <v>ESTHER LARITA</v>
      </c>
      <c r="C3295" s="235" t="str">
        <f>IFERROR(__xludf.DUMMYFUNCTION("""COMPUTED_VALUE"""),"ACCREDITATION")</f>
        <v>ACCREDITATION</v>
      </c>
      <c r="D3295" s="196" t="str">
        <f>IFERROR(__xludf.DUMMYFUNCTION("""COMPUTED_VALUE"""),"SISC PINS, NAMEPLATE (METAL)")</f>
        <v>SISC PINS, NAMEPLATE (METAL)</v>
      </c>
      <c r="E3295" s="196" t="str">
        <f>IFERROR(__xludf.DUMMYFUNCTION("""COMPUTED_VALUE"""),"PQA ACCREDITATION")</f>
        <v>PQA ACCREDITATION</v>
      </c>
    </row>
    <row r="3296">
      <c r="A3296" s="234">
        <f>IFERROR(__xludf.DUMMYFUNCTION("""COMPUTED_VALUE"""),103587.0)</f>
        <v>103587</v>
      </c>
      <c r="B3296" s="235" t="str">
        <f>IFERROR(__xludf.DUMMYFUNCTION("""COMPUTED_VALUE"""),"SHEREE ESPINOSA")</f>
        <v>SHEREE ESPINOSA</v>
      </c>
      <c r="C3296" s="235" t="str">
        <f>IFERROR(__xludf.DUMMYFUNCTION("""COMPUTED_VALUE"""),"ADMIN")</f>
        <v>ADMIN</v>
      </c>
      <c r="D3296" s="196" t="str">
        <f>IFERROR(__xludf.DUMMYFUNCTION("""COMPUTED_VALUE"""),"3 RING BINDER - LONG, BLACK, 3"" THICK")</f>
        <v>3 RING BINDER - LONG, BLACK, 3" THICK</v>
      </c>
      <c r="E3296" s="196" t="str">
        <f>IFERROR(__xludf.DUMMYFUNCTION("""COMPUTED_VALUE"""),"FOR FILLING OF ADMIN PROJECTS")</f>
        <v>FOR FILLING OF ADMIN PROJECTS</v>
      </c>
    </row>
    <row r="3297">
      <c r="A3297" s="234">
        <f>IFERROR(__xludf.DUMMYFUNCTION("""COMPUTED_VALUE"""),103588.0)</f>
        <v>103588</v>
      </c>
      <c r="B3297" s="235" t="str">
        <f>IFERROR(__xludf.DUMMYFUNCTION("""COMPUTED_VALUE"""),"ALFA DE LEON")</f>
        <v>ALFA DE LEON</v>
      </c>
      <c r="C3297" s="235" t="str">
        <f>IFERROR(__xludf.DUMMYFUNCTION("""COMPUTED_VALUE"""),"ADMIN - MUNICH")</f>
        <v>ADMIN - MUNICH</v>
      </c>
      <c r="D3297" s="196" t="str">
        <f>IFERROR(__xludf.DUMMYFUNCTION("""COMPUTED_VALUE"""),"RADIO HANDHELD - MUNICH, CIGNUS V85 PRO")</f>
        <v>RADIO HANDHELD - MUNICH, CIGNUS V85 PRO</v>
      </c>
      <c r="E3297" s="196" t="str">
        <f>IFERROR(__xludf.DUMMYFUNCTION("""COMPUTED_VALUE"""),"FOR HOUSEKEEPING PERSONNEL COMMUNICATION")</f>
        <v>FOR HOUSEKEEPING PERSONNEL COMMUNICATION</v>
      </c>
    </row>
    <row r="3298">
      <c r="A3298" s="234">
        <f>IFERROR(__xludf.DUMMYFUNCTION("""COMPUTED_VALUE"""),103589.0)</f>
        <v>103589</v>
      </c>
      <c r="B3298" s="235" t="str">
        <f>IFERROR(__xludf.DUMMYFUNCTION("""COMPUTED_VALUE"""),"ALFA DE LEON")</f>
        <v>ALFA DE LEON</v>
      </c>
      <c r="C3298" s="235" t="str">
        <f>IFERROR(__xludf.DUMMYFUNCTION("""COMPUTED_VALUE"""),"ADMIN - MUNICH")</f>
        <v>ADMIN - MUNICH</v>
      </c>
      <c r="D3298" s="196" t="str">
        <f>IFERROR(__xludf.DUMMYFUNCTION("""COMPUTED_VALUE"""),"GLASS LOCK")</f>
        <v>GLASS LOCK</v>
      </c>
      <c r="E3298" s="196" t="str">
        <f>IFERROR(__xludf.DUMMYFUNCTION("""COMPUTED_VALUE"""),"REPAIR/REPLACEMENT OF PR OFFICE GLASS LOCK")</f>
        <v>REPAIR/REPLACEMENT OF PR OFFICE GLASS LOCK</v>
      </c>
    </row>
    <row r="3299">
      <c r="A3299" s="234">
        <f>IFERROR(__xludf.DUMMYFUNCTION("""COMPUTED_VALUE"""),103590.0)</f>
        <v>103590</v>
      </c>
      <c r="B3299" s="235" t="str">
        <f>IFERROR(__xludf.DUMMYFUNCTION("""COMPUTED_VALUE"""),"OWIE PAR")</f>
        <v>OWIE PAR</v>
      </c>
      <c r="C3299" s="235" t="str">
        <f>IFERROR(__xludf.DUMMYFUNCTION("""COMPUTED_VALUE"""),"ADMIN")</f>
        <v>ADMIN</v>
      </c>
      <c r="D3299" s="196" t="str">
        <f>IFERROR(__xludf.DUMMYFUNCTION("""COMPUTED_VALUE"""),"LAMP HOLDER WITH 9W DAYLIGHT BULB")</f>
        <v>LAMP HOLDER WITH 9W DAYLIGHT BULB</v>
      </c>
      <c r="E3299" s="196" t="str">
        <f>IFERROR(__xludf.DUMMYFUNCTION("""COMPUTED_VALUE"""),"FOR MUNICH STREET/SOCCER FIELD PERIMETER")</f>
        <v>FOR MUNICH STREET/SOCCER FIELD PERIMETER</v>
      </c>
    </row>
    <row r="3300">
      <c r="A3300" s="234">
        <f>IFERROR(__xludf.DUMMYFUNCTION("""COMPUTED_VALUE"""),103591.0)</f>
        <v>103591</v>
      </c>
      <c r="B3300" s="235" t="str">
        <f>IFERROR(__xludf.DUMMYFUNCTION("""COMPUTED_VALUE"""),"CHOY JAMIAS")</f>
        <v>CHOY JAMIAS</v>
      </c>
      <c r="C3300" s="235" t="str">
        <f>IFERROR(__xludf.DUMMYFUNCTION("""COMPUTED_VALUE"""),"STUDENT AFFAIRS COLLEGE")</f>
        <v>STUDENT AFFAIRS COLLEGE</v>
      </c>
      <c r="D3300" s="196" t="str">
        <f>IFERROR(__xludf.DUMMYFUNCTION("""COMPUTED_VALUE"""),"ADDTL MEDALS FOR COLLEGE, 10 DEAN'S MERIT, 4 BENE MERITUS, 2 MERETISSIMUS")</f>
        <v>ADDTL MEDALS FOR COLLEGE, 10 DEAN'S MERIT, 4 BENE MERITUS, 2 MERETISSIMUS</v>
      </c>
      <c r="E3300" s="196" t="str">
        <f>IFERROR(__xludf.DUMMYFUNCTION("""COMPUTED_VALUE"""),"FOR COLLEGE GRADUATION")</f>
        <v>FOR COLLEGE GRADUATION</v>
      </c>
    </row>
    <row r="3301">
      <c r="A3301" s="234">
        <f>IFERROR(__xludf.DUMMYFUNCTION("""COMPUTED_VALUE"""),103592.0)</f>
        <v>103592</v>
      </c>
      <c r="B3301" s="235" t="str">
        <f>IFERROR(__xludf.DUMMYFUNCTION("""COMPUTED_VALUE"""),"PHEN PETIN/RONALD VERDE")</f>
        <v>PHEN PETIN/RONALD VERDE</v>
      </c>
      <c r="C3301" s="235" t="str">
        <f>IFERROR(__xludf.DUMMYFUNCTION("""COMPUTED_VALUE"""),"ADMIN - STAR")</f>
        <v>ADMIN - STAR</v>
      </c>
      <c r="D3301" s="196" t="str">
        <f>IFERROR(__xludf.DUMMYFUNCTION("""COMPUTED_VALUE"""),"PR/LIBRARY TILES 60CM X 60CM, CEMENT, TILE ADHESIVE, GROUT BIEGE")</f>
        <v>PR/LIBRARY TILES 60CM X 60CM, CEMENT, TILE ADHESIVE, GROUT BIEGE</v>
      </c>
      <c r="E3301" s="196" t="str">
        <f>IFERROR(__xludf.DUMMYFUNCTION("""COMPUTED_VALUE"""),"STAR REPAIR PR/LIBRARY TILES")</f>
        <v>STAR REPAIR PR/LIBRARY TILES</v>
      </c>
    </row>
    <row r="3302">
      <c r="A3302" s="234">
        <f>IFERROR(__xludf.DUMMYFUNCTION("""COMPUTED_VALUE"""),103593.0)</f>
        <v>103593</v>
      </c>
      <c r="B3302" s="235" t="str">
        <f>IFERROR(__xludf.DUMMYFUNCTION("""COMPUTED_VALUE"""),"PHEN PETIN/RONALD VERDE")</f>
        <v>PHEN PETIN/RONALD VERDE</v>
      </c>
      <c r="C3302" s="235" t="str">
        <f>IFERROR(__xludf.DUMMYFUNCTION("""COMPUTED_VALUE"""),"ADMIN - STAR")</f>
        <v>ADMIN - STAR</v>
      </c>
      <c r="D3302" s="196" t="str">
        <f>IFERROR(__xludf.DUMMYFUNCTION("""COMPUTED_VALUE"""),"TUBELAR BAR #20 X 2' X 4, WELDING ROD, CUTTING DESH #4, PLAIN SHEET #16, EPOXY PRIMER GRAY, Q.D.E., PLAIN THINNER, LACQUER THINNER, POLITUFF, SANDING PAPER #100, GRINDING DESH #11")</f>
        <v>TUBELAR BAR #20 X 2' X 4, WELDING ROD, CUTTING DESH #4, PLAIN SHEET #16, EPOXY PRIMER GRAY, Q.D.E., PLAIN THINNER, LACQUER THINNER, POLITUFF, SANDING PAPER #100, GRINDING DESH #11</v>
      </c>
      <c r="E3302" s="196" t="str">
        <f>IFERROR(__xludf.DUMMYFUNCTION("""COMPUTED_VALUE"""),"STAR REPAIR BLACK GAT REPAIR")</f>
        <v>STAR REPAIR BLACK GAT REPAIR</v>
      </c>
    </row>
    <row r="3303">
      <c r="A3303" s="234">
        <f>IFERROR(__xludf.DUMMYFUNCTION("""COMPUTED_VALUE"""),103594.0)</f>
        <v>103594</v>
      </c>
      <c r="B3303" s="235" t="str">
        <f>IFERROR(__xludf.DUMMYFUNCTION("""COMPUTED_VALUE"""),"PHEN PETIN/RONALD VERDE")</f>
        <v>PHEN PETIN/RONALD VERDE</v>
      </c>
      <c r="C3303" s="235" t="str">
        <f>IFERROR(__xludf.DUMMYFUNCTION("""COMPUTED_VALUE"""),"ADMIN - STAR")</f>
        <v>ADMIN - STAR</v>
      </c>
      <c r="D3303" s="196" t="str">
        <f>IFERROR(__xludf.DUMMYFUNCTION("""COMPUTED_VALUE"""),"CHECKERED PLATE # 1/8 X 4X8, ANGLE BAR # 3/16 X 2X2, WELDING ROD, G.I. PIPE # 1 1/2, FLAT BAR # 3/16 X 1"", CUTTING DESH #4"", EPOXY PRIMER GRAY, LACQUER THINNER, PAINT ROLLER #4"" COTTON, PAINT ROLLER # 1 1/2")</f>
        <v>CHECKERED PLATE # 1/8 X 4X8, ANGLE BAR # 3/16 X 2X2, WELDING ROD, G.I. PIPE # 1 1/2, FLAT BAR # 3/16 X 1", CUTTING DESH #4", EPOXY PRIMER GRAY, LACQUER THINNER, PAINT ROLLER #4" COTTON, PAINT ROLLER # 1 1/2</v>
      </c>
      <c r="E3303" s="196" t="str">
        <f>IFERROR(__xludf.DUMMYFUNCTION("""COMPUTED_VALUE"""),"STAR REPAIRS RAMP/GRILLS GATE")</f>
        <v>STAR REPAIRS RAMP/GRILLS GATE</v>
      </c>
    </row>
    <row r="3304">
      <c r="A3304" s="234">
        <f>IFERROR(__xludf.DUMMYFUNCTION("""COMPUTED_VALUE"""),103595.0)</f>
        <v>103595</v>
      </c>
      <c r="B3304" s="235" t="str">
        <f>IFERROR(__xludf.DUMMYFUNCTION("""COMPUTED_VALUE"""),"PHEN PETIN/RONALD VERDE")</f>
        <v>PHEN PETIN/RONALD VERDE</v>
      </c>
      <c r="C3304" s="235" t="str">
        <f>IFERROR(__xludf.DUMMYFUNCTION("""COMPUTED_VALUE"""),"ADMIN - STAR")</f>
        <v>ADMIN - STAR</v>
      </c>
      <c r="D3304" s="196" t="str">
        <f>IFERROR(__xludf.DUMMYFUNCTION("""COMPUTED_VALUE"""),"SEALANT CLEAR, SEMI GLOSS LATEX BIEGE")</f>
        <v>SEALANT CLEAR, SEMI GLOSS LATEX BIEGE</v>
      </c>
      <c r="E3304" s="196" t="str">
        <f>IFERROR(__xludf.DUMMYFUNCTION("""COMPUTED_VALUE"""),"STAR REPAIRS WALL &amp; CEILING SMALL LOBBY REPAINT RESEALANT")</f>
        <v>STAR REPAIRS WALL &amp; CEILING SMALL LOBBY REPAINT RESEALANT</v>
      </c>
    </row>
    <row r="3305">
      <c r="A3305" s="234">
        <f>IFERROR(__xludf.DUMMYFUNCTION("""COMPUTED_VALUE"""),103596.0)</f>
        <v>103596</v>
      </c>
      <c r="B3305" s="235" t="str">
        <f>IFERROR(__xludf.DUMMYFUNCTION("""COMPUTED_VALUE"""),"PHEN PETIN/RONALD VERDE")</f>
        <v>PHEN PETIN/RONALD VERDE</v>
      </c>
      <c r="C3305" s="235" t="str">
        <f>IFERROR(__xludf.DUMMYFUNCTION("""COMPUTED_VALUE"""),"ADMIN - STAR")</f>
        <v>ADMIN - STAR</v>
      </c>
      <c r="D3305" s="196" t="str">
        <f>IFERROR(__xludf.DUMMYFUNCTION("""COMPUTED_VALUE"""),"ROOF SEALER, 12"" X 2"" FLOOR DRAIN STEEL PLATE CEMENT")</f>
        <v>ROOF SEALER, 12" X 2" FLOOR DRAIN STEEL PLATE CEMENT</v>
      </c>
      <c r="E3305" s="196" t="str">
        <f>IFERROR(__xludf.DUMMYFUNCTION("""COMPUTED_VALUE"""),"STAR REPAIR RAMP AREA SUTTER / FLOORING DRAINAGE")</f>
        <v>STAR REPAIR RAMP AREA SUTTER / FLOORING DRAINAGE</v>
      </c>
    </row>
    <row r="3306">
      <c r="A3306" s="234">
        <f>IFERROR(__xludf.DUMMYFUNCTION("""COMPUTED_VALUE"""),103597.0)</f>
        <v>103597</v>
      </c>
      <c r="B3306" s="235" t="str">
        <f>IFERROR(__xludf.DUMMYFUNCTION("""COMPUTED_VALUE"""),"SHEREE ESPINOSA ")</f>
        <v>SHEREE ESPINOSA </v>
      </c>
      <c r="C3306" s="235" t="str">
        <f>IFERROR(__xludf.DUMMYFUNCTION("""COMPUTED_VALUE"""),"ADMIN")</f>
        <v>ADMIN</v>
      </c>
      <c r="D3306" s="196" t="str">
        <f>IFERROR(__xludf.DUMMYFUNCTION("""COMPUTED_VALUE"""),"2 PCS HEAVY DUTY FLAT IRON")</f>
        <v>2 PCS HEAVY DUTY FLAT IRON</v>
      </c>
      <c r="E3306" s="196" t="str">
        <f>IFERROR(__xludf.DUMMYFUNCTION("""COMPUTED_VALUE"""),"FOR HOUSEKEEPING USE")</f>
        <v>FOR HOUSEKEEPING USE</v>
      </c>
    </row>
    <row r="3307">
      <c r="A3307" s="234">
        <f>IFERROR(__xludf.DUMMYFUNCTION("""COMPUTED_VALUE"""),103598.0)</f>
        <v>103598</v>
      </c>
      <c r="B3307" s="235" t="str">
        <f>IFERROR(__xludf.DUMMYFUNCTION("""COMPUTED_VALUE"""),"SHEREE ESPINOSA ")</f>
        <v>SHEREE ESPINOSA </v>
      </c>
      <c r="C3307" s="235" t="str">
        <f>IFERROR(__xludf.DUMMYFUNCTION("""COMPUTED_VALUE"""),"ADMIN")</f>
        <v>ADMIN</v>
      </c>
      <c r="D3307" s="196" t="str">
        <f>IFERROR(__xludf.DUMMYFUNCTION("""COMPUTED_VALUE"""),"10 PCS WATER DISPENSER FOR LUX, COLLEGE, TROPICAL ")</f>
        <v>10 PCS WATER DISPENSER FOR LUX, COLLEGE, TROPICAL </v>
      </c>
      <c r="E3307" s="196" t="str">
        <f>IFERROR(__xludf.DUMMYFUNCTION("""COMPUTED_VALUE"""),"ADDTL WATER DISPENSER")</f>
        <v>ADDTL WATER DISPENSER</v>
      </c>
    </row>
    <row r="3308">
      <c r="A3308" s="234">
        <f>IFERROR(__xludf.DUMMYFUNCTION("""COMPUTED_VALUE"""),103599.0)</f>
        <v>103599</v>
      </c>
      <c r="B3308" s="235" t="str">
        <f>IFERROR(__xludf.DUMMYFUNCTION("""COMPUTED_VALUE"""),"MELISSA ODOÑO/KIMBERLY DU")</f>
        <v>MELISSA ODOÑO/KIMBERLY DU</v>
      </c>
      <c r="C3308" s="235" t="str">
        <f>IFERROR(__xludf.DUMMYFUNCTION("""COMPUTED_VALUE"""),"LIBRARY COLLEGE")</f>
        <v>LIBRARY COLLEGE</v>
      </c>
      <c r="D3308" s="196" t="str">
        <f>IFERROR(__xludf.DUMMYFUNCTION("""COMPUTED_VALUE"""),"9 PCS READING WITH MEANING, 2ND EDITION; TEACHING COMPREHENSION IN THE PRIMARY  GRADES, 9 PCS THE FOUNTAS AND PINNELL LITERACY CONTINUUM, SECOND EDITION: A TOOL FOR ASSESMENT, PLANING AND TEACHING, PREK-8 2ND")</f>
        <v>9 PCS READING WITH MEANING, 2ND EDITION; TEACHING COMPREHENSION IN THE PRIMARY  GRADES, 9 PCS THE FOUNTAS AND PINNELL LITERACY CONTINUUM, SECOND EDITION: A TOOL FOR ASSESMENT, PLANING AND TEACHING, PREK-8 2ND</v>
      </c>
      <c r="E3308" s="196" t="str">
        <f>IFERROR(__xludf.DUMMYFUNCTION("""COMPUTED_VALUE"""),"LIBRARY'S COPY FOR MANAGEMENT, STAFF USE AND PACUCUOA COMPLIANCE ")</f>
        <v>LIBRARY'S COPY FOR MANAGEMENT, STAFF USE AND PACUCUOA COMPLIANCE </v>
      </c>
    </row>
    <row r="3309">
      <c r="A3309" s="234">
        <f>IFERROR(__xludf.DUMMYFUNCTION("""COMPUTED_VALUE"""),103600.0)</f>
        <v>103600</v>
      </c>
      <c r="B3309" s="235" t="str">
        <f>IFERROR(__xludf.DUMMYFUNCTION("""COMPUTED_VALUE"""),"JOSSA MARIE GALLANOSA")</f>
        <v>JOSSA MARIE GALLANOSA</v>
      </c>
      <c r="C3309" s="235" t="str">
        <f>IFERROR(__xludf.DUMMYFUNCTION("""COMPUTED_VALUE"""),"VPAR / RESEARCH")</f>
        <v>VPAR / RESEARCH</v>
      </c>
      <c r="D3309" s="196" t="str">
        <f>IFERROR(__xludf.DUMMYFUNCTION("""COMPUTED_VALUE"""),"30 COPIES KAIZEN JOURNAL 21-22")</f>
        <v>30 COPIES KAIZEN JOURNAL 21-22</v>
      </c>
      <c r="E3309" s="196" t="str">
        <f>IFERROR(__xludf.DUMMYFUNCTION("""COMPUTED_VALUE"""),"KAIZEN RESEARCH PUBLICATION FOR AY 21-22 (ACCREDITATION REQUIREMENTS)")</f>
        <v>KAIZEN RESEARCH PUBLICATION FOR AY 21-22 (ACCREDITATION REQUIREMENTS)</v>
      </c>
    </row>
    <row r="3310">
      <c r="A3310" s="234">
        <f>IFERROR(__xludf.DUMMYFUNCTION("""COMPUTED_VALUE"""),103601.0)</f>
        <v>103601</v>
      </c>
      <c r="B3310" s="235" t="str">
        <f>IFERROR(__xludf.DUMMYFUNCTION("""COMPUTED_VALUE"""),"KHYLE C. CHAVEZ ")</f>
        <v>KHYLE C. CHAVEZ </v>
      </c>
      <c r="C3310" s="235" t="str">
        <f>IFERROR(__xludf.DUMMYFUNCTION("""COMPUTED_VALUE"""),"STUDENT AFFAIRS BED")</f>
        <v>STUDENT AFFAIRS BED</v>
      </c>
      <c r="D3310" s="196" t="str">
        <f>IFERROR(__xludf.DUMMYFUNCTION("""COMPUTED_VALUE"""),"287 YEARBOOK FOR K12 AY 2021-2022 AND 2022-2023")</f>
        <v>287 YEARBOOK FOR K12 AY 2021-2022 AND 2022-2023</v>
      </c>
      <c r="E3310" s="196" t="str">
        <f>IFERROR(__xludf.DUMMYFUNCTION("""COMPUTED_VALUE"""),"ANNUAL PRINTING OF YEARBOOK FOR AY 2021-2022 AND 2022-2023")</f>
        <v>ANNUAL PRINTING OF YEARBOOK FOR AY 2021-2022 AND 2022-2023</v>
      </c>
    </row>
    <row r="3311">
      <c r="A3311" s="234">
        <f>IFERROR(__xludf.DUMMYFUNCTION("""COMPUTED_VALUE"""),103602.0)</f>
        <v>103602</v>
      </c>
      <c r="B3311" s="235" t="str">
        <f>IFERROR(__xludf.DUMMYFUNCTION("""COMPUTED_VALUE"""),"SHEREE ESPINOSA")</f>
        <v>SHEREE ESPINOSA</v>
      </c>
      <c r="C3311" s="235" t="str">
        <f>IFERROR(__xludf.DUMMYFUNCTION("""COMPUTED_VALUE"""),"ADMIN")</f>
        <v>ADMIN</v>
      </c>
      <c r="D3311" s="196" t="str">
        <f>IFERROR(__xludf.DUMMYFUNCTION("""COMPUTED_VALUE"""),"SWIVEL CHAIRS FOR HR-8, ADMIN-5, REGS-4, FACULTY BED- 12, DPS-2, EXECUTIVE SWIVEL CHAIRS-5 CCTY ROOM- 2")</f>
        <v>SWIVEL CHAIRS FOR HR-8, ADMIN-5, REGS-4, FACULTY BED- 12, DPS-2, EXECUTIVE SWIVEL CHAIRS-5 CCTY ROOM- 2</v>
      </c>
      <c r="E3311" s="196" t="str">
        <f>IFERROR(__xludf.DUMMYFUNCTION("""COMPUTED_VALUE"""),"REPLACEMENT FOR THE BROKEN SWIVEL CHAIRS FOR AY 23-24")</f>
        <v>REPLACEMENT FOR THE BROKEN SWIVEL CHAIRS FOR AY 23-24</v>
      </c>
    </row>
    <row r="3312">
      <c r="A3312" s="234">
        <f>IFERROR(__xludf.DUMMYFUNCTION("""COMPUTED_VALUE"""),103603.0)</f>
        <v>103603</v>
      </c>
      <c r="B3312" s="235" t="str">
        <f>IFERROR(__xludf.DUMMYFUNCTION("""COMPUTED_VALUE"""),"ALFA DE LEON")</f>
        <v>ALFA DE LEON</v>
      </c>
      <c r="C3312" s="235" t="str">
        <f>IFERROR(__xludf.DUMMYFUNCTION("""COMPUTED_VALUE"""),"ADMIN - MUNICH")</f>
        <v>ADMIN - MUNICH</v>
      </c>
      <c r="D3312" s="196" t="str">
        <f>IFERROR(__xludf.DUMMYFUNCTION("""COMPUTED_VALUE"""),"6 PCS IWATA")</f>
        <v>6 PCS IWATA</v>
      </c>
      <c r="E3312" s="196" t="str">
        <f>IFERROR(__xludf.DUMMYFUNCTION("""COMPUTED_VALUE"""),"FANS FOR GF, 2F, TO 3F")</f>
        <v>FANS FOR GF, 2F, TO 3F</v>
      </c>
    </row>
    <row r="3313">
      <c r="A3313" s="234">
        <f>IFERROR(__xludf.DUMMYFUNCTION("""COMPUTED_VALUE"""),103604.0)</f>
        <v>103604</v>
      </c>
      <c r="B3313" s="235" t="str">
        <f>IFERROR(__xludf.DUMMYFUNCTION("""COMPUTED_VALUE"""),"BRIAN PATAG")</f>
        <v>BRIAN PATAG</v>
      </c>
      <c r="C3313" s="235" t="str">
        <f>IFERROR(__xludf.DUMMYFUNCTION("""COMPUTED_VALUE"""),"AMD")</f>
        <v>AMD</v>
      </c>
      <c r="D3313" s="196" t="str">
        <f>IFERROR(__xludf.DUMMYFUNCTION("""COMPUTED_VALUE"""),"20 PACKS TRASH BAGS MEDIUM")</f>
        <v>20 PACKS TRASH BAGS MEDIUM</v>
      </c>
      <c r="E3313" s="196" t="str">
        <f>IFERROR(__xludf.DUMMYFUNCTION("""COMPUTED_VALUE"""),"HOUSEKEEPING SUPPLIES REPLENISHMENT")</f>
        <v>HOUSEKEEPING SUPPLIES REPLENISHMENT</v>
      </c>
    </row>
    <row r="3314">
      <c r="A3314" s="234">
        <f>IFERROR(__xludf.DUMMYFUNCTION("""COMPUTED_VALUE"""),103605.0)</f>
        <v>103605</v>
      </c>
      <c r="B3314" s="235" t="str">
        <f>IFERROR(__xludf.DUMMYFUNCTION("""COMPUTED_VALUE"""),"SHEREE ESPINOSA")</f>
        <v>SHEREE ESPINOSA</v>
      </c>
      <c r="C3314" s="235" t="str">
        <f>IFERROR(__xludf.DUMMYFUNCTION("""COMPUTED_VALUE"""),"ADMIN")</f>
        <v>ADMIN</v>
      </c>
      <c r="D3314" s="196" t="str">
        <f>IFERROR(__xludf.DUMMYFUNCTION("""COMPUTED_VALUE"""),"SWIVEL CHAIRS : 3 DIRECTOR'S CHAIR, 2 OSA, 4 IT FACULTY, 5 NURSING FACULTY,  2 ACCREDITATION, 4 EXECUTIVE SWIVEL CHAIR")</f>
        <v>SWIVEL CHAIRS : 3 DIRECTOR'S CHAIR, 2 OSA, 4 IT FACULTY, 5 NURSING FACULTY,  2 ACCREDITATION, 4 EXECUTIVE SWIVEL CHAIR</v>
      </c>
      <c r="E3314" s="196" t="str">
        <f>IFERROR(__xludf.DUMMYFUNCTION("""COMPUTED_VALUE"""),"REPLACEMENT FOR BROKEN SWIVEL CHAIRS (FOR AY 23-24) COLLEGE CAMPUS")</f>
        <v>REPLACEMENT FOR BROKEN SWIVEL CHAIRS (FOR AY 23-24) COLLEGE CAMPUS</v>
      </c>
    </row>
    <row r="3315">
      <c r="A3315" s="234">
        <f>IFERROR(__xludf.DUMMYFUNCTION("""COMPUTED_VALUE"""),103606.0)</f>
        <v>103606</v>
      </c>
      <c r="B3315" s="235" t="str">
        <f>IFERROR(__xludf.DUMMYFUNCTION("""COMPUTED_VALUE"""),"SHEREE ESPINOSA")</f>
        <v>SHEREE ESPINOSA</v>
      </c>
      <c r="C3315" s="235" t="str">
        <f>IFERROR(__xludf.DUMMYFUNCTION("""COMPUTED_VALUE"""),"ADMIN")</f>
        <v>ADMIN</v>
      </c>
      <c r="D3315" s="196" t="str">
        <f>IFERROR(__xludf.DUMMYFUNCTION("""COMPUTED_VALUE"""),"5 SWIVEL CHAIRS BUSINESS FACULTY, 2 EXECUTIVE CHAIRS FOR COLLEGE DIRECTOR, TOURISM DEAN")</f>
        <v>5 SWIVEL CHAIRS BUSINESS FACULTY, 2 EXECUTIVE CHAIRS FOR COLLEGE DIRECTOR, TOURISM DEAN</v>
      </c>
      <c r="E3315" s="196" t="str">
        <f>IFERROR(__xludf.DUMMYFUNCTION("""COMPUTED_VALUE"""),"REPLACEMENT FOR THE BROKEN CHAIRS IN TROPICAL CAMPUS")</f>
        <v>REPLACEMENT FOR THE BROKEN CHAIRS IN TROPICAL CAMPUS</v>
      </c>
    </row>
    <row r="3316">
      <c r="A3316" s="234">
        <f>IFERROR(__xludf.DUMMYFUNCTION("""COMPUTED_VALUE"""),103607.0)</f>
        <v>103607</v>
      </c>
      <c r="B3316" s="235" t="str">
        <f>IFERROR(__xludf.DUMMYFUNCTION("""COMPUTED_VALUE"""),"SHEREE ESPINOSA")</f>
        <v>SHEREE ESPINOSA</v>
      </c>
      <c r="C3316" s="235" t="str">
        <f>IFERROR(__xludf.DUMMYFUNCTION("""COMPUTED_VALUE"""),"ADMIN")</f>
        <v>ADMIN</v>
      </c>
      <c r="D3316" s="196" t="str">
        <f>IFERROR(__xludf.DUMMYFUNCTION("""COMPUTED_VALUE"""),"IWATA FANS  ( 6 FOR LUX HALL WAY, 4 WALK WAYS)")</f>
        <v>IWATA FANS  ( 6 FOR LUX HALL WAY, 4 WALK WAYS)</v>
      </c>
      <c r="E3316" s="196" t="str">
        <f>IFERROR(__xludf.DUMMYFUNCTION("""COMPUTED_VALUE"""),"REPLACEMENT AND ADDITIONAL FANS")</f>
        <v>REPLACEMENT AND ADDITIONAL FANS</v>
      </c>
    </row>
    <row r="3317">
      <c r="A3317" s="234">
        <f>IFERROR(__xludf.DUMMYFUNCTION("""COMPUTED_VALUE"""),103608.0)</f>
        <v>103608</v>
      </c>
      <c r="B3317" s="235" t="str">
        <f>IFERROR(__xludf.DUMMYFUNCTION("""COMPUTED_VALUE"""),"OWIE PAR")</f>
        <v>OWIE PAR</v>
      </c>
      <c r="C3317" s="235" t="str">
        <f>IFERROR(__xludf.DUMMYFUNCTION("""COMPUTED_VALUE"""),"ENGINEERING")</f>
        <v>ENGINEERING</v>
      </c>
      <c r="D3317" s="196" t="str">
        <f>IFERROR(__xludf.DUMMYFUNCTION("""COMPUTED_VALUE"""),"20 SETS WIDE SERIES OUTLET 2 GANG, 60 PCS. BLK SCREW #1 (WOOD), 20 PCS UTILITY BOX, 2 ROLLS ELECTRICAL TAPE")</f>
        <v>20 SETS WIDE SERIES OUTLET 2 GANG, 60 PCS. BLK SCREW #1 (WOOD), 20 PCS UTILITY BOX, 2 ROLLS ELECTRICAL TAPE</v>
      </c>
      <c r="E3317" s="196" t="str">
        <f>IFERROR(__xludf.DUMMYFUNCTION("""COMPUTED_VALUE"""),"FOR MMA COMPLAB")</f>
        <v>FOR MMA COMPLAB</v>
      </c>
    </row>
    <row r="3318">
      <c r="A3318" s="234">
        <f>IFERROR(__xludf.DUMMYFUNCTION("""COMPUTED_VALUE"""),103609.0)</f>
        <v>103609</v>
      </c>
      <c r="B3318" s="235" t="str">
        <f>IFERROR(__xludf.DUMMYFUNCTION("""COMPUTED_VALUE"""),"OWIE PAR")</f>
        <v>OWIE PAR</v>
      </c>
      <c r="C3318" s="235" t="str">
        <f>IFERROR(__xludf.DUMMYFUNCTION("""COMPUTED_VALUE"""),"ENGINEERING")</f>
        <v>ENGINEERING</v>
      </c>
      <c r="D3318" s="196" t="str">
        <f>IFERROR(__xludf.DUMMYFUNCTION("""COMPUTED_VALUE"""),"1 PC FOOT VALVE 1 1/2 (KITZ),  1 PC BALL VALVE  1 1/2 (KITZ), PPR TEE 1 1/2 , 1 PC PVC TEE 1/2 (BLUE) , 1 PC PVC FEMALE ADAPTOR 1/2 BLUE, 1 PC ORDINARY FAUCET W/ HOSE BIBB, 20 METERS HOSE 3/4 W/ HOSE CONNECTOR, 5 ROLLS TEPCON TAPE 3/4, 1 CAN NELTEX SOLVEN"&amp;"T CEMENT 100CC ")</f>
        <v>1 PC FOOT VALVE 1 1/2 (KITZ),  1 PC BALL VALVE  1 1/2 (KITZ), PPR TEE 1 1/2 , 1 PC PVC TEE 1/2 (BLUE) , 1 PC PVC FEMALE ADAPTOR 1/2 BLUE, 1 PC ORDINARY FAUCET W/ HOSE BIBB, 20 METERS HOSE 3/4 W/ HOSE CONNECTOR, 5 ROLLS TEPCON TAPE 3/4, 1 CAN NELTEX SOLVENT CEMENT 100CC </v>
      </c>
      <c r="E3318" s="196" t="str">
        <f>IFERROR(__xludf.DUMMYFUNCTION("""COMPUTED_VALUE"""),"FOR TROPICAL WATER SYSTEM ")</f>
        <v>FOR TROPICAL WATER SYSTEM </v>
      </c>
    </row>
    <row r="3319">
      <c r="A3319" s="234">
        <f>IFERROR(__xludf.DUMMYFUNCTION("""COMPUTED_VALUE"""),103610.0)</f>
        <v>103610</v>
      </c>
      <c r="B3319" s="235" t="str">
        <f>IFERROR(__xludf.DUMMYFUNCTION("""COMPUTED_VALUE"""),"OWIE PAR ")</f>
        <v>OWIE PAR </v>
      </c>
      <c r="C3319" s="235" t="str">
        <f>IFERROR(__xludf.DUMMYFUNCTION("""COMPUTED_VALUE"""),"ENGINEERING")</f>
        <v>ENGINEERING</v>
      </c>
      <c r="D3319" s="196" t="str">
        <f>IFERROR(__xludf.DUMMYFUNCTION("""COMPUTED_VALUE"""),"1 SET TOILET BOWL WHITE ")</f>
        <v>1 SET TOILET BOWL WHITE </v>
      </c>
      <c r="E3319" s="196" t="str">
        <f>IFERROR(__xludf.DUMMYFUNCTION("""COMPUTED_VALUE"""),"FOR TROPICAL 3RD FLOOR BOYS CR REPLACEMENT ")</f>
        <v>FOR TROPICAL 3RD FLOOR BOYS CR REPLACEMENT </v>
      </c>
    </row>
    <row r="3320">
      <c r="A3320" s="234">
        <f>IFERROR(__xludf.DUMMYFUNCTION("""COMPUTED_VALUE"""),103611.0)</f>
        <v>103611</v>
      </c>
      <c r="B3320" s="235" t="str">
        <f>IFERROR(__xludf.DUMMYFUNCTION("""COMPUTED_VALUE"""),"ALFA DE LEON")</f>
        <v>ALFA DE LEON</v>
      </c>
      <c r="C3320" s="235" t="str">
        <f>IFERROR(__xludf.DUMMYFUNCTION("""COMPUTED_VALUE"""),"MUNICH")</f>
        <v>MUNICH</v>
      </c>
      <c r="D3320" s="196" t="str">
        <f>IFERROR(__xludf.DUMMYFUNCTION("""COMPUTED_VALUE"""),"LIGHT BLUE
MINT GREEN
YELLOW
PURPLE
PINK
SEMI GLOSS
CHOCOLATE BROWN
SKIN COAT
SANDING PAPER #100
SANDING PAPER#120")</f>
        <v>LIGHT BLUE
MINT GREEN
YELLOW
PURPLE
PINK
SEMI GLOSS
CHOCOLATE BROWN
SKIN COAT
SANDING PAPER #100
SANDING PAPER#120</v>
      </c>
      <c r="E3320" s="196"/>
    </row>
    <row r="3321">
      <c r="A3321" s="234">
        <f>IFERROR(__xludf.DUMMYFUNCTION("""COMPUTED_VALUE"""),103612.0)</f>
        <v>103612</v>
      </c>
      <c r="B3321" s="235" t="str">
        <f>IFERROR(__xludf.DUMMYFUNCTION("""COMPUTED_VALUE"""),"PHEN PETIN")</f>
        <v>PHEN PETIN</v>
      </c>
      <c r="C3321" s="235" t="str">
        <f>IFERROR(__xludf.DUMMYFUNCTION("""COMPUTED_VALUE"""),"ADMIN STAR")</f>
        <v>ADMIN STAR</v>
      </c>
      <c r="D3321" s="196" t="str">
        <f>IFERROR(__xludf.DUMMYFUNCTION("""COMPUTED_VALUE"""),"WATER DISPENSER")</f>
        <v>WATER DISPENSER</v>
      </c>
      <c r="E3321" s="196"/>
    </row>
    <row r="3322">
      <c r="A3322" s="234">
        <f>IFERROR(__xludf.DUMMYFUNCTION("""COMPUTED_VALUE"""),103613.0)</f>
        <v>103613</v>
      </c>
      <c r="B3322" s="235" t="str">
        <f>IFERROR(__xludf.DUMMYFUNCTION("""COMPUTED_VALUE"""),"PHEN PETIN")</f>
        <v>PHEN PETIN</v>
      </c>
      <c r="C3322" s="235" t="str">
        <f>IFERROR(__xludf.DUMMYFUNCTION("""COMPUTED_VALUE"""),"ADMIN STAR")</f>
        <v>ADMIN STAR</v>
      </c>
      <c r="D3322" s="196" t="str">
        <f>IFERROR(__xludf.DUMMYFUNCTION("""COMPUTED_VALUE"""),"ALCOHOL DISPENSER  15")</f>
        <v>ALCOHOL DISPENSER  15</v>
      </c>
      <c r="E3322" s="196" t="str">
        <f>IFERROR(__xludf.DUMMYFUNCTION("""COMPUTED_VALUE"""),"ALCOHOL DISPENSERE FOR STAR REPLACEMEMT OF BROKEN AND ADDITIONAL")</f>
        <v>ALCOHOL DISPENSERE FOR STAR REPLACEMEMT OF BROKEN AND ADDITIONAL</v>
      </c>
    </row>
    <row r="3323">
      <c r="A3323" s="234">
        <f>IFERROR(__xludf.DUMMYFUNCTION("""COMPUTED_VALUE"""),103614.0)</f>
        <v>103614</v>
      </c>
      <c r="B3323" s="235" t="str">
        <f>IFERROR(__xludf.DUMMYFUNCTION("""COMPUTED_VALUE"""),"PHEN PETIN")</f>
        <v>PHEN PETIN</v>
      </c>
      <c r="C3323" s="235" t="str">
        <f>IFERROR(__xludf.DUMMYFUNCTION("""COMPUTED_VALUE"""),"ADMIN STAR")</f>
        <v>ADMIN STAR</v>
      </c>
      <c r="D3323" s="196" t="str">
        <f>IFERROR(__xludf.DUMMYFUNCTION("""COMPUTED_VALUE"""),"PHILIPPINE FLAG 3X5 SIZE
SISC FLAG 3X5 ")</f>
        <v>PHILIPPINE FLAG 3X5 SIZE
SISC FLAG 3X5 </v>
      </c>
      <c r="E3323" s="196" t="str">
        <f>IFERROR(__xludf.DUMMYFUNCTION("""COMPUTED_VALUE"""),"REPLACEMENT OF BROKEN SISC AND PHILIPPINE FLAG")</f>
        <v>REPLACEMENT OF BROKEN SISC AND PHILIPPINE FLAG</v>
      </c>
    </row>
    <row r="3324">
      <c r="A3324" s="234">
        <f>IFERROR(__xludf.DUMMYFUNCTION("""COMPUTED_VALUE"""),103615.0)</f>
        <v>103615</v>
      </c>
      <c r="B3324" s="235" t="str">
        <f>IFERROR(__xludf.DUMMYFUNCTION("""COMPUTED_VALUE"""),"ALFA DE LEON")</f>
        <v>ALFA DE LEON</v>
      </c>
      <c r="C3324" s="235" t="str">
        <f>IFERROR(__xludf.DUMMYFUNCTION("""COMPUTED_VALUE"""),"MUICH")</f>
        <v>MUICH</v>
      </c>
      <c r="D3324" s="196" t="str">
        <f>IFERROR(__xludf.DUMMYFUNCTION("""COMPUTED_VALUE"""),"STOPA/BASAHAN
1 1/2 PAINT BRUSH
7"" ROLLER BRUSH (COTTON)
TRAY PAN
MASKING TAPE")</f>
        <v>STOPA/BASAHAN
1 1/2 PAINT BRUSH
7" ROLLER BRUSH (COTTON)
TRAY PAN
MASKING TAPE</v>
      </c>
      <c r="E3324" s="196" t="str">
        <f>IFERROR(__xludf.DUMMYFUNCTION("""COMPUTED_VALUE"""),"MUNICH REPAINTING")</f>
        <v>MUNICH REPAINTING</v>
      </c>
    </row>
    <row r="3325">
      <c r="A3325" s="234">
        <f>IFERROR(__xludf.DUMMYFUNCTION("""COMPUTED_VALUE"""),103616.0)</f>
        <v>103616</v>
      </c>
      <c r="B3325" s="235" t="str">
        <f>IFERROR(__xludf.DUMMYFUNCTION("""COMPUTED_VALUE"""),"CHRISTIAN ANDRES")</f>
        <v>CHRISTIAN ANDRES</v>
      </c>
      <c r="C3325" s="235" t="str">
        <f>IFERROR(__xludf.DUMMYFUNCTION("""COMPUTED_VALUE"""),"PR")</f>
        <v>PR</v>
      </c>
      <c r="D3325" s="196" t="str">
        <f>IFERROR(__xludf.DUMMYFUNCTION("""COMPUTED_VALUE"""),"RAILING BANNER 4 CMX3.4CM 6 EYELETS ON TOP AN POLE AT THE BOTTOM
T-STAND 4FT X 8FT NO EYELET
PLANT BOX BANNER NO EYELET 6 M X 1.5M")</f>
        <v>RAILING BANNER 4 CMX3.4CM 6 EYELETS ON TOP AN POLE AT THE BOTTOM
T-STAND 4FT X 8FT NO EYELET
PLANT BOX BANNER NO EYELET 6 M X 1.5M</v>
      </c>
      <c r="E3325" s="196" t="str">
        <f>IFERROR(__xludf.DUMMYFUNCTION("""COMPUTED_VALUE"""),"SOUTHVILLE CONGRATULATORY FOR GRADUATES")</f>
        <v>SOUTHVILLE CONGRATULATORY FOR GRADUATES</v>
      </c>
    </row>
    <row r="3326">
      <c r="A3326" s="234">
        <f>IFERROR(__xludf.DUMMYFUNCTION("""COMPUTED_VALUE"""),103617.0)</f>
        <v>103617</v>
      </c>
      <c r="B3326" s="235" t="str">
        <f>IFERROR(__xludf.DUMMYFUNCTION("""COMPUTED_VALUE"""),"PRECIOUS DALUZ")</f>
        <v>PRECIOUS DALUZ</v>
      </c>
      <c r="C3326" s="235" t="str">
        <f>IFERROR(__xludf.DUMMYFUNCTION("""COMPUTED_VALUE"""),"SPECIAL SUBJECTS")</f>
        <v>SPECIAL SUBJECTS</v>
      </c>
      <c r="D3326" s="196" t="str">
        <f>IFERROR(__xludf.DUMMYFUNCTION("""COMPUTED_VALUE"""),"CORK BOARD 24""X36"" W FRAME
MOLTEN DOLFIN REREE WHISTLE
CASIO ELECTRONIC KEBOARD
ELETRONIC KEYBOARD STAND")</f>
        <v>CORK BOARD 24"X36" W FRAME
MOLTEN DOLFIN REREE WHISTLE
CASIO ELECTRONIC KEBOARD
ELETRONIC KEYBOARD STAND</v>
      </c>
      <c r="E3326" s="196">
        <f>IFERROR(__xludf.DUMMYFUNCTION("""COMPUTED_VALUE"""),0.0)</f>
        <v>0</v>
      </c>
    </row>
    <row r="3327">
      <c r="A3327" s="234">
        <f>IFERROR(__xludf.DUMMYFUNCTION("""COMPUTED_VALUE"""),103618.0)</f>
        <v>103618</v>
      </c>
      <c r="B3327" s="235" t="str">
        <f>IFERROR(__xludf.DUMMYFUNCTION("""COMPUTED_VALUE"""),"JAYVEN POBLETE")</f>
        <v>JAYVEN POBLETE</v>
      </c>
      <c r="C3327" s="235" t="str">
        <f>IFERROR(__xludf.DUMMYFUNCTION("""COMPUTED_VALUE"""),"PR MARKETING")</f>
        <v>PR MARKETING</v>
      </c>
      <c r="D3327" s="196" t="str">
        <f>IFERROR(__xludf.DUMMYFUNCTION("""COMPUTED_VALUE"""),"PAPER ORGANIZER")</f>
        <v>PAPER ORGANIZER</v>
      </c>
      <c r="E3327" s="196" t="str">
        <f>IFERROR(__xludf.DUMMYFUNCTION("""COMPUTED_VALUE"""),"OFFICE USE")</f>
        <v>OFFICE USE</v>
      </c>
    </row>
    <row r="3328">
      <c r="A3328" s="234">
        <f>IFERROR(__xludf.DUMMYFUNCTION("""COMPUTED_VALUE"""),103619.0)</f>
        <v>103619</v>
      </c>
      <c r="B3328" s="235" t="str">
        <f>IFERROR(__xludf.DUMMYFUNCTION("""COMPUTED_VALUE"""),"JULIET CATUNGAL")</f>
        <v>JULIET CATUNGAL</v>
      </c>
      <c r="C3328" s="235" t="str">
        <f>IFERROR(__xludf.DUMMYFUNCTION("""COMPUTED_VALUE"""),"CAPS BED")</f>
        <v>CAPS BED</v>
      </c>
      <c r="D3328" s="196" t="str">
        <f>IFERROR(__xludf.DUMMYFUNCTION("""COMPUTED_VALUE"""),"3 HOLE PUNCHER FOR CURRICULUM BINDERS OF ALL 6 COUNCELORS/EQ/ACT TEACHERS")</f>
        <v>3 HOLE PUNCHER FOR CURRICULUM BINDERS OF ALL 6 COUNCELORS/EQ/ACT TEACHERS</v>
      </c>
      <c r="E3328" s="196" t="str">
        <f>IFERROR(__xludf.DUMMYFUNCTION("""COMPUTED_VALUE"""),"FOR PUMCHING THREE HOLE CURRICULUM BINDER")</f>
        <v>FOR PUMCHING THREE HOLE CURRICULUM BINDER</v>
      </c>
    </row>
    <row r="3329">
      <c r="A3329" s="234">
        <f>IFERROR(__xludf.DUMMYFUNCTION("""COMPUTED_VALUE"""),103620.0)</f>
        <v>103620</v>
      </c>
      <c r="B3329" s="235" t="str">
        <f>IFERROR(__xludf.DUMMYFUNCTION("""COMPUTED_VALUE"""),"WILBERT BELTRAN")</f>
        <v>WILBERT BELTRAN</v>
      </c>
      <c r="C3329" s="235" t="str">
        <f>IFERROR(__xludf.DUMMYFUNCTION("""COMPUTED_VALUE"""),"MIS")</f>
        <v>MIS</v>
      </c>
      <c r="D3329" s="196" t="str">
        <f>IFERROR(__xludf.DUMMYFUNCTION("""COMPUTED_VALUE"""),"NETWORK RACK TRAY")</f>
        <v>NETWORK RACK TRAY</v>
      </c>
      <c r="E3329" s="196" t="str">
        <f>IFERROR(__xludf.DUMMYFUNCTION("""COMPUTED_VALUE"""),"FOR INSTALLATION IN STAR CAMPUS")</f>
        <v>FOR INSTALLATION IN STAR CAMPUS</v>
      </c>
    </row>
    <row r="3330">
      <c r="A3330" s="234">
        <f>IFERROR(__xludf.DUMMYFUNCTION("""COMPUTED_VALUE"""),103621.0)</f>
        <v>103621</v>
      </c>
      <c r="B3330" s="235" t="str">
        <f>IFERROR(__xludf.DUMMYFUNCTION("""COMPUTED_VALUE"""),"MELISSA ODONO/MS NESSIE LUMBRES")</f>
        <v>MELISSA ODONO/MS NESSIE LUMBRES</v>
      </c>
      <c r="C3330" s="235" t="str">
        <f>IFERROR(__xludf.DUMMYFUNCTION("""COMPUTED_VALUE"""),"LIBRARY")</f>
        <v>LIBRARY</v>
      </c>
      <c r="D3330" s="196" t="str">
        <f>IFERROR(__xludf.DUMMYFUNCTION("""COMPUTED_VALUE"""),"Al+Me: Big Idea 1 - Perception: How Al Sees the World Paperback - Large Print, June 23, 2020
Al+Me: Big Idea 2 - Representation &amp; Reasoning: How Al
Makes Choices Paperback - July 14, 2020
Al+Me: Big Idea 3 - Machine Learning: How Al Learns
Paperback-J"&amp;"uly 22, 2020
Al+Me: Big Idea 4 - Human-Al Interaction: How We Work
With Al Paperback - September 13, 2020
(for ins
Al+Me: Big Idea 5 - Societal Impact: How Al Can Change the World Paperback - October 13, 2020")</f>
        <v>Al+Me: Big Idea 1 - Perception: How Al Sees the World Paperback - Large Print, June 23, 2020
Al+Me: Big Idea 2 - Representation &amp; Reasoning: How Al
Makes Choices Paperback - July 14, 2020
Al+Me: Big Idea 3 - Machine Learning: How Al Learns
Paperback-July 22, 2020
Al+Me: Big Idea 4 - Human-Al Interaction: How We Work
With Al Paperback - September 13, 2020
(for ins
Al+Me: Big Idea 5 - Societal Impact: How Al Can Change the World Paperback - October 13, 2020</v>
      </c>
      <c r="E3330" s="196" t="str">
        <f>IFERROR(__xludf.DUMMYFUNCTION("""COMPUTED_VALUE"""),"LIBRARY'S COPY/FOR FACULTY USE")</f>
        <v>LIBRARY'S COPY/FOR FACULTY USE</v>
      </c>
    </row>
    <row r="3331">
      <c r="A3331" s="234">
        <f>IFERROR(__xludf.DUMMYFUNCTION("""COMPUTED_VALUE"""),103622.0)</f>
        <v>103622</v>
      </c>
      <c r="B3331" s="235" t="str">
        <f>IFERROR(__xludf.DUMMYFUNCTION("""COMPUTED_VALUE"""),"ISABELO LEOPOLDO")</f>
        <v>ISABELO LEOPOLDO</v>
      </c>
      <c r="C3331" s="235" t="str">
        <f>IFERROR(__xludf.DUMMYFUNCTION("""COMPUTED_VALUE"""),"AV/MIS")</f>
        <v>AV/MIS</v>
      </c>
      <c r="D3331" s="196" t="str">
        <f>IFERROR(__xludf.DUMMYFUNCTION("""COMPUTED_VALUE"""),"BEHRINGER EUROLIVE DIAPITRAGM B115 8 OHM 1.35")</f>
        <v>BEHRINGER EUROLIVE DIAPITRAGM B115 8 OHM 1.35</v>
      </c>
      <c r="E3331" s="196" t="str">
        <f>IFERROR(__xludf.DUMMYFUNCTION("""COMPUTED_VALUE"""),"REPAIR OF SPEAKERS")</f>
        <v>REPAIR OF SPEAKERS</v>
      </c>
    </row>
    <row r="3332">
      <c r="A3332" s="234">
        <f>IFERROR(__xludf.DUMMYFUNCTION("""COMPUTED_VALUE"""),103623.0)</f>
        <v>103623</v>
      </c>
      <c r="B3332" s="235" t="str">
        <f>IFERROR(__xludf.DUMMYFUNCTION("""COMPUTED_VALUE"""),"JESSABEL ARISON")</f>
        <v>JESSABEL ARISON</v>
      </c>
      <c r="C3332" s="235" t="str">
        <f>IFERROR(__xludf.DUMMYFUNCTION("""COMPUTED_VALUE"""),"PURCHASING")</f>
        <v>PURCHASING</v>
      </c>
      <c r="D3332" s="196" t="str">
        <f>IFERROR(__xludf.DUMMYFUNCTION("""COMPUTED_VALUE"""),"MOBILE PREDETRAL 3-DRAWER GRAY")</f>
        <v>MOBILE PREDETRAL 3-DRAWER GRAY</v>
      </c>
      <c r="E3332" s="196" t="str">
        <f>IFERROR(__xludf.DUMMYFUNCTION("""COMPUTED_VALUE"""),"REPLACEMENT OF 3 DRAWER CABINET")</f>
        <v>REPLACEMENT OF 3 DRAWER CABINET</v>
      </c>
    </row>
    <row r="3333">
      <c r="A3333" s="234">
        <f>IFERROR(__xludf.DUMMYFUNCTION("""COMPUTED_VALUE"""),103624.0)</f>
        <v>103624</v>
      </c>
      <c r="B3333" s="235" t="str">
        <f>IFERROR(__xludf.DUMMYFUNCTION("""COMPUTED_VALUE"""),"MELISSA ODONO / NESSIE LUMBRES")</f>
        <v>MELISSA ODONO / NESSIE LUMBRES</v>
      </c>
      <c r="C3333" s="235" t="str">
        <f>IFERROR(__xludf.DUMMYFUNCTION("""COMPUTED_VALUE"""),"LIBRARY")</f>
        <v>LIBRARY</v>
      </c>
      <c r="D3333" s="196" t="str">
        <f>IFERROR(__xludf.DUMMYFUNCTION("""COMPUTED_VALUE"""),"AI+Me:   
      &gt; Big idea 1-Perception: How Al Sees the World Paperback-Large Print, June 23, 2020
      &gt; Big Idea 2-Representation &amp; Reasoning: How Al Makes Choices Paperback-July 14, 2020   
      &gt; Big idea 3-Machine Learning: How Al Learns Paperback"&amp;" JULY 22, 2020
      &gt; Big idea 4-Human-Al interaction: How We Work with Al Paperback-September 13, 2020
      &gt; Big idea 5-Societal Impact: How Al Can Change the Paperback-October 13, 2020")</f>
        <v>AI+Me:   
      &gt; Big idea 1-Perception: How Al Sees the World Paperback-Large Print, June 23, 2020
      &gt; Big Idea 2-Representation &amp; Reasoning: How Al Makes Choices Paperback-July 14, 2020   
      &gt; Big idea 3-Machine Learning: How Al Learns Paperback JULY 22, 2020
      &gt; Big idea 4-Human-Al interaction: How We Work with Al Paperback-September 13, 2020
      &gt; Big idea 5-Societal Impact: How Al Can Change the Paperback-October 13, 2020</v>
      </c>
      <c r="E3333" s="196" t="str">
        <f>IFERROR(__xludf.DUMMYFUNCTION("""COMPUTED_VALUE"""),"LIBRAR'S COPY / FOR FACULTY USE")</f>
        <v>LIBRAR'S COPY / FOR FACULTY USE</v>
      </c>
    </row>
    <row r="3334">
      <c r="A3334" s="234">
        <f>IFERROR(__xludf.DUMMYFUNCTION("""COMPUTED_VALUE"""),103625.0)</f>
        <v>103625</v>
      </c>
      <c r="B3334" s="235" t="str">
        <f>IFERROR(__xludf.DUMMYFUNCTION("""COMPUTED_VALUE"""),"JESSABEL ARISON")</f>
        <v>JESSABEL ARISON</v>
      </c>
      <c r="C3334" s="235" t="str">
        <f>IFERROR(__xludf.DUMMYFUNCTION("""COMPUTED_VALUE"""),"PURCHASING")</f>
        <v>PURCHASING</v>
      </c>
      <c r="D3334" s="196" t="str">
        <f>IFERROR(__xludf.DUMMYFUNCTION("""COMPUTED_VALUE"""),"OFFICE MAGFILE BLACK LONG")</f>
        <v>OFFICE MAGFILE BLACK LONG</v>
      </c>
      <c r="E3334" s="196" t="str">
        <f>IFERROR(__xludf.DUMMYFUNCTION("""COMPUTED_VALUE"""),"FOR PURCHASING OFFICE USE/RECORDIG OF DOCS")</f>
        <v>FOR PURCHASING OFFICE USE/RECORDIG OF DOCS</v>
      </c>
    </row>
    <row r="3335">
      <c r="A3335" s="234">
        <f>IFERROR(__xludf.DUMMYFUNCTION("""COMPUTED_VALUE"""),103626.0)</f>
        <v>103626</v>
      </c>
      <c r="B3335" s="235" t="str">
        <f>IFERROR(__xludf.DUMMYFUNCTION("""COMPUTED_VALUE"""),"PAUL ARANA")</f>
        <v>PAUL ARANA</v>
      </c>
      <c r="C3335" s="235" t="str">
        <f>IFERROR(__xludf.DUMMYFUNCTION("""COMPUTED_VALUE"""),"MIS")</f>
        <v>MIS</v>
      </c>
      <c r="D3335" s="196" t="str">
        <f>IFERROR(__xludf.DUMMYFUNCTION("""COMPUTED_VALUE"""),"PCX GFH GRIFFIN PRO DESKTOP")</f>
        <v>PCX GFH GRIFFIN PRO DESKTOP</v>
      </c>
      <c r="E3335" s="196" t="str">
        <f>IFERROR(__xludf.DUMMYFUNCTION("""COMPUTED_VALUE"""),"FOR HANDLING HXVOLT EVENTS IN LUX HALL")</f>
        <v>FOR HANDLING HXVOLT EVENTS IN LUX HALL</v>
      </c>
    </row>
    <row r="3336">
      <c r="A3336" s="234">
        <f>IFERROR(__xludf.DUMMYFUNCTION("""COMPUTED_VALUE"""),103627.0)</f>
        <v>103627</v>
      </c>
      <c r="B3336" s="235" t="str">
        <f>IFERROR(__xludf.DUMMYFUNCTION("""COMPUTED_VALUE"""),"PHEN PHETIN")</f>
        <v>PHEN PHETIN</v>
      </c>
      <c r="C3336" s="235" t="str">
        <f>IFERROR(__xludf.DUMMYFUNCTION("""COMPUTED_VALUE"""),"ADMIN STAR")</f>
        <v>ADMIN STAR</v>
      </c>
      <c r="D3336" s="196" t="str">
        <f>IFERROR(__xludf.DUMMYFUNCTION("""COMPUTED_VALUE"""),"STRIPSOL
GLAZZING PUTTY")</f>
        <v>STRIPSOL
GLAZZING PUTTY</v>
      </c>
      <c r="E3336" s="196" t="str">
        <f>IFERROR(__xludf.DUMMYFUNCTION("""COMPUTED_VALUE"""),"FOR STRIPPING THE OLD PAINT C FOR STAR CAMPUS")</f>
        <v>FOR STRIPPING THE OLD PAINT C FOR STAR CAMPUS</v>
      </c>
    </row>
    <row r="3337">
      <c r="A3337" s="234">
        <f>IFERROR(__xludf.DUMMYFUNCTION("""COMPUTED_VALUE"""),103628.0)</f>
        <v>103628</v>
      </c>
      <c r="B3337" s="235" t="str">
        <f>IFERROR(__xludf.DUMMYFUNCTION("""COMPUTED_VALUE"""),"CHOY ")</f>
        <v>CHOY </v>
      </c>
      <c r="C3337" s="235" t="str">
        <f>IFERROR(__xludf.DUMMYFUNCTION("""COMPUTED_VALUE"""),"STUDENT AFFAIRS COLLEGE")</f>
        <v>STUDENT AFFAIRS COLLEGE</v>
      </c>
      <c r="D3337" s="196" t="str">
        <f>IFERROR(__xludf.DUMMYFUNCTION("""COMPUTED_VALUE"""),"DEAN'S MERIT MEDAL
HONARABLE MENTION")</f>
        <v>DEAN'S MERIT MEDAL
HONARABLE MENTION</v>
      </c>
      <c r="E3337" s="196" t="str">
        <f>IFERROR(__xludf.DUMMYFUNCTION("""COMPUTED_VALUE"""),"ADDITIONAL MEDALS FOR GRADUATION")</f>
        <v>ADDITIONAL MEDALS FOR GRADUATION</v>
      </c>
    </row>
    <row r="3338">
      <c r="A3338" s="234">
        <f>IFERROR(__xludf.DUMMYFUNCTION("""COMPUTED_VALUE"""),103629.0)</f>
        <v>103629</v>
      </c>
      <c r="B3338" s="235" t="str">
        <f>IFERROR(__xludf.DUMMYFUNCTION("""COMPUTED_VALUE"""),"PRECIOUS DALUZ")</f>
        <v>PRECIOUS DALUZ</v>
      </c>
      <c r="C3338" s="235" t="str">
        <f>IFERROR(__xludf.DUMMYFUNCTION("""COMPUTED_VALUE"""),"SPECIAL PROJECTS")</f>
        <v>SPECIAL PROJECTS</v>
      </c>
      <c r="D3338" s="196" t="str">
        <f>IFERROR(__xludf.DUMMYFUNCTION("""COMPUTED_VALUE"""),"SERVING TRAY
WOODEN JAR SHAPE LAMPSHADE
HEAVY DUTY EXTENSION CORD ASSEMBLY")</f>
        <v>SERVING TRAY
WOODEN JAR SHAPE LAMPSHADE
HEAVY DUTY EXTENSION CORD ASSEMBLY</v>
      </c>
      <c r="E3338" s="196" t="str">
        <f>IFERROR(__xludf.DUMMYFUNCTION("""COMPUTED_VALUE"""),"TECH ARTS MATERIALS FOR AY 23-24")</f>
        <v>TECH ARTS MATERIALS FOR AY 23-24</v>
      </c>
    </row>
    <row r="3339">
      <c r="A3339" s="234">
        <f>IFERROR(__xludf.DUMMYFUNCTION("""COMPUTED_VALUE"""),103630.0)</f>
        <v>103630</v>
      </c>
      <c r="B3339" s="235" t="str">
        <f>IFERROR(__xludf.DUMMYFUNCTION("""COMPUTED_VALUE"""),"LUCILLE BEYER")</f>
        <v>LUCILLE BEYER</v>
      </c>
      <c r="C3339" s="235" t="str">
        <f>IFERROR(__xludf.DUMMYFUNCTION("""COMPUTED_VALUE"""),"MEDICAL")</f>
        <v>MEDICAL</v>
      </c>
      <c r="D3339" s="196" t="str">
        <f>IFERROR(__xludf.DUMMYFUNCTION("""COMPUTED_VALUE"""),"MEDS AND SUPPLIES")</f>
        <v>MEDS AND SUPPLIES</v>
      </c>
      <c r="E3339" s="196" t="str">
        <f>IFERROR(__xludf.DUMMYFUNCTION("""COMPUTED_VALUE"""),"REPLENISHMENT OF CLINICAL MEDS + SUPPLIES FOR 3 CLINICS FOR MONTH OF AUGUST + SEPTEMBER")</f>
        <v>REPLENISHMENT OF CLINICAL MEDS + SUPPLIES FOR 3 CLINICS FOR MONTH OF AUGUST + SEPTEMBER</v>
      </c>
    </row>
    <row r="3340">
      <c r="A3340" s="234">
        <f>IFERROR(__xludf.DUMMYFUNCTION("""COMPUTED_VALUE"""),103631.0)</f>
        <v>103631</v>
      </c>
      <c r="B3340" s="235" t="str">
        <f>IFERROR(__xludf.DUMMYFUNCTION("""COMPUTED_VALUE"""),"JOMEL BUTIAL")</f>
        <v>JOMEL BUTIAL</v>
      </c>
      <c r="C3340" s="235" t="str">
        <f>IFERROR(__xludf.DUMMYFUNCTION("""COMPUTED_VALUE"""),"PR &amp; MARKETING")</f>
        <v>PR &amp; MARKETING</v>
      </c>
      <c r="D3340" s="196" t="str">
        <f>IFERROR(__xludf.DUMMYFUNCTION("""COMPUTED_VALUE"""),"MARIELLE GIANG G MINTU CONGRATULATORY TARP SIZE 72X148""")</f>
        <v>MARIELLE GIANG G MINTU CONGRATULATORY TARP SIZE 72X148"</v>
      </c>
      <c r="E3340" s="196" t="str">
        <f>IFERROR(__xludf.DUMMYFUNCTION("""COMPUTED_VALUE"""),"K12 MARKETING")</f>
        <v>K12 MARKETING</v>
      </c>
    </row>
    <row r="3341">
      <c r="A3341" s="234">
        <f>IFERROR(__xludf.DUMMYFUNCTION("""COMPUTED_VALUE"""),103632.0)</f>
        <v>103632</v>
      </c>
      <c r="B3341" s="235" t="str">
        <f>IFERROR(__xludf.DUMMYFUNCTION("""COMPUTED_VALUE"""),"JOMEL BUTIAL")</f>
        <v>JOMEL BUTIAL</v>
      </c>
      <c r="C3341" s="235" t="str">
        <f>IFERROR(__xludf.DUMMYFUNCTION("""COMPUTED_VALUE"""),"PR &amp; MARKETING")</f>
        <v>PR &amp; MARKETING</v>
      </c>
      <c r="D3341" s="196" t="str">
        <f>IFERROR(__xludf.DUMMYFUNCTION("""COMPUTED_VALUE"""),"1 ROSSETI RZU10Z ELECTRIC COFFE /PERCULATOR 7.0 L")</f>
        <v>1 ROSSETI RZU10Z ELECTRIC COFFE /PERCULATOR 7.0 L</v>
      </c>
      <c r="E3341" s="196" t="str">
        <f>IFERROR(__xludf.DUMMYFUNCTION("""COMPUTED_VALUE"""),"COFFEE FOR THE ENROLLMENT IN LUX")</f>
        <v>COFFEE FOR THE ENROLLMENT IN LUX</v>
      </c>
    </row>
    <row r="3342">
      <c r="A3342" s="234">
        <f>IFERROR(__xludf.DUMMYFUNCTION("""COMPUTED_VALUE"""),103633.0)</f>
        <v>103633</v>
      </c>
      <c r="B3342" s="235" t="str">
        <f>IFERROR(__xludf.DUMMYFUNCTION("""COMPUTED_VALUE"""),"OWIE PAR")</f>
        <v>OWIE PAR</v>
      </c>
      <c r="C3342" s="235" t="str">
        <f>IFERROR(__xludf.DUMMYFUNCTION("""COMPUTED_VALUE"""),"ENGINEERING")</f>
        <v>ENGINEERING</v>
      </c>
      <c r="D3342" s="196" t="str">
        <f>IFERROR(__xludf.DUMMYFUNCTION("""COMPUTED_VALUE"""),"1X4X8 SAS KD")</f>
        <v>1X4X8 SAS KD</v>
      </c>
      <c r="E3342" s="196" t="str">
        <f>IFERROR(__xludf.DUMMYFUNCTION("""COMPUTED_VALUE"""),"FOR COL RM 506 ACTIVITY TABLE REPAIR")</f>
        <v>FOR COL RM 506 ACTIVITY TABLE REPAIR</v>
      </c>
    </row>
    <row r="3343">
      <c r="A3343" s="234">
        <f>IFERROR(__xludf.DUMMYFUNCTION("""COMPUTED_VALUE"""),103634.0)</f>
        <v>103634</v>
      </c>
      <c r="B3343" s="235" t="str">
        <f>IFERROR(__xludf.DUMMYFUNCTION("""COMPUTED_VALUE"""),"OWIE PAR")</f>
        <v>OWIE PAR</v>
      </c>
      <c r="C3343" s="235" t="str">
        <f>IFERROR(__xludf.DUMMYFUNCTION("""COMPUTED_VALUE"""),"ENGINEERING")</f>
        <v>ENGINEERING</v>
      </c>
      <c r="D3343" s="196" t="str">
        <f>IFERROR(__xludf.DUMMYFUNCTION("""COMPUTED_VALUE"""),"ANGLE BAR 1X1X3/15
DRILL BIT 3/16")</f>
        <v>ANGLE BAR 1X1X3/15
DRILL BIT 3/16</v>
      </c>
      <c r="E3343" s="196" t="str">
        <f>IFERROR(__xludf.DUMMYFUNCTION("""COMPUTED_VALUE"""),"FOR REPAIR OF GUTTER IN FOOD COURT")</f>
        <v>FOR REPAIR OF GUTTER IN FOOD COURT</v>
      </c>
    </row>
    <row r="3344">
      <c r="A3344" s="234">
        <f>IFERROR(__xludf.DUMMYFUNCTION("""COMPUTED_VALUE"""),103635.0)</f>
        <v>103635</v>
      </c>
      <c r="B3344" s="235" t="str">
        <f>IFERROR(__xludf.DUMMYFUNCTION("""COMPUTED_VALUE"""),"OWIE PAR")</f>
        <v>OWIE PAR</v>
      </c>
      <c r="C3344" s="235" t="str">
        <f>IFERROR(__xludf.DUMMYFUNCTION("""COMPUTED_VALUE"""),"ENGINEERING")</f>
        <v>ENGINEERING</v>
      </c>
      <c r="D3344" s="196" t="str">
        <f>IFERROR(__xludf.DUMMYFUNCTION("""COMPUTED_VALUE"""),"GI CORRIGATED SHEET#8 GUAGE 24
C - PURLINS #2X4 2.0
TECH SCREW #2 METAL
VULCA SEAL
FABRICATED GUTTER BEIGE
FABRICATED GUTTER BEIBE")</f>
        <v>GI CORRIGATED SHEET#8 GUAGE 24
C - PURLINS #2X4 2.0
TECH SCREW #2 METAL
VULCA SEAL
FABRICATED GUTTER BEIGE
FABRICATED GUTTER BEIBE</v>
      </c>
      <c r="E3344" s="196" t="str">
        <f>IFERROR(__xludf.DUMMYFUNCTION("""COMPUTED_VALUE"""),"ACCOUNTING DEPT STORAGE AT THE BACK")</f>
        <v>ACCOUNTING DEPT STORAGE AT THE BACK</v>
      </c>
    </row>
    <row r="3345">
      <c r="A3345" s="234">
        <f>IFERROR(__xludf.DUMMYFUNCTION("""COMPUTED_VALUE"""),103636.0)</f>
        <v>103636</v>
      </c>
      <c r="B3345" s="235" t="str">
        <f>IFERROR(__xludf.DUMMYFUNCTION("""COMPUTED_VALUE"""),"OWIE PAR/PHEN PETIN")</f>
        <v>OWIE PAR/PHEN PETIN</v>
      </c>
      <c r="C3345" s="235" t="str">
        <f>IFERROR(__xludf.DUMMYFUNCTION("""COMPUTED_VALUE"""),"ENGINEERING")</f>
        <v>ENGINEERING</v>
      </c>
      <c r="D3345" s="196" t="str">
        <f>IFERROR(__xludf.DUMMYFUNCTION("""COMPUTED_VALUE"""),"KEY TELEPHONE APARATUS")</f>
        <v>KEY TELEPHONE APARATUS</v>
      </c>
      <c r="E3345" s="196" t="str">
        <f>IFERROR(__xludf.DUMMYFUNCTION("""COMPUTED_VALUE"""),"REPLACEMENT OF OLD UNIT FOR STAR CAMPUS")</f>
        <v>REPLACEMENT OF OLD UNIT FOR STAR CAMPUS</v>
      </c>
    </row>
    <row r="3346">
      <c r="A3346" s="234">
        <f>IFERROR(__xludf.DUMMYFUNCTION("""COMPUTED_VALUE"""),103637.0)</f>
        <v>103637</v>
      </c>
      <c r="B3346" s="235" t="str">
        <f>IFERROR(__xludf.DUMMYFUNCTION("""COMPUTED_VALUE"""),"PHEN PETIN")</f>
        <v>PHEN PETIN</v>
      </c>
      <c r="C3346" s="235" t="str">
        <f>IFERROR(__xludf.DUMMYFUNCTION("""COMPUTED_VALUE"""),"ADMIN - STAR")</f>
        <v>ADMIN - STAR</v>
      </c>
      <c r="D3346" s="196" t="str">
        <f>IFERROR(__xludf.DUMMYFUNCTION("""COMPUTED_VALUE"""),"PAINT TONNER
WHITE ENAMEL
HI - GLASS THINNER POLLY GLASS
FLAZZOLAX WHITE PUTTY
ENAMEL TYPE
    GREEN
    YELLOW
    BLUE
    CHOCOLATE BROWN ENAMEL , ENAMEL - Yellow Ocre, Brown sienna, brown umber, roller handle, timba black, mixing plate, paint brush #"&amp;"2, #1, #1/2, Spatula, Paleta, roller brush (rug) small, roller brush foam, roller brush rug big, semi gloss white, chocolate brown latex, hanza yellow, taloudine Red, raw sienna, lamp black, burnt sienna, dark green, flat white (permacoat) liha #120, liha"&amp;" #400")</f>
        <v>PAINT TONNER
WHITE ENAMEL
HI - GLASS THINNER POLLY GLASS
FLAZZOLAX WHITE PUTTY
ENAMEL TYPE
    GREEN
    YELLOW
    BLUE
    CHOCOLATE BROWN ENAMEL , ENAMEL - Yellow Ocre, Brown sienna, brown umber, roller handle, timba black, mixing plate, paint brush #2, #1, #1/2, Spatula, Paleta, roller brush (rug) small, roller brush foam, roller brush rug big, semi gloss white, chocolate brown latex, hanza yellow, taloudine Red, raw sienna, lamp black, burnt sienna, dark green, flat white (permacoat) liha #120, liha #400</v>
      </c>
      <c r="E3346" s="196" t="str">
        <f>IFERROR(__xludf.DUMMYFUNCTION("""COMPUTED_VALUE"""),"ADDITIONAL REPAINTING MATERIALS FOR STAR")</f>
        <v>ADDITIONAL REPAINTING MATERIALS FOR STAR</v>
      </c>
    </row>
    <row r="3347">
      <c r="A3347" s="234">
        <f>IFERROR(__xludf.DUMMYFUNCTION("""COMPUTED_VALUE"""),103638.0)</f>
        <v>103638</v>
      </c>
      <c r="B3347" s="235" t="str">
        <f>IFERROR(__xludf.DUMMYFUNCTION("""COMPUTED_VALUE"""),"MELISSA ODONO")</f>
        <v>MELISSA ODONO</v>
      </c>
      <c r="C3347" s="235" t="str">
        <f>IFERROR(__xludf.DUMMYFUNCTION("""COMPUTED_VALUE"""),"LIBRARY")</f>
        <v>LIBRARY</v>
      </c>
      <c r="D3347" s="196" t="str">
        <f>IFERROR(__xludf.DUMMYFUNCTION("""COMPUTED_VALUE"""),"Oxford Resources for IB DP Chemistry: Course Book 
Oxford Resources for IB DP Biology Course Book 1st Edition
Oxford Resources for IB DP Physics: Course Book (Oxford Resources for IB DP Physics) 1st Edition")</f>
        <v>Oxford Resources for IB DP Chemistry: Course Book 
Oxford Resources for IB DP Biology Course Book 1st Edition
Oxford Resources for IB DP Physics: Course Book (Oxford Resources for IB DP Physics) 1st Edition</v>
      </c>
      <c r="E3347" s="196" t="str">
        <f>IFERROR(__xludf.DUMMYFUNCTION("""COMPUTED_VALUE"""),"LIBRARY'S COPY/FOR FACULTY USE")</f>
        <v>LIBRARY'S COPY/FOR FACULTY USE</v>
      </c>
    </row>
    <row r="3348">
      <c r="A3348" s="234">
        <f>IFERROR(__xludf.DUMMYFUNCTION("""COMPUTED_VALUE"""),103639.0)</f>
        <v>103639</v>
      </c>
      <c r="B3348" s="235" t="str">
        <f>IFERROR(__xludf.DUMMYFUNCTION("""COMPUTED_VALUE"""),"PRECIOUS DALUZ")</f>
        <v>PRECIOUS DALUZ</v>
      </c>
      <c r="C3348" s="235" t="str">
        <f>IFERROR(__xludf.DUMMYFUNCTION("""COMPUTED_VALUE"""),"SPECIAL SUBJECTS")</f>
        <v>SPECIAL SUBJECTS</v>
      </c>
      <c r="D3348" s="196" t="str">
        <f>IFERROR(__xludf.DUMMYFUNCTION("""COMPUTED_VALUE"""),"15 PCS. ARNIS STICKS WITH CASE")</f>
        <v>15 PCS. ARNIS STICKS WITH CASE</v>
      </c>
      <c r="E3348" s="196" t="str">
        <f>IFERROR(__xludf.DUMMYFUNCTION("""COMPUTED_VALUE"""),"FOR GRADE 12 PE ELECTIVE")</f>
        <v>FOR GRADE 12 PE ELECTIVE</v>
      </c>
    </row>
    <row r="3349">
      <c r="A3349" s="234">
        <f>IFERROR(__xludf.DUMMYFUNCTION("""COMPUTED_VALUE"""),103640.0)</f>
        <v>103640</v>
      </c>
      <c r="B3349" s="235" t="str">
        <f>IFERROR(__xludf.DUMMYFUNCTION("""COMPUTED_VALUE"""),"SHEREE ESPINOSA")</f>
        <v>SHEREE ESPINOSA</v>
      </c>
      <c r="C3349" s="235" t="str">
        <f>IFERROR(__xludf.DUMMYFUNCTION("""COMPUTED_VALUE"""),"ADMIN")</f>
        <v>ADMIN</v>
      </c>
      <c r="D3349" s="196" t="str">
        <f>IFERROR(__xludf.DUMMYFUNCTION("""COMPUTED_VALUE"""),"VANILLA ICE (BOYSEN)
SEMI GLOSS
FLAT LETEX
SPANISH RED (ROOF GUARD)
CHOCOLATE BROWN (ROOF GUARD)
ROLLER #8
PAINT ROLLER #2, SANDING PAPER #120, RAGS")</f>
        <v>VANILLA ICE (BOYSEN)
SEMI GLOSS
FLAT LETEX
SPANISH RED (ROOF GUARD)
CHOCOLATE BROWN (ROOF GUARD)
ROLLER #8
PAINT ROLLER #2, SANDING PAPER #120, RAGS</v>
      </c>
      <c r="E3349" s="196" t="str">
        <f>IFERROR(__xludf.DUMMYFUNCTION("""COMPUTED_VALUE"""),"ADDITIONAL MATERIALS FOR LUX BUILDING REPAINTING")</f>
        <v>ADDITIONAL MATERIALS FOR LUX BUILDING REPAINTING</v>
      </c>
    </row>
    <row r="3350">
      <c r="A3350" s="234">
        <f>IFERROR(__xludf.DUMMYFUNCTION("""COMPUTED_VALUE"""),103641.0)</f>
        <v>103641</v>
      </c>
      <c r="B3350" s="235" t="str">
        <f>IFERROR(__xludf.DUMMYFUNCTION("""COMPUTED_VALUE"""),"SHEREE ESPINOSA")</f>
        <v>SHEREE ESPINOSA</v>
      </c>
      <c r="C3350" s="235" t="str">
        <f>IFERROR(__xludf.DUMMYFUNCTION("""COMPUTED_VALUE"""),"ADMIN")</f>
        <v>ADMIN</v>
      </c>
      <c r="D3350" s="196" t="str">
        <f>IFERROR(__xludf.DUMMYFUNCTION("""COMPUTED_VALUE"""),"26 ALCOHOL DISPENSER ")</f>
        <v>26 ALCOHOL DISPENSER </v>
      </c>
      <c r="E3350" s="196" t="str">
        <f>IFERROR(__xludf.DUMMYFUNCTION("""COMPUTED_VALUE"""),"FOR THE PREPARATION OF CLASSES FOR AY 23-24 (REPLACEMENT OF THE BROKEN UNIT) ")</f>
        <v>FOR THE PREPARATION OF CLASSES FOR AY 23-24 (REPLACEMENT OF THE BROKEN UNIT) </v>
      </c>
    </row>
    <row r="3351">
      <c r="A3351" s="234">
        <f>IFERROR(__xludf.DUMMYFUNCTION("""COMPUTED_VALUE"""),103642.0)</f>
        <v>103642</v>
      </c>
      <c r="B3351" s="235" t="str">
        <f>IFERROR(__xludf.DUMMYFUNCTION("""COMPUTED_VALUE"""),"OWIE PAR ")</f>
        <v>OWIE PAR </v>
      </c>
      <c r="C3351" s="235" t="str">
        <f>IFERROR(__xludf.DUMMYFUNCTION("""COMPUTED_VALUE"""),"ADMIN")</f>
        <v>ADMIN</v>
      </c>
      <c r="D3351" s="196" t="str">
        <f>IFERROR(__xludf.DUMMYFUNCTION("""COMPUTED_VALUE"""),"FAST DRY ENAMEL (MAPLE), QDE WHITE, PAINT THINNER, SANDING PAPER #120, PAINT ROLLER #4 (FOAM) PLITUFF WITH HARDENER, PAINT BRUSH  #1""")</f>
        <v>FAST DRY ENAMEL (MAPLE), QDE WHITE, PAINT THINNER, SANDING PAPER #120, PAINT ROLLER #4 (FOAM) PLITUFF WITH HARDENER, PAINT BRUSH  #1"</v>
      </c>
      <c r="E3351" s="196" t="str">
        <f>IFERROR(__xludf.DUMMYFUNCTION("""COMPUTED_VALUE"""),"MATERIALS FOR JO 0723-0127, 0723-0128")</f>
        <v>MATERIALS FOR JO 0723-0127, 0723-0128</v>
      </c>
    </row>
    <row r="3352">
      <c r="A3352" s="234">
        <f>IFERROR(__xludf.DUMMYFUNCTION("""COMPUTED_VALUE"""),103643.0)</f>
        <v>103643</v>
      </c>
      <c r="B3352" s="235" t="str">
        <f>IFERROR(__xludf.DUMMYFUNCTION("""COMPUTED_VALUE"""),"JESUIT CHRISTIAN GALICIA")</f>
        <v>JESUIT CHRISTIAN GALICIA</v>
      </c>
      <c r="C3352" s="235" t="str">
        <f>IFERROR(__xludf.DUMMYFUNCTION("""COMPUTED_VALUE"""),"AMD")</f>
        <v>AMD</v>
      </c>
      <c r="D3352" s="196" t="str">
        <f>IFERROR(__xludf.DUMMYFUNCTION("""COMPUTED_VALUE"""),"STARFILE MAGAZINE RACK 6 PCS
STARFILE MAGAZINE RACK DOUBLE 2 PCS
METAL MESH WALL- MOUNTED RACK OFFICE DESK 5 LAYER INTERVAL ARCHIVE FILE MAGAZINE")</f>
        <v>STARFILE MAGAZINE RACK 6 PCS
STARFILE MAGAZINE RACK DOUBLE 2 PCS
METAL MESH WALL- MOUNTED RACK OFFICE DESK 5 LAYER INTERVAL ARCHIVE FILE MAGAZINE</v>
      </c>
      <c r="E3352" s="196" t="str">
        <f>IFERROR(__xludf.DUMMYFUNCTION("""COMPUTED_VALUE"""),"FILE ORGANIZER FOR DOCUMENTS")</f>
        <v>FILE ORGANIZER FOR DOCUMENTS</v>
      </c>
    </row>
    <row r="3353">
      <c r="A3353" s="234">
        <f>IFERROR(__xludf.DUMMYFUNCTION("""COMPUTED_VALUE"""),103644.0)</f>
        <v>103644</v>
      </c>
      <c r="B3353" s="235" t="str">
        <f>IFERROR(__xludf.DUMMYFUNCTION("""COMPUTED_VALUE"""),"WILBERT BELTRAN")</f>
        <v>WILBERT BELTRAN</v>
      </c>
      <c r="C3353" s="235" t="str">
        <f>IFERROR(__xludf.DUMMYFUNCTION("""COMPUTED_VALUE"""),"MIS/ICT")</f>
        <v>MIS/ICT</v>
      </c>
      <c r="D3353" s="196" t="str">
        <f>IFERROR(__xludf.DUMMYFUNCTION("""COMPUTED_VALUE"""),"CISCO SWITCH C9200-24T-46-E")</f>
        <v>CISCO SWITCH C9200-24T-46-E</v>
      </c>
      <c r="E3353" s="196" t="str">
        <f>IFERROR(__xludf.DUMMYFUNCTION("""COMPUTED_VALUE"""),"CORE SWITCH UPGRADE")</f>
        <v>CORE SWITCH UPGRADE</v>
      </c>
    </row>
    <row r="3354">
      <c r="A3354" s="234">
        <f>IFERROR(__xludf.DUMMYFUNCTION("""COMPUTED_VALUE"""),103645.0)</f>
        <v>103645</v>
      </c>
      <c r="B3354" s="235" t="str">
        <f>IFERROR(__xludf.DUMMYFUNCTION("""COMPUTED_VALUE"""),"CHRISTIAN GALICIA")</f>
        <v>CHRISTIAN GALICIA</v>
      </c>
      <c r="C3354" s="235" t="str">
        <f>IFERROR(__xludf.DUMMYFUNCTION("""COMPUTED_VALUE"""),"AMD")</f>
        <v>AMD</v>
      </c>
      <c r="D3354" s="196" t="str">
        <f>IFERROR(__xludf.DUMMYFUNCTION("""COMPUTED_VALUE"""),"ACCOUNTING MODULE FOR GRADE 8 (COLOR PRINT &amp; RINGBIND)")</f>
        <v>ACCOUNTING MODULE FOR GRADE 8 (COLOR PRINT &amp; RINGBIND)</v>
      </c>
      <c r="E3354" s="196" t="str">
        <f>IFERROR(__xludf.DUMMYFUNCTION("""COMPUTED_VALUE"""),"ADDITIONAL LEARNING MATERIALS FOR GRADE 8 STUDENTS ")</f>
        <v>ADDITIONAL LEARNING MATERIALS FOR GRADE 8 STUDENTS </v>
      </c>
    </row>
    <row r="3355">
      <c r="A3355" s="234">
        <f>IFERROR(__xludf.DUMMYFUNCTION("""COMPUTED_VALUE"""),103646.0)</f>
        <v>103646</v>
      </c>
      <c r="B3355" s="235" t="str">
        <f>IFERROR(__xludf.DUMMYFUNCTION("""COMPUTED_VALUE"""),"OWIE PAR")</f>
        <v>OWIE PAR</v>
      </c>
      <c r="C3355" s="235" t="str">
        <f>IFERROR(__xludf.DUMMYFUNCTION("""COMPUTED_VALUE"""),"ENGINEERING")</f>
        <v>ENGINEERING</v>
      </c>
      <c r="D3355" s="196" t="str">
        <f>IFERROR(__xludf.DUMMYFUNCTION("""COMPUTED_VALUE"""),"DOOR CURTAIN
CURTAIN ROD 1/2
OVAL ROD END SUPPORT
TOX SCREW #6")</f>
        <v>DOOR CURTAIN
CURTAIN ROD 1/2
OVAL ROD END SUPPORT
TOX SCREW #6</v>
      </c>
      <c r="E3355" s="196" t="str">
        <f>IFERROR(__xludf.DUMMYFUNCTION("""COMPUTED_VALUE"""),"FOR CLINIC TRATMENT ROM JO#0823-0001")</f>
        <v>FOR CLINIC TRATMENT ROM JO#0823-0001</v>
      </c>
    </row>
    <row r="3356">
      <c r="A3356" s="234">
        <f>IFERROR(__xludf.DUMMYFUNCTION("""COMPUTED_VALUE"""),103647.0)</f>
        <v>103647</v>
      </c>
      <c r="B3356" s="235" t="str">
        <f>IFERROR(__xludf.DUMMYFUNCTION("""COMPUTED_VALUE"""),"PHEN PETIN")</f>
        <v>PHEN PETIN</v>
      </c>
      <c r="C3356" s="235" t="str">
        <f>IFERROR(__xludf.DUMMYFUNCTION("""COMPUTED_VALUE"""),"ADMIN")</f>
        <v>ADMIN</v>
      </c>
      <c r="D3356" s="196" t="str">
        <f>IFERROR(__xludf.DUMMYFUNCTION("""COMPUTED_VALUE"""),"ACOUSTIC BOARD FOR THE FF CAMPUS:
STAR 
MUNICH
LUX
TROPICAL
COLLEGE")</f>
        <v>ACOUSTIC BOARD FOR THE FF CAMPUS:
STAR 
MUNICH
LUX
TROPICAL
COLLEGE</v>
      </c>
      <c r="E3356" s="196" t="str">
        <f>IFERROR(__xludf.DUMMYFUNCTION("""COMPUTED_VALUE"""),"REPLACE BROKEN ACOUSTIC BOARD FOR CAMPUS:
STAR 
MUNICH
LUX
TROPICAL
COLLEGE""")</f>
        <v>REPLACE BROKEN ACOUSTIC BOARD FOR CAMPUS:
STAR 
MUNICH
LUX
TROPICAL
COLLEGE"</v>
      </c>
    </row>
    <row r="3357">
      <c r="A3357" s="234">
        <f>IFERROR(__xludf.DUMMYFUNCTION("""COMPUTED_VALUE"""),103648.0)</f>
        <v>103648</v>
      </c>
      <c r="B3357" s="235" t="str">
        <f>IFERROR(__xludf.DUMMYFUNCTION("""COMPUTED_VALUE"""),"OWIE PAR")</f>
        <v>OWIE PAR</v>
      </c>
      <c r="C3357" s="235" t="str">
        <f>IFERROR(__xludf.DUMMYFUNCTION("""COMPUTED_VALUE"""),"ENGINEERING")</f>
        <v>ENGINEERING</v>
      </c>
      <c r="D3357" s="196" t="str">
        <f>IFERROR(__xludf.DUMMYFUNCTION("""COMPUTED_VALUE"""),"PLYWOOD 3/4X4X8
PORMICA
RUGBY")</f>
        <v>PLYWOOD 3/4X4X8
PORMICA
RUGBY</v>
      </c>
      <c r="E3357" s="196" t="str">
        <f>IFERROR(__xludf.DUMMYFUNCTION("""COMPUTED_VALUE"""),"FOR GROUND FLOOR CONFERENCE TABLE")</f>
        <v>FOR GROUND FLOOR CONFERENCE TABLE</v>
      </c>
    </row>
    <row r="3358">
      <c r="A3358" s="234">
        <f>IFERROR(__xludf.DUMMYFUNCTION("""COMPUTED_VALUE"""),103649.0)</f>
        <v>103649</v>
      </c>
      <c r="B3358" s="235" t="str">
        <f>IFERROR(__xludf.DUMMYFUNCTION("""COMPUTED_VALUE"""),"OWIE PAR")</f>
        <v>OWIE PAR</v>
      </c>
      <c r="C3358" s="235" t="str">
        <f>IFERROR(__xludf.DUMMYFUNCTION("""COMPUTED_VALUE"""),"ENGINEERING")</f>
        <v>ENGINEERING</v>
      </c>
      <c r="D3358" s="196" t="str">
        <f>IFERROR(__xludf.DUMMYFUNCTION("""COMPUTED_VALUE"""),"1X2X8 S4S KD 
FINISHING NAILS # 2
STIKWEL")</f>
        <v>1X2X8 S4S KD 
FINISHING NAILS # 2
STIKWEL</v>
      </c>
      <c r="E3358" s="196" t="str">
        <f>IFERROR(__xludf.DUMMYFUNCTION("""COMPUTED_VALUE"""),"FOR JO # 0823-0034,0036")</f>
        <v>FOR JO # 0823-0034,0036</v>
      </c>
    </row>
    <row r="3359">
      <c r="A3359" s="234">
        <f>IFERROR(__xludf.DUMMYFUNCTION("""COMPUTED_VALUE"""),103650.0)</f>
        <v>103650</v>
      </c>
      <c r="B3359" s="235" t="str">
        <f>IFERROR(__xludf.DUMMYFUNCTION("""COMPUTED_VALUE"""),"PHEN PETIN")</f>
        <v>PHEN PETIN</v>
      </c>
      <c r="C3359" s="235" t="str">
        <f>IFERROR(__xludf.DUMMYFUNCTION("""COMPUTED_VALUE"""),"ADMIN - STAR")</f>
        <v>ADMIN - STAR</v>
      </c>
      <c r="D3359" s="196" t="str">
        <f>IFERROR(__xludf.DUMMYFUNCTION("""COMPUTED_VALUE"""),"SEMI GLOSS
FLAT LATEX")</f>
        <v>SEMI GLOSS
FLAT LATEX</v>
      </c>
      <c r="E3359" s="196" t="str">
        <f>IFERROR(__xludf.DUMMYFUNCTION("""COMPUTED_VALUE"""),"ADDITIONAL PRINTING MATERIALS")</f>
        <v>ADDITIONAL PRINTING MATERIALS</v>
      </c>
    </row>
    <row r="3360">
      <c r="A3360" s="234">
        <f>IFERROR(__xludf.DUMMYFUNCTION("""COMPUTED_VALUE"""),103651.0)</f>
        <v>103651</v>
      </c>
      <c r="B3360" s="235" t="str">
        <f>IFERROR(__xludf.DUMMYFUNCTION("""COMPUTED_VALUE"""),"PHEN PETIN/ OWIE PAR")</f>
        <v>PHEN PETIN/ OWIE PAR</v>
      </c>
      <c r="C3360" s="235" t="str">
        <f>IFERROR(__xludf.DUMMYFUNCTION("""COMPUTED_VALUE"""),"ADMIN - STAR")</f>
        <v>ADMIN - STAR</v>
      </c>
      <c r="D3360" s="196" t="str">
        <f>IFERROR(__xludf.DUMMYFUNCTION("""COMPUTED_VALUE"""),"PLYWOOD 1/4X4X8
S4S KD 1X2X8
CONCRETE NAIL#1/2
POLY TUFF")</f>
        <v>PLYWOOD 1/4X4X8
S4S KD 1X2X8
CONCRETE NAIL#1/2
POLY TUFF</v>
      </c>
      <c r="E3360" s="196" t="str">
        <f>IFERROR(__xludf.DUMMYFUNCTION("""COMPUTED_VALUE"""),"ADDITIONAL PRINTING MATERIALS")</f>
        <v>ADDITIONAL PRINTING MATERIALS</v>
      </c>
    </row>
    <row r="3361">
      <c r="A3361" s="234">
        <f>IFERROR(__xludf.DUMMYFUNCTION("""COMPUTED_VALUE"""),103652.0)</f>
        <v>103652</v>
      </c>
      <c r="B3361" s="235" t="str">
        <f>IFERROR(__xludf.DUMMYFUNCTION("""COMPUTED_VALUE"""),"SHEREE ESPINOSA ")</f>
        <v>SHEREE ESPINOSA </v>
      </c>
      <c r="C3361" s="235" t="str">
        <f>IFERROR(__xludf.DUMMYFUNCTION("""COMPUTED_VALUE"""),"ADMIN ")</f>
        <v>ADMIN </v>
      </c>
      <c r="D3361" s="196" t="str">
        <f>IFERROR(__xludf.DUMMYFUNCTION("""COMPUTED_VALUE"""),"SOFA COVER")</f>
        <v>SOFA COVER</v>
      </c>
      <c r="E3361" s="196" t="str">
        <f>IFERROR(__xludf.DUMMYFUNCTION("""COMPUTED_VALUE"""),"FOR IB LOUNGE")</f>
        <v>FOR IB LOUNGE</v>
      </c>
    </row>
    <row r="3362">
      <c r="A3362" s="234">
        <f>IFERROR(__xludf.DUMMYFUNCTION("""COMPUTED_VALUE"""),103653.0)</f>
        <v>103653</v>
      </c>
      <c r="B3362" s="235" t="str">
        <f>IFERROR(__xludf.DUMMYFUNCTION("""COMPUTED_VALUE"""),"BRIAN PATAG")</f>
        <v>BRIAN PATAG</v>
      </c>
      <c r="C3362" s="235" t="str">
        <f>IFERROR(__xludf.DUMMYFUNCTION("""COMPUTED_VALUE"""),"AMD")</f>
        <v>AMD</v>
      </c>
      <c r="D3362" s="196" t="str">
        <f>IFERROR(__xludf.DUMMYFUNCTION("""COMPUTED_VALUE"""),"FLO SOFT DISPENSER
ARIEL WASHING DETERGENT POWDER
TRASH BAG MEDIUM 22X24"" CLEAR
TRASH BAG XL CLEAR
TRASH BAG XXL CLEAR, CHLORINE 1 KG PER PACK")</f>
        <v>FLO SOFT DISPENSER
ARIEL WASHING DETERGENT POWDER
TRASH BAG MEDIUM 22X24" CLEAR
TRASH BAG XL CLEAR
TRASH BAG XXL CLEAR, CHLORINE 1 KG PER PACK</v>
      </c>
      <c r="E3362" s="196" t="str">
        <f>IFERROR(__xludf.DUMMYFUNCTION("""COMPUTED_VALUE"""),"FOR REPLENISHMENT OF HSKPG STOCK AUG 2023")</f>
        <v>FOR REPLENISHMENT OF HSKPG STOCK AUG 2023</v>
      </c>
    </row>
    <row r="3363">
      <c r="A3363" s="234">
        <f>IFERROR(__xludf.DUMMYFUNCTION("""COMPUTED_VALUE"""),103654.0)</f>
        <v>103654</v>
      </c>
      <c r="B3363" s="235" t="str">
        <f>IFERROR(__xludf.DUMMYFUNCTION("""COMPUTED_VALUE"""),"BRIAN PATAG")</f>
        <v>BRIAN PATAG</v>
      </c>
      <c r="C3363" s="235" t="str">
        <f>IFERROR(__xludf.DUMMYFUNCTION("""COMPUTED_VALUE"""),"AMD")</f>
        <v>AMD</v>
      </c>
      <c r="D3363" s="196" t="str">
        <f>IFERROR(__xludf.DUMMYFUNCTION("""COMPUTED_VALUE"""),"STRIPPOL SUPER FLOOR WAX STRIPPER
GLOW FURNITURE CLEANER AND POLISH
ECOLUTION DISINFECTANT
DOWNY FABRIC CONDITIONER
SOFT BROOM
STICK BROOM
STRIPPER PAD BLACK 3M
STRIPPER PAD RED 3M
SPATULA SMALL
METAL POLISH")</f>
        <v>STRIPPOL SUPER FLOOR WAX STRIPPER
GLOW FURNITURE CLEANER AND POLISH
ECOLUTION DISINFECTANT
DOWNY FABRIC CONDITIONER
SOFT BROOM
STICK BROOM
STRIPPER PAD BLACK 3M
STRIPPER PAD RED 3M
SPATULA SMALL
METAL POLISH</v>
      </c>
      <c r="E3363" s="196" t="str">
        <f>IFERROR(__xludf.DUMMYFUNCTION("""COMPUTED_VALUE"""),"FOR REPLENISHMENT OF HSKPG STOCK AUG 2023")</f>
        <v>FOR REPLENISHMENT OF HSKPG STOCK AUG 2023</v>
      </c>
    </row>
    <row r="3364">
      <c r="A3364" s="234">
        <f>IFERROR(__xludf.DUMMYFUNCTION("""COMPUTED_VALUE"""),103655.0)</f>
        <v>103655</v>
      </c>
      <c r="B3364" s="235" t="str">
        <f>IFERROR(__xludf.DUMMYFUNCTION("""COMPUTED_VALUE"""),"MELISSA ODONO/CARMEL VILLEGAS")</f>
        <v>MELISSA ODONO/CARMEL VILLEGAS</v>
      </c>
      <c r="C3364" s="235" t="str">
        <f>IFERROR(__xludf.DUMMYFUNCTION("""COMPUTED_VALUE"""),"LIBRARY")</f>
        <v>LIBRARY</v>
      </c>
      <c r="D3364" s="196" t="str">
        <f>IFERROR(__xludf.DUMMYFUNCTION("""COMPUTED_VALUE"""),"NEXT GEN NCLEX
SAUNDERS COMPREHENSIVE REVIEWER")</f>
        <v>NEXT GEN NCLEX
SAUNDERS COMPREHENSIVE REVIEWER</v>
      </c>
      <c r="E3364" s="196" t="str">
        <f>IFERROR(__xludf.DUMMYFUNCTION("""COMPUTED_VALUE"""),"FOR LIBRARY'S COPY AND FACULTY USE / PACUCOA COMPLIANCE")</f>
        <v>FOR LIBRARY'S COPY AND FACULTY USE / PACUCOA COMPLIANCE</v>
      </c>
    </row>
    <row r="3365">
      <c r="A3365" s="234">
        <f>IFERROR(__xludf.DUMMYFUNCTION("""COMPUTED_VALUE"""),103656.0)</f>
        <v>103656</v>
      </c>
      <c r="B3365" s="235" t="str">
        <f>IFERROR(__xludf.DUMMYFUNCTION("""COMPUTED_VALUE"""),"CHARLES DONOR")</f>
        <v>CHARLES DONOR</v>
      </c>
      <c r="C3365" s="235" t="str">
        <f>IFERROR(__xludf.DUMMYFUNCTION("""COMPUTED_VALUE"""),"AMD")</f>
        <v>AMD</v>
      </c>
      <c r="D3365" s="196" t="str">
        <f>IFERROR(__xludf.DUMMYFUNCTION("""COMPUTED_VALUE"""),"ENVELOPE EXPANDING PLASTIC-LONG, ADVENTURER, FRAME, CERTIFICATE ORDINARY BROWN 8.5 X 11")</f>
        <v>ENVELOPE EXPANDING PLASTIC-LONG, ADVENTURER, FRAME, CERTIFICATE ORDINARY BROWN 8.5 X 11</v>
      </c>
      <c r="E3365" s="196" t="str">
        <f>IFERROR(__xludf.DUMMYFUNCTION("""COMPUTED_VALUE"""),"STOCK REPLENISHMENT")</f>
        <v>STOCK REPLENISHMENT</v>
      </c>
    </row>
    <row r="3366">
      <c r="A3366" s="234">
        <f>IFERROR(__xludf.DUMMYFUNCTION("""COMPUTED_VALUE"""),103657.0)</f>
        <v>103657</v>
      </c>
      <c r="B3366" s="235" t="str">
        <f>IFERROR(__xludf.DUMMYFUNCTION("""COMPUTED_VALUE"""),"CARLITO DELA VEGA")</f>
        <v>CARLITO DELA VEGA</v>
      </c>
      <c r="C3366" s="235" t="str">
        <f>IFERROR(__xludf.DUMMYFUNCTION("""COMPUTED_VALUE"""),"SECURITY")</f>
        <v>SECURITY</v>
      </c>
      <c r="D3366" s="196" t="str">
        <f>IFERROR(__xludf.DUMMYFUNCTION("""COMPUTED_VALUE"""),"IMOU BULLET 2E 4MP 3.6MM WITH 256 GB SD CARD
")</f>
        <v>IMOU BULLET 2E 4MP 3.6MM WITH 256 GB SD CARD
</v>
      </c>
      <c r="E3366" s="196" t="str">
        <f>IFERROR(__xludf.DUMMYFUNCTION("""COMPUTED_VALUE"""),"AY2023-2024 SAFETY+SECURITY MONITORING SYSTEM- COLLEGE BUILDING")</f>
        <v>AY2023-2024 SAFETY+SECURITY MONITORING SYSTEM- COLLEGE BUILDING</v>
      </c>
    </row>
    <row r="3367">
      <c r="A3367" s="234">
        <f>IFERROR(__xludf.DUMMYFUNCTION("""COMPUTED_VALUE"""),103658.0)</f>
        <v>103658</v>
      </c>
      <c r="B3367" s="235" t="str">
        <f>IFERROR(__xludf.DUMMYFUNCTION("""COMPUTED_VALUE"""),"CARLITO DELA VEGA")</f>
        <v>CARLITO DELA VEGA</v>
      </c>
      <c r="C3367" s="235" t="str">
        <f>IFERROR(__xludf.DUMMYFUNCTION("""COMPUTED_VALUE"""),"SECURITY")</f>
        <v>SECURITY</v>
      </c>
      <c r="D3367" s="196" t="str">
        <f>IFERROR(__xludf.DUMMYFUNCTION("""COMPUTED_VALUE"""),"IMOU 1PC F42FN BULLET 2E 4MP, 36MM W 256SD CARD")</f>
        <v>IMOU 1PC F42FN BULLET 2E 4MP, 36MM W 256SD CARD</v>
      </c>
      <c r="E3367" s="196" t="str">
        <f>IFERROR(__xludf.DUMMYFUNCTION("""COMPUTED_VALUE"""),"AY2023-2024 SAFETY+SECURITY MONITORING SYSTEM - MUNICH")</f>
        <v>AY2023-2024 SAFETY+SECURITY MONITORING SYSTEM - MUNICH</v>
      </c>
    </row>
    <row r="3368">
      <c r="A3368" s="234">
        <f>IFERROR(__xludf.DUMMYFUNCTION("""COMPUTED_VALUE"""),103659.0)</f>
        <v>103659</v>
      </c>
      <c r="B3368" s="235" t="str">
        <f>IFERROR(__xludf.DUMMYFUNCTION("""COMPUTED_VALUE"""),"CARLITO DELA VEGA")</f>
        <v>CARLITO DELA VEGA</v>
      </c>
      <c r="C3368" s="235" t="str">
        <f>IFERROR(__xludf.DUMMYFUNCTION("""COMPUTED_VALUE"""),"SECURITY")</f>
        <v>SECURITY</v>
      </c>
      <c r="D3368" s="196" t="str">
        <f>IFERROR(__xludf.DUMMYFUNCTION("""COMPUTED_VALUE"""),"IMOU 1PC F42FN BULLET 2E 4MP, 36MM W 256SD CARD")</f>
        <v>IMOU 1PC F42FN BULLET 2E 4MP, 36MM W 256SD CARD</v>
      </c>
      <c r="E3368" s="196" t="str">
        <f>IFERROR(__xludf.DUMMYFUNCTION("""COMPUTED_VALUE"""),"AY2023-2024 SAFETY+SECURITY MONITORING SYSTEM- ELIZALDE")</f>
        <v>AY2023-2024 SAFETY+SECURITY MONITORING SYSTEM- ELIZALDE</v>
      </c>
    </row>
    <row r="3369">
      <c r="A3369" s="234">
        <f>IFERROR(__xludf.DUMMYFUNCTION("""COMPUTED_VALUE"""),103660.0)</f>
        <v>103660</v>
      </c>
      <c r="B3369" s="235" t="str">
        <f>IFERROR(__xludf.DUMMYFUNCTION("""COMPUTED_VALUE"""),"CARLITO DELA VEGA")</f>
        <v>CARLITO DELA VEGA</v>
      </c>
      <c r="C3369" s="235" t="str">
        <f>IFERROR(__xludf.DUMMYFUNCTION("""COMPUTED_VALUE"""),"SECURITY")</f>
        <v>SECURITY</v>
      </c>
      <c r="D3369" s="196" t="str">
        <f>IFERROR(__xludf.DUMMYFUNCTION("""COMPUTED_VALUE"""),"IMOU 1PC F42FN BULLET 2E 4MP, 36MM W 256SD CARD")</f>
        <v>IMOU 1PC F42FN BULLET 2E 4MP, 36MM W 256SD CARD</v>
      </c>
      <c r="E3369" s="196" t="str">
        <f>IFERROR(__xludf.DUMMYFUNCTION("""COMPUTED_VALUE"""),"AY2023-2024 SAFETY+SECURITY MONITORING SYSTEM- TROPICAL BUILDING")</f>
        <v>AY2023-2024 SAFETY+SECURITY MONITORING SYSTEM- TROPICAL BUILDING</v>
      </c>
    </row>
    <row r="3370">
      <c r="A3370" s="234">
        <f>IFERROR(__xludf.DUMMYFUNCTION("""COMPUTED_VALUE"""),103661.0)</f>
        <v>103661</v>
      </c>
      <c r="B3370" s="235" t="str">
        <f>IFERROR(__xludf.DUMMYFUNCTION("""COMPUTED_VALUE"""),"CARLITO DELA VEGA")</f>
        <v>CARLITO DELA VEGA</v>
      </c>
      <c r="C3370" s="235" t="str">
        <f>IFERROR(__xludf.DUMMYFUNCTION("""COMPUTED_VALUE"""),"SECURITY")</f>
        <v>SECURITY</v>
      </c>
      <c r="D3370" s="196" t="str">
        <f>IFERROR(__xludf.DUMMYFUNCTION("""COMPUTED_VALUE"""),"IMOU 1PC F42FN BULLET 2E 4MP, 36MM W 256SD CARD")</f>
        <v>IMOU 1PC F42FN BULLET 2E 4MP, 36MM W 256SD CARD</v>
      </c>
      <c r="E3370" s="196" t="str">
        <f>IFERROR(__xludf.DUMMYFUNCTION("""COMPUTED_VALUE"""),"AY2023-2024 SAFETY+SECURITY MONITORING SYSTEM- LUXEMBOURG  CAMPUS")</f>
        <v>AY2023-2024 SAFETY+SECURITY MONITORING SYSTEM- LUXEMBOURG  CAMPUS</v>
      </c>
    </row>
    <row r="3371">
      <c r="A3371" s="234">
        <f>IFERROR(__xludf.DUMMYFUNCTION("""COMPUTED_VALUE"""),103662.0)</f>
        <v>103662</v>
      </c>
      <c r="B3371" s="235" t="str">
        <f>IFERROR(__xludf.DUMMYFUNCTION("""COMPUTED_VALUE"""),"OWIE PAR")</f>
        <v>OWIE PAR</v>
      </c>
      <c r="C3371" s="235" t="str">
        <f>IFERROR(__xludf.DUMMYFUNCTION("""COMPUTED_VALUE"""),"ENGINEERING")</f>
        <v>ENGINEERING</v>
      </c>
      <c r="D3371" s="196" t="str">
        <f>IFERROR(__xludf.DUMMYFUNCTION("""COMPUTED_VALUE"""),"5 LENGTHS  PVC MOULDING 3/4, 5 PCS PVC AMCO BOX, WIDE SERIES OUTLET 2 GANG 5 SETS, THHN P.D. # 12 40 METERS, TOX AND SCREW # 6, MODULAR BOX 1 PC. ")</f>
        <v>5 LENGTHS  PVC MOULDING 3/4, 5 PCS PVC AMCO BOX, WIDE SERIES OUTLET 2 GANG 5 SETS, THHN P.D. # 12 40 METERS, TOX AND SCREW # 6, MODULAR BOX 1 PC. </v>
      </c>
      <c r="E3371" s="196" t="str">
        <f>IFERROR(__xludf.DUMMYFUNCTION("""COMPUTED_VALUE"""),"FOR PURCHASING DEPARTMENT IMPROVEMENT POWER SYSTEM")</f>
        <v>FOR PURCHASING DEPARTMENT IMPROVEMENT POWER SYSTEM</v>
      </c>
    </row>
    <row r="3372">
      <c r="A3372" s="234">
        <f>IFERROR(__xludf.DUMMYFUNCTION("""COMPUTED_VALUE"""),103663.0)</f>
        <v>103663</v>
      </c>
      <c r="B3372" s="235" t="str">
        <f>IFERROR(__xludf.DUMMYFUNCTION("""COMPUTED_VALUE"""),"JOMEL BUTIAL")</f>
        <v>JOMEL BUTIAL</v>
      </c>
      <c r="C3372" s="235" t="str">
        <f>IFERROR(__xludf.DUMMYFUNCTION("""COMPUTED_VALUE"""),"PR &amp; MARKETING")</f>
        <v>PR &amp; MARKETING</v>
      </c>
      <c r="D3372" s="196" t="str">
        <f>IFERROR(__xludf.DUMMYFUNCTION("""COMPUTED_VALUE"""),"1 WELCOME MONARCHS TARP COLLEGE AREA (218"" X 78"") 1 WELCOME MONARCH TARP TROPICAL CORNER (13.13 X 6.5 FT) ")</f>
        <v>1 WELCOME MONARCHS TARP COLLEGE AREA (218" X 78") 1 WELCOME MONARCH TARP TROPICAL CORNER (13.13 X 6.5 FT) </v>
      </c>
      <c r="E3372" s="196" t="str">
        <f>IFERROR(__xludf.DUMMYFUNCTION("""COMPUTED_VALUE"""),"FOR MARKETING")</f>
        <v>FOR MARKETING</v>
      </c>
    </row>
    <row r="3373">
      <c r="A3373" s="234">
        <f>IFERROR(__xludf.DUMMYFUNCTION("""COMPUTED_VALUE"""),103664.0)</f>
        <v>103664</v>
      </c>
      <c r="B3373" s="235" t="str">
        <f>IFERROR(__xludf.DUMMYFUNCTION("""COMPUTED_VALUE"""),"CHARLES DONOR")</f>
        <v>CHARLES DONOR</v>
      </c>
      <c r="C3373" s="235" t="str">
        <f>IFERROR(__xludf.DUMMYFUNCTION("""COMPUTED_VALUE"""),"AMD")</f>
        <v>AMD</v>
      </c>
      <c r="D3373" s="196" t="str">
        <f>IFERROR(__xludf.DUMMYFUNCTION("""COMPUTED_VALUE"""),"15 TONER CARTRIDGE CYAN, 10 TONER CARTRIDGE MAGENTA, 10 TONER CARTRIDGE BLACK")</f>
        <v>15 TONER CARTRIDGE CYAN, 10 TONER CARTRIDGE MAGENTA, 10 TONER CARTRIDGE BLACK</v>
      </c>
      <c r="E3373" s="196" t="str">
        <f>IFERROR(__xludf.DUMMYFUNCTION("""COMPUTED_VALUE"""),"OSSUP STOCK REPLENISHMENT ")</f>
        <v>OSSUP STOCK REPLENISHMENT </v>
      </c>
    </row>
    <row r="3374">
      <c r="A3374" s="234">
        <f>IFERROR(__xludf.DUMMYFUNCTION("""COMPUTED_VALUE"""),103665.0)</f>
        <v>103665</v>
      </c>
      <c r="B3374" s="235" t="str">
        <f>IFERROR(__xludf.DUMMYFUNCTION("""COMPUTED_VALUE"""),"CHARLES DONOR")</f>
        <v>CHARLES DONOR</v>
      </c>
      <c r="C3374" s="235" t="str">
        <f>IFERROR(__xludf.DUMMYFUNCTION("""COMPUTED_VALUE"""),"AMD")</f>
        <v>AMD</v>
      </c>
      <c r="D3374" s="196" t="str">
        <f>IFERROR(__xludf.DUMMYFUNCTION("""COMPUTED_VALUE"""),"40 TONER CARTRIDGE TN660")</f>
        <v>40 TONER CARTRIDGE TN660</v>
      </c>
      <c r="E3374" s="196" t="str">
        <f>IFERROR(__xludf.DUMMYFUNCTION("""COMPUTED_VALUE"""),"OSSUP STOCK REPLENISHMENT ")</f>
        <v>OSSUP STOCK REPLENISHMENT </v>
      </c>
    </row>
    <row r="3375">
      <c r="A3375" s="234">
        <f>IFERROR(__xludf.DUMMYFUNCTION("""COMPUTED_VALUE"""),103666.0)</f>
        <v>103666</v>
      </c>
      <c r="B3375" s="235" t="str">
        <f>IFERROR(__xludf.DUMMYFUNCTION("""COMPUTED_VALUE"""),"CHARLES DONOR")</f>
        <v>CHARLES DONOR</v>
      </c>
      <c r="C3375" s="235" t="str">
        <f>IFERROR(__xludf.DUMMYFUNCTION("""COMPUTED_VALUE"""),"AMD")</f>
        <v>AMD</v>
      </c>
      <c r="D3375" s="196" t="str">
        <f>IFERROR(__xludf.DUMMYFUNCTION("""COMPUTED_VALUE"""),"1000 FOLDER FORTUNE LONG, 100 BOARD VELLUM SHORT")</f>
        <v>1000 FOLDER FORTUNE LONG, 100 BOARD VELLUM SHORT</v>
      </c>
      <c r="E3375" s="196" t="str">
        <f>IFERROR(__xludf.DUMMYFUNCTION("""COMPUTED_VALUE"""),"OSSUP STOCK REPLENISHMENT ")</f>
        <v>OSSUP STOCK REPLENISHMENT </v>
      </c>
    </row>
    <row r="3376">
      <c r="A3376" s="234">
        <f>IFERROR(__xludf.DUMMYFUNCTION("""COMPUTED_VALUE"""),103667.0)</f>
        <v>103667</v>
      </c>
      <c r="B3376" s="235" t="str">
        <f>IFERROR(__xludf.DUMMYFUNCTION("""COMPUTED_VALUE"""),"CHOY JAMIAS ")</f>
        <v>CHOY JAMIAS </v>
      </c>
      <c r="C3376" s="235" t="str">
        <f>IFERROR(__xludf.DUMMYFUNCTION("""COMPUTED_VALUE"""),"ALUMNI")</f>
        <v>ALUMNI</v>
      </c>
      <c r="D3376" s="196" t="str">
        <f>IFERROR(__xludf.DUMMYFUNCTION("""COMPUTED_VALUE"""),"FLORAL ARRANGEMENT FOR THE DEATH OF SEBALLIS CHRISTIAN BSIT STUDENT 2014")</f>
        <v>FLORAL ARRANGEMENT FOR THE DEATH OF SEBALLIS CHRISTIAN BSIT STUDENT 2014</v>
      </c>
      <c r="E3376" s="196" t="str">
        <f>IFERROR(__xludf.DUMMYFUNCTION("""COMPUTED_VALUE"""),"FLOWERS FOR ALUMNUS BSIT 2014 CHRISTIAN THEODORE F. SEBALLOS")</f>
        <v>FLOWERS FOR ALUMNUS BSIT 2014 CHRISTIAN THEODORE F. SEBALLOS</v>
      </c>
    </row>
    <row r="3377">
      <c r="A3377" s="234">
        <f>IFERROR(__xludf.DUMMYFUNCTION("""COMPUTED_VALUE"""),103668.0)</f>
        <v>103668</v>
      </c>
      <c r="B3377" s="235" t="str">
        <f>IFERROR(__xludf.DUMMYFUNCTION("""COMPUTED_VALUE"""),"ALFA DE LEON")</f>
        <v>ALFA DE LEON</v>
      </c>
      <c r="C3377" s="235" t="str">
        <f>IFERROR(__xludf.DUMMYFUNCTION("""COMPUTED_VALUE"""),"ADMIN - MUNICH")</f>
        <v>ADMIN - MUNICH</v>
      </c>
      <c r="D3377" s="196" t="str">
        <f>IFERROR(__xludf.DUMMYFUNCTION("""COMPUTED_VALUE"""),"1 BOX WIRE THHN #12 4 PCS 1 GANG SWITCH")</f>
        <v>1 BOX WIRE THHN #12 4 PCS 1 GANG SWITCH</v>
      </c>
      <c r="E3377" s="196" t="str">
        <f>IFERROR(__xludf.DUMMYFUNCTION("""COMPUTED_VALUE"""),"ELECTRICAL INSTALLATION FOR NEW ADDTL CLASSROOM IN THE 3/F")</f>
        <v>ELECTRICAL INSTALLATION FOR NEW ADDTL CLASSROOM IN THE 3/F</v>
      </c>
    </row>
    <row r="3378">
      <c r="A3378" s="234">
        <f>IFERROR(__xludf.DUMMYFUNCTION("""COMPUTED_VALUE"""),103669.0)</f>
        <v>103669</v>
      </c>
      <c r="B3378" s="235" t="str">
        <f>IFERROR(__xludf.DUMMYFUNCTION("""COMPUTED_VALUE"""),"CARLITO DELA VEGA")</f>
        <v>CARLITO DELA VEGA</v>
      </c>
      <c r="C3378" s="235" t="str">
        <f>IFERROR(__xludf.DUMMYFUNCTION("""COMPUTED_VALUE"""),"PARKING SAFETY")</f>
        <v>PARKING SAFETY</v>
      </c>
      <c r="D3378" s="196" t="str">
        <f>IFERROR(__xludf.DUMMYFUNCTION("""COMPUTED_VALUE"""),"PARKING NOTICE LABEL MATERIALS: 18""X24""
VINYL STICKER LAMINATED 
GI SHEET #15 BACKING PLATE")</f>
        <v>PARKING NOTICE LABEL MATERIALS: 18"X24"
VINYL STICKER LAMINATED 
GI SHEET #15 BACKING PLATE</v>
      </c>
      <c r="E3378" s="196" t="str">
        <f>IFERROR(__xludf.DUMMYFUNCTION("""COMPUTED_VALUE"""),"REMINDERS/NOTICE FOR CAR OWNERS")</f>
        <v>REMINDERS/NOTICE FOR CAR OWNERS</v>
      </c>
    </row>
    <row r="3379">
      <c r="A3379" s="234">
        <f>IFERROR(__xludf.DUMMYFUNCTION("""COMPUTED_VALUE"""),103670.0)</f>
        <v>103670</v>
      </c>
      <c r="B3379" s="235" t="str">
        <f>IFERROR(__xludf.DUMMYFUNCTION("""COMPUTED_VALUE"""),"ALFA DE LEON")</f>
        <v>ALFA DE LEON</v>
      </c>
      <c r="C3379" s="235" t="str">
        <f>IFERROR(__xludf.DUMMYFUNCTION("""COMPUTED_VALUE"""),"ADMIN - MUNICH")</f>
        <v>ADMIN - MUNICH</v>
      </c>
      <c r="D3379" s="196" t="str">
        <f>IFERROR(__xludf.DUMMYFUNCTION("""COMPUTED_VALUE"""),"FLAT LATEX 
ENAMEL WHITE
LAMP BLACK, ACRY COLOR BLACK, BLACK TINTTING")</f>
        <v>FLAT LATEX 
ENAMEL WHITE
LAMP BLACK, ACRY COLOR BLACK, BLACK TINTTING</v>
      </c>
      <c r="E3379" s="196" t="str">
        <f>IFERROR(__xludf.DUMMYFUNCTION("""COMPUTED_VALUE"""),"REPAINTING OF CLASSROOMS HALLWAYS")</f>
        <v>REPAINTING OF CLASSROOMS HALLWAYS</v>
      </c>
    </row>
    <row r="3380">
      <c r="A3380" s="234">
        <f>IFERROR(__xludf.DUMMYFUNCTION("""COMPUTED_VALUE"""),103671.0)</f>
        <v>103671</v>
      </c>
      <c r="B3380" s="235" t="str">
        <f>IFERROR(__xludf.DUMMYFUNCTION("""COMPUTED_VALUE"""),"CHARLES DONOR ")</f>
        <v>CHARLES DONOR </v>
      </c>
      <c r="C3380" s="235" t="str">
        <f>IFERROR(__xludf.DUMMYFUNCTION("""COMPUTED_VALUE"""),"AMD")</f>
        <v>AMD</v>
      </c>
      <c r="D3380" s="196" t="str">
        <f>IFERROR(__xludf.DUMMYFUNCTION("""COMPUTED_VALUE"""),"50 BOXES FASTENER, PLASTIC COATED PRINCE ")</f>
        <v>50 BOXES FASTENER, PLASTIC COATED PRINCE </v>
      </c>
      <c r="E3380" s="196" t="str">
        <f>IFERROR(__xludf.DUMMYFUNCTION("""COMPUTED_VALUE"""),"OSSUP REPLENISHMENT")</f>
        <v>OSSUP REPLENISHMENT</v>
      </c>
    </row>
    <row r="3381">
      <c r="A3381" s="234">
        <f>IFERROR(__xludf.DUMMYFUNCTION("""COMPUTED_VALUE"""),103672.0)</f>
        <v>103672</v>
      </c>
      <c r="B3381" s="235" t="str">
        <f>IFERROR(__xludf.DUMMYFUNCTION("""COMPUTED_VALUE"""),"WILBERT BELTRAN")</f>
        <v>WILBERT BELTRAN</v>
      </c>
      <c r="C3381" s="235" t="str">
        <f>IFERROR(__xludf.DUMMYFUNCTION("""COMPUTED_VALUE"""),"MIS")</f>
        <v>MIS</v>
      </c>
      <c r="D3381" s="196" t="str">
        <f>IFERROR(__xludf.DUMMYFUNCTION("""COMPUTED_VALUE"""),"INTEL 2 PORT LAN CARD")</f>
        <v>INTEL 2 PORT LAN CARD</v>
      </c>
      <c r="E3381" s="196" t="str">
        <f>IFERROR(__xludf.DUMMYFUNCTION("""COMPUTED_VALUE"""),"ADDITIONAL LAN CARD FOR PFSENPE")</f>
        <v>ADDITIONAL LAN CARD FOR PFSENPE</v>
      </c>
    </row>
    <row r="3382">
      <c r="A3382" s="234">
        <f>IFERROR(__xludf.DUMMYFUNCTION("""COMPUTED_VALUE"""),103673.0)</f>
        <v>103673</v>
      </c>
      <c r="B3382" s="235" t="str">
        <f>IFERROR(__xludf.DUMMYFUNCTION("""COMPUTED_VALUE"""),"RENZ BLANCA")</f>
        <v>RENZ BLANCA</v>
      </c>
      <c r="C3382" s="235" t="str">
        <f>IFERROR(__xludf.DUMMYFUNCTION("""COMPUTED_VALUE"""),"MEDICAL")</f>
        <v>MEDICAL</v>
      </c>
      <c r="D3382" s="196" t="str">
        <f>IFERROR(__xludf.DUMMYFUNCTION("""COMPUTED_VALUE"""),"TRODAT STAMP AND DATE STAMP")</f>
        <v>TRODAT STAMP AND DATE STAMP</v>
      </c>
      <c r="E3382" s="196" t="str">
        <f>IFERROR(__xludf.DUMMYFUNCTION("""COMPUTED_VALUE"""),"FRO USE AS SIGNATURE STAMP AND DATE STAMP FOR DPE HDE ETC,.")</f>
        <v>FRO USE AS SIGNATURE STAMP AND DATE STAMP FOR DPE HDE ETC,.</v>
      </c>
    </row>
    <row r="3383">
      <c r="A3383" s="234">
        <f>IFERROR(__xludf.DUMMYFUNCTION("""COMPUTED_VALUE"""),103674.0)</f>
        <v>103674</v>
      </c>
      <c r="B3383" s="235" t="str">
        <f>IFERROR(__xludf.DUMMYFUNCTION("""COMPUTED_VALUE"""),"JOMEL BUTIAL")</f>
        <v>JOMEL BUTIAL</v>
      </c>
      <c r="C3383" s="235" t="str">
        <f>IFERROR(__xludf.DUMMYFUNCTION("""COMPUTED_VALUE"""),"PR &amp; MARKETING")</f>
        <v>PR &amp; MARKETING</v>
      </c>
      <c r="D3383" s="196" t="str">
        <f>IFERROR(__xludf.DUMMYFUNCTION("""COMPUTED_VALUE"""),"SPARK TARP 8X8 FT NO EYELET 13 OZ ONLY  1 PC ")</f>
        <v>SPARK TARP 8X8 FT NO EYELET 13 OZ ONLY  1 PC </v>
      </c>
      <c r="E3383" s="196" t="str">
        <f>IFERROR(__xludf.DUMMYFUNCTION("""COMPUTED_VALUE"""),"FOR MARKETING")</f>
        <v>FOR MARKETING</v>
      </c>
    </row>
    <row r="3384">
      <c r="A3384" s="234">
        <f>IFERROR(__xludf.DUMMYFUNCTION("""COMPUTED_VALUE"""),103675.0)</f>
        <v>103675</v>
      </c>
      <c r="B3384" s="235" t="str">
        <f>IFERROR(__xludf.DUMMYFUNCTION("""COMPUTED_VALUE"""),"LORRAINE ALMAZAN")</f>
        <v>LORRAINE ALMAZAN</v>
      </c>
      <c r="C3384" s="235" t="str">
        <f>IFERROR(__xludf.DUMMYFUNCTION("""COMPUTED_VALUE"""),"MIS")</f>
        <v>MIS</v>
      </c>
      <c r="D3384" s="196" t="str">
        <f>IFERROR(__xludf.DUMMYFUNCTION("""COMPUTED_VALUE"""),"11 pcs. TCL UHD 55 P635
2 pcs. TCL UHD 65 P635
1 pcs. TCL UHD 43P635")</f>
        <v>11 pcs. TCL UHD 55 P635
2 pcs. TCL UHD 65 P635
1 pcs. TCL UHD 43P635</v>
      </c>
      <c r="E3384" s="196" t="str">
        <f>IFERROR(__xludf.DUMMYFUNCTION("""COMPUTED_VALUE"""),"REPLACMENT OF OLD DEFECTIVE PROJECTORS AND ADDITIONAL TVS FOR MUNICH")</f>
        <v>REPLACMENT OF OLD DEFECTIVE PROJECTORS AND ADDITIONAL TVS FOR MUNICH</v>
      </c>
    </row>
    <row r="3385">
      <c r="A3385" s="234">
        <f>IFERROR(__xludf.DUMMYFUNCTION("""COMPUTED_VALUE"""),103676.0)</f>
        <v>103676</v>
      </c>
      <c r="B3385" s="235" t="str">
        <f>IFERROR(__xludf.DUMMYFUNCTION("""COMPUTED_VALUE"""),"BELOY LEOPOLDO")</f>
        <v>BELOY LEOPOLDO</v>
      </c>
      <c r="C3385" s="235" t="str">
        <f>IFERROR(__xludf.DUMMYFUNCTION("""COMPUTED_VALUE"""),"MIS")</f>
        <v>MIS</v>
      </c>
      <c r="D3385" s="196" t="str">
        <f>IFERROR(__xludf.DUMMYFUNCTION("""COMPUTED_VALUE"""),"100 METERS FLEXIBLE PIPE 1/4
100 METERS AUDIO WIRE 16 200M
ELECTRICAL TAPE")</f>
        <v>100 METERS FLEXIBLE PIPE 1/4
100 METERS AUDIO WIRE 16 200M
ELECTRICAL TAPE</v>
      </c>
      <c r="E3385" s="196" t="str">
        <f>IFERROR(__xludf.DUMMYFUNCTION("""COMPUTED_VALUE"""),"INSTALLATION OF PA IN MUNICH CAMPUS")</f>
        <v>INSTALLATION OF PA IN MUNICH CAMPUS</v>
      </c>
    </row>
    <row r="3386">
      <c r="A3386" s="234">
        <f>IFERROR(__xludf.DUMMYFUNCTION("""COMPUTED_VALUE"""),103677.0)</f>
        <v>103677</v>
      </c>
      <c r="B3386" s="235" t="str">
        <f>IFERROR(__xludf.DUMMYFUNCTION("""COMPUTED_VALUE"""),"VIOLETA REVOLTAR")</f>
        <v>VIOLETA REVOLTAR</v>
      </c>
      <c r="C3386" s="235" t="str">
        <f>IFERROR(__xludf.DUMMYFUNCTION("""COMPUTED_VALUE"""),"FOUNDER SCHOLARS")</f>
        <v>FOUNDER SCHOLARS</v>
      </c>
      <c r="D3386" s="196" t="str">
        <f>IFERROR(__xludf.DUMMYFUNCTION("""COMPUTED_VALUE"""),"BED FOAM SINGLE BED SIZE")</f>
        <v>BED FOAM SINGLE BED SIZE</v>
      </c>
      <c r="E3386" s="196" t="str">
        <f>IFERROR(__xludf.DUMMYFUNCTION("""COMPUTED_VALUE"""),"ADDITIONAL BED FOAM FOR INCOMING SCHOLAR")</f>
        <v>ADDITIONAL BED FOAM FOR INCOMING SCHOLAR</v>
      </c>
    </row>
    <row r="3387">
      <c r="A3387" s="234">
        <f>IFERROR(__xludf.DUMMYFUNCTION("""COMPUTED_VALUE"""),103678.0)</f>
        <v>103678</v>
      </c>
      <c r="B3387" s="235" t="str">
        <f>IFERROR(__xludf.DUMMYFUNCTION("""COMPUTED_VALUE"""),"MELISSA ODOÑO")</f>
        <v>MELISSA ODOÑO</v>
      </c>
      <c r="C3387" s="235" t="str">
        <f>IFERROR(__xludf.DUMMYFUNCTION("""COMPUTED_VALUE"""),"LIBRARY STAR")</f>
        <v>LIBRARY STAR</v>
      </c>
      <c r="D3387" s="196" t="str">
        <f>IFERROR(__xludf.DUMMYFUNCTION("""COMPUTED_VALUE"""),"1 PC. TRODAT (SEE SAMPLE)")</f>
        <v>1 PC. TRODAT (SEE SAMPLE)</v>
      </c>
      <c r="E3387" s="196" t="str">
        <f>IFERROR(__xludf.DUMMYFUNCTION("""COMPUTED_VALUE"""),"FOR LIBRARY USE ")</f>
        <v>FOR LIBRARY USE </v>
      </c>
    </row>
    <row r="3388">
      <c r="A3388" s="234">
        <f>IFERROR(__xludf.DUMMYFUNCTION("""COMPUTED_VALUE"""),103679.0)</f>
        <v>103679</v>
      </c>
      <c r="B3388" s="235" t="str">
        <f>IFERROR(__xludf.DUMMYFUNCTION("""COMPUTED_VALUE"""),"KARLA MAE PELONIA")</f>
        <v>KARLA MAE PELONIA</v>
      </c>
      <c r="C3388" s="235" t="str">
        <f>IFERROR(__xludf.DUMMYFUNCTION("""COMPUTED_VALUE"""),"SPECIAL SUBJECTS")</f>
        <v>SPECIAL SUBJECTS</v>
      </c>
      <c r="D3388" s="196" t="str">
        <f>IFERROR(__xludf.DUMMYFUNCTION("""COMPUTED_VALUE"""),"2 PAX PAINT BRUSH LARGE
2 PRANG WATERCOLOR 16 COLOR
5 WATERCOLOR PAPER 
2 PAX WATERCOLOR BRUSHES
2 SETS STEADTLER PENCIL
1 GLUE GUN
2 GLUE STICKS FOR GLUE GUN
3 METERSTICK
20 ALUMINUM FOLDING EASEL")</f>
        <v>2 PAX PAINT BRUSH LARGE
2 PRANG WATERCOLOR 16 COLOR
5 WATERCOLOR PAPER 
2 PAX WATERCOLOR BRUSHES
2 SETS STEADTLER PENCIL
1 GLUE GUN
2 GLUE STICKS FOR GLUE GUN
3 METERSTICK
20 ALUMINUM FOLDING EASEL</v>
      </c>
      <c r="E3388" s="196" t="str">
        <f>IFERROR(__xludf.DUMMYFUNCTION("""COMPUTED_VALUE"""),"MATERIALS FOR ART TEACHERS ")</f>
        <v>MATERIALS FOR ART TEACHERS </v>
      </c>
    </row>
    <row r="3389">
      <c r="A3389" s="234">
        <f>IFERROR(__xludf.DUMMYFUNCTION("""COMPUTED_VALUE"""),103680.0)</f>
        <v>103680</v>
      </c>
      <c r="B3389" s="235" t="str">
        <f>IFERROR(__xludf.DUMMYFUNCTION("""COMPUTED_VALUE"""),"ALFA DE LEON")</f>
        <v>ALFA DE LEON</v>
      </c>
      <c r="C3389" s="235" t="str">
        <f>IFERROR(__xludf.DUMMYFUNCTION("""COMPUTED_VALUE"""),"MUNICH")</f>
        <v>MUNICH</v>
      </c>
      <c r="D3389" s="196" t="str">
        <f>IFERROR(__xludf.DUMMYFUNCTION("""COMPUTED_VALUE"""),"TEACHER'S TABLE (COMPUTER)")</f>
        <v>TEACHER'S TABLE (COMPUTER)</v>
      </c>
      <c r="E3389" s="196" t="str">
        <f>IFERROR(__xludf.DUMMYFUNCTION("""COMPUTED_VALUE"""),"FOE NEW CLASSROOM RM 314, 315, 316")</f>
        <v>FOE NEW CLASSROOM RM 314, 315, 316</v>
      </c>
    </row>
    <row r="3390">
      <c r="A3390" s="234">
        <f>IFERROR(__xludf.DUMMYFUNCTION("""COMPUTED_VALUE"""),103681.0)</f>
        <v>103681</v>
      </c>
      <c r="B3390" s="235" t="str">
        <f>IFERROR(__xludf.DUMMYFUNCTION("""COMPUTED_VALUE"""),"OWIE PAR/ RONALD VERDE")</f>
        <v>OWIE PAR/ RONALD VERDE</v>
      </c>
      <c r="C3390" s="235" t="str">
        <f>IFERROR(__xludf.DUMMYFUNCTION("""COMPUTED_VALUE"""),"ADMIN")</f>
        <v>ADMIN</v>
      </c>
      <c r="D3390" s="196" t="str">
        <f>IFERROR(__xludf.DUMMYFUNCTION("""COMPUTED_VALUE"""),"POLYURETHANE WATERE PROOFING")</f>
        <v>POLYURETHANE WATERE PROOFING</v>
      </c>
      <c r="E3390" s="196" t="str">
        <f>IFERROR(__xludf.DUMMYFUNCTION("""COMPUTED_VALUE"""),"FOR WATER PROOFING (LUX/COLLEGE TROPICAL/MUNICH)")</f>
        <v>FOR WATER PROOFING (LUX/COLLEGE TROPICAL/MUNICH)</v>
      </c>
    </row>
    <row r="3391">
      <c r="A3391" s="234">
        <f>IFERROR(__xludf.DUMMYFUNCTION("""COMPUTED_VALUE"""),103682.0)</f>
        <v>103682</v>
      </c>
      <c r="B3391" s="235" t="str">
        <f>IFERROR(__xludf.DUMMYFUNCTION("""COMPUTED_VALUE"""),"JESUIT CHRISTIAN GALICIA")</f>
        <v>JESUIT CHRISTIAN GALICIA</v>
      </c>
      <c r="C3391" s="235" t="str">
        <f>IFERROR(__xludf.DUMMYFUNCTION("""COMPUTED_VALUE"""),"AMD")</f>
        <v>AMD</v>
      </c>
      <c r="D3391" s="196" t="str">
        <f>IFERROR(__xludf.DUMMYFUNCTION("""COMPUTED_VALUE"""),"40 PCS. VGA SPLITTER 2 WAY")</f>
        <v>40 PCS. VGA SPLITTER 2 WAY</v>
      </c>
      <c r="E3391" s="196" t="str">
        <f>IFERROR(__xludf.DUMMYFUNCTION("""COMPUTED_VALUE"""),"FOR MIS STOCK REPLENISHMENT ")</f>
        <v>FOR MIS STOCK REPLENISHMENT </v>
      </c>
    </row>
    <row r="3392">
      <c r="A3392" s="234">
        <f>IFERROR(__xludf.DUMMYFUNCTION("""COMPUTED_VALUE"""),103683.0)</f>
        <v>103683</v>
      </c>
      <c r="B3392" s="235" t="str">
        <f>IFERROR(__xludf.DUMMYFUNCTION("""COMPUTED_VALUE"""),"CHARLES DONOR")</f>
        <v>CHARLES DONOR</v>
      </c>
      <c r="C3392" s="235" t="str">
        <f>IFERROR(__xludf.DUMMYFUNCTION("""COMPUTED_VALUE"""),"AMD")</f>
        <v>AMD</v>
      </c>
      <c r="D3392" s="196" t="str">
        <f>IFERROR(__xludf.DUMMYFUNCTION("""COMPUTED_VALUE"""),"5 ROLLS RIBBON, PURPLE 1 INCH ")</f>
        <v>5 ROLLS RIBBON, PURPLE 1 INCH </v>
      </c>
      <c r="E3392" s="196" t="str">
        <f>IFERROR(__xludf.DUMMYFUNCTION("""COMPUTED_VALUE"""),"FOR PACKAGING OF TOKENS")</f>
        <v>FOR PACKAGING OF TOKENS</v>
      </c>
    </row>
    <row r="3393">
      <c r="A3393" s="234">
        <f>IFERROR(__xludf.DUMMYFUNCTION("""COMPUTED_VALUE"""),103684.0)</f>
        <v>103684</v>
      </c>
      <c r="B3393" s="235" t="str">
        <f>IFERROR(__xludf.DUMMYFUNCTION("""COMPUTED_VALUE"""),"CHARLES DONOR")</f>
        <v>CHARLES DONOR</v>
      </c>
      <c r="C3393" s="235" t="str">
        <f>IFERROR(__xludf.DUMMYFUNCTION("""COMPUTED_VALUE"""),"AMD")</f>
        <v>AMD</v>
      </c>
      <c r="D3393" s="196" t="str">
        <f>IFERROR(__xludf.DUMMYFUNCTION("""COMPUTED_VALUE"""),"500 pcs. tape 3M masking, 500 colored paper red, 500 colored paper blue, 500 colored paper violet, 500 colored green, 500 double sided w/ foam 1x1")</f>
        <v>500 pcs. tape 3M masking, 500 colored paper red, 500 colored paper blue, 500 colored paper violet, 500 colored green, 500 double sided w/ foam 1x1</v>
      </c>
      <c r="E3393" s="196" t="str">
        <f>IFERROR(__xludf.DUMMYFUNCTION("""COMPUTED_VALUE"""),"OSSUP STOCK REPPLENISHMENT")</f>
        <v>OSSUP STOCK REPPLENISHMENT</v>
      </c>
    </row>
    <row r="3394">
      <c r="A3394" s="234">
        <f>IFERROR(__xludf.DUMMYFUNCTION("""COMPUTED_VALUE"""),103685.0)</f>
        <v>103685</v>
      </c>
      <c r="B3394" s="235" t="str">
        <f>IFERROR(__xludf.DUMMYFUNCTION("""COMPUTED_VALUE"""),"RENZ BLANCA")</f>
        <v>RENZ BLANCA</v>
      </c>
      <c r="C3394" s="235" t="str">
        <f>IFERROR(__xludf.DUMMYFUNCTION("""COMPUTED_VALUE"""),"MEDICAL")</f>
        <v>MEDICAL</v>
      </c>
      <c r="D3394" s="196" t="str">
        <f>IFERROR(__xludf.DUMMYFUNCTION("""COMPUTED_VALUE"""),"3 CLINIC VISIT STAMP")</f>
        <v>3 CLINIC VISIT STAMP</v>
      </c>
      <c r="E3394" s="196" t="str">
        <f>IFERROR(__xludf.DUMMYFUNCTION("""COMPUTED_VALUE"""),"FOR MEDICAL RECORDS/ DOCUMENTATION")</f>
        <v>FOR MEDICAL RECORDS/ DOCUMENTATION</v>
      </c>
    </row>
    <row r="3395">
      <c r="A3395" s="234">
        <f>IFERROR(__xludf.DUMMYFUNCTION("""COMPUTED_VALUE"""),103686.0)</f>
        <v>103686</v>
      </c>
      <c r="B3395" s="235" t="str">
        <f>IFERROR(__xludf.DUMMYFUNCTION("""COMPUTED_VALUE"""),"ALFA DE LEON")</f>
        <v>ALFA DE LEON</v>
      </c>
      <c r="C3395" s="235" t="str">
        <f>IFERROR(__xludf.DUMMYFUNCTION("""COMPUTED_VALUE"""),"ADMIN - MUNICH")</f>
        <v>ADMIN - MUNICH</v>
      </c>
      <c r="D3395" s="196" t="str">
        <f>IFERROR(__xludf.DUMMYFUNCTION("""COMPUTED_VALUE"""),"2 PCS STAND FAND")</f>
        <v>2 PCS STAND FAND</v>
      </c>
      <c r="E3395" s="196" t="str">
        <f>IFERROR(__xludf.DUMMYFUNCTION("""COMPUTED_VALUE"""),"FOR MUNICH FACULTY PANTRY AREA IN OUTDOOR ARE")</f>
        <v>FOR MUNICH FACULTY PANTRY AREA IN OUTDOOR ARE</v>
      </c>
    </row>
    <row r="3396">
      <c r="A3396" s="234">
        <f>IFERROR(__xludf.DUMMYFUNCTION("""COMPUTED_VALUE"""),103687.0)</f>
        <v>103687</v>
      </c>
      <c r="B3396" s="235" t="str">
        <f>IFERROR(__xludf.DUMMYFUNCTION("""COMPUTED_VALUE"""),"ALFA DE LEON")</f>
        <v>ALFA DE LEON</v>
      </c>
      <c r="C3396" s="235" t="str">
        <f>IFERROR(__xludf.DUMMYFUNCTION("""COMPUTED_VALUE"""),"ADMIN - MUNICH")</f>
        <v>ADMIN - MUNICH</v>
      </c>
      <c r="D3396" s="196" t="str">
        <f>IFERROR(__xludf.DUMMYFUNCTION("""COMPUTED_VALUE"""),"1 ROLL 3.5 THHN WIRE, 3 PCS. 1 GANG OUTLET, 7 PCS. 1/2 PVC UTILITY BOX 3 PCS., 1 PC. 20 AMPHERE PLUG IN CIRCUIT BREAKER, 1 PC. ELECTRICAL TAPE, 1 PC 2 GANG OUTLET")</f>
        <v>1 ROLL 3.5 THHN WIRE, 3 PCS. 1 GANG OUTLET, 7 PCS. 1/2 PVC UTILITY BOX 3 PCS., 1 PC. 20 AMPHERE PLUG IN CIRCUIT BREAKER, 1 PC. ELECTRICAL TAPE, 1 PC 2 GANG OUTLET</v>
      </c>
      <c r="E3396" s="196" t="str">
        <f>IFERROR(__xludf.DUMMYFUNCTION("""COMPUTED_VALUE"""),"INSTALLATION OF WALL FANS THE WAITING AREA")</f>
        <v>INSTALLATION OF WALL FANS THE WAITING AREA</v>
      </c>
    </row>
    <row r="3397">
      <c r="A3397" s="234">
        <f>IFERROR(__xludf.DUMMYFUNCTION("""COMPUTED_VALUE"""),103688.0)</f>
        <v>103688</v>
      </c>
      <c r="B3397" s="235" t="str">
        <f>IFERROR(__xludf.DUMMYFUNCTION("""COMPUTED_VALUE"""),"ALFA DE LEON")</f>
        <v>ALFA DE LEON</v>
      </c>
      <c r="C3397" s="235" t="str">
        <f>IFERROR(__xludf.DUMMYFUNCTION("""COMPUTED_VALUE"""),"ADMIN - MUNICH")</f>
        <v>ADMIN - MUNICH</v>
      </c>
      <c r="D3397" s="196" t="str">
        <f>IFERROR(__xludf.DUMMYFUNCTION("""COMPUTED_VALUE"""),"3 PCS. WALL FAN 136"" COLOR GRAY")</f>
        <v>3 PCS. WALL FAN 136" COLOR GRAY</v>
      </c>
      <c r="E3397" s="196" t="str">
        <f>IFERROR(__xludf.DUMMYFUNCTION("""COMPUTED_VALUE"""),"ADDTL FAN FOR WAITING AREA EXISTING FANS ARE NOT ENOUGH TO COVER THE WHOLE AREA")</f>
        <v>ADDTL FAN FOR WAITING AREA EXISTING FANS ARE NOT ENOUGH TO COVER THE WHOLE AREA</v>
      </c>
    </row>
    <row r="3398">
      <c r="A3398" s="234">
        <f>IFERROR(__xludf.DUMMYFUNCTION("""COMPUTED_VALUE"""),103689.0)</f>
        <v>103689</v>
      </c>
      <c r="B3398" s="235" t="str">
        <f>IFERROR(__xludf.DUMMYFUNCTION("""COMPUTED_VALUE"""),"SHEREE ESPINOSA")</f>
        <v>SHEREE ESPINOSA</v>
      </c>
      <c r="C3398" s="235" t="str">
        <f>IFERROR(__xludf.DUMMYFUNCTION("""COMPUTED_VALUE"""),"ADMIN")</f>
        <v>ADMIN</v>
      </c>
      <c r="D3398" s="196" t="str">
        <f>IFERROR(__xludf.DUMMYFUNCTION("""COMPUTED_VALUE"""),"5 ROLLS ANTI- SLIP TAPE (BLACK)")</f>
        <v>5 ROLLS ANTI- SLIP TAPE (BLACK)</v>
      </c>
      <c r="E3398" s="196" t="str">
        <f>IFERROR(__xludf.DUMMYFUNCTION("""COMPUTED_VALUE"""),"FOR COLLEGE BUILDING STAIRS")</f>
        <v>FOR COLLEGE BUILDING STAIRS</v>
      </c>
    </row>
    <row r="3399">
      <c r="A3399" s="234">
        <f>IFERROR(__xludf.DUMMYFUNCTION("""COMPUTED_VALUE"""),103690.0)</f>
        <v>103690</v>
      </c>
      <c r="B3399" s="235" t="str">
        <f>IFERROR(__xludf.DUMMYFUNCTION("""COMPUTED_VALUE"""),"SHEREE ESPINOSA")</f>
        <v>SHEREE ESPINOSA</v>
      </c>
      <c r="C3399" s="235" t="str">
        <f>IFERROR(__xludf.DUMMYFUNCTION("""COMPUTED_VALUE"""),"ADMIN")</f>
        <v>ADMIN</v>
      </c>
      <c r="D3399" s="196" t="str">
        <f>IFERROR(__xludf.DUMMYFUNCTION("""COMPUTED_VALUE"""),"5 ROLLS ANTI SLIP TAPE (BLACK)")</f>
        <v>5 ROLLS ANTI SLIP TAPE (BLACK)</v>
      </c>
      <c r="E3399" s="196" t="str">
        <f>IFERROR(__xludf.DUMMYFUNCTION("""COMPUTED_VALUE"""),"FOR COLLEGE BUILDING STAIRS")</f>
        <v>FOR COLLEGE BUILDING STAIRS</v>
      </c>
    </row>
    <row r="3400">
      <c r="A3400" s="234">
        <f>IFERROR(__xludf.DUMMYFUNCTION("""COMPUTED_VALUE"""),103691.0)</f>
        <v>103691</v>
      </c>
      <c r="B3400" s="235" t="str">
        <f>IFERROR(__xludf.DUMMYFUNCTION("""COMPUTED_VALUE"""),"SHEREE ESPINOSA")</f>
        <v>SHEREE ESPINOSA</v>
      </c>
      <c r="C3400" s="235" t="str">
        <f>IFERROR(__xludf.DUMMYFUNCTION("""COMPUTED_VALUE"""),"ADMIN")</f>
        <v>ADMIN</v>
      </c>
      <c r="D3400" s="196" t="str">
        <f>IFERROR(__xludf.DUMMYFUNCTION("""COMPUTED_VALUE"""),"KRI TARP 61 CM X 76 CM")</f>
        <v>KRI TARP 61 CM X 76 CM</v>
      </c>
      <c r="E3400" s="196" t="str">
        <f>IFERROR(__xludf.DUMMYFUNCTION("""COMPUTED_VALUE"""),"FOR KRI FRAME IN ALL CLASSROOMS")</f>
        <v>FOR KRI FRAME IN ALL CLASSROOMS</v>
      </c>
    </row>
    <row r="3401">
      <c r="A3401" s="234">
        <f>IFERROR(__xludf.DUMMYFUNCTION("""COMPUTED_VALUE"""),103692.0)</f>
        <v>103692</v>
      </c>
      <c r="B3401" s="235"/>
      <c r="C3401" s="235"/>
      <c r="D3401" s="196"/>
      <c r="E3401" s="196"/>
    </row>
    <row r="3402">
      <c r="A3402" s="234">
        <f>IFERROR(__xludf.DUMMYFUNCTION("""COMPUTED_VALUE"""),103693.0)</f>
        <v>103693</v>
      </c>
      <c r="B3402" s="235" t="str">
        <f>IFERROR(__xludf.DUMMYFUNCTION("""COMPUTED_VALUE"""),"MELISSA ODONO")</f>
        <v>MELISSA ODONO</v>
      </c>
      <c r="C3402" s="235" t="str">
        <f>IFERROR(__xludf.DUMMYFUNCTION("""COMPUTED_VALUE"""),"LIBRARY COLLEGE")</f>
        <v>LIBRARY COLLEGE</v>
      </c>
      <c r="D3402" s="196" t="str">
        <f>IFERROR(__xludf.DUMMYFUNCTION("""COMPUTED_VALUE"""),"A COURSE FOR ART APPRECIATION, BORDERLESS PURPOSIVE COMMUNICATION IN THE 21ST CENTURY, A COURSE MODULE FOR ETHICS, A MODULAR APPORACH TO TEACHING GRAMMAR AND COMPOSITION A- FORM MEANING AND USE, ART APPRECIATION,NSTP CWTS 2: A TEXTBOOK FOR NEW GENERAL EDU"&amp;"CATION, NSTP-CWTS A, NSTP-CWTS 2, PHYSICAL FITNESS, PURPOSIVE COMMUNICATION IK DIVERSE CONTEXTS")</f>
        <v>A COURSE FOR ART APPRECIATION, BORDERLESS PURPOSIVE COMMUNICATION IN THE 21ST CENTURY, A COURSE MODULE FOR ETHICS, A MODULAR APPORACH TO TEACHING GRAMMAR AND COMPOSITION A- FORM MEANING AND USE, ART APPRECIATION,NSTP CWTS 2: A TEXTBOOK FOR NEW GENERAL EDUCATION, NSTP-CWTS A, NSTP-CWTS 2, PHYSICAL FITNESS, PURPOSIVE COMMUNICATION IK DIVERSE CONTEXTS</v>
      </c>
      <c r="E3402" s="196" t="str">
        <f>IFERROR(__xludf.DUMMYFUNCTION("""COMPUTED_VALUE"""),"FOR FACULTY STUDENTS USE/ PACUCUOA COMPLIANCE ")</f>
        <v>FOR FACULTY STUDENTS USE/ PACUCUOA COMPLIANCE </v>
      </c>
    </row>
    <row r="3403">
      <c r="A3403" s="234">
        <f>IFERROR(__xludf.DUMMYFUNCTION("""COMPUTED_VALUE"""),103694.0)</f>
        <v>103694</v>
      </c>
      <c r="B3403" s="235" t="str">
        <f>IFERROR(__xludf.DUMMYFUNCTION("""COMPUTED_VALUE"""),"MELISSA ODONO")</f>
        <v>MELISSA ODONO</v>
      </c>
      <c r="C3403" s="235" t="str">
        <f>IFERROR(__xludf.DUMMYFUNCTION("""COMPUTED_VALUE"""),"LIBRARY COLLEGE")</f>
        <v>LIBRARY COLLEGE</v>
      </c>
      <c r="D3403" s="196" t="str">
        <f>IFERROR(__xludf.DUMMYFUNCTION("""COMPUTED_VALUE"""),"ART APPRECIATION SOLMERANO, ART APPRECIATION SANCHEZ, ETHICS THEORY AND PRACTICE, ETHICS: A TEXTBOOK FOR NEW GENERAL EDUCATION CURRICULUM, ETHICS: EXPLORING MORAL PHILOSOPHY, JOSE RIZAL: A REVIEW ON THE LIFE AND WORKS OF THE FIRST FILIPINO, LIFE AND WORKS"&amp;" OF DR. JOSE RIZAL, NATIONAL SERVICE TRAINING PROGRAM (NSTP) NSTP A, NSTP CWTS: A TEXTBOOK FOR THE NEW GENERAL EDUCATION CURRICULUM")</f>
        <v>ART APPRECIATION SOLMERANO, ART APPRECIATION SANCHEZ, ETHICS THEORY AND PRACTICE, ETHICS: A TEXTBOOK FOR NEW GENERAL EDUCATION CURRICULUM, ETHICS: EXPLORING MORAL PHILOSOPHY, JOSE RIZAL: A REVIEW ON THE LIFE AND WORKS OF THE FIRST FILIPINO, LIFE AND WORKS OF DR. JOSE RIZAL, NATIONAL SERVICE TRAINING PROGRAM (NSTP) NSTP A, NSTP CWTS: A TEXTBOOK FOR THE NEW GENERAL EDUCATION CURRICULUM</v>
      </c>
      <c r="E3403" s="196" t="str">
        <f>IFERROR(__xludf.DUMMYFUNCTION("""COMPUTED_VALUE"""),"FOR FACULTY STUDENTS USE/ PACUCUOA COMPLIANCE ")</f>
        <v>FOR FACULTY STUDENTS USE/ PACUCUOA COMPLIANCE </v>
      </c>
    </row>
    <row r="3404">
      <c r="A3404" s="234">
        <f>IFERROR(__xludf.DUMMYFUNCTION("""COMPUTED_VALUE"""),103695.0)</f>
        <v>103695</v>
      </c>
      <c r="B3404" s="235" t="str">
        <f>IFERROR(__xludf.DUMMYFUNCTION("""COMPUTED_VALUE"""),"MELISSA ODONO")</f>
        <v>MELISSA ODONO</v>
      </c>
      <c r="C3404" s="235" t="str">
        <f>IFERROR(__xludf.DUMMYFUNCTION("""COMPUTED_VALUE"""),"LIBRARY COLLEGE")</f>
        <v>LIBRARY COLLEGE</v>
      </c>
      <c r="D3404" s="196" t="str">
        <f>IFERROR(__xludf.DUMMYFUNCTION("""COMPUTED_VALUE"""),"TRODAT OWNERSHIP STAR CAMPUS LIBRARY")</f>
        <v>TRODAT OWNERSHIP STAR CAMPUS LIBRARY</v>
      </c>
      <c r="E3404" s="196" t="str">
        <f>IFERROR(__xludf.DUMMYFUNCTION("""COMPUTED_VALUE"""),"FOR LIBRARY USE ")</f>
        <v>FOR LIBRARY USE </v>
      </c>
    </row>
    <row r="3405">
      <c r="A3405" s="234">
        <f>IFERROR(__xludf.DUMMYFUNCTION("""COMPUTED_VALUE"""),103696.0)</f>
        <v>103696</v>
      </c>
      <c r="B3405" s="235" t="str">
        <f>IFERROR(__xludf.DUMMYFUNCTION("""COMPUTED_VALUE"""),"MELISSA ODONO")</f>
        <v>MELISSA ODONO</v>
      </c>
      <c r="C3405" s="235" t="str">
        <f>IFERROR(__xludf.DUMMYFUNCTION("""COMPUTED_VALUE"""),"LIBRARY COLLEGE")</f>
        <v>LIBRARY COLLEGE</v>
      </c>
      <c r="D3405" s="196" t="str">
        <f>IFERROR(__xludf.DUMMYFUNCTION("""COMPUTED_VALUE"""),"INTRODUCTION TO CULINARY ARTS, KITCHEN ESSENTIALS AND BASIC FOOD PREPARATION, MICRO PERSPECTIVE OF TOURISM AND HOSPITALITY MANAGEMENT, RESEARCH IN TOURISM AND HOSPITALITY, TOUR GUIDING, TOURISM AND HOSPITALITY MARKETING, TRANSPORTATION MANAGEMENT, TRAVEL "&amp;"WRITING AND PHOTOGRAPHY")</f>
        <v>INTRODUCTION TO CULINARY ARTS, KITCHEN ESSENTIALS AND BASIC FOOD PREPARATION, MICRO PERSPECTIVE OF TOURISM AND HOSPITALITY MANAGEMENT, RESEARCH IN TOURISM AND HOSPITALITY, TOUR GUIDING, TOURISM AND HOSPITALITY MARKETING, TRANSPORTATION MANAGEMENT, TRAVEL WRITING AND PHOTOGRAPHY</v>
      </c>
      <c r="E3405" s="196" t="str">
        <f>IFERROR(__xludf.DUMMYFUNCTION("""COMPUTED_VALUE"""),"FOR FACULTY STUDENTS USE/ PACUCUOA COMPLIANCE ")</f>
        <v>FOR FACULTY STUDENTS USE/ PACUCUOA COMPLIANCE </v>
      </c>
    </row>
    <row r="3406">
      <c r="A3406" s="234">
        <f>IFERROR(__xludf.DUMMYFUNCTION("""COMPUTED_VALUE"""),103697.0)</f>
        <v>103697</v>
      </c>
      <c r="B3406" s="235" t="str">
        <f>IFERROR(__xludf.DUMMYFUNCTION("""COMPUTED_VALUE"""),"CHRISTIAN GALICIA")</f>
        <v>CHRISTIAN GALICIA</v>
      </c>
      <c r="C3406" s="235" t="str">
        <f>IFERROR(__xludf.DUMMYFUNCTION("""COMPUTED_VALUE"""),"AMD")</f>
        <v>AMD</v>
      </c>
      <c r="D3406" s="196" t="str">
        <f>IFERROR(__xludf.DUMMYFUNCTION("""COMPUTED_VALUE"""),"MALE PLUG, HEAVY DUTY (OMNI) 30PCS
ELECTRICAL TAPE 50 PCS")</f>
        <v>MALE PLUG, HEAVY DUTY (OMNI) 30PCS
ELECTRICAL TAPE 50 PCS</v>
      </c>
      <c r="E3406" s="196" t="str">
        <f>IFERROR(__xludf.DUMMYFUNCTION("""COMPUTED_VALUE"""),"ENGR STOCK REPLENISHMENT ")</f>
        <v>ENGR STOCK REPLENISHMENT </v>
      </c>
    </row>
    <row r="3407">
      <c r="A3407" s="234">
        <f>IFERROR(__xludf.DUMMYFUNCTION("""COMPUTED_VALUE"""),103698.0)</f>
        <v>103698</v>
      </c>
      <c r="B3407" s="235" t="str">
        <f>IFERROR(__xludf.DUMMYFUNCTION("""COMPUTED_VALUE"""),"CARLITO DELA VEGA")</f>
        <v>CARLITO DELA VEGA</v>
      </c>
      <c r="C3407" s="235" t="str">
        <f>IFERROR(__xludf.DUMMYFUNCTION("""COMPUTED_VALUE"""),"SECURITY")</f>
        <v>SECURITY</v>
      </c>
      <c r="D3407" s="196" t="str">
        <f>IFERROR(__xludf.DUMMYFUNCTION("""COMPUTED_VALUE"""),"FLAT CORD #16 BLACK 5 ROLLS
ELECTRICAL TAPE 15 ROLLS
HEAVY DUTY MALE PLUG 30PCS
MOULDING 1/2 20")</f>
        <v>FLAT CORD #16 BLACK 5 ROLLS
ELECTRICAL TAPE 15 ROLLS
HEAVY DUTY MALE PLUG 30PCS
MOULDING 1/2 20</v>
      </c>
      <c r="E3407" s="196" t="str">
        <f>IFERROR(__xludf.DUMMYFUNCTION("""COMPUTED_VALUE"""),"INSTALLATION OF CCTV- ELI, MUNICH, TROPICAL, LUX, COLLEGE")</f>
        <v>INSTALLATION OF CCTV- ELI, MUNICH, TROPICAL, LUX, COLLEGE</v>
      </c>
    </row>
    <row r="3408">
      <c r="A3408" s="234">
        <f>IFERROR(__xludf.DUMMYFUNCTION("""COMPUTED_VALUE"""),103699.0)</f>
        <v>103699</v>
      </c>
      <c r="B3408" s="235" t="str">
        <f>IFERROR(__xludf.DUMMYFUNCTION("""COMPUTED_VALUE"""),"JESUIT CHRISTIAN GALICIA")</f>
        <v>JESUIT CHRISTIAN GALICIA</v>
      </c>
      <c r="C3408" s="235" t="str">
        <f>IFERROR(__xludf.DUMMYFUNCTION("""COMPUTED_VALUE"""),"AMD")</f>
        <v>AMD</v>
      </c>
      <c r="D3408" s="196" t="str">
        <f>IFERROR(__xludf.DUMMYFUNCTION("""COMPUTED_VALUE"""),"PANASONIC TELEPHONE WIRED 10 PCS
PANASONIC TELEPHONE WIRELESS 10 PCS")</f>
        <v>PANASONIC TELEPHONE WIRED 10 PCS
PANASONIC TELEPHONE WIRELESS 10 PCS</v>
      </c>
      <c r="E3408" s="196" t="str">
        <f>IFERROR(__xludf.DUMMYFUNCTION("""COMPUTED_VALUE"""),"WAREHOUSE STOCK REPLENISHMENT")</f>
        <v>WAREHOUSE STOCK REPLENISHMENT</v>
      </c>
    </row>
    <row r="3409">
      <c r="A3409" s="234">
        <f>IFERROR(__xludf.DUMMYFUNCTION("""COMPUTED_VALUE"""),103700.0)</f>
        <v>103700</v>
      </c>
      <c r="B3409" s="235" t="str">
        <f>IFERROR(__xludf.DUMMYFUNCTION("""COMPUTED_VALUE"""),"SHEREE ESPINOSA/ DABE SALIBIO")</f>
        <v>SHEREE ESPINOSA/ DABE SALIBIO</v>
      </c>
      <c r="C3409" s="235" t="str">
        <f>IFERROR(__xludf.DUMMYFUNCTION("""COMPUTED_VALUE"""),"I.B.")</f>
        <v>I.B.</v>
      </c>
      <c r="D3409" s="196" t="str">
        <f>IFERROR(__xludf.DUMMYFUNCTION("""COMPUTED_VALUE"""),"3 SETS OF DRAWING TABLE 
SEE ATTACHED DOCUMENTS FOR REFERENCE")</f>
        <v>3 SETS OF DRAWING TABLE 
SEE ATTACHED DOCUMENTS FOR REFERENCE</v>
      </c>
      <c r="E3409" s="196" t="str">
        <f>IFERROR(__xludf.DUMMYFUNCTION("""COMPUTED_VALUE"""),"DRAWING TABLE")</f>
        <v>DRAWING TABLE</v>
      </c>
    </row>
    <row r="3410">
      <c r="A3410" s="234">
        <f>IFERROR(__xludf.DUMMYFUNCTION("""COMPUTED_VALUE"""),103701.0)</f>
        <v>103701</v>
      </c>
      <c r="B3410" s="235" t="str">
        <f>IFERROR(__xludf.DUMMYFUNCTION("""COMPUTED_VALUE"""),"SHEREE ESPINOSA")</f>
        <v>SHEREE ESPINOSA</v>
      </c>
      <c r="C3410" s="235" t="str">
        <f>IFERROR(__xludf.DUMMYFUNCTION("""COMPUTED_VALUE"""),"ADMIN")</f>
        <v>ADMIN</v>
      </c>
      <c r="D3410" s="196" t="str">
        <f>IFERROR(__xludf.DUMMYFUNCTION("""COMPUTED_VALUE"""),"S45 KD 2X2 X10 10PCS
PLYWOOD 1/4 X4 X8 7 PCS
COMMON NAIL #1 1KG
STICKWEL 1 LITER
16 PIECES KRI FRAMES
1 PIECES MISSION/VISSION FRAME")</f>
        <v>S45 KD 2X2 X10 10PCS
PLYWOOD 1/4 X4 X8 7 PCS
COMMON NAIL #1 1KG
STICKWEL 1 LITER
16 PIECES KRI FRAMES
1 PIECES MISSION/VISSION FRAME</v>
      </c>
      <c r="E3410" s="196" t="str">
        <f>IFERROR(__xludf.DUMMYFUNCTION("""COMPUTED_VALUE"""),"KRI FRAMES FOR CLASSROOMS")</f>
        <v>KRI FRAMES FOR CLASSROOMS</v>
      </c>
    </row>
    <row r="3411">
      <c r="A3411" s="234">
        <f>IFERROR(__xludf.DUMMYFUNCTION("""COMPUTED_VALUE"""),103702.0)</f>
        <v>103702</v>
      </c>
      <c r="B3411" s="235" t="str">
        <f>IFERROR(__xludf.DUMMYFUNCTION("""COMPUTED_VALUE"""),"OWIE PAR")</f>
        <v>OWIE PAR</v>
      </c>
      <c r="C3411" s="235" t="str">
        <f>IFERROR(__xludf.DUMMYFUNCTION("""COMPUTED_VALUE"""),"ADMIN")</f>
        <v>ADMIN</v>
      </c>
      <c r="D3411" s="196" t="str">
        <f>IFERROR(__xludf.DUMMYFUNCTION("""COMPUTED_VALUE"""),"5.0 HP CEILING CASSETTE INVERTER")</f>
        <v>5.0 HP CEILING CASSETTE INVERTER</v>
      </c>
      <c r="E3411" s="196" t="str">
        <f>IFERROR(__xludf.DUMMYFUNCTION("""COMPUTED_VALUE"""),"ACU  FOR COL 5TH FLR STUDENT LOUNGE ")</f>
        <v>ACU  FOR COL 5TH FLR STUDENT LOUNGE </v>
      </c>
    </row>
    <row r="3412">
      <c r="A3412" s="234">
        <f>IFERROR(__xludf.DUMMYFUNCTION("""COMPUTED_VALUE"""),103703.0)</f>
        <v>103703</v>
      </c>
      <c r="B3412" s="235" t="str">
        <f>IFERROR(__xludf.DUMMYFUNCTION("""COMPUTED_VALUE"""),"CHARLES DONOR ")</f>
        <v>CHARLES DONOR </v>
      </c>
      <c r="C3412" s="235" t="str">
        <f>IFERROR(__xludf.DUMMYFUNCTION("""COMPUTED_VALUE"""),"AMD")</f>
        <v>AMD</v>
      </c>
      <c r="D3412" s="196" t="str">
        <f>IFERROR(__xludf.DUMMYFUNCTION("""COMPUTED_VALUE"""),"6 PCS. TAPE DOUBLE SIDED  POLAR BEAR  24 MM X 10 M")</f>
        <v>6 PCS. TAPE DOUBLE SIDED  POLAR BEAR  24 MM X 10 M</v>
      </c>
      <c r="E3412" s="196" t="str">
        <f>IFERROR(__xludf.DUMMYFUNCTION("""COMPUTED_VALUE"""),"FOR POSTING OF CLASSROOM LABELS")</f>
        <v>FOR POSTING OF CLASSROOM LABELS</v>
      </c>
    </row>
    <row r="3413">
      <c r="A3413" s="234">
        <f>IFERROR(__xludf.DUMMYFUNCTION("""COMPUTED_VALUE"""),103704.0)</f>
        <v>103704</v>
      </c>
      <c r="B3413" s="235" t="str">
        <f>IFERROR(__xludf.DUMMYFUNCTION("""COMPUTED_VALUE"""),"JOHN CARLO CAMPIT")</f>
        <v>JOHN CARLO CAMPIT</v>
      </c>
      <c r="C3413" s="235" t="str">
        <f>IFERROR(__xludf.DUMMYFUNCTION("""COMPUTED_VALUE"""),"ABU")</f>
        <v>ABU</v>
      </c>
      <c r="D3413" s="196" t="str">
        <f>IFERROR(__xludf.DUMMYFUNCTION("""COMPUTED_VALUE"""),"RUBBERIZED PAINT (BROWN) 8 GAL
2 PAINT ROLLERS #7 2 PCS
2 PAINT BRUSH #2 2PCS")</f>
        <v>RUBBERIZED PAINT (BROWN) 8 GAL
2 PAINT ROLLERS #7 2 PCS
2 PAINT BRUSH #2 2PCS</v>
      </c>
      <c r="E3413" s="196" t="str">
        <f>IFERROR(__xludf.DUMMYFUNCTION("""COMPUTED_VALUE"""),"REPAINTING OF FOOD COURT FLOORING")</f>
        <v>REPAINTING OF FOOD COURT FLOORING</v>
      </c>
    </row>
    <row r="3414">
      <c r="A3414" s="234">
        <f>IFERROR(__xludf.DUMMYFUNCTION("""COMPUTED_VALUE"""),103705.0)</f>
        <v>103705</v>
      </c>
      <c r="B3414" s="235" t="str">
        <f>IFERROR(__xludf.DUMMYFUNCTION("""COMPUTED_VALUE"""),"ANGELO PARAS ")</f>
        <v>ANGELO PARAS </v>
      </c>
      <c r="C3414" s="235" t="str">
        <f>IFERROR(__xludf.DUMMYFUNCTION("""COMPUTED_VALUE"""),"SCIENCE LAB BASIC ED.")</f>
        <v>SCIENCE LAB BASIC ED.</v>
      </c>
      <c r="D3414" s="196" t="str">
        <f>IFERROR(__xludf.DUMMYFUNCTION("""COMPUTED_VALUE"""),"FORCE TABLE (PHYSICS EQUIPMENT) WITH PULLEYS 2 UNITS
TOOTHPICKS 600 PCS
GLUE 30PCS
TISSUE PAPER 2000PCS/SHEET
ZIPLOC BAG 70PCS
POPSICLE STICKS REGULAR SIZE 300PCS")</f>
        <v>FORCE TABLE (PHYSICS EQUIPMENT) WITH PULLEYS 2 UNITS
TOOTHPICKS 600 PCS
GLUE 30PCS
TISSUE PAPER 2000PCS/SHEET
ZIPLOC BAG 70PCS
POPSICLE STICKS REGULAR SIZE 300PCS</v>
      </c>
      <c r="E3414" s="196" t="str">
        <f>IFERROR(__xludf.DUMMYFUNCTION("""COMPUTED_VALUE"""),"FOR USE IN THE SCIENCE LAB AND REPLACE OLD MATERIALS/EQUIPMENT FOR FIRST TERM")</f>
        <v>FOR USE IN THE SCIENCE LAB AND REPLACE OLD MATERIALS/EQUIPMENT FOR FIRST TERM</v>
      </c>
    </row>
    <row r="3415">
      <c r="A3415" s="234">
        <f>IFERROR(__xludf.DUMMYFUNCTION("""COMPUTED_VALUE"""),103706.0)</f>
        <v>103706</v>
      </c>
      <c r="B3415" s="235" t="str">
        <f>IFERROR(__xludf.DUMMYFUNCTION("""COMPUTED_VALUE"""),"SARY ANN ESCUREL ")</f>
        <v>SARY ANN ESCUREL </v>
      </c>
      <c r="C3415" s="235" t="str">
        <f>IFERROR(__xludf.DUMMYFUNCTION("""COMPUTED_VALUE"""),"PRINCIPAL'S OFFICE")</f>
        <v>PRINCIPAL'S OFFICE</v>
      </c>
      <c r="D3415" s="196" t="str">
        <f>IFERROR(__xludf.DUMMYFUNCTION("""COMPUTED_VALUE"""),"TARPUALIN PRINTING - HOW TO BE EXTRAORDINARY PRODUCTIVE GRAPHIC TARP 16"" X 16"" ")</f>
        <v>TARPUALIN PRINTING - HOW TO BE EXTRAORDINARY PRODUCTIVE GRAPHIC TARP 16" X 16" </v>
      </c>
      <c r="E3415" s="196" t="str">
        <f>IFERROR(__xludf.DUMMYFUNCTION("""COMPUTED_VALUE"""),"FOR POSTING")</f>
        <v>FOR POSTING</v>
      </c>
    </row>
    <row r="3416">
      <c r="A3416" s="234">
        <f>IFERROR(__xludf.DUMMYFUNCTION("""COMPUTED_VALUE"""),103707.0)</f>
        <v>103707</v>
      </c>
      <c r="B3416" s="235" t="str">
        <f>IFERROR(__xludf.DUMMYFUNCTION("""COMPUTED_VALUE"""),"MELISSA NAVAL-ODONO")</f>
        <v>MELISSA NAVAL-ODONO</v>
      </c>
      <c r="C3416" s="235" t="str">
        <f>IFERROR(__xludf.DUMMYFUNCTION("""COMPUTED_VALUE"""),"LIBRARY COLLEGE")</f>
        <v>LIBRARY COLLEGE</v>
      </c>
      <c r="D3416" s="196" t="str">
        <f>IFERROR(__xludf.DUMMYFUNCTION("""COMPUTED_VALUE"""),"BOOKS - AUDITING AND ASSURANCE CONCEPTS AND APPLICATION, AUDITING THEORY (GUIDE IN UNDERSTANDING THE PSA),CONCEPTUAL FRAMEWORK AND ACCOUNTING STANDARDS, COST ACCOUNTING AND CONTROL, CPA EXAMINATION REVIEWER IN AUDITIONG PTROBLEMS, CPA EXAMINATION REVIEWER"&amp;": AUDITING PRACTICE, HORNGEN'S COST ACCOUNTING, INCOME TAXATION 2022 EDITION, INTERMEDIATE ACCOUNTING VOLUME 1, INTERMEDIATE ACCOUNTING VOLUME 2")</f>
        <v>BOOKS - AUDITING AND ASSURANCE CONCEPTS AND APPLICATION, AUDITING THEORY (GUIDE IN UNDERSTANDING THE PSA),CONCEPTUAL FRAMEWORK AND ACCOUNTING STANDARDS, COST ACCOUNTING AND CONTROL, CPA EXAMINATION REVIEWER IN AUDITIONG PTROBLEMS, CPA EXAMINATION REVIEWER: AUDITING PRACTICE, HORNGEN'S COST ACCOUNTING, INCOME TAXATION 2022 EDITION, INTERMEDIATE ACCOUNTING VOLUME 1, INTERMEDIATE ACCOUNTING VOLUME 2</v>
      </c>
      <c r="E3416" s="196" t="str">
        <f>IFERROR(__xludf.DUMMYFUNCTION("""COMPUTED_VALUE"""),"FOR FACULTY STUDENTS USE/ PACUCOA COMPLIANCE ")</f>
        <v>FOR FACULTY STUDENTS USE/ PACUCOA COMPLIANCE </v>
      </c>
    </row>
    <row r="3417">
      <c r="A3417" s="234">
        <f>IFERROR(__xludf.DUMMYFUNCTION("""COMPUTED_VALUE"""),103708.0)</f>
        <v>103708</v>
      </c>
      <c r="B3417" s="235" t="str">
        <f>IFERROR(__xludf.DUMMYFUNCTION("""COMPUTED_VALUE"""),"MELISSA NAVAL-ODONO")</f>
        <v>MELISSA NAVAL-ODONO</v>
      </c>
      <c r="C3417" s="235" t="str">
        <f>IFERROR(__xludf.DUMMYFUNCTION("""COMPUTED_VALUE"""),"LIBRARY COLLEGE")</f>
        <v>LIBRARY COLLEGE</v>
      </c>
      <c r="D3417" s="196" t="str">
        <f>IFERROR(__xludf.DUMMYFUNCTION("""COMPUTED_VALUE"""),"BOOKS- INTERMEDIATE ACCOUNTING 1 (A&amp;B), MANAGEMENT SERVICES- A COMPREHENSIVE GUIDE, MANAGERIAL ACCOUNTING -INTERGRATED APPROACH, OBLIGATION AND CONTACTS(LAW AND APPLICATION), PARTNERSHIP AND PRIVATE CORPORATION(LAW AND APPLICATION), PRACTICAL FINANCIAL AC"&amp;"COUNTING VOLUME 1, PRACTICAL FINANCIAL ACCOUNTING VOLUME 2, STRATEGIC COST MANAGEMENT 2021 ED., STRATEGIC MANAGEMENT, THEORY FINANCIAL ACCOUNTING. ")</f>
        <v>BOOKS- INTERMEDIATE ACCOUNTING 1 (A&amp;B), MANAGEMENT SERVICES- A COMPREHENSIVE GUIDE, MANAGERIAL ACCOUNTING -INTERGRATED APPROACH, OBLIGATION AND CONTACTS(LAW AND APPLICATION), PARTNERSHIP AND PRIVATE CORPORATION(LAW AND APPLICATION), PRACTICAL FINANCIAL ACCOUNTING VOLUME 1, PRACTICAL FINANCIAL ACCOUNTING VOLUME 2, STRATEGIC COST MANAGEMENT 2021 ED., STRATEGIC MANAGEMENT, THEORY FINANCIAL ACCOUNTING. </v>
      </c>
      <c r="E3417" s="196" t="str">
        <f>IFERROR(__xludf.DUMMYFUNCTION("""COMPUTED_VALUE"""),"FOR FACULTY STUDENTS USE/ PACUCOA COMPLIANCE ")</f>
        <v>FOR FACULTY STUDENTS USE/ PACUCOA COMPLIANCE </v>
      </c>
    </row>
    <row r="3418">
      <c r="A3418" s="234">
        <f>IFERROR(__xludf.DUMMYFUNCTION("""COMPUTED_VALUE"""),103709.0)</f>
        <v>103709</v>
      </c>
      <c r="B3418" s="235" t="str">
        <f>IFERROR(__xludf.DUMMYFUNCTION("""COMPUTED_VALUE"""),"SHEREE ESPINOSA")</f>
        <v>SHEREE ESPINOSA</v>
      </c>
      <c r="C3418" s="235" t="str">
        <f>IFERROR(__xludf.DUMMYFUNCTION("""COMPUTED_VALUE"""),"ADMIN")</f>
        <v>ADMIN</v>
      </c>
      <c r="D3418" s="196" t="str">
        <f>IFERROR(__xludf.DUMMYFUNCTION("""COMPUTED_VALUE"""),"1 RED CARPET 1M x 23M")</f>
        <v>1 RED CARPET 1M x 23M</v>
      </c>
      <c r="E3418" s="196" t="str">
        <f>IFERROR(__xludf.DUMMYFUNCTION("""COMPUTED_VALUE"""),"FOR GRADUATION CEREMONY")</f>
        <v>FOR GRADUATION CEREMONY</v>
      </c>
    </row>
    <row r="3419">
      <c r="A3419" s="234">
        <f>IFERROR(__xludf.DUMMYFUNCTION("""COMPUTED_VALUE"""),103710.0)</f>
        <v>103710</v>
      </c>
      <c r="B3419" s="235" t="str">
        <f>IFERROR(__xludf.DUMMYFUNCTION("""COMPUTED_VALUE"""),"ISABELO LEOPOLDO")</f>
        <v>ISABELO LEOPOLDO</v>
      </c>
      <c r="C3419" s="235" t="str">
        <f>IFERROR(__xludf.DUMMYFUNCTION("""COMPUTED_VALUE"""),"AV/MIS")</f>
        <v>AV/MIS</v>
      </c>
      <c r="D3419" s="196" t="str">
        <f>IFERROR(__xludf.DUMMYFUNCTION("""COMPUTED_VALUE"""),"MIXER 2
BUILT IN SPEAKERS 3 SETS
WIRELESS MICROPHONES 6
SOUND SYSTEM RACK 2
MALE AND FEMALE XLR JACK 40
RCA AUDIO WIRE 5
MICROPHONE WIRE 1LOT
OUTLET 6
OUTLET COVER 3
CANON JACK 10")</f>
        <v>MIXER 2
BUILT IN SPEAKERS 3 SETS
WIRELESS MICROPHONES 6
SOUND SYSTEM RACK 2
MALE AND FEMALE XLR JACK 40
RCA AUDIO WIRE 5
MICROPHONE WIRE 1LOT
OUTLET 6
OUTLET COVER 3
CANON JACK 10</v>
      </c>
      <c r="E3419" s="196" t="str">
        <f>IFERROR(__xludf.DUMMYFUNCTION("""COMPUTED_VALUE"""),"MUNICH ACTIVITY AREAS' SOUND SYSTEM")</f>
        <v>MUNICH ACTIVITY AREAS' SOUND SYSTEM</v>
      </c>
    </row>
    <row r="3420">
      <c r="A3420" s="234">
        <f>IFERROR(__xludf.DUMMYFUNCTION("""COMPUTED_VALUE"""),103711.0)</f>
        <v>103711</v>
      </c>
      <c r="B3420" s="235" t="str">
        <f>IFERROR(__xludf.DUMMYFUNCTION("""COMPUTED_VALUE"""),"PHEN PETIN")</f>
        <v>PHEN PETIN</v>
      </c>
      <c r="C3420" s="235" t="str">
        <f>IFERROR(__xludf.DUMMYFUNCTION("""COMPUTED_VALUE"""),"ADMIN - STAR")</f>
        <v>ADMIN - STAR</v>
      </c>
      <c r="D3420" s="196" t="str">
        <f>IFERROR(__xludf.DUMMYFUNCTION("""COMPUTED_VALUE"""),"LAMP POST
SEE ATTACHED PHOTOS FOR REFERENCE")</f>
        <v>LAMP POST
SEE ATTACHED PHOTOS FOR REFERENCE</v>
      </c>
      <c r="E3420" s="196" t="str">
        <f>IFERROR(__xludf.DUMMYFUNCTION("""COMPUTED_VALUE"""),"FOR ANNEX AND BACKGATE AREA")</f>
        <v>FOR ANNEX AND BACKGATE AREA</v>
      </c>
    </row>
    <row r="3421">
      <c r="A3421" s="234">
        <f>IFERROR(__xludf.DUMMYFUNCTION("""COMPUTED_VALUE"""),103712.0)</f>
        <v>103712</v>
      </c>
      <c r="B3421" s="235" t="str">
        <f>IFERROR(__xludf.DUMMYFUNCTION("""COMPUTED_VALUE"""),"OWIE PAR ")</f>
        <v>OWIE PAR </v>
      </c>
      <c r="C3421" s="235" t="str">
        <f>IFERROR(__xludf.DUMMYFUNCTION("""COMPUTED_VALUE"""),"ENGINEERING")</f>
        <v>ENGINEERING</v>
      </c>
      <c r="D3421" s="196" t="str">
        <f>IFERROR(__xludf.DUMMYFUNCTION("""COMPUTED_VALUE"""),"ACU 1.5 H.P INVERTER 1")</f>
        <v>ACU 1.5 H.P INVERTER 1</v>
      </c>
      <c r="E3421" s="196" t="str">
        <f>IFERROR(__xludf.DUMMYFUNCTION("""COMPUTED_VALUE"""),"FOR V-TAR OFFICE (MS ASTRID)")</f>
        <v>FOR V-TAR OFFICE (MS ASTRID)</v>
      </c>
    </row>
    <row r="3422">
      <c r="A3422" s="234">
        <f>IFERROR(__xludf.DUMMYFUNCTION("""COMPUTED_VALUE"""),103713.0)</f>
        <v>103713</v>
      </c>
      <c r="B3422" s="235" t="str">
        <f>IFERROR(__xludf.DUMMYFUNCTION("""COMPUTED_VALUE"""),"FATINA JANDOL")</f>
        <v>FATINA JANDOL</v>
      </c>
      <c r="C3422" s="235" t="str">
        <f>IFERROR(__xludf.DUMMYFUNCTION("""COMPUTED_VALUE"""),"LIBRARY BASIC ED")</f>
        <v>LIBRARY BASIC ED</v>
      </c>
      <c r="D3422" s="196" t="str">
        <f>IFERROR(__xludf.DUMMYFUNCTION("""COMPUTED_VALUE""")," BLACK SHOE CHAIR 200PCS 
for 50 CHAIRS")</f>
        <v> BLACK SHOE CHAIR 200PCS 
for 50 CHAIRS</v>
      </c>
      <c r="E3422" s="196" t="str">
        <f>IFERROR(__xludf.DUMMYFUNCTION("""COMPUTED_VALUE"""),"SAFETY PURPOSES")</f>
        <v>SAFETY PURPOSES</v>
      </c>
    </row>
    <row r="3423">
      <c r="A3423" s="234">
        <f>IFERROR(__xludf.DUMMYFUNCTION("""COMPUTED_VALUE"""),103714.0)</f>
        <v>103714</v>
      </c>
      <c r="B3423" s="235" t="str">
        <f>IFERROR(__xludf.DUMMYFUNCTION("""COMPUTED_VALUE"""),"FATIMA JANDOL")</f>
        <v>FATIMA JANDOL</v>
      </c>
      <c r="C3423" s="235" t="str">
        <f>IFERROR(__xludf.DUMMYFUNCTION("""COMPUTED_VALUE"""),"LIBRARY BASIC ED")</f>
        <v>LIBRARY BASIC ED</v>
      </c>
      <c r="D3423" s="196" t="str">
        <f>IFERROR(__xludf.DUMMYFUNCTION("""COMPUTED_VALUE"""),"UPS (BLACKBOX FOR SECURITY GATE AS REQUESTED BY MIS) REPLACEMENT 1
NOTED BY: LARRAINE D. ALMAZAN
NOTES: PLEASE SEE ATTACHED FILE")</f>
        <v>UPS (BLACKBOX FOR SECURITY GATE AS REQUESTED BY MIS) REPLACEMENT 1
NOTED BY: LARRAINE D. ALMAZAN
NOTES: PLEASE SEE ATTACHED FILE</v>
      </c>
      <c r="E3423" s="196" t="str">
        <f>IFERROR(__xludf.DUMMYFUNCTION("""COMPUTED_VALUE"""),"FOR SECURITY PURPOSES")</f>
        <v>FOR SECURITY PURPOSES</v>
      </c>
    </row>
    <row r="3424">
      <c r="A3424" s="234">
        <f>IFERROR(__xludf.DUMMYFUNCTION("""COMPUTED_VALUE"""),103715.0)</f>
        <v>103715</v>
      </c>
      <c r="B3424" s="235" t="str">
        <f>IFERROR(__xludf.DUMMYFUNCTION("""COMPUTED_VALUE"""),"SHEREE ESPINOSA")</f>
        <v>SHEREE ESPINOSA</v>
      </c>
      <c r="C3424" s="235" t="str">
        <f>IFERROR(__xludf.DUMMYFUNCTION("""COMPUTED_VALUE"""),"ADMIN")</f>
        <v>ADMIN</v>
      </c>
      <c r="D3424" s="196" t="str">
        <f>IFERROR(__xludf.DUMMYFUNCTION("""COMPUTED_VALUE"""),"60x60 TILES(BIEGE) 60PCS
CEMENT ADHESIVE 3BAGS
GROUT 1BAG
RPLL-ROPE LIGHT 1ROLL 
ADAPTOR 4PCS")</f>
        <v>60x60 TILES(BIEGE) 60PCS
CEMENT ADHESIVE 3BAGS
GROUT 1BAG
RPLL-ROPE LIGHT 1ROLL 
ADAPTOR 4PCS</v>
      </c>
      <c r="E3424" s="196" t="str">
        <f>IFERROR(__xludf.DUMMYFUNCTION("""COMPUTED_VALUE"""),"CAMPUS PREPARATION FOR OPENING OF CLASSES")</f>
        <v>CAMPUS PREPARATION FOR OPENING OF CLASSES</v>
      </c>
    </row>
    <row r="3425">
      <c r="A3425" s="234">
        <f>IFERROR(__xludf.DUMMYFUNCTION("""COMPUTED_VALUE"""),103716.0)</f>
        <v>103716</v>
      </c>
      <c r="B3425" s="235" t="str">
        <f>IFERROR(__xludf.DUMMYFUNCTION("""COMPUTED_VALUE"""),"BRIAN PATAG")</f>
        <v>BRIAN PATAG</v>
      </c>
      <c r="C3425" s="235" t="str">
        <f>IFERROR(__xludf.DUMMYFUNCTION("""COMPUTED_VALUE"""),"AMD")</f>
        <v>AMD</v>
      </c>
      <c r="D3425" s="196" t="str">
        <f>IFERROR(__xludf.DUMMYFUNCTION("""COMPUTED_VALUE"""),"BAYGON WATER BASED 500ML 100PCS
BOWL CARE 50GAL
TRASH BAG MEDIUM CLEAR 50PACKS
TRASH BAG LARGE CLEAR 50PACKS
TRASH BAG XL CLEAR 50PACKS
TRASH BAG XXL CLEAR 50PACKS
ZONROX BLEACH 1 GAL 50GAL
ECOLUTION DISINFECTANT 50GAL
FURNITURE POLISH GLOW 30GAL
D-DTROY "&amp;"20GAL
")</f>
        <v>BAYGON WATER BASED 500ML 100PCS
BOWL CARE 50GAL
TRASH BAG MEDIUM CLEAR 50PACKS
TRASH BAG LARGE CLEAR 50PACKS
TRASH BAG XL CLEAR 50PACKS
TRASH BAG XXL CLEAR 50PACKS
ZONROX BLEACH 1 GAL 50GAL
ECOLUTION DISINFECTANT 50GAL
FURNITURE POLISH GLOW 30GAL
D-DTROY 20GAL
</v>
      </c>
      <c r="E3425" s="196" t="str">
        <f>IFERROR(__xludf.DUMMYFUNCTION("""COMPUTED_VALUE"""),"FOR HOUSEKEEPING REPLENISHMENT")</f>
        <v>FOR HOUSEKEEPING REPLENISHMENT</v>
      </c>
    </row>
    <row r="3426">
      <c r="A3426" s="234">
        <f>IFERROR(__xludf.DUMMYFUNCTION("""COMPUTED_VALUE"""),103717.0)</f>
        <v>103717</v>
      </c>
      <c r="B3426" s="235" t="str">
        <f>IFERROR(__xludf.DUMMYFUNCTION("""COMPUTED_VALUE"""),"BRIAN PATAG")</f>
        <v>BRIAN PATAG</v>
      </c>
      <c r="C3426" s="235" t="str">
        <f>IFERROR(__xludf.DUMMYFUNCTION("""COMPUTED_VALUE"""),"AMD")</f>
        <v>AMD</v>
      </c>
      <c r="D3426" s="196" t="str">
        <f>IFERROR(__xludf.DUMMYFUNCTION("""COMPUTED_VALUE"""),"SCOTHCH BRITE BIG 500PCS
STRIPPOL 20GAL
HAND WASH ANTIBAC BOENAS 30GAL
SPRAY GUN 50PCS
SWEET SUNSATION 50GAL
BAYGON SCENTED 50PCS
MR MUSCLE SUPER TOILET BOWL CLEANER 50PCS
DISPENSER HANDPUFF BOTTLE 20PCS
CHLORINE 1KG PER PACK 50PACKS")</f>
        <v>SCOTHCH BRITE BIG 500PCS
STRIPPOL 20GAL
HAND WASH ANTIBAC BOENAS 30GAL
SPRAY GUN 50PCS
SWEET SUNSATION 50GAL
BAYGON SCENTED 50PCS
MR MUSCLE SUPER TOILET BOWL CLEANER 50PCS
DISPENSER HANDPUFF BOTTLE 20PCS
CHLORINE 1KG PER PACK 50PACKS</v>
      </c>
      <c r="E3426" s="196" t="str">
        <f>IFERROR(__xludf.DUMMYFUNCTION("""COMPUTED_VALUE"""),"FOR HOUSEKEEPING REPLENISHMENT")</f>
        <v>FOR HOUSEKEEPING REPLENISHMENT</v>
      </c>
    </row>
    <row r="3427">
      <c r="A3427" s="234">
        <f>IFERROR(__xludf.DUMMYFUNCTION("""COMPUTED_VALUE"""),103718.0)</f>
        <v>103718</v>
      </c>
      <c r="B3427" s="235" t="str">
        <f>IFERROR(__xludf.DUMMYFUNCTION("""COMPUTED_VALUE"""),"CHARLES DONOR")</f>
        <v>CHARLES DONOR</v>
      </c>
      <c r="C3427" s="235" t="str">
        <f>IFERROR(__xludf.DUMMYFUNCTION("""COMPUTED_VALUE"""),"AMD")</f>
        <v>AMD</v>
      </c>
      <c r="D3427" s="196" t="str">
        <f>IFERROR(__xludf.DUMMYFUNCTION("""COMPUTED_VALUE"""),"SKETCH BOOK, LANDSCAPE NON SPIRAL ")</f>
        <v>SKETCH BOOK, LANDSCAPE NON SPIRAL </v>
      </c>
      <c r="E3427" s="196" t="str">
        <f>IFERROR(__xludf.DUMMYFUNCTION("""COMPUTED_VALUE"""),"STUDENT SUPPLIES STOCK REPLENISHMENT")</f>
        <v>STUDENT SUPPLIES STOCK REPLENISHMENT</v>
      </c>
    </row>
    <row r="3428">
      <c r="A3428" s="234">
        <f>IFERROR(__xludf.DUMMYFUNCTION("""COMPUTED_VALUE"""),103719.0)</f>
        <v>103719</v>
      </c>
      <c r="B3428" s="235" t="str">
        <f>IFERROR(__xludf.DUMMYFUNCTION("""COMPUTED_VALUE"""),"CHARLES DONOR ")</f>
        <v>CHARLES DONOR </v>
      </c>
      <c r="C3428" s="235" t="str">
        <f>IFERROR(__xludf.DUMMYFUNCTION("""COMPUTED_VALUE"""),"AMD")</f>
        <v>AMD</v>
      </c>
      <c r="D3428" s="196" t="str">
        <f>IFERROR(__xludf.DUMMYFUNCTION("""COMPUTED_VALUE"""),"BALLPEN PANDA BLACK 500
ENVELOPE BROWN LONG 1000
HIGHLIGHTER STABILO GREEN 30
HIGHLIGHTER STABILO ORANGE 30
MARKER WHITEBOARD PILOT BLACK 250
BALLPEN PANDA GREEN 500
PEN, OVERHEAD PROJECTOR PILOT BLACK 20
RIBBON , CARTRIDGE EPSON LX310-8015632 20 ")</f>
        <v>BALLPEN PANDA BLACK 500
ENVELOPE BROWN LONG 1000
HIGHLIGHTER STABILO GREEN 30
HIGHLIGHTER STABILO ORANGE 30
MARKER WHITEBOARD PILOT BLACK 250
BALLPEN PANDA GREEN 500
PEN, OVERHEAD PROJECTOR PILOT BLACK 20
RIBBON , CARTRIDGE EPSON LX310-8015632 20 </v>
      </c>
      <c r="E3428" s="196" t="str">
        <f>IFERROR(__xludf.DUMMYFUNCTION("""COMPUTED_VALUE"""),"OSSUP STOCK REPLENISHMENT ")</f>
        <v>OSSUP STOCK REPLENISHMENT </v>
      </c>
    </row>
    <row r="3429">
      <c r="A3429" s="234">
        <f>IFERROR(__xludf.DUMMYFUNCTION("""COMPUTED_VALUE"""),103720.0)</f>
        <v>103720</v>
      </c>
      <c r="B3429" s="235" t="str">
        <f>IFERROR(__xludf.DUMMYFUNCTION("""COMPUTED_VALUE"""),"JOMEL BUTIAL")</f>
        <v>JOMEL BUTIAL</v>
      </c>
      <c r="C3429" s="235" t="str">
        <f>IFERROR(__xludf.DUMMYFUNCTION("""COMPUTED_VALUE"""),"PR &amp; MARKETING")</f>
        <v>PR &amp; MARKETING</v>
      </c>
      <c r="D3429" s="196" t="str">
        <f>IFERROR(__xludf.DUMMYFUNCTION("""COMPUTED_VALUE"""),"WELCOME TARPAULIN 
SIZE W=140 INCHES
H=84 INCHES
FOR STAR CAMPUS 1PC
FOR MUNICH CAMPUS 1PC")</f>
        <v>WELCOME TARPAULIN 
SIZE W=140 INCHES
H=84 INCHES
FOR STAR CAMPUS 1PC
FOR MUNICH CAMPUS 1PC</v>
      </c>
      <c r="E3429" s="196" t="str">
        <f>IFERROR(__xludf.DUMMYFUNCTION("""COMPUTED_VALUE"""),"WELCOME TARPS FOR MUNICH AND STAR CAMPUS STUDENTS")</f>
        <v>WELCOME TARPS FOR MUNICH AND STAR CAMPUS STUDENTS</v>
      </c>
    </row>
    <row r="3430">
      <c r="A3430" s="234">
        <f>IFERROR(__xludf.DUMMYFUNCTION("""COMPUTED_VALUE"""),103721.0)</f>
        <v>103721</v>
      </c>
      <c r="B3430" s="235" t="str">
        <f>IFERROR(__xludf.DUMMYFUNCTION("""COMPUTED_VALUE"""),"OWIE PAR ")</f>
        <v>OWIE PAR </v>
      </c>
      <c r="C3430" s="235" t="str">
        <f>IFERROR(__xludf.DUMMYFUNCTION("""COMPUTED_VALUE"""),"ENGINEERING")</f>
        <v>ENGINEERING</v>
      </c>
      <c r="D3430" s="196" t="str">
        <f>IFERROR(__xludf.DUMMYFUNCTION("""COMPUTED_VALUE"""),"BATTERY 6G MOTOLITE")</f>
        <v>BATTERY 6G MOTOLITE</v>
      </c>
      <c r="E3430" s="196" t="str">
        <f>IFERROR(__xludf.DUMMYFUNCTION("""COMPUTED_VALUE"""),"FOR GENSET #2")</f>
        <v>FOR GENSET #2</v>
      </c>
    </row>
    <row r="3431">
      <c r="A3431" s="234">
        <f>IFERROR(__xludf.DUMMYFUNCTION("""COMPUTED_VALUE"""),103722.0)</f>
        <v>103722</v>
      </c>
      <c r="B3431" s="235" t="str">
        <f>IFERROR(__xludf.DUMMYFUNCTION("""COMPUTED_VALUE"""),"ALFA DE LEON")</f>
        <v>ALFA DE LEON</v>
      </c>
      <c r="C3431" s="235" t="str">
        <f>IFERROR(__xludf.DUMMYFUNCTION("""COMPUTED_VALUE"""),"ADMIN - MUNICH")</f>
        <v>ADMIN - MUNICH</v>
      </c>
      <c r="D3431" s="196" t="str">
        <f>IFERROR(__xludf.DUMMYFUNCTION("""COMPUTED_VALUE"""),"2 pcs. WATER DISPENSER")</f>
        <v>2 pcs. WATER DISPENSER</v>
      </c>
      <c r="E3431" s="196" t="str">
        <f>IFERROR(__xludf.DUMMYFUNCTION("""COMPUTED_VALUE"""),"REPLACEMENT OF BROKEN WATER DISPENSER")</f>
        <v>REPLACEMENT OF BROKEN WATER DISPENSER</v>
      </c>
    </row>
    <row r="3432">
      <c r="A3432" s="234">
        <f>IFERROR(__xludf.DUMMYFUNCTION("""COMPUTED_VALUE"""),103723.0)</f>
        <v>103723</v>
      </c>
      <c r="B3432" s="235" t="str">
        <f>IFERROR(__xludf.DUMMYFUNCTION("""COMPUTED_VALUE"""),"PAULO ARAÑA")</f>
        <v>PAULO ARAÑA</v>
      </c>
      <c r="C3432" s="235" t="str">
        <f>IFERROR(__xludf.DUMMYFUNCTION("""COMPUTED_VALUE"""),"AV/MIS")</f>
        <v>AV/MIS</v>
      </c>
      <c r="D3432" s="196" t="str">
        <f>IFERROR(__xludf.DUMMYFUNCTION("""COMPUTED_VALUE"""),"WIFI DONGLE TP LINK-WN725Z 10PCS")</f>
        <v>WIFI DONGLE TP LINK-WN725Z 10PCS</v>
      </c>
      <c r="E3432" s="196" t="str">
        <f>IFERROR(__xludf.DUMMYFUNCTION("""COMPUTED_VALUE"""),"BACKUP PORTABLE WIFI FOR EVENTS")</f>
        <v>BACKUP PORTABLE WIFI FOR EVENTS</v>
      </c>
    </row>
    <row r="3433">
      <c r="A3433" s="234">
        <f>IFERROR(__xludf.DUMMYFUNCTION("""COMPUTED_VALUE"""),103724.0)</f>
        <v>103724</v>
      </c>
      <c r="B3433" s="235" t="str">
        <f>IFERROR(__xludf.DUMMYFUNCTION("""COMPUTED_VALUE"""),"PAULO ARAÑA")</f>
        <v>PAULO ARAÑA</v>
      </c>
      <c r="C3433" s="235" t="str">
        <f>IFERROR(__xludf.DUMMYFUNCTION("""COMPUTED_VALUE"""),"AV/MIS")</f>
        <v>AV/MIS</v>
      </c>
      <c r="D3433" s="196" t="str">
        <f>IFERROR(__xludf.DUMMYFUNCTION("""COMPUTED_VALUE"""),"DVI TO VGA ADAPTER 30PCS
USB CHUB (5-IN-1) HDMI, LAN RJ45 5PCS")</f>
        <v>DVI TO VGA ADAPTER 30PCS
USB CHUB (5-IN-1) HDMI, LAN RJ45 5PCS</v>
      </c>
      <c r="E3433" s="196" t="str">
        <f>IFERROR(__xludf.DUMMYFUNCTION("""COMPUTED_VALUE"""),"BACKUP SPARE FOR E. CLASSROOMS")</f>
        <v>BACKUP SPARE FOR E. CLASSROOMS</v>
      </c>
    </row>
    <row r="3434">
      <c r="A3434" s="234">
        <f>IFERROR(__xludf.DUMMYFUNCTION("""COMPUTED_VALUE"""),103725.0)</f>
        <v>103725</v>
      </c>
      <c r="B3434" s="235" t="str">
        <f>IFERROR(__xludf.DUMMYFUNCTION("""COMPUTED_VALUE"""),"PAULO ARAÑA")</f>
        <v>PAULO ARAÑA</v>
      </c>
      <c r="C3434" s="235" t="str">
        <f>IFERROR(__xludf.DUMMYFUNCTION("""COMPUTED_VALUE"""),"AV/MIS")</f>
        <v>AV/MIS</v>
      </c>
      <c r="D3434" s="196" t="str">
        <f>IFERROR(__xludf.DUMMYFUNCTION("""COMPUTED_VALUE"""),"VIEW SONIC VA1903H-2 19"" MONITOR 10PCS")</f>
        <v>VIEW SONIC VA1903H-2 19" MONITOR 10PCS</v>
      </c>
      <c r="E3434" s="196" t="str">
        <f>IFERROR(__xludf.DUMMYFUNCTION("""COMPUTED_VALUE"""),"BACKUP MONITOR FOR E-CLASSROOMS AND OFFICES")</f>
        <v>BACKUP MONITOR FOR E-CLASSROOMS AND OFFICES</v>
      </c>
    </row>
    <row r="3435">
      <c r="A3435" s="234">
        <f>IFERROR(__xludf.DUMMYFUNCTION("""COMPUTED_VALUE"""),103726.0)</f>
        <v>103726</v>
      </c>
      <c r="B3435" s="235" t="str">
        <f>IFERROR(__xludf.DUMMYFUNCTION("""COMPUTED_VALUE"""),"RHEA JOVEREZ")</f>
        <v>RHEA JOVEREZ</v>
      </c>
      <c r="C3435" s="235" t="str">
        <f>IFERROR(__xludf.DUMMYFUNCTION("""COMPUTED_VALUE"""),"PR &amp; MARKETING")</f>
        <v>PR &amp; MARKETING</v>
      </c>
      <c r="D3435" s="196" t="str">
        <f>IFERROR(__xludf.DUMMYFUNCTION("""COMPUTED_VALUE"""),"1 DOCUMENT TRAY (3 LAYERS)")</f>
        <v>1 DOCUMENT TRAY (3 LAYERS)</v>
      </c>
      <c r="E3435" s="196" t="str">
        <f>IFERROR(__xludf.DUMMYFUNCTION("""COMPUTED_VALUE"""),"FOR FILES")</f>
        <v>FOR FILES</v>
      </c>
    </row>
    <row r="3436">
      <c r="A3436" s="234">
        <f>IFERROR(__xludf.DUMMYFUNCTION("""COMPUTED_VALUE"""),103727.0)</f>
        <v>103727</v>
      </c>
      <c r="B3436" s="235" t="str">
        <f>IFERROR(__xludf.DUMMYFUNCTION("""COMPUTED_VALUE"""),"ALFA DE LEON")</f>
        <v>ALFA DE LEON</v>
      </c>
      <c r="C3436" s="235" t="str">
        <f>IFERROR(__xludf.DUMMYFUNCTION("""COMPUTED_VALUE"""),"LANDSCAPING")</f>
        <v>LANDSCAPING</v>
      </c>
      <c r="D3436" s="196" t="str">
        <f>IFERROR(__xludf.DUMMYFUNCTION("""COMPUTED_VALUE"""),"RED BANABA 8 - 10 FT 50
TALISAY BATANGAS
CONTACT PERSON: NOEL AUSTRIA 09065799457")</f>
        <v>RED BANABA 8 - 10 FT 50
TALISAY BATANGAS
CONTACT PERSON: NOEL AUSTRIA 09065799457</v>
      </c>
      <c r="E3436" s="196" t="str">
        <f>IFERROR(__xludf.DUMMYFUNCTION("""COMPUTED_VALUE"""),"BEAUTIFICATION OF CAA CENTER ISLAND PLANTING OF TREES")</f>
        <v>BEAUTIFICATION OF CAA CENTER ISLAND PLANTING OF TREES</v>
      </c>
    </row>
    <row r="3437">
      <c r="A3437" s="234">
        <f>IFERROR(__xludf.DUMMYFUNCTION("""COMPUTED_VALUE"""),103728.0)</f>
        <v>103728</v>
      </c>
      <c r="B3437" s="235" t="str">
        <f>IFERROR(__xludf.DUMMYFUNCTION("""COMPUTED_VALUE"""),"BRIAN PATAG")</f>
        <v>BRIAN PATAG</v>
      </c>
      <c r="C3437" s="235" t="str">
        <f>IFERROR(__xludf.DUMMYFUNCTION("""COMPUTED_VALUE"""),"AMD")</f>
        <v>AMD</v>
      </c>
      <c r="D3437" s="196" t="str">
        <f>IFERROR(__xludf.DUMMYFUNCTION("""COMPUTED_VALUE"""),"MOPHEAD 50
RAIN BOOTS 50 PAIRS
RAIN COAT 2-PC 50PCS (HIGH QUALITY)
DUST PAN PLASTIC 50PCS
MR MUSCLE SUPER RILE BOWL CLEANER 100 PCS
DUST MOP HEAD #30 (MANSION) 50
POLISHER HEAD WITH BRUSH (BLK #16) 15 PCS
POLISHER HEAD WITH BRUSH (WHITE #16) 15 PCS
TOP LU"&amp;"STER 50 GAL
METAL POLISH 20 CANS")</f>
        <v>MOPHEAD 50
RAIN BOOTS 50 PAIRS
RAIN COAT 2-PC 50PCS (HIGH QUALITY)
DUST PAN PLASTIC 50PCS
MR MUSCLE SUPER RILE BOWL CLEANER 100 PCS
DUST MOP HEAD #30 (MANSION) 50
POLISHER HEAD WITH BRUSH (BLK #16) 15 PCS
POLISHER HEAD WITH BRUSH (WHITE #16) 15 PCS
TOP LUSTER 50 GAL
METAL POLISH 20 CANS</v>
      </c>
      <c r="E3437" s="196" t="str">
        <f>IFERROR(__xludf.DUMMYFUNCTION("""COMPUTED_VALUE"""),"FOR HOUSE KEEPING SUPPLIES REPLENISHMENTS ")</f>
        <v>FOR HOUSE KEEPING SUPPLIES REPLENISHMENTS </v>
      </c>
    </row>
    <row r="3438">
      <c r="A3438" s="234">
        <f>IFERROR(__xludf.DUMMYFUNCTION("""COMPUTED_VALUE"""),103729.0)</f>
        <v>103729</v>
      </c>
      <c r="B3438" s="235" t="str">
        <f>IFERROR(__xludf.DUMMYFUNCTION("""COMPUTED_VALUE"""),"CHARLES LEBECO DONOR ")</f>
        <v>CHARLES LEBECO DONOR </v>
      </c>
      <c r="C3438" s="235" t="str">
        <f>IFERROR(__xludf.DUMMYFUNCTION("""COMPUTED_VALUE"""),"AMD")</f>
        <v>AMD</v>
      </c>
      <c r="D3438" s="196" t="str">
        <f>IFERROR(__xludf.DUMMYFUNCTION("""COMPUTED_VALUE"""),"SCISSORS FOR EMPLOYEE (6INCHES) 100
GLUE ELMERS- 130 GRAMS (OSSUP) 80
RULER, PLASTIC ORION 12 INCHES 200                                                                                                        MARKER, WHITEBOARD PILOT BLACK 255             "&amp;"                                                                                                                       ENVELOPE BROWN LONG 1000 ")</f>
        <v>SCISSORS FOR EMPLOYEE (6INCHES) 100
GLUE ELMERS- 130 GRAMS (OSSUP) 80
RULER, PLASTIC ORION 12 INCHES 200                                                                                                        MARKER, WHITEBOARD PILOT BLACK 255                                                                                                                                    ENVELOPE BROWN LONG 1000 </v>
      </c>
      <c r="E3438" s="196" t="str">
        <f>IFERROR(__xludf.DUMMYFUNCTION("""COMPUTED_VALUE"""),"OSSUP STOCK REPLENISHMENT")</f>
        <v>OSSUP STOCK REPLENISHMENT</v>
      </c>
    </row>
    <row r="3439">
      <c r="A3439" s="234">
        <f>IFERROR(__xludf.DUMMYFUNCTION("""COMPUTED_VALUE"""),103730.0)</f>
        <v>103730</v>
      </c>
      <c r="B3439" s="235" t="str">
        <f>IFERROR(__xludf.DUMMYFUNCTION("""COMPUTED_VALUE"""),"JOMEL BUTIAL ")</f>
        <v>JOMEL BUTIAL </v>
      </c>
      <c r="C3439" s="235" t="str">
        <f>IFERROR(__xludf.DUMMYFUNCTION("""COMPUTED_VALUE"""),"PR &amp; MARKETING")</f>
        <v>PR &amp; MARKETING</v>
      </c>
      <c r="D3439" s="196" t="str">
        <f>IFERROR(__xludf.DUMMYFUNCTION("""COMPUTED_VALUE"""),"MARKETING TARP COLLEGE AREA 76 X 203 INCHES 1 PC; TOURISM TARP COLLEGE ARE 76 X 203 INCHES 1 PC; TCP TARP  TROPICAL AREA 6.5 X 15.5 FT 1 PC")</f>
        <v>MARKETING TARP COLLEGE AREA 76 X 203 INCHES 1 PC; TOURISM TARP COLLEGE ARE 76 X 203 INCHES 1 PC; TCP TARP  TROPICAL AREA 6.5 X 15.5 FT 1 PC</v>
      </c>
      <c r="E3439" s="196" t="str">
        <f>IFERROR(__xludf.DUMMYFUNCTION("""COMPUTED_VALUE"""),"MARKETING")</f>
        <v>MARKETING</v>
      </c>
    </row>
    <row r="3440">
      <c r="A3440" s="234">
        <f>IFERROR(__xludf.DUMMYFUNCTION("""COMPUTED_VALUE"""),103731.0)</f>
        <v>103731</v>
      </c>
      <c r="B3440" s="235" t="str">
        <f>IFERROR(__xludf.DUMMYFUNCTION("""COMPUTED_VALUE"""),"SHEREE ESPINOSA")</f>
        <v>SHEREE ESPINOSA</v>
      </c>
      <c r="C3440" s="235" t="str">
        <f>IFERROR(__xludf.DUMMYFUNCTION("""COMPUTED_VALUE"""),"ADMIN")</f>
        <v>ADMIN</v>
      </c>
      <c r="D3440" s="196" t="str">
        <f>IFERROR(__xludf.DUMMYFUNCTION("""COMPUTED_VALUE"""),"WASTE SEGRAGATION SIGNAGES 31")</f>
        <v>WASTE SEGRAGATION SIGNAGES 31</v>
      </c>
      <c r="E3440" s="196" t="str">
        <f>IFERROR(__xludf.DUMMYFUNCTION("""COMPUTED_VALUE"""),"FOR TRASHBINS SIGNAGES ")</f>
        <v>FOR TRASHBINS SIGNAGES </v>
      </c>
    </row>
    <row r="3441">
      <c r="A3441" s="234">
        <f>IFERROR(__xludf.DUMMYFUNCTION("""COMPUTED_VALUE"""),103732.0)</f>
        <v>103732</v>
      </c>
      <c r="B3441" s="235" t="str">
        <f>IFERROR(__xludf.DUMMYFUNCTION("""COMPUTED_VALUE"""),"JOHN REOZEL FUENTES")</f>
        <v>JOHN REOZEL FUENTES</v>
      </c>
      <c r="C3441" s="235" t="str">
        <f>IFERROR(__xludf.DUMMYFUNCTION("""COMPUTED_VALUE"""),"REGISTRATION")</f>
        <v>REGISTRATION</v>
      </c>
      <c r="D3441" s="196" t="str">
        <f>IFERROR(__xludf.DUMMYFUNCTION("""COMPUTED_VALUE"""),"SELF INKING TREDAT(CERTIFIED TRUE COPY) 2PCS
SELF INKING TRODAT (RECEIVED) 2PCS")</f>
        <v>SELF INKING TREDAT(CERTIFIED TRUE COPY) 2PCS
SELF INKING TRODAT (RECEIVED) 2PCS</v>
      </c>
      <c r="E3441" s="196" t="str">
        <f>IFERROR(__xludf.DUMMYFUNCTION("""COMPUTED_VALUE"""),"FOR OFFICE USE/ FOR CREDENTIAL REQUEST AND FOR THE DOCUMENTS OF THE STUDENTS ")</f>
        <v>FOR OFFICE USE/ FOR CREDENTIAL REQUEST AND FOR THE DOCUMENTS OF THE STUDENTS </v>
      </c>
    </row>
    <row r="3442">
      <c r="A3442" s="234">
        <f>IFERROR(__xludf.DUMMYFUNCTION("""COMPUTED_VALUE"""),103733.0)</f>
        <v>103733</v>
      </c>
      <c r="B3442" s="235" t="str">
        <f>IFERROR(__xludf.DUMMYFUNCTION("""COMPUTED_VALUE"""),"JESUIT CHRISTIAN GALICIA")</f>
        <v>JESUIT CHRISTIAN GALICIA</v>
      </c>
      <c r="C3442" s="235" t="str">
        <f>IFERROR(__xludf.DUMMYFUNCTION("""COMPUTED_VALUE"""),"AMD")</f>
        <v>AMD</v>
      </c>
      <c r="D3442" s="196" t="str">
        <f>IFERROR(__xludf.DUMMYFUNCTION("""COMPUTED_VALUE"""),"DOOR  KNOB (GATEMAN) 30PCS
LED  BUILD 3W MINI DAYLIGHT-PHILIPS 30PCS
CRESTON LAVATORY FAUCET 30PCS")</f>
        <v>DOOR  KNOB (GATEMAN) 30PCS
LED  BUILD 3W MINI DAYLIGHT-PHILIPS 30PCS
CRESTON LAVATORY FAUCET 30PCS</v>
      </c>
      <c r="E3442" s="196" t="str">
        <f>IFERROR(__xludf.DUMMYFUNCTION("""COMPUTED_VALUE"""),"ENGINEERING WAREHOUSE STOCK REPLENISHMENT")</f>
        <v>ENGINEERING WAREHOUSE STOCK REPLENISHMENT</v>
      </c>
    </row>
    <row r="3443">
      <c r="A3443" s="234">
        <f>IFERROR(__xludf.DUMMYFUNCTION("""COMPUTED_VALUE"""),103734.0)</f>
        <v>103734</v>
      </c>
      <c r="B3443" s="235" t="str">
        <f>IFERROR(__xludf.DUMMYFUNCTION("""COMPUTED_VALUE"""),"JESUIT CHRISTIAN GALICIA")</f>
        <v>JESUIT CHRISTIAN GALICIA</v>
      </c>
      <c r="C3443" s="235" t="str">
        <f>IFERROR(__xludf.DUMMYFUNCTION("""COMPUTED_VALUE"""),"AMD")</f>
        <v>AMD</v>
      </c>
      <c r="D3443" s="196" t="str">
        <f>IFERROR(__xludf.DUMMYFUNCTION("""COMPUTED_VALUE"""),"VIDEOCARD 1GB DD3 64BIT(NVIDIA) 5PCS
WIFI CARD PCI-E 20PCS")</f>
        <v>VIDEOCARD 1GB DD3 64BIT(NVIDIA) 5PCS
WIFI CARD PCI-E 20PCS</v>
      </c>
      <c r="E3443" s="196" t="str">
        <f>IFERROR(__xludf.DUMMYFUNCTION("""COMPUTED_VALUE"""),"MIS WAREHOUSE STOCK REFLENISHMENT")</f>
        <v>MIS WAREHOUSE STOCK REFLENISHMENT</v>
      </c>
    </row>
    <row r="3444">
      <c r="A3444" s="234">
        <f>IFERROR(__xludf.DUMMYFUNCTION("""COMPUTED_VALUE"""),103735.0)</f>
        <v>103735</v>
      </c>
      <c r="B3444" s="235" t="str">
        <f>IFERROR(__xludf.DUMMYFUNCTION("""COMPUTED_VALUE"""),"JOMEL BUTIAL ")</f>
        <v>JOMEL BUTIAL </v>
      </c>
      <c r="C3444" s="235" t="str">
        <f>IFERROR(__xludf.DUMMYFUNCTION("""COMPUTED_VALUE"""),"PR &amp; MARKETING")</f>
        <v>PR &amp; MARKETING</v>
      </c>
      <c r="D3444" s="196" t="str">
        <f>IFERROR(__xludf.DUMMYFUNCTION("""COMPUTED_VALUE"""),"ADDITIONAL WELCOME TARP FOR STAR CAMPUS 1 PC. SIZE H-72"" W- 196"" 18 ONZ EYELET ALL OVER")</f>
        <v>ADDITIONAL WELCOME TARP FOR STAR CAMPUS 1 PC. SIZE H-72" W- 196" 18 ONZ EYELET ALL OVER</v>
      </c>
      <c r="E3444" s="196" t="str">
        <f>IFERROR(__xludf.DUMMYFUNCTION("""COMPUTED_VALUE"""),"MARKETING AND WELCOME BANNER FOR THE STUDENTS")</f>
        <v>MARKETING AND WELCOME BANNER FOR THE STUDENTS</v>
      </c>
    </row>
    <row r="3445">
      <c r="A3445" s="234">
        <f>IFERROR(__xludf.DUMMYFUNCTION("""COMPUTED_VALUE"""),103736.0)</f>
        <v>103736</v>
      </c>
      <c r="B3445" s="235" t="str">
        <f>IFERROR(__xludf.DUMMYFUNCTION("""COMPUTED_VALUE"""),"MS JAN GUTIEREZ AND MS NESSIE")</f>
        <v>MS JAN GUTIEREZ AND MS NESSIE</v>
      </c>
      <c r="C3445" s="235" t="str">
        <f>IFERROR(__xludf.DUMMYFUNCTION("""COMPUTED_VALUE"""),"DP'S OFFICE")</f>
        <v>DP'S OFFICE</v>
      </c>
      <c r="D3445" s="196" t="str">
        <f>IFERROR(__xludf.DUMMYFUNCTION("""COMPUTED_VALUE"""),"TRANSIT PASS POCKET CHARTS 15")</f>
        <v>TRANSIT PASS POCKET CHARTS 15</v>
      </c>
      <c r="E3445" s="196" t="str">
        <f>IFERROR(__xludf.DUMMYFUNCTION("""COMPUTED_VALUE"""),"ADVISER WELCOME KIT FOR AY 2023-2024")</f>
        <v>ADVISER WELCOME KIT FOR AY 2023-2024</v>
      </c>
    </row>
    <row r="3446">
      <c r="A3446" s="234">
        <f>IFERROR(__xludf.DUMMYFUNCTION("""COMPUTED_VALUE"""),103737.0)</f>
        <v>103737</v>
      </c>
      <c r="B3446" s="235" t="str">
        <f>IFERROR(__xludf.DUMMYFUNCTION("""COMPUTED_VALUE"""),"OWIE PAR ")</f>
        <v>OWIE PAR </v>
      </c>
      <c r="C3446" s="235" t="str">
        <f>IFERROR(__xludf.DUMMYFUNCTION("""COMPUTED_VALUE"""),"ENGINEERING")</f>
        <v>ENGINEERING</v>
      </c>
      <c r="D3446" s="196" t="str">
        <f>IFERROR(__xludf.DUMMYFUNCTION("""COMPUTED_VALUE"""),"WINDOW TYPE ACU 1.5 HP
INVERTER")</f>
        <v>WINDOW TYPE ACU 1.5 HP
INVERTER</v>
      </c>
      <c r="E3446" s="196" t="str">
        <f>IFERROR(__xludf.DUMMYFUNCTION("""COMPUTED_VALUE"""),"FOR V PAR OFFICE MS ASTRID CUBICLE")</f>
        <v>FOR V PAR OFFICE MS ASTRID CUBICLE</v>
      </c>
    </row>
    <row r="3447">
      <c r="A3447" s="234">
        <f>IFERROR(__xludf.DUMMYFUNCTION("""COMPUTED_VALUE"""),103738.0)</f>
        <v>103738</v>
      </c>
      <c r="B3447" s="235" t="str">
        <f>IFERROR(__xludf.DUMMYFUNCTION("""COMPUTED_VALUE"""),"ALFA DE LEON")</f>
        <v>ALFA DE LEON</v>
      </c>
      <c r="C3447" s="235" t="str">
        <f>IFERROR(__xludf.DUMMYFUNCTION("""COMPUTED_VALUE"""),"ADMIN - MUNICH")</f>
        <v>ADMIN - MUNICH</v>
      </c>
      <c r="D3447" s="196" t="str">
        <f>IFERROR(__xludf.DUMMYFUNCTION("""COMPUTED_VALUE"""),"MATERIALS FOR MUNICH CAMPUS - SEE ATTACHED DOCUMENTS FOR REFERENCE")</f>
        <v>MATERIALS FOR MUNICH CAMPUS - SEE ATTACHED DOCUMENTS FOR REFERENCE</v>
      </c>
      <c r="E3447" s="196" t="str">
        <f>IFERROR(__xludf.DUMMYFUNCTION("""COMPUTED_VALUE"""),"MATERIALS FOR MUNICH CAMPUS REPAIRNG ")</f>
        <v>MATERIALS FOR MUNICH CAMPUS REPAIRNG </v>
      </c>
    </row>
    <row r="3448">
      <c r="A3448" s="234">
        <f>IFERROR(__xludf.DUMMYFUNCTION("""COMPUTED_VALUE"""),103739.0)</f>
        <v>103739</v>
      </c>
      <c r="B3448" s="235" t="str">
        <f>IFERROR(__xludf.DUMMYFUNCTION("""COMPUTED_VALUE"""),"JOMEL BUTIAL ")</f>
        <v>JOMEL BUTIAL </v>
      </c>
      <c r="C3448" s="235" t="str">
        <f>IFERROR(__xludf.DUMMYFUNCTION("""COMPUTED_VALUE"""),"PR &amp; MARKETING")</f>
        <v>PR &amp; MARKETING</v>
      </c>
      <c r="D3448" s="196" t="str">
        <f>IFERROR(__xludf.DUMMYFUNCTION("""COMPUTED_VALUE"""),"PSYCHOLOGY BOARD PASSERS TARP 1 PC W-147"" H- 80"" THICKNESS- 18 ONZ")</f>
        <v>PSYCHOLOGY BOARD PASSERS TARP 1 PC W-147" H- 80" THICKNESS- 18 ONZ</v>
      </c>
      <c r="E3448" s="196" t="str">
        <f>IFERROR(__xludf.DUMMYFUNCTION("""COMPUTED_VALUE"""),"MARKETING / CONGRATULATORY TARP")</f>
        <v>MARKETING / CONGRATULATORY TARP</v>
      </c>
    </row>
    <row r="3449">
      <c r="A3449" s="234">
        <f>IFERROR(__xludf.DUMMYFUNCTION("""COMPUTED_VALUE"""),103740.0)</f>
        <v>103740</v>
      </c>
      <c r="B3449" s="235" t="str">
        <f>IFERROR(__xludf.DUMMYFUNCTION("""COMPUTED_VALUE"""),"OWIE PAR")</f>
        <v>OWIE PAR</v>
      </c>
      <c r="C3449" s="235" t="str">
        <f>IFERROR(__xludf.DUMMYFUNCTION("""COMPUTED_VALUE"""),"ENGINEERING")</f>
        <v>ENGINEERING</v>
      </c>
      <c r="D3449" s="196" t="str">
        <f>IFERROR(__xludf.DUMMYFUNCTION("""COMPUTED_VALUE"""),"T-5 28W DAYLIGHT W/ HOUSING")</f>
        <v>T-5 28W DAYLIGHT W/ HOUSING</v>
      </c>
      <c r="E3449" s="196" t="str">
        <f>IFERROR(__xludf.DUMMYFUNCTION("""COMPUTED_VALUE"""),"FOR MMA REPLACEMENT")</f>
        <v>FOR MMA REPLACEMENT</v>
      </c>
    </row>
    <row r="3450">
      <c r="A3450" s="234">
        <f>IFERROR(__xludf.DUMMYFUNCTION("""COMPUTED_VALUE"""),103741.0)</f>
        <v>103741</v>
      </c>
      <c r="B3450" s="235" t="str">
        <f>IFERROR(__xludf.DUMMYFUNCTION("""COMPUTED_VALUE"""),"SHEREE ESPINOSA/ RONALDO VERDE")</f>
        <v>SHEREE ESPINOSA/ RONALDO VERDE</v>
      </c>
      <c r="C3450" s="235" t="str">
        <f>IFERROR(__xludf.DUMMYFUNCTION("""COMPUTED_VALUE"""),"ADMIN")</f>
        <v>ADMIN</v>
      </c>
      <c r="D3450" s="196" t="str">
        <f>IFERROR(__xludf.DUMMYFUNCTION("""COMPUTED_VALUE"""),"PLAIN BEIGE 60x60 100
TILE ADHESIVE 10
TILE GROUT 2")</f>
        <v>PLAIN BEIGE 60x60 100
TILE ADHESIVE 10
TILE GROUT 2</v>
      </c>
      <c r="E3450" s="196" t="str">
        <f>IFERROR(__xludf.DUMMYFUNCTION("""COMPUTED_VALUE"""),"PREPARATION OF OPENING OF CLASSES (ADDITIONAL TILES FOR REPLACING POP-UP TILES, LUX BUILDING)")</f>
        <v>PREPARATION OF OPENING OF CLASSES (ADDITIONAL TILES FOR REPLACING POP-UP TILES, LUX BUILDING)</v>
      </c>
    </row>
    <row r="3451">
      <c r="A3451" s="234">
        <f>IFERROR(__xludf.DUMMYFUNCTION("""COMPUTED_VALUE"""),103742.0)</f>
        <v>103742</v>
      </c>
      <c r="B3451" s="235" t="str">
        <f>IFERROR(__xludf.DUMMYFUNCTION("""COMPUTED_VALUE"""),"SHEREE ESPINOSA/ RONALDO VERDE")</f>
        <v>SHEREE ESPINOSA/ RONALDO VERDE</v>
      </c>
      <c r="C3451" s="235" t="str">
        <f>IFERROR(__xludf.DUMMYFUNCTION("""COMPUTED_VALUE"""),"ADMIN")</f>
        <v>ADMIN</v>
      </c>
      <c r="D3451" s="196" t="str">
        <f>IFERROR(__xludf.DUMMYFUNCTION("""COMPUTED_VALUE"""),"SEMI GLOSS LATEX 
EPOXY REDUCER
QDE CHICO BROWN
SANDING PAPER")</f>
        <v>SEMI GLOSS LATEX 
EPOXY REDUCER
QDE CHICO BROWN
SANDING PAPER</v>
      </c>
      <c r="E3451" s="196" t="str">
        <f>IFERROR(__xludf.DUMMYFUNCTION("""COMPUTED_VALUE"""),"LUX AND COLLEGE BUILDING (PREPARATION FOR OPENING OF CLASSES)")</f>
        <v>LUX AND COLLEGE BUILDING (PREPARATION FOR OPENING OF CLASSES)</v>
      </c>
    </row>
    <row r="3452">
      <c r="A3452" s="234">
        <f>IFERROR(__xludf.DUMMYFUNCTION("""COMPUTED_VALUE"""),103743.0)</f>
        <v>103743</v>
      </c>
      <c r="B3452" s="235" t="str">
        <f>IFERROR(__xludf.DUMMYFUNCTION("""COMPUTED_VALUE"""),"ALFA DE LEON")</f>
        <v>ALFA DE LEON</v>
      </c>
      <c r="C3452" s="235" t="str">
        <f>IFERROR(__xludf.DUMMYFUNCTION("""COMPUTED_VALUE"""),"MUNICH")</f>
        <v>MUNICH</v>
      </c>
      <c r="D3452" s="196" t="str">
        <f>IFERROR(__xludf.DUMMYFUNCTION("""COMPUTED_VALUE"""),"PAINTING MATERIALS SI#31402 1
PAINTING MATERIALS SI#8467 1
PVC BOX SI#31380 1
OMNI BLANK COVER SI# 31293 1
ELECTRICAL MATERIALS SI#31372 1
PAINT MATERIALS SI#85641
PAINT MATERIALS SI#31567 1")</f>
        <v>PAINTING MATERIALS SI#31402 1
PAINTING MATERIALS SI#8467 1
PVC BOX SI#31380 1
OMNI BLANK COVER SI# 31293 1
ELECTRICAL MATERIALS SI#31372 1
PAINT MATERIALS SI#85641
PAINT MATERIALS SI#31567 1</v>
      </c>
      <c r="E3452" s="196" t="str">
        <f>IFERROR(__xludf.DUMMYFUNCTION("""COMPUTED_VALUE"""),"REPAINTING OF CLASSROOMS , WALLS, TABLES, CABINETS AND ELECTRICAL MATERIALS")</f>
        <v>REPAINTING OF CLASSROOMS , WALLS, TABLES, CABINETS AND ELECTRICAL MATERIALS</v>
      </c>
    </row>
    <row r="3453">
      <c r="A3453" s="234">
        <f>IFERROR(__xludf.DUMMYFUNCTION("""COMPUTED_VALUE"""),103744.0)</f>
        <v>103744</v>
      </c>
      <c r="B3453" s="235" t="str">
        <f>IFERROR(__xludf.DUMMYFUNCTION("""COMPUTED_VALUE"""),"ALFA DE LEON")</f>
        <v>ALFA DE LEON</v>
      </c>
      <c r="C3453" s="235" t="str">
        <f>IFERROR(__xludf.DUMMYFUNCTION("""COMPUTED_VALUE"""),"STAR CAMPUS")</f>
        <v>STAR CAMPUS</v>
      </c>
      <c r="D3453" s="196" t="str">
        <f>IFERROR(__xludf.DUMMYFUNCTION("""COMPUTED_VALUE"""),"PICARRA 70
SELLOUM 30
SCHLEFFERA 30
GOLDEN PEANUT 500
FOXTAIL FERN 5
HELICONIA 50
KAWA 5")</f>
        <v>PICARRA 70
SELLOUM 30
SCHLEFFERA 30
GOLDEN PEANUT 500
FOXTAIL FERN 5
HELICONIA 50
KAWA 5</v>
      </c>
      <c r="E3453" s="196" t="str">
        <f>IFERROR(__xludf.DUMMYFUNCTION("""COMPUTED_VALUE"""),"PLANTS IMPROVEMENT, MAINTENANCE IN STAR CAMPUS PARKING,ANNEX AND INFRONT")</f>
        <v>PLANTS IMPROVEMENT, MAINTENANCE IN STAR CAMPUS PARKING,ANNEX AND INFRONT</v>
      </c>
    </row>
    <row r="3454">
      <c r="A3454" s="234">
        <f>IFERROR(__xludf.DUMMYFUNCTION("""COMPUTED_VALUE"""),103745.0)</f>
        <v>103745</v>
      </c>
      <c r="B3454" s="235" t="str">
        <f>IFERROR(__xludf.DUMMYFUNCTION("""COMPUTED_VALUE"""),"BRIAN PATAG")</f>
        <v>BRIAN PATAG</v>
      </c>
      <c r="C3454" s="235" t="str">
        <f>IFERROR(__xludf.DUMMYFUNCTION("""COMPUTED_VALUE"""),"AMD")</f>
        <v>AMD</v>
      </c>
      <c r="D3454" s="196" t="str">
        <f>IFERROR(__xludf.DUMMYFUNCTION("""COMPUTED_VALUE"""),"RAINBOOTS FEMALE 25PCS")</f>
        <v>RAINBOOTS FEMALE 25PCS</v>
      </c>
      <c r="E3454" s="196" t="str">
        <f>IFERROR(__xludf.DUMMYFUNCTION("""COMPUTED_VALUE"""),"HOUSEKEEPING SUPPLIES REPLENISHMENTS")</f>
        <v>HOUSEKEEPING SUPPLIES REPLENISHMENTS</v>
      </c>
    </row>
    <row r="3455">
      <c r="A3455" s="234">
        <f>IFERROR(__xludf.DUMMYFUNCTION("""COMPUTED_VALUE"""),103746.0)</f>
        <v>103746</v>
      </c>
      <c r="B3455" s="235" t="str">
        <f>IFERROR(__xludf.DUMMYFUNCTION("""COMPUTED_VALUE"""),"ALFA DE LEON")</f>
        <v>ALFA DE LEON</v>
      </c>
      <c r="C3455" s="235" t="str">
        <f>IFERROR(__xludf.DUMMYFUNCTION("""COMPUTED_VALUE"""),"ADMIN - MUNICH")</f>
        <v>ADMIN - MUNICH</v>
      </c>
      <c r="D3455" s="196" t="str">
        <f>IFERROR(__xludf.DUMMYFUNCTION("""COMPUTED_VALUE"""),"CAMEL BOOTS FEMALE 7
CAMEL BOOTS MALE 3")</f>
        <v>CAMEL BOOTS FEMALE 7
CAMEL BOOTS MALE 3</v>
      </c>
      <c r="E3455" s="196" t="str">
        <f>IFERROR(__xludf.DUMMYFUNCTION("""COMPUTED_VALUE"""),"HOUSEKEEPING")</f>
        <v>HOUSEKEEPING</v>
      </c>
    </row>
    <row r="3456">
      <c r="A3456" s="234">
        <f>IFERROR(__xludf.DUMMYFUNCTION("""COMPUTED_VALUE"""),103747.0)</f>
        <v>103747</v>
      </c>
      <c r="B3456" s="235" t="str">
        <f>IFERROR(__xludf.DUMMYFUNCTION("""COMPUTED_VALUE"""),"ALFA DE LEON")</f>
        <v>ALFA DE LEON</v>
      </c>
      <c r="C3456" s="235" t="str">
        <f>IFERROR(__xludf.DUMMYFUNCTION("""COMPUTED_VALUE"""),"LANDSCAPING")</f>
        <v>LANDSCAPING</v>
      </c>
      <c r="D3456" s="196" t="str">
        <f>IFERROR(__xludf.DUMMYFUNCTION("""COMPUTED_VALUE"""),"FROG GRASS 120
PICARA 50
FORGET ME NOT 15")</f>
        <v>FROG GRASS 120
PICARA 50
FORGET ME NOT 15</v>
      </c>
      <c r="E3456" s="196" t="str">
        <f>IFERROR(__xludf.DUMMYFUNCTION("""COMPUTED_VALUE"""),"PLANTS MAINTENANCE")</f>
        <v>PLANTS MAINTENANCE</v>
      </c>
    </row>
    <row r="3457">
      <c r="A3457" s="234">
        <f>IFERROR(__xludf.DUMMYFUNCTION("""COMPUTED_VALUE"""),103748.0)</f>
        <v>103748</v>
      </c>
      <c r="B3457" s="235" t="str">
        <f>IFERROR(__xludf.DUMMYFUNCTION("""COMPUTED_VALUE"""),"ALFA DE LEON")</f>
        <v>ALFA DE LEON</v>
      </c>
      <c r="C3457" s="235" t="str">
        <f>IFERROR(__xludf.DUMMYFUNCTION("""COMPUTED_VALUE"""),"MUNICH")</f>
        <v>MUNICH</v>
      </c>
      <c r="D3457" s="196" t="str">
        <f>IFERROR(__xludf.DUMMYFUNCTION("""COMPUTED_VALUE"""),"IWATA 6")</f>
        <v>IWATA 6</v>
      </c>
      <c r="E3457" s="196" t="str">
        <f>IFERROR(__xludf.DUMMYFUNCTION("""COMPUTED_VALUE"""),"G/F TO 3/F SLABBED AREA (HALLWAYS)")</f>
        <v>G/F TO 3/F SLABBED AREA (HALLWAYS)</v>
      </c>
    </row>
    <row r="3458">
      <c r="A3458" s="234">
        <f>IFERROR(__xludf.DUMMYFUNCTION("""COMPUTED_VALUE"""),103749.0)</f>
        <v>103749</v>
      </c>
      <c r="B3458" s="235" t="str">
        <f>IFERROR(__xludf.DUMMYFUNCTION("""COMPUTED_VALUE"""),"JOHN CARLO CAMPIT")</f>
        <v>JOHN CARLO CAMPIT</v>
      </c>
      <c r="C3458" s="235" t="str">
        <f>IFERROR(__xludf.DUMMYFUNCTION("""COMPUTED_VALUE"""),"ABU")</f>
        <v>ABU</v>
      </c>
      <c r="D3458" s="196" t="str">
        <f>IFERROR(__xludf.DUMMYFUNCTION("""COMPUTED_VALUE"""),"CIRCUIT BREAKER 60AMP W/ ENCLOSURE 2SET
THHN #10 1 ROLL
FLEXIBLE PIPE 1/2 50 METER/ROLL 1ROLL
BLANK COVER 2 SETS
PVC CLAMP 1/2 20PCS
")</f>
        <v>CIRCUIT BREAKER 60AMP W/ ENCLOSURE 2SET
THHN #10 1 ROLL
FLEXIBLE PIPE 1/2 50 METER/ROLL 1ROLL
BLANK COVER 2 SETS
PVC CLAMP 1/2 20PCS
</v>
      </c>
      <c r="E3458" s="196" t="str">
        <f>IFERROR(__xludf.DUMMYFUNCTION("""COMPUTED_VALUE"""),"NEW CONCESSIONAIRE ELECTRICAL WIRING")</f>
        <v>NEW CONCESSIONAIRE ELECTRICAL WIRING</v>
      </c>
    </row>
    <row r="3459">
      <c r="A3459" s="234">
        <f>IFERROR(__xludf.DUMMYFUNCTION("""COMPUTED_VALUE"""),103750.0)</f>
        <v>103750</v>
      </c>
      <c r="B3459" s="235" t="str">
        <f>IFERROR(__xludf.DUMMYFUNCTION("""COMPUTED_VALUE"""),"RONY MANSBRIDGE/ ROMAN VERDE")</f>
        <v>RONY MANSBRIDGE/ ROMAN VERDE</v>
      </c>
      <c r="C3459" s="235" t="str">
        <f>IFERROR(__xludf.DUMMYFUNCTION("""COMPUTED_VALUE"""),"ADMIN")</f>
        <v>ADMIN</v>
      </c>
      <c r="D3459" s="196" t="str">
        <f>IFERROR(__xludf.DUMMYFUNCTION("""COMPUTED_VALUE"""),"150 WATT/ DAYLIGHT AC TYPE 1PC
FLOOD LED LIGHT (150  WATTS BASKE BAN/ DAY LIGHT) 2PCS")</f>
        <v>150 WATT/ DAYLIGHT AC TYPE 1PC
FLOOD LED LIGHT (150  WATTS BASKE BAN/ DAY LIGHT) 2PCS</v>
      </c>
      <c r="E3459" s="196" t="str">
        <f>IFERROR(__xludf.DUMMYFUNCTION("""COMPUTED_VALUE"""),"FOR MONARCH/ SOCCER FIELD")</f>
        <v>FOR MONARCH/ SOCCER FIELD</v>
      </c>
    </row>
    <row r="3460">
      <c r="A3460" s="234">
        <f>IFERROR(__xludf.DUMMYFUNCTION("""COMPUTED_VALUE"""),103751.0)</f>
        <v>103751</v>
      </c>
      <c r="B3460" s="235" t="str">
        <f>IFERROR(__xludf.DUMMYFUNCTION("""COMPUTED_VALUE"""),"OWIE PAR ")</f>
        <v>OWIE PAR </v>
      </c>
      <c r="C3460" s="235" t="str">
        <f>IFERROR(__xludf.DUMMYFUNCTION("""COMPUTED_VALUE"""),"ADMIN")</f>
        <v>ADMIN</v>
      </c>
      <c r="D3460" s="196" t="str">
        <f>IFERROR(__xludf.DUMMYFUNCTION("""COMPUTED_VALUE"""),"TUBULAR BAR 2.0x1""x2"" 15PCS
CUTTING DISC #4 (TYROLIT) 5PCS
WELDING ROD (SPECIAL) 2KGS
DYNA BOLT #1/4 40PCS
GRINDING DISC #4 TYROLIT 2PCS
MASONRY BIT #1/4 1PC
EPOXY PRIMER (GRAY) W HARDINESS 2 QUARTS")</f>
        <v>TUBULAR BAR 2.0x1"x2" 15PCS
CUTTING DISC #4 (TYROLIT) 5PCS
WELDING ROD (SPECIAL) 2KGS
DYNA BOLT #1/4 40PCS
GRINDING DISC #4 TYROLIT 2PCS
MASONRY BIT #1/4 1PC
EPOXY PRIMER (GRAY) W HARDINESS 2 QUARTS</v>
      </c>
      <c r="E3460" s="196" t="str">
        <f>IFERROR(__xludf.DUMMYFUNCTION("""COMPUTED_VALUE"""),"FOR RACK BRACKET (LUX BUILDING)")</f>
        <v>FOR RACK BRACKET (LUX BUILDING)</v>
      </c>
    </row>
    <row r="3461">
      <c r="A3461" s="234">
        <f>IFERROR(__xludf.DUMMYFUNCTION("""COMPUTED_VALUE"""),103752.0)</f>
        <v>103752</v>
      </c>
      <c r="B3461" s="235" t="str">
        <f>IFERROR(__xludf.DUMMYFUNCTION("""COMPUTED_VALUE"""),"OWIE PAR ")</f>
        <v>OWIE PAR </v>
      </c>
      <c r="C3461" s="235" t="str">
        <f>IFERROR(__xludf.DUMMYFUNCTION("""COMPUTED_VALUE"""),"ENGINEERING")</f>
        <v>ENGINEERING</v>
      </c>
      <c r="D3461" s="196" t="str">
        <f>IFERROR(__xludf.DUMMYFUNCTION("""COMPUTED_VALUE"""),"2.5 HP DAIKEN CEILING CASSETTE TYPE 1UNIT
SEE ATTACHED QOUTION")</f>
        <v>2.5 HP DAIKEN CEILING CASSETTE TYPE 1UNIT
SEE ATTACHED QOUTION</v>
      </c>
      <c r="E3461" s="196" t="str">
        <f>IFERROR(__xludf.DUMMYFUNCTION("""COMPUTED_VALUE"""),"FOR TROPICAL AUDIT DEPT ACU REPLACEMENT")</f>
        <v>FOR TROPICAL AUDIT DEPT ACU REPLACEMENT</v>
      </c>
    </row>
    <row r="3462">
      <c r="A3462" s="234">
        <f>IFERROR(__xludf.DUMMYFUNCTION("""COMPUTED_VALUE"""),103753.0)</f>
        <v>103753</v>
      </c>
      <c r="B3462" s="235" t="str">
        <f>IFERROR(__xludf.DUMMYFUNCTION("""COMPUTED_VALUE"""),"CHRISTIAN S. ANDRES")</f>
        <v>CHRISTIAN S. ANDRES</v>
      </c>
      <c r="C3462" s="235" t="str">
        <f>IFERROR(__xludf.DUMMYFUNCTION("""COMPUTED_VALUE"""),"PR")</f>
        <v>PR</v>
      </c>
      <c r="D3462" s="196" t="str">
        <f>IFERROR(__xludf.DUMMYFUNCTION("""COMPUTED_VALUE"""),"TOPS POSTER /COLLEGE RECRUITEMENT 11.687X16.5"" POSTER 100 PCS'")</f>
        <v>TOPS POSTER /COLLEGE RECRUITEMENT 11.687X16.5" POSTER 100 PCS'</v>
      </c>
      <c r="E3462" s="196" t="str">
        <f>IFERROR(__xludf.DUMMYFUNCTION("""COMPUTED_VALUE"""),"SCHOLARSHIP MARKETING")</f>
        <v>SCHOLARSHIP MARKETING</v>
      </c>
    </row>
    <row r="3463">
      <c r="A3463" s="234">
        <f>IFERROR(__xludf.DUMMYFUNCTION("""COMPUTED_VALUE"""),103754.0)</f>
        <v>103754</v>
      </c>
      <c r="B3463" s="235" t="str">
        <f>IFERROR(__xludf.DUMMYFUNCTION("""COMPUTED_VALUE"""),"CHARLES LEBECO DONOR")</f>
        <v>CHARLES LEBECO DONOR</v>
      </c>
      <c r="C3463" s="235" t="str">
        <f>IFERROR(__xludf.DUMMYFUNCTION("""COMPUTED_VALUE"""),"AMD")</f>
        <v>AMD</v>
      </c>
      <c r="D3463" s="196" t="str">
        <f>IFERROR(__xludf.DUMMYFUNCTION("""COMPUTED_VALUE"""),"TRODAT-RED-PRINTY4910
TEXT-""Charles Lebeco Donor""
FONT FAMILY- ROBOTO MEDIUM")</f>
        <v>TRODAT-RED-PRINTY4910
TEXT-"Charles Lebeco Donor"
FONT FAMILY- ROBOTO MEDIUM</v>
      </c>
      <c r="E3463" s="196" t="str">
        <f>IFERROR(__xludf.DUMMYFUNCTION("""COMPUTED_VALUE"""),"FOR OFFICE USE SIGNING OF RECEIPT")</f>
        <v>FOR OFFICE USE SIGNING OF RECEIPT</v>
      </c>
    </row>
    <row r="3464">
      <c r="A3464" s="234">
        <f>IFERROR(__xludf.DUMMYFUNCTION("""COMPUTED_VALUE"""),103755.0)</f>
        <v>103755</v>
      </c>
      <c r="B3464" s="235" t="str">
        <f>IFERROR(__xludf.DUMMYFUNCTION("""COMPUTED_VALUE"""),"BRIAN PATAG")</f>
        <v>BRIAN PATAG</v>
      </c>
      <c r="C3464" s="235" t="str">
        <f>IFERROR(__xludf.DUMMYFUNCTION("""COMPUTED_VALUE"""),"AMD")</f>
        <v>AMD</v>
      </c>
      <c r="D3464" s="196" t="str">
        <f>IFERROR(__xludf.DUMMYFUNCTION("""COMPUTED_VALUE"""),"RUBBER GLOVES 50PCS")</f>
        <v>RUBBER GLOVES 50PCS</v>
      </c>
      <c r="E3464" s="196" t="str">
        <f>IFERROR(__xludf.DUMMYFUNCTION("""COMPUTED_VALUE"""),"FOR HOUSE KEEPING REFLENISHMENT")</f>
        <v>FOR HOUSE KEEPING REFLENISHMENT</v>
      </c>
    </row>
    <row r="3465">
      <c r="A3465" s="234">
        <f>IFERROR(__xludf.DUMMYFUNCTION("""COMPUTED_VALUE"""),103756.0)</f>
        <v>103756</v>
      </c>
      <c r="B3465" s="235" t="str">
        <f>IFERROR(__xludf.DUMMYFUNCTION("""COMPUTED_VALUE"""),"BRIAN PATAG")</f>
        <v>BRIAN PATAG</v>
      </c>
      <c r="C3465" s="235" t="str">
        <f>IFERROR(__xludf.DUMMYFUNCTION("""COMPUTED_VALUE"""),"AMD")</f>
        <v>AMD</v>
      </c>
      <c r="D3465" s="196" t="str">
        <f>IFERROR(__xludf.DUMMYFUNCTION("""COMPUTED_VALUE"""),"
HAND SOAP ANTIBACTERIAL (YELLOW) 50 GAL
METAL POLISH 30PCS
TRASH BAG SMALL CLEAR 50x100
TRASH BAG MEDIUM CLEAR 50x100
TRASH BAG LARGE CLEAR 50x100
TRASH BAG XL CLEAR 50x100
TRASH BAG XXL CLEAR 50x100
")</f>
        <v>
HAND SOAP ANTIBACTERIAL (YELLOW) 50 GAL
METAL POLISH 30PCS
TRASH BAG SMALL CLEAR 50x100
TRASH BAG MEDIUM CLEAR 50x100
TRASH BAG LARGE CLEAR 50x100
TRASH BAG XL CLEAR 50x100
TRASH BAG XXL CLEAR 50x100
</v>
      </c>
      <c r="E3465" s="196" t="str">
        <f>IFERROR(__xludf.DUMMYFUNCTION("""COMPUTED_VALUE"""),"FOR HOUSEKEEPING REPLENISHMENT")</f>
        <v>FOR HOUSEKEEPING REPLENISHMENT</v>
      </c>
    </row>
    <row r="3466">
      <c r="A3466" s="234">
        <f>IFERROR(__xludf.DUMMYFUNCTION("""COMPUTED_VALUE"""),103757.0)</f>
        <v>103757</v>
      </c>
      <c r="B3466" s="235" t="str">
        <f>IFERROR(__xludf.DUMMYFUNCTION("""COMPUTED_VALUE"""),"MARINEL MARTINEZ")</f>
        <v>MARINEL MARTINEZ</v>
      </c>
      <c r="C3466" s="235" t="str">
        <f>IFERROR(__xludf.DUMMYFUNCTION("""COMPUTED_VALUE"""),"FINANCE &amp; ACCOUNTING")</f>
        <v>FINANCE &amp; ACCOUNTING</v>
      </c>
      <c r="D3466" s="196" t="str">
        <f>IFERROR(__xludf.DUMMYFUNCTION("""COMPUTED_VALUE"""),"EPSON LX310 1")</f>
        <v>EPSON LX310 1</v>
      </c>
      <c r="E3466" s="196" t="str">
        <f>IFERROR(__xludf.DUMMYFUNCTION("""COMPUTED_VALUE"""),"FOR PRINTING OF FSRM AND MANAGEMENT PAYSLIP- NEW PAYROLL SYSTEM")</f>
        <v>FOR PRINTING OF FSRM AND MANAGEMENT PAYSLIP- NEW PAYROLL SYSTEM</v>
      </c>
    </row>
    <row r="3467">
      <c r="A3467" s="234">
        <f>IFERROR(__xludf.DUMMYFUNCTION("""COMPUTED_VALUE"""),103758.0)</f>
        <v>103758</v>
      </c>
      <c r="B3467" s="235" t="str">
        <f>IFERROR(__xludf.DUMMYFUNCTION("""COMPUTED_VALUE"""),"JESUIT CHRISTIAN GALICIA")</f>
        <v>JESUIT CHRISTIAN GALICIA</v>
      </c>
      <c r="C3467" s="235" t="str">
        <f>IFERROR(__xludf.DUMMYFUNCTION("""COMPUTED_VALUE"""),"AMD")</f>
        <v>AMD</v>
      </c>
      <c r="D3467" s="196" t="str">
        <f>IFERROR(__xludf.DUMMYFUNCTION("""COMPUTED_VALUE"""),"LED BULB 8W DAYLIGHT PHILIPS")</f>
        <v>LED BULB 8W DAYLIGHT PHILIPS</v>
      </c>
      <c r="E3467" s="196" t="str">
        <f>IFERROR(__xludf.DUMMYFUNCTION("""COMPUTED_VALUE"""),"ENGINEERING WAREHOUSE STOCK REPLENISHMENT")</f>
        <v>ENGINEERING WAREHOUSE STOCK REPLENISHMENT</v>
      </c>
    </row>
    <row r="3468">
      <c r="A3468" s="234">
        <f>IFERROR(__xludf.DUMMYFUNCTION("""COMPUTED_VALUE"""),103759.0)</f>
        <v>103759</v>
      </c>
      <c r="B3468" s="235" t="str">
        <f>IFERROR(__xludf.DUMMYFUNCTION("""COMPUTED_VALUE"""),"CHRISTIAN LUCAS")</f>
        <v>CHRISTIAN LUCAS</v>
      </c>
      <c r="C3468" s="235" t="str">
        <f>IFERROR(__xludf.DUMMYFUNCTION("""COMPUTED_VALUE"""),"MIS")</f>
        <v>MIS</v>
      </c>
      <c r="D3468" s="196" t="str">
        <f>IFERROR(__xludf.DUMMYFUNCTION("""COMPUTED_VALUE"""),"MOULDING (PLS REFER TO PRF # 102945) 25")</f>
        <v>MOULDING (PLS REFER TO PRF # 102945) 25</v>
      </c>
      <c r="E3468" s="196" t="str">
        <f>IFERROR(__xludf.DUMMYFUNCTION("""COMPUTED_VALUE"""),"MOULDING FOR WIRES (HYVOLT)")</f>
        <v>MOULDING FOR WIRES (HYVOLT)</v>
      </c>
    </row>
    <row r="3469">
      <c r="A3469" s="234">
        <f>IFERROR(__xludf.DUMMYFUNCTION("""COMPUTED_VALUE"""),103760.0)</f>
        <v>103760</v>
      </c>
      <c r="B3469" s="235" t="str">
        <f>IFERROR(__xludf.DUMMYFUNCTION("""COMPUTED_VALUE"""),"OWIE PAR")</f>
        <v>OWIE PAR</v>
      </c>
      <c r="C3469" s="235" t="str">
        <f>IFERROR(__xludf.DUMMYFUNCTION("""COMPUTED_VALUE"""),"ENGINEERING")</f>
        <v>ENGINEERING</v>
      </c>
      <c r="D3469" s="196" t="str">
        <f>IFERROR(__xludf.DUMMYFUNCTION("""COMPUTED_VALUE"""),"DOWNLIGHT 30W")</f>
        <v>DOWNLIGHT 30W</v>
      </c>
      <c r="E3469" s="196" t="str">
        <f>IFERROR(__xludf.DUMMYFUNCTION("""COMPUTED_VALUE"""),"FOR COLLEGE LOBBY (HIGH CEILING)")</f>
        <v>FOR COLLEGE LOBBY (HIGH CEILING)</v>
      </c>
    </row>
    <row r="3470">
      <c r="A3470" s="234">
        <f>IFERROR(__xludf.DUMMYFUNCTION("""COMPUTED_VALUE"""),103761.0)</f>
        <v>103761</v>
      </c>
      <c r="B3470" s="235" t="str">
        <f>IFERROR(__xludf.DUMMYFUNCTION("""COMPUTED_VALUE"""),"OWIE PAR ")</f>
        <v>OWIE PAR </v>
      </c>
      <c r="C3470" s="235" t="str">
        <f>IFERROR(__xludf.DUMMYFUNCTION("""COMPUTED_VALUE"""),"ENGINEERING")</f>
        <v>ENGINEERING</v>
      </c>
      <c r="D3470" s="196" t="str">
        <f>IFERROR(__xludf.DUMMYFUNCTION("""COMPUTED_VALUE"""),"CEILING SLIM DAYLIGHT 60 PCS")</f>
        <v>CEILING SLIM DAYLIGHT 60 PCS</v>
      </c>
      <c r="E3470" s="196" t="str">
        <f>IFERROR(__xludf.DUMMYFUNCTION("""COMPUTED_VALUE"""),"FOR LUX 4TH FLR CLASSROOM ")</f>
        <v>FOR LUX 4TH FLR CLASSROOM </v>
      </c>
    </row>
    <row r="3471">
      <c r="A3471" s="234">
        <f>IFERROR(__xludf.DUMMYFUNCTION("""COMPUTED_VALUE"""),103762.0)</f>
        <v>103762</v>
      </c>
      <c r="B3471" s="235" t="str">
        <f>IFERROR(__xludf.DUMMYFUNCTION("""COMPUTED_VALUE"""),"SHEREE ESPINOSA")</f>
        <v>SHEREE ESPINOSA</v>
      </c>
      <c r="C3471" s="235" t="str">
        <f>IFERROR(__xludf.DUMMYFUNCTION("""COMPUTED_VALUE"""),"ADMIN")</f>
        <v>ADMIN</v>
      </c>
      <c r="D3471" s="196" t="str">
        <f>IFERROR(__xludf.DUMMYFUNCTION("""COMPUTED_VALUE"""),"LED ROPE LIGHT (BLUE ADAPTOR)")</f>
        <v>LED ROPE LIGHT (BLUE ADAPTOR)</v>
      </c>
      <c r="E3471" s="196" t="str">
        <f>IFERROR(__xludf.DUMMYFUNCTION("""COMPUTED_VALUE"""),"FOR MMA CEILING (REPLACEMENT OF BUSTED ROPE LIGHT)")</f>
        <v>FOR MMA CEILING (REPLACEMENT OF BUSTED ROPE LIGHT)</v>
      </c>
    </row>
    <row r="3472">
      <c r="A3472" s="234">
        <f>IFERROR(__xludf.DUMMYFUNCTION("""COMPUTED_VALUE"""),103763.0)</f>
        <v>103763</v>
      </c>
      <c r="B3472" s="235" t="str">
        <f>IFERROR(__xludf.DUMMYFUNCTION("""COMPUTED_VALUE"""),"CHARLES DONOR")</f>
        <v>CHARLES DONOR</v>
      </c>
      <c r="C3472" s="235" t="str">
        <f>IFERROR(__xludf.DUMMYFUNCTION("""COMPUTED_VALUE"""),"AMD")</f>
        <v>AMD</v>
      </c>
      <c r="D3472" s="196" t="str">
        <f>IFERROR(__xludf.DUMMYFUNCTION("""COMPUTED_VALUE"""),"RIBBON CARTRIDGE EPSON LX 310 SO15632 30PCS SOH=0")</f>
        <v>RIBBON CARTRIDGE EPSON LX 310 SO15632 30PCS SOH=0</v>
      </c>
      <c r="E3472" s="196" t="str">
        <f>IFERROR(__xludf.DUMMYFUNCTION("""COMPUTED_VALUE"""),"STOCK REPLISHMENT OSSUP")</f>
        <v>STOCK REPLISHMENT OSSUP</v>
      </c>
    </row>
    <row r="3473">
      <c r="A3473" s="234">
        <f>IFERROR(__xludf.DUMMYFUNCTION("""COMPUTED_VALUE"""),103764.0)</f>
        <v>103764</v>
      </c>
      <c r="B3473" s="235" t="str">
        <f>IFERROR(__xludf.DUMMYFUNCTION("""COMPUTED_VALUE"""),"OWIE PAR")</f>
        <v>OWIE PAR</v>
      </c>
      <c r="C3473" s="235" t="str">
        <f>IFERROR(__xludf.DUMMYFUNCTION("""COMPUTED_VALUE"""),"ENGINEERING")</f>
        <v>ENGINEERING</v>
      </c>
      <c r="D3473" s="196" t="str">
        <f>IFERROR(__xludf.DUMMYFUNCTION("""COMPUTED_VALUE"""),"GREASE TRAP CLEANER FLUID 2PAILS")</f>
        <v>GREASE TRAP CLEANER FLUID 2PAILS</v>
      </c>
      <c r="E3473" s="196" t="str">
        <f>IFERROR(__xludf.DUMMYFUNCTION("""COMPUTED_VALUE"""),"FOR GREASE TRAP CLEANING")</f>
        <v>FOR GREASE TRAP CLEANING</v>
      </c>
    </row>
    <row r="3474">
      <c r="A3474" s="234">
        <f>IFERROR(__xludf.DUMMYFUNCTION("""COMPUTED_VALUE"""),103765.0)</f>
        <v>103765</v>
      </c>
      <c r="B3474" s="235" t="str">
        <f>IFERROR(__xludf.DUMMYFUNCTION("""COMPUTED_VALUE"""),"OWIE PAR")</f>
        <v>OWIE PAR</v>
      </c>
      <c r="C3474" s="235" t="str">
        <f>IFERROR(__xludf.DUMMYFUNCTION("""COMPUTED_VALUE"""),"ENGINEERING")</f>
        <v>ENGINEERING</v>
      </c>
      <c r="D3474" s="196" t="str">
        <f>IFERROR(__xludf.DUMMYFUNCTION("""COMPUTED_VALUE"""),"AIRCON CLEANING FLUID 2PAILS")</f>
        <v>AIRCON CLEANING FLUID 2PAILS</v>
      </c>
      <c r="E3474" s="196" t="str">
        <f>IFERROR(__xludf.DUMMYFUNCTION("""COMPUTED_VALUE"""),"FOR ACU CLEANING")</f>
        <v>FOR ACU CLEANING</v>
      </c>
    </row>
    <row r="3475">
      <c r="A3475" s="234">
        <f>IFERROR(__xludf.DUMMYFUNCTION("""COMPUTED_VALUE"""),103766.0)</f>
        <v>103766</v>
      </c>
      <c r="B3475" s="235" t="str">
        <f>IFERROR(__xludf.DUMMYFUNCTION("""COMPUTED_VALUE"""),"OWIE PAR")</f>
        <v>OWIE PAR</v>
      </c>
      <c r="C3475" s="235" t="str">
        <f>IFERROR(__xludf.DUMMYFUNCTION("""COMPUTED_VALUE"""),"ENGINEERING")</f>
        <v>ENGINEERING</v>
      </c>
      <c r="D3475" s="196" t="str">
        <f>IFERROR(__xludf.DUMMYFUNCTION("""COMPUTED_VALUE"""),"FLOOD LIGHTS 50W 5PCS")</f>
        <v>FLOOD LIGHTS 50W 5PCS</v>
      </c>
      <c r="E3475" s="196" t="str">
        <f>IFERROR(__xludf.DUMMYFUNCTION("""COMPUTED_VALUE"""),"FOR COL, PARKING, YOKOHAMA, AND TROPICAL PARKING LIGHTS")</f>
        <v>FOR COL, PARKING, YOKOHAMA, AND TROPICAL PARKING LIGHTS</v>
      </c>
    </row>
    <row r="3476">
      <c r="A3476" s="234">
        <f>IFERROR(__xludf.DUMMYFUNCTION("""COMPUTED_VALUE"""),103767.0)</f>
        <v>103767</v>
      </c>
      <c r="B3476" s="235" t="str">
        <f>IFERROR(__xludf.DUMMYFUNCTION("""COMPUTED_VALUE"""),"OWIE PAR ")</f>
        <v>OWIE PAR </v>
      </c>
      <c r="C3476" s="235" t="str">
        <f>IFERROR(__xludf.DUMMYFUNCTION("""COMPUTED_VALUE"""),"ENGINEERING")</f>
        <v>ENGINEERING</v>
      </c>
      <c r="D3476" s="196" t="str">
        <f>IFERROR(__xludf.DUMMYFUNCTION("""COMPUTED_VALUE"""),"PENETRATING OIL AND CLEANER FLUID 12CANS")</f>
        <v>PENETRATING OIL AND CLEANER FLUID 12CANS</v>
      </c>
      <c r="E3476" s="196" t="str">
        <f>IFERROR(__xludf.DUMMYFUNCTION("""COMPUTED_VALUE"""),"FOR LUBRICANT OF MOTOR, ELECTRIC FANS, DOOR KNOB")</f>
        <v>FOR LUBRICANT OF MOTOR, ELECTRIC FANS, DOOR KNOB</v>
      </c>
    </row>
    <row r="3477">
      <c r="A3477" s="234">
        <f>IFERROR(__xludf.DUMMYFUNCTION("""COMPUTED_VALUE"""),103768.0)</f>
        <v>103768</v>
      </c>
      <c r="B3477" s="235" t="str">
        <f>IFERROR(__xludf.DUMMYFUNCTION("""COMPUTED_VALUE"""),"OWIE PAR")</f>
        <v>OWIE PAR</v>
      </c>
      <c r="C3477" s="235" t="str">
        <f>IFERROR(__xludf.DUMMYFUNCTION("""COMPUTED_VALUE"""),"ENGINEERING")</f>
        <v>ENGINEERING</v>
      </c>
      <c r="D3477" s="196" t="str">
        <f>IFERROR(__xludf.DUMMYFUNCTION("""COMPUTED_VALUE"""),"DOWN LIGHT 15WATTS 30PCS")</f>
        <v>DOWN LIGHT 15WATTS 30PCS</v>
      </c>
      <c r="E3477" s="196" t="str">
        <f>IFERROR(__xludf.DUMMYFUNCTION("""COMPUTED_VALUE"""),"LIGHT FOR MMA HALLWAY")</f>
        <v>LIGHT FOR MMA HALLWAY</v>
      </c>
    </row>
    <row r="3478">
      <c r="A3478" s="234">
        <f>IFERROR(__xludf.DUMMYFUNCTION("""COMPUTED_VALUE"""),103769.0)</f>
        <v>103769</v>
      </c>
      <c r="B3478" s="235" t="str">
        <f>IFERROR(__xludf.DUMMYFUNCTION("""COMPUTED_VALUE"""),"PHEN PETIN")</f>
        <v>PHEN PETIN</v>
      </c>
      <c r="C3478" s="235" t="str">
        <f>IFERROR(__xludf.DUMMYFUNCTION("""COMPUTED_VALUE"""),"ADMIN - STAR")</f>
        <v>ADMIN - STAR</v>
      </c>
      <c r="D3478" s="196" t="str">
        <f>IFERROR(__xludf.DUMMYFUNCTION("""COMPUTED_VALUE"""),"1SET OF LED PANEL (SCHOOL AREA LEARNING VILLAGE) 6UNITS")</f>
        <v>1SET OF LED PANEL (SCHOOL AREA LEARNING VILLAGE) 6UNITS</v>
      </c>
      <c r="E3478" s="196" t="str">
        <f>IFERROR(__xludf.DUMMYFUNCTION("""COMPUTED_VALUE"""),"CHANGE BUSTED LED PANELS (SCHOOL AREA) LEARNING VILLAGE")</f>
        <v>CHANGE BUSTED LED PANELS (SCHOOL AREA) LEARNING VILLAGE</v>
      </c>
    </row>
    <row r="3479">
      <c r="A3479" s="234">
        <f>IFERROR(__xludf.DUMMYFUNCTION("""COMPUTED_VALUE"""),103770.0)</f>
        <v>103770</v>
      </c>
      <c r="B3479" s="235" t="str">
        <f>IFERROR(__xludf.DUMMYFUNCTION("""COMPUTED_VALUE"""),"ALFA DE LEON")</f>
        <v>ALFA DE LEON</v>
      </c>
      <c r="C3479" s="235" t="str">
        <f>IFERROR(__xludf.DUMMYFUNCTION("""COMPUTED_VALUE"""),"LANDSCAPING")</f>
        <v>LANDSCAPING</v>
      </c>
      <c r="D3479" s="196" t="str">
        <f>IFERROR(__xludf.DUMMYFUNCTION("""COMPUTED_VALUE"""),"VERMICAST 2SACKS
FURADAN 2SACKS")</f>
        <v>VERMICAST 2SACKS
FURADAN 2SACKS</v>
      </c>
      <c r="E3479" s="196" t="str">
        <f>IFERROR(__xludf.DUMMYFUNCTION("""COMPUTED_VALUE"""),"FERTILIZER")</f>
        <v>FERTILIZER</v>
      </c>
    </row>
    <row r="3480">
      <c r="A3480" s="234">
        <f>IFERROR(__xludf.DUMMYFUNCTION("""COMPUTED_VALUE"""),103771.0)</f>
        <v>103771</v>
      </c>
      <c r="B3480" s="235" t="str">
        <f>IFERROR(__xludf.DUMMYFUNCTION("""COMPUTED_VALUE"""),"ALFA DE LEON")</f>
        <v>ALFA DE LEON</v>
      </c>
      <c r="C3480" s="235" t="str">
        <f>IFERROR(__xludf.DUMMYFUNCTION("""COMPUTED_VALUE"""),"LANDSCAPING")</f>
        <v>LANDSCAPING</v>
      </c>
      <c r="D3480" s="196" t="str">
        <f>IFERROR(__xludf.DUMMYFUNCTION("""COMPUTED_VALUE"""),"ADJUSTABLE SCISSORS BIG (GARDEN) 2
GARDEN SCISSORS SMALL 4
KUTSARA 4")</f>
        <v>ADJUSTABLE SCISSORS BIG (GARDEN) 2
GARDEN SCISSORS SMALL 4
KUTSARA 4</v>
      </c>
      <c r="E3480" s="196" t="str">
        <f>IFERROR(__xludf.DUMMYFUNCTION("""COMPUTED_VALUE"""),"PLANTS MAINTENANCE TOOLS")</f>
        <v>PLANTS MAINTENANCE TOOLS</v>
      </c>
    </row>
    <row r="3481">
      <c r="A3481" s="234">
        <f>IFERROR(__xludf.DUMMYFUNCTION("""COMPUTED_VALUE"""),103772.0)</f>
        <v>103772</v>
      </c>
      <c r="B3481" s="235" t="str">
        <f>IFERROR(__xludf.DUMMYFUNCTION("""COMPUTED_VALUE"""),"ALFA DE LEON")</f>
        <v>ALFA DE LEON</v>
      </c>
      <c r="C3481" s="235" t="str">
        <f>IFERROR(__xludf.DUMMYFUNCTION("""COMPUTED_VALUE"""),"INSTITUTIONAL")</f>
        <v>INSTITUTIONAL</v>
      </c>
      <c r="D3481" s="196" t="str">
        <f>IFERROR(__xludf.DUMMYFUNCTION("""COMPUTED_VALUE"""),"GARDEN SOIL")</f>
        <v>GARDEN SOIL</v>
      </c>
      <c r="E3481" s="196" t="str">
        <f>IFERROR(__xludf.DUMMYFUNCTION("""COMPUTED_VALUE"""),"CAA ISLAND BEAUTIFICATION ")</f>
        <v>CAA ISLAND BEAUTIFICATION </v>
      </c>
    </row>
    <row r="3482">
      <c r="A3482" s="234">
        <f>IFERROR(__xludf.DUMMYFUNCTION("""COMPUTED_VALUE"""),103773.0)</f>
        <v>103773</v>
      </c>
      <c r="B3482" s="235" t="str">
        <f>IFERROR(__xludf.DUMMYFUNCTION("""COMPUTED_VALUE"""),"RHEA JOVEREZ")</f>
        <v>RHEA JOVEREZ</v>
      </c>
      <c r="C3482" s="235" t="str">
        <f>IFERROR(__xludf.DUMMYFUNCTION("""COMPUTED_VALUE"""),"PR &amp; MARKETING")</f>
        <v>PR &amp; MARKETING</v>
      </c>
      <c r="D3482" s="196" t="str">
        <f>IFERROR(__xludf.DUMMYFUNCTION("""COMPUTED_VALUE"""),"BLACK BOX ORGANIZER 4 pcs. ")</f>
        <v>BLACK BOX ORGANIZER 4 pcs. </v>
      </c>
      <c r="E3482" s="196" t="str">
        <f>IFERROR(__xludf.DUMMYFUNCTION("""COMPUTED_VALUE"""),"FOR FILING")</f>
        <v>FOR FILING</v>
      </c>
    </row>
    <row r="3483">
      <c r="A3483" s="234">
        <f>IFERROR(__xludf.DUMMYFUNCTION("""COMPUTED_VALUE"""),103774.0)</f>
        <v>103774</v>
      </c>
      <c r="B3483" s="235" t="str">
        <f>IFERROR(__xludf.DUMMYFUNCTION("""COMPUTED_VALUE"""),"CHARLES DONOR")</f>
        <v>CHARLES DONOR</v>
      </c>
      <c r="C3483" s="235" t="str">
        <f>IFERROR(__xludf.DUMMYFUNCTION("""COMPUTED_VALUE"""),"AMD")</f>
        <v>AMD</v>
      </c>
      <c r="D3483" s="196" t="str">
        <f>IFERROR(__xludf.DUMMYFUNCTION("""COMPUTED_VALUE"""),"FOLDER, PRESSBOARD US LONG GREEN PLAIN 2000PCS
STOCK ON HAND 0PCS
BOARD VELLUM LONG 
STOCK ON HAND 3PACKS")</f>
        <v>FOLDER, PRESSBOARD US LONG GREEN PLAIN 2000PCS
STOCK ON HAND 0PCS
BOARD VELLUM LONG 
STOCK ON HAND 3PACKS</v>
      </c>
      <c r="E3483" s="196" t="str">
        <f>IFERROR(__xludf.DUMMYFUNCTION("""COMPUTED_VALUE"""),"OSSUP- STOCK REPLENISHMENT")</f>
        <v>OSSUP- STOCK REPLENISHMENT</v>
      </c>
    </row>
    <row r="3484">
      <c r="A3484" s="234">
        <f>IFERROR(__xludf.DUMMYFUNCTION("""COMPUTED_VALUE"""),103775.0)</f>
        <v>103775</v>
      </c>
      <c r="B3484" s="235" t="str">
        <f>IFERROR(__xludf.DUMMYFUNCTION("""COMPUTED_VALUE"""),"CHARLES DONOR")</f>
        <v>CHARLES DONOR</v>
      </c>
      <c r="C3484" s="235" t="str">
        <f>IFERROR(__xludf.DUMMYFUNCTION("""COMPUTED_VALUE"""),"AMD")</f>
        <v>AMD</v>
      </c>
      <c r="D3484" s="196" t="str">
        <f>IFERROR(__xludf.DUMMYFUNCTION("""COMPUTED_VALUE"""),"LAMINATING FILM , DL951 FRONT/ BACK 3M  20PCS
STOCK ON HAND 3PCS")</f>
        <v>LAMINATING FILM , DL951 FRONT/ BACK 3M  20PCS
STOCK ON HAND 3PCS</v>
      </c>
      <c r="E3484" s="196" t="str">
        <f>IFERROR(__xludf.DUMMYFUNCTION("""COMPUTED_VALUE"""),"OSSUP- STOCK REPLENISHMENT")</f>
        <v>OSSUP- STOCK REPLENISHMENT</v>
      </c>
    </row>
    <row r="3485">
      <c r="A3485" s="234">
        <f>IFERROR(__xludf.DUMMYFUNCTION("""COMPUTED_VALUE"""),103776.0)</f>
        <v>103776</v>
      </c>
      <c r="B3485" s="235" t="str">
        <f>IFERROR(__xludf.DUMMYFUNCTION("""COMPUTED_VALUE"""),"JOMEL BUTIAL ")</f>
        <v>JOMEL BUTIAL </v>
      </c>
      <c r="C3485" s="235" t="str">
        <f>IFERROR(__xludf.DUMMYFUNCTION("""COMPUTED_VALUE"""),"PR &amp; MARKETING")</f>
        <v>PR &amp; MARKETING</v>
      </c>
      <c r="D3485" s="196" t="str">
        <f>IFERROR(__xludf.DUMMYFUNCTION("""COMPUTED_VALUE"""),"SPARKTACULAR TARP W-157.56"" H-78"" 1 PC")</f>
        <v>SPARKTACULAR TARP W-157.56" H-78" 1 PC</v>
      </c>
      <c r="E3485" s="196" t="str">
        <f>IFERROR(__xludf.DUMMYFUNCTION("""COMPUTED_VALUE"""),"MARKETING EVENT")</f>
        <v>MARKETING EVENT</v>
      </c>
    </row>
    <row r="3486">
      <c r="A3486" s="234">
        <f>IFERROR(__xludf.DUMMYFUNCTION("""COMPUTED_VALUE"""),103777.0)</f>
        <v>103777</v>
      </c>
      <c r="B3486" s="235" t="str">
        <f>IFERROR(__xludf.DUMMYFUNCTION("""COMPUTED_VALUE"""),"SHEREE ESPINOSA")</f>
        <v>SHEREE ESPINOSA</v>
      </c>
      <c r="C3486" s="235" t="str">
        <f>IFERROR(__xludf.DUMMYFUNCTION("""COMPUTED_VALUE"""),"LUX CAMPUS HOUSEKEEPING")</f>
        <v>LUX CAMPUS HOUSEKEEPING</v>
      </c>
      <c r="D3486" s="196" t="str">
        <f>IFERROR(__xludf.DUMMYFUNCTION("""COMPUTED_VALUE"""),"WATER GALLON WITH COVER 20PCS")</f>
        <v>WATER GALLON WITH COVER 20PCS</v>
      </c>
      <c r="E3486" s="196" t="str">
        <f>IFERROR(__xludf.DUMMYFUNCTION("""COMPUTED_VALUE"""),"ADDITIONAL FOR THE NEWLY PURCHASED WATER DISPENSER")</f>
        <v>ADDITIONAL FOR THE NEWLY PURCHASED WATER DISPENSER</v>
      </c>
    </row>
    <row r="3487">
      <c r="A3487" s="234">
        <f>IFERROR(__xludf.DUMMYFUNCTION("""COMPUTED_VALUE"""),103778.0)</f>
        <v>103778</v>
      </c>
      <c r="B3487" s="235" t="str">
        <f>IFERROR(__xludf.DUMMYFUNCTION("""COMPUTED_VALUE"""),"SHEREE ESPINOSA")</f>
        <v>SHEREE ESPINOSA</v>
      </c>
      <c r="C3487" s="235" t="str">
        <f>IFERROR(__xludf.DUMMYFUNCTION("""COMPUTED_VALUE"""),"LUX CAMPUS HOUSEKEEPING")</f>
        <v>LUX CAMPUS HOUSEKEEPING</v>
      </c>
      <c r="D3487" s="196" t="str">
        <f>IFERROR(__xludf.DUMMYFUNCTION("""COMPUTED_VALUE"""),"IWATA FANS (RE-ORDER) 5PCS
FOOD COURT 2
COLLEGE
FRONTGATE GUARD
COLLEGE GUARD")</f>
        <v>IWATA FANS (RE-ORDER) 5PCS
FOOD COURT 2
COLLEGE
FRONTGATE GUARD
COLLEGE GUARD</v>
      </c>
      <c r="E3487" s="196" t="str">
        <f>IFERROR(__xludf.DUMMYFUNCTION("""COMPUTED_VALUE"""),"ADDITIONAL FOR THE COMMON AREAS AND CAFETERIA/ FOOD COURT")</f>
        <v>ADDITIONAL FOR THE COMMON AREAS AND CAFETERIA/ FOOD COURT</v>
      </c>
    </row>
    <row r="3488">
      <c r="A3488" s="234">
        <f>IFERROR(__xludf.DUMMYFUNCTION("""COMPUTED_VALUE"""),103779.0)</f>
        <v>103779</v>
      </c>
      <c r="B3488" s="235" t="str">
        <f>IFERROR(__xludf.DUMMYFUNCTION("""COMPUTED_VALUE"""),"SHEREE ESPINOSA")</f>
        <v>SHEREE ESPINOSA</v>
      </c>
      <c r="C3488" s="235" t="str">
        <f>IFERROR(__xludf.DUMMYFUNCTION("""COMPUTED_VALUE"""),"ACT FARM")</f>
        <v>ACT FARM</v>
      </c>
      <c r="D3488" s="196" t="str">
        <f>IFERROR(__xludf.DUMMYFUNCTION("""COMPUTED_VALUE"""),"WATER DISPENSER COLOR WHITE (SAME AS SISC) 3PCS")</f>
        <v>WATER DISPENSER COLOR WHITE (SAME AS SISC) 3PCS</v>
      </c>
      <c r="E3488" s="196" t="str">
        <f>IFERROR(__xludf.DUMMYFUNCTION("""COMPUTED_VALUE"""),"REPLACEMENT FOR BROKEN WATER DISPENSER AND ADDITIONAL FOR THE PREPARATION  FOR CGS")</f>
        <v>REPLACEMENT FOR BROKEN WATER DISPENSER AND ADDITIONAL FOR THE PREPARATION  FOR CGS</v>
      </c>
    </row>
    <row r="3489">
      <c r="A3489" s="234">
        <f>IFERROR(__xludf.DUMMYFUNCTION("""COMPUTED_VALUE"""),103780.0)</f>
        <v>103780</v>
      </c>
      <c r="B3489" s="235" t="str">
        <f>IFERROR(__xludf.DUMMYFUNCTION("""COMPUTED_VALUE"""),"JOMEL BUTIAL ")</f>
        <v>JOMEL BUTIAL </v>
      </c>
      <c r="C3489" s="235" t="str">
        <f>IFERROR(__xludf.DUMMYFUNCTION("""COMPUTED_VALUE"""),"PR &amp; MARKETING")</f>
        <v>PR &amp; MARKETING</v>
      </c>
      <c r="D3489" s="196" t="str">
        <f>IFERROR(__xludf.DUMMYFUNCTION("""COMPUTED_VALUE"""),"COLLEGE OPEN HOUSE TARP W-218"" H-78"" THICKNESS - 18 ONZ; 1 PC")</f>
        <v>COLLEGE OPEN HOUSE TARP W-218" H-78" THICKNESS - 18 ONZ; 1 PC</v>
      </c>
      <c r="E3489" s="196" t="str">
        <f>IFERROR(__xludf.DUMMYFUNCTION("""COMPUTED_VALUE"""),"EVENT MARKETING")</f>
        <v>EVENT MARKETING</v>
      </c>
    </row>
    <row r="3490">
      <c r="A3490" s="234">
        <f>IFERROR(__xludf.DUMMYFUNCTION("""COMPUTED_VALUE"""),103781.0)</f>
        <v>103781</v>
      </c>
      <c r="B3490" s="235" t="str">
        <f>IFERROR(__xludf.DUMMYFUNCTION("""COMPUTED_VALUE"""),"SARY ANN ESCUREL ")</f>
        <v>SARY ANN ESCUREL </v>
      </c>
      <c r="C3490" s="235" t="str">
        <f>IFERROR(__xludf.DUMMYFUNCTION("""COMPUTED_VALUE"""),"BED PRINCIPAL OFFICE")</f>
        <v>BED PRINCIPAL OFFICE</v>
      </c>
      <c r="D3490" s="196" t="str">
        <f>IFERROR(__xludf.DUMMYFUNCTION("""COMPUTED_VALUE"""),"TOWPEP FRAMEWORK- FOR TARPAULIN PRINTING 25in x 25in 8")</f>
        <v>TOWPEP FRAMEWORK- FOR TARPAULIN PRINTING 25in x 25in 8</v>
      </c>
      <c r="E3490" s="196" t="str">
        <f>IFERROR(__xludf.DUMMYFUNCTION("""COMPUTED_VALUE"""),"FOR POSTING")</f>
        <v>FOR POSTING</v>
      </c>
    </row>
    <row r="3491">
      <c r="A3491" s="234">
        <f>IFERROR(__xludf.DUMMYFUNCTION("""COMPUTED_VALUE"""),103782.0)</f>
        <v>103782</v>
      </c>
      <c r="B3491" s="235" t="str">
        <f>IFERROR(__xludf.DUMMYFUNCTION("""COMPUTED_VALUE"""),"CHRISTIAN ANDRES")</f>
        <v>CHRISTIAN ANDRES</v>
      </c>
      <c r="C3491" s="235" t="str">
        <f>IFERROR(__xludf.DUMMYFUNCTION("""COMPUTED_VALUE"""),"PR")</f>
        <v>PR</v>
      </c>
      <c r="D3491" s="196" t="str">
        <f>IFERROR(__xludf.DUMMYFUNCTION("""COMPUTED_VALUE"""),"193x515 CM
EYELET ALL OVER WITH SEAMING BLACK OUT")</f>
        <v>193x515 CM
EYELET ALL OVER WITH SEAMING BLACK OUT</v>
      </c>
      <c r="E3491" s="196" t="str">
        <f>IFERROR(__xludf.DUMMYFUNCTION("""COMPUTED_VALUE"""),"MARKETING PROMOTIONAL")</f>
        <v>MARKETING PROMOTIONAL</v>
      </c>
    </row>
    <row r="3492">
      <c r="A3492" s="234">
        <f>IFERROR(__xludf.DUMMYFUNCTION("""COMPUTED_VALUE"""),103783.0)</f>
        <v>103783</v>
      </c>
      <c r="B3492" s="235" t="str">
        <f>IFERROR(__xludf.DUMMYFUNCTION("""COMPUTED_VALUE"""),"ADOR MIRANDA")</f>
        <v>ADOR MIRANDA</v>
      </c>
      <c r="C3492" s="235" t="str">
        <f>IFERROR(__xludf.DUMMYFUNCTION("""COMPUTED_VALUE"""),"MIS")</f>
        <v>MIS</v>
      </c>
      <c r="D3492" s="196" t="str">
        <f>IFERROR(__xludf.DUMMYFUNCTION("""COMPUTED_VALUE"""),"APC UPS ONLINE SRV2KRILRK 2
APC EASY UPS ONLINE BATTERY PACK 72V 2")</f>
        <v>APC UPS ONLINE SRV2KRILRK 2
APC EASY UPS ONLINE BATTERY PACK 72V 2</v>
      </c>
      <c r="E3492" s="196" t="str">
        <f>IFERROR(__xludf.DUMMYFUNCTION("""COMPUTED_VALUE"""),"SERVER ROOM UPS FOR SWITCHES AND FIREWALL")</f>
        <v>SERVER ROOM UPS FOR SWITCHES AND FIREWALL</v>
      </c>
    </row>
    <row r="3493">
      <c r="A3493" s="234">
        <f>IFERROR(__xludf.DUMMYFUNCTION("""COMPUTED_VALUE"""),103784.0)</f>
        <v>103784</v>
      </c>
      <c r="B3493" s="235" t="str">
        <f>IFERROR(__xludf.DUMMYFUNCTION("""COMPUTED_VALUE"""),"SHEREE ESPINOSA")</f>
        <v>SHEREE ESPINOSA</v>
      </c>
      <c r="C3493" s="235" t="str">
        <f>IFERROR(__xludf.DUMMYFUNCTION("""COMPUTED_VALUE"""),"ADMIN")</f>
        <v>ADMIN</v>
      </c>
      <c r="D3493" s="196" t="str">
        <f>IFERROR(__xludf.DUMMYFUNCTION("""COMPUTED_VALUE"""),"FALCON WATERLESS URINAL (RE ORDER) 3PCS")</f>
        <v>FALCON WATERLESS URINAL (RE ORDER) 3PCS</v>
      </c>
      <c r="E3493" s="196" t="str">
        <f>IFERROR(__xludf.DUMMYFUNCTION("""COMPUTED_VALUE"""),"REPLACEMENT FOR BROKEN AND 2 EXISTING (OLD MODEL) FOR ISAC PREPARATION")</f>
        <v>REPLACEMENT FOR BROKEN AND 2 EXISTING (OLD MODEL) FOR ISAC PREPARATION</v>
      </c>
    </row>
    <row r="3494">
      <c r="A3494" s="234">
        <f>IFERROR(__xludf.DUMMYFUNCTION("""COMPUTED_VALUE"""),103785.0)</f>
        <v>103785</v>
      </c>
      <c r="B3494" s="235" t="str">
        <f>IFERROR(__xludf.DUMMYFUNCTION("""COMPUTED_VALUE"""),"HAZEL LOUI FAMADOR")</f>
        <v>HAZEL LOUI FAMADOR</v>
      </c>
      <c r="C3494" s="235" t="str">
        <f>IFERROR(__xludf.DUMMYFUNCTION("""COMPUTED_VALUE"""),"PR &amp; MARKETING")</f>
        <v>PR &amp; MARKETING</v>
      </c>
      <c r="D3494" s="196" t="str">
        <f>IFERROR(__xludf.DUMMYFUNCTION("""COMPUTED_VALUE"""),"PARACHUTE CANOPY TENT 2-PLY AND WATER RESISTANT (AWADED COLOR) 64 LEAVES 1
PLS SEE ATTACHED ")</f>
        <v>PARACHUTE CANOPY TENT 2-PLY AND WATER RESISTANT (AWADED COLOR) 64 LEAVES 1
PLS SEE ATTACHED </v>
      </c>
      <c r="E3494" s="196" t="str">
        <f>IFERROR(__xludf.DUMMYFUNCTION("""COMPUTED_VALUE"""),"FOR PR AND OUTDOOR EVENTS")</f>
        <v>FOR PR AND OUTDOOR EVENTS</v>
      </c>
    </row>
    <row r="3495">
      <c r="A3495" s="234">
        <f>IFERROR(__xludf.DUMMYFUNCTION("""COMPUTED_VALUE"""),103786.0)</f>
        <v>103786</v>
      </c>
      <c r="B3495" s="235" t="str">
        <f>IFERROR(__xludf.DUMMYFUNCTION("""COMPUTED_VALUE"""),"LUCILLE BEYER")</f>
        <v>LUCILLE BEYER</v>
      </c>
      <c r="C3495" s="235" t="str">
        <f>IFERROR(__xludf.DUMMYFUNCTION("""COMPUTED_VALUE"""),"MEDICAL")</f>
        <v>MEDICAL</v>
      </c>
      <c r="D3495" s="196" t="str">
        <f>IFERROR(__xludf.DUMMYFUNCTION("""COMPUTED_VALUE"""),"PLS SEE ATTACHED LIST OF SUPPLIES FOR PURCHASED
CLINIC MEDICINE AND SUPPLIES ")</f>
        <v>PLS SEE ATTACHED LIST OF SUPPLIES FOR PURCHASED
CLINIC MEDICINE AND SUPPLIES </v>
      </c>
      <c r="E3495" s="196" t="str">
        <f>IFERROR(__xludf.DUMMYFUNCTION("""COMPUTED_VALUE"""),"REPLENISHMENT OF CLINICAL MEDS + SUPPLIES FOR 3 CLINICS FOR MONTH OF OCTOBER + NOVEMBER")</f>
        <v>REPLENISHMENT OF CLINICAL MEDS + SUPPLIES FOR 3 CLINICS FOR MONTH OF OCTOBER + NOVEMBER</v>
      </c>
    </row>
    <row r="3496">
      <c r="A3496" s="234">
        <f>IFERROR(__xludf.DUMMYFUNCTION("""COMPUTED_VALUE"""),103787.0)</f>
        <v>103787</v>
      </c>
      <c r="B3496" s="235" t="str">
        <f>IFERROR(__xludf.DUMMYFUNCTION("""COMPUTED_VALUE"""),"BRIAN PATAG")</f>
        <v>BRIAN PATAG</v>
      </c>
      <c r="C3496" s="235" t="str">
        <f>IFERROR(__xludf.DUMMYFUNCTION("""COMPUTED_VALUE"""),"AMD")</f>
        <v>AMD</v>
      </c>
      <c r="D3496" s="196" t="str">
        <f>IFERROR(__xludf.DUMMYFUNCTION("""COMPUTED_VALUE"""),"STICK BROOM 50PCS
SOFT BROOM 50PCS
SPRAY GUN 50PCS
ZONROX 1 GALLON 30PCS
BAYGON WATER BASED MULTI INSECT KILLER 500 ML, BOTTLE 50PCS
SCENTED BAYGON PROTECTOR 500ML 50PCS
21M GLASS CLEANER 500 ML 50PCS")</f>
        <v>STICK BROOM 50PCS
SOFT BROOM 50PCS
SPRAY GUN 50PCS
ZONROX 1 GALLON 30PCS
BAYGON WATER BASED MULTI INSECT KILLER 500 ML, BOTTLE 50PCS
SCENTED BAYGON PROTECTOR 500ML 50PCS
21M GLASS CLEANER 500 ML 50PCS</v>
      </c>
      <c r="E3496" s="196" t="str">
        <f>IFERROR(__xludf.DUMMYFUNCTION("""COMPUTED_VALUE"""),"HOUSEKEEPING SUPPLIES REPLENISHMENTS")</f>
        <v>HOUSEKEEPING SUPPLIES REPLENISHMENTS</v>
      </c>
    </row>
    <row r="3497">
      <c r="A3497" s="234">
        <f>IFERROR(__xludf.DUMMYFUNCTION("""COMPUTED_VALUE"""),103788.0)</f>
        <v>103788</v>
      </c>
      <c r="B3497" s="235" t="str">
        <f>IFERROR(__xludf.DUMMYFUNCTION("""COMPUTED_VALUE"""),"SHEREE ESPINOSA ")</f>
        <v>SHEREE ESPINOSA </v>
      </c>
      <c r="C3497" s="235" t="str">
        <f>IFERROR(__xludf.DUMMYFUNCTION("""COMPUTED_VALUE"""),"ADMIN")</f>
        <v>ADMIN</v>
      </c>
      <c r="D3497" s="196" t="str">
        <f>IFERROR(__xludf.DUMMYFUNCTION("""COMPUTED_VALUE"""),"TOILET BOWL SETS 2SETS")</f>
        <v>TOILET BOWL SETS 2SETS</v>
      </c>
      <c r="E3497" s="196" t="str">
        <f>IFERROR(__xludf.DUMMYFUNCTION("""COMPUTED_VALUE"""),"REPLACEMENT FOR BROKEN TOILET BOWLS- 3F TROPICAL")</f>
        <v>REPLACEMENT FOR BROKEN TOILET BOWLS- 3F TROPICAL</v>
      </c>
    </row>
    <row r="3498">
      <c r="A3498" s="234">
        <f>IFERROR(__xludf.DUMMYFUNCTION("""COMPUTED_VALUE"""),103789.0)</f>
        <v>103789</v>
      </c>
      <c r="B3498" s="235" t="str">
        <f>IFERROR(__xludf.DUMMYFUNCTION("""COMPUTED_VALUE"""),"BRIAN PATAG")</f>
        <v>BRIAN PATAG</v>
      </c>
      <c r="C3498" s="235" t="str">
        <f>IFERROR(__xludf.DUMMYFUNCTION("""COMPUTED_VALUE"""),"AMD")</f>
        <v>AMD</v>
      </c>
      <c r="D3498" s="196" t="str">
        <f>IFERROR(__xludf.DUMMYFUNCTION("""COMPUTED_VALUE"""),"STATE LIME SOLVENT 20 GAL")</f>
        <v>STATE LIME SOLVENT 20 GAL</v>
      </c>
      <c r="E3498" s="196" t="str">
        <f>IFERROR(__xludf.DUMMYFUNCTION("""COMPUTED_VALUE"""),"FOR HOUSEKEEPING REPLENISHMENT")</f>
        <v>FOR HOUSEKEEPING REPLENISHMENT</v>
      </c>
    </row>
    <row r="3499">
      <c r="A3499" s="234">
        <f>IFERROR(__xludf.DUMMYFUNCTION("""COMPUTED_VALUE"""),103790.0)</f>
        <v>103790</v>
      </c>
      <c r="B3499" s="235" t="str">
        <f>IFERROR(__xludf.DUMMYFUNCTION("""COMPUTED_VALUE"""),"BRIAN PATAG")</f>
        <v>BRIAN PATAG</v>
      </c>
      <c r="C3499" s="235" t="str">
        <f>IFERROR(__xludf.DUMMYFUNCTION("""COMPUTED_VALUE"""),"AMD")</f>
        <v>AMD</v>
      </c>
      <c r="D3499" s="196" t="str">
        <f>IFERROR(__xludf.DUMMYFUNCTION("""COMPUTED_VALUE"""),"HAND SOAP (BUENAS)  50 GL")</f>
        <v>HAND SOAP (BUENAS)  50 GL</v>
      </c>
      <c r="E3499" s="196" t="str">
        <f>IFERROR(__xludf.DUMMYFUNCTION("""COMPUTED_VALUE"""),"FOR HOUSEKEEPING REPLENISHMENT")</f>
        <v>FOR HOUSEKEEPING REPLENISHMENT</v>
      </c>
    </row>
    <row r="3500">
      <c r="A3500" s="234">
        <f>IFERROR(__xludf.DUMMYFUNCTION("""COMPUTED_VALUE"""),103791.0)</f>
        <v>103791</v>
      </c>
      <c r="B3500" s="235" t="str">
        <f>IFERROR(__xludf.DUMMYFUNCTION("""COMPUTED_VALUE"""),"BRIAN PATAG")</f>
        <v>BRIAN PATAG</v>
      </c>
      <c r="C3500" s="235" t="str">
        <f>IFERROR(__xludf.DUMMYFUNCTION("""COMPUTED_VALUE"""),"AMD")</f>
        <v>AMD</v>
      </c>
      <c r="D3500" s="196" t="str">
        <f>IFERROR(__xludf.DUMMYFUNCTION("""COMPUTED_VALUE"""),"CARTRIDGE URINAL FALCON WATERLESS 20PCS")</f>
        <v>CARTRIDGE URINAL FALCON WATERLESS 20PCS</v>
      </c>
      <c r="E3500" s="196" t="str">
        <f>IFERROR(__xludf.DUMMYFUNCTION("""COMPUTED_VALUE"""),"FOR HOUSEKEEPING REPLENISHMENT")</f>
        <v>FOR HOUSEKEEPING REPLENISHMENT</v>
      </c>
    </row>
    <row r="3501">
      <c r="A3501" s="234">
        <f>IFERROR(__xludf.DUMMYFUNCTION("""COMPUTED_VALUE"""),103792.0)</f>
        <v>103792</v>
      </c>
      <c r="B3501" s="235" t="str">
        <f>IFERROR(__xludf.DUMMYFUNCTION("""COMPUTED_VALUE"""),"BRIAN PATAG")</f>
        <v>BRIAN PATAG</v>
      </c>
      <c r="C3501" s="235" t="str">
        <f>IFERROR(__xludf.DUMMYFUNCTION("""COMPUTED_VALUE"""),"AMD")</f>
        <v>AMD</v>
      </c>
      <c r="D3501" s="196" t="str">
        <f>IFERROR(__xludf.DUMMYFUNCTION("""COMPUTED_VALUE"""),"ODOR MASCANT 50GAL")</f>
        <v>ODOR MASCANT 50GAL</v>
      </c>
      <c r="E3501" s="196" t="str">
        <f>IFERROR(__xludf.DUMMYFUNCTION("""COMPUTED_VALUE"""),"FOR HOUSEKEEPING REPLENISHMENT")</f>
        <v>FOR HOUSEKEEPING REPLENISHMENT</v>
      </c>
    </row>
    <row r="3502">
      <c r="A3502" s="234">
        <f>IFERROR(__xludf.DUMMYFUNCTION("""COMPUTED_VALUE"""),103793.0)</f>
        <v>103793</v>
      </c>
      <c r="B3502" s="235" t="str">
        <f>IFERROR(__xludf.DUMMYFUNCTION("""COMPUTED_VALUE"""),"BRIAN PATAG")</f>
        <v>BRIAN PATAG</v>
      </c>
      <c r="C3502" s="235" t="str">
        <f>IFERROR(__xludf.DUMMYFUNCTION("""COMPUTED_VALUE"""),"AMD")</f>
        <v>AMD</v>
      </c>
      <c r="D3502" s="196" t="str">
        <f>IFERROR(__xludf.DUMMYFUNCTION("""COMPUTED_VALUE"""),"BIGET RIUSE TECH 50
SOFT BROOM 50
STICKBROOM  (THICKER PLS) 50 
ZONROX BLEACH 1 GALLON 50 GAL
WET FLOOR SIGNAGES 50
SPATULA SMALL 50
ZIM GLASS CLEANER 500 ML 50")</f>
        <v>BIGET RIUSE TECH 50
SOFT BROOM 50
STICKBROOM  (THICKER PLS) 50 
ZONROX BLEACH 1 GALLON 50 GAL
WET FLOOR SIGNAGES 50
SPATULA SMALL 50
ZIM GLASS CLEANER 500 ML 50</v>
      </c>
      <c r="E3502" s="196" t="str">
        <f>IFERROR(__xludf.DUMMYFUNCTION("""COMPUTED_VALUE"""),"FOR HOUSEKEEPING REPLENISHMENT")</f>
        <v>FOR HOUSEKEEPING REPLENISHMENT</v>
      </c>
    </row>
    <row r="3503">
      <c r="A3503" s="234">
        <f>IFERROR(__xludf.DUMMYFUNCTION("""COMPUTED_VALUE"""),103794.0)</f>
        <v>103794</v>
      </c>
      <c r="B3503" s="235" t="str">
        <f>IFERROR(__xludf.DUMMYFUNCTION("""COMPUTED_VALUE"""),"KAYREEN CARIO &amp; JOMEL BUTIAL")</f>
        <v>KAYREEN CARIO &amp; JOMEL BUTIAL</v>
      </c>
      <c r="C3503" s="235" t="str">
        <f>IFERROR(__xludf.DUMMYFUNCTION("""COMPUTED_VALUE"""),"PR &amp; MARKETING")</f>
        <v>PR &amp; MARKETING</v>
      </c>
      <c r="D3503" s="196" t="str">
        <f>IFERROR(__xludf.DUMMYFUNCTION("""COMPUTED_VALUE"""),"SOUTHVILLE GIVEAWAYS FOR SCHOOL PRESENTATIONS AND COLLEGE FAIR (SEE ATTACHED PHOTO ""CASH""")</f>
        <v>SOUTHVILLE GIVEAWAYS FOR SCHOOL PRESENTATIONS AND COLLEGE FAIR (SEE ATTACHED PHOTO "CASH"</v>
      </c>
      <c r="E3503" s="196" t="str">
        <f>IFERROR(__xludf.DUMMYFUNCTION("""COMPUTED_VALUE"""),"SOUTHVILLE GIVEAWAYS FOR SCHOOL PRESENTATIONS AND COLLEGE FAIR")</f>
        <v>SOUTHVILLE GIVEAWAYS FOR SCHOOL PRESENTATIONS AND COLLEGE FAIR</v>
      </c>
    </row>
    <row r="3504">
      <c r="A3504" s="234">
        <f>IFERROR(__xludf.DUMMYFUNCTION("""COMPUTED_VALUE"""),103795.0)</f>
        <v>103795</v>
      </c>
      <c r="B3504" s="235" t="str">
        <f>IFERROR(__xludf.DUMMYFUNCTION("""COMPUTED_VALUE"""),"CHARLES LEBECO DONOR")</f>
        <v>CHARLES LEBECO DONOR</v>
      </c>
      <c r="C3504" s="235" t="str">
        <f>IFERROR(__xludf.DUMMYFUNCTION("""COMPUTED_VALUE"""),"AMD")</f>
        <v>AMD</v>
      </c>
      <c r="D3504" s="196" t="str">
        <f>IFERROR(__xludf.DUMMYFUNCTION("""COMPUTED_VALUE"""),"TAPE, DUCT TAPE (2in x 10m) 70PCS
BATTERY, EVEREADY SIZE C 100PCS
DISPENSER, TAPE BIG 50PCS
CLIP, BINDER JOY 3/4"" 120 PCS
BATTERY, MAXWELL CR2032 100PCS")</f>
        <v>TAPE, DUCT TAPE (2in x 10m) 70PCS
BATTERY, EVEREADY SIZE C 100PCS
DISPENSER, TAPE BIG 50PCS
CLIP, BINDER JOY 3/4" 120 PCS
BATTERY, MAXWELL CR2032 100PCS</v>
      </c>
      <c r="E3504" s="196" t="str">
        <f>IFERROR(__xludf.DUMMYFUNCTION("""COMPUTED_VALUE"""),"OSSUP- STOCK REPLENISHMENT")</f>
        <v>OSSUP- STOCK REPLENISHMENT</v>
      </c>
    </row>
    <row r="3505">
      <c r="A3505" s="234">
        <f>IFERROR(__xludf.DUMMYFUNCTION("""COMPUTED_VALUE"""),103796.0)</f>
        <v>103796</v>
      </c>
      <c r="B3505" s="235" t="str">
        <f>IFERROR(__xludf.DUMMYFUNCTION("""COMPUTED_VALUE"""),"PHEN PETIN")</f>
        <v>PHEN PETIN</v>
      </c>
      <c r="C3505" s="235" t="str">
        <f>IFERROR(__xludf.DUMMYFUNCTION("""COMPUTED_VALUE"""),"ADMIN")</f>
        <v>ADMIN</v>
      </c>
      <c r="D3505" s="196" t="str">
        <f>IFERROR(__xludf.DUMMYFUNCTION("""COMPUTED_VALUE"""),"STAIR NOSING (8FT SILVER) 25PCS")</f>
        <v>STAIR NOSING (8FT SILVER) 25PCS</v>
      </c>
      <c r="E3505" s="196" t="str">
        <f>IFERROR(__xludf.DUMMYFUNCTION("""COMPUTED_VALUE"""),"STAIR NOSING FOR STAR CAMPUS FOR SAFETY OF STUDENTS ")</f>
        <v>STAIR NOSING FOR STAR CAMPUS FOR SAFETY OF STUDENTS </v>
      </c>
    </row>
    <row r="3506">
      <c r="A3506" s="234">
        <f>IFERROR(__xludf.DUMMYFUNCTION("""COMPUTED_VALUE"""),103797.0)</f>
        <v>103797</v>
      </c>
      <c r="B3506" s="235" t="str">
        <f>IFERROR(__xludf.DUMMYFUNCTION("""COMPUTED_VALUE"""),"JOHN REEZEL FUENTES")</f>
        <v>JOHN REEZEL FUENTES</v>
      </c>
      <c r="C3506" s="235" t="str">
        <f>IFERROR(__xludf.DUMMYFUNCTION("""COMPUTED_VALUE"""),"REGISTRATION")</f>
        <v>REGISTRATION</v>
      </c>
      <c r="D3506" s="196" t="str">
        <f>IFERROR(__xludf.DUMMYFUNCTION("""COMPUTED_VALUE"""),"SOUTHVILLE TOR PAPERS (COLLEGE DIVISION) 8000PCS")</f>
        <v>SOUTHVILLE TOR PAPERS (COLLEGE DIVISION) 8000PCS</v>
      </c>
      <c r="E3506" s="196" t="str">
        <f>IFERROR(__xludf.DUMMYFUNCTION("""COMPUTED_VALUE"""),"FOR PRINTING TOR'S OF STUDENTS AND ALUMNI")</f>
        <v>FOR PRINTING TOR'S OF STUDENTS AND ALUMNI</v>
      </c>
    </row>
    <row r="3507">
      <c r="A3507" s="234">
        <f>IFERROR(__xludf.DUMMYFUNCTION("""COMPUTED_VALUE"""),103798.0)</f>
        <v>103798</v>
      </c>
      <c r="B3507" s="235" t="str">
        <f>IFERROR(__xludf.DUMMYFUNCTION("""COMPUTED_VALUE"""),"CHARLES DONOR ")</f>
        <v>CHARLES DONOR </v>
      </c>
      <c r="C3507" s="235" t="str">
        <f>IFERROR(__xludf.DUMMYFUNCTION("""COMPUTED_VALUE"""),"AMD")</f>
        <v>AMD</v>
      </c>
      <c r="D3507" s="196" t="str">
        <f>IFERROR(__xludf.DUMMYFUNCTION("""COMPUTED_VALUE"""),"HDP500 YUCK RIBBON (FOR ID PRINTER) 10PCS
FILM HDP500 FILM FOR ID PRINTER HDP500 7 PCS. ")</f>
        <v>HDP500 YUCK RIBBON (FOR ID PRINTER) 10PCS
FILM HDP500 FILM FOR ID PRINTER HDP500 7 PCS. </v>
      </c>
      <c r="E3507" s="196" t="str">
        <f>IFERROR(__xludf.DUMMYFUNCTION("""COMPUTED_VALUE"""),"OSSUP- STOCK REPLENISHMENT")</f>
        <v>OSSUP- STOCK REPLENISHMENT</v>
      </c>
    </row>
    <row r="3508">
      <c r="A3508" s="234">
        <f>IFERROR(__xludf.DUMMYFUNCTION("""COMPUTED_VALUE"""),103799.0)</f>
        <v>103799</v>
      </c>
      <c r="B3508" s="235" t="str">
        <f>IFERROR(__xludf.DUMMYFUNCTION("""COMPUTED_VALUE"""),"JOMEL BUTIAL")</f>
        <v>JOMEL BUTIAL</v>
      </c>
      <c r="C3508" s="235" t="str">
        <f>IFERROR(__xludf.DUMMYFUNCTION("""COMPUTED_VALUE"""),"PR &amp; MARKETING")</f>
        <v>PR &amp; MARKETING</v>
      </c>
      <c r="D3508" s="196" t="str">
        <f>IFERROR(__xludf.DUMMYFUNCTION("""COMPUTED_VALUE"""),"BPI BIDA 2023 CONGRATULATORY TARP 1 PC ")</f>
        <v>BPI BIDA 2023 CONGRATULATORY TARP 1 PC </v>
      </c>
      <c r="E3508" s="196" t="str">
        <f>IFERROR(__xludf.DUMMYFUNCTION("""COMPUTED_VALUE"""),"CONGRATULATORY TARP | MARKETING")</f>
        <v>CONGRATULATORY TARP | MARKETING</v>
      </c>
    </row>
    <row r="3509">
      <c r="A3509" s="234">
        <f>IFERROR(__xludf.DUMMYFUNCTION("""COMPUTED_VALUE"""),103800.0)</f>
        <v>103800</v>
      </c>
      <c r="B3509" s="235" t="str">
        <f>IFERROR(__xludf.DUMMYFUNCTION("""COMPUTED_VALUE"""),"BRIAN PATAG")</f>
        <v>BRIAN PATAG</v>
      </c>
      <c r="C3509" s="235" t="str">
        <f>IFERROR(__xludf.DUMMYFUNCTION("""COMPUTED_VALUE"""),"AMD")</f>
        <v>AMD</v>
      </c>
      <c r="D3509" s="196" t="str">
        <f>IFERROR(__xludf.DUMMYFUNCTION("""COMPUTED_VALUE"""),"HAND SOAP ANTIBACTERIAL (YELLOW)
METAL POLISH 30PCS
TRASH BAG SMALL(CLEAR) 50x100
TRASH BAG MEDIUM(CLEAR) 50x100
TRASH BAG LARGE(CLEAR) 50x100
TRASH BAG XL(CLEAR) 50x100
TRASH BAG XXL(CLEAR) 50x100")</f>
        <v>HAND SOAP ANTIBACTERIAL (YELLOW)
METAL POLISH 30PCS
TRASH BAG SMALL(CLEAR) 50x100
TRASH BAG MEDIUM(CLEAR) 50x100
TRASH BAG LARGE(CLEAR) 50x100
TRASH BAG XL(CLEAR) 50x100
TRASH BAG XXL(CLEAR) 50x100</v>
      </c>
      <c r="E3509" s="196" t="str">
        <f>IFERROR(__xludf.DUMMYFUNCTION("""COMPUTED_VALUE"""),"FOR HOUSE KEEPING REPLENISHMENT")</f>
        <v>FOR HOUSE KEEPING REPLENISHMENT</v>
      </c>
    </row>
    <row r="3510">
      <c r="A3510" s="234">
        <f>IFERROR(__xludf.DUMMYFUNCTION("""COMPUTED_VALUE"""),103801.0)</f>
        <v>103801</v>
      </c>
      <c r="B3510" s="235" t="str">
        <f>IFERROR(__xludf.DUMMYFUNCTION("""COMPUTED_VALUE"""),"ALFA DE LEON")</f>
        <v>ALFA DE LEON</v>
      </c>
      <c r="C3510" s="235" t="str">
        <f>IFERROR(__xludf.DUMMYFUNCTION("""COMPUTED_VALUE"""),"ADMIN")</f>
        <v>ADMIN</v>
      </c>
      <c r="D3510" s="196" t="str">
        <f>IFERROR(__xludf.DUMMYFUNCTION("""COMPUTED_VALUE"""),"COIN BEAN BAGS LARGE 28x12 21
COIN BEAN MEDIUM 23x10 21")</f>
        <v>COIN BEAN BAGS LARGE 28x12 21
COIN BEAN MEDIUM 23x10 21</v>
      </c>
      <c r="E3510" s="196" t="str">
        <f>IFERROR(__xludf.DUMMYFUNCTION("""COMPUTED_VALUE"""),"2/F AND 3RD FLOOR SLABBED AREA-EVENTS-ASSEMBLY AREA")</f>
        <v>2/F AND 3RD FLOOR SLABBED AREA-EVENTS-ASSEMBLY AREA</v>
      </c>
    </row>
    <row r="3511">
      <c r="A3511" s="234">
        <f>IFERROR(__xludf.DUMMYFUNCTION("""COMPUTED_VALUE"""),103802.0)</f>
        <v>103802</v>
      </c>
      <c r="B3511" s="235" t="str">
        <f>IFERROR(__xludf.DUMMYFUNCTION("""COMPUTED_VALUE"""),"CHARLES DONOR ")</f>
        <v>CHARLES DONOR </v>
      </c>
      <c r="C3511" s="235" t="str">
        <f>IFERROR(__xludf.DUMMYFUNCTION("""COMPUTED_VALUE"""),"AMD")</f>
        <v>AMD</v>
      </c>
      <c r="D3511" s="196" t="str">
        <f>IFERROR(__xludf.DUMMYFUNCTION("""COMPUTED_VALUE"""),"PLASTIC COVER, GAUGE 4 48'w PER METER 400M
BOX OF PAPER, CONTINOUS  
11x9.5 3PLY 5BOX")</f>
        <v>PLASTIC COVER, GAUGE 4 48'w PER METER 400M
BOX OF PAPER, CONTINOUS  
11x9.5 3PLY 5BOX</v>
      </c>
      <c r="E3511" s="196" t="str">
        <f>IFERROR(__xludf.DUMMYFUNCTION("""COMPUTED_VALUE"""),"OSSUP- STOCK REPLENISHMENT")</f>
        <v>OSSUP- STOCK REPLENISHMENT</v>
      </c>
    </row>
    <row r="3512">
      <c r="A3512" s="234">
        <f>IFERROR(__xludf.DUMMYFUNCTION("""COMPUTED_VALUE"""),103803.0)</f>
        <v>103803</v>
      </c>
      <c r="B3512" s="235" t="str">
        <f>IFERROR(__xludf.DUMMYFUNCTION("""COMPUTED_VALUE"""),"CARLITO DELA VEGA")</f>
        <v>CARLITO DELA VEGA</v>
      </c>
      <c r="C3512" s="235" t="str">
        <f>IFERROR(__xludf.DUMMYFUNCTION("""COMPUTED_VALUE"""),"SECURITY")</f>
        <v>SECURITY</v>
      </c>
      <c r="D3512" s="196" t="str">
        <f>IFERROR(__xludf.DUMMYFUNCTION("""COMPUTED_VALUE"""),"MIFARE READER INTERFACE 1")</f>
        <v>MIFARE READER INTERFACE 1</v>
      </c>
      <c r="E3512" s="196" t="str">
        <f>IFERROR(__xludf.DUMMYFUNCTION("""COMPUTED_VALUE"""),"REPLACEMENT OF DEFECTIVE READER OF THE FRONTGATE")</f>
        <v>REPLACEMENT OF DEFECTIVE READER OF THE FRONTGATE</v>
      </c>
    </row>
    <row r="3513">
      <c r="A3513" s="234">
        <f>IFERROR(__xludf.DUMMYFUNCTION("""COMPUTED_VALUE"""),103804.0)</f>
        <v>103804</v>
      </c>
      <c r="B3513" s="235" t="str">
        <f>IFERROR(__xludf.DUMMYFUNCTION("""COMPUTED_VALUE"""),"SHEREE ESPPINOSA ")</f>
        <v>SHEREE ESPPINOSA </v>
      </c>
      <c r="C3513" s="235" t="str">
        <f>IFERROR(__xludf.DUMMYFUNCTION("""COMPUTED_VALUE"""),"ADMIN")</f>
        <v>ADMIN</v>
      </c>
      <c r="D3513" s="196" t="str">
        <f>IFERROR(__xludf.DUMMYFUNCTION("""COMPUTED_VALUE"""),"LED LIGHTS (COLORS) 2 ROLLS
 ADAPTOR 5PCS")</f>
        <v>LED LIGHTS (COLORS) 2 ROLLS
 ADAPTOR 5PCS</v>
      </c>
      <c r="E3513" s="196" t="str">
        <f>IFERROR(__xludf.DUMMYFUNCTION("""COMPUTED_VALUE"""),"REPLACEMENT OF BUSTED LED LIGHTS FOR MMA")</f>
        <v>REPLACEMENT OF BUSTED LED LIGHTS FOR MMA</v>
      </c>
    </row>
    <row r="3514">
      <c r="A3514" s="234">
        <f>IFERROR(__xludf.DUMMYFUNCTION("""COMPUTED_VALUE"""),103805.0)</f>
        <v>103805</v>
      </c>
      <c r="B3514" s="235" t="str">
        <f>IFERROR(__xludf.DUMMYFUNCTION("""COMPUTED_VALUE"""),"SHEREE ESPINOSA")</f>
        <v>SHEREE ESPINOSA</v>
      </c>
      <c r="C3514" s="235" t="str">
        <f>IFERROR(__xludf.DUMMYFUNCTION("""COMPUTED_VALUE"""),"ADMIN")</f>
        <v>ADMIN</v>
      </c>
      <c r="D3514" s="196" t="str">
        <f>IFERROR(__xludf.DUMMYFUNCTION("""COMPUTED_VALUE"""),"LED LIGHT (6 COLORS) 2ROLLS
ADAPTOR 4PCS")</f>
        <v>LED LIGHT (6 COLORS) 2ROLLS
ADAPTOR 4PCS</v>
      </c>
      <c r="E3514" s="196" t="str">
        <f>IFERROR(__xludf.DUMMYFUNCTION("""COMPUTED_VALUE"""),"LED LIGHTS FOR LUX HALL STAGE")</f>
        <v>LED LIGHTS FOR LUX HALL STAGE</v>
      </c>
    </row>
    <row r="3515">
      <c r="A3515" s="234">
        <f>IFERROR(__xludf.DUMMYFUNCTION("""COMPUTED_VALUE"""),103806.0)</f>
        <v>103806</v>
      </c>
      <c r="B3515" s="235" t="str">
        <f>IFERROR(__xludf.DUMMYFUNCTION("""COMPUTED_VALUE"""),"CARLITO DELA VEGA")</f>
        <v>CARLITO DELA VEGA</v>
      </c>
      <c r="C3515" s="235" t="str">
        <f>IFERROR(__xludf.DUMMYFUNCTION("""COMPUTED_VALUE"""),"ADMIN")</f>
        <v>ADMIN</v>
      </c>
      <c r="D3515" s="196" t="str">
        <f>IFERROR(__xludf.DUMMYFUNCTION("""COMPUTED_VALUE"""),"CROWN SR-966 MEGAPHONE 30WATTS 10PCS")</f>
        <v>CROWN SR-966 MEGAPHONE 30WATTS 10PCS</v>
      </c>
      <c r="E3515" s="196" t="str">
        <f>IFERROR(__xludf.DUMMYFUNCTION("""COMPUTED_VALUE"""),"FOR EMERGENCY USE, FOR ALL CAMPUS")</f>
        <v>FOR EMERGENCY USE, FOR ALL CAMPUS</v>
      </c>
    </row>
    <row r="3516">
      <c r="A3516" s="234">
        <f>IFERROR(__xludf.DUMMYFUNCTION("""COMPUTED_VALUE"""),103807.0)</f>
        <v>103807</v>
      </c>
      <c r="B3516" s="235" t="str">
        <f>IFERROR(__xludf.DUMMYFUNCTION("""COMPUTED_VALUE"""),"CAMILE GABRIEL")</f>
        <v>CAMILE GABRIEL</v>
      </c>
      <c r="C3516" s="235" t="str">
        <f>IFERROR(__xludf.DUMMYFUNCTION("""COMPUTED_VALUE"""),"HRMD")</f>
        <v>HRMD</v>
      </c>
      <c r="D3516" s="196" t="str">
        <f>IFERROR(__xludf.DUMMYFUNCTION("""COMPUTED_VALUE"""),"MANAGEMENT
BLOUSE SHORT SLEEVE 23
BLOUSE 3/4 SLEEVE 14
BLOUSE LONG SLEEVE 9
PANTS15
SKIRT 12
BLAZER 13
POLO BLOUSE 3/4 SLEEVE 3
SKIRT (DIFF. DESIGN) 3
DRESS 4")</f>
        <v>MANAGEMENT
BLOUSE SHORT SLEEVE 23
BLOUSE 3/4 SLEEVE 14
BLOUSE LONG SLEEVE 9
PANTS15
SKIRT 12
BLAZER 13
POLO BLOUSE 3/4 SLEEVE 3
SKIRT (DIFF. DESIGN) 3
DRESS 4</v>
      </c>
      <c r="E3516" s="196" t="str">
        <f>IFERROR(__xludf.DUMMYFUNCTION("""COMPUTED_VALUE"""),"BED AND MANAGEMENT UNIFORM AY 2023-2024")</f>
        <v>BED AND MANAGEMENT UNIFORM AY 2023-2024</v>
      </c>
    </row>
    <row r="3517">
      <c r="A3517" s="234">
        <f>IFERROR(__xludf.DUMMYFUNCTION("""COMPUTED_VALUE"""),103808.0)</f>
        <v>103808</v>
      </c>
      <c r="B3517" s="235" t="str">
        <f>IFERROR(__xludf.DUMMYFUNCTION("""COMPUTED_VALUE"""),"CAMILLE GABRIEL ")</f>
        <v>CAMILLE GABRIEL </v>
      </c>
      <c r="C3517" s="235" t="str">
        <f>IFERROR(__xludf.DUMMYFUNCTION("""COMPUTED_VALUE"""),"HRMD")</f>
        <v>HRMD</v>
      </c>
      <c r="D3517" s="196" t="str">
        <f>IFERROR(__xludf.DUMMYFUNCTION("""COMPUTED_VALUE"""),"FACULTY
BLOUSE SHORT SLEEVE 216
BLOUSE 3/4 SLEEVE 3
BLOUSE  LONG SLEEVE 116
PANTS 132
SKIRT 52
BLADER 60")</f>
        <v>FACULTY
BLOUSE SHORT SLEEVE 216
BLOUSE 3/4 SLEEVE 3
BLOUSE  LONG SLEEVE 116
PANTS 132
SKIRT 52
BLADER 60</v>
      </c>
      <c r="E3517" s="196" t="str">
        <f>IFERROR(__xludf.DUMMYFUNCTION("""COMPUTED_VALUE"""),"BED AND MANAGEMENT UNIFORM AY 2023-2024")</f>
        <v>BED AND MANAGEMENT UNIFORM AY 2023-2024</v>
      </c>
    </row>
    <row r="3518">
      <c r="A3518" s="234">
        <f>IFERROR(__xludf.DUMMYFUNCTION("""COMPUTED_VALUE"""),103809.0)</f>
        <v>103809</v>
      </c>
      <c r="B3518" s="235" t="str">
        <f>IFERROR(__xludf.DUMMYFUNCTION("""COMPUTED_VALUE"""),"JESUIT CHRISTIAN GALICIA")</f>
        <v>JESUIT CHRISTIAN GALICIA</v>
      </c>
      <c r="C3518" s="235" t="str">
        <f>IFERROR(__xludf.DUMMYFUNCTION("""COMPUTED_VALUE"""),"AMD")</f>
        <v>AMD</v>
      </c>
      <c r="D3518" s="196" t="str">
        <f>IFERROR(__xludf.DUMMYFUNCTION("""COMPUTED_VALUE"""),"LED DAYLIGHT PHILIPS 8 W BBULB 70PCS")</f>
        <v>LED DAYLIGHT PHILIPS 8 W BBULB 70PCS</v>
      </c>
      <c r="E3518" s="196" t="str">
        <f>IFERROR(__xludf.DUMMYFUNCTION("""COMPUTED_VALUE"""),"ENGINEERING WAREHOUSE STOCK REPLENISHMENT")</f>
        <v>ENGINEERING WAREHOUSE STOCK REPLENISHMENT</v>
      </c>
    </row>
    <row r="3519">
      <c r="A3519" s="234">
        <f>IFERROR(__xludf.DUMMYFUNCTION("""COMPUTED_VALUE"""),103810.0)</f>
        <v>103810</v>
      </c>
      <c r="B3519" s="235" t="str">
        <f>IFERROR(__xludf.DUMMYFUNCTION("""COMPUTED_VALUE"""),"HAZEL LOUI FAMADOR")</f>
        <v>HAZEL LOUI FAMADOR</v>
      </c>
      <c r="C3519" s="235" t="str">
        <f>IFERROR(__xludf.DUMMYFUNCTION("""COMPUTED_VALUE"""),"PR &amp; MARKETING")</f>
        <v>PR &amp; MARKETING</v>
      </c>
      <c r="D3519" s="196" t="str">
        <f>IFERROR(__xludf.DUMMYFUNCTION("""COMPUTED_VALUE"""),"PARACHUTE CANOPY TENT 2-PLY AND WATER RESISTANT 
SIZE: 80 L- 45FT")</f>
        <v>PARACHUTE CANOPY TENT 2-PLY AND WATER RESISTANT 
SIZE: 80 L- 45FT</v>
      </c>
      <c r="E3519" s="196" t="str">
        <f>IFERROR(__xludf.DUMMYFUNCTION("""COMPUTED_VALUE"""),"FOR PR OUTDOOR EVENTS")</f>
        <v>FOR PR OUTDOOR EVENTS</v>
      </c>
    </row>
    <row r="3520">
      <c r="A3520" s="234">
        <f>IFERROR(__xludf.DUMMYFUNCTION("""COMPUTED_VALUE"""),103811.0)</f>
        <v>103811</v>
      </c>
      <c r="B3520" s="235" t="str">
        <f>IFERROR(__xludf.DUMMYFUNCTION("""COMPUTED_VALUE"""),"JOHN CARLO CAMPIT")</f>
        <v>JOHN CARLO CAMPIT</v>
      </c>
      <c r="C3520" s="235" t="str">
        <f>IFERROR(__xludf.DUMMYFUNCTION("""COMPUTED_VALUE"""),"ABU-FOOD SERVICES")</f>
        <v>ABU-FOOD SERVICES</v>
      </c>
      <c r="D3520" s="196" t="str">
        <f>IFERROR(__xludf.DUMMYFUNCTION("""COMPUTED_VALUE"""),"SMART TV TCL 55P735 1UNIT")</f>
        <v>SMART TV TCL 55P735 1UNIT</v>
      </c>
      <c r="E3520" s="196" t="str">
        <f>IFERROR(__xludf.DUMMYFUNCTION("""COMPUTED_VALUE"""),"NEW SET UP/ DESIGN IN COLLEGE CAFETERIA")</f>
        <v>NEW SET UP/ DESIGN IN COLLEGE CAFETERIA</v>
      </c>
    </row>
    <row r="3521">
      <c r="A3521" s="234">
        <f>IFERROR(__xludf.DUMMYFUNCTION("""COMPUTED_VALUE"""),103812.0)</f>
        <v>103812</v>
      </c>
      <c r="B3521" s="235" t="str">
        <f>IFERROR(__xludf.DUMMYFUNCTION("""COMPUTED_VALUE"""),"BRIAN PATAG ")</f>
        <v>BRIAN PATAG </v>
      </c>
      <c r="C3521" s="235" t="str">
        <f>IFERROR(__xludf.DUMMYFUNCTION("""COMPUTED_VALUE"""),"AMD")</f>
        <v>AMD</v>
      </c>
      <c r="D3521" s="196" t="str">
        <f>IFERROR(__xludf.DUMMYFUNCTION("""COMPUTED_VALUE"""),"HAND DRYER EASYFLOW 10")</f>
        <v>HAND DRYER EASYFLOW 10</v>
      </c>
      <c r="E3521" s="196" t="str">
        <f>IFERROR(__xludf.DUMMYFUNCTION("""COMPUTED_VALUE"""),"FOR HOUSEKEEPING REPLENISHMENT")</f>
        <v>FOR HOUSEKEEPING REPLENISHMENT</v>
      </c>
    </row>
    <row r="3522">
      <c r="A3522" s="234">
        <f>IFERROR(__xludf.DUMMYFUNCTION("""COMPUTED_VALUE"""),103813.0)</f>
        <v>103813</v>
      </c>
      <c r="B3522" s="235" t="str">
        <f>IFERROR(__xludf.DUMMYFUNCTION("""COMPUTED_VALUE"""),"TOM TONGOTIAN")</f>
        <v>TOM TONGOTIAN</v>
      </c>
      <c r="C3522" s="235" t="str">
        <f>IFERROR(__xludf.DUMMYFUNCTION("""COMPUTED_VALUE"""),"ADMIN")</f>
        <v>ADMIN</v>
      </c>
      <c r="D3522" s="196" t="str">
        <f>IFERROR(__xludf.DUMMYFUNCTION("""COMPUTED_VALUE"""),"EPOXY INJECTION 20 GALS")</f>
        <v>EPOXY INJECTION 20 GALS</v>
      </c>
      <c r="E3522" s="196" t="str">
        <f>IFERROR(__xludf.DUMMYFUNCTION("""COMPUTED_VALUE"""),"STRUCTURAL RETROFITTING (3RB AND 4 FLOOR LABORATORYLUX")</f>
        <v>STRUCTURAL RETROFITTING (3RB AND 4 FLOOR LABORATORYLUX</v>
      </c>
    </row>
    <row r="3523">
      <c r="A3523" s="234">
        <f>IFERROR(__xludf.DUMMYFUNCTION("""COMPUTED_VALUE"""),103814.0)</f>
        <v>103814</v>
      </c>
      <c r="B3523" s="235" t="str">
        <f>IFERROR(__xludf.DUMMYFUNCTION("""COMPUTED_VALUE"""),"MARK PABUSTAN")</f>
        <v>MARK PABUSTAN</v>
      </c>
      <c r="C3523" s="235" t="str">
        <f>IFERROR(__xludf.DUMMYFUNCTION("""COMPUTED_VALUE"""),"ROBOTICS")</f>
        <v>ROBOTICS</v>
      </c>
      <c r="D3523" s="196" t="str">
        <f>IFERROR(__xludf.DUMMYFUNCTION("""COMPUTED_VALUE"""),"PANASONIC BQ-C55 BATTERY CHARGER 4PCS
PANASONIC BK-3MCCE AA BATTERY 28 SETS
PANASONIC BK 4MCCE AAA BATTERY 3 SETS
")</f>
        <v>PANASONIC BQ-C55 BATTERY CHARGER 4PCS
PANASONIC BK-3MCCE AA BATTERY 28 SETS
PANASONIC BK 4MCCE AAA BATTERY 3 SETS
</v>
      </c>
      <c r="E3523" s="196" t="str">
        <f>IFERROR(__xludf.DUMMYFUNCTION("""COMPUTED_VALUE"""),"ROBOTICS LABORATORY KITS USE FOR MUNICH AND STAR CAMPUS")</f>
        <v>ROBOTICS LABORATORY KITS USE FOR MUNICH AND STAR CAMPUS</v>
      </c>
    </row>
    <row r="3524">
      <c r="A3524" s="234">
        <f>IFERROR(__xludf.DUMMYFUNCTION("""COMPUTED_VALUE"""),103815.0)</f>
        <v>103815</v>
      </c>
      <c r="B3524" s="235" t="str">
        <f>IFERROR(__xludf.DUMMYFUNCTION("""COMPUTED_VALUE"""),"CHARLES DONOR")</f>
        <v>CHARLES DONOR</v>
      </c>
      <c r="C3524" s="235" t="str">
        <f>IFERROR(__xludf.DUMMYFUNCTION("""COMPUTED_VALUE"""),"AMD")</f>
        <v>AMD</v>
      </c>
      <c r="D3524" s="196" t="str">
        <f>IFERROR(__xludf.DUMMYFUNCTION("""COMPUTED_VALUE"""),"TOWEL,HAND-GOOD MORNING 300PCS
REFERENCE: PO30478")</f>
        <v>TOWEL,HAND-GOOD MORNING 300PCS
REFERENCE: PO30478</v>
      </c>
      <c r="E3524" s="196" t="str">
        <f>IFERROR(__xludf.DUMMYFUNCTION("""COMPUTED_VALUE"""),"OSSUP- STOCK REFLENISHMENT")</f>
        <v>OSSUP- STOCK REFLENISHMENT</v>
      </c>
    </row>
    <row r="3525">
      <c r="A3525" s="234">
        <f>IFERROR(__xludf.DUMMYFUNCTION("""COMPUTED_VALUE"""),103816.0)</f>
        <v>103816</v>
      </c>
      <c r="B3525" s="235" t="str">
        <f>IFERROR(__xludf.DUMMYFUNCTION("""COMPUTED_VALUE"""),"CHRISTIAN LUCAS")</f>
        <v>CHRISTIAN LUCAS</v>
      </c>
      <c r="C3525" s="235" t="str">
        <f>IFERROR(__xludf.DUMMYFUNCTION("""COMPUTED_VALUE"""),"MIS")</f>
        <v>MIS</v>
      </c>
      <c r="D3525" s="196" t="str">
        <f>IFERROR(__xludf.DUMMYFUNCTION("""COMPUTED_VALUE"""),"5 PORT GIGABIT DESKTOP SWITCH W/ 4 PORT POE 5
8 PORT GIGABIT DESKTOP SWITCH W/ 8 PORT POE 2")</f>
        <v>5 PORT GIGABIT DESKTOP SWITCH W/ 4 PORT POE 5
8 PORT GIGABIT DESKTOP SWITCH W/ 8 PORT POE 2</v>
      </c>
      <c r="E3525" s="196" t="str">
        <f>IFERROR(__xludf.DUMMYFUNCTION("""COMPUTED_VALUE"""),"FOR DEPLOYMENT")</f>
        <v>FOR DEPLOYMENT</v>
      </c>
    </row>
    <row r="3526">
      <c r="A3526" s="234">
        <f>IFERROR(__xludf.DUMMYFUNCTION("""COMPUTED_VALUE"""),103817.0)</f>
        <v>103817</v>
      </c>
      <c r="B3526" s="235" t="str">
        <f>IFERROR(__xludf.DUMMYFUNCTION("""COMPUTED_VALUE"""),"CHARLES DONOR")</f>
        <v>CHARLES DONOR</v>
      </c>
      <c r="C3526" s="235" t="str">
        <f>IFERROR(__xludf.DUMMYFUNCTION("""COMPUTED_VALUE"""),"AMD")</f>
        <v>AMD</v>
      </c>
      <c r="D3526" s="196" t="str">
        <f>IFERROR(__xludf.DUMMYFUNCTION("""COMPUTED_VALUE"""),"BATTERY, ENELOOP SIZE AAA RECHARGABLE 500 PCS
BATTERY, ENELOOP SIZE AA RECHARGABLE 500 PCS
GLUE, MIGHTY BOND 50PCS")</f>
        <v>BATTERY, ENELOOP SIZE AAA RECHARGABLE 500 PCS
BATTERY, ENELOOP SIZE AA RECHARGABLE 500 PCS
GLUE, MIGHTY BOND 50PCS</v>
      </c>
      <c r="E3526" s="196" t="str">
        <f>IFERROR(__xludf.DUMMYFUNCTION("""COMPUTED_VALUE"""),"OSSUP- STOCK REPLENISHMENT")</f>
        <v>OSSUP- STOCK REPLENISHMENT</v>
      </c>
    </row>
    <row r="3527">
      <c r="A3527" s="234">
        <f>IFERROR(__xludf.DUMMYFUNCTION("""COMPUTED_VALUE"""),103818.0)</f>
        <v>103818</v>
      </c>
      <c r="B3527" s="235" t="str">
        <f>IFERROR(__xludf.DUMMYFUNCTION("""COMPUTED_VALUE"""),"EUGENE MASILUNGAN")</f>
        <v>EUGENE MASILUNGAN</v>
      </c>
      <c r="C3527" s="235" t="str">
        <f>IFERROR(__xludf.DUMMYFUNCTION("""COMPUTED_VALUE"""),"CEM OFFICE")</f>
        <v>CEM OFFICE</v>
      </c>
      <c r="D3527" s="196" t="str">
        <f>IFERROR(__xludf.DUMMYFUNCTION("""COMPUTED_VALUE"""),"PHOTOSLEEVES FOR RING BINDER (LONG) 4 POCKET 200PCS")</f>
        <v>PHOTOSLEEVES FOR RING BINDER (LONG) 4 POCKET 200PCS</v>
      </c>
      <c r="E3527" s="196" t="str">
        <f>IFERROR(__xludf.DUMMYFUNCTION("""COMPUTED_VALUE"""),"FOR CHRONICLES PHOTOS (AY 2021-2022, 2022-2023)")</f>
        <v>FOR CHRONICLES PHOTOS (AY 2021-2022, 2022-2023)</v>
      </c>
    </row>
    <row r="3528">
      <c r="A3528" s="234">
        <f>IFERROR(__xludf.DUMMYFUNCTION("""COMPUTED_VALUE"""),103819.0)</f>
        <v>103819</v>
      </c>
      <c r="B3528" s="235" t="str">
        <f>IFERROR(__xludf.DUMMYFUNCTION("""COMPUTED_VALUE"""),"ALFA DE LEON")</f>
        <v>ALFA DE LEON</v>
      </c>
      <c r="C3528" s="235" t="str">
        <f>IFERROR(__xludf.DUMMYFUNCTION("""COMPUTED_VALUE"""),"MUNICH")</f>
        <v>MUNICH</v>
      </c>
      <c r="D3528" s="196" t="str">
        <f>IFERROR(__xludf.DUMMYFUNCTION("""COMPUTED_VALUE"""),"MONOBLOCK CHAIR COLOR GREEN              200")</f>
        <v>MONOBLOCK CHAIR COLOR GREEN              200</v>
      </c>
      <c r="E3528" s="196" t="str">
        <f>IFERROR(__xludf.DUMMYFUNCTION("""COMPUTED_VALUE"""),"REPLACEMENT AND ADDITIONAL CHAIRS FOR OUTDOOR LOBBY AND CAFE")</f>
        <v>REPLACEMENT AND ADDITIONAL CHAIRS FOR OUTDOOR LOBBY AND CAFE</v>
      </c>
    </row>
    <row r="3529">
      <c r="A3529" s="234">
        <f>IFERROR(__xludf.DUMMYFUNCTION("""COMPUTED_VALUE"""),103820.0)</f>
        <v>103820</v>
      </c>
      <c r="B3529" s="235" t="str">
        <f>IFERROR(__xludf.DUMMYFUNCTION("""COMPUTED_VALUE"""),"LUCILLE BEYER")</f>
        <v>LUCILLE BEYER</v>
      </c>
      <c r="C3529" s="235" t="str">
        <f>IFERROR(__xludf.DUMMYFUNCTION("""COMPUTED_VALUE"""),"MEDICAL")</f>
        <v>MEDICAL</v>
      </c>
      <c r="D3529" s="196" t="str">
        <f>IFERROR(__xludf.DUMMYFUNCTION("""COMPUTED_VALUE"""),"PLS SEE ATTACHED LIST FOR PURCHASED")</f>
        <v>PLS SEE ATTACHED LIST FOR PURCHASED</v>
      </c>
      <c r="E3529" s="196" t="str">
        <f>IFERROR(__xludf.DUMMYFUNCTION("""COMPUTED_VALUE"""),"ADDITIONAL CLINIC MATERIALS, PILLOWS, AND PILLOW CASES")</f>
        <v>ADDITIONAL CLINIC MATERIALS, PILLOWS, AND PILLOW CASES</v>
      </c>
    </row>
    <row r="3530">
      <c r="A3530" s="234">
        <f>IFERROR(__xludf.DUMMYFUNCTION("""COMPUTED_VALUE"""),103821.0)</f>
        <v>103821</v>
      </c>
      <c r="B3530" s="235" t="str">
        <f>IFERROR(__xludf.DUMMYFUNCTION("""COMPUTED_VALUE"""),"LUCILLE BEYER")</f>
        <v>LUCILLE BEYER</v>
      </c>
      <c r="C3530" s="235" t="str">
        <f>IFERROR(__xludf.DUMMYFUNCTION("""COMPUTED_VALUE"""),"MEDICAL")</f>
        <v>MEDICAL</v>
      </c>
      <c r="D3530" s="196" t="str">
        <f>IFERROR(__xludf.DUMMYFUNCTION("""COMPUTED_VALUE"""),"KINDLY SEE ATTACHED LIST FOR PURCHASE
NOTE: PLEASE BUY/ PURCHASE QUALITY SUPPLIES. THIS IS A COMPETITION W/ 7 INTERNATIONAL SCHOOLS")</f>
        <v>KINDLY SEE ATTACHED LIST FOR PURCHASE
NOTE: PLEASE BUY/ PURCHASE QUALITY SUPPLIES. THIS IS A COMPETITION W/ 7 INTERNATIONAL SCHOOLS</v>
      </c>
      <c r="E3530" s="196" t="str">
        <f>IFERROR(__xludf.DUMMYFUNCTION("""COMPUTED_VALUE"""),"ADDITIONAL SUPPLIES/ MATERIALS FOR 3 CLIINCS IN PREPARATION FOR ISAC HOSTING ON OCT. 25-29, 2023")</f>
        <v>ADDITIONAL SUPPLIES/ MATERIALS FOR 3 CLIINCS IN PREPARATION FOR ISAC HOSTING ON OCT. 25-29, 2023</v>
      </c>
    </row>
    <row r="3531">
      <c r="A3531" s="234">
        <f>IFERROR(__xludf.DUMMYFUNCTION("""COMPUTED_VALUE"""),103822.0)</f>
        <v>103822</v>
      </c>
      <c r="B3531" s="235" t="str">
        <f>IFERROR(__xludf.DUMMYFUNCTION("""COMPUTED_VALUE"""),"EDGAR REBELLON ")</f>
        <v>EDGAR REBELLON </v>
      </c>
      <c r="C3531" s="235" t="str">
        <f>IFERROR(__xludf.DUMMYFUNCTION("""COMPUTED_VALUE"""),"ABU")</f>
        <v>ABU</v>
      </c>
      <c r="D3531" s="196" t="str">
        <f>IFERROR(__xludf.DUMMYFUNCTION("""COMPUTED_VALUE"""),"AIRCOOLER, IWATA COLOR BLACK")</f>
        <v>AIRCOOLER, IWATA COLOR BLACK</v>
      </c>
      <c r="E3531" s="196" t="str">
        <f>IFERROR(__xludf.DUMMYFUNCTION("""COMPUTED_VALUE"""),"VENTILATION IN COLLEGE WALKWAY")</f>
        <v>VENTILATION IN COLLEGE WALKWAY</v>
      </c>
    </row>
    <row r="3532">
      <c r="A3532" s="234">
        <f>IFERROR(__xludf.DUMMYFUNCTION("""COMPUTED_VALUE"""),103823.0)</f>
        <v>103823</v>
      </c>
      <c r="B3532" s="235" t="str">
        <f>IFERROR(__xludf.DUMMYFUNCTION("""COMPUTED_VALUE"""),"JOHN EDRYCK ALVARADO")</f>
        <v>JOHN EDRYCK ALVARADO</v>
      </c>
      <c r="C3532" s="235" t="str">
        <f>IFERROR(__xludf.DUMMYFUNCTION("""COMPUTED_VALUE"""),"STUDENT AFFAIRS ")</f>
        <v>STUDENT AFFAIRS </v>
      </c>
      <c r="D3532" s="196" t="str">
        <f>IFERROR(__xludf.DUMMYFUNCTION("""COMPUTED_VALUE"""),"TRODAT
JOHN EDRYCK G. ALVARADO")</f>
        <v>TRODAT
JOHN EDRYCK G. ALVARADO</v>
      </c>
      <c r="E3532" s="196" t="str">
        <f>IFERROR(__xludf.DUMMYFUNCTION("""COMPUTED_VALUE"""),"FOR SIGNING MULTIPLE DOCUMENTS AND CLUB POSTERS")</f>
        <v>FOR SIGNING MULTIPLE DOCUMENTS AND CLUB POSTERS</v>
      </c>
    </row>
    <row r="3533">
      <c r="A3533" s="234">
        <f>IFERROR(__xludf.DUMMYFUNCTION("""COMPUTED_VALUE"""),103824.0)</f>
        <v>103824</v>
      </c>
      <c r="B3533" s="235" t="str">
        <f>IFERROR(__xludf.DUMMYFUNCTION("""COMPUTED_VALUE"""),"CHRISTIAN ANDRES")</f>
        <v>CHRISTIAN ANDRES</v>
      </c>
      <c r="C3533" s="235" t="str">
        <f>IFERROR(__xludf.DUMMYFUNCTION("""COMPUTED_VALUE"""),"PR")</f>
        <v>PR</v>
      </c>
      <c r="D3533" s="196" t="str">
        <f>IFERROR(__xludf.DUMMYFUNCTION("""COMPUTED_VALUE"""),"CALLING CARDS (BOX)
1. KAYREEN 2
2. JAYVEN 3
3. ABIGAIL 1
4. ELLA1
5. ELYDS 2
6. HAZEL 1
7. CHRISTIAN 1
8. DAN 1")</f>
        <v>CALLING CARDS (BOX)
1. KAYREEN 2
2. JAYVEN 3
3. ABIGAIL 1
4. ELLA1
5. ELYDS 2
6. HAZEL 1
7. CHRISTIAN 1
8. DAN 1</v>
      </c>
      <c r="E3533" s="196" t="str">
        <f>IFERROR(__xludf.DUMMYFUNCTION("""COMPUTED_VALUE"""),"MARKETING")</f>
        <v>MARKETING</v>
      </c>
    </row>
    <row r="3534">
      <c r="A3534" s="234">
        <f>IFERROR(__xludf.DUMMYFUNCTION("""COMPUTED_VALUE"""),103825.0)</f>
        <v>103825</v>
      </c>
      <c r="B3534" s="235" t="str">
        <f>IFERROR(__xludf.DUMMYFUNCTION("""COMPUTED_VALUE"""),"CHRISTIAN ANDRES")</f>
        <v>CHRISTIAN ANDRES</v>
      </c>
      <c r="C3534" s="235" t="str">
        <f>IFERROR(__xludf.DUMMYFUNCTION("""COMPUTED_VALUE"""),"PR")</f>
        <v>PR</v>
      </c>
      <c r="D3534" s="196" t="str">
        <f>IFERROR(__xludf.DUMMYFUNCTION("""COMPUTED_VALUE"""),"SOUTHVILLE MONARCH TSHIRT 
 WHITE
S- 50
M- 50
L- 50
XL- 50
PURPLE
S-50
M-50
L-50
XL-50
")</f>
        <v>SOUTHVILLE MONARCH TSHIRT 
 WHITE
S- 50
M- 50
L- 50
XL- 50
PURPLE
S-50
M-50
L-50
XL-50
</v>
      </c>
      <c r="E3534" s="196" t="str">
        <f>IFERROR(__xludf.DUMMYFUNCTION("""COMPUTED_VALUE"""),"PROMOTIONAL GIVE AWAY")</f>
        <v>PROMOTIONAL GIVE AWAY</v>
      </c>
    </row>
    <row r="3535">
      <c r="A3535" s="234">
        <f>IFERROR(__xludf.DUMMYFUNCTION("""COMPUTED_VALUE"""),103826.0)</f>
        <v>103826</v>
      </c>
      <c r="B3535" s="235" t="str">
        <f>IFERROR(__xludf.DUMMYFUNCTION("""COMPUTED_VALUE"""),"CHRISTIAN ANDRES")</f>
        <v>CHRISTIAN ANDRES</v>
      </c>
      <c r="C3535" s="235" t="str">
        <f>IFERROR(__xludf.DUMMYFUNCTION("""COMPUTED_VALUE"""),"PR")</f>
        <v>PR</v>
      </c>
      <c r="D3535" s="196" t="str">
        <f>IFERROR(__xludf.DUMMYFUNCTION("""COMPUTED_VALUE"""),"PLEASE SEE ATTACHED
VIDEO LIGHT KIT DAYLIGHT CONTINOUS LED")</f>
        <v>PLEASE SEE ATTACHED
VIDEO LIGHT KIT DAYLIGHT CONTINOUS LED</v>
      </c>
      <c r="E3535" s="196" t="str">
        <f>IFERROR(__xludf.DUMMYFUNCTION("""COMPUTED_VALUE"""),"MARKETING  COLLATERAL/ MATERIAL FOR KOREA VIDEO")</f>
        <v>MARKETING  COLLATERAL/ MATERIAL FOR KOREA VIDEO</v>
      </c>
    </row>
    <row r="3536">
      <c r="A3536" s="234">
        <f>IFERROR(__xludf.DUMMYFUNCTION("""COMPUTED_VALUE"""),103827.0)</f>
        <v>103827</v>
      </c>
      <c r="B3536" s="235" t="str">
        <f>IFERROR(__xludf.DUMMYFUNCTION("""COMPUTED_VALUE"""),"CHARLES DONOR")</f>
        <v>CHARLES DONOR</v>
      </c>
      <c r="C3536" s="235" t="str">
        <f>IFERROR(__xludf.DUMMYFUNCTION("""COMPUTED_VALUE"""),"AMD")</f>
        <v>AMD</v>
      </c>
      <c r="D3536" s="196" t="str">
        <f>IFERROR(__xludf.DUMMYFUNCTION("""COMPUTED_VALUE"""),"PAPER, COPY-LASER SUB. 20SHORT WHITE 200 PCS
TISSUE, ROLL BATH 2PLY (SANICARE) 250PCS")</f>
        <v>PAPER, COPY-LASER SUB. 20SHORT WHITE 200 PCS
TISSUE, ROLL BATH 2PLY (SANICARE) 250PCS</v>
      </c>
      <c r="E3536" s="196" t="str">
        <f>IFERROR(__xludf.DUMMYFUNCTION("""COMPUTED_VALUE"""),"OSSUP- STOCK REPLENISHMENT")</f>
        <v>OSSUP- STOCK REPLENISHMENT</v>
      </c>
    </row>
    <row r="3537">
      <c r="A3537" s="234">
        <f>IFERROR(__xludf.DUMMYFUNCTION("""COMPUTED_VALUE"""),103828.0)</f>
        <v>103828</v>
      </c>
      <c r="B3537" s="235" t="str">
        <f>IFERROR(__xludf.DUMMYFUNCTION("""COMPUTED_VALUE"""),"JOMEL BUTIAL")</f>
        <v>JOMEL BUTIAL</v>
      </c>
      <c r="C3537" s="235" t="str">
        <f>IFERROR(__xludf.DUMMYFUNCTION("""COMPUTED_VALUE"""),"PR &amp; MARKETING")</f>
        <v>PR &amp; MARKETING</v>
      </c>
      <c r="D3537" s="196" t="str">
        <f>IFERROR(__xludf.DUMMYFUNCTION("""COMPUTED_VALUE"""),"IHBB ASIAN CHAMPIONSHIPS 2023 ANNOUNCEMENT TARP")</f>
        <v>IHBB ASIAN CHAMPIONSHIPS 2023 ANNOUNCEMENT TARP</v>
      </c>
      <c r="E3537" s="196" t="str">
        <f>IFERROR(__xludf.DUMMYFUNCTION("""COMPUTED_VALUE"""),"ANNOUNCEMENT")</f>
        <v>ANNOUNCEMENT</v>
      </c>
    </row>
    <row r="3538">
      <c r="A3538" s="234">
        <f>IFERROR(__xludf.DUMMYFUNCTION("""COMPUTED_VALUE"""),103829.0)</f>
        <v>103829</v>
      </c>
      <c r="B3538" s="235" t="str">
        <f>IFERROR(__xludf.DUMMYFUNCTION("""COMPUTED_VALUE"""),"RHEA JOVEREZ")</f>
        <v>RHEA JOVEREZ</v>
      </c>
      <c r="C3538" s="235" t="str">
        <f>IFERROR(__xludf.DUMMYFUNCTION("""COMPUTED_VALUE"""),"PR")</f>
        <v>PR</v>
      </c>
      <c r="D3538" s="196" t="str">
        <f>IFERROR(__xludf.DUMMYFUNCTION("""COMPUTED_VALUE"""),"IPHONE 11, 128GB BLACK 1
(MAY ORDER FROM THEIR WEBSITE: KIMSTONE.COM)")</f>
        <v>IPHONE 11, 128GB BLACK 1
(MAY ORDER FROM THEIR WEBSITE: KIMSTONE.COM)</v>
      </c>
      <c r="E3538" s="196" t="str">
        <f>IFERROR(__xludf.DUMMYFUNCTION("""COMPUTED_VALUE"""),"FOR TIKTOK PROMOTIONAL VIDEOS")</f>
        <v>FOR TIKTOK PROMOTIONAL VIDEOS</v>
      </c>
    </row>
    <row r="3539">
      <c r="A3539" s="234">
        <f>IFERROR(__xludf.DUMMYFUNCTION("""COMPUTED_VALUE"""),103830.0)</f>
        <v>103830</v>
      </c>
      <c r="B3539" s="235" t="str">
        <f>IFERROR(__xludf.DUMMYFUNCTION("""COMPUTED_VALUE"""),"SHEREE ESPINOSA")</f>
        <v>SHEREE ESPINOSA</v>
      </c>
      <c r="C3539" s="235" t="str">
        <f>IFERROR(__xludf.DUMMYFUNCTION("""COMPUTED_VALUE"""),"ADMIN")</f>
        <v>ADMIN</v>
      </c>
      <c r="D3539" s="196" t="str">
        <f>IFERROR(__xludf.DUMMYFUNCTION("""COMPUTED_VALUE"""),"FORMICA WHITE 4PCS FOR LUX CLASSROOM")</f>
        <v>FORMICA WHITE 4PCS FOR LUX CLASSROOM</v>
      </c>
      <c r="E3539" s="196" t="str">
        <f>IFERROR(__xludf.DUMMYFUNCTION("""COMPUTED_VALUE"""),"CLASSROOM PREVENTIVE MAINTENANCE")</f>
        <v>CLASSROOM PREVENTIVE MAINTENANCE</v>
      </c>
    </row>
    <row r="3540">
      <c r="A3540" s="234">
        <f>IFERROR(__xludf.DUMMYFUNCTION("""COMPUTED_VALUE"""),103831.0)</f>
        <v>103831</v>
      </c>
      <c r="B3540" s="235" t="str">
        <f>IFERROR(__xludf.DUMMYFUNCTION("""COMPUTED_VALUE"""),"CHARLES DONOR")</f>
        <v>CHARLES DONOR</v>
      </c>
      <c r="C3540" s="235" t="str">
        <f>IFERROR(__xludf.DUMMYFUNCTION("""COMPUTED_VALUE"""),"AMD")</f>
        <v>AMD</v>
      </c>
      <c r="D3540" s="196" t="str">
        <f>IFERROR(__xludf.DUMMYFUNCTION("""COMPUTED_VALUE"""),"FOLDER, PRESSBOARD GREEN LONG 2000PCS")</f>
        <v>FOLDER, PRESSBOARD GREEN LONG 2000PCS</v>
      </c>
      <c r="E3540" s="196" t="str">
        <f>IFERROR(__xludf.DUMMYFUNCTION("""COMPUTED_VALUE"""),"OSSUP-STOCK REPLENISHMENT ")</f>
        <v>OSSUP-STOCK REPLENISHMENT </v>
      </c>
    </row>
    <row r="3541">
      <c r="A3541" s="234">
        <f>IFERROR(__xludf.DUMMYFUNCTION("""COMPUTED_VALUE"""),103832.0)</f>
        <v>103832</v>
      </c>
      <c r="B3541" s="235" t="str">
        <f>IFERROR(__xludf.DUMMYFUNCTION("""COMPUTED_VALUE"""),"ALFA DE LEON/OWIE PAR")</f>
        <v>ALFA DE LEON/OWIE PAR</v>
      </c>
      <c r="C3541" s="235" t="str">
        <f>IFERROR(__xludf.DUMMYFUNCTION("""COMPUTED_VALUE"""),"ADMIN")</f>
        <v>ADMIN</v>
      </c>
      <c r="D3541" s="196" t="str">
        <f>IFERROR(__xludf.DUMMYFUNCTION("""COMPUTED_VALUE"""),"INDUSTRIAL PANEL BOARD 1 unit")</f>
        <v>INDUSTRIAL PANEL BOARD 1 unit</v>
      </c>
      <c r="E3541" s="196" t="str">
        <f>IFERROR(__xludf.DUMMYFUNCTION("""COMPUTED_VALUE"""),"INDUSTRIAL PANEL BOARD MUNICH BOARD")</f>
        <v>INDUSTRIAL PANEL BOARD MUNICH BOARD</v>
      </c>
    </row>
    <row r="3542">
      <c r="A3542" s="234">
        <f>IFERROR(__xludf.DUMMYFUNCTION("""COMPUTED_VALUE"""),103833.0)</f>
        <v>103833</v>
      </c>
      <c r="B3542" s="235" t="str">
        <f>IFERROR(__xludf.DUMMYFUNCTION("""COMPUTED_VALUE"""),"MARVIN D")</f>
        <v>MARVIN D</v>
      </c>
      <c r="C3542" s="235" t="str">
        <f>IFERROR(__xludf.DUMMYFUNCTION("""COMPUTED_VALUE"""),"AB COMM/MMA")</f>
        <v>AB COMM/MMA</v>
      </c>
      <c r="D3542" s="196" t="str">
        <f>IFERROR(__xludf.DUMMYFUNCTION("""COMPUTED_VALUE"""),"FLASH TRIGGER 1 pc")</f>
        <v>FLASH TRIGGER 1 pc</v>
      </c>
      <c r="E3542" s="196" t="str">
        <f>IFERROR(__xludf.DUMMYFUNCTION("""COMPUTED_VALUE"""),"FOR PHOTOGRAPHY CLASSES")</f>
        <v>FOR PHOTOGRAPHY CLASSES</v>
      </c>
    </row>
    <row r="3543">
      <c r="A3543" s="234">
        <f>IFERROR(__xludf.DUMMYFUNCTION("""COMPUTED_VALUE"""),103834.0)</f>
        <v>103834</v>
      </c>
      <c r="B3543" s="235" t="str">
        <f>IFERROR(__xludf.DUMMYFUNCTION("""COMPUTED_VALUE"""),"DOMINADOR JIMBO CARAAN")</f>
        <v>DOMINADOR JIMBO CARAAN</v>
      </c>
      <c r="C3543" s="235" t="str">
        <f>IFERROR(__xludf.DUMMYFUNCTION("""COMPUTED_VALUE"""),"SPECIAL SUBJECTS")</f>
        <v>SPECIAL SUBJECTS</v>
      </c>
      <c r="D3543" s="196" t="str">
        <f>IFERROR(__xludf.DUMMYFUNCTION("""COMPUTED_VALUE"""),"FERNANDO UKULELE (UK-23N) 4")</f>
        <v>FERNANDO UKULELE (UK-23N) 4</v>
      </c>
      <c r="E3543" s="196" t="str">
        <f>IFERROR(__xludf.DUMMYFUNCTION("""COMPUTED_VALUE"""),"ADDITIONAL INSTRUMENT FOR THE BANDROOM")</f>
        <v>ADDITIONAL INSTRUMENT FOR THE BANDROOM</v>
      </c>
    </row>
    <row r="3544">
      <c r="A3544" s="234">
        <f>IFERROR(__xludf.DUMMYFUNCTION("""COMPUTED_VALUE"""),103835.0)</f>
        <v>103835</v>
      </c>
      <c r="B3544" s="235" t="str">
        <f>IFERROR(__xludf.DUMMYFUNCTION("""COMPUTED_VALUE"""),"CHARLES DONOR")</f>
        <v>CHARLES DONOR</v>
      </c>
      <c r="C3544" s="235" t="str">
        <f>IFERROR(__xludf.DUMMYFUNCTION("""COMPUTED_VALUE"""),"AMD")</f>
        <v>AMD</v>
      </c>
      <c r="D3544" s="196" t="str">
        <f>IFERROR(__xludf.DUMMYFUNCTION("""COMPUTED_VALUE"""),"HIGHLIGHTER, STABILO BLUE 50PCS
HIGHLIGHTER, STABILO PINK 50PCS
HIGHLIGHTER, STABILO YELLOW 50PCS
MONGOL PENCIL NO.1 240PCS")</f>
        <v>HIGHLIGHTER, STABILO BLUE 50PCS
HIGHLIGHTER, STABILO PINK 50PCS
HIGHLIGHTER, STABILO YELLOW 50PCS
MONGOL PENCIL NO.1 240PCS</v>
      </c>
      <c r="E3544" s="196" t="str">
        <f>IFERROR(__xludf.DUMMYFUNCTION("""COMPUTED_VALUE"""),"OSSUP- STOCK REPLENISHMENT")</f>
        <v>OSSUP- STOCK REPLENISHMENT</v>
      </c>
    </row>
    <row r="3545">
      <c r="A3545" s="234">
        <f>IFERROR(__xludf.DUMMYFUNCTION("""COMPUTED_VALUE"""),103836.0)</f>
        <v>103836</v>
      </c>
      <c r="B3545" s="235" t="str">
        <f>IFERROR(__xludf.DUMMYFUNCTION("""COMPUTED_VALUE"""),"CHARLES DONOR")</f>
        <v>CHARLES DONOR</v>
      </c>
      <c r="C3545" s="235" t="str">
        <f>IFERROR(__xludf.DUMMYFUNCTION("""COMPUTED_VALUE"""),"AMD")</f>
        <v>AMD</v>
      </c>
      <c r="D3545" s="196" t="str">
        <f>IFERROR(__xludf.DUMMYFUNCTION("""COMPUTED_VALUE"""),"ENVELOPE , EXPANDING  PLASTIC SHORT, ADVENTURER 1000PCS
PAPER, COPY-LASER SUB. 20 SHORT WHITE 100PCS
PAPER, COPY-LASER A4 SUB. 20 WHITE 100PCS")</f>
        <v>ENVELOPE , EXPANDING  PLASTIC SHORT, ADVENTURER 1000PCS
PAPER, COPY-LASER SUB. 20 SHORT WHITE 100PCS
PAPER, COPY-LASER A4 SUB. 20 WHITE 100PCS</v>
      </c>
      <c r="E3545" s="196" t="str">
        <f>IFERROR(__xludf.DUMMYFUNCTION("""COMPUTED_VALUE"""),"OSSUP- STOCK REPLENISHMENT")</f>
        <v>OSSUP- STOCK REPLENISHMENT</v>
      </c>
    </row>
    <row r="3546">
      <c r="A3546" s="234">
        <f>IFERROR(__xludf.DUMMYFUNCTION("""COMPUTED_VALUE"""),103837.0)</f>
        <v>103837</v>
      </c>
      <c r="B3546" s="235" t="str">
        <f>IFERROR(__xludf.DUMMYFUNCTION("""COMPUTED_VALUE"""),"ALFA DE LEON")</f>
        <v>ALFA DE LEON</v>
      </c>
      <c r="C3546" s="235" t="str">
        <f>IFERROR(__xludf.DUMMYFUNCTION("""COMPUTED_VALUE"""),"LUX LANDSCAPING")</f>
        <v>LUX LANDSCAPING</v>
      </c>
      <c r="D3546" s="196" t="str">
        <f>IFERROR(__xludf.DUMMYFUNCTION("""COMPUTED_VALUE"""),"FORGET ME NOT 200")</f>
        <v>FORGET ME NOT 200</v>
      </c>
      <c r="E3546" s="196" t="str">
        <f>IFERROR(__xludf.DUMMYFUNCTION("""COMPUTED_VALUE"""),"IMPROVEMENT OF PLANT BOX PLANTS SIDE OF LUX HALL ( BONGAMVILLA TO FORGET ME NOT")</f>
        <v>IMPROVEMENT OF PLANT BOX PLANTS SIDE OF LUX HALL ( BONGAMVILLA TO FORGET ME NOT</v>
      </c>
    </row>
    <row r="3547">
      <c r="A3547" s="234">
        <f>IFERROR(__xludf.DUMMYFUNCTION("""COMPUTED_VALUE"""),103838.0)</f>
        <v>103838</v>
      </c>
      <c r="B3547" s="235" t="str">
        <f>IFERROR(__xludf.DUMMYFUNCTION("""COMPUTED_VALUE"""),"ALFA DE LEON")</f>
        <v>ALFA DE LEON</v>
      </c>
      <c r="C3547" s="235" t="str">
        <f>IFERROR(__xludf.DUMMYFUNCTION("""COMPUTED_VALUE"""),"COLLEGE AND MONARCH")</f>
        <v>COLLEGE AND MONARCH</v>
      </c>
      <c r="D3547" s="196" t="str">
        <f>IFERROR(__xludf.DUMMYFUNCTION("""COMPUTED_VALUE"""),"KAMUNING PLANT 30
MANI-MANI 100
SELLOUM 30")</f>
        <v>KAMUNING PLANT 30
MANI-MANI 100
SELLOUM 30</v>
      </c>
      <c r="E3547" s="196" t="str">
        <f>IFERROR(__xludf.DUMMYFUNCTION("""COMPUTED_VALUE"""),"COLLEGE PARKING NEAR  CR REPAIR OF PLANTS AND MONARCH PARK MAINTENANCE")</f>
        <v>COLLEGE PARKING NEAR  CR REPAIR OF PLANTS AND MONARCH PARK MAINTENANCE</v>
      </c>
    </row>
    <row r="3548">
      <c r="A3548" s="234">
        <f>IFERROR(__xludf.DUMMYFUNCTION("""COMPUTED_VALUE"""),103839.0)</f>
        <v>103839</v>
      </c>
      <c r="B3548" s="235" t="str">
        <f>IFERROR(__xludf.DUMMYFUNCTION("""COMPUTED_VALUE"""),"ALFA DE LEON")</f>
        <v>ALFA DE LEON</v>
      </c>
      <c r="C3548" s="235" t="str">
        <f>IFERROR(__xludf.DUMMYFUNCTION("""COMPUTED_VALUE"""),"MUNICH")</f>
        <v>MUNICH</v>
      </c>
      <c r="D3548" s="196" t="str">
        <f>IFERROR(__xludf.DUMMYFUNCTION("""COMPUTED_VALUE"""),"FAUCET 1")</f>
        <v>FAUCET 1</v>
      </c>
      <c r="E3548" s="196" t="str">
        <f>IFERROR(__xludf.DUMMYFUNCTION("""COMPUTED_VALUE"""),"REPAIR OF WAITING AREA")</f>
        <v>REPAIR OF WAITING AREA</v>
      </c>
    </row>
    <row r="3549">
      <c r="A3549" s="234">
        <f>IFERROR(__xludf.DUMMYFUNCTION("""COMPUTED_VALUE"""),103840.0)</f>
        <v>103840</v>
      </c>
      <c r="B3549" s="235" t="str">
        <f>IFERROR(__xludf.DUMMYFUNCTION("""COMPUTED_VALUE"""),"ALFA DE LEON")</f>
        <v>ALFA DE LEON</v>
      </c>
      <c r="C3549" s="235" t="str">
        <f>IFERROR(__xludf.DUMMYFUNCTION("""COMPUTED_VALUE"""),"MUNICH")</f>
        <v>MUNICH</v>
      </c>
      <c r="D3549" s="196" t="str">
        <f>IFERROR(__xludf.DUMMYFUNCTION("""COMPUTED_VALUE"""),"TANK FITTING COMPLETE SET FAUCET")</f>
        <v>TANK FITTING COMPLETE SET FAUCET</v>
      </c>
      <c r="E3549" s="196" t="str">
        <f>IFERROR(__xludf.DUMMYFUNCTION("""COMPUTED_VALUE"""),"REPAIR OF RESTROOM")</f>
        <v>REPAIR OF RESTROOM</v>
      </c>
    </row>
    <row r="3550">
      <c r="A3550" s="234">
        <f>IFERROR(__xludf.DUMMYFUNCTION("""COMPUTED_VALUE"""),103841.0)</f>
        <v>103841</v>
      </c>
      <c r="B3550" s="235" t="str">
        <f>IFERROR(__xludf.DUMMYFUNCTION("""COMPUTED_VALUE"""),"OWIE PAR")</f>
        <v>OWIE PAR</v>
      </c>
      <c r="C3550" s="235" t="str">
        <f>IFERROR(__xludf.DUMMYFUNCTION("""COMPUTED_VALUE"""),"ADMIN")</f>
        <v>ADMIN</v>
      </c>
      <c r="D3550" s="196" t="str">
        <f>IFERROR(__xludf.DUMMYFUNCTION("""COMPUTED_VALUE"""),"STAIR NOSING GOLD 10 PCS
STAIR NOSING SILVER 10PCS
STAIR NOSING RUBBER 10 PCS.  ")</f>
        <v>STAIR NOSING GOLD 10 PCS
STAIR NOSING SILVER 10PCS
STAIR NOSING RUBBER 10 PCS.  </v>
      </c>
      <c r="E3550" s="196" t="str">
        <f>IFERROR(__xludf.DUMMYFUNCTION("""COMPUTED_VALUE"""),"SAFETY CONCERNS (BROKEN STAIR NOSING) FOR COLLEGE AND LUX BUILDING)")</f>
        <v>SAFETY CONCERNS (BROKEN STAIR NOSING) FOR COLLEGE AND LUX BUILDING)</v>
      </c>
    </row>
    <row r="3551">
      <c r="A3551" s="234">
        <f>IFERROR(__xludf.DUMMYFUNCTION("""COMPUTED_VALUE"""),103842.0)</f>
        <v>103842</v>
      </c>
      <c r="B3551" s="235" t="str">
        <f>IFERROR(__xludf.DUMMYFUNCTION("""COMPUTED_VALUE"""),"OWIE PAR")</f>
        <v>OWIE PAR</v>
      </c>
      <c r="C3551" s="235" t="str">
        <f>IFERROR(__xludf.DUMMYFUNCTION("""COMPUTED_VALUE"""),"ENGINEERING")</f>
        <v>ENGINEERING</v>
      </c>
      <c r="D3551" s="196" t="str">
        <f>IFERROR(__xludf.DUMMYFUNCTION("""COMPUTED_VALUE"""),"PVC PIPE #3 ORANGE 5PCS
PVC ELBOW #3 90DEGREE 1PC
PVC ELBOW #3 45DEGREE 2PCS
PVC TEE 1PC
FABRICATED GUTTER 4PCS
VULCA SEAL 1QUART
DRILL BIT 1/8 4PCS
FABRICATED GUTTER 6PCS
SOLVENT  CEMENT 400CC 1CAN")</f>
        <v>PVC PIPE #3 ORANGE 5PCS
PVC ELBOW #3 90DEGREE 1PC
PVC ELBOW #3 45DEGREE 2PCS
PVC TEE 1PC
FABRICATED GUTTER 4PCS
VULCA SEAL 1QUART
DRILL BIT 1/8 4PCS
FABRICATED GUTTER 6PCS
SOLVENT  CEMENT 400CC 1CAN</v>
      </c>
      <c r="E3551" s="196" t="str">
        <f>IFERROR(__xludf.DUMMYFUNCTION("""COMPUTED_VALUE"""),"FOR STAR CAMPUS (BESIDE ESCALANTE RESIDENCE)")</f>
        <v>FOR STAR CAMPUS (BESIDE ESCALANTE RESIDENCE)</v>
      </c>
    </row>
    <row r="3552">
      <c r="A3552" s="234">
        <f>IFERROR(__xludf.DUMMYFUNCTION("""COMPUTED_VALUE"""),103843.0)</f>
        <v>103843</v>
      </c>
      <c r="B3552" s="235" t="str">
        <f>IFERROR(__xludf.DUMMYFUNCTION("""COMPUTED_VALUE"""),"PAULO ARAÑA")</f>
        <v>PAULO ARAÑA</v>
      </c>
      <c r="C3552" s="235" t="str">
        <f>IFERROR(__xludf.DUMMYFUNCTION("""COMPUTED_VALUE"""),"MIS")</f>
        <v>MIS</v>
      </c>
      <c r="D3552" s="196" t="str">
        <f>IFERROR(__xludf.DUMMYFUNCTION("""COMPUTED_VALUE"""),"VENT10 HDMI TO DVI 10PCS
URGREEN 4K DISPLAY FORT DP TO HDMI ADAPTER 5PCS
HDMI CABLE 2.0 (5M) 5PCS
HDMI CABLE 2.0( 10M) 10PCS
RCA HDMI SWITCH SPLITTER 1IN 4 OUT 10PCS")</f>
        <v>VENT10 HDMI TO DVI 10PCS
URGREEN 4K DISPLAY FORT DP TO HDMI ADAPTER 5PCS
HDMI CABLE 2.0 (5M) 5PCS
HDMI CABLE 2.0( 10M) 10PCS
RCA HDMI SWITCH SPLITTER 1IN 4 OUT 10PCS</v>
      </c>
      <c r="E3552" s="196" t="str">
        <f>IFERROR(__xludf.DUMMYFUNCTION("""COMPUTED_VALUE"""),"FOR EVENTS AND CLASSROOM SETUP")</f>
        <v>FOR EVENTS AND CLASSROOM SETUP</v>
      </c>
    </row>
    <row r="3553">
      <c r="A3553" s="234">
        <f>IFERROR(__xludf.DUMMYFUNCTION("""COMPUTED_VALUE"""),103844.0)</f>
        <v>103844</v>
      </c>
      <c r="B3553" s="235" t="str">
        <f>IFERROR(__xludf.DUMMYFUNCTION("""COMPUTED_VALUE"""),"CHRISTIAN ANDRES")</f>
        <v>CHRISTIAN ANDRES</v>
      </c>
      <c r="C3553" s="235" t="str">
        <f>IFERROR(__xludf.DUMMYFUNCTION("""COMPUTED_VALUE"""),"PR &amp; MARKETING")</f>
        <v>PR &amp; MARKETING</v>
      </c>
      <c r="D3553" s="196" t="str">
        <f>IFERROR(__xludf.DUMMYFUNCTION("""COMPUTED_VALUE"""),"ETHAN TARP
3x12 FEET 
EYELET ALL OVER 18 oz THICKNESS WITH SEAMING 1")</f>
        <v>ETHAN TARP
3x12 FEET 
EYELET ALL OVER 18 oz THICKNESS WITH SEAMING 1</v>
      </c>
      <c r="E3553" s="196" t="str">
        <f>IFERROR(__xludf.DUMMYFUNCTION("""COMPUTED_VALUE"""),"MARKETING")</f>
        <v>MARKETING</v>
      </c>
    </row>
    <row r="3554">
      <c r="A3554" s="234">
        <f>IFERROR(__xludf.DUMMYFUNCTION("""COMPUTED_VALUE"""),103845.0)</f>
        <v>103845</v>
      </c>
      <c r="B3554" s="235" t="str">
        <f>IFERROR(__xludf.DUMMYFUNCTION("""COMPUTED_VALUE"""),"OWIE PAR ")</f>
        <v>OWIE PAR </v>
      </c>
      <c r="C3554" s="235" t="str">
        <f>IFERROR(__xludf.DUMMYFUNCTION("""COMPUTED_VALUE"""),"ENGINEERING")</f>
        <v>ENGINEERING</v>
      </c>
      <c r="D3554" s="196" t="str">
        <f>IFERROR(__xludf.DUMMYFUNCTION("""COMPUTED_VALUE"""),"FLAT LATEX BLACK 2 GAL
FLOURESCENT FIXTURE 8W DAYLIGHT 4SETS
FLOURESCENT FIXTURE 8W BLACKLIGHT 7SETS
PAINT BRUSH #1/2 2PCS
PAINT ROLLER #8 2PCS")</f>
        <v>FLAT LATEX BLACK 2 GAL
FLOURESCENT FIXTURE 8W DAYLIGHT 4SETS
FLOURESCENT FIXTURE 8W BLACKLIGHT 7SETS
PAINT BRUSH #1/2 2PCS
PAINT ROLLER #8 2PCS</v>
      </c>
      <c r="E3554" s="196" t="str">
        <f>IFERROR(__xludf.DUMMYFUNCTION("""COMPUTED_VALUE"""),"FOR K-12 EVENT LUX HALL J.O. 09230260")</f>
        <v>FOR K-12 EVENT LUX HALL J.O. 09230260</v>
      </c>
    </row>
    <row r="3555">
      <c r="A3555" s="234">
        <f>IFERROR(__xludf.DUMMYFUNCTION("""COMPUTED_VALUE"""),103846.0)</f>
        <v>103846</v>
      </c>
      <c r="B3555" s="235" t="str">
        <f>IFERROR(__xludf.DUMMYFUNCTION("""COMPUTED_VALUE"""),"JESUIT CHRISTIAN GALICIA")</f>
        <v>JESUIT CHRISTIAN GALICIA</v>
      </c>
      <c r="C3555" s="235" t="str">
        <f>IFERROR(__xludf.DUMMYFUNCTION("""COMPUTED_VALUE"""),"AMD")</f>
        <v>AMD</v>
      </c>
      <c r="D3555" s="196" t="str">
        <f>IFERROR(__xludf.DUMMYFUNCTION("""COMPUTED_VALUE"""),"PRESTAR JAPAN PUSHCART 
400KG CAPACITY 1PC")</f>
        <v>PRESTAR JAPAN PUSHCART 
400KG CAPACITY 1PC</v>
      </c>
      <c r="E3555" s="196" t="str">
        <f>IFERROR(__xludf.DUMMYFUNCTION("""COMPUTED_VALUE"""),"AMD ADDITIONAL EQUIPMENT TO OPTIMIZED TRANSFORTATION OF MATERIALS")</f>
        <v>AMD ADDITIONAL EQUIPMENT TO OPTIMIZED TRANSFORTATION OF MATERIALS</v>
      </c>
    </row>
    <row r="3556">
      <c r="A3556" s="234">
        <f>IFERROR(__xludf.DUMMYFUNCTION("""COMPUTED_VALUE"""),103847.0)</f>
        <v>103847</v>
      </c>
      <c r="B3556" s="235" t="str">
        <f>IFERROR(__xludf.DUMMYFUNCTION("""COMPUTED_VALUE"""),"JESUIT CHRISTIAN GALICIA")</f>
        <v>JESUIT CHRISTIAN GALICIA</v>
      </c>
      <c r="C3556" s="235" t="str">
        <f>IFERROR(__xludf.DUMMYFUNCTION("""COMPUTED_VALUE"""),"AMD")</f>
        <v>AMD</v>
      </c>
      <c r="D3556" s="196" t="str">
        <f>IFERROR(__xludf.DUMMYFUNCTION("""COMPUTED_VALUE"""),"LED TUBE 16W DAYLIGHT-PHILIPS 100PCS")</f>
        <v>LED TUBE 16W DAYLIGHT-PHILIPS 100PCS</v>
      </c>
      <c r="E3556" s="196" t="str">
        <f>IFERROR(__xludf.DUMMYFUNCTION("""COMPUTED_VALUE"""),"ENGINEERING WAREHOUSE STOCK REPLENISHMENT")</f>
        <v>ENGINEERING WAREHOUSE STOCK REPLENISHMENT</v>
      </c>
    </row>
    <row r="3557">
      <c r="A3557" s="234">
        <f>IFERROR(__xludf.DUMMYFUNCTION("""COMPUTED_VALUE"""),103848.0)</f>
        <v>103848</v>
      </c>
      <c r="B3557" s="235" t="str">
        <f>IFERROR(__xludf.DUMMYFUNCTION("""COMPUTED_VALUE"""),"ELMIE LAUDIATO")</f>
        <v>ELMIE LAUDIATO</v>
      </c>
      <c r="C3557" s="235" t="str">
        <f>IFERROR(__xludf.DUMMYFUNCTION("""COMPUTED_VALUE"""),"HRMD")</f>
        <v>HRMD</v>
      </c>
      <c r="D3557" s="196" t="str">
        <f>IFERROR(__xludf.DUMMYFUNCTION("""COMPUTED_VALUE"""),"PLS SEE ATTACHED 
FLOWER WREATH")</f>
        <v>PLS SEE ATTACHED 
FLOWER WREATH</v>
      </c>
      <c r="E3557" s="196" t="str">
        <f>IFERROR(__xludf.DUMMYFUNCTION("""COMPUTED_VALUE"""),"FLOWER WREATH FOR THE BROTHER OF MS. MARYKNOLL SANPEDRO")</f>
        <v>FLOWER WREATH FOR THE BROTHER OF MS. MARYKNOLL SANPEDRO</v>
      </c>
    </row>
    <row r="3558">
      <c r="A3558" s="234">
        <f>IFERROR(__xludf.DUMMYFUNCTION("""COMPUTED_VALUE"""),103849.0)</f>
        <v>103849</v>
      </c>
      <c r="B3558" s="235" t="str">
        <f>IFERROR(__xludf.DUMMYFUNCTION("""COMPUTED_VALUE"""),"ARNEL MONTABLAN")</f>
        <v>ARNEL MONTABLAN</v>
      </c>
      <c r="C3558" s="235" t="str">
        <f>IFERROR(__xludf.DUMMYFUNCTION("""COMPUTED_VALUE"""),"FOUNDER SCHOLAR")</f>
        <v>FOUNDER SCHOLAR</v>
      </c>
      <c r="D3558" s="196" t="str">
        <f>IFERROR(__xludf.DUMMYFUNCTION("""COMPUTED_VALUE"""),"28 LAPTOPS
ACER SWIFT 3 SF314-4 3-R06N LAPTOP
AMD RYZEN TM 5
8GB RAM
512GB NVMe SSD")</f>
        <v>28 LAPTOPS
ACER SWIFT 3 SF314-4 3-R06N LAPTOP
AMD RYZEN TM 5
8GB RAM
512GB NVMe SSD</v>
      </c>
      <c r="E3558" s="196" t="str">
        <f>IFERROR(__xludf.DUMMYFUNCTION("""COMPUTED_VALUE"""),"FOR SCHOLARS TO ENHANCE THEIR EDUCATION FOR DIGITAL RESOURCES, RESEARCH CAPABILITIES, ETC.")</f>
        <v>FOR SCHOLARS TO ENHANCE THEIR EDUCATION FOR DIGITAL RESOURCES, RESEARCH CAPABILITIES, ETC.</v>
      </c>
    </row>
    <row r="3559">
      <c r="A3559" s="234">
        <f>IFERROR(__xludf.DUMMYFUNCTION("""COMPUTED_VALUE"""),103850.0)</f>
        <v>103850</v>
      </c>
      <c r="B3559" s="235" t="str">
        <f>IFERROR(__xludf.DUMMYFUNCTION("""COMPUTED_VALUE"""),"JESUIT CHRISTIAN GALICIA")</f>
        <v>JESUIT CHRISTIAN GALICIA</v>
      </c>
      <c r="C3559" s="235" t="str">
        <f>IFERROR(__xludf.DUMMYFUNCTION("""COMPUTED_VALUE"""),"AMD")</f>
        <v>AMD</v>
      </c>
      <c r="D3559" s="196" t="str">
        <f>IFERROR(__xludf.DUMMYFUNCTION("""COMPUTED_VALUE"""),"G6- TOWPEP JOURNAL 10PCS
G7- TOWPEP JOURNAL 20PCS
G5- TOWPEP JOURNAL 20PCS")</f>
        <v>G6- TOWPEP JOURNAL 10PCS
G7- TOWPEP JOURNAL 20PCS
G5- TOWPEP JOURNAL 20PCS</v>
      </c>
      <c r="E3559" s="196" t="str">
        <f>IFERROR(__xludf.DUMMYFUNCTION("""COMPUTED_VALUE"""),"WAREHOUSE BOOK REFLENISHMENT")</f>
        <v>WAREHOUSE BOOK REFLENISHMENT</v>
      </c>
    </row>
    <row r="3560">
      <c r="A3560" s="234">
        <f>IFERROR(__xludf.DUMMYFUNCTION("""COMPUTED_VALUE"""),103851.0)</f>
        <v>103851</v>
      </c>
      <c r="B3560" s="235" t="str">
        <f>IFERROR(__xludf.DUMMYFUNCTION("""COMPUTED_VALUE"""),"THALEAH BALON")</f>
        <v>THALEAH BALON</v>
      </c>
      <c r="C3560" s="235" t="str">
        <f>IFERROR(__xludf.DUMMYFUNCTION("""COMPUTED_VALUE"""),"FINANCE")</f>
        <v>FINANCE</v>
      </c>
      <c r="D3560" s="196" t="str">
        <f>IFERROR(__xludf.DUMMYFUNCTION("""COMPUTED_VALUE"""),"TRODAT
MARC ANTHONY MARQUEZ")</f>
        <v>TRODAT
MARC ANTHONY MARQUEZ</v>
      </c>
      <c r="E3560" s="196" t="str">
        <f>IFERROR(__xludf.DUMMYFUNCTION("""COMPUTED_VALUE"""),"SIGNING OF MULTIPLE DOCUMENTS")</f>
        <v>SIGNING OF MULTIPLE DOCUMENTS</v>
      </c>
    </row>
    <row r="3561">
      <c r="A3561" s="234">
        <f>IFERROR(__xludf.DUMMYFUNCTION("""COMPUTED_VALUE"""),103852.0)</f>
        <v>103852</v>
      </c>
      <c r="B3561" s="235" t="str">
        <f>IFERROR(__xludf.DUMMYFUNCTION("""COMPUTED_VALUE"""),"SHEREE ESPINOSA")</f>
        <v>SHEREE ESPINOSA</v>
      </c>
      <c r="C3561" s="235" t="str">
        <f>IFERROR(__xludf.DUMMYFUNCTION("""COMPUTED_VALUE"""),"ADMIN")</f>
        <v>ADMIN</v>
      </c>
      <c r="D3561" s="196" t="str">
        <f>IFERROR(__xludf.DUMMYFUNCTION("""COMPUTED_VALUE"""),"RADIO HANDHELD- CIGNUS V85 PRO (RE-ORDER) 7PCS
1. ADMIN (SHEREE)
2. L-SHAPE
3. PERIMETER
4. TROPICAL CAMPUS
5. FOOD COURT
5. COLLEGE GUARD (2)")</f>
        <v>RADIO HANDHELD- CIGNUS V85 PRO (RE-ORDER) 7PCS
1. ADMIN (SHEREE)
2. L-SHAPE
3. PERIMETER
4. TROPICAL CAMPUS
5. FOOD COURT
5. COLLEGE GUARD (2)</v>
      </c>
      <c r="E3561" s="196" t="str">
        <f>IFERROR(__xludf.DUMMYFUNCTION("""COMPUTED_VALUE"""),"ADDITIONAL RADIO FOR HOUSEKEEPING  PERSONEL")</f>
        <v>ADDITIONAL RADIO FOR HOUSEKEEPING  PERSONEL</v>
      </c>
    </row>
    <row r="3562">
      <c r="A3562" s="234">
        <f>IFERROR(__xludf.DUMMYFUNCTION("""COMPUTED_VALUE"""),103853.0)</f>
        <v>103853</v>
      </c>
      <c r="B3562" s="235" t="str">
        <f>IFERROR(__xludf.DUMMYFUNCTION("""COMPUTED_VALUE"""),"OWIE PAR")</f>
        <v>OWIE PAR</v>
      </c>
      <c r="C3562" s="235" t="str">
        <f>IFERROR(__xludf.DUMMYFUNCTION("""COMPUTED_VALUE"""),"ENGINEERING")</f>
        <v>ENGINEERING</v>
      </c>
      <c r="D3562" s="196" t="str">
        <f>IFERROR(__xludf.DUMMYFUNCTION("""COMPUTED_VALUE"""),"PARKING LIGHTS")</f>
        <v>PARKING LIGHTS</v>
      </c>
      <c r="E3562" s="196" t="str">
        <f>IFERROR(__xludf.DUMMYFUNCTION("""COMPUTED_VALUE"""),"FOR MUNICH PEDESTRIAN AND PARKING")</f>
        <v>FOR MUNICH PEDESTRIAN AND PARKING</v>
      </c>
    </row>
    <row r="3563">
      <c r="A3563" s="234">
        <f>IFERROR(__xludf.DUMMYFUNCTION("""COMPUTED_VALUE"""),103854.0)</f>
        <v>103854</v>
      </c>
      <c r="B3563" s="235" t="str">
        <f>IFERROR(__xludf.DUMMYFUNCTION("""COMPUTED_VALUE"""),"CARLITO DELA VEGA")</f>
        <v>CARLITO DELA VEGA</v>
      </c>
      <c r="C3563" s="235" t="str">
        <f>IFERROR(__xludf.DUMMYFUNCTION("""COMPUTED_VALUE"""),"SECURITY")</f>
        <v>SECURITY</v>
      </c>
      <c r="D3563" s="196" t="str">
        <f>IFERROR(__xludf.DUMMYFUNCTION("""COMPUTED_VALUE"""),"SUM ENTRY ALARM 218 20PCS
ATTACHED MODEL PACK
AVAILABLE AT ACE HARDWARE
L-SHAPE= 2F TO 5F=4
LUX= 4FT TO 6FT =2
COLLEGE= 5F 1
")</f>
        <v>SUM ENTRY ALARM 218 20PCS
ATTACHED MODEL PACK
AVAILABLE AT ACE HARDWARE
L-SHAPE= 2F TO 5F=4
LUX= 4FT TO 6FT =2
COLLEGE= 5F 1
</v>
      </c>
      <c r="E3563" s="196" t="str">
        <f>IFERROR(__xludf.DUMMYFUNCTION("""COMPUTED_VALUE"""),"EMERGENCY EXIT DOORS ALARM")</f>
        <v>EMERGENCY EXIT DOORS ALARM</v>
      </c>
    </row>
    <row r="3564">
      <c r="A3564" s="234">
        <f>IFERROR(__xludf.DUMMYFUNCTION("""COMPUTED_VALUE"""),103855.0)</f>
        <v>103855</v>
      </c>
      <c r="B3564" s="235" t="str">
        <f>IFERROR(__xludf.DUMMYFUNCTION("""COMPUTED_VALUE"""),"ALFA DE LEON")</f>
        <v>ALFA DE LEON</v>
      </c>
      <c r="C3564" s="235" t="str">
        <f>IFERROR(__xludf.DUMMYFUNCTION("""COMPUTED_VALUE"""),"MUNICH")</f>
        <v>MUNICH</v>
      </c>
      <c r="D3564" s="196" t="str">
        <f>IFERROR(__xludf.DUMMYFUNCTION("""COMPUTED_VALUE"""),"ORBIT FAN- ASAHI
COLOR: GRAY 16""")</f>
        <v>ORBIT FAN- ASAHI
COLOR: GRAY 16"</v>
      </c>
      <c r="E3564" s="196" t="str">
        <f>IFERROR(__xludf.DUMMYFUNCTION("""COMPUTED_VALUE"""),"REPLACEMENT OF BROKEN ORBIT FAN (UNREPAIRABLE)")</f>
        <v>REPLACEMENT OF BROKEN ORBIT FAN (UNREPAIRABLE)</v>
      </c>
    </row>
    <row r="3565">
      <c r="A3565" s="234">
        <f>IFERROR(__xludf.DUMMYFUNCTION("""COMPUTED_VALUE"""),103856.0)</f>
        <v>103856</v>
      </c>
      <c r="B3565" s="235" t="str">
        <f>IFERROR(__xludf.DUMMYFUNCTION("""COMPUTED_VALUE"""),"OWIE PAR")</f>
        <v>OWIE PAR</v>
      </c>
      <c r="C3565" s="235" t="str">
        <f>IFERROR(__xludf.DUMMYFUNCTION("""COMPUTED_VALUE"""),"ENGINEERING")</f>
        <v>ENGINEERING</v>
      </c>
      <c r="D3565" s="196" t="str">
        <f>IFERROR(__xludf.DUMMYFUNCTION("""COMPUTED_VALUE"""),"CIRCUIT BREAKER 40AMP
2 POLE BOLT ")</f>
        <v>CIRCUIT BREAKER 40AMP
2 POLE BOLT </v>
      </c>
      <c r="E3565" s="196" t="str">
        <f>IFERROR(__xludf.DUMMYFUNCTION("""COMPUTED_VALUE"""),"FOR LUX DRAWING RM AC4")</f>
        <v>FOR LUX DRAWING RM AC4</v>
      </c>
    </row>
    <row r="3566">
      <c r="A3566" s="234">
        <f>IFERROR(__xludf.DUMMYFUNCTION("""COMPUTED_VALUE"""),103857.0)</f>
        <v>103857</v>
      </c>
      <c r="B3566" s="235" t="str">
        <f>IFERROR(__xludf.DUMMYFUNCTION("""COMPUTED_VALUE"""),"OWIE PAR")</f>
        <v>OWIE PAR</v>
      </c>
      <c r="C3566" s="235" t="str">
        <f>IFERROR(__xludf.DUMMYFUNCTION("""COMPUTED_VALUE"""),"ENGINEERING")</f>
        <v>ENGINEERING</v>
      </c>
      <c r="D3566" s="196" t="str">
        <f>IFERROR(__xludf.DUMMYFUNCTION("""COMPUTED_VALUE"""),"PVC AMLO BOX 6PCS
WAIDESERIES OUTLET 2GANG W/ PLATE 6SETS
1PC DUPPLEX OUTLET 2 GANG 1PC
FLAT CORD #16 BLACK 3 METERS
THHN #12 20METERS
BLACK SCREW #1 (WOOD) 40PCS
NO MORE NAIL PASTE 1SACHET")</f>
        <v>PVC AMLO BOX 6PCS
WAIDESERIES OUTLET 2GANG W/ PLATE 6SETS
1PC DUPPLEX OUTLET 2 GANG 1PC
FLAT CORD #16 BLACK 3 METERS
THHN #12 20METERS
BLACK SCREW #1 (WOOD) 40PCS
NO MORE NAIL PASTE 1SACHET</v>
      </c>
      <c r="E3566" s="196" t="str">
        <f>IFERROR(__xludf.DUMMYFUNCTION("""COMPUTED_VALUE"""),"FOR ROBOTICS/ MIS JO # 1023-0048")</f>
        <v>FOR ROBOTICS/ MIS JO # 1023-0048</v>
      </c>
    </row>
    <row r="3567">
      <c r="A3567" s="234">
        <f>IFERROR(__xludf.DUMMYFUNCTION("""COMPUTED_VALUE"""),103858.0)</f>
        <v>103858</v>
      </c>
      <c r="B3567" s="235" t="str">
        <f>IFERROR(__xludf.DUMMYFUNCTION("""COMPUTED_VALUE"""),"VYE REVOLTAR")</f>
        <v>VYE REVOLTAR</v>
      </c>
      <c r="C3567" s="235" t="str">
        <f>IFERROR(__xludf.DUMMYFUNCTION("""COMPUTED_VALUE"""),"CEM OFFICE")</f>
        <v>CEM OFFICE</v>
      </c>
      <c r="D3567" s="196" t="str">
        <f>IFERROR(__xludf.DUMMYFUNCTION("""COMPUTED_VALUE"""),"PLASTIC FILLER SHORT 5000
THIN IF POSSIBLE")</f>
        <v>PLASTIC FILLER SHORT 5000
THIN IF POSSIBLE</v>
      </c>
      <c r="E3567" s="196" t="str">
        <f>IFERROR(__xludf.DUMMYFUNCTION("""COMPUTED_VALUE"""),"FOR CHRONICLES OF SCHOOLS")</f>
        <v>FOR CHRONICLES OF SCHOOLS</v>
      </c>
    </row>
    <row r="3568">
      <c r="A3568" s="234">
        <f>IFERROR(__xludf.DUMMYFUNCTION("""COMPUTED_VALUE"""),103859.0)</f>
        <v>103859</v>
      </c>
      <c r="B3568" s="235" t="str">
        <f>IFERROR(__xludf.DUMMYFUNCTION("""COMPUTED_VALUE"""),"CHARLES DONOR")</f>
        <v>CHARLES DONOR</v>
      </c>
      <c r="C3568" s="235" t="str">
        <f>IFERROR(__xludf.DUMMYFUNCTION("""COMPUTED_VALUE"""),"AMD")</f>
        <v>AMD</v>
      </c>
      <c r="D3568" s="196" t="str">
        <f>IFERROR(__xludf.DUMMYFUNCTION("""COMPUTED_VALUE"""),"TONER CARTRIDGE CF211A CYAN 30PCS
TONER CARTRIDGE CF212A YELLOW 30PCS
TONER CARTRIDGE CF213A MAGENTA 30PCS
")</f>
        <v>TONER CARTRIDGE CF211A CYAN 30PCS
TONER CARTRIDGE CF212A YELLOW 30PCS
TONER CARTRIDGE CF213A MAGENTA 30PCS
</v>
      </c>
      <c r="E3568" s="196" t="str">
        <f>IFERROR(__xludf.DUMMYFUNCTION("""COMPUTED_VALUE"""),"OSSUP- STOCK REPLENISHMENT")</f>
        <v>OSSUP- STOCK REPLENISHMENT</v>
      </c>
    </row>
    <row r="3569">
      <c r="A3569" s="234">
        <f>IFERROR(__xludf.DUMMYFUNCTION("""COMPUTED_VALUE"""),103860.0)</f>
        <v>103860</v>
      </c>
      <c r="B3569" s="235" t="str">
        <f>IFERROR(__xludf.DUMMYFUNCTION("""COMPUTED_VALUE"""),"CHRISTIAN ANDRES")</f>
        <v>CHRISTIAN ANDRES</v>
      </c>
      <c r="C3569" s="235" t="str">
        <f>IFERROR(__xludf.DUMMYFUNCTION("""COMPUTED_VALUE"""),"PR &amp; MARKETING")</f>
        <v>PR &amp; MARKETING</v>
      </c>
      <c r="D3569" s="196" t="str">
        <f>IFERROR(__xludf.DUMMYFUNCTION("""COMPUTED_VALUE"""),"ISAC BANNER
193x515 CM
EYELET ALLOVEN WITH SEAMING
BLACKOUT")</f>
        <v>ISAC BANNER
193x515 CM
EYELET ALLOVEN WITH SEAMING
BLACKOUT</v>
      </c>
      <c r="E3569" s="196" t="str">
        <f>IFERROR(__xludf.DUMMYFUNCTION("""COMPUTED_VALUE"""),"MARKETING/ PROMOTIONAL")</f>
        <v>MARKETING/ PROMOTIONAL</v>
      </c>
    </row>
    <row r="3570">
      <c r="A3570" s="234">
        <f>IFERROR(__xludf.DUMMYFUNCTION("""COMPUTED_VALUE"""),103861.0)</f>
        <v>103861</v>
      </c>
      <c r="B3570" s="235" t="str">
        <f>IFERROR(__xludf.DUMMYFUNCTION("""COMPUTED_VALUE"""),"CHRISTIAN ANDRES")</f>
        <v>CHRISTIAN ANDRES</v>
      </c>
      <c r="C3570" s="235" t="str">
        <f>IFERROR(__xludf.DUMMYFUNCTION("""COMPUTED_VALUE"""),"PR &amp; MARKETING")</f>
        <v>PR &amp; MARKETING</v>
      </c>
      <c r="D3570" s="196" t="str">
        <f>IFERROR(__xludf.DUMMYFUNCTION("""COMPUTED_VALUE"""),"ISAC DROP DOWN BANNERS
3x5 FT
EYELET ON 4 CORNERS WITH SEAMING 7")</f>
        <v>ISAC DROP DOWN BANNERS
3x5 FT
EYELET ON 4 CORNERS WITH SEAMING 7</v>
      </c>
      <c r="E3570" s="196" t="str">
        <f>IFERROR(__xludf.DUMMYFUNCTION("""COMPUTED_VALUE"""),"MARKETING/ PROMOTIONAL")</f>
        <v>MARKETING/ PROMOTIONAL</v>
      </c>
    </row>
    <row r="3571">
      <c r="A3571" s="234">
        <f>IFERROR(__xludf.DUMMYFUNCTION("""COMPUTED_VALUE"""),103862.0)</f>
        <v>103862</v>
      </c>
      <c r="B3571" s="235" t="str">
        <f>IFERROR(__xludf.DUMMYFUNCTION("""COMPUTED_VALUE"""),"CHRISTIAN ANDRES")</f>
        <v>CHRISTIAN ANDRES</v>
      </c>
      <c r="C3571" s="235" t="str">
        <f>IFERROR(__xludf.DUMMYFUNCTION("""COMPUTED_VALUE"""),"PR &amp; MARKETING")</f>
        <v>PR &amp; MARKETING</v>
      </c>
      <c r="D3571" s="196" t="str">
        <f>IFERROR(__xludf.DUMMYFUNCTION("""COMPUTED_VALUE"""),"SISC GENERIC FLYERS QUANTITY: 8000
MEGAMALL")</f>
        <v>SISC GENERIC FLYERS QUANTITY: 8000
MEGAMALL</v>
      </c>
      <c r="E3571" s="196" t="str">
        <f>IFERROR(__xludf.DUMMYFUNCTION("""COMPUTED_VALUE"""),"MARKETING/ GIVEAWAY")</f>
        <v>MARKETING/ GIVEAWAY</v>
      </c>
    </row>
    <row r="3572">
      <c r="A3572" s="234">
        <f>IFERROR(__xludf.DUMMYFUNCTION("""COMPUTED_VALUE"""),103863.0)</f>
        <v>103863</v>
      </c>
      <c r="B3572" s="235" t="str">
        <f>IFERROR(__xludf.DUMMYFUNCTION("""COMPUTED_VALUE"""),"CHRISTIAN ANDRES")</f>
        <v>CHRISTIAN ANDRES</v>
      </c>
      <c r="C3572" s="235" t="str">
        <f>IFERROR(__xludf.DUMMYFUNCTION("""COMPUTED_VALUE"""),"PR &amp; MARKETING")</f>
        <v>PR &amp; MARKETING</v>
      </c>
      <c r="D3572" s="196" t="str">
        <f>IFERROR(__xludf.DUMMYFUNCTION("""COMPUTED_VALUE"""),"SISC GENERIC FLYERS QUANTITY: 1000
")</f>
        <v>SISC GENERIC FLYERS QUANTITY: 1000
</v>
      </c>
      <c r="E3572" s="196" t="str">
        <f>IFERROR(__xludf.DUMMYFUNCTION("""COMPUTED_VALUE"""),"MARKETING/ GIVEAWAY")</f>
        <v>MARKETING/ GIVEAWAY</v>
      </c>
    </row>
    <row r="3573">
      <c r="A3573" s="234">
        <f>IFERROR(__xludf.DUMMYFUNCTION("""COMPUTED_VALUE"""),103864.0)</f>
        <v>103864</v>
      </c>
      <c r="B3573" s="235" t="str">
        <f>IFERROR(__xludf.DUMMYFUNCTION("""COMPUTED_VALUE"""),"SHEREE ESPINOSA")</f>
        <v>SHEREE ESPINOSA</v>
      </c>
      <c r="C3573" s="235" t="str">
        <f>IFERROR(__xludf.DUMMYFUNCTION("""COMPUTED_VALUE"""),"HOUSEKEEPING")</f>
        <v>HOUSEKEEPING</v>
      </c>
      <c r="D3573" s="196" t="str">
        <f>IFERROR(__xludf.DUMMYFUNCTION("""COMPUTED_VALUE"""),"4 PCS. PUSHCART
(PLEASE SEE ATTACHED PHOTO FOR REFERENCE)
(LUX BED, LUX FOOD COURT, COLLEGE AND TROPICAL")</f>
        <v>4 PCS. PUSHCART
(PLEASE SEE ATTACHED PHOTO FOR REFERENCE)
(LUX BED, LUX FOOD COURT, COLLEGE AND TROPICAL</v>
      </c>
      <c r="E3573" s="196" t="str">
        <f>IFERROR(__xludf.DUMMYFUNCTION("""COMPUTED_VALUE"""),"FOR TRANSFERING OF WATER GALLON CONTAINER FROM WATER GALLON CONTAINER FROM WATER STATION TO OTHER AREAS")</f>
        <v>FOR TRANSFERING OF WATER GALLON CONTAINER FROM WATER GALLON CONTAINER FROM WATER STATION TO OTHER AREAS</v>
      </c>
    </row>
    <row r="3574">
      <c r="A3574" s="234">
        <f>IFERROR(__xludf.DUMMYFUNCTION("""COMPUTED_VALUE"""),103865.0)</f>
        <v>103865</v>
      </c>
      <c r="B3574" s="235" t="str">
        <f>IFERROR(__xludf.DUMMYFUNCTION("""COMPUTED_VALUE"""),"SHEREE ESPINOSA/ RONALDO VERDE")</f>
        <v>SHEREE ESPINOSA/ RONALDO VERDE</v>
      </c>
      <c r="C3574" s="235" t="str">
        <f>IFERROR(__xludf.DUMMYFUNCTION("""COMPUTED_VALUE"""),"ADMIN")</f>
        <v>ADMIN</v>
      </c>
      <c r="D3574" s="196" t="str">
        <f>IFERROR(__xludf.DUMMYFUNCTION("""COMPUTED_VALUE"""),"1 PC. FUJI BREAKER, 3 PCS.  TQD LUGS")</f>
        <v>1 PC. FUJI BREAKER, 3 PCS.  TQD LUGS</v>
      </c>
      <c r="E3574" s="196" t="str">
        <f>IFERROR(__xludf.DUMMYFUNCTION("""COMPUTED_VALUE"""),"PURCHASED OF BREAKER FOR 3RD FLOOR LUX")</f>
        <v>PURCHASED OF BREAKER FOR 3RD FLOOR LUX</v>
      </c>
    </row>
    <row r="3575">
      <c r="A3575" s="234">
        <f>IFERROR(__xludf.DUMMYFUNCTION("""COMPUTED_VALUE"""),103866.0)</f>
        <v>103866</v>
      </c>
      <c r="B3575" s="235" t="str">
        <f>IFERROR(__xludf.DUMMYFUNCTION("""COMPUTED_VALUE"""),"CHARLES DONOR")</f>
        <v>CHARLES DONOR</v>
      </c>
      <c r="C3575" s="235" t="str">
        <f>IFERROR(__xludf.DUMMYFUNCTION("""COMPUTED_VALUE"""),"AMD")</f>
        <v>AMD</v>
      </c>
      <c r="D3575" s="196" t="str">
        <f>IFERROR(__xludf.DUMMYFUNCTION("""COMPUTED_VALUE"""),"TONER  CARTRIDGE INKONVERT LBP6000 85A 70PCS")</f>
        <v>TONER  CARTRIDGE INKONVERT LBP6000 85A 70PCS</v>
      </c>
      <c r="E3575" s="196" t="str">
        <f>IFERROR(__xludf.DUMMYFUNCTION("""COMPUTED_VALUE"""),"OSSUP- STOCK REPLENISHMENT")</f>
        <v>OSSUP- STOCK REPLENISHMENT</v>
      </c>
    </row>
    <row r="3576">
      <c r="A3576" s="234">
        <f>IFERROR(__xludf.DUMMYFUNCTION("""COMPUTED_VALUE"""),103867.0)</f>
        <v>103867</v>
      </c>
      <c r="B3576" s="235" t="str">
        <f>IFERROR(__xludf.DUMMYFUNCTION("""COMPUTED_VALUE"""),"MELLISA NAVAL-ODONO")</f>
        <v>MELLISA NAVAL-ODONO</v>
      </c>
      <c r="C3576" s="235" t="str">
        <f>IFERROR(__xludf.DUMMYFUNCTION("""COMPUTED_VALUE"""),"BED LIBRARY")</f>
        <v>BED LIBRARY</v>
      </c>
      <c r="D3576" s="196" t="str">
        <f>IFERROR(__xludf.DUMMYFUNCTION("""COMPUTED_VALUE"""),"SUBSCRIPTION  1 YEAR W/ 12 ISSUES
ENGLISH A: LANGUAGE AND LITERATURE
PERSEPOLIS (COMPLETE PERSEPOLIS VOL. 1 AND 2) 2")</f>
        <v>SUBSCRIPTION  1 YEAR W/ 12 ISSUES
ENGLISH A: LANGUAGE AND LITERATURE
PERSEPOLIS (COMPLETE PERSEPOLIS VOL. 1 AND 2) 2</v>
      </c>
      <c r="E3576" s="196" t="str">
        <f>IFERROR(__xludf.DUMMYFUNCTION("""COMPUTED_VALUE"""),"FOR STUDENTS/ FACULTY USE/  LIBRARY COPY")</f>
        <v>FOR STUDENTS/ FACULTY USE/  LIBRARY COPY</v>
      </c>
    </row>
    <row r="3577">
      <c r="A3577" s="234">
        <f>IFERROR(__xludf.DUMMYFUNCTION("""COMPUTED_VALUE"""),103868.0)</f>
        <v>103868</v>
      </c>
      <c r="B3577" s="235" t="str">
        <f>IFERROR(__xludf.DUMMYFUNCTION("""COMPUTED_VALUE"""),"CHARLES DONOR")</f>
        <v>CHARLES DONOR</v>
      </c>
      <c r="C3577" s="235" t="str">
        <f>IFERROR(__xludf.DUMMYFUNCTION("""COMPUTED_VALUE"""),"AMD")</f>
        <v>AMD</v>
      </c>
      <c r="D3577" s="196" t="str">
        <f>IFERROR(__xludf.DUMMYFUNCTION("""COMPUTED_VALUE"""),"MIFARE 1K BIT CONTACTLESS CARD, MODEL-IOT CRDM65 1000PCS")</f>
        <v>MIFARE 1K BIT CONTACTLESS CARD, MODEL-IOT CRDM65 1000PCS</v>
      </c>
      <c r="E3577" s="196" t="str">
        <f>IFERROR(__xludf.DUMMYFUNCTION("""COMPUTED_VALUE"""),"OSSUP- STOCK REPLENISHMENT")</f>
        <v>OSSUP- STOCK REPLENISHMENT</v>
      </c>
    </row>
    <row r="3578">
      <c r="A3578" s="234">
        <f>IFERROR(__xludf.DUMMYFUNCTION("""COMPUTED_VALUE"""),103869.0)</f>
        <v>103869</v>
      </c>
      <c r="B3578" s="235" t="str">
        <f>IFERROR(__xludf.DUMMYFUNCTION("""COMPUTED_VALUE"""),"CHARLES DONOR")</f>
        <v>CHARLES DONOR</v>
      </c>
      <c r="C3578" s="235" t="str">
        <f>IFERROR(__xludf.DUMMYFUNCTION("""COMPUTED_VALUE"""),"AMD")</f>
        <v>AMD</v>
      </c>
      <c r="D3578" s="196" t="str">
        <f>IFERROR(__xludf.DUMMYFUNCTION("""COMPUTED_VALUE"""),"INK, WHITEBOARD-PILOT BLACK 70PCS
CLEARBOOK, SPIRAL REFILLABLE 20'S BLACK SHORT 100PCS
ENVELOPE, EXPANDING PLASTIC-LONG, ADVENTURER 2000PCS
ENVELOPE, BROWN LONG 1000PCS")</f>
        <v>INK, WHITEBOARD-PILOT BLACK 70PCS
CLEARBOOK, SPIRAL REFILLABLE 20'S BLACK SHORT 100PCS
ENVELOPE, EXPANDING PLASTIC-LONG, ADVENTURER 2000PCS
ENVELOPE, BROWN LONG 1000PCS</v>
      </c>
      <c r="E3578" s="196" t="str">
        <f>IFERROR(__xludf.DUMMYFUNCTION("""COMPUTED_VALUE"""),"OSSUP- STOCK REPLENISHMENT")</f>
        <v>OSSUP- STOCK REPLENISHMENT</v>
      </c>
    </row>
    <row r="3579">
      <c r="A3579" s="234">
        <f>IFERROR(__xludf.DUMMYFUNCTION("""COMPUTED_VALUE"""),103870.0)</f>
        <v>103870</v>
      </c>
      <c r="B3579" s="235" t="str">
        <f>IFERROR(__xludf.DUMMYFUNCTION("""COMPUTED_VALUE"""),"CHARLES DONOR")</f>
        <v>CHARLES DONOR</v>
      </c>
      <c r="C3579" s="235" t="str">
        <f>IFERROR(__xludf.DUMMYFUNCTION("""COMPUTED_VALUE"""),"AMD")</f>
        <v>AMD</v>
      </c>
      <c r="D3579" s="196" t="str">
        <f>IFERROR(__xludf.DUMMYFUNCTION("""COMPUTED_VALUE"""),"STAPLER, MAX HD-50  WITH STAPLE WIRE REMOVER (USE WITH#35 STAPLE WIRE 50 PCS
STAPLE WIRE, MAX #35-5M 200BOXES")</f>
        <v>STAPLER, MAX HD-50  WITH STAPLE WIRE REMOVER (USE WITH#35 STAPLE WIRE 50 PCS
STAPLE WIRE, MAX #35-5M 200BOXES</v>
      </c>
      <c r="E3579" s="196" t="str">
        <f>IFERROR(__xludf.DUMMYFUNCTION("""COMPUTED_VALUE"""),"OSSUO-STOCK REPLENISHMENT")</f>
        <v>OSSUO-STOCK REPLENISHMENT</v>
      </c>
    </row>
    <row r="3580">
      <c r="A3580" s="234">
        <f>IFERROR(__xludf.DUMMYFUNCTION("""COMPUTED_VALUE"""),103871.0)</f>
        <v>103871</v>
      </c>
      <c r="B3580" s="235" t="str">
        <f>IFERROR(__xludf.DUMMYFUNCTION("""COMPUTED_VALUE"""),"ISABELO LEOPOLDO/ LORAINE ALONAZAN")</f>
        <v>ISABELO LEOPOLDO/ LORAINE ALONAZAN</v>
      </c>
      <c r="C3580" s="235" t="str">
        <f>IFERROR(__xludf.DUMMYFUNCTION("""COMPUTED_VALUE"""),"AV/MIS")</f>
        <v>AV/MIS</v>
      </c>
      <c r="D3580" s="196" t="str">
        <f>IFERROR(__xludf.DUMMYFUNCTION("""COMPUTED_VALUE"""),"MACKIE D32S DIGITAL MIXER 1PC
PEAVEY PV12M 2WAY SPEAKERS 4PCS
DBX 234XL CROSS OVER 2PCS
MOOER PE100 GUITAR DISTORTION 1PC
MOOER BLACK SECRET MICRO MINI DISTORTION 1PC
MIPRO ACT 311 3PCS
TVNE 290 250W MOVING LIGHTS 6PCS
36 PAR LED LIGHTS 20PCS")</f>
        <v>MACKIE D32S DIGITAL MIXER 1PC
PEAVEY PV12M 2WAY SPEAKERS 4PCS
DBX 234XL CROSS OVER 2PCS
MOOER PE100 GUITAR DISTORTION 1PC
MOOER BLACK SECRET MICRO MINI DISTORTION 1PC
MIPRO ACT 311 3PCS
TVNE 290 250W MOVING LIGHTS 6PCS
36 PAR LED LIGHTS 20PCS</v>
      </c>
      <c r="E3580" s="196" t="str">
        <f>IFERROR(__xludf.DUMMYFUNCTION("""COMPUTED_VALUE"""),"REPLACEMENT OF OLD AND DEFECTIVE AV EQUIPMENT IN LUX HALL")</f>
        <v>REPLACEMENT OF OLD AND DEFECTIVE AV EQUIPMENT IN LUX HALL</v>
      </c>
    </row>
    <row r="3581">
      <c r="A3581" s="234">
        <f>IFERROR(__xludf.DUMMYFUNCTION("""COMPUTED_VALUE"""),103872.0)</f>
        <v>103872</v>
      </c>
      <c r="B3581" s="235" t="str">
        <f>IFERROR(__xludf.DUMMYFUNCTION("""COMPUTED_VALUE"""),"OWIE PAR")</f>
        <v>OWIE PAR</v>
      </c>
      <c r="C3581" s="235" t="str">
        <f>IFERROR(__xludf.DUMMYFUNCTION("""COMPUTED_VALUE"""),"ENGINEERING")</f>
        <v>ENGINEERING</v>
      </c>
      <c r="D3581" s="196" t="str">
        <f>IFERROR(__xludf.DUMMYFUNCTION("""COMPUTED_VALUE"""),"MANUAL TRANSFER SWTICH 30AMP 1 UNIT")</f>
        <v>MANUAL TRANSFER SWTICH 30AMP 1 UNIT</v>
      </c>
      <c r="E3581" s="196" t="str">
        <f>IFERROR(__xludf.DUMMYFUNCTION("""COMPUTED_VALUE"""),"FOR MUNICH SERVER RM A.C. N.'S REPLACEMENT")</f>
        <v>FOR MUNICH SERVER RM A.C. N.'S REPLACEMENT</v>
      </c>
    </row>
    <row r="3582">
      <c r="A3582" s="234">
        <f>IFERROR(__xludf.DUMMYFUNCTION("""COMPUTED_VALUE"""),103873.0)</f>
        <v>103873</v>
      </c>
      <c r="B3582" s="235" t="str">
        <f>IFERROR(__xludf.DUMMYFUNCTION("""COMPUTED_VALUE"""),"OWIE PAR")</f>
        <v>OWIE PAR</v>
      </c>
      <c r="C3582" s="235" t="str">
        <f>IFERROR(__xludf.DUMMYFUNCTION("""COMPUTED_VALUE"""),"ENGINEERING")</f>
        <v>ENGINEERING</v>
      </c>
      <c r="D3582" s="196" t="str">
        <f>IFERROR(__xludf.DUMMYFUNCTION("""COMPUTED_VALUE"""),"CIRCUIT BREAKER 40AMP BOLT ON SINGLE PHASE G.E. 3 SETS
CIRCUIT BREAKER 30AMP BOLT ON SINGLE PHASE G.E. 1 SET")</f>
        <v>CIRCUIT BREAKER 40AMP BOLT ON SINGLE PHASE G.E. 3 SETS
CIRCUIT BREAKER 30AMP BOLT ON SINGLE PHASE G.E. 1 SET</v>
      </c>
      <c r="E3582" s="196" t="str">
        <f>IFERROR(__xludf.DUMMYFUNCTION("""COMPUTED_VALUE"""),"FOR REGISTRATION, P.R AND HR ACU")</f>
        <v>FOR REGISTRATION, P.R AND HR ACU</v>
      </c>
    </row>
    <row r="3583">
      <c r="A3583" s="234">
        <f>IFERROR(__xludf.DUMMYFUNCTION("""COMPUTED_VALUE"""),103874.0)</f>
        <v>103874</v>
      </c>
      <c r="B3583" s="235" t="str">
        <f>IFERROR(__xludf.DUMMYFUNCTION("""COMPUTED_VALUE"""),"SHEREE ESPINOSA")</f>
        <v>SHEREE ESPINOSA</v>
      </c>
      <c r="C3583" s="235" t="str">
        <f>IFERROR(__xludf.DUMMYFUNCTION("""COMPUTED_VALUE"""),"ADMIN")</f>
        <v>ADMIN</v>
      </c>
      <c r="D3583" s="196" t="str">
        <f>IFERROR(__xludf.DUMMYFUNCTION("""COMPUTED_VALUE"""),"FLAT LATEX 5TIN
SEMI GLOSS 3 TIN
CLEAR SEALANT 10BATTLES
PAINT BRUSH #2 3PCS
PAINT BRUSH #7 3PCS
RAGS")</f>
        <v>FLAT LATEX 5TIN
SEMI GLOSS 3 TIN
CLEAR SEALANT 10BATTLES
PAINT BRUSH #2 3PCS
PAINT BRUSH #7 3PCS
RAGS</v>
      </c>
      <c r="E3583" s="196" t="str">
        <f>IFERROR(__xludf.DUMMYFUNCTION("""COMPUTED_VALUE"""),"CEILING REPAINTING OF L-SHAPE HALLWAY AND LUX COVERD HALLWAY")</f>
        <v>CEILING REPAINTING OF L-SHAPE HALLWAY AND LUX COVERD HALLWAY</v>
      </c>
    </row>
    <row r="3584">
      <c r="A3584" s="234">
        <f>IFERROR(__xludf.DUMMYFUNCTION("""COMPUTED_VALUE"""),103875.0)</f>
        <v>103875</v>
      </c>
      <c r="B3584" s="235" t="str">
        <f>IFERROR(__xludf.DUMMYFUNCTION("""COMPUTED_VALUE"""),"ROXY MANSBRIDGE/ SHEREE ESPINOSA")</f>
        <v>ROXY MANSBRIDGE/ SHEREE ESPINOSA</v>
      </c>
      <c r="C3584" s="235" t="str">
        <f>IFERROR(__xludf.DUMMYFUNCTION("""COMPUTED_VALUE"""),"ADMIN")</f>
        <v>ADMIN</v>
      </c>
      <c r="D3584" s="196" t="str">
        <f>IFERROR(__xludf.DUMMYFUNCTION("""COMPUTED_VALUE"""),"ROOF GUARD BELGE 5TIN
VULCASEAL 1 GAL
PAINT BRUSH #4 2PCS
PAINT ROLLER 2PCS
TECSCREW 500PCS")</f>
        <v>ROOF GUARD BELGE 5TIN
VULCASEAL 1 GAL
PAINT BRUSH #4 2PCS
PAINT ROLLER 2PCS
TECSCREW 500PCS</v>
      </c>
      <c r="E3584" s="196" t="str">
        <f>IFERROR(__xludf.DUMMYFUNCTION("""COMPUTED_VALUE"""),"FOR TOP ROOF OF MONARCH'S GYM")</f>
        <v>FOR TOP ROOF OF MONARCH'S GYM</v>
      </c>
    </row>
    <row r="3585">
      <c r="A3585" s="234">
        <f>IFERROR(__xludf.DUMMYFUNCTION("""COMPUTED_VALUE"""),103876.0)</f>
        <v>103876</v>
      </c>
      <c r="B3585" s="235" t="str">
        <f>IFERROR(__xludf.DUMMYFUNCTION("""COMPUTED_VALUE"""),"OWIE PAR ")</f>
        <v>OWIE PAR </v>
      </c>
      <c r="C3585" s="235" t="str">
        <f>IFERROR(__xludf.DUMMYFUNCTION("""COMPUTED_VALUE"""),"ENGINEERING")</f>
        <v>ENGINEERING</v>
      </c>
      <c r="D3585" s="196" t="str">
        <f>IFERROR(__xludf.DUMMYFUNCTION("""COMPUTED_VALUE"""),"ORBIT FAN (STANDARD) 1SET")</f>
        <v>ORBIT FAN (STANDARD) 1SET</v>
      </c>
      <c r="E3585" s="196" t="str">
        <f>IFERROR(__xludf.DUMMYFUNCTION("""COMPUTED_VALUE"""),"FOR LUX RM 405 J.O. 1023-0093 REPLACEMENT")</f>
        <v>FOR LUX RM 405 J.O. 1023-0093 REPLACEMENT</v>
      </c>
    </row>
    <row r="3586">
      <c r="A3586" s="234">
        <f>IFERROR(__xludf.DUMMYFUNCTION("""COMPUTED_VALUE"""),103877.0)</f>
        <v>103877</v>
      </c>
      <c r="B3586" s="235" t="str">
        <f>IFERROR(__xludf.DUMMYFUNCTION("""COMPUTED_VALUE"""),"ANA TAMAYO")</f>
        <v>ANA TAMAYO</v>
      </c>
      <c r="C3586" s="235" t="str">
        <f>IFERROR(__xludf.DUMMYFUNCTION("""COMPUTED_VALUE"""),"MUNICH")</f>
        <v>MUNICH</v>
      </c>
      <c r="D3586" s="196" t="str">
        <f>IFERROR(__xludf.DUMMYFUNCTION("""COMPUTED_VALUE"""),"COUNTRY FLAGS:
TUNISIA
NIGERIA
MOROCO
MADAGASCAR
COLOMBIA
BOLIVIA
CUBA
JAMAICA
HAITI")</f>
        <v>COUNTRY FLAGS:
TUNISIA
NIGERIA
MOROCO
MADAGASCAR
COLOMBIA
BOLIVIA
CUBA
JAMAICA
HAITI</v>
      </c>
      <c r="E3586" s="196" t="str">
        <f>IFERROR(__xludf.DUMMYFUNCTION("""COMPUTED_VALUE"""),"INTERNATIONAL WEEK")</f>
        <v>INTERNATIONAL WEEK</v>
      </c>
    </row>
    <row r="3587">
      <c r="A3587" s="234">
        <f>IFERROR(__xludf.DUMMYFUNCTION("""COMPUTED_VALUE"""),103878.0)</f>
        <v>103878</v>
      </c>
      <c r="B3587" s="235" t="str">
        <f>IFERROR(__xludf.DUMMYFUNCTION("""COMPUTED_VALUE"""),"OWIE PAR")</f>
        <v>OWIE PAR</v>
      </c>
      <c r="C3587" s="235" t="str">
        <f>IFERROR(__xludf.DUMMYFUNCTION("""COMPUTED_VALUE"""),"ADMIN")</f>
        <v>ADMIN</v>
      </c>
      <c r="D3587" s="196" t="str">
        <f>IFERROR(__xludf.DUMMYFUNCTION("""COMPUTED_VALUE"""),"2x3x8 S4S KD 5PCS
MARINE PLYWOOD 3/4"" 2PCS
MARINE PLYWOOD 1/4"" 5PCS
FLAT WALL ENAMEL 1 GAL
CONCEALED HINGES #C-3 6PAIRS
1/2 x 1 x 8 S4S KD 6PCS
SANDING PAPER #100 2METERS
PAINT THINNER 1 GAL
ODE WHITE 1GAL
PAINT ROLLER COTTON # 4 COTTON 2PCS
PAINT BRUSH"&amp;" 1 1/2"" 2PCS
LAQUER SPIT PUTTY 1GAL
LAQUER THINNER 1GAL")</f>
        <v>2x3x8 S4S KD 5PCS
MARINE PLYWOOD 3/4" 2PCS
MARINE PLYWOOD 1/4" 5PCS
FLAT WALL ENAMEL 1 GAL
CONCEALED HINGES #C-3 6PAIRS
1/2 x 1 x 8 S4S KD 6PCS
SANDING PAPER #100 2METERS
PAINT THINNER 1 GAL
ODE WHITE 1GAL
PAINT ROLLER COTTON # 4 COTTON 2PCS
PAINT BRUSH 1 1/2" 2PCS
LAQUER SPIT PUTTY 1GAL
LAQUER THINNER 1GAL</v>
      </c>
      <c r="E3587" s="196" t="str">
        <f>IFERROR(__xludf.DUMMYFUNCTION("""COMPUTED_VALUE"""),"FOR SCHOLARS DORMITORY BOYS AND GIRLS")</f>
        <v>FOR SCHOLARS DORMITORY BOYS AND GIRLS</v>
      </c>
    </row>
    <row r="3588">
      <c r="A3588" s="234">
        <f>IFERROR(__xludf.DUMMYFUNCTION("""COMPUTED_VALUE"""),103879.0)</f>
        <v>103879</v>
      </c>
      <c r="B3588" s="235" t="str">
        <f>IFERROR(__xludf.DUMMYFUNCTION("""COMPUTED_VALUE"""),"CARLITO DELA VEGA")</f>
        <v>CARLITO DELA VEGA</v>
      </c>
      <c r="C3588" s="235" t="str">
        <f>IFERROR(__xludf.DUMMYFUNCTION("""COMPUTED_VALUE"""),"SECURITY")</f>
        <v>SECURITY</v>
      </c>
      <c r="D3588" s="196" t="str">
        <f>IFERROR(__xludf.DUMMYFUNCTION("""COMPUTED_VALUE"""),"MOULDING 3/4  100L
* LUCKY B TRADING INFORNT OF LYING-IN CAA")</f>
        <v>MOULDING 3/4  100L
* LUCKY B TRADING INFORNT OF LYING-IN CAA</v>
      </c>
      <c r="E3588" s="196" t="str">
        <f>IFERROR(__xludf.DUMMYFUNCTION("""COMPUTED_VALUE"""),"CCTV INSTALLTION AND POWER SUPPLY")</f>
        <v>CCTV INSTALLTION AND POWER SUPPLY</v>
      </c>
    </row>
    <row r="3589">
      <c r="A3589" s="234">
        <f>IFERROR(__xludf.DUMMYFUNCTION("""COMPUTED_VALUE"""),103880.0)</f>
        <v>103880</v>
      </c>
      <c r="B3589" s="235" t="str">
        <f>IFERROR(__xludf.DUMMYFUNCTION("""COMPUTED_VALUE"""),"BRIAN PATAG")</f>
        <v>BRIAN PATAG</v>
      </c>
      <c r="C3589" s="235" t="str">
        <f>IFERROR(__xludf.DUMMYFUNCTION("""COMPUTED_VALUE"""),"AMD")</f>
        <v>AMD</v>
      </c>
      <c r="D3589" s="196" t="str">
        <f>IFERROR(__xludf.DUMMYFUNCTION("""COMPUTED_VALUE"""),"TRASH BAG, SMALL(18""x18"") CLEAR 50PACKS
ZIM GLASS CLEANER, 500ML 100PCS
SPRAY GUN 50PCS")</f>
        <v>TRASH BAG, SMALL(18"x18") CLEAR 50PACKS
ZIM GLASS CLEANER, 500ML 100PCS
SPRAY GUN 50PCS</v>
      </c>
      <c r="E3589" s="196" t="str">
        <f>IFERROR(__xludf.DUMMYFUNCTION("""COMPUTED_VALUE"""),"FOR HOUSEKEEPING REPLENISHMENT FOR OCTOBER 2023")</f>
        <v>FOR HOUSEKEEPING REPLENISHMENT FOR OCTOBER 2023</v>
      </c>
    </row>
    <row r="3590">
      <c r="A3590" s="234">
        <f>IFERROR(__xludf.DUMMYFUNCTION("""COMPUTED_VALUE"""),103881.0)</f>
        <v>103881</v>
      </c>
      <c r="B3590" s="235" t="str">
        <f>IFERROR(__xludf.DUMMYFUNCTION("""COMPUTED_VALUE"""),"BRIAN PATAG ")</f>
        <v>BRIAN PATAG </v>
      </c>
      <c r="C3590" s="235" t="str">
        <f>IFERROR(__xludf.DUMMYFUNCTION("""COMPUTED_VALUE"""),"AMD")</f>
        <v>AMD</v>
      </c>
      <c r="D3590" s="196" t="str">
        <f>IFERROR(__xludf.DUMMYFUNCTION("""COMPUTED_VALUE"""),"STICK BROOM 50PCS
SOFT BROOM 50PCS
BIDET, RINSE TECH HERITAGE MODEL- CREAM 50PCS
FLOOR/ LAUNDRY BRUSH 100PCS
LONG HANDLED SCRUB BRUSH 50PCS
DUST PAN 50PCS
RUBBER GLOVES 100PCS
MR. MUSCLE SUPER BOWL CLEANER 100PCS")</f>
        <v>STICK BROOM 50PCS
SOFT BROOM 50PCS
BIDET, RINSE TECH HERITAGE MODEL- CREAM 50PCS
FLOOR/ LAUNDRY BRUSH 100PCS
LONG HANDLED SCRUB BRUSH 50PCS
DUST PAN 50PCS
RUBBER GLOVES 100PCS
MR. MUSCLE SUPER BOWL CLEANER 100PCS</v>
      </c>
      <c r="E3590" s="196" t="str">
        <f>IFERROR(__xludf.DUMMYFUNCTION("""COMPUTED_VALUE"""),"FOR HOUSEKEEPING REPLENISHMENT FOR OCTOBER 2023")</f>
        <v>FOR HOUSEKEEPING REPLENISHMENT FOR OCTOBER 2023</v>
      </c>
    </row>
    <row r="3591">
      <c r="A3591" s="234">
        <f>IFERROR(__xludf.DUMMYFUNCTION("""COMPUTED_VALUE"""),103882.0)</f>
        <v>103882</v>
      </c>
      <c r="B3591" s="235" t="str">
        <f>IFERROR(__xludf.DUMMYFUNCTION("""COMPUTED_VALUE"""),"BRIAN PATAG")</f>
        <v>BRIAN PATAG</v>
      </c>
      <c r="C3591" s="235" t="str">
        <f>IFERROR(__xludf.DUMMYFUNCTION("""COMPUTED_VALUE"""),"AMD")</f>
        <v>AMD</v>
      </c>
      <c r="D3591" s="196" t="str">
        <f>IFERROR(__xludf.DUMMYFUNCTION("""COMPUTED_VALUE"""),"MOP HEAD 50PCS
DUST MOP HEAD #30 (MANSION) 50PCS
SPATULA, SMALL 50PCS")</f>
        <v>MOP HEAD 50PCS
DUST MOP HEAD #30 (MANSION) 50PCS
SPATULA, SMALL 50PCS</v>
      </c>
      <c r="E3591" s="196" t="str">
        <f>IFERROR(__xludf.DUMMYFUNCTION("""COMPUTED_VALUE"""),"FOR HOUSEKEEPING REPLENISHMENT FOR OCTOBER 2023")</f>
        <v>FOR HOUSEKEEPING REPLENISHMENT FOR OCTOBER 2023</v>
      </c>
    </row>
    <row r="3592">
      <c r="A3592" s="234">
        <f>IFERROR(__xludf.DUMMYFUNCTION("""COMPUTED_VALUE"""),103883.0)</f>
        <v>103883</v>
      </c>
      <c r="B3592" s="235" t="str">
        <f>IFERROR(__xludf.DUMMYFUNCTION("""COMPUTED_VALUE"""),"BRIAN PATAG")</f>
        <v>BRIAN PATAG</v>
      </c>
      <c r="C3592" s="235" t="str">
        <f>IFERROR(__xludf.DUMMYFUNCTION("""COMPUTED_VALUE"""),"AMD")</f>
        <v>AMD</v>
      </c>
      <c r="D3592" s="196" t="str">
        <f>IFERROR(__xludf.DUMMYFUNCTION("""COMPUTED_VALUE"""),"EASY FLOW HANDRYER 10PCS
FLANELLA, BLUE 500PCS
FLANELLA, PINK 500PCS
FLANELLA YELLOW 500PCS")</f>
        <v>EASY FLOW HANDRYER 10PCS
FLANELLA, BLUE 500PCS
FLANELLA, PINK 500PCS
FLANELLA YELLOW 500PCS</v>
      </c>
      <c r="E3592" s="196" t="str">
        <f>IFERROR(__xludf.DUMMYFUNCTION("""COMPUTED_VALUE"""),"FOR HOUSEKEEPING REPLENISHMENT FOR OCTOBER 2023")</f>
        <v>FOR HOUSEKEEPING REPLENISHMENT FOR OCTOBER 2023</v>
      </c>
    </row>
    <row r="3593">
      <c r="A3593" s="234">
        <f>IFERROR(__xludf.DUMMYFUNCTION("""COMPUTED_VALUE"""),103884.0)</f>
        <v>103884</v>
      </c>
      <c r="B3593" s="235" t="str">
        <f>IFERROR(__xludf.DUMMYFUNCTION("""COMPUTED_VALUE"""),"SHEREE ESPINOSA")</f>
        <v>SHEREE ESPINOSA</v>
      </c>
      <c r="C3593" s="235" t="str">
        <f>IFERROR(__xludf.DUMMYFUNCTION("""COMPUTED_VALUE"""),"ADMIN")</f>
        <v>ADMIN</v>
      </c>
      <c r="D3593" s="196" t="str">
        <f>IFERROR(__xludf.DUMMYFUNCTION("""COMPUTED_VALUE"""),"NET PARTITION 1 LOT
(RE-ORDER: PRF: 103210
HEIGHT: 5M AND 35CM
WIDTH: 14M AND 20CM")</f>
        <v>NET PARTITION 1 LOT
(RE-ORDER: PRF: 103210
HEIGHT: 5M AND 35CM
WIDTH: 14M AND 20CM</v>
      </c>
      <c r="E3593" s="196" t="str">
        <f>IFERROR(__xludf.DUMMYFUNCTION("""COMPUTED_VALUE"""),"FOR MONARCHS GYM NET PARTITION- FOR ISAC")</f>
        <v>FOR MONARCHS GYM NET PARTITION- FOR ISAC</v>
      </c>
    </row>
    <row r="3594">
      <c r="A3594" s="234">
        <f>IFERROR(__xludf.DUMMYFUNCTION("""COMPUTED_VALUE"""),103885.0)</f>
        <v>103885</v>
      </c>
      <c r="B3594" s="235" t="str">
        <f>IFERROR(__xludf.DUMMYFUNCTION("""COMPUTED_VALUE"""),"JEREMIAH TIROL")</f>
        <v>JEREMIAH TIROL</v>
      </c>
      <c r="C3594" s="235" t="str">
        <f>IFERROR(__xludf.DUMMYFUNCTION("""COMPUTED_VALUE"""),"COLLEGE LABORATORY")</f>
        <v>COLLEGE LABORATORY</v>
      </c>
      <c r="D3594" s="196" t="str">
        <f>IFERROR(__xludf.DUMMYFUNCTION("""COMPUTED_VALUE"""),"1. PATIENT CARE MANIKIN 1PC (MALE AND FEMALE)
(DARWIN DEE TRADING- NAME OF SUPPLIER)
2. WHEELCHAIR(ADULT) 1PC
(SOLOMON LEE)- NAME OF SUPPLIER
3. COMMODE 1PC
(SOLOMON LEE)
4. DUMMY BABY 2PCS (SOLOMON LEE)
5. WALKER STANDARD 1PC
6. I.V. POLE STAINLESS 2PCS
"&amp;"7. CRUTCHES ALUMINUM 1PAIR
8. IV ARM 1PC
9. NON REBREATHER MASK 1PC
10. SUCTION CANISTER KIT 1KIT
11. PLACER- EVAC (CHEST DRAINAGE SYSTEM) 1PC")</f>
        <v>1. PATIENT CARE MANIKIN 1PC (MALE AND FEMALE)
(DARWIN DEE TRADING- NAME OF SUPPLIER)
2. WHEELCHAIR(ADULT) 1PC
(SOLOMON LEE)- NAME OF SUPPLIER
3. COMMODE 1PC
(SOLOMON LEE)
4. DUMMY BABY 2PCS (SOLOMON LEE)
5. WALKER STANDARD 1PC
6. I.V. POLE STAINLESS 2PCS
7. CRUTCHES ALUMINUM 1PAIR
8. IV ARM 1PC
9. NON REBREATHER MASK 1PC
10. SUCTION CANISTER KIT 1KIT
11. PLACER- EVAC (CHEST DRAINAGE SYSTEM) 1PC</v>
      </c>
      <c r="E3594" s="196" t="str">
        <f>IFERROR(__xludf.DUMMYFUNCTION("""COMPUTED_VALUE"""),"IN PREPARATION FOR NURSING CLASSES")</f>
        <v>IN PREPARATION FOR NURSING CLASSES</v>
      </c>
    </row>
    <row r="3595">
      <c r="A3595" s="234">
        <f>IFERROR(__xludf.DUMMYFUNCTION("""COMPUTED_VALUE"""),103886.0)</f>
        <v>103886</v>
      </c>
      <c r="B3595" s="235" t="str">
        <f>IFERROR(__xludf.DUMMYFUNCTION("""COMPUTED_VALUE"""),"JOVIT MANTALA")</f>
        <v>JOVIT MANTALA</v>
      </c>
      <c r="C3595" s="235" t="str">
        <f>IFERROR(__xludf.DUMMYFUNCTION("""COMPUTED_VALUE"""),"FINANCE")</f>
        <v>FINANCE</v>
      </c>
      <c r="D3595" s="196" t="str">
        <f>IFERROR(__xludf.DUMMYFUNCTION("""COMPUTED_VALUE"""),"SOUTHVILLE INTERNATIONAL SCHOOL COLLEGES INC. OFFICIAL RECEIPT 20BOX")</f>
        <v>SOUTHVILLE INTERNATIONAL SCHOOL COLLEGES INC. OFFICIAL RECEIPT 20BOX</v>
      </c>
      <c r="E3595" s="196" t="str">
        <f>IFERROR(__xludf.DUMMYFUNCTION("""COMPUTED_VALUE"""),"OFFICIAL RECEIPT IN RUNNING OUT")</f>
        <v>OFFICIAL RECEIPT IN RUNNING OUT</v>
      </c>
    </row>
    <row r="3596">
      <c r="A3596" s="234">
        <f>IFERROR(__xludf.DUMMYFUNCTION("""COMPUTED_VALUE"""),103887.0)</f>
        <v>103887</v>
      </c>
      <c r="B3596" s="235" t="str">
        <f>IFERROR(__xludf.DUMMYFUNCTION("""COMPUTED_VALUE"""),"JOHN PAUL SAWALI")</f>
        <v>JOHN PAUL SAWALI</v>
      </c>
      <c r="C3596" s="235" t="str">
        <f>IFERROR(__xludf.DUMMYFUNCTION("""COMPUTED_VALUE"""),"FINANCE &amp; ACCOUNTING")</f>
        <v>FINANCE &amp; ACCOUNTING</v>
      </c>
      <c r="D3596" s="196" t="str">
        <f>IFERROR(__xludf.DUMMYFUNCTION("""COMPUTED_VALUE"""),"COLLEGE EXAM PERMIT (100PCS PER BUNDLE) 20 BUNDLE")</f>
        <v>COLLEGE EXAM PERMIT (100PCS PER BUNDLE) 20 BUNDLE</v>
      </c>
      <c r="E3596" s="196" t="str">
        <f>IFERROR(__xludf.DUMMYFUNCTION("""COMPUTED_VALUE"""),"STUDENT'S EXAM PERMIT")</f>
        <v>STUDENT'S EXAM PERMIT</v>
      </c>
    </row>
    <row r="3597">
      <c r="A3597" s="234">
        <f>IFERROR(__xludf.DUMMYFUNCTION("""COMPUTED_VALUE"""),103888.0)</f>
        <v>103888</v>
      </c>
      <c r="B3597" s="235" t="str">
        <f>IFERROR(__xludf.DUMMYFUNCTION("""COMPUTED_VALUE"""),"MARYNEILLA CARAMOAN")</f>
        <v>MARYNEILLA CARAMOAN</v>
      </c>
      <c r="C3597" s="235" t="str">
        <f>IFERROR(__xludf.DUMMYFUNCTION("""COMPUTED_VALUE"""),"PR &amp; MARKETING")</f>
        <v>PR &amp; MARKETING</v>
      </c>
      <c r="D3597" s="196" t="str">
        <f>IFERROR(__xludf.DUMMYFUNCTION("""COMPUTED_VALUE"""),"TABLE DRAWER
*SEE ATTACHED ")</f>
        <v>TABLE DRAWER
*SEE ATTACHED </v>
      </c>
      <c r="E3597" s="196" t="str">
        <f>IFERROR(__xludf.DUMMYFUNCTION("""COMPUTED_VALUE"""),"STORAGE FOR OFFICE SUPPLIES- NEW STAFF")</f>
        <v>STORAGE FOR OFFICE SUPPLIES- NEW STAFF</v>
      </c>
    </row>
    <row r="3598">
      <c r="A3598" s="234">
        <f>IFERROR(__xludf.DUMMYFUNCTION("""COMPUTED_VALUE"""),103889.0)</f>
        <v>103889</v>
      </c>
      <c r="B3598" s="235" t="str">
        <f>IFERROR(__xludf.DUMMYFUNCTION("""COMPUTED_VALUE"""),"KAYREEN CARIO ")</f>
        <v>KAYREEN CARIO </v>
      </c>
      <c r="C3598" s="235" t="str">
        <f>IFERROR(__xludf.DUMMYFUNCTION("""COMPUTED_VALUE"""),"PR &amp; MARKETING")</f>
        <v>PR &amp; MARKETING</v>
      </c>
      <c r="D3598" s="196" t="str">
        <f>IFERROR(__xludf.DUMMYFUNCTION("""COMPUTED_VALUE"""),"SOUTHVILLE NOTEPADS SMALL 1000PCS
SOUTHVILLE PEN 1000PCS")</f>
        <v>SOUTHVILLE NOTEPADS SMALL 1000PCS
SOUTHVILLE PEN 1000PCS</v>
      </c>
      <c r="E3598" s="196" t="str">
        <f>IFERROR(__xludf.DUMMYFUNCTION("""COMPUTED_VALUE"""),"SCHOOL PRESENTATION AND CAREER =FAIR GIVEAWAYS")</f>
        <v>SCHOOL PRESENTATION AND CAREER =FAIR GIVEAWAYS</v>
      </c>
    </row>
    <row r="3599">
      <c r="A3599" s="234">
        <f>IFERROR(__xludf.DUMMYFUNCTION("""COMPUTED_VALUE"""),103890.0)</f>
        <v>103890</v>
      </c>
      <c r="B3599" s="235" t="str">
        <f>IFERROR(__xludf.DUMMYFUNCTION("""COMPUTED_VALUE"""),"RORY MANSBRIDGE")</f>
        <v>RORY MANSBRIDGE</v>
      </c>
      <c r="C3599" s="235" t="str">
        <f>IFERROR(__xludf.DUMMYFUNCTION("""COMPUTED_VALUE"""),"ATHLETICS")</f>
        <v>ATHLETICS</v>
      </c>
      <c r="D3599" s="196" t="str">
        <f>IFERROR(__xludf.DUMMYFUNCTION("""COMPUTED_VALUE"""),"VOLLEYBALL ISAC JERSEYS (2 SETS) 40PCS
COACHES UNIFORM (2 SETS) 14 PCS")</f>
        <v>VOLLEYBALL ISAC JERSEYS (2 SETS) 40PCS
COACHES UNIFORM (2 SETS) 14 PCS</v>
      </c>
      <c r="E3599" s="196" t="str">
        <f>IFERROR(__xludf.DUMMYFUNCTION("""COMPUTED_VALUE"""),"VARSITY UNIFORM")</f>
        <v>VARSITY UNIFORM</v>
      </c>
    </row>
    <row r="3600">
      <c r="A3600" s="234">
        <f>IFERROR(__xludf.DUMMYFUNCTION("""COMPUTED_VALUE"""),103891.0)</f>
        <v>103891</v>
      </c>
      <c r="B3600" s="235" t="str">
        <f>IFERROR(__xludf.DUMMYFUNCTION("""COMPUTED_VALUE"""),"CHARLES DONOR")</f>
        <v>CHARLES DONOR</v>
      </c>
      <c r="C3600" s="235" t="str">
        <f>IFERROR(__xludf.DUMMYFUNCTION("""COMPUTED_VALUE"""),"AMD")</f>
        <v>AMD</v>
      </c>
      <c r="D3600" s="196" t="str">
        <f>IFERROR(__xludf.DUMMYFUNCTION("""COMPUTED_VALUE"""),"INKS, TRODAT RED 10PCS
INKS, TRODAT PURPLE 10PCS
INKS, TRODAT BLACK 10PCS")</f>
        <v>INKS, TRODAT RED 10PCS
INKS, TRODAT PURPLE 10PCS
INKS, TRODAT BLACK 10PCS</v>
      </c>
      <c r="E3600" s="196" t="str">
        <f>IFERROR(__xludf.DUMMYFUNCTION("""COMPUTED_VALUE"""),"OSSUP- STOCK REPLENISHMENT")</f>
        <v>OSSUP- STOCK REPLENISHMENT</v>
      </c>
    </row>
    <row r="3601">
      <c r="A3601" s="234">
        <f>IFERROR(__xludf.DUMMYFUNCTION("""COMPUTED_VALUE"""),103892.0)</f>
        <v>103892</v>
      </c>
      <c r="B3601" s="235" t="str">
        <f>IFERROR(__xludf.DUMMYFUNCTION("""COMPUTED_VALUE"""),"ALFA DE LEON")</f>
        <v>ALFA DE LEON</v>
      </c>
      <c r="C3601" s="235" t="str">
        <f>IFERROR(__xludf.DUMMYFUNCTION("""COMPUTED_VALUE"""),"MUNICH")</f>
        <v>MUNICH</v>
      </c>
      <c r="D3601" s="196" t="str">
        <f>IFERROR(__xludf.DUMMYFUNCTION("""COMPUTED_VALUE"""),"FLAT SCREEN  TV 32"" SAMSUMG
(MUNICH WAITING AREA) QUANTITY 1")</f>
        <v>FLAT SCREEN  TV 32" SAMSUMG
(MUNICH WAITING AREA) QUANTITY 1</v>
      </c>
      <c r="E3601" s="196" t="str">
        <f>IFERROR(__xludf.DUMMYFUNCTION("""COMPUTED_VALUE"""),"REPLACEMENT OF BROKEN TV IN THE WAITING (NO SOUND CANT REPAIRED")</f>
        <v>REPLACEMENT OF BROKEN TV IN THE WAITING (NO SOUND CANT REPAIRED</v>
      </c>
    </row>
    <row r="3602">
      <c r="A3602" s="234">
        <f>IFERROR(__xludf.DUMMYFUNCTION("""COMPUTED_VALUE"""),103893.0)</f>
        <v>103893</v>
      </c>
      <c r="B3602" s="235" t="str">
        <f>IFERROR(__xludf.DUMMYFUNCTION("""COMPUTED_VALUE"""),"JHOY ILAO/ JORGE BALELA")</f>
        <v>JHOY ILAO/ JORGE BALELA</v>
      </c>
      <c r="C3602" s="235" t="str">
        <f>IFERROR(__xludf.DUMMYFUNCTION("""COMPUTED_VALUE"""),"ALUMNI")</f>
        <v>ALUMNI</v>
      </c>
      <c r="D3602" s="196" t="str">
        <f>IFERROR(__xludf.DUMMYFUNCTION("""COMPUTED_VALUE"""),"1 TARPAULIN TARP - SIZE H-  54 IN X W- 36 IN  ")</f>
        <v>1 TARPAULIN TARP - SIZE H-  54 IN X W- 36 IN  </v>
      </c>
      <c r="E3602" s="196" t="str">
        <f>IFERROR(__xludf.DUMMYFUNCTION("""COMPUTED_VALUE"""),"FOR ALUMNI ACTIVITIES DURING FOUNDATION DAY")</f>
        <v>FOR ALUMNI ACTIVITIES DURING FOUNDATION DAY</v>
      </c>
    </row>
    <row r="3603">
      <c r="A3603" s="234">
        <f>IFERROR(__xludf.DUMMYFUNCTION("""COMPUTED_VALUE"""),103894.0)</f>
        <v>103894</v>
      </c>
      <c r="B3603" s="235" t="str">
        <f>IFERROR(__xludf.DUMMYFUNCTION("""COMPUTED_VALUE"""),"EDGAR REBELLON")</f>
        <v>EDGAR REBELLON</v>
      </c>
      <c r="C3603" s="235" t="str">
        <f>IFERROR(__xludf.DUMMYFUNCTION("""COMPUTED_VALUE"""),"ABU")</f>
        <v>ABU</v>
      </c>
      <c r="D3603" s="196" t="str">
        <f>IFERROR(__xludf.DUMMYFUNCTION("""COMPUTED_VALUE"""),"12 PCS WALL FRAMES BLACK 8(.5 X 11)")</f>
        <v>12 PCS WALL FRAMES BLACK 8(.5 X 11)</v>
      </c>
      <c r="E3603" s="196" t="str">
        <f>IFERROR(__xludf.DUMMYFUNCTION("""COMPUTED_VALUE"""),"IMPROVEMENT PROJECT FOR CAEFETERIA LUX CAMPUS")</f>
        <v>IMPROVEMENT PROJECT FOR CAEFETERIA LUX CAMPUS</v>
      </c>
    </row>
    <row r="3604">
      <c r="A3604" s="234">
        <f>IFERROR(__xludf.DUMMYFUNCTION("""COMPUTED_VALUE"""),103895.0)</f>
        <v>103895</v>
      </c>
      <c r="B3604" s="235" t="str">
        <f>IFERROR(__xludf.DUMMYFUNCTION("""COMPUTED_VALUE"""),"EDGAR REBELLON")</f>
        <v>EDGAR REBELLON</v>
      </c>
      <c r="C3604" s="235" t="str">
        <f>IFERROR(__xludf.DUMMYFUNCTION("""COMPUTED_VALUE"""),"ABU")</f>
        <v>ABU</v>
      </c>
      <c r="D3604" s="196" t="str">
        <f>IFERROR(__xludf.DUMMYFUNCTION("""COMPUTED_VALUE"""),"4 MINI BAR TABLE, 8 BAR STOOL CHAIR")</f>
        <v>4 MINI BAR TABLE, 8 BAR STOOL CHAIR</v>
      </c>
      <c r="E3604" s="196" t="str">
        <f>IFERROR(__xludf.DUMMYFUNCTION("""COMPUTED_VALUE"""),"IMPROVEMENT PROJECT FOR CAEFETERIA LUX CAMPUS")</f>
        <v>IMPROVEMENT PROJECT FOR CAEFETERIA LUX CAMPUS</v>
      </c>
    </row>
    <row r="3605">
      <c r="A3605" s="234">
        <f>IFERROR(__xludf.DUMMYFUNCTION("""COMPUTED_VALUE"""),103896.0)</f>
        <v>103896</v>
      </c>
      <c r="B3605" s="235" t="str">
        <f>IFERROR(__xludf.DUMMYFUNCTION("""COMPUTED_VALUE"""),"EDGAR REBELLON")</f>
        <v>EDGAR REBELLON</v>
      </c>
      <c r="C3605" s="235" t="str">
        <f>IFERROR(__xludf.DUMMYFUNCTION("""COMPUTED_VALUE"""),"ABU")</f>
        <v>ABU</v>
      </c>
      <c r="D3605" s="196" t="str">
        <f>IFERROR(__xludf.DUMMYFUNCTION("""COMPUTED_VALUE"""),"7 PCS. POTS (CERAMIC OR CONCRETE) COLOR GRAY ")</f>
        <v>7 PCS. POTS (CERAMIC OR CONCRETE) COLOR GRAY </v>
      </c>
      <c r="E3605" s="196" t="str">
        <f>IFERROR(__xludf.DUMMYFUNCTION("""COMPUTED_VALUE"""),"IMPROVEMENT PROJECT FOR CAEFETERIA LUX CAMPUS")</f>
        <v>IMPROVEMENT PROJECT FOR CAEFETERIA LUX CAMPUS</v>
      </c>
    </row>
    <row r="3606">
      <c r="A3606" s="234">
        <f>IFERROR(__xludf.DUMMYFUNCTION("""COMPUTED_VALUE"""),103897.0)</f>
        <v>103897</v>
      </c>
      <c r="B3606" s="235" t="str">
        <f>IFERROR(__xludf.DUMMYFUNCTION("""COMPUTED_VALUE"""),"EDGAR REBELLON")</f>
        <v>EDGAR REBELLON</v>
      </c>
      <c r="C3606" s="235" t="str">
        <f>IFERROR(__xludf.DUMMYFUNCTION("""COMPUTED_VALUE"""),"ABU")</f>
        <v>ABU</v>
      </c>
      <c r="D3606" s="196" t="str">
        <f>IFERROR(__xludf.DUMMYFUNCTION("""COMPUTED_VALUE"""),"30 PCS. RED POINSETTIA W/ POTS")</f>
        <v>30 PCS. RED POINSETTIA W/ POTS</v>
      </c>
      <c r="E3606" s="196" t="str">
        <f>IFERROR(__xludf.DUMMYFUNCTION("""COMPUTED_VALUE"""),"IMPROVEMENT PROJECT FOR CAEFETERIA LUX CAMPUS")</f>
        <v>IMPROVEMENT PROJECT FOR CAEFETERIA LUX CAMPUS</v>
      </c>
    </row>
    <row r="3607">
      <c r="A3607" s="234">
        <f>IFERROR(__xludf.DUMMYFUNCTION("""COMPUTED_VALUE"""),103898.0)</f>
        <v>103898</v>
      </c>
      <c r="B3607" s="235" t="str">
        <f>IFERROR(__xludf.DUMMYFUNCTION("""COMPUTED_VALUE"""),"CHARLES DONOR")</f>
        <v>CHARLES DONOR</v>
      </c>
      <c r="C3607" s="235" t="str">
        <f>IFERROR(__xludf.DUMMYFUNCTION("""COMPUTED_VALUE"""),"AMD")</f>
        <v>AMD</v>
      </c>
      <c r="D3607" s="196" t="str">
        <f>IFERROR(__xludf.DUMMYFUNCTION("""COMPUTED_VALUE"""),"500 PCS. BATTERY ENERGIZER AA")</f>
        <v>500 PCS. BATTERY ENERGIZER AA</v>
      </c>
      <c r="E3607" s="196" t="str">
        <f>IFERROR(__xludf.DUMMYFUNCTION("""COMPUTED_VALUE"""),"OSSUP STOCK REPLENISHMENT ")</f>
        <v>OSSUP STOCK REPLENISHMENT </v>
      </c>
    </row>
    <row r="3608">
      <c r="A3608" s="234">
        <f>IFERROR(__xludf.DUMMYFUNCTION("""COMPUTED_VALUE"""),103899.0)</f>
        <v>103899</v>
      </c>
      <c r="B3608" s="235" t="str">
        <f>IFERROR(__xludf.DUMMYFUNCTION("""COMPUTED_VALUE"""),"OWIE PAR")</f>
        <v>OWIE PAR</v>
      </c>
      <c r="C3608" s="235" t="str">
        <f>IFERROR(__xludf.DUMMYFUNCTION("""COMPUTED_VALUE"""),"ENGINEERING")</f>
        <v>ENGINEERING</v>
      </c>
      <c r="D3608" s="196" t="str">
        <f>IFERROR(__xludf.DUMMYFUNCTION("""COMPUTED_VALUE"""),"1 CIRCUIT BRAKER 40 AMP")</f>
        <v>1 CIRCUIT BRAKER 40 AMP</v>
      </c>
      <c r="E3608" s="196" t="str">
        <f>IFERROR(__xludf.DUMMYFUNCTION("""COMPUTED_VALUE"""),"FOR REG, PR AND HR ACU")</f>
        <v>FOR REG, PR AND HR ACU</v>
      </c>
    </row>
    <row r="3609">
      <c r="A3609" s="234">
        <f>IFERROR(__xludf.DUMMYFUNCTION("""COMPUTED_VALUE"""),103900.0)</f>
        <v>103900</v>
      </c>
      <c r="B3609" s="235" t="str">
        <f>IFERROR(__xludf.DUMMYFUNCTION("""COMPUTED_VALUE"""),"LUCILLE BEYER")</f>
        <v>LUCILLE BEYER</v>
      </c>
      <c r="C3609" s="235" t="str">
        <f>IFERROR(__xludf.DUMMYFUNCTION("""COMPUTED_VALUE"""),"MEDICAL")</f>
        <v>MEDICAL</v>
      </c>
      <c r="D3609" s="196" t="str">
        <f>IFERROR(__xludf.DUMMYFUNCTION("""COMPUTED_VALUE"""),"MEDICINES AND OTHER SUPPLIES FOR CLINIC- PLS SEE ATTACHED LIST OF SUPPLIES FOR PURCHASE
")</f>
        <v>MEDICINES AND OTHER SUPPLIES FOR CLINIC- PLS SEE ATTACHED LIST OF SUPPLIES FOR PURCHASE
</v>
      </c>
      <c r="E3609" s="196" t="str">
        <f>IFERROR(__xludf.DUMMYFUNCTION("""COMPUTED_VALUE"""),"REPLENISHMENT OF CLINIC SUPPLIES FOR 3 CLINICS")</f>
        <v>REPLENISHMENT OF CLINIC SUPPLIES FOR 3 CLINICS</v>
      </c>
    </row>
    <row r="3610">
      <c r="A3610" s="234">
        <f>IFERROR(__xludf.DUMMYFUNCTION("""COMPUTED_VALUE"""),103901.0)</f>
        <v>103901</v>
      </c>
      <c r="B3610" s="235" t="str">
        <f>IFERROR(__xludf.DUMMYFUNCTION("""COMPUTED_VALUE"""),"ASTRID DE LEON / IVY BALULAO")</f>
        <v>ASTRID DE LEON / IVY BALULAO</v>
      </c>
      <c r="C3610" s="235" t="str">
        <f>IFERROR(__xludf.DUMMYFUNCTION("""COMPUTED_VALUE"""),"COLLEGE DIVISION")</f>
        <v>COLLEGE DIVISION</v>
      </c>
      <c r="D3610" s="196" t="str">
        <f>IFERROR(__xludf.DUMMYFUNCTION("""COMPUTED_VALUE"""),"TROPHY'S FOR ALUMNI AWARDING 11PCS
PAYMENT: BANCO DE ORO
PAYEE: AWARDS CENTRAL PHILIPPINES
ACCT NO.: 001078033327")</f>
        <v>TROPHY'S FOR ALUMNI AWARDING 11PCS
PAYMENT: BANCO DE ORO
PAYEE: AWARDS CENTRAL PHILIPPINES
ACCT NO.: 001078033327</v>
      </c>
      <c r="E3610" s="196" t="str">
        <f>IFERROR(__xludf.DUMMYFUNCTION("""COMPUTED_VALUE"""),"MONARCHS COLLEGE ALUMNI AWARDS")</f>
        <v>MONARCHS COLLEGE ALUMNI AWARDS</v>
      </c>
    </row>
    <row r="3611">
      <c r="A3611" s="234">
        <f>IFERROR(__xludf.DUMMYFUNCTION("""COMPUTED_VALUE"""),103902.0)</f>
        <v>103902</v>
      </c>
      <c r="B3611" s="235" t="str">
        <f>IFERROR(__xludf.DUMMYFUNCTION("""COMPUTED_VALUE"""),"OWIE PAR")</f>
        <v>OWIE PAR</v>
      </c>
      <c r="C3611" s="235" t="str">
        <f>IFERROR(__xludf.DUMMYFUNCTION("""COMPUTED_VALUE"""),"ENGINEERING")</f>
        <v>ENGINEERING</v>
      </c>
      <c r="D3611" s="196" t="str">
        <f>IFERROR(__xludf.DUMMYFUNCTION("""COMPUTED_VALUE"""),"HEAVY DUTY DRILL W/ HAMMER AND REVERSE MAKITA 1 UNIT")</f>
        <v>HEAVY DUTY DRILL W/ HAMMER AND REVERSE MAKITA 1 UNIT</v>
      </c>
      <c r="E3611" s="196" t="str">
        <f>IFERROR(__xludf.DUMMYFUNCTION("""COMPUTED_VALUE"""),"ENGINEERING TOOLS (REPLACEMENT)")</f>
        <v>ENGINEERING TOOLS (REPLACEMENT)</v>
      </c>
    </row>
    <row r="3612">
      <c r="A3612" s="234">
        <f>IFERROR(__xludf.DUMMYFUNCTION("""COMPUTED_VALUE"""),103903.0)</f>
        <v>103903</v>
      </c>
      <c r="B3612" s="235" t="str">
        <f>IFERROR(__xludf.DUMMYFUNCTION("""COMPUTED_VALUE"""),"SHEREE ESPINOSA")</f>
        <v>SHEREE ESPINOSA</v>
      </c>
      <c r="C3612" s="235" t="str">
        <f>IFERROR(__xludf.DUMMYFUNCTION("""COMPUTED_VALUE"""),"ADMIN")</f>
        <v>ADMIN</v>
      </c>
      <c r="D3612" s="196" t="str">
        <f>IFERROR(__xludf.DUMMYFUNCTION("""COMPUTED_VALUE"""),"ORBIT FAN LUX ROOMS AND FOOD COURT
(STANDARD) 18"" 3PCS")</f>
        <v>ORBIT FAN LUX ROOMS AND FOOD COURT
(STANDARD) 18" 3PCS</v>
      </c>
      <c r="E3612" s="196" t="str">
        <f>IFERROR(__xludf.DUMMYFUNCTION("""COMPUTED_VALUE"""),"FOR LUBX CLASSROOM/ FOOD COURT")</f>
        <v>FOR LUBX CLASSROOM/ FOOD COURT</v>
      </c>
    </row>
    <row r="3613">
      <c r="A3613" s="234">
        <f>IFERROR(__xludf.DUMMYFUNCTION("""COMPUTED_VALUE"""),103904.0)</f>
        <v>103904</v>
      </c>
      <c r="B3613" s="235" t="str">
        <f>IFERROR(__xludf.DUMMYFUNCTION("""COMPUTED_VALUE"""),"CHRISTIAN ANDRES")</f>
        <v>CHRISTIAN ANDRES</v>
      </c>
      <c r="C3613" s="235" t="str">
        <f>IFERROR(__xludf.DUMMYFUNCTION("""COMPUTED_VALUE"""),"PR &amp; MARKETING")</f>
        <v>PR &amp; MARKETING</v>
      </c>
      <c r="D3613" s="196" t="str">
        <f>IFERROR(__xludf.DUMMYFUNCTION("""COMPUTED_VALUE"""),"33RD ANNIVERSARY TARP
6.7x13.13 FT
18OZ BLACK OUT WITH SEAMING EYELET ALL OVER
(PAYABLE TO MS ELYDIA REYES, REIMBURSEMENT")</f>
        <v>33RD ANNIVERSARY TARP
6.7x13.13 FT
18OZ BLACK OUT WITH SEAMING EYELET ALL OVER
(PAYABLE TO MS ELYDIA REYES, REIMBURSEMENT</v>
      </c>
      <c r="E3613" s="196" t="str">
        <f>IFERROR(__xludf.DUMMYFUNCTION("""COMPUTED_VALUE"""),"MARKETING/ PROMOTIONAL")</f>
        <v>MARKETING/ PROMOTIONAL</v>
      </c>
    </row>
    <row r="3614">
      <c r="A3614" s="234">
        <f>IFERROR(__xludf.DUMMYFUNCTION("""COMPUTED_VALUE"""),103905.0)</f>
        <v>103905</v>
      </c>
      <c r="B3614" s="235" t="str">
        <f>IFERROR(__xludf.DUMMYFUNCTION("""COMPUTED_VALUE"""),"ELMIE LAUDIATO")</f>
        <v>ELMIE LAUDIATO</v>
      </c>
      <c r="C3614" s="235" t="str">
        <f>IFERROR(__xludf.DUMMYFUNCTION("""COMPUTED_VALUE"""),"HRMD")</f>
        <v>HRMD</v>
      </c>
      <c r="D3614" s="196" t="str">
        <f>IFERROR(__xludf.DUMMYFUNCTION("""COMPUTED_VALUE"""),"FLOWER WREATH
*PLEASE SEE ATTACHED ")</f>
        <v>FLOWER WREATH
*PLEASE SEE ATTACHED </v>
      </c>
      <c r="E3614" s="196" t="str">
        <f>IFERROR(__xludf.DUMMYFUNCTION("""COMPUTED_VALUE"""),"FLOWER WREATH FOR THE FATHER OF MS. ABI VALLENTE")</f>
        <v>FLOWER WREATH FOR THE FATHER OF MS. ABI VALLENTE</v>
      </c>
    </row>
    <row r="3615">
      <c r="A3615" s="234">
        <f>IFERROR(__xludf.DUMMYFUNCTION("""COMPUTED_VALUE"""),103906.0)</f>
        <v>103906</v>
      </c>
      <c r="B3615" s="235" t="str">
        <f>IFERROR(__xludf.DUMMYFUNCTION("""COMPUTED_VALUE"""),"SHEREE ESPINOSA")</f>
        <v>SHEREE ESPINOSA</v>
      </c>
      <c r="C3615" s="235" t="str">
        <f>IFERROR(__xludf.DUMMYFUNCTION("""COMPUTED_VALUE"""),"ADMIN")</f>
        <v>ADMIN</v>
      </c>
      <c r="D3615" s="196" t="str">
        <f>IFERROR(__xludf.DUMMYFUNCTION("""COMPUTED_VALUE"""),"60x60 TILES (BEIGE) 200PCS
TILE ADHESIVE 10BAGS
CEMENT 10BAGS
BISTAY SAND 20SACKS")</f>
        <v>60x60 TILES (BEIGE) 200PCS
TILE ADHESIVE 10BAGS
CEMENT 10BAGS
BISTAY SAND 20SACKS</v>
      </c>
      <c r="E3615" s="196" t="str">
        <f>IFERROR(__xludf.DUMMYFUNCTION("""COMPUTED_VALUE"""),"PREVENTIVE MAINTENACE AND SAFETY CONCERNS FOR LUX BUUILDING")</f>
        <v>PREVENTIVE MAINTENACE AND SAFETY CONCERNS FOR LUX BUUILDING</v>
      </c>
    </row>
    <row r="3616">
      <c r="A3616" s="234">
        <f>IFERROR(__xludf.DUMMYFUNCTION("""COMPUTED_VALUE"""),103907.0)</f>
        <v>103907</v>
      </c>
      <c r="B3616" s="235" t="str">
        <f>IFERROR(__xludf.DUMMYFUNCTION("""COMPUTED_VALUE"""),"JESSABEL ARISCON")</f>
        <v>JESSABEL ARISCON</v>
      </c>
      <c r="C3616" s="235" t="str">
        <f>IFERROR(__xludf.DUMMYFUNCTION("""COMPUTED_VALUE"""),"PURCHASING")</f>
        <v>PURCHASING</v>
      </c>
      <c r="D3616" s="196" t="str">
        <f>IFERROR(__xludf.DUMMYFUNCTION("""COMPUTED_VALUE"""),"TRODAT 4910 1PCS
JESSABEL ARISCON")</f>
        <v>TRODAT 4910 1PCS
JESSABEL ARISCON</v>
      </c>
      <c r="E3616" s="196" t="str">
        <f>IFERROR(__xludf.DUMMYFUNCTION("""COMPUTED_VALUE"""),"FOR OFFICE USE")</f>
        <v>FOR OFFICE USE</v>
      </c>
    </row>
    <row r="3617">
      <c r="A3617" s="234">
        <f>IFERROR(__xludf.DUMMYFUNCTION("""COMPUTED_VALUE"""),103908.0)</f>
        <v>103908</v>
      </c>
      <c r="B3617" s="235" t="str">
        <f>IFERROR(__xludf.DUMMYFUNCTION("""COMPUTED_VALUE"""),"SHEREE ESPINOSA")</f>
        <v>SHEREE ESPINOSA</v>
      </c>
      <c r="C3617" s="235" t="str">
        <f>IFERROR(__xludf.DUMMYFUNCTION("""COMPUTED_VALUE"""),"ADMIN")</f>
        <v>ADMIN</v>
      </c>
      <c r="D3617" s="196" t="str">
        <f>IFERROR(__xludf.DUMMYFUNCTION("""COMPUTED_VALUE"""),"LEATHER NOTEBOOK SLEEVE 1
LEATHER LAPTOP SLEEVE 1
PORTABLE MINI FAN 1
BLUETOOTH MINI SPEAKER1
WIRELESS FAST CHARGER 1")</f>
        <v>LEATHER NOTEBOOK SLEEVE 1
LEATHER LAPTOP SLEEVE 1
PORTABLE MINI FAN 1
BLUETOOTH MINI SPEAKER1
WIRELESS FAST CHARGER 1</v>
      </c>
      <c r="E3617" s="196" t="str">
        <f>IFERROR(__xludf.DUMMYFUNCTION("""COMPUTED_VALUE"""),"CHRISTMAS GIVEAWAYS/ TOKENS SAMPLES")</f>
        <v>CHRISTMAS GIVEAWAYS/ TOKENS SAMPLES</v>
      </c>
    </row>
    <row r="3618">
      <c r="A3618" s="234">
        <f>IFERROR(__xludf.DUMMYFUNCTION("""COMPUTED_VALUE"""),103909.0)</f>
        <v>103909</v>
      </c>
      <c r="B3618" s="235" t="str">
        <f>IFERROR(__xludf.DUMMYFUNCTION("""COMPUTED_VALUE"""),"CARLITO DELA VEGA")</f>
        <v>CARLITO DELA VEGA</v>
      </c>
      <c r="C3618" s="235" t="str">
        <f>IFERROR(__xludf.DUMMYFUNCTION("""COMPUTED_VALUE"""),"ADMIN")</f>
        <v>ADMIN</v>
      </c>
      <c r="D3618" s="196" t="str">
        <f>IFERROR(__xludf.DUMMYFUNCTION("""COMPUTED_VALUE"""),"MOULDING 1"" 100PCS
*LUCK B HARDWARE AND TRADING INC. FRONT FLYING IN")</f>
        <v>MOULDING 1" 100PCS
*LUCK B HARDWARE AND TRADING INC. FRONT FLYING IN</v>
      </c>
      <c r="E3618" s="196" t="str">
        <f>IFERROR(__xludf.DUMMYFUNCTION("""COMPUTED_VALUE"""),"CCTV INSTALLATION - 5CAMPUSES")</f>
        <v>CCTV INSTALLATION - 5CAMPUSES</v>
      </c>
    </row>
    <row r="3619">
      <c r="A3619" s="234">
        <f>IFERROR(__xludf.DUMMYFUNCTION("""COMPUTED_VALUE"""),103910.0)</f>
        <v>103910</v>
      </c>
      <c r="B3619" s="235" t="str">
        <f>IFERROR(__xludf.DUMMYFUNCTION("""COMPUTED_VALUE"""),"SHIELA FABELLAR")</f>
        <v>SHIELA FABELLAR</v>
      </c>
      <c r="C3619" s="235" t="str">
        <f>IFERROR(__xludf.DUMMYFUNCTION("""COMPUTED_VALUE"""),"FINANCE &amp; ACCOUNTING")</f>
        <v>FINANCE &amp; ACCOUNTING</v>
      </c>
      <c r="D3619" s="196" t="str">
        <f>IFERROR(__xludf.DUMMYFUNCTION("""COMPUTED_VALUE"""),"SIGNATURE STAMP 2")</f>
        <v>SIGNATURE STAMP 2</v>
      </c>
      <c r="E3619" s="196" t="str">
        <f>IFERROR(__xludf.DUMMYFUNCTION("""COMPUTED_VALUE"""),"OFFICE USE")</f>
        <v>OFFICE USE</v>
      </c>
    </row>
    <row r="3620">
      <c r="A3620" s="234">
        <f>IFERROR(__xludf.DUMMYFUNCTION("""COMPUTED_VALUE"""),103911.0)</f>
        <v>103911</v>
      </c>
      <c r="B3620" s="235" t="str">
        <f>IFERROR(__xludf.DUMMYFUNCTION("""COMPUTED_VALUE"""),"LUCILLE BEYER")</f>
        <v>LUCILLE BEYER</v>
      </c>
      <c r="C3620" s="235" t="str">
        <f>IFERROR(__xludf.DUMMYFUNCTION("""COMPUTED_VALUE"""),"MEDICAL")</f>
        <v>MEDICAL</v>
      </c>
      <c r="D3620" s="196" t="str">
        <f>IFERROR(__xludf.DUMMYFUNCTION("""COMPUTED_VALUE"""),"EQUIPMENT AND MEDICAL SUPPLIES  FOR ISAC ( PLS SEE ATTACHED)")</f>
        <v>EQUIPMENT AND MEDICAL SUPPLIES  FOR ISAC ( PLS SEE ATTACHED)</v>
      </c>
      <c r="E3620" s="196" t="str">
        <f>IFERROR(__xludf.DUMMYFUNCTION("""COMPUTED_VALUE"""),"MEDICAL STATION EQUIPMENT AND SUPPLIES FOR ISAC")</f>
        <v>MEDICAL STATION EQUIPMENT AND SUPPLIES FOR ISAC</v>
      </c>
    </row>
    <row r="3621">
      <c r="A3621" s="234">
        <f>IFERROR(__xludf.DUMMYFUNCTION("""COMPUTED_VALUE"""),103912.0)</f>
        <v>103912</v>
      </c>
      <c r="B3621" s="235" t="str">
        <f>IFERROR(__xludf.DUMMYFUNCTION("""COMPUTED_VALUE"""),"CHARLES DONOR ")</f>
        <v>CHARLES DONOR </v>
      </c>
      <c r="C3621" s="235" t="str">
        <f>IFERROR(__xludf.DUMMYFUNCTION("""COMPUTED_VALUE"""),"AMD")</f>
        <v>AMD</v>
      </c>
      <c r="D3621" s="196" t="str">
        <f>IFERROR(__xludf.DUMMYFUNCTION("""COMPUTED_VALUE"""),"5 PCS STEEL SHELVING - OPEN TYPE 7 LAYER METAL RACK ")</f>
        <v>5 PCS STEEL SHELVING - OPEN TYPE 7 LAYER METAL RACK </v>
      </c>
      <c r="E3621" s="196" t="str">
        <f>IFERROR(__xludf.DUMMYFUNCTION("""COMPUTED_VALUE"""),"FOR SUPPLIES RACK")</f>
        <v>FOR SUPPLIES RACK</v>
      </c>
    </row>
    <row r="3622">
      <c r="A3622" s="234">
        <f>IFERROR(__xludf.DUMMYFUNCTION("""COMPUTED_VALUE"""),103913.0)</f>
        <v>103913</v>
      </c>
      <c r="B3622" s="235" t="str">
        <f>IFERROR(__xludf.DUMMYFUNCTION("""COMPUTED_VALUE"""),"ANN DELA ISLA")</f>
        <v>ANN DELA ISLA</v>
      </c>
      <c r="C3622" s="235" t="str">
        <f>IFERROR(__xludf.DUMMYFUNCTION("""COMPUTED_VALUE"""),"IB")</f>
        <v>IB</v>
      </c>
      <c r="D3622" s="196" t="str">
        <f>IFERROR(__xludf.DUMMYFUNCTION("""COMPUTED_VALUE"""),"FRESH PIG'S HEART")</f>
        <v>FRESH PIG'S HEART</v>
      </c>
      <c r="E3622" s="196" t="str">
        <f>IFERROR(__xludf.DUMMYFUNCTION("""COMPUTED_VALUE"""),"FOR SET BIOLOGY EXPERIMENT")</f>
        <v>FOR SET BIOLOGY EXPERIMENT</v>
      </c>
    </row>
    <row r="3623">
      <c r="A3623" s="234">
        <f>IFERROR(__xludf.DUMMYFUNCTION("""COMPUTED_VALUE"""),103914.0)</f>
        <v>103914</v>
      </c>
      <c r="B3623" s="235" t="str">
        <f>IFERROR(__xludf.DUMMYFUNCTION("""COMPUTED_VALUE"""),"BRIAN PATAG")</f>
        <v>BRIAN PATAG</v>
      </c>
      <c r="C3623" s="235" t="str">
        <f>IFERROR(__xludf.DUMMYFUNCTION("""COMPUTED_VALUE"""),"AMD")</f>
        <v>AMD</v>
      </c>
      <c r="D3623" s="196" t="str">
        <f>IFERROR(__xludf.DUMMYFUNCTION("""COMPUTED_VALUE"""),"SPRAY GUN 100PCS
HANDSOAP YELLOW 50PCS
TRASH BAG SMALL 50 PACKS
RUBBER CHAMOIS 100PCS")</f>
        <v>SPRAY GUN 100PCS
HANDSOAP YELLOW 50PCS
TRASH BAG SMALL 50 PACKS
RUBBER CHAMOIS 100PCS</v>
      </c>
      <c r="E3623" s="196" t="str">
        <f>IFERROR(__xludf.DUMMYFUNCTION("""COMPUTED_VALUE"""),"FOR HOUSEKEEPING")</f>
        <v>FOR HOUSEKEEPING</v>
      </c>
    </row>
    <row r="3624">
      <c r="A3624" s="234">
        <f>IFERROR(__xludf.DUMMYFUNCTION("""COMPUTED_VALUE"""),103915.0)</f>
        <v>103915</v>
      </c>
      <c r="B3624" s="235" t="str">
        <f>IFERROR(__xludf.DUMMYFUNCTION("""COMPUTED_VALUE"""),"CHRISTIAN ANDRES")</f>
        <v>CHRISTIAN ANDRES</v>
      </c>
      <c r="C3624" s="235" t="str">
        <f>IFERROR(__xludf.DUMMYFUNCTION("""COMPUTED_VALUE"""),"PR")</f>
        <v>PR</v>
      </c>
      <c r="D3624" s="196" t="str">
        <f>IFERROR(__xludf.DUMMYFUNCTION("""COMPUTED_VALUE"""),"33RD ANNIVERSARY PHOTO WALL TARP 
230x350 CM
EYELET ALL OVER OUTSIDE DESIGN
13oz TARP")</f>
        <v>33RD ANNIVERSARY PHOTO WALL TARP 
230x350 CM
EYELET ALL OVER OUTSIDE DESIGN
13oz TARP</v>
      </c>
      <c r="E3624" s="196" t="str">
        <f>IFERROR(__xludf.DUMMYFUNCTION("""COMPUTED_VALUE"""),"EVENT PROMOTIONAL (FOUNDATION DAY PHOTO WALL TARP)")</f>
        <v>EVENT PROMOTIONAL (FOUNDATION DAY PHOTO WALL TARP)</v>
      </c>
    </row>
    <row r="3625">
      <c r="A3625" s="234">
        <f>IFERROR(__xludf.DUMMYFUNCTION("""COMPUTED_VALUE"""),103916.0)</f>
        <v>103916</v>
      </c>
      <c r="B3625" s="235" t="str">
        <f>IFERROR(__xludf.DUMMYFUNCTION("""COMPUTED_VALUE"""),"BRIAN PATAG")</f>
        <v>BRIAN PATAG</v>
      </c>
      <c r="C3625" s="235" t="str">
        <f>IFERROR(__xludf.DUMMYFUNCTION("""COMPUTED_VALUE"""),"AMD")</f>
        <v>AMD</v>
      </c>
      <c r="D3625" s="196" t="str">
        <f>IFERROR(__xludf.DUMMYFUNCTION("""COMPUTED_VALUE"""),"FALCON ORIGINAL CARTRIDGE 30PCS")</f>
        <v>FALCON ORIGINAL CARTRIDGE 30PCS</v>
      </c>
      <c r="E3625" s="196" t="str">
        <f>IFERROR(__xludf.DUMMYFUNCTION("""COMPUTED_VALUE"""),"FOR HOUSEKEEPING REPLENISHMENT")</f>
        <v>FOR HOUSEKEEPING REPLENISHMENT</v>
      </c>
    </row>
    <row r="3626">
      <c r="A3626" s="234">
        <f>IFERROR(__xludf.DUMMYFUNCTION("""COMPUTED_VALUE"""),103917.0)</f>
        <v>103917</v>
      </c>
      <c r="B3626" s="235"/>
      <c r="C3626" s="235"/>
      <c r="D3626" s="196"/>
      <c r="E3626" s="196"/>
    </row>
    <row r="3627">
      <c r="A3627" s="234">
        <f>IFERROR(__xludf.DUMMYFUNCTION("""COMPUTED_VALUE"""),103918.0)</f>
        <v>103918</v>
      </c>
      <c r="B3627" s="235" t="str">
        <f>IFERROR(__xludf.DUMMYFUNCTION("""COMPUTED_VALUE"""),"OWIE PAR ")</f>
        <v>OWIE PAR </v>
      </c>
      <c r="C3627" s="235" t="str">
        <f>IFERROR(__xludf.DUMMYFUNCTION("""COMPUTED_VALUE"""),"ENGINEERING")</f>
        <v>ENGINEERING</v>
      </c>
      <c r="D3627" s="196" t="str">
        <f>IFERROR(__xludf.DUMMYFUNCTION("""COMPUTED_VALUE"""),"6.0 HP DAIKEN CEIKING CASSETTE INVERTER 1 UNIT")</f>
        <v>6.0 HP DAIKEN CEIKING CASSETTE INVERTER 1 UNIT</v>
      </c>
      <c r="E3627" s="196" t="str">
        <f>IFERROR(__xludf.DUMMYFUNCTION("""COMPUTED_VALUE"""),"REPLACEMENT OF UNIT")</f>
        <v>REPLACEMENT OF UNIT</v>
      </c>
    </row>
    <row r="3628">
      <c r="A3628" s="234">
        <f>IFERROR(__xludf.DUMMYFUNCTION("""COMPUTED_VALUE"""),103919.0)</f>
        <v>103919</v>
      </c>
      <c r="B3628" s="235" t="str">
        <f>IFERROR(__xludf.DUMMYFUNCTION("""COMPUTED_VALUE"""),"JESUIT CHRISTIAN GALICIA")</f>
        <v>JESUIT CHRISTIAN GALICIA</v>
      </c>
      <c r="C3628" s="235" t="str">
        <f>IFERROR(__xludf.DUMMYFUNCTION("""COMPUTED_VALUE"""),"AMD")</f>
        <v>AMD</v>
      </c>
      <c r="D3628" s="196" t="str">
        <f>IFERROR(__xludf.DUMMYFUNCTION("""COMPUTED_VALUE"""),"LARGE STYROFOAM CUTTER")</f>
        <v>LARGE STYROFOAM CUTTER</v>
      </c>
      <c r="E3628" s="196" t="str">
        <f>IFERROR(__xludf.DUMMYFUNCTION("""COMPUTED_VALUE"""),"AMD WAREHOUSE EQUIPMENT")</f>
        <v>AMD WAREHOUSE EQUIPMENT</v>
      </c>
    </row>
    <row r="3629">
      <c r="A3629" s="234">
        <f>IFERROR(__xludf.DUMMYFUNCTION("""COMPUTED_VALUE"""),103920.0)</f>
        <v>103920</v>
      </c>
      <c r="B3629" s="235" t="str">
        <f>IFERROR(__xludf.DUMMYFUNCTION("""COMPUTED_VALUE"""),"OWIE PAR")</f>
        <v>OWIE PAR</v>
      </c>
      <c r="C3629" s="235" t="str">
        <f>IFERROR(__xludf.DUMMYFUNCTION("""COMPUTED_VALUE"""),"ENGINEERING")</f>
        <v>ENGINEERING</v>
      </c>
      <c r="D3629" s="196" t="str">
        <f>IFERROR(__xludf.DUMMYFUNCTION("""COMPUTED_VALUE"""),"LAMP HOLDER W/ LED 9W D.L 10SETS
")</f>
        <v>LAMP HOLDER W/ LED 9W D.L 10SETS
</v>
      </c>
      <c r="E3629" s="196" t="str">
        <f>IFERROR(__xludf.DUMMYFUNCTION("""COMPUTED_VALUE"""),"FOR MUNICH PERIMETER LIGHTING")</f>
        <v>FOR MUNICH PERIMETER LIGHTING</v>
      </c>
    </row>
    <row r="3630">
      <c r="A3630" s="234">
        <f>IFERROR(__xludf.DUMMYFUNCTION("""COMPUTED_VALUE"""),103921.0)</f>
        <v>103921</v>
      </c>
      <c r="B3630" s="235" t="str">
        <f>IFERROR(__xludf.DUMMYFUNCTION("""COMPUTED_VALUE"""),"OWIE PAR")</f>
        <v>OWIE PAR</v>
      </c>
      <c r="C3630" s="235" t="str">
        <f>IFERROR(__xludf.DUMMYFUNCTION("""COMPUTED_VALUE"""),"ENGINEERING")</f>
        <v>ENGINEERING</v>
      </c>
      <c r="D3630" s="196" t="str">
        <f>IFERROR(__xludf.DUMMYFUNCTION("""COMPUTED_VALUE"""),"1.0 DAIKE WALL MOOUNTED TYPE INVERTER 1UNIT ")</f>
        <v>1.0 DAIKE WALL MOOUNTED TYPE INVERTER 1UNIT </v>
      </c>
      <c r="E3630" s="196" t="str">
        <f>IFERROR(__xludf.DUMMYFUNCTION("""COMPUTED_VALUE"""),"REPLACEMENT FOR FINANCE HEAD ")</f>
        <v>REPLACEMENT FOR FINANCE HEAD </v>
      </c>
    </row>
    <row r="3631">
      <c r="A3631" s="234">
        <f>IFERROR(__xludf.DUMMYFUNCTION("""COMPUTED_VALUE"""),103922.0)</f>
        <v>103922</v>
      </c>
      <c r="B3631" s="235" t="str">
        <f>IFERROR(__xludf.DUMMYFUNCTION("""COMPUTED_VALUE"""),"OWIE PAR")</f>
        <v>OWIE PAR</v>
      </c>
      <c r="C3631" s="235" t="str">
        <f>IFERROR(__xludf.DUMMYFUNCTION("""COMPUTED_VALUE"""),"ENGINEERING")</f>
        <v>ENGINEERING</v>
      </c>
      <c r="D3631" s="196" t="str">
        <f>IFERROR(__xludf.DUMMYFUNCTION("""COMPUTED_VALUE"""),"CIRCUIT BREAKER 60AMP 2POLE 3SETS
BOCT ON GE IN  NEMA 2 ENCLOSURE 3SETS
THHN #10 P.D 2 ROLLS
PVC PIPE 3/4 33 LENGHT
PVC ELBOW 3/4 12PCS
PVC MALE ADAPTOR 3/4 4PCS
LOCK NUT AND BUSHING 3/4 4SETS
ELECTRICAL TAPE 2 ROLLS")</f>
        <v>CIRCUIT BREAKER 60AMP 2POLE 3SETS
BOCT ON GE IN  NEMA 2 ENCLOSURE 3SETS
THHN #10 P.D 2 ROLLS
PVC PIPE 3/4 33 LENGHT
PVC ELBOW 3/4 12PCS
PVC MALE ADAPTOR 3/4 4PCS
LOCK NUT AND BUSHING 3/4 4SETS
ELECTRICAL TAPE 2 ROLLS</v>
      </c>
      <c r="E3631" s="196" t="str">
        <f>IFERROR(__xludf.DUMMYFUNCTION("""COMPUTED_VALUE"""),"FOR SEGREGATION OF POWER FOR SOUND SYSTEM FOR MONARCH GYM AND LUX HALL")</f>
        <v>FOR SEGREGATION OF POWER FOR SOUND SYSTEM FOR MONARCH GYM AND LUX HALL</v>
      </c>
    </row>
    <row r="3632">
      <c r="A3632" s="234">
        <f>IFERROR(__xludf.DUMMYFUNCTION("""COMPUTED_VALUE"""),103923.0)</f>
        <v>103923</v>
      </c>
      <c r="B3632" s="235" t="str">
        <f>IFERROR(__xludf.DUMMYFUNCTION("""COMPUTED_VALUE"""),"EDGAR REBELLON")</f>
        <v>EDGAR REBELLON</v>
      </c>
      <c r="C3632" s="235" t="str">
        <f>IFERROR(__xludf.DUMMYFUNCTION("""COMPUTED_VALUE"""),"AMD")</f>
        <v>AMD</v>
      </c>
      <c r="D3632" s="196" t="str">
        <f>IFERROR(__xludf.DUMMYFUNCTION("""COMPUTED_VALUE"""),"FLAGS: ETHIOPIA
MALI
UAE
QATAR
HUNGARY")</f>
        <v>FLAGS: ETHIOPIA
MALI
UAE
QATAR
HUNGARY</v>
      </c>
      <c r="E3632" s="196" t="str">
        <f>IFERROR(__xludf.DUMMYFUNCTION("""COMPUTED_VALUE"""),"FLAGS FOR INTERNATIONAL WEEK")</f>
        <v>FLAGS FOR INTERNATIONAL WEEK</v>
      </c>
    </row>
    <row r="3633">
      <c r="A3633" s="234">
        <f>IFERROR(__xludf.DUMMYFUNCTION("""COMPUTED_VALUE"""),103924.0)</f>
        <v>103924</v>
      </c>
      <c r="B3633" s="235" t="str">
        <f>IFERROR(__xludf.DUMMYFUNCTION("""COMPUTED_VALUE"""),"EDGAR REBELLON")</f>
        <v>EDGAR REBELLON</v>
      </c>
      <c r="C3633" s="235" t="str">
        <f>IFERROR(__xludf.DUMMYFUNCTION("""COMPUTED_VALUE"""),"AMD")</f>
        <v>AMD</v>
      </c>
      <c r="D3633" s="196" t="str">
        <f>IFERROR(__xludf.DUMMYFUNCTION("""COMPUTED_VALUE"""),"FLAGS:CANADA
NEPAL
SAUDI
SERBIA
ICELAND")</f>
        <v>FLAGS:CANADA
NEPAL
SAUDI
SERBIA
ICELAND</v>
      </c>
      <c r="E3633" s="196" t="str">
        <f>IFERROR(__xludf.DUMMYFUNCTION("""COMPUTED_VALUE"""),"FLAGS FOR INTERNATIONAL WEEK")</f>
        <v>FLAGS FOR INTERNATIONAL WEEK</v>
      </c>
    </row>
    <row r="3634">
      <c r="A3634" s="234">
        <f>IFERROR(__xludf.DUMMYFUNCTION("""COMPUTED_VALUE"""),103925.0)</f>
        <v>103925</v>
      </c>
      <c r="B3634" s="235" t="str">
        <f>IFERROR(__xludf.DUMMYFUNCTION("""COMPUTED_VALUE"""),"JOHN BENEDICT CARANAY")</f>
        <v>JOHN BENEDICT CARANAY</v>
      </c>
      <c r="C3634" s="235" t="str">
        <f>IFERROR(__xludf.DUMMYFUNCTION("""COMPUTED_VALUE"""),"PRESIDENT'S OFFICE")</f>
        <v>PRESIDENT'S OFFICE</v>
      </c>
      <c r="D3634" s="196" t="str">
        <f>IFERROR(__xludf.DUMMYFUNCTION("""COMPUTED_VALUE"""),"ASPIRE 5 A515-56G-55IP OPI
-ATTACHED SAMPLE AT THE BACK")</f>
        <v>ASPIRE 5 A515-56G-55IP OPI
-ATTACHED SAMPLE AT THE BACK</v>
      </c>
      <c r="E3634" s="196" t="str">
        <f>IFERROR(__xludf.DUMMYFUNCTION("""COMPUTED_VALUE"""),"LAPTOP OF THE PRESIDENT (DR. JO)")</f>
        <v>LAPTOP OF THE PRESIDENT (DR. JO)</v>
      </c>
    </row>
    <row r="3635">
      <c r="A3635" s="234">
        <f>IFERROR(__xludf.DUMMYFUNCTION("""COMPUTED_VALUE"""),103926.0)</f>
        <v>103926</v>
      </c>
      <c r="B3635" s="235" t="str">
        <f>IFERROR(__xludf.DUMMYFUNCTION("""COMPUTED_VALUE"""),"MELLISA NAVAL-ODONO/ DR. ASTRID MORENO")</f>
        <v>MELLISA NAVAL-ODONO/ DR. ASTRID MORENO</v>
      </c>
      <c r="C3635" s="235" t="str">
        <f>IFERROR(__xludf.DUMMYFUNCTION("""COMPUTED_VALUE"""),"LIBRARY COLLEGE")</f>
        <v>LIBRARY COLLEGE</v>
      </c>
      <c r="D3635" s="196" t="str">
        <f>IFERROR(__xludf.DUMMYFUNCTION("""COMPUTED_VALUE"""),"MBA JOURNALS 3
MIT JOURNALS 3
MAP 3
BSA 1
MMA 5")</f>
        <v>MBA JOURNALS 3
MIT JOURNALS 3
MAP 3
BSA 1
MMA 5</v>
      </c>
      <c r="E3635" s="196" t="str">
        <f>IFERROR(__xludf.DUMMYFUNCTION("""COMPUTED_VALUE"""),"FOR PACUCOA REQUIREMENT/  STUDENTS/ FACULTY USE/ LIBRARY COPY")</f>
        <v>FOR PACUCOA REQUIREMENT/  STUDENTS/ FACULTY USE/ LIBRARY COPY</v>
      </c>
    </row>
    <row r="3636">
      <c r="A3636" s="234">
        <f>IFERROR(__xludf.DUMMYFUNCTION("""COMPUTED_VALUE"""),103927.0)</f>
        <v>103927</v>
      </c>
      <c r="B3636" s="235" t="str">
        <f>IFERROR(__xludf.DUMMYFUNCTION("""COMPUTED_VALUE"""),"ELMIE LAUDIATO")</f>
        <v>ELMIE LAUDIATO</v>
      </c>
      <c r="C3636" s="235" t="str">
        <f>IFERROR(__xludf.DUMMYFUNCTION("""COMPUTED_VALUE"""),"HRMD")</f>
        <v>HRMD</v>
      </c>
      <c r="D3636" s="196" t="str">
        <f>IFERROR(__xludf.DUMMYFUNCTION("""COMPUTED_VALUE"""),"PUREFOODS FIESTA HAM 1KG ( WITH SAUCE AND BAG) 350")</f>
        <v>PUREFOODS FIESTA HAM 1KG ( WITH SAUCE AND BAG) 350</v>
      </c>
      <c r="E3636" s="196" t="str">
        <f>IFERROR(__xludf.DUMMYFUNCTION("""COMPUTED_VALUE"""),"SGEN FSAM CHRISTMAS PARTY DOOR PRIZE 2023")</f>
        <v>SGEN FSAM CHRISTMAS PARTY DOOR PRIZE 2023</v>
      </c>
    </row>
    <row r="3637">
      <c r="A3637" s="234">
        <f>IFERROR(__xludf.DUMMYFUNCTION("""COMPUTED_VALUE"""),103928.0)</f>
        <v>103928</v>
      </c>
      <c r="B3637" s="235" t="str">
        <f>IFERROR(__xludf.DUMMYFUNCTION("""COMPUTED_VALUE"""),"MARINEL MARTINES")</f>
        <v>MARINEL MARTINES</v>
      </c>
      <c r="C3637" s="235" t="str">
        <f>IFERROR(__xludf.DUMMYFUNCTION("""COMPUTED_VALUE"""),"FINANCE")</f>
        <v>FINANCE</v>
      </c>
      <c r="D3637" s="196" t="str">
        <f>IFERROR(__xludf.DUMMYFUNCTION("""COMPUTED_VALUE"""),"TRODAT 
SEE ATTACHED")</f>
        <v>TRODAT 
SEE ATTACHED</v>
      </c>
      <c r="E3637" s="196" t="str">
        <f>IFERROR(__xludf.DUMMYFUNCTION("""COMPUTED_VALUE"""),"PAYROLL")</f>
        <v>PAYROLL</v>
      </c>
    </row>
    <row r="3638">
      <c r="A3638" s="234">
        <f>IFERROR(__xludf.DUMMYFUNCTION("""COMPUTED_VALUE"""),103929.0)</f>
        <v>103929</v>
      </c>
      <c r="B3638" s="235" t="str">
        <f>IFERROR(__xludf.DUMMYFUNCTION("""COMPUTED_VALUE"""),"OWIE PAR")</f>
        <v>OWIE PAR</v>
      </c>
      <c r="C3638" s="235" t="str">
        <f>IFERROR(__xludf.DUMMYFUNCTION("""COMPUTED_VALUE"""),"ENGINEERING")</f>
        <v>ENGINEERING</v>
      </c>
      <c r="D3638" s="196" t="str">
        <f>IFERROR(__xludf.DUMMYFUNCTION("""COMPUTED_VALUE"""),"LED FLOOD LIGHT 3PCS
SEE ATTACHED FOR REFERENCE")</f>
        <v>LED FLOOD LIGHT 3PCS
SEE ATTACHED FOR REFERENCE</v>
      </c>
      <c r="E3638" s="196" t="str">
        <f>IFERROR(__xludf.DUMMYFUNCTION("""COMPUTED_VALUE"""),"FOR TARPAULIN LIGHTS")</f>
        <v>FOR TARPAULIN LIGHTS</v>
      </c>
    </row>
    <row r="3639">
      <c r="A3639" s="234">
        <f>IFERROR(__xludf.DUMMYFUNCTION("""COMPUTED_VALUE"""),103930.0)</f>
        <v>103930</v>
      </c>
      <c r="B3639" s="235" t="str">
        <f>IFERROR(__xludf.DUMMYFUNCTION("""COMPUTED_VALUE"""),"ALFA DE LEON")</f>
        <v>ALFA DE LEON</v>
      </c>
      <c r="C3639" s="235" t="str">
        <f>IFERROR(__xludf.DUMMYFUNCTION("""COMPUTED_VALUE"""),"MUNICH")</f>
        <v>MUNICH</v>
      </c>
      <c r="D3639" s="196" t="str">
        <f>IFERROR(__xludf.DUMMYFUNCTION("""COMPUTED_VALUE"""),"SELLOUM PLANTS 180
HELICONIA PLANTS 350
TOBACCO PLANTS 150
MARIAN PLANT 170
FROG GRASS 350 SQM
GARDEN SOIL 2")</f>
        <v>SELLOUM PLANTS 180
HELICONIA PLANTS 350
TOBACCO PLANTS 150
MARIAN PLANT 170
FROG GRASS 350 SQM
GARDEN SOIL 2</v>
      </c>
      <c r="E3639" s="196" t="str">
        <f>IFERROR(__xludf.DUMMYFUNCTION("""COMPUTED_VALUE"""),"LANDSCAPING IN MUNICH OUTDOOR PLAYGROUND")</f>
        <v>LANDSCAPING IN MUNICH OUTDOOR PLAYGROUND</v>
      </c>
    </row>
    <row r="3640">
      <c r="A3640" s="234">
        <f>IFERROR(__xludf.DUMMYFUNCTION("""COMPUTED_VALUE"""),103931.0)</f>
        <v>103931</v>
      </c>
      <c r="B3640" s="235" t="str">
        <f>IFERROR(__xludf.DUMMYFUNCTION("""COMPUTED_VALUE"""),"MS SHAZ DE GUZMAN")</f>
        <v>MS SHAZ DE GUZMAN</v>
      </c>
      <c r="C3640" s="235" t="str">
        <f>IFERROR(__xludf.DUMMYFUNCTION("""COMPUTED_VALUE"""),"CAPS BED")</f>
        <v>CAPS BED</v>
      </c>
      <c r="D3640" s="196" t="str">
        <f>IFERROR(__xludf.DUMMYFUNCTION("""COMPUTED_VALUE"""),"BLACK OFFICE CHAIR (MID BACK CHAIR) 1PC")</f>
        <v>BLACK OFFICE CHAIR (MID BACK CHAIR) 1PC</v>
      </c>
      <c r="E3640" s="196" t="str">
        <f>IFERROR(__xludf.DUMMYFUNCTION("""COMPUTED_VALUE"""),"NEW EMPLOYEE CHAIR")</f>
        <v>NEW EMPLOYEE CHAIR</v>
      </c>
    </row>
    <row r="3641">
      <c r="A3641" s="234">
        <f>IFERROR(__xludf.DUMMYFUNCTION("""COMPUTED_VALUE"""),103932.0)</f>
        <v>103932</v>
      </c>
      <c r="B3641" s="235" t="str">
        <f>IFERROR(__xludf.DUMMYFUNCTION("""COMPUTED_VALUE"""),"SHEREE ESPINOSA")</f>
        <v>SHEREE ESPINOSA</v>
      </c>
      <c r="C3641" s="235" t="str">
        <f>IFERROR(__xludf.DUMMYFUNCTION("""COMPUTED_VALUE"""),"ADMIN")</f>
        <v>ADMIN</v>
      </c>
      <c r="D3641" s="196" t="str">
        <f>IFERROR(__xludf.DUMMYFUNCTION("""COMPUTED_VALUE"""),"TISSUE DISPENSER 1
TABLE NAPKINS 5
BIG TISSUE ROLLS 12
WATER JUG 6")</f>
        <v>TISSUE DISPENSER 1
TABLE NAPKINS 5
BIG TISSUE ROLLS 12
WATER JUG 6</v>
      </c>
      <c r="E3641" s="196" t="str">
        <f>IFERROR(__xludf.DUMMYFUNCTION("""COMPUTED_VALUE"""),"FOR ISAC")</f>
        <v>FOR ISAC</v>
      </c>
    </row>
    <row r="3642">
      <c r="A3642" s="234">
        <f>IFERROR(__xludf.DUMMYFUNCTION("""COMPUTED_VALUE"""),103933.0)</f>
        <v>103933</v>
      </c>
      <c r="B3642" s="235" t="str">
        <f>IFERROR(__xludf.DUMMYFUNCTION("""COMPUTED_VALUE"""),"CHARLES DONOR")</f>
        <v>CHARLES DONOR</v>
      </c>
      <c r="C3642" s="235" t="str">
        <f>IFERROR(__xludf.DUMMYFUNCTION("""COMPUTED_VALUE"""),"AMD")</f>
        <v>AMD</v>
      </c>
      <c r="D3642" s="196" t="str">
        <f>IFERROR(__xludf.DUMMYFUNCTION("""COMPUTED_VALUE"""),"BATTERY, ENERGY SIZE AA 200PCS
BATTERY, MAXWELL CR2032 70PCS
BATTERY, EVEREADY SIZE C 200PCS
BATTERY, EVEREADY SIZE D 200PCS
BATTERY, ENERGIZER SIZE 9V 200PCS")</f>
        <v>BATTERY, ENERGY SIZE AA 200PCS
BATTERY, MAXWELL CR2032 70PCS
BATTERY, EVEREADY SIZE C 200PCS
BATTERY, EVEREADY SIZE D 200PCS
BATTERY, ENERGIZER SIZE 9V 200PCS</v>
      </c>
      <c r="E3642" s="196" t="str">
        <f>IFERROR(__xludf.DUMMYFUNCTION("""COMPUTED_VALUE"""),"OSSUP-STOCK REPLENISHMENT ")</f>
        <v>OSSUP-STOCK REPLENISHMENT </v>
      </c>
    </row>
    <row r="3643">
      <c r="A3643" s="234">
        <f>IFERROR(__xludf.DUMMYFUNCTION("""COMPUTED_VALUE"""),103934.0)</f>
        <v>103934</v>
      </c>
      <c r="B3643" s="235" t="str">
        <f>IFERROR(__xludf.DUMMYFUNCTION("""COMPUTED_VALUE"""),"LORRAINE ALMAZAN")</f>
        <v>LORRAINE ALMAZAN</v>
      </c>
      <c r="C3643" s="235" t="str">
        <f>IFERROR(__xludf.DUMMYFUNCTION("""COMPUTED_VALUE"""),"MIS")</f>
        <v>MIS</v>
      </c>
      <c r="D3643" s="196" t="str">
        <f>IFERROR(__xludf.DUMMYFUNCTION("""COMPUTED_VALUE"""),"BAIERDI REMOVABLE TV STAND WITH WHEELS FOR 32-65 INCH TV QTY: 7")</f>
        <v>BAIERDI REMOVABLE TV STAND WITH WHEELS FOR 32-65 INCH TV QTY: 7</v>
      </c>
      <c r="E3643" s="196" t="str">
        <f>IFERROR(__xludf.DUMMYFUNCTION("""COMPUTED_VALUE"""),"TV STANDS FOR CEM'S OFFICE, MUNICH,SOF, AND VIEWING HALL")</f>
        <v>TV STANDS FOR CEM'S OFFICE, MUNICH,SOF, AND VIEWING HALL</v>
      </c>
    </row>
    <row r="3644">
      <c r="A3644" s="234">
        <f>IFERROR(__xludf.DUMMYFUNCTION("""COMPUTED_VALUE"""),103935.0)</f>
        <v>103935</v>
      </c>
      <c r="B3644" s="235" t="str">
        <f>IFERROR(__xludf.DUMMYFUNCTION("""COMPUTED_VALUE"""),"OWIE PAR ")</f>
        <v>OWIE PAR </v>
      </c>
      <c r="C3644" s="235" t="str">
        <f>IFERROR(__xludf.DUMMYFUNCTION("""COMPUTED_VALUE"""),"ENGINEERING")</f>
        <v>ENGINEERING</v>
      </c>
      <c r="D3644" s="196" t="str">
        <f>IFERROR(__xludf.DUMMYFUNCTION("""COMPUTED_VALUE"""),"THHN#12 1ROLL
PVC PIPE 1/2 12PCS
ELECTRICAL SUBMETER 1SET
JUNCTION BOX 4PCS
UTILITY BOX 4PCS
PVC CLAMP 1/2 12PCS
ELECTRICAL TAPE 2 ROLLS
WIDE SERIES OUTLET 2GANG 2 SETS
WIDE SERIES SWITCH 2 GANG 1SET")</f>
        <v>THHN#12 1ROLL
PVC PIPE 1/2 12PCS
ELECTRICAL SUBMETER 1SET
JUNCTION BOX 4PCS
UTILITY BOX 4PCS
PVC CLAMP 1/2 12PCS
ELECTRICAL TAPE 2 ROLLS
WIDE SERIES OUTLET 2GANG 2 SETS
WIDE SERIES SWITCH 2 GANG 1SET</v>
      </c>
      <c r="E3644" s="196" t="str">
        <f>IFERROR(__xludf.DUMMYFUNCTION("""COMPUTED_VALUE"""),"FOR EU ANNEX")</f>
        <v>FOR EU ANNEX</v>
      </c>
    </row>
    <row r="3645">
      <c r="A3645" s="234">
        <f>IFERROR(__xludf.DUMMYFUNCTION("""COMPUTED_VALUE"""),103936.0)</f>
        <v>103936</v>
      </c>
      <c r="B3645" s="235" t="str">
        <f>IFERROR(__xludf.DUMMYFUNCTION("""COMPUTED_VALUE"""),"KAYREEN CARIO")</f>
        <v>KAYREEN CARIO</v>
      </c>
      <c r="C3645" s="235" t="str">
        <f>IFERROR(__xludf.DUMMYFUNCTION("""COMPUTED_VALUE"""),"PR &amp; MARKETING")</f>
        <v>PR &amp; MARKETING</v>
      </c>
      <c r="D3645" s="196" t="str">
        <f>IFERROR(__xludf.DUMMYFUNCTION("""COMPUTED_VALUE"""),"FLASHDRIVES 128 GB 5
CLICKERS 3")</f>
        <v>FLASHDRIVES 128 GB 5
CLICKERS 3</v>
      </c>
      <c r="E3645" s="196" t="str">
        <f>IFERROR(__xludf.DUMMYFUNCTION("""COMPUTED_VALUE"""),"FOR SCHOOL PRESENTATIONS")</f>
        <v>FOR SCHOOL PRESENTATIONS</v>
      </c>
    </row>
    <row r="3646">
      <c r="A3646" s="234">
        <f>IFERROR(__xludf.DUMMYFUNCTION("""COMPUTED_VALUE"""),103937.0)</f>
        <v>103937</v>
      </c>
      <c r="B3646" s="235" t="str">
        <f>IFERROR(__xludf.DUMMYFUNCTION("""COMPUTED_VALUE"""),"CHARLES DONOR")</f>
        <v>CHARLES DONOR</v>
      </c>
      <c r="C3646" s="235" t="str">
        <f>IFERROR(__xludf.DUMMYFUNCTION("""COMPUTED_VALUE"""),"AMD")</f>
        <v>AMD</v>
      </c>
      <c r="D3646" s="196" t="str">
        <f>IFERROR(__xludf.DUMMYFUNCTION("""COMPUTED_VALUE"""),"TAPE, DUCT TAPE(2IN x 10M) 70PCS")</f>
        <v>TAPE, DUCT TAPE(2IN x 10M) 70PCS</v>
      </c>
      <c r="E3646" s="196" t="str">
        <f>IFERROR(__xludf.DUMMYFUNCTION("""COMPUTED_VALUE"""),"OSSUP- STOCK REPLENISHMENT")</f>
        <v>OSSUP- STOCK REPLENISHMENT</v>
      </c>
    </row>
    <row r="3647">
      <c r="A3647" s="234">
        <f>IFERROR(__xludf.DUMMYFUNCTION("""COMPUTED_VALUE"""),103938.0)</f>
        <v>103938</v>
      </c>
      <c r="B3647" s="235" t="str">
        <f>IFERROR(__xludf.DUMMYFUNCTION("""COMPUTED_VALUE"""),"KAYREEN CARIO")</f>
        <v>KAYREEN CARIO</v>
      </c>
      <c r="C3647" s="235" t="str">
        <f>IFERROR(__xludf.DUMMYFUNCTION("""COMPUTED_VALUE"""),"PR &amp; MARKETING")</f>
        <v>PR &amp; MARKETING</v>
      </c>
      <c r="D3647" s="196" t="str">
        <f>IFERROR(__xludf.DUMMYFUNCTION("""COMPUTED_VALUE"""),"GENERRIC FLIERS 10000
-PRINT PHILIPPINES")</f>
        <v>GENERRIC FLIERS 10000
-PRINT PHILIPPINES</v>
      </c>
      <c r="E3647" s="196" t="str">
        <f>IFERROR(__xludf.DUMMYFUNCTION("""COMPUTED_VALUE"""),"SCHOOL PRES")</f>
        <v>SCHOOL PRES</v>
      </c>
    </row>
    <row r="3648">
      <c r="A3648" s="234">
        <f>IFERROR(__xludf.DUMMYFUNCTION("""COMPUTED_VALUE"""),103939.0)</f>
        <v>103939</v>
      </c>
      <c r="B3648" s="235" t="str">
        <f>IFERROR(__xludf.DUMMYFUNCTION("""COMPUTED_VALUE"""),"SHEREE ESPINOSA")</f>
        <v>SHEREE ESPINOSA</v>
      </c>
      <c r="C3648" s="235" t="str">
        <f>IFERROR(__xludf.DUMMYFUNCTION("""COMPUTED_VALUE"""),"ADMIN")</f>
        <v>ADMIN</v>
      </c>
      <c r="D3648" s="196" t="str">
        <f>IFERROR(__xludf.DUMMYFUNCTION("""COMPUTED_VALUE"""),"ROOF GUARD BROWN 4TIN
ROOF GUARD BAGUIO GREEN 2TIN
ROSIENA 3ORT
PAINT BRUSH #2 3PCS
PAINT ROLLER 3PCS
RAGS 2KGS")</f>
        <v>ROOF GUARD BROWN 4TIN
ROOF GUARD BAGUIO GREEN 2TIN
ROSIENA 3ORT
PAINT BRUSH #2 3PCS
PAINT ROLLER 3PCS
RAGS 2KGS</v>
      </c>
      <c r="E3648" s="196" t="str">
        <f>IFERROR(__xludf.DUMMYFUNCTION("""COMPUTED_VALUE"""),"LUX BUILDING PREVENTIVE MAINTENANCE")</f>
        <v>LUX BUILDING PREVENTIVE MAINTENANCE</v>
      </c>
    </row>
    <row r="3649">
      <c r="A3649" s="234">
        <f>IFERROR(__xludf.DUMMYFUNCTION("""COMPUTED_VALUE"""),103940.0)</f>
        <v>103940</v>
      </c>
      <c r="B3649" s="235" t="str">
        <f>IFERROR(__xludf.DUMMYFUNCTION("""COMPUTED_VALUE"""),"CHARLES DONOR")</f>
        <v>CHARLES DONOR</v>
      </c>
      <c r="C3649" s="235" t="str">
        <f>IFERROR(__xludf.DUMMYFUNCTION("""COMPUTED_VALUE"""),"AMD")</f>
        <v>AMD</v>
      </c>
      <c r="D3649" s="196" t="str">
        <f>IFERROR(__xludf.DUMMYFUNCTION("""COMPUTED_VALUE"""),"PUSH PINS 30'S 30BXS")</f>
        <v>PUSH PINS 30'S 30BXS</v>
      </c>
      <c r="E3649" s="196" t="str">
        <f>IFERROR(__xludf.DUMMYFUNCTION("""COMPUTED_VALUE"""),"OSSUP-REPLENISHMENT")</f>
        <v>OSSUP-REPLENISHMENT</v>
      </c>
    </row>
    <row r="3650">
      <c r="A3650" s="234">
        <f>IFERROR(__xludf.DUMMYFUNCTION("""COMPUTED_VALUE"""),103941.0)</f>
        <v>103941</v>
      </c>
      <c r="B3650" s="235" t="str">
        <f>IFERROR(__xludf.DUMMYFUNCTION("""COMPUTED_VALUE"""),"SHEREE ESPINOSA")</f>
        <v>SHEREE ESPINOSA</v>
      </c>
      <c r="C3650" s="235" t="str">
        <f>IFERROR(__xludf.DUMMYFUNCTION("""COMPUTED_VALUE"""),"ADMIN")</f>
        <v>ADMIN</v>
      </c>
      <c r="D3650" s="196" t="str">
        <f>IFERROR(__xludf.DUMMYFUNCTION("""COMPUTED_VALUE"""),"SEMI GLOSS LATEX BOYSEN 10TIN
FLAT LATEX BOYSEN 5 TIN
BORAL 2 BAGS
PAINT BRUSH #2 5PCS
PAINT BRUSH #7 5PCS
SANDING PAPER #100 5METERS
RAGS 5KGS")</f>
        <v>SEMI GLOSS LATEX BOYSEN 10TIN
FLAT LATEX BOYSEN 5 TIN
BORAL 2 BAGS
PAINT BRUSH #2 5PCS
PAINT BRUSH #7 5PCS
SANDING PAPER #100 5METERS
RAGS 5KGS</v>
      </c>
      <c r="E3650" s="196" t="str">
        <f>IFERROR(__xludf.DUMMYFUNCTION("""COMPUTED_VALUE"""),"BUILDING PREVENTIVE MAINTENANCE OF TROPICAL BUILDING")</f>
        <v>BUILDING PREVENTIVE MAINTENANCE OF TROPICAL BUILDING</v>
      </c>
    </row>
    <row r="3651">
      <c r="A3651" s="234">
        <f>IFERROR(__xludf.DUMMYFUNCTION("""COMPUTED_VALUE"""),103942.0)</f>
        <v>103942</v>
      </c>
      <c r="B3651" s="235" t="str">
        <f>IFERROR(__xludf.DUMMYFUNCTION("""COMPUTED_VALUE"""),"SHEREE ESPINOSA")</f>
        <v>SHEREE ESPINOSA</v>
      </c>
      <c r="C3651" s="235" t="str">
        <f>IFERROR(__xludf.DUMMYFUNCTION("""COMPUTED_VALUE"""),"ADMIN")</f>
        <v>ADMIN</v>
      </c>
      <c r="D3651" s="196" t="str">
        <f>IFERROR(__xludf.DUMMYFUNCTION("""COMPUTED_VALUE"""),"SEMI GLOSS LATEX 5TIN
FLAT LATEX 3 TIN
FLAT WALL ENAMEL 2 TIN
ROSIENA 5ORT
SKIM COAT 2 BAGS
SANDING PAPER #100 2 METERS
RAGS 1KG
VULCASEAL 1 GAL
ROOF GUARD BEIGE 3TIN
ROOF GUARD BROWN 3 TIN")</f>
        <v>SEMI GLOSS LATEX 5TIN
FLAT LATEX 3 TIN
FLAT WALL ENAMEL 2 TIN
ROSIENA 5ORT
SKIM COAT 2 BAGS
SANDING PAPER #100 2 METERS
RAGS 1KG
VULCASEAL 1 GAL
ROOF GUARD BEIGE 3TIN
ROOF GUARD BROWN 3 TIN</v>
      </c>
      <c r="E3651" s="196" t="str">
        <f>IFERROR(__xludf.DUMMYFUNCTION("""COMPUTED_VALUE"""),"MONARHCS GYM PREVENTIVE MAINTENANCE")</f>
        <v>MONARHCS GYM PREVENTIVE MAINTENANCE</v>
      </c>
    </row>
    <row r="3652">
      <c r="A3652" s="234">
        <f>IFERROR(__xludf.DUMMYFUNCTION("""COMPUTED_VALUE"""),103943.0)</f>
        <v>103943</v>
      </c>
      <c r="B3652" s="235" t="str">
        <f>IFERROR(__xludf.DUMMYFUNCTION("""COMPUTED_VALUE"""),"SHEREE ESPINOSA")</f>
        <v>SHEREE ESPINOSA</v>
      </c>
      <c r="C3652" s="235" t="str">
        <f>IFERROR(__xludf.DUMMYFUNCTION("""COMPUTED_VALUE"""),"ADMIN")</f>
        <v>ADMIN</v>
      </c>
      <c r="D3652" s="196" t="str">
        <f>IFERROR(__xludf.DUMMYFUNCTION("""COMPUTED_VALUE"""),"THHN WIRE #16 FLATCORD 1ROLL
UNIVERSAL OUTLET 2 GANG 20PCS
MALE PLUG (HEAVY DUTY) 20PCS")</f>
        <v>THHN WIRE #16 FLATCORD 1ROLL
UNIVERSAL OUTLET 2 GANG 20PCS
MALE PLUG (HEAVY DUTY) 20PCS</v>
      </c>
      <c r="E3652" s="196" t="str">
        <f>IFERROR(__xludf.DUMMYFUNCTION("""COMPUTED_VALUE"""),"EXTENSION WIRES DURING EVENT")</f>
        <v>EXTENSION WIRES DURING EVENT</v>
      </c>
    </row>
    <row r="3653">
      <c r="A3653" s="234">
        <f>IFERROR(__xludf.DUMMYFUNCTION("""COMPUTED_VALUE"""),103944.0)</f>
        <v>103944</v>
      </c>
      <c r="B3653" s="235" t="str">
        <f>IFERROR(__xludf.DUMMYFUNCTION("""COMPUTED_VALUE"""),"OWIE PAR")</f>
        <v>OWIE PAR</v>
      </c>
      <c r="C3653" s="235" t="str">
        <f>IFERROR(__xludf.DUMMYFUNCTION("""COMPUTED_VALUE"""),"ADMIN")</f>
        <v>ADMIN</v>
      </c>
      <c r="D3653" s="196" t="str">
        <f>IFERROR(__xludf.DUMMYFUNCTION("""COMPUTED_VALUE"""),"THHN #12MM2 1ROLL
THHN #50MM2 15METERS
SOLDELESS CONNECTOR 50MM2 3PCS
TOX ON SCREW #8 10PAIRS
MASONRYBIT #8 1PC
ELECTRICAL TAPE #BIG 12ROLLS")</f>
        <v>THHN #12MM2 1ROLL
THHN #50MM2 15METERS
SOLDELESS CONNECTOR 50MM2 3PCS
TOX ON SCREW #8 10PAIRS
MASONRYBIT #8 1PC
ELECTRICAL TAPE #BIG 12ROLLS</v>
      </c>
      <c r="E3653" s="196" t="str">
        <f>IFERROR(__xludf.DUMMYFUNCTION("""COMPUTED_VALUE"""),"FOR COLLEGE CAFE SEGREGATION OF POWER CONSUMPTION FOR CONCESSIONAIRE")</f>
        <v>FOR COLLEGE CAFE SEGREGATION OF POWER CONSUMPTION FOR CONCESSIONAIRE</v>
      </c>
    </row>
    <row r="3654">
      <c r="A3654" s="234">
        <f>IFERROR(__xludf.DUMMYFUNCTION("""COMPUTED_VALUE"""),103945.0)</f>
        <v>103945</v>
      </c>
      <c r="B3654" s="235" t="str">
        <f>IFERROR(__xludf.DUMMYFUNCTION("""COMPUTED_VALUE"""),"ELYDIA REYES ")</f>
        <v>ELYDIA REYES </v>
      </c>
      <c r="C3654" s="235" t="str">
        <f>IFERROR(__xludf.DUMMYFUNCTION("""COMPUTED_VALUE"""),"PR &amp; MARKETING")</f>
        <v>PR &amp; MARKETING</v>
      </c>
      <c r="D3654" s="196" t="str">
        <f>IFERROR(__xludf.DUMMYFUNCTION("""COMPUTED_VALUE"""),"4 PULL UP BANNERS")</f>
        <v>4 PULL UP BANNERS</v>
      </c>
      <c r="E3654" s="196" t="str">
        <f>IFERROR(__xludf.DUMMYFUNCTION("""COMPUTED_VALUE"""),"PULL UP BANNER FOR MARKETING")</f>
        <v>PULL UP BANNER FOR MARKETING</v>
      </c>
    </row>
    <row r="3655">
      <c r="A3655" s="234">
        <f>IFERROR(__xludf.DUMMYFUNCTION("""COMPUTED_VALUE"""),103946.0)</f>
        <v>103946</v>
      </c>
      <c r="B3655" s="235" t="str">
        <f>IFERROR(__xludf.DUMMYFUNCTION("""COMPUTED_VALUE"""),"ELYDIA REYES ")</f>
        <v>ELYDIA REYES </v>
      </c>
      <c r="C3655" s="235" t="str">
        <f>IFERROR(__xludf.DUMMYFUNCTION("""COMPUTED_VALUE"""),"PR &amp; MARKETING")</f>
        <v>PR &amp; MARKETING</v>
      </c>
      <c r="D3655" s="196" t="str">
        <f>IFERROR(__xludf.DUMMYFUNCTION("""COMPUTED_VALUE"""),"1 PC. ISAC TARP WELCOME BANNER ")</f>
        <v>1 PC. ISAC TARP WELCOME BANNER </v>
      </c>
      <c r="E3655" s="196" t="str">
        <f>IFERROR(__xludf.DUMMYFUNCTION("""COMPUTED_VALUE"""),"REIMBURSEMENT FOR ISAC TARP")</f>
        <v>REIMBURSEMENT FOR ISAC TARP</v>
      </c>
    </row>
    <row r="3656">
      <c r="A3656" s="234">
        <f>IFERROR(__xludf.DUMMYFUNCTION("""COMPUTED_VALUE"""),103947.0)</f>
        <v>103947</v>
      </c>
      <c r="B3656" s="235" t="str">
        <f>IFERROR(__xludf.DUMMYFUNCTION("""COMPUTED_VALUE"""),"OWIE PAR")</f>
        <v>OWIE PAR</v>
      </c>
      <c r="C3656" s="235" t="str">
        <f>IFERROR(__xludf.DUMMYFUNCTION("""COMPUTED_VALUE"""),"ENGINEERING")</f>
        <v>ENGINEERING</v>
      </c>
      <c r="D3656" s="196" t="str">
        <f>IFERROR(__xludf.DUMMYFUNCTION("""COMPUTED_VALUE"""),"ALUMINUM STAIR NOSING 20LENGTHS")</f>
        <v>ALUMINUM STAIR NOSING 20LENGTHS</v>
      </c>
      <c r="E3656" s="196" t="str">
        <f>IFERROR(__xludf.DUMMYFUNCTION("""COMPUTED_VALUE"""),"FOR STARS AND FLAT FORM IN CLASSROOMS")</f>
        <v>FOR STARS AND FLAT FORM IN CLASSROOMS</v>
      </c>
    </row>
    <row r="3657">
      <c r="A3657" s="234">
        <f>IFERROR(__xludf.DUMMYFUNCTION("""COMPUTED_VALUE"""),103948.0)</f>
        <v>103948</v>
      </c>
      <c r="B3657" s="235" t="str">
        <f>IFERROR(__xludf.DUMMYFUNCTION("""COMPUTED_VALUE"""),"OWIE PAR")</f>
        <v>OWIE PAR</v>
      </c>
      <c r="C3657" s="235" t="str">
        <f>IFERROR(__xludf.DUMMYFUNCTION("""COMPUTED_VALUE"""),"ENGINEERING")</f>
        <v>ENGINEERING</v>
      </c>
      <c r="D3657" s="196" t="str">
        <f>IFERROR(__xludf.DUMMYFUNCTION("""COMPUTED_VALUE"""),"5.0 HP DAIKEN CEILING CASSETTE INVERTER 1 UNIT
OLD UNIT  CEILING SUSPENDED
DATE PURCHASED 2015
MODEL CS-T24KTQ6
SERIAL 2975500475")</f>
        <v>5.0 HP DAIKEN CEILING CASSETTE INVERTER 1 UNIT
OLD UNIT  CEILING SUSPENDED
DATE PURCHASED 2015
MODEL CS-T24KTQ6
SERIAL 2975500475</v>
      </c>
      <c r="E3657" s="196" t="str">
        <f>IFERROR(__xludf.DUMMYFUNCTION("""COMPUTED_VALUE"""),"REPLACEMENT FOR TROPICAL BRICK ROOM")</f>
        <v>REPLACEMENT FOR TROPICAL BRICK ROOM</v>
      </c>
    </row>
    <row r="3658">
      <c r="A3658" s="234">
        <f>IFERROR(__xludf.DUMMYFUNCTION("""COMPUTED_VALUE"""),103949.0)</f>
        <v>103949</v>
      </c>
      <c r="B3658" s="235" t="str">
        <f>IFERROR(__xludf.DUMMYFUNCTION("""COMPUTED_VALUE"""),"OWIE PAR")</f>
        <v>OWIE PAR</v>
      </c>
      <c r="C3658" s="235" t="str">
        <f>IFERROR(__xludf.DUMMYFUNCTION("""COMPUTED_VALUE"""),"ENGINEERING")</f>
        <v>ENGINEERING</v>
      </c>
      <c r="D3658" s="196" t="str">
        <f>IFERROR(__xludf.DUMMYFUNCTION("""COMPUTED_VALUE"""),"2.5 HP DAIKEN INVERTER WALL MOUNTED TYPE 2UNITS")</f>
        <v>2.5 HP DAIKEN INVERTER WALL MOUNTED TYPE 2UNITS</v>
      </c>
      <c r="E3658" s="196" t="str">
        <f>IFERROR(__xludf.DUMMYFUNCTION("""COMPUTED_VALUE"""),"FOR LUX CLASS RM IMMEDIATE REPLACEMENT")</f>
        <v>FOR LUX CLASS RM IMMEDIATE REPLACEMENT</v>
      </c>
    </row>
    <row r="3659">
      <c r="A3659" s="234">
        <f>IFERROR(__xludf.DUMMYFUNCTION("""COMPUTED_VALUE"""),103950.0)</f>
        <v>103950</v>
      </c>
      <c r="B3659" s="235" t="str">
        <f>IFERROR(__xludf.DUMMYFUNCTION("""COMPUTED_VALUE"""),"ELYDS")</f>
        <v>ELYDS</v>
      </c>
      <c r="C3659" s="235" t="str">
        <f>IFERROR(__xludf.DUMMYFUNCTION("""COMPUTED_VALUE"""),"PR &amp; MARKETING")</f>
        <v>PR &amp; MARKETING</v>
      </c>
      <c r="D3659" s="196" t="str">
        <f>IFERROR(__xludf.DUMMYFUNCTION("""COMPUTED_VALUE"""),"CHRISTMAS GIFTS FOR PRINCIPALS AND GUIDANCE COUNCELORS 100")</f>
        <v>CHRISTMAS GIFTS FOR PRINCIPALS AND GUIDANCE COUNCELORS 100</v>
      </c>
      <c r="E3659" s="196" t="str">
        <f>IFERROR(__xludf.DUMMYFUNCTION("""COMPUTED_VALUE"""),"CHRISTMAS GIFTS FOR FEEDERS SCHOOLS ")</f>
        <v>CHRISTMAS GIFTS FOR FEEDERS SCHOOLS </v>
      </c>
    </row>
    <row r="3660">
      <c r="A3660" s="234">
        <f>IFERROR(__xludf.DUMMYFUNCTION("""COMPUTED_VALUE"""),103951.0)</f>
        <v>103951</v>
      </c>
      <c r="B3660" s="235" t="str">
        <f>IFERROR(__xludf.DUMMYFUNCTION("""COMPUTED_VALUE"""),"ARNEL MONTABLAN")</f>
        <v>ARNEL MONTABLAN</v>
      </c>
      <c r="C3660" s="235" t="str">
        <f>IFERROR(__xludf.DUMMYFUNCTION("""COMPUTED_VALUE"""),"FOUNDER SCHOLARS")</f>
        <v>FOUNDER SCHOLARS</v>
      </c>
      <c r="D3660" s="196" t="str">
        <f>IFERROR(__xludf.DUMMYFUNCTION("""COMPUTED_VALUE"""),"LOCKER (3x5)
LOCKER (5x4)")</f>
        <v>LOCKER (3x5)
LOCKER (5x4)</v>
      </c>
      <c r="E3660" s="196" t="str">
        <f>IFERROR(__xludf.DUMMYFUNCTION("""COMPUTED_VALUE"""),"REPLACE THE LOCKER YOKOHAMA GIRLS AND BOYS
CANCELLED ")</f>
        <v>REPLACE THE LOCKER YOKOHAMA GIRLS AND BOYS
CANCELLED </v>
      </c>
    </row>
    <row r="3661">
      <c r="A3661" s="234">
        <f>IFERROR(__xludf.DUMMYFUNCTION("""COMPUTED_VALUE"""),103952.0)</f>
        <v>103952</v>
      </c>
      <c r="B3661" s="235" t="str">
        <f>IFERROR(__xludf.DUMMYFUNCTION("""COMPUTED_VALUE"""),"MARYNEILLA CARAMOAN")</f>
        <v>MARYNEILLA CARAMOAN</v>
      </c>
      <c r="C3661" s="235" t="str">
        <f>IFERROR(__xludf.DUMMYFUNCTION("""COMPUTED_VALUE"""),"PR &amp; MARKETING")</f>
        <v>PR &amp; MARKETING</v>
      </c>
      <c r="D3661" s="196" t="str">
        <f>IFERROR(__xludf.DUMMYFUNCTION("""COMPUTED_VALUE"""),"NAME PLATE FOR ALL THE PR EMPLOYEES 13
KINDLY SEE ATTACHED FILES")</f>
        <v>NAME PLATE FOR ALL THE PR EMPLOYEES 13
KINDLY SEE ATTACHED FILES</v>
      </c>
      <c r="E3661" s="196" t="str">
        <f>IFERROR(__xludf.DUMMYFUNCTION("""COMPUTED_VALUE"""),"NAME PLATES FOR ALL NAME PLATES EMPLOYEES")</f>
        <v>NAME PLATES FOR ALL NAME PLATES EMPLOYEES</v>
      </c>
    </row>
    <row r="3662">
      <c r="A3662" s="234">
        <f>IFERROR(__xludf.DUMMYFUNCTION("""COMPUTED_VALUE"""),103953.0)</f>
        <v>103953</v>
      </c>
      <c r="B3662" s="235" t="str">
        <f>IFERROR(__xludf.DUMMYFUNCTION("""COMPUTED_VALUE"""),"ALFA DE LEON")</f>
        <v>ALFA DE LEON</v>
      </c>
      <c r="C3662" s="235" t="str">
        <f>IFERROR(__xludf.DUMMYFUNCTION("""COMPUTED_VALUE"""),"ADMIN - MUNICH")</f>
        <v>ADMIN - MUNICH</v>
      </c>
      <c r="D3662" s="196" t="str">
        <f>IFERROR(__xludf.DUMMYFUNCTION("""COMPUTED_VALUE"""),"DOOR CLOSER 1
FAUCET 3
FAUCET LESS DISC 1")</f>
        <v>DOOR CLOSER 1
FAUCET 3
FAUCET LESS DISC 1</v>
      </c>
      <c r="E3662" s="196" t="str">
        <f>IFERROR(__xludf.DUMMYFUNCTION("""COMPUTED_VALUE"""),"RM 303, 102, 104 (REPAIRS)")</f>
        <v>RM 303, 102, 104 (REPAIRS)</v>
      </c>
    </row>
    <row r="3663">
      <c r="A3663" s="234">
        <f>IFERROR(__xludf.DUMMYFUNCTION("""COMPUTED_VALUE"""),103954.0)</f>
        <v>103954</v>
      </c>
      <c r="B3663" s="235" t="str">
        <f>IFERROR(__xludf.DUMMYFUNCTION("""COMPUTED_VALUE"""),"ALFA DE LEON")</f>
        <v>ALFA DE LEON</v>
      </c>
      <c r="C3663" s="235" t="str">
        <f>IFERROR(__xludf.DUMMYFUNCTION("""COMPUTED_VALUE"""),"ADMIN - MUNICH")</f>
        <v>ADMIN - MUNICH</v>
      </c>
      <c r="D3663" s="196" t="str">
        <f>IFERROR(__xludf.DUMMYFUNCTION("""COMPUTED_VALUE"""),"DOOR MAT 4
CONCEALED HINGE 1
SQUARE HOOK 1
BARREL BOLT
BARREL BOLT1
CUPHOOK1
NYLON 1")</f>
        <v>DOOR MAT 4
CONCEALED HINGE 1
SQUARE HOOK 1
BARREL BOLT
BARREL BOLT1
CUPHOOK1
NYLON 1</v>
      </c>
      <c r="E3663" s="196" t="str">
        <f>IFERROR(__xludf.DUMMYFUNCTION("""COMPUTED_VALUE"""),"REPAIRS AND MAINTENANCE 3/F CR, 2/F FACULTY")</f>
        <v>REPAIRS AND MAINTENANCE 3/F CR, 2/F FACULTY</v>
      </c>
    </row>
    <row r="3664">
      <c r="A3664" s="234">
        <f>IFERROR(__xludf.DUMMYFUNCTION("""COMPUTED_VALUE"""),103955.0)</f>
        <v>103955</v>
      </c>
      <c r="B3664" s="235" t="str">
        <f>IFERROR(__xludf.DUMMYFUNCTION("""COMPUTED_VALUE"""),"ALFA DE LEON")</f>
        <v>ALFA DE LEON</v>
      </c>
      <c r="C3664" s="235" t="str">
        <f>IFERROR(__xludf.DUMMYFUNCTION("""COMPUTED_VALUE"""),"ADMIN - MUNICH")</f>
        <v>ADMIN - MUNICH</v>
      </c>
      <c r="D3664" s="196" t="str">
        <f>IFERROR(__xludf.DUMMYFUNCTION("""COMPUTED_VALUE"""),"THHN WIRE #12 20METERS
JUNCTION BOX 2
RECEPTACLE 2
FLEXIBLE HOSE 10METERS")</f>
        <v>THHN WIRE #12 20METERS
JUNCTION BOX 2
RECEPTACLE 2
FLEXIBLE HOSE 10METERS</v>
      </c>
      <c r="E3664" s="196" t="str">
        <f>IFERROR(__xludf.DUMMYFUNCTION("""COMPUTED_VALUE"""),"REPAIRS OF LIGHTS IN SCHOOL OUR AREA ON MUNICH")</f>
        <v>REPAIRS OF LIGHTS IN SCHOOL OUR AREA ON MUNICH</v>
      </c>
    </row>
    <row r="3665">
      <c r="A3665" s="234">
        <f>IFERROR(__xludf.DUMMYFUNCTION("""COMPUTED_VALUE"""),103956.0)</f>
        <v>103956</v>
      </c>
      <c r="B3665" s="235" t="str">
        <f>IFERROR(__xludf.DUMMYFUNCTION("""COMPUTED_VALUE"""),"OWIE PAR")</f>
        <v>OWIE PAR</v>
      </c>
      <c r="C3665" s="235" t="str">
        <f>IFERROR(__xludf.DUMMYFUNCTION("""COMPUTED_VALUE"""),"ENGINEERING")</f>
        <v>ENGINEERING</v>
      </c>
      <c r="D3665" s="196" t="str">
        <f>IFERROR(__xludf.DUMMYFUNCTION("""COMPUTED_VALUE"""),"FLAT CORD #16 2ROLLS
PAROL BULB 7W 220V 2BOXES
ELECTRICAL TAPE 3 ROLLS
CABLE TIE 3PACKS
GI WIRE #18")</f>
        <v>FLAT CORD #16 2ROLLS
PAROL BULB 7W 220V 2BOXES
ELECTRICAL TAPE 3 ROLLS
CABLE TIE 3PACKS
GI WIRE #18</v>
      </c>
      <c r="E3665" s="196" t="str">
        <f>IFERROR(__xludf.DUMMYFUNCTION("""COMPUTED_VALUE"""),"FOR REPAIR OF PAROLS")</f>
        <v>FOR REPAIR OF PAROLS</v>
      </c>
    </row>
    <row r="3666">
      <c r="A3666" s="234">
        <f>IFERROR(__xludf.DUMMYFUNCTION("""COMPUTED_VALUE"""),103957.0)</f>
        <v>103957</v>
      </c>
      <c r="B3666" s="235" t="str">
        <f>IFERROR(__xludf.DUMMYFUNCTION("""COMPUTED_VALUE"""),"ANGELO PARAS")</f>
        <v>ANGELO PARAS</v>
      </c>
      <c r="C3666" s="235" t="str">
        <f>IFERROR(__xludf.DUMMYFUNCTION("""COMPUTED_VALUE"""),"SCIENCE LAB BASIC ED.")</f>
        <v>SCIENCE LAB BASIC ED.</v>
      </c>
      <c r="D3666" s="196" t="str">
        <f>IFERROR(__xludf.DUMMYFUNCTION("""COMPUTED_VALUE"""),"ETHYL ALCOHOL 95% SOLUTION 3L
GLUCOSE POWDER (ANHYDROS) 2KG
COOKING OIL 3L
VINEGAR 3L
SODIUM HYDROXIDE FLAKES, ANHYDROUS 1KG
FLOUR 1KG
PAPER TOWELS 10ROLLS
NITRILE GLOVES, POWDER FREE 4BOXES")</f>
        <v>ETHYL ALCOHOL 95% SOLUTION 3L
GLUCOSE POWDER (ANHYDROS) 2KG
COOKING OIL 3L
VINEGAR 3L
SODIUM HYDROXIDE FLAKES, ANHYDROUS 1KG
FLOUR 1KG
PAPER TOWELS 10ROLLS
NITRILE GLOVES, POWDER FREE 4BOXES</v>
      </c>
      <c r="E3666" s="196" t="str">
        <f>IFERROR(__xludf.DUMMYFUNCTION("""COMPUTED_VALUE"""),"FOR USE IN SCIENCE LABS AND PROJECTS")</f>
        <v>FOR USE IN SCIENCE LABS AND PROJECTS</v>
      </c>
    </row>
    <row r="3667">
      <c r="A3667" s="234">
        <f>IFERROR(__xludf.DUMMYFUNCTION("""COMPUTED_VALUE"""),103958.0)</f>
        <v>103958</v>
      </c>
      <c r="B3667" s="235" t="str">
        <f>IFERROR(__xludf.DUMMYFUNCTION("""COMPUTED_VALUE"""),"OWIE PAR ")</f>
        <v>OWIE PAR </v>
      </c>
      <c r="C3667" s="235" t="str">
        <f>IFERROR(__xludf.DUMMYFUNCTION("""COMPUTED_VALUE"""),"ENGINEERING")</f>
        <v>ENGINEERING</v>
      </c>
      <c r="D3667" s="196" t="str">
        <f>IFERROR(__xludf.DUMMYFUNCTION("""COMPUTED_VALUE"""),"FABRICATED GUTTER")</f>
        <v>FABRICATED GUTTER</v>
      </c>
      <c r="E3667" s="196" t="str">
        <f>IFERROR(__xludf.DUMMYFUNCTION("""COMPUTED_VALUE"""),"FOR TROPICAL BUILDING")</f>
        <v>FOR TROPICAL BUILDING</v>
      </c>
    </row>
    <row r="3668">
      <c r="A3668" s="234">
        <f>IFERROR(__xludf.DUMMYFUNCTION("""COMPUTED_VALUE"""),103959.0)</f>
        <v>103959</v>
      </c>
      <c r="B3668" s="235" t="str">
        <f>IFERROR(__xludf.DUMMYFUNCTION("""COMPUTED_VALUE"""),"OWIE PAR ")</f>
        <v>OWIE PAR </v>
      </c>
      <c r="C3668" s="235" t="str">
        <f>IFERROR(__xludf.DUMMYFUNCTION("""COMPUTED_VALUE"""),"ENGINEERING")</f>
        <v>ENGINEERING</v>
      </c>
      <c r="D3668" s="196" t="str">
        <f>IFERROR(__xludf.DUMMYFUNCTION("""COMPUTED_VALUE"""),"VULCA SEAL 1 QUARTS
BLIND REVITS 1/8x1/2 1 BOX
DRILL BIT 1/8 5PCS
FABRICATED GUTTER 9PCS")</f>
        <v>VULCA SEAL 1 QUARTS
BLIND REVITS 1/8x1/2 1 BOX
DRILL BIT 1/8 5PCS
FABRICATED GUTTER 9PCS</v>
      </c>
      <c r="E3668" s="196" t="str">
        <f>IFERROR(__xludf.DUMMYFUNCTION("""COMPUTED_VALUE"""),"FOR FOOD COURT REPLACEMENT OF GUTTER")</f>
        <v>FOR FOOD COURT REPLACEMENT OF GUTTER</v>
      </c>
    </row>
    <row r="3669">
      <c r="A3669" s="234">
        <f>IFERROR(__xludf.DUMMYFUNCTION("""COMPUTED_VALUE"""),103960.0)</f>
        <v>103960</v>
      </c>
      <c r="B3669" s="235" t="str">
        <f>IFERROR(__xludf.DUMMYFUNCTION("""COMPUTED_VALUE"""),"OWIE PAR ")</f>
        <v>OWIE PAR </v>
      </c>
      <c r="C3669" s="235" t="str">
        <f>IFERROR(__xludf.DUMMYFUNCTION("""COMPUTED_VALUE"""),"ENGINEERING")</f>
        <v>ENGINEERING</v>
      </c>
      <c r="D3669" s="196" t="str">
        <f>IFERROR(__xludf.DUMMYFUNCTION("""COMPUTED_VALUE"""),"DOOR HANGER (STANLEY) 2SETS
DOOR TRUCK 8FT 1 LENGTH
TUBULAR BAR 2""x 3""x6"" 1LENGTH
WELDING ROD 1KG")</f>
        <v>DOOR HANGER (STANLEY) 2SETS
DOOR TRUCK 8FT 1 LENGTH
TUBULAR BAR 2"x 3"x6" 1LENGTH
WELDING ROD 1KG</v>
      </c>
      <c r="E3669" s="196" t="str">
        <f>IFERROR(__xludf.DUMMYFUNCTION("""COMPUTED_VALUE"""),"FOR KMUNICH CENTER DOOR REDESTRIAN GATE")</f>
        <v>FOR KMUNICH CENTER DOOR REDESTRIAN GATE</v>
      </c>
    </row>
    <row r="3670">
      <c r="A3670" s="234">
        <f>IFERROR(__xludf.DUMMYFUNCTION("""COMPUTED_VALUE"""),103961.0)</f>
        <v>103961</v>
      </c>
      <c r="B3670" s="235" t="str">
        <f>IFERROR(__xludf.DUMMYFUNCTION("""COMPUTED_VALUE"""),"WILBERT BELTRAN")</f>
        <v>WILBERT BELTRAN</v>
      </c>
      <c r="C3670" s="235" t="str">
        <f>IFERROR(__xludf.DUMMYFUNCTION("""COMPUTED_VALUE"""),"MIS")</f>
        <v>MIS</v>
      </c>
      <c r="D3670" s="196" t="str">
        <f>IFERROR(__xludf.DUMMYFUNCTION("""COMPUTED_VALUE"""),"CISCO SWITCH C9200L-24T-4G-E 2PCS
CISCO C9200L-DNA-E-24-3Y 2PCS
CISCO PWR-C5-125WAC/2 2PCS
CISCO C9200L-STACK-KIT 2PCS
CISCO CAB-CPWK-30CM 2PCS")</f>
        <v>CISCO SWITCH C9200L-24T-4G-E 2PCS
CISCO C9200L-DNA-E-24-3Y 2PCS
CISCO PWR-C5-125WAC/2 2PCS
CISCO C9200L-STACK-KIT 2PCS
CISCO CAB-CPWK-30CM 2PCS</v>
      </c>
      <c r="E3670" s="196" t="str">
        <f>IFERROR(__xludf.DUMMYFUNCTION("""COMPUTED_VALUE"""),"REPLACEMENT OF OLD CORE SWITCH")</f>
        <v>REPLACEMENT OF OLD CORE SWITCH</v>
      </c>
    </row>
    <row r="3671">
      <c r="A3671" s="234">
        <f>IFERROR(__xludf.DUMMYFUNCTION("""COMPUTED_VALUE"""),103962.0)</f>
        <v>103962</v>
      </c>
      <c r="B3671" s="235" t="str">
        <f>IFERROR(__xludf.DUMMYFUNCTION("""COMPUTED_VALUE"""),"ANGELO PARES")</f>
        <v>ANGELO PARES</v>
      </c>
      <c r="C3671" s="235" t="str">
        <f>IFERROR(__xludf.DUMMYFUNCTION("""COMPUTED_VALUE"""),"SCIENCE LAB BASIC ED.")</f>
        <v>SCIENCE LAB BASIC ED.</v>
      </c>
      <c r="D3671" s="196" t="str">
        <f>IFERROR(__xludf.DUMMYFUNCTION("""COMPUTED_VALUE"""),"GLASS BURETTE WITH STOPCOCK 3UNITS
BURETTE CLAMPS 5UNITS
GLASS FUNNEL (60-65MM) 5UNITS
POLYPROPYLENE FUNNEL (PLASTIC ) 10UNITS
BURN OINTMENT/CREAM 6PCS
MEDIPLAST FIRST AID KITS 5PCS
BLANK CDs 50PCS
OSLO PAPER 250 SHEETS
BOND PAPER 250 SHEETS
PLASTIC SPOON"&amp;"S 60PCS")</f>
        <v>GLASS BURETTE WITH STOPCOCK 3UNITS
BURETTE CLAMPS 5UNITS
GLASS FUNNEL (60-65MM) 5UNITS
POLYPROPYLENE FUNNEL (PLASTIC ) 10UNITS
BURN OINTMENT/CREAM 6PCS
MEDIPLAST FIRST AID KITS 5PCS
BLANK CDs 50PCS
OSLO PAPER 250 SHEETS
BOND PAPER 250 SHEETS
PLASTIC SPOONS 60PCS</v>
      </c>
      <c r="E3671" s="196" t="str">
        <f>IFERROR(__xludf.DUMMYFUNCTION("""COMPUTED_VALUE"""),"FOR USE IN SCIENCE LAB AD FOR REPLENISHMENT OF MATERIALS")</f>
        <v>FOR USE IN SCIENCE LAB AD FOR REPLENISHMENT OF MATERIALS</v>
      </c>
    </row>
    <row r="3672">
      <c r="A3672" s="234">
        <f>IFERROR(__xludf.DUMMYFUNCTION("""COMPUTED_VALUE"""),103963.0)</f>
        <v>103963</v>
      </c>
      <c r="B3672" s="235" t="str">
        <f>IFERROR(__xludf.DUMMYFUNCTION("""COMPUTED_VALUE"""),"CAMILLE GABRIEL ")</f>
        <v>CAMILLE GABRIEL </v>
      </c>
      <c r="C3672" s="235" t="str">
        <f>IFERROR(__xludf.DUMMYFUNCTION("""COMPUTED_VALUE"""),"HR")</f>
        <v>HR</v>
      </c>
      <c r="D3672" s="196" t="str">
        <f>IFERROR(__xludf.DUMMYFUNCTION("""COMPUTED_VALUE"""),"FSAM MANUAL
8""x11"" AND 5.5"" x 8.5""
COLORED COVER
INSIDE PAGES- BLACK AND WHITE
NO. OF PAGES- 350
100 COPIES AND 500 COPIES")</f>
        <v>FSAM MANUAL
8"x11" AND 5.5" x 8.5"
COLORED COVER
INSIDE PAGES- BLACK AND WHITE
NO. OF PAGES- 350
100 COPIES AND 500 COPIES</v>
      </c>
      <c r="E3672" s="196" t="str">
        <f>IFERROR(__xludf.DUMMYFUNCTION("""COMPUTED_VALUE"""),"PRINTING OF FSAM MANUAL 2023 EDITION")</f>
        <v>PRINTING OF FSAM MANUAL 2023 EDITION</v>
      </c>
    </row>
    <row r="3673">
      <c r="A3673" s="234">
        <f>IFERROR(__xludf.DUMMYFUNCTION("""COMPUTED_VALUE"""),103964.0)</f>
        <v>103964</v>
      </c>
      <c r="B3673" s="235" t="str">
        <f>IFERROR(__xludf.DUMMYFUNCTION("""COMPUTED_VALUE"""),"PHEN PETIN")</f>
        <v>PHEN PETIN</v>
      </c>
      <c r="C3673" s="235" t="str">
        <f>IFERROR(__xludf.DUMMYFUNCTION("""COMPUTED_VALUE"""),"ADMIN - STAR")</f>
        <v>ADMIN - STAR</v>
      </c>
      <c r="D3673" s="196" t="str">
        <f>IFERROR(__xludf.DUMMYFUNCTION("""COMPUTED_VALUE"""),"UV LIGHT STERILIZER 3")</f>
        <v>UV LIGHT STERILIZER 3</v>
      </c>
      <c r="E3673" s="196" t="str">
        <f>IFERROR(__xludf.DUMMYFUNCTION("""COMPUTED_VALUE"""),"FOR SAFETY OF THE STUDENT UV LIGHT STERILIZER, DISINFECTION LAMP (STAR AND LEARNNG VILLAGE)")</f>
        <v>FOR SAFETY OF THE STUDENT UV LIGHT STERILIZER, DISINFECTION LAMP (STAR AND LEARNNG VILLAGE)</v>
      </c>
    </row>
    <row r="3674">
      <c r="A3674" s="234">
        <f>IFERROR(__xludf.DUMMYFUNCTION("""COMPUTED_VALUE"""),103965.0)</f>
        <v>103965</v>
      </c>
      <c r="B3674" s="235" t="str">
        <f>IFERROR(__xludf.DUMMYFUNCTION("""COMPUTED_VALUE"""),"ALFA DE LEON")</f>
        <v>ALFA DE LEON</v>
      </c>
      <c r="C3674" s="235" t="str">
        <f>IFERROR(__xludf.DUMMYFUNCTION("""COMPUTED_VALUE"""),"LANDSCAPING")</f>
        <v>LANDSCAPING</v>
      </c>
      <c r="D3674" s="196" t="str">
        <f>IFERROR(__xludf.DUMMYFUNCTION("""COMPUTED_VALUE"""),"PICARRA 60
SELLOUM 30
ORLANDO 50
HELICONIA 70
BOSTON  FERN 70
EUGENIA 20")</f>
        <v>PICARRA 60
SELLOUM 30
ORLANDO 50
HELICONIA 70
BOSTON  FERN 70
EUGENIA 20</v>
      </c>
      <c r="E3674" s="196" t="str">
        <f>IFERROR(__xludf.DUMMYFUNCTION("""COMPUTED_VALUE"""),"MAINTENANCE OF PLANTS IN MONARCH PARK")</f>
        <v>MAINTENANCE OF PLANTS IN MONARCH PARK</v>
      </c>
    </row>
    <row r="3675">
      <c r="A3675" s="234">
        <f>IFERROR(__xludf.DUMMYFUNCTION("""COMPUTED_VALUE"""),103966.0)</f>
        <v>103966</v>
      </c>
      <c r="B3675" s="235" t="str">
        <f>IFERROR(__xludf.DUMMYFUNCTION("""COMPUTED_VALUE"""),"MARVIN MARASIGAN")</f>
        <v>MARVIN MARASIGAN</v>
      </c>
      <c r="C3675" s="235" t="str">
        <f>IFERROR(__xludf.DUMMYFUNCTION("""COMPUTED_VALUE"""),"PR AND MARKETING")</f>
        <v>PR AND MARKETING</v>
      </c>
      <c r="D3675" s="196" t="str">
        <f>IFERROR(__xludf.DUMMYFUNCTION("""COMPUTED_VALUE"""),"GAMING PC")</f>
        <v>GAMING PC</v>
      </c>
      <c r="E3675" s="196" t="str">
        <f>IFERROR(__xludf.DUMMYFUNCTION("""COMPUTED_VALUE"""),"HAVING CAPABLE COMPUTER WILL ALLOW IN HELPING EDITING CONTENT")</f>
        <v>HAVING CAPABLE COMPUTER WILL ALLOW IN HELPING EDITING CONTENT</v>
      </c>
    </row>
    <row r="3676">
      <c r="A3676" s="234">
        <f>IFERROR(__xludf.DUMMYFUNCTION("""COMPUTED_VALUE"""),103967.0)</f>
        <v>103967</v>
      </c>
      <c r="B3676" s="235" t="str">
        <f>IFERROR(__xludf.DUMMYFUNCTION("""COMPUTED_VALUE"""),"ALFA DE LEON")</f>
        <v>ALFA DE LEON</v>
      </c>
      <c r="C3676" s="235" t="str">
        <f>IFERROR(__xludf.DUMMYFUNCTION("""COMPUTED_VALUE"""),"MUNICH")</f>
        <v>MUNICH</v>
      </c>
      <c r="D3676" s="196" t="str">
        <f>IFERROR(__xludf.DUMMYFUNCTION("""COMPUTED_VALUE"""),"TOILET BOWL AMERICAN STANDARD 1")</f>
        <v>TOILET BOWL AMERICAN STANDARD 1</v>
      </c>
      <c r="E3676" s="196" t="str">
        <f>IFERROR(__xludf.DUMMYFUNCTION("""COMPUTED_VALUE"""),"REPLACEMENT OF TOILET BOWL IN 2/F WW CR MALE")</f>
        <v>REPLACEMENT OF TOILET BOWL IN 2/F WW CR MALE</v>
      </c>
    </row>
    <row r="3677">
      <c r="A3677" s="234">
        <f>IFERROR(__xludf.DUMMYFUNCTION("""COMPUTED_VALUE"""),103968.0)</f>
        <v>103968</v>
      </c>
      <c r="B3677" s="235" t="str">
        <f>IFERROR(__xludf.DUMMYFUNCTION("""COMPUTED_VALUE"""),"ALFA DE LEON ")</f>
        <v>ALFA DE LEON </v>
      </c>
      <c r="C3677" s="235" t="str">
        <f>IFERROR(__xludf.DUMMYFUNCTION("""COMPUTED_VALUE"""),"MUNICH")</f>
        <v>MUNICH</v>
      </c>
      <c r="D3677" s="196" t="str">
        <f>IFERROR(__xludf.DUMMYFUNCTION("""COMPUTED_VALUE"""),"TOILET BOWL WITH LAVATORY PEDESTAL 1
AMERICAN STANDARD")</f>
        <v>TOILET BOWL WITH LAVATORY PEDESTAL 1
AMERICAN STANDARD</v>
      </c>
      <c r="E3677" s="196" t="str">
        <f>IFERROR(__xludf.DUMMYFUNCTION("""COMPUTED_VALUE"""),"REPLACEMENT OF TOILET BOWL IN WATING AREA")</f>
        <v>REPLACEMENT OF TOILET BOWL IN WATING AREA</v>
      </c>
    </row>
    <row r="3678">
      <c r="A3678" s="234">
        <f>IFERROR(__xludf.DUMMYFUNCTION("""COMPUTED_VALUE"""),103969.0)</f>
        <v>103969</v>
      </c>
      <c r="B3678" s="235" t="str">
        <f>IFERROR(__xludf.DUMMYFUNCTION("""COMPUTED_VALUE"""),"JOMEL BUTIAL")</f>
        <v>JOMEL BUTIAL</v>
      </c>
      <c r="C3678" s="235" t="str">
        <f>IFERROR(__xludf.DUMMYFUNCTION("""COMPUTED_VALUE"""),"PR AND MARKETING")</f>
        <v>PR AND MARKETING</v>
      </c>
      <c r="D3678" s="196" t="str">
        <f>IFERROR(__xludf.DUMMYFUNCTION("""COMPUTED_VALUE"""),"2ND SEMESTER ADMISSION ANOUNCMENT TARP 13.13X6.5 FT 13 OUNCE")</f>
        <v>2ND SEMESTER ADMISSION ANOUNCMENT TARP 13.13X6.5 FT 13 OUNCE</v>
      </c>
      <c r="E3678" s="196" t="str">
        <f>IFERROR(__xludf.DUMMYFUNCTION("""COMPUTED_VALUE"""),"2ND SEMESTER ADMISSION ANOUNCEMENT")</f>
        <v>2ND SEMESTER ADMISSION ANOUNCEMENT</v>
      </c>
    </row>
    <row r="3679">
      <c r="A3679" s="234">
        <f>IFERROR(__xludf.DUMMYFUNCTION("""COMPUTED_VALUE"""),103970.0)</f>
        <v>103970</v>
      </c>
      <c r="B3679" s="235" t="str">
        <f>IFERROR(__xludf.DUMMYFUNCTION("""COMPUTED_VALUE"""),"CHARLES DONOR")</f>
        <v>CHARLES DONOR</v>
      </c>
      <c r="C3679" s="235" t="str">
        <f>IFERROR(__xludf.DUMMYFUNCTION("""COMPUTED_VALUE"""),"AMD")</f>
        <v>AMD</v>
      </c>
      <c r="D3679" s="196" t="str">
        <f>IFERROR(__xludf.DUMMYFUNCTION("""COMPUTED_VALUE"""),"FOLDER, FORUTNE WHITE SHORT 600PCS")</f>
        <v>FOLDER, FORUTNE WHITE SHORT 600PCS</v>
      </c>
      <c r="E3679" s="196" t="str">
        <f>IFERROR(__xludf.DUMMYFUNCTION("""COMPUTED_VALUE"""),"OSSUP- STOCK REPLENISHMENT")</f>
        <v>OSSUP- STOCK REPLENISHMENT</v>
      </c>
    </row>
    <row r="3680">
      <c r="A3680" s="234">
        <f>IFERROR(__xludf.DUMMYFUNCTION("""COMPUTED_VALUE"""),103971.0)</f>
        <v>103971</v>
      </c>
      <c r="B3680" s="235" t="str">
        <f>IFERROR(__xludf.DUMMYFUNCTION("""COMPUTED_VALUE"""),"MARVIN D")</f>
        <v>MARVIN D</v>
      </c>
      <c r="C3680" s="235" t="str">
        <f>IFERROR(__xludf.DUMMYFUNCTION("""COMPUTED_VALUE"""),"COMMA")</f>
        <v>COMMA</v>
      </c>
      <c r="D3680" s="196" t="str">
        <f>IFERROR(__xludf.DUMMYFUNCTION("""COMPUTED_VALUE"""),"PROFESSIONAL MICROPHONE STAND (ADJUSTABLE TRIPOD TYPE) 3")</f>
        <v>PROFESSIONAL MICROPHONE STAND (ADJUSTABLE TRIPOD TYPE) 3</v>
      </c>
      <c r="E3680" s="196" t="str">
        <f>IFERROR(__xludf.DUMMYFUNCTION("""COMPUTED_VALUE"""),"TO BE USED IN BROADCAST STUDIO AND EVENTS")</f>
        <v>TO BE USED IN BROADCAST STUDIO AND EVENTS</v>
      </c>
    </row>
    <row r="3681">
      <c r="A3681" s="234">
        <f>IFERROR(__xludf.DUMMYFUNCTION("""COMPUTED_VALUE"""),103972.0)</f>
        <v>103972</v>
      </c>
      <c r="B3681" s="235" t="str">
        <f>IFERROR(__xludf.DUMMYFUNCTION("""COMPUTED_VALUE"""),"LUCILLE BEYER")</f>
        <v>LUCILLE BEYER</v>
      </c>
      <c r="C3681" s="235" t="str">
        <f>IFERROR(__xludf.DUMMYFUNCTION("""COMPUTED_VALUE"""),"MEDICAL")</f>
        <v>MEDICAL</v>
      </c>
      <c r="D3681" s="196" t="str">
        <f>IFERROR(__xludf.DUMMYFUNCTION("""COMPUTED_VALUE"""),"KINDLY SEE ATTACHED LIST FOR PURCHASE 
MEDICAL AND OTHER SUPPLIES")</f>
        <v>KINDLY SEE ATTACHED LIST FOR PURCHASE 
MEDICAL AND OTHER SUPPLIES</v>
      </c>
      <c r="E3681" s="196" t="str">
        <f>IFERROR(__xludf.DUMMYFUNCTION("""COMPUTED_VALUE"""),"FOR REPLENISHMENT OF CLINIC MEDS AND SUPPLIES FOR 3 CLINICS FOR MONTH OF DEC TO JAN")</f>
        <v>FOR REPLENISHMENT OF CLINIC MEDS AND SUPPLIES FOR 3 CLINICS FOR MONTH OF DEC TO JAN</v>
      </c>
    </row>
    <row r="3682">
      <c r="A3682" s="234">
        <f>IFERROR(__xludf.DUMMYFUNCTION("""COMPUTED_VALUE"""),103973.0)</f>
        <v>103973</v>
      </c>
      <c r="B3682" s="235" t="str">
        <f>IFERROR(__xludf.DUMMYFUNCTION("""COMPUTED_VALUE"""),"BRIAN PATAG")</f>
        <v>BRIAN PATAG</v>
      </c>
      <c r="C3682" s="235" t="str">
        <f>IFERROR(__xludf.DUMMYFUNCTION("""COMPUTED_VALUE"""),"AMD")</f>
        <v>AMD</v>
      </c>
      <c r="D3682" s="196" t="str">
        <f>IFERROR(__xludf.DUMMYFUNCTION("""COMPUTED_VALUE"""),"BIDET RINSE TECH HERITAGE, 50 PCS. ")</f>
        <v>BIDET RINSE TECH HERITAGE, 50 PCS. </v>
      </c>
      <c r="E3682" s="196" t="str">
        <f>IFERROR(__xludf.DUMMYFUNCTION("""COMPUTED_VALUE"""),"HSKPG REPLENISHMENT FOR NOV 2023")</f>
        <v>HSKPG REPLENISHMENT FOR NOV 2023</v>
      </c>
    </row>
    <row r="3683">
      <c r="A3683" s="234">
        <f>IFERROR(__xludf.DUMMYFUNCTION("""COMPUTED_VALUE"""),103974.0)</f>
        <v>103974</v>
      </c>
      <c r="B3683" s="235" t="str">
        <f>IFERROR(__xludf.DUMMYFUNCTION("""COMPUTED_VALUE"""),"BRIAN PATAG")</f>
        <v>BRIAN PATAG</v>
      </c>
      <c r="C3683" s="235" t="str">
        <f>IFERROR(__xludf.DUMMYFUNCTION("""COMPUTED_VALUE"""),"AMD")</f>
        <v>AMD</v>
      </c>
      <c r="D3683" s="196" t="str">
        <f>IFERROR(__xludf.DUMMYFUNCTION("""COMPUTED_VALUE"""),"FLO SOFT DISPENSER 20 PCS")</f>
        <v>FLO SOFT DISPENSER 20 PCS</v>
      </c>
      <c r="E3683" s="196" t="str">
        <f>IFERROR(__xludf.DUMMYFUNCTION("""COMPUTED_VALUE"""),"HSKPG REPLENISHMENT FOR NOV 2023")</f>
        <v>HSKPG REPLENISHMENT FOR NOV 2023</v>
      </c>
    </row>
    <row r="3684">
      <c r="A3684" s="234">
        <f>IFERROR(__xludf.DUMMYFUNCTION("""COMPUTED_VALUE"""),103975.0)</f>
        <v>103975</v>
      </c>
      <c r="B3684" s="235" t="str">
        <f>IFERROR(__xludf.DUMMYFUNCTION("""COMPUTED_VALUE"""),"BRIAN PATAG")</f>
        <v>BRIAN PATAG</v>
      </c>
      <c r="C3684" s="235" t="str">
        <f>IFERROR(__xludf.DUMMYFUNCTION("""COMPUTED_VALUE"""),"AMD")</f>
        <v>AMD</v>
      </c>
      <c r="D3684" s="196" t="str">
        <f>IFERROR(__xludf.DUMMYFUNCTION("""COMPUTED_VALUE"""),"SOFT BROOM 50 PCS")</f>
        <v>SOFT BROOM 50 PCS</v>
      </c>
      <c r="E3684" s="196" t="str">
        <f>IFERROR(__xludf.DUMMYFUNCTION("""COMPUTED_VALUE"""),"HSKPG REPLENISHMENT FOR NOV 2023")</f>
        <v>HSKPG REPLENISHMENT FOR NOV 2023</v>
      </c>
    </row>
    <row r="3685">
      <c r="A3685" s="234">
        <f>IFERROR(__xludf.DUMMYFUNCTION("""COMPUTED_VALUE"""),103976.0)</f>
        <v>103976</v>
      </c>
      <c r="B3685" s="235" t="str">
        <f>IFERROR(__xludf.DUMMYFUNCTION("""COMPUTED_VALUE"""),"BRIAN PATAG")</f>
        <v>BRIAN PATAG</v>
      </c>
      <c r="C3685" s="235" t="str">
        <f>IFERROR(__xludf.DUMMYFUNCTION("""COMPUTED_VALUE"""),"AMD")</f>
        <v>AMD</v>
      </c>
      <c r="D3685" s="196" t="str">
        <f>IFERROR(__xludf.DUMMYFUNCTION("""COMPUTED_VALUE"""),"*MOP HANDLE 4FT ALUMINUM 
#GREEN      = 20PCS
#YELLOW    = 20PCS
#RED           = 20PCS
#BLUE          = 20PCS
*DUST MOP HANDLE WITH FRAME = 5 PCS")</f>
        <v>*MOP HANDLE 4FT ALUMINUM 
#GREEN      = 20PCS
#YELLOW    = 20PCS
#RED           = 20PCS
#BLUE          = 20PCS
*DUST MOP HANDLE WITH FRAME = 5 PCS</v>
      </c>
      <c r="E3685" s="196" t="str">
        <f>IFERROR(__xludf.DUMMYFUNCTION("""COMPUTED_VALUE"""),"HSKPG REPLENISHMENT FOR NOV 2023")</f>
        <v>HSKPG REPLENISHMENT FOR NOV 2023</v>
      </c>
    </row>
    <row r="3686">
      <c r="A3686" s="234">
        <f>IFERROR(__xludf.DUMMYFUNCTION("""COMPUTED_VALUE"""),103977.0)</f>
        <v>103977</v>
      </c>
      <c r="B3686" s="235" t="str">
        <f>IFERROR(__xludf.DUMMYFUNCTION("""COMPUTED_VALUE"""),"BRIAN PATAG")</f>
        <v>BRIAN PATAG</v>
      </c>
      <c r="C3686" s="235" t="str">
        <f>IFERROR(__xludf.DUMMYFUNCTION("""COMPUTED_VALUE"""),"AMD")</f>
        <v>AMD</v>
      </c>
      <c r="D3686" s="196" t="str">
        <f>IFERROR(__xludf.DUMMYFUNCTION("""COMPUTED_VALUE"""),"RUBBER CHAMOIS 100PCS")</f>
        <v>RUBBER CHAMOIS 100PCS</v>
      </c>
      <c r="E3686" s="196" t="str">
        <f>IFERROR(__xludf.DUMMYFUNCTION("""COMPUTED_VALUE"""),"HSKPG REPLENISHMENT FOR NOV 2023")</f>
        <v>HSKPG REPLENISHMENT FOR NOV 2023</v>
      </c>
    </row>
    <row r="3687">
      <c r="A3687" s="234">
        <f>IFERROR(__xludf.DUMMYFUNCTION("""COMPUTED_VALUE"""),103978.0)</f>
        <v>103978</v>
      </c>
      <c r="B3687" s="235" t="str">
        <f>IFERROR(__xludf.DUMMYFUNCTION("""COMPUTED_VALUE"""),"BRIAN PATAG")</f>
        <v>BRIAN PATAG</v>
      </c>
      <c r="C3687" s="235" t="str">
        <f>IFERROR(__xludf.DUMMYFUNCTION("""COMPUTED_VALUE"""),"AMD")</f>
        <v>AMD</v>
      </c>
      <c r="D3687" s="196" t="str">
        <f>IFERROR(__xludf.DUMMYFUNCTION("""COMPUTED_VALUE"""),"SPRAY GUN 50 PCS")</f>
        <v>SPRAY GUN 50 PCS</v>
      </c>
      <c r="E3687" s="196" t="str">
        <f>IFERROR(__xludf.DUMMYFUNCTION("""COMPUTED_VALUE"""),"HSKPG REPLENISHMENT FOR NOV 2023")</f>
        <v>HSKPG REPLENISHMENT FOR NOV 2023</v>
      </c>
    </row>
    <row r="3688">
      <c r="A3688" s="234">
        <f>IFERROR(__xludf.DUMMYFUNCTION("""COMPUTED_VALUE"""),103979.0)</f>
        <v>103979</v>
      </c>
      <c r="B3688" s="235" t="str">
        <f>IFERROR(__xludf.DUMMYFUNCTION("""COMPUTED_VALUE"""),"CHARLES DONOR")</f>
        <v>CHARLES DONOR</v>
      </c>
      <c r="C3688" s="235" t="str">
        <f>IFERROR(__xludf.DUMMYFUNCTION("""COMPUTED_VALUE"""),"AMD")</f>
        <v>AMD</v>
      </c>
      <c r="D3688" s="196" t="str">
        <f>IFERROR(__xludf.DUMMYFUNCTION("""COMPUTED_VALUE"""),"Powerbank, Bamboo, SISC,50 PCS.
Powerbank, Black, SISC , 50 PCS.
Tumbler, SISC, Vaccum Flask Black, 50 PCS. 
Tumbler, SISC, Bamboo, 25 PCS
")</f>
        <v>Powerbank, Bamboo, SISC,50 PCS.
Powerbank, Black, SISC , 50 PCS.
Tumbler, SISC, Vaccum Flask Black, 50 PCS. 
Tumbler, SISC, Bamboo, 25 PCS
</v>
      </c>
      <c r="E3688" s="196" t="str">
        <f>IFERROR(__xludf.DUMMYFUNCTION("""COMPUTED_VALUE"""),"TOKENS STOCK REPLENISHMENT ")</f>
        <v>TOKENS STOCK REPLENISHMENT </v>
      </c>
    </row>
    <row r="3689">
      <c r="A3689" s="234">
        <f>IFERROR(__xludf.DUMMYFUNCTION("""COMPUTED_VALUE"""),103980.0)</f>
        <v>103980</v>
      </c>
      <c r="B3689" s="235" t="str">
        <f>IFERROR(__xludf.DUMMYFUNCTION("""COMPUTED_VALUE"""),"CHARLES DONOR")</f>
        <v>CHARLES DONOR</v>
      </c>
      <c r="C3689" s="235" t="str">
        <f>IFERROR(__xludf.DUMMYFUNCTION("""COMPUTED_VALUE"""),"AMD")</f>
        <v>AMD</v>
      </c>
      <c r="D3689" s="196" t="str">
        <f>IFERROR(__xludf.DUMMYFUNCTION("""COMPUTED_VALUE"""),"TISSUE, ROLL BATH 2 PLY, SANICARE")</f>
        <v>TISSUE, ROLL BATH 2 PLY, SANICARE</v>
      </c>
      <c r="E3689" s="196" t="str">
        <f>IFERROR(__xludf.DUMMYFUNCTION("""COMPUTED_VALUE"""),"OSSUP- STOCK REPLENISHMENT ")</f>
        <v>OSSUP- STOCK REPLENISHMENT </v>
      </c>
    </row>
    <row r="3690">
      <c r="A3690" s="234">
        <f>IFERROR(__xludf.DUMMYFUNCTION("""COMPUTED_VALUE"""),103981.0)</f>
        <v>103981</v>
      </c>
      <c r="B3690" s="235" t="str">
        <f>IFERROR(__xludf.DUMMYFUNCTION("""COMPUTED_VALUE"""),"CHARLES DONOR")</f>
        <v>CHARLES DONOR</v>
      </c>
      <c r="C3690" s="235" t="str">
        <f>IFERROR(__xludf.DUMMYFUNCTION("""COMPUTED_VALUE"""),"AMD")</f>
        <v>AMD</v>
      </c>
      <c r="D3690" s="196" t="str">
        <f>IFERROR(__xludf.DUMMYFUNCTION("""COMPUTED_VALUE"""),"BOARD, VELLUM (SHORT) 70 PACKS")</f>
        <v>BOARD, VELLUM (SHORT) 70 PACKS</v>
      </c>
      <c r="E3690" s="196" t="str">
        <f>IFERROR(__xludf.DUMMYFUNCTION("""COMPUTED_VALUE"""),"OSSUP- STOCK REPLENISHMENT ")</f>
        <v>OSSUP- STOCK REPLENISHMENT </v>
      </c>
    </row>
    <row r="3691">
      <c r="A3691" s="234">
        <f>IFERROR(__xludf.DUMMYFUNCTION("""COMPUTED_VALUE"""),103982.0)</f>
        <v>103982</v>
      </c>
      <c r="B3691" s="235" t="str">
        <f>IFERROR(__xludf.DUMMYFUNCTION("""COMPUTED_VALUE"""),"ELYDIA REYES ")</f>
        <v>ELYDIA REYES </v>
      </c>
      <c r="C3691" s="235" t="str">
        <f>IFERROR(__xludf.DUMMYFUNCTION("""COMPUTED_VALUE"""),"PR AND MARKETING")</f>
        <v>PR AND MARKETING</v>
      </c>
      <c r="D3691" s="196" t="str">
        <f>IFERROR(__xludf.DUMMYFUNCTION("""COMPUTED_VALUE"""),"PURPLE SOUTHVILLE TABLE CLOTH 4")</f>
        <v>PURPLE SOUTHVILLE TABLE CLOTH 4</v>
      </c>
      <c r="E3691" s="196" t="str">
        <f>IFERROR(__xludf.DUMMYFUNCTION("""COMPUTED_VALUE"""),"TABLE CLOTH FOT PR BOOTHS, SCHOOL PRESENTATIONS AND EVENTS OUTSIDE THE SCHOOL CAMPUS")</f>
        <v>TABLE CLOTH FOT PR BOOTHS, SCHOOL PRESENTATIONS AND EVENTS OUTSIDE THE SCHOOL CAMPUS</v>
      </c>
    </row>
    <row r="3692">
      <c r="A3692" s="234">
        <f>IFERROR(__xludf.DUMMYFUNCTION("""COMPUTED_VALUE"""),103983.0)</f>
        <v>103983</v>
      </c>
      <c r="B3692" s="235" t="str">
        <f>IFERROR(__xludf.DUMMYFUNCTION("""COMPUTED_VALUE"""),"MR. ARNEL MONTABLAN")</f>
        <v>MR. ARNEL MONTABLAN</v>
      </c>
      <c r="C3692" s="235" t="str">
        <f>IFERROR(__xludf.DUMMYFUNCTION("""COMPUTED_VALUE"""),"FOUNDER SCHOLAR/ CLL SCHOLAR")</f>
        <v>FOUNDER SCHOLAR/ CLL SCHOLAR</v>
      </c>
      <c r="D3692" s="196">
        <f>IFERROR(__xludf.DUMMYFUNCTION("""COMPUTED_VALUE"""),104052.0)</f>
        <v>104052</v>
      </c>
      <c r="E3692" s="196" t="str">
        <f>IFERROR(__xludf.DUMMYFUNCTION("""COMPUTED_VALUE"""),"FOR REPLACEMENT OF DESTROYED ELECTRIC FAN")</f>
        <v>FOR REPLACEMENT OF DESTROYED ELECTRIC FAN</v>
      </c>
    </row>
    <row r="3693">
      <c r="A3693" s="234">
        <f>IFERROR(__xludf.DUMMYFUNCTION("""COMPUTED_VALUE"""),103984.0)</f>
        <v>103984</v>
      </c>
      <c r="B3693" s="235" t="str">
        <f>IFERROR(__xludf.DUMMYFUNCTION("""COMPUTED_VALUE"""),"OWIE PAR")</f>
        <v>OWIE PAR</v>
      </c>
      <c r="C3693" s="235" t="str">
        <f>IFERROR(__xludf.DUMMYFUNCTION("""COMPUTED_VALUE"""),"ENGINEERING")</f>
        <v>ENGINEERING</v>
      </c>
      <c r="D3693" s="196" t="str">
        <f>IFERROR(__xludf.DUMMYFUNCTION("""COMPUTED_VALUE"""),"PPR ELBOW #2 2PCS
PPR MALE ADAPTOR#2 3PCS
PPR TEE #2 1PC
PPR COUPLING REDUCER #2x1 1/4 1PC
PPR COUPLING REDUCER #2x1 1/2 1PC
PPR MALE ADAPTOR #1 1/4  2PCS
PPR MALE ADAPTOPR #1 1/2 2PCS
BALL VALVE #2 KITZ 1PC
BALL VALVE #1 1/2 KITZ 1PC
BALL VALVE # 1 1/4 K"&amp;"ITS 1PC
TEPLON TAPE 1/2 5ROLLS")</f>
        <v>PPR ELBOW #2 2PCS
PPR MALE ADAPTOR#2 3PCS
PPR TEE #2 1PC
PPR COUPLING REDUCER #2x1 1/4 1PC
PPR COUPLING REDUCER #2x1 1/2 1PC
PPR MALE ADAPTOR #1 1/4  2PCS
PPR MALE ADAPTOPR #1 1/2 2PCS
BALL VALVE #2 KITZ 1PC
BALL VALVE #1 1/2 KITZ 1PC
BALL VALVE # 1 1/4 KITS 1PC
TEPLON TAPE 1/2 5ROLLS</v>
      </c>
      <c r="E3693" s="196" t="str">
        <f>IFERROR(__xludf.DUMMYFUNCTION("""COMPUTED_VALUE"""),"FOR LUX LEAKIN ROOF TOP (WATER LINE)")</f>
        <v>FOR LUX LEAKIN ROOF TOP (WATER LINE)</v>
      </c>
    </row>
    <row r="3694">
      <c r="A3694" s="234">
        <f>IFERROR(__xludf.DUMMYFUNCTION("""COMPUTED_VALUE"""),103985.0)</f>
        <v>103985</v>
      </c>
      <c r="B3694" s="235" t="str">
        <f>IFERROR(__xludf.DUMMYFUNCTION("""COMPUTED_VALUE"""),"ISABELO LEOPOLDO")</f>
        <v>ISABELO LEOPOLDO</v>
      </c>
      <c r="C3694" s="235" t="str">
        <f>IFERROR(__xludf.DUMMYFUNCTION("""COMPUTED_VALUE"""),"AV/MIS")</f>
        <v>AV/MIS</v>
      </c>
      <c r="D3694" s="196" t="str">
        <f>IFERROR(__xludf.DUMMYFUNCTION("""COMPUTED_VALUE"""),"HDMI TO VGA 20
1 INCH ATLANTA MOULDING 20
1 ROLL OF ELECTRICAL WIRE 1ROLL
BLOCK SCREW 1 BOX")</f>
        <v>HDMI TO VGA 20
1 INCH ATLANTA MOULDING 20
1 ROLL OF ELECTRICAL WIRE 1ROLL
BLOCK SCREW 1 BOX</v>
      </c>
      <c r="E3694" s="196" t="str">
        <f>IFERROR(__xludf.DUMMYFUNCTION("""COMPUTED_VALUE"""),"FOR THE  REPLACEMENT OF PROJECTORS IN THE ECLASSROOM/ TV INSTALLATION")</f>
        <v>FOR THE  REPLACEMENT OF PROJECTORS IN THE ECLASSROOM/ TV INSTALLATION</v>
      </c>
    </row>
    <row r="3695">
      <c r="A3695" s="234">
        <f>IFERROR(__xludf.DUMMYFUNCTION("""COMPUTED_VALUE"""),103986.0)</f>
        <v>103986</v>
      </c>
      <c r="B3695" s="235" t="str">
        <f>IFERROR(__xludf.DUMMYFUNCTION("""COMPUTED_VALUE"""),"ALFA DE LEON")</f>
        <v>ALFA DE LEON</v>
      </c>
      <c r="C3695" s="235" t="str">
        <f>IFERROR(__xludf.DUMMYFUNCTION("""COMPUTED_VALUE"""),"LIBRARY MUNICH")</f>
        <v>LIBRARY MUNICH</v>
      </c>
      <c r="D3695" s="196" t="str">
        <f>IFERROR(__xludf.DUMMYFUNCTION("""COMPUTED_VALUE"""),"PLASTIC POTS 30")</f>
        <v>PLASTIC POTS 30</v>
      </c>
      <c r="E3695" s="196" t="str">
        <f>IFERROR(__xludf.DUMMYFUNCTION("""COMPUTED_VALUE"""),"CR MAINTENANCE POTS")</f>
        <v>CR MAINTENANCE POTS</v>
      </c>
    </row>
    <row r="3696">
      <c r="A3696" s="234">
        <f>IFERROR(__xludf.DUMMYFUNCTION("""COMPUTED_VALUE"""),103987.0)</f>
        <v>103987</v>
      </c>
      <c r="B3696" s="235" t="str">
        <f>IFERROR(__xludf.DUMMYFUNCTION("""COMPUTED_VALUE"""),"ALFA DE LEON")</f>
        <v>ALFA DE LEON</v>
      </c>
      <c r="C3696" s="235" t="str">
        <f>IFERROR(__xludf.DUMMYFUNCTION("""COMPUTED_VALUE"""),"LANDSCAPING")</f>
        <v>LANDSCAPING</v>
      </c>
      <c r="D3696" s="196" t="str">
        <f>IFERROR(__xludf.DUMMYFUNCTION("""COMPUTED_VALUE"""),"POTS X2  30")</f>
        <v>POTS X2  30</v>
      </c>
      <c r="E3696" s="196" t="str">
        <f>IFERROR(__xludf.DUMMYFUNCTION("""COMPUTED_VALUE"""),"REPLACEMENT OF BROKEN POTS PLANTING OF NEW PLANTS")</f>
        <v>REPLACEMENT OF BROKEN POTS PLANTING OF NEW PLANTS</v>
      </c>
    </row>
    <row r="3697">
      <c r="A3697" s="234">
        <f>IFERROR(__xludf.DUMMYFUNCTION("""COMPUTED_VALUE"""),103988.0)</f>
        <v>103988</v>
      </c>
      <c r="B3697" s="235" t="str">
        <f>IFERROR(__xludf.DUMMYFUNCTION("""COMPUTED_VALUE"""),"ALFA DE LEON")</f>
        <v>ALFA DE LEON</v>
      </c>
      <c r="C3697" s="235" t="str">
        <f>IFERROR(__xludf.DUMMYFUNCTION("""COMPUTED_VALUE"""),"LANDSCAPING")</f>
        <v>LANDSCAPING</v>
      </c>
      <c r="D3697" s="196" t="str">
        <f>IFERROR(__xludf.DUMMYFUNCTION("""COMPUTED_VALUE"""),"POINSETTIA 30")</f>
        <v>POINSETTIA 30</v>
      </c>
      <c r="E3697" s="196" t="str">
        <f>IFERROR(__xludf.DUMMYFUNCTION("""COMPUTED_VALUE"""),"MONARCH PARK ADDITIONAL PLANTS")</f>
        <v>MONARCH PARK ADDITIONAL PLANTS</v>
      </c>
    </row>
    <row r="3698">
      <c r="A3698" s="234">
        <f>IFERROR(__xludf.DUMMYFUNCTION("""COMPUTED_VALUE"""),103989.0)</f>
        <v>103989</v>
      </c>
      <c r="B3698" s="235" t="str">
        <f>IFERROR(__xludf.DUMMYFUNCTION("""COMPUTED_VALUE"""),"ALFA DE LEON")</f>
        <v>ALFA DE LEON</v>
      </c>
      <c r="C3698" s="235" t="str">
        <f>IFERROR(__xludf.DUMMYFUNCTION("""COMPUTED_VALUE"""),"MUNICH")</f>
        <v>MUNICH</v>
      </c>
      <c r="D3698" s="196" t="str">
        <f>IFERROR(__xludf.DUMMYFUNCTION("""COMPUTED_VALUE"""),"TOILET BOWL
-AMERICAN STANDARD 1")</f>
        <v>TOILET BOWL
-AMERICAN STANDARD 1</v>
      </c>
      <c r="E3698" s="196" t="str">
        <f>IFERROR(__xludf.DUMMYFUNCTION("""COMPUTED_VALUE"""),"REPLACEMENT OF CRACKED TOILET BOWL IN 3/F WW CRF")</f>
        <v>REPLACEMENT OF CRACKED TOILET BOWL IN 3/F WW CRF</v>
      </c>
    </row>
    <row r="3699">
      <c r="A3699" s="234">
        <f>IFERROR(__xludf.DUMMYFUNCTION("""COMPUTED_VALUE"""),103990.0)</f>
        <v>103990</v>
      </c>
      <c r="B3699" s="235" t="str">
        <f>IFERROR(__xludf.DUMMYFUNCTION("""COMPUTED_VALUE"""),"BRIAN PATAG")</f>
        <v>BRIAN PATAG</v>
      </c>
      <c r="C3699" s="235" t="str">
        <f>IFERROR(__xludf.DUMMYFUNCTION("""COMPUTED_VALUE"""),"AMD")</f>
        <v>AMD</v>
      </c>
      <c r="D3699" s="196" t="str">
        <f>IFERROR(__xludf.DUMMYFUNCTION("""COMPUTED_VALUE"""),"LIME SOLVENT 50GAL")</f>
        <v>LIME SOLVENT 50GAL</v>
      </c>
      <c r="E3699" s="196" t="str">
        <f>IFERROR(__xludf.DUMMYFUNCTION("""COMPUTED_VALUE"""),"FOR HOUSEKEEPING REPLENISHMENT")</f>
        <v>FOR HOUSEKEEPING REPLENISHMENT</v>
      </c>
    </row>
    <row r="3700">
      <c r="A3700" s="234">
        <f>IFERROR(__xludf.DUMMYFUNCTION("""COMPUTED_VALUE"""),103991.0)</f>
        <v>103991</v>
      </c>
      <c r="B3700" s="235" t="str">
        <f>IFERROR(__xludf.DUMMYFUNCTION("""COMPUTED_VALUE"""),"ALFA DE LEON")</f>
        <v>ALFA DE LEON</v>
      </c>
      <c r="C3700" s="235" t="str">
        <f>IFERROR(__xludf.DUMMYFUNCTION("""COMPUTED_VALUE"""),"LANDSCAPING")</f>
        <v>LANDSCAPING</v>
      </c>
      <c r="D3700" s="196" t="str">
        <f>IFERROR(__xludf.DUMMYFUNCTION("""COMPUTED_VALUE"""),"SELLOUM 60
TABACCO 10
PARADISE 30
FROG GRASS 20SQM x 180 20
CASANDRA 50
PANDAKAKI 50")</f>
        <v>SELLOUM 60
TABACCO 10
PARADISE 30
FROG GRASS 20SQM x 180 20
CASANDRA 50
PANDAKAKI 50</v>
      </c>
      <c r="E3700" s="196" t="str">
        <f>IFERROR(__xludf.DUMMYFUNCTION("""COMPUTED_VALUE"""),"MAINTENANCE OF PLANTS - TROPICAL SIDE GARDEN, MUNICH GARDEN, YOKOHAMA PLANT BOX")</f>
        <v>MAINTENANCE OF PLANTS - TROPICAL SIDE GARDEN, MUNICH GARDEN, YOKOHAMA PLANT BOX</v>
      </c>
    </row>
    <row r="3701">
      <c r="A3701" s="234">
        <f>IFERROR(__xludf.DUMMYFUNCTION("""COMPUTED_VALUE"""),103992.0)</f>
        <v>103992</v>
      </c>
      <c r="B3701" s="235" t="str">
        <f>IFERROR(__xludf.DUMMYFUNCTION("""COMPUTED_VALUE"""),"ALFA DE LEON")</f>
        <v>ALFA DE LEON</v>
      </c>
      <c r="C3701" s="235" t="str">
        <f>IFERROR(__xludf.DUMMYFUNCTION("""COMPUTED_VALUE"""),"MUNICH")</f>
        <v>MUNICH</v>
      </c>
      <c r="D3701" s="196" t="str">
        <f>IFERROR(__xludf.DUMMYFUNCTION("""COMPUTED_VALUE"""),"POINSETIA  3PACKS
SILVER LEAVES 2 PACKS
HOLY LEAVES 2 PACKS
BERRIES LEAVES 4 PACKS
FERN 3PACKS
3 GOLD 3 RED 1 SILVER BALL 7PACKS
CHRISTMAS GIFT GOLD, RED 1
CHRISTMAS LIGHT WARM WHITE 30
CURTAIN LIGHTS 10")</f>
        <v>POINSETIA  3PACKS
SILVER LEAVES 2 PACKS
HOLY LEAVES 2 PACKS
BERRIES LEAVES 4 PACKS
FERN 3PACKS
3 GOLD 3 RED 1 SILVER BALL 7PACKS
CHRISTMAS GIFT GOLD, RED 1
CHRISTMAS LIGHT WARM WHITE 30
CURTAIN LIGHTS 10</v>
      </c>
      <c r="E3701" s="196" t="str">
        <f>IFERROR(__xludf.DUMMYFUNCTION("""COMPUTED_VALUE"""),"CHRISTMAS WAITING AREA ,ROTONDA, 2/F AND 3/F ")</f>
        <v>CHRISTMAS WAITING AREA ,ROTONDA, 2/F AND 3/F </v>
      </c>
    </row>
    <row r="3702">
      <c r="A3702" s="234">
        <f>IFERROR(__xludf.DUMMYFUNCTION("""COMPUTED_VALUE"""),103993.0)</f>
        <v>103993</v>
      </c>
      <c r="B3702" s="235" t="str">
        <f>IFERROR(__xludf.DUMMYFUNCTION("""COMPUTED_VALUE"""),"ALFA DE LEON")</f>
        <v>ALFA DE LEON</v>
      </c>
      <c r="C3702" s="235" t="str">
        <f>IFERROR(__xludf.DUMMYFUNCTION("""COMPUTED_VALUE"""),"LUXEMBOURG")</f>
        <v>LUXEMBOURG</v>
      </c>
      <c r="D3702" s="196" t="str">
        <f>IFERROR(__xludf.DUMMYFUNCTION("""COMPUTED_VALUE"""),"ROPE LIGHT GREEN 10 METERS
ROPE LIGHT BLUE 10 METERS
ROPE LIGHT RED 10METERS
ROPE LIGHT YELLOW 10METERS
LED ROPE LIGHTS 1 BOX
CURTAIN LIGHTS 22 PCS")</f>
        <v>ROPE LIGHT GREEN 10 METERS
ROPE LIGHT BLUE 10 METERS
ROPE LIGHT RED 10METERS
ROPE LIGHT YELLOW 10METERS
LED ROPE LIGHTS 1 BOX
CURTAIN LIGHTS 22 PCS</v>
      </c>
      <c r="E3702" s="196" t="str">
        <f>IFERROR(__xludf.DUMMYFUNCTION("""COMPUTED_VALUE"""),"REPAIR OF PAROL LIGHTS AND REINDEERS")</f>
        <v>REPAIR OF PAROL LIGHTS AND REINDEERS</v>
      </c>
    </row>
    <row r="3703">
      <c r="A3703" s="234">
        <f>IFERROR(__xludf.DUMMYFUNCTION("""COMPUTED_VALUE"""),103994.0)</f>
        <v>103994</v>
      </c>
      <c r="B3703" s="235" t="str">
        <f>IFERROR(__xludf.DUMMYFUNCTION("""COMPUTED_VALUE"""),"ALFA DE LEON")</f>
        <v>ALFA DE LEON</v>
      </c>
      <c r="C3703" s="235" t="str">
        <f>IFERROR(__xludf.DUMMYFUNCTION("""COMPUTED_VALUE"""),"LANDSCAPING")</f>
        <v>LANDSCAPING</v>
      </c>
      <c r="D3703" s="196" t="str">
        <f>IFERROR(__xludf.DUMMYFUNCTION("""COMPUTED_VALUE"""),"WHITE POTS M 15
WHITE POTS S 1
CERAMIC POTS 1")</f>
        <v>WHITE POTS M 15
WHITE POTS S 1
CERAMIC POTS 1</v>
      </c>
      <c r="E3703" s="196" t="str">
        <f>IFERROR(__xludf.DUMMYFUNCTION("""COMPUTED_VALUE"""),"PLANTING OF POINTSETTIA")</f>
        <v>PLANTING OF POINTSETTIA</v>
      </c>
    </row>
    <row r="3704">
      <c r="A3704" s="234">
        <f>IFERROR(__xludf.DUMMYFUNCTION("""COMPUTED_VALUE"""),103995.0)</f>
        <v>103995</v>
      </c>
      <c r="B3704" s="235" t="str">
        <f>IFERROR(__xludf.DUMMYFUNCTION("""COMPUTED_VALUE"""),"ALFA DE LEON ")</f>
        <v>ALFA DE LEON </v>
      </c>
      <c r="C3704" s="235" t="str">
        <f>IFERROR(__xludf.DUMMYFUNCTION("""COMPUTED_VALUE"""),"MUNICH")</f>
        <v>MUNICH</v>
      </c>
      <c r="D3704" s="196" t="str">
        <f>IFERROR(__xludf.DUMMYFUNCTION("""COMPUTED_VALUE"""),"GRASS TURF 13")</f>
        <v>GRASS TURF 13</v>
      </c>
      <c r="E3704" s="196" t="str">
        <f>IFERROR(__xludf.DUMMYFUNCTION("""COMPUTED_VALUE"""),"GRASS TURF FOR CHRISTMAS DECOR")</f>
        <v>GRASS TURF FOR CHRISTMAS DECOR</v>
      </c>
    </row>
    <row r="3705">
      <c r="A3705" s="234">
        <f>IFERROR(__xludf.DUMMYFUNCTION("""COMPUTED_VALUE"""),103996.0)</f>
        <v>103996</v>
      </c>
      <c r="B3705" s="235" t="str">
        <f>IFERROR(__xludf.DUMMYFUNCTION("""COMPUTED_VALUE"""),"ALFA DE LEON")</f>
        <v>ALFA DE LEON</v>
      </c>
      <c r="C3705" s="235" t="str">
        <f>IFERROR(__xludf.DUMMYFUNCTION("""COMPUTED_VALUE"""),"MUNICH")</f>
        <v>MUNICH</v>
      </c>
      <c r="D3705" s="196" t="str">
        <f>IFERROR(__xludf.DUMMYFUNCTION("""COMPUTED_VALUE"""),"PUSH CART 1")</f>
        <v>PUSH CART 1</v>
      </c>
      <c r="E3705" s="196" t="str">
        <f>IFERROR(__xludf.DUMMYFUNCTION("""COMPUTED_VALUE"""),"PUSH CART FOR FETCHING ROATERS
")</f>
        <v>PUSH CART FOR FETCHING ROATERS
</v>
      </c>
    </row>
    <row r="3706">
      <c r="A3706" s="234">
        <f>IFERROR(__xludf.DUMMYFUNCTION("""COMPUTED_VALUE"""),103997.0)</f>
        <v>103997</v>
      </c>
      <c r="B3706" s="235" t="str">
        <f>IFERROR(__xludf.DUMMYFUNCTION("""COMPUTED_VALUE"""),"ALFA DE LEON")</f>
        <v>ALFA DE LEON</v>
      </c>
      <c r="C3706" s="235" t="str">
        <f>IFERROR(__xludf.DUMMYFUNCTION("""COMPUTED_VALUE"""),"MUNICH")</f>
        <v>MUNICH</v>
      </c>
      <c r="D3706" s="196" t="str">
        <f>IFERROR(__xludf.DUMMYFUNCTION("""COMPUTED_VALUE"""),"HOUSING OF WATER DISPENSER 5")</f>
        <v>HOUSING OF WATER DISPENSER 5</v>
      </c>
      <c r="E3706" s="196" t="str">
        <f>IFERROR(__xludf.DUMMYFUNCTION("""COMPUTED_VALUE"""),"COVER OF WATER DISPENSER G/F, 2/F, 3/F LOBBY")</f>
        <v>COVER OF WATER DISPENSER G/F, 2/F, 3/F LOBBY</v>
      </c>
    </row>
    <row r="3707">
      <c r="A3707" s="234">
        <f>IFERROR(__xludf.DUMMYFUNCTION("""COMPUTED_VALUE"""),103998.0)</f>
        <v>103998</v>
      </c>
      <c r="B3707" s="235" t="str">
        <f>IFERROR(__xludf.DUMMYFUNCTION("""COMPUTED_VALUE"""),"ALFA DE LEON")</f>
        <v>ALFA DE LEON</v>
      </c>
      <c r="C3707" s="235" t="str">
        <f>IFERROR(__xludf.DUMMYFUNCTION("""COMPUTED_VALUE"""),"MUNICH")</f>
        <v>MUNICH</v>
      </c>
      <c r="D3707" s="196" t="str">
        <f>IFERROR(__xludf.DUMMYFUNCTION("""COMPUTED_VALUE"""),"FOLDABLE WHITE RECTANGULAR TABLES 30")</f>
        <v>FOLDABLE WHITE RECTANGULAR TABLES 30</v>
      </c>
      <c r="E3707" s="196" t="str">
        <f>IFERROR(__xludf.DUMMYFUNCTION("""COMPUTED_VALUE"""),"ADDITIONAL TABLE")</f>
        <v>ADDITIONAL TABLE</v>
      </c>
    </row>
    <row r="3708">
      <c r="A3708" s="234">
        <f>IFERROR(__xludf.DUMMYFUNCTION("""COMPUTED_VALUE"""),103999.0)</f>
        <v>103999</v>
      </c>
      <c r="B3708" s="235" t="str">
        <f>IFERROR(__xludf.DUMMYFUNCTION("""COMPUTED_VALUE"""),"ALFA DE LEON ")</f>
        <v>ALFA DE LEON </v>
      </c>
      <c r="C3708" s="235" t="str">
        <f>IFERROR(__xludf.DUMMYFUNCTION("""COMPUTED_VALUE"""),"MUNICH")</f>
        <v>MUNICH</v>
      </c>
      <c r="D3708" s="196" t="str">
        <f>IFERROR(__xludf.DUMMYFUNCTION("""COMPUTED_VALUE"""),"ORBIT FAN COLOR: GRAY 16"" 2")</f>
        <v>ORBIT FAN COLOR: GRAY 16" 2</v>
      </c>
      <c r="E3708" s="196" t="str">
        <f>IFERROR(__xludf.DUMMYFUNCTION("""COMPUTED_VALUE"""),"REPLACEMENT OF BROKEN ORBIT FAN  IN CLASSROOM 205 AND 102")</f>
        <v>REPLACEMENT OF BROKEN ORBIT FAN  IN CLASSROOM 205 AND 102</v>
      </c>
    </row>
    <row r="3709">
      <c r="A3709" s="234">
        <f>IFERROR(__xludf.DUMMYFUNCTION("""COMPUTED_VALUE"""),104000.0)</f>
        <v>104000</v>
      </c>
      <c r="B3709" s="235" t="str">
        <f>IFERROR(__xludf.DUMMYFUNCTION("""COMPUTED_VALUE"""),"SHEREE ESPINOSA")</f>
        <v>SHEREE ESPINOSA</v>
      </c>
      <c r="C3709" s="235" t="str">
        <f>IFERROR(__xludf.DUMMYFUNCTION("""COMPUTED_VALUE"""),"LUXEMBOURG")</f>
        <v>LUXEMBOURG</v>
      </c>
      <c r="D3709" s="196" t="str">
        <f>IFERROR(__xludf.DUMMYFUNCTION("""COMPUTED_VALUE"""),"GARLAND 10
CHRISTMAS LIGHTS 50
CHRISTMAS DECOR FLOWER 12 DOZ
TWIGHTS 6DOZ
PANAH  2
CHRISTMAS BALLS BIG 6DOZ
CHRISTMAS BALLS MED 6DOZ")</f>
        <v>GARLAND 10
CHRISTMAS LIGHTS 50
CHRISTMAS DECOR FLOWER 12 DOZ
TWIGHTS 6DOZ
PANAH  2
CHRISTMAS BALLS BIG 6DOZ
CHRISTMAS BALLS MED 6DOZ</v>
      </c>
      <c r="E3709" s="196" t="str">
        <f>IFERROR(__xludf.DUMMYFUNCTION("""COMPUTED_VALUE"""),"CHRISTMAS DECOR")</f>
        <v>CHRISTMAS DECOR</v>
      </c>
    </row>
    <row r="3710">
      <c r="A3710" s="234">
        <f>IFERROR(__xludf.DUMMYFUNCTION("""COMPUTED_VALUE"""),104001.0)</f>
        <v>104001</v>
      </c>
      <c r="B3710" s="235" t="str">
        <f>IFERROR(__xludf.DUMMYFUNCTION("""COMPUTED_VALUE"""),"MELLISA NAVAL-ODONO")</f>
        <v>MELLISA NAVAL-ODONO</v>
      </c>
      <c r="C3710" s="235" t="str">
        <f>IFERROR(__xludf.DUMMYFUNCTION("""COMPUTED_VALUE"""),"LIBRARY BASIC ED")</f>
        <v>LIBRARY BASIC ED</v>
      </c>
      <c r="D3710" s="196" t="str">
        <f>IFERROR(__xludf.DUMMYFUNCTION("""COMPUTED_VALUE"""),"1. 11 PRINCIPLES FRAMEWORK FOR SCHOOLS 1
2. RESPONSIBILITY IN THE CLASSROOM: A TEACHER'S GUIDE TO UNDERSTANDING  AND MOTIVATING STUDENTS 1
NOTE: DR. ARIC PAID AND PURCHASED THIS ONSITE, THAT SAVED THE SHIFFING FEE FOR REIMBERSEMENT TO DR. ARIC")</f>
        <v>1. 11 PRINCIPLES FRAMEWORK FOR SCHOOLS 1
2. RESPONSIBILITY IN THE CLASSROOM: A TEACHER'S GUIDE TO UNDERSTANDING  AND MOTIVATING STUDENTS 1
NOTE: DR. ARIC PAID AND PURCHASED THIS ONSITE, THAT SAVED THE SHIFFING FEE FOR REIMBERSEMENT TO DR. ARIC</v>
      </c>
      <c r="E3710" s="196" t="str">
        <f>IFERROR(__xludf.DUMMYFUNCTION("""COMPUTED_VALUE"""),"FOR LIBRARY'S COPY")</f>
        <v>FOR LIBRARY'S COPY</v>
      </c>
    </row>
    <row r="3711">
      <c r="A3711" s="234">
        <f>IFERROR(__xludf.DUMMYFUNCTION("""COMPUTED_VALUE"""),104002.0)</f>
        <v>104002</v>
      </c>
      <c r="B3711" s="235" t="str">
        <f>IFERROR(__xludf.DUMMYFUNCTION("""COMPUTED_VALUE"""),"MARINEL MARTINEZ")</f>
        <v>MARINEL MARTINEZ</v>
      </c>
      <c r="C3711" s="235" t="str">
        <f>IFERROR(__xludf.DUMMYFUNCTION("""COMPUTED_VALUE"""),"FINANCE")</f>
        <v>FINANCE</v>
      </c>
      <c r="D3711" s="196" t="str">
        <f>IFERROR(__xludf.DUMMYFUNCTION("""COMPUTED_VALUE"""),"PAYSLIP 5BOXES
SEE ATTACHED")</f>
        <v>PAYSLIP 5BOXES
SEE ATTACHED</v>
      </c>
      <c r="E3711" s="196" t="str">
        <f>IFERROR(__xludf.DUMMYFUNCTION("""COMPUTED_VALUE"""),"PAYSLIP (MANAGEMENT AND FSAM)")</f>
        <v>PAYSLIP (MANAGEMENT AND FSAM)</v>
      </c>
    </row>
    <row r="3712">
      <c r="A3712" s="234">
        <f>IFERROR(__xludf.DUMMYFUNCTION("""COMPUTED_VALUE"""),104003.0)</f>
        <v>104003</v>
      </c>
      <c r="B3712" s="235" t="str">
        <f>IFERROR(__xludf.DUMMYFUNCTION("""COMPUTED_VALUE"""),"ALFA DE LEON ")</f>
        <v>ALFA DE LEON </v>
      </c>
      <c r="C3712" s="235" t="str">
        <f>IFERROR(__xludf.DUMMYFUNCTION("""COMPUTED_VALUE"""),"ADMIN")</f>
        <v>ADMIN</v>
      </c>
      <c r="D3712" s="196" t="str">
        <f>IFERROR(__xludf.DUMMYFUNCTION("""COMPUTED_VALUE"""),"PLASTIC COVER FOR CAPIZ PAROL 50METERS 1")</f>
        <v>PLASTIC COVER FOR CAPIZ PAROL 50METERS 1</v>
      </c>
      <c r="E3712" s="196" t="str">
        <f>IFERROR(__xludf.DUMMYFUNCTION("""COMPUTED_VALUE"""),"REPAIR OF CAPIZ PAROL")</f>
        <v>REPAIR OF CAPIZ PAROL</v>
      </c>
    </row>
    <row r="3713">
      <c r="A3713" s="234">
        <f>IFERROR(__xludf.DUMMYFUNCTION("""COMPUTED_VALUE"""),104004.0)</f>
        <v>104004</v>
      </c>
      <c r="B3713" s="235" t="str">
        <f>IFERROR(__xludf.DUMMYFUNCTION("""COMPUTED_VALUE"""),"CHARLES DONOR")</f>
        <v>CHARLES DONOR</v>
      </c>
      <c r="C3713" s="235" t="str">
        <f>IFERROR(__xludf.DUMMYFUNCTION("""COMPUTED_VALUE"""),"AMD")</f>
        <v>AMD</v>
      </c>
      <c r="D3713" s="196" t="str">
        <f>IFERROR(__xludf.DUMMYFUNCTION("""COMPUTED_VALUE"""),"FRAME, CERTIFICATE ORDINARY BROWN 8.5x11 70PCS")</f>
        <v>FRAME, CERTIFICATE ORDINARY BROWN 8.5x11 70PCS</v>
      </c>
      <c r="E3713" s="196" t="str">
        <f>IFERROR(__xludf.DUMMYFUNCTION("""COMPUTED_VALUE"""),"OSSUP- STOCK REPLENISHMENT")</f>
        <v>OSSUP- STOCK REPLENISHMENT</v>
      </c>
    </row>
    <row r="3714">
      <c r="A3714" s="234">
        <f>IFERROR(__xludf.DUMMYFUNCTION("""COMPUTED_VALUE"""),104005.0)</f>
        <v>104005</v>
      </c>
      <c r="B3714" s="235" t="str">
        <f>IFERROR(__xludf.DUMMYFUNCTION("""COMPUTED_VALUE"""),"ALFA DE LEON")</f>
        <v>ALFA DE LEON</v>
      </c>
      <c r="C3714" s="235" t="str">
        <f>IFERROR(__xludf.DUMMYFUNCTION("""COMPUTED_VALUE"""),"ADMIN - LUX")</f>
        <v>ADMIN - LUX</v>
      </c>
      <c r="D3714" s="196" t="str">
        <f>IFERROR(__xludf.DUMMYFUNCTION("""COMPUTED_VALUE"""),"CAPIZ PAROL 42"" (TALA) 7
CAPIZ PAROL 25"" (TALA) 4
-WARM WHITE
STEADY LIGHTS")</f>
        <v>CAPIZ PAROL 42" (TALA) 7
CAPIZ PAROL 25" (TALA) 4
-WARM WHITE
STEADY LIGHTS</v>
      </c>
      <c r="E3714" s="196" t="str">
        <f>IFERROR(__xludf.DUMMYFUNCTION("""COMPUTED_VALUE"""),"REPLACEMENT OF BROKEN PAROL")</f>
        <v>REPLACEMENT OF BROKEN PAROL</v>
      </c>
    </row>
    <row r="3715">
      <c r="A3715" s="234">
        <f>IFERROR(__xludf.DUMMYFUNCTION("""COMPUTED_VALUE"""),104006.0)</f>
        <v>104006</v>
      </c>
      <c r="B3715" s="235" t="str">
        <f>IFERROR(__xludf.DUMMYFUNCTION("""COMPUTED_VALUE"""),"ARNEL MONTABLAN/RONALDO VERDER")</f>
        <v>ARNEL MONTABLAN/RONALDO VERDER</v>
      </c>
      <c r="C3715" s="235" t="str">
        <f>IFERROR(__xludf.DUMMYFUNCTION("""COMPUTED_VALUE"""),"ADMIN")</f>
        <v>ADMIN</v>
      </c>
      <c r="D3715" s="196" t="str">
        <f>IFERROR(__xludf.DUMMYFUNCTION("""COMPUTED_VALUE"""),"WALL FAN FOR SYCAMORE ATTIC 1 UNIT")</f>
        <v>WALL FAN FOR SYCAMORE ATTIC 1 UNIT</v>
      </c>
      <c r="E3715" s="196" t="str">
        <f>IFERROR(__xludf.DUMMYFUNCTION("""COMPUTED_VALUE"""),"FOR VENTILATION PURPOSES")</f>
        <v>FOR VENTILATION PURPOSES</v>
      </c>
    </row>
    <row r="3716">
      <c r="A3716" s="234">
        <f>IFERROR(__xludf.DUMMYFUNCTION("""COMPUTED_VALUE"""),104007.0)</f>
        <v>104007</v>
      </c>
      <c r="B3716" s="235" t="str">
        <f>IFERROR(__xludf.DUMMYFUNCTION("""COMPUTED_VALUE"""),"OWIE PAR")</f>
        <v>OWIE PAR</v>
      </c>
      <c r="C3716" s="235" t="str">
        <f>IFERROR(__xludf.DUMMYFUNCTION("""COMPUTED_VALUE"""),"ENGINEERING")</f>
        <v>ENGINEERING</v>
      </c>
      <c r="D3716" s="196" t="str">
        <f>IFERROR(__xludf.DUMMYFUNCTION("""COMPUTED_VALUE"""),"FLOOD LIGHT 80W LED")</f>
        <v>FLOOD LIGHT 80W LED</v>
      </c>
      <c r="E3716" s="196" t="str">
        <f>IFERROR(__xludf.DUMMYFUNCTION("""COMPUTED_VALUE"""),"FOR FOOD COURT NEAR T. BELLE'S AREA")</f>
        <v>FOR FOOD COURT NEAR T. BELLE'S AREA</v>
      </c>
    </row>
    <row r="3717">
      <c r="A3717" s="234">
        <f>IFERROR(__xludf.DUMMYFUNCTION("""COMPUTED_VALUE"""),104008.0)</f>
        <v>104008</v>
      </c>
      <c r="B3717" s="235" t="str">
        <f>IFERROR(__xludf.DUMMYFUNCTION("""COMPUTED_VALUE"""),"PHEN PETIN")</f>
        <v>PHEN PETIN</v>
      </c>
      <c r="C3717" s="235" t="str">
        <f>IFERROR(__xludf.DUMMYFUNCTION("""COMPUTED_VALUE"""),"ADMIN - STAR")</f>
        <v>ADMIN - STAR</v>
      </c>
      <c r="D3717" s="196" t="str">
        <f>IFERROR(__xludf.DUMMYFUNCTION("""COMPUTED_VALUE"""),"2 PACKS POINSETTIA
1 PACK SILVER LEAVES
1 PACK HOLY LEAVES
1 PACK RED LEAVES
2 PACKS BERRIES
2 PACKS FERNS
2 SETS EACH COLOR CHRISTMAS BALLS (RED, GOLD, SILVER)
1 SET CHRISTMAS GIFT RED AND GOLD
30 CHRISTMAS LIGHTS")</f>
        <v>2 PACKS POINSETTIA
1 PACK SILVER LEAVES
1 PACK HOLY LEAVES
1 PACK RED LEAVES
2 PACKS BERRIES
2 PACKS FERNS
2 SETS EACH COLOR CHRISTMAS BALLS (RED, GOLD, SILVER)
1 SET CHRISTMAS GIFT RED AND GOLD
30 CHRISTMAS LIGHTS</v>
      </c>
      <c r="E3717" s="196" t="str">
        <f>IFERROR(__xludf.DUMMYFUNCTION("""COMPUTED_VALUE"""),"CHRISTMAS DECORS")</f>
        <v>CHRISTMAS DECORS</v>
      </c>
    </row>
    <row r="3718">
      <c r="A3718" s="234">
        <f>IFERROR(__xludf.DUMMYFUNCTION("""COMPUTED_VALUE"""),104009.0)</f>
        <v>104009</v>
      </c>
      <c r="B3718" s="235" t="str">
        <f>IFERROR(__xludf.DUMMYFUNCTION("""COMPUTED_VALUE"""),"ALFA DE LEON")</f>
        <v>ALFA DE LEON</v>
      </c>
      <c r="C3718" s="235" t="str">
        <f>IFERROR(__xludf.DUMMYFUNCTION("""COMPUTED_VALUE"""),"ADMIN - MUNICH")</f>
        <v>ADMIN - MUNICH</v>
      </c>
      <c r="D3718" s="196" t="str">
        <f>IFERROR(__xludf.DUMMYFUNCTION("""COMPUTED_VALUE"""),"MARINE PLYWOOD 1/4x4x8 2
S4S KD #2""x2""x8"" 10")</f>
        <v>MARINE PLYWOOD 1/4x4x8 2
S4S KD #2"x2"x8" 10</v>
      </c>
      <c r="E3718" s="196" t="str">
        <f>IFERROR(__xludf.DUMMYFUNCTION("""COMPUTED_VALUE"""),"COVER CARES CAFE' WINDOW STORAGE &amp; CLASSROOM 313")</f>
        <v>COVER CARES CAFE' WINDOW STORAGE &amp; CLASSROOM 313</v>
      </c>
    </row>
    <row r="3719">
      <c r="A3719" s="234">
        <f>IFERROR(__xludf.DUMMYFUNCTION("""COMPUTED_VALUE"""),104010.0)</f>
        <v>104010</v>
      </c>
      <c r="B3719" s="235" t="str">
        <f>IFERROR(__xludf.DUMMYFUNCTION("""COMPUTED_VALUE"""),"LORRAINE ALMAZAN")</f>
        <v>LORRAINE ALMAZAN</v>
      </c>
      <c r="C3719" s="235" t="str">
        <f>IFERROR(__xludf.DUMMYFUNCTION("""COMPUTED_VALUE"""),"MIS/ICT")</f>
        <v>MIS/ICT</v>
      </c>
      <c r="D3719" s="196" t="str">
        <f>IFERROR(__xludf.DUMMYFUNCTION("""COMPUTED_VALUE"""),"BAEIRA MOVABLE TV STAND FOR 32-65 INCH TVs FOR:
ART ROOM
HE ROOM
508C
406C
505C
MPHC
ESL-LIB")</f>
        <v>BAEIRA MOVABLE TV STAND FOR 32-65 INCH TVs FOR:
ART ROOM
HE ROOM
508C
406C
505C
MPHC
ESL-LIB</v>
      </c>
      <c r="E3719" s="196" t="str">
        <f>IFERROR(__xludf.DUMMYFUNCTION("""COMPUTED_VALUE"""),"ADDITIONAL STAND FOR THE TVS IN THE ECLASSROOMS")</f>
        <v>ADDITIONAL STAND FOR THE TVS IN THE ECLASSROOMS</v>
      </c>
    </row>
    <row r="3720">
      <c r="A3720" s="234">
        <f>IFERROR(__xludf.DUMMYFUNCTION("""COMPUTED_VALUE"""),104011.0)</f>
        <v>104011</v>
      </c>
      <c r="B3720" s="235" t="str">
        <f>IFERROR(__xludf.DUMMYFUNCTION("""COMPUTED_VALUE"""),"RONALDO VERDE")</f>
        <v>RONALDO VERDE</v>
      </c>
      <c r="C3720" s="235" t="str">
        <f>IFERROR(__xludf.DUMMYFUNCTION("""COMPUTED_VALUE"""),"ADMIN")</f>
        <v>ADMIN</v>
      </c>
      <c r="D3720" s="196" t="str">
        <f>IFERROR(__xludf.DUMMYFUNCTION("""COMPUTED_VALUE"""),"YOKOHAMA TIRES 185/70 R R14 = 4PCS")</f>
        <v>YOKOHAMA TIRES 185/70 R R14 = 4PCS</v>
      </c>
      <c r="E3720" s="196" t="str">
        <f>IFERROR(__xludf.DUMMYFUNCTION("""COMPUTED_VALUE"""),"PREVENTIVE MAINTEANCE FOR SIZE AVANZE")</f>
        <v>PREVENTIVE MAINTEANCE FOR SIZE AVANZE</v>
      </c>
    </row>
    <row r="3721">
      <c r="A3721" s="234">
        <f>IFERROR(__xludf.DUMMYFUNCTION("""COMPUTED_VALUE"""),104012.0)</f>
        <v>104012</v>
      </c>
      <c r="B3721" s="235" t="str">
        <f>IFERROR(__xludf.DUMMYFUNCTION("""COMPUTED_VALUE"""),"SHEREE ESPINOSA")</f>
        <v>SHEREE ESPINOSA</v>
      </c>
      <c r="C3721" s="235" t="str">
        <f>IFERROR(__xludf.DUMMYFUNCTION("""COMPUTED_VALUE"""),"ADMIN")</f>
        <v>ADMIN</v>
      </c>
      <c r="D3721" s="196" t="str">
        <f>IFERROR(__xludf.DUMMYFUNCTION("""COMPUTED_VALUE"""),"ASSORTED APPLICANCES ")</f>
        <v>ASSORTED APPLICANCES </v>
      </c>
      <c r="E3721" s="196" t="str">
        <f>IFERROR(__xludf.DUMMYFUNCTION("""COMPUTED_VALUE"""),"CHRISTMAS TOKENS (RAFFLES) FOR BRGY AND SCHOOLS ")</f>
        <v>CHRISTMAS TOKENS (RAFFLES) FOR BRGY AND SCHOOLS </v>
      </c>
    </row>
    <row r="3722">
      <c r="A3722" s="234">
        <f>IFERROR(__xludf.DUMMYFUNCTION("""COMPUTED_VALUE"""),104013.0)</f>
        <v>104013</v>
      </c>
      <c r="B3722" s="235" t="str">
        <f>IFERROR(__xludf.DUMMYFUNCTION("""COMPUTED_VALUE"""),"SHEREE ESPINOSA")</f>
        <v>SHEREE ESPINOSA</v>
      </c>
      <c r="C3722" s="235" t="str">
        <f>IFERROR(__xludf.DUMMYFUNCTION("""COMPUTED_VALUE"""),"ADMIN")</f>
        <v>ADMIN</v>
      </c>
      <c r="D3722" s="196" t="str">
        <f>IFERROR(__xludf.DUMMYFUNCTION("""COMPUTED_VALUE"""),"GROCERY PACK ")</f>
        <v>GROCERY PACK </v>
      </c>
      <c r="E3722" s="196" t="str">
        <f>IFERROR(__xludf.DUMMYFUNCTION("""COMPUTED_VALUE"""),"CHRISTMAS GIVEAWAYS FOR TRAFFIC/POLICE ENFORCERS AND SWEEPERS")</f>
        <v>CHRISTMAS GIVEAWAYS FOR TRAFFIC/POLICE ENFORCERS AND SWEEPERS</v>
      </c>
    </row>
    <row r="3723">
      <c r="A3723" s="234">
        <f>IFERROR(__xludf.DUMMYFUNCTION("""COMPUTED_VALUE"""),104014.0)</f>
        <v>104014</v>
      </c>
      <c r="B3723" s="235" t="str">
        <f>IFERROR(__xludf.DUMMYFUNCTION("""COMPUTED_VALUE"""),"JESUIT CHRISTIAN GALICIA")</f>
        <v>JESUIT CHRISTIAN GALICIA</v>
      </c>
      <c r="C3723" s="235" t="str">
        <f>IFERROR(__xludf.DUMMYFUNCTION("""COMPUTED_VALUE"""),"AMD")</f>
        <v>AMD</v>
      </c>
      <c r="D3723" s="196" t="str">
        <f>IFERROR(__xludf.DUMMYFUNCTION("""COMPUTED_VALUE"""),"VIDEO CARD 2GB, DRR3(NVIDIA) 5PCS")</f>
        <v>VIDEO CARD 2GB, DRR3(NVIDIA) 5PCS</v>
      </c>
      <c r="E3723" s="196" t="str">
        <f>IFERROR(__xludf.DUMMYFUNCTION("""COMPUTED_VALUE"""),"STOCK REPLENISHMENTS OF MIS WAREHOUSE")</f>
        <v>STOCK REPLENISHMENTS OF MIS WAREHOUSE</v>
      </c>
    </row>
    <row r="3724">
      <c r="A3724" s="234">
        <f>IFERROR(__xludf.DUMMYFUNCTION("""COMPUTED_VALUE"""),104015.0)</f>
        <v>104015</v>
      </c>
      <c r="B3724" s="235" t="str">
        <f>IFERROR(__xludf.DUMMYFUNCTION("""COMPUTED_VALUE"""),"SHEREE ESPINOSA ")</f>
        <v>SHEREE ESPINOSA </v>
      </c>
      <c r="C3724" s="235" t="str">
        <f>IFERROR(__xludf.DUMMYFUNCTION("""COMPUTED_VALUE"""),"ADMIN")</f>
        <v>ADMIN</v>
      </c>
      <c r="D3724" s="196" t="str">
        <f>IFERROR(__xludf.DUMMYFUNCTION("""COMPUTED_VALUE"""),"39 PCS. SANTA CHRISTMAS DECORS, 94 PORTABLE FANS, 101 BLUETOOTH SPEAKER")</f>
        <v>39 PCS. SANTA CHRISTMAS DECORS, 94 PORTABLE FANS, 101 BLUETOOTH SPEAKER</v>
      </c>
      <c r="E3724" s="196" t="str">
        <f>IFERROR(__xludf.DUMMYFUNCTION("""COMPUTED_VALUE"""),"FOR CHRISTMAS GIVEAWAYS ")</f>
        <v>FOR CHRISTMAS GIVEAWAYS </v>
      </c>
    </row>
    <row r="3725">
      <c r="A3725" s="234">
        <f>IFERROR(__xludf.DUMMYFUNCTION("""COMPUTED_VALUE"""),104016.0)</f>
        <v>104016</v>
      </c>
      <c r="B3725" s="235" t="str">
        <f>IFERROR(__xludf.DUMMYFUNCTION("""COMPUTED_VALUE"""),"CHARLES DONOR")</f>
        <v>CHARLES DONOR</v>
      </c>
      <c r="C3725" s="235" t="str">
        <f>IFERROR(__xludf.DUMMYFUNCTION("""COMPUTED_VALUE"""),"AMD")</f>
        <v>AMD</v>
      </c>
      <c r="D3725" s="196" t="str">
        <f>IFERROR(__xludf.DUMMYFUNCTION("""COMPUTED_VALUE"""),"CARTOLINA RED 300PCS
CARTOLINA NEON YELLOW 100
CARTOLINA NEON GREEN 100
CARTOLINA WHITE 100")</f>
        <v>CARTOLINA RED 300PCS
CARTOLINA NEON YELLOW 100
CARTOLINA NEON GREEN 100
CARTOLINA WHITE 100</v>
      </c>
      <c r="E3725" s="196" t="str">
        <f>IFERROR(__xludf.DUMMYFUNCTION("""COMPUTED_VALUE"""),"OSSUP- STOCK REPLENISHMENT")</f>
        <v>OSSUP- STOCK REPLENISHMENT</v>
      </c>
    </row>
    <row r="3726">
      <c r="A3726" s="234">
        <f>IFERROR(__xludf.DUMMYFUNCTION("""COMPUTED_VALUE"""),104017.0)</f>
        <v>104017</v>
      </c>
      <c r="B3726" s="235" t="str">
        <f>IFERROR(__xludf.DUMMYFUNCTION("""COMPUTED_VALUE"""),"KIMBERLY L. DU")</f>
        <v>KIMBERLY L. DU</v>
      </c>
      <c r="C3726" s="235" t="str">
        <f>IFERROR(__xludf.DUMMYFUNCTION("""COMPUTED_VALUE"""),"LIBRARY COLLEGE")</f>
        <v>LIBRARY COLLEGE</v>
      </c>
      <c r="D3726" s="196" t="str">
        <f>IFERROR(__xludf.DUMMYFUNCTION("""COMPUTED_VALUE"""),"10 PCS. CD CASE BAGS WITH 80 SLEEVES ")</f>
        <v>10 PCS. CD CASE BAGS WITH 80 SLEEVES </v>
      </c>
      <c r="E3726" s="196" t="str">
        <f>IFERROR(__xludf.DUMMYFUNCTION("""COMPUTED_VALUE"""),"TO ORGANIZE THE CD/SOFT COPY OF THESIS COLLECTION IN COLLEGE LIBRARY")</f>
        <v>TO ORGANIZE THE CD/SOFT COPY OF THESIS COLLECTION IN COLLEGE LIBRARY</v>
      </c>
    </row>
    <row r="3727">
      <c r="A3727" s="234">
        <f>IFERROR(__xludf.DUMMYFUNCTION("""COMPUTED_VALUE"""),104018.0)</f>
        <v>104018</v>
      </c>
      <c r="B3727" s="235" t="str">
        <f>IFERROR(__xludf.DUMMYFUNCTION("""COMPUTED_VALUE"""),"KIMBERLY L. DU")</f>
        <v>KIMBERLY L. DU</v>
      </c>
      <c r="C3727" s="235" t="str">
        <f>IFERROR(__xludf.DUMMYFUNCTION("""COMPUTED_VALUE"""),"LIBRARY COLLEGE")</f>
        <v>LIBRARY COLLEGE</v>
      </c>
      <c r="D3727" s="196" t="str">
        <f>IFERROR(__xludf.DUMMYFUNCTION("""COMPUTED_VALUE"""),"POWER CORD LED TV 32"" 1PC
MODEL: UA32N43OOAGXXP
TYPE NO. UA32N4300
VERSION NO: LCO4/ UN4300
S/N : 05ZD3NDM901931X")</f>
        <v>POWER CORD LED TV 32" 1PC
MODEL: UA32N43OOAGXXP
TYPE NO. UA32N4300
VERSION NO: LCO4/ UN4300
S/N : 05ZD3NDM901931X</v>
      </c>
      <c r="E3727" s="196" t="str">
        <f>IFERROR(__xludf.DUMMYFUNCTION("""COMPUTED_VALUE"""),"REPLACEMENT OF NEW POWER CORD FOR LED TV IN COLLEGE LIBRARY")</f>
        <v>REPLACEMENT OF NEW POWER CORD FOR LED TV IN COLLEGE LIBRARY</v>
      </c>
    </row>
    <row r="3728">
      <c r="A3728" s="234">
        <f>IFERROR(__xludf.DUMMYFUNCTION("""COMPUTED_VALUE"""),104019.0)</f>
        <v>104019</v>
      </c>
      <c r="B3728" s="235" t="str">
        <f>IFERROR(__xludf.DUMMYFUNCTION("""COMPUTED_VALUE"""),"ALFA DE LEON")</f>
        <v>ALFA DE LEON</v>
      </c>
      <c r="C3728" s="235" t="str">
        <f>IFERROR(__xludf.DUMMYFUNCTION("""COMPUTED_VALUE"""),"LANDSCAPING")</f>
        <v>LANDSCAPING</v>
      </c>
      <c r="D3728" s="196" t="str">
        <f>IFERROR(__xludf.DUMMYFUNCTION("""COMPUTED_VALUE"""),"GARDEN HOSE 100 METERS- 1ROLL
GARDEN HOSE 50METERS- 1 ROLL
")</f>
        <v>GARDEN HOSE 100 METERS- 1ROLL
GARDEN HOSE 50METERS- 1 ROLL
</v>
      </c>
      <c r="E3728" s="196" t="str">
        <f>IFERROR(__xludf.DUMMYFUNCTION("""COMPUTED_VALUE"""),"MAINTENANCE OF PLANTS SOCCER FIELD AND LPDH")</f>
        <v>MAINTENANCE OF PLANTS SOCCER FIELD AND LPDH</v>
      </c>
    </row>
    <row r="3729">
      <c r="A3729" s="234">
        <f>IFERROR(__xludf.DUMMYFUNCTION("""COMPUTED_VALUE"""),104020.0)</f>
        <v>104020</v>
      </c>
      <c r="B3729" s="235" t="str">
        <f>IFERROR(__xludf.DUMMYFUNCTION("""COMPUTED_VALUE"""),"RONALDO VERDE")</f>
        <v>RONALDO VERDE</v>
      </c>
      <c r="C3729" s="235" t="str">
        <f>IFERROR(__xludf.DUMMYFUNCTION("""COMPUTED_VALUE"""),"ADMIN")</f>
        <v>ADMIN</v>
      </c>
      <c r="D3729" s="196" t="str">
        <f>IFERROR(__xludf.DUMMYFUNCTION("""COMPUTED_VALUE"""),"SEMI GLOSS 6TIN
FLAT LATEX 3TIN
ROCIENA 3QRT
SANDING PAPER 5METERS
RAGS 3KGS
POLITUFF WITH HARDENER 1 GAL
BORAL 10KGS
PAINT BRUSH #2 5PCS
PAINT ROLLER#7 4PCS
BABY ROLLER 4PCS")</f>
        <v>SEMI GLOSS 6TIN
FLAT LATEX 3TIN
ROCIENA 3QRT
SANDING PAPER 5METERS
RAGS 3KGS
POLITUFF WITH HARDENER 1 GAL
BORAL 10KGS
PAINT BRUSH #2 5PCS
PAINT ROLLER#7 4PCS
BABY ROLLER 4PCS</v>
      </c>
      <c r="E3729" s="196" t="str">
        <f>IFERROR(__xludf.DUMMYFUNCTION("""COMPUTED_VALUE"""),"GLL SCHOLARS HOUSE GIRLS AND BOYS
CANCELLED ")</f>
        <v>GLL SCHOLARS HOUSE GIRLS AND BOYS
CANCELLED </v>
      </c>
    </row>
    <row r="3730">
      <c r="A3730" s="234">
        <f>IFERROR(__xludf.DUMMYFUNCTION("""COMPUTED_VALUE"""),104021.0)</f>
        <v>104021</v>
      </c>
      <c r="B3730" s="235" t="str">
        <f>IFERROR(__xludf.DUMMYFUNCTION("""COMPUTED_VALUE"""),"CHRISTIAN ANDRES")</f>
        <v>CHRISTIAN ANDRES</v>
      </c>
      <c r="C3730" s="235" t="str">
        <f>IFERROR(__xludf.DUMMYFUNCTION("""COMPUTED_VALUE"""),"PR")</f>
        <v>PR</v>
      </c>
      <c r="D3730" s="196" t="str">
        <f>IFERROR(__xludf.DUMMYFUNCTION("""COMPUTED_VALUE"""),"IT FLYER 1000 PCS
BUSINESS SCHOOL FLYER 1000 PCS
MATERIAL (C2S180) 230-250 GSM BACK TO BACK
FULL COLOR 8.5x5.5 INCH")</f>
        <v>IT FLYER 1000 PCS
BUSINESS SCHOOL FLYER 1000 PCS
MATERIAL (C2S180) 230-250 GSM BACK TO BACK
FULL COLOR 8.5x5.5 INCH</v>
      </c>
      <c r="E3730" s="196" t="str">
        <f>IFERROR(__xludf.DUMMYFUNCTION("""COMPUTED_VALUE"""),"IT AND BUSINESS SCHOOL FLYER")</f>
        <v>IT AND BUSINESS SCHOOL FLYER</v>
      </c>
    </row>
    <row r="3731">
      <c r="A3731" s="234">
        <f>IFERROR(__xludf.DUMMYFUNCTION("""COMPUTED_VALUE"""),104022.0)</f>
        <v>104022</v>
      </c>
      <c r="B3731" s="235" t="str">
        <f>IFERROR(__xludf.DUMMYFUNCTION("""COMPUTED_VALUE"""),"EVA M. NECOSIA ")</f>
        <v>EVA M. NECOSIA </v>
      </c>
      <c r="C3731" s="235" t="str">
        <f>IFERROR(__xludf.DUMMYFUNCTION("""COMPUTED_VALUE"""),"FINANCE &amp; ACCOUNTING")</f>
        <v>FINANCE &amp; ACCOUNTING</v>
      </c>
      <c r="D3731" s="196" t="str">
        <f>IFERROR(__xludf.DUMMYFUNCTION("""COMPUTED_VALUE"""),"200 BOOKLET ACKNOWLEDGEMENT RECEIPT")</f>
        <v>200 BOOKLET ACKNOWLEDGEMENT RECEIPT</v>
      </c>
      <c r="E3731" s="196" t="str">
        <f>IFERROR(__xludf.DUMMYFUNCTION("""COMPUTED_VALUE"""),"STOCK REPLENISHMENT")</f>
        <v>STOCK REPLENISHMENT</v>
      </c>
    </row>
    <row r="3732">
      <c r="A3732" s="234">
        <f>IFERROR(__xludf.DUMMYFUNCTION("""COMPUTED_VALUE"""),104023.0)</f>
        <v>104023</v>
      </c>
      <c r="B3732" s="235" t="str">
        <f>IFERROR(__xludf.DUMMYFUNCTION("""COMPUTED_VALUE"""),"SHEREE ESPINOSA")</f>
        <v>SHEREE ESPINOSA</v>
      </c>
      <c r="C3732" s="235" t="str">
        <f>IFERROR(__xludf.DUMMYFUNCTION("""COMPUTED_VALUE"""),"ADMIN")</f>
        <v>ADMIN</v>
      </c>
      <c r="D3732" s="196" t="str">
        <f>IFERROR(__xludf.DUMMYFUNCTION("""COMPUTED_VALUE"""),"SWIVEL CHAIRS FOR IMAC LAB 28PCS")</f>
        <v>SWIVEL CHAIRS FOR IMAC LAB 28PCS</v>
      </c>
      <c r="E3732" s="196" t="str">
        <f>IFERROR(__xludf.DUMMYFUNCTION("""COMPUTED_VALUE"""),"NEW CHAIRS FOR MMA CL-1 (IMAC LAB)")</f>
        <v>NEW CHAIRS FOR MMA CL-1 (IMAC LAB)</v>
      </c>
    </row>
    <row r="3733">
      <c r="A3733" s="234">
        <f>IFERROR(__xludf.DUMMYFUNCTION("""COMPUTED_VALUE"""),104024.0)</f>
        <v>104024</v>
      </c>
      <c r="B3733" s="235" t="str">
        <f>IFERROR(__xludf.DUMMYFUNCTION("""COMPUTED_VALUE"""),"CHARLES DONOR")</f>
        <v>CHARLES DONOR</v>
      </c>
      <c r="C3733" s="235" t="str">
        <f>IFERROR(__xludf.DUMMYFUNCTION("""COMPUTED_VALUE"""),"AMD")</f>
        <v>AMD</v>
      </c>
      <c r="D3733" s="196" t="str">
        <f>IFERROR(__xludf.DUMMYFUNCTION("""COMPUTED_VALUE"""),"GLUE GUN G250 BIG 30PCS")</f>
        <v>GLUE GUN G250 BIG 30PCS</v>
      </c>
      <c r="E3733" s="196" t="str">
        <f>IFERROR(__xludf.DUMMYFUNCTION("""COMPUTED_VALUE"""),"OSSUP-STOCK REPLENISHMENT ")</f>
        <v>OSSUP-STOCK REPLENISHMENT </v>
      </c>
    </row>
    <row r="3734">
      <c r="A3734" s="234">
        <f>IFERROR(__xludf.DUMMYFUNCTION("""COMPUTED_VALUE"""),104025.0)</f>
        <v>104025</v>
      </c>
      <c r="B3734" s="235" t="str">
        <f>IFERROR(__xludf.DUMMYFUNCTION("""COMPUTED_VALUE"""),"CHARLES DONOR")</f>
        <v>CHARLES DONOR</v>
      </c>
      <c r="C3734" s="235" t="str">
        <f>IFERROR(__xludf.DUMMYFUNCTION("""COMPUTED_VALUE"""),"AMD")</f>
        <v>AMD</v>
      </c>
      <c r="D3734" s="196" t="str">
        <f>IFERROR(__xludf.DUMMYFUNCTION("""COMPUTED_VALUE"""),"GLUE STICK STANFORD, LEEHO 8G (.28OZ) 200PCS")</f>
        <v>GLUE STICK STANFORD, LEEHO 8G (.28OZ) 200PCS</v>
      </c>
      <c r="E3734" s="196" t="str">
        <f>IFERROR(__xludf.DUMMYFUNCTION("""COMPUTED_VALUE"""),"OSSUP- STOCK REPLENISHMENT")</f>
        <v>OSSUP- STOCK REPLENISHMENT</v>
      </c>
    </row>
    <row r="3735">
      <c r="A3735" s="234">
        <f>IFERROR(__xludf.DUMMYFUNCTION("""COMPUTED_VALUE"""),104026.0)</f>
        <v>104026</v>
      </c>
      <c r="B3735" s="235" t="str">
        <f>IFERROR(__xludf.DUMMYFUNCTION("""COMPUTED_VALUE"""),"CHARLES DONOR")</f>
        <v>CHARLES DONOR</v>
      </c>
      <c r="C3735" s="235" t="str">
        <f>IFERROR(__xludf.DUMMYFUNCTION("""COMPUTED_VALUE"""),"AMD")</f>
        <v>AMD</v>
      </c>
      <c r="D3735" s="196" t="str">
        <f>IFERROR(__xludf.DUMMYFUNCTION("""COMPUTED_VALUE"""),"PAPER, COPY-LASER SUB. 20 LONG WHITE 200PCS")</f>
        <v>PAPER, COPY-LASER SUB. 20 LONG WHITE 200PCS</v>
      </c>
      <c r="E3735" s="196" t="str">
        <f>IFERROR(__xludf.DUMMYFUNCTION("""COMPUTED_VALUE"""),"OSSUP- STOCK REPLENISHMENT")</f>
        <v>OSSUP- STOCK REPLENISHMENT</v>
      </c>
    </row>
    <row r="3736">
      <c r="A3736" s="234">
        <f>IFERROR(__xludf.DUMMYFUNCTION("""COMPUTED_VALUE"""),104027.0)</f>
        <v>104027</v>
      </c>
      <c r="B3736" s="235" t="str">
        <f>IFERROR(__xludf.DUMMYFUNCTION("""COMPUTED_VALUE"""),"CHARLES DONOR")</f>
        <v>CHARLES DONOR</v>
      </c>
      <c r="C3736" s="235" t="str">
        <f>IFERROR(__xludf.DUMMYFUNCTION("""COMPUTED_VALUE"""),"AMD")</f>
        <v>AMD</v>
      </c>
      <c r="D3736" s="196" t="str">
        <f>IFERROR(__xludf.DUMMYFUNCTION("""COMPUTED_VALUE"""),"TAPE, 3M MASKING TAPE BIG (1"") 288 PCS")</f>
        <v>TAPE, 3M MASKING TAPE BIG (1") 288 PCS</v>
      </c>
      <c r="E3736" s="196" t="str">
        <f>IFERROR(__xludf.DUMMYFUNCTION("""COMPUTED_VALUE"""),"OSSUP- STOCK REPLENISHMENT")</f>
        <v>OSSUP- STOCK REPLENISHMENT</v>
      </c>
    </row>
    <row r="3737">
      <c r="A3737" s="234">
        <f>IFERROR(__xludf.DUMMYFUNCTION("""COMPUTED_VALUE"""),104028.0)</f>
        <v>104028</v>
      </c>
      <c r="B3737" s="235" t="str">
        <f>IFERROR(__xludf.DUMMYFUNCTION("""COMPUTED_VALUE"""),"NHYSSA ADAOAG")</f>
        <v>NHYSSA ADAOAG</v>
      </c>
      <c r="C3737" s="235" t="str">
        <f>IFERROR(__xludf.DUMMYFUNCTION("""COMPUTED_VALUE"""),"AUDIT")</f>
        <v>AUDIT</v>
      </c>
      <c r="D3737" s="196" t="str">
        <f>IFERROR(__xludf.DUMMYFUNCTION("""COMPUTED_VALUE"""),"TRODAT( AUDITED) 1
TRODAT NAME 4
1 NHYSSA ADAOAG
2 JASTINE DELIOLA
3. GENEVIEVE OLIVA
4 BEETHOVEN SANORIA")</f>
        <v>TRODAT( AUDITED) 1
TRODAT NAME 4
1 NHYSSA ADAOAG
2 JASTINE DELIOLA
3. GENEVIEVE OLIVA
4 BEETHOVEN SANORIA</v>
      </c>
      <c r="E3737" s="196" t="str">
        <f>IFERROR(__xludf.DUMMYFUNCTION("""COMPUTED_VALUE"""),"OFFICE USE")</f>
        <v>OFFICE USE</v>
      </c>
    </row>
    <row r="3738">
      <c r="A3738" s="234">
        <f>IFERROR(__xludf.DUMMYFUNCTION("""COMPUTED_VALUE"""),104029.0)</f>
        <v>104029</v>
      </c>
      <c r="B3738" s="235" t="str">
        <f>IFERROR(__xludf.DUMMYFUNCTION("""COMPUTED_VALUE"""),"ALFA DE LEON")</f>
        <v>ALFA DE LEON</v>
      </c>
      <c r="C3738" s="235" t="str">
        <f>IFERROR(__xludf.DUMMYFUNCTION("""COMPUTED_VALUE"""),"MUNICH")</f>
        <v>MUNICH</v>
      </c>
      <c r="D3738" s="196" t="str">
        <f>IFERROR(__xludf.DUMMYFUNCTION("""COMPUTED_VALUE"""),"TANK FITTINGS 1
FAUCET 2
BARREL BOLT 2
ADAPTER 2")</f>
        <v>TANK FITTINGS 1
FAUCET 2
BARREL BOLT 2
ADAPTER 2</v>
      </c>
      <c r="E3738" s="196" t="str">
        <f>IFERROR(__xludf.DUMMYFUNCTION("""COMPUTED_VALUE"""),"REPAIR AND MAINTENANCE- CLASSROOM 101, 3/F, 2/F CR'S")</f>
        <v>REPAIR AND MAINTENANCE- CLASSROOM 101, 3/F, 2/F CR'S</v>
      </c>
    </row>
    <row r="3739">
      <c r="A3739" s="234">
        <f>IFERROR(__xludf.DUMMYFUNCTION("""COMPUTED_VALUE"""),104030.0)</f>
        <v>104030</v>
      </c>
      <c r="B3739" s="235" t="str">
        <f>IFERROR(__xludf.DUMMYFUNCTION("""COMPUTED_VALUE"""),"ALFA DE LEON ")</f>
        <v>ALFA DE LEON </v>
      </c>
      <c r="C3739" s="235" t="str">
        <f>IFERROR(__xludf.DUMMYFUNCTION("""COMPUTED_VALUE"""),"LANDSCAPING")</f>
        <v>LANDSCAPING</v>
      </c>
      <c r="D3739" s="196" t="str">
        <f>IFERROR(__xludf.DUMMYFUNCTION("""COMPUTED_VALUE"""),"FURADAN 2KLS
VERMICAST 1 BAG
KARATE 1OTS")</f>
        <v>FURADAN 2KLS
VERMICAST 1 BAG
KARATE 1OTS</v>
      </c>
      <c r="E3739" s="196" t="str">
        <f>IFERROR(__xludf.DUMMYFUNCTION("""COMPUTED_VALUE"""),"PLANT MAINTENANCE")</f>
        <v>PLANT MAINTENANCE</v>
      </c>
    </row>
    <row r="3740">
      <c r="A3740" s="234">
        <f>IFERROR(__xludf.DUMMYFUNCTION("""COMPUTED_VALUE"""),104031.0)</f>
        <v>104031</v>
      </c>
      <c r="B3740" s="235" t="str">
        <f>IFERROR(__xludf.DUMMYFUNCTION("""COMPUTED_VALUE"""),"ALFA DE LEON")</f>
        <v>ALFA DE LEON</v>
      </c>
      <c r="C3740" s="235" t="str">
        <f>IFERROR(__xludf.DUMMYFUNCTION("""COMPUTED_VALUE"""),"LANDSCAPING")</f>
        <v>LANDSCAPING</v>
      </c>
      <c r="D3740" s="196" t="str">
        <f>IFERROR(__xludf.DUMMYFUNCTION("""COMPUTED_VALUE"""),"FURADAN 10KLS
VERMICAST 2 BAG
KARATE 2OTS")</f>
        <v>FURADAN 10KLS
VERMICAST 2 BAG
KARATE 2OTS</v>
      </c>
      <c r="E3740" s="196" t="str">
        <f>IFERROR(__xludf.DUMMYFUNCTION("""COMPUTED_VALUE"""),"PLANT MAINTENANCE")</f>
        <v>PLANT MAINTENANCE</v>
      </c>
    </row>
    <row r="3741">
      <c r="A3741" s="234">
        <f>IFERROR(__xludf.DUMMYFUNCTION("""COMPUTED_VALUE"""),104032.0)</f>
        <v>104032</v>
      </c>
      <c r="B3741" s="235" t="str">
        <f>IFERROR(__xludf.DUMMYFUNCTION("""COMPUTED_VALUE"""),"ELMIE LAUDIATO")</f>
        <v>ELMIE LAUDIATO</v>
      </c>
      <c r="C3741" s="235" t="str">
        <f>IFERROR(__xludf.DUMMYFUNCTION("""COMPUTED_VALUE"""),"HRMD")</f>
        <v>HRMD</v>
      </c>
      <c r="D3741" s="196" t="str">
        <f>IFERROR(__xludf.DUMMYFUNCTION("""COMPUTED_VALUE"""),"FLOWER WREATH")</f>
        <v>FLOWER WREATH</v>
      </c>
      <c r="E3741" s="196" t="str">
        <f>IFERROR(__xludf.DUMMYFUNCTION("""COMPUTED_VALUE"""),"FLOWER WREATH (MOTHER OF MS. MICHELLE VARGAS)")</f>
        <v>FLOWER WREATH (MOTHER OF MS. MICHELLE VARGAS)</v>
      </c>
    </row>
    <row r="3742">
      <c r="A3742" s="234">
        <f>IFERROR(__xludf.DUMMYFUNCTION("""COMPUTED_VALUE"""),104033.0)</f>
        <v>104033</v>
      </c>
      <c r="B3742" s="235" t="str">
        <f>IFERROR(__xludf.DUMMYFUNCTION("""COMPUTED_VALUE"""),"SHEREE ESPINOSA")</f>
        <v>SHEREE ESPINOSA</v>
      </c>
      <c r="C3742" s="235" t="str">
        <f>IFERROR(__xludf.DUMMYFUNCTION("""COMPUTED_VALUE"""),"ADMIN")</f>
        <v>ADMIN</v>
      </c>
      <c r="D3742" s="196" t="str">
        <f>IFERROR(__xludf.DUMMYFUNCTION("""COMPUTED_VALUE"""),"CAPIZ PAROL 14")</f>
        <v>CAPIZ PAROL 14</v>
      </c>
      <c r="E3742" s="196" t="str">
        <f>IFERROR(__xludf.DUMMYFUNCTION("""COMPUTED_VALUE"""),"FOR COLLEGE CHRISTMAS DECOR")</f>
        <v>FOR COLLEGE CHRISTMAS DECOR</v>
      </c>
    </row>
    <row r="3743">
      <c r="A3743" s="234">
        <f>IFERROR(__xludf.DUMMYFUNCTION("""COMPUTED_VALUE"""),104034.0)</f>
        <v>104034</v>
      </c>
      <c r="B3743" s="235" t="str">
        <f>IFERROR(__xludf.DUMMYFUNCTION("""COMPUTED_VALUE"""),"BRIAN PATAG")</f>
        <v>BRIAN PATAG</v>
      </c>
      <c r="C3743" s="235" t="str">
        <f>IFERROR(__xludf.DUMMYFUNCTION("""COMPUTED_VALUE"""),"AMD")</f>
        <v>AMD</v>
      </c>
      <c r="D3743" s="196" t="str">
        <f>IFERROR(__xludf.DUMMYFUNCTION("""COMPUTED_VALUE"""),"SWEET SUNSATION 50")</f>
        <v>SWEET SUNSATION 50</v>
      </c>
      <c r="E3743" s="196" t="str">
        <f>IFERROR(__xludf.DUMMYFUNCTION("""COMPUTED_VALUE"""),"HOUSEKEEPING REPLENISHMENT")</f>
        <v>HOUSEKEEPING REPLENISHMENT</v>
      </c>
    </row>
    <row r="3744">
      <c r="A3744" s="234">
        <f>IFERROR(__xludf.DUMMYFUNCTION("""COMPUTED_VALUE"""),104035.0)</f>
        <v>104035</v>
      </c>
      <c r="B3744" s="235" t="str">
        <f>IFERROR(__xludf.DUMMYFUNCTION("""COMPUTED_VALUE"""),"CHARLES DONOR")</f>
        <v>CHARLES DONOR</v>
      </c>
      <c r="C3744" s="235" t="str">
        <f>IFERROR(__xludf.DUMMYFUNCTION("""COMPUTED_VALUE"""),"AMD")</f>
        <v>AMD</v>
      </c>
      <c r="D3744" s="196" t="str">
        <f>IFERROR(__xludf.DUMMYFUNCTION("""COMPUTED_VALUE"""),"FOLDER, FORUTNE WHITE LONG 1000PCS")</f>
        <v>FOLDER, FORUTNE WHITE LONG 1000PCS</v>
      </c>
      <c r="E3744" s="196" t="str">
        <f>IFERROR(__xludf.DUMMYFUNCTION("""COMPUTED_VALUE"""),"OSSUP- STOCK REPLENISHMENT")</f>
        <v>OSSUP- STOCK REPLENISHMENT</v>
      </c>
    </row>
    <row r="3745">
      <c r="A3745" s="234">
        <f>IFERROR(__xludf.DUMMYFUNCTION("""COMPUTED_VALUE"""),104036.0)</f>
        <v>104036</v>
      </c>
      <c r="B3745" s="235" t="str">
        <f>IFERROR(__xludf.DUMMYFUNCTION("""COMPUTED_VALUE"""),"EDGAR REBELLON")</f>
        <v>EDGAR REBELLON</v>
      </c>
      <c r="C3745" s="235" t="str">
        <f>IFERROR(__xludf.DUMMYFUNCTION("""COMPUTED_VALUE"""),"AMD")</f>
        <v>AMD</v>
      </c>
      <c r="D3745" s="196" t="str">
        <f>IFERROR(__xludf.DUMMYFUNCTION("""COMPUTED_VALUE"""),"POUCH BATIK, PURPLE FOR FEMALE 25
POUCH BATIK, PURPLE FOR MALE25")</f>
        <v>POUCH BATIK, PURPLE FOR FEMALE 25
POUCH BATIK, PURPLE FOR MALE25</v>
      </c>
      <c r="E3745" s="196" t="str">
        <f>IFERROR(__xludf.DUMMYFUNCTION("""COMPUTED_VALUE"""),"TOKEN REPLENISHMENT")</f>
        <v>TOKEN REPLENISHMENT</v>
      </c>
    </row>
    <row r="3746">
      <c r="A3746" s="234">
        <f>IFERROR(__xludf.DUMMYFUNCTION("""COMPUTED_VALUE"""),104037.0)</f>
        <v>104037</v>
      </c>
      <c r="B3746" s="235" t="str">
        <f>IFERROR(__xludf.DUMMYFUNCTION("""COMPUTED_VALUE"""),"RONALDO VERDE")</f>
        <v>RONALDO VERDE</v>
      </c>
      <c r="C3746" s="235" t="str">
        <f>IFERROR(__xludf.DUMMYFUNCTION("""COMPUTED_VALUE"""),"ADMIN")</f>
        <v>ADMIN</v>
      </c>
      <c r="D3746" s="196" t="str">
        <f>IFERROR(__xludf.DUMMYFUNCTION("""COMPUTED_VALUE"""),"LED LIGHTS(SAME AS LUX HALL LIGHTS) 1ROLL
ADAPTOR 5PCS
")</f>
        <v>LED LIGHTS(SAME AS LUX HALL LIGHTS) 1ROLL
ADAPTOR 5PCS
</v>
      </c>
      <c r="E3746" s="196" t="str">
        <f>IFERROR(__xludf.DUMMYFUNCTION("""COMPUTED_VALUE"""),"ADDITIONAL LED LIGHTS AT LUX HALL")</f>
        <v>ADDITIONAL LED LIGHTS AT LUX HALL</v>
      </c>
    </row>
    <row r="3747">
      <c r="A3747" s="234">
        <f>IFERROR(__xludf.DUMMYFUNCTION("""COMPUTED_VALUE"""),104038.0)</f>
        <v>104038</v>
      </c>
      <c r="B3747" s="235" t="str">
        <f>IFERROR(__xludf.DUMMYFUNCTION("""COMPUTED_VALUE"""),"MARK PABUSTAN")</f>
        <v>MARK PABUSTAN</v>
      </c>
      <c r="C3747" s="235" t="str">
        <f>IFERROR(__xludf.DUMMYFUNCTION("""COMPUTED_VALUE"""),"ROBOTICS")</f>
        <v>ROBOTICS</v>
      </c>
      <c r="D3747" s="196" t="str">
        <f>IFERROR(__xludf.DUMMYFUNCTION("""COMPUTED_VALUE"""),"BYTE (COMPETITION BUILT MANUAL)
COLORED - 268 2 COPIES
SLICK (GRADE 3 CLASS MANUAL)
COLORED 20PAGES 10 COPIES")</f>
        <v>BYTE (COMPETITION BUILT MANUAL)
COLORED - 268 2 COPIES
SLICK (GRADE 3 CLASS MANUAL)
COLORED 20PAGES 10 COPIES</v>
      </c>
      <c r="E3747" s="196" t="str">
        <f>IFERROR(__xludf.DUMMYFUNCTION("""COMPUTED_VALUE"""),"FOR COMPETITION AND CLASS")</f>
        <v>FOR COMPETITION AND CLASS</v>
      </c>
    </row>
    <row r="3748">
      <c r="A3748" s="234">
        <f>IFERROR(__xludf.DUMMYFUNCTION("""COMPUTED_VALUE"""),104039.0)</f>
        <v>104039</v>
      </c>
      <c r="B3748" s="235" t="str">
        <f>IFERROR(__xludf.DUMMYFUNCTION("""COMPUTED_VALUE"""),"RONALDO VERDE")</f>
        <v>RONALDO VERDE</v>
      </c>
      <c r="C3748" s="235" t="str">
        <f>IFERROR(__xludf.DUMMYFUNCTION("""COMPUTED_VALUE"""),"ADMIN")</f>
        <v>ADMIN</v>
      </c>
      <c r="D3748" s="196" t="str">
        <f>IFERROR(__xludf.DUMMYFUNCTION("""COMPUTED_VALUE"""),"STRIP SIGNAGE LED (WARM AND WHITE) 10
SMPS(BALLAST-200WATT) 4")</f>
        <v>STRIP SIGNAGE LED (WARM AND WHITE) 10
SMPS(BALLAST-200WATT) 4</v>
      </c>
      <c r="E3748" s="196" t="str">
        <f>IFERROR(__xludf.DUMMYFUNCTION("""COMPUTED_VALUE"""),"STRIP LIGHTS OF CORNER SIGNAGE")</f>
        <v>STRIP LIGHTS OF CORNER SIGNAGE</v>
      </c>
    </row>
    <row r="3749">
      <c r="A3749" s="234">
        <f>IFERROR(__xludf.DUMMYFUNCTION("""COMPUTED_VALUE"""),104040.0)</f>
        <v>104040</v>
      </c>
      <c r="B3749" s="235" t="str">
        <f>IFERROR(__xludf.DUMMYFUNCTION("""COMPUTED_VALUE"""),"ELMIE LAUDIATO")</f>
        <v>ELMIE LAUDIATO</v>
      </c>
      <c r="C3749" s="235" t="str">
        <f>IFERROR(__xludf.DUMMYFUNCTION("""COMPUTED_VALUE"""),"HRMD")</f>
        <v>HRMD</v>
      </c>
      <c r="D3749" s="196" t="str">
        <f>IFERROR(__xludf.DUMMYFUNCTION("""COMPUTED_VALUE"""),"UNIFORM AY 2023-2024(NTE, COLLEGE)")</f>
        <v>UNIFORM AY 2023-2024(NTE, COLLEGE)</v>
      </c>
      <c r="E3749" s="196" t="str">
        <f>IFERROR(__xludf.DUMMYFUNCTION("""COMPUTED_VALUE"""),"UNIFORM AY 2023-2024(NTE, COLLEGE")</f>
        <v>UNIFORM AY 2023-2024(NTE, COLLEGE</v>
      </c>
    </row>
    <row r="3750">
      <c r="A3750" s="234">
        <f>IFERROR(__xludf.DUMMYFUNCTION("""COMPUTED_VALUE"""),104041.0)</f>
        <v>104041</v>
      </c>
      <c r="B3750" s="235" t="str">
        <f>IFERROR(__xludf.DUMMYFUNCTION("""COMPUTED_VALUE"""),"CHARLES DONOR")</f>
        <v>CHARLES DONOR</v>
      </c>
      <c r="C3750" s="235" t="str">
        <f>IFERROR(__xludf.DUMMYFUNCTION("""COMPUTED_VALUE"""),"AMD")</f>
        <v>AMD</v>
      </c>
      <c r="D3750" s="196" t="str">
        <f>IFERROR(__xludf.DUMMYFUNCTION("""COMPUTED_VALUE"""),"ENVELOPE, SISC LETTER COLORED 5000")</f>
        <v>ENVELOPE, SISC LETTER COLORED 5000</v>
      </c>
      <c r="E3750" s="196" t="str">
        <f>IFERROR(__xludf.DUMMYFUNCTION("""COMPUTED_VALUE"""),"OSSUP-STOCK REPLENISHMENT ")</f>
        <v>OSSUP-STOCK REPLENISHMENT </v>
      </c>
    </row>
    <row r="3751">
      <c r="A3751" s="234">
        <f>IFERROR(__xludf.DUMMYFUNCTION("""COMPUTED_VALUE"""),104042.0)</f>
        <v>104042</v>
      </c>
      <c r="B3751" s="235" t="str">
        <f>IFERROR(__xludf.DUMMYFUNCTION("""COMPUTED_VALUE"""),"RONALDO VERDE")</f>
        <v>RONALDO VERDE</v>
      </c>
      <c r="C3751" s="235" t="str">
        <f>IFERROR(__xludf.DUMMYFUNCTION("""COMPUTED_VALUE"""),"ADMIN")</f>
        <v>ADMIN</v>
      </c>
      <c r="D3751" s="196" t="str">
        <f>IFERROR(__xludf.DUMMYFUNCTION("""COMPUTED_VALUE"""),"FLOOD LIGHT 50 WATTS 2PCS")</f>
        <v>FLOOD LIGHT 50 WATTS 2PCS</v>
      </c>
      <c r="E3751" s="196" t="str">
        <f>IFERROR(__xludf.DUMMYFUNCTION("""COMPUTED_VALUE"""),"PERIMETER LIGHT FOR MUNICH PARKING")</f>
        <v>PERIMETER LIGHT FOR MUNICH PARKING</v>
      </c>
    </row>
    <row r="3752">
      <c r="A3752" s="234">
        <f>IFERROR(__xludf.DUMMYFUNCTION("""COMPUTED_VALUE"""),104043.0)</f>
        <v>104043</v>
      </c>
      <c r="B3752" s="235" t="str">
        <f>IFERROR(__xludf.DUMMYFUNCTION("""COMPUTED_VALUE"""),"MARVIN MARASIGAN")</f>
        <v>MARVIN MARASIGAN</v>
      </c>
      <c r="C3752" s="235" t="str">
        <f>IFERROR(__xludf.DUMMYFUNCTION("""COMPUTED_VALUE"""),"PR")</f>
        <v>PR</v>
      </c>
      <c r="D3752" s="196" t="str">
        <f>IFERROR(__xludf.DUMMYFUNCTION("""COMPUTED_VALUE"""),"REORDER OF X-STAND WITH CHILD TO ADULT DESIGN 15
2.5 x 6FEET TARP WITH STANDEE
GWYN- 1
HYO SANG 2
GEN MARK 2
SEAN BORJA 2
wynwyn 1
jodi 2
miguel 2
donglim2
wallen tan 2
")</f>
        <v>REORDER OF X-STAND WITH CHILD TO ADULT DESIGN 15
2.5 x 6FEET TARP WITH STANDEE
GWYN- 1
HYO SANG 2
GEN MARK 2
SEAN BORJA 2
wynwyn 1
jodi 2
miguel 2
donglim2
wallen tan 2
</v>
      </c>
      <c r="E3752" s="196" t="str">
        <f>IFERROR(__xludf.DUMMYFUNCTION("""COMPUTED_VALUE"""),"for marketing purpose")</f>
        <v>for marketing purpose</v>
      </c>
    </row>
    <row r="3753">
      <c r="A3753" s="234">
        <f>IFERROR(__xludf.DUMMYFUNCTION("""COMPUTED_VALUE"""),104044.0)</f>
        <v>104044</v>
      </c>
      <c r="B3753" s="235" t="str">
        <f>IFERROR(__xludf.DUMMYFUNCTION("""COMPUTED_VALUE"""),"JESUIT CHRISTIAN GALICIA")</f>
        <v>JESUIT CHRISTIAN GALICIA</v>
      </c>
      <c r="C3753" s="235" t="str">
        <f>IFERROR(__xludf.DUMMYFUNCTION("""COMPUTED_VALUE"""),"AMD")</f>
        <v>AMD</v>
      </c>
      <c r="D3753" s="196" t="str">
        <f>IFERROR(__xludf.DUMMYFUNCTION("""COMPUTED_VALUE"""),"HDMI CABLE 5M (UGREEN) 10PCS
HDMI CABLE 10M (UNGREEN) 10PCS")</f>
        <v>HDMI CABLE 5M (UGREEN) 10PCS
HDMI CABLE 10M (UNGREEN) 10PCS</v>
      </c>
      <c r="E3753" s="196" t="str">
        <f>IFERROR(__xludf.DUMMYFUNCTION("""COMPUTED_VALUE"""),"MIS WAREHOUSE STOCK REPLENISHMENT")</f>
        <v>MIS WAREHOUSE STOCK REPLENISHMENT</v>
      </c>
    </row>
    <row r="3754">
      <c r="A3754" s="234">
        <f>IFERROR(__xludf.DUMMYFUNCTION("""COMPUTED_VALUE"""),104045.0)</f>
        <v>104045</v>
      </c>
      <c r="B3754" s="235" t="str">
        <f>IFERROR(__xludf.DUMMYFUNCTION("""COMPUTED_VALUE"""),"JESUIT CHRISTIAN GALICIA")</f>
        <v>JESUIT CHRISTIAN GALICIA</v>
      </c>
      <c r="C3754" s="235" t="str">
        <f>IFERROR(__xludf.DUMMYFUNCTION("""COMPUTED_VALUE"""),"AMD")</f>
        <v>AMD</v>
      </c>
      <c r="D3754" s="196" t="str">
        <f>IFERROR(__xludf.DUMMYFUNCTION("""COMPUTED_VALUE"""),"LED TUBE 16W DAYLIGHT PHILIPS 100PCS
MALE PLUG HEAVY PUTY-OMNI 30PCS")</f>
        <v>LED TUBE 16W DAYLIGHT PHILIPS 100PCS
MALE PLUG HEAVY PUTY-OMNI 30PCS</v>
      </c>
      <c r="E3754" s="196" t="str">
        <f>IFERROR(__xludf.DUMMYFUNCTION("""COMPUTED_VALUE"""),"ENGINEERING WAREHOUSE STOCK REPLENISHMENT")</f>
        <v>ENGINEERING WAREHOUSE STOCK REPLENISHMENT</v>
      </c>
    </row>
    <row r="3755">
      <c r="A3755" s="234">
        <f>IFERROR(__xludf.DUMMYFUNCTION("""COMPUTED_VALUE"""),104046.0)</f>
        <v>104046</v>
      </c>
      <c r="B3755" s="235" t="str">
        <f>IFERROR(__xludf.DUMMYFUNCTION("""COMPUTED_VALUE"""),"RONALDO VERDE")</f>
        <v>RONALDO VERDE</v>
      </c>
      <c r="C3755" s="235" t="str">
        <f>IFERROR(__xludf.DUMMYFUNCTION("""COMPUTED_VALUE"""),"ADMIN")</f>
        <v>ADMIN</v>
      </c>
      <c r="D3755" s="196" t="str">
        <f>IFERROR(__xludf.DUMMYFUNCTION("""COMPUTED_VALUE"""),"SPOT LIGHTS FOR COLLEGE FLAGS 6PCS")</f>
        <v>SPOT LIGHTS FOR COLLEGE FLAGS 6PCS</v>
      </c>
      <c r="E3755" s="196" t="str">
        <f>IFERROR(__xludf.DUMMYFUNCTION("""COMPUTED_VALUE"""),"COLLEGE ADDITIONAL LIGHTS")</f>
        <v>COLLEGE ADDITIONAL LIGHTS</v>
      </c>
    </row>
    <row r="3756">
      <c r="A3756" s="234">
        <f>IFERROR(__xludf.DUMMYFUNCTION("""COMPUTED_VALUE"""),104047.0)</f>
        <v>104047</v>
      </c>
      <c r="B3756" s="235" t="str">
        <f>IFERROR(__xludf.DUMMYFUNCTION("""COMPUTED_VALUE"""),"ALFA DE LEON ")</f>
        <v>ALFA DE LEON </v>
      </c>
      <c r="C3756" s="235" t="str">
        <f>IFERROR(__xludf.DUMMYFUNCTION("""COMPUTED_VALUE"""),"HOUSEKEEPING")</f>
        <v>HOUSEKEEPING</v>
      </c>
      <c r="D3756" s="196" t="str">
        <f>IFERROR(__xludf.DUMMYFUNCTION("""COMPUTED_VALUE"""),"GLASS VASE 18")</f>
        <v>GLASS VASE 18</v>
      </c>
      <c r="E3756" s="196" t="str">
        <f>IFERROR(__xludf.DUMMYFUNCTION("""COMPUTED_VALUE"""),"CR BEAUTIFICATION")</f>
        <v>CR BEAUTIFICATION</v>
      </c>
    </row>
    <row r="3757">
      <c r="A3757" s="234">
        <f>IFERROR(__xludf.DUMMYFUNCTION("""COMPUTED_VALUE"""),104048.0)</f>
        <v>104048</v>
      </c>
      <c r="B3757" s="235" t="str">
        <f>IFERROR(__xludf.DUMMYFUNCTION("""COMPUTED_VALUE"""),"ANA TAMAYO")</f>
        <v>ANA TAMAYO</v>
      </c>
      <c r="C3757" s="235" t="str">
        <f>IFERROR(__xludf.DUMMYFUNCTION("""COMPUTED_VALUE"""),"MUNICH")</f>
        <v>MUNICH</v>
      </c>
      <c r="D3757" s="196" t="str">
        <f>IFERROR(__xludf.DUMMYFUNCTION("""COMPUTED_VALUE"""),"YEAR BOOK 2023-2024
SENIOR KINDER 83
GRADE 6 99
GRADE 12 143
IB 2")</f>
        <v>YEAR BOOK 2023-2024
SENIOR KINDER 83
GRADE 6 99
GRADE 12 143
IB 2</v>
      </c>
      <c r="E3757" s="196" t="str">
        <f>IFERROR(__xludf.DUMMYFUNCTION("""COMPUTED_VALUE"""),"YEARBOOK 2023-2024")</f>
        <v>YEARBOOK 2023-2024</v>
      </c>
    </row>
    <row r="3758">
      <c r="A3758" s="234">
        <f>IFERROR(__xludf.DUMMYFUNCTION("""COMPUTED_VALUE"""),104049.0)</f>
        <v>104049</v>
      </c>
      <c r="B3758" s="235" t="str">
        <f>IFERROR(__xludf.DUMMYFUNCTION("""COMPUTED_VALUE"""),"ELMIE LAUDIATO")</f>
        <v>ELMIE LAUDIATO</v>
      </c>
      <c r="C3758" s="235" t="str">
        <f>IFERROR(__xludf.DUMMYFUNCTION("""COMPUTED_VALUE"""),"HRMD")</f>
        <v>HRMD</v>
      </c>
      <c r="D3758" s="196" t="str">
        <f>IFERROR(__xludf.DUMMYFUNCTION("""COMPUTED_VALUE"""),"MALE UNIFORM PANTS 82")</f>
        <v>MALE UNIFORM PANTS 82</v>
      </c>
      <c r="E3758" s="196" t="str">
        <f>IFERROR(__xludf.DUMMYFUNCTION("""COMPUTED_VALUE"""),"MALE UNIFORM PANTS")</f>
        <v>MALE UNIFORM PANTS</v>
      </c>
    </row>
    <row r="3759">
      <c r="A3759" s="234">
        <f>IFERROR(__xludf.DUMMYFUNCTION("""COMPUTED_VALUE"""),104050.0)</f>
        <v>104050</v>
      </c>
      <c r="B3759" s="235" t="str">
        <f>IFERROR(__xludf.DUMMYFUNCTION("""COMPUTED_VALUE"""),"CHARLES DONOR")</f>
        <v>CHARLES DONOR</v>
      </c>
      <c r="C3759" s="235" t="str">
        <f>IFERROR(__xludf.DUMMYFUNCTION("""COMPUTED_VALUE"""),"AMD")</f>
        <v>AMD</v>
      </c>
      <c r="D3759" s="196" t="str">
        <f>IFERROR(__xludf.DUMMYFUNCTION("""COMPUTED_VALUE"""),"STAMP PAD, ARTLINE #1 20PCS
INK, STAMP PAD- EVEREADY BLACK 10PCS")</f>
        <v>STAMP PAD, ARTLINE #1 20PCS
INK, STAMP PAD- EVEREADY BLACK 10PCS</v>
      </c>
      <c r="E3759" s="196" t="str">
        <f>IFERROR(__xludf.DUMMYFUNCTION("""COMPUTED_VALUE"""),"OSSUP- STOCK REPLENISHMENT")</f>
        <v>OSSUP- STOCK REPLENISHMENT</v>
      </c>
    </row>
    <row r="3760">
      <c r="A3760" s="234">
        <f>IFERROR(__xludf.DUMMYFUNCTION("""COMPUTED_VALUE"""),104051.0)</f>
        <v>104051</v>
      </c>
      <c r="B3760" s="235" t="str">
        <f>IFERROR(__xludf.DUMMYFUNCTION("""COMPUTED_VALUE"""),"OWIE PAR")</f>
        <v>OWIE PAR</v>
      </c>
      <c r="C3760" s="235" t="str">
        <f>IFERROR(__xludf.DUMMYFUNCTION("""COMPUTED_VALUE"""),"ENGINEERING")</f>
        <v>ENGINEERING</v>
      </c>
      <c r="D3760" s="196" t="str">
        <f>IFERROR(__xludf.DUMMYFUNCTION("""COMPUTED_VALUE"""),"CHIPPING HAMMER (MAKITA) 1 UNIT")</f>
        <v>CHIPPING HAMMER (MAKITA) 1 UNIT</v>
      </c>
      <c r="E3760" s="196" t="str">
        <f>IFERROR(__xludf.DUMMYFUNCTION("""COMPUTED_VALUE"""),"ENGINEERING USE (TOOLS)")</f>
        <v>ENGINEERING USE (TOOLS)</v>
      </c>
    </row>
    <row r="3761">
      <c r="A3761" s="234">
        <f>IFERROR(__xludf.DUMMYFUNCTION("""COMPUTED_VALUE"""),104052.0)</f>
        <v>104052</v>
      </c>
      <c r="B3761" s="235" t="str">
        <f>IFERROR(__xludf.DUMMYFUNCTION("""COMPUTED_VALUE"""),"OWIE PAR")</f>
        <v>OWIE PAR</v>
      </c>
      <c r="C3761" s="235" t="str">
        <f>IFERROR(__xludf.DUMMYFUNCTION("""COMPUTED_VALUE"""),"ENGINEERING")</f>
        <v>ENGINEERING</v>
      </c>
      <c r="D3761" s="196" t="str">
        <f>IFERROR(__xludf.DUMMYFUNCTION("""COMPUTED_VALUE"""),"1. P.R HALLWAY 3.0 HP CEILING CASSET INVERTER 1 UNIT
OLD UNIT- MODEL CS-PS24NKQ
-SERIAL- 2480905356
- ACU TYPE- WALL
2. REGISTRATION OFFICE 2.5HP CEILING, CAS INVERTER 1 UNIT
OLD UNIT- MODEL- CSPU9TKQ
SERIAL- 3760104851
ACU TYPE- WALL")</f>
        <v>1. P.R HALLWAY 3.0 HP CEILING CASSET INVERTER 1 UNIT
OLD UNIT- MODEL CS-PS24NKQ
-SERIAL- 2480905356
- ACU TYPE- WALL
2. REGISTRATION OFFICE 2.5HP CEILING, CAS INVERTER 1 UNIT
OLD UNIT- MODEL- CSPU9TKQ
SERIAL- 3760104851
ACU TYPE- WALL</v>
      </c>
      <c r="E3761" s="196" t="str">
        <f>IFERROR(__xludf.DUMMYFUNCTION("""COMPUTED_VALUE"""),"ACU REPLACEMENT")</f>
        <v>ACU REPLACEMENT</v>
      </c>
    </row>
    <row r="3762">
      <c r="A3762" s="234">
        <f>IFERROR(__xludf.DUMMYFUNCTION("""COMPUTED_VALUE"""),104053.0)</f>
        <v>104053</v>
      </c>
      <c r="B3762" s="235" t="str">
        <f>IFERROR(__xludf.DUMMYFUNCTION("""COMPUTED_VALUE"""),"PAUL ARANA")</f>
        <v>PAUL ARANA</v>
      </c>
      <c r="C3762" s="235" t="str">
        <f>IFERROR(__xludf.DUMMYFUNCTION("""COMPUTED_VALUE"""),"ADMIN")</f>
        <v>ADMIN</v>
      </c>
      <c r="D3762" s="196" t="str">
        <f>IFERROR(__xludf.DUMMYFUNCTION("""COMPUTED_VALUE"""),"TCL 55P735 4K HD HDR GOOGLE TV 1
BAIERDI 32070 INCH TV STAND 1")</f>
        <v>TCL 55P735 4K HD HDR GOOGLE TV 1
BAIERDI 32070 INCH TV STAND 1</v>
      </c>
      <c r="E3762" s="196" t="str">
        <f>IFERROR(__xludf.DUMMYFUNCTION("""COMPUTED_VALUE"""),"FOR LUX CONFERENCE ROOM")</f>
        <v>FOR LUX CONFERENCE ROOM</v>
      </c>
    </row>
    <row r="3763">
      <c r="A3763" s="234">
        <f>IFERROR(__xludf.DUMMYFUNCTION("""COMPUTED_VALUE"""),104054.0)</f>
        <v>104054</v>
      </c>
      <c r="B3763" s="235" t="str">
        <f>IFERROR(__xludf.DUMMYFUNCTION("""COMPUTED_VALUE"""),"BRIAN PATAG")</f>
        <v>BRIAN PATAG</v>
      </c>
      <c r="C3763" s="235" t="str">
        <f>IFERROR(__xludf.DUMMYFUNCTION("""COMPUTED_VALUE"""),"AMD")</f>
        <v>AMD</v>
      </c>
      <c r="D3763" s="196" t="str">
        <f>IFERROR(__xludf.DUMMYFUNCTION("""COMPUTED_VALUE"""),"CHAMPION POWDER 1KG 100")</f>
        <v>CHAMPION POWDER 1KG 100</v>
      </c>
      <c r="E3763" s="196" t="str">
        <f>IFERROR(__xludf.DUMMYFUNCTION("""COMPUTED_VALUE"""),"FOR HOUSEKEEPING REPLENISHMENT")</f>
        <v>FOR HOUSEKEEPING REPLENISHMENT</v>
      </c>
    </row>
    <row r="3764">
      <c r="A3764" s="234">
        <f>IFERROR(__xludf.DUMMYFUNCTION("""COMPUTED_VALUE"""),104055.0)</f>
        <v>104055</v>
      </c>
      <c r="B3764" s="235" t="str">
        <f>IFERROR(__xludf.DUMMYFUNCTION("""COMPUTED_VALUE"""),"RAQUELYN NUNEZ")</f>
        <v>RAQUELYN NUNEZ</v>
      </c>
      <c r="C3764" s="235" t="str">
        <f>IFERROR(__xludf.DUMMYFUNCTION("""COMPUTED_VALUE"""),"TREX")</f>
        <v>TREX</v>
      </c>
      <c r="D3764" s="196" t="str">
        <f>IFERROR(__xludf.DUMMYFUNCTION("""COMPUTED_VALUE"""),"KITCHEN UTENSILS")</f>
        <v>KITCHEN UTENSILS</v>
      </c>
      <c r="E3764" s="196" t="str">
        <f>IFERROR(__xludf.DUMMYFUNCTION("""COMPUTED_VALUE"""),"COOKING/ KITCHEN UTENSILS FOR NARRA HOUSE")</f>
        <v>COOKING/ KITCHEN UTENSILS FOR NARRA HOUSE</v>
      </c>
    </row>
    <row r="3765">
      <c r="A3765" s="234">
        <f>IFERROR(__xludf.DUMMYFUNCTION("""COMPUTED_VALUE"""),104056.0)</f>
        <v>104056</v>
      </c>
      <c r="B3765" s="235" t="str">
        <f>IFERROR(__xludf.DUMMYFUNCTION("""COMPUTED_VALUE"""),"EDGAR REBELLON")</f>
        <v>EDGAR REBELLON</v>
      </c>
      <c r="C3765" s="235" t="str">
        <f>IFERROR(__xludf.DUMMYFUNCTION("""COMPUTED_VALUE"""),"AMD")</f>
        <v>AMD</v>
      </c>
      <c r="D3765" s="196" t="str">
        <f>IFERROR(__xludf.DUMMYFUNCTION("""COMPUTED_VALUE"""),"HOOD MARCON UNDERGRAD 3
UNDERGRAD TOGA GOWN 25
UNDERGRAD CAPS 14
MASTERAL TOGA GOWN 8
FACULTY TOGA GOWN 2 BARS MAROON 1
UNDERGRAD HOOD WHITE 8
HOOD UNDERGRAD YELLOW AND YELLOW GOLD 15
HOOD MASTERAL MIT AND MBA 5
HOOD UNDERGRAD YELLOW AND BLUE 29
HOOD UNDE"&amp;"RGRAD RED 1")</f>
        <v>HOOD MARCON UNDERGRAD 3
UNDERGRAD TOGA GOWN 25
UNDERGRAD CAPS 14
MASTERAL TOGA GOWN 8
FACULTY TOGA GOWN 2 BARS MAROON 1
UNDERGRAD HOOD WHITE 8
HOOD UNDERGRAD YELLOW AND YELLOW GOLD 15
HOOD MASTERAL MIT AND MBA 5
HOOD UNDERGRAD YELLOW AND BLUE 29
HOOD UNDERGRAD RED 1</v>
      </c>
      <c r="E3765" s="196" t="str">
        <f>IFERROR(__xludf.DUMMYFUNCTION("""COMPUTED_VALUE"""),"FOR GRADUATING STUDENTS")</f>
        <v>FOR GRADUATING STUDENTS</v>
      </c>
    </row>
    <row r="3766">
      <c r="A3766" s="234">
        <f>IFERROR(__xludf.DUMMYFUNCTION("""COMPUTED_VALUE"""),104057.0)</f>
        <v>104057</v>
      </c>
      <c r="B3766" s="235" t="str">
        <f>IFERROR(__xludf.DUMMYFUNCTION("""COMPUTED_VALUE"""),"EDGAR REBELLON")</f>
        <v>EDGAR REBELLON</v>
      </c>
      <c r="C3766" s="235" t="str">
        <f>IFERROR(__xludf.DUMMYFUNCTION("""COMPUTED_VALUE"""),"AMD")</f>
        <v>AMD</v>
      </c>
      <c r="D3766" s="196" t="str">
        <f>IFERROR(__xludf.DUMMYFUNCTION("""COMPUTED_VALUE"""),"MIT CAP RED AND BLUE 4
MASRTERAL TOGA GOWN LS#M 1")</f>
        <v>MIT CAP RED AND BLUE 4
MASRTERAL TOGA GOWN LS#M 1</v>
      </c>
      <c r="E3766" s="196" t="str">
        <f>IFERROR(__xludf.DUMMYFUNCTION("""COMPUTED_VALUE"""),"FOR GRADUATING STUDENTS")</f>
        <v>FOR GRADUATING STUDENTS</v>
      </c>
    </row>
    <row r="3767">
      <c r="A3767" s="234">
        <f>IFERROR(__xludf.DUMMYFUNCTION("""COMPUTED_VALUE"""),104058.0)</f>
        <v>104058</v>
      </c>
      <c r="B3767" s="235" t="str">
        <f>IFERROR(__xludf.DUMMYFUNCTION("""COMPUTED_VALUE"""),"ELYDS AND JOMEL")</f>
        <v>ELYDS AND JOMEL</v>
      </c>
      <c r="C3767" s="235" t="str">
        <f>IFERROR(__xludf.DUMMYFUNCTION("""COMPUTED_VALUE"""),"PR")</f>
        <v>PR</v>
      </c>
      <c r="D3767" s="196" t="str">
        <f>IFERROR(__xludf.DUMMYFUNCTION("""COMPUTED_VALUE"""),"NAVAL CRUZ TARP (NCA) 1
6.4x16.9 FT WITH SEAMING AND EYELET ")</f>
        <v>NAVAL CRUZ TARP (NCA) 1
6.4x16.9 FT WITH SEAMING AND EYELET </v>
      </c>
      <c r="E3767" s="196" t="str">
        <f>IFERROR(__xludf.DUMMYFUNCTION("""COMPUTED_VALUE"""),"CONGRATULATORY TARP")</f>
        <v>CONGRATULATORY TARP</v>
      </c>
    </row>
    <row r="3768">
      <c r="A3768" s="234">
        <f>IFERROR(__xludf.DUMMYFUNCTION("""COMPUTED_VALUE"""),104059.0)</f>
        <v>104059</v>
      </c>
      <c r="B3768" s="235" t="str">
        <f>IFERROR(__xludf.DUMMYFUNCTION("""COMPUTED_VALUE"""),"ALFA DE LEON")</f>
        <v>ALFA DE LEON</v>
      </c>
      <c r="C3768" s="235" t="str">
        <f>IFERROR(__xludf.DUMMYFUNCTION("""COMPUTED_VALUE"""),"ADMIN")</f>
        <v>ADMIN</v>
      </c>
      <c r="D3768" s="196" t="str">
        <f>IFERROR(__xludf.DUMMYFUNCTION("""COMPUTED_VALUE"""),"GLASS VASE 16")</f>
        <v>GLASS VASE 16</v>
      </c>
      <c r="E3768" s="196" t="str">
        <f>IFERROR(__xludf.DUMMYFUNCTION("""COMPUTED_VALUE"""),"CR BEAUTIFICATION LUX, MUNICH AND TROPICAL")</f>
        <v>CR BEAUTIFICATION LUX, MUNICH AND TROPICAL</v>
      </c>
    </row>
    <row r="3769">
      <c r="A3769" s="234">
        <f>IFERROR(__xludf.DUMMYFUNCTION("""COMPUTED_VALUE"""),104060.0)</f>
        <v>104060</v>
      </c>
      <c r="B3769" s="235" t="str">
        <f>IFERROR(__xludf.DUMMYFUNCTION("""COMPUTED_VALUE"""),"SHERYL LYNNE MANALO")</f>
        <v>SHERYL LYNNE MANALO</v>
      </c>
      <c r="C3769" s="235" t="str">
        <f>IFERROR(__xludf.DUMMYFUNCTION("""COMPUTED_VALUE"""),"MUNICH")</f>
        <v>MUNICH</v>
      </c>
      <c r="D3769" s="196" t="str">
        <f>IFERROR(__xludf.DUMMYFUNCTION("""COMPUTED_VALUE"""),"GRADE 6 BATCH SHIRT 70")</f>
        <v>GRADE 6 BATCH SHIRT 70</v>
      </c>
      <c r="E3769" s="196" t="str">
        <f>IFERROR(__xludf.DUMMYFUNCTION("""COMPUTED_VALUE"""),"CGS/ INTRAMS")</f>
        <v>CGS/ INTRAMS</v>
      </c>
    </row>
    <row r="3770">
      <c r="A3770" s="234">
        <f>IFERROR(__xludf.DUMMYFUNCTION("""COMPUTED_VALUE"""),104061.0)</f>
        <v>104061</v>
      </c>
      <c r="B3770" s="235" t="str">
        <f>IFERROR(__xludf.DUMMYFUNCTION("""COMPUTED_VALUE"""),"ALLISTINE PEREZ")</f>
        <v>ALLISTINE PEREZ</v>
      </c>
      <c r="C3770" s="235" t="str">
        <f>IFERROR(__xludf.DUMMYFUNCTION("""COMPUTED_VALUE""")," ")</f>
        <v> </v>
      </c>
      <c r="D3770" s="196" t="str">
        <f>IFERROR(__xludf.DUMMYFUNCTION("""COMPUTED_VALUE"""),"GRADE SCHOOL REPORT CARD PAPER 1000PCS
JUNIOR HIGHSCHOOL REPORT CARD PAPER 1000PCS
SENIOR HIGHSCHOOL REPORT CARD PAPER 800PCS
IB REPORT CARD PAPER 100PCS")</f>
        <v>GRADE SCHOOL REPORT CARD PAPER 1000PCS
JUNIOR HIGHSCHOOL REPORT CARD PAPER 1000PCS
SENIOR HIGHSCHOOL REPORT CARD PAPER 800PCS
IB REPORT CARD PAPER 100PCS</v>
      </c>
      <c r="E3770" s="196" t="str">
        <f>IFERROR(__xludf.DUMMYFUNCTION("""COMPUTED_VALUE"""),"FOR PRINTING OF BASIC ED REPORT CARDS")</f>
        <v>FOR PRINTING OF BASIC ED REPORT CARDS</v>
      </c>
    </row>
    <row r="3771">
      <c r="A3771" s="234">
        <f>IFERROR(__xludf.DUMMYFUNCTION("""COMPUTED_VALUE"""),104062.0)</f>
        <v>104062</v>
      </c>
      <c r="B3771" s="235" t="str">
        <f>IFERROR(__xludf.DUMMYFUNCTION("""COMPUTED_VALUE"""),"ELYDIA REYES ")</f>
        <v>ELYDIA REYES </v>
      </c>
      <c r="C3771" s="235" t="str">
        <f>IFERROR(__xludf.DUMMYFUNCTION("""COMPUTED_VALUE"""),"PR")</f>
        <v>PR</v>
      </c>
      <c r="D3771" s="196" t="str">
        <f>IFERROR(__xludf.DUMMYFUNCTION("""COMPUTED_VALUE"""),"MASCOT 1")</f>
        <v>MASCOT 1</v>
      </c>
      <c r="E3771" s="196" t="str">
        <f>IFERROR(__xludf.DUMMYFUNCTION("""COMPUTED_VALUE"""),"FOR SOUTHVILLE SPORT/ VARSITY MARKETING")</f>
        <v>FOR SOUTHVILLE SPORT/ VARSITY MARKETING</v>
      </c>
    </row>
    <row r="3772">
      <c r="A3772" s="234">
        <f>IFERROR(__xludf.DUMMYFUNCTION("""COMPUTED_VALUE"""),104063.0)</f>
        <v>104063</v>
      </c>
      <c r="B3772" s="235" t="str">
        <f>IFERROR(__xludf.DUMMYFUNCTION("""COMPUTED_VALUE"""),"ALLISTINE PEREZ")</f>
        <v>ALLISTINE PEREZ</v>
      </c>
      <c r="C3772" s="235" t="str">
        <f>IFERROR(__xludf.DUMMYFUNCTION("""COMPUTED_VALUE"""),"REGISTRATION")</f>
        <v>REGISTRATION</v>
      </c>
      <c r="D3772" s="196" t="str">
        <f>IFERROR(__xludf.DUMMYFUNCTION("""COMPUTED_VALUE"""),"BASIC ED TRANSCRIPT OF RECORD PAPER 5000
REPORT CARD HOLDER 2500")</f>
        <v>BASIC ED TRANSCRIPT OF RECORD PAPER 5000
REPORT CARD HOLDER 2500</v>
      </c>
      <c r="E3772" s="196" t="str">
        <f>IFERROR(__xludf.DUMMYFUNCTION("""COMPUTED_VALUE"""),"FOR PRINTING OF BASIC ED REPORT CARDS, CREDENTIAL REQUEST")</f>
        <v>FOR PRINTING OF BASIC ED REPORT CARDS, CREDENTIAL REQUEST</v>
      </c>
    </row>
    <row r="3773">
      <c r="A3773" s="234">
        <f>IFERROR(__xludf.DUMMYFUNCTION("""COMPUTED_VALUE"""),104064.0)</f>
        <v>104064</v>
      </c>
      <c r="B3773" s="235" t="str">
        <f>IFERROR(__xludf.DUMMYFUNCTION("""COMPUTED_VALUE"""),"OWIE PAR")</f>
        <v>OWIE PAR</v>
      </c>
      <c r="C3773" s="235" t="str">
        <f>IFERROR(__xludf.DUMMYFUNCTION("""COMPUTED_VALUE"""),"ENGINEERING")</f>
        <v>ENGINEERING</v>
      </c>
      <c r="D3773" s="196" t="str">
        <f>IFERROR(__xludf.DUMMYFUNCTION("""COMPUTED_VALUE"""),"ALUMINUM SULFATE 50KGS
ANFLOC POLYMER 25KGS")</f>
        <v>ALUMINUM SULFATE 50KGS
ANFLOC POLYMER 25KGS</v>
      </c>
      <c r="E3773" s="196" t="str">
        <f>IFERROR(__xludf.DUMMYFUNCTION("""COMPUTED_VALUE"""),"FOR WASTE WATER CHEMICALS")</f>
        <v>FOR WASTE WATER CHEMICALS</v>
      </c>
    </row>
    <row r="3774">
      <c r="A3774" s="234">
        <f>IFERROR(__xludf.DUMMYFUNCTION("""COMPUTED_VALUE"""),104065.0)</f>
        <v>104065</v>
      </c>
      <c r="B3774" s="235" t="str">
        <f>IFERROR(__xludf.DUMMYFUNCTION("""COMPUTED_VALUE"""),"BRIAN PATAG")</f>
        <v>BRIAN PATAG</v>
      </c>
      <c r="C3774" s="235" t="str">
        <f>IFERROR(__xludf.DUMMYFUNCTION("""COMPUTED_VALUE"""),"AMD")</f>
        <v>AMD</v>
      </c>
      <c r="D3774" s="196" t="str">
        <f>IFERROR(__xludf.DUMMYFUNCTION("""COMPUTED_VALUE"""),"CHAMPION POWDER SOAP 1KG 100KG")</f>
        <v>CHAMPION POWDER SOAP 1KG 100KG</v>
      </c>
      <c r="E3774" s="196" t="str">
        <f>IFERROR(__xludf.DUMMYFUNCTION("""COMPUTED_VALUE"""),"FOR HOUSEKEEPING REPLENISHMENT DEC 2023")</f>
        <v>FOR HOUSEKEEPING REPLENISHMENT DEC 2023</v>
      </c>
    </row>
    <row r="3775">
      <c r="A3775" s="234">
        <f>IFERROR(__xludf.DUMMYFUNCTION("""COMPUTED_VALUE"""),104066.0)</f>
        <v>104066</v>
      </c>
      <c r="B3775" s="235" t="str">
        <f>IFERROR(__xludf.DUMMYFUNCTION("""COMPUTED_VALUE"""),"BRIAN PATAG")</f>
        <v>BRIAN PATAG</v>
      </c>
      <c r="C3775" s="235" t="str">
        <f>IFERROR(__xludf.DUMMYFUNCTION("""COMPUTED_VALUE"""),"AMD")</f>
        <v>AMD</v>
      </c>
      <c r="D3775" s="196" t="str">
        <f>IFERROR(__xludf.DUMMYFUNCTION("""COMPUTED_VALUE"""),"PLEASANT AEROSENSE 30GAL")</f>
        <v>PLEASANT AEROSENSE 30GAL</v>
      </c>
      <c r="E3775" s="196" t="str">
        <f>IFERROR(__xludf.DUMMYFUNCTION("""COMPUTED_VALUE"""),"FOR HOUSEKEEPING REPLENISHMENT DEC 2023")</f>
        <v>FOR HOUSEKEEPING REPLENISHMENT DEC 2023</v>
      </c>
    </row>
    <row r="3776">
      <c r="A3776" s="234">
        <f>IFERROR(__xludf.DUMMYFUNCTION("""COMPUTED_VALUE"""),104067.0)</f>
        <v>104067</v>
      </c>
      <c r="B3776" s="235" t="str">
        <f>IFERROR(__xludf.DUMMYFUNCTION("""COMPUTED_VALUE"""),"BRIAN PATAG")</f>
        <v>BRIAN PATAG</v>
      </c>
      <c r="C3776" s="235" t="str">
        <f>IFERROR(__xludf.DUMMYFUNCTION("""COMPUTED_VALUE"""),"AMD")</f>
        <v>AMD</v>
      </c>
      <c r="D3776" s="196" t="str">
        <f>IFERROR(__xludf.DUMMYFUNCTION("""COMPUTED_VALUE"""),"ZIM GLASS CLEANER 50PCS")</f>
        <v>ZIM GLASS CLEANER 50PCS</v>
      </c>
      <c r="E3776" s="196" t="str">
        <f>IFERROR(__xludf.DUMMYFUNCTION("""COMPUTED_VALUE"""),"FOR HOUSEKEEPING REPLENISHMENT DEC 2023")</f>
        <v>FOR HOUSEKEEPING REPLENISHMENT DEC 2023</v>
      </c>
    </row>
    <row r="3777">
      <c r="A3777" s="234">
        <f>IFERROR(__xludf.DUMMYFUNCTION("""COMPUTED_VALUE"""),104068.0)</f>
        <v>104068</v>
      </c>
      <c r="B3777" s="235" t="str">
        <f>IFERROR(__xludf.DUMMYFUNCTION("""COMPUTED_VALUE"""),"BRIAN PATAG")</f>
        <v>BRIAN PATAG</v>
      </c>
      <c r="C3777" s="235" t="str">
        <f>IFERROR(__xludf.DUMMYFUNCTION("""COMPUTED_VALUE"""),"AMD")</f>
        <v>AMD</v>
      </c>
      <c r="D3777" s="196" t="str">
        <f>IFERROR(__xludf.DUMMYFUNCTION("""COMPUTED_VALUE"""),"SCOTCH BRITE 3M 100 PCS. ")</f>
        <v>SCOTCH BRITE 3M 100 PCS. </v>
      </c>
      <c r="E3777" s="196" t="str">
        <f>IFERROR(__xludf.DUMMYFUNCTION("""COMPUTED_VALUE"""),"FOR HOUSEKEEPING REPLENISHMENT DEC 2023")</f>
        <v>FOR HOUSEKEEPING REPLENISHMENT DEC 2023</v>
      </c>
    </row>
    <row r="3778">
      <c r="A3778" s="234">
        <f>IFERROR(__xludf.DUMMYFUNCTION("""COMPUTED_VALUE"""),104069.0)</f>
        <v>104069</v>
      </c>
      <c r="B3778" s="235" t="str">
        <f>IFERROR(__xludf.DUMMYFUNCTION("""COMPUTED_VALUE"""),"OWIE PAR")</f>
        <v>OWIE PAR</v>
      </c>
      <c r="C3778" s="235" t="str">
        <f>IFERROR(__xludf.DUMMYFUNCTION("""COMPUTED_VALUE"""),"ENGINEERING")</f>
        <v>ENGINEERING</v>
      </c>
      <c r="D3778" s="196" t="str">
        <f>IFERROR(__xludf.DUMMYFUNCTION("""COMPUTED_VALUE"""),"ORBIT FAN STANDARD 16"" 1SET")</f>
        <v>ORBIT FAN STANDARD 16" 1SET</v>
      </c>
      <c r="E3778" s="196" t="str">
        <f>IFERROR(__xludf.DUMMYFUNCTION("""COMPUTED_VALUE"""),"FOR MUNICH ROOM 206")</f>
        <v>FOR MUNICH ROOM 206</v>
      </c>
    </row>
    <row r="3779">
      <c r="A3779" s="234">
        <f>IFERROR(__xludf.DUMMYFUNCTION("""COMPUTED_VALUE"""),104070.0)</f>
        <v>104070</v>
      </c>
      <c r="B3779" s="235" t="str">
        <f>IFERROR(__xludf.DUMMYFUNCTION("""COMPUTED_VALUE"""),"CHARLES DONOR")</f>
        <v>CHARLES DONOR</v>
      </c>
      <c r="C3779" s="235" t="str">
        <f>IFERROR(__xludf.DUMMYFUNCTION("""COMPUTED_VALUE"""),"AMD")</f>
        <v>AMD</v>
      </c>
      <c r="D3779" s="196" t="str">
        <f>IFERROR(__xludf.DUMMYFUNCTION("""COMPUTED_VALUE"""),"- 200 PCS PAPER BAG, SISC WHITE, SMALL
- 200 PCS PAPER BAG, SISC WHITE, MEDIUM
- 200 PCS PAPER BAG, SISC WHITE, LARGE")</f>
        <v>- 200 PCS PAPER BAG, SISC WHITE, SMALL
- 200 PCS PAPER BAG, SISC WHITE, MEDIUM
- 200 PCS PAPER BAG, SISC WHITE, LARGE</v>
      </c>
      <c r="E3779" s="196" t="str">
        <f>IFERROR(__xludf.DUMMYFUNCTION("""COMPUTED_VALUE"""),"PACKAGING FOR INSTITUTIONAL TOKENS")</f>
        <v>PACKAGING FOR INSTITUTIONAL TOKENS</v>
      </c>
    </row>
    <row r="3780">
      <c r="A3780" s="234">
        <f>IFERROR(__xludf.DUMMYFUNCTION("""COMPUTED_VALUE"""),104071.0)</f>
        <v>104071</v>
      </c>
      <c r="B3780" s="235" t="str">
        <f>IFERROR(__xludf.DUMMYFUNCTION("""COMPUTED_VALUE"""),"PHEN PETIN")</f>
        <v>PHEN PETIN</v>
      </c>
      <c r="C3780" s="235" t="str">
        <f>IFERROR(__xludf.DUMMYFUNCTION("""COMPUTED_VALUE"""),"ADMIN STAR")</f>
        <v>ADMIN STAR</v>
      </c>
      <c r="D3780" s="196" t="str">
        <f>IFERROR(__xludf.DUMMYFUNCTION("""COMPUTED_VALUE"""),"DIFFUSER SIZE 117x26CM 10PCS
DIFFUSER 121.5CM x 61CM 25")</f>
        <v>DIFFUSER SIZE 117x26CM 10PCS
DIFFUSER 121.5CM x 61CM 25</v>
      </c>
      <c r="E3780" s="196" t="str">
        <f>IFERROR(__xludf.DUMMYFUNCTION("""COMPUTED_VALUE"""),"CHANGE BROKEN DIFFUSER SATAR CAMPUS ")</f>
        <v>CHANGE BROKEN DIFFUSER SATAR CAMPUS </v>
      </c>
    </row>
    <row r="3781">
      <c r="A3781" s="234">
        <f>IFERROR(__xludf.DUMMYFUNCTION("""COMPUTED_VALUE"""),104072.0)</f>
        <v>104072</v>
      </c>
      <c r="B3781" s="235" t="str">
        <f>IFERROR(__xludf.DUMMYFUNCTION("""COMPUTED_VALUE"""),"MARVING MARASIGAN")</f>
        <v>MARVING MARASIGAN</v>
      </c>
      <c r="C3781" s="235" t="str">
        <f>IFERROR(__xludf.DUMMYFUNCTION("""COMPUTED_VALUE"""),"PR")</f>
        <v>PR</v>
      </c>
      <c r="D3781" s="196" t="str">
        <f>IFERROR(__xludf.DUMMYFUNCTION("""COMPUTED_VALUE"""),"2ND SEMESTER ONGOING ADMISSION TARP 12.2 x 14.3FT 1")</f>
        <v>2ND SEMESTER ONGOING ADMISSION TARP 12.2 x 14.3FT 1</v>
      </c>
      <c r="E3781" s="196" t="str">
        <f>IFERROR(__xludf.DUMMYFUNCTION("""COMPUTED_VALUE"""),"MARKETING FOR SECOND SEMESTER")</f>
        <v>MARKETING FOR SECOND SEMESTER</v>
      </c>
    </row>
    <row r="3782">
      <c r="A3782" s="234">
        <f>IFERROR(__xludf.DUMMYFUNCTION("""COMPUTED_VALUE"""),104073.0)</f>
        <v>104073</v>
      </c>
      <c r="B3782" s="235" t="str">
        <f>IFERROR(__xludf.DUMMYFUNCTION("""COMPUTED_VALUE"""),"JOMEL BUTIAL")</f>
        <v>JOMEL BUTIAL</v>
      </c>
      <c r="C3782" s="235" t="str">
        <f>IFERROR(__xludf.DUMMYFUNCTION("""COMPUTED_VALUE"""),"PR")</f>
        <v>PR</v>
      </c>
      <c r="D3782" s="196" t="str">
        <f>IFERROR(__xludf.DUMMYFUNCTION("""COMPUTED_VALUE"""),"NURSING LICENSURE EXAM TARP 10x20FT 1")</f>
        <v>NURSING LICENSURE EXAM TARP 10x20FT 1</v>
      </c>
      <c r="E3782" s="196" t="str">
        <f>IFERROR(__xludf.DUMMYFUNCTION("""COMPUTED_VALUE"""),"MARKETING ")</f>
        <v>MARKETING </v>
      </c>
    </row>
    <row r="3783">
      <c r="A3783" s="234">
        <f>IFERROR(__xludf.DUMMYFUNCTION("""COMPUTED_VALUE"""),104074.0)</f>
        <v>104074</v>
      </c>
      <c r="B3783" s="235" t="str">
        <f>IFERROR(__xludf.DUMMYFUNCTION("""COMPUTED_VALUE"""),"SHEREE ESPINOSA")</f>
        <v>SHEREE ESPINOSA</v>
      </c>
      <c r="C3783" s="235" t="str">
        <f>IFERROR(__xludf.DUMMYFUNCTION("""COMPUTED_VALUE"""),"ADMIN")</f>
        <v>ADMIN</v>
      </c>
      <c r="D3783" s="196" t="str">
        <f>IFERROR(__xludf.DUMMYFUNCTION("""COMPUTED_VALUE"""),"TISSUE HOLDERS 5
TISSUE ROLLS 16
2")</f>
        <v>TISSUE HOLDERS 5
TISSUE ROLLS 16
2</v>
      </c>
      <c r="E3783" s="196" t="str">
        <f>IFERROR(__xludf.DUMMYFUNCTION("""COMPUTED_VALUE"""),"FOR LUX TOILETS USE")</f>
        <v>FOR LUX TOILETS USE</v>
      </c>
    </row>
    <row r="3784">
      <c r="A3784" s="234">
        <f>IFERROR(__xludf.DUMMYFUNCTION("""COMPUTED_VALUE"""),104075.0)</f>
        <v>104075</v>
      </c>
      <c r="B3784" s="235" t="str">
        <f>IFERROR(__xludf.DUMMYFUNCTION("""COMPUTED_VALUE"""),"EVA M. NECOSIA ")</f>
        <v>EVA M. NECOSIA </v>
      </c>
      <c r="C3784" s="235" t="str">
        <f>IFERROR(__xludf.DUMMYFUNCTION("""COMPUTED_VALUE"""),"FINANCE")</f>
        <v>FINANCE</v>
      </c>
      <c r="D3784" s="196" t="str">
        <f>IFERROR(__xludf.DUMMYFUNCTION("""COMPUTED_VALUE"""),"TRODAT S- 826D  2")</f>
        <v>TRODAT S- 826D  2</v>
      </c>
      <c r="E3784" s="196" t="str">
        <f>IFERROR(__xludf.DUMMYFUNCTION("""COMPUTED_VALUE"""),"FOR OFFICE USE")</f>
        <v>FOR OFFICE USE</v>
      </c>
    </row>
    <row r="3785">
      <c r="A3785" s="234">
        <f>IFERROR(__xludf.DUMMYFUNCTION("""COMPUTED_VALUE"""),104076.0)</f>
        <v>104076</v>
      </c>
      <c r="B3785" s="235" t="str">
        <f>IFERROR(__xludf.DUMMYFUNCTION("""COMPUTED_VALUE"""),"SHEREE ESPINOSA")</f>
        <v>SHEREE ESPINOSA</v>
      </c>
      <c r="C3785" s="235" t="str">
        <f>IFERROR(__xludf.DUMMYFUNCTION("""COMPUTED_VALUE"""),"ADMIN")</f>
        <v>ADMIN</v>
      </c>
      <c r="D3785" s="196" t="str">
        <f>IFERROR(__xludf.DUMMYFUNCTION("""COMPUTED_VALUE"""),"SOFA 2 SETS")</f>
        <v>SOFA 2 SETS</v>
      </c>
      <c r="E3785" s="196" t="str">
        <f>IFERROR(__xludf.DUMMYFUNCTION("""COMPUTED_VALUE"""),"
""REPLACEMENT FOR A NEW SOFA FOR PR AND REGS""")</f>
        <v>
"REPLACEMENT FOR A NEW SOFA FOR PR AND REGS"</v>
      </c>
    </row>
    <row r="3786">
      <c r="A3786" s="234">
        <f>IFERROR(__xludf.DUMMYFUNCTION("""COMPUTED_VALUE"""),104077.0)</f>
        <v>104077</v>
      </c>
      <c r="B3786" s="235" t="str">
        <f>IFERROR(__xludf.DUMMYFUNCTION("""COMPUTED_VALUE"""),"JED AWARADO")</f>
        <v>JED AWARADO</v>
      </c>
      <c r="C3786" s="235" t="str">
        <f>IFERROR(__xludf.DUMMYFUNCTION("""COMPUTED_VALUE"""),"STUDENT AFFAIRS BED")</f>
        <v>STUDENT AFFAIRS BED</v>
      </c>
      <c r="D3786" s="196" t="str">
        <f>IFERROR(__xludf.DUMMYFUNCTION("""COMPUTED_VALUE"""),"GRADUATION PICTORIAL/ YEARBOOK PICTURES- cancelled (transfered to SRF)")</f>
        <v>GRADUATION PICTORIAL/ YEARBOOK PICTURES- cancelled (transfered to SRF)</v>
      </c>
      <c r="E3786" s="196" t="str">
        <f>IFERROR(__xludf.DUMMYFUNCTION("""COMPUTED_VALUE"""),"GRADUATION PICTORIAL/ YEARBOOK PICTURES")</f>
        <v>GRADUATION PICTORIAL/ YEARBOOK PICTURES</v>
      </c>
    </row>
    <row r="3787">
      <c r="A3787" s="234">
        <f>IFERROR(__xludf.DUMMYFUNCTION("""COMPUTED_VALUE"""),104078.0)</f>
        <v>104078</v>
      </c>
      <c r="B3787" s="235" t="str">
        <f>IFERROR(__xludf.DUMMYFUNCTION("""COMPUTED_VALUE"""),"JOMEL BUTIAL")</f>
        <v>JOMEL BUTIAL</v>
      </c>
      <c r="C3787" s="235" t="str">
        <f>IFERROR(__xludf.DUMMYFUNCTION("""COMPUTED_VALUE"""),"PR")</f>
        <v>PR</v>
      </c>
      <c r="D3787" s="196" t="str">
        <f>IFERROR(__xludf.DUMMYFUNCTION("""COMPUTED_VALUE"""),"CONGRATULATORY TARP FOR DRA. ERICKA ANNE M. CANONIZADO TOP 2 CUM LAUDE")</f>
        <v>CONGRATULATORY TARP FOR DRA. ERICKA ANNE M. CANONIZADO TOP 2 CUM LAUDE</v>
      </c>
      <c r="E3787" s="196" t="str">
        <f>IFERROR(__xludf.DUMMYFUNCTION("""COMPUTED_VALUE"""),"ANNOUNCEMENT/ CONGRATULATORY TARP")</f>
        <v>ANNOUNCEMENT/ CONGRATULATORY TARP</v>
      </c>
    </row>
    <row r="3788">
      <c r="A3788" s="234">
        <f>IFERROR(__xludf.DUMMYFUNCTION("""COMPUTED_VALUE"""),104079.0)</f>
        <v>104079</v>
      </c>
      <c r="B3788" s="235" t="str">
        <f>IFERROR(__xludf.DUMMYFUNCTION("""COMPUTED_VALUE"""),"ALLISTINE PEREZ")</f>
        <v>ALLISTINE PEREZ</v>
      </c>
      <c r="C3788" s="235" t="str">
        <f>IFERROR(__xludf.DUMMYFUNCTION("""COMPUTED_VALUE"""),"REGISTRATION")</f>
        <v>REGISTRATION</v>
      </c>
      <c r="D3788" s="196" t="str">
        <f>IFERROR(__xludf.DUMMYFUNCTION("""COMPUTED_VALUE"""),"LETTER ENVELOPE (PLEASE SEE ATTACHED SAMPLE)")</f>
        <v>LETTER ENVELOPE (PLEASE SEE ATTACHED SAMPLE)</v>
      </c>
      <c r="E3788" s="196" t="str">
        <f>IFERROR(__xludf.DUMMYFUNCTION("""COMPUTED_VALUE"""),"FOR PTC USE, FOR CREDENTIAL USE")</f>
        <v>FOR PTC USE, FOR CREDENTIAL USE</v>
      </c>
    </row>
    <row r="3789">
      <c r="A3789" s="234">
        <f>IFERROR(__xludf.DUMMYFUNCTION("""COMPUTED_VALUE"""),104080.0)</f>
        <v>104080</v>
      </c>
      <c r="B3789" s="235" t="str">
        <f>IFERROR(__xludf.DUMMYFUNCTION("""COMPUTED_VALUE"""),"BRIAN PATAG")</f>
        <v>BRIAN PATAG</v>
      </c>
      <c r="C3789" s="235" t="str">
        <f>IFERROR(__xludf.DUMMYFUNCTION("""COMPUTED_VALUE"""),"AMD")</f>
        <v>AMD</v>
      </c>
      <c r="D3789" s="196" t="str">
        <f>IFERROR(__xludf.DUMMYFUNCTION("""COMPUTED_VALUE"""),"TOILET BOWL CLEANER 50")</f>
        <v>TOILET BOWL CLEANER 50</v>
      </c>
      <c r="E3789" s="196" t="str">
        <f>IFERROR(__xludf.DUMMYFUNCTION("""COMPUTED_VALUE"""),"FOR HOUSEKEEPING REPLENISHMENT")</f>
        <v>FOR HOUSEKEEPING REPLENISHMENT</v>
      </c>
    </row>
    <row r="3790">
      <c r="A3790" s="234">
        <f>IFERROR(__xludf.DUMMYFUNCTION("""COMPUTED_VALUE"""),104081.0)</f>
        <v>104081</v>
      </c>
      <c r="B3790" s="235" t="str">
        <f>IFERROR(__xludf.DUMMYFUNCTION("""COMPUTED_VALUE"""),"SHEREE ESPINOSA")</f>
        <v>SHEREE ESPINOSA</v>
      </c>
      <c r="C3790" s="235" t="str">
        <f>IFERROR(__xludf.DUMMYFUNCTION("""COMPUTED_VALUE"""),"ADMIN")</f>
        <v>ADMIN</v>
      </c>
      <c r="D3790" s="196" t="str">
        <f>IFERROR(__xludf.DUMMYFUNCTION("""COMPUTED_VALUE"""),"60x60 TILES 100PCS")</f>
        <v>60x60 TILES 100PCS</v>
      </c>
      <c r="E3790" s="196" t="str">
        <f>IFERROR(__xludf.DUMMYFUNCTION("""COMPUTED_VALUE"""),"TILES FOR LUX BUILDING CLASSROOMS AND HALLWAYS")</f>
        <v>TILES FOR LUX BUILDING CLASSROOMS AND HALLWAYS</v>
      </c>
    </row>
    <row r="3791">
      <c r="A3791" s="234">
        <f>IFERROR(__xludf.DUMMYFUNCTION("""COMPUTED_VALUE"""),104082.0)</f>
        <v>104082</v>
      </c>
      <c r="B3791" s="235" t="str">
        <f>IFERROR(__xludf.DUMMYFUNCTION("""COMPUTED_VALUE"""),"ELMIE LAUDIATO")</f>
        <v>ELMIE LAUDIATO</v>
      </c>
      <c r="C3791" s="235" t="str">
        <f>IFERROR(__xludf.DUMMYFUNCTION("""COMPUTED_VALUE"""),"HRMD")</f>
        <v>HRMD</v>
      </c>
      <c r="D3791" s="196" t="str">
        <f>IFERROR(__xludf.DUMMYFUNCTION("""COMPUTED_VALUE"""),"FLOWER WREATH FOR THE DEMISE OF SIR EGAY'S STEPSON")</f>
        <v>FLOWER WREATH FOR THE DEMISE OF SIR EGAY'S STEPSON</v>
      </c>
      <c r="E3791" s="196" t="str">
        <f>IFERROR(__xludf.DUMMYFUNCTION("""COMPUTED_VALUE"""),"FLOWER WREATH FOR THE DEMISE OF SIR EGAY'S STEPSON")</f>
        <v>FLOWER WREATH FOR THE DEMISE OF SIR EGAY'S STEPSON</v>
      </c>
    </row>
    <row r="3792">
      <c r="A3792" s="234">
        <f>IFERROR(__xludf.DUMMYFUNCTION("""COMPUTED_VALUE"""),104083.0)</f>
        <v>104083</v>
      </c>
      <c r="B3792" s="235" t="str">
        <f>IFERROR(__xludf.DUMMYFUNCTION("""COMPUTED_VALUE"""),"BRIAN PATAG")</f>
        <v>BRIAN PATAG</v>
      </c>
      <c r="C3792" s="235" t="str">
        <f>IFERROR(__xludf.DUMMYFUNCTION("""COMPUTED_VALUE"""),"AMD")</f>
        <v>AMD</v>
      </c>
      <c r="D3792" s="196" t="str">
        <f>IFERROR(__xludf.DUMMYFUNCTION("""COMPUTED_VALUE"""),"TOPLUSTER 50")</f>
        <v>TOPLUSTER 50</v>
      </c>
      <c r="E3792" s="196" t="str">
        <f>IFERROR(__xludf.DUMMYFUNCTION("""COMPUTED_VALUE"""),"HOUSEKEEPING REPLENISHMENT")</f>
        <v>HOUSEKEEPING REPLENISHMENT</v>
      </c>
    </row>
    <row r="3793">
      <c r="A3793" s="234">
        <f>IFERROR(__xludf.DUMMYFUNCTION("""COMPUTED_VALUE"""),104084.0)</f>
        <v>104084</v>
      </c>
      <c r="B3793" s="235" t="str">
        <f>IFERROR(__xludf.DUMMYFUNCTION("""COMPUTED_VALUE"""),"BRIAN PATAG")</f>
        <v>BRIAN PATAG</v>
      </c>
      <c r="C3793" s="235" t="str">
        <f>IFERROR(__xludf.DUMMYFUNCTION("""COMPUTED_VALUE"""),"AMD")</f>
        <v>AMD</v>
      </c>
      <c r="D3793" s="196" t="str">
        <f>IFERROR(__xludf.DUMMYFUNCTION("""COMPUTED_VALUE"""),"AEROSENSE 30")</f>
        <v>AEROSENSE 30</v>
      </c>
      <c r="E3793" s="196" t="str">
        <f>IFERROR(__xludf.DUMMYFUNCTION("""COMPUTED_VALUE"""),"HOUSEKEEPING REPLENISHMENT")</f>
        <v>HOUSEKEEPING REPLENISHMENT</v>
      </c>
    </row>
    <row r="3794">
      <c r="A3794" s="234">
        <f>IFERROR(__xludf.DUMMYFUNCTION("""COMPUTED_VALUE"""),104085.0)</f>
        <v>104085</v>
      </c>
      <c r="B3794" s="235" t="str">
        <f>IFERROR(__xludf.DUMMYFUNCTION("""COMPUTED_VALUE"""),"SHEREE ESPINOSA ")</f>
        <v>SHEREE ESPINOSA </v>
      </c>
      <c r="C3794" s="235" t="str">
        <f>IFERROR(__xludf.DUMMYFUNCTION("""COMPUTED_VALUE"""),"ADMIN")</f>
        <v>ADMIN</v>
      </c>
      <c r="D3794" s="196" t="str">
        <f>IFERROR(__xludf.DUMMYFUNCTION("""COMPUTED_VALUE"""),"DUMBELL RACK 1 PC
WEIGHT PLATE RACK 1PC")</f>
        <v>DUMBELL RACK 1 PC
WEIGHT PLATE RACK 1PC</v>
      </c>
      <c r="E3794" s="196" t="str">
        <f>IFERROR(__xludf.DUMMYFUNCTION("""COMPUTED_VALUE"""),"MONARCHS FITNESS HUB")</f>
        <v>MONARCHS FITNESS HUB</v>
      </c>
    </row>
    <row r="3795">
      <c r="A3795" s="234">
        <f>IFERROR(__xludf.DUMMYFUNCTION("""COMPUTED_VALUE"""),104086.0)</f>
        <v>104086</v>
      </c>
      <c r="B3795" s="235" t="str">
        <f>IFERROR(__xludf.DUMMYFUNCTION("""COMPUTED_VALUE"""),"ROY MARK RECOMENDABLE")</f>
        <v>ROY MARK RECOMENDABLE</v>
      </c>
      <c r="C3795" s="235" t="str">
        <f>IFERROR(__xludf.DUMMYFUNCTION("""COMPUTED_VALUE"""),"REGISTRATION")</f>
        <v>REGISTRATION</v>
      </c>
      <c r="D3795" s="196" t="str">
        <f>IFERROR(__xludf.DUMMYFUNCTION("""COMPUTED_VALUE"""),"OFFICE WAREHOUSE STORAGE BOX W LID")</f>
        <v>OFFICE WAREHOUSE STORAGE BOX W LID</v>
      </c>
      <c r="E3795" s="196" t="str">
        <f>IFERROR(__xludf.DUMMYFUNCTION("""COMPUTED_VALUE"""),"TO ORGANIZE FILES FOR RELEASE")</f>
        <v>TO ORGANIZE FILES FOR RELEASE</v>
      </c>
    </row>
    <row r="3796">
      <c r="A3796" s="234">
        <f>IFERROR(__xludf.DUMMYFUNCTION("""COMPUTED_VALUE"""),104087.0)</f>
        <v>104087</v>
      </c>
      <c r="B3796" s="235" t="str">
        <f>IFERROR(__xludf.DUMMYFUNCTION("""COMPUTED_VALUE"""),"SHEREE ESPINOSA")</f>
        <v>SHEREE ESPINOSA</v>
      </c>
      <c r="C3796" s="235" t="str">
        <f>IFERROR(__xludf.DUMMYFUNCTION("""COMPUTED_VALUE"""),"ADMIN")</f>
        <v>ADMIN</v>
      </c>
      <c r="D3796" s="196" t="str">
        <f>IFERROR(__xludf.DUMMYFUNCTION("""COMPUTED_VALUE"""),"TISSUE, JUMBO ROLL, 200 METERS - 50ROLLS")</f>
        <v>TISSUE, JUMBO ROLL, 200 METERS - 50ROLLS</v>
      </c>
      <c r="E3796" s="196" t="str">
        <f>IFERROR(__xludf.DUMMYFUNCTION("""COMPUTED_VALUE"""),"FOR CRS ( LUX, TROPICAL, COLLEGE)")</f>
        <v>FOR CRS ( LUX, TROPICAL, COLLEGE)</v>
      </c>
    </row>
    <row r="3797">
      <c r="A3797" s="234">
        <f>IFERROR(__xludf.DUMMYFUNCTION("""COMPUTED_VALUE"""),104088.0)</f>
        <v>104088</v>
      </c>
      <c r="B3797" s="235" t="str">
        <f>IFERROR(__xludf.DUMMYFUNCTION("""COMPUTED_VALUE"""),"JHOY  ILAO")</f>
        <v>JHOY  ILAO</v>
      </c>
      <c r="C3797" s="235" t="str">
        <f>IFERROR(__xludf.DUMMYFUNCTION("""COMPUTED_VALUE"""),"STUDENT AFFAIRS")</f>
        <v>STUDENT AFFAIRS</v>
      </c>
      <c r="D3797" s="196" t="str">
        <f>IFERROR(__xludf.DUMMYFUNCTION("""COMPUTED_VALUE"""),"FLOWERS FOR DERBY RAY D. YAP 
ST PETER CHAPEL ROOM 606 ")</f>
        <v>FLOWERS FOR DERBY RAY D. YAP 
ST PETER CHAPEL ROOM 606 </v>
      </c>
      <c r="E3797" s="196" t="str">
        <f>IFERROR(__xludf.DUMMYFUNCTION("""COMPUTED_VALUE"""),"DEATH OF ALUMNI")</f>
        <v>DEATH OF ALUMNI</v>
      </c>
    </row>
    <row r="3798">
      <c r="A3798" s="234">
        <f>IFERROR(__xludf.DUMMYFUNCTION("""COMPUTED_VALUE"""),104089.0)</f>
        <v>104089</v>
      </c>
      <c r="B3798" s="235" t="str">
        <f>IFERROR(__xludf.DUMMYFUNCTION("""COMPUTED_VALUE"""),"JHOY  ILAO")</f>
        <v>JHOY  ILAO</v>
      </c>
      <c r="C3798" s="235" t="str">
        <f>IFERROR(__xludf.DUMMYFUNCTION("""COMPUTED_VALUE"""),"STUDENT AFFAIRS")</f>
        <v>STUDENT AFFAIRS</v>
      </c>
      <c r="D3798" s="196" t="str">
        <f>IFERROR(__xludf.DUMMYFUNCTION("""COMPUTED_VALUE"""),"FLOWERS FOR ANNA N. CASTILLOLA 
LA FUNERARIA PAZ")</f>
        <v>FLOWERS FOR ANNA N. CASTILLOLA 
LA FUNERARIA PAZ</v>
      </c>
      <c r="E3798" s="196" t="str">
        <f>IFERROR(__xludf.DUMMYFUNCTION("""COMPUTED_VALUE"""),"DEATH OF ALUMNI")</f>
        <v>DEATH OF ALUMNI</v>
      </c>
    </row>
    <row r="3799">
      <c r="A3799" s="234">
        <f>IFERROR(__xludf.DUMMYFUNCTION("""COMPUTED_VALUE"""),104090.0)</f>
        <v>104090</v>
      </c>
      <c r="B3799" s="235" t="str">
        <f>IFERROR(__xludf.DUMMYFUNCTION("""COMPUTED_VALUE"""),"RHEA JOVEREZ")</f>
        <v>RHEA JOVEREZ</v>
      </c>
      <c r="C3799" s="235" t="str">
        <f>IFERROR(__xludf.DUMMYFUNCTION("""COMPUTED_VALUE"""),"PR")</f>
        <v>PR</v>
      </c>
      <c r="D3799" s="196" t="str">
        <f>IFERROR(__xludf.DUMMYFUNCTION("""COMPUTED_VALUE"""),"STEEL CABINET  PEDESTAL 3 DRAWER GRAY 2PCS
STEEL CABINET 24INCHES(HEIGHT) x 31 INCHES WIDTH 2PCS")</f>
        <v>STEEL CABINET  PEDESTAL 3 DRAWER GRAY 2PCS
STEEL CABINET 24INCHES(HEIGHT) x 31 INCHES WIDTH 2PCS</v>
      </c>
      <c r="E3799" s="196" t="str">
        <f>IFERROR(__xludf.DUMMYFUNCTION("""COMPUTED_VALUE"""),"OFFICE USE")</f>
        <v>OFFICE USE</v>
      </c>
    </row>
    <row r="3800">
      <c r="A3800" s="234">
        <f>IFERROR(__xludf.DUMMYFUNCTION("""COMPUTED_VALUE"""),104091.0)</f>
        <v>104091</v>
      </c>
      <c r="B3800" s="235" t="str">
        <f>IFERROR(__xludf.DUMMYFUNCTION("""COMPUTED_VALUE"""),"JESUIT CHRISTIAN GALICIA")</f>
        <v>JESUIT CHRISTIAN GALICIA</v>
      </c>
      <c r="C3800" s="235" t="str">
        <f>IFERROR(__xludf.DUMMYFUNCTION("""COMPUTED_VALUE"""),"AMD")</f>
        <v>AMD</v>
      </c>
      <c r="D3800" s="196" t="str">
        <f>IFERROR(__xludf.DUMMYFUNCTION("""COMPUTED_VALUE"""),"ELECTRICAL TAPE (ARMAK) 50PCS
LED BULB 8W DAYLIGHT- PHILIPS 150PCS
FAUCET TANSO (ORDINARY) 30PCS
FLEXIBLE HOSE 1/2 x 1/2 30PCS
DEADBOLT (STANLEY) 20PCS
P TRAP STAINLESS SET WITH PO PLUG 30")</f>
        <v>ELECTRICAL TAPE (ARMAK) 50PCS
LED BULB 8W DAYLIGHT- PHILIPS 150PCS
FAUCET TANSO (ORDINARY) 30PCS
FLEXIBLE HOSE 1/2 x 1/2 30PCS
DEADBOLT (STANLEY) 20PCS
P TRAP STAINLESS SET WITH PO PLUG 30</v>
      </c>
      <c r="E3800" s="196" t="str">
        <f>IFERROR(__xludf.DUMMYFUNCTION("""COMPUTED_VALUE"""),"ENGINEERING WAREHOUSE STOCK REPLENISHMENT")</f>
        <v>ENGINEERING WAREHOUSE STOCK REPLENISHMENT</v>
      </c>
    </row>
    <row r="3801">
      <c r="A3801" s="234">
        <f>IFERROR(__xludf.DUMMYFUNCTION("""COMPUTED_VALUE"""),104092.0)</f>
        <v>104092</v>
      </c>
      <c r="B3801" s="235" t="str">
        <f>IFERROR(__xludf.DUMMYFUNCTION("""COMPUTED_VALUE"""),"CHARLES DONOR")</f>
        <v>CHARLES DONOR</v>
      </c>
      <c r="C3801" s="235" t="str">
        <f>IFERROR(__xludf.DUMMYFUNCTION("""COMPUTED_VALUE"""),"AMD")</f>
        <v>AMD</v>
      </c>
      <c r="D3801" s="196" t="str">
        <f>IFERROR(__xludf.DUMMYFUNCTION("""COMPUTED_VALUE"""),"ENVELOPE, SISC LETTER COLORED W/O WINDOW - 3000 pcs
ENVELOPE, SISC LETTER COLORED W/ WINDOW - 2000 pcs")</f>
        <v>ENVELOPE, SISC LETTER COLORED W/O WINDOW - 3000 pcs
ENVELOPE, SISC LETTER COLORED W/ WINDOW - 2000 pcs</v>
      </c>
      <c r="E3801" s="196" t="str">
        <f>IFERROR(__xludf.DUMMYFUNCTION("""COMPUTED_VALUE"""),"OSSUP- STOCK REPLENISHMENT")</f>
        <v>OSSUP- STOCK REPLENISHMENT</v>
      </c>
    </row>
    <row r="3802">
      <c r="A3802" s="234">
        <f>IFERROR(__xludf.DUMMYFUNCTION("""COMPUTED_VALUE"""),104093.0)</f>
        <v>104093</v>
      </c>
      <c r="B3802" s="235" t="str">
        <f>IFERROR(__xludf.DUMMYFUNCTION("""COMPUTED_VALUE"""),"CHARLES DONOR")</f>
        <v>CHARLES DONOR</v>
      </c>
      <c r="C3802" s="235" t="str">
        <f>IFERROR(__xludf.DUMMYFUNCTION("""COMPUTED_VALUE"""),"AMD")</f>
        <v>AMD</v>
      </c>
      <c r="D3802" s="196" t="str">
        <f>IFERROR(__xludf.DUMMYFUNCTION("""COMPUTED_VALUE"""),"TISSUE, ROLL BATH 2PLY (SANICARE) - 288 PCS")</f>
        <v>TISSUE, ROLL BATH 2PLY (SANICARE) - 288 PCS</v>
      </c>
      <c r="E3802" s="196" t="str">
        <f>IFERROR(__xludf.DUMMYFUNCTION("""COMPUTED_VALUE"""),"OSSUP- STOCK REPLENISHMENT")</f>
        <v>OSSUP- STOCK REPLENISHMENT</v>
      </c>
    </row>
    <row r="3803">
      <c r="A3803" s="234">
        <f>IFERROR(__xludf.DUMMYFUNCTION("""COMPUTED_VALUE"""),104094.0)</f>
        <v>104094</v>
      </c>
      <c r="B3803" s="235" t="str">
        <f>IFERROR(__xludf.DUMMYFUNCTION("""COMPUTED_VALUE"""),"RONALDO VERDE")</f>
        <v>RONALDO VERDE</v>
      </c>
      <c r="C3803" s="235" t="str">
        <f>IFERROR(__xludf.DUMMYFUNCTION("""COMPUTED_VALUE"""),"ADMIN")</f>
        <v>ADMIN</v>
      </c>
      <c r="D3803" s="196" t="str">
        <f>IFERROR(__xludf.DUMMYFUNCTION("""COMPUTED_VALUE"""),"RUBBERIZED PAINT (BEIGE) 15 GALLON
REDUCER 5 GALLON
PAINT ROLLER 3 3PCS
PAINT BRUSH #2 3PCS
ROOF GUARD BAGUIO GREEN 1 TIN")</f>
        <v>RUBBERIZED PAINT (BEIGE) 15 GALLON
REDUCER 5 GALLON
PAINT ROLLER 3 3PCS
PAINT BRUSH #2 3PCS
ROOF GUARD BAGUIO GREEN 1 TIN</v>
      </c>
      <c r="E3803" s="196" t="str">
        <f>IFERROR(__xludf.DUMMYFUNCTION("""COMPUTED_VALUE"""),"BUILDING MAINTENANCE LUX")</f>
        <v>BUILDING MAINTENANCE LUX</v>
      </c>
    </row>
    <row r="3804">
      <c r="A3804" s="234">
        <f>IFERROR(__xludf.DUMMYFUNCTION("""COMPUTED_VALUE"""),104095.0)</f>
        <v>104095</v>
      </c>
      <c r="B3804" s="235" t="str">
        <f>IFERROR(__xludf.DUMMYFUNCTION("""COMPUTED_VALUE"""),"RONALDO VERDE")</f>
        <v>RONALDO VERDE</v>
      </c>
      <c r="C3804" s="235" t="str">
        <f>IFERROR(__xludf.DUMMYFUNCTION("""COMPUTED_VALUE"""),"ADMIN")</f>
        <v>ADMIN</v>
      </c>
      <c r="D3804" s="196" t="str">
        <f>IFERROR(__xludf.DUMMYFUNCTION("""COMPUTED_VALUE"""),"QDE WHITE 3 TIN
FLAT WALL ENAMEL 3 TIN
SANDING PAPER #100 5 METERS
PAINT ROLLER 5 PCS
PAINT BRUSH #2 5PCS
PAINT THINNER 3 GALLON
POLITUFF W/ HARDENER 1 GALLON")</f>
        <v>QDE WHITE 3 TIN
FLAT WALL ENAMEL 3 TIN
SANDING PAPER #100 5 METERS
PAINT ROLLER 5 PCS
PAINT BRUSH #2 5PCS
PAINT THINNER 3 GALLON
POLITUFF W/ HARDENER 1 GALLON</v>
      </c>
      <c r="E3804" s="196" t="str">
        <f>IFERROR(__xludf.DUMMYFUNCTION("""COMPUTED_VALUE"""),"CAMPUS PERIMETER PREVENTIVE MAINTENANCE")</f>
        <v>CAMPUS PERIMETER PREVENTIVE MAINTENANCE</v>
      </c>
    </row>
    <row r="3805">
      <c r="A3805" s="234">
        <f>IFERROR(__xludf.DUMMYFUNCTION("""COMPUTED_VALUE"""),104096.0)</f>
        <v>104096</v>
      </c>
      <c r="B3805" s="235" t="str">
        <f>IFERROR(__xludf.DUMMYFUNCTION("""COMPUTED_VALUE"""),"NESSIE LUMBRES")</f>
        <v>NESSIE LUMBRES</v>
      </c>
      <c r="C3805" s="235" t="str">
        <f>IFERROR(__xludf.DUMMYFUNCTION("""COMPUTED_VALUE"""),"K12/UX-HS")</f>
        <v>K12/UX-HS</v>
      </c>
      <c r="D3805" s="196" t="str">
        <f>IFERROR(__xludf.DUMMYFUNCTION("""COMPUTED_VALUE"""),"ZION DE LUXE MASSAGE CHAIR 2")</f>
        <v>ZION DE LUXE MASSAGE CHAIR 2</v>
      </c>
      <c r="E3805" s="196" t="str">
        <f>IFERROR(__xludf.DUMMYFUNCTION("""COMPUTED_VALUE"""),"FOR TEACHERS WELL BEING PROGRAM")</f>
        <v>FOR TEACHERS WELL BEING PROGRAM</v>
      </c>
    </row>
    <row r="3806">
      <c r="A3806" s="234">
        <f>IFERROR(__xludf.DUMMYFUNCTION("""COMPUTED_VALUE"""),104097.0)</f>
        <v>104097</v>
      </c>
      <c r="B3806" s="235" t="str">
        <f>IFERROR(__xludf.DUMMYFUNCTION("""COMPUTED_VALUE"""),"OWIE PAR")</f>
        <v>OWIE PAR</v>
      </c>
      <c r="C3806" s="235" t="str">
        <f>IFERROR(__xludf.DUMMYFUNCTION("""COMPUTED_VALUE"""),"ENGINEERING")</f>
        <v>ENGINEERING</v>
      </c>
      <c r="D3806" s="196" t="str">
        <f>IFERROR(__xludf.DUMMYFUNCTION("""COMPUTED_VALUE"""),"2.5 HP WALL MOUNTED INVERTER 1UNIT")</f>
        <v>2.5 HP WALL MOUNTED INVERTER 1UNIT</v>
      </c>
      <c r="E3806" s="196" t="str">
        <f>IFERROR(__xludf.DUMMYFUNCTION("""COMPUTED_VALUE"""),"ACU REPLACEMENT OF OLD UNIT MUNICH RM 108")</f>
        <v>ACU REPLACEMENT OF OLD UNIT MUNICH RM 108</v>
      </c>
    </row>
    <row r="3807">
      <c r="A3807" s="234">
        <f>IFERROR(__xludf.DUMMYFUNCTION("""COMPUTED_VALUE"""),104098.0)</f>
        <v>104098</v>
      </c>
      <c r="B3807" s="235" t="str">
        <f>IFERROR(__xludf.DUMMYFUNCTION("""COMPUTED_VALUE"""),"CHRISTIAN ANDRES")</f>
        <v>CHRISTIAN ANDRES</v>
      </c>
      <c r="C3807" s="235" t="str">
        <f>IFERROR(__xludf.DUMMYFUNCTION("""COMPUTED_VALUE"""),"PR")</f>
        <v>PR</v>
      </c>
      <c r="D3807" s="196" t="str">
        <f>IFERROR(__xludf.DUMMYFUNCTION("""COMPUTED_VALUE"""),"SGEN MEDAL
GOLD 50
BRONZE 50
SILVER 50
BRASS 50")</f>
        <v>SGEN MEDAL
GOLD 50
BRONZE 50
SILVER 50
BRASS 50</v>
      </c>
      <c r="E3807" s="196" t="str">
        <f>IFERROR(__xludf.DUMMYFUNCTION("""COMPUTED_VALUE"""),"MARKETING, PROMOTIONS, CORPORATE EVENT")</f>
        <v>MARKETING, PROMOTIONS, CORPORATE EVENT</v>
      </c>
    </row>
    <row r="3808">
      <c r="A3808" s="234">
        <f>IFERROR(__xludf.DUMMYFUNCTION("""COMPUTED_VALUE"""),104099.0)</f>
        <v>104099</v>
      </c>
      <c r="B3808" s="235" t="str">
        <f>IFERROR(__xludf.DUMMYFUNCTION("""COMPUTED_VALUE"""),"RONALDO VERDE")</f>
        <v>RONALDO VERDE</v>
      </c>
      <c r="C3808" s="235" t="str">
        <f>IFERROR(__xludf.DUMMYFUNCTION("""COMPUTED_VALUE"""),"ADMIN")</f>
        <v>ADMIN</v>
      </c>
      <c r="D3808" s="196" t="str">
        <f>IFERROR(__xludf.DUMMYFUNCTION("""COMPUTED_VALUE"""),"WALL FAN  1 UNIT- CANCELLED")</f>
        <v>WALL FAN  1 UNIT- CANCELLED</v>
      </c>
      <c r="E3808" s="196" t="str">
        <f>IFERROR(__xludf.DUMMYFUNCTION("""COMPUTED_VALUE"""),"FOR GLL SCHOLAR (SYCAMORE)")</f>
        <v>FOR GLL SCHOLAR (SYCAMORE)</v>
      </c>
    </row>
    <row r="3809">
      <c r="A3809" s="234">
        <f>IFERROR(__xludf.DUMMYFUNCTION("""COMPUTED_VALUE"""),104100.0)</f>
        <v>104100</v>
      </c>
      <c r="B3809" s="235" t="str">
        <f>IFERROR(__xludf.DUMMYFUNCTION("""COMPUTED_VALUE"""),"SHEREE ESPINOSA")</f>
        <v>SHEREE ESPINOSA</v>
      </c>
      <c r="C3809" s="235" t="str">
        <f>IFERROR(__xludf.DUMMYFUNCTION("""COMPUTED_VALUE"""),"ADMIN")</f>
        <v>ADMIN</v>
      </c>
      <c r="D3809" s="196" t="str">
        <f>IFERROR(__xludf.DUMMYFUNCTION("""COMPUTED_VALUE"""),"TOILET BOWL SET (BEIGE)  2SETS")</f>
        <v>TOILET BOWL SET (BEIGE)  2SETS</v>
      </c>
      <c r="E3809" s="196" t="str">
        <f>IFERROR(__xludf.DUMMYFUNCTION("""COMPUTED_VALUE"""),"FOR CEM BOARD ROOM CR")</f>
        <v>FOR CEM BOARD ROOM CR</v>
      </c>
    </row>
    <row r="3810">
      <c r="A3810" s="234">
        <f>IFERROR(__xludf.DUMMYFUNCTION("""COMPUTED_VALUE"""),104101.0)</f>
        <v>104101</v>
      </c>
      <c r="B3810" s="235" t="str">
        <f>IFERROR(__xludf.DUMMYFUNCTION("""COMPUTED_VALUE"""),"SHEREE ESPINOSA")</f>
        <v>SHEREE ESPINOSA</v>
      </c>
      <c r="C3810" s="235" t="str">
        <f>IFERROR(__xludf.DUMMYFUNCTION("""COMPUTED_VALUE"""),"ADMIN")</f>
        <v>ADMIN</v>
      </c>
      <c r="D3810" s="196" t="str">
        <f>IFERROR(__xludf.DUMMYFUNCTION("""COMPUTED_VALUE"""),"SOFA 1 SET")</f>
        <v>SOFA 1 SET</v>
      </c>
      <c r="E3810" s="196" t="str">
        <f>IFERROR(__xludf.DUMMYFUNCTION("""COMPUTED_VALUE"""),"IB SOFA")</f>
        <v>IB SOFA</v>
      </c>
    </row>
    <row r="3811">
      <c r="A3811" s="234">
        <f>IFERROR(__xludf.DUMMYFUNCTION("""COMPUTED_VALUE"""),104102.0)</f>
        <v>104102</v>
      </c>
      <c r="B3811" s="235" t="str">
        <f>IFERROR(__xludf.DUMMYFUNCTION("""COMPUTED_VALUE"""),"ANN DELA ISLA")</f>
        <v>ANN DELA ISLA</v>
      </c>
      <c r="C3811" s="235" t="str">
        <f>IFERROR(__xludf.DUMMYFUNCTION("""COMPUTED_VALUE"""),"IB")</f>
        <v>IB</v>
      </c>
      <c r="D3811" s="196" t="str">
        <f>IFERROR(__xludf.DUMMYFUNCTION("""COMPUTED_VALUE"""),"IB LABORATORY MATERIALS")</f>
        <v>IB LABORATORY MATERIALS</v>
      </c>
      <c r="E3811" s="196" t="str">
        <f>IFERROR(__xludf.DUMMYFUNCTION("""COMPUTED_VALUE"""),"LABORATORY USAGE")</f>
        <v>LABORATORY USAGE</v>
      </c>
    </row>
    <row r="3812">
      <c r="A3812" s="234">
        <f>IFERROR(__xludf.DUMMYFUNCTION("""COMPUTED_VALUE"""),104103.0)</f>
        <v>104103</v>
      </c>
      <c r="B3812" s="235" t="str">
        <f>IFERROR(__xludf.DUMMYFUNCTION("""COMPUTED_VALUE"""),"ANN DELA ISLA")</f>
        <v>ANN DELA ISLA</v>
      </c>
      <c r="C3812" s="235" t="str">
        <f>IFERROR(__xludf.DUMMYFUNCTION("""COMPUTED_VALUE"""),"IB")</f>
        <v>IB</v>
      </c>
      <c r="D3812" s="196" t="str">
        <f>IFERROR(__xludf.DUMMYFUNCTION("""COMPUTED_VALUE"""),"IB LABORATORY MATERIALS")</f>
        <v>IB LABORATORY MATERIALS</v>
      </c>
      <c r="E3812" s="196" t="str">
        <f>IFERROR(__xludf.DUMMYFUNCTION("""COMPUTED_VALUE"""),"LABORATORY USAGE")</f>
        <v>LABORATORY USAGE</v>
      </c>
    </row>
    <row r="3813">
      <c r="A3813" s="234">
        <f>IFERROR(__xludf.DUMMYFUNCTION("""COMPUTED_VALUE"""),104104.0)</f>
        <v>104104</v>
      </c>
      <c r="B3813" s="235" t="str">
        <f>IFERROR(__xludf.DUMMYFUNCTION("""COMPUTED_VALUE"""),"EVA M. NECOSIA ")</f>
        <v>EVA M. NECOSIA </v>
      </c>
      <c r="C3813" s="235" t="str">
        <f>IFERROR(__xludf.DUMMYFUNCTION("""COMPUTED_VALUE"""),"FINANCE")</f>
        <v>FINANCE</v>
      </c>
      <c r="D3813" s="196" t="str">
        <f>IFERROR(__xludf.DUMMYFUNCTION("""COMPUTED_VALUE"""),"STORAGE BOX FOR FILING 10PCS")</f>
        <v>STORAGE BOX FOR FILING 10PCS</v>
      </c>
      <c r="E3813" s="196" t="str">
        <f>IFERROR(__xludf.DUMMYFUNCTION("""COMPUTED_VALUE"""),"FOR STORAGE OF FILES (FILING)")</f>
        <v>FOR STORAGE OF FILES (FILING)</v>
      </c>
    </row>
    <row r="3814">
      <c r="A3814" s="234">
        <f>IFERROR(__xludf.DUMMYFUNCTION("""COMPUTED_VALUE"""),104105.0)</f>
        <v>104105</v>
      </c>
      <c r="B3814" s="235" t="str">
        <f>IFERROR(__xludf.DUMMYFUNCTION("""COMPUTED_VALUE"""),"MARK PABUSTAN")</f>
        <v>MARK PABUSTAN</v>
      </c>
      <c r="C3814" s="235" t="str">
        <f>IFERROR(__xludf.DUMMYFUNCTION("""COMPUTED_VALUE"""),"ROBOTICS")</f>
        <v>ROBOTICS</v>
      </c>
      <c r="D3814" s="196" t="str">
        <f>IFERROR(__xludf.DUMMYFUNCTION("""COMPUTED_VALUE"""),"ULTRA SONIC RANGING SENSOR HC-SR04 40
BREADBOARD MB 102 830 POINT 40
BREADBOARD 400 TIE POINT INTERLOCKING SOLDERLESS 40
LCD I2C 1602 DISPLAY MODULE YELLOW 40
COLOR SENSOR TCS3200 40
LED 3MM YELLOW 5PCS 20
LED 3MM RED 5PCS 20
LES 3MM GREEN 5PCS 20
DC MOTO"&amp;"R 130 10
SERVO MINI TOWER PRO 9G SG- 90 10")</f>
        <v>ULTRA SONIC RANGING SENSOR HC-SR04 40
BREADBOARD MB 102 830 POINT 40
BREADBOARD 400 TIE POINT INTERLOCKING SOLDERLESS 40
LCD I2C 1602 DISPLAY MODULE YELLOW 40
COLOR SENSOR TCS3200 40
LED 3MM YELLOW 5PCS 20
LED 3MM RED 5PCS 20
LES 3MM GREEN 5PCS 20
DC MOTOR 130 10
SERVO MINI TOWER PRO 9G SG- 90 10</v>
      </c>
      <c r="E3814" s="196" t="str">
        <f>IFERROR(__xludf.DUMMYFUNCTION("""COMPUTED_VALUE"""),"FOR ROBOTICS LABORATORY CLASS AND REPLENISH STOCKS")</f>
        <v>FOR ROBOTICS LABORATORY CLASS AND REPLENISH STOCKS</v>
      </c>
    </row>
    <row r="3815">
      <c r="A3815" s="234">
        <f>IFERROR(__xludf.DUMMYFUNCTION("""COMPUTED_VALUE"""),104106.0)</f>
        <v>104106</v>
      </c>
      <c r="B3815" s="235" t="str">
        <f>IFERROR(__xludf.DUMMYFUNCTION("""COMPUTED_VALUE"""),"JOHN CARLO CAMPIT")</f>
        <v>JOHN CARLO CAMPIT</v>
      </c>
      <c r="C3815" s="235" t="str">
        <f>IFERROR(__xludf.DUMMYFUNCTION("""COMPUTED_VALUE"""),"ABU")</f>
        <v>ABU</v>
      </c>
      <c r="D3815" s="196" t="str">
        <f>IFERROR(__xludf.DUMMYFUNCTION("""COMPUTED_VALUE"""),"WATER SUB METER 1")</f>
        <v>WATER SUB METER 1</v>
      </c>
      <c r="E3815" s="196" t="str">
        <f>IFERROR(__xludf.DUMMYFUNCTION("""COMPUTED_VALUE"""),"REPLACEMENT OF WATER SUB METER OF HUNGRY TUMMY (ATE LUDY)")</f>
        <v>REPLACEMENT OF WATER SUB METER OF HUNGRY TUMMY (ATE LUDY)</v>
      </c>
    </row>
    <row r="3816">
      <c r="A3816" s="234">
        <f>IFERROR(__xludf.DUMMYFUNCTION("""COMPUTED_VALUE"""),104107.0)</f>
        <v>104107</v>
      </c>
      <c r="B3816" s="235" t="str">
        <f>IFERROR(__xludf.DUMMYFUNCTION("""COMPUTED_VALUE"""),"LUCILLE BEYER")</f>
        <v>LUCILLE BEYER</v>
      </c>
      <c r="C3816" s="235" t="str">
        <f>IFERROR(__xludf.DUMMYFUNCTION("""COMPUTED_VALUE"""),"MEDICAL")</f>
        <v>MEDICAL</v>
      </c>
      <c r="D3816" s="196" t="str">
        <f>IFERROR(__xludf.DUMMYFUNCTION("""COMPUTED_VALUE"""),"SEE ATTACHED LIST OF MEDICAL SUPPLIES AND MEDICINES FOR PURCHASE")</f>
        <v>SEE ATTACHED LIST OF MEDICAL SUPPLIES AND MEDICINES FOR PURCHASE</v>
      </c>
      <c r="E3816" s="196" t="str">
        <f>IFERROR(__xludf.DUMMYFUNCTION("""COMPUTED_VALUE"""),"REPLENISH CLINIC SUPPLIES AND MEDICINES FOR 3 CLINICS")</f>
        <v>REPLENISH CLINIC SUPPLIES AND MEDICINES FOR 3 CLINICS</v>
      </c>
    </row>
    <row r="3817">
      <c r="A3817" s="234">
        <f>IFERROR(__xludf.DUMMYFUNCTION("""COMPUTED_VALUE"""),104108.0)</f>
        <v>104108</v>
      </c>
      <c r="B3817" s="235" t="str">
        <f>IFERROR(__xludf.DUMMYFUNCTION("""COMPUTED_VALUE"""),"OWIE PAR")</f>
        <v>OWIE PAR</v>
      </c>
      <c r="C3817" s="235" t="str">
        <f>IFERROR(__xludf.DUMMYFUNCTION("""COMPUTED_VALUE"""),"ADMIN")</f>
        <v>ADMIN</v>
      </c>
      <c r="D3817" s="196" t="str">
        <f>IFERROR(__xludf.DUMMYFUNCTION("""COMPUTED_VALUE"""),"EXHAUST FAN WALL TYPE 12""x 12"" 2PCS")</f>
        <v>EXHAUST FAN WALL TYPE 12"x 12" 2PCS</v>
      </c>
      <c r="E3817" s="196" t="str">
        <f>IFERROR(__xludf.DUMMYFUNCTION("""COMPUTED_VALUE"""),"BUSTED EXHAUST FAN")</f>
        <v>BUSTED EXHAUST FAN</v>
      </c>
    </row>
    <row r="3818">
      <c r="A3818" s="234">
        <f>IFERROR(__xludf.DUMMYFUNCTION("""COMPUTED_VALUE"""),104109.0)</f>
        <v>104109</v>
      </c>
      <c r="B3818" s="235" t="str">
        <f>IFERROR(__xludf.DUMMYFUNCTION("""COMPUTED_VALUE"""),"CHARLES DONOR")</f>
        <v>CHARLES DONOR</v>
      </c>
      <c r="C3818" s="235" t="str">
        <f>IFERROR(__xludf.DUMMYFUNCTION("""COMPUTED_VALUE"""),"AMD")</f>
        <v>AMD</v>
      </c>
      <c r="D3818" s="196" t="str">
        <f>IFERROR(__xludf.DUMMYFUNCTION("""COMPUTED_VALUE"""),"FARGO HDP500 YMCK COLOR RIBBON 10PCS")</f>
        <v>FARGO HDP500 YMCK COLOR RIBBON 10PCS</v>
      </c>
      <c r="E3818" s="196" t="str">
        <f>IFERROR(__xludf.DUMMYFUNCTION("""COMPUTED_VALUE"""),"OSSUP- STOCK REPLENISHMENT")</f>
        <v>OSSUP- STOCK REPLENISHMENT</v>
      </c>
    </row>
    <row r="3819">
      <c r="A3819" s="234">
        <f>IFERROR(__xludf.DUMMYFUNCTION("""COMPUTED_VALUE"""),104110.0)</f>
        <v>104110</v>
      </c>
      <c r="B3819" s="235" t="str">
        <f>IFERROR(__xludf.DUMMYFUNCTION("""COMPUTED_VALUE"""),"CHARLES DONOR")</f>
        <v>CHARLES DONOR</v>
      </c>
      <c r="C3819" s="235" t="str">
        <f>IFERROR(__xludf.DUMMYFUNCTION("""COMPUTED_VALUE"""),"AMD")</f>
        <v>AMD</v>
      </c>
      <c r="D3819" s="196" t="str">
        <f>IFERROR(__xludf.DUMMYFUNCTION("""COMPUTED_VALUE"""),"TAPE, DOUBLE SIDED TAPE W/O FOAM, 70 PCS. ")</f>
        <v>TAPE, DOUBLE SIDED TAPE W/O FOAM, 70 PCS. </v>
      </c>
      <c r="E3819" s="196" t="str">
        <f>IFERROR(__xludf.DUMMYFUNCTION("""COMPUTED_VALUE"""),"OSSUP- STOCK REPLENISHMENT")</f>
        <v>OSSUP- STOCK REPLENISHMENT</v>
      </c>
    </row>
    <row r="3820">
      <c r="A3820" s="234">
        <f>IFERROR(__xludf.DUMMYFUNCTION("""COMPUTED_VALUE"""),104111.0)</f>
        <v>104111</v>
      </c>
      <c r="B3820" s="235" t="str">
        <f>IFERROR(__xludf.DUMMYFUNCTION("""COMPUTED_VALUE"""),"CHRISTIAN ANDRES")</f>
        <v>CHRISTIAN ANDRES</v>
      </c>
      <c r="C3820" s="235" t="str">
        <f>IFERROR(__xludf.DUMMYFUNCTION("""COMPUTED_VALUE"""),"PR &amp; MARKETING")</f>
        <v>PR &amp; MARKETING</v>
      </c>
      <c r="D3820" s="196" t="str">
        <f>IFERROR(__xludf.DUMMYFUNCTION("""COMPUTED_VALUE"""),"PARKING TARP ENTRANCE
120x56INCH
NO SEAMING
NO EYELET
NO BLACKOUT")</f>
        <v>PARKING TARP ENTRANCE
120x56INCH
NO SEAMING
NO EYELET
NO BLACKOUT</v>
      </c>
      <c r="E3820" s="196" t="str">
        <f>IFERROR(__xludf.DUMMYFUNCTION("""COMPUTED_VALUE"""),"PROMOTION")</f>
        <v>PROMOTION</v>
      </c>
    </row>
    <row r="3821">
      <c r="A3821" s="234">
        <f>IFERROR(__xludf.DUMMYFUNCTION("""COMPUTED_VALUE"""),104112.0)</f>
        <v>104112</v>
      </c>
      <c r="B3821" s="235" t="str">
        <f>IFERROR(__xludf.DUMMYFUNCTION("""COMPUTED_VALUE"""),"CHRISTIAN ANDRES")</f>
        <v>CHRISTIAN ANDRES</v>
      </c>
      <c r="C3821" s="235" t="str">
        <f>IFERROR(__xludf.DUMMYFUNCTION("""COMPUTED_VALUE"""),"PR &amp; MARKETING")</f>
        <v>PR &amp; MARKETING</v>
      </c>
      <c r="D3821" s="196" t="str">
        <f>IFERROR(__xludf.DUMMYFUNCTION("""COMPUTED_VALUE"""),"STAR CAMPUS TARP
10x24FT
EYELET ALL OVER
WITH SEAMING
BLACKOUT")</f>
        <v>STAR CAMPUS TARP
10x24FT
EYELET ALL OVER
WITH SEAMING
BLACKOUT</v>
      </c>
      <c r="E3821" s="196" t="str">
        <f>IFERROR(__xludf.DUMMYFUNCTION("""COMPUTED_VALUE"""),"PROMOTION")</f>
        <v>PROMOTION</v>
      </c>
    </row>
    <row r="3822">
      <c r="A3822" s="234">
        <f>IFERROR(__xludf.DUMMYFUNCTION("""COMPUTED_VALUE"""),104113.0)</f>
        <v>104113</v>
      </c>
      <c r="B3822" s="235" t="str">
        <f>IFERROR(__xludf.DUMMYFUNCTION("""COMPUTED_VALUE"""),"CHRISTIAN ANDRES")</f>
        <v>CHRISTIAN ANDRES</v>
      </c>
      <c r="C3822" s="235" t="str">
        <f>IFERROR(__xludf.DUMMYFUNCTION("""COMPUTED_VALUE"""),"PR &amp; MARKETING")</f>
        <v>PR &amp; MARKETING</v>
      </c>
      <c r="D3822" s="196" t="str">
        <f>IFERROR(__xludf.DUMMYFUNCTION("""COMPUTED_VALUE"""),"STAR CAMPUS ALONG THE HIGWAY TARP (1)
10x17 FT")</f>
        <v>STAR CAMPUS ALONG THE HIGWAY TARP (1)
10x17 FT</v>
      </c>
      <c r="E3822" s="196" t="str">
        <f>IFERROR(__xludf.DUMMYFUNCTION("""COMPUTED_VALUE"""),"PROMOTION")</f>
        <v>PROMOTION</v>
      </c>
    </row>
    <row r="3823">
      <c r="A3823" s="234">
        <f>IFERROR(__xludf.DUMMYFUNCTION("""COMPUTED_VALUE"""),104114.0)</f>
        <v>104114</v>
      </c>
      <c r="B3823" s="235" t="str">
        <f>IFERROR(__xludf.DUMMYFUNCTION("""COMPUTED_VALUE"""),"ANGELO PARAS")</f>
        <v>ANGELO PARAS</v>
      </c>
      <c r="C3823" s="235" t="str">
        <f>IFERROR(__xludf.DUMMYFUNCTION("""COMPUTED_VALUE"""),"BASIC ED, SCIENCE LAB")</f>
        <v>BASIC ED, SCIENCE LAB</v>
      </c>
      <c r="D3823" s="196" t="str">
        <f>IFERROR(__xludf.DUMMYFUNCTION("""COMPUTED_VALUE"""),"PULLEY WITH CLAMP (12PCS)
SLOTTED WEIGHT SET (WITH HANGER) 100G, 250G IF POSSIBLE (12PCS)
PHENOLPHTHELEIN (2LTRS)
KNIFE (3PCS)
SCISSORS(STAINLESS STEEL)  (6PCS)
TOWEL FOR CLEANING AND DRYING (20PCS)
PLASTIC CUPS 12 OZ (500PCS)
PAPER TOWELS (10PACKS)")</f>
        <v>PULLEY WITH CLAMP (12PCS)
SLOTTED WEIGHT SET (WITH HANGER) 100G, 250G IF POSSIBLE (12PCS)
PHENOLPHTHELEIN (2LTRS)
KNIFE (3PCS)
SCISSORS(STAINLESS STEEL)  (6PCS)
TOWEL FOR CLEANING AND DRYING (20PCS)
PLASTIC CUPS 12 OZ (500PCS)
PAPER TOWELS (10PACKS)</v>
      </c>
      <c r="E3823" s="196" t="str">
        <f>IFERROR(__xludf.DUMMYFUNCTION("""COMPUTED_VALUE"""),"FOR USE IN SCIENCE LAB EXPERIMENTS AND PROJECTS")</f>
        <v>FOR USE IN SCIENCE LAB EXPERIMENTS AND PROJECTS</v>
      </c>
    </row>
    <row r="3824">
      <c r="A3824" s="234">
        <f>IFERROR(__xludf.DUMMYFUNCTION("""COMPUTED_VALUE"""),104115.0)</f>
        <v>104115</v>
      </c>
      <c r="B3824" s="235" t="str">
        <f>IFERROR(__xludf.DUMMYFUNCTION("""COMPUTED_VALUE"""),"SHEREE ESPINOSA")</f>
        <v>SHEREE ESPINOSA</v>
      </c>
      <c r="C3824" s="235" t="str">
        <f>IFERROR(__xludf.DUMMYFUNCTION("""COMPUTED_VALUE"""),"ADMIN")</f>
        <v>ADMIN</v>
      </c>
      <c r="D3824" s="196" t="str">
        <f>IFERROR(__xludf.DUMMYFUNCTION("""COMPUTED_VALUE"""),"LINOLEUM FLOORING
640 SQM (13ROLLS) 1 LOT")</f>
        <v>LINOLEUM FLOORING
640 SQM (13ROLLS) 1 LOT</v>
      </c>
      <c r="E3824" s="196" t="str">
        <f>IFERROR(__xludf.DUMMYFUNCTION("""COMPUTED_VALUE"""),"REPLACEMENT ON LUX HALL FLOORING
(EXISTING LENOLEUM IN ALREADY ACCIDENT PRONE DUE TO WEAR AND TEAR)")</f>
        <v>REPLACEMENT ON LUX HALL FLOORING
(EXISTING LENOLEUM IN ALREADY ACCIDENT PRONE DUE TO WEAR AND TEAR)</v>
      </c>
    </row>
    <row r="3825">
      <c r="A3825" s="234">
        <f>IFERROR(__xludf.DUMMYFUNCTION("""COMPUTED_VALUE"""),104116.0)</f>
        <v>104116</v>
      </c>
      <c r="B3825" s="235" t="str">
        <f>IFERROR(__xludf.DUMMYFUNCTION("""COMPUTED_VALUE"""),"CHARLES DONOR")</f>
        <v>CHARLES DONOR</v>
      </c>
      <c r="C3825" s="235" t="str">
        <f>IFERROR(__xludf.DUMMYFUNCTION("""COMPUTED_VALUE"""),"AMD")</f>
        <v>AMD</v>
      </c>
      <c r="D3825" s="196" t="str">
        <f>IFERROR(__xludf.DUMMYFUNCTION("""COMPUTED_VALUE"""),"70% ISOPHROPYL ALCOHOL GALLON - 200 gal")</f>
        <v>70% ISOPHROPYL ALCOHOL GALLON - 200 gal</v>
      </c>
      <c r="E3825" s="196" t="str">
        <f>IFERROR(__xludf.DUMMYFUNCTION("""COMPUTED_VALUE"""),"STOCK REPLENISHMENT")</f>
        <v>STOCK REPLENISHMENT</v>
      </c>
    </row>
    <row r="3826">
      <c r="A3826" s="234">
        <f>IFERROR(__xludf.DUMMYFUNCTION("""COMPUTED_VALUE"""),104117.0)</f>
        <v>104117</v>
      </c>
      <c r="B3826" s="235" t="str">
        <f>IFERROR(__xludf.DUMMYFUNCTION("""COMPUTED_VALUE"""),"OWIE PAR")</f>
        <v>OWIE PAR</v>
      </c>
      <c r="C3826" s="235" t="str">
        <f>IFERROR(__xludf.DUMMYFUNCTION("""COMPUTED_VALUE"""),"ENGINEERING")</f>
        <v>ENGINEERING</v>
      </c>
      <c r="D3826" s="196" t="str">
        <f>IFERROR(__xludf.DUMMYFUNCTION("""COMPUTED_VALUE"""),"SOCCER FIELD LIGHTS 6UNITS")</f>
        <v>SOCCER FIELD LIGHTS 6UNITS</v>
      </c>
      <c r="E3826" s="196" t="str">
        <f>IFERROR(__xludf.DUMMYFUNCTION("""COMPUTED_VALUE"""),"ADDITIONAL LIGHTS FOR SOCCER FIELDS")</f>
        <v>ADDITIONAL LIGHTS FOR SOCCER FIELDS</v>
      </c>
    </row>
    <row r="3827">
      <c r="A3827" s="234">
        <f>IFERROR(__xludf.DUMMYFUNCTION("""COMPUTED_VALUE"""),104118.0)</f>
        <v>104118</v>
      </c>
      <c r="B3827" s="235" t="str">
        <f>IFERROR(__xludf.DUMMYFUNCTION("""COMPUTED_VALUE"""),"LUCILLE BEYER")</f>
        <v>LUCILLE BEYER</v>
      </c>
      <c r="C3827" s="235" t="str">
        <f>IFERROR(__xludf.DUMMYFUNCTION("""COMPUTED_VALUE"""),"MEDICAL")</f>
        <v>MEDICAL</v>
      </c>
      <c r="D3827" s="196" t="str">
        <f>IFERROR(__xludf.DUMMYFUNCTION("""COMPUTED_VALUE"""),"TAGGING CARDS( RED, GREEN, YELLOW, BLACK) 20PCS PER COLOR
BLANKET 20PCS DARK COLOR
BODY BAG/ CADAVER BAGS (S, M, L) 5PER SIZE
BODY TAG")</f>
        <v>TAGGING CARDS( RED, GREEN, YELLOW, BLACK) 20PCS PER COLOR
BLANKET 20PCS DARK COLOR
BODY BAG/ CADAVER BAGS (S, M, L) 5PER SIZE
BODY TAG</v>
      </c>
      <c r="E3827" s="196" t="str">
        <f>IFERROR(__xludf.DUMMYFUNCTION("""COMPUTED_VALUE"""),"ADDITIONAL CLINIC MATERIALS FOR USE DURING EMERGENCY (FOR PQA/ SITE VISIT)")</f>
        <v>ADDITIONAL CLINIC MATERIALS FOR USE DURING EMERGENCY (FOR PQA/ SITE VISIT)</v>
      </c>
    </row>
    <row r="3828">
      <c r="A3828" s="234">
        <f>IFERROR(__xludf.DUMMYFUNCTION("""COMPUTED_VALUE"""),104119.0)</f>
        <v>104119</v>
      </c>
      <c r="B3828" s="235" t="str">
        <f>IFERROR(__xludf.DUMMYFUNCTION("""COMPUTED_VALUE"""),"OWIE PAR")</f>
        <v>OWIE PAR</v>
      </c>
      <c r="C3828" s="235" t="str">
        <f>IFERROR(__xludf.DUMMYFUNCTION("""COMPUTED_VALUE"""),"ENGINEERING")</f>
        <v>ENGINEERING</v>
      </c>
      <c r="D3828" s="196" t="str">
        <f>IFERROR(__xludf.DUMMYFUNCTION("""COMPUTED_VALUE"""),"BI PIPE 1 1/4 x 20 2PCS
SQUARE BAR 12MM 5PCS
EPOXY PRIMIER GRAY 1 LITER
WELDING ROD 1KG")</f>
        <v>BI PIPE 1 1/4 x 20 2PCS
SQUARE BAR 12MM 5PCS
EPOXY PRIMIER GRAY 1 LITER
WELDING ROD 1KG</v>
      </c>
      <c r="E3828" s="196" t="str">
        <f>IFERROR(__xludf.DUMMYFUNCTION("""COMPUTED_VALUE"""),"FOR LUX CENTER ZONE FIRE EXIT")</f>
        <v>FOR LUX CENTER ZONE FIRE EXIT</v>
      </c>
    </row>
    <row r="3829">
      <c r="A3829" s="234">
        <f>IFERROR(__xludf.DUMMYFUNCTION("""COMPUTED_VALUE"""),104120.0)</f>
        <v>104120</v>
      </c>
      <c r="B3829" s="235" t="str">
        <f>IFERROR(__xludf.DUMMYFUNCTION("""COMPUTED_VALUE"""),"OWIE PAR")</f>
        <v>OWIE PAR</v>
      </c>
      <c r="C3829" s="235" t="str">
        <f>IFERROR(__xludf.DUMMYFUNCTION("""COMPUTED_VALUE"""),"ENGINEERING")</f>
        <v>ENGINEERING</v>
      </c>
      <c r="D3829" s="196" t="str">
        <f>IFERROR(__xludf.DUMMYFUNCTION("""COMPUTED_VALUE"""),"COTTON STRING 1/4 1 ROLL")</f>
        <v>COTTON STRING 1/4 1 ROLL</v>
      </c>
      <c r="E3829" s="196" t="str">
        <f>IFERROR(__xludf.DUMMYFUNCTION("""COMPUTED_VALUE"""),"FOR FLUX FLAG POLE")</f>
        <v>FOR FLUX FLAG POLE</v>
      </c>
    </row>
    <row r="3830">
      <c r="A3830" s="234">
        <f>IFERROR(__xludf.DUMMYFUNCTION("""COMPUTED_VALUE"""),104121.0)</f>
        <v>104121</v>
      </c>
      <c r="B3830" s="235" t="str">
        <f>IFERROR(__xludf.DUMMYFUNCTION("""COMPUTED_VALUE"""),"OWIE PAR")</f>
        <v>OWIE PAR</v>
      </c>
      <c r="C3830" s="235" t="str">
        <f>IFERROR(__xludf.DUMMYFUNCTION("""COMPUTED_VALUE"""),"ENGINEERING")</f>
        <v>ENGINEERING</v>
      </c>
      <c r="D3830" s="196" t="str">
        <f>IFERROR(__xludf.DUMMYFUNCTION("""COMPUTED_VALUE"""),"FORMICA LAMINATE 4PCS
RUGBY CEMENT 2 GALLONS")</f>
        <v>FORMICA LAMINATE 4PCS
RUGBY CEMENT 2 GALLONS</v>
      </c>
      <c r="E3830" s="196" t="str">
        <f>IFERROR(__xludf.DUMMYFUNCTION("""COMPUTED_VALUE"""),"FOR ACCOUNTING AND FINANCE DEPT. COUNTER TOP")</f>
        <v>FOR ACCOUNTING AND FINANCE DEPT. COUNTER TOP</v>
      </c>
    </row>
    <row r="3831">
      <c r="A3831" s="234">
        <f>IFERROR(__xludf.DUMMYFUNCTION("""COMPUTED_VALUE"""),104122.0)</f>
        <v>104122</v>
      </c>
      <c r="B3831" s="235" t="str">
        <f>IFERROR(__xludf.DUMMYFUNCTION("""COMPUTED_VALUE"""),"ALFA DE LEON")</f>
        <v>ALFA DE LEON</v>
      </c>
      <c r="C3831" s="235" t="str">
        <f>IFERROR(__xludf.DUMMYFUNCTION("""COMPUTED_VALUE"""),"MUNICH")</f>
        <v>MUNICH</v>
      </c>
      <c r="D3831" s="196" t="str">
        <f>IFERROR(__xludf.DUMMYFUNCTION("""COMPUTED_VALUE"""),"SINK PINK/ WHITE 1
18.5"" x 22""")</f>
        <v>SINK PINK/ WHITE 1
18.5" x 22"</v>
      </c>
      <c r="E3831" s="196" t="str">
        <f>IFERROR(__xludf.DUMMYFUNCTION("""COMPUTED_VALUE"""),"REPLACEMENT OF BROKEN SINK IN EW CR FEMALE")</f>
        <v>REPLACEMENT OF BROKEN SINK IN EW CR FEMALE</v>
      </c>
    </row>
    <row r="3832">
      <c r="A3832" s="234">
        <f>IFERROR(__xludf.DUMMYFUNCTION("""COMPUTED_VALUE"""),104123.0)</f>
        <v>104123</v>
      </c>
      <c r="B3832" s="235" t="str">
        <f>IFERROR(__xludf.DUMMYFUNCTION("""COMPUTED_VALUE"""),"ALFA DE LEON")</f>
        <v>ALFA DE LEON</v>
      </c>
      <c r="C3832" s="235" t="str">
        <f>IFERROR(__xludf.DUMMYFUNCTION("""COMPUTED_VALUE"""),"MUNICH")</f>
        <v>MUNICH</v>
      </c>
      <c r="D3832" s="196" t="str">
        <f>IFERROR(__xludf.DUMMYFUNCTION("""COMPUTED_VALUE"""),"WALL FAN 16"" COLOR BLUE-GRAY (1)")</f>
        <v>WALL FAN 16" COLOR BLUE-GRAY (1)</v>
      </c>
      <c r="E3832" s="196" t="str">
        <f>IFERROR(__xludf.DUMMYFUNCTION("""COMPUTED_VALUE"""),"REPLACEMENT OF BROKEN/ UNREPAIRED WALL FAN RM 312")</f>
        <v>REPLACEMENT OF BROKEN/ UNREPAIRED WALL FAN RM 312</v>
      </c>
    </row>
    <row r="3833">
      <c r="A3833" s="234">
        <f>IFERROR(__xludf.DUMMYFUNCTION("""COMPUTED_VALUE"""),104124.0)</f>
        <v>104124</v>
      </c>
      <c r="B3833" s="235" t="str">
        <f>IFERROR(__xludf.DUMMYFUNCTION("""COMPUTED_VALUE"""),"OWIE PAR")</f>
        <v>OWIE PAR</v>
      </c>
      <c r="C3833" s="235" t="str">
        <f>IFERROR(__xludf.DUMMYFUNCTION("""COMPUTED_VALUE"""),"ENGINEERING")</f>
        <v>ENGINEERING</v>
      </c>
      <c r="D3833" s="196" t="str">
        <f>IFERROR(__xludf.DUMMYFUNCTION("""COMPUTED_VALUE"""),"WALL MOUNTED TYPE 1.5HP DAIKEN INVERTER 1 UNIT
OLD UNIT
MODEL- CS-PC12EKQ
SERIAL 7182800959
TYPE WALL
BRAND PANASONIC
HP 1.5")</f>
        <v>WALL MOUNTED TYPE 1.5HP DAIKEN INVERTER 1 UNIT
OLD UNIT
MODEL- CS-PC12EKQ
SERIAL 7182800959
TYPE WALL
BRAND PANASONIC
HP 1.5</v>
      </c>
      <c r="E3833" s="196" t="str">
        <f>IFERROR(__xludf.DUMMYFUNCTION("""COMPUTED_VALUE"""),"REPLACEMENT OF OLD UNIT  BASIC ED  LIBRARY TECHNICAL AREA")</f>
        <v>REPLACEMENT OF OLD UNIT  BASIC ED  LIBRARY TECHNICAL AREA</v>
      </c>
    </row>
    <row r="3834">
      <c r="A3834" s="234">
        <f>IFERROR(__xludf.DUMMYFUNCTION("""COMPUTED_VALUE"""),104125.0)</f>
        <v>104125</v>
      </c>
      <c r="B3834" s="235" t="str">
        <f>IFERROR(__xludf.DUMMYFUNCTION("""COMPUTED_VALUE"""),"OWIE PAR")</f>
        <v>OWIE PAR</v>
      </c>
      <c r="C3834" s="235" t="str">
        <f>IFERROR(__xludf.DUMMYFUNCTION("""COMPUTED_VALUE"""),"ENGINEERING")</f>
        <v>ENGINEERING</v>
      </c>
      <c r="D3834" s="196" t="str">
        <f>IFERROR(__xludf.DUMMYFUNCTION("""COMPUTED_VALUE"""),"CEILING CASSETE TYPE 2.0HP INVERTER 1 UNIT")</f>
        <v>CEILING CASSETE TYPE 2.0HP INVERTER 1 UNIT</v>
      </c>
      <c r="E3834" s="196" t="str">
        <f>IFERROR(__xludf.DUMMYFUNCTION("""COMPUTED_VALUE"""),"REPLACEMENT OF OLD UNIT   ")</f>
        <v>REPLACEMENT OF OLD UNIT   </v>
      </c>
    </row>
    <row r="3835">
      <c r="A3835" s="234">
        <f>IFERROR(__xludf.DUMMYFUNCTION("""COMPUTED_VALUE"""),104126.0)</f>
        <v>104126</v>
      </c>
      <c r="B3835" s="235" t="str">
        <f>IFERROR(__xludf.DUMMYFUNCTION("""COMPUTED_VALUE"""),"OWIE PAR")</f>
        <v>OWIE PAR</v>
      </c>
      <c r="C3835" s="235" t="str">
        <f>IFERROR(__xludf.DUMMYFUNCTION("""COMPUTED_VALUE"""),"ENGINEERING")</f>
        <v>ENGINEERING</v>
      </c>
      <c r="D3835" s="196" t="str">
        <f>IFERROR(__xludf.DUMMYFUNCTION("""COMPUTED_VALUE"""),"CEILING CASSETTE TYPE 4.0HP DAIKEN INVERTER 1 UNIT")</f>
        <v>CEILING CASSETTE TYPE 4.0HP DAIKEN INVERTER 1 UNIT</v>
      </c>
      <c r="E3835" s="196" t="str">
        <f>IFERROR(__xludf.DUMMYFUNCTION("""COMPUTED_VALUE"""),"IMPROVEMENT OF VENTILLATION LUX ROBOTICS RM")</f>
        <v>IMPROVEMENT OF VENTILLATION LUX ROBOTICS RM</v>
      </c>
    </row>
    <row r="3836">
      <c r="A3836" s="234">
        <f>IFERROR(__xludf.DUMMYFUNCTION("""COMPUTED_VALUE"""),104127.0)</f>
        <v>104127</v>
      </c>
      <c r="B3836" s="235" t="str">
        <f>IFERROR(__xludf.DUMMYFUNCTION("""COMPUTED_VALUE"""),"JESUIT CHRISTIAN GALICIA")</f>
        <v>JESUIT CHRISTIAN GALICIA</v>
      </c>
      <c r="C3836" s="235" t="str">
        <f>IFERROR(__xludf.DUMMYFUNCTION("""COMPUTED_VALUE"""),"AMD")</f>
        <v>AMD</v>
      </c>
      <c r="D3836" s="196" t="str">
        <f>IFERROR(__xludf.DUMMYFUNCTION("""COMPUTED_VALUE"""),"TRODAT 4910 STAMP 
JESUIT CHRISTIAN GALICIA 1PC ( ROBOTO FONT)
NEIL BRYAN PATAG 1P ( ROBOTO FONT)")</f>
        <v>TRODAT 4910 STAMP 
JESUIT CHRISTIAN GALICIA 1PC ( ROBOTO FONT)
NEIL BRYAN PATAG 1P ( ROBOTO FONT)</v>
      </c>
      <c r="E3836" s="196" t="str">
        <f>IFERROR(__xludf.DUMMYFUNCTION("""COMPUTED_VALUE"""),"FOR OFFICE USE AND DOCUMENT STAMP")</f>
        <v>FOR OFFICE USE AND DOCUMENT STAMP</v>
      </c>
    </row>
    <row r="3837">
      <c r="A3837" s="234">
        <f>IFERROR(__xludf.DUMMYFUNCTION("""COMPUTED_VALUE"""),104128.0)</f>
        <v>104128</v>
      </c>
      <c r="B3837" s="235" t="str">
        <f>IFERROR(__xludf.DUMMYFUNCTION("""COMPUTED_VALUE"""),"OWIE PAR")</f>
        <v>OWIE PAR</v>
      </c>
      <c r="C3837" s="235" t="str">
        <f>IFERROR(__xludf.DUMMYFUNCTION("""COMPUTED_VALUE"""),"ENGINEERING")</f>
        <v>ENGINEERING</v>
      </c>
      <c r="D3837" s="196" t="str">
        <f>IFERROR(__xludf.DUMMYFUNCTION("""COMPUTED_VALUE"""),"BALL VALVE KITS1PC
PVC MALE ADAPTOR 2PCS
SOLVENT CEMENT 100CC 1 CAN")</f>
        <v>BALL VALVE KITS1PC
PVC MALE ADAPTOR 2PCS
SOLVENT CEMENT 100CC 1 CAN</v>
      </c>
      <c r="E3837" s="196" t="str">
        <f>IFERROR(__xludf.DUMMYFUNCTION("""COMPUTED_VALUE"""),"FOR COL CAFE MAIN WATER LINE GATE VALVE")</f>
        <v>FOR COL CAFE MAIN WATER LINE GATE VALVE</v>
      </c>
    </row>
    <row r="3838">
      <c r="A3838" s="234">
        <f>IFERROR(__xludf.DUMMYFUNCTION("""COMPUTED_VALUE"""),104129.0)</f>
        <v>104129</v>
      </c>
      <c r="B3838" s="235" t="str">
        <f>IFERROR(__xludf.DUMMYFUNCTION("""COMPUTED_VALUE"""),"BRIAN PATAG")</f>
        <v>BRIAN PATAG</v>
      </c>
      <c r="C3838" s="235" t="str">
        <f>IFERROR(__xludf.DUMMYFUNCTION("""COMPUTED_VALUE"""),"AMD")</f>
        <v>AMD</v>
      </c>
      <c r="D3838" s="196" t="str">
        <f>IFERROR(__xludf.DUMMYFUNCTION("""COMPUTED_VALUE"""),"TRASH BAG XXL CLEAR 50")</f>
        <v>TRASH BAG XXL CLEAR 50</v>
      </c>
      <c r="E3838" s="196" t="str">
        <f>IFERROR(__xludf.DUMMYFUNCTION("""COMPUTED_VALUE"""),"FRO HOUSEKEEPING REPLENISHMENT")</f>
        <v>FRO HOUSEKEEPING REPLENISHMENT</v>
      </c>
    </row>
    <row r="3839">
      <c r="A3839" s="234">
        <f>IFERROR(__xludf.DUMMYFUNCTION("""COMPUTED_VALUE"""),104130.0)</f>
        <v>104130</v>
      </c>
      <c r="B3839" s="235" t="str">
        <f>IFERROR(__xludf.DUMMYFUNCTION("""COMPUTED_VALUE"""),"CHARLES DONOR")</f>
        <v>CHARLES DONOR</v>
      </c>
      <c r="C3839" s="235" t="str">
        <f>IFERROR(__xludf.DUMMYFUNCTION("""COMPUTED_VALUE"""),"AMD")</f>
        <v>AMD</v>
      </c>
      <c r="D3839" s="196" t="str">
        <f>IFERROR(__xludf.DUMMYFUNCTION("""COMPUTED_VALUE"""),"PEN, SIGN-PILOT BX-V5 BLUE 240 pcs
PEN, SIGN-PILOT BX-V5 GREEN 300 pcs
PEN, SIGN-PILOT BX-V5 RED 240 pcs
BALLPEN, DONG-A MY GEL PEN BLACK 0.5 240 pcs
BALLPEN, DONG-A MY GEL PEN BLUE 0.5 240 pcs")</f>
        <v>PEN, SIGN-PILOT BX-V5 BLUE 240 pcs
PEN, SIGN-PILOT BX-V5 GREEN 300 pcs
PEN, SIGN-PILOT BX-V5 RED 240 pcs
BALLPEN, DONG-A MY GEL PEN BLACK 0.5 240 pcs
BALLPEN, DONG-A MY GEL PEN BLUE 0.5 240 pcs</v>
      </c>
      <c r="E3839" s="196" t="str">
        <f>IFERROR(__xludf.DUMMYFUNCTION("""COMPUTED_VALUE"""),"OSSUP-STOCK REPLENISHMENT ")</f>
        <v>OSSUP-STOCK REPLENISHMENT </v>
      </c>
    </row>
    <row r="3840">
      <c r="A3840" s="234">
        <f>IFERROR(__xludf.DUMMYFUNCTION("""COMPUTED_VALUE"""),104131.0)</f>
        <v>104131</v>
      </c>
      <c r="B3840" s="235" t="str">
        <f>IFERROR(__xludf.DUMMYFUNCTION("""COMPUTED_VALUE"""),"CHARLES DONOR")</f>
        <v>CHARLES DONOR</v>
      </c>
      <c r="C3840" s="235" t="str">
        <f>IFERROR(__xludf.DUMMYFUNCTION("""COMPUTED_VALUE"""),"AMD")</f>
        <v>AMD</v>
      </c>
      <c r="D3840" s="196" t="str">
        <f>IFERROR(__xludf.DUMMYFUNCTION("""COMPUTED_VALUE"""),"MARKER, WHITEBOARD- PILOT BLUE 300 PCS.
MARKER, WHITEBOARD- PILOT RED 120 PCS. 
")</f>
        <v>MARKER, WHITEBOARD- PILOT BLUE 300 PCS.
MARKER, WHITEBOARD- PILOT RED 120 PCS. 
</v>
      </c>
      <c r="E3840" s="196" t="str">
        <f>IFERROR(__xludf.DUMMYFUNCTION("""COMPUTED_VALUE"""),"OSSUP-STOCK REPLENISHMENT ")</f>
        <v>OSSUP-STOCK REPLENISHMENT </v>
      </c>
    </row>
    <row r="3841">
      <c r="A3841" s="234">
        <f>IFERROR(__xludf.DUMMYFUNCTION("""COMPUTED_VALUE"""),104132.0)</f>
        <v>104132</v>
      </c>
      <c r="B3841" s="235" t="str">
        <f>IFERROR(__xludf.DUMMYFUNCTION("""COMPUTED_VALUE"""),"ALFA DE LEON")</f>
        <v>ALFA DE LEON</v>
      </c>
      <c r="C3841" s="235" t="str">
        <f>IFERROR(__xludf.DUMMYFUNCTION("""COMPUTED_VALUE"""),"MUNICH")</f>
        <v>MUNICH</v>
      </c>
      <c r="D3841" s="196" t="str">
        <f>IFERROR(__xludf.DUMMYFUNCTION("""COMPUTED_VALUE"""),"ORBIT FAN (2) ")</f>
        <v>ORBIT FAN (2) </v>
      </c>
      <c r="E3841" s="196" t="str">
        <f>IFERROR(__xludf.DUMMYFUNCTION("""COMPUTED_VALUE"""),"REPLACEMENT OF ORBIT FAN  IN CLASSROOM 302 AND CAFETERIA")</f>
        <v>REPLACEMENT OF ORBIT FAN  IN CLASSROOM 302 AND CAFETERIA</v>
      </c>
    </row>
    <row r="3842">
      <c r="A3842" s="234">
        <f>IFERROR(__xludf.DUMMYFUNCTION("""COMPUTED_VALUE"""),104133.0)</f>
        <v>104133</v>
      </c>
      <c r="B3842" s="235" t="str">
        <f>IFERROR(__xludf.DUMMYFUNCTION("""COMPUTED_VALUE"""),"KIMBERLY L. DU")</f>
        <v>KIMBERLY L. DU</v>
      </c>
      <c r="C3842" s="235" t="str">
        <f>IFERROR(__xludf.DUMMYFUNCTION("""COMPUTED_VALUE"""),"LIBRARY COLLEGE")</f>
        <v>LIBRARY COLLEGE</v>
      </c>
      <c r="D3842" s="196" t="str">
        <f>IFERROR(__xludf.DUMMYFUNCTION("""COMPUTED_VALUE"""),"RUBBER COVER OR CAPS FOR CHAIR LEGS, 159 CHAIRS FOR COLLEGE LIBRARY ( 700PCS)")</f>
        <v>RUBBER COVER OR CAPS FOR CHAIR LEGS, 159 CHAIRS FOR COLLEGE LIBRARY ( 700PCS)</v>
      </c>
      <c r="E3842" s="196" t="str">
        <f>IFERROR(__xludf.DUMMYFUNCTION("""COMPUTED_VALUE"""),"NOISE REDUCTION IT ABSORBS IMPACT AND REDUCES FRICTION, LEADER TO QUIETER MOVEMENT OF CHAIRS")</f>
        <v>NOISE REDUCTION IT ABSORBS IMPACT AND REDUCES FRICTION, LEADER TO QUIETER MOVEMENT OF CHAIRS</v>
      </c>
    </row>
    <row r="3843">
      <c r="A3843" s="234">
        <f>IFERROR(__xludf.DUMMYFUNCTION("""COMPUTED_VALUE"""),104134.0)</f>
        <v>104134</v>
      </c>
      <c r="B3843" s="235" t="str">
        <f>IFERROR(__xludf.DUMMYFUNCTION("""COMPUTED_VALUE"""),"KIMBERLY L. DU")</f>
        <v>KIMBERLY L. DU</v>
      </c>
      <c r="C3843" s="235" t="str">
        <f>IFERROR(__xludf.DUMMYFUNCTION("""COMPUTED_VALUE"""),"LIBRARY COLLEGE")</f>
        <v>LIBRARY COLLEGE</v>
      </c>
      <c r="D3843" s="196" t="str">
        <f>IFERROR(__xludf.DUMMYFUNCTION("""COMPUTED_VALUE"""),"SIGNAGE FOR COLLEGE LIBRARY
-STAFF AREA (1), THESIS SECTION (1), CIRCULATION SECTION (1) 
FIRE EXTINGUISHER (1)
")</f>
        <v>SIGNAGE FOR COLLEGE LIBRARY
-STAFF AREA (1), THESIS SECTION (1), CIRCULATION SECTION (1) 
FIRE EXTINGUISHER (1)
</v>
      </c>
      <c r="E3843" s="196" t="str">
        <f>IFERROR(__xludf.DUMMYFUNCTION("""COMPUTED_VALUE"""),"SIGNAGE FOR COLLEGE LIBRARY SECTION AS PER REQUIREMENT OF PACUCOA")</f>
        <v>SIGNAGE FOR COLLEGE LIBRARY SECTION AS PER REQUIREMENT OF PACUCOA</v>
      </c>
    </row>
    <row r="3844">
      <c r="A3844" s="234">
        <f>IFERROR(__xludf.DUMMYFUNCTION("""COMPUTED_VALUE"""),104135.0)</f>
        <v>104135</v>
      </c>
      <c r="B3844" s="235" t="str">
        <f>IFERROR(__xludf.DUMMYFUNCTION("""COMPUTED_VALUE"""),"MELLISA NAVAL-ODONO")</f>
        <v>MELLISA NAVAL-ODONO</v>
      </c>
      <c r="C3844" s="235" t="str">
        <f>IFERROR(__xludf.DUMMYFUNCTION("""COMPUTED_VALUE"""),"LIBRARY COLLEGE")</f>
        <v>LIBRARY COLLEGE</v>
      </c>
      <c r="D3844" s="196" t="str">
        <f>IFERROR(__xludf.DUMMYFUNCTION("""COMPUTED_VALUE"""),"COLLEGE LIBRAY MMA BOOKS FOR PACUCOA
CRITICAL MEDIA STUDIES: AN INTRO (1)
FILM HISTORY: AN INTRO (1)
INSTAGRAM (1)
JOURNALISM IN THE DATA AGE (1)
LITERARINESS OF MEDIA ARTS (1)
MIXED METHODS PERSPECTIVE ON COMMUNICATION  (1)
PERFORMING TRAINING RECOMFIGUR"&amp;"ED (1)
POETRIES OF DIGITAL MEDIA (1)
SCENE WRITING (1)
SOUND EFFECT: USER GUIDE (1)
USING FILM AND MEDIA IN THE LANGUAGE CLASSROOM (1)
VIDEO THEORIES (1)
VISUAL ARTS (1)
WRITING FOR ANIMATION (1)")</f>
        <v>COLLEGE LIBRAY MMA BOOKS FOR PACUCOA
CRITICAL MEDIA STUDIES: AN INTRO (1)
FILM HISTORY: AN INTRO (1)
INSTAGRAM (1)
JOURNALISM IN THE DATA AGE (1)
LITERARINESS OF MEDIA ARTS (1)
MIXED METHODS PERSPECTIVE ON COMMUNICATION  (1)
PERFORMING TRAINING RECOMFIGURED (1)
POETRIES OF DIGITAL MEDIA (1)
SCENE WRITING (1)
SOUND EFFECT: USER GUIDE (1)
USING FILM AND MEDIA IN THE LANGUAGE CLASSROOM (1)
VIDEO THEORIES (1)
VISUAL ARTS (1)
WRITING FOR ANIMATION (1)</v>
      </c>
      <c r="E3844" s="196" t="str">
        <f>IFERROR(__xludf.DUMMYFUNCTION("""COMPUTED_VALUE"""),"FOR PACUCOA/ LIBRARY'S COPY")</f>
        <v>FOR PACUCOA/ LIBRARY'S COPY</v>
      </c>
    </row>
    <row r="3845">
      <c r="A3845" s="234">
        <f>IFERROR(__xludf.DUMMYFUNCTION("""COMPUTED_VALUE"""),104136.0)</f>
        <v>104136</v>
      </c>
      <c r="B3845" s="235" t="str">
        <f>IFERROR(__xludf.DUMMYFUNCTION("""COMPUTED_VALUE"""),"MELLISA NAVAL-ODONO")</f>
        <v>MELLISA NAVAL-ODONO</v>
      </c>
      <c r="C3845" s="235" t="str">
        <f>IFERROR(__xludf.DUMMYFUNCTION("""COMPUTED_VALUE"""),"LIBRARY COLLEGE")</f>
        <v>LIBRARY COLLEGE</v>
      </c>
      <c r="D3845" s="196" t="str">
        <f>IFERROR(__xludf.DUMMYFUNCTION("""COMPUTED_VALUE"""),"MIT TITLES (6) PACUCOA
CYBERSECURITY ALL IN ONE FOR 
DATA COMMUNICATION AND COMPUTER NETWORK
DISCOVERING COMPUTERS 
PROBABILITY AND STAT IN RELIABILITY QUEUEING AND COMPUTER SCIENCE
PROGRAMMING LOGIC AND DESIGN
TEACH YOURSELF VSUALLY WINDOWS")</f>
        <v>MIT TITLES (6) PACUCOA
CYBERSECURITY ALL IN ONE FOR 
DATA COMMUNICATION AND COMPUTER NETWORK
DISCOVERING COMPUTERS 
PROBABILITY AND STAT IN RELIABILITY QUEUEING AND COMPUTER SCIENCE
PROGRAMMING LOGIC AND DESIGN
TEACH YOURSELF VSUALLY WINDOWS</v>
      </c>
      <c r="E3845" s="196" t="str">
        <f>IFERROR(__xludf.DUMMYFUNCTION("""COMPUTED_VALUE"""),"PACUCOA/ FOR LIBRARYS COPY")</f>
        <v>PACUCOA/ FOR LIBRARYS COPY</v>
      </c>
    </row>
    <row r="3846">
      <c r="A3846" s="234">
        <f>IFERROR(__xludf.DUMMYFUNCTION("""COMPUTED_VALUE"""),104137.0)</f>
        <v>104137</v>
      </c>
      <c r="B3846" s="235" t="str">
        <f>IFERROR(__xludf.DUMMYFUNCTION("""COMPUTED_VALUE"""),"MELLISA NAVAL-ODONO")</f>
        <v>MELLISA NAVAL-ODONO</v>
      </c>
      <c r="C3846" s="235" t="str">
        <f>IFERROR(__xludf.DUMMYFUNCTION("""COMPUTED_VALUE"""),"LIBRARY COLLEGE")</f>
        <v>LIBRARY COLLEGE</v>
      </c>
      <c r="D3846" s="196" t="str">
        <f>IFERROR(__xludf.DUMMYFUNCTION("""COMPUTED_VALUE""")," GEN ED SUBJECTS (10) PACUCOA
APPLIED ETHICS: AN INTRODUCTION 
CHEMISTRY FOR 
ESSETIALS FO WRITING : THE TEN CORE CONCEPTS
PRACTICAL AND PROFESSIONAL ETHICS
PURPISIVE COMMUNICATION
THIS IS ENVIRONMENTAL ETHICS: AN INTRO
VIRTUE OF ETHICS AND CONTEMPORARY "&amp;"
IMPROVE YOUR GRAMMAR: ESSETIAL  GUIDE
LEARNIGN TO TEACH ENGLUSH AND LANGUAGE ARTS
PHILOSPHY OF : AN INTRO")</f>
        <v> GEN ED SUBJECTS (10) PACUCOA
APPLIED ETHICS: AN INTRODUCTION 
CHEMISTRY FOR 
ESSETIALS FO WRITING : THE TEN CORE CONCEPTS
PRACTICAL AND PROFESSIONAL ETHICS
PURPISIVE COMMUNICATION
THIS IS ENVIRONMENTAL ETHICS: AN INTRO
VIRTUE OF ETHICS AND CONTEMPORARY 
IMPROVE YOUR GRAMMAR: ESSETIAL  GUIDE
LEARNIGN TO TEACH ENGLUSH AND LANGUAGE ARTS
PHILOSPHY OF : AN INTRO</v>
      </c>
      <c r="E3846" s="196" t="str">
        <f>IFERROR(__xludf.DUMMYFUNCTION("""COMPUTED_VALUE"""),"PACUCOA/ FOR LIBRARYS COPY")</f>
        <v>PACUCOA/ FOR LIBRARYS COPY</v>
      </c>
    </row>
    <row r="3847">
      <c r="A3847" s="234">
        <f>IFERROR(__xludf.DUMMYFUNCTION("""COMPUTED_VALUE"""),104138.0)</f>
        <v>104138</v>
      </c>
      <c r="B3847" s="235" t="str">
        <f>IFERROR(__xludf.DUMMYFUNCTION("""COMPUTED_VALUE"""),"MELLISA NAVAL-ODONO")</f>
        <v>MELLISA NAVAL-ODONO</v>
      </c>
      <c r="C3847" s="235" t="str">
        <f>IFERROR(__xludf.DUMMYFUNCTION("""COMPUTED_VALUE"""),"LIBRARY COLLEGE")</f>
        <v>LIBRARY COLLEGE</v>
      </c>
      <c r="D3847" s="196" t="str">
        <f>IFERROR(__xludf.DUMMYFUNCTION("""COMPUTED_VALUE""")," GEN ED SUBJECTS (10) PACUCOA
APPLIED ETHICS: AN INTRODUCTION 
CHEMISTRY FOR 
ESSETIALS FO WRITING : THE TEN CORE CONCEPTS
PRACTICAL AND PROFESSIONAL ETHICS
PURPISIVE COMMUNICATION
THIS IS ENVIRONMENTAL ETHICS: AN INTRO
VIRTUE OF ETHICS AND CONTEMPORARY "&amp;"
IMPROVE YOUR GRAMMAR: ESSETIAL  GUIDE
LEARNIGN TO TEACH ENGLUSH AND LANGUAGE ARTS
PHILOSPHY OF : AN INTRO")</f>
        <v> GEN ED SUBJECTS (10) PACUCOA
APPLIED ETHICS: AN INTRODUCTION 
CHEMISTRY FOR 
ESSETIALS FO WRITING : THE TEN CORE CONCEPTS
PRACTICAL AND PROFESSIONAL ETHICS
PURPISIVE COMMUNICATION
THIS IS ENVIRONMENTAL ETHICS: AN INTRO
VIRTUE OF ETHICS AND CONTEMPORARY 
IMPROVE YOUR GRAMMAR: ESSETIAL  GUIDE
LEARNIGN TO TEACH ENGLUSH AND LANGUAGE ARTS
PHILOSPHY OF : AN INTRO</v>
      </c>
      <c r="E3847" s="196" t="str">
        <f>IFERROR(__xludf.DUMMYFUNCTION("""COMPUTED_VALUE"""),"PACUCOA/ FOR LIBRARYS COPY")</f>
        <v>PACUCOA/ FOR LIBRARYS COPY</v>
      </c>
    </row>
    <row r="3848">
      <c r="A3848" s="234">
        <f>IFERROR(__xludf.DUMMYFUNCTION("""COMPUTED_VALUE"""),104139.0)</f>
        <v>104139</v>
      </c>
      <c r="B3848" s="235" t="str">
        <f>IFERROR(__xludf.DUMMYFUNCTION("""COMPUTED_VALUE"""),"MELLISA NAVAL-ODONO")</f>
        <v>MELLISA NAVAL-ODONO</v>
      </c>
      <c r="C3848" s="235" t="str">
        <f>IFERROR(__xludf.DUMMYFUNCTION("""COMPUTED_VALUE"""),"LIBRARY COLLEGE")</f>
        <v>LIBRARY COLLEGE</v>
      </c>
      <c r="D3848" s="196" t="str">
        <f>IFERROR(__xludf.DUMMYFUNCTION("""COMPUTED_VALUE"""),"TOURISM BOOKS (28):
FUNDAMENTALS IN LODGING OPERATIONS  (2)
TOURISM POLICY PLANNING  (2)
FUNDAMENTALS IN FODD SERVICES  (2)
SUPPLY CHAIN MANAGEMENT IN HOSPITALITY  (2)
TRANSPORTATION MANAGEMENT  (2)
TOURISM AND TRAVEL MANAGEMENT   (2)
FUNDAMENTALS IN LODG"&amp;"ING OPERATIONS  (2)
ENTREPRENEURSHIP IN TOURISM AND HOSPITALITY  (2)
RESEARCH IN TOURISM   (2)
HERITAGE TOURISM  (2)
TOURISM AND HOSPITALITY MARKETING  (2)  
ERGONOMICS AND FACILITIES PLANNING FOR THE HOSPITALITY  (2)
LEGAL ASPECTS IN TOURISM AND HOSPITAL"&amp;"ITY  (2)
KITCHEN ESSENTIALS AND BASIC FOOD PREPARATIONS  (2)")</f>
        <v>TOURISM BOOKS (28):
FUNDAMENTALS IN LODGING OPERATIONS  (2)
TOURISM POLICY PLANNING  (2)
FUNDAMENTALS IN FODD SERVICES  (2)
SUPPLY CHAIN MANAGEMENT IN HOSPITALITY  (2)
TRANSPORTATION MANAGEMENT  (2)
TOURISM AND TRAVEL MANAGEMENT   (2)
FUNDAMENTALS IN LODGING OPERATIONS  (2)
ENTREPRENEURSHIP IN TOURISM AND HOSPITALITY  (2)
RESEARCH IN TOURISM   (2)
HERITAGE TOURISM  (2)
TOURISM AND HOSPITALITY MARKETING  (2)  
ERGONOMICS AND FACILITIES PLANNING FOR THE HOSPITALITY  (2)
LEGAL ASPECTS IN TOURISM AND HOSPITALITY  (2)
KITCHEN ESSENTIALS AND BASIC FOOD PREPARATIONS  (2)</v>
      </c>
      <c r="E3848" s="196" t="str">
        <f>IFERROR(__xludf.DUMMYFUNCTION("""COMPUTED_VALUE"""),"PACUCOA/ FOR LIBRARYS COPY")</f>
        <v>PACUCOA/ FOR LIBRARYS COPY</v>
      </c>
    </row>
    <row r="3849">
      <c r="A3849" s="234">
        <f>IFERROR(__xludf.DUMMYFUNCTION("""COMPUTED_VALUE"""),104140.0)</f>
        <v>104140</v>
      </c>
      <c r="B3849" s="235" t="str">
        <f>IFERROR(__xludf.DUMMYFUNCTION("""COMPUTED_VALUE"""),"MELLISA NAVAL-ODONO")</f>
        <v>MELLISA NAVAL-ODONO</v>
      </c>
      <c r="C3849" s="235" t="str">
        <f>IFERROR(__xludf.DUMMYFUNCTION("""COMPUTED_VALUE"""),"LIBRARY COLLEGE")</f>
        <v>LIBRARY COLLEGE</v>
      </c>
      <c r="D3849" s="196" t="str">
        <f>IFERROR(__xludf.DUMMYFUNCTION("""COMPUTED_VALUE"""),"ACCOUNTANCY AND BUSINESS BOOKS (46): 
MANAGEMENT SCIENCE  (2)
BASIC MICROECONOMICS  (2)
GOOD GOVERNANCE AND SOCIAL RESPONSIBILITY  (2)
REGULATORY FRAMEWORK AND LEGAL ISSUES IN BUSINESS 2  (2)
THE LAW ON INCOME TAXATION  (2)
 THE LAW ON TRANSFER AND BUSINE"&amp;"SS TAXATION   (2)
REGULATORY  FRAMEWORK AND LEGAL ISSUES IN BUSINESS 1  (2)
THE LAW ON OBLIGATION AND CONTRACTS  (2)
PARTNERSHIP REVISED CORPORATION AND COOPERATIVE  (2)
THE LAW ON OBLIGATION AND CONTRACTS  (2)
ACCOUNTING RESEARCH METHODS  (2)
ACCOUNTANCY"&amp;" RESEARCH   (2)  
MANAGERIAL ECONOMICS  (2)
BUSINESS LAWS AND REGULATIONS  (2)
COST ACCOUNTING AND CONTROL  (2)
INCOME TAXATION REVISED ED   (2)
STRATEGIC REVISED ED  (2)
STRATEGIC MANAGEMENT REVISED ED  (2)
ECONOMIC DEVELOPMENT  (2)
FUNDAMENTALS OF TAXAT"&amp;"IONS  (2)
GOVERNANCE, BUSINESS ETHICS, RISK MANAGEMENT   (2)
HUMAN RESOURCE MANAGEMENT   (2)
BUSINESS RESEARCH WITH STATISTICAL APPLICATION  (2)
OPERATIONS MANAGEMENT AND TQM  (2)
")</f>
        <v>ACCOUNTANCY AND BUSINESS BOOKS (46): 
MANAGEMENT SCIENCE  (2)
BASIC MICROECONOMICS  (2)
GOOD GOVERNANCE AND SOCIAL RESPONSIBILITY  (2)
REGULATORY FRAMEWORK AND LEGAL ISSUES IN BUSINESS 2  (2)
THE LAW ON INCOME TAXATION  (2)
 THE LAW ON TRANSFER AND BUSINESS TAXATION   (2)
REGULATORY  FRAMEWORK AND LEGAL ISSUES IN BUSINESS 1  (2)
THE LAW ON OBLIGATION AND CONTRACTS  (2)
PARTNERSHIP REVISED CORPORATION AND COOPERATIVE  (2)
THE LAW ON OBLIGATION AND CONTRACTS  (2)
ACCOUNTING RESEARCH METHODS  (2)
ACCOUNTANCY RESEARCH   (2)  
MANAGERIAL ECONOMICS  (2)
BUSINESS LAWS AND REGULATIONS  (2)
COST ACCOUNTING AND CONTROL  (2)
INCOME TAXATION REVISED ED   (2)
STRATEGIC REVISED ED  (2)
STRATEGIC MANAGEMENT REVISED ED  (2)
ECONOMIC DEVELOPMENT  (2)
FUNDAMENTALS OF TAXATIONS  (2)
GOVERNANCE, BUSINESS ETHICS, RISK MANAGEMENT   (2)
HUMAN RESOURCE MANAGEMENT   (2)
BUSINESS RESEARCH WITH STATISTICAL APPLICATION  (2)
OPERATIONS MANAGEMENT AND TQM  (2)
</v>
      </c>
      <c r="E3849" s="196" t="str">
        <f>IFERROR(__xludf.DUMMYFUNCTION("""COMPUTED_VALUE"""),"PACUCOA/ FOR LIBRARYS COPY")</f>
        <v>PACUCOA/ FOR LIBRARYS COPY</v>
      </c>
    </row>
    <row r="3850">
      <c r="A3850" s="234">
        <f>IFERROR(__xludf.DUMMYFUNCTION("""COMPUTED_VALUE"""),104141.0)</f>
        <v>104141</v>
      </c>
      <c r="B3850" s="235" t="str">
        <f>IFERROR(__xludf.DUMMYFUNCTION("""COMPUTED_VALUE"""),"ELYDS/ JOMEL")</f>
        <v>ELYDS/ JOMEL</v>
      </c>
      <c r="C3850" s="235" t="str">
        <f>IFERROR(__xludf.DUMMYFUNCTION("""COMPUTED_VALUE"""),"PR")</f>
        <v>PR</v>
      </c>
      <c r="D3850" s="196" t="str">
        <f>IFERROR(__xludf.DUMMYFUNCTION("""COMPUTED_VALUE"""),"BUTTONS 300
ALCOHOL BOTTLES 200
PHONE STAND100
BALLER 300
")</f>
        <v>BUTTONS 300
ALCOHOL BOTTLES 200
PHONE STAND100
BALLER 300
</v>
      </c>
      <c r="E3850" s="196" t="str">
        <f>IFERROR(__xludf.DUMMYFUNCTION("""COMPUTED_VALUE"""),"SCHOOL PRESENTATION GIVE AWAYS")</f>
        <v>SCHOOL PRESENTATION GIVE AWAYS</v>
      </c>
    </row>
    <row r="3851">
      <c r="A3851" s="234">
        <f>IFERROR(__xludf.DUMMYFUNCTION("""COMPUTED_VALUE"""),104142.0)</f>
        <v>104142</v>
      </c>
      <c r="B3851" s="235" t="str">
        <f>IFERROR(__xludf.DUMMYFUNCTION("""COMPUTED_VALUE"""),"CHARLES DONOR")</f>
        <v>CHARLES DONOR</v>
      </c>
      <c r="C3851" s="235" t="str">
        <f>IFERROR(__xludf.DUMMYFUNCTION("""COMPUTED_VALUE"""),"AMD")</f>
        <v>AMD</v>
      </c>
      <c r="D3851" s="196" t="str">
        <f>IFERROR(__xludf.DUMMYFUNCTION("""COMPUTED_VALUE"""),"CUTTER, L-500 GRP BIG")</f>
        <v>CUTTER, L-500 GRP BIG</v>
      </c>
      <c r="E3851" s="196" t="str">
        <f>IFERROR(__xludf.DUMMYFUNCTION("""COMPUTED_VALUE"""),"OSSUP STOCK REPLENISHMENT")</f>
        <v>OSSUP STOCK REPLENISHMENT</v>
      </c>
    </row>
    <row r="3852">
      <c r="A3852" s="234">
        <f>IFERROR(__xludf.DUMMYFUNCTION("""COMPUTED_VALUE"""),104143.0)</f>
        <v>104143</v>
      </c>
      <c r="B3852" s="235" t="str">
        <f>IFERROR(__xludf.DUMMYFUNCTION("""COMPUTED_VALUE"""),"LUCILLE BEYER")</f>
        <v>LUCILLE BEYER</v>
      </c>
      <c r="C3852" s="235" t="str">
        <f>IFERROR(__xludf.DUMMYFUNCTION("""COMPUTED_VALUE"""),"MEDICL")</f>
        <v>MEDICL</v>
      </c>
      <c r="D3852" s="196" t="str">
        <f>IFERROR(__xludf.DUMMYFUNCTION("""COMPUTED_VALUE"""),"KINESIOLOGY TAPE = 20PCS
ELASTIC BANDAGE 2"", 3"",4"" = 20PCS
BIOFREEZE SPRAY = 5PCS
COLD COMPRESS = 10 (L)
COLD COMPRESS RUBBERIZED 6"" = 10
HOT COMPRESS = 10 PCS
HOT COMPRESS 1000ML = 10 PCS
KNEE BRACE (L) ADJUSTABLE = 5PCS")</f>
        <v>KINESIOLOGY TAPE = 20PCS
ELASTIC BANDAGE 2", 3",4" = 20PCS
BIOFREEZE SPRAY = 5PCS
COLD COMPRESS = 10 (L)
COLD COMPRESS RUBBERIZED 6" = 10
HOT COMPRESS = 10 PCS
HOT COMPRESS 1000ML = 10 PCS
KNEE BRACE (L) ADJUSTABLE = 5PCS</v>
      </c>
      <c r="E3852" s="196" t="str">
        <f>IFERROR(__xludf.DUMMYFUNCTION("""COMPUTED_VALUE"""),"ADDITIONAL CLINIC SUPPLIES FOR ISAC AND 3 CLINICS")</f>
        <v>ADDITIONAL CLINIC SUPPLIES FOR ISAC AND 3 CLINICS</v>
      </c>
    </row>
    <row r="3853">
      <c r="A3853" s="234">
        <f>IFERROR(__xludf.DUMMYFUNCTION("""COMPUTED_VALUE"""),104144.0)</f>
        <v>104144</v>
      </c>
      <c r="B3853" s="235" t="str">
        <f>IFERROR(__xludf.DUMMYFUNCTION("""COMPUTED_VALUE"""),"BRIAN PATAG")</f>
        <v>BRIAN PATAG</v>
      </c>
      <c r="C3853" s="235" t="str">
        <f>IFERROR(__xludf.DUMMYFUNCTION("""COMPUTED_VALUE"""),"AMD")</f>
        <v>AMD</v>
      </c>
      <c r="D3853" s="196" t="str">
        <f>IFERROR(__xludf.DUMMYFUNCTION("""COMPUTED_VALUE"""),"SCOTCHT BRITE 3M 100PCS")</f>
        <v>SCOTCHT BRITE 3M 100PCS</v>
      </c>
      <c r="E3853" s="196" t="str">
        <f>IFERROR(__xludf.DUMMYFUNCTION("""COMPUTED_VALUE"""),"FOR HSKPG REPLENSIGMENT")</f>
        <v>FOR HSKPG REPLENSIGMENT</v>
      </c>
    </row>
    <row r="3854">
      <c r="A3854" s="234">
        <f>IFERROR(__xludf.DUMMYFUNCTION("""COMPUTED_VALUE"""),104145.0)</f>
        <v>104145</v>
      </c>
      <c r="B3854" s="235"/>
      <c r="C3854" s="235"/>
      <c r="D3854" s="196" t="str">
        <f>IFERROR(__xludf.DUMMYFUNCTION("""COMPUTED_VALUE"""),"CANCELED")</f>
        <v>CANCELED</v>
      </c>
      <c r="E3854" s="196"/>
    </row>
    <row r="3855">
      <c r="A3855" s="234">
        <f>IFERROR(__xludf.DUMMYFUNCTION("""COMPUTED_VALUE"""),104146.0)</f>
        <v>104146</v>
      </c>
      <c r="B3855" s="235" t="str">
        <f>IFERROR(__xludf.DUMMYFUNCTION("""COMPUTED_VALUE"""),"OWIE PAR")</f>
        <v>OWIE PAR</v>
      </c>
      <c r="C3855" s="235" t="str">
        <f>IFERROR(__xludf.DUMMYFUNCTION("""COMPUTED_VALUE"""),"ADMIN")</f>
        <v>ADMIN</v>
      </c>
      <c r="D3855" s="196" t="str">
        <f>IFERROR(__xludf.DUMMYFUNCTION("""COMPUTED_VALUE"""),"FORMICA 10PCS
RUGBY 2GALLON")</f>
        <v>FORMICA 10PCS
RUGBY 2GALLON</v>
      </c>
      <c r="E3855" s="196" t="str">
        <f>IFERROR(__xludf.DUMMYFUNCTION("""COMPUTED_VALUE"""),"REPAIR OF IB TABLES")</f>
        <v>REPAIR OF IB TABLES</v>
      </c>
    </row>
    <row r="3856">
      <c r="A3856" s="234">
        <f>IFERROR(__xludf.DUMMYFUNCTION("""COMPUTED_VALUE"""),104147.0)</f>
        <v>104147</v>
      </c>
      <c r="B3856" s="235" t="str">
        <f>IFERROR(__xludf.DUMMYFUNCTION("""COMPUTED_VALUE"""),"SHEREE ESPINOSA")</f>
        <v>SHEREE ESPINOSA</v>
      </c>
      <c r="C3856" s="235" t="str">
        <f>IFERROR(__xludf.DUMMYFUNCTION("""COMPUTED_VALUE"""),"ADMIN")</f>
        <v>ADMIN</v>
      </c>
      <c r="D3856" s="196" t="str">
        <f>IFERROR(__xludf.DUMMYFUNCTION("""COMPUTED_VALUE"""),"3 LAYER RACK")</f>
        <v>3 LAYER RACK</v>
      </c>
      <c r="E3856" s="196" t="str">
        <f>IFERROR(__xludf.DUMMYFUNCTION("""COMPUTED_VALUE"""),"FOR FITNESS HUB")</f>
        <v>FOR FITNESS HUB</v>
      </c>
    </row>
    <row r="3857">
      <c r="A3857" s="234">
        <f>IFERROR(__xludf.DUMMYFUNCTION("""COMPUTED_VALUE"""),104148.0)</f>
        <v>104148</v>
      </c>
      <c r="B3857" s="235" t="str">
        <f>IFERROR(__xludf.DUMMYFUNCTION("""COMPUTED_VALUE"""),"JOHN CARLO CAMPIT")</f>
        <v>JOHN CARLO CAMPIT</v>
      </c>
      <c r="C3857" s="235" t="str">
        <f>IFERROR(__xludf.DUMMYFUNCTION("""COMPUTED_VALUE"""),"ABU")</f>
        <v>ABU</v>
      </c>
      <c r="D3857" s="196" t="str">
        <f>IFERROR(__xludf.DUMMYFUNCTION("""COMPUTED_VALUE"""),"CUYI PET CARD 50 SHEETS 2 BOX")</f>
        <v>CUYI PET CARD 50 SHEETS 2 BOX</v>
      </c>
      <c r="E3857" s="196" t="str">
        <f>IFERROR(__xludf.DUMMYFUNCTION("""COMPUTED_VALUE"""),"PRINTING OF SIGNAGE (CLAYGO)")</f>
        <v>PRINTING OF SIGNAGE (CLAYGO)</v>
      </c>
    </row>
    <row r="3858">
      <c r="A3858" s="234">
        <f>IFERROR(__xludf.DUMMYFUNCTION("""COMPUTED_VALUE"""),104149.0)</f>
        <v>104149</v>
      </c>
      <c r="B3858" s="235" t="str">
        <f>IFERROR(__xludf.DUMMYFUNCTION("""COMPUTED_VALUE"""),"RONALDO VERDE")</f>
        <v>RONALDO VERDE</v>
      </c>
      <c r="C3858" s="235" t="str">
        <f>IFERROR(__xludf.DUMMYFUNCTION("""COMPUTED_VALUE"""),"ADMIN")</f>
        <v>ADMIN</v>
      </c>
      <c r="D3858" s="196" t="str">
        <f>IFERROR(__xludf.DUMMYFUNCTION("""COMPUTED_VALUE"""),"WATER CLOSET 1 SET")</f>
        <v>WATER CLOSET 1 SET</v>
      </c>
      <c r="E3858" s="196" t="str">
        <f>IFERROR(__xludf.DUMMYFUNCTION("""COMPUTED_VALUE"""),"SAFETY ( REPLACEMENT OF BROKEN WATER CLOSET AT LUX COMFORT ROOM")</f>
        <v>SAFETY ( REPLACEMENT OF BROKEN WATER CLOSET AT LUX COMFORT ROOM</v>
      </c>
    </row>
    <row r="3859">
      <c r="A3859" s="234">
        <f>IFERROR(__xludf.DUMMYFUNCTION("""COMPUTED_VALUE"""),104150.0)</f>
        <v>104150</v>
      </c>
      <c r="B3859" s="235" t="str">
        <f>IFERROR(__xludf.DUMMYFUNCTION("""COMPUTED_VALUE"""),"RONALDO VERDE")</f>
        <v>RONALDO VERDE</v>
      </c>
      <c r="C3859" s="235" t="str">
        <f>IFERROR(__xludf.DUMMYFUNCTION("""COMPUTED_VALUE"""),"ADMIN")</f>
        <v>ADMIN</v>
      </c>
      <c r="D3859" s="196" t="str">
        <f>IFERROR(__xludf.DUMMYFUNCTION("""COMPUTED_VALUE"""),"FALCON LAVATORY (1PC)")</f>
        <v>FALCON LAVATORY (1PC)</v>
      </c>
      <c r="E3859" s="196" t="str">
        <f>IFERROR(__xludf.DUMMYFUNCTION("""COMPUTED_VALUE"""),"SAFETY( REPLACEMENT OF BROKEN LAVATORY AT MUNICH BUILDING")</f>
        <v>SAFETY( REPLACEMENT OF BROKEN LAVATORY AT MUNICH BUILDING</v>
      </c>
    </row>
    <row r="3860">
      <c r="A3860" s="234">
        <f>IFERROR(__xludf.DUMMYFUNCTION("""COMPUTED_VALUE"""),104151.0)</f>
        <v>104151</v>
      </c>
      <c r="B3860" s="235" t="str">
        <f>IFERROR(__xludf.DUMMYFUNCTION("""COMPUTED_VALUE"""),"OWIE PAR")</f>
        <v>OWIE PAR</v>
      </c>
      <c r="C3860" s="235" t="str">
        <f>IFERROR(__xludf.DUMMYFUNCTION("""COMPUTED_VALUE"""),"ENGINEERING")</f>
        <v>ENGINEERING</v>
      </c>
      <c r="D3860" s="196" t="str">
        <f>IFERROR(__xludf.DUMMYFUNCTION("""COMPUTED_VALUE"""),"2.5HP DAIKEN WALL MOUNTED INVERTER 1 UNIT")</f>
        <v>2.5HP DAIKEN WALL MOUNTED INVERTER 1 UNIT</v>
      </c>
      <c r="E3860" s="196" t="str">
        <f>IFERROR(__xludf.DUMMYFUNCTION("""COMPUTED_VALUE"""),"ACU REPLACEMENT LUX BE SCI LAB RM 404")</f>
        <v>ACU REPLACEMENT LUX BE SCI LAB RM 404</v>
      </c>
    </row>
    <row r="3861">
      <c r="A3861" s="234">
        <f>IFERROR(__xludf.DUMMYFUNCTION("""COMPUTED_VALUE"""),104152.0)</f>
        <v>104152</v>
      </c>
      <c r="B3861" s="235" t="str">
        <f>IFERROR(__xludf.DUMMYFUNCTION("""COMPUTED_VALUE"""),"BRIAN PATAG")</f>
        <v>BRIAN PATAG</v>
      </c>
      <c r="C3861" s="235" t="str">
        <f>IFERROR(__xludf.DUMMYFUNCTION("""COMPUTED_VALUE"""),"AMD")</f>
        <v>AMD</v>
      </c>
      <c r="D3861" s="196" t="str">
        <f>IFERROR(__xludf.DUMMYFUNCTION("""COMPUTED_VALUE"""),"SPOTLESS CLAENING PASTE (5O)")</f>
        <v>SPOTLESS CLAENING PASTE (5O)</v>
      </c>
      <c r="E3861" s="196" t="str">
        <f>IFERROR(__xludf.DUMMYFUNCTION("""COMPUTED_VALUE"""),"FOR HOUSEKEEPING REPLENISHMENT")</f>
        <v>FOR HOUSEKEEPING REPLENISHMENT</v>
      </c>
    </row>
    <row r="3862">
      <c r="A3862" s="234">
        <f>IFERROR(__xludf.DUMMYFUNCTION("""COMPUTED_VALUE"""),104153.0)</f>
        <v>104153</v>
      </c>
      <c r="B3862" s="235" t="str">
        <f>IFERROR(__xludf.DUMMYFUNCTION("""COMPUTED_VALUE"""),"CHARLES DONOR")</f>
        <v>CHARLES DONOR</v>
      </c>
      <c r="C3862" s="235" t="str">
        <f>IFERROR(__xludf.DUMMYFUNCTION("""COMPUTED_VALUE"""),"AMD")</f>
        <v>AMD</v>
      </c>
      <c r="D3862" s="196" t="str">
        <f>IFERROR(__xludf.DUMMYFUNCTION("""COMPUTED_VALUE"""),"BIG PLASTIC 40""x60"" .003 THICKNESS (200PCS)
BIG BROWN PAPER BAG SIZE #25 8/1 /4x5x17 1/4")</f>
        <v>BIG PLASTIC 40"x60" .003 THICKNESS (200PCS)
BIG BROWN PAPER BAG SIZE #25 8/1 /4x5x17 1/4</v>
      </c>
      <c r="E3862" s="196" t="str">
        <f>IFERROR(__xludf.DUMMYFUNCTION("""COMPUTED_VALUE"""),"FOR TOGA PACKAGING")</f>
        <v>FOR TOGA PACKAGING</v>
      </c>
    </row>
    <row r="3863">
      <c r="A3863" s="234">
        <f>IFERROR(__xludf.DUMMYFUNCTION("""COMPUTED_VALUE"""),104154.0)</f>
        <v>104154</v>
      </c>
      <c r="B3863" s="235" t="str">
        <f>IFERROR(__xludf.DUMMYFUNCTION("""COMPUTED_VALUE"""),"SHEREE ESPINOSA")</f>
        <v>SHEREE ESPINOSA</v>
      </c>
      <c r="C3863" s="235" t="str">
        <f>IFERROR(__xludf.DUMMYFUNCTION("""COMPUTED_VALUE"""),"ADMIN")</f>
        <v>ADMIN</v>
      </c>
      <c r="D3863" s="196" t="str">
        <f>IFERROR(__xludf.DUMMYFUNCTION("""COMPUTED_VALUE"""),"BASKETBALL 20PCS
VOLLEYBALL 20PCS")</f>
        <v>BASKETBALL 20PCS
VOLLEYBALL 20PCS</v>
      </c>
      <c r="E3863" s="196" t="str">
        <f>IFERROR(__xludf.DUMMYFUNCTION("""COMPUTED_VALUE"""),"FOR COLLEGE PE CLASS EQUIPMENT")</f>
        <v>FOR COLLEGE PE CLASS EQUIPMENT</v>
      </c>
    </row>
    <row r="3864">
      <c r="A3864" s="234">
        <f>IFERROR(__xludf.DUMMYFUNCTION("""COMPUTED_VALUE"""),104155.0)</f>
        <v>104155</v>
      </c>
      <c r="B3864" s="235" t="str">
        <f>IFERROR(__xludf.DUMMYFUNCTION("""COMPUTED_VALUE"""),"SHEREE ESPINOSA")</f>
        <v>SHEREE ESPINOSA</v>
      </c>
      <c r="C3864" s="235" t="str">
        <f>IFERROR(__xludf.DUMMYFUNCTION("""COMPUTED_VALUE"""),"ADMIN")</f>
        <v>ADMIN</v>
      </c>
      <c r="D3864" s="196" t="str">
        <f>IFERROR(__xludf.DUMMYFUNCTION("""COMPUTED_VALUE"""),"TILE CUTTER 1 UNIT
FOR REIMBURSEMENT")</f>
        <v>TILE CUTTER 1 UNIT
FOR REIMBURSEMENT</v>
      </c>
      <c r="E3864" s="196" t="str">
        <f>IFERROR(__xludf.DUMMYFUNCTION("""COMPUTED_VALUE"""),"TILE CUTTER FOR ENGINEERING USE")</f>
        <v>TILE CUTTER FOR ENGINEERING USE</v>
      </c>
    </row>
    <row r="3865">
      <c r="A3865" s="234">
        <f>IFERROR(__xludf.DUMMYFUNCTION("""COMPUTED_VALUE"""),104156.0)</f>
        <v>104156</v>
      </c>
      <c r="B3865" s="235" t="str">
        <f>IFERROR(__xludf.DUMMYFUNCTION("""COMPUTED_VALUE"""),"ELMIE LAUDIATO")</f>
        <v>ELMIE LAUDIATO</v>
      </c>
      <c r="C3865" s="235" t="str">
        <f>IFERROR(__xludf.DUMMYFUNCTION("""COMPUTED_VALUE"""),"HRMD")</f>
        <v>HRMD</v>
      </c>
      <c r="D3865" s="196" t="str">
        <f>IFERROR(__xludf.DUMMYFUNCTION("""COMPUTED_VALUE"""),"FLOWER WREATH ""SON DIONISIO CHAPEL"" 1")</f>
        <v>FLOWER WREATH "SON DIONISIO CHAPEL" 1</v>
      </c>
      <c r="E3865" s="196" t="str">
        <f>IFERROR(__xludf.DUMMYFUNCTION("""COMPUTED_VALUE"""),"FLOWER WREATH FOR THE FATHER OF MS. GIERMIN SAHAGUN")</f>
        <v>FLOWER WREATH FOR THE FATHER OF MS. GIERMIN SAHAGUN</v>
      </c>
    </row>
    <row r="3866">
      <c r="A3866" s="234">
        <f>IFERROR(__xludf.DUMMYFUNCTION("""COMPUTED_VALUE"""),104157.0)</f>
        <v>104157</v>
      </c>
      <c r="B3866" s="235" t="str">
        <f>IFERROR(__xludf.DUMMYFUNCTION("""COMPUTED_VALUE"""),"JESUIT CHRISTIAN GALICIA")</f>
        <v>JESUIT CHRISTIAN GALICIA</v>
      </c>
      <c r="C3866" s="235" t="str">
        <f>IFERROR(__xludf.DUMMYFUNCTION("""COMPUTED_VALUE"""),"AMD")</f>
        <v>AMD</v>
      </c>
      <c r="D3866" s="196" t="str">
        <f>IFERROR(__xludf.DUMMYFUNCTION("""COMPUTED_VALUE"""),"STEEL SHELVING OPEN TYPE 7 LAYER METAL 4PCS")</f>
        <v>STEEL SHELVING OPEN TYPE 7 LAYER METAL 4PCS</v>
      </c>
      <c r="E3866" s="196" t="str">
        <f>IFERROR(__xludf.DUMMYFUNCTION("""COMPUTED_VALUE"""),"STORAGE FOR SHOP BOOKS WAREHOUSE")</f>
        <v>STORAGE FOR SHOP BOOKS WAREHOUSE</v>
      </c>
    </row>
    <row r="3867">
      <c r="A3867" s="234">
        <f>IFERROR(__xludf.DUMMYFUNCTION("""COMPUTED_VALUE"""),104158.0)</f>
        <v>104158</v>
      </c>
      <c r="B3867" s="235" t="str">
        <f>IFERROR(__xludf.DUMMYFUNCTION("""COMPUTED_VALUE"""),"ANGELICA LAGMADEO/ JEREMIAH TIROL")</f>
        <v>ANGELICA LAGMADEO/ JEREMIAH TIROL</v>
      </c>
      <c r="C3867" s="235" t="str">
        <f>IFERROR(__xludf.DUMMYFUNCTION("""COMPUTED_VALUE"""),"COLLEGE DEPARTMENT")</f>
        <v>COLLEGE DEPARTMENT</v>
      </c>
      <c r="D3867" s="196" t="str">
        <f>IFERROR(__xludf.DUMMYFUNCTION("""COMPUTED_VALUE"""),"COLLEGE LABORATORY MATERIALS")</f>
        <v>COLLEGE LABORATORY MATERIALS</v>
      </c>
      <c r="E3867" s="196" t="str">
        <f>IFERROR(__xludf.DUMMYFUNCTION("""COMPUTED_VALUE"""),"REPLENISHMENT OF MATERIALS")</f>
        <v>REPLENISHMENT OF MATERIALS</v>
      </c>
    </row>
    <row r="3868">
      <c r="A3868" s="234">
        <f>IFERROR(__xludf.DUMMYFUNCTION("""COMPUTED_VALUE"""),104159.0)</f>
        <v>104159</v>
      </c>
      <c r="B3868" s="235" t="str">
        <f>IFERROR(__xludf.DUMMYFUNCTION("""COMPUTED_VALUE"""),"JOMEL BUTIAL")</f>
        <v>JOMEL BUTIAL</v>
      </c>
      <c r="C3868" s="235" t="str">
        <f>IFERROR(__xludf.DUMMYFUNCTION("""COMPUTED_VALUE"""),"PR &amp; MARKETING")</f>
        <v>PR &amp; MARKETING</v>
      </c>
      <c r="D3868" s="196" t="str">
        <f>IFERROR(__xludf.DUMMYFUNCTION("""COMPUTED_VALUE"""),"SISC CODERS 1ST RUNNER UP CONGRATULATORY TARP SIZE 193x515CM (1)
SANTINA MIGUELLE DAKIS-BENDO CONGRATULATORY TARP SIZE: 193 x 515 CM (1)")</f>
        <v>SISC CODERS 1ST RUNNER UP CONGRATULATORY TARP SIZE 193x515CM (1)
SANTINA MIGUELLE DAKIS-BENDO CONGRATULATORY TARP SIZE: 193 x 515 CM (1)</v>
      </c>
      <c r="E3868" s="196" t="str">
        <f>IFERROR(__xludf.DUMMYFUNCTION("""COMPUTED_VALUE"""),"MARKETING")</f>
        <v>MARKETING</v>
      </c>
    </row>
    <row r="3869">
      <c r="A3869" s="234">
        <f>IFERROR(__xludf.DUMMYFUNCTION("""COMPUTED_VALUE"""),104160.0)</f>
        <v>104160</v>
      </c>
      <c r="B3869" s="235" t="str">
        <f>IFERROR(__xludf.DUMMYFUNCTION("""COMPUTED_VALUE"""),"JOMEL BUTIAL")</f>
        <v>JOMEL BUTIAL</v>
      </c>
      <c r="C3869" s="235" t="str">
        <f>IFERROR(__xludf.DUMMYFUNCTION("""COMPUTED_VALUE"""),"PR &amp; MARKETING")</f>
        <v>PR &amp; MARKETING</v>
      </c>
      <c r="D3869" s="196" t="str">
        <f>IFERROR(__xludf.DUMMYFUNCTION("""COMPUTED_VALUE"""),"SISC HS BOYS VOLLEYBALL TEAM 3RD PLACE CONGRATULATORY TARP 193x515CM (1)
SISC HS GIRLS VOLLEYBALL TEAM 5 PEAT CHAMPION CONGRATULATORY TARP 193x515CM (1)")</f>
        <v>SISC HS BOYS VOLLEYBALL TEAM 3RD PLACE CONGRATULATORY TARP 193x515CM (1)
SISC HS GIRLS VOLLEYBALL TEAM 5 PEAT CHAMPION CONGRATULATORY TARP 193x515CM (1)</v>
      </c>
      <c r="E3869" s="196" t="str">
        <f>IFERROR(__xludf.DUMMYFUNCTION("""COMPUTED_VALUE"""),"MARKETING")</f>
        <v>MARKETING</v>
      </c>
    </row>
    <row r="3870">
      <c r="A3870" s="234">
        <f>IFERROR(__xludf.DUMMYFUNCTION("""COMPUTED_VALUE"""),104161.0)</f>
        <v>104161</v>
      </c>
      <c r="B3870" s="235" t="str">
        <f>IFERROR(__xludf.DUMMYFUNCTION("""COMPUTED_VALUE"""),"ALFA DE LEON")</f>
        <v>ALFA DE LEON</v>
      </c>
      <c r="C3870" s="235" t="str">
        <f>IFERROR(__xludf.DUMMYFUNCTION("""COMPUTED_VALUE"""),"HOUSEKEEPING")</f>
        <v>HOUSEKEEPING</v>
      </c>
      <c r="D3870" s="196" t="str">
        <f>IFERROR(__xludf.DUMMYFUNCTION("""COMPUTED_VALUE"""),"TRASHBINS HOODED LARGE 6
TRASHBINS HOODED KING SIZE 6")</f>
        <v>TRASHBINS HOODED LARGE 6
TRASHBINS HOODED KING SIZE 6</v>
      </c>
      <c r="E3870" s="196" t="str">
        <f>IFERROR(__xludf.DUMMYFUNCTION("""COMPUTED_VALUE"""),"WASTE SEGREGATION- REPLACEMENT OF BROKEN TRASHBINS")</f>
        <v>WASTE SEGREGATION- REPLACEMENT OF BROKEN TRASHBINS</v>
      </c>
    </row>
    <row r="3871">
      <c r="A3871" s="234">
        <f>IFERROR(__xludf.DUMMYFUNCTION("""COMPUTED_VALUE"""),104162.0)</f>
        <v>104162</v>
      </c>
      <c r="B3871" s="235" t="str">
        <f>IFERROR(__xludf.DUMMYFUNCTION("""COMPUTED_VALUE"""),"ALFA DE LEON")</f>
        <v>ALFA DE LEON</v>
      </c>
      <c r="C3871" s="235" t="str">
        <f>IFERROR(__xludf.DUMMYFUNCTION("""COMPUTED_VALUE"""),"LANDSCAPING")</f>
        <v>LANDSCAPING</v>
      </c>
      <c r="D3871" s="196" t="str">
        <f>IFERROR(__xludf.DUMMYFUNCTION("""COMPUTED_VALUE"""),"POTS XL LUX CAMPUS 15
POTS XL TROPICAL CAMPUS 10
POTS XL COLLEGE CAMPUS 10
POTS XL MUNICH CAMPUS 10
(TOTAL 45 PCS)
MARIAN POTS 10PCS")</f>
        <v>POTS XL LUX CAMPUS 15
POTS XL TROPICAL CAMPUS 10
POTS XL COLLEGE CAMPUS 10
POTS XL MUNICH CAMPUS 10
(TOTAL 45 PCS)
MARIAN POTS 10PCS</v>
      </c>
      <c r="E3871" s="196" t="str">
        <f>IFERROR(__xludf.DUMMYFUNCTION("""COMPUTED_VALUE"""),"REPLACEMENT OF BROKEN POTS ")</f>
        <v>REPLACEMENT OF BROKEN POTS </v>
      </c>
    </row>
    <row r="3872">
      <c r="A3872" s="234">
        <f>IFERROR(__xludf.DUMMYFUNCTION("""COMPUTED_VALUE"""),104163.0)</f>
        <v>104163</v>
      </c>
      <c r="B3872" s="235" t="str">
        <f>IFERROR(__xludf.DUMMYFUNCTION("""COMPUTED_VALUE"""),"ALFA DE LEON")</f>
        <v>ALFA DE LEON</v>
      </c>
      <c r="C3872" s="235" t="str">
        <f>IFERROR(__xludf.DUMMYFUNCTION("""COMPUTED_VALUE"""),"LANDSCAPING")</f>
        <v>LANDSCAPING</v>
      </c>
      <c r="D3872" s="196" t="str">
        <f>IFERROR(__xludf.DUMMYFUNCTION("""COMPUTED_VALUE"""),"EUGENIA (20)
MANI-MANI (200)")</f>
        <v>EUGENIA (20)
MANI-MANI (200)</v>
      </c>
      <c r="E3872" s="196" t="str">
        <f>IFERROR(__xludf.DUMMYFUNCTION("""COMPUTED_VALUE"""),"MAINTENANCE OF PLANTS IN MONARCH PARK")</f>
        <v>MAINTENANCE OF PLANTS IN MONARCH PARK</v>
      </c>
    </row>
    <row r="3873">
      <c r="A3873" s="234">
        <f>IFERROR(__xludf.DUMMYFUNCTION("""COMPUTED_VALUE"""),104164.0)</f>
        <v>104164</v>
      </c>
      <c r="B3873" s="235" t="str">
        <f>IFERROR(__xludf.DUMMYFUNCTION("""COMPUTED_VALUE"""),"ADRIAN VELA")</f>
        <v>ADRIAN VELA</v>
      </c>
      <c r="C3873" s="235" t="str">
        <f>IFERROR(__xludf.DUMMYFUNCTION("""COMPUTED_VALUE"""),"TAYLOR CENTER (TCPD)")</f>
        <v>TAYLOR CENTER (TCPD)</v>
      </c>
      <c r="D3873" s="196" t="str">
        <f>IFERROR(__xludf.DUMMYFUNCTION("""COMPUTED_VALUE"""),"SISC CALLING CARD 100PCS")</f>
        <v>SISC CALLING CARD 100PCS</v>
      </c>
      <c r="E3873" s="196" t="str">
        <f>IFERROR(__xludf.DUMMYFUNCTION("""COMPUTED_VALUE"""),"FOR NETWORKING DURING TRAINING/ SEMINAR")</f>
        <v>FOR NETWORKING DURING TRAINING/ SEMINAR</v>
      </c>
    </row>
    <row r="3874">
      <c r="A3874" s="234">
        <f>IFERROR(__xludf.DUMMYFUNCTION("""COMPUTED_VALUE"""),104165.0)</f>
        <v>104165</v>
      </c>
      <c r="B3874" s="235" t="str">
        <f>IFERROR(__xludf.DUMMYFUNCTION("""COMPUTED_VALUE"""),"ESTHER JOY LARITA")</f>
        <v>ESTHER JOY LARITA</v>
      </c>
      <c r="C3874" s="235" t="str">
        <f>IFERROR(__xludf.DUMMYFUNCTION("""COMPUTED_VALUE"""),"PQA")</f>
        <v>PQA</v>
      </c>
      <c r="D3874" s="196" t="str">
        <f>IFERROR(__xludf.DUMMYFUNCTION("""COMPUTED_VALUE"""),"COLGATE PLAX
COLGATE TRAVEL KIT (TOOTHPASTE &amp; TOOTHBRUSH
TISSUE
SAND SANITIZER/ALCOHOL
DENTAL FLOSS
POUCH")</f>
        <v>COLGATE PLAX
COLGATE TRAVEL KIT (TOOTHPASTE &amp; TOOTHBRUSH
TISSUE
SAND SANITIZER/ALCOHOL
DENTAL FLOSS
POUCH</v>
      </c>
      <c r="E3874" s="196" t="str">
        <f>IFERROR(__xludf.DUMMYFUNCTION("""COMPUTED_VALUE"""),"PQA VISIT")</f>
        <v>PQA VISIT</v>
      </c>
    </row>
    <row r="3875">
      <c r="A3875" s="234">
        <f>IFERROR(__xludf.DUMMYFUNCTION("""COMPUTED_VALUE"""),104166.0)</f>
        <v>104166</v>
      </c>
      <c r="B3875" s="235" t="str">
        <f>IFERROR(__xludf.DUMMYFUNCTION("""COMPUTED_VALUE"""),"JOMEL BUTIAL")</f>
        <v>JOMEL BUTIAL</v>
      </c>
      <c r="C3875" s="235" t="str">
        <f>IFERROR(__xludf.DUMMYFUNCTION("""COMPUTED_VALUE"""),"PR &amp; MARKETING")</f>
        <v>PR &amp; MARKETING</v>
      </c>
      <c r="D3875" s="196" t="str">
        <f>IFERROR(__xludf.DUMMYFUNCTION("""COMPUTED_VALUE"""),"MORPH HYDRA PRIME GEFORCE RTX 3050 GAMING DESKTOP- POWERED BY ASUS 1")</f>
        <v>MORPH HYDRA PRIME GEFORCE RTX 3050 GAMING DESKTOP- POWERED BY ASUS 1</v>
      </c>
      <c r="E3875" s="196" t="str">
        <f>IFERROR(__xludf.DUMMYFUNCTION("""COMPUTED_VALUE"""),"COMPUTER REPLACEMENT FOR MS. ELYDS")</f>
        <v>COMPUTER REPLACEMENT FOR MS. ELYDS</v>
      </c>
    </row>
    <row r="3876">
      <c r="A3876" s="234">
        <f>IFERROR(__xludf.DUMMYFUNCTION("""COMPUTED_VALUE"""),104167.0)</f>
        <v>104167</v>
      </c>
      <c r="B3876" s="235" t="str">
        <f>IFERROR(__xludf.DUMMYFUNCTION("""COMPUTED_VALUE"""),"JOMEL BUTIAL")</f>
        <v>JOMEL BUTIAL</v>
      </c>
      <c r="C3876" s="235" t="str">
        <f>IFERROR(__xludf.DUMMYFUNCTION("""COMPUTED_VALUE"""),"PR &amp; MARKETING")</f>
        <v>PR &amp; MARKETING</v>
      </c>
      <c r="D3876" s="196" t="str">
        <f>IFERROR(__xludf.DUMMYFUNCTION("""COMPUTED_VALUE"""),"BULLETIN BOARD TARP 437CM x 170.3CM (1)")</f>
        <v>BULLETIN BOARD TARP 437CM x 170.3CM (1)</v>
      </c>
      <c r="E3876" s="196" t="str">
        <f>IFERROR(__xludf.DUMMYFUNCTION("""COMPUTED_VALUE"""),"MARKETING")</f>
        <v>MARKETING</v>
      </c>
    </row>
    <row r="3877">
      <c r="A3877" s="234">
        <f>IFERROR(__xludf.DUMMYFUNCTION("""COMPUTED_VALUE"""),104168.0)</f>
        <v>104168</v>
      </c>
      <c r="B3877" s="235" t="str">
        <f>IFERROR(__xludf.DUMMYFUNCTION("""COMPUTED_VALUE"""),"OWIE PAR")</f>
        <v>OWIE PAR</v>
      </c>
      <c r="C3877" s="235" t="str">
        <f>IFERROR(__xludf.DUMMYFUNCTION("""COMPUTED_VALUE"""),"ENGINEERING")</f>
        <v>ENGINEERING</v>
      </c>
      <c r="D3877" s="196" t="str">
        <f>IFERROR(__xludf.DUMMYFUNCTION("""COMPUTED_VALUE"""),"GI PIPE SCH 40 #3 9 LENGHTS
DYNA BOLT 3/8 24PCS
MASONRY BIT 3/8 1PC")</f>
        <v>GI PIPE SCH 40 #3 9 LENGHTS
DYNA BOLT 3/8 24PCS
MASONRY BIT 3/8 1PC</v>
      </c>
      <c r="E3877" s="196" t="str">
        <f>IFERROR(__xludf.DUMMYFUNCTION("""COMPUTED_VALUE"""),"FOR STAR CAMPUS")</f>
        <v>FOR STAR CAMPUS</v>
      </c>
    </row>
    <row r="3878">
      <c r="A3878" s="234">
        <f>IFERROR(__xludf.DUMMYFUNCTION("""COMPUTED_VALUE"""),104169.0)</f>
        <v>104169</v>
      </c>
      <c r="B3878" s="235" t="str">
        <f>IFERROR(__xludf.DUMMYFUNCTION("""COMPUTED_VALUE"""),"SHEREE ESPINOSA")</f>
        <v>SHEREE ESPINOSA</v>
      </c>
      <c r="C3878" s="235" t="str">
        <f>IFERROR(__xludf.DUMMYFUNCTION("""COMPUTED_VALUE"""),"ADMIN")</f>
        <v>ADMIN</v>
      </c>
      <c r="D3878" s="196" t="str">
        <f>IFERROR(__xludf.DUMMYFUNCTION("""COMPUTED_VALUE"""),"BIG TISSUE ROLLS 18")</f>
        <v>BIG TISSUE ROLLS 18</v>
      </c>
      <c r="E3878" s="196" t="str">
        <f>IFERROR(__xludf.DUMMYFUNCTION("""COMPUTED_VALUE"""),"BIG TISSUE ROLLS FOR CRs")</f>
        <v>BIG TISSUE ROLLS FOR CRs</v>
      </c>
    </row>
    <row r="3879">
      <c r="A3879" s="234">
        <f>IFERROR(__xludf.DUMMYFUNCTION("""COMPUTED_VALUE"""),104170.0)</f>
        <v>104170</v>
      </c>
      <c r="B3879" s="235" t="str">
        <f>IFERROR(__xludf.DUMMYFUNCTION("""COMPUTED_VALUE"""),"PHEN PETIN")</f>
        <v>PHEN PETIN</v>
      </c>
      <c r="C3879" s="235" t="str">
        <f>IFERROR(__xludf.DUMMYFUNCTION("""COMPUTED_VALUE"""),"ADMIN")</f>
        <v>ADMIN</v>
      </c>
      <c r="D3879" s="196" t="str">
        <f>IFERROR(__xludf.DUMMYFUNCTION("""COMPUTED_VALUE"""),"MATTS 4 ROLLS")</f>
        <v>MATTS 4 ROLLS</v>
      </c>
      <c r="E3879" s="196" t="str">
        <f>IFERROR(__xludf.DUMMYFUNCTION("""COMPUTED_VALUE"""),"CHANGE MATTS FOR RAMP AREA")</f>
        <v>CHANGE MATTS FOR RAMP AREA</v>
      </c>
    </row>
    <row r="3880">
      <c r="A3880" s="234">
        <f>IFERROR(__xludf.DUMMYFUNCTION("""COMPUTED_VALUE"""),104171.0)</f>
        <v>104171</v>
      </c>
      <c r="B3880" s="235" t="str">
        <f>IFERROR(__xludf.DUMMYFUNCTION("""COMPUTED_VALUE"""),"MICHAEL GRAVAMEN
(CANCELED REQUEST)")</f>
        <v>MICHAEL GRAVAMEN
(CANCELED REQUEST)</v>
      </c>
      <c r="C3880" s="235" t="str">
        <f>IFERROR(__xludf.DUMMYFUNCTION("""COMPUTED_VALUE"""),"ROBOTICS")</f>
        <v>ROBOTICS</v>
      </c>
      <c r="D3880" s="196" t="str">
        <f>IFERROR(__xludf.DUMMYFUNCTION("""COMPUTED_VALUE"""),"COLORED PRINTER (1)
(BROTHER HL-T4000DW INK TANK PRINTER) ")</f>
        <v>COLORED PRINTER (1)
(BROTHER HL-T4000DW INK TANK PRINTER) </v>
      </c>
      <c r="E3880" s="196" t="str">
        <f>IFERROR(__xludf.DUMMYFUNCTION("""COMPUTED_VALUE"""),"ROBOTICS PRINTING OF CURRICULUM OUTPUTS, PROJECTS AND PROPOSAL DESIGNS")</f>
        <v>ROBOTICS PRINTING OF CURRICULUM OUTPUTS, PROJECTS AND PROPOSAL DESIGNS</v>
      </c>
    </row>
    <row r="3881">
      <c r="A3881" s="234">
        <f>IFERROR(__xludf.DUMMYFUNCTION("""COMPUTED_VALUE"""),104172.0)</f>
        <v>104172</v>
      </c>
      <c r="B3881" s="235" t="str">
        <f>IFERROR(__xludf.DUMMYFUNCTION("""COMPUTED_VALUE"""),"ALFA DE LEON")</f>
        <v>ALFA DE LEON</v>
      </c>
      <c r="C3881" s="235" t="str">
        <f>IFERROR(__xludf.DUMMYFUNCTION("""COMPUTED_VALUE"""),"ADMIN")</f>
        <v>ADMIN</v>
      </c>
      <c r="D3881" s="196" t="str">
        <f>IFERROR(__xludf.DUMMYFUNCTION("""COMPUTED_VALUE"""),"HEAVY DUTY INTERNATIONAL FLAGS (3'x5')
CANADA 2
CHINA 2
INDIA 2
JAPAN 2
LIBERIA 2
NETHERLANDS 2
PAKISTAN 2
KOREA 2
UNITED KINGDOM 2
UNITED STATES 2
PHILIPPINE FLAG 2
SOUTHVILLE FLAG 2
AUSTRALIA 1
BANGLADESH 1
EGYPT 1
GERMANY 1
HONGKONG 1
INDONESIA 1
IRELA"&amp;"ND 1
ITALY 1
JORDAN 1
NIGERIA 1
RUSSIA 1
SRI LANKA 1
SWITZERLAND 1
THAILAND 1")</f>
        <v>HEAVY DUTY INTERNATIONAL FLAGS (3'x5')
CANADA 2
CHINA 2
INDIA 2
JAPAN 2
LIBERIA 2
NETHERLANDS 2
PAKISTAN 2
KOREA 2
UNITED KINGDOM 2
UNITED STATES 2
PHILIPPINE FLAG 2
SOUTHVILLE FLAG 2
AUSTRALIA 1
BANGLADESH 1
EGYPT 1
GERMANY 1
HONGKONG 1
INDONESIA 1
IRELAND 1
ITALY 1
JORDAN 1
NIGERIA 1
RUSSIA 1
SRI LANKA 1
SWITZERLAND 1
THAILAND 1</v>
      </c>
      <c r="E3881" s="196" t="str">
        <f>IFERROR(__xludf.DUMMYFUNCTION("""COMPUTED_VALUE"""),"REPLACEMENT OF OLD/ DILAFIDATED FLAGS")</f>
        <v>REPLACEMENT OF OLD/ DILAFIDATED FLAGS</v>
      </c>
    </row>
    <row r="3882">
      <c r="A3882" s="234">
        <f>IFERROR(__xludf.DUMMYFUNCTION("""COMPUTED_VALUE"""),104173.0)</f>
        <v>104173</v>
      </c>
      <c r="B3882" s="235" t="str">
        <f>IFERROR(__xludf.DUMMYFUNCTION("""COMPUTED_VALUE"""),"ALFA DE LEON")</f>
        <v>ALFA DE LEON</v>
      </c>
      <c r="C3882" s="235" t="str">
        <f>IFERROR(__xludf.DUMMYFUNCTION("""COMPUTED_VALUE"""),"ADMIN - MUNICH")</f>
        <v>ADMIN - MUNICH</v>
      </c>
      <c r="D3882" s="196" t="str">
        <f>IFERROR(__xludf.DUMMYFUNCTION("""COMPUTED_VALUE"""),"RUBBER FOOTING 140")</f>
        <v>RUBBER FOOTING 140</v>
      </c>
      <c r="E3882" s="196" t="str">
        <f>IFERROR(__xludf.DUMMYFUNCTION("""COMPUTED_VALUE"""),"REPLACEMENT OF BROKEN RUBBER FOOTING IN SCIENCE STOLL")</f>
        <v>REPLACEMENT OF BROKEN RUBBER FOOTING IN SCIENCE STOLL</v>
      </c>
    </row>
    <row r="3883">
      <c r="A3883" s="234">
        <f>IFERROR(__xludf.DUMMYFUNCTION("""COMPUTED_VALUE"""),104174.0)</f>
        <v>104174</v>
      </c>
      <c r="B3883" s="235" t="str">
        <f>IFERROR(__xludf.DUMMYFUNCTION("""COMPUTED_VALUE"""),"SHEREE ESPINOSA")</f>
        <v>SHEREE ESPINOSA</v>
      </c>
      <c r="C3883" s="235" t="str">
        <f>IFERROR(__xludf.DUMMYFUNCTION("""COMPUTED_VALUE"""),"ADMIN")</f>
        <v>ADMIN</v>
      </c>
      <c r="D3883" s="196" t="str">
        <f>IFERROR(__xludf.DUMMYFUNCTION("""COMPUTED_VALUE"""),"AUTOMATIC AIR FRESHENER
LUX 6F 3
PR 2
CONCESSIONAIRE (MONARCH'S PARK) 2")</f>
        <v>AUTOMATIC AIR FRESHENER
LUX 6F 3
PR 2
CONCESSIONAIRE (MONARCH'S PARK) 2</v>
      </c>
      <c r="E3883" s="196" t="str">
        <f>IFERROR(__xludf.DUMMYFUNCTION("""COMPUTED_VALUE"""),"FOR LUX 6F CRs")</f>
        <v>FOR LUX 6F CRs</v>
      </c>
    </row>
    <row r="3884">
      <c r="A3884" s="234">
        <f>IFERROR(__xludf.DUMMYFUNCTION("""COMPUTED_VALUE"""),104175.0)</f>
        <v>104175</v>
      </c>
      <c r="B3884" s="235" t="str">
        <f>IFERROR(__xludf.DUMMYFUNCTION("""COMPUTED_VALUE"""),"LORAINE ALMAZAN")</f>
        <v>LORAINE ALMAZAN</v>
      </c>
      <c r="C3884" s="235" t="str">
        <f>IFERROR(__xludf.DUMMYFUNCTION("""COMPUTED_VALUE"""),"MIS")</f>
        <v>MIS</v>
      </c>
      <c r="D3884" s="196" t="str">
        <f>IFERROR(__xludf.DUMMYFUNCTION("""COMPUTED_VALUE"""),"NETGATE 4100 MAX PFSENSE SECURITY GATEWAY (1)")</f>
        <v>NETGATE 4100 MAX PFSENSE SECURITY GATEWAY (1)</v>
      </c>
      <c r="E3884" s="196" t="str">
        <f>IFERROR(__xludf.DUMMYFUNCTION("""COMPUTED_VALUE"""),"BACK UP PFSENSE FIREWALL")</f>
        <v>BACK UP PFSENSE FIREWALL</v>
      </c>
    </row>
    <row r="3885">
      <c r="A3885" s="234">
        <f>IFERROR(__xludf.DUMMYFUNCTION("""COMPUTED_VALUE"""),104176.0)</f>
        <v>104176</v>
      </c>
      <c r="B3885" s="235" t="str">
        <f>IFERROR(__xludf.DUMMYFUNCTION("""COMPUTED_VALUE"""),"CHARLES DONOR")</f>
        <v>CHARLES DONOR</v>
      </c>
      <c r="C3885" s="235" t="str">
        <f>IFERROR(__xludf.DUMMYFUNCTION("""COMPUTED_VALUE"""),"AMD")</f>
        <v>AMD</v>
      </c>
      <c r="D3885" s="196" t="str">
        <f>IFERROR(__xludf.DUMMYFUNCTION("""COMPUTED_VALUE"""),"BOARD, VELLUM (LONG) 100PACKS
BOARD, VELLUM(SHORT) 30PACKS")</f>
        <v>BOARD, VELLUM (LONG) 100PACKS
BOARD, VELLUM(SHORT) 30PACKS</v>
      </c>
      <c r="E3885" s="196" t="str">
        <f>IFERROR(__xludf.DUMMYFUNCTION("""COMPUTED_VALUE"""),"FOR OSSUP STOCK REPLENISHMENT")</f>
        <v>FOR OSSUP STOCK REPLENISHMENT</v>
      </c>
    </row>
    <row r="3886">
      <c r="A3886" s="234">
        <f>IFERROR(__xludf.DUMMYFUNCTION("""COMPUTED_VALUE"""),104177.0)</f>
        <v>104177</v>
      </c>
      <c r="B3886" s="235" t="str">
        <f>IFERROR(__xludf.DUMMYFUNCTION("""COMPUTED_VALUE"""),"CHARLES DONOR")</f>
        <v>CHARLES DONOR</v>
      </c>
      <c r="C3886" s="235" t="str">
        <f>IFERROR(__xludf.DUMMYFUNCTION("""COMPUTED_VALUE"""),"AMD")</f>
        <v>AMD</v>
      </c>
      <c r="D3886" s="196" t="str">
        <f>IFERROR(__xludf.DUMMYFUNCTION("""COMPUTED_VALUE"""),"TISSUE, ROLL BATH 2PLY (SANICARE) - 288 PCS")</f>
        <v>TISSUE, ROLL BATH 2PLY (SANICARE) - 288 PCS</v>
      </c>
      <c r="E3886" s="196" t="str">
        <f>IFERROR(__xludf.DUMMYFUNCTION("""COMPUTED_VALUE"""),"OSSUP-STOCK REPLENISHMENT ")</f>
        <v>OSSUP-STOCK REPLENISHMENT </v>
      </c>
    </row>
    <row r="3887">
      <c r="A3887" s="234">
        <f>IFERROR(__xludf.DUMMYFUNCTION("""COMPUTED_VALUE"""),104178.0)</f>
        <v>104178</v>
      </c>
      <c r="B3887" s="235" t="str">
        <f>IFERROR(__xludf.DUMMYFUNCTION("""COMPUTED_VALUE"""),"CHARLES DONOR")</f>
        <v>CHARLES DONOR</v>
      </c>
      <c r="C3887" s="235" t="str">
        <f>IFERROR(__xludf.DUMMYFUNCTION("""COMPUTED_VALUE"""),"AMD")</f>
        <v>AMD</v>
      </c>
      <c r="D3887" s="196" t="str">
        <f>IFERROR(__xludf.DUMMYFUNCTION("""COMPUTED_VALUE"""),"TAPE, DUCT TAPE (2IN x 10M) 200PCS")</f>
        <v>TAPE, DUCT TAPE (2IN x 10M) 200PCS</v>
      </c>
      <c r="E3887" s="196" t="str">
        <f>IFERROR(__xludf.DUMMYFUNCTION("""COMPUTED_VALUE"""),"OSSUP- STOCK REPLENISHMENT")</f>
        <v>OSSUP- STOCK REPLENISHMENT</v>
      </c>
    </row>
    <row r="3888">
      <c r="A3888" s="234">
        <f>IFERROR(__xludf.DUMMYFUNCTION("""COMPUTED_VALUE"""),104179.0)</f>
        <v>104179</v>
      </c>
      <c r="B3888" s="235" t="str">
        <f>IFERROR(__xludf.DUMMYFUNCTION("""COMPUTED_VALUE"""),"CHARLES DONOR")</f>
        <v>CHARLES DONOR</v>
      </c>
      <c r="C3888" s="235" t="str">
        <f>IFERROR(__xludf.DUMMYFUNCTION("""COMPUTED_VALUE"""),"AMD")</f>
        <v>AMD</v>
      </c>
      <c r="D3888" s="196" t="str">
        <f>IFERROR(__xludf.DUMMYFUNCTION("""COMPUTED_VALUE"""),"FOLDER, PRESSBOARD GREEN SHORT PLAIN 1000PCS")</f>
        <v>FOLDER, PRESSBOARD GREEN SHORT PLAIN 1000PCS</v>
      </c>
      <c r="E3888" s="196" t="str">
        <f>IFERROR(__xludf.DUMMYFUNCTION("""COMPUTED_VALUE"""),"OSSUP-STOCK REPLENISHMENT ")</f>
        <v>OSSUP-STOCK REPLENISHMENT </v>
      </c>
    </row>
    <row r="3889">
      <c r="A3889" s="234">
        <f>IFERROR(__xludf.DUMMYFUNCTION("""COMPUTED_VALUE"""),104180.0)</f>
        <v>104180</v>
      </c>
      <c r="B3889" s="235" t="str">
        <f>IFERROR(__xludf.DUMMYFUNCTION("""COMPUTED_VALUE"""),"CHARLES DONOR")</f>
        <v>CHARLES DONOR</v>
      </c>
      <c r="C3889" s="235" t="str">
        <f>IFERROR(__xludf.DUMMYFUNCTION("""COMPUTED_VALUE"""),"AMD")</f>
        <v>AMD</v>
      </c>
      <c r="D3889" s="196" t="str">
        <f>IFERROR(__xludf.DUMMYFUNCTION("""COMPUTED_VALUE"""),"PAPER, COPY-LASER SUB. 20 SHORT WHITE 150 REAMS")</f>
        <v>PAPER, COPY-LASER SUB. 20 SHORT WHITE 150 REAMS</v>
      </c>
      <c r="E3889" s="196" t="str">
        <f>IFERROR(__xludf.DUMMYFUNCTION("""COMPUTED_VALUE"""),"OSSUP- STOCK REPLENISHMENT")</f>
        <v>OSSUP- STOCK REPLENISHMENT</v>
      </c>
    </row>
    <row r="3890">
      <c r="A3890" s="234">
        <f>IFERROR(__xludf.DUMMYFUNCTION("""COMPUTED_VALUE"""),104181.0)</f>
        <v>104181</v>
      </c>
      <c r="B3890" s="235" t="str">
        <f>IFERROR(__xludf.DUMMYFUNCTION("""COMPUTED_VALUE"""),"VIOLETA REVOLTAR ")</f>
        <v>VIOLETA REVOLTAR </v>
      </c>
      <c r="C3890" s="235" t="str">
        <f>IFERROR(__xludf.DUMMYFUNCTION("""COMPUTED_VALUE"""),"CEM OFFICE")</f>
        <v>CEM OFFICE</v>
      </c>
      <c r="D3890" s="196" t="str">
        <f>IFERROR(__xludf.DUMMYFUNCTION("""COMPUTED_VALUE"""),"WASTE BIN FOR THE CR 1PC
METAL OPEN SHELF/ RACK 1PC")</f>
        <v>WASTE BIN FOR THE CR 1PC
METAL OPEN SHELF/ RACK 1PC</v>
      </c>
      <c r="E3890" s="196" t="str">
        <f>IFERROR(__xludf.DUMMYFUNCTION("""COMPUTED_VALUE"""),"FOR REPLACEMENT OF WASTE BIN THAT'S BROKEN; FOR ORDERLY KEEPING OF PANTRY SUPPLIES")</f>
        <v>FOR REPLACEMENT OF WASTE BIN THAT'S BROKEN; FOR ORDERLY KEEPING OF PANTRY SUPPLIES</v>
      </c>
    </row>
    <row r="3891">
      <c r="A3891" s="234">
        <f>IFERROR(__xludf.DUMMYFUNCTION("""COMPUTED_VALUE"""),104182.0)</f>
        <v>104182</v>
      </c>
      <c r="B3891" s="235" t="str">
        <f>IFERROR(__xludf.DUMMYFUNCTION("""COMPUTED_VALUE"""),"OWIE PAR")</f>
        <v>OWIE PAR</v>
      </c>
      <c r="C3891" s="235" t="str">
        <f>IFERROR(__xludf.DUMMYFUNCTION("""COMPUTED_VALUE"""),"ADMIN")</f>
        <v>ADMIN</v>
      </c>
      <c r="D3891" s="196" t="str">
        <f>IFERROR(__xludf.DUMMYFUNCTION("""COMPUTED_VALUE"""),"MARINE PLYWOOD 1/4"" 2PCS
 2x2x8 KD 10PCS")</f>
        <v>MARINE PLYWOOD 1/4" 2PCS
 2x2x8 KD 10PCS</v>
      </c>
      <c r="E3891" s="196" t="str">
        <f>IFERROR(__xludf.DUMMYFUNCTION("""COMPUTED_VALUE"""),"MATERIALS FOR ROBOTICS WALL")</f>
        <v>MATERIALS FOR ROBOTICS WALL</v>
      </c>
    </row>
    <row r="3892">
      <c r="A3892" s="234">
        <f>IFERROR(__xludf.DUMMYFUNCTION("""COMPUTED_VALUE"""),104183.0)</f>
        <v>104183</v>
      </c>
      <c r="B3892" s="235" t="str">
        <f>IFERROR(__xludf.DUMMYFUNCTION("""COMPUTED_VALUE"""),"CHARLES DONOR")</f>
        <v>CHARLES DONOR</v>
      </c>
      <c r="C3892" s="235" t="str">
        <f>IFERROR(__xludf.DUMMYFUNCTION("""COMPUTED_VALUE"""),"AMD")</f>
        <v>AMD</v>
      </c>
      <c r="D3892" s="196" t="str">
        <f>IFERROR(__xludf.DUMMYFUNCTION("""COMPUTED_VALUE"""),"CARTOLINA, BLACK 500PCS
CARTOLINA, WHITE 400PCS")</f>
        <v>CARTOLINA, BLACK 500PCS
CARTOLINA, WHITE 400PCS</v>
      </c>
      <c r="E3892" s="196" t="str">
        <f>IFERROR(__xludf.DUMMYFUNCTION("""COMPUTED_VALUE"""),"OSSUP-STOCK REPLENISHMENT ")</f>
        <v>OSSUP-STOCK REPLENISHMENT </v>
      </c>
    </row>
    <row r="3893">
      <c r="A3893" s="234">
        <f>IFERROR(__xludf.DUMMYFUNCTION("""COMPUTED_VALUE"""),104184.0)</f>
        <v>104184</v>
      </c>
      <c r="B3893" s="235" t="str">
        <f>IFERROR(__xludf.DUMMYFUNCTION("""COMPUTED_VALUE"""),"JESUIT CHRISTIAN GALICIA")</f>
        <v>JESUIT CHRISTIAN GALICIA</v>
      </c>
      <c r="C3893" s="235" t="str">
        <f>IFERROR(__xludf.DUMMYFUNCTION("""COMPUTED_VALUE"""),"AMD")</f>
        <v>AMD</v>
      </c>
      <c r="D3893" s="196" t="str">
        <f>IFERROR(__xludf.DUMMYFUNCTION("""COMPUTED_VALUE"""),"LED BULB 8W DAYLIGHT -PHILIPS 300PCS
LED TUBE 16W DAYLIGHT-PHILIPS 400PCS
LED TUBE 8W DAYLIGHT-PHILIPS 400PCS
LAVATORY FAUCET (CRESTON) 30PCS)")</f>
        <v>LED BULB 8W DAYLIGHT -PHILIPS 300PCS
LED TUBE 16W DAYLIGHT-PHILIPS 400PCS
LED TUBE 8W DAYLIGHT-PHILIPS 400PCS
LAVATORY FAUCET (CRESTON) 30PCS)</v>
      </c>
      <c r="E3893" s="196" t="str">
        <f>IFERROR(__xludf.DUMMYFUNCTION("""COMPUTED_VALUE"""),"ENGINEERING WAREHOUSE STOCK REPLENISHMENT AND RESERVING STOCK FOR THE REPLACEMENT  OF OLD TUBE/BULB LIGHTS")</f>
        <v>ENGINEERING WAREHOUSE STOCK REPLENISHMENT AND RESERVING STOCK FOR THE REPLACEMENT  OF OLD TUBE/BULB LIGHTS</v>
      </c>
    </row>
    <row r="3894">
      <c r="A3894" s="234">
        <f>IFERROR(__xludf.DUMMYFUNCTION("""COMPUTED_VALUE"""),104185.0)</f>
        <v>104185</v>
      </c>
      <c r="B3894" s="235" t="str">
        <f>IFERROR(__xludf.DUMMYFUNCTION("""COMPUTED_VALUE"""),"CHRISTIAN ANDRES")</f>
        <v>CHRISTIAN ANDRES</v>
      </c>
      <c r="C3894" s="235" t="str">
        <f>IFERROR(__xludf.DUMMYFUNCTION("""COMPUTED_VALUE"""),"PR &amp; MARKETING")</f>
        <v>PR &amp; MARKETING</v>
      </c>
      <c r="D3894" s="196" t="str">
        <f>IFERROR(__xludf.DUMMYFUNCTION("""COMPUTED_VALUE"""),"MUNICH BIG TARP 10 x 24 FT  (RE-ORDER)")</f>
        <v>MUNICH BIG TARP 10 x 24 FT  (RE-ORDER)</v>
      </c>
      <c r="E3894" s="196" t="str">
        <f>IFERROR(__xludf.DUMMYFUNCTION("""COMPUTED_VALUE"""),"PROMOTION/ MARKETING")</f>
        <v>PROMOTION/ MARKETING</v>
      </c>
    </row>
    <row r="3895">
      <c r="A3895" s="234">
        <f>IFERROR(__xludf.DUMMYFUNCTION("""COMPUTED_VALUE"""),104186.0)</f>
        <v>104186</v>
      </c>
      <c r="B3895" s="235" t="str">
        <f>IFERROR(__xludf.DUMMYFUNCTION("""COMPUTED_VALUE"""),"CHARLES DONOR")</f>
        <v>CHARLES DONOR</v>
      </c>
      <c r="C3895" s="235" t="str">
        <f>IFERROR(__xludf.DUMMYFUNCTION("""COMPUTED_VALUE"""),"AMD")</f>
        <v>AMD</v>
      </c>
      <c r="D3895" s="196" t="str">
        <f>IFERROR(__xludf.DUMMYFUNCTION("""COMPUTED_VALUE"""),"FARGO HDP500 YMCK COLOR RIBBON 15PCS")</f>
        <v>FARGO HDP500 YMCK COLOR RIBBON 15PCS</v>
      </c>
      <c r="E3895" s="196" t="str">
        <f>IFERROR(__xludf.DUMMYFUNCTION("""COMPUTED_VALUE"""),"OSSUP-STOCK REPLENISHMENT ")</f>
        <v>OSSUP-STOCK REPLENISHMENT </v>
      </c>
    </row>
    <row r="3896">
      <c r="A3896" s="234">
        <f>IFERROR(__xludf.DUMMYFUNCTION("""COMPUTED_VALUE"""),104187.0)</f>
        <v>104187</v>
      </c>
      <c r="B3896" s="235" t="str">
        <f>IFERROR(__xludf.DUMMYFUNCTION("""COMPUTED_VALUE"""),"CHARLES DONOR")</f>
        <v>CHARLES DONOR</v>
      </c>
      <c r="C3896" s="235" t="str">
        <f>IFERROR(__xludf.DUMMYFUNCTION("""COMPUTED_VALUE"""),"AMD")</f>
        <v>AMD</v>
      </c>
      <c r="D3896" s="196" t="str">
        <f>IFERROR(__xludf.DUMMYFUNCTION("""COMPUTED_VALUE"""),"MIFARE 1K BIT- CONTACTLESS CARD, MODEL-IOT CRDM65 4000PCS")</f>
        <v>MIFARE 1K BIT- CONTACTLESS CARD, MODEL-IOT CRDM65 4000PCS</v>
      </c>
      <c r="E3896" s="196" t="str">
        <f>IFERROR(__xludf.DUMMYFUNCTION("""COMPUTED_VALUE"""),"OSSUP-STOCK REPLENISHMENT ")</f>
        <v>OSSUP-STOCK REPLENISHMENT </v>
      </c>
    </row>
    <row r="3897">
      <c r="A3897" s="234">
        <f>IFERROR(__xludf.DUMMYFUNCTION("""COMPUTED_VALUE"""),104188.0)</f>
        <v>104188</v>
      </c>
      <c r="B3897" s="235" t="str">
        <f>IFERROR(__xludf.DUMMYFUNCTION("""COMPUTED_VALUE"""),"ANA TAMAYO")</f>
        <v>ANA TAMAYO</v>
      </c>
      <c r="C3897" s="235" t="str">
        <f>IFERROR(__xludf.DUMMYFUNCTION("""COMPUTED_VALUE"""),"MUNICH")</f>
        <v>MUNICH</v>
      </c>
      <c r="D3897" s="196" t="str">
        <f>IFERROR(__xludf.DUMMYFUNCTION("""COMPUTED_VALUE"""),"BATCH SHIRT
3PCS G6 BATCH SHIRT- SMALL
7PCS G6 BATCH SHIRT- MEDIUM")</f>
        <v>BATCH SHIRT
3PCS G6 BATCH SHIRT- SMALL
7PCS G6 BATCH SHIRT- MEDIUM</v>
      </c>
      <c r="E3897" s="196" t="str">
        <f>IFERROR(__xludf.DUMMYFUNCTION("""COMPUTED_VALUE"""),"CGS OF G6")</f>
        <v>CGS OF G6</v>
      </c>
    </row>
    <row r="3898">
      <c r="A3898" s="234">
        <f>IFERROR(__xludf.DUMMYFUNCTION("""COMPUTED_VALUE"""),104189.0)</f>
        <v>104189</v>
      </c>
      <c r="B3898" s="235" t="str">
        <f>IFERROR(__xludf.DUMMYFUNCTION("""COMPUTED_VALUE"""),"CHARLES DONOR")</f>
        <v>CHARLES DONOR</v>
      </c>
      <c r="C3898" s="235" t="str">
        <f>IFERROR(__xludf.DUMMYFUNCTION("""COMPUTED_VALUE"""),"AMD")</f>
        <v>AMD</v>
      </c>
      <c r="D3898" s="196" t="str">
        <f>IFERROR(__xludf.DUMMYFUNCTION("""COMPUTED_VALUE"""),"BALLPEN &amp; PENCIL HOLDER CONTAINER (BOX) 20PCS")</f>
        <v>BALLPEN &amp; PENCIL HOLDER CONTAINER (BOX) 20PCS</v>
      </c>
      <c r="E3898" s="196" t="str">
        <f>IFERROR(__xludf.DUMMYFUNCTION("""COMPUTED_VALUE"""),"FOR SUPPLIES STORAGE AND ORGANIZING")</f>
        <v>FOR SUPPLIES STORAGE AND ORGANIZING</v>
      </c>
    </row>
    <row r="3899">
      <c r="A3899" s="234">
        <f>IFERROR(__xludf.DUMMYFUNCTION("""COMPUTED_VALUE"""),104190.0)</f>
        <v>104190</v>
      </c>
      <c r="B3899" s="235" t="str">
        <f>IFERROR(__xludf.DUMMYFUNCTION("""COMPUTED_VALUE"""),"OWIE PAR")</f>
        <v>OWIE PAR</v>
      </c>
      <c r="C3899" s="235" t="str">
        <f>IFERROR(__xludf.DUMMYFUNCTION("""COMPUTED_VALUE"""),"ENGINEERING")</f>
        <v>ENGINEERING</v>
      </c>
      <c r="D3899" s="196" t="str">
        <f>IFERROR(__xludf.DUMMYFUNCTION("""COMPUTED_VALUE"""),"GI PIPE #3 GAUGE 40 6PCS
DYNA BOLT #3/8 24PCS
MASONRY BIT #1/2 1PC")</f>
        <v>GI PIPE #3 GAUGE 40 6PCS
DYNA BOLT #3/8 24PCS
MASONRY BIT #1/2 1PC</v>
      </c>
      <c r="E3899" s="196" t="str">
        <f>IFERROR(__xludf.DUMMYFUNCTION("""COMPUTED_VALUE"""),"MUNICH GATE #7 (SAFETY OF CARS)")</f>
        <v>MUNICH GATE #7 (SAFETY OF CARS)</v>
      </c>
    </row>
    <row r="3900">
      <c r="A3900" s="234">
        <f>IFERROR(__xludf.DUMMYFUNCTION("""COMPUTED_VALUE"""),104191.0)</f>
        <v>104191</v>
      </c>
      <c r="B3900" s="235" t="str">
        <f>IFERROR(__xludf.DUMMYFUNCTION("""COMPUTED_VALUE"""),"OWIE PAR")</f>
        <v>OWIE PAR</v>
      </c>
      <c r="C3900" s="235" t="str">
        <f>IFERROR(__xludf.DUMMYFUNCTION("""COMPUTED_VALUE"""),"ENGINEERING")</f>
        <v>ENGINEERING</v>
      </c>
      <c r="D3900" s="196" t="str">
        <f>IFERROR(__xludf.DUMMYFUNCTION("""COMPUTED_VALUE"""),"SQUARE BAR 12MM 10PCS
CUTTING DISC #4 5PCS
EPOXY PRIMER GRAY (SPHERO) 1LITER
Q.D.E CHOCOLATE BROWN 1 LITER
WELDING ROD (SPECIAL) 2 KGS")</f>
        <v>SQUARE BAR 12MM 10PCS
CUTTING DISC #4 5PCS
EPOXY PRIMER GRAY (SPHERO) 1LITER
Q.D.E CHOCOLATE BROWN 1 LITER
WELDING ROD (SPECIAL) 2 KGS</v>
      </c>
      <c r="E3900" s="196" t="str">
        <f>IFERROR(__xludf.DUMMYFUNCTION("""COMPUTED_VALUE"""),"IMPROVEMENTS OF FIRE EXIT AT MMA (SAFETY CONCERNS)")</f>
        <v>IMPROVEMENTS OF FIRE EXIT AT MMA (SAFETY CONCERNS)</v>
      </c>
    </row>
    <row r="3901">
      <c r="A3901" s="234">
        <f>IFERROR(__xludf.DUMMYFUNCTION("""COMPUTED_VALUE"""),104192.0)</f>
        <v>104192</v>
      </c>
      <c r="B3901" s="235" t="str">
        <f>IFERROR(__xludf.DUMMYFUNCTION("""COMPUTED_VALUE"""),"ESTHER JOY LARITA")</f>
        <v>ESTHER JOY LARITA</v>
      </c>
      <c r="C3901" s="235" t="str">
        <f>IFERROR(__xludf.DUMMYFUNCTION("""COMPUTED_VALUE"""),"ACCREDITATION")</f>
        <v>ACCREDITATION</v>
      </c>
      <c r="D3901" s="196" t="str">
        <f>IFERROR(__xludf.DUMMYFUNCTION("""COMPUTED_VALUE"""),"PQA FRAMEWORKS FOR PANEL BOARDS (TARPS) 81cm x 59cm (12)")</f>
        <v>PQA FRAMEWORKS FOR PANEL BOARDS (TARPS) 81cm x 59cm (12)</v>
      </c>
      <c r="E3901" s="196" t="str">
        <f>IFERROR(__xludf.DUMMYFUNCTION("""COMPUTED_VALUE"""),"PQA FRAMEWORKS")</f>
        <v>PQA FRAMEWORKS</v>
      </c>
    </row>
    <row r="3902">
      <c r="A3902" s="234">
        <f>IFERROR(__xludf.DUMMYFUNCTION("""COMPUTED_VALUE"""),104193.0)</f>
        <v>104193</v>
      </c>
      <c r="B3902" s="235" t="str">
        <f>IFERROR(__xludf.DUMMYFUNCTION("""COMPUTED_VALUE"""),"JOMEL BUTIAL")</f>
        <v>JOMEL BUTIAL</v>
      </c>
      <c r="C3902" s="235" t="str">
        <f>IFERROR(__xludf.DUMMYFUNCTION("""COMPUTED_VALUE"""),"PR &amp; MARKETING")</f>
        <v>PR &amp; MARKETING</v>
      </c>
      <c r="D3902" s="196" t="str">
        <f>IFERROR(__xludf.DUMMYFUNCTION("""COMPUTED_VALUE"""),"GENERIC FLYER 5000PCS")</f>
        <v>GENERIC FLYER 5000PCS</v>
      </c>
      <c r="E3902" s="196" t="str">
        <f>IFERROR(__xludf.DUMMYFUNCTION("""COMPUTED_VALUE"""),"MARKETING")</f>
        <v>MARKETING</v>
      </c>
    </row>
    <row r="3903">
      <c r="A3903" s="234">
        <f>IFERROR(__xludf.DUMMYFUNCTION("""COMPUTED_VALUE"""),104194.0)</f>
        <v>104194</v>
      </c>
      <c r="B3903" s="235" t="str">
        <f>IFERROR(__xludf.DUMMYFUNCTION("""COMPUTED_VALUE"""),"JOMEL BUTIAL")</f>
        <v>JOMEL BUTIAL</v>
      </c>
      <c r="C3903" s="235" t="str">
        <f>IFERROR(__xludf.DUMMYFUNCTION("""COMPUTED_VALUE"""),"PR &amp; MARKETING")</f>
        <v>PR &amp; MARKETING</v>
      </c>
      <c r="D3903" s="196" t="str">
        <f>IFERROR(__xludf.DUMMYFUNCTION("""COMPUTED_VALUE"""),"BULLETIN BOARD SMALLER VERSION QTY: 1")</f>
        <v>BULLETIN BOARD SMALLER VERSION QTY: 1</v>
      </c>
      <c r="E3903" s="196" t="str">
        <f>IFERROR(__xludf.DUMMYFUNCTION("""COMPUTED_VALUE"""),"MARKETING")</f>
        <v>MARKETING</v>
      </c>
    </row>
    <row r="3904">
      <c r="A3904" s="234">
        <f>IFERROR(__xludf.DUMMYFUNCTION("""COMPUTED_VALUE"""),104195.0)</f>
        <v>104195</v>
      </c>
      <c r="B3904" s="235" t="str">
        <f>IFERROR(__xludf.DUMMYFUNCTION("""COMPUTED_VALUE"""),"JOMEL BUTIAL")</f>
        <v>JOMEL BUTIAL</v>
      </c>
      <c r="C3904" s="235" t="str">
        <f>IFERROR(__xludf.DUMMYFUNCTION("""COMPUTED_VALUE"""),"PR &amp; MARKETING")</f>
        <v>PR &amp; MARKETING</v>
      </c>
      <c r="D3904" s="196" t="str">
        <f>IFERROR(__xludf.DUMMYFUNCTION("""COMPUTED_VALUE"""),"PQA WELCOME BANNER X-STAND 6PCS")</f>
        <v>PQA WELCOME BANNER X-STAND 6PCS</v>
      </c>
      <c r="E3904" s="196" t="str">
        <f>IFERROR(__xludf.DUMMYFUNCTION("""COMPUTED_VALUE"""),"PQA VISIT")</f>
        <v>PQA VISIT</v>
      </c>
    </row>
    <row r="3905">
      <c r="A3905" s="234">
        <f>IFERROR(__xludf.DUMMYFUNCTION("""COMPUTED_VALUE"""),104196.0)</f>
        <v>104196</v>
      </c>
      <c r="B3905" s="235" t="str">
        <f>IFERROR(__xludf.DUMMYFUNCTION("""COMPUTED_VALUE"""),"LUCILLE BEYER")</f>
        <v>LUCILLE BEYER</v>
      </c>
      <c r="C3905" s="235" t="str">
        <f>IFERROR(__xludf.DUMMYFUNCTION("""COMPUTED_VALUE"""),"MEDICAL")</f>
        <v>MEDICAL</v>
      </c>
      <c r="D3905" s="196" t="str">
        <f>IFERROR(__xludf.DUMMYFUNCTION("""COMPUTED_VALUE"""),"CLINIC SUPPLIES FOR SGEN CUP AND ISAC SEASON 3")</f>
        <v>CLINIC SUPPLIES FOR SGEN CUP AND ISAC SEASON 3</v>
      </c>
      <c r="E3905" s="196" t="str">
        <f>IFERROR(__xludf.DUMMYFUNCTION("""COMPUTED_VALUE"""),"FOR ADDITIONAL CLINIC SUPPLIES ")</f>
        <v>FOR ADDITIONAL CLINIC SUPPLIES </v>
      </c>
    </row>
    <row r="3906">
      <c r="A3906" s="234">
        <f>IFERROR(__xludf.DUMMYFUNCTION("""COMPUTED_VALUE"""),104197.0)</f>
        <v>104197</v>
      </c>
      <c r="B3906" s="235" t="str">
        <f>IFERROR(__xludf.DUMMYFUNCTION("""COMPUTED_VALUE"""),"SHEREE ESPINOSA")</f>
        <v>SHEREE ESPINOSA</v>
      </c>
      <c r="C3906" s="235" t="str">
        <f>IFERROR(__xludf.DUMMYFUNCTION("""COMPUTED_VALUE"""),"ADMIN")</f>
        <v>ADMIN</v>
      </c>
      <c r="D3906" s="196" t="str">
        <f>IFERROR(__xludf.DUMMYFUNCTION("""COMPUTED_VALUE"""),"MISSION VISSION TUV RHEILAND CERTIFICATE
SIZE: COLLEGE CLASSROOM (W-53CM xL-66CM) 10
OFFICES (28.5x42.5CM) 5")</f>
        <v>MISSION VISSION TUV RHEILAND CERTIFICATE
SIZE: COLLEGE CLASSROOM (W-53CM xL-66CM) 10
OFFICES (28.5x42.5CM) 5</v>
      </c>
      <c r="E3906" s="196" t="str">
        <f>IFERROR(__xludf.DUMMYFUNCTION("""COMPUTED_VALUE"""),"TO UPDATE MISSION VISSION TARP FOR PQA")</f>
        <v>TO UPDATE MISSION VISSION TARP FOR PQA</v>
      </c>
    </row>
    <row r="3907">
      <c r="A3907" s="234">
        <f>IFERROR(__xludf.DUMMYFUNCTION("""COMPUTED_VALUE"""),104198.0)</f>
        <v>104198</v>
      </c>
      <c r="B3907" s="235" t="str">
        <f>IFERROR(__xludf.DUMMYFUNCTION("""COMPUTED_VALUE"""),"CHARLES DONOR")</f>
        <v>CHARLES DONOR</v>
      </c>
      <c r="C3907" s="235" t="str">
        <f>IFERROR(__xludf.DUMMYFUNCTION("""COMPUTED_VALUE"""),"AMD")</f>
        <v>AMD</v>
      </c>
      <c r="D3907" s="196" t="str">
        <f>IFERROR(__xludf.DUMMYFUNCTION("""COMPUTED_VALUE"""),"TONER, CARTRIDGE INKONVERT TN660 FOR BROTHER HL-L2300D 85 PCS")</f>
        <v>TONER, CARTRIDGE INKONVERT TN660 FOR BROTHER HL-L2300D 85 PCS</v>
      </c>
      <c r="E3907" s="196" t="str">
        <f>IFERROR(__xludf.DUMMYFUNCTION("""COMPUTED_VALUE"""),"OSSUP-STOCK REPLENISHMENT ")</f>
        <v>OSSUP-STOCK REPLENISHMENT </v>
      </c>
    </row>
    <row r="3908">
      <c r="A3908" s="234">
        <f>IFERROR(__xludf.DUMMYFUNCTION("""COMPUTED_VALUE"""),104199.0)</f>
        <v>104199</v>
      </c>
      <c r="B3908" s="235" t="str">
        <f>IFERROR(__xludf.DUMMYFUNCTION("""COMPUTED_VALUE"""),"CHARLES DONOR")</f>
        <v>CHARLES DONOR</v>
      </c>
      <c r="C3908" s="235" t="str">
        <f>IFERROR(__xludf.DUMMYFUNCTION("""COMPUTED_VALUE"""),"AMD")</f>
        <v>AMD</v>
      </c>
      <c r="D3908" s="196" t="str">
        <f>IFERROR(__xludf.DUMMYFUNCTION("""COMPUTED_VALUE"""),"TAPE, DOUBLE SIDED TAPE WITH FOAM 200PCS")</f>
        <v>TAPE, DOUBLE SIDED TAPE WITH FOAM 200PCS</v>
      </c>
      <c r="E3908" s="196" t="str">
        <f>IFERROR(__xludf.DUMMYFUNCTION("""COMPUTED_VALUE"""),"OSSUP-STOCK REPLENISHMENT ")</f>
        <v>OSSUP-STOCK REPLENISHMENT </v>
      </c>
    </row>
    <row r="3909">
      <c r="A3909" s="234">
        <f>IFERROR(__xludf.DUMMYFUNCTION("""COMPUTED_VALUE"""),104200.0)</f>
        <v>104200</v>
      </c>
      <c r="B3909" s="235" t="str">
        <f>IFERROR(__xludf.DUMMYFUNCTION("""COMPUTED_VALUE"""),"CHARLES DONOR")</f>
        <v>CHARLES DONOR</v>
      </c>
      <c r="C3909" s="235" t="str">
        <f>IFERROR(__xludf.DUMMYFUNCTION("""COMPUTED_VALUE"""),"AMD")</f>
        <v>AMD</v>
      </c>
      <c r="D3909" s="196" t="str">
        <f>IFERROR(__xludf.DUMMYFUNCTION("""COMPUTED_VALUE"""),"TONER, CARTRIDGE INKONVERT LBP6000 85A 105 PCS")</f>
        <v>TONER, CARTRIDGE INKONVERT LBP6000 85A 105 PCS</v>
      </c>
      <c r="E3909" s="196" t="str">
        <f>IFERROR(__xludf.DUMMYFUNCTION("""COMPUTED_VALUE"""),"OSSUP- STOCK REPLENISHMENT")</f>
        <v>OSSUP- STOCK REPLENISHMENT</v>
      </c>
    </row>
    <row r="3910">
      <c r="A3910" s="234">
        <f>IFERROR(__xludf.DUMMYFUNCTION("""COMPUTED_VALUE"""),104201.0)</f>
        <v>104201</v>
      </c>
      <c r="B3910" s="235" t="str">
        <f>IFERROR(__xludf.DUMMYFUNCTION("""COMPUTED_VALUE"""),"ESTHER JOY LARITA")</f>
        <v>ESTHER JOY LARITA</v>
      </c>
      <c r="C3910" s="235" t="str">
        <f>IFERROR(__xludf.DUMMYFUNCTION("""COMPUTED_VALUE"""),"PR &amp; MARKETING")</f>
        <v>PR &amp; MARKETING</v>
      </c>
      <c r="D3910" s="196" t="str">
        <f>IFERROR(__xludf.DUMMYFUNCTION("""COMPUTED_VALUE"""),"PQA FRAMEWORK FOR PANEL BOARD 1
(TARP) 81CM x 59CM")</f>
        <v>PQA FRAMEWORK FOR PANEL BOARD 1
(TARP) 81CM x 59CM</v>
      </c>
      <c r="E3910" s="196" t="str">
        <f>IFERROR(__xludf.DUMMYFUNCTION("""COMPUTED_VALUE"""),"FOR PQA")</f>
        <v>FOR PQA</v>
      </c>
    </row>
    <row r="3911">
      <c r="A3911" s="234">
        <f>IFERROR(__xludf.DUMMYFUNCTION("""COMPUTED_VALUE"""),104202.0)</f>
        <v>104202</v>
      </c>
      <c r="B3911" s="235" t="str">
        <f>IFERROR(__xludf.DUMMYFUNCTION("""COMPUTED_VALUE"""),"JESUIT CHRISTIAN GALICIA")</f>
        <v>JESUIT CHRISTIAN GALICIA</v>
      </c>
      <c r="C3911" s="235" t="str">
        <f>IFERROR(__xludf.DUMMYFUNCTION("""COMPUTED_VALUE"""),"AMD")</f>
        <v>AMD</v>
      </c>
      <c r="D3911" s="196" t="str">
        <f>IFERROR(__xludf.DUMMYFUNCTION("""COMPUTED_VALUE"""),"EXTENSION WIRES (5METERS OMNI)  5PCS
KINGSTON SOLID SOLID STATE DRIVE 256GB 10PCS
UGREEN DVI TO VGA CONVERTER 30PCS
CAT6 CABLE BLUE 4PCS
AVR SECURE (ECOPOWER) 100PCS
USB KEYBOARD(LOGITECH) 30PCS
STRIP WIRE 8 INCHES 30PKS")</f>
        <v>EXTENSION WIRES (5METERS OMNI)  5PCS
KINGSTON SOLID SOLID STATE DRIVE 256GB 10PCS
UGREEN DVI TO VGA CONVERTER 30PCS
CAT6 CABLE BLUE 4PCS
AVR SECURE (ECOPOWER) 100PCS
USB KEYBOARD(LOGITECH) 30PCS
STRIP WIRE 8 INCHES 30PKS</v>
      </c>
      <c r="E3911" s="196" t="str">
        <f>IFERROR(__xludf.DUMMYFUNCTION("""COMPUTED_VALUE"""),"MIS WAREHOUSE STOCK REPLENISHMENT")</f>
        <v>MIS WAREHOUSE STOCK REPLENISHMENT</v>
      </c>
    </row>
    <row r="3912">
      <c r="A3912" s="234">
        <f>IFERROR(__xludf.DUMMYFUNCTION("""COMPUTED_VALUE"""),104203.0)</f>
        <v>104203</v>
      </c>
      <c r="B3912" s="235" t="str">
        <f>IFERROR(__xludf.DUMMYFUNCTION("""COMPUTED_VALUE"""),"CHARLES DONOR")</f>
        <v>CHARLES DONOR</v>
      </c>
      <c r="C3912" s="235" t="str">
        <f>IFERROR(__xludf.DUMMYFUNCTION("""COMPUTED_VALUE"""),"AMD")</f>
        <v>AMD</v>
      </c>
      <c r="D3912" s="196" t="str">
        <f>IFERROR(__xludf.DUMMYFUNCTION("""COMPUTED_VALUE"""),"TONER, CARTRIDGE CF210A BLACK 30PCS")</f>
        <v>TONER, CARTRIDGE CF210A BLACK 30PCS</v>
      </c>
      <c r="E3912" s="196" t="str">
        <f>IFERROR(__xludf.DUMMYFUNCTION("""COMPUTED_VALUE"""),"OSSUP-STOCK REPLENISHMENT ")</f>
        <v>OSSUP-STOCK REPLENISHMENT </v>
      </c>
    </row>
    <row r="3913">
      <c r="A3913" s="234">
        <f>IFERROR(__xludf.DUMMYFUNCTION("""COMPUTED_VALUE"""),104204.0)</f>
        <v>104204</v>
      </c>
      <c r="B3913" s="235" t="str">
        <f>IFERROR(__xludf.DUMMYFUNCTION("""COMPUTED_VALUE"""),"OWIE PAR")</f>
        <v>OWIE PAR</v>
      </c>
      <c r="C3913" s="235" t="str">
        <f>IFERROR(__xludf.DUMMYFUNCTION("""COMPUTED_VALUE"""),"ENGINEERING")</f>
        <v>ENGINEERING</v>
      </c>
      <c r="D3913" s="196" t="str">
        <f>IFERROR(__xludf.DUMMYFUNCTION("""COMPUTED_VALUE"""),"CLEAR GLASS 20"" x 21"" x 1/4 1PC
GLASS SEALANT (CLEAR) 2 PCS
GLASS SEALANT GREEN 1 PC")</f>
        <v>CLEAR GLASS 20" x 21" x 1/4 1PC
GLASS SEALANT (CLEAR) 2 PCS
GLASS SEALANT GREEN 1 PC</v>
      </c>
      <c r="E3913" s="196" t="str">
        <f>IFERROR(__xludf.DUMMYFUNCTION("""COMPUTED_VALUE"""),"FOR ICT FACULTY BROKEN WINDOW GLASS")</f>
        <v>FOR ICT FACULTY BROKEN WINDOW GLASS</v>
      </c>
    </row>
    <row r="3914">
      <c r="A3914" s="234">
        <f>IFERROR(__xludf.DUMMYFUNCTION("""COMPUTED_VALUE"""),104205.0)</f>
        <v>104205</v>
      </c>
      <c r="B3914" s="235" t="str">
        <f>IFERROR(__xludf.DUMMYFUNCTION("""COMPUTED_VALUE"""),"OWIE PAR")</f>
        <v>OWIE PAR</v>
      </c>
      <c r="C3914" s="235" t="str">
        <f>IFERROR(__xludf.DUMMYFUNCTION("""COMPUTED_VALUE"""),"ENGINEERING")</f>
        <v>ENGINEERING</v>
      </c>
      <c r="D3914" s="196" t="str">
        <f>IFERROR(__xludf.DUMMYFUNCTION("""COMPUTED_VALUE"""),"DUPLEX OUTLET 2 GANG 10PCS
HEAVY DUTY MALE PLUG 10PCS
FLAT CORD #16 (BLACK) 50METERS")</f>
        <v>DUPLEX OUTLET 2 GANG 10PCS
HEAVY DUTY MALE PLUG 10PCS
FLAT CORD #16 (BLACK) 50METERS</v>
      </c>
      <c r="E3914" s="196" t="str">
        <f>IFERROR(__xludf.DUMMYFUNCTION("""COMPUTED_VALUE"""),"FOR ROBOTICS ELECTRICAL SYSTEM (LUX)")</f>
        <v>FOR ROBOTICS ELECTRICAL SYSTEM (LUX)</v>
      </c>
    </row>
    <row r="3915">
      <c r="A3915" s="234">
        <f>IFERROR(__xludf.DUMMYFUNCTION("""COMPUTED_VALUE"""),104206.0)</f>
        <v>104206</v>
      </c>
      <c r="B3915" s="235" t="str">
        <f>IFERROR(__xludf.DUMMYFUNCTION("""COMPUTED_VALUE"""),"SHEREE ESPINOSA")</f>
        <v>SHEREE ESPINOSA</v>
      </c>
      <c r="C3915" s="235" t="str">
        <f>IFERROR(__xludf.DUMMYFUNCTION("""COMPUTED_VALUE"""),"ADMIN")</f>
        <v>ADMIN</v>
      </c>
      <c r="D3915" s="196" t="str">
        <f>IFERROR(__xludf.DUMMYFUNCTION("""COMPUTED_VALUE"""),"SIGNAGE SINTRA BOARD (2)")</f>
        <v>SIGNAGE SINTRA BOARD (2)</v>
      </c>
      <c r="E3915" s="196" t="str">
        <f>IFERROR(__xludf.DUMMYFUNCTION("""COMPUTED_VALUE"""),"FOR FITNESS HUB SIGNAGE")</f>
        <v>FOR FITNESS HUB SIGNAGE</v>
      </c>
    </row>
    <row r="3916">
      <c r="A3916" s="234">
        <f>IFERROR(__xludf.DUMMYFUNCTION("""COMPUTED_VALUE"""),104207.0)</f>
        <v>104207</v>
      </c>
      <c r="B3916" s="235" t="str">
        <f>IFERROR(__xludf.DUMMYFUNCTION("""COMPUTED_VALUE"""),"CHARLES DONOR")</f>
        <v>CHARLES DONOR</v>
      </c>
      <c r="C3916" s="235" t="str">
        <f>IFERROR(__xludf.DUMMYFUNCTION("""COMPUTED_VALUE"""),"AMD")</f>
        <v>AMD</v>
      </c>
      <c r="D3916" s="196" t="str">
        <f>IFERROR(__xludf.DUMMYFUNCTION("""COMPUTED_VALUE"""),"BATTERY, ENERGIZER SIZE AA 700PCS
BATTERY, EVEREADY SIZE C 100PCS")</f>
        <v>BATTERY, ENERGIZER SIZE AA 700PCS
BATTERY, EVEREADY SIZE C 100PCS</v>
      </c>
      <c r="E3916" s="196" t="str">
        <f>IFERROR(__xludf.DUMMYFUNCTION("""COMPUTED_VALUE"""),"OSSUP- STOCK REPLENISHMENT")</f>
        <v>OSSUP- STOCK REPLENISHMENT</v>
      </c>
    </row>
    <row r="3917">
      <c r="A3917" s="234">
        <f>IFERROR(__xludf.DUMMYFUNCTION("""COMPUTED_VALUE"""),104208.0)</f>
        <v>104208</v>
      </c>
      <c r="B3917" s="235" t="str">
        <f>IFERROR(__xludf.DUMMYFUNCTION("""COMPUTED_VALUE"""),"CHARLES DONOR")</f>
        <v>CHARLES DONOR</v>
      </c>
      <c r="C3917" s="235" t="str">
        <f>IFERROR(__xludf.DUMMYFUNCTION("""COMPUTED_VALUE"""),"AMD")</f>
        <v>AMD</v>
      </c>
      <c r="D3917" s="196" t="str">
        <f>IFERROR(__xludf.DUMMYFUNCTION("""COMPUTED_VALUE"""),"CLIP, ID-ALLIGATOR PLASTIC 500PCS")</f>
        <v>CLIP, ID-ALLIGATOR PLASTIC 500PCS</v>
      </c>
      <c r="E3917" s="196" t="str">
        <f>IFERROR(__xludf.DUMMYFUNCTION("""COMPUTED_VALUE"""),"OSSUP-STOCK REPLENISHMENT ")</f>
        <v>OSSUP-STOCK REPLENISHMENT </v>
      </c>
    </row>
    <row r="3918">
      <c r="A3918" s="234">
        <f>IFERROR(__xludf.DUMMYFUNCTION("""COMPUTED_VALUE"""),104209.0)</f>
        <v>104209</v>
      </c>
      <c r="B3918" s="235" t="str">
        <f>IFERROR(__xludf.DUMMYFUNCTION("""COMPUTED_VALUE"""),"JESUIT CHRISTIAN GALICIA")</f>
        <v>JESUIT CHRISTIAN GALICIA</v>
      </c>
      <c r="C3918" s="235" t="str">
        <f>IFERROR(__xludf.DUMMYFUNCTION("""COMPUTED_VALUE"""),"AMD")</f>
        <v>AMD</v>
      </c>
      <c r="D3918" s="196" t="str">
        <f>IFERROR(__xludf.DUMMYFUNCTION("""COMPUTED_VALUE"""),"CAPACITOR 30UF 5PCS
TOILET SEAT COVER 50PCS
GOOSE NECK FAUCET(CRESTON) 30PCS
PUSH BUTTON FLUSH 20PCS
P-TRAP(PVC TYPE) 15PCS
DOOR CLOSER YALE (BIG HEAVY DUTY) 15PCS
DOUBLE ACTION VALVE (BIG HEAVY DUTY) 10PCS
DOUBLE ACTION VALVE(1/2 x 1/2) 10PCS
CAPACITOR 3"&amp;"5UF 5PCS
CAPACITOR 60UF 30PCS
CAPACITOR 3UF 5PCS
")</f>
        <v>CAPACITOR 30UF 5PCS
TOILET SEAT COVER 50PCS
GOOSE NECK FAUCET(CRESTON) 30PCS
PUSH BUTTON FLUSH 20PCS
P-TRAP(PVC TYPE) 15PCS
DOOR CLOSER YALE (BIG HEAVY DUTY) 15PCS
DOUBLE ACTION VALVE (BIG HEAVY DUTY) 10PCS
DOUBLE ACTION VALVE(1/2 x 1/2) 10PCS
CAPACITOR 35UF 5PCS
CAPACITOR 60UF 30PCS
CAPACITOR 3UF 5PCS
</v>
      </c>
      <c r="E3918" s="196" t="str">
        <f>IFERROR(__xludf.DUMMYFUNCTION("""COMPUTED_VALUE"""),"ENGINEERING WAREHOUSE STOCK REPLENISHMENT")</f>
        <v>ENGINEERING WAREHOUSE STOCK REPLENISHMENT</v>
      </c>
    </row>
    <row r="3919">
      <c r="A3919" s="234">
        <f>IFERROR(__xludf.DUMMYFUNCTION("""COMPUTED_VALUE"""),104210.0)</f>
        <v>104210</v>
      </c>
      <c r="B3919" s="235" t="str">
        <f>IFERROR(__xludf.DUMMYFUNCTION("""COMPUTED_VALUE"""),"CHARLES DONOR")</f>
        <v>CHARLES DONOR</v>
      </c>
      <c r="C3919" s="235" t="str">
        <f>IFERROR(__xludf.DUMMYFUNCTION("""COMPUTED_VALUE"""),"AMD")</f>
        <v>AMD</v>
      </c>
      <c r="D3919" s="196" t="str">
        <f>IFERROR(__xludf.DUMMYFUNCTION("""COMPUTED_VALUE"""),"PAPER, CARBON PAPER SHORT 100 pcs
PAPER, CARBON PAPER LONG 100 pcs")</f>
        <v>PAPER, CARBON PAPER SHORT 100 pcs
PAPER, CARBON PAPER LONG 100 pcs</v>
      </c>
      <c r="E3919" s="196" t="str">
        <f>IFERROR(__xludf.DUMMYFUNCTION("""COMPUTED_VALUE"""),"OSSUP-STOCK REPLENISHMENT ")</f>
        <v>OSSUP-STOCK REPLENISHMENT </v>
      </c>
    </row>
    <row r="3920">
      <c r="A3920" s="234">
        <f>IFERROR(__xludf.DUMMYFUNCTION("""COMPUTED_VALUE"""),104211.0)</f>
        <v>104211</v>
      </c>
      <c r="B3920" s="235" t="str">
        <f>IFERROR(__xludf.DUMMYFUNCTION("""COMPUTED_VALUE"""),"CHARLES DONOR")</f>
        <v>CHARLES DONOR</v>
      </c>
      <c r="C3920" s="235" t="str">
        <f>IFERROR(__xludf.DUMMYFUNCTION("""COMPUTED_VALUE"""),"AMD")</f>
        <v>AMD</v>
      </c>
      <c r="D3920" s="196" t="str">
        <f>IFERROR(__xludf.DUMMYFUNCTION("""COMPUTED_VALUE"""),"RIBBON, CARTRIDGE EPSON LX310 SO15632 10PCS
")</f>
        <v>RIBBON, CARTRIDGE EPSON LX310 SO15632 10PCS
</v>
      </c>
      <c r="E3920" s="196" t="str">
        <f>IFERROR(__xludf.DUMMYFUNCTION("""COMPUTED_VALUE"""),"OSSUP-STOCK REPLENISHMENT ")</f>
        <v>OSSUP-STOCK REPLENISHMENT </v>
      </c>
    </row>
    <row r="3921">
      <c r="A3921" s="234">
        <f>IFERROR(__xludf.DUMMYFUNCTION("""COMPUTED_VALUE"""),104212.0)</f>
        <v>104212</v>
      </c>
      <c r="B3921" s="235" t="str">
        <f>IFERROR(__xludf.DUMMYFUNCTION("""COMPUTED_VALUE"""),"CHARLES DONOR")</f>
        <v>CHARLES DONOR</v>
      </c>
      <c r="C3921" s="235" t="str">
        <f>IFERROR(__xludf.DUMMYFUNCTION("""COMPUTED_VALUE"""),"AMD")</f>
        <v>AMD</v>
      </c>
      <c r="D3921" s="196" t="str">
        <f>IFERROR(__xludf.DUMMYFUNCTION("""COMPUTED_VALUE"""),"ENVELOPE, BROWN LONG 3000PCS
ENVELOPE, BROWN SHORT 1000PCS")</f>
        <v>ENVELOPE, BROWN LONG 3000PCS
ENVELOPE, BROWN SHORT 1000PCS</v>
      </c>
      <c r="E3921" s="196" t="str">
        <f>IFERROR(__xludf.DUMMYFUNCTION("""COMPUTED_VALUE"""),"OSSUP-STOCK REPLENISHMENT ")</f>
        <v>OSSUP-STOCK REPLENISHMENT </v>
      </c>
    </row>
    <row r="3922">
      <c r="A3922" s="234">
        <f>IFERROR(__xludf.DUMMYFUNCTION("""COMPUTED_VALUE"""),104213.0)</f>
        <v>104213</v>
      </c>
      <c r="B3922" s="235"/>
      <c r="C3922" s="235"/>
      <c r="D3922" s="196"/>
      <c r="E3922" s="196"/>
    </row>
    <row r="3923">
      <c r="A3923" s="234">
        <f>IFERROR(__xludf.DUMMYFUNCTION("""COMPUTED_VALUE"""),104214.0)</f>
        <v>104214</v>
      </c>
      <c r="B3923" s="235"/>
      <c r="C3923" s="235"/>
      <c r="D3923" s="196"/>
      <c r="E3923" s="196"/>
    </row>
    <row r="3924">
      <c r="A3924" s="234">
        <f>IFERROR(__xludf.DUMMYFUNCTION("""COMPUTED_VALUE"""),104215.0)</f>
        <v>104215</v>
      </c>
      <c r="B3924" s="235" t="str">
        <f>IFERROR(__xludf.DUMMYFUNCTION("""COMPUTED_VALUE"""),"CHARLES DONOR")</f>
        <v>CHARLES DONOR</v>
      </c>
      <c r="C3924" s="235" t="str">
        <f>IFERROR(__xludf.DUMMYFUNCTION("""COMPUTED_VALUE"""),"AMD")</f>
        <v>AMD</v>
      </c>
      <c r="D3924" s="196" t="str">
        <f>IFERROR(__xludf.DUMMYFUNCTION("""COMPUTED_VALUE"""),"PAPER, SISC LETTERHEAD COLORED SHORT 2500 pcs
PAPER, SISC LETTERHEAD COLORED 4A 2500 pcs")</f>
        <v>PAPER, SISC LETTERHEAD COLORED SHORT 2500 pcs
PAPER, SISC LETTERHEAD COLORED 4A 2500 pcs</v>
      </c>
      <c r="E3924" s="196" t="str">
        <f>IFERROR(__xludf.DUMMYFUNCTION("""COMPUTED_VALUE"""),"OSSUP-STOCK REPLENISHMENT ")</f>
        <v>OSSUP-STOCK REPLENISHMENT </v>
      </c>
    </row>
    <row r="3925">
      <c r="A3925" s="234">
        <f>IFERROR(__xludf.DUMMYFUNCTION("""COMPUTED_VALUE"""),104216.0)</f>
        <v>104216</v>
      </c>
      <c r="B3925" s="235" t="str">
        <f>IFERROR(__xludf.DUMMYFUNCTION("""COMPUTED_VALUE"""),"SHEREE ESPINOSA")</f>
        <v>SHEREE ESPINOSA</v>
      </c>
      <c r="C3925" s="235" t="str">
        <f>IFERROR(__xludf.DUMMYFUNCTION("""COMPUTED_VALUE"""),"ADMIN")</f>
        <v>ADMIN</v>
      </c>
      <c r="D3925" s="196" t="str">
        <f>IFERROR(__xludf.DUMMYFUNCTION("""COMPUTED_VALUE"""),"PIN LIGHTS 20PCS")</f>
        <v>PIN LIGHTS 20PCS</v>
      </c>
      <c r="E3925" s="196" t="str">
        <f>IFERROR(__xludf.DUMMYFUNCTION("""COMPUTED_VALUE"""),"FOR PQA DISPLAY")</f>
        <v>FOR PQA DISPLAY</v>
      </c>
    </row>
    <row r="3926">
      <c r="A3926" s="234">
        <f>IFERROR(__xludf.DUMMYFUNCTION("""COMPUTED_VALUE"""),104217.0)</f>
        <v>104217</v>
      </c>
      <c r="B3926" s="235" t="str">
        <f>IFERROR(__xludf.DUMMYFUNCTION("""COMPUTED_VALUE"""),"ALFA DE LEON")</f>
        <v>ALFA DE LEON</v>
      </c>
      <c r="C3926" s="235" t="str">
        <f>IFERROR(__xludf.DUMMYFUNCTION("""COMPUTED_VALUE"""),"LANDSCAPING")</f>
        <v>LANDSCAPING</v>
      </c>
      <c r="D3926" s="196" t="str">
        <f>IFERROR(__xludf.DUMMYFUNCTION("""COMPUTED_VALUE"""),"BOSTON FERN - 100
PANDAKAKI - 100
DURANTA - 100
CANARDRA - 50
MARIAN - 20
SPOTTY PHYLLUM - 30
AGLABRENA WHITE - 50
SHCLEFFERA - 30
MIAGOS - 30")</f>
        <v>BOSTON FERN - 100
PANDAKAKI - 100
DURANTA - 100
CANARDRA - 50
MARIAN - 20
SPOTTY PHYLLUM - 30
AGLABRENA WHITE - 50
SHCLEFFERA - 30
MIAGOS - 30</v>
      </c>
      <c r="E3926" s="196" t="str">
        <f>IFERROR(__xludf.DUMMYFUNCTION("""COMPUTED_VALUE"""),"PLANTS MAINTENANCE FOR YOKOHAMA + TROPICAL + COLLEGE + LUX + MUCHIC")</f>
        <v>PLANTS MAINTENANCE FOR YOKOHAMA + TROPICAL + COLLEGE + LUX + MUCHIC</v>
      </c>
    </row>
    <row r="3927">
      <c r="A3927" s="234">
        <f>IFERROR(__xludf.DUMMYFUNCTION("""COMPUTED_VALUE"""),104218.0)</f>
        <v>104218</v>
      </c>
      <c r="B3927" s="235" t="str">
        <f>IFERROR(__xludf.DUMMYFUNCTION("""COMPUTED_VALUE"""),"ALFA DE LEON")</f>
        <v>ALFA DE LEON</v>
      </c>
      <c r="C3927" s="235" t="str">
        <f>IFERROR(__xludf.DUMMYFUNCTION("""COMPUTED_VALUE"""),"MONARCH PARK")</f>
        <v>MONARCH PARK</v>
      </c>
      <c r="D3927" s="196" t="str">
        <f>IFERROR(__xludf.DUMMYFUNCTION("""COMPUTED_VALUE"""),"BEACH LILY - 100
MANI - MANI - 300
DURANTA - 150
PICARRA - 100
FORGET ME NOT - 100
SILVER PANDAKAKI - 100
BOSTON FERN - 50")</f>
        <v>BEACH LILY - 100
MANI - MANI - 300
DURANTA - 150
PICARRA - 100
FORGET ME NOT - 100
SILVER PANDAKAKI - 100
BOSTON FERN - 50</v>
      </c>
      <c r="E3927" s="196" t="str">
        <f>IFERROR(__xludf.DUMMYFUNCTION("""COMPUTED_VALUE"""),"MONARCH PARK PLANT MAINTENANCE")</f>
        <v>MONARCH PARK PLANT MAINTENANCE</v>
      </c>
    </row>
    <row r="3928">
      <c r="A3928" s="234">
        <f>IFERROR(__xludf.DUMMYFUNCTION("""COMPUTED_VALUE"""),104219.0)</f>
        <v>104219</v>
      </c>
      <c r="B3928" s="235" t="str">
        <f>IFERROR(__xludf.DUMMYFUNCTION("""COMPUTED_VALUE"""),"RONALDO VERDE")</f>
        <v>RONALDO VERDE</v>
      </c>
      <c r="C3928" s="235" t="str">
        <f>IFERROR(__xludf.DUMMYFUNCTION("""COMPUTED_VALUE"""),"ADMIN")</f>
        <v>ADMIN</v>
      </c>
      <c r="D3928" s="196" t="str">
        <f>IFERROR(__xludf.DUMMYFUNCTION("""COMPUTED_VALUE"""),"YOKOHAMA 195 R15C - 2PX")</f>
        <v>YOKOHAMA 195 R15C - 2PX</v>
      </c>
      <c r="E3928" s="196" t="str">
        <f>IFERROR(__xludf.DUMMYFUNCTION("""COMPUTED_VALUE"""),"VEHICLE PREVENTENTIVE MAINTENANCE (NAY8008)")</f>
        <v>VEHICLE PREVENTENTIVE MAINTENANCE (NAY8008)</v>
      </c>
    </row>
    <row r="3929">
      <c r="A3929" s="234">
        <f>IFERROR(__xludf.DUMMYFUNCTION("""COMPUTED_VALUE"""),104220.0)</f>
        <v>104220</v>
      </c>
      <c r="B3929" s="235" t="str">
        <f>IFERROR(__xludf.DUMMYFUNCTION("""COMPUTED_VALUE"""),"RONALDO VERDE")</f>
        <v>RONALDO VERDE</v>
      </c>
      <c r="C3929" s="235" t="str">
        <f>IFERROR(__xludf.DUMMYFUNCTION("""COMPUTED_VALUE"""),"ADMIN")</f>
        <v>ADMIN</v>
      </c>
      <c r="D3929" s="196" t="str">
        <f>IFERROR(__xludf.DUMMYFUNCTION("""COMPUTED_VALUE"""),"MOTOLITE BATTERY ISM (GOLD) FOR SISC CAR (AKA7873) - 1PC")</f>
        <v>MOTOLITE BATTERY ISM (GOLD) FOR SISC CAR (AKA7873) - 1PC</v>
      </c>
      <c r="E3929" s="196" t="str">
        <f>IFERROR(__xludf.DUMMYFUNCTION("""COMPUTED_VALUE"""),"VEHICLE PREVENTENTIVE MAINTENANCE (NAY8008)")</f>
        <v>VEHICLE PREVENTENTIVE MAINTENANCE (NAY8008)</v>
      </c>
    </row>
    <row r="3930">
      <c r="A3930" s="234">
        <f>IFERROR(__xludf.DUMMYFUNCTION("""COMPUTED_VALUE"""),104221.0)</f>
        <v>104221</v>
      </c>
      <c r="B3930" s="235" t="str">
        <f>IFERROR(__xludf.DUMMYFUNCTION("""COMPUTED_VALUE"""),"OWIE PAR")</f>
        <v>OWIE PAR</v>
      </c>
      <c r="C3930" s="235" t="str">
        <f>IFERROR(__xludf.DUMMYFUNCTION("""COMPUTED_VALUE"""),"ENGINEERING")</f>
        <v>ENGINEERING</v>
      </c>
      <c r="D3930" s="196" t="str">
        <f>IFERROR(__xludf.DUMMYFUNCTION("""COMPUTED_VALUE"""),"CASTER WHEEL SETS #3 30PCS")</f>
        <v>CASTER WHEEL SETS #3 30PCS</v>
      </c>
      <c r="E3930" s="196" t="str">
        <f>IFERROR(__xludf.DUMMYFUNCTION("""COMPUTED_VALUE"""),"FOR TABLE TENNIS TROPICAL GYM")</f>
        <v>FOR TABLE TENNIS TROPICAL GYM</v>
      </c>
    </row>
    <row r="3931">
      <c r="A3931" s="234">
        <f>IFERROR(__xludf.DUMMYFUNCTION("""COMPUTED_VALUE"""),104222.0)</f>
        <v>104222</v>
      </c>
      <c r="B3931" s="235" t="str">
        <f>IFERROR(__xludf.DUMMYFUNCTION("""COMPUTED_VALUE"""),"ALFA DE LEON")</f>
        <v>ALFA DE LEON</v>
      </c>
      <c r="C3931" s="235" t="str">
        <f>IFERROR(__xludf.DUMMYFUNCTION("""COMPUTED_VALUE"""),"ADMIN - STAR")</f>
        <v>ADMIN - STAR</v>
      </c>
      <c r="D3931" s="196" t="str">
        <f>IFERROR(__xludf.DUMMYFUNCTION("""COMPUTED_VALUE"""),"5 STAR TSHIRT 73PCS")</f>
        <v>5 STAR TSHIRT 73PCS</v>
      </c>
      <c r="E3931" s="196" t="str">
        <f>IFERROR(__xludf.DUMMYFUNCTION("""COMPUTED_VALUE"""),"T SHIRT FOR 5 STAR AUDITORS AND REPLACEMENT FOR OLD SHIRTS")</f>
        <v>T SHIRT FOR 5 STAR AUDITORS AND REPLACEMENT FOR OLD SHIRTS</v>
      </c>
    </row>
    <row r="3932">
      <c r="A3932" s="234">
        <f>IFERROR(__xludf.DUMMYFUNCTION("""COMPUTED_VALUE"""),104223.0)</f>
        <v>104223</v>
      </c>
      <c r="B3932" s="235" t="str">
        <f>IFERROR(__xludf.DUMMYFUNCTION("""COMPUTED_VALUE"""),"OWIE PAR")</f>
        <v>OWIE PAR</v>
      </c>
      <c r="C3932" s="235" t="str">
        <f>IFERROR(__xludf.DUMMYFUNCTION("""COMPUTED_VALUE"""),"ENGINEERING")</f>
        <v>ENGINEERING</v>
      </c>
      <c r="D3932" s="196" t="str">
        <f>IFERROR(__xludf.DUMMYFUNCTION("""COMPUTED_VALUE"""),"LED FLOURESCENT LIGHTS FIXTURES SLIM TYPE LONG 5 SETS")</f>
        <v>LED FLOURESCENT LIGHTS FIXTURES SLIM TYPE LONG 5 SETS</v>
      </c>
      <c r="E3932" s="196" t="str">
        <f>IFERROR(__xludf.DUMMYFUNCTION("""COMPUTED_VALUE"""),"FOR MMA ")</f>
        <v>FOR MMA </v>
      </c>
    </row>
    <row r="3933">
      <c r="A3933" s="234">
        <f>IFERROR(__xludf.DUMMYFUNCTION("""COMPUTED_VALUE"""),104224.0)</f>
        <v>104224</v>
      </c>
      <c r="B3933" s="235" t="str">
        <f>IFERROR(__xludf.DUMMYFUNCTION("""COMPUTED_VALUE"""),"SHEREE ESPINOSA")</f>
        <v>SHEREE ESPINOSA</v>
      </c>
      <c r="C3933" s="235" t="str">
        <f>IFERROR(__xludf.DUMMYFUNCTION("""COMPUTED_VALUE"""),"ADMIN")</f>
        <v>ADMIN</v>
      </c>
      <c r="D3933" s="196" t="str">
        <f>IFERROR(__xludf.DUMMYFUNCTION("""COMPUTED_VALUE"""),"AUTOMATIC AIR FRESHENER REFILL 7CANS
ANTIBAC GREEN TEA 
SHIPPING FEE 2")</f>
        <v>AUTOMATIC AIR FRESHENER REFILL 7CANS
ANTIBAC GREEN TEA 
SHIPPING FEE 2</v>
      </c>
      <c r="E3933" s="196" t="str">
        <f>IFERROR(__xludf.DUMMYFUNCTION("""COMPUTED_VALUE"""),"FOR CR's AIR FRESHENER")</f>
        <v>FOR CR's AIR FRESHENER</v>
      </c>
    </row>
    <row r="3934">
      <c r="A3934" s="234">
        <f>IFERROR(__xludf.DUMMYFUNCTION("""COMPUTED_VALUE"""),104225.0)</f>
        <v>104225</v>
      </c>
      <c r="B3934" s="235" t="str">
        <f>IFERROR(__xludf.DUMMYFUNCTION("""COMPUTED_VALUE"""),"SHEREE ESPINOSA")</f>
        <v>SHEREE ESPINOSA</v>
      </c>
      <c r="C3934" s="235" t="str">
        <f>IFERROR(__xludf.DUMMYFUNCTION("""COMPUTED_VALUE"""),"ADMIN")</f>
        <v>ADMIN</v>
      </c>
      <c r="D3934" s="196" t="str">
        <f>IFERROR(__xludf.DUMMYFUNCTION("""COMPUTED_VALUE"""),"BIG TISSUE HOLDER DISPENSER 2")</f>
        <v>BIG TISSUE HOLDER DISPENSER 2</v>
      </c>
      <c r="E3934" s="196" t="str">
        <f>IFERROR(__xludf.DUMMYFUNCTION("""COMPUTED_VALUE"""),"FOR TROPICAL CR- FOR PQA")</f>
        <v>FOR TROPICAL CR- FOR PQA</v>
      </c>
    </row>
    <row r="3935">
      <c r="A3935" s="234">
        <f>IFERROR(__xludf.DUMMYFUNCTION("""COMPUTED_VALUE"""),104226.0)</f>
        <v>104226</v>
      </c>
      <c r="B3935" s="235" t="str">
        <f>IFERROR(__xludf.DUMMYFUNCTION("""COMPUTED_VALUE"""),"OWIE PAR")</f>
        <v>OWIE PAR</v>
      </c>
      <c r="C3935" s="235" t="str">
        <f>IFERROR(__xludf.DUMMYFUNCTION("""COMPUTED_VALUE"""),"ENGINEERING")</f>
        <v>ENGINEERING</v>
      </c>
      <c r="D3935" s="196" t="str">
        <f>IFERROR(__xludf.DUMMYFUNCTION("""COMPUTED_VALUE"""),"FLOOR OUTLET 1 SET")</f>
        <v>FLOOR OUTLET 1 SET</v>
      </c>
      <c r="E3935" s="196" t="str">
        <f>IFERROR(__xludf.DUMMYFUNCTION("""COMPUTED_VALUE"""),"FOR BRIC-1")</f>
        <v>FOR BRIC-1</v>
      </c>
    </row>
    <row r="3936">
      <c r="A3936" s="234">
        <f>IFERROR(__xludf.DUMMYFUNCTION("""COMPUTED_VALUE"""),104227.0)</f>
        <v>104227</v>
      </c>
      <c r="B3936" s="235" t="str">
        <f>IFERROR(__xludf.DUMMYFUNCTION("""COMPUTED_VALUE"""),"RONALDO VERDE")</f>
        <v>RONALDO VERDE</v>
      </c>
      <c r="C3936" s="235" t="str">
        <f>IFERROR(__xludf.DUMMYFUNCTION("""COMPUTED_VALUE"""),"ADMIN")</f>
        <v>ADMIN</v>
      </c>
      <c r="D3936" s="196" t="str">
        <f>IFERROR(__xludf.DUMMYFUNCTION("""COMPUTED_VALUE"""),"LT 7.00-16.12 PR - 4PCS")</f>
        <v>LT 7.00-16.12 PR - 4PCS</v>
      </c>
      <c r="E3936" s="196" t="str">
        <f>IFERROR(__xludf.DUMMYFUNCTION("""COMPUTED_VALUE"""),"VEHICLE PREVENTENTIVE MAINTENANCE (COASTER)")</f>
        <v>VEHICLE PREVENTENTIVE MAINTENANCE (COASTER)</v>
      </c>
    </row>
    <row r="3937">
      <c r="A3937" s="234">
        <f>IFERROR(__xludf.DUMMYFUNCTION("""COMPUTED_VALUE"""),104228.0)</f>
        <v>104228</v>
      </c>
      <c r="B3937" s="235" t="str">
        <f>IFERROR(__xludf.DUMMYFUNCTION("""COMPUTED_VALUE"""),"ESTHER LARITA ")</f>
        <v>ESTHER LARITA </v>
      </c>
      <c r="C3937" s="235" t="str">
        <f>IFERROR(__xludf.DUMMYFUNCTION("""COMPUTED_VALUE"""),"ACCREDITATION")</f>
        <v>ACCREDITATION</v>
      </c>
      <c r="D3937" s="196" t="str">
        <f>IFERROR(__xludf.DUMMYFUNCTION("""COMPUTED_VALUE"""),"FLOWERS FOR THE LUX HALL FOR PQA VISIT")</f>
        <v>FLOWERS FOR THE LUX HALL FOR PQA VISIT</v>
      </c>
      <c r="E3937" s="196" t="str">
        <f>IFERROR(__xludf.DUMMYFUNCTION("""COMPUTED_VALUE"""),"PQA VISIT")</f>
        <v>PQA VISIT</v>
      </c>
    </row>
    <row r="3938">
      <c r="A3938" s="234">
        <f>IFERROR(__xludf.DUMMYFUNCTION("""COMPUTED_VALUE"""),104229.0)</f>
        <v>104229</v>
      </c>
      <c r="B3938" s="235" t="str">
        <f>IFERROR(__xludf.DUMMYFUNCTION("""COMPUTED_VALUE"""),"BRIAN PATAG")</f>
        <v>BRIAN PATAG</v>
      </c>
      <c r="C3938" s="235" t="str">
        <f>IFERROR(__xludf.DUMMYFUNCTION("""COMPUTED_VALUE"""),"AMD")</f>
        <v>AMD</v>
      </c>
      <c r="D3938" s="196" t="str">
        <f>IFERROR(__xludf.DUMMYFUNCTION("""COMPUTED_VALUE"""),"STATE LIME SOLVENT (50)")</f>
        <v>STATE LIME SOLVENT (50)</v>
      </c>
      <c r="E3938" s="196" t="str">
        <f>IFERROR(__xludf.DUMMYFUNCTION("""COMPUTED_VALUE"""),"HOUSEKEEPING REPLENISHMENT")</f>
        <v>HOUSEKEEPING REPLENISHMENT</v>
      </c>
    </row>
    <row r="3939">
      <c r="A3939" s="234">
        <f>IFERROR(__xludf.DUMMYFUNCTION("""COMPUTED_VALUE"""),104230.0)</f>
        <v>104230</v>
      </c>
      <c r="B3939" s="235" t="str">
        <f>IFERROR(__xludf.DUMMYFUNCTION("""COMPUTED_VALUE"""),"BRIAN PATAG")</f>
        <v>BRIAN PATAG</v>
      </c>
      <c r="C3939" s="235" t="str">
        <f>IFERROR(__xludf.DUMMYFUNCTION("""COMPUTED_VALUE"""),"AMD")</f>
        <v>AMD</v>
      </c>
      <c r="D3939" s="196" t="str">
        <f>IFERROR(__xludf.DUMMYFUNCTION("""COMPUTED_VALUE"""),"HAND SOAP, ANTIBACTERIAL YELLOW (50)")</f>
        <v>HAND SOAP, ANTIBACTERIAL YELLOW (50)</v>
      </c>
      <c r="E3939" s="196" t="str">
        <f>IFERROR(__xludf.DUMMYFUNCTION("""COMPUTED_VALUE"""),"HOUSEKEEPING REPLENISHMENT")</f>
        <v>HOUSEKEEPING REPLENISHMENT</v>
      </c>
    </row>
    <row r="3940">
      <c r="A3940" s="234">
        <f>IFERROR(__xludf.DUMMYFUNCTION("""COMPUTED_VALUE"""),104231.0)</f>
        <v>104231</v>
      </c>
      <c r="B3940" s="235" t="str">
        <f>IFERROR(__xludf.DUMMYFUNCTION("""COMPUTED_VALUE"""),"BRIAN PATAG")</f>
        <v>BRIAN PATAG</v>
      </c>
      <c r="C3940" s="235" t="str">
        <f>IFERROR(__xludf.DUMMYFUNCTION("""COMPUTED_VALUE"""),"AMD")</f>
        <v>AMD</v>
      </c>
      <c r="D3940" s="196" t="str">
        <f>IFERROR(__xludf.DUMMYFUNCTION("""COMPUTED_VALUE"""),"BABY OIL, 125ML (200)")</f>
        <v>BABY OIL, 125ML (200)</v>
      </c>
      <c r="E3940" s="196" t="str">
        <f>IFERROR(__xludf.DUMMYFUNCTION("""COMPUTED_VALUE"""),"HOUSEKEEPING REPLENISHMENT")</f>
        <v>HOUSEKEEPING REPLENISHMENT</v>
      </c>
    </row>
    <row r="3941">
      <c r="A3941" s="234">
        <f>IFERROR(__xludf.DUMMYFUNCTION("""COMPUTED_VALUE"""),104232.0)</f>
        <v>104232</v>
      </c>
      <c r="B3941" s="235" t="str">
        <f>IFERROR(__xludf.DUMMYFUNCTION("""COMPUTED_VALUE"""),"BRIAN PATAG")</f>
        <v>BRIAN PATAG</v>
      </c>
      <c r="C3941" s="235" t="str">
        <f>IFERROR(__xludf.DUMMYFUNCTION("""COMPUTED_VALUE"""),"AMD")</f>
        <v>AMD</v>
      </c>
      <c r="D3941" s="196" t="str">
        <f>IFERROR(__xludf.DUMMYFUNCTION("""COMPUTED_VALUE"""),"RUBBER CHAMOIS (100)")</f>
        <v>RUBBER CHAMOIS (100)</v>
      </c>
      <c r="E3941" s="196" t="str">
        <f>IFERROR(__xludf.DUMMYFUNCTION("""COMPUTED_VALUE"""),"HOUSEKEEPING REPLENISHMENT")</f>
        <v>HOUSEKEEPING REPLENISHMENT</v>
      </c>
    </row>
    <row r="3942">
      <c r="A3942" s="234">
        <f>IFERROR(__xludf.DUMMYFUNCTION("""COMPUTED_VALUE"""),104233.0)</f>
        <v>104233</v>
      </c>
      <c r="B3942" s="235" t="str">
        <f>IFERROR(__xludf.DUMMYFUNCTION("""COMPUTED_VALUE"""),"BRIAN PATAG")</f>
        <v>BRIAN PATAG</v>
      </c>
      <c r="C3942" s="235" t="str">
        <f>IFERROR(__xludf.DUMMYFUNCTION("""COMPUTED_VALUE"""),"AMD")</f>
        <v>AMD</v>
      </c>
      <c r="D3942" s="196" t="str">
        <f>IFERROR(__xludf.DUMMYFUNCTION("""COMPUTED_VALUE"""),"TOLIET RUBBER PUMP BLACK (30)")</f>
        <v>TOLIET RUBBER PUMP BLACK (30)</v>
      </c>
      <c r="E3942" s="196" t="str">
        <f>IFERROR(__xludf.DUMMYFUNCTION("""COMPUTED_VALUE"""),"HOUSEKEEPING REPLENISHMENT")</f>
        <v>HOUSEKEEPING REPLENISHMENT</v>
      </c>
    </row>
    <row r="3943">
      <c r="A3943" s="234">
        <f>IFERROR(__xludf.DUMMYFUNCTION("""COMPUTED_VALUE"""),104234.0)</f>
        <v>104234</v>
      </c>
      <c r="B3943" s="235" t="str">
        <f>IFERROR(__xludf.DUMMYFUNCTION("""COMPUTED_VALUE"""),"BRIAN PATAG")</f>
        <v>BRIAN PATAG</v>
      </c>
      <c r="C3943" s="235" t="str">
        <f>IFERROR(__xludf.DUMMYFUNCTION("""COMPUTED_VALUE"""),"AMD")</f>
        <v>AMD</v>
      </c>
      <c r="D3943" s="196" t="str">
        <f>IFERROR(__xludf.DUMMYFUNCTION("""COMPUTED_VALUE"""),"STRIPPOL SUPER FLOOR WAX STRIPPER (30)")</f>
        <v>STRIPPOL SUPER FLOOR WAX STRIPPER (30)</v>
      </c>
      <c r="E3943" s="196" t="str">
        <f>IFERROR(__xludf.DUMMYFUNCTION("""COMPUTED_VALUE"""),"HOUSEKEEPING REPLENISHMENT")</f>
        <v>HOUSEKEEPING REPLENISHMENT</v>
      </c>
    </row>
    <row r="3944">
      <c r="A3944" s="234">
        <f>IFERROR(__xludf.DUMMYFUNCTION("""COMPUTED_VALUE"""),104235.0)</f>
        <v>104235</v>
      </c>
      <c r="B3944" s="235" t="str">
        <f>IFERROR(__xludf.DUMMYFUNCTION("""COMPUTED_VALUE"""),"BRIAN PATAG")</f>
        <v>BRIAN PATAG</v>
      </c>
      <c r="C3944" s="235" t="str">
        <f>IFERROR(__xludf.DUMMYFUNCTION("""COMPUTED_VALUE"""),"AMD")</f>
        <v>AMD</v>
      </c>
      <c r="D3944" s="196" t="str">
        <f>IFERROR(__xludf.DUMMYFUNCTION("""COMPUTED_VALUE"""),"ARIEL WASHING DETERGENT POWDER 3KG (50PCS)")</f>
        <v>ARIEL WASHING DETERGENT POWDER 3KG (50PCS)</v>
      </c>
      <c r="E3944" s="196" t="str">
        <f>IFERROR(__xludf.DUMMYFUNCTION("""COMPUTED_VALUE"""),"HOUSEKEEPING REPLENISHMENT")</f>
        <v>HOUSEKEEPING REPLENISHMENT</v>
      </c>
    </row>
    <row r="3945">
      <c r="A3945" s="234">
        <f>IFERROR(__xludf.DUMMYFUNCTION("""COMPUTED_VALUE"""),104236.0)</f>
        <v>104236</v>
      </c>
      <c r="B3945" s="235" t="str">
        <f>IFERROR(__xludf.DUMMYFUNCTION("""COMPUTED_VALUE"""),"OWIE PAR")</f>
        <v>OWIE PAR</v>
      </c>
      <c r="C3945" s="235" t="str">
        <f>IFERROR(__xludf.DUMMYFUNCTION("""COMPUTED_VALUE"""),"ENGINEERING")</f>
        <v>ENGINEERING</v>
      </c>
      <c r="D3945" s="196" t="str">
        <f>IFERROR(__xludf.DUMMYFUNCTION("""COMPUTED_VALUE"""),"CHLORINE POWDER 6KGS- cancelled, there is an available stocks in HSKPG warehouse")</f>
        <v>CHLORINE POWDER 6KGS- cancelled, there is an available stocks in HSKPG warehouse</v>
      </c>
      <c r="E3945" s="196" t="str">
        <f>IFERROR(__xludf.DUMMYFUNCTION("""COMPUTED_VALUE"""),"FOR LUX, MUNICH, TROPICAL")</f>
        <v>FOR LUX, MUNICH, TROPICAL</v>
      </c>
    </row>
    <row r="3946">
      <c r="A3946" s="234">
        <f>IFERROR(__xludf.DUMMYFUNCTION("""COMPUTED_VALUE"""),104237.0)</f>
        <v>104237</v>
      </c>
      <c r="B3946" s="235" t="str">
        <f>IFERROR(__xludf.DUMMYFUNCTION("""COMPUTED_VALUE"""),"OWIE PAR")</f>
        <v>OWIE PAR</v>
      </c>
      <c r="C3946" s="235" t="str">
        <f>IFERROR(__xludf.DUMMYFUNCTION("""COMPUTED_VALUE"""),"ENGINEERING")</f>
        <v>ENGINEERING</v>
      </c>
      <c r="D3946" s="196" t="str">
        <f>IFERROR(__xludf.DUMMYFUNCTION("""COMPUTED_VALUE"""),"20HP WINDOW TYPE INVERTER")</f>
        <v>20HP WINDOW TYPE INVERTER</v>
      </c>
      <c r="E3946" s="196" t="str">
        <f>IFERROR(__xludf.DUMMYFUNCTION("""COMPUTED_VALUE"""),"REPLACEMENT FOR CAPS OFFICE ACU #3")</f>
        <v>REPLACEMENT FOR CAPS OFFICE ACU #3</v>
      </c>
    </row>
    <row r="3947">
      <c r="A3947" s="234">
        <f>IFERROR(__xludf.DUMMYFUNCTION("""COMPUTED_VALUE"""),104238.0)</f>
        <v>104238</v>
      </c>
      <c r="B3947" s="235" t="str">
        <f>IFERROR(__xludf.DUMMYFUNCTION("""COMPUTED_VALUE"""),"CARLITIO DELA VEGA")</f>
        <v>CARLITIO DELA VEGA</v>
      </c>
      <c r="C3947" s="235" t="str">
        <f>IFERROR(__xludf.DUMMYFUNCTION("""COMPUTED_VALUE"""),"ADMIN")</f>
        <v>ADMIN</v>
      </c>
      <c r="D3947" s="196" t="str">
        <f>IFERROR(__xludf.DUMMYFUNCTION("""COMPUTED_VALUE"""),"20CM x 120CM T&amp;G FLOORING 20PCS")</f>
        <v>20CM x 120CM T&amp;G FLOORING 20PCS</v>
      </c>
      <c r="E3947" s="196" t="str">
        <f>IFERROR(__xludf.DUMMYFUNCTION("""COMPUTED_VALUE"""),"PREVENTIVE MAINTENANCE OF FLOORING")</f>
        <v>PREVENTIVE MAINTENANCE OF FLOORING</v>
      </c>
    </row>
    <row r="3948">
      <c r="A3948" s="234">
        <f>IFERROR(__xludf.DUMMYFUNCTION("""COMPUTED_VALUE"""),104239.0)</f>
        <v>104239</v>
      </c>
      <c r="B3948" s="235" t="str">
        <f>IFERROR(__xludf.DUMMYFUNCTION("""COMPUTED_VALUE"""),"OWIE PAR")</f>
        <v>OWIE PAR</v>
      </c>
      <c r="C3948" s="235" t="str">
        <f>IFERROR(__xludf.DUMMYFUNCTION("""COMPUTED_VALUE"""),"ENGINEERING")</f>
        <v>ENGINEERING</v>
      </c>
      <c r="D3948" s="196" t="str">
        <f>IFERROR(__xludf.DUMMYFUNCTION("""COMPUTED_VALUE"""),"BALL VALVE 1 1/4 KIT (ORIGINAL) 2PCS
PPR ELBOW 1 1/4 5PCS
PPR TEE 1 1/2 4PCS
PPR COUPLING REDUCER 1 1/2 x 1 1/4 2PCS
PPR END CUP 1 1/2 1PC
PPR MALE ADAPTOR 1 1/4 4PCS
PVC ELBOW 1/2 4PCS
PVC MALE ADAPTOR 1/2 2PCS
PVC SOLVENT CEMENT 100CC 1CAN
TEPLON TAPE 1"&amp;"/2  10ROLLS")</f>
        <v>BALL VALVE 1 1/4 KIT (ORIGINAL) 2PCS
PPR ELBOW 1 1/4 5PCS
PPR TEE 1 1/2 4PCS
PPR COUPLING REDUCER 1 1/2 x 1 1/4 2PCS
PPR END CUP 1 1/2 1PC
PPR MALE ADAPTOR 1 1/4 4PCS
PVC ELBOW 1/2 4PCS
PVC MALE ADAPTOR 1/2 2PCS
PVC SOLVENT CEMENT 100CC 1CAN
TEPLON TAPE 1/2  10ROLLS</v>
      </c>
      <c r="E3948" s="196" t="str">
        <f>IFERROR(__xludf.DUMMYFUNCTION("""COMPUTED_VALUE"""),"FOR MUNICH REPAIR OF LEAKS AND REHABILITATION OF MAIN WATER LINE ")</f>
        <v>FOR MUNICH REPAIR OF LEAKS AND REHABILITATION OF MAIN WATER LINE </v>
      </c>
    </row>
    <row r="3949">
      <c r="A3949" s="234">
        <f>IFERROR(__xludf.DUMMYFUNCTION("""COMPUTED_VALUE"""),104240.0)</f>
        <v>104240</v>
      </c>
      <c r="B3949" s="235" t="str">
        <f>IFERROR(__xludf.DUMMYFUNCTION("""COMPUTED_VALUE"""),"MARK PABUSTAN")</f>
        <v>MARK PABUSTAN</v>
      </c>
      <c r="C3949" s="235" t="str">
        <f>IFERROR(__xludf.DUMMYFUNCTION("""COMPUTED_VALUE"""),"ROBOTICS")</f>
        <v>ROBOTICS</v>
      </c>
      <c r="D3949" s="196" t="str">
        <f>IFERROR(__xludf.DUMMYFUNCTION("""COMPUTED_VALUE"""),"2.4 GHZ RADIO FOR VEX IQ (1ST GENERATION) 4PCS
CONTROLLER BATTERY FOR VEX IQ (1ST GENERATION) 5PCS
RUBBER SHAFT COLLAR (30/PACK) 10PACKS
STAND OF BASE PACK 2 PACKS
SHAFT ADD ON KIT (228-3507) 5PACKS
SMART MOTOR 1ST GEN 10PCS
VEX IQ KIT 1ST GEN 4KITS")</f>
        <v>2.4 GHZ RADIO FOR VEX IQ (1ST GENERATION) 4PCS
CONTROLLER BATTERY FOR VEX IQ (1ST GENERATION) 5PCS
RUBBER SHAFT COLLAR (30/PACK) 10PACKS
STAND OF BASE PACK 2 PACKS
SHAFT ADD ON KIT (228-3507) 5PACKS
SMART MOTOR 1ST GEN 10PCS
VEX IQ KIT 1ST GEN 4KITS</v>
      </c>
      <c r="E3949" s="196" t="str">
        <f>IFERROR(__xludf.DUMMYFUNCTION("""COMPUTED_VALUE"""),"REPLACEMENT OF DEFECTIVE PARTS AND ADDITIONAL KIT")</f>
        <v>REPLACEMENT OF DEFECTIVE PARTS AND ADDITIONAL KIT</v>
      </c>
    </row>
    <row r="3950">
      <c r="A3950" s="234">
        <f>IFERROR(__xludf.DUMMYFUNCTION("""COMPUTED_VALUE"""),104241.0)</f>
        <v>104241</v>
      </c>
      <c r="B3950" s="235" t="str">
        <f>IFERROR(__xludf.DUMMYFUNCTION("""COMPUTED_VALUE"""),"JEREMIAH TIROL")</f>
        <v>JEREMIAH TIROL</v>
      </c>
      <c r="C3950" s="235" t="str">
        <f>IFERROR(__xludf.DUMMYFUNCTION("""COMPUTED_VALUE"""),"SCIENCE LAB COLLEGE")</f>
        <v>SCIENCE LAB COLLEGE</v>
      </c>
      <c r="D3950" s="196" t="str">
        <f>IFERROR(__xludf.DUMMYFUNCTION("""COMPUTED_VALUE"""),"CONSUMABLES AND NON- CONSUMABLES COLLEGE LABORATORY MATERIALS")</f>
        <v>CONSUMABLES AND NON- CONSUMABLES COLLEGE LABORATORY MATERIALS</v>
      </c>
      <c r="E3950" s="196" t="str">
        <f>IFERROR(__xludf.DUMMYFUNCTION("""COMPUTED_VALUE"""),"REPLENISHMENT OF MATERIALS")</f>
        <v>REPLENISHMENT OF MATERIALS</v>
      </c>
    </row>
    <row r="3951">
      <c r="A3951" s="234">
        <f>IFERROR(__xludf.DUMMYFUNCTION("""COMPUTED_VALUE"""),104242.0)</f>
        <v>104242</v>
      </c>
      <c r="B3951" s="235" t="str">
        <f>IFERROR(__xludf.DUMMYFUNCTION("""COMPUTED_VALUE"""),"OWIE PAR")</f>
        <v>OWIE PAR</v>
      </c>
      <c r="C3951" s="235" t="str">
        <f>IFERROR(__xludf.DUMMYFUNCTION("""COMPUTED_VALUE"""),"ENGINEERING")</f>
        <v>ENGINEERING</v>
      </c>
      <c r="D3951" s="196" t="str">
        <f>IFERROR(__xludf.DUMMYFUNCTION("""COMPUTED_VALUE"""),"CIRCUIT BREAKER 60AMP SINGLE PHASE BOLT ON IN NEMA 3 ENCLOSURE ( 1SET)
THHN #10 P.D (4 ROLLS)
JUNCTION BOX (20PCS)
PVVC PIPE 3/4  NELTEX (75PCS)
PVC ELBOW 3/4 NELTEX (10PCS)
PVC CLAMP 3/4 (20PCS)
 GI WIRE #16 (1KG)
ELECTRICAL TAPE ( 2 ROLL)
LOCK NUT 3 BUS"&amp;"HING 3/4 (40PCS)
ANGLE BAR 1 1/4 x 3/16 x 20 10PCS
WELDING ROD SPECIAL (2KGS)
EPOXY PRIMER (SPHERO) 1 QUART
BOLT &amp; NUT 3/8x1 W/ WASHER (20SETS)
DYNA BOLT 1/4 (16PCS)
MASONRY BIT 1/4 (2PCS)
DRILL BIT 3/8 (2PCS)")</f>
        <v>CIRCUIT BREAKER 60AMP SINGLE PHASE BOLT ON IN NEMA 3 ENCLOSURE ( 1SET)
THHN #10 P.D (4 ROLLS)
JUNCTION BOX (20PCS)
PVVC PIPE 3/4  NELTEX (75PCS)
PVC ELBOW 3/4 NELTEX (10PCS)
PVC CLAMP 3/4 (20PCS)
 GI WIRE #16 (1KG)
ELECTRICAL TAPE ( 2 ROLL)
LOCK NUT 3 BUSHING 3/4 (40PCS)
ANGLE BAR 1 1/4 x 3/16 x 20 10PCS
WELDING ROD SPECIAL (2KGS)
EPOXY PRIMER (SPHERO) 1 QUART
BOLT &amp; NUT 3/8x1 W/ WASHER (20SETS)
DYNA BOLT 1/4 (16PCS)
MASONRY BIT 1/4 (2PCS)
DRILL BIT 3/8 (2PCS)</v>
      </c>
      <c r="E3951" s="196" t="str">
        <f>IFERROR(__xludf.DUMMYFUNCTION("""COMPUTED_VALUE"""),"FOR INSTALLATION OF ADDITIONAL LIGHTS AND IMPROVEMENT OF ELECTRICAL IN SOCCER FIELD")</f>
        <v>FOR INSTALLATION OF ADDITIONAL LIGHTS AND IMPROVEMENT OF ELECTRICAL IN SOCCER FIELD</v>
      </c>
    </row>
    <row r="3952">
      <c r="A3952" s="234">
        <f>IFERROR(__xludf.DUMMYFUNCTION("""COMPUTED_VALUE"""),104243.0)</f>
        <v>104243</v>
      </c>
      <c r="B3952" s="235" t="str">
        <f>IFERROR(__xludf.DUMMYFUNCTION("""COMPUTED_VALUE"""),"FATIMA JANDOC/ MELISSA ODONO")</f>
        <v>FATIMA JANDOC/ MELISSA ODONO</v>
      </c>
      <c r="C3952" s="235" t="str">
        <f>IFERROR(__xludf.DUMMYFUNCTION("""COMPUTED_VALUE"""),"LIBRARY BASIC ED")</f>
        <v>LIBRARY BASIC ED</v>
      </c>
      <c r="D3952" s="196" t="str">
        <f>IFERROR(__xludf.DUMMYFUNCTION("""COMPUTED_VALUE"""),"RED BOOK ENDS 85PCS")</f>
        <v>RED BOOK ENDS 85PCS</v>
      </c>
      <c r="E3952" s="196" t="str">
        <f>IFERROR(__xludf.DUMMYFUNCTION("""COMPUTED_VALUE"""),"FOR BOOKS SAFETY")</f>
        <v>FOR BOOKS SAFETY</v>
      </c>
    </row>
    <row r="3953">
      <c r="A3953" s="234">
        <f>IFERROR(__xludf.DUMMYFUNCTION("""COMPUTED_VALUE"""),104244.0)</f>
        <v>104244</v>
      </c>
      <c r="B3953" s="235" t="str">
        <f>IFERROR(__xludf.DUMMYFUNCTION("""COMPUTED_VALUE"""),"JESUIT CHRISTIAN GALICIA")</f>
        <v>JESUIT CHRISTIAN GALICIA</v>
      </c>
      <c r="C3953" s="235" t="str">
        <f>IFERROR(__xludf.DUMMYFUNCTION("""COMPUTED_VALUE"""),"AMD")</f>
        <v>AMD</v>
      </c>
      <c r="D3953" s="196" t="str">
        <f>IFERROR(__xludf.DUMMYFUNCTION("""COMPUTED_VALUE"""),"TP LINK 150MBPS WIRELESS N NANO USB ADAPTER 20PCS")</f>
        <v>TP LINK 150MBPS WIRELESS N NANO USB ADAPTER 20PCS</v>
      </c>
      <c r="E3953" s="196" t="str">
        <f>IFERROR(__xludf.DUMMYFUNCTION("""COMPUTED_VALUE"""),"MIS STOCK REPLENISHMENT")</f>
        <v>MIS STOCK REPLENISHMENT</v>
      </c>
    </row>
    <row r="3954">
      <c r="A3954" s="234">
        <f>IFERROR(__xludf.DUMMYFUNCTION("""COMPUTED_VALUE"""),104245.0)</f>
        <v>104245</v>
      </c>
      <c r="B3954" s="235" t="str">
        <f>IFERROR(__xludf.DUMMYFUNCTION("""COMPUTED_VALUE"""),"ARNEL MONTABLAN")</f>
        <v>ARNEL MONTABLAN</v>
      </c>
      <c r="C3954" s="235" t="str">
        <f>IFERROR(__xludf.DUMMYFUNCTION("""COMPUTED_VALUE"""),"FOUNDER SCHOLARS")</f>
        <v>FOUNDER SCHOLARS</v>
      </c>
      <c r="D3954" s="196" t="str">
        <f>IFERROR(__xludf.DUMMYFUNCTION("""COMPUTED_VALUE"""),"
MEDICINE 1LOT
BED FOAM 1 LOT
BED COVER 1 LOT
SINGLE BED MATTRESS 1PC")</f>
        <v>
MEDICINE 1LOT
BED FOAM 1 LOT
BED COVER 1 LOT
SINGLE BED MATTRESS 1PC</v>
      </c>
      <c r="E3954" s="196" t="str">
        <f>IFERROR(__xludf.DUMMYFUNCTION("""COMPUTED_VALUE"""),"REPLENISH MEDICINE KIT AND REPLACE OLD BED FOAMS")</f>
        <v>REPLENISH MEDICINE KIT AND REPLACE OLD BED FOAMS</v>
      </c>
    </row>
    <row r="3955">
      <c r="A3955" s="234">
        <f>IFERROR(__xludf.DUMMYFUNCTION("""COMPUTED_VALUE"""),104246.0)</f>
        <v>104246</v>
      </c>
      <c r="B3955" s="235" t="str">
        <f>IFERROR(__xludf.DUMMYFUNCTION("""COMPUTED_VALUE"""),"ANGELO PARAS")</f>
        <v>ANGELO PARAS</v>
      </c>
      <c r="C3955" s="235" t="str">
        <f>IFERROR(__xludf.DUMMYFUNCTION("""COMPUTED_VALUE"""),"SCIENCE LAB BASIC ED.")</f>
        <v>SCIENCE LAB BASIC ED.</v>
      </c>
      <c r="D3955" s="196" t="str">
        <f>IFERROR(__xludf.DUMMYFUNCTION("""COMPUTED_VALUE"""),"NITRILE GLOVES, POWDER FREE 20BOXES
BOX CUTTER 3PCS
SCREWDRIVER SET 1 SET
CLOTHES HANGER 20PCS
LIGHTER 8PCS
ALCOHOL PADS 3 BOXES
BENEDICT SOLUTION 1LITER
COPPER WIRE 5 METERS")</f>
        <v>NITRILE GLOVES, POWDER FREE 20BOXES
BOX CUTTER 3PCS
SCREWDRIVER SET 1 SET
CLOTHES HANGER 20PCS
LIGHTER 8PCS
ALCOHOL PADS 3 BOXES
BENEDICT SOLUTION 1LITER
COPPER WIRE 5 METERS</v>
      </c>
      <c r="E3955" s="196" t="str">
        <f>IFERROR(__xludf.DUMMYFUNCTION("""COMPUTED_VALUE"""),"REPLENISHMENT OF MATERIALS IN BED SCIENCE LAB")</f>
        <v>REPLENISHMENT OF MATERIALS IN BED SCIENCE LAB</v>
      </c>
    </row>
    <row r="3956">
      <c r="A3956" s="234">
        <f>IFERROR(__xludf.DUMMYFUNCTION("""COMPUTED_VALUE"""),104247.0)</f>
        <v>104247</v>
      </c>
      <c r="B3956" s="235" t="str">
        <f>IFERROR(__xludf.DUMMYFUNCTION("""COMPUTED_VALUE"""),"ALFA DE LEON")</f>
        <v>ALFA DE LEON</v>
      </c>
      <c r="C3956" s="235" t="str">
        <f>IFERROR(__xludf.DUMMYFUNCTION("""COMPUTED_VALUE"""),"ADMIN")</f>
        <v>ADMIN</v>
      </c>
      <c r="D3956" s="196" t="str">
        <f>IFERROR(__xludf.DUMMYFUNCTION("""COMPUTED_VALUE"""),"CERAMICS 6
GLASS BASE 4
VASE 15
POTS 3
POTS 4
TRASH CAN 2")</f>
        <v>CERAMICS 6
GLASS BASE 4
VASE 15
POTS 3
POTS 4
TRASH CAN 2</v>
      </c>
      <c r="E3956" s="196" t="str">
        <f>IFERROR(__xludf.DUMMYFUNCTION("""COMPUTED_VALUE"""),"PREPARATION FOR PQA")</f>
        <v>PREPARATION FOR PQA</v>
      </c>
    </row>
    <row r="3957">
      <c r="A3957" s="234">
        <f>IFERROR(__xludf.DUMMYFUNCTION("""COMPUTED_VALUE"""),104248.0)</f>
        <v>104248</v>
      </c>
      <c r="B3957" s="235" t="str">
        <f>IFERROR(__xludf.DUMMYFUNCTION("""COMPUTED_VALUE"""),"VIOLETA REVOLTAR ")</f>
        <v>VIOLETA REVOLTAR </v>
      </c>
      <c r="C3957" s="235" t="str">
        <f>IFERROR(__xludf.DUMMYFUNCTION("""COMPUTED_VALUE"""),"CEM")</f>
        <v>CEM</v>
      </c>
      <c r="D3957" s="196" t="str">
        <f>IFERROR(__xludf.DUMMYFUNCTION("""COMPUTED_VALUE"""),"CLEAR SHEET PROTECTORS (SHORT)")</f>
        <v>CLEAR SHEET PROTECTORS (SHORT)</v>
      </c>
      <c r="E3957" s="196" t="str">
        <f>IFERROR(__xludf.DUMMYFUNCTION("""COMPUTED_VALUE"""),"FOR COMPILATION OF CHRONICLES AY 2022-2023 AND AY 23-24")</f>
        <v>FOR COMPILATION OF CHRONICLES AY 2022-2023 AND AY 23-24</v>
      </c>
    </row>
    <row r="3958">
      <c r="A3958" s="234">
        <f>IFERROR(__xludf.DUMMYFUNCTION("""COMPUTED_VALUE"""),104249.0)</f>
        <v>104249</v>
      </c>
      <c r="B3958" s="235" t="str">
        <f>IFERROR(__xludf.DUMMYFUNCTION("""COMPUTED_VALUE"""),"ALFA DE LEON")</f>
        <v>ALFA DE LEON</v>
      </c>
      <c r="C3958" s="235" t="str">
        <f>IFERROR(__xludf.DUMMYFUNCTION("""COMPUTED_VALUE"""),"ADMIN")</f>
        <v>ADMIN</v>
      </c>
      <c r="D3958" s="196" t="str">
        <f>IFERROR(__xludf.DUMMYFUNCTION("""COMPUTED_VALUE"""),"HOODED TRASH BINS MEDIUM 10
HOODED TRASH BINS LARGE 6
HOODED TRASH BINS KING SIZE 3
TRASH CAN 20")</f>
        <v>HOODED TRASH BINS MEDIUM 10
HOODED TRASH BINS LARGE 6
HOODED TRASH BINS KING SIZE 3
TRASH CAN 20</v>
      </c>
      <c r="E3958" s="196" t="str">
        <f>IFERROR(__xludf.DUMMYFUNCTION("""COMPUTED_VALUE"""),"PREPARATION FOR PQA. REPLACEMENT  OF BROKEN TRASH BINS FOR LUX, TROPICA, COLLEGE, MUNICH, AND STAR CAMPUS")</f>
        <v>PREPARATION FOR PQA. REPLACEMENT  OF BROKEN TRASH BINS FOR LUX, TROPICA, COLLEGE, MUNICH, AND STAR CAMPUS</v>
      </c>
    </row>
    <row r="3959">
      <c r="A3959" s="234">
        <f>IFERROR(__xludf.DUMMYFUNCTION("""COMPUTED_VALUE"""),104250.0)</f>
        <v>104250</v>
      </c>
      <c r="B3959" s="235" t="str">
        <f>IFERROR(__xludf.DUMMYFUNCTION("""COMPUTED_VALUE"""),"ALFA DE LEON")</f>
        <v>ALFA DE LEON</v>
      </c>
      <c r="C3959" s="235" t="str">
        <f>IFERROR(__xludf.DUMMYFUNCTION("""COMPUTED_VALUE"""),"ADMIN")</f>
        <v>ADMIN</v>
      </c>
      <c r="D3959" s="196" t="str">
        <f>IFERROR(__xludf.DUMMYFUNCTION("""COMPUTED_VALUE"""),"TRASH BIN W/ WHEELS  3")</f>
        <v>TRASH BIN W/ WHEELS  3</v>
      </c>
      <c r="E3959" s="196" t="str">
        <f>IFERROR(__xludf.DUMMYFUNCTION("""COMPUTED_VALUE"""),"PREPARATION FOR PQA")</f>
        <v>PREPARATION FOR PQA</v>
      </c>
    </row>
    <row r="3960">
      <c r="A3960" s="234">
        <f>IFERROR(__xludf.DUMMYFUNCTION("""COMPUTED_VALUE"""),104251.0)</f>
        <v>104251</v>
      </c>
      <c r="B3960" s="235" t="str">
        <f>IFERROR(__xludf.DUMMYFUNCTION("""COMPUTED_VALUE"""),"SHEREE ESPINOSA")</f>
        <v>SHEREE ESPINOSA</v>
      </c>
      <c r="C3960" s="235" t="str">
        <f>IFERROR(__xludf.DUMMYFUNCTION("""COMPUTED_VALUE"""),"ADMIN")</f>
        <v>ADMIN</v>
      </c>
      <c r="D3960" s="196" t="str">
        <f>IFERROR(__xludf.DUMMYFUNCTION("""COMPUTED_VALUE"""),"UNSCENTED CANDLES 2
PLANT POTS FOR CRs 15
PLANT POTS FOR PR, REGS, ACCOUNTING 10
PLANT STAND 3")</f>
        <v>UNSCENTED CANDLES 2
PLANT POTS FOR CRs 15
PLANT POTS FOR PR, REGS, ACCOUNTING 10
PLANT STAND 3</v>
      </c>
      <c r="E3960" s="196" t="str">
        <f>IFERROR(__xludf.DUMMYFUNCTION("""COMPUTED_VALUE"""),"FOR PQA SITE VIST")</f>
        <v>FOR PQA SITE VIST</v>
      </c>
    </row>
    <row r="3961">
      <c r="A3961" s="234">
        <f>IFERROR(__xludf.DUMMYFUNCTION("""COMPUTED_VALUE"""),104252.0)</f>
        <v>104252</v>
      </c>
      <c r="B3961" s="235" t="str">
        <f>IFERROR(__xludf.DUMMYFUNCTION("""COMPUTED_VALUE"""),"PHEN PETIN")</f>
        <v>PHEN PETIN</v>
      </c>
      <c r="C3961" s="235" t="str">
        <f>IFERROR(__xludf.DUMMYFUNCTION("""COMPUTED_VALUE"""),"ADMIN - STAR")</f>
        <v>ADMIN - STAR</v>
      </c>
      <c r="D3961" s="196" t="str">
        <f>IFERROR(__xludf.DUMMYFUNCTION("""COMPUTED_VALUE"""),"TOILET BOWL")</f>
        <v>TOILET BOWL</v>
      </c>
      <c r="E3961" s="196" t="str">
        <f>IFERROR(__xludf.DUMMYFUNCTION("""COMPUTED_VALUE"""),"CHANGE 2 UNITS OF TOILET BOWL 2 FLR GORLS CR")</f>
        <v>CHANGE 2 UNITS OF TOILET BOWL 2 FLR GORLS CR</v>
      </c>
    </row>
    <row r="3962">
      <c r="A3962" s="234">
        <f>IFERROR(__xludf.DUMMYFUNCTION("""COMPUTED_VALUE"""),104253.0)</f>
        <v>104253</v>
      </c>
      <c r="B3962" s="235" t="str">
        <f>IFERROR(__xludf.DUMMYFUNCTION("""COMPUTED_VALUE"""),"OWIE PAR")</f>
        <v>OWIE PAR</v>
      </c>
      <c r="C3962" s="235" t="str">
        <f>IFERROR(__xludf.DUMMYFUNCTION("""COMPUTED_VALUE"""),"ENGINEERING")</f>
        <v>ENGINEERING</v>
      </c>
      <c r="D3962" s="196" t="str">
        <f>IFERROR(__xludf.DUMMYFUNCTION("""COMPUTED_VALUE"""),"BATTERY, 6SM")</f>
        <v>BATTERY, 6SM</v>
      </c>
      <c r="E3962" s="196" t="str">
        <f>IFERROR(__xludf.DUMMYFUNCTION("""COMPUTED_VALUE"""),"FOR LUX GEN-SET, MUNICH, AND COLLEGE")</f>
        <v>FOR LUX GEN-SET, MUNICH, AND COLLEGE</v>
      </c>
    </row>
    <row r="3963">
      <c r="A3963" s="234">
        <f>IFERROR(__xludf.DUMMYFUNCTION("""COMPUTED_VALUE"""),104254.0)</f>
        <v>104254</v>
      </c>
      <c r="B3963" s="235" t="str">
        <f>IFERROR(__xludf.DUMMYFUNCTION("""COMPUTED_VALUE"""),"JOMEL BUTIAL")</f>
        <v>JOMEL BUTIAL</v>
      </c>
      <c r="C3963" s="235" t="str">
        <f>IFERROR(__xludf.DUMMYFUNCTION("""COMPUTED_VALUE"""),"PR &amp; MARKETING")</f>
        <v>PR &amp; MARKETING</v>
      </c>
      <c r="D3963" s="196" t="str">
        <f>IFERROR(__xludf.DUMMYFUNCTION("""COMPUTED_VALUE"""),"MUSIKANTAHAN TARP (1)
SIZE:
H= 198CM
W=628CM")</f>
        <v>MUSIKANTAHAN TARP (1)
SIZE:
H= 198CM
W=628CM</v>
      </c>
      <c r="E3963" s="196" t="str">
        <f>IFERROR(__xludf.DUMMYFUNCTION("""COMPUTED_VALUE"""),"COLLEGE OPEN HOUSE")</f>
        <v>COLLEGE OPEN HOUSE</v>
      </c>
    </row>
    <row r="3964">
      <c r="A3964" s="234">
        <f>IFERROR(__xludf.DUMMYFUNCTION("""COMPUTED_VALUE"""),104255.0)</f>
        <v>104255</v>
      </c>
      <c r="B3964" s="235" t="str">
        <f>IFERROR(__xludf.DUMMYFUNCTION("""COMPUTED_VALUE"""),"JESUIT CHRISTIAN GALICIA")</f>
        <v>JESUIT CHRISTIAN GALICIA</v>
      </c>
      <c r="C3964" s="235" t="str">
        <f>IFERROR(__xludf.DUMMYFUNCTION("""COMPUTED_VALUE"""),"AMD")</f>
        <v>AMD</v>
      </c>
      <c r="D3964" s="196" t="str">
        <f>IFERROR(__xludf.DUMMYFUNCTION("""COMPUTED_VALUE"""),"VIDEO CARD 2GB DDR3 64BIT (NVIDIA) 5PCS")</f>
        <v>VIDEO CARD 2GB DDR3 64BIT (NVIDIA) 5PCS</v>
      </c>
      <c r="E3964" s="196" t="str">
        <f>IFERROR(__xludf.DUMMYFUNCTION("""COMPUTED_VALUE"""),"MIS STOCK REPLENISHMENT")</f>
        <v>MIS STOCK REPLENISHMENT</v>
      </c>
    </row>
    <row r="3965">
      <c r="A3965" s="234">
        <f>IFERROR(__xludf.DUMMYFUNCTION("""COMPUTED_VALUE"""),104256.0)</f>
        <v>104256</v>
      </c>
      <c r="B3965" s="235" t="str">
        <f>IFERROR(__xludf.DUMMYFUNCTION("""COMPUTED_VALUE"""),"JOMMEL ESPIGOL")</f>
        <v>JOMMEL ESPIGOL</v>
      </c>
      <c r="C3965" s="235" t="str">
        <f>IFERROR(__xludf.DUMMYFUNCTION("""COMPUTED_VALUE"""),"HRMD")</f>
        <v>HRMD</v>
      </c>
      <c r="D3965" s="196" t="str">
        <f>IFERROR(__xludf.DUMMYFUNCTION("""COMPUTED_VALUE"""),"BOARD CUTTER 1")</f>
        <v>BOARD CUTTER 1</v>
      </c>
      <c r="E3965" s="196" t="str">
        <f>IFERROR(__xludf.DUMMYFUNCTION("""COMPUTED_VALUE"""),"FOR OFFICE USE")</f>
        <v>FOR OFFICE USE</v>
      </c>
    </row>
    <row r="3966">
      <c r="A3966" s="234">
        <f>IFERROR(__xludf.DUMMYFUNCTION("""COMPUTED_VALUE"""),104257.0)</f>
        <v>104257</v>
      </c>
      <c r="B3966" s="235" t="str">
        <f>IFERROR(__xludf.DUMMYFUNCTION("""COMPUTED_VALUE"""),"MARVIN MARASIGAN")</f>
        <v>MARVIN MARASIGAN</v>
      </c>
      <c r="C3966" s="235" t="str">
        <f>IFERROR(__xludf.DUMMYFUNCTION("""COMPUTED_VALUE"""),"PR &amp; MARKETING")</f>
        <v>PR &amp; MARKETING</v>
      </c>
      <c r="D3966" s="196" t="str">
        <f>IFERROR(__xludf.DUMMYFUNCTION("""COMPUTED_VALUE"""),"CANON EOS 80D (BODY ONLY) 1
CANON WIDE LENS 17-50MM F/2.8 (1)
SANDISK SD CARD WITH ADAPTER 512GB ( SANDISK EXTREME PRO 200 MB/S)")</f>
        <v>CANON EOS 80D (BODY ONLY) 1
CANON WIDE LENS 17-50MM F/2.8 (1)
SANDISK SD CARD WITH ADAPTER 512GB ( SANDISK EXTREME PRO 200 MB/S)</v>
      </c>
      <c r="E3966" s="196" t="str">
        <f>IFERROR(__xludf.DUMMYFUNCTION("""COMPUTED_VALUE"""),"FOR BETTER EVENT COVERAGE AND MARKETING MATERIAL ACQUISITION")</f>
        <v>FOR BETTER EVENT COVERAGE AND MARKETING MATERIAL ACQUISITION</v>
      </c>
    </row>
    <row r="3967">
      <c r="A3967" s="234">
        <f>IFERROR(__xludf.DUMMYFUNCTION("""COMPUTED_VALUE"""),104258.0)</f>
        <v>104258</v>
      </c>
      <c r="B3967" s="235" t="str">
        <f>IFERROR(__xludf.DUMMYFUNCTION("""COMPUTED_VALUE"""),"PAUL ARANA")</f>
        <v>PAUL ARANA</v>
      </c>
      <c r="C3967" s="235" t="str">
        <f>IFERROR(__xludf.DUMMYFUNCTION("""COMPUTED_VALUE"""),"MIS")</f>
        <v>MIS</v>
      </c>
      <c r="D3967" s="196" t="str">
        <f>IFERROR(__xludf.DUMMYFUNCTION("""COMPUTED_VALUE"""),"EPSON EBX51 XGA 3LCD PROJECTOR 3800 LUMENS (3)
-ROOM 406
-BIO LAB
-MPH C")</f>
        <v>EPSON EBX51 XGA 3LCD PROJECTOR 3800 LUMENS (3)
-ROOM 406
-BIO LAB
-MPH C</v>
      </c>
      <c r="E3967" s="196" t="str">
        <f>IFERROR(__xludf.DUMMYFUNCTION("""COMPUTED_VALUE"""),"REPLACEMENT OF DEFECTIVE PROJECTORS IN COLLEGE BLDG.")</f>
        <v>REPLACEMENT OF DEFECTIVE PROJECTORS IN COLLEGE BLDG.</v>
      </c>
    </row>
    <row r="3968">
      <c r="A3968" s="234">
        <f>IFERROR(__xludf.DUMMYFUNCTION("""COMPUTED_VALUE"""),104259.0)</f>
        <v>104259</v>
      </c>
      <c r="B3968" s="235" t="str">
        <f>IFERROR(__xludf.DUMMYFUNCTION("""COMPUTED_VALUE"""),"ALFA DE LEON")</f>
        <v>ALFA DE LEON</v>
      </c>
      <c r="C3968" s="235" t="str">
        <f>IFERROR(__xludf.DUMMYFUNCTION("""COMPUTED_VALUE"""),"LANDSCAPING")</f>
        <v>LANDSCAPING</v>
      </c>
      <c r="D3968" s="196" t="str">
        <f>IFERROR(__xludf.DUMMYFUNCTION("""COMPUTED_VALUE"""),"GARDEN HOSE 100 METERS")</f>
        <v>GARDEN HOSE 100 METERS</v>
      </c>
      <c r="E3968" s="196" t="str">
        <f>IFERROR(__xludf.DUMMYFUNCTION("""COMPUTED_VALUE"""),"REPLACEMENT OF BROKEN GARDEN HOSE")</f>
        <v>REPLACEMENT OF BROKEN GARDEN HOSE</v>
      </c>
    </row>
    <row r="3969">
      <c r="A3969" s="234">
        <f>IFERROR(__xludf.DUMMYFUNCTION("""COMPUTED_VALUE"""),104260.0)</f>
        <v>104260</v>
      </c>
      <c r="B3969" s="235" t="str">
        <f>IFERROR(__xludf.DUMMYFUNCTION("""COMPUTED_VALUE"""),"OWIE PAR")</f>
        <v>OWIE PAR</v>
      </c>
      <c r="C3969" s="235" t="str">
        <f>IFERROR(__xludf.DUMMYFUNCTION("""COMPUTED_VALUE"""),"ENGINEERING")</f>
        <v>ENGINEERING</v>
      </c>
      <c r="D3969" s="196" t="str">
        <f>IFERROR(__xludf.DUMMYFUNCTION("""COMPUTED_VALUE"""),"EXHAUST FAN #12 x 12 CEILING TYPE 2UNITS")</f>
        <v>EXHAUST FAN #12 x 12 CEILING TYPE 2UNITS</v>
      </c>
      <c r="E3969" s="196" t="str">
        <f>IFERROR(__xludf.DUMMYFUNCTION("""COMPUTED_VALUE"""),"FOR CENCESSIONAIRE CR'S")</f>
        <v>FOR CENCESSIONAIRE CR'S</v>
      </c>
    </row>
    <row r="3970">
      <c r="A3970" s="234">
        <f>IFERROR(__xludf.DUMMYFUNCTION("""COMPUTED_VALUE"""),104261.0)</f>
        <v>104261</v>
      </c>
      <c r="B3970" s="235" t="str">
        <f>IFERROR(__xludf.DUMMYFUNCTION("""COMPUTED_VALUE"""),"SARY ESCUREL")</f>
        <v>SARY ESCUREL</v>
      </c>
      <c r="C3970" s="235" t="str">
        <f>IFERROR(__xludf.DUMMYFUNCTION("""COMPUTED_VALUE"""),"PRINCIPAL'S OFFICE")</f>
        <v>PRINCIPAL'S OFFICE</v>
      </c>
      <c r="D3970" s="196" t="str">
        <f>IFERROR(__xludf.DUMMYFUNCTION("""COMPUTED_VALUE"""),"RIGOR IN THE CLASSROOM TARPAULIN
STAR CAMPUS 18
MUNICH CAMPUS 38
HIGHSCHOOL (7-10) 13
SENIOR HIGHSCHOOL (11-12) 24
IB 1&amp;2 10
OTHER OFFICES/ ROOMS 17
WIDTH 31 INCHES
HEIGHT 25 INCHES")</f>
        <v>RIGOR IN THE CLASSROOM TARPAULIN
STAR CAMPUS 18
MUNICH CAMPUS 38
HIGHSCHOOL (7-10) 13
SENIOR HIGHSCHOOL (11-12) 24
IB 1&amp;2 10
OTHER OFFICES/ ROOMS 17
WIDTH 31 INCHES
HEIGHT 25 INCHES</v>
      </c>
      <c r="E3970" s="196" t="str">
        <f>IFERROR(__xludf.DUMMYFUNCTION("""COMPUTED_VALUE"""),"FOR POSTING IN THE CLASSROOMS")</f>
        <v>FOR POSTING IN THE CLASSROOMS</v>
      </c>
    </row>
    <row r="3971">
      <c r="A3971" s="234">
        <f>IFERROR(__xludf.DUMMYFUNCTION("""COMPUTED_VALUE"""),104262.0)</f>
        <v>104262</v>
      </c>
      <c r="B3971" s="235" t="str">
        <f>IFERROR(__xludf.DUMMYFUNCTION("""COMPUTED_VALUE"""),"JULIETA CATUNGAL")</f>
        <v>JULIETA CATUNGAL</v>
      </c>
      <c r="C3971" s="235" t="str">
        <f>IFERROR(__xludf.DUMMYFUNCTION("""COMPUTED_VALUE"""),"CAPS BED")</f>
        <v>CAPS BED</v>
      </c>
      <c r="D3971" s="196" t="str">
        <f>IFERROR(__xludf.DUMMYFUNCTION("""COMPUTED_VALUE"""),"WATER DISPENSER 1")</f>
        <v>WATER DISPENSER 1</v>
      </c>
      <c r="E3971" s="196" t="str">
        <f>IFERROR(__xludf.DUMMYFUNCTION("""COMPUTED_VALUE"""),"CAPS DISPENSER IN BROKEN")</f>
        <v>CAPS DISPENSER IN BROKEN</v>
      </c>
    </row>
    <row r="3972">
      <c r="A3972" s="234">
        <f>IFERROR(__xludf.DUMMYFUNCTION("""COMPUTED_VALUE"""),104263.0)</f>
        <v>104263</v>
      </c>
      <c r="B3972" s="235" t="str">
        <f>IFERROR(__xludf.DUMMYFUNCTION("""COMPUTED_VALUE"""),"NHYSSA ANDAOAG")</f>
        <v>NHYSSA ANDAOAG</v>
      </c>
      <c r="C3972" s="235" t="str">
        <f>IFERROR(__xludf.DUMMYFUNCTION("""COMPUTED_VALUE"""),"AUDIT")</f>
        <v>AUDIT</v>
      </c>
      <c r="D3972" s="196" t="str">
        <f>IFERROR(__xludf.DUMMYFUNCTION("""COMPUTED_VALUE"""),"TRODAT ( AUDITED) 1
TRODAT ( CLOSED) 1")</f>
        <v>TRODAT ( AUDITED) 1
TRODAT ( CLOSED) 1</v>
      </c>
      <c r="E3972" s="196" t="str">
        <f>IFERROR(__xludf.DUMMYFUNCTION("""COMPUTED_VALUE"""),"OFFICE USE/ FOR REPLACEMENT- IN USE SINCE 2017")</f>
        <v>OFFICE USE/ FOR REPLACEMENT- IN USE SINCE 2017</v>
      </c>
    </row>
    <row r="3973">
      <c r="A3973" s="234">
        <f>IFERROR(__xludf.DUMMYFUNCTION("""COMPUTED_VALUE"""),104264.0)</f>
        <v>104264</v>
      </c>
      <c r="B3973" s="235" t="str">
        <f>IFERROR(__xludf.DUMMYFUNCTION("""COMPUTED_VALUE"""),"PHEN PETIN")</f>
        <v>PHEN PETIN</v>
      </c>
      <c r="C3973" s="235" t="str">
        <f>IFERROR(__xludf.DUMMYFUNCTION("""COMPUTED_VALUE"""),"ADMIN - STAR")</f>
        <v>ADMIN - STAR</v>
      </c>
      <c r="D3973" s="196" t="str">
        <f>IFERROR(__xludf.DUMMYFUNCTION("""COMPUTED_VALUE"""),"LES SLIM PANEL LIGHT (12WATTS, ROUND SIZE, WHITE) 12PCS
LED SPOT LIGHT (9WATTS, ROUND SIZE, WHITE) 12PCS
LED SPOT LIGHT (6WATTS, ROUND SIZE, WHITE) 15PCS")</f>
        <v>LES SLIM PANEL LIGHT (12WATTS, ROUND SIZE, WHITE) 12PCS
LED SPOT LIGHT (9WATTS, ROUND SIZE, WHITE) 12PCS
LED SPOT LIGHT (6WATTS, ROUND SIZE, WHITE) 15PCS</v>
      </c>
      <c r="E3973" s="196" t="str">
        <f>IFERROR(__xludf.DUMMYFUNCTION("""COMPUTED_VALUE"""),"CHANGE BUSTED LIGHTS LEARNING VILLAGE AND STOCK")</f>
        <v>CHANGE BUSTED LIGHTS LEARNING VILLAGE AND STOCK</v>
      </c>
    </row>
    <row r="3974">
      <c r="A3974" s="234">
        <f>IFERROR(__xludf.DUMMYFUNCTION("""COMPUTED_VALUE"""),104265.0)</f>
        <v>104265</v>
      </c>
      <c r="B3974" s="235" t="str">
        <f>IFERROR(__xludf.DUMMYFUNCTION("""COMPUTED_VALUE"""),"PHEN PETIN")</f>
        <v>PHEN PETIN</v>
      </c>
      <c r="C3974" s="235" t="str">
        <f>IFERROR(__xludf.DUMMYFUNCTION("""COMPUTED_VALUE"""),"ADMIN - STAR")</f>
        <v>ADMIN - STAR</v>
      </c>
      <c r="D3974" s="196" t="str">
        <f>IFERROR(__xludf.DUMMYFUNCTION("""COMPUTED_VALUE"""),"CIRCLE TISSUE HOLDER FOR GUEST CR/ 2F CR 2")</f>
        <v>CIRCLE TISSUE HOLDER FOR GUEST CR/ 2F CR 2</v>
      </c>
      <c r="E3974" s="196" t="str">
        <f>IFERROR(__xludf.DUMMYFUNCTION("""COMPUTED_VALUE"""),"CIRCLE TISSUE HOLDER FOR GUEST CR/ 2F CR ")</f>
        <v>CIRCLE TISSUE HOLDER FOR GUEST CR/ 2F CR </v>
      </c>
    </row>
    <row r="3975">
      <c r="A3975" s="234">
        <f>IFERROR(__xludf.DUMMYFUNCTION("""COMPUTED_VALUE"""),104266.0)</f>
        <v>104266</v>
      </c>
      <c r="B3975" s="235" t="str">
        <f>IFERROR(__xludf.DUMMYFUNCTION("""COMPUTED_VALUE"""),"PHEN PETIN")</f>
        <v>PHEN PETIN</v>
      </c>
      <c r="C3975" s="235" t="str">
        <f>IFERROR(__xludf.DUMMYFUNCTION("""COMPUTED_VALUE"""),"ADMIN - STAR")</f>
        <v>ADMIN - STAR</v>
      </c>
      <c r="D3975" s="196" t="str">
        <f>IFERROR(__xludf.DUMMYFUNCTION("""COMPUTED_VALUE"""),"RE PRINT KRI FOR CLASSROOMS 12")</f>
        <v>RE PRINT KRI FOR CLASSROOMS 12</v>
      </c>
      <c r="E3975" s="196" t="str">
        <f>IFERROR(__xludf.DUMMYFUNCTION("""COMPUTED_VALUE"""),"RE PRINT 12PCS OF KRI FOR PRESCHOOL TO GRADE SCHOOL")</f>
        <v>RE PRINT 12PCS OF KRI FOR PRESCHOOL TO GRADE SCHOOL</v>
      </c>
    </row>
    <row r="3976">
      <c r="A3976" s="234">
        <f>IFERROR(__xludf.DUMMYFUNCTION("""COMPUTED_VALUE"""),104267.0)</f>
        <v>104267</v>
      </c>
      <c r="B3976" s="235" t="str">
        <f>IFERROR(__xludf.DUMMYFUNCTION("""COMPUTED_VALUE"""),"JOMEL BUTIAL")</f>
        <v>JOMEL BUTIAL</v>
      </c>
      <c r="C3976" s="235" t="str">
        <f>IFERROR(__xludf.DUMMYFUNCTION("""COMPUTED_VALUE"""),"PR &amp; MARKETING")</f>
        <v>PR &amp; MARKETING</v>
      </c>
      <c r="D3976" s="196" t="str">
        <f>IFERROR(__xludf.DUMMYFUNCTION("""COMPUTED_VALUE"""),"WORLD CLASS NURSING FLYERS 1000PCS")</f>
        <v>WORLD CLASS NURSING FLYERS 1000PCS</v>
      </c>
      <c r="E3976" s="196" t="str">
        <f>IFERROR(__xludf.DUMMYFUNCTION("""COMPUTED_VALUE"""),"MARKETING")</f>
        <v>MARKETING</v>
      </c>
    </row>
    <row r="3977">
      <c r="A3977" s="234">
        <f>IFERROR(__xludf.DUMMYFUNCTION("""COMPUTED_VALUE"""),104268.0)</f>
        <v>104268</v>
      </c>
      <c r="B3977" s="235" t="str">
        <f>IFERROR(__xludf.DUMMYFUNCTION("""COMPUTED_VALUE"""),"BRIAN PATAG")</f>
        <v>BRIAN PATAG</v>
      </c>
      <c r="C3977" s="235" t="str">
        <f>IFERROR(__xludf.DUMMYFUNCTION("""COMPUTED_VALUE"""),"AMD")</f>
        <v>AMD</v>
      </c>
      <c r="D3977" s="196" t="str">
        <f>IFERROR(__xludf.DUMMYFUNCTION("""COMPUTED_VALUE"""),"ZIM GLASS CLEANER, 500ML 50")</f>
        <v>ZIM GLASS CLEANER, 500ML 50</v>
      </c>
      <c r="E3977" s="196" t="str">
        <f>IFERROR(__xludf.DUMMYFUNCTION("""COMPUTED_VALUE"""),"HOUSEKEEPING REPLENISHMENT")</f>
        <v>HOUSEKEEPING REPLENISHMENT</v>
      </c>
    </row>
    <row r="3978">
      <c r="A3978" s="234">
        <f>IFERROR(__xludf.DUMMYFUNCTION("""COMPUTED_VALUE"""),104269.0)</f>
        <v>104269</v>
      </c>
      <c r="B3978" s="235" t="str">
        <f>IFERROR(__xludf.DUMMYFUNCTION("""COMPUTED_VALUE"""),"BRIAN PATAG")</f>
        <v>BRIAN PATAG</v>
      </c>
      <c r="C3978" s="235" t="str">
        <f>IFERROR(__xludf.DUMMYFUNCTION("""COMPUTED_VALUE"""),"AMD")</f>
        <v>AMD</v>
      </c>
      <c r="D3978" s="196" t="str">
        <f>IFERROR(__xludf.DUMMYFUNCTION("""COMPUTED_VALUE"""),"TOPLUSTER HIGH GRADE LIQUID WAX (RIVCHEM) 50")</f>
        <v>TOPLUSTER HIGH GRADE LIQUID WAX (RIVCHEM) 50</v>
      </c>
      <c r="E3978" s="196" t="str">
        <f>IFERROR(__xludf.DUMMYFUNCTION("""COMPUTED_VALUE"""),"HOUSEKEEPING REPLENISHMENT")</f>
        <v>HOUSEKEEPING REPLENISHMENT</v>
      </c>
    </row>
    <row r="3979">
      <c r="A3979" s="234">
        <f>IFERROR(__xludf.DUMMYFUNCTION("""COMPUTED_VALUE"""),104270.0)</f>
        <v>104270</v>
      </c>
      <c r="B3979" s="235" t="str">
        <f>IFERROR(__xludf.DUMMYFUNCTION("""COMPUTED_VALUE"""),"BRIAN PATAG")</f>
        <v>BRIAN PATAG</v>
      </c>
      <c r="C3979" s="235" t="str">
        <f>IFERROR(__xludf.DUMMYFUNCTION("""COMPUTED_VALUE"""),"AMD")</f>
        <v>AMD</v>
      </c>
      <c r="D3979" s="196" t="str">
        <f>IFERROR(__xludf.DUMMYFUNCTION("""COMPUTED_VALUE"""),"TISSUE, JUMBO ROLL, 200 METERS - 100ROLLS")</f>
        <v>TISSUE, JUMBO ROLL, 200 METERS - 100ROLLS</v>
      </c>
      <c r="E3979" s="196" t="str">
        <f>IFERROR(__xludf.DUMMYFUNCTION("""COMPUTED_VALUE"""),"HOUSEKEEPING REPLENISHMENT")</f>
        <v>HOUSEKEEPING REPLENISHMENT</v>
      </c>
    </row>
    <row r="3980">
      <c r="A3980" s="234">
        <f>IFERROR(__xludf.DUMMYFUNCTION("""COMPUTED_VALUE"""),104271.0)</f>
        <v>104271</v>
      </c>
      <c r="B3980" s="235" t="str">
        <f>IFERROR(__xludf.DUMMYFUNCTION("""COMPUTED_VALUE"""),"BRIAN PATAG")</f>
        <v>BRIAN PATAG</v>
      </c>
      <c r="C3980" s="235" t="str">
        <f>IFERROR(__xludf.DUMMYFUNCTION("""COMPUTED_VALUE"""),"AMD")</f>
        <v>AMD</v>
      </c>
      <c r="D3980" s="196" t="str">
        <f>IFERROR(__xludf.DUMMYFUNCTION("""COMPUTED_VALUE"""),"SCENTED-BAYGON PROTECTOR MULTI-INSECT KILLER 500ML, CAN 50")</f>
        <v>SCENTED-BAYGON PROTECTOR MULTI-INSECT KILLER 500ML, CAN 50</v>
      </c>
      <c r="E3980" s="196" t="str">
        <f>IFERROR(__xludf.DUMMYFUNCTION("""COMPUTED_VALUE"""),"HOUSEKEEPING REPLENISHMENT")</f>
        <v>HOUSEKEEPING REPLENISHMENT</v>
      </c>
    </row>
    <row r="3981">
      <c r="A3981" s="234">
        <f>IFERROR(__xludf.DUMMYFUNCTION("""COMPUTED_VALUE"""),104272.0)</f>
        <v>104272</v>
      </c>
      <c r="B3981" s="235" t="str">
        <f>IFERROR(__xludf.DUMMYFUNCTION("""COMPUTED_VALUE"""),"BRIAN PATAG")</f>
        <v>BRIAN PATAG</v>
      </c>
      <c r="C3981" s="235" t="str">
        <f>IFERROR(__xludf.DUMMYFUNCTION("""COMPUTED_VALUE"""),"AMD")</f>
        <v>AMD</v>
      </c>
      <c r="D3981" s="196" t="str">
        <f>IFERROR(__xludf.DUMMYFUNCTION("""COMPUTED_VALUE"""),"STRIPPOL SUPER FLOOR WAX STRIPPER (30)")</f>
        <v>STRIPPOL SUPER FLOOR WAX STRIPPER (30)</v>
      </c>
      <c r="E3981" s="196" t="str">
        <f>IFERROR(__xludf.DUMMYFUNCTION("""COMPUTED_VALUE"""),"HOUSEKEEPING REPLENISHMENT")</f>
        <v>HOUSEKEEPING REPLENISHMENT</v>
      </c>
    </row>
    <row r="3982">
      <c r="A3982" s="234">
        <f>IFERROR(__xludf.DUMMYFUNCTION("""COMPUTED_VALUE"""),104273.0)</f>
        <v>104273</v>
      </c>
      <c r="B3982" s="235" t="str">
        <f>IFERROR(__xludf.DUMMYFUNCTION("""COMPUTED_VALUE"""),"ALFA DE LEON")</f>
        <v>ALFA DE LEON</v>
      </c>
      <c r="C3982" s="235" t="str">
        <f>IFERROR(__xludf.DUMMYFUNCTION("""COMPUTED_VALUE"""),"ADMIN - MUNICH")</f>
        <v>ADMIN - MUNICH</v>
      </c>
      <c r="D3982" s="196" t="str">
        <f>IFERROR(__xludf.DUMMYFUNCTION("""COMPUTED_VALUE"""),"SINK 18.5"" x 22"" (1)")</f>
        <v>SINK 18.5" x 22" (1)</v>
      </c>
      <c r="E3982" s="196" t="str">
        <f>IFERROR(__xludf.DUMMYFUNCTION("""COMPUTED_VALUE"""),"BROKEN SINK 3F EW FEMALE CR MUNICH")</f>
        <v>BROKEN SINK 3F EW FEMALE CR MUNICH</v>
      </c>
    </row>
    <row r="3983">
      <c r="A3983" s="234">
        <f>IFERROR(__xludf.DUMMYFUNCTION("""COMPUTED_VALUE"""),104274.0)</f>
        <v>104274</v>
      </c>
      <c r="B3983" s="235" t="str">
        <f>IFERROR(__xludf.DUMMYFUNCTION("""COMPUTED_VALUE"""),"ALFA DE LEON")</f>
        <v>ALFA DE LEON</v>
      </c>
      <c r="C3983" s="235" t="str">
        <f>IFERROR(__xludf.DUMMYFUNCTION("""COMPUTED_VALUE"""),"ADMIN - MUNICH")</f>
        <v>ADMIN - MUNICH</v>
      </c>
      <c r="D3983" s="196" t="str">
        <f>IFERROR(__xludf.DUMMYFUNCTION("""COMPUTED_VALUE"""),"KRI TARP 
 ROOM 101-108 (8)
ROOM 201-210 (10)
ROOM 306-316 (16)
SPARE (3)
SIZE: 17"" x 26""")</f>
        <v>KRI TARP 
 ROOM 101-108 (8)
ROOM 201-210 (10)
ROOM 306-316 (16)
SPARE (3)
SIZE: 17" x 26"</v>
      </c>
      <c r="E3983" s="196" t="str">
        <f>IFERROR(__xludf.DUMMYFUNCTION("""COMPUTED_VALUE"""),"REPLACEMENT OF OLD TARP ")</f>
        <v>REPLACEMENT OF OLD TARP </v>
      </c>
    </row>
    <row r="3984">
      <c r="A3984" s="234">
        <f>IFERROR(__xludf.DUMMYFUNCTION("""COMPUTED_VALUE"""),104275.0)</f>
        <v>104275</v>
      </c>
      <c r="B3984" s="235" t="str">
        <f>IFERROR(__xludf.DUMMYFUNCTION("""COMPUTED_VALUE"""),"SHEREE ESPINOSA")</f>
        <v>SHEREE ESPINOSA</v>
      </c>
      <c r="C3984" s="235" t="str">
        <f>IFERROR(__xludf.DUMMYFUNCTION("""COMPUTED_VALUE"""),"ADMIN")</f>
        <v>ADMIN</v>
      </c>
      <c r="D3984" s="196" t="str">
        <f>IFERROR(__xludf.DUMMYFUNCTION("""COMPUTED_VALUE"""),"WATER GALLON W/ COVER (TAKIP) FOR WATER DISPENSER (20)")</f>
        <v>WATER GALLON W/ COVER (TAKIP) FOR WATER DISPENSER (20)</v>
      </c>
      <c r="E3984" s="196" t="str">
        <f>IFERROR(__xludf.DUMMYFUNCTION("""COMPUTED_VALUE"""),"ADDITIONAL WATER GALLON FOR FOOD COURT, COLLEGE AND TROPICAL")</f>
        <v>ADDITIONAL WATER GALLON FOR FOOD COURT, COLLEGE AND TROPICAL</v>
      </c>
    </row>
    <row r="3985">
      <c r="A3985" s="234">
        <f>IFERROR(__xludf.DUMMYFUNCTION("""COMPUTED_VALUE"""),104276.0)</f>
        <v>104276</v>
      </c>
      <c r="B3985" s="235" t="str">
        <f>IFERROR(__xludf.DUMMYFUNCTION("""COMPUTED_VALUE"""),"SHEREE ESPINOSA")</f>
        <v>SHEREE ESPINOSA</v>
      </c>
      <c r="C3985" s="235" t="str">
        <f>IFERROR(__xludf.DUMMYFUNCTION("""COMPUTED_VALUE"""),"ADMIN")</f>
        <v>ADMIN</v>
      </c>
      <c r="D3985" s="196" t="str">
        <f>IFERROR(__xludf.DUMMYFUNCTION("""COMPUTED_VALUE"""),"SWIVEL CHAIRS (5)
(MESH MID BACK CHAIR, WITH ARMREST, NYLON STARBASE")</f>
        <v>SWIVEL CHAIRS (5)
(MESH MID BACK CHAIR, WITH ARMREST, NYLON STARBASE</v>
      </c>
      <c r="E3985" s="196" t="str">
        <f>IFERROR(__xludf.DUMMYFUNCTION("""COMPUTED_VALUE"""),"REPLACEMENT AND FOR NEW FACULTY (BED)")</f>
        <v>REPLACEMENT AND FOR NEW FACULTY (BED)</v>
      </c>
    </row>
    <row r="3986">
      <c r="A3986" s="234">
        <f>IFERROR(__xludf.DUMMYFUNCTION("""COMPUTED_VALUE"""),104277.0)</f>
        <v>104277</v>
      </c>
      <c r="B3986" s="235" t="str">
        <f>IFERROR(__xludf.DUMMYFUNCTION("""COMPUTED_VALUE"""),"SHEREE ESPINOSA")</f>
        <v>SHEREE ESPINOSA</v>
      </c>
      <c r="C3986" s="235" t="str">
        <f>IFERROR(__xludf.DUMMYFUNCTION("""COMPUTED_VALUE"""),"ADMIN")</f>
        <v>ADMIN</v>
      </c>
      <c r="D3986" s="196" t="str">
        <f>IFERROR(__xludf.DUMMYFUNCTION("""COMPUTED_VALUE"""),"SWIVEL CHAIRS
EXECUTIVE CHAIR (HIGHBACK) 1
REGULAR CHAIR(MID BACK) 6
*MESH BACK WITH ARMREST, NYLON STARBASE")</f>
        <v>SWIVEL CHAIRS
EXECUTIVE CHAIR (HIGHBACK) 1
REGULAR CHAIR(MID BACK) 6
*MESH BACK WITH ARMREST, NYLON STARBASE</v>
      </c>
      <c r="E3986" s="196" t="str">
        <f>IFERROR(__xludf.DUMMYFUNCTION("""COMPUTED_VALUE"""),"FOR REPLACEMENT FOR BROKEN CHAIRS- ICT FACULTY")</f>
        <v>FOR REPLACEMENT FOR BROKEN CHAIRS- ICT FACULTY</v>
      </c>
    </row>
    <row r="3987">
      <c r="A3987" s="234">
        <f>IFERROR(__xludf.DUMMYFUNCTION("""COMPUTED_VALUE"""),104278.0)</f>
        <v>104278</v>
      </c>
      <c r="B3987" s="235" t="str">
        <f>IFERROR(__xludf.DUMMYFUNCTION("""COMPUTED_VALUE"""),"SHEREE ESPINOSA")</f>
        <v>SHEREE ESPINOSA</v>
      </c>
      <c r="C3987" s="235" t="str">
        <f>IFERROR(__xludf.DUMMYFUNCTION("""COMPUTED_VALUE"""),"ADMIN")</f>
        <v>ADMIN</v>
      </c>
      <c r="D3987" s="196" t="str">
        <f>IFERROR(__xludf.DUMMYFUNCTION("""COMPUTED_VALUE"""),"SWIVEL CHAIRS
EXECUTIVE CHAIRS (HIGHBACK) 2
REGULAR CHAIR 10
*MESH BACK W/ ARMREST, NYLON STAR BASE")</f>
        <v>SWIVEL CHAIRS
EXECUTIVE CHAIRS (HIGHBACK) 2
REGULAR CHAIR 10
*MESH BACK W/ ARMREST, NYLON STAR BASE</v>
      </c>
      <c r="E3987" s="196" t="str">
        <f>IFERROR(__xludf.DUMMYFUNCTION("""COMPUTED_VALUE"""),"REPLACEMENT FOR BROKEN CHAIRS AND NEW EMPLOYEE- MIS")</f>
        <v>REPLACEMENT FOR BROKEN CHAIRS AND NEW EMPLOYEE- MIS</v>
      </c>
    </row>
    <row r="3988">
      <c r="A3988" s="234">
        <f>IFERROR(__xludf.DUMMYFUNCTION("""COMPUTED_VALUE"""),104279.0)</f>
        <v>104279</v>
      </c>
      <c r="B3988" s="235" t="str">
        <f>IFERROR(__xludf.DUMMYFUNCTION("""COMPUTED_VALUE"""),"SHEREE ESPINOSA")</f>
        <v>SHEREE ESPINOSA</v>
      </c>
      <c r="C3988" s="235" t="str">
        <f>IFERROR(__xludf.DUMMYFUNCTION("""COMPUTED_VALUE"""),"ADMIN")</f>
        <v>ADMIN</v>
      </c>
      <c r="D3988" s="196" t="str">
        <f>IFERROR(__xludf.DUMMYFUNCTION("""COMPUTED_VALUE"""),"SWIVEL CHAIR
1 EXECUTIVE CHAIR (HIGH BACK)
5 REGULAR CHAIR (MID BACK)
* MESH BACK WITH ARM REST, NYLON STARBASE")</f>
        <v>SWIVEL CHAIR
1 EXECUTIVE CHAIR (HIGH BACK)
5 REGULAR CHAIR (MID BACK)
* MESH BACK WITH ARM REST, NYLON STARBASE</v>
      </c>
      <c r="E3988" s="196" t="str">
        <f>IFERROR(__xludf.DUMMYFUNCTION("""COMPUTED_VALUE"""),"REPLACEMENT FOR BROKEN CHAIRS CLINIC AND CAPS BED")</f>
        <v>REPLACEMENT FOR BROKEN CHAIRS CLINIC AND CAPS BED</v>
      </c>
    </row>
    <row r="3989">
      <c r="A3989" s="234">
        <f>IFERROR(__xludf.DUMMYFUNCTION("""COMPUTED_VALUE"""),104280.0)</f>
        <v>104280</v>
      </c>
      <c r="B3989" s="235" t="str">
        <f>IFERROR(__xludf.DUMMYFUNCTION("""COMPUTED_VALUE"""),"BRIAN PATAG")</f>
        <v>BRIAN PATAG</v>
      </c>
      <c r="C3989" s="235" t="str">
        <f>IFERROR(__xludf.DUMMYFUNCTION("""COMPUTED_VALUE"""),"AMD")</f>
        <v>AMD</v>
      </c>
      <c r="D3989" s="196" t="str">
        <f>IFERROR(__xludf.DUMMYFUNCTION("""COMPUTED_VALUE"""),"SPOTLESS HOUSEHOLD CLAENING PASTE (5O)")</f>
        <v>SPOTLESS HOUSEHOLD CLAENING PASTE (5O)</v>
      </c>
      <c r="E3989" s="196" t="str">
        <f>IFERROR(__xludf.DUMMYFUNCTION("""COMPUTED_VALUE"""),"HOUSEKEEPING REPLENISHMENT")</f>
        <v>HOUSEKEEPING REPLENISHMENT</v>
      </c>
    </row>
    <row r="3990">
      <c r="A3990" s="234">
        <f>IFERROR(__xludf.DUMMYFUNCTION("""COMPUTED_VALUE"""),104281.0)</f>
        <v>104281</v>
      </c>
      <c r="B3990" s="235" t="str">
        <f>IFERROR(__xludf.DUMMYFUNCTION("""COMPUTED_VALUE"""),"SHEREE ESPINOSA")</f>
        <v>SHEREE ESPINOSA</v>
      </c>
      <c r="C3990" s="235" t="str">
        <f>IFERROR(__xludf.DUMMYFUNCTION("""COMPUTED_VALUE"""),"ADMIN")</f>
        <v>ADMIN</v>
      </c>
      <c r="D3990" s="196" t="str">
        <f>IFERROR(__xludf.DUMMYFUNCTION("""COMPUTED_VALUE"""),"3 M NOMAD MATTING (GREEN)")</f>
        <v>3 M NOMAD MATTING (GREEN)</v>
      </c>
      <c r="E3990" s="196" t="str">
        <f>IFERROR(__xludf.DUMMYFUNCTION("""COMPUTED_VALUE"""),"MATTING FOR ALL CR'S LUX, COLLEGE, TROPICAL")</f>
        <v>MATTING FOR ALL CR'S LUX, COLLEGE, TROPICAL</v>
      </c>
    </row>
    <row r="3991">
      <c r="A3991" s="234">
        <f>IFERROR(__xludf.DUMMYFUNCTION("""COMPUTED_VALUE"""),104282.0)</f>
        <v>104282</v>
      </c>
      <c r="B3991" s="235" t="str">
        <f>IFERROR(__xludf.DUMMYFUNCTION("""COMPUTED_VALUE"""),"JOMEL BUTIAL")</f>
        <v>JOMEL BUTIAL</v>
      </c>
      <c r="C3991" s="235" t="str">
        <f>IFERROR(__xludf.DUMMYFUNCTION("""COMPUTED_VALUE"""),"PR &amp; MARKETING")</f>
        <v>PR &amp; MARKETING</v>
      </c>
      <c r="D3991" s="196" t="str">
        <f>IFERROR(__xludf.DUMMYFUNCTION("""COMPUTED_VALUE"""),"2023 HUAWEI ICT CONGRATULATORY TARP 1
W= 162 H=78INCH
THICKNESS= 18")</f>
        <v>2023 HUAWEI ICT CONGRATULATORY TARP 1
W= 162 H=78INCH
THICKNESS= 18</v>
      </c>
      <c r="E3991" s="196" t="str">
        <f>IFERROR(__xludf.DUMMYFUNCTION("""COMPUTED_VALUE"""),"INFORMATION TECHNOLOGY MARKETING")</f>
        <v>INFORMATION TECHNOLOGY MARKETING</v>
      </c>
    </row>
    <row r="3992">
      <c r="A3992" s="234">
        <f>IFERROR(__xludf.DUMMYFUNCTION("""COMPUTED_VALUE"""),104283.0)</f>
        <v>104283</v>
      </c>
      <c r="B3992" s="235" t="str">
        <f>IFERROR(__xludf.DUMMYFUNCTION("""COMPUTED_VALUE"""),"ALFA DE LEON")</f>
        <v>ALFA DE LEON</v>
      </c>
      <c r="C3992" s="235" t="str">
        <f>IFERROR(__xludf.DUMMYFUNCTION("""COMPUTED_VALUE"""),"ADMIN")</f>
        <v>ADMIN</v>
      </c>
      <c r="D3992" s="196" t="str">
        <f>IFERROR(__xludf.DUMMYFUNCTION("""COMPUTED_VALUE"""),"PLAIN SHEET GAUGE 18 4""x 8"" (15)
BLIND RIVETS #1/8 x 1/2 1BOX
DRILL BIT METAL #1/2 10PCS
EPOXY PRIMER GRAY 1GAL
LACQUER THINNER 1GAL
")</f>
        <v>PLAIN SHEET GAUGE 18 4"x 8" (15)
BLIND RIVETS #1/8 x 1/2 1BOX
DRILL BIT METAL #1/2 10PCS
EPOXY PRIMER GRAY 1GAL
LACQUER THINNER 1GAL
</v>
      </c>
      <c r="E3992" s="196" t="str">
        <f>IFERROR(__xludf.DUMMYFUNCTION("""COMPUTED_VALUE"""),"REPAIRS OF TRASHBIN CASING BACKING FOR SIGNAGE INSTALLATION")</f>
        <v>REPAIRS OF TRASHBIN CASING BACKING FOR SIGNAGE INSTALLATION</v>
      </c>
    </row>
    <row r="3993">
      <c r="A3993" s="234">
        <f>IFERROR(__xludf.DUMMYFUNCTION("""COMPUTED_VALUE"""),104284.0)</f>
        <v>104284</v>
      </c>
      <c r="B3993" s="235" t="str">
        <f>IFERROR(__xludf.DUMMYFUNCTION("""COMPUTED_VALUE"""),"JOMEL BUTIAL")</f>
        <v>JOMEL BUTIAL</v>
      </c>
      <c r="C3993" s="235" t="str">
        <f>IFERROR(__xludf.DUMMYFUNCTION("""COMPUTED_VALUE"""),"PR &amp; MARKETING")</f>
        <v>PR &amp; MARKETING</v>
      </c>
      <c r="D3993" s="196" t="str">
        <f>IFERROR(__xludf.DUMMYFUNCTION("""COMPUTED_VALUE"""),"LET PASSER CONGRATULATORY TARP 1
W= 247.25 H=77.96 INCHES THINCKNESS: 18")</f>
        <v>LET PASSER CONGRATULATORY TARP 1
W= 247.25 H=77.96 INCHES THINCKNESS: 18</v>
      </c>
      <c r="E3993" s="196" t="str">
        <f>IFERROR(__xludf.DUMMYFUNCTION("""COMPUTED_VALUE"""),"EDUCATION MARKETING")</f>
        <v>EDUCATION MARKETING</v>
      </c>
    </row>
    <row r="3994">
      <c r="A3994" s="234">
        <f>IFERROR(__xludf.DUMMYFUNCTION("""COMPUTED_VALUE"""),104285.0)</f>
        <v>104285</v>
      </c>
      <c r="B3994" s="235" t="str">
        <f>IFERROR(__xludf.DUMMYFUNCTION("""COMPUTED_VALUE"""),"CAMILLE GABRIEL")</f>
        <v>CAMILLE GABRIEL</v>
      </c>
      <c r="C3994" s="235" t="str">
        <f>IFERROR(__xludf.DUMMYFUNCTION("""COMPUTED_VALUE"""),"HRMD")</f>
        <v>HRMD</v>
      </c>
      <c r="D3994" s="196" t="str">
        <f>IFERROR(__xludf.DUMMYFUNCTION("""COMPUTED_VALUE"""),"Flower wreath for the father of Sir Christian Tapuro")</f>
        <v>Flower wreath for the father of Sir Christian Tapuro</v>
      </c>
      <c r="E3994" s="196" t="str">
        <f>IFERROR(__xludf.DUMMYFUNCTION("""COMPUTED_VALUE"""),"flower wreath for the father of Sir Christian Tapuro")</f>
        <v>flower wreath for the father of Sir Christian Tapuro</v>
      </c>
    </row>
    <row r="3995">
      <c r="A3995" s="234">
        <f>IFERROR(__xludf.DUMMYFUNCTION("""COMPUTED_VALUE"""),104286.0)</f>
        <v>104286</v>
      </c>
      <c r="B3995" s="235" t="str">
        <f>IFERROR(__xludf.DUMMYFUNCTION("""COMPUTED_VALUE"""),"RENZ BLANCA")</f>
        <v>RENZ BLANCA</v>
      </c>
      <c r="C3995" s="235" t="str">
        <f>IFERROR(__xludf.DUMMYFUNCTION("""COMPUTED_VALUE"""),"MEDICAL")</f>
        <v>MEDICAL</v>
      </c>
      <c r="D3995" s="196" t="str">
        <f>IFERROR(__xludf.DUMMYFUNCTION("""COMPUTED_VALUE"""),"OMRON DIFITAL BP APPARATUS (35-44CM)   1
BAXTEL MANUAL BP APP FOR CHILD 1
BAXTEL MANUAL BP APP FOR + SIZE ADULT (35-44CM CUFF)
PENLIGHT 1
OTOSCOPE (SET)1
PULSE OXIMETER W/ STRIPS 1
LANCETS ROUND 50")</f>
        <v>OMRON DIFITAL BP APPARATUS (35-44CM)   1
BAXTEL MANUAL BP APP FOR CHILD 1
BAXTEL MANUAL BP APP FOR + SIZE ADULT (35-44CM CUFF)
PENLIGHT 1
OTOSCOPE (SET)1
PULSE OXIMETER W/ STRIPS 1
LANCETS ROUND 50</v>
      </c>
      <c r="E3995" s="196" t="str">
        <f>IFERROR(__xludf.DUMMYFUNCTION("""COMPUTED_VALUE"""),"STAR CAMPUS CLINIC EQUIPMENT/ MATERIALS REPLACEMENT/ FIRST AID KIT REPLACEMENT")</f>
        <v>STAR CAMPUS CLINIC EQUIPMENT/ MATERIALS REPLACEMENT/ FIRST AID KIT REPLACEMENT</v>
      </c>
    </row>
    <row r="3996">
      <c r="A3996" s="234">
        <f>IFERROR(__xludf.DUMMYFUNCTION("""COMPUTED_VALUE"""),104287.0)</f>
        <v>104287</v>
      </c>
      <c r="B3996" s="235" t="str">
        <f>IFERROR(__xludf.DUMMYFUNCTION("""COMPUTED_VALUE"""),"MARICEL FLORES")</f>
        <v>MARICEL FLORES</v>
      </c>
      <c r="C3996" s="235" t="str">
        <f>IFERROR(__xludf.DUMMYFUNCTION("""COMPUTED_VALUE"""),"MEDICAL")</f>
        <v>MEDICAL</v>
      </c>
      <c r="D3996" s="196" t="str">
        <f>IFERROR(__xludf.DUMMYFUNCTION("""COMPUTED_VALUE"""),"OMRON DIFITAL BP APPARATUS (35-44CM)   1
BAXTEL MANUAL BP APP FOR CHILD 1
BAXTEL MANUAL BP APP FOR + SIZE ADULT (35-44CM CUFF)
PENLIGHT 2
OTOSCOPE (SET)1
PULSE OXIMETER W/ STRIPS 1
LANCETS ROUND 50
GLUCOMETER W/ STRIPS 1")</f>
        <v>OMRON DIFITAL BP APPARATUS (35-44CM)   1
BAXTEL MANUAL BP APP FOR CHILD 1
BAXTEL MANUAL BP APP FOR + SIZE ADULT (35-44CM CUFF)
PENLIGHT 2
OTOSCOPE (SET)1
PULSE OXIMETER W/ STRIPS 1
LANCETS ROUND 50
GLUCOMETER W/ STRIPS 1</v>
      </c>
      <c r="E3996" s="196" t="str">
        <f>IFERROR(__xludf.DUMMYFUNCTION("""COMPUTED_VALUE"""),"MUNICH CLINIC EQUIPMENT/ MATERIALS REPLACEMENT/ FIRST AID KIT REPLACEMENT")</f>
        <v>MUNICH CLINIC EQUIPMENT/ MATERIALS REPLACEMENT/ FIRST AID KIT REPLACEMENT</v>
      </c>
    </row>
    <row r="3997">
      <c r="A3997" s="234">
        <f>IFERROR(__xludf.DUMMYFUNCTION("""COMPUTED_VALUE"""),104288.0)</f>
        <v>104288</v>
      </c>
      <c r="B3997" s="235" t="str">
        <f>IFERROR(__xludf.DUMMYFUNCTION("""COMPUTED_VALUE"""),"RENZ BLANCA")</f>
        <v>RENZ BLANCA</v>
      </c>
      <c r="C3997" s="235" t="str">
        <f>IFERROR(__xludf.DUMMYFUNCTION("""COMPUTED_VALUE"""),"MEDICAL")</f>
        <v>MEDICAL</v>
      </c>
      <c r="D3997" s="196" t="str">
        <f>IFERROR(__xludf.DUMMYFUNCTION("""COMPUTED_VALUE"""),"BP ANEROID WITH WHEELS, BAXTEL FOR ADULT (XL) 1
OMRON DIFITAL BP APPARATUS (35-44CM)   1
BAXTEL MANUAL BP APP FOR CHILD 1
BAXTEL MANUAL BP APP FOR + SIZE ADULT 2
PENLIGHT 4
OTOSCOPE (SET)1
PULSE OXIMETER W/ STRIPS 3
LANCETS ROUND 50
GLUCOMETER W/ STRIPS 1")</f>
        <v>BP ANEROID WITH WHEELS, BAXTEL FOR ADULT (XL) 1
OMRON DIFITAL BP APPARATUS (35-44CM)   1
BAXTEL MANUAL BP APP FOR CHILD 1
BAXTEL MANUAL BP APP FOR + SIZE ADULT 2
PENLIGHT 4
OTOSCOPE (SET)1
PULSE OXIMETER W/ STRIPS 3
LANCETS ROUND 50
GLUCOMETER W/ STRIPS 1</v>
      </c>
      <c r="E3997" s="196" t="str">
        <f>IFERROR(__xludf.DUMMYFUNCTION("""COMPUTED_VALUE""")," EQUIPMENT/ MATERIALS REPLACEMENT/ FIRST AID KIT SUPPLIES  FOR OUTSIDE THE CAMPUS KITS")</f>
        <v> EQUIPMENT/ MATERIALS REPLACEMENT/ FIRST AID KIT SUPPLIES  FOR OUTSIDE THE CAMPUS KITS</v>
      </c>
    </row>
    <row r="3998">
      <c r="A3998" s="234">
        <f>IFERROR(__xludf.DUMMYFUNCTION("""COMPUTED_VALUE"""),104289.0)</f>
        <v>104289</v>
      </c>
      <c r="B3998" s="235" t="str">
        <f>IFERROR(__xludf.DUMMYFUNCTION("""COMPUTED_VALUE"""),"JOMEL BUTIAL")</f>
        <v>JOMEL BUTIAL</v>
      </c>
      <c r="C3998" s="235" t="str">
        <f>IFERROR(__xludf.DUMMYFUNCTION("""COMPUTED_VALUE"""),"PR &amp; MARKETING")</f>
        <v>PR &amp; MARKETING</v>
      </c>
      <c r="D3998" s="196" t="str">
        <f>IFERROR(__xludf.DUMMYFUNCTION("""COMPUTED_VALUE"""),"MUSIKANTAHAN X-STAND BANNER 4
SIZE: W=2FT H=5FT")</f>
        <v>MUSIKANTAHAN X-STAND BANNER 4
SIZE: W=2FT H=5FT</v>
      </c>
      <c r="E3998" s="196" t="str">
        <f>IFERROR(__xludf.DUMMYFUNCTION("""COMPUTED_VALUE"""),"EVENT MARKETING")</f>
        <v>EVENT MARKETING</v>
      </c>
    </row>
    <row r="3999">
      <c r="A3999" s="234">
        <f>IFERROR(__xludf.DUMMYFUNCTION("""COMPUTED_VALUE"""),104290.0)</f>
        <v>104290</v>
      </c>
      <c r="B3999" s="235" t="str">
        <f>IFERROR(__xludf.DUMMYFUNCTION("""COMPUTED_VALUE"""),"ANGELO PARAS")</f>
        <v>ANGELO PARAS</v>
      </c>
      <c r="C3999" s="235" t="str">
        <f>IFERROR(__xludf.DUMMYFUNCTION("""COMPUTED_VALUE"""),"SCIENCE LAB BASIC ED.")</f>
        <v>SCIENCE LAB BASIC ED.</v>
      </c>
      <c r="D3999" s="196" t="str">
        <f>IFERROR(__xludf.DUMMYFUNCTION("""COMPUTED_VALUE"""),"HYDROGEN PEROXIDE 30% 3L
DISTILLED WATER 20L
DENATURED ALCOHOL 3L
ACETONE 2L
LIQUID HAND SOAP 15BOTTLES
70% ISOPROPHYL DISINFECTANT 10BOTTLES")</f>
        <v>HYDROGEN PEROXIDE 30% 3L
DISTILLED WATER 20L
DENATURED ALCOHOL 3L
ACETONE 2L
LIQUID HAND SOAP 15BOTTLES
70% ISOPROPHYL DISINFECTANT 10BOTTLES</v>
      </c>
      <c r="E3999" s="196" t="str">
        <f>IFERROR(__xludf.DUMMYFUNCTION("""COMPUTED_VALUE"""),"CHEMICALS FOR USE IN SCIENCE LAB")</f>
        <v>CHEMICALS FOR USE IN SCIENCE LAB</v>
      </c>
    </row>
    <row r="4000">
      <c r="A4000" s="234">
        <f>IFERROR(__xludf.DUMMYFUNCTION("""COMPUTED_VALUE"""),104291.0)</f>
        <v>104291</v>
      </c>
      <c r="B4000" s="235" t="str">
        <f>IFERROR(__xludf.DUMMYFUNCTION("""COMPUTED_VALUE"""),"ANGELO PARAS")</f>
        <v>ANGELO PARAS</v>
      </c>
      <c r="C4000" s="235" t="str">
        <f>IFERROR(__xludf.DUMMYFUNCTION("""COMPUTED_VALUE"""),"SCIENCE DEPT.")</f>
        <v>SCIENCE DEPT.</v>
      </c>
      <c r="D4000" s="196" t="str">
        <f>IFERROR(__xludf.DUMMYFUNCTION("""COMPUTED_VALUE"""),"CALIBRATION WEIGHT SET 1KG 1UNIT
MOLECULAR MODEL KIT 2UNITS
PRISM SET 1 UNIT
TAPE MEASURE 10PCS
BEAKER TONGS (WITH RUBBER) 10PCS
RUBBER ASPIRATOR 10PCS
ALUMINUM FOIL 15ROLLS
CLING WRAP 10ROLLS
NITRILE GLOVES, POWDER FREE 10BOXES ")</f>
        <v>CALIBRATION WEIGHT SET 1KG 1UNIT
MOLECULAR MODEL KIT 2UNITS
PRISM SET 1 UNIT
TAPE MEASURE 10PCS
BEAKER TONGS (WITH RUBBER) 10PCS
RUBBER ASPIRATOR 10PCS
ALUMINUM FOIL 15ROLLS
CLING WRAP 10ROLLS
NITRILE GLOVES, POWDER FREE 10BOXES </v>
      </c>
      <c r="E4000" s="196" t="str">
        <f>IFERROR(__xludf.DUMMYFUNCTION("""COMPUTED_VALUE"""),"MATERIALS TO BE USED IN SCIENCE LAB")</f>
        <v>MATERIALS TO BE USED IN SCIENCE LAB</v>
      </c>
    </row>
    <row r="4001">
      <c r="A4001" s="234">
        <f>IFERROR(__xludf.DUMMYFUNCTION("""COMPUTED_VALUE"""),104292.0)</f>
        <v>104292</v>
      </c>
      <c r="B4001" s="235" t="str">
        <f>IFERROR(__xludf.DUMMYFUNCTION("""COMPUTED_VALUE"""),"JESUIT CHRISTIAN GALICIA")</f>
        <v>JESUIT CHRISTIAN GALICIA</v>
      </c>
      <c r="C4001" s="235" t="str">
        <f>IFERROR(__xludf.DUMMYFUNCTION("""COMPUTED_VALUE"""),"AMD")</f>
        <v>AMD</v>
      </c>
      <c r="D4001" s="196" t="str">
        <f>IFERROR(__xludf.DUMMYFUNCTION("""COMPUTED_VALUE"""),"DOOR KNOB (GATEMAN) 40PCS")</f>
        <v>DOOR KNOB (GATEMAN) 40PCS</v>
      </c>
      <c r="E4001" s="196" t="str">
        <f>IFERROR(__xludf.DUMMYFUNCTION("""COMPUTED_VALUE"""),"ENGINEERING WAREHOUSE STOCK REPLENISHMENT")</f>
        <v>ENGINEERING WAREHOUSE STOCK REPLENISHMENT</v>
      </c>
    </row>
    <row r="4002">
      <c r="A4002" s="234">
        <f>IFERROR(__xludf.DUMMYFUNCTION("""COMPUTED_VALUE"""),104293.0)</f>
        <v>104293</v>
      </c>
      <c r="B4002" s="235" t="str">
        <f>IFERROR(__xludf.DUMMYFUNCTION("""COMPUTED_VALUE"""),"MARIE SENIZ C. CALMA ")</f>
        <v>MARIE SENIZ C. CALMA </v>
      </c>
      <c r="C4002" s="235" t="str">
        <f>IFERROR(__xludf.DUMMYFUNCTION("""COMPUTED_VALUE"""),"NURSING")</f>
        <v>NURSING</v>
      </c>
      <c r="D4002" s="196" t="str">
        <f>IFERROR(__xludf.DUMMYFUNCTION("""COMPUTED_VALUE"""),"NURSING PINS ")</f>
        <v>NURSING PINS </v>
      </c>
      <c r="E4002" s="196" t="str">
        <f>IFERROR(__xludf.DUMMYFUNCTION("""COMPUTED_VALUE"""),"BSN2 PINNING AND CANDLE LIGHTNING  CEREMONY")</f>
        <v>BSN2 PINNING AND CANDLE LIGHTNING  CEREMONY</v>
      </c>
    </row>
    <row r="4003">
      <c r="A4003" s="234">
        <f>IFERROR(__xludf.DUMMYFUNCTION("""COMPUTED_VALUE"""),104294.0)</f>
        <v>104294</v>
      </c>
      <c r="B4003" s="235" t="str">
        <f>IFERROR(__xludf.DUMMYFUNCTION("""COMPUTED_VALUE"""),"MARIE SENIZ C. CALMA ")</f>
        <v>MARIE SENIZ C. CALMA </v>
      </c>
      <c r="C4003" s="235" t="str">
        <f>IFERROR(__xludf.DUMMYFUNCTION("""COMPUTED_VALUE"""),"NURSING")</f>
        <v>NURSING</v>
      </c>
      <c r="D4003" s="196" t="str">
        <f>IFERROR(__xludf.DUMMYFUNCTION("""COMPUTED_VALUE"""),"CEREMONIAL LAMPS WITH CANDLES (NON DRIP WHITE CANDLE W/ GREEN RIBBON 95 PCS.
CEREMONIAL CANDLE BIG SHOULD BE FIT THE LAMP IN THE NURSING OFFICE ")</f>
        <v>CEREMONIAL LAMPS WITH CANDLES (NON DRIP WHITE CANDLE W/ GREEN RIBBON 95 PCS.
CEREMONIAL CANDLE BIG SHOULD BE FIT THE LAMP IN THE NURSING OFFICE </v>
      </c>
      <c r="E4003" s="196" t="str">
        <f>IFERROR(__xludf.DUMMYFUNCTION("""COMPUTED_VALUE"""),"BSN2 PINNING AND CANDLE LIGHTNING  CEREMONY")</f>
        <v>BSN2 PINNING AND CANDLE LIGHTNING  CEREMONY</v>
      </c>
    </row>
    <row r="4004">
      <c r="A4004" s="234">
        <f>IFERROR(__xludf.DUMMYFUNCTION("""COMPUTED_VALUE"""),104295.0)</f>
        <v>104295</v>
      </c>
      <c r="B4004" s="235" t="str">
        <f>IFERROR(__xludf.DUMMYFUNCTION("""COMPUTED_VALUE"""),"MARIE SENIZ C. CALMA ")</f>
        <v>MARIE SENIZ C. CALMA </v>
      </c>
      <c r="C4004" s="235" t="str">
        <f>IFERROR(__xludf.DUMMYFUNCTION("""COMPUTED_VALUE"""),"NURSING")</f>
        <v>NURSING</v>
      </c>
      <c r="D4004" s="196" t="str">
        <f>IFERROR(__xludf.DUMMYFUNCTION("""COMPUTED_VALUE"""),"INVITATIONS, 100")</f>
        <v>INVITATIONS, 100</v>
      </c>
      <c r="E4004" s="196" t="str">
        <f>IFERROR(__xludf.DUMMYFUNCTION("""COMPUTED_VALUE"""),"BSN2 PINNING AND CANDLE LIGHTNING  CEREMONY")</f>
        <v>BSN2 PINNING AND CANDLE LIGHTNING  CEREMONY</v>
      </c>
    </row>
    <row r="4005">
      <c r="A4005" s="234">
        <f>IFERROR(__xludf.DUMMYFUNCTION("""COMPUTED_VALUE"""),104296.0)</f>
        <v>104296</v>
      </c>
      <c r="B4005" s="235" t="str">
        <f>IFERROR(__xludf.DUMMYFUNCTION("""COMPUTED_VALUE"""),"MARIE SENIZ C. CALMA ")</f>
        <v>MARIE SENIZ C. CALMA </v>
      </c>
      <c r="C4005" s="235" t="str">
        <f>IFERROR(__xludf.DUMMYFUNCTION("""COMPUTED_VALUE"""),"NURSING")</f>
        <v>NURSING</v>
      </c>
      <c r="D4005" s="196" t="str">
        <f>IFERROR(__xludf.DUMMYFUNCTION("""COMPUTED_VALUE"""),"FLOWERS (QUOTED PRICE/ BUDGET AT 25,000; TO BE PLACED ON THE STAGE ")</f>
        <v>FLOWERS (QUOTED PRICE/ BUDGET AT 25,000; TO BE PLACED ON THE STAGE </v>
      </c>
      <c r="E4005" s="196" t="str">
        <f>IFERROR(__xludf.DUMMYFUNCTION("""COMPUTED_VALUE"""),"BSN2 PINNING AND CANDLE LIGHTNING  CEREMONY")</f>
        <v>BSN2 PINNING AND CANDLE LIGHTNING  CEREMONY</v>
      </c>
    </row>
    <row r="4006">
      <c r="A4006" s="234">
        <f>IFERROR(__xludf.DUMMYFUNCTION("""COMPUTED_VALUE"""),104297.0)</f>
        <v>104297</v>
      </c>
      <c r="B4006" s="235" t="str">
        <f>IFERROR(__xludf.DUMMYFUNCTION("""COMPUTED_VALUE"""),"ALFA DE LEON")</f>
        <v>ALFA DE LEON</v>
      </c>
      <c r="C4006" s="235" t="str">
        <f>IFERROR(__xludf.DUMMYFUNCTION("""COMPUTED_VALUE"""),"ADMIN - MUNICH")</f>
        <v>ADMIN - MUNICH</v>
      </c>
      <c r="D4006" s="196" t="str">
        <f>IFERROR(__xludf.DUMMYFUNCTION("""COMPUTED_VALUE"""),"UREA/ COMPLETE 1 SACK
KUSOT 20SACKS
IPA 20SACKS
FURADAN 10")</f>
        <v>UREA/ COMPLETE 1 SACK
KUSOT 20SACKS
IPA 20SACKS
FURADAN 10</v>
      </c>
      <c r="E4006" s="196" t="str">
        <f>IFERROR(__xludf.DUMMYFUNCTION("""COMPUTED_VALUE"""),"LANDSCAPING")</f>
        <v>LANDSCAPING</v>
      </c>
    </row>
    <row r="4007">
      <c r="A4007" s="234">
        <f>IFERROR(__xludf.DUMMYFUNCTION("""COMPUTED_VALUE"""),104298.0)</f>
        <v>104298</v>
      </c>
      <c r="B4007" s="235" t="str">
        <f>IFERROR(__xludf.DUMMYFUNCTION("""COMPUTED_VALUE"""),"ALFA DE LEON")</f>
        <v>ALFA DE LEON</v>
      </c>
      <c r="C4007" s="235" t="str">
        <f>IFERROR(__xludf.DUMMYFUNCTION("""COMPUTED_VALUE"""),"ADMIN - MUNICH")</f>
        <v>ADMIN - MUNICH</v>
      </c>
      <c r="D4007" s="196" t="str">
        <f>IFERROR(__xludf.DUMMYFUNCTION("""COMPUTED_VALUE"""),"GARDEN SOIL 1")</f>
        <v>GARDEN SOIL 1</v>
      </c>
      <c r="E4007" s="196" t="str">
        <f>IFERROR(__xludf.DUMMYFUNCTION("""COMPUTED_VALUE"""),"LANDSCAPING ")</f>
        <v>LANDSCAPING </v>
      </c>
    </row>
    <row r="4008">
      <c r="A4008" s="234">
        <f>IFERROR(__xludf.DUMMYFUNCTION("""COMPUTED_VALUE"""),104299.0)</f>
        <v>104299</v>
      </c>
      <c r="B4008" s="235" t="str">
        <f>IFERROR(__xludf.DUMMYFUNCTION("""COMPUTED_VALUE"""),"CHRISTIAN ANDRES")</f>
        <v>CHRISTIAN ANDRES</v>
      </c>
      <c r="C4008" s="235" t="str">
        <f>IFERROR(__xludf.DUMMYFUNCTION("""COMPUTED_VALUE"""),"PR &amp; MARKETING")</f>
        <v>PR &amp; MARKETING</v>
      </c>
      <c r="D4008" s="196" t="str">
        <f>IFERROR(__xludf.DUMMYFUNCTION("""COMPUTED_VALUE"""),"EXTERNAL HARD DRIVE 2TB 1
ANDOER ACK E6, DUMMY BATTERY FOR CANON BOD, MUST BE US PLUG 1
7PORT USB HUB 2
MEMORY CARD READER 2")</f>
        <v>EXTERNAL HARD DRIVE 2TB 1
ANDOER ACK E6, DUMMY BATTERY FOR CANON BOD, MUST BE US PLUG 1
7PORT USB HUB 2
MEMORY CARD READER 2</v>
      </c>
      <c r="E4008" s="196" t="str">
        <f>IFERROR(__xludf.DUMMYFUNCTION("""COMPUTED_VALUE"""),"PROMOTIONAL, MARKETING, OPENHOUSE")</f>
        <v>PROMOTIONAL, MARKETING, OPENHOUSE</v>
      </c>
    </row>
    <row r="4009">
      <c r="A4009" s="234">
        <f>IFERROR(__xludf.DUMMYFUNCTION("""COMPUTED_VALUE"""),104300.0)</f>
        <v>104300</v>
      </c>
      <c r="B4009" s="235" t="str">
        <f>IFERROR(__xludf.DUMMYFUNCTION("""COMPUTED_VALUE"""),"CHRISTIAN ANDRES")</f>
        <v>CHRISTIAN ANDRES</v>
      </c>
      <c r="C4009" s="235" t="str">
        <f>IFERROR(__xludf.DUMMYFUNCTION("""COMPUTED_VALUE"""),"PR &amp; MARKETING")</f>
        <v>PR &amp; MARKETING</v>
      </c>
      <c r="D4009" s="196" t="str">
        <f>IFERROR(__xludf.DUMMYFUNCTION("""COMPUTED_VALUE"""),"LUX BIG TARP 54x13FT W/ SEAMING (1)")</f>
        <v>LUX BIG TARP 54x13FT W/ SEAMING (1)</v>
      </c>
      <c r="E4009" s="196" t="str">
        <f>IFERROR(__xludf.DUMMYFUNCTION("""COMPUTED_VALUE"""),"MARKETING, REORDER FADED")</f>
        <v>MARKETING, REORDER FADED</v>
      </c>
    </row>
    <row r="4010">
      <c r="A4010" s="234">
        <f>IFERROR(__xludf.DUMMYFUNCTION("""COMPUTED_VALUE"""),104301.0)</f>
        <v>104301</v>
      </c>
      <c r="B4010" s="235" t="str">
        <f>IFERROR(__xludf.DUMMYFUNCTION("""COMPUTED_VALUE"""),"CHRISTIAN ANDRES")</f>
        <v>CHRISTIAN ANDRES</v>
      </c>
      <c r="C4010" s="235" t="str">
        <f>IFERROR(__xludf.DUMMYFUNCTION("""COMPUTED_VALUE"""),"PR &amp; MARKETING")</f>
        <v>PR &amp; MARKETING</v>
      </c>
      <c r="D4010" s="196" t="str">
        <f>IFERROR(__xludf.DUMMYFUNCTION("""COMPUTED_VALUE"""),"BATANG PINOY TARP  (1)
6.4 x 16.9 FT
W/ SEAMING EYELET ALL OVER BLACK OUT")</f>
        <v>BATANG PINOY TARP  (1)
6.4 x 16.9 FT
W/ SEAMING EYELET ALL OVER BLACK OUT</v>
      </c>
      <c r="E4010" s="196" t="str">
        <f>IFERROR(__xludf.DUMMYFUNCTION("""COMPUTED_VALUE"""),"MARKETING/ PROMOTIONAL")</f>
        <v>MARKETING/ PROMOTIONAL</v>
      </c>
    </row>
    <row r="4011">
      <c r="A4011" s="234">
        <f>IFERROR(__xludf.DUMMYFUNCTION("""COMPUTED_VALUE"""),104302.0)</f>
        <v>104302</v>
      </c>
      <c r="B4011" s="235" t="str">
        <f>IFERROR(__xludf.DUMMYFUNCTION("""COMPUTED_VALUE"""),"LUCILLE BEYER")</f>
        <v>LUCILLE BEYER</v>
      </c>
      <c r="C4011" s="235" t="str">
        <f>IFERROR(__xludf.DUMMYFUNCTION("""COMPUTED_VALUE"""),"MEDICAL")</f>
        <v>MEDICAL</v>
      </c>
      <c r="D4011" s="196" t="str">
        <f>IFERROR(__xludf.DUMMYFUNCTION("""COMPUTED_VALUE"""),"CLINIC MEDICINES AND MATERIALS FOR USE IN 3 CLINICS")</f>
        <v>CLINIC MEDICINES AND MATERIALS FOR USE IN 3 CLINICS</v>
      </c>
      <c r="E4011" s="196" t="str">
        <f>IFERROR(__xludf.DUMMYFUNCTION("""COMPUTED_VALUE"""),"CLINIC MEDICINES AND MATERIALS FOR USE IN 3 CLINICS")</f>
        <v>CLINIC MEDICINES AND MATERIALS FOR USE IN 3 CLINICS</v>
      </c>
    </row>
    <row r="4012">
      <c r="A4012" s="234">
        <f>IFERROR(__xludf.DUMMYFUNCTION("""COMPUTED_VALUE"""),104303.0)</f>
        <v>104303</v>
      </c>
      <c r="B4012" s="235" t="str">
        <f>IFERROR(__xludf.DUMMYFUNCTION("""COMPUTED_VALUE"""),"ALFA DE LEON")</f>
        <v>ALFA DE LEON</v>
      </c>
      <c r="C4012" s="235" t="str">
        <f>IFERROR(__xludf.DUMMYFUNCTION("""COMPUTED_VALUE"""),"ADMIN - MUNICH")</f>
        <v>ADMIN - MUNICH</v>
      </c>
      <c r="D4012" s="196" t="str">
        <f>IFERROR(__xludf.DUMMYFUNCTION("""COMPUTED_VALUE"""),"FIBER GLASS STUDENT CHAIR (AS PER EXISTING SPECS)
RIGHT HANDED GRADE 6 (125)
LEFT HANDED GR 6 (7)
LEFT HANDED G 1 &amp; 2 (8)")</f>
        <v>FIBER GLASS STUDENT CHAIR (AS PER EXISTING SPECS)
RIGHT HANDED GRADE 6 (125)
LEFT HANDED GR 6 (7)
LEFT HANDED G 1 &amp; 2 (8)</v>
      </c>
      <c r="E4012" s="196" t="str">
        <f>IFERROR(__xludf.DUMMYFUNCTION("""COMPUTED_VALUE"""),"ADDITIONAL FOR NEW CLASSROOM")</f>
        <v>ADDITIONAL FOR NEW CLASSROOM</v>
      </c>
    </row>
    <row r="4013">
      <c r="A4013" s="234">
        <f>IFERROR(__xludf.DUMMYFUNCTION("""COMPUTED_VALUE"""),104304.0)</f>
        <v>104304</v>
      </c>
      <c r="B4013" s="235" t="str">
        <f>IFERROR(__xludf.DUMMYFUNCTION("""COMPUTED_VALUE"""),"OWIE PAR")</f>
        <v>OWIE PAR</v>
      </c>
      <c r="C4013" s="235" t="str">
        <f>IFERROR(__xludf.DUMMYFUNCTION("""COMPUTED_VALUE"""),"ADMIN")</f>
        <v>ADMIN</v>
      </c>
      <c r="D4013" s="196" t="str">
        <f>IFERROR(__xludf.DUMMYFUNCTION("""COMPUTED_VALUE"""),"WATER CLOSET ROYAL TERN 3 UNITS
-WEST WING BOYS 3RD FLOOR
- COLLEGE LIBRARY (STAFF)
-COLLEGE SECOND FLOOR GIRLS")</f>
        <v>WATER CLOSET ROYAL TERN 3 UNITS
-WEST WING BOYS 3RD FLOOR
- COLLEGE LIBRARY (STAFF)
-COLLEGE SECOND FLOOR GIRLS</v>
      </c>
      <c r="E4013" s="196" t="str">
        <f>IFERROR(__xludf.DUMMYFUNCTION("""COMPUTED_VALUE"""),"CR'S PREVENTIVE MAINTENANCE")</f>
        <v>CR'S PREVENTIVE MAINTENANCE</v>
      </c>
    </row>
    <row r="4014">
      <c r="A4014" s="234">
        <f>IFERROR(__xludf.DUMMYFUNCTION("""COMPUTED_VALUE"""),104305.0)</f>
        <v>104305</v>
      </c>
      <c r="B4014" s="235" t="str">
        <f>IFERROR(__xludf.DUMMYFUNCTION("""COMPUTED_VALUE"""),"CHARLES DONOR")</f>
        <v>CHARLES DONOR</v>
      </c>
      <c r="C4014" s="235" t="str">
        <f>IFERROR(__xludf.DUMMYFUNCTION("""COMPUTED_VALUE"""),"AMD")</f>
        <v>AMD</v>
      </c>
      <c r="D4014" s="196" t="str">
        <f>IFERROR(__xludf.DUMMYFUNCTION("""COMPUTED_VALUE"""),"Diary, Grade 1 &amp; 2 -272
Diary, Preparatory (Pre-K to SK)-209
Diary, Grade 3-10 Set A Silver September to January-1177
Diary, Grade 3-10 Set B Gold February to July-1199
Diary, SHS Apple Green Linen August to July-363
")</f>
        <v>Diary, Grade 1 &amp; 2 -272
Diary, Preparatory (Pre-K to SK)-209
Diary, Grade 3-10 Set A Silver September to January-1177
Diary, Grade 3-10 Set B Gold February to July-1199
Diary, SHS Apple Green Linen August to July-363
</v>
      </c>
      <c r="E4014" s="196" t="str">
        <f>IFERROR(__xludf.DUMMYFUNCTION("""COMPUTED_VALUE"""),"STUDENT MATERIALS FOR AY 2024-2025")</f>
        <v>STUDENT MATERIALS FOR AY 2024-2025</v>
      </c>
    </row>
    <row r="4015">
      <c r="A4015" s="234">
        <f>IFERROR(__xludf.DUMMYFUNCTION("""COMPUTED_VALUE"""),104306.0)</f>
        <v>104306</v>
      </c>
      <c r="B4015" s="235" t="str">
        <f>IFERROR(__xludf.DUMMYFUNCTION("""COMPUTED_VALUE"""),"CHARLES DONOR")</f>
        <v>CHARLES DONOR</v>
      </c>
      <c r="C4015" s="235" t="str">
        <f>IFERROR(__xludf.DUMMYFUNCTION("""COMPUTED_VALUE"""),"AMD")</f>
        <v>AMD</v>
      </c>
      <c r="D4015" s="196" t="str">
        <f>IFERROR(__xludf.DUMMYFUNCTION("""COMPUTED_VALUE"""),"Notebook, Writing SISC R/B Lines Purple Portrait - 2771
Notebooklet, Writing SISC Landscape Purple - 484
Notebook, High School Mathematics Abstract Small SQ. - 703
Notebook, Grade School Mathematics Abstract Big SQ. - 528
Notebook, Grade School Mathematic"&amp;"s Abstract, Small Sq. - 118
Notebook, High School Composition Purple - 486
Notebook, Grade School Composition SISC Blue Lines Purple - 636
")</f>
        <v>Notebook, Writing SISC R/B Lines Purple Portrait - 2771
Notebooklet, Writing SISC Landscape Purple - 484
Notebook, High School Mathematics Abstract Small SQ. - 703
Notebook, Grade School Mathematics Abstract Big SQ. - 528
Notebook, Grade School Mathematics Abstract, Small Sq. - 118
Notebook, High School Composition Purple - 486
Notebook, Grade School Composition SISC Blue Lines Purple - 636
</v>
      </c>
      <c r="E4015" s="196" t="str">
        <f>IFERROR(__xludf.DUMMYFUNCTION("""COMPUTED_VALUE"""),"STUDENT MATERIALS FOR AY 2024-2025")</f>
        <v>STUDENT MATERIALS FOR AY 2024-2025</v>
      </c>
    </row>
    <row r="4016">
      <c r="A4016" s="234">
        <f>IFERROR(__xludf.DUMMYFUNCTION("""COMPUTED_VALUE"""),104307.0)</f>
        <v>104307</v>
      </c>
      <c r="B4016" s="235" t="str">
        <f>IFERROR(__xludf.DUMMYFUNCTION("""COMPUTED_VALUE"""),"CHARLES DONOR")</f>
        <v>CHARLES DONOR</v>
      </c>
      <c r="C4016" s="235" t="str">
        <f>IFERROR(__xludf.DUMMYFUNCTION("""COMPUTED_VALUE"""),"AMD")</f>
        <v>AMD</v>
      </c>
      <c r="D4016" s="196" t="str">
        <f>IFERROR(__xludf.DUMMYFUNCTION("""COMPUTED_VALUE"""),"Beads with big hole - 173
Paper, Best Buy Colored Assorted 9”x11” - 1053
Box of Color Poster Paints - Mightee Brilliant 20ML 12's - 107
")</f>
        <v>Beads with big hole - 173
Paper, Best Buy Colored Assorted 9”x11” - 1053
Box of Color Poster Paints - Mightee Brilliant 20ML 12's - 107
</v>
      </c>
      <c r="E4016" s="196" t="str">
        <f>IFERROR(__xludf.DUMMYFUNCTION("""COMPUTED_VALUE"""),"STUDENT MATERIALS FOR AY 2024-2025")</f>
        <v>STUDENT MATERIALS FOR AY 2024-2025</v>
      </c>
    </row>
    <row r="4017">
      <c r="A4017" s="234">
        <f>IFERROR(__xludf.DUMMYFUNCTION("""COMPUTED_VALUE"""),104308.0)</f>
        <v>104308</v>
      </c>
      <c r="B4017" s="235" t="str">
        <f>IFERROR(__xludf.DUMMYFUNCTION("""COMPUTED_VALUE"""),"CHARLES DONOR")</f>
        <v>CHARLES DONOR</v>
      </c>
      <c r="C4017" s="235" t="str">
        <f>IFERROR(__xludf.DUMMYFUNCTION("""COMPUTED_VALUE"""),"AMD")</f>
        <v>AMD</v>
      </c>
      <c r="D4017" s="196" t="str">
        <f>IFERROR(__xludf.DUMMYFUNCTION("""COMPUTED_VALUE"""),"Scissors, Students 5', Maped - 887
Popsicle Stick, pack (100 sticks) - 191
")</f>
        <v>Scissors, Students 5', Maped - 887
Popsicle Stick, pack (100 sticks) - 191
</v>
      </c>
      <c r="E4017" s="196" t="str">
        <f>IFERROR(__xludf.DUMMYFUNCTION("""COMPUTED_VALUE"""),"STUDENT MATERIALS FOR AY 2024-2025")</f>
        <v>STUDENT MATERIALS FOR AY 2024-2025</v>
      </c>
    </row>
    <row r="4018">
      <c r="A4018" s="234">
        <f>IFERROR(__xludf.DUMMYFUNCTION("""COMPUTED_VALUE"""),104309.0)</f>
        <v>104309</v>
      </c>
      <c r="B4018" s="235" t="str">
        <f>IFERROR(__xludf.DUMMYFUNCTION("""COMPUTED_VALUE"""),"CHARLES DONOR")</f>
        <v>CHARLES DONOR</v>
      </c>
      <c r="C4018" s="235" t="str">
        <f>IFERROR(__xludf.DUMMYFUNCTION("""COMPUTED_VALUE"""),"AMD")</f>
        <v>AMD</v>
      </c>
      <c r="D4018" s="196" t="str">
        <f>IFERROR(__xludf.DUMMYFUNCTION("""COMPUTED_VALUE"""),"GLUE, ELMER'S 130 SKIT 812
MAP, WORLD (BIG) POLITICAL 343 - DELIVERED
MARKER, PILOT PERMANENT FINE BLACK 580
MARKER, WHITEBOARD- PILOT BLACK 383
PAD PAPER, FORTUNE QUIZ PAD WHOLE, INTERMEDIATE (80LEAVES) 527
PAPER, OSLO (DRAWING) FORTUNE 1247
PAPER, CONST"&amp;"RUCTION-ASSTD COLOR (20PCS) 1772
PAPER, BOOK LONG 20/PK584
PAPER, WATERCOLOR PAPER CANSON A4 (10PCS/PACKS) 199 - DELIVERED")</f>
        <v>GLUE, ELMER'S 130 SKIT 812
MAP, WORLD (BIG) POLITICAL 343 - DELIVERED
MARKER, PILOT PERMANENT FINE BLACK 580
MARKER, WHITEBOARD- PILOT BLACK 383
PAD PAPER, FORTUNE QUIZ PAD WHOLE, INTERMEDIATE (80LEAVES) 527
PAPER, OSLO (DRAWING) FORTUNE 1247
PAPER, CONSTRUCTION-ASSTD COLOR (20PCS) 1772
PAPER, BOOK LONG 20/PK584
PAPER, WATERCOLOR PAPER CANSON A4 (10PCS/PACKS) 199 - DELIVERED</v>
      </c>
      <c r="E4018" s="196" t="str">
        <f>IFERROR(__xludf.DUMMYFUNCTION("""COMPUTED_VALUE"""),"STUDENT MATERIALS FOR AY 2024-2025")</f>
        <v>STUDENT MATERIALS FOR AY 2024-2025</v>
      </c>
    </row>
    <row r="4019">
      <c r="A4019" s="234">
        <f>IFERROR(__xludf.DUMMYFUNCTION("""COMPUTED_VALUE"""),104310.0)</f>
        <v>104310</v>
      </c>
      <c r="B4019" s="235" t="str">
        <f>IFERROR(__xludf.DUMMYFUNCTION("""COMPUTED_VALUE"""),"CHARLES DONOR")</f>
        <v>CHARLES DONOR</v>
      </c>
      <c r="C4019" s="235" t="str">
        <f>IFERROR(__xludf.DUMMYFUNCTION("""COMPUTED_VALUE"""),"AMD")</f>
        <v>AMD</v>
      </c>
      <c r="D4019" s="196" t="str">
        <f>IFERROR(__xludf.DUMMYFUNCTION("""COMPUTED_VALUE"""),"Paper bond, 8.5""x11"" 50/pk - 2778
Pencil, Colored (12's) Li'l Hands- 986
Ballpen, HBW Ballpoint Stick 2000 Black Fine-100 
Periodic Table of Elements, Big-151
Ruler, Plastic - Faber Castle 12”-561
Ruler, Plastic- Orion-682
Ruler, Protractor-Orion-177
Sk"&amp;"etch Book, 9x12-141
Eraser, Maped (Big)-454
Fastener, Plastic Coated - Prince (SKIT)-5628
")</f>
        <v>Paper bond, 8.5"x11" 50/pk - 2778
Pencil, Colored (12's) Li'l Hands- 986
Ballpen, HBW Ballpoint Stick 2000 Black Fine-100 
Periodic Table of Elements, Big-151
Ruler, Plastic - Faber Castle 12”-561
Ruler, Plastic- Orion-682
Ruler, Protractor-Orion-177
Sketch Book, 9x12-141
Eraser, Maped (Big)-454
Fastener, Plastic Coated - Prince (SKIT)-5628
</v>
      </c>
      <c r="E4019" s="196" t="str">
        <f>IFERROR(__xludf.DUMMYFUNCTION("""COMPUTED_VALUE"""),"STUDENT MATERIALS FOR AY 2024-2025")</f>
        <v>STUDENT MATERIALS FOR AY 2024-2025</v>
      </c>
    </row>
    <row r="4020">
      <c r="A4020" s="234">
        <f>IFERROR(__xludf.DUMMYFUNCTION("""COMPUTED_VALUE"""),104311.0)</f>
        <v>104311</v>
      </c>
      <c r="B4020" s="235" t="str">
        <f>IFERROR(__xludf.DUMMYFUNCTION("""COMPUTED_VALUE"""),"CHARLES DONOR")</f>
        <v>CHARLES DONOR</v>
      </c>
      <c r="C4020" s="235" t="str">
        <f>IFERROR(__xludf.DUMMYFUNCTION("""COMPUTED_VALUE"""),"AMD")</f>
        <v>AMD</v>
      </c>
      <c r="D4020" s="196" t="str">
        <f>IFERROR(__xludf.DUMMYFUNCTION("""COMPUTED_VALUE"""),"TISSUE, ROLL BATH 2PLY (SANICARE) 600 ROLLS
")</f>
        <v>TISSUE, ROLL BATH 2PLY (SANICARE) 600 ROLLS
</v>
      </c>
      <c r="E4020" s="196" t="str">
        <f>IFERROR(__xludf.DUMMYFUNCTION("""COMPUTED_VALUE"""),"OSSUP- STOCK REPLENISHMENT")</f>
        <v>OSSUP- STOCK REPLENISHMENT</v>
      </c>
    </row>
    <row r="4021">
      <c r="A4021" s="234">
        <f>IFERROR(__xludf.DUMMYFUNCTION("""COMPUTED_VALUE"""),104312.0)</f>
        <v>104312</v>
      </c>
      <c r="B4021" s="235" t="str">
        <f>IFERROR(__xludf.DUMMYFUNCTION("""COMPUTED_VALUE"""),"CHARLES DONOR")</f>
        <v>CHARLES DONOR</v>
      </c>
      <c r="C4021" s="235" t="str">
        <f>IFERROR(__xludf.DUMMYFUNCTION("""COMPUTED_VALUE"""),"AMD")</f>
        <v>AMD</v>
      </c>
      <c r="D4021" s="196" t="str">
        <f>IFERROR(__xludf.DUMMYFUNCTION("""COMPUTED_VALUE"""),"TAPE, SCOTH 3M (1"") 400PCS
TAPE, 3M MASKING TAPE BIG (1"") 988 PCS")</f>
        <v>TAPE, SCOTH 3M (1") 400PCS
TAPE, 3M MASKING TAPE BIG (1") 988 PCS</v>
      </c>
      <c r="E4021" s="196" t="str">
        <f>IFERROR(__xludf.DUMMYFUNCTION("""COMPUTED_VALUE"""),"OSSUP- STOCK REPLENISHMENT")</f>
        <v>OSSUP- STOCK REPLENISHMENT</v>
      </c>
    </row>
    <row r="4022">
      <c r="A4022" s="234">
        <f>IFERROR(__xludf.DUMMYFUNCTION("""COMPUTED_VALUE"""),104313.0)</f>
        <v>104313</v>
      </c>
      <c r="B4022" s="235" t="str">
        <f>IFERROR(__xludf.DUMMYFUNCTION("""COMPUTED_VALUE"""),"CHARLES DONOR")</f>
        <v>CHARLES DONOR</v>
      </c>
      <c r="C4022" s="235" t="str">
        <f>IFERROR(__xludf.DUMMYFUNCTION("""COMPUTED_VALUE"""),"ADM")</f>
        <v>ADM</v>
      </c>
      <c r="D4022" s="196" t="str">
        <f>IFERROR(__xludf.DUMMYFUNCTION("""COMPUTED_VALUE"""),"BALLPEN, PANDA BLACK 750PCS
PEN, SIGN-PILOT BX-V5 BLACK")</f>
        <v>BALLPEN, PANDA BLACK 750PCS
PEN, SIGN-PILOT BX-V5 BLACK</v>
      </c>
      <c r="E4022" s="196" t="str">
        <f>IFERROR(__xludf.DUMMYFUNCTION("""COMPUTED_VALUE"""),"OSSUP-STOCK REPLENISHMENT ")</f>
        <v>OSSUP-STOCK REPLENISHMENT </v>
      </c>
    </row>
    <row r="4023">
      <c r="A4023" s="234">
        <f>IFERROR(__xludf.DUMMYFUNCTION("""COMPUTED_VALUE"""),104314.0)</f>
        <v>104314</v>
      </c>
      <c r="B4023" s="235" t="str">
        <f>IFERROR(__xludf.DUMMYFUNCTION("""COMPUTED_VALUE"""),"CHARLES DONOR")</f>
        <v>CHARLES DONOR</v>
      </c>
      <c r="C4023" s="235" t="str">
        <f>IFERROR(__xludf.DUMMYFUNCTION("""COMPUTED_VALUE"""),"AMD")</f>
        <v>AMD</v>
      </c>
      <c r="D4023" s="196" t="str">
        <f>IFERROR(__xludf.DUMMYFUNCTION("""COMPUTED_VALUE"""),"Envelope, leather SISC Long w/handle (purple)
Envelope, leather SISC long w/ Handle navy blue
")</f>
        <v>Envelope, leather SISC Long w/handle (purple)
Envelope, leather SISC long w/ Handle navy blue
</v>
      </c>
      <c r="E4023" s="196" t="str">
        <f>IFERROR(__xludf.DUMMYFUNCTION("""COMPUTED_VALUE"""),"OSSUP-STOCK REPLENISHMENT ")</f>
        <v>OSSUP-STOCK REPLENISHMENT </v>
      </c>
    </row>
    <row r="4024">
      <c r="A4024" s="234">
        <f>IFERROR(__xludf.DUMMYFUNCTION("""COMPUTED_VALUE"""),104315.0)</f>
        <v>104315</v>
      </c>
      <c r="B4024" s="235" t="str">
        <f>IFERROR(__xludf.DUMMYFUNCTION("""COMPUTED_VALUE"""),"SHEREE ESPINOSA")</f>
        <v>SHEREE ESPINOSA</v>
      </c>
      <c r="C4024" s="235" t="str">
        <f>IFERROR(__xludf.DUMMYFUNCTION("""COMPUTED_VALUE"""),"ADMIN")</f>
        <v>ADMIN</v>
      </c>
      <c r="D4024" s="196" t="str">
        <f>IFERROR(__xludf.DUMMYFUNCTION("""COMPUTED_VALUE"""),"FRAMES (ASSORTED DESIGN) 19PCS")</f>
        <v>FRAMES (ASSORTED DESIGN) 19PCS</v>
      </c>
      <c r="E4024" s="196" t="str">
        <f>IFERROR(__xludf.DUMMYFUNCTION("""COMPUTED_VALUE"""),"FOR CRS (LUX)")</f>
        <v>FOR CRS (LUX)</v>
      </c>
    </row>
    <row r="4025">
      <c r="A4025" s="234">
        <f>IFERROR(__xludf.DUMMYFUNCTION("""COMPUTED_VALUE"""),104316.0)</f>
        <v>104316</v>
      </c>
      <c r="B4025" s="235" t="str">
        <f>IFERROR(__xludf.DUMMYFUNCTION("""COMPUTED_VALUE"""),"SHEREE ESPINOSA")</f>
        <v>SHEREE ESPINOSA</v>
      </c>
      <c r="C4025" s="235" t="str">
        <f>IFERROR(__xludf.DUMMYFUNCTION("""COMPUTED_VALUE"""),"ADMIN")</f>
        <v>ADMIN</v>
      </c>
      <c r="D4025" s="196" t="str">
        <f>IFERROR(__xludf.DUMMYFUNCTION("""COMPUTED_VALUE"""),"TOILET BOWL 5PCS
3F TROP GIRLS
LIBRARY STAFF
2F COLLEGE GIRLS
3F LUX BOYS")</f>
        <v>TOILET BOWL 5PCS
3F TROP GIRLS
LIBRARY STAFF
2F COLLEGE GIRLS
3F LUX BOYS</v>
      </c>
      <c r="E4025" s="196" t="str">
        <f>IFERROR(__xludf.DUMMYFUNCTION("""COMPUTED_VALUE"""),"REPLACEMENT FOR BROKEN TOILET BOWL")</f>
        <v>REPLACEMENT FOR BROKEN TOILET BOWL</v>
      </c>
    </row>
    <row r="4026">
      <c r="A4026" s="234">
        <f>IFERROR(__xludf.DUMMYFUNCTION("""COMPUTED_VALUE"""),104317.0)</f>
        <v>104317</v>
      </c>
      <c r="B4026" s="235" t="str">
        <f>IFERROR(__xludf.DUMMYFUNCTION("""COMPUTED_VALUE"""),"JOMEL BUTIAL")</f>
        <v>JOMEL BUTIAL</v>
      </c>
      <c r="C4026" s="235" t="str">
        <f>IFERROR(__xludf.DUMMYFUNCTION("""COMPUTED_VALUE"""),"PR &amp; MARKETING")</f>
        <v>PR &amp; MARKETING</v>
      </c>
      <c r="D4026" s="196" t="str">
        <f>IFERROR(__xludf.DUMMYFUNCTION("""COMPUTED_VALUE"""),"MUSIKANTAHAN TROPICAL TARP (1)
SIZE W= 157.56 INCHES H= 78INCHES THICKNESS 18")</f>
        <v>MUSIKANTAHAN TROPICAL TARP (1)
SIZE W= 157.56 INCHES H= 78INCHES THICKNESS 18</v>
      </c>
      <c r="E4026" s="196" t="str">
        <f>IFERROR(__xludf.DUMMYFUNCTION("""COMPUTED_VALUE"""),"MUSIKANTAHAN MARKETING")</f>
        <v>MUSIKANTAHAN MARKETING</v>
      </c>
    </row>
    <row r="4027">
      <c r="A4027" s="234">
        <f>IFERROR(__xludf.DUMMYFUNCTION("""COMPUTED_VALUE"""),104318.0)</f>
        <v>104318</v>
      </c>
      <c r="B4027" s="235" t="str">
        <f>IFERROR(__xludf.DUMMYFUNCTION("""COMPUTED_VALUE"""),"OWIE PAR")</f>
        <v>OWIE PAR</v>
      </c>
      <c r="C4027" s="235" t="str">
        <f>IFERROR(__xludf.DUMMYFUNCTION("""COMPUTED_VALUE"""),"ENGINEERING")</f>
        <v>ENGINEERING</v>
      </c>
      <c r="D4027" s="196" t="str">
        <f>IFERROR(__xludf.DUMMYFUNCTION("""COMPUTED_VALUE"""),"SQUARE BAR #12MM 10PCS
EPOXY PRIMETER (SPHERO) 1 GAL
ODE WHITE 1 GAL
WELDING ROD 2KGS")</f>
        <v>SQUARE BAR #12MM 10PCS
EPOXY PRIMETER (SPHERO) 1 GAL
ODE WHITE 1 GAL
WELDING ROD 2KGS</v>
      </c>
      <c r="E4027" s="196" t="str">
        <f>IFERROR(__xludf.DUMMYFUNCTION("""COMPUTED_VALUE"""),"FOR MUNICH IMPROVEMENTS AND REPAINTING OF LADDER TO ROOF DECK")</f>
        <v>FOR MUNICH IMPROVEMENTS AND REPAINTING OF LADDER TO ROOF DECK</v>
      </c>
    </row>
    <row r="4028">
      <c r="A4028" s="234">
        <f>IFERROR(__xludf.DUMMYFUNCTION("""COMPUTED_VALUE"""),104319.0)</f>
        <v>104319</v>
      </c>
      <c r="B4028" s="235" t="str">
        <f>IFERROR(__xludf.DUMMYFUNCTION("""COMPUTED_VALUE"""),"OWIE PAR")</f>
        <v>OWIE PAR</v>
      </c>
      <c r="C4028" s="235" t="str">
        <f>IFERROR(__xludf.DUMMYFUNCTION("""COMPUTED_VALUE"""),"ENGINEERING")</f>
        <v>ENGINEERING</v>
      </c>
      <c r="D4028" s="196" t="str">
        <f>IFERROR(__xludf.DUMMYFUNCTION("""COMPUTED_VALUE"""),"HARDIFLEX # 1/4  4 x 8")</f>
        <v>HARDIFLEX # 1/4  4 x 8</v>
      </c>
      <c r="E4028" s="196" t="str">
        <f>IFERROR(__xludf.DUMMYFUNCTION("""COMPUTED_VALUE"""),"FOR MUNICH 303, 305, 306, REPAIR OF CELING")</f>
        <v>FOR MUNICH 303, 305, 306, REPAIR OF CELING</v>
      </c>
    </row>
    <row r="4029">
      <c r="A4029" s="234">
        <f>IFERROR(__xludf.DUMMYFUNCTION("""COMPUTED_VALUE"""),104320.0)</f>
        <v>104320</v>
      </c>
      <c r="B4029" s="235" t="str">
        <f>IFERROR(__xludf.DUMMYFUNCTION("""COMPUTED_VALUE"""),"LESLIE DELA CRUZ")</f>
        <v>LESLIE DELA CRUZ</v>
      </c>
      <c r="C4029" s="235" t="str">
        <f>IFERROR(__xludf.DUMMYFUNCTION("""COMPUTED_VALUE"""),"DP MUNICH")</f>
        <v>DP MUNICH</v>
      </c>
      <c r="D4029" s="196" t="str">
        <f>IFERROR(__xludf.DUMMYFUNCTION("""COMPUTED_VALUE"""),"INTRAMS SHIRTS : faculty shirt 33, grade 3- 81, grade 4 - 73, grade 5-89, grade 6 - 20")</f>
        <v>INTRAMS SHIRTS : faculty shirt 33, grade 3- 81, grade 4 - 73, grade 5-89, grade 6 - 20</v>
      </c>
      <c r="E4029" s="196" t="str">
        <f>IFERROR(__xludf.DUMMYFUNCTION("""COMPUTED_VALUE"""),"INTRAMS SHIRTS ")</f>
        <v>INTRAMS SHIRTS </v>
      </c>
    </row>
    <row r="4030">
      <c r="A4030" s="234">
        <f>IFERROR(__xludf.DUMMYFUNCTION("""COMPUTED_VALUE"""),104321.0)</f>
        <v>104321</v>
      </c>
      <c r="B4030" s="235" t="str">
        <f>IFERROR(__xludf.DUMMYFUNCTION("""COMPUTED_VALUE"""),"OWIE PAR")</f>
        <v>OWIE PAR</v>
      </c>
      <c r="C4030" s="235" t="str">
        <f>IFERROR(__xludf.DUMMYFUNCTION("""COMPUTED_VALUE"""),"ENGINEERING")</f>
        <v>ENGINEERING</v>
      </c>
      <c r="D4030" s="196" t="str">
        <f>IFERROR(__xludf.DUMMYFUNCTION("""COMPUTED_VALUE"""),"LED LIGHGTS 4 SETS")</f>
        <v>LED LIGHGTS 4 SETS</v>
      </c>
      <c r="E4030" s="196" t="str">
        <f>IFERROR(__xludf.DUMMYFUNCTION("""COMPUTED_VALUE"""),"FOR TORIC 1")</f>
        <v>FOR TORIC 1</v>
      </c>
    </row>
    <row r="4031">
      <c r="A4031" s="234">
        <f>IFERROR(__xludf.DUMMYFUNCTION("""COMPUTED_VALUE"""),104322.0)</f>
        <v>104322</v>
      </c>
      <c r="B4031" s="235" t="str">
        <f>IFERROR(__xludf.DUMMYFUNCTION("""COMPUTED_VALUE"""),"ELMIE LAUDIATO")</f>
        <v>ELMIE LAUDIATO</v>
      </c>
      <c r="C4031" s="235" t="str">
        <f>IFERROR(__xludf.DUMMYFUNCTION("""COMPUTED_VALUE"""),"HRMD")</f>
        <v>HRMD</v>
      </c>
      <c r="D4031" s="196" t="str">
        <f>IFERROR(__xludf.DUMMYFUNCTION("""COMPUTED_VALUE"""),"BED MALE UNIFORM 
-SHORT SLEEVE: 15
-LONG SLEEVE: 20
NTE MALE UNIFORM: SHORT SLEEVE 8
LONG SLEEVE 14
COLLEGE: LONG SLEEVE 6
SHORT SLEEVE: 1")</f>
        <v>BED MALE UNIFORM 
-SHORT SLEEVE: 15
-LONG SLEEVE: 20
NTE MALE UNIFORM: SHORT SLEEVE 8
LONG SLEEVE 14
COLLEGE: LONG SLEEVE 6
SHORT SLEEVE: 1</v>
      </c>
      <c r="E4031" s="196" t="str">
        <f>IFERROR(__xludf.DUMMYFUNCTION("""COMPUTED_VALUE"""),"AY 23-24 UNIFORM TAILORING SERVICES (OUTSOURCE)")</f>
        <v>AY 23-24 UNIFORM TAILORING SERVICES (OUTSOURCE)</v>
      </c>
    </row>
    <row r="4032">
      <c r="A4032" s="234">
        <f>IFERROR(__xludf.DUMMYFUNCTION("""COMPUTED_VALUE"""),104323.0)</f>
        <v>104323</v>
      </c>
      <c r="B4032" s="235" t="str">
        <f>IFERROR(__xludf.DUMMYFUNCTION("""COMPUTED_VALUE"""),"OWIE PAR")</f>
        <v>OWIE PAR</v>
      </c>
      <c r="C4032" s="235" t="str">
        <f>IFERROR(__xludf.DUMMYFUNCTION("""COMPUTED_VALUE"""),"ADMIN")</f>
        <v>ADMIN</v>
      </c>
      <c r="D4032" s="196" t="str">
        <f>IFERROR(__xludf.DUMMYFUNCTION("""COMPUTED_VALUE"""),"EXHAUST FAN CEILING TYPE 12 x 12 2PIECES")</f>
        <v>EXHAUST FAN CEILING TYPE 12 x 12 2PIECES</v>
      </c>
      <c r="E4032" s="196" t="str">
        <f>IFERROR(__xludf.DUMMYFUNCTION("""COMPUTED_VALUE"""),"EXHAUST FAN FOR CHEMICAL STORAGE AT COLLEGE BUILDING")</f>
        <v>EXHAUST FAN FOR CHEMICAL STORAGE AT COLLEGE BUILDING</v>
      </c>
    </row>
    <row r="4033">
      <c r="A4033" s="234">
        <f>IFERROR(__xludf.DUMMYFUNCTION("""COMPUTED_VALUE"""),104324.0)</f>
        <v>104324</v>
      </c>
      <c r="B4033" s="235" t="str">
        <f>IFERROR(__xludf.DUMMYFUNCTION("""COMPUTED_VALUE"""),"CHRISTIAN ANDRES")</f>
        <v>CHRISTIAN ANDRES</v>
      </c>
      <c r="C4033" s="235" t="str">
        <f>IFERROR(__xludf.DUMMYFUNCTION("""COMPUTED_VALUE"""),"PR &amp; MARKETING")</f>
        <v>PR &amp; MARKETING</v>
      </c>
      <c r="D4033" s="196" t="str">
        <f>IFERROR(__xludf.DUMMYFUNCTION("""COMPUTED_VALUE"""),"PARKING LOT BIG TARP 13x78FT")</f>
        <v>PARKING LOT BIG TARP 13x78FT</v>
      </c>
      <c r="E4033" s="196" t="str">
        <f>IFERROR(__xludf.DUMMYFUNCTION("""COMPUTED_VALUE"""),"MARKETING/ PROMOTIONAL")</f>
        <v>MARKETING/ PROMOTIONAL</v>
      </c>
    </row>
    <row r="4034">
      <c r="A4034" s="234">
        <f>IFERROR(__xludf.DUMMYFUNCTION("""COMPUTED_VALUE"""),104325.0)</f>
        <v>104325</v>
      </c>
      <c r="B4034" s="235" t="str">
        <f>IFERROR(__xludf.DUMMYFUNCTION("""COMPUTED_VALUE"""),"SHEREE ESPINOSA")</f>
        <v>SHEREE ESPINOSA</v>
      </c>
      <c r="C4034" s="235" t="str">
        <f>IFERROR(__xludf.DUMMYFUNCTION("""COMPUTED_VALUE"""),"ADMIN")</f>
        <v>ADMIN</v>
      </c>
      <c r="D4034" s="196" t="str">
        <f>IFERROR(__xludf.DUMMYFUNCTION("""COMPUTED_VALUE"""),"ROOF GUARD BOYSEN 10TIN
BABY ROLLER 10PCS
PAINT BRUSH #2 10PCS
ROLLER (FOAM) #7 5PCS
SANDING PAPER 5 METERS
VULCASEAL 5 LITERS
T SCREW 1000PCS")</f>
        <v>ROOF GUARD BOYSEN 10TIN
BABY ROLLER 10PCS
PAINT BRUSH #2 10PCS
ROLLER (FOAM) #7 5PCS
SANDING PAPER 5 METERS
VULCASEAL 5 LITERS
T SCREW 1000PCS</v>
      </c>
      <c r="E4034" s="196" t="str">
        <f>IFERROR(__xludf.DUMMYFUNCTION("""COMPUTED_VALUE"""),"PREVENTIVE MAINTENANCE (SEALING OF ROOF) COLLEGE BUILDING")</f>
        <v>PREVENTIVE MAINTENANCE (SEALING OF ROOF) COLLEGE BUILDING</v>
      </c>
    </row>
    <row r="4035">
      <c r="A4035" s="234">
        <f>IFERROR(__xludf.DUMMYFUNCTION("""COMPUTED_VALUE"""),104326.0)</f>
        <v>104326</v>
      </c>
      <c r="B4035" s="235" t="str">
        <f>IFERROR(__xludf.DUMMYFUNCTION("""COMPUTED_VALUE"""),"SHEREE ESPINOSA")</f>
        <v>SHEREE ESPINOSA</v>
      </c>
      <c r="C4035" s="235" t="str">
        <f>IFERROR(__xludf.DUMMYFUNCTION("""COMPUTED_VALUE"""),"ADMIN")</f>
        <v>ADMIN</v>
      </c>
      <c r="D4035" s="196" t="str">
        <f>IFERROR(__xludf.DUMMYFUNCTION("""COMPUTED_VALUE"""),"ROOF GUARD BOYSEN 5TIN
BABY ROLLER 5PCS
PAINT BRUSH #2 5PCS
VULCASEAL 2 LITERS")</f>
        <v>ROOF GUARD BOYSEN 5TIN
BABY ROLLER 5PCS
PAINT BRUSH #2 5PCS
VULCASEAL 2 LITERS</v>
      </c>
      <c r="E4035" s="196" t="str">
        <f>IFERROR(__xludf.DUMMYFUNCTION("""COMPUTED_VALUE"""),"PREVENTIVE MAINTENANCE MONARCHS GYM")</f>
        <v>PREVENTIVE MAINTENANCE MONARCHS GYM</v>
      </c>
    </row>
    <row r="4036">
      <c r="A4036" s="234">
        <f>IFERROR(__xludf.DUMMYFUNCTION("""COMPUTED_VALUE"""),104327.0)</f>
        <v>104327</v>
      </c>
      <c r="B4036" s="235" t="str">
        <f>IFERROR(__xludf.DUMMYFUNCTION("""COMPUTED_VALUE"""),"CHARLES DONOR")</f>
        <v>CHARLES DONOR</v>
      </c>
      <c r="C4036" s="235" t="str">
        <f>IFERROR(__xludf.DUMMYFUNCTION("""COMPUTED_VALUE"""),"AMD")</f>
        <v>AMD</v>
      </c>
      <c r="D4036" s="196" t="str">
        <f>IFERROR(__xludf.DUMMYFUNCTION("""COMPUTED_VALUE"""),"TOWEL, HAND-GOOD MORNING 360PCS")</f>
        <v>TOWEL, HAND-GOOD MORNING 360PCS</v>
      </c>
      <c r="E4036" s="196" t="str">
        <f>IFERROR(__xludf.DUMMYFUNCTION("""COMPUTED_VALUE"""),"OSSUP-STOCK REPLENISHMENT ")</f>
        <v>OSSUP-STOCK REPLENISHMENT </v>
      </c>
    </row>
    <row r="4037">
      <c r="A4037" s="234">
        <f>IFERROR(__xludf.DUMMYFUNCTION("""COMPUTED_VALUE"""),104328.0)</f>
        <v>104328</v>
      </c>
      <c r="B4037" s="235" t="str">
        <f>IFERROR(__xludf.DUMMYFUNCTION("""COMPUTED_VALUE"""),"BRIAN PATAG")</f>
        <v>BRIAN PATAG</v>
      </c>
      <c r="C4037" s="235" t="str">
        <f>IFERROR(__xludf.DUMMYFUNCTION("""COMPUTED_VALUE"""),"AMD")</f>
        <v>AMD</v>
      </c>
      <c r="D4037" s="196" t="str">
        <f>IFERROR(__xludf.DUMMYFUNCTION("""COMPUTED_VALUE"""),"RUBBER GLOVES 100")</f>
        <v>RUBBER GLOVES 100</v>
      </c>
      <c r="E4037" s="196" t="str">
        <f>IFERROR(__xludf.DUMMYFUNCTION("""COMPUTED_VALUE"""),"HOUSEKEEPING REPLENISHMENT")</f>
        <v>HOUSEKEEPING REPLENISHMENT</v>
      </c>
    </row>
    <row r="4038">
      <c r="A4038" s="234">
        <f>IFERROR(__xludf.DUMMYFUNCTION("""COMPUTED_VALUE"""),104329.0)</f>
        <v>104329</v>
      </c>
      <c r="B4038" s="235" t="str">
        <f>IFERROR(__xludf.DUMMYFUNCTION("""COMPUTED_VALUE"""),"BRIAN PATAG")</f>
        <v>BRIAN PATAG</v>
      </c>
      <c r="C4038" s="235" t="str">
        <f>IFERROR(__xludf.DUMMYFUNCTION("""COMPUTED_VALUE"""),"AMD")</f>
        <v>AMD</v>
      </c>
      <c r="D4038" s="196" t="str">
        <f>IFERROR(__xludf.DUMMYFUNCTION("""COMPUTED_VALUE"""),"BABY OIL, 125ML (J&amp;J) -100")</f>
        <v>BABY OIL, 125ML (J&amp;J) -100</v>
      </c>
      <c r="E4038" s="196" t="str">
        <f>IFERROR(__xludf.DUMMYFUNCTION("""COMPUTED_VALUE"""),"HOUSEKEEPING REPLENISHMENT")</f>
        <v>HOUSEKEEPING REPLENISHMENT</v>
      </c>
    </row>
    <row r="4039">
      <c r="A4039" s="234">
        <f>IFERROR(__xludf.DUMMYFUNCTION("""COMPUTED_VALUE"""),104330.0)</f>
        <v>104330</v>
      </c>
      <c r="B4039" s="235" t="str">
        <f>IFERROR(__xludf.DUMMYFUNCTION("""COMPUTED_VALUE"""),"BRIAN PATAG")</f>
        <v>BRIAN PATAG</v>
      </c>
      <c r="C4039" s="235" t="str">
        <f>IFERROR(__xludf.DUMMYFUNCTION("""COMPUTED_VALUE"""),"AMD")</f>
        <v>AMD</v>
      </c>
      <c r="D4039" s="196" t="str">
        <f>IFERROR(__xludf.DUMMYFUNCTION("""COMPUTED_VALUE"""),"FLO SOFT SOAP DISPENSER 30")</f>
        <v>FLO SOFT SOAP DISPENSER 30</v>
      </c>
      <c r="E4039" s="196" t="str">
        <f>IFERROR(__xludf.DUMMYFUNCTION("""COMPUTED_VALUE"""),"HOUSEKEEPING REPLENISHMENT")</f>
        <v>HOUSEKEEPING REPLENISHMENT</v>
      </c>
    </row>
    <row r="4040">
      <c r="A4040" s="234">
        <f>IFERROR(__xludf.DUMMYFUNCTION("""COMPUTED_VALUE"""),104331.0)</f>
        <v>104331</v>
      </c>
      <c r="B4040" s="235" t="str">
        <f>IFERROR(__xludf.DUMMYFUNCTION("""COMPUTED_VALUE"""),"BRIAN PATAG")</f>
        <v>BRIAN PATAG</v>
      </c>
      <c r="C4040" s="235" t="str">
        <f>IFERROR(__xludf.DUMMYFUNCTION("""COMPUTED_VALUE"""),"AMD")</f>
        <v>AMD</v>
      </c>
      <c r="D4040" s="196" t="str">
        <f>IFERROR(__xludf.DUMMYFUNCTION("""COMPUTED_VALUE"""),"TRASH BAG, LARGE (26x32) CLEAR 50")</f>
        <v>TRASH BAG, LARGE (26x32) CLEAR 50</v>
      </c>
      <c r="E4040" s="196" t="str">
        <f>IFERROR(__xludf.DUMMYFUNCTION("""COMPUTED_VALUE"""),"HOUSEKEEPING REPLENISHMENT")</f>
        <v>HOUSEKEEPING REPLENISHMENT</v>
      </c>
    </row>
    <row r="4041">
      <c r="A4041" s="234">
        <f>IFERROR(__xludf.DUMMYFUNCTION("""COMPUTED_VALUE"""),104332.0)</f>
        <v>104332</v>
      </c>
      <c r="B4041" s="235" t="str">
        <f>IFERROR(__xludf.DUMMYFUNCTION("""COMPUTED_VALUE"""),"BRIAN PATAG")</f>
        <v>BRIAN PATAG</v>
      </c>
      <c r="C4041" s="235" t="str">
        <f>IFERROR(__xludf.DUMMYFUNCTION("""COMPUTED_VALUE"""),"AMD")</f>
        <v>AMD</v>
      </c>
      <c r="D4041" s="196" t="str">
        <f>IFERROR(__xludf.DUMMYFUNCTION("""COMPUTED_VALUE"""),"GEM TOILET BOWLL CLEANER (RJM) 50")</f>
        <v>GEM TOILET BOWLL CLEANER (RJM) 50</v>
      </c>
      <c r="E4041" s="196" t="str">
        <f>IFERROR(__xludf.DUMMYFUNCTION("""COMPUTED_VALUE"""),"HOUSEKEEPING REPLENISHMENT")</f>
        <v>HOUSEKEEPING REPLENISHMENT</v>
      </c>
    </row>
    <row r="4042">
      <c r="A4042" s="234">
        <f>IFERROR(__xludf.DUMMYFUNCTION("""COMPUTED_VALUE"""),104333.0)</f>
        <v>104333</v>
      </c>
      <c r="B4042" s="235" t="str">
        <f>IFERROR(__xludf.DUMMYFUNCTION("""COMPUTED_VALUE"""),"RORY MANSBRIDGE")</f>
        <v>RORY MANSBRIDGE</v>
      </c>
      <c r="C4042" s="235" t="str">
        <f>IFERROR(__xludf.DUMMYFUNCTION("""COMPUTED_VALUE"""),"ATHLETICS")</f>
        <v>ATHLETICS</v>
      </c>
      <c r="D4042" s="196" t="str">
        <f>IFERROR(__xludf.DUMMYFUNCTION("""COMPUTED_VALUE"""),"PURPLE UNIFORM
WHITE UNIFORM
KEEPER UNIFORM
TRAVELING SHIRT
SHORTS")</f>
        <v>PURPLE UNIFORM
WHITE UNIFORM
KEEPER UNIFORM
TRAVELING SHIRT
SHORTS</v>
      </c>
      <c r="E4042" s="196" t="str">
        <f>IFERROR(__xludf.DUMMYFUNCTION("""COMPUTED_VALUE"""),"VARSITY UNIFORM")</f>
        <v>VARSITY UNIFORM</v>
      </c>
    </row>
    <row r="4043">
      <c r="A4043" s="234">
        <f>IFERROR(__xludf.DUMMYFUNCTION("""COMPUTED_VALUE"""),104334.0)</f>
        <v>104334</v>
      </c>
      <c r="B4043" s="235" t="str">
        <f>IFERROR(__xludf.DUMMYFUNCTION("""COMPUTED_VALUE"""),"RORY MANSBRIDGE")</f>
        <v>RORY MANSBRIDGE</v>
      </c>
      <c r="C4043" s="235" t="str">
        <f>IFERROR(__xludf.DUMMYFUNCTION("""COMPUTED_VALUE"""),"ATHLETICS")</f>
        <v>ATHLETICS</v>
      </c>
      <c r="D4043" s="196" t="str">
        <f>IFERROR(__xludf.DUMMYFUNCTION("""COMPUTED_VALUE"""),"FOOTBALL SETS 22
FOOTBALL SHORTS 10
BASKETBALL SETS 20
TRAVELING SHIRT 34")</f>
        <v>FOOTBALL SETS 22
FOOTBALL SHORTS 10
BASKETBALL SETS 20
TRAVELING SHIRT 34</v>
      </c>
      <c r="E4043" s="196" t="str">
        <f>IFERROR(__xludf.DUMMYFUNCTION("""COMPUTED_VALUE"""),"VARSITY UNIFORM")</f>
        <v>VARSITY UNIFORM</v>
      </c>
    </row>
    <row r="4044">
      <c r="A4044" s="234">
        <f>IFERROR(__xludf.DUMMYFUNCTION("""COMPUTED_VALUE"""),104335.0)</f>
        <v>104335</v>
      </c>
      <c r="B4044" s="235" t="str">
        <f>IFERROR(__xludf.DUMMYFUNCTION("""COMPUTED_VALUE"""),"BRIAN PATAG")</f>
        <v>BRIAN PATAG</v>
      </c>
      <c r="C4044" s="235" t="str">
        <f>IFERROR(__xludf.DUMMYFUNCTION("""COMPUTED_VALUE"""),"AMD")</f>
        <v>AMD</v>
      </c>
      <c r="D4044" s="196" t="str">
        <f>IFERROR(__xludf.DUMMYFUNCTION("""COMPUTED_VALUE"""),"SWEET SUNSATION 50")</f>
        <v>SWEET SUNSATION 50</v>
      </c>
      <c r="E4044" s="196" t="str">
        <f>IFERROR(__xludf.DUMMYFUNCTION("""COMPUTED_VALUE"""),"HOUSEKEEPING REPLENISHMENT")</f>
        <v>HOUSEKEEPING REPLENISHMENT</v>
      </c>
    </row>
    <row r="4045">
      <c r="A4045" s="234">
        <f>IFERROR(__xludf.DUMMYFUNCTION("""COMPUTED_VALUE"""),104336.0)</f>
        <v>104336</v>
      </c>
      <c r="B4045" s="235" t="str">
        <f>IFERROR(__xludf.DUMMYFUNCTION("""COMPUTED_VALUE"""),"BRIAN PATAG")</f>
        <v>BRIAN PATAG</v>
      </c>
      <c r="C4045" s="235" t="str">
        <f>IFERROR(__xludf.DUMMYFUNCTION("""COMPUTED_VALUE"""),"AMD")</f>
        <v>AMD</v>
      </c>
      <c r="D4045" s="196" t="str">
        <f>IFERROR(__xludf.DUMMYFUNCTION("""COMPUTED_VALUE""")," ALL PURPOSE POWDER, 800 GRAMS PER PACK CHAMPION 100")</f>
        <v> ALL PURPOSE POWDER, 800 GRAMS PER PACK CHAMPION 100</v>
      </c>
      <c r="E4045" s="196" t="str">
        <f>IFERROR(__xludf.DUMMYFUNCTION("""COMPUTED_VALUE"""),"HOUSEKEEPING REPLENISHMENT")</f>
        <v>HOUSEKEEPING REPLENISHMENT</v>
      </c>
    </row>
    <row r="4046">
      <c r="A4046" s="234">
        <f>IFERROR(__xludf.DUMMYFUNCTION("""COMPUTED_VALUE"""),104337.0)</f>
        <v>104337</v>
      </c>
      <c r="B4046" s="235" t="str">
        <f>IFERROR(__xludf.DUMMYFUNCTION("""COMPUTED_VALUE"""),"ALFA DE LEON")</f>
        <v>ALFA DE LEON</v>
      </c>
      <c r="C4046" s="235" t="str">
        <f>IFERROR(__xludf.DUMMYFUNCTION("""COMPUTED_VALUE"""),"ADMIN - MUNICH")</f>
        <v>ADMIN - MUNICH</v>
      </c>
      <c r="D4046" s="196" t="str">
        <f>IFERROR(__xludf.DUMMYFUNCTION("""COMPUTED_VALUE"""),"EXHAUST FAN 16"" (1)")</f>
        <v>EXHAUST FAN 16" (1)</v>
      </c>
      <c r="E4046" s="196" t="str">
        <f>IFERROR(__xludf.DUMMYFUNCTION("""COMPUTED_VALUE"""),"REPLACEMENT OF BROKEN BROKEN EXHAUST FAN ")</f>
        <v>REPLACEMENT OF BROKEN BROKEN EXHAUST FAN </v>
      </c>
    </row>
    <row r="4047">
      <c r="A4047" s="234">
        <f>IFERROR(__xludf.DUMMYFUNCTION("""COMPUTED_VALUE"""),104338.0)</f>
        <v>104338</v>
      </c>
      <c r="B4047" s="235" t="str">
        <f>IFERROR(__xludf.DUMMYFUNCTION("""COMPUTED_VALUE"""),"EDGAR REBELLON")</f>
        <v>EDGAR REBELLON</v>
      </c>
      <c r="C4047" s="235" t="str">
        <f>IFERROR(__xludf.DUMMYFUNCTION("""COMPUTED_VALUE"""),"AMD")</f>
        <v>AMD</v>
      </c>
      <c r="D4047" s="196" t="str">
        <f>IFERROR(__xludf.DUMMYFUNCTION("""COMPUTED_VALUE"""),"SISC UMBRELLA 2 FOLDS COSTUMIZED (PURPLE AND WHITE) 1728PCS")</f>
        <v>SISC UMBRELLA 2 FOLDS COSTUMIZED (PURPLE AND WHITE) 1728PCS</v>
      </c>
      <c r="E4047" s="196" t="str">
        <f>IFERROR(__xludf.DUMMYFUNCTION("""COMPUTED_VALUE"""),"STUDENT;'S ENROLLMENT TOKEN FOR AY 2024-2025")</f>
        <v>STUDENT;'S ENROLLMENT TOKEN FOR AY 2024-2025</v>
      </c>
    </row>
    <row r="4048">
      <c r="A4048" s="234">
        <f>IFERROR(__xludf.DUMMYFUNCTION("""COMPUTED_VALUE"""),104339.0)</f>
        <v>104339</v>
      </c>
      <c r="B4048" s="235" t="str">
        <f>IFERROR(__xludf.DUMMYFUNCTION("""COMPUTED_VALUE"""),"EDGAR REBELLON")</f>
        <v>EDGAR REBELLON</v>
      </c>
      <c r="C4048" s="235" t="str">
        <f>IFERROR(__xludf.DUMMYFUNCTION("""COMPUTED_VALUE"""),"AMD")</f>
        <v>AMD</v>
      </c>
      <c r="D4048" s="196" t="str">
        <f>IFERROR(__xludf.DUMMYFUNCTION("""COMPUTED_VALUE"""),"TUMBLER, SISC, VACCUM FLASK BLACK 250
TUMBLER, SISC, VACCUM FLASK WHITE 250
TUMBLER, SISC, VACCUM FLASK BLUE 250
TUMBLER, SISC, VACCUM FLASK RED 122
TUMBLER, SISC, VACCUM FLASK GRAY 205
TUMBLER, SISC, VACCUM FLASK SILVER  250
TUMBLER, SISC, VACCUM FLASK G"&amp;"REEN 250
TUMBLER, SISC, VACCUM FLASK PURPLE 250")</f>
        <v>TUMBLER, SISC, VACCUM FLASK BLACK 250
TUMBLER, SISC, VACCUM FLASK WHITE 250
TUMBLER, SISC, VACCUM FLASK BLUE 250
TUMBLER, SISC, VACCUM FLASK RED 122
TUMBLER, SISC, VACCUM FLASK GRAY 205
TUMBLER, SISC, VACCUM FLASK SILVER  250
TUMBLER, SISC, VACCUM FLASK GREEN 250
TUMBLER, SISC, VACCUM FLASK PURPLE 250</v>
      </c>
      <c r="E4048" s="196" t="str">
        <f>IFERROR(__xludf.DUMMYFUNCTION("""COMPUTED_VALUE"""),"STUDENT'S ENROLLMENT TOKENS FOR AY 2024-2025")</f>
        <v>STUDENT'S ENROLLMENT TOKENS FOR AY 2024-2025</v>
      </c>
    </row>
    <row r="4049">
      <c r="A4049" s="234">
        <f>IFERROR(__xludf.DUMMYFUNCTION("""COMPUTED_VALUE"""),104340.0)</f>
        <v>104340</v>
      </c>
      <c r="B4049" s="235" t="str">
        <f>IFERROR(__xludf.DUMMYFUNCTION("""COMPUTED_VALUE"""),"OWIE PAR")</f>
        <v>OWIE PAR</v>
      </c>
      <c r="C4049" s="235" t="str">
        <f>IFERROR(__xludf.DUMMYFUNCTION("""COMPUTED_VALUE"""),"ENGINEERING")</f>
        <v>ENGINEERING</v>
      </c>
      <c r="D4049" s="196" t="str">
        <f>IFERROR(__xludf.DUMMYFUNCTION("""COMPUTED_VALUE"""),"2.5 HP WALL MOUNTED INVERTER")</f>
        <v>2.5 HP WALL MOUNTED INVERTER</v>
      </c>
      <c r="E4049" s="196" t="str">
        <f>IFERROR(__xludf.DUMMYFUNCTION("""COMPUTED_VALUE"""),"ACU REPLACEMENT AT MUNICH ROM 102")</f>
        <v>ACU REPLACEMENT AT MUNICH ROM 102</v>
      </c>
    </row>
    <row r="4050">
      <c r="A4050" s="234">
        <f>IFERROR(__xludf.DUMMYFUNCTION("""COMPUTED_VALUE"""),104341.0)</f>
        <v>104341</v>
      </c>
      <c r="B4050" s="235" t="str">
        <f>IFERROR(__xludf.DUMMYFUNCTION("""COMPUTED_VALUE"""),"OWIE PAR")</f>
        <v>OWIE PAR</v>
      </c>
      <c r="C4050" s="235" t="str">
        <f>IFERROR(__xludf.DUMMYFUNCTION("""COMPUTED_VALUE"""),"ENGINEERING")</f>
        <v>ENGINEERING</v>
      </c>
      <c r="D4050" s="196" t="str">
        <f>IFERROR(__xludf.DUMMYFUNCTION("""COMPUTED_VALUE"""),"4.0 HP DALKEN CEILING CASSETTE INVERTER")</f>
        <v>4.0 HP DALKEN CEILING CASSETTE INVERTER</v>
      </c>
      <c r="E4050" s="196" t="str">
        <f>IFERROR(__xludf.DUMMYFUNCTION("""COMPUTED_VALUE"""),"REPLACEMENT OF OLD UNIT LUX VIEWING HALL")</f>
        <v>REPLACEMENT OF OLD UNIT LUX VIEWING HALL</v>
      </c>
    </row>
    <row r="4051">
      <c r="A4051" s="234">
        <f>IFERROR(__xludf.DUMMYFUNCTION("""COMPUTED_VALUE"""),104342.0)</f>
        <v>104342</v>
      </c>
      <c r="B4051" s="235" t="str">
        <f>IFERROR(__xludf.DUMMYFUNCTION("""COMPUTED_VALUE"""),"CHARLES DONOR")</f>
        <v>CHARLES DONOR</v>
      </c>
      <c r="C4051" s="235" t="str">
        <f>IFERROR(__xludf.DUMMYFUNCTION("""COMPUTED_VALUE"""),"AMD")</f>
        <v>AMD</v>
      </c>
      <c r="D4051" s="196" t="str">
        <f>IFERROR(__xludf.DUMMYFUNCTION("""COMPUTED_VALUE"""),"Clay, Modelling Clay Dong-A 6's Assorted Colors - 177 - DELIVERED
Lil Hand Modelling Clay Scented Neon Colors 10s 180g - 1392
Box of Crayons - Crayola Double (16pcs)-1170
Box of Crayons - Crayola Jumbo 8s - 245
Pencil, SISC Purple - 1925
Pencil, Jumbo - 3"&amp;"68
Pencil, Faber Castel Colored (12s) - 357 - DELIVERED
Pen, Colored Faber Castel (10s) - 1074 - DELIVERED
Water Color, Prang 8's - 191 - DELIVERED
Water Color Lilhands 12’s - 288
")</f>
        <v>Clay, Modelling Clay Dong-A 6's Assorted Colors - 177 - DELIVERED
Lil Hand Modelling Clay Scented Neon Colors 10s 180g - 1392
Box of Crayons - Crayola Double (16pcs)-1170
Box of Crayons - Crayola Jumbo 8s - 245
Pencil, SISC Purple - 1925
Pencil, Jumbo - 368
Pencil, Faber Castel Colored (12s) - 357 - DELIVERED
Pen, Colored Faber Castel (10s) - 1074 - DELIVERED
Water Color, Prang 8's - 191 - DELIVERED
Water Color Lilhands 12’s - 288
</v>
      </c>
      <c r="E4051" s="196" t="str">
        <f>IFERROR(__xludf.DUMMYFUNCTION("""COMPUTED_VALUE"""),"STUDENT MATERIALS FOR AY 2024-2025")</f>
        <v>STUDENT MATERIALS FOR AY 2024-2025</v>
      </c>
    </row>
    <row r="4052">
      <c r="A4052" s="234">
        <f>IFERROR(__xludf.DUMMYFUNCTION("""COMPUTED_VALUE"""),104343.0)</f>
        <v>104343</v>
      </c>
      <c r="B4052" s="235" t="str">
        <f>IFERROR(__xludf.DUMMYFUNCTION("""COMPUTED_VALUE"""),"CHARLES DONOR")</f>
        <v>CHARLES DONOR</v>
      </c>
      <c r="C4052" s="235" t="str">
        <f>IFERROR(__xludf.DUMMYFUNCTION("""COMPUTED_VALUE"""),"AMD")</f>
        <v>AMD</v>
      </c>
      <c r="D4052" s="196" t="str">
        <f>IFERROR(__xludf.DUMMYFUNCTION("""COMPUTED_VALUE"""),"Clearbook, Spiral Refillable 20's Black Long - 343- DELIVERED
Box of Chalk, Colorfed -  Corona 12s - 393 - DELIVERED
Staedtler blending stumps size 1,4,6,8 (pack) - 180
Paint Pallete Small - 231
")</f>
        <v>Clearbook, Spiral Refillable 20's Black Long - 343- DELIVERED
Box of Chalk, Colorfed -  Corona 12s - 393 - DELIVERED
Staedtler blending stumps size 1,4,6,8 (pack) - 180
Paint Pallete Small - 231
</v>
      </c>
      <c r="E4052" s="196" t="str">
        <f>IFERROR(__xludf.DUMMYFUNCTION("""COMPUTED_VALUE"""),"STUDENT MATERIALS FOR AY 2024-2025")</f>
        <v>STUDENT MATERIALS FOR AY 2024-2025</v>
      </c>
    </row>
    <row r="4053">
      <c r="A4053" s="234">
        <f>IFERROR(__xludf.DUMMYFUNCTION("""COMPUTED_VALUE"""),104344.0)</f>
        <v>104344</v>
      </c>
      <c r="B4053" s="235" t="str">
        <f>IFERROR(__xludf.DUMMYFUNCTION("""COMPUTED_VALUE"""),"NHYSSA ADAOAG")</f>
        <v>NHYSSA ADAOAG</v>
      </c>
      <c r="C4053" s="235" t="str">
        <f>IFERROR(__xludf.DUMMYFUNCTION("""COMPUTED_VALUE"""),"AUDIT")</f>
        <v>AUDIT</v>
      </c>
      <c r="D4053" s="196" t="str">
        <f>IFERROR(__xludf.DUMMYFUNCTION("""COMPUTED_VALUE"""),"120L MEGABOX STORAGE")</f>
        <v>120L MEGABOX STORAGE</v>
      </c>
      <c r="E4053" s="196" t="str">
        <f>IFERROR(__xludf.DUMMYFUNCTION("""COMPUTED_VALUE"""),"STORAGE OF OLD FILES TO BE TRASFERRED TO ARM (AFFILIATES / AUSIT FILES)")</f>
        <v>STORAGE OF OLD FILES TO BE TRASFERRED TO ARM (AFFILIATES / AUSIT FILES)</v>
      </c>
    </row>
    <row r="4054">
      <c r="A4054" s="234">
        <f>IFERROR(__xludf.DUMMYFUNCTION("""COMPUTED_VALUE"""),104345.0)</f>
        <v>104345</v>
      </c>
      <c r="B4054" s="235" t="str">
        <f>IFERROR(__xludf.DUMMYFUNCTION("""COMPUTED_VALUE"""),"CHARLES DONOR")</f>
        <v>CHARLES DONOR</v>
      </c>
      <c r="C4054" s="235" t="str">
        <f>IFERROR(__xludf.DUMMYFUNCTION("""COMPUTED_VALUE"""),"AMD")</f>
        <v>AMD</v>
      </c>
      <c r="D4054" s="196" t="str">
        <f>IFERROR(__xludf.DUMMYFUNCTION("""COMPUTED_VALUE"""),"RUBBER BAND, MULTICOLOR 50G/ BOX 40BOXES")</f>
        <v>RUBBER BAND, MULTICOLOR 50G/ BOX 40BOXES</v>
      </c>
      <c r="E4054" s="196" t="str">
        <f>IFERROR(__xludf.DUMMYFUNCTION("""COMPUTED_VALUE"""),"OSSUP- STOCK REPLENISHMENT")</f>
        <v>OSSUP- STOCK REPLENISHMENT</v>
      </c>
    </row>
    <row r="4055">
      <c r="A4055" s="234">
        <f>IFERROR(__xludf.DUMMYFUNCTION("""COMPUTED_VALUE"""),104346.0)</f>
        <v>104346</v>
      </c>
      <c r="B4055" s="235" t="str">
        <f>IFERROR(__xludf.DUMMYFUNCTION("""COMPUTED_VALUE"""),"ESTHER JOY LARITA")</f>
        <v>ESTHER JOY LARITA</v>
      </c>
      <c r="C4055" s="235" t="str">
        <f>IFERROR(__xludf.DUMMYFUNCTION("""COMPUTED_VALUE"""),"OCI/ ISO")</f>
        <v>OCI/ ISO</v>
      </c>
      <c r="D4055" s="196" t="str">
        <f>IFERROR(__xludf.DUMMYFUNCTION("""COMPUTED_VALUE"""),"IQA POLO SHIRT 80")</f>
        <v>IQA POLO SHIRT 80</v>
      </c>
      <c r="E4055" s="196" t="str">
        <f>IFERROR(__xludf.DUMMYFUNCTION("""COMPUTED_VALUE"""),"ISO- IQA")</f>
        <v>ISO- IQA</v>
      </c>
    </row>
    <row r="4056">
      <c r="A4056" s="234">
        <f>IFERROR(__xludf.DUMMYFUNCTION("""COMPUTED_VALUE"""),104347.0)</f>
        <v>104347</v>
      </c>
      <c r="B4056" s="235" t="str">
        <f>IFERROR(__xludf.DUMMYFUNCTION("""COMPUTED_VALUE"""),"JORA CASIS")</f>
        <v>JORA CASIS</v>
      </c>
      <c r="C4056" s="235" t="str">
        <f>IFERROR(__xludf.DUMMYFUNCTION("""COMPUTED_VALUE"""),"COLLEGE FLEX")</f>
        <v>COLLEGE FLEX</v>
      </c>
      <c r="D4056" s="196" t="str">
        <f>IFERROR(__xludf.DUMMYFUNCTION("""COMPUTED_VALUE"""),"HYGIENE KIT 10")</f>
        <v>HYGIENE KIT 10</v>
      </c>
      <c r="E4056" s="196" t="str">
        <f>IFERROR(__xludf.DUMMYFUNCTION("""COMPUTED_VALUE"""),"HYGIENE KIT FOR THE CHED REPRESENTATIVE")</f>
        <v>HYGIENE KIT FOR THE CHED REPRESENTATIVE</v>
      </c>
    </row>
    <row r="4057">
      <c r="A4057" s="234">
        <f>IFERROR(__xludf.DUMMYFUNCTION("""COMPUTED_VALUE"""),104348.0)</f>
        <v>104348</v>
      </c>
      <c r="B4057" s="235" t="str">
        <f>IFERROR(__xludf.DUMMYFUNCTION("""COMPUTED_VALUE"""),"JORA CASIS")</f>
        <v>JORA CASIS</v>
      </c>
      <c r="C4057" s="235" t="str">
        <f>IFERROR(__xludf.DUMMYFUNCTION("""COMPUTED_VALUE"""),"COLLEGE FLEX")</f>
        <v>COLLEGE FLEX</v>
      </c>
      <c r="D4057" s="196" t="str">
        <f>IFERROR(__xludf.DUMMYFUNCTION("""COMPUTED_VALUE"""),"LANYARD FOR GUEST SPEAKER")</f>
        <v>LANYARD FOR GUEST SPEAKER</v>
      </c>
      <c r="E4057" s="196" t="str">
        <f>IFERROR(__xludf.DUMMYFUNCTION("""COMPUTED_VALUE"""),"FOR CHED REPRESENTATIVE ON MARCH 12, 2024")</f>
        <v>FOR CHED REPRESENTATIVE ON MARCH 12, 2024</v>
      </c>
    </row>
    <row r="4058">
      <c r="A4058" s="234">
        <f>IFERROR(__xludf.DUMMYFUNCTION("""COMPUTED_VALUE"""),104349.0)</f>
        <v>104349</v>
      </c>
      <c r="B4058" s="235" t="str">
        <f>IFERROR(__xludf.DUMMYFUNCTION("""COMPUTED_VALUE"""),"OWIE PAR")</f>
        <v>OWIE PAR</v>
      </c>
      <c r="C4058" s="235" t="str">
        <f>IFERROR(__xludf.DUMMYFUNCTION("""COMPUTED_VALUE"""),"ENGINEERING")</f>
        <v>ENGINEERING</v>
      </c>
      <c r="D4058" s="196" t="str">
        <f>IFERROR(__xludf.DUMMYFUNCTION("""COMPUTED_VALUE"""),"FORMICH WHITE 2PCS
RUGBY CEMENT 1 GAL
GLASS SEALANT CLEAR 1 PCS")</f>
        <v>FORMICH WHITE 2PCS
RUGBY CEMENT 1 GAL
GLASS SEALANT CLEAR 1 PCS</v>
      </c>
      <c r="E4058" s="196" t="str">
        <f>IFERROR(__xludf.DUMMYFUNCTION("""COMPUTED_VALUE"""),"FOR COLLEGE CHEMICAL STORAGE ROOM")</f>
        <v>FOR COLLEGE CHEMICAL STORAGE ROOM</v>
      </c>
    </row>
    <row r="4059">
      <c r="A4059" s="234">
        <f>IFERROR(__xludf.DUMMYFUNCTION("""COMPUTED_VALUE"""),104350.0)</f>
        <v>104350</v>
      </c>
      <c r="B4059" s="235" t="str">
        <f>IFERROR(__xludf.DUMMYFUNCTION("""COMPUTED_VALUE"""),"JOMEL BUTIAL")</f>
        <v>JOMEL BUTIAL</v>
      </c>
      <c r="C4059" s="235" t="str">
        <f>IFERROR(__xludf.DUMMYFUNCTION("""COMPUTED_VALUE"""),"PR &amp; MARKETING")</f>
        <v>PR &amp; MARKETING</v>
      </c>
      <c r="D4059" s="196" t="str">
        <f>IFERROR(__xludf.DUMMYFUNCTION("""COMPUTED_VALUE"""),"MORPH HYDRA PRIME GEFORCE RTX 3050 GAMING DESKTOP- POWERED BY ASUS 1")</f>
        <v>MORPH HYDRA PRIME GEFORCE RTX 3050 GAMING DESKTOP- POWERED BY ASUS 1</v>
      </c>
      <c r="E4059" s="196" t="str">
        <f>IFERROR(__xludf.DUMMYFUNCTION("""COMPUTED_VALUE"""),"COMPUTER REPLACEMENT OF JAYVEN POBLETE")</f>
        <v>COMPUTER REPLACEMENT OF JAYVEN POBLETE</v>
      </c>
    </row>
    <row r="4060">
      <c r="A4060" s="234">
        <f>IFERROR(__xludf.DUMMYFUNCTION("""COMPUTED_VALUE"""),104351.0)</f>
        <v>104351</v>
      </c>
      <c r="B4060" s="235" t="str">
        <f>IFERROR(__xludf.DUMMYFUNCTION("""COMPUTED_VALUE"""),"OWIE PAR")</f>
        <v>OWIE PAR</v>
      </c>
      <c r="C4060" s="235" t="str">
        <f>IFERROR(__xludf.DUMMYFUNCTION("""COMPUTED_VALUE"""),"ENGINEERING")</f>
        <v>ENGINEERING</v>
      </c>
      <c r="D4060" s="196" t="str">
        <f>IFERROR(__xludf.DUMMYFUNCTION("""COMPUTED_VALUE"""),"SHOWER HEAD 8PCS
TEPLON TAPE 1/2 5ROLLS")</f>
        <v>SHOWER HEAD 8PCS
TEPLON TAPE 1/2 5ROLLS</v>
      </c>
      <c r="E4060" s="196" t="str">
        <f>IFERROR(__xludf.DUMMYFUNCTION("""COMPUTED_VALUE"""),"FOR TROPICAL DUG OUT BOYS AND GIRLS CR'S")</f>
        <v>FOR TROPICAL DUG OUT BOYS AND GIRLS CR'S</v>
      </c>
    </row>
    <row r="4061">
      <c r="A4061" s="234">
        <f>IFERROR(__xludf.DUMMYFUNCTION("""COMPUTED_VALUE"""),104352.0)</f>
        <v>104352</v>
      </c>
      <c r="B4061" s="235" t="str">
        <f>IFERROR(__xludf.DUMMYFUNCTION("""COMPUTED_VALUE"""),"OWIE PAR")</f>
        <v>OWIE PAR</v>
      </c>
      <c r="C4061" s="235" t="str">
        <f>IFERROR(__xludf.DUMMYFUNCTION("""COMPUTED_VALUE"""),"ENGINEERING")</f>
        <v>ENGINEERING</v>
      </c>
      <c r="D4061" s="196" t="str">
        <f>IFERROR(__xludf.DUMMYFUNCTION("""COMPUTED_VALUE"""),"SHOWER VALVE SINGLE PRICE PFISTER  1SET
SHOWER HEAD 1PC")</f>
        <v>SHOWER VALVE SINGLE PRICE PFISTER  1SET
SHOWER HEAD 1PC</v>
      </c>
      <c r="E4061" s="196" t="str">
        <f>IFERROR(__xludf.DUMMYFUNCTION("""COMPUTED_VALUE"""),"FOR ENGINEERING BOY CR")</f>
        <v>FOR ENGINEERING BOY CR</v>
      </c>
    </row>
    <row r="4062">
      <c r="A4062" s="234">
        <f>IFERROR(__xludf.DUMMYFUNCTION("""COMPUTED_VALUE"""),104353.0)</f>
        <v>104353</v>
      </c>
      <c r="B4062" s="235" t="str">
        <f>IFERROR(__xludf.DUMMYFUNCTION("""COMPUTED_VALUE"""),"OWIE PAR")</f>
        <v>OWIE PAR</v>
      </c>
      <c r="C4062" s="235" t="str">
        <f>IFERROR(__xludf.DUMMYFUNCTION("""COMPUTED_VALUE"""),"ENGINEERING")</f>
        <v>ENGINEERING</v>
      </c>
      <c r="D4062" s="196" t="str">
        <f>IFERROR(__xludf.DUMMYFUNCTION("""COMPUTED_VALUE"""),"TILES 30x30 50PCS")</f>
        <v>TILES 30x30 50PCS</v>
      </c>
      <c r="E4062" s="196" t="str">
        <f>IFERROR(__xludf.DUMMYFUNCTION("""COMPUTED_VALUE"""),"FOR COLLEGE")</f>
        <v>FOR COLLEGE</v>
      </c>
    </row>
    <row r="4063">
      <c r="A4063" s="234">
        <f>IFERROR(__xludf.DUMMYFUNCTION("""COMPUTED_VALUE"""),104354.0)</f>
        <v>104354</v>
      </c>
      <c r="B4063" s="235" t="str">
        <f>IFERROR(__xludf.DUMMYFUNCTION("""COMPUTED_VALUE"""),"CHARLES DONOR")</f>
        <v>CHARLES DONOR</v>
      </c>
      <c r="C4063" s="235" t="str">
        <f>IFERROR(__xludf.DUMMYFUNCTION("""COMPUTED_VALUE"""),"AMD")</f>
        <v>AMD</v>
      </c>
      <c r="D4063" s="196" t="str">
        <f>IFERROR(__xludf.DUMMYFUNCTION("""COMPUTED_VALUE"""),"70% ISOPHROPYL ALCOHOL GALLON")</f>
        <v>70% ISOPHROPYL ALCOHOL GALLON</v>
      </c>
      <c r="E4063" s="196" t="str">
        <f>IFERROR(__xludf.DUMMYFUNCTION("""COMPUTED_VALUE"""),"OSSUP- STOCK REPLENISHMENT")</f>
        <v>OSSUP- STOCK REPLENISHMENT</v>
      </c>
    </row>
    <row r="4064">
      <c r="A4064" s="234">
        <f>IFERROR(__xludf.DUMMYFUNCTION("""COMPUTED_VALUE"""),104355.0)</f>
        <v>104355</v>
      </c>
      <c r="B4064" s="235" t="str">
        <f>IFERROR(__xludf.DUMMYFUNCTION("""COMPUTED_VALUE"""),"CHARLES DONOR")</f>
        <v>CHARLES DONOR</v>
      </c>
      <c r="C4064" s="235" t="str">
        <f>IFERROR(__xludf.DUMMYFUNCTION("""COMPUTED_VALUE"""),"AMD")</f>
        <v>AMD</v>
      </c>
      <c r="D4064" s="196" t="str">
        <f>IFERROR(__xludf.DUMMYFUNCTION("""COMPUTED_VALUE"""),"SCISSORS, FOR EMPLOYEE 100")</f>
        <v>SCISSORS, FOR EMPLOYEE 100</v>
      </c>
      <c r="E4064" s="196" t="str">
        <f>IFERROR(__xludf.DUMMYFUNCTION("""COMPUTED_VALUE"""),"OSSUP- STOCK REPLENISHMENT")</f>
        <v>OSSUP- STOCK REPLENISHMENT</v>
      </c>
    </row>
    <row r="4065">
      <c r="A4065" s="234">
        <f>IFERROR(__xludf.DUMMYFUNCTION("""COMPUTED_VALUE"""),104356.0)</f>
        <v>104356</v>
      </c>
      <c r="B4065" s="235" t="str">
        <f>IFERROR(__xludf.DUMMYFUNCTION("""COMPUTED_VALUE"""),"CHRARLES DONOR")</f>
        <v>CHRARLES DONOR</v>
      </c>
      <c r="C4065" s="235" t="str">
        <f>IFERROR(__xludf.DUMMYFUNCTION("""COMPUTED_VALUE"""),"AMD")</f>
        <v>AMD</v>
      </c>
      <c r="D4065" s="196" t="str">
        <f>IFERROR(__xludf.DUMMYFUNCTION("""COMPUTED_VALUE"""),"CLIP, PAPER (120GMS/BOX) PRINCE VENYL COATED- BIG 100BXS
CLIP, PAPER (50GMS/ BOX) PRINCE VENYL COAED- SMALL 70BXS")</f>
        <v>CLIP, PAPER (120GMS/BOX) PRINCE VENYL COATED- BIG 100BXS
CLIP, PAPER (50GMS/ BOX) PRINCE VENYL COAED- SMALL 70BXS</v>
      </c>
      <c r="E4065" s="196" t="str">
        <f>IFERROR(__xludf.DUMMYFUNCTION("""COMPUTED_VALUE"""),"OSSUP- STOCK REPLENISHMENT")</f>
        <v>OSSUP- STOCK REPLENISHMENT</v>
      </c>
    </row>
    <row r="4066">
      <c r="A4066" s="234">
        <f>IFERROR(__xludf.DUMMYFUNCTION("""COMPUTED_VALUE"""),104357.0)</f>
        <v>104357</v>
      </c>
      <c r="B4066" s="235" t="str">
        <f>IFERROR(__xludf.DUMMYFUNCTION("""COMPUTED_VALUE"""),"LESLIE DELA CRUZ")</f>
        <v>LESLIE DELA CRUZ</v>
      </c>
      <c r="C4066" s="235" t="str">
        <f>IFERROR(__xludf.DUMMYFUNCTION("""COMPUTED_VALUE"""),"BASIC ED GRADE SCHOOL")</f>
        <v>BASIC ED GRADE SCHOOL</v>
      </c>
      <c r="D4066" s="196" t="str">
        <f>IFERROR(__xludf.DUMMYFUNCTION("""COMPUTED_VALUE"""),"GR 3 INTRAMS SHIRT (RED) 6
GR 4 INTRAMS SHIRT (PURPLE) 1
GR 5 INTRAMS SHIRT (GREEN) 4
GR 6 INTRAMS SHIRT (BLUE) 1")</f>
        <v>GR 3 INTRAMS SHIRT (RED) 6
GR 4 INTRAMS SHIRT (PURPLE) 1
GR 5 INTRAMS SHIRT (GREEN) 4
GR 6 INTRAMS SHIRT (BLUE) 1</v>
      </c>
      <c r="E4066" s="196" t="str">
        <f>IFERROR(__xludf.DUMMYFUNCTION("""COMPUTED_VALUE"""),"GR 3-6 INTRAMURALS SHIRT")</f>
        <v>GR 3-6 INTRAMURALS SHIRT</v>
      </c>
    </row>
    <row r="4067">
      <c r="A4067" s="234">
        <f>IFERROR(__xludf.DUMMYFUNCTION("""COMPUTED_VALUE"""),104358.0)</f>
        <v>104358</v>
      </c>
      <c r="B4067" s="235" t="str">
        <f>IFERROR(__xludf.DUMMYFUNCTION("""COMPUTED_VALUE"""),"JOMEL BUTIAL")</f>
        <v>JOMEL BUTIAL</v>
      </c>
      <c r="C4067" s="235" t="str">
        <f>IFERROR(__xludf.DUMMYFUNCTION("""COMPUTED_VALUE"""),"PR &amp; MARKETING")</f>
        <v>PR &amp; MARKETING</v>
      </c>
      <c r="D4067" s="196" t="str">
        <f>IFERROR(__xludf.DUMMYFUNCTION("""COMPUTED_VALUE"""),"WELCOME TARP (CHED) 3
WIDTH: 2FT
HEIGHT: 5FT")</f>
        <v>WELCOME TARP (CHED) 3
WIDTH: 2FT
HEIGHT: 5FT</v>
      </c>
      <c r="E4067" s="196" t="str">
        <f>IFERROR(__xludf.DUMMYFUNCTION("""COMPUTED_VALUE"""),"MAKETING")</f>
        <v>MAKETING</v>
      </c>
    </row>
    <row r="4068">
      <c r="A4068" s="234">
        <f>IFERROR(__xludf.DUMMYFUNCTION("""COMPUTED_VALUE"""),104359.0)</f>
        <v>104359</v>
      </c>
      <c r="B4068" s="235" t="str">
        <f>IFERROR(__xludf.DUMMYFUNCTION("""COMPUTED_VALUE"""),"ALFA DE LEON ")</f>
        <v>ALFA DE LEON </v>
      </c>
      <c r="C4068" s="235" t="str">
        <f>IFERROR(__xludf.DUMMYFUNCTION("""COMPUTED_VALUE"""),"ADMIN - MUNICH")</f>
        <v>ADMIN - MUNICH</v>
      </c>
      <c r="D4068" s="196" t="str">
        <f>IFERROR(__xludf.DUMMYFUNCTION("""COMPUTED_VALUE"""),"CANVAS FRAME 3")</f>
        <v>CANVAS FRAME 3</v>
      </c>
      <c r="E4068" s="196" t="str">
        <f>IFERROR(__xludf.DUMMYFUNCTION("""COMPUTED_VALUE"""),"CRS BEAUTIFICATION")</f>
        <v>CRS BEAUTIFICATION</v>
      </c>
    </row>
    <row r="4069">
      <c r="A4069" s="234">
        <f>IFERROR(__xludf.DUMMYFUNCTION("""COMPUTED_VALUE"""),104360.0)</f>
        <v>104360</v>
      </c>
      <c r="B4069" s="235" t="str">
        <f>IFERROR(__xludf.DUMMYFUNCTION("""COMPUTED_VALUE"""),"ELMIE LAUDIATO")</f>
        <v>ELMIE LAUDIATO</v>
      </c>
      <c r="C4069" s="235" t="str">
        <f>IFERROR(__xludf.DUMMYFUNCTION("""COMPUTED_VALUE"""),"HRMD")</f>
        <v>HRMD</v>
      </c>
      <c r="D4069" s="196" t="str">
        <f>IFERROR(__xludf.DUMMYFUNCTION("""COMPUTED_VALUE"""),"SOUTHVILLE INTERNATIONAL SCHOOL AND COLLEGES
A. RECEIVING 1
B. CTC 1
C. SISC &amp; ADDRESS 1
D. ELMIE D. LAUDIATO")</f>
        <v>SOUTHVILLE INTERNATIONAL SCHOOL AND COLLEGES
A. RECEIVING 1
B. CTC 1
C. SISC &amp; ADDRESS 1
D. ELMIE D. LAUDIATO</v>
      </c>
      <c r="E4069" s="196" t="str">
        <f>IFERROR(__xludf.DUMMYFUNCTION("""COMPUTED_VALUE"""),"HRMD OFFICE TRODAT (FOR RECEIVING AND RELEASING OF DOCUMENTS)")</f>
        <v>HRMD OFFICE TRODAT (FOR RECEIVING AND RELEASING OF DOCUMENTS)</v>
      </c>
    </row>
    <row r="4070">
      <c r="A4070" s="234">
        <f>IFERROR(__xludf.DUMMYFUNCTION("""COMPUTED_VALUE"""),104361.0)</f>
        <v>104361</v>
      </c>
      <c r="B4070" s="235" t="str">
        <f>IFERROR(__xludf.DUMMYFUNCTION("""COMPUTED_VALUE"""),"ARNEL MONTABLAN")</f>
        <v>ARNEL MONTABLAN</v>
      </c>
      <c r="C4070" s="235" t="str">
        <f>IFERROR(__xludf.DUMMYFUNCTION("""COMPUTED_VALUE"""),"FOUNDERS SCHOLARS")</f>
        <v>FOUNDERS SCHOLARS</v>
      </c>
      <c r="D4070" s="196" t="str">
        <f>IFERROR(__xludf.DUMMYFUNCTION("""COMPUTED_VALUE"""),"BIG TRASH CANS 2
BROOM STICKS 8
CLOTHES FORK ROD 1
DIPPERS(TABO) 7
DOOR STOPPER 4
DUSTPANS 6
EXTENSION WIRE 5
FLOOR RAGS 5
HAND BRUSHES 9
HANGING RODS 2
LONG BRUSHES 7
NON STICKY PAN 3
PAILS (TIMBA) 10
SLIPPER RACK (GOOD FOR 26 SLIPPERS) 2
SOFT BROOM 7
ST"&amp;"AND FAN 1
TABLE RAGS 5")</f>
        <v>BIG TRASH CANS 2
BROOM STICKS 8
CLOTHES FORK ROD 1
DIPPERS(TABO) 7
DOOR STOPPER 4
DUSTPANS 6
EXTENSION WIRE 5
FLOOR RAGS 5
HAND BRUSHES 9
HANGING RODS 2
LONG BRUSHES 7
NON STICKY PAN 3
PAILS (TIMBA) 10
SLIPPER RACK (GOOD FOR 26 SLIPPERS) 2
SOFT BROOM 7
STAND FAN 1
TABLE RAGS 5</v>
      </c>
      <c r="E4070" s="196" t="str">
        <f>IFERROR(__xludf.DUMMYFUNCTION("""COMPUTED_VALUE"""),"FOR HOUSE CLEANING MATERIALS &amp; EQUIPMENTS")</f>
        <v>FOR HOUSE CLEANING MATERIALS &amp; EQUIPMENTS</v>
      </c>
    </row>
    <row r="4071">
      <c r="A4071" s="234">
        <f>IFERROR(__xludf.DUMMYFUNCTION("""COMPUTED_VALUE"""),104362.0)</f>
        <v>104362</v>
      </c>
      <c r="B4071" s="235" t="str">
        <f>IFERROR(__xludf.DUMMYFUNCTION("""COMPUTED_VALUE"""),"OWIE PAR")</f>
        <v>OWIE PAR</v>
      </c>
      <c r="C4071" s="235" t="str">
        <f>IFERROR(__xludf.DUMMYFUNCTION("""COMPUTED_VALUE"""),"ENGINEERING")</f>
        <v>ENGINEERING</v>
      </c>
      <c r="D4071" s="196" t="str">
        <f>IFERROR(__xludf.DUMMYFUNCTION("""COMPUTED_VALUE"""),"LAMP HOLDER FIREFLY 6 SETS
ROYAL CORD #14 3 WIRE 1 ROLL")</f>
        <v>LAMP HOLDER FIREFLY 6 SETS
ROYAL CORD #14 3 WIRE 1 ROLL</v>
      </c>
      <c r="E4071" s="196" t="str">
        <f>IFERROR(__xludf.DUMMYFUNCTION("""COMPUTED_VALUE"""),"FOR MUNICH PERIMETER LIGHTS")</f>
        <v>FOR MUNICH PERIMETER LIGHTS</v>
      </c>
    </row>
    <row r="4072">
      <c r="A4072" s="234">
        <f>IFERROR(__xludf.DUMMYFUNCTION("""COMPUTED_VALUE"""),104363.0)</f>
        <v>104363</v>
      </c>
      <c r="B4072" s="235" t="str">
        <f>IFERROR(__xludf.DUMMYFUNCTION("""COMPUTED_VALUE"""),"ELYDS ")</f>
        <v>ELYDS </v>
      </c>
      <c r="C4072" s="235" t="str">
        <f>IFERROR(__xludf.DUMMYFUNCTION("""COMPUTED_VALUE"""),"PR &amp; MARKETING")</f>
        <v>PR &amp; MARKETING</v>
      </c>
      <c r="D4072" s="196" t="str">
        <f>IFERROR(__xludf.DUMMYFUNCTION("""COMPUTED_VALUE"""),"6.5 x 13.5 TROPICAL WITH SEAMING AND EYELET ALL OVER 24OUNCE
10x10 FT GATCHALION WITH SEAMING AND EYELET ALL OVER 24OUNCE")</f>
        <v>6.5 x 13.5 TROPICAL WITH SEAMING AND EYELET ALL OVER 24OUNCE
10x10 FT GATCHALION WITH SEAMING AND EYELET ALL OVER 24OUNCE</v>
      </c>
      <c r="E4072" s="196" t="str">
        <f>IFERROR(__xludf.DUMMYFUNCTION("""COMPUTED_VALUE"""),"MARKETING")</f>
        <v>MARKETING</v>
      </c>
    </row>
    <row r="4073">
      <c r="A4073" s="234">
        <f>IFERROR(__xludf.DUMMYFUNCTION("""COMPUTED_VALUE"""),104364.0)</f>
        <v>104364</v>
      </c>
      <c r="B4073" s="235" t="str">
        <f>IFERROR(__xludf.DUMMYFUNCTION("""COMPUTED_VALUE"""),"SHEREE ESPINOSA")</f>
        <v>SHEREE ESPINOSA</v>
      </c>
      <c r="C4073" s="235" t="str">
        <f>IFERROR(__xludf.DUMMYFUNCTION("""COMPUTED_VALUE"""),"ADMIN")</f>
        <v>ADMIN</v>
      </c>
      <c r="D4073" s="196" t="str">
        <f>IFERROR(__xludf.DUMMYFUNCTION("""COMPUTED_VALUE"""),"BIG TISSUE HOLDER 8
2F MF
3F MF
4F MF
5F CEM")</f>
        <v>BIG TISSUE HOLDER 8
2F MF
3F MF
4F MF
5F CEM</v>
      </c>
      <c r="E4073" s="196" t="str">
        <f>IFERROR(__xludf.DUMMYFUNCTION("""COMPUTED_VALUE"""),"FOR ALL CR IN TROPICAL CAMPUS")</f>
        <v>FOR ALL CR IN TROPICAL CAMPUS</v>
      </c>
    </row>
    <row r="4074">
      <c r="A4074" s="234">
        <f>IFERROR(__xludf.DUMMYFUNCTION("""COMPUTED_VALUE"""),104365.0)</f>
        <v>104365</v>
      </c>
      <c r="B4074" s="235" t="str">
        <f>IFERROR(__xludf.DUMMYFUNCTION("""COMPUTED_VALUE"""),"SHEREE ESPINOSA")</f>
        <v>SHEREE ESPINOSA</v>
      </c>
      <c r="C4074" s="235" t="str">
        <f>IFERROR(__xludf.DUMMYFUNCTION("""COMPUTED_VALUE"""),"ADMIN")</f>
        <v>ADMIN</v>
      </c>
      <c r="D4074" s="196" t="str">
        <f>IFERROR(__xludf.DUMMYFUNCTION("""COMPUTED_VALUE"""),"BIG TISSUE HOLDER
PARKING
6F
2F
3F
4F
5F
COLLEGE QMR OFFICE
QOL")</f>
        <v>BIG TISSUE HOLDER
PARKING
6F
2F
3F
4F
5F
COLLEGE QMR OFFICE
QOL</v>
      </c>
      <c r="E4074" s="196" t="str">
        <f>IFERROR(__xludf.DUMMYFUNCTION("""COMPUTED_VALUE"""),"FOR ALL CR IN COLLEGE BUILDING")</f>
        <v>FOR ALL CR IN COLLEGE BUILDING</v>
      </c>
    </row>
    <row r="4075">
      <c r="A4075" s="234">
        <f>IFERROR(__xludf.DUMMYFUNCTION("""COMPUTED_VALUE"""),104366.0)</f>
        <v>104366</v>
      </c>
      <c r="B4075" s="235" t="str">
        <f>IFERROR(__xludf.DUMMYFUNCTION("""COMPUTED_VALUE"""),"SHEREE ESPINOSA")</f>
        <v>SHEREE ESPINOSA</v>
      </c>
      <c r="C4075" s="235" t="str">
        <f>IFERROR(__xludf.DUMMYFUNCTION("""COMPUTED_VALUE"""),"ADMIN")</f>
        <v>ADMIN</v>
      </c>
      <c r="D4075" s="196" t="str">
        <f>IFERROR(__xludf.DUMMYFUNCTION("""COMPUTED_VALUE"""),"BIG TISSUE HOLDER 18PCS
6F BACK OF BED
2F EW &amp; WW
3F EW&amp; WW
4F EW &amp; WW
COLLEGE LIBRARY
5F MMA
5F LSHAPE")</f>
        <v>BIG TISSUE HOLDER 18PCS
6F BACK OF BED
2F EW &amp; WW
3F EW&amp; WW
4F EW &amp; WW
COLLEGE LIBRARY
5F MMA
5F LSHAPE</v>
      </c>
      <c r="E4075" s="196" t="str">
        <f>IFERROR(__xludf.DUMMYFUNCTION("""COMPUTED_VALUE"""),"FOR ALL CR IN LUX CAMPUS")</f>
        <v>FOR ALL CR IN LUX CAMPUS</v>
      </c>
    </row>
    <row r="4076">
      <c r="A4076" s="234">
        <f>IFERROR(__xludf.DUMMYFUNCTION("""COMPUTED_VALUE"""),104367.0)</f>
        <v>104367</v>
      </c>
      <c r="B4076" s="235" t="str">
        <f>IFERROR(__xludf.DUMMYFUNCTION("""COMPUTED_VALUE"""),"SHEREE ESPINOSA")</f>
        <v>SHEREE ESPINOSA</v>
      </c>
      <c r="C4076" s="235" t="str">
        <f>IFERROR(__xludf.DUMMYFUNCTION("""COMPUTED_VALUE"""),"ADMIN")</f>
        <v>ADMIN</v>
      </c>
      <c r="D4076" s="196" t="str">
        <f>IFERROR(__xludf.DUMMYFUNCTION("""COMPUTED_VALUE"""),"GARDEN HOSE 30M 
POWER SPRAY HOSE 30M")</f>
        <v>GARDEN HOSE 30M 
POWER SPRAY HOSE 30M</v>
      </c>
      <c r="E4076" s="196" t="str">
        <f>IFERROR(__xludf.DUMMYFUNCTION("""COMPUTED_VALUE"""),"USE FOR WEEKLY GENERAL CLEANINGIN MONARCH PARK")</f>
        <v>USE FOR WEEKLY GENERAL CLEANINGIN MONARCH PARK</v>
      </c>
    </row>
    <row r="4077">
      <c r="A4077" s="234">
        <f>IFERROR(__xludf.DUMMYFUNCTION("""COMPUTED_VALUE"""),104368.0)</f>
        <v>104368</v>
      </c>
      <c r="B4077" s="235" t="str">
        <f>IFERROR(__xludf.DUMMYFUNCTION("""COMPUTED_VALUE"""),"SHEREE ESPINOSA")</f>
        <v>SHEREE ESPINOSA</v>
      </c>
      <c r="C4077" s="235" t="str">
        <f>IFERROR(__xludf.DUMMYFUNCTION("""COMPUTED_VALUE"""),"ADMIN")</f>
        <v>ADMIN</v>
      </c>
      <c r="D4077" s="196" t="str">
        <f>IFERROR(__xludf.DUMMYFUNCTION("""COMPUTED_VALUE"""),"WALL FAN 16"" 5
BRAND: STANDARD OR 3D
COLOR: GRAY")</f>
        <v>WALL FAN 16" 5
BRAND: STANDARD OR 3D
COLOR: GRAY</v>
      </c>
      <c r="E4077" s="196" t="str">
        <f>IFERROR(__xludf.DUMMYFUNCTION("""COMPUTED_VALUE"""),"FRO BED FACULTY ROOM")</f>
        <v>FRO BED FACULTY ROOM</v>
      </c>
    </row>
    <row r="4078">
      <c r="A4078" s="234">
        <f>IFERROR(__xludf.DUMMYFUNCTION("""COMPUTED_VALUE"""),104369.0)</f>
        <v>104369</v>
      </c>
      <c r="B4078" s="235" t="str">
        <f>IFERROR(__xludf.DUMMYFUNCTION("""COMPUTED_VALUE"""),"JADE GERONIMO")</f>
        <v>JADE GERONIMO</v>
      </c>
      <c r="C4078" s="235" t="str">
        <f>IFERROR(__xludf.DUMMYFUNCTION("""COMPUTED_VALUE"""),"ECED MUNICH/STAR")</f>
        <v>ECED MUNICH/STAR</v>
      </c>
      <c r="D4078" s="196" t="str">
        <f>IFERROR(__xludf.DUMMYFUNCTION("""COMPUTED_VALUE"""),"SPORTSFEST TSHIRTS
* STAR CAMPUS (GREEN)
- NPK = 6
- SK = 9
- G1 = 11
- G2 = 15
*MUNICH CAMPUS (RED)
- NPK = 15
- JK = 25
- SK = 36
(PURPLE)
- G1 = 60
- G2 = 41
*FACULTY 
- TEAL SHIRT = 32")</f>
        <v>SPORTSFEST TSHIRTS
* STAR CAMPUS (GREEN)
- NPK = 6
- SK = 9
- G1 = 11
- G2 = 15
*MUNICH CAMPUS (RED)
- NPK = 15
- JK = 25
- SK = 36
(PURPLE)
- G1 = 60
- G2 = 41
*FACULTY 
- TEAL SHIRT = 32</v>
      </c>
      <c r="E4078" s="196" t="str">
        <f>IFERROR(__xludf.DUMMYFUNCTION("""COMPUTED_VALUE"""),"ECED SPORTSFEST (SISC)")</f>
        <v>ECED SPORTSFEST (SISC)</v>
      </c>
    </row>
    <row r="4079">
      <c r="A4079" s="234">
        <f>IFERROR(__xludf.DUMMYFUNCTION("""COMPUTED_VALUE"""),104370.0)</f>
        <v>104370</v>
      </c>
      <c r="B4079" s="235" t="str">
        <f>IFERROR(__xludf.DUMMYFUNCTION("""COMPUTED_VALUE"""),"ADRIAN L VELA")</f>
        <v>ADRIAN L VELA</v>
      </c>
      <c r="C4079" s="235" t="str">
        <f>IFERROR(__xludf.DUMMYFUNCTION("""COMPUTED_VALUE"""),"TCPD/HRMD")</f>
        <v>TCPD/HRMD</v>
      </c>
      <c r="D4079" s="196" t="str">
        <f>IFERROR(__xludf.DUMMYFUNCTION("""COMPUTED_VALUE"""),"LONG SIZE FOLDER 400PCS")</f>
        <v>LONG SIZE FOLDER 400PCS</v>
      </c>
      <c r="E4079" s="196" t="str">
        <f>IFERROR(__xludf.DUMMYFUNCTION("""COMPUTED_VALUE"""),"TO BE USED FOR OFFICIAL/CONFIDENTIAL DOCUMENTS")</f>
        <v>TO BE USED FOR OFFICIAL/CONFIDENTIAL DOCUMENTS</v>
      </c>
    </row>
    <row r="4080">
      <c r="A4080" s="234">
        <f>IFERROR(__xludf.DUMMYFUNCTION("""COMPUTED_VALUE"""),104371.0)</f>
        <v>104371</v>
      </c>
      <c r="B4080" s="235" t="str">
        <f>IFERROR(__xludf.DUMMYFUNCTION("""COMPUTED_VALUE"""),"PRECIOUS DALUZ")</f>
        <v>PRECIOUS DALUZ</v>
      </c>
      <c r="C4080" s="235" t="str">
        <f>IFERROR(__xludf.DUMMYFUNCTION("""COMPUTED_VALUE"""),"SPECIAL SUBJECTS")</f>
        <v>SPECIAL SUBJECTS</v>
      </c>
      <c r="D4080" s="196" t="str">
        <f>IFERROR(__xludf.DUMMYFUNCTION("""COMPUTED_VALUE"""),"MOLTEN DOLPHIN WHISTLE 5
CHESS CLOCK/ TIMER 10
4CM RIBBON RED 3 ROLLS
FLAGS 1 YELLOW AND 1 RED   (2)")</f>
        <v>MOLTEN DOLPHIN WHISTLE 5
CHESS CLOCK/ TIMER 10
4CM RIBBON RED 3 ROLLS
FLAGS 1 YELLOW AND 1 RED   (2)</v>
      </c>
      <c r="E4080" s="196" t="str">
        <f>IFERROR(__xludf.DUMMYFUNCTION("""COMPUTED_VALUE"""),"MATERIALS FOR INTRAMS")</f>
        <v>MATERIALS FOR INTRAMS</v>
      </c>
    </row>
    <row r="4081">
      <c r="A4081" s="234">
        <f>IFERROR(__xludf.DUMMYFUNCTION("""COMPUTED_VALUE"""),104372.0)</f>
        <v>104372</v>
      </c>
      <c r="B4081" s="235" t="str">
        <f>IFERROR(__xludf.DUMMYFUNCTION("""COMPUTED_VALUE"""),"OWIE PAR")</f>
        <v>OWIE PAR</v>
      </c>
      <c r="C4081" s="235" t="str">
        <f>IFERROR(__xludf.DUMMYFUNCTION("""COMPUTED_VALUE"""),"ENGINEERING")</f>
        <v>ENGINEERING</v>
      </c>
      <c r="D4081" s="196" t="str">
        <f>IFERROR(__xludf.DUMMYFUNCTION("""COMPUTED_VALUE"""),"LED DOWN LIGHT 10PCS
MODEL- M2-9W
NEKO BRAND
T-5 20W 5FIXTURE")</f>
        <v>LED DOWN LIGHT 10PCS
MODEL- M2-9W
NEKO BRAND
T-5 20W 5FIXTURE</v>
      </c>
      <c r="E4081" s="196" t="str">
        <f>IFERROR(__xludf.DUMMYFUNCTION("""COMPUTED_VALUE"""),"FOR 5TH FLOOR L SHAPE")</f>
        <v>FOR 5TH FLOOR L SHAPE</v>
      </c>
    </row>
    <row r="4082">
      <c r="A4082" s="234">
        <f>IFERROR(__xludf.DUMMYFUNCTION("""COMPUTED_VALUE"""),104373.0)</f>
        <v>104373</v>
      </c>
      <c r="B4082" s="235" t="str">
        <f>IFERROR(__xludf.DUMMYFUNCTION("""COMPUTED_VALUE"""),"JADE GERONIMO")</f>
        <v>JADE GERONIMO</v>
      </c>
      <c r="C4082" s="235" t="str">
        <f>IFERROR(__xludf.DUMMYFUNCTION("""COMPUTED_VALUE"""),"ECED")</f>
        <v>ECED</v>
      </c>
      <c r="D4082" s="196" t="str">
        <f>IFERROR(__xludf.DUMMYFUNCTION("""COMPUTED_VALUE"""),"STAR 28
MUNICH PRESCHOOL 31
MUNICH GRS 1-2 5PCS
FACULTY 6")</f>
        <v>STAR 28
MUNICH PRESCHOOL 31
MUNICH GRS 1-2 5PCS
FACULTY 6</v>
      </c>
      <c r="E4082" s="196" t="str">
        <f>IFERROR(__xludf.DUMMYFUNCTION("""COMPUTED_VALUE"""),"ECED SPORTSFEST (SISC)")</f>
        <v>ECED SPORTSFEST (SISC)</v>
      </c>
    </row>
    <row r="4083">
      <c r="A4083" s="234">
        <f>IFERROR(__xludf.DUMMYFUNCTION("""COMPUTED_VALUE"""),104374.0)</f>
        <v>104374</v>
      </c>
      <c r="B4083" s="235" t="str">
        <f>IFERROR(__xludf.DUMMYFUNCTION("""COMPUTED_VALUE"""),"OWIE PAR")</f>
        <v>OWIE PAR</v>
      </c>
      <c r="C4083" s="235" t="str">
        <f>IFERROR(__xludf.DUMMYFUNCTION("""COMPUTED_VALUE"""),"ENGINEERING")</f>
        <v>ENGINEERING</v>
      </c>
      <c r="D4083" s="196" t="str">
        <f>IFERROR(__xludf.DUMMYFUNCTION("""COMPUTED_VALUE"""),"3 UNIT FLOOD LIGHT LED 150W
BASKETBALL DAYLIGHT
SMPS TYPE")</f>
        <v>3 UNIT FLOOD LIGHT LED 150W
BASKETBALL DAYLIGHT
SMPS TYPE</v>
      </c>
      <c r="E4083" s="196" t="str">
        <f>IFERROR(__xludf.DUMMYFUNCTION("""COMPUTED_VALUE"""),"FRO TROPICAL GYM AND MONARCHS GYM")</f>
        <v>FRO TROPICAL GYM AND MONARCHS GYM</v>
      </c>
    </row>
    <row r="4084">
      <c r="A4084" s="234">
        <f>IFERROR(__xludf.DUMMYFUNCTION("""COMPUTED_VALUE"""),104375.0)</f>
        <v>104375</v>
      </c>
      <c r="B4084" s="235"/>
      <c r="C4084" s="235"/>
      <c r="D4084" s="196"/>
      <c r="E4084" s="196"/>
    </row>
    <row r="4085">
      <c r="A4085" s="234">
        <f>IFERROR(__xludf.DUMMYFUNCTION("""COMPUTED_VALUE"""),104376.0)</f>
        <v>104376</v>
      </c>
      <c r="B4085" s="235" t="str">
        <f>IFERROR(__xludf.DUMMYFUNCTION("""COMPUTED_VALUE"""),"CHRISTIAN ANDRES")</f>
        <v>CHRISTIAN ANDRES</v>
      </c>
      <c r="C4085" s="235" t="str">
        <f>IFERROR(__xludf.DUMMYFUNCTION("""COMPUTED_VALUE"""),"PR &amp; MARKETING")</f>
        <v>PR &amp; MARKETING</v>
      </c>
      <c r="D4085" s="196" t="str">
        <f>IFERROR(__xludf.DUMMYFUNCTION("""COMPUTED_VALUE"""),"FREE TARP SITE W/ MS. GINANG
1 5x6 FEET TARP
2. W/ SEAMING
3. EYELET ALL OVER")</f>
        <v>FREE TARP SITE W/ MS. GINANG
1 5x6 FEET TARP
2. W/ SEAMING
3. EYELET ALL OVER</v>
      </c>
      <c r="E4085" s="196" t="str">
        <f>IFERROR(__xludf.DUMMYFUNCTION("""COMPUTED_VALUE"""),"MARKETING ")</f>
        <v>MARKETING </v>
      </c>
    </row>
    <row r="4086">
      <c r="A4086" s="234">
        <f>IFERROR(__xludf.DUMMYFUNCTION("""COMPUTED_VALUE"""),104377.0)</f>
        <v>104377</v>
      </c>
      <c r="B4086" s="235" t="str">
        <f>IFERROR(__xludf.DUMMYFUNCTION("""COMPUTED_VALUE"""),"SHEREE ESPINOSA")</f>
        <v>SHEREE ESPINOSA</v>
      </c>
      <c r="C4086" s="235" t="str">
        <f>IFERROR(__xludf.DUMMYFUNCTION("""COMPUTED_VALUE"""),"ADMIN")</f>
        <v>ADMIN</v>
      </c>
      <c r="D4086" s="196" t="str">
        <f>IFERROR(__xludf.DUMMYFUNCTION("""COMPUTED_VALUE"""),"VINYL PLANKS APO FLOORS EMBOSSED CREAM OAK - 640SQM KENT SOLUTION WATER BASED ADHESIVE (640 SQM)- cancelled pls refer to SRF SO4304")</f>
        <v>VINYL PLANKS APO FLOORS EMBOSSED CREAM OAK - 640SQM KENT SOLUTION WATER BASED ADHESIVE (640 SQM)- cancelled pls refer to SRF SO4304</v>
      </c>
      <c r="E4086" s="196" t="str">
        <f>IFERROR(__xludf.DUMMYFUNCTION("""COMPUTED_VALUE"""),"FOR LUX HALL FLOORING AND STAGE FLOORING")</f>
        <v>FOR LUX HALL FLOORING AND STAGE FLOORING</v>
      </c>
    </row>
    <row r="4087">
      <c r="A4087" s="234">
        <f>IFERROR(__xludf.DUMMYFUNCTION("""COMPUTED_VALUE"""),104378.0)</f>
        <v>104378</v>
      </c>
      <c r="B4087" s="235" t="str">
        <f>IFERROR(__xludf.DUMMYFUNCTION("""COMPUTED_VALUE"""),"ANGELO PARAS")</f>
        <v>ANGELO PARAS</v>
      </c>
      <c r="C4087" s="235" t="str">
        <f>IFERROR(__xludf.DUMMYFUNCTION("""COMPUTED_VALUE"""),"SCIENCE LAB BASIC ED.")</f>
        <v>SCIENCE LAB BASIC ED.</v>
      </c>
      <c r="D4087" s="196" t="str">
        <f>IFERROR(__xludf.DUMMYFUNCTION("""COMPUTED_VALUE"""),"LAB COATS 40PCS
LAB SAFETY GOGGLES 50PCS
ELECTRICAL GLOVES, RUBBER INSULATED 30PCS
NITRILE GLOVES, POWDER FREE 20BOXES
STIRRING ROD 40PCS
ERLENMEYER FLASK 15PCS
")</f>
        <v>LAB COATS 40PCS
LAB SAFETY GOGGLES 50PCS
ELECTRICAL GLOVES, RUBBER INSULATED 30PCS
NITRILE GLOVES, POWDER FREE 20BOXES
STIRRING ROD 40PCS
ERLENMEYER FLASK 15PCS
</v>
      </c>
      <c r="E4087" s="196" t="str">
        <f>IFERROR(__xludf.DUMMYFUNCTION("""COMPUTED_VALUE"""),"TO PROVIDE ADDITIONAL MATERIALS FOR USED BY THE STAR SCIENCE LAB")</f>
        <v>TO PROVIDE ADDITIONAL MATERIALS FOR USED BY THE STAR SCIENCE LAB</v>
      </c>
    </row>
    <row r="4088">
      <c r="A4088" s="234">
        <f>IFERROR(__xludf.DUMMYFUNCTION("""COMPUTED_VALUE"""),104379.0)</f>
        <v>104379</v>
      </c>
      <c r="B4088" s="235" t="str">
        <f>IFERROR(__xludf.DUMMYFUNCTION("""COMPUTED_VALUE"""),"PHEN PETIN")</f>
        <v>PHEN PETIN</v>
      </c>
      <c r="C4088" s="235" t="str">
        <f>IFERROR(__xludf.DUMMYFUNCTION("""COMPUTED_VALUE"""),"ADMIN")</f>
        <v>ADMIN</v>
      </c>
      <c r="D4088" s="196" t="str">
        <f>IFERROR(__xludf.DUMMYFUNCTION("""COMPUTED_VALUE"""),"FLOOD LIGHT 10WATTS DAYLIGHT 10PCS")</f>
        <v>FLOOD LIGHT 10WATTS DAYLIGHT 10PCS</v>
      </c>
      <c r="E4088" s="196" t="str">
        <f>IFERROR(__xludf.DUMMYFUNCTION("""COMPUTED_VALUE"""),"CHANGE BUSTED FLOOD LIGHT FRONTGATE")</f>
        <v>CHANGE BUSTED FLOOD LIGHT FRONTGATE</v>
      </c>
    </row>
    <row r="4089">
      <c r="A4089" s="234">
        <f>IFERROR(__xludf.DUMMYFUNCTION("""COMPUTED_VALUE"""),104380.0)</f>
        <v>104380</v>
      </c>
      <c r="B4089" s="235" t="str">
        <f>IFERROR(__xludf.DUMMYFUNCTION("""COMPUTED_VALUE"""),"JOMEL BUTIAL ")</f>
        <v>JOMEL BUTIAL </v>
      </c>
      <c r="C4089" s="235" t="str">
        <f>IFERROR(__xludf.DUMMYFUNCTION("""COMPUTED_VALUE"""),"PR &amp; MARKETING")</f>
        <v>PR &amp; MARKETING</v>
      </c>
      <c r="D4089" s="196" t="str">
        <f>IFERROR(__xludf.DUMMYFUNCTION("""COMPUTED_VALUE"""),"2 AQUARIAN SUPER- KICK III, BASS DRUMHEAD 24 INCHES ")</f>
        <v>2 AQUARIAN SUPER- KICK III, BASS DRUMHEAD 24 INCHES </v>
      </c>
      <c r="E4089" s="196" t="str">
        <f>IFERROR(__xludf.DUMMYFUNCTION("""COMPUTED_VALUE"""),"MUSIKANTAHAN COLLEGE OPEN HOUSE ")</f>
        <v>MUSIKANTAHAN COLLEGE OPEN HOUSE </v>
      </c>
    </row>
    <row r="4090">
      <c r="A4090" s="234">
        <f>IFERROR(__xludf.DUMMYFUNCTION("""COMPUTED_VALUE"""),104381.0)</f>
        <v>104381</v>
      </c>
      <c r="B4090" s="235" t="str">
        <f>IFERROR(__xludf.DUMMYFUNCTION("""COMPUTED_VALUE"""),"ANGELINE LAGDAMEO/ JEREMIAH TIROL")</f>
        <v>ANGELINE LAGDAMEO/ JEREMIAH TIROL</v>
      </c>
      <c r="C4090" s="235" t="str">
        <f>IFERROR(__xludf.DUMMYFUNCTION("""COMPUTED_VALUE"""),"SCIENCE LAB COLLEGE")</f>
        <v>SCIENCE LAB COLLEGE</v>
      </c>
      <c r="D4090" s="196" t="str">
        <f>IFERROR(__xludf.DUMMYFUNCTION("""COMPUTED_VALUE"""),"FILTER FOR ACID-BASE CABINET")</f>
        <v>FILTER FOR ACID-BASE CABINET</v>
      </c>
      <c r="E4090" s="196" t="str">
        <f>IFERROR(__xludf.DUMMYFUNCTION("""COMPUTED_VALUE"""),"ACID BASE CABINET")</f>
        <v>ACID BASE CABINET</v>
      </c>
    </row>
    <row r="4091">
      <c r="A4091" s="234">
        <f>IFERROR(__xludf.DUMMYFUNCTION("""COMPUTED_VALUE"""),104382.0)</f>
        <v>104382</v>
      </c>
      <c r="B4091" s="235" t="str">
        <f>IFERROR(__xludf.DUMMYFUNCTION("""COMPUTED_VALUE"""),"ANGELINE LAGDAMEO/ JEREMIAH TIROL")</f>
        <v>ANGELINE LAGDAMEO/ JEREMIAH TIROL</v>
      </c>
      <c r="C4091" s="235" t="str">
        <f>IFERROR(__xludf.DUMMYFUNCTION("""COMPUTED_VALUE"""),"SCIENCE LAB COLLEGE")</f>
        <v>SCIENCE LAB COLLEGE</v>
      </c>
      <c r="D4091" s="196" t="str">
        <f>IFERROR(__xludf.DUMMYFUNCTION("""COMPUTED_VALUE"""),"UNINTERRUPTED POWER SUPPLY (UPS) 1")</f>
        <v>UNINTERRUPTED POWER SUPPLY (UPS) 1</v>
      </c>
      <c r="E4091" s="196" t="str">
        <f>IFERROR(__xludf.DUMMYFUNCTION("""COMPUTED_VALUE"""),"FOR THE MAINTENANCE OF THE ACID-BASE CABINET")</f>
        <v>FOR THE MAINTENANCE OF THE ACID-BASE CABINET</v>
      </c>
    </row>
    <row r="4092">
      <c r="A4092" s="234">
        <f>IFERROR(__xludf.DUMMYFUNCTION("""COMPUTED_VALUE"""),104383.0)</f>
        <v>104383</v>
      </c>
      <c r="B4092" s="235" t="str">
        <f>IFERROR(__xludf.DUMMYFUNCTION("""COMPUTED_VALUE"""),"CHARLES DONOR")</f>
        <v>CHARLES DONOR</v>
      </c>
      <c r="C4092" s="235" t="str">
        <f>IFERROR(__xludf.DUMMYFUNCTION("""COMPUTED_VALUE"""),"AMD")</f>
        <v>AMD</v>
      </c>
      <c r="D4092" s="196" t="str">
        <f>IFERROR(__xludf.DUMMYFUNCTION("""COMPUTED_VALUE"""),"TISSUE, JUMBO ROLL, 200 METERS  100ROLLS")</f>
        <v>TISSUE, JUMBO ROLL, 200 METERS  100ROLLS</v>
      </c>
      <c r="E4092" s="196" t="str">
        <f>IFERROR(__xludf.DUMMYFUNCTION("""COMPUTED_VALUE"""),"HSKPG- STOCK REPLENISHMENT")</f>
        <v>HSKPG- STOCK REPLENISHMENT</v>
      </c>
    </row>
    <row r="4093">
      <c r="A4093" s="234">
        <f>IFERROR(__xludf.DUMMYFUNCTION("""COMPUTED_VALUE"""),104384.0)</f>
        <v>104384</v>
      </c>
      <c r="B4093" s="235"/>
      <c r="C4093" s="235"/>
      <c r="D4093" s="196"/>
      <c r="E4093" s="196"/>
    </row>
    <row r="4094">
      <c r="A4094" s="234">
        <f>IFERROR(__xludf.DUMMYFUNCTION("""COMPUTED_VALUE"""),104385.0)</f>
        <v>104385</v>
      </c>
      <c r="B4094" s="235" t="str">
        <f>IFERROR(__xludf.DUMMYFUNCTION("""COMPUTED_VALUE"""),"CHARLES DONOR")</f>
        <v>CHARLES DONOR</v>
      </c>
      <c r="C4094" s="235" t="str">
        <f>IFERROR(__xludf.DUMMYFUNCTION("""COMPUTED_VALUE"""),"AMD")</f>
        <v>AMD</v>
      </c>
      <c r="D4094" s="196" t="str">
        <f>IFERROR(__xludf.DUMMYFUNCTION("""COMPUTED_VALUE"""),"ALL PURPOSE POWDER, 800GRAMS PER PACK 100PCS")</f>
        <v>ALL PURPOSE POWDER, 800GRAMS PER PACK 100PCS</v>
      </c>
      <c r="E4094" s="196" t="str">
        <f>IFERROR(__xludf.DUMMYFUNCTION("""COMPUTED_VALUE"""),"HSKPG - STOCK REPLENISHMENT")</f>
        <v>HSKPG - STOCK REPLENISHMENT</v>
      </c>
    </row>
    <row r="4095">
      <c r="A4095" s="234">
        <f>IFERROR(__xludf.DUMMYFUNCTION("""COMPUTED_VALUE"""),104386.0)</f>
        <v>104386</v>
      </c>
      <c r="B4095" s="235" t="str">
        <f>IFERROR(__xludf.DUMMYFUNCTION("""COMPUTED_VALUE"""),"CHARLES DONOR")</f>
        <v>CHARLES DONOR</v>
      </c>
      <c r="C4095" s="235" t="str">
        <f>IFERROR(__xludf.DUMMYFUNCTION("""COMPUTED_VALUE"""),"AMD")</f>
        <v>AMD</v>
      </c>
      <c r="D4095" s="196" t="str">
        <f>IFERROR(__xludf.DUMMYFUNCTION("""COMPUTED_VALUE"""),"HANDSOAP, ANTIBACTERIAL (YELLOW) 50GALS")</f>
        <v>HANDSOAP, ANTIBACTERIAL (YELLOW) 50GALS</v>
      </c>
      <c r="E4095" s="196" t="str">
        <f>IFERROR(__xludf.DUMMYFUNCTION("""COMPUTED_VALUE"""),"HSKPG - STOCK REPLENISHMENT")</f>
        <v>HSKPG - STOCK REPLENISHMENT</v>
      </c>
    </row>
    <row r="4096">
      <c r="A4096" s="234">
        <f>IFERROR(__xludf.DUMMYFUNCTION("""COMPUTED_VALUE"""),104387.0)</f>
        <v>104387</v>
      </c>
      <c r="B4096" s="235" t="str">
        <f>IFERROR(__xludf.DUMMYFUNCTION("""COMPUTED_VALUE"""),"ALLYSA GARCIA")</f>
        <v>ALLYSA GARCIA</v>
      </c>
      <c r="C4096" s="235" t="str">
        <f>IFERROR(__xludf.DUMMYFUNCTION("""COMPUTED_VALUE"""),"SPECIAL SUBJECTS")</f>
        <v>SPECIAL SUBJECTS</v>
      </c>
      <c r="D4096" s="196" t="str">
        <f>IFERROR(__xludf.DUMMYFUNCTION("""COMPUTED_VALUE"""),"SPOON 20
FORK 20PCS
CHEF'S KNIFE 10
PLATES 20PCS
SERVING BOWLS (SMALL) 5
SERVING BOWLS MEDIUM 5
SERVING SPOON 5
CUTTING BOARD 5
CAN OPENER 2
MEASURING CUP 3
MEASURING SPOON 3")</f>
        <v>SPOON 20
FORK 20PCS
CHEF'S KNIFE 10
PLATES 20PCS
SERVING BOWLS (SMALL) 5
SERVING BOWLS MEDIUM 5
SERVING SPOON 5
CUTTING BOARD 5
CAN OPENER 2
MEASURING CUP 3
MEASURING SPOON 3</v>
      </c>
      <c r="E4096" s="196" t="str">
        <f>IFERROR(__xludf.DUMMYFUNCTION("""COMPUTED_VALUE"""),"KITCHEN TOOLS AND UTENSILS FOR HE7 AND CONSCI 11&amp;12 STUDENTS")</f>
        <v>KITCHEN TOOLS AND UTENSILS FOR HE7 AND CONSCI 11&amp;12 STUDENTS</v>
      </c>
    </row>
    <row r="4097">
      <c r="A4097" s="234">
        <f>IFERROR(__xludf.DUMMYFUNCTION("""COMPUTED_VALUE"""),104388.0)</f>
        <v>104388</v>
      </c>
      <c r="B4097" s="235" t="str">
        <f>IFERROR(__xludf.DUMMYFUNCTION("""COMPUTED_VALUE"""),"BELOY LEOPOLDO")</f>
        <v>BELOY LEOPOLDO</v>
      </c>
      <c r="C4097" s="235" t="str">
        <f>IFERROR(__xludf.DUMMYFUNCTION("""COMPUTED_VALUE"""),"MIS")</f>
        <v>MIS</v>
      </c>
      <c r="D4097" s="196" t="str">
        <f>IFERROR(__xludf.DUMMYFUNCTION("""COMPUTED_VALUE"""),"CUTTING PLIERS 1PC
PLIERS 1PC
LONG NOSE PLIERS 1PC
FLAT SCREWDRIVER 1PC
SCREWDRIVER 1PC
DRILL BIT METAL &amp; CONCRETE 1 SET
PLUG OMNI SWING TYPE 30PCS
OUTLET4GAG OMNI SURFACE TYPE 18 PCS
STEREO MICROPHONE WIRE 150M
CANNON JACK 20
RCA AUDIO CABLE 10PCS")</f>
        <v>CUTTING PLIERS 1PC
PLIERS 1PC
LONG NOSE PLIERS 1PC
FLAT SCREWDRIVER 1PC
SCREWDRIVER 1PC
DRILL BIT METAL &amp; CONCRETE 1 SET
PLUG OMNI SWING TYPE 30PCS
OUTLET4GAG OMNI SURFACE TYPE 18 PCS
STEREO MICROPHONE WIRE 150M
CANNON JACK 20
RCA AUDIO CABLE 10PCS</v>
      </c>
      <c r="E4097" s="196" t="str">
        <f>IFERROR(__xludf.DUMMYFUNCTION("""COMPUTED_VALUE"""),"FOR AV EQUIPMENTS")</f>
        <v>FOR AV EQUIPMENTS</v>
      </c>
    </row>
    <row r="4098">
      <c r="A4098" s="234">
        <f>IFERROR(__xludf.DUMMYFUNCTION("""COMPUTED_VALUE"""),104389.0)</f>
        <v>104389</v>
      </c>
      <c r="B4098" s="235" t="str">
        <f>IFERROR(__xludf.DUMMYFUNCTION("""COMPUTED_VALUE"""),"BELOY LEOPOLDO")</f>
        <v>BELOY LEOPOLDO</v>
      </c>
      <c r="C4098" s="235" t="str">
        <f>IFERROR(__xludf.DUMMYFUNCTION("""COMPUTED_VALUE"""),"MIS")</f>
        <v>MIS</v>
      </c>
      <c r="D4098" s="196" t="str">
        <f>IFERROR(__xludf.DUMMYFUNCTION("""COMPUTED_VALUE"""),"PAIT TOOLS 1PC
HAND SAW WOOD 20"" 1PC 
CLAW HAMMER 1PC
GRINDER 1PC")</f>
        <v>PAIT TOOLS 1PC
HAND SAW WOOD 20" 1PC 
CLAW HAMMER 1PC
GRINDER 1PC</v>
      </c>
      <c r="E4098" s="196" t="str">
        <f>IFERROR(__xludf.DUMMYFUNCTION("""COMPUTED_VALUE"""),"FOR AV REPAIRS AND EVENTS")</f>
        <v>FOR AV REPAIRS AND EVENTS</v>
      </c>
    </row>
    <row r="4099">
      <c r="A4099" s="234">
        <f>IFERROR(__xludf.DUMMYFUNCTION("""COMPUTED_VALUE"""),104390.0)</f>
        <v>104390</v>
      </c>
      <c r="B4099" s="235" t="str">
        <f>IFERROR(__xludf.DUMMYFUNCTION("""COMPUTED_VALUE"""),"ELMIE LAUDIATO")</f>
        <v>ELMIE LAUDIATO</v>
      </c>
      <c r="C4099" s="235" t="str">
        <f>IFERROR(__xludf.DUMMYFUNCTION("""COMPUTED_VALUE"""),"HRMD")</f>
        <v>HRMD</v>
      </c>
      <c r="D4099" s="196" t="str">
        <f>IFERROR(__xludf.DUMMYFUNCTION("""COMPUTED_VALUE"""),"SPECIAL SUBJECTS PE UNIFORM (18 PCS. ) PLS SEE ATTACHED LISTS")</f>
        <v>SPECIAL SUBJECTS PE UNIFORM (18 PCS. ) PLS SEE ATTACHED LISTS</v>
      </c>
      <c r="E4099" s="196" t="str">
        <f>IFERROR(__xludf.DUMMYFUNCTION("""COMPUTED_VALUE"""),"PE UNIFORM FOR SPECIAL SUBJECTS")</f>
        <v>PE UNIFORM FOR SPECIAL SUBJECTS</v>
      </c>
    </row>
    <row r="4100">
      <c r="A4100" s="234">
        <f>IFERROR(__xludf.DUMMYFUNCTION("""COMPUTED_VALUE"""),104391.0)</f>
        <v>104391</v>
      </c>
      <c r="B4100" s="235" t="str">
        <f>IFERROR(__xludf.DUMMYFUNCTION("""COMPUTED_VALUE"""),"OWIE PAR")</f>
        <v>OWIE PAR</v>
      </c>
      <c r="C4100" s="235" t="str">
        <f>IFERROR(__xludf.DUMMYFUNCTION("""COMPUTED_VALUE"""),"ENGINEERING")</f>
        <v>ENGINEERING</v>
      </c>
      <c r="D4100" s="196" t="str">
        <f>IFERROR(__xludf.DUMMYFUNCTION("""COMPUTED_VALUE"""),"6.0 HP CEILING CASSETE INVERTER 2 UNITS")</f>
        <v>6.0 HP CEILING CASSETE INVERTER 2 UNITS</v>
      </c>
      <c r="E4100" s="196" t="str">
        <f>IFERROR(__xludf.DUMMYFUNCTION("""COMPUTED_VALUE"""),"REPLACEMENT FOR COLLEGE BSL AND COMLAB 3")</f>
        <v>REPLACEMENT FOR COLLEGE BSL AND COMLAB 3</v>
      </c>
    </row>
    <row r="4101">
      <c r="A4101" s="234">
        <f>IFERROR(__xludf.DUMMYFUNCTION("""COMPUTED_VALUE"""),104392.0)</f>
        <v>104392</v>
      </c>
      <c r="B4101" s="235" t="str">
        <f>IFERROR(__xludf.DUMMYFUNCTION("""COMPUTED_VALUE"""),"PHEN PETIN")</f>
        <v>PHEN PETIN</v>
      </c>
      <c r="C4101" s="235" t="str">
        <f>IFERROR(__xludf.DUMMYFUNCTION("""COMPUTED_VALUE"""),"ADMIN")</f>
        <v>ADMIN</v>
      </c>
      <c r="D4101" s="196" t="str">
        <f>IFERROR(__xludf.DUMMYFUNCTION("""COMPUTED_VALUE"""),"GARDEN TOOLS
CUTTER YELLOW 2PCS
CUTTER GREEN 2PCS")</f>
        <v>GARDEN TOOLS
CUTTER YELLOW 2PCS
CUTTER GREEN 2PCS</v>
      </c>
      <c r="E4101" s="196" t="str">
        <f>IFERROR(__xludf.DUMMYFUNCTION("""COMPUTED_VALUE"""),"FOR GARDEN USE STAR CAMPUS")</f>
        <v>FOR GARDEN USE STAR CAMPUS</v>
      </c>
    </row>
    <row r="4102">
      <c r="A4102" s="234">
        <f>IFERROR(__xludf.DUMMYFUNCTION("""COMPUTED_VALUE"""),104393.0)</f>
        <v>104393</v>
      </c>
      <c r="B4102" s="235" t="str">
        <f>IFERROR(__xludf.DUMMYFUNCTION("""COMPUTED_VALUE"""),"OWIE PAR")</f>
        <v>OWIE PAR</v>
      </c>
      <c r="C4102" s="235" t="str">
        <f>IFERROR(__xludf.DUMMYFUNCTION("""COMPUTED_VALUE"""),"ENGINEERING")</f>
        <v>ENGINEERING</v>
      </c>
      <c r="D4102" s="196" t="str">
        <f>IFERROR(__xludf.DUMMYFUNCTION("""COMPUTED_VALUE"""),"LED HALLOGEN LIGHTS 5pcs")</f>
        <v>LED HALLOGEN LIGHTS 5pcs</v>
      </c>
      <c r="E4102" s="196" t="str">
        <f>IFERROR(__xludf.DUMMYFUNCTION("""COMPUTED_VALUE"""),"FOR COLLEGE PSYCH FACULTY")</f>
        <v>FOR COLLEGE PSYCH FACULTY</v>
      </c>
    </row>
    <row r="4103">
      <c r="A4103" s="234">
        <f>IFERROR(__xludf.DUMMYFUNCTION("""COMPUTED_VALUE"""),104394.0)</f>
        <v>104394</v>
      </c>
      <c r="B4103" s="235" t="str">
        <f>IFERROR(__xludf.DUMMYFUNCTION("""COMPUTED_VALUE"""),"OWIE PAR")</f>
        <v>OWIE PAR</v>
      </c>
      <c r="C4103" s="235" t="str">
        <f>IFERROR(__xludf.DUMMYFUNCTION("""COMPUTED_VALUE"""),"ENGINEERING")</f>
        <v>ENGINEERING</v>
      </c>
      <c r="D4103" s="196" t="str">
        <f>IFERROR(__xludf.DUMMYFUNCTION("""COMPUTED_VALUE"""),"GI PIPE #2 GUAGE 40 3 LENGTH
DYNA BOLT #1/2 15PCS")</f>
        <v>GI PIPE #2 GUAGE 40 3 LENGTH
DYNA BOLT #1/2 15PCS</v>
      </c>
      <c r="E4103" s="196" t="str">
        <f>IFERROR(__xludf.DUMMYFUNCTION("""COMPUTED_VALUE"""),"FOR MUNICH IMPROVEMENTS OF GATE RAMP")</f>
        <v>FOR MUNICH IMPROVEMENTS OF GATE RAMP</v>
      </c>
    </row>
    <row r="4104">
      <c r="A4104" s="234">
        <f>IFERROR(__xludf.DUMMYFUNCTION("""COMPUTED_VALUE"""),104395.0)</f>
        <v>104395</v>
      </c>
      <c r="B4104" s="235" t="str">
        <f>IFERROR(__xludf.DUMMYFUNCTION("""COMPUTED_VALUE"""),"OWIE PAR")</f>
        <v>OWIE PAR</v>
      </c>
      <c r="C4104" s="235" t="str">
        <f>IFERROR(__xludf.DUMMYFUNCTION("""COMPUTED_VALUE"""),"ENGINEERING")</f>
        <v>ENGINEERING</v>
      </c>
      <c r="D4104" s="196" t="str">
        <f>IFERROR(__xludf.DUMMYFUNCTION("""COMPUTED_VALUE"""),"GI PIPE #3 GUAGE 40 3 LENGTH
DYNA BOLT #1/2 5PCS")</f>
        <v>GI PIPE #3 GUAGE 40 3 LENGTH
DYNA BOLT #1/2 5PCS</v>
      </c>
      <c r="E4104" s="196" t="str">
        <f>IFERROR(__xludf.DUMMYFUNCTION("""COMPUTED_VALUE"""),"FOR STAR CAMPUS PARKING AAREA ADDITIONAL MAT")</f>
        <v>FOR STAR CAMPUS PARKING AAREA ADDITIONAL MAT</v>
      </c>
    </row>
    <row r="4105">
      <c r="A4105" s="234">
        <f>IFERROR(__xludf.DUMMYFUNCTION("""COMPUTED_VALUE"""),104396.0)</f>
        <v>104396</v>
      </c>
      <c r="B4105" s="235" t="str">
        <f>IFERROR(__xludf.DUMMYFUNCTION("""COMPUTED_VALUE"""),"OWIE PAR")</f>
        <v>OWIE PAR</v>
      </c>
      <c r="C4105" s="235" t="str">
        <f>IFERROR(__xludf.DUMMYFUNCTION("""COMPUTED_VALUE"""),"ENGINEERING")</f>
        <v>ENGINEERING</v>
      </c>
      <c r="D4105" s="196" t="str">
        <f>IFERROR(__xludf.DUMMYFUNCTION("""COMPUTED_VALUE"""),"2.5 HP WALL MOUNTED INVERTER R-32-   3UNITS
1.5 WALL MOUNTED INVERTER R-12 -  1 UNIT ")</f>
        <v>2.5 HP WALL MOUNTED INVERTER R-32-   3UNITS
1.5 WALL MOUNTED INVERTER R-12 -  1 UNIT </v>
      </c>
      <c r="E4105" s="196" t="str">
        <f>IFERROR(__xludf.DUMMYFUNCTION("""COMPUTED_VALUE"""),"FOR STAR CAMPUS REPLACEMENT OF ACU'S 201, 202, 203, PRINCIPAL'S OFFICE")</f>
        <v>FOR STAR CAMPUS REPLACEMENT OF ACU'S 201, 202, 203, PRINCIPAL'S OFFICE</v>
      </c>
    </row>
    <row r="4106">
      <c r="A4106" s="234">
        <f>IFERROR(__xludf.DUMMYFUNCTION("""COMPUTED_VALUE"""),104397.0)</f>
        <v>104397</v>
      </c>
      <c r="B4106" s="235" t="str">
        <f>IFERROR(__xludf.DUMMYFUNCTION("""COMPUTED_VALUE"""),"CAMILLE GABRIEL")</f>
        <v>CAMILLE GABRIEL</v>
      </c>
      <c r="C4106" s="235" t="str">
        <f>IFERROR(__xludf.DUMMYFUNCTION("""COMPUTED_VALUE"""),"HRMD")</f>
        <v>HRMD</v>
      </c>
      <c r="D4106" s="196" t="str">
        <f>IFERROR(__xludf.DUMMYFUNCTION("""COMPUTED_VALUE"""),"TRAVELING PLAQUE FOR FAMILY DAY 1")</f>
        <v>TRAVELING PLAQUE FOR FAMILY DAY 1</v>
      </c>
      <c r="E4106" s="196" t="str">
        <f>IFERROR(__xludf.DUMMYFUNCTION("""COMPUTED_VALUE"""),"SPORTFEST- FAMILY DAY PLAQUE FSAM CHRISTMAS PARTY PLAQUE")</f>
        <v>SPORTFEST- FAMILY DAY PLAQUE FSAM CHRISTMAS PARTY PLAQUE</v>
      </c>
    </row>
    <row r="4107">
      <c r="A4107" s="234">
        <f>IFERROR(__xludf.DUMMYFUNCTION("""COMPUTED_VALUE"""),104398.0)</f>
        <v>104398</v>
      </c>
      <c r="B4107" s="235" t="str">
        <f>IFERROR(__xludf.DUMMYFUNCTION("""COMPUTED_VALUE"""),"OWIE PAR")</f>
        <v>OWIE PAR</v>
      </c>
      <c r="C4107" s="235" t="str">
        <f>IFERROR(__xludf.DUMMYFUNCTION("""COMPUTED_VALUE"""),"ENGINEERING")</f>
        <v>ENGINEERING</v>
      </c>
      <c r="D4107" s="196" t="str">
        <f>IFERROR(__xludf.DUMMYFUNCTION("""COMPUTED_VALUE"""),"WIDE SERIES OUTLET 2 GANG 50SETS
WIDE SERIES SWITCH 1 GANG 50SETS
WIDE SERIES SWITCH 2 GANG 50SETS
WIDE SERIES SWITCH 3 GANG 50SETS
WIDE SERIES BLANK COVER 30SETS
THHN #12 10METER
ELECTRICAL TAPE 5ROLL")</f>
        <v>WIDE SERIES OUTLET 2 GANG 50SETS
WIDE SERIES SWITCH 1 GANG 50SETS
WIDE SERIES SWITCH 2 GANG 50SETS
WIDE SERIES SWITCH 3 GANG 50SETS
WIDE SERIES BLANK COVER 30SETS
THHN #12 10METER
ELECTRICAL TAPE 5ROLL</v>
      </c>
      <c r="E4107" s="196" t="str">
        <f>IFERROR(__xludf.DUMMYFUNCTION("""COMPUTED_VALUE"""),"REPLACEMENT OF OLD ELECTRICAL OUTLETS AND SWITCHES")</f>
        <v>REPLACEMENT OF OLD ELECTRICAL OUTLETS AND SWITCHES</v>
      </c>
    </row>
    <row r="4108">
      <c r="A4108" s="234">
        <f>IFERROR(__xludf.DUMMYFUNCTION("""COMPUTED_VALUE"""),104399.0)</f>
        <v>104399</v>
      </c>
      <c r="B4108" s="235" t="str">
        <f>IFERROR(__xludf.DUMMYFUNCTION("""COMPUTED_VALUE"""),"SHEREE ESPINOSA")</f>
        <v>SHEREE ESPINOSA</v>
      </c>
      <c r="C4108" s="235" t="str">
        <f>IFERROR(__xludf.DUMMYFUNCTION("""COMPUTED_VALUE"""),"ADMIN")</f>
        <v>ADMIN</v>
      </c>
      <c r="D4108" s="196" t="str">
        <f>IFERROR(__xludf.DUMMYFUNCTION("""COMPUTED_VALUE"""),"CR SIGNAGE ")</f>
        <v>CR SIGNAGE </v>
      </c>
      <c r="E4108" s="196" t="str">
        <f>IFERROR(__xludf.DUMMYFUNCTION("""COMPUTED_VALUE"""),"SIGNAGE FOR MONARCH PARK CR")</f>
        <v>SIGNAGE FOR MONARCH PARK CR</v>
      </c>
    </row>
    <row r="4109">
      <c r="A4109" s="234">
        <f>IFERROR(__xludf.DUMMYFUNCTION("""COMPUTED_VALUE"""),104400.0)</f>
        <v>104400</v>
      </c>
      <c r="B4109" s="235" t="str">
        <f>IFERROR(__xludf.DUMMYFUNCTION("""COMPUTED_VALUE"""),"SHEREE ESPINOSA")</f>
        <v>SHEREE ESPINOSA</v>
      </c>
      <c r="C4109" s="235" t="str">
        <f>IFERROR(__xludf.DUMMYFUNCTION("""COMPUTED_VALUE"""),"ADMIN")</f>
        <v>ADMIN</v>
      </c>
      <c r="D4109" s="196" t="str">
        <f>IFERROR(__xludf.DUMMYFUNCTION("""COMPUTED_VALUE"""),"ACOUSTIC BOARDS 
LUX 50
COLLEGE 50
TROPICAL 50
MUNICH 50
STAR CAMPUS 50")</f>
        <v>ACOUSTIC BOARDS 
LUX 50
COLLEGE 50
TROPICAL 50
MUNICH 50
STAR CAMPUS 50</v>
      </c>
      <c r="E4109" s="196" t="str">
        <f>IFERROR(__xludf.DUMMYFUNCTION("""COMPUTED_VALUE"""),"FOR ACCREDITATION PREPARATION ")</f>
        <v>FOR ACCREDITATION PREPARATION </v>
      </c>
    </row>
    <row r="4110">
      <c r="A4110" s="234">
        <f>IFERROR(__xludf.DUMMYFUNCTION("""COMPUTED_VALUE"""),104401.0)</f>
        <v>104401</v>
      </c>
      <c r="B4110" s="235" t="str">
        <f>IFERROR(__xludf.DUMMYFUNCTION("""COMPUTED_VALUE"""),"PHEN PETIN")</f>
        <v>PHEN PETIN</v>
      </c>
      <c r="C4110" s="235" t="str">
        <f>IFERROR(__xludf.DUMMYFUNCTION("""COMPUTED_VALUE"""),"ADMIN")</f>
        <v>ADMIN</v>
      </c>
      <c r="D4110" s="196" t="str">
        <f>IFERROR(__xludf.DUMMYFUNCTION("""COMPUTED_VALUE"""),"RUGBY 1GAL")</f>
        <v>RUGBY 1GAL</v>
      </c>
      <c r="E4110" s="196" t="str">
        <f>IFERROR(__xludf.DUMMYFUNCTION("""COMPUTED_VALUE"""),"FOR INSTALLATION OF RAMP MATTS")</f>
        <v>FOR INSTALLATION OF RAMP MATTS</v>
      </c>
    </row>
    <row r="4111">
      <c r="A4111" s="234">
        <f>IFERROR(__xludf.DUMMYFUNCTION("""COMPUTED_VALUE"""),104402.0)</f>
        <v>104402</v>
      </c>
      <c r="B4111" s="235" t="str">
        <f>IFERROR(__xludf.DUMMYFUNCTION("""COMPUTED_VALUE"""),"ELYDIA REYES")</f>
        <v>ELYDIA REYES</v>
      </c>
      <c r="C4111" s="235" t="str">
        <f>IFERROR(__xludf.DUMMYFUNCTION("""COMPUTED_VALUE"""),"PR MARKETING")</f>
        <v>PR MARKETING</v>
      </c>
      <c r="D4111" s="196" t="str">
        <f>IFERROR(__xludf.DUMMYFUNCTION("""COMPUTED_VALUE"""),"ESL FLYER. ")</f>
        <v>ESL FLYER. </v>
      </c>
      <c r="E4111" s="196" t="str">
        <f>IFERROR(__xludf.DUMMYFUNCTION("""COMPUTED_VALUE"""),"TO PROMOTE ESL PROGRAM OF SOUTHVILLE")</f>
        <v>TO PROMOTE ESL PROGRAM OF SOUTHVILLE</v>
      </c>
    </row>
    <row r="4112">
      <c r="A4112" s="234">
        <f>IFERROR(__xludf.DUMMYFUNCTION("""COMPUTED_VALUE"""),104403.0)</f>
        <v>104403</v>
      </c>
      <c r="B4112" s="235" t="str">
        <f>IFERROR(__xludf.DUMMYFUNCTION("""COMPUTED_VALUE"""),"MS JAN GUTIERREZ")</f>
        <v>MS JAN GUTIERREZ</v>
      </c>
      <c r="C4112" s="235" t="str">
        <f>IFERROR(__xludf.DUMMYFUNCTION("""COMPUTED_VALUE"""),"SHS DEPARTMENT")</f>
        <v>SHS DEPARTMENT</v>
      </c>
      <c r="D4112" s="196" t="str">
        <f>IFERROR(__xludf.DUMMYFUNCTION("""COMPUTED_VALUE"""),"VALUES EXCELLENCE (WHITE LACE)= 130PCS
PERFECT ATTENDANCE (YELLOW LACE) = 18PCS
LOYALTY MEDAL = 17PCS
SUBJECT EXCELLENCE (TRI-COLOR) = 40PCS
ACADEMIC EXCELLENCE (GREEN LACE) - GOLD = 120PCS
ACADEMIC EXCELLENCE (PURPLE LACE) - SILVER = 55PCS
ACADEMIC EXCEL"&amp;"LENCE (PINK LACE) - BRONZE = 31PCS
GENERAL SCHOLASTIC AWARD (TRI-COLOR) - GOLD = 18PCS
AFSL = 15PCS
ATHLETE OF YEAR = 2PCS")</f>
        <v>VALUES EXCELLENCE (WHITE LACE)= 130PCS
PERFECT ATTENDANCE (YELLOW LACE) = 18PCS
LOYALTY MEDAL = 17PCS
SUBJECT EXCELLENCE (TRI-COLOR) = 40PCS
ACADEMIC EXCELLENCE (GREEN LACE) - GOLD = 120PCS
ACADEMIC EXCELLENCE (PURPLE LACE) - SILVER = 55PCS
ACADEMIC EXCELLENCE (PINK LACE) - BRONZE = 31PCS
GENERAL SCHOLASTIC AWARD (TRI-COLOR) - GOLD = 18PCS
AFSL = 15PCS
ATHLETE OF YEAR = 2PCS</v>
      </c>
      <c r="E4112" s="196" t="str">
        <f>IFERROR(__xludf.DUMMYFUNCTION("""COMPUTED_VALUE"""),"SHS GRADUATION AY 23-24")</f>
        <v>SHS GRADUATION AY 23-24</v>
      </c>
    </row>
    <row r="4113">
      <c r="A4113" s="234">
        <f>IFERROR(__xludf.DUMMYFUNCTION("""COMPUTED_VALUE"""),104404.0)</f>
        <v>104404</v>
      </c>
      <c r="B4113" s="235" t="str">
        <f>IFERROR(__xludf.DUMMYFUNCTION("""COMPUTED_VALUE"""),"GERALDINE MADINA")</f>
        <v>GERALDINE MADINA</v>
      </c>
      <c r="C4113" s="235" t="str">
        <f>IFERROR(__xludf.DUMMYFUNCTION("""COMPUTED_VALUE"""),"PR &amp; MARKETING")</f>
        <v>PR &amp; MARKETING</v>
      </c>
      <c r="D4113" s="196" t="str">
        <f>IFERROR(__xludf.DUMMYFUNCTION("""COMPUTED_VALUE"""),"NEW TOYS FOR LEARNING VILLAGE")</f>
        <v>NEW TOYS FOR LEARNING VILLAGE</v>
      </c>
      <c r="E4113" s="196" t="str">
        <f>IFERROR(__xludf.DUMMYFUNCTION("""COMPUTED_VALUE"""),"NEW TOYS FOR LEARNING VILLAGE")</f>
        <v>NEW TOYS FOR LEARNING VILLAGE</v>
      </c>
    </row>
    <row r="4114">
      <c r="A4114" s="234">
        <f>IFERROR(__xludf.DUMMYFUNCTION("""COMPUTED_VALUE"""),104405.0)</f>
        <v>104405</v>
      </c>
      <c r="B4114" s="235" t="str">
        <f>IFERROR(__xludf.DUMMYFUNCTION("""COMPUTED_VALUE"""),"OWIE PAR")</f>
        <v>OWIE PAR</v>
      </c>
      <c r="C4114" s="235" t="str">
        <f>IFERROR(__xludf.DUMMYFUNCTION("""COMPUTED_VALUE"""),"ENGINEERING")</f>
        <v>ENGINEERING</v>
      </c>
      <c r="D4114" s="196" t="str">
        <f>IFERROR(__xludf.DUMMYFUNCTION("""COMPUTED_VALUE"""),"1.5 HP WALL MOUNTED TYPE INVERTER 1 UNIT")</f>
        <v>1.5 HP WALL MOUNTED TYPE INVERTER 1 UNIT</v>
      </c>
      <c r="E4114" s="196" t="str">
        <f>IFERROR(__xludf.DUMMYFUNCTION("""COMPUTED_VALUE"""),"FOR LV STAR CAMPUS IMPROVEMENT OF VENTILATION SYSTEM")</f>
        <v>FOR LV STAR CAMPUS IMPROVEMENT OF VENTILATION SYSTEM</v>
      </c>
    </row>
    <row r="4115">
      <c r="A4115" s="234">
        <f>IFERROR(__xludf.DUMMYFUNCTION("""COMPUTED_VALUE"""),104406.0)</f>
        <v>104406</v>
      </c>
      <c r="B4115" s="235" t="str">
        <f>IFERROR(__xludf.DUMMYFUNCTION("""COMPUTED_VALUE"""),"GERALDINE MADINA")</f>
        <v>GERALDINE MADINA</v>
      </c>
      <c r="C4115" s="235" t="str">
        <f>IFERROR(__xludf.DUMMYFUNCTION("""COMPUTED_VALUE"""),"SGEN LEARNING VILLAGE")</f>
        <v>SGEN LEARNING VILLAGE</v>
      </c>
      <c r="D4115" s="196" t="str">
        <f>IFERROR(__xludf.DUMMYFUNCTION("""COMPUTED_VALUE"""),"NEW TOYS FOR LEARNING VILLAGE")</f>
        <v>NEW TOYS FOR LEARNING VILLAGE</v>
      </c>
      <c r="E4115" s="196" t="str">
        <f>IFERROR(__xludf.DUMMYFUNCTION("""COMPUTED_VALUE"""),"NEW TOYS FOR LEARNING VILLAGE")</f>
        <v>NEW TOYS FOR LEARNING VILLAGE</v>
      </c>
    </row>
    <row r="4116">
      <c r="A4116" s="234">
        <f>IFERROR(__xludf.DUMMYFUNCTION("""COMPUTED_VALUE"""),104407.0)</f>
        <v>104407</v>
      </c>
      <c r="B4116" s="235" t="str">
        <f>IFERROR(__xludf.DUMMYFUNCTION("""COMPUTED_VALUE"""),"CHRISTIAN ANDRES")</f>
        <v>CHRISTIAN ANDRES</v>
      </c>
      <c r="C4116" s="235" t="str">
        <f>IFERROR(__xludf.DUMMYFUNCTION("""COMPUTED_VALUE"""),"PR &amp; MARKETING")</f>
        <v>PR &amp; MARKETING</v>
      </c>
      <c r="D4116" s="196" t="str">
        <f>IFERROR(__xludf.DUMMYFUNCTION("""COMPUTED_VALUE"""),"SPLASH ISLAND TARP 2PCS
2X6 FEET
WITH SEAMING
EYELET ALL OVER
WITH BLACK-OUT")</f>
        <v>SPLASH ISLAND TARP 2PCS
2X6 FEET
WITH SEAMING
EYELET ALL OVER
WITH BLACK-OUT</v>
      </c>
      <c r="E4116" s="196" t="str">
        <f>IFERROR(__xludf.DUMMYFUNCTION("""COMPUTED_VALUE"""),"MARKETING AT SPLASH ISLAND")</f>
        <v>MARKETING AT SPLASH ISLAND</v>
      </c>
    </row>
    <row r="4117">
      <c r="A4117" s="234">
        <f>IFERROR(__xludf.DUMMYFUNCTION("""COMPUTED_VALUE"""),104408.0)</f>
        <v>104408</v>
      </c>
      <c r="B4117" s="235" t="str">
        <f>IFERROR(__xludf.DUMMYFUNCTION("""COMPUTED_VALUE"""),"CHRISTIAN ANDRES")</f>
        <v>CHRISTIAN ANDRES</v>
      </c>
      <c r="C4117" s="235" t="str">
        <f>IFERROR(__xludf.DUMMYFUNCTION("""COMPUTED_VALUE"""),"PR &amp; MARKETING")</f>
        <v>PR &amp; MARKETING</v>
      </c>
      <c r="D4117" s="196" t="str">
        <f>IFERROR(__xludf.DUMMYFUNCTION("""COMPUTED_VALUE"""),"SMIS ANTEL LAMP-POST BANNER 1X10 FEET W/ EYELET ALL OVER NO SEAMING NOT BLACK OUT(PCS = ATTACHED FILE) - Changed to SMIS PRF number")</f>
        <v>SMIS ANTEL LAMP-POST BANNER 1X10 FEET W/ EYELET ALL OVER NO SEAMING NOT BLACK OUT(PCS = ATTACHED FILE) - Changed to SMIS PRF number</v>
      </c>
      <c r="E4117" s="196" t="str">
        <f>IFERROR(__xludf.DUMMYFUNCTION("""COMPUTED_VALUE"""),"SMIS PROMOTION/MARKETING")</f>
        <v>SMIS PROMOTION/MARKETING</v>
      </c>
    </row>
    <row r="4118">
      <c r="A4118" s="234">
        <f>IFERROR(__xludf.DUMMYFUNCTION("""COMPUTED_VALUE"""),104409.0)</f>
        <v>104409</v>
      </c>
      <c r="B4118" s="235" t="str">
        <f>IFERROR(__xludf.DUMMYFUNCTION("""COMPUTED_VALUE"""),"JESUIT CHRISTIAN GALICIA")</f>
        <v>JESUIT CHRISTIAN GALICIA</v>
      </c>
      <c r="C4118" s="235" t="str">
        <f>IFERROR(__xludf.DUMMYFUNCTION("""COMPUTED_VALUE"""),"AMD")</f>
        <v>AMD</v>
      </c>
      <c r="D4118" s="196" t="str">
        <f>IFERROR(__xludf.DUMMYFUNCTION("""COMPUTED_VALUE"""),"LAVATORY FAUCET (CRESTON SHORT) 20PCS")</f>
        <v>LAVATORY FAUCET (CRESTON SHORT) 20PCS</v>
      </c>
      <c r="E4118" s="196" t="str">
        <f>IFERROR(__xludf.DUMMYFUNCTION("""COMPUTED_VALUE"""),"ENGINEERING WAREHOUSE STOCK REPLENISHMENT")</f>
        <v>ENGINEERING WAREHOUSE STOCK REPLENISHMENT</v>
      </c>
    </row>
    <row r="4119">
      <c r="A4119" s="234">
        <f>IFERROR(__xludf.DUMMYFUNCTION("""COMPUTED_VALUE"""),104410.0)</f>
        <v>104410</v>
      </c>
      <c r="B4119" s="235" t="str">
        <f>IFERROR(__xludf.DUMMYFUNCTION("""COMPUTED_VALUE"""),"OWIE PAR")</f>
        <v>OWIE PAR</v>
      </c>
      <c r="C4119" s="235" t="str">
        <f>IFERROR(__xludf.DUMMYFUNCTION("""COMPUTED_VALUE"""),"ENGINEERING")</f>
        <v>ENGINEERING</v>
      </c>
      <c r="D4119" s="196" t="str">
        <f>IFERROR(__xludf.DUMMYFUNCTION("""COMPUTED_VALUE"""),"DOOR HANGER #2 4PAIRS
DOOR TRACK #2 x 10FT 4PCS")</f>
        <v>DOOR HANGER #2 4PAIRS
DOOR TRACK #2 x 10FT 4PCS</v>
      </c>
      <c r="E4119" s="196" t="str">
        <f>IFERROR(__xludf.DUMMYFUNCTION("""COMPUTED_VALUE"""),"FOR LUX MAIN SLIDING GATE")</f>
        <v>FOR LUX MAIN SLIDING GATE</v>
      </c>
    </row>
    <row r="4120">
      <c r="A4120" s="234">
        <f>IFERROR(__xludf.DUMMYFUNCTION("""COMPUTED_VALUE"""),104411.0)</f>
        <v>104411</v>
      </c>
      <c r="B4120" s="235" t="str">
        <f>IFERROR(__xludf.DUMMYFUNCTION("""COMPUTED_VALUE"""),"ALFA DE LEON")</f>
        <v>ALFA DE LEON</v>
      </c>
      <c r="C4120" s="235" t="str">
        <f>IFERROR(__xludf.DUMMYFUNCTION("""COMPUTED_VALUE"""),"MUNICH")</f>
        <v>MUNICH</v>
      </c>
      <c r="D4120" s="196" t="str">
        <f>IFERROR(__xludf.DUMMYFUNCTION("""COMPUTED_VALUE"""),"ORBIT FAN 1")</f>
        <v>ORBIT FAN 1</v>
      </c>
      <c r="E4120" s="196" t="str">
        <f>IFERROR(__xludf.DUMMYFUNCTION("""COMPUTED_VALUE"""),"REPLACEMENT OF BROKEN ORBIT FAN IN RM 105")</f>
        <v>REPLACEMENT OF BROKEN ORBIT FAN IN RM 105</v>
      </c>
    </row>
    <row r="4121">
      <c r="A4121" s="234">
        <f>IFERROR(__xludf.DUMMYFUNCTION("""COMPUTED_VALUE"""),104412.0)</f>
        <v>104412</v>
      </c>
      <c r="B4121" s="235" t="str">
        <f>IFERROR(__xludf.DUMMYFUNCTION("""COMPUTED_VALUE"""),"OWIE PAR")</f>
        <v>OWIE PAR</v>
      </c>
      <c r="C4121" s="235" t="str">
        <f>IFERROR(__xludf.DUMMYFUNCTION("""COMPUTED_VALUE"""),"ENGINEERING")</f>
        <v>ENGINEERING</v>
      </c>
      <c r="D4121" s="196" t="str">
        <f>IFERROR(__xludf.DUMMYFUNCTION("""COMPUTED_VALUE"""),"ORBIT FAN ROUND BASEN1 UNIT")</f>
        <v>ORBIT FAN ROUND BASEN1 UNIT</v>
      </c>
      <c r="E4121" s="196" t="str">
        <f>IFERROR(__xludf.DUMMYFUNCTION("""COMPUTED_VALUE"""),"FOR COLLEGE MPH REPLACEMENT")</f>
        <v>FOR COLLEGE MPH REPLACEMENT</v>
      </c>
    </row>
    <row r="4122">
      <c r="A4122" s="234">
        <f>IFERROR(__xludf.DUMMYFUNCTION("""COMPUTED_VALUE"""),104413.0)</f>
        <v>104413</v>
      </c>
      <c r="B4122" s="235" t="str">
        <f>IFERROR(__xludf.DUMMYFUNCTION("""COMPUTED_VALUE"""),"SHEREE ESPINOSA")</f>
        <v>SHEREE ESPINOSA</v>
      </c>
      <c r="C4122" s="235" t="str">
        <f>IFERROR(__xludf.DUMMYFUNCTION("""COMPUTED_VALUE"""),"ADMIN")</f>
        <v>ADMIN</v>
      </c>
      <c r="D4122" s="196" t="str">
        <f>IFERROR(__xludf.DUMMYFUNCTION("""COMPUTED_VALUE"""),"ACRYLIC FRAMES 30PCS")</f>
        <v>ACRYLIC FRAMES 30PCS</v>
      </c>
      <c r="E4122" s="196" t="str">
        <f>IFERROR(__xludf.DUMMYFUNCTION("""COMPUTED_VALUE"""),"FRO SCHEDULE AND GUIDELINES FOR COLLEGE (LAB)")</f>
        <v>FRO SCHEDULE AND GUIDELINES FOR COLLEGE (LAB)</v>
      </c>
    </row>
    <row r="4123">
      <c r="A4123" s="234">
        <f>IFERROR(__xludf.DUMMYFUNCTION("""COMPUTED_VALUE"""),104414.0)</f>
        <v>104414</v>
      </c>
      <c r="B4123" s="235" t="str">
        <f>IFERROR(__xludf.DUMMYFUNCTION("""COMPUTED_VALUE"""),"CHRISTIAN ANDRES")</f>
        <v>CHRISTIAN ANDRES</v>
      </c>
      <c r="C4123" s="235" t="str">
        <f>IFERROR(__xludf.DUMMYFUNCTION("""COMPUTED_VALUE"""),"PR &amp; MARKETING")</f>
        <v>PR &amp; MARKETING</v>
      </c>
      <c r="D4123" s="196" t="str">
        <f>IFERROR(__xludf.DUMMYFUNCTION("""COMPUTED_VALUE"""),"NATIONAL WINNERS FOR VARIOUS ACCOUNTING COMPETITIONS TARP 
10x20FT
WITH SEAMING, BLACKOUT 
EYELET ALL OVER (1 FEET APART)")</f>
        <v>NATIONAL WINNERS FOR VARIOUS ACCOUNTING COMPETITIONS TARP 
10x20FT
WITH SEAMING, BLACKOUT 
EYELET ALL OVER (1 FEET APART)</v>
      </c>
      <c r="E4123" s="196" t="str">
        <f>IFERROR(__xludf.DUMMYFUNCTION("""COMPUTED_VALUE"""),"MARKETING/ PROMOTIONAL")</f>
        <v>MARKETING/ PROMOTIONAL</v>
      </c>
    </row>
    <row r="4124">
      <c r="A4124" s="234">
        <f>IFERROR(__xludf.DUMMYFUNCTION("""COMPUTED_VALUE"""),104415.0)</f>
        <v>104415</v>
      </c>
      <c r="B4124" s="235" t="str">
        <f>IFERROR(__xludf.DUMMYFUNCTION("""COMPUTED_VALUE"""),"ALFA DE LEON")</f>
        <v>ALFA DE LEON</v>
      </c>
      <c r="C4124" s="235" t="str">
        <f>IFERROR(__xludf.DUMMYFUNCTION("""COMPUTED_VALUE"""),"MUNICH")</f>
        <v>MUNICH</v>
      </c>
      <c r="D4124" s="196" t="str">
        <f>IFERROR(__xludf.DUMMYFUNCTION("""COMPUTED_VALUE"""),"FAUCET 4
FAUCET 1")</f>
        <v>FAUCET 4
FAUCET 1</v>
      </c>
      <c r="E4124" s="196" t="str">
        <f>IFERROR(__xludf.DUMMYFUNCTION("""COMPUTED_VALUE"""),"REPLACEMENT OF BROKEN FAUCET 3/F CR &amp; CLASSROOM 101")</f>
        <v>REPLACEMENT OF BROKEN FAUCET 3/F CR &amp; CLASSROOM 101</v>
      </c>
    </row>
    <row r="4125">
      <c r="A4125" s="234">
        <f>IFERROR(__xludf.DUMMYFUNCTION("""COMPUTED_VALUE"""),104416.0)</f>
        <v>104416</v>
      </c>
      <c r="B4125" s="235" t="str">
        <f>IFERROR(__xludf.DUMMYFUNCTION("""COMPUTED_VALUE"""),"CARLITO DELA VEGA")</f>
        <v>CARLITO DELA VEGA</v>
      </c>
      <c r="C4125" s="235" t="str">
        <f>IFERROR(__xludf.DUMMYFUNCTION("""COMPUTED_VALUE"""),"SECURITY")</f>
        <v>SECURITY</v>
      </c>
      <c r="D4125" s="196" t="str">
        <f>IFERROR(__xludf.DUMMYFUNCTION("""COMPUTED_VALUE"""),"UNIVERSAL OUTLET RECEPTACLE SINGLE 200
WATERPROOF JUNCTION BOX CCTV WHITE 200")</f>
        <v>UNIVERSAL OUTLET RECEPTACLE SINGLE 200
WATERPROOF JUNCTION BOX CCTV WHITE 200</v>
      </c>
      <c r="E4125" s="196" t="str">
        <f>IFERROR(__xludf.DUMMYFUNCTION("""COMPUTED_VALUE"""),"WIFI CAMS POWER SUPPLY BOX")</f>
        <v>WIFI CAMS POWER SUPPLY BOX</v>
      </c>
    </row>
    <row r="4126">
      <c r="A4126" s="234">
        <f>IFERROR(__xludf.DUMMYFUNCTION("""COMPUTED_VALUE"""),104417.0)</f>
        <v>104417</v>
      </c>
      <c r="B4126" s="235" t="str">
        <f>IFERROR(__xludf.DUMMYFUNCTION("""COMPUTED_VALUE"""),"SHEREE ESPINOSA")</f>
        <v>SHEREE ESPINOSA</v>
      </c>
      <c r="C4126" s="235" t="str">
        <f>IFERROR(__xludf.DUMMYFUNCTION("""COMPUTED_VALUE"""),"ADMIN")</f>
        <v>ADMIN</v>
      </c>
      <c r="D4126" s="196" t="str">
        <f>IFERROR(__xludf.DUMMYFUNCTION("""COMPUTED_VALUE"""),"FRAMES 20PCS
TRASH BINS (FOOT LEVER) 20PCS")</f>
        <v>FRAMES 20PCS
TRASH BINS (FOOT LEVER) 20PCS</v>
      </c>
      <c r="E4126" s="196" t="str">
        <f>IFERROR(__xludf.DUMMYFUNCTION("""COMPUTED_VALUE"""),"FOR WASC PREPARATION- FOR KEY AREAS  (CRs)")</f>
        <v>FOR WASC PREPARATION- FOR KEY AREAS  (CRs)</v>
      </c>
    </row>
    <row r="4127">
      <c r="A4127" s="234">
        <f>IFERROR(__xludf.DUMMYFUNCTION("""COMPUTED_VALUE"""),104418.0)</f>
        <v>104418</v>
      </c>
      <c r="B4127" s="235" t="str">
        <f>IFERROR(__xludf.DUMMYFUNCTION("""COMPUTED_VALUE"""),"SHEREE ESPINOSA- CANSELLED")</f>
        <v>SHEREE ESPINOSA- CANSELLED</v>
      </c>
      <c r="C4127" s="235" t="str">
        <f>IFERROR(__xludf.DUMMYFUNCTION("""COMPUTED_VALUE"""),"ADMIN")</f>
        <v>ADMIN</v>
      </c>
      <c r="D4127" s="196" t="str">
        <f>IFERROR(__xludf.DUMMYFUNCTION("""COMPUTED_VALUE"""),"PLANT BOXES(LARGE) 4")</f>
        <v>PLANT BOXES(LARGE) 4</v>
      </c>
      <c r="E4127" s="196" t="str">
        <f>IFERROR(__xludf.DUMMYFUNCTION("""COMPUTED_VALUE"""),"FOR WASC PREPARATION- MONARCHS FITNESS HUB")</f>
        <v>FOR WASC PREPARATION- MONARCHS FITNESS HUB</v>
      </c>
    </row>
    <row r="4128">
      <c r="A4128" s="234">
        <f>IFERROR(__xludf.DUMMYFUNCTION("""COMPUTED_VALUE"""),104419.0)</f>
        <v>104419</v>
      </c>
      <c r="B4128" s="235" t="str">
        <f>IFERROR(__xludf.DUMMYFUNCTION("""COMPUTED_VALUE"""),"SHEREE ESPINOSA")</f>
        <v>SHEREE ESPINOSA</v>
      </c>
      <c r="C4128" s="235" t="str">
        <f>IFERROR(__xludf.DUMMYFUNCTION("""COMPUTED_VALUE"""),"ADMIN")</f>
        <v>ADMIN</v>
      </c>
      <c r="D4128" s="196" t="str">
        <f>IFERROR(__xludf.DUMMYFUNCTION("""COMPUTED_VALUE"""),"ASSORTED VASES ")</f>
        <v>ASSORTED VASES </v>
      </c>
      <c r="E4128" s="196" t="str">
        <f>IFERROR(__xludf.DUMMYFUNCTION("""COMPUTED_VALUE"""),"FOR WASC PREPARATION")</f>
        <v>FOR WASC PREPARATION</v>
      </c>
    </row>
    <row r="4129">
      <c r="A4129" s="234">
        <f>IFERROR(__xludf.DUMMYFUNCTION("""COMPUTED_VALUE"""),104420.0)</f>
        <v>104420</v>
      </c>
      <c r="B4129" s="235" t="str">
        <f>IFERROR(__xludf.DUMMYFUNCTION("""COMPUTED_VALUE"""),"ESTHER JOY LARITA")</f>
        <v>ESTHER JOY LARITA</v>
      </c>
      <c r="C4129" s="235" t="str">
        <f>IFERROR(__xludf.DUMMYFUNCTION("""COMPUTED_VALUE"""),"DCO/ISO")</f>
        <v>DCO/ISO</v>
      </c>
      <c r="D4129" s="196" t="str">
        <f>IFERROR(__xludf.DUMMYFUNCTION("""COMPUTED_VALUE"""),"COLGATE TRAVEL KIT ( TOOTHBRUSH &amp; TOOTHPASTE) 3
HAND SANITIZER 3
COLGATE PLAX 3
WATSONS DENTAL FLOSS 3
KLEENEX TISSUE 3
WATSONS WET TISSUE 3
HYGIENE KIT POUCH 3")</f>
        <v>COLGATE TRAVEL KIT ( TOOTHBRUSH &amp; TOOTHPASTE) 3
HAND SANITIZER 3
COLGATE PLAX 3
WATSONS DENTAL FLOSS 3
KLEENEX TISSUE 3
WATSONS WET TISSUE 3
HYGIENE KIT POUCH 3</v>
      </c>
      <c r="E4129" s="196" t="str">
        <f>IFERROR(__xludf.DUMMYFUNCTION("""COMPUTED_VALUE"""),"FOR EQA VISIT")</f>
        <v>FOR EQA VISIT</v>
      </c>
    </row>
    <row r="4130">
      <c r="A4130" s="234">
        <f>IFERROR(__xludf.DUMMYFUNCTION("""COMPUTED_VALUE"""),104421.0)</f>
        <v>104421</v>
      </c>
      <c r="B4130" s="235" t="str">
        <f>IFERROR(__xludf.DUMMYFUNCTION("""COMPUTED_VALUE"""),"ESTHER JOY LARITA")</f>
        <v>ESTHER JOY LARITA</v>
      </c>
      <c r="C4130" s="235" t="str">
        <f>IFERROR(__xludf.DUMMYFUNCTION("""COMPUTED_VALUE"""),"DCO/ISO")</f>
        <v>DCO/ISO</v>
      </c>
      <c r="D4130" s="196" t="str">
        <f>IFERROR(__xludf.DUMMYFUNCTION("""COMPUTED_VALUE"""),"LEI/ LANYARD 3")</f>
        <v>LEI/ LANYARD 3</v>
      </c>
      <c r="E4130" s="196" t="str">
        <f>IFERROR(__xludf.DUMMYFUNCTION("""COMPUTED_VALUE"""),"FOR EQA VISIT")</f>
        <v>FOR EQA VISIT</v>
      </c>
    </row>
    <row r="4131">
      <c r="A4131" s="234">
        <f>IFERROR(__xludf.DUMMYFUNCTION("""COMPUTED_VALUE"""),104422.0)</f>
        <v>104422</v>
      </c>
      <c r="B4131" s="235" t="str">
        <f>IFERROR(__xludf.DUMMYFUNCTION("""COMPUTED_VALUE"""),"OWIE PAR")</f>
        <v>OWIE PAR</v>
      </c>
      <c r="C4131" s="235" t="str">
        <f>IFERROR(__xludf.DUMMYFUNCTION("""COMPUTED_VALUE"""),"ENGINEERING")</f>
        <v>ENGINEERING</v>
      </c>
      <c r="D4131" s="196" t="str">
        <f>IFERROR(__xludf.DUMMYFUNCTION("""COMPUTED_VALUE"""),"FLOOD LIGHT 150W LED DAY LIGHT 17 UNITS")</f>
        <v>FLOOD LIGHT 150W LED DAY LIGHT 17 UNITS</v>
      </c>
      <c r="E4131" s="196" t="str">
        <f>IFERROR(__xludf.DUMMYFUNCTION("""COMPUTED_VALUE"""),"IMPROVEMENT OF LIGHT IN MONARCH GYM")</f>
        <v>IMPROVEMENT OF LIGHT IN MONARCH GYM</v>
      </c>
    </row>
    <row r="4132">
      <c r="A4132" s="234">
        <f>IFERROR(__xludf.DUMMYFUNCTION("""COMPUTED_VALUE"""),104423.0)</f>
        <v>104423</v>
      </c>
      <c r="B4132" s="235" t="str">
        <f>IFERROR(__xludf.DUMMYFUNCTION("""COMPUTED_VALUE"""),"OWIE PAR")</f>
        <v>OWIE PAR</v>
      </c>
      <c r="C4132" s="235" t="str">
        <f>IFERROR(__xludf.DUMMYFUNCTION("""COMPUTED_VALUE"""),"ENGINEERING")</f>
        <v>ENGINEERING</v>
      </c>
      <c r="D4132" s="196" t="str">
        <f>IFERROR(__xludf.DUMMYFUNCTION("""COMPUTED_VALUE"""),"ELECTRICAL PANEL BOARD BOLT ON MAIN 60AMP SINGLE PHASE BRANCHES6-20AMP 1 SET
THHN #12 4BOXES
UTILITY BOX 30PCS
PVC PIPE ORANGE #1 10LENGHT
PVC PIPE ORANGE #3/4 10LENGHT
PVC PIPE ORANGE #1/2 50LENGHT
PVC ELBOW #1 LONG 20PCS
PVC ELBOW #3/4 (LONG) 20PCS")</f>
        <v>ELECTRICAL PANEL BOARD BOLT ON MAIN 60AMP SINGLE PHASE BRANCHES6-20AMP 1 SET
THHN #12 4BOXES
UTILITY BOX 30PCS
PVC PIPE ORANGE #1 10LENGHT
PVC PIPE ORANGE #3/4 10LENGHT
PVC PIPE ORANGE #1/2 50LENGHT
PVC ELBOW #1 LONG 20PCS
PVC ELBOW #3/4 (LONG) 20PCS</v>
      </c>
      <c r="E4132" s="196" t="str">
        <f>IFERROR(__xludf.DUMMYFUNCTION("""COMPUTED_VALUE"""),"FOR MONARCHS GYM IMPROVEMENT OF LIGHT")</f>
        <v>FOR MONARCHS GYM IMPROVEMENT OF LIGHT</v>
      </c>
    </row>
    <row r="4133">
      <c r="A4133" s="234">
        <f>IFERROR(__xludf.DUMMYFUNCTION("""COMPUTED_VALUE"""),104424.0)</f>
        <v>104424</v>
      </c>
      <c r="B4133" s="235" t="str">
        <f>IFERROR(__xludf.DUMMYFUNCTION("""COMPUTED_VALUE"""),"OWIE PAR")</f>
        <v>OWIE PAR</v>
      </c>
      <c r="C4133" s="235" t="str">
        <f>IFERROR(__xludf.DUMMYFUNCTION("""COMPUTED_VALUE"""),"ENGINEERING")</f>
        <v>ENGINEERING</v>
      </c>
      <c r="D4133" s="196" t="str">
        <f>IFERROR(__xludf.DUMMYFUNCTION("""COMPUTED_VALUE"""),"INDUSTRIAL EXHAUST FAN AS PER ATTACHMENT 2 UNITS
EXHAUST FAN #10"" 1 UNIT
PVC MOUNDING 3/4 3PCS
PVC ARICO BOX 3PCS
WIDE SERIES SWITCH ONE GANG 3 SETS
FLAT CORD #16 90METERS")</f>
        <v>INDUSTRIAL EXHAUST FAN AS PER ATTACHMENT 2 UNITS
EXHAUST FAN #10" 1 UNIT
PVC MOUNDING 3/4 3PCS
PVC ARICO BOX 3PCS
WIDE SERIES SWITCH ONE GANG 3 SETS
FLAT CORD #16 90METERS</v>
      </c>
      <c r="E4133" s="196" t="str">
        <f>IFERROR(__xludf.DUMMYFUNCTION("""COMPUTED_VALUE"""),"FOR YOKOHAMA DORM BOYS IMPROVEMENT OF VENTILATION")</f>
        <v>FOR YOKOHAMA DORM BOYS IMPROVEMENT OF VENTILATION</v>
      </c>
    </row>
    <row r="4134">
      <c r="A4134" s="234">
        <f>IFERROR(__xludf.DUMMYFUNCTION("""COMPUTED_VALUE"""),104425.0)</f>
        <v>104425</v>
      </c>
      <c r="B4134" s="235" t="str">
        <f>IFERROR(__xludf.DUMMYFUNCTION("""COMPUTED_VALUE"""),"JESUIT CHRISTIAN GALICIA")</f>
        <v>JESUIT CHRISTIAN GALICIA</v>
      </c>
      <c r="C4134" s="235" t="str">
        <f>IFERROR(__xludf.DUMMYFUNCTION("""COMPUTED_VALUE"""),"AMD")</f>
        <v>AMD</v>
      </c>
      <c r="D4134" s="196" t="str">
        <f>IFERROR(__xludf.DUMMYFUNCTION("""COMPUTED_VALUE"""),"HARD DISK 2TB SEAGATE 10PCS")</f>
        <v>HARD DISK 2TB SEAGATE 10PCS</v>
      </c>
      <c r="E4134" s="196" t="str">
        <f>IFERROR(__xludf.DUMMYFUNCTION("""COMPUTED_VALUE"""),"MIS WAREHOUSE STOCK REPLENISHMENT")</f>
        <v>MIS WAREHOUSE STOCK REPLENISHMENT</v>
      </c>
    </row>
    <row r="4135">
      <c r="A4135" s="234">
        <f>IFERROR(__xludf.DUMMYFUNCTION("""COMPUTED_VALUE"""),104426.0)</f>
        <v>104426</v>
      </c>
      <c r="B4135" s="235" t="str">
        <f>IFERROR(__xludf.DUMMYFUNCTION("""COMPUTED_VALUE"""),"PHEN PETIN")</f>
        <v>PHEN PETIN</v>
      </c>
      <c r="C4135" s="235" t="str">
        <f>IFERROR(__xludf.DUMMYFUNCTION("""COMPUTED_VALUE"""),"ADMIN")</f>
        <v>ADMIN</v>
      </c>
      <c r="D4135" s="196" t="str">
        <f>IFERROR(__xludf.DUMMYFUNCTION("""COMPUTED_VALUE"""),"EXHAUSTFAN  #10 CEILING TYPE WHITE OMNI 2")</f>
        <v>EXHAUSTFAN  #10 CEILING TYPE WHITE OMNI 2</v>
      </c>
      <c r="E4135" s="196" t="str">
        <f>IFERROR(__xludf.DUMMYFUNCTION("""COMPUTED_VALUE"""),"FOR LEARNING VILLAGE RESTROOMS BOYS AND GIRLS")</f>
        <v>FOR LEARNING VILLAGE RESTROOMS BOYS AND GIRLS</v>
      </c>
    </row>
    <row r="4136">
      <c r="A4136" s="234">
        <f>IFERROR(__xludf.DUMMYFUNCTION("""COMPUTED_VALUE"""),104427.0)</f>
        <v>104427</v>
      </c>
      <c r="B4136" s="235" t="str">
        <f>IFERROR(__xludf.DUMMYFUNCTION("""COMPUTED_VALUE"""),"SHEREE ESPINOSA")</f>
        <v>SHEREE ESPINOSA</v>
      </c>
      <c r="C4136" s="235" t="str">
        <f>IFERROR(__xludf.DUMMYFUNCTION("""COMPUTED_VALUE"""),"ADMIN")</f>
        <v>ADMIN</v>
      </c>
      <c r="D4136" s="196" t="str">
        <f>IFERROR(__xludf.DUMMYFUNCTION("""COMPUTED_VALUE"""),"BANANA LEAF 4
RED CONGO 3")</f>
        <v>BANANA LEAF 4
RED CONGO 3</v>
      </c>
      <c r="E4136" s="196" t="str">
        <f>IFERROR(__xludf.DUMMYFUNCTION("""COMPUTED_VALUE"""),"FOR LUX CAMPUS")</f>
        <v>FOR LUX CAMPUS</v>
      </c>
    </row>
    <row r="4137">
      <c r="A4137" s="234">
        <f>IFERROR(__xludf.DUMMYFUNCTION("""COMPUTED_VALUE"""),104428.0)</f>
        <v>104428</v>
      </c>
      <c r="B4137" s="235" t="str">
        <f>IFERROR(__xludf.DUMMYFUNCTION("""COMPUTED_VALUE"""),"SHEREE ESPINOSA")</f>
        <v>SHEREE ESPINOSA</v>
      </c>
      <c r="C4137" s="235" t="str">
        <f>IFERROR(__xludf.DUMMYFUNCTION("""COMPUTED_VALUE"""),"ADMIN")</f>
        <v>ADMIN</v>
      </c>
      <c r="D4137" s="196" t="str">
        <f>IFERROR(__xludf.DUMMYFUNCTION("""COMPUTED_VALUE"""),"PLYBOARD 3/4, 4/ 8 3
CONCEALED HINGES C2 10 PAIRS
DRAWER LOCK YALE 6PCS")</f>
        <v>PLYBOARD 3/4, 4/ 8 3
CONCEALED HINGES C2 10 PAIRS
DRAWER LOCK YALE 6PCS</v>
      </c>
      <c r="E4137" s="196" t="str">
        <f>IFERROR(__xludf.DUMMYFUNCTION("""COMPUTED_VALUE"""),"REPAIR OF STORAGE CABINET BESIDE LUX HALL AND CAFETERIA")</f>
        <v>REPAIR OF STORAGE CABINET BESIDE LUX HALL AND CAFETERIA</v>
      </c>
    </row>
    <row r="4138">
      <c r="A4138" s="234">
        <f>IFERROR(__xludf.DUMMYFUNCTION("""COMPUTED_VALUE"""),104429.0)</f>
        <v>104429</v>
      </c>
      <c r="B4138" s="235" t="str">
        <f>IFERROR(__xludf.DUMMYFUNCTION("""COMPUTED_VALUE"""),"OWIE PAR")</f>
        <v>OWIE PAR</v>
      </c>
      <c r="C4138" s="235" t="str">
        <f>IFERROR(__xludf.DUMMYFUNCTION("""COMPUTED_VALUE"""),"ENGINEERING")</f>
        <v>ENGINEERING</v>
      </c>
      <c r="D4138" s="196" t="str">
        <f>IFERROR(__xludf.DUMMYFUNCTION("""COMPUTED_VALUE"""),"GI RIB TYPE #10 GUAGE 24 BEIGE 39PCS
BI TUBULAR BAR 1X2x .20 25PCS
TEC SCREW ADAPTOR 4PCS
WELDING ROD 5KGS
EPOXY PREMIER SPHERO GRAY 1 GAL
BABY ROLLER #4 2PCS")</f>
        <v>GI RIB TYPE #10 GUAGE 24 BEIGE 39PCS
BI TUBULAR BAR 1X2x .20 25PCS
TEC SCREW ADAPTOR 4PCS
WELDING ROD 5KGS
EPOXY PREMIER SPHERO GRAY 1 GAL
BABY ROLLER #4 2PCS</v>
      </c>
      <c r="E4138" s="196" t="str">
        <f>IFERROR(__xludf.DUMMYFUNCTION("""COMPUTED_VALUE"""),"STAR CAMPUS")</f>
        <v>STAR CAMPUS</v>
      </c>
    </row>
    <row r="4139">
      <c r="A4139" s="234">
        <f>IFERROR(__xludf.DUMMYFUNCTION("""COMPUTED_VALUE"""),104430.0)</f>
        <v>104430</v>
      </c>
      <c r="B4139" s="235" t="str">
        <f>IFERROR(__xludf.DUMMYFUNCTION("""COMPUTED_VALUE"""),"CHRISTIAN ANDRES")</f>
        <v>CHRISTIAN ANDRES</v>
      </c>
      <c r="C4139" s="235" t="str">
        <f>IFERROR(__xludf.DUMMYFUNCTION("""COMPUTED_VALUE"""),"PR &amp; MARKETING")</f>
        <v>PR &amp; MARKETING</v>
      </c>
      <c r="D4139" s="196" t="str">
        <f>IFERROR(__xludf.DUMMYFUNCTION("""COMPUTED_VALUE"""),"WASC TARPAULIN (1)
-80x157INCH
-WITH SEAMING
-BLACKOUT
-EYELET ALL OVER 24INCH APART
WASC WELCOME STANDEE (4)
-2.5x 6 FEET
WITH SEAMING
WITH XSTAND FRAME (4)")</f>
        <v>WASC TARPAULIN (1)
-80x157INCH
-WITH SEAMING
-BLACKOUT
-EYELET ALL OVER 24INCH APART
WASC WELCOME STANDEE (4)
-2.5x 6 FEET
WITH SEAMING
WITH XSTAND FRAME (4)</v>
      </c>
      <c r="E4139" s="196" t="str">
        <f>IFERROR(__xludf.DUMMYFUNCTION("""COMPUTED_VALUE"""),"PROMOTIONAL WELCOME TARP")</f>
        <v>PROMOTIONAL WELCOME TARP</v>
      </c>
    </row>
    <row r="4140">
      <c r="A4140" s="234">
        <f>IFERROR(__xludf.DUMMYFUNCTION("""COMPUTED_VALUE"""),104431.0)</f>
        <v>104431</v>
      </c>
      <c r="B4140" s="235" t="str">
        <f>IFERROR(__xludf.DUMMYFUNCTION("""COMPUTED_VALUE"""),"PHEN PETIN")</f>
        <v>PHEN PETIN</v>
      </c>
      <c r="C4140" s="235" t="str">
        <f>IFERROR(__xludf.DUMMYFUNCTION("""COMPUTED_VALUE"""),"ADMIN")</f>
        <v>ADMIN</v>
      </c>
      <c r="D4140" s="196" t="str">
        <f>IFERROR(__xludf.DUMMYFUNCTION("""COMPUTED_VALUE"""),"PVC PIPE #4 (2)
PVC ELBOW #4 90 (6)
SOLVENT CEMENT 400CC (1CAN)")</f>
        <v>PVC PIPE #4 (2)
PVC ELBOW #4 90 (6)
SOLVENT CEMENT 400CC (1CAN)</v>
      </c>
      <c r="E4140" s="196" t="str">
        <f>IFERROR(__xludf.DUMMYFUNCTION("""COMPUTED_VALUE"""),"MATERIALS FOR LEARNING VILLAGE RESTROOM")</f>
        <v>MATERIALS FOR LEARNING VILLAGE RESTROOM</v>
      </c>
    </row>
    <row r="4141">
      <c r="A4141" s="234">
        <f>IFERROR(__xludf.DUMMYFUNCTION("""COMPUTED_VALUE"""),104432.0)</f>
        <v>104432</v>
      </c>
      <c r="B4141" s="235" t="str">
        <f>IFERROR(__xludf.DUMMYFUNCTION("""COMPUTED_VALUE"""),"PHEN PETIN")</f>
        <v>PHEN PETIN</v>
      </c>
      <c r="C4141" s="235" t="str">
        <f>IFERROR(__xludf.DUMMYFUNCTION("""COMPUTED_VALUE"""),"ADMIN")</f>
        <v>ADMIN</v>
      </c>
      <c r="D4141" s="196" t="str">
        <f>IFERROR(__xludf.DUMMYFUNCTION("""COMPUTED_VALUE"""),"IWATA(BLACK) 3")</f>
        <v>IWATA(BLACK) 3</v>
      </c>
      <c r="E4141" s="196" t="str">
        <f>IFERROR(__xludf.DUMMYFUNCTION("""COMPUTED_VALUE"""),"ADDITIONAL 3 UNITS OF IWATA FOR QUADRANGLE AND LV HALLWAY")</f>
        <v>ADDITIONAL 3 UNITS OF IWATA FOR QUADRANGLE AND LV HALLWAY</v>
      </c>
    </row>
    <row r="4142">
      <c r="A4142" s="234">
        <f>IFERROR(__xludf.DUMMYFUNCTION("""COMPUTED_VALUE"""),104433.0)</f>
        <v>104433</v>
      </c>
      <c r="B4142" s="235" t="str">
        <f>IFERROR(__xludf.DUMMYFUNCTION("""COMPUTED_VALUE"""),"PHEN PETIN")</f>
        <v>PHEN PETIN</v>
      </c>
      <c r="C4142" s="235" t="str">
        <f>IFERROR(__xludf.DUMMYFUNCTION("""COMPUTED_VALUE"""),"ADMIN")</f>
        <v>ADMIN</v>
      </c>
      <c r="D4142" s="196" t="str">
        <f>IFERROR(__xludf.DUMMYFUNCTION("""COMPUTED_VALUE"""),"SK S4 D WOOD 2x2x10 8PCS
FORMICA WHITE 4PCS
PLYWOOD 1/4, 4,8 4PCS
RUGBY 1 GAL
FLAT WALL ENAMEL 1 GAL
QDE CHOCOLATE BROWN 1 GAL
PAINT BRUSH #2 2PCS
BABY ROLLER #4 2PCS
ALUMINUM PLYWOOD HOLDER 4PCS")</f>
        <v>SK S4 D WOOD 2x2x10 8PCS
FORMICA WHITE 4PCS
PLYWOOD 1/4, 4,8 4PCS
RUGBY 1 GAL
FLAT WALL ENAMEL 1 GAL
QDE CHOCOLATE BROWN 1 GAL
PAINT BRUSH #2 2PCS
BABY ROLLER #4 2PCS
ALUMINUM PLYWOOD HOLDER 4PCS</v>
      </c>
      <c r="E4142" s="196" t="str">
        <f>IFERROR(__xludf.DUMMYFUNCTION("""COMPUTED_VALUE"""),"FABRICATION OF DIARY BOARD")</f>
        <v>FABRICATION OF DIARY BOARD</v>
      </c>
    </row>
    <row r="4143">
      <c r="A4143" s="234">
        <f>IFERROR(__xludf.DUMMYFUNCTION("""COMPUTED_VALUE"""),104434.0)</f>
        <v>104434</v>
      </c>
      <c r="B4143" s="235" t="str">
        <f>IFERROR(__xludf.DUMMYFUNCTION("""COMPUTED_VALUE"""),"CHARLES DONOR")</f>
        <v>CHARLES DONOR</v>
      </c>
      <c r="C4143" s="235" t="str">
        <f>IFERROR(__xludf.DUMMYFUNCTION("""COMPUTED_VALUE"""),"AMD")</f>
        <v>AMD</v>
      </c>
      <c r="D4143" s="196" t="str">
        <f>IFERROR(__xludf.DUMMYFUNCTION("""COMPUTED_VALUE"""),"FOLDER, FORTUNE WHITE LONG 1600PCS
FOLDER, FORTUNE WHITE SHORT 800PCS")</f>
        <v>FOLDER, FORTUNE WHITE LONG 1600PCS
FOLDER, FORTUNE WHITE SHORT 800PCS</v>
      </c>
      <c r="E4143" s="196" t="str">
        <f>IFERROR(__xludf.DUMMYFUNCTION("""COMPUTED_VALUE"""),"OSSUP- STOCK REPLENISHMENT")</f>
        <v>OSSUP- STOCK REPLENISHMENT</v>
      </c>
    </row>
    <row r="4144">
      <c r="A4144" s="234">
        <f>IFERROR(__xludf.DUMMYFUNCTION("""COMPUTED_VALUE"""),104435.0)</f>
        <v>104435</v>
      </c>
      <c r="B4144" s="235" t="str">
        <f>IFERROR(__xludf.DUMMYFUNCTION("""COMPUTED_VALUE"""),"SHEREE ESPINOSA")</f>
        <v>SHEREE ESPINOSA</v>
      </c>
      <c r="C4144" s="235" t="str">
        <f>IFERROR(__xludf.DUMMYFUNCTION("""COMPUTED_VALUE"""),"ADMIN")</f>
        <v>ADMIN</v>
      </c>
      <c r="D4144" s="196" t="str">
        <f>IFERROR(__xludf.DUMMYFUNCTION("""COMPUTED_VALUE"""),"WATER DISPENSER 2 ")</f>
        <v>WATER DISPENSER 2 </v>
      </c>
      <c r="E4144" s="196" t="str">
        <f>IFERROR(__xludf.DUMMYFUNCTION("""COMPUTED_VALUE"""),"ADDITIONAL FOR COLLEGE AND 3RD FLOOR TROPICAL")</f>
        <v>ADDITIONAL FOR COLLEGE AND 3RD FLOOR TROPICAL</v>
      </c>
    </row>
    <row r="4145">
      <c r="A4145" s="234">
        <f>IFERROR(__xludf.DUMMYFUNCTION("""COMPUTED_VALUE"""),104436.0)</f>
        <v>104436</v>
      </c>
      <c r="B4145" s="235" t="str">
        <f>IFERROR(__xludf.DUMMYFUNCTION("""COMPUTED_VALUE"""),"ALFA DE LEON")</f>
        <v>ALFA DE LEON</v>
      </c>
      <c r="C4145" s="235" t="str">
        <f>IFERROR(__xludf.DUMMYFUNCTION("""COMPUTED_VALUE"""),"ADMIN")</f>
        <v>ADMIN</v>
      </c>
      <c r="D4145" s="196" t="str">
        <f>IFERROR(__xludf.DUMMYFUNCTION("""COMPUTED_VALUE"""),"CANVAS FRAME-SHINING EAST EASTERIF 2")</f>
        <v>CANVAS FRAME-SHINING EAST EASTERIF 2</v>
      </c>
      <c r="E4145" s="196" t="str">
        <f>IFERROR(__xludf.DUMMYFUNCTION("""COMPUTED_VALUE"""),"CR BEAUTIFICATION")</f>
        <v>CR BEAUTIFICATION</v>
      </c>
    </row>
    <row r="4146">
      <c r="A4146" s="234">
        <f>IFERROR(__xludf.DUMMYFUNCTION("""COMPUTED_VALUE"""),104437.0)</f>
        <v>104437</v>
      </c>
      <c r="B4146" s="235" t="str">
        <f>IFERROR(__xludf.DUMMYFUNCTION("""COMPUTED_VALUE"""),"RONALD VERDE")</f>
        <v>RONALD VERDE</v>
      </c>
      <c r="C4146" s="235" t="str">
        <f>IFERROR(__xludf.DUMMYFUNCTION("""COMPUTED_VALUE"""),"ADMIN")</f>
        <v>ADMIN</v>
      </c>
      <c r="D4146" s="196" t="str">
        <f>IFERROR(__xludf.DUMMYFUNCTION("""COMPUTED_VALUE"""),"RETRACTABLE AIR CONDITIONER WIND CENTRAL WINDSHIELD 1")</f>
        <v>RETRACTABLE AIR CONDITIONER WIND CENTRAL WINDSHIELD 1</v>
      </c>
      <c r="E4146" s="196" t="str">
        <f>IFERROR(__xludf.DUMMYFUNCTION("""COMPUTED_VALUE"""),"FOR IB AND ADMIN OFFICE ACUs")</f>
        <v>FOR IB AND ADMIN OFFICE ACUs</v>
      </c>
    </row>
    <row r="4147">
      <c r="A4147" s="234">
        <f>IFERROR(__xludf.DUMMYFUNCTION("""COMPUTED_VALUE"""),104438.0)</f>
        <v>104438</v>
      </c>
      <c r="B4147" s="235" t="str">
        <f>IFERROR(__xludf.DUMMYFUNCTION("""COMPUTED_VALUE"""),"SHEREE ESPINOSA")</f>
        <v>SHEREE ESPINOSA</v>
      </c>
      <c r="C4147" s="235" t="str">
        <f>IFERROR(__xludf.DUMMYFUNCTION("""COMPUTED_VALUE"""),"ADMIN")</f>
        <v>ADMIN</v>
      </c>
      <c r="D4147" s="196" t="str">
        <f>IFERROR(__xludf.DUMMYFUNCTION("""COMPUTED_VALUE"""),"ORBIT FAN (CEILING FAN) 3")</f>
        <v>ORBIT FAN (CEILING FAN) 3</v>
      </c>
      <c r="E4147" s="196" t="str">
        <f>IFERROR(__xludf.DUMMYFUNCTION("""COMPUTED_VALUE"""),"REPLACEMENT OF THE BROKEN FAN CAFETERIA AND 2 SPARE")</f>
        <v>REPLACEMENT OF THE BROKEN FAN CAFETERIA AND 2 SPARE</v>
      </c>
    </row>
    <row r="4148">
      <c r="A4148" s="234">
        <f>IFERROR(__xludf.DUMMYFUNCTION("""COMPUTED_VALUE"""),104439.0)</f>
        <v>104439</v>
      </c>
      <c r="B4148" s="235" t="str">
        <f>IFERROR(__xludf.DUMMYFUNCTION("""COMPUTED_VALUE"""),"ALFA DE LEON")</f>
        <v>ALFA DE LEON</v>
      </c>
      <c r="C4148" s="235" t="str">
        <f>IFERROR(__xludf.DUMMYFUNCTION("""COMPUTED_VALUE"""),"ADMIN")</f>
        <v>ADMIN</v>
      </c>
      <c r="D4148" s="196" t="str">
        <f>IFERROR(__xludf.DUMMYFUNCTION("""COMPUTED_VALUE"""),"WASTE SEGREGATION LABEL 1 LOT")</f>
        <v>WASTE SEGREGATION LABEL 1 LOT</v>
      </c>
      <c r="E4148" s="196" t="str">
        <f>IFERROR(__xludf.DUMMYFUNCTION("""COMPUTED_VALUE"""),"WASTE SEGREGATION LABEL/ SIGNAGE FOR ISO PREF")</f>
        <v>WASTE SEGREGATION LABEL/ SIGNAGE FOR ISO PREF</v>
      </c>
    </row>
    <row r="4149">
      <c r="A4149" s="234">
        <f>IFERROR(__xludf.DUMMYFUNCTION("""COMPUTED_VALUE"""),104440.0)</f>
        <v>104440</v>
      </c>
      <c r="B4149" s="235" t="str">
        <f>IFERROR(__xludf.DUMMYFUNCTION("""COMPUTED_VALUE"""),"ADRIAN VELLA")</f>
        <v>ADRIAN VELLA</v>
      </c>
      <c r="C4149" s="235" t="str">
        <f>IFERROR(__xludf.DUMMYFUNCTION("""COMPUTED_VALUE"""),"TAYLOR CENTER (TCPD)")</f>
        <v>TAYLOR CENTER (TCPD)</v>
      </c>
      <c r="D4149" s="196" t="str">
        <f>IFERROR(__xludf.DUMMYFUNCTION("""COMPUTED_VALUE"""),"MAGFILE (VERTICAL LEGAL) 30")</f>
        <v>MAGFILE (VERTICAL LEGAL) 30</v>
      </c>
      <c r="E4149" s="196" t="str">
        <f>IFERROR(__xludf.DUMMYFUNCTION("""COMPUTED_VALUE"""),"FOR FILE ORGANIZATION")</f>
        <v>FOR FILE ORGANIZATION</v>
      </c>
    </row>
    <row r="4150">
      <c r="A4150" s="234">
        <f>IFERROR(__xludf.DUMMYFUNCTION("""COMPUTED_VALUE"""),104441.0)</f>
        <v>104441</v>
      </c>
      <c r="B4150" s="235" t="str">
        <f>IFERROR(__xludf.DUMMYFUNCTION("""COMPUTED_VALUE"""),"JOMEL BUTIAL ")</f>
        <v>JOMEL BUTIAL </v>
      </c>
      <c r="C4150" s="235" t="str">
        <f>IFERROR(__xludf.DUMMYFUNCTION("""COMPUTED_VALUE"""),"PR &amp; MARKETING")</f>
        <v>PR &amp; MARKETING</v>
      </c>
      <c r="D4150" s="196" t="str">
        <f>IFERROR(__xludf.DUMMYFUNCTION("""COMPUTED_VALUE"""),"SOUTHVILLE GENERIC FLYER 5000")</f>
        <v>SOUTHVILLE GENERIC FLYER 5000</v>
      </c>
      <c r="E4150" s="196" t="str">
        <f>IFERROR(__xludf.DUMMYFUNCTION("""COMPUTED_VALUE"""),"MARKETING")</f>
        <v>MARKETING</v>
      </c>
    </row>
    <row r="4151">
      <c r="A4151" s="234">
        <f>IFERROR(__xludf.DUMMYFUNCTION("""COMPUTED_VALUE"""),104442.0)</f>
        <v>104442</v>
      </c>
      <c r="B4151" s="235" t="str">
        <f>IFERROR(__xludf.DUMMYFUNCTION("""COMPUTED_VALUE"""),"ALFA DE LEON")</f>
        <v>ALFA DE LEON</v>
      </c>
      <c r="C4151" s="235" t="str">
        <f>IFERROR(__xludf.DUMMYFUNCTION("""COMPUTED_VALUE"""),"ADMIN - MUNICH")</f>
        <v>ADMIN - MUNICH</v>
      </c>
      <c r="D4151" s="196" t="str">
        <f>IFERROR(__xludf.DUMMYFUNCTION("""COMPUTED_VALUE"""),"GANTACKER 2
GANTACKER WIRE 3/8"" 2BOXES")</f>
        <v>GANTACKER 2
GANTACKER WIRE 3/8" 2BOXES</v>
      </c>
      <c r="E4151" s="196" t="str">
        <f>IFERROR(__xludf.DUMMYFUNCTION("""COMPUTED_VALUE"""),"FOR EVENTS SET-UP")</f>
        <v>FOR EVENTS SET-UP</v>
      </c>
    </row>
    <row r="4152">
      <c r="A4152" s="234">
        <f>IFERROR(__xludf.DUMMYFUNCTION("""COMPUTED_VALUE"""),104443.0)</f>
        <v>104443</v>
      </c>
      <c r="B4152" s="235" t="str">
        <f>IFERROR(__xludf.DUMMYFUNCTION("""COMPUTED_VALUE"""),"ELMIE LAUDIATO")</f>
        <v>ELMIE LAUDIATO</v>
      </c>
      <c r="C4152" s="235" t="str">
        <f>IFERROR(__xludf.DUMMYFUNCTION("""COMPUTED_VALUE"""),"HRMD")</f>
        <v>HRMD</v>
      </c>
      <c r="D4152" s="196" t="str">
        <f>IFERROR(__xludf.DUMMYFUNCTION("""COMPUTED_VALUE"""),"BED MALE UNIFORM 44 CANCELLED- REFER TO 104862
-SLACKS
-POLO
-COAT")</f>
        <v>BED MALE UNIFORM 44 CANCELLED- REFER TO 104862
-SLACKS
-POLO
-COAT</v>
      </c>
      <c r="E4152" s="196" t="str">
        <f>IFERROR(__xludf.DUMMYFUNCTION("""COMPUTED_VALUE"""),"EMPLOYEE UNIFORM SUPPLIER AY 24-25")</f>
        <v>EMPLOYEE UNIFORM SUPPLIER AY 24-25</v>
      </c>
    </row>
    <row r="4153">
      <c r="A4153" s="234">
        <f>IFERROR(__xludf.DUMMYFUNCTION("""COMPUTED_VALUE"""),104444.0)</f>
        <v>104444</v>
      </c>
      <c r="B4153" s="235" t="str">
        <f>IFERROR(__xludf.DUMMYFUNCTION("""COMPUTED_VALUE"""),"ELMIE LAUDIATO")</f>
        <v>ELMIE LAUDIATO</v>
      </c>
      <c r="C4153" s="235" t="str">
        <f>IFERROR(__xludf.DUMMYFUNCTION("""COMPUTED_VALUE"""),"HRMD")</f>
        <v>HRMD</v>
      </c>
      <c r="D4153" s="196" t="str">
        <f>IFERROR(__xludf.DUMMYFUNCTION("""COMPUTED_VALUE"""),"NTE MALE UNIFORM 48 CANCELLED- REFER TO 104859
-SLACK
-POLO
-COAT")</f>
        <v>NTE MALE UNIFORM 48 CANCELLED- REFER TO 104859
-SLACK
-POLO
-COAT</v>
      </c>
      <c r="E4153" s="196" t="str">
        <f>IFERROR(__xludf.DUMMYFUNCTION("""COMPUTED_VALUE"""),"EMPLOYEE UNIFORM SUPPLIER AY 24-25")</f>
        <v>EMPLOYEE UNIFORM SUPPLIER AY 24-25</v>
      </c>
    </row>
    <row r="4154">
      <c r="A4154" s="234">
        <f>IFERROR(__xludf.DUMMYFUNCTION("""COMPUTED_VALUE"""),104445.0)</f>
        <v>104445</v>
      </c>
      <c r="B4154" s="235" t="str">
        <f>IFERROR(__xludf.DUMMYFUNCTION("""COMPUTED_VALUE"""),"ELMIE LAUDIATO")</f>
        <v>ELMIE LAUDIATO</v>
      </c>
      <c r="C4154" s="235" t="str">
        <f>IFERROR(__xludf.DUMMYFUNCTION("""COMPUTED_VALUE"""),"HRMD")</f>
        <v>HRMD</v>
      </c>
      <c r="D4154" s="196" t="str">
        <f>IFERROR(__xludf.DUMMYFUNCTION("""COMPUTED_VALUE"""),"BED FEMALE UNIFORM 112
-SLACKS
-BLOUSE
-BLAZER
-SKIRT
")</f>
        <v>BED FEMALE UNIFORM 112
-SLACKS
-BLOUSE
-BLAZER
-SKIRT
</v>
      </c>
      <c r="E4154" s="196" t="str">
        <f>IFERROR(__xludf.DUMMYFUNCTION("""COMPUTED_VALUE"""),"EMPLOYEE UNIFORM SUPPLIER AY 24-25")</f>
        <v>EMPLOYEE UNIFORM SUPPLIER AY 24-25</v>
      </c>
    </row>
    <row r="4155">
      <c r="A4155" s="234">
        <f>IFERROR(__xludf.DUMMYFUNCTION("""COMPUTED_VALUE"""),104446.0)</f>
        <v>104446</v>
      </c>
      <c r="B4155" s="235" t="str">
        <f>IFERROR(__xludf.DUMMYFUNCTION("""COMPUTED_VALUE"""),"ELMIE LAUDIATO")</f>
        <v>ELMIE LAUDIATO</v>
      </c>
      <c r="C4155" s="235" t="str">
        <f>IFERROR(__xludf.DUMMYFUNCTION("""COMPUTED_VALUE"""),"HRMD")</f>
        <v>HRMD</v>
      </c>
      <c r="D4155" s="196" t="str">
        <f>IFERROR(__xludf.DUMMYFUNCTION("""COMPUTED_VALUE"""),"NTE FEMALE UNIFORM 65 CANCELLED- REFER TO 104858
-SLACKS
-SKIRT
-BLOUSE
-BLAZER")</f>
        <v>NTE FEMALE UNIFORM 65 CANCELLED- REFER TO 104858
-SLACKS
-SKIRT
-BLOUSE
-BLAZER</v>
      </c>
      <c r="E4155" s="196" t="str">
        <f>IFERROR(__xludf.DUMMYFUNCTION("""COMPUTED_VALUE"""),"EMPLOYEE UNIFORM SUPPLIER AY 24-25")</f>
        <v>EMPLOYEE UNIFORM SUPPLIER AY 24-25</v>
      </c>
    </row>
    <row r="4156">
      <c r="A4156" s="234">
        <f>IFERROR(__xludf.DUMMYFUNCTION("""COMPUTED_VALUE"""),104447.0)</f>
        <v>104447</v>
      </c>
      <c r="B4156" s="235" t="str">
        <f>IFERROR(__xludf.DUMMYFUNCTION("""COMPUTED_VALUE"""),"ELMIE LAUDIATO")</f>
        <v>ELMIE LAUDIATO</v>
      </c>
      <c r="C4156" s="235" t="str">
        <f>IFERROR(__xludf.DUMMYFUNCTION("""COMPUTED_VALUE"""),"HRMD")</f>
        <v>HRMD</v>
      </c>
      <c r="D4156" s="196" t="str">
        <f>IFERROR(__xludf.DUMMYFUNCTION("""COMPUTED_VALUE"""),"MANAGEMENT MALE UNIFORM 11
-SLACKS
-POLO
-BLAZER/COAT")</f>
        <v>MANAGEMENT MALE UNIFORM 11
-SLACKS
-POLO
-BLAZER/COAT</v>
      </c>
      <c r="E4156" s="196" t="str">
        <f>IFERROR(__xludf.DUMMYFUNCTION("""COMPUTED_VALUE"""),"EMPLOYEE UNIFORM SUPPLIER AY 24-25")</f>
        <v>EMPLOYEE UNIFORM SUPPLIER AY 24-25</v>
      </c>
    </row>
    <row r="4157">
      <c r="A4157" s="234">
        <f>IFERROR(__xludf.DUMMYFUNCTION("""COMPUTED_VALUE"""),104448.0)</f>
        <v>104448</v>
      </c>
      <c r="B4157" s="235" t="str">
        <f>IFERROR(__xludf.DUMMYFUNCTION("""COMPUTED_VALUE"""),"CHARLES DONOR")</f>
        <v>CHARLES DONOR</v>
      </c>
      <c r="C4157" s="235" t="str">
        <f>IFERROR(__xludf.DUMMYFUNCTION("""COMPUTED_VALUE"""),"AMD")</f>
        <v>AMD</v>
      </c>
      <c r="D4157" s="196" t="str">
        <f>IFERROR(__xludf.DUMMYFUNCTION("""COMPUTED_VALUE"""),"HANDSOAP, ANTIBACTERIAL (YELLOW) 140GALS")</f>
        <v>HANDSOAP, ANTIBACTERIAL (YELLOW) 140GALS</v>
      </c>
      <c r="E4157" s="196" t="str">
        <f>IFERROR(__xludf.DUMMYFUNCTION("""COMPUTED_VALUE"""),"HSKPG - STOCK REPLENISHMENT")</f>
        <v>HSKPG - STOCK REPLENISHMENT</v>
      </c>
    </row>
    <row r="4158">
      <c r="A4158" s="234">
        <f>IFERROR(__xludf.DUMMYFUNCTION("""COMPUTED_VALUE"""),104449.0)</f>
        <v>104449</v>
      </c>
      <c r="B4158" s="235" t="str">
        <f>IFERROR(__xludf.DUMMYFUNCTION("""COMPUTED_VALUE"""),"ELMIE LAUDIATO")</f>
        <v>ELMIE LAUDIATO</v>
      </c>
      <c r="C4158" s="235" t="str">
        <f>IFERROR(__xludf.DUMMYFUNCTION("""COMPUTED_VALUE"""),"HRMD")</f>
        <v>HRMD</v>
      </c>
      <c r="D4158" s="196" t="str">
        <f>IFERROR(__xludf.DUMMYFUNCTION("""COMPUTED_VALUE"""),"MANAGEMENT FEMALE UNIFORM 17 CANCELLED- REFER TO 104863
SLACKS
SKIRT
BLOUSE
BLAZER")</f>
        <v>MANAGEMENT FEMALE UNIFORM 17 CANCELLED- REFER TO 104863
SLACKS
SKIRT
BLOUSE
BLAZER</v>
      </c>
      <c r="E4158" s="196" t="str">
        <f>IFERROR(__xludf.DUMMYFUNCTION("""COMPUTED_VALUE"""),"EMPLOYEE UNIFORM SUPPLIER AY 24-25")</f>
        <v>EMPLOYEE UNIFORM SUPPLIER AY 24-25</v>
      </c>
    </row>
    <row r="4159">
      <c r="A4159" s="234">
        <f>IFERROR(__xludf.DUMMYFUNCTION("""COMPUTED_VALUE"""),104450.0)</f>
        <v>104450</v>
      </c>
      <c r="B4159" s="235" t="str">
        <f>IFERROR(__xludf.DUMMYFUNCTION("""COMPUTED_VALUE"""),"ELMIE LAUDIATO")</f>
        <v>ELMIE LAUDIATO</v>
      </c>
      <c r="C4159" s="235" t="str">
        <f>IFERROR(__xludf.DUMMYFUNCTION("""COMPUTED_VALUE"""),"HRMD")</f>
        <v>HRMD</v>
      </c>
      <c r="D4159" s="196" t="str">
        <f>IFERROR(__xludf.DUMMYFUNCTION("""COMPUTED_VALUE"""),"COLLEGE FEMALE UNIFORM 11 CANCELLED- REFER TO 104860
SLACKS
SKIRT
BLOUSE
BLAZER")</f>
        <v>COLLEGE FEMALE UNIFORM 11 CANCELLED- REFER TO 104860
SLACKS
SKIRT
BLOUSE
BLAZER</v>
      </c>
      <c r="E4159" s="196" t="str">
        <f>IFERROR(__xludf.DUMMYFUNCTION("""COMPUTED_VALUE"""),"EMPLOYEE UNIFORM SUPPLIER AY 24-25")</f>
        <v>EMPLOYEE UNIFORM SUPPLIER AY 24-25</v>
      </c>
    </row>
    <row r="4160">
      <c r="A4160" s="234">
        <f>IFERROR(__xludf.DUMMYFUNCTION("""COMPUTED_VALUE"""),104451.0)</f>
        <v>104451</v>
      </c>
      <c r="B4160" s="235" t="str">
        <f>IFERROR(__xludf.DUMMYFUNCTION("""COMPUTED_VALUE"""),"ELMIE LAUDIATO")</f>
        <v>ELMIE LAUDIATO</v>
      </c>
      <c r="C4160" s="235" t="str">
        <f>IFERROR(__xludf.DUMMYFUNCTION("""COMPUTED_VALUE"""),"HRMD")</f>
        <v>HRMD</v>
      </c>
      <c r="D4160" s="196" t="str">
        <f>IFERROR(__xludf.DUMMYFUNCTION("""COMPUTED_VALUE"""),"COLLEGE MALE UNIFORM 6 CANCELLED- REFER TO 104861
SLACKS
POLO
COAT")</f>
        <v>COLLEGE MALE UNIFORM 6 CANCELLED- REFER TO 104861
SLACKS
POLO
COAT</v>
      </c>
      <c r="E4160" s="196" t="str">
        <f>IFERROR(__xludf.DUMMYFUNCTION("""COMPUTED_VALUE"""),"EMPLOYEE UNIFORM SUPPLIER AY 24-25")</f>
        <v>EMPLOYEE UNIFORM SUPPLIER AY 24-25</v>
      </c>
    </row>
    <row r="4161">
      <c r="A4161" s="234">
        <f>IFERROR(__xludf.DUMMYFUNCTION("""COMPUTED_VALUE"""),104452.0)</f>
        <v>104452</v>
      </c>
      <c r="B4161" s="235" t="str">
        <f>IFERROR(__xludf.DUMMYFUNCTION("""COMPUTED_VALUE"""),"JOMEL BUTIAL ")</f>
        <v>JOMEL BUTIAL </v>
      </c>
      <c r="C4161" s="235" t="str">
        <f>IFERROR(__xludf.DUMMYFUNCTION("""COMPUTED_VALUE"""),"PR &amp; MARKETING")</f>
        <v>PR &amp; MARKETING</v>
      </c>
      <c r="D4161" s="196" t="str">
        <f>IFERROR(__xludf.DUMMYFUNCTION("""COMPUTED_VALUE"""),"ISO WELCOME BANNER 5
2.5x6FT")</f>
        <v>ISO WELCOME BANNER 5
2.5x6FT</v>
      </c>
      <c r="E4161" s="196" t="str">
        <f>IFERROR(__xludf.DUMMYFUNCTION("""COMPUTED_VALUE"""),"MARKETING(WELCOME BANNER)")</f>
        <v>MARKETING(WELCOME BANNER)</v>
      </c>
    </row>
    <row r="4162">
      <c r="A4162" s="234">
        <f>IFERROR(__xludf.DUMMYFUNCTION("""COMPUTED_VALUE"""),104453.0)</f>
        <v>104453</v>
      </c>
      <c r="B4162" s="235" t="str">
        <f>IFERROR(__xludf.DUMMYFUNCTION("""COMPUTED_VALUE"""),"CHARLES DONOR")</f>
        <v>CHARLES DONOR</v>
      </c>
      <c r="C4162" s="235" t="str">
        <f>IFERROR(__xludf.DUMMYFUNCTION("""COMPUTED_VALUE"""),"AMD")</f>
        <v>AMD</v>
      </c>
      <c r="D4162" s="196" t="str">
        <f>IFERROR(__xludf.DUMMYFUNCTION("""COMPUTED_VALUE"""),"LANYARD, SISC PRINT W/ 10 PROTECTOR LANSCAPE (2791)")</f>
        <v>LANYARD, SISC PRINT W/ 10 PROTECTOR LANSCAPE (2791)</v>
      </c>
      <c r="E4162" s="196" t="str">
        <f>IFERROR(__xludf.DUMMYFUNCTION("""COMPUTED_VALUE"""),"NEEDED FOR THE STUDENT IDs FOR AY 2024- 2025")</f>
        <v>NEEDED FOR THE STUDENT IDs FOR AY 2024- 2025</v>
      </c>
    </row>
    <row r="4163">
      <c r="A4163" s="234">
        <f>IFERROR(__xludf.DUMMYFUNCTION("""COMPUTED_VALUE"""),104454.0)</f>
        <v>104454</v>
      </c>
      <c r="B4163" s="235" t="str">
        <f>IFERROR(__xludf.DUMMYFUNCTION("""COMPUTED_VALUE"""),"CHARLES DONOR")</f>
        <v>CHARLES DONOR</v>
      </c>
      <c r="C4163" s="235" t="str">
        <f>IFERROR(__xludf.DUMMYFUNCTION("""COMPUTED_VALUE"""),"AMD")</f>
        <v>AMD</v>
      </c>
      <c r="D4163" s="196" t="str">
        <f>IFERROR(__xludf.DUMMYFUNCTION("""COMPUTED_VALUE"""),"TOILET BOWL CLEANER - BOWL CARE, 96 GALS")</f>
        <v>TOILET BOWL CLEANER - BOWL CARE, 96 GALS</v>
      </c>
      <c r="E4163" s="196" t="str">
        <f>IFERROR(__xludf.DUMMYFUNCTION("""COMPUTED_VALUE"""),"HOUSEKEEPING STOCK REPLENISHMENT")</f>
        <v>HOUSEKEEPING STOCK REPLENISHMENT</v>
      </c>
    </row>
    <row r="4164">
      <c r="A4164" s="234">
        <f>IFERROR(__xludf.DUMMYFUNCTION("""COMPUTED_VALUE"""),104455.0)</f>
        <v>104455</v>
      </c>
      <c r="B4164" s="235" t="str">
        <f>IFERROR(__xludf.DUMMYFUNCTION("""COMPUTED_VALUE"""),"CHRISTIAN ANDRES")</f>
        <v>CHRISTIAN ANDRES</v>
      </c>
      <c r="C4164" s="235" t="str">
        <f>IFERROR(__xludf.DUMMYFUNCTION("""COMPUTED_VALUE"""),"PR &amp; MARKETING")</f>
        <v>PR &amp; MARKETING</v>
      </c>
      <c r="D4164" s="196" t="str">
        <f>IFERROR(__xludf.DUMMYFUNCTION("""COMPUTED_VALUE"""),"STAR CAMPUS TARP 1
10x24FT
WITH SEAMING
BLACK OUT
EYELET ALL OVER
WITH INSTALLATION")</f>
        <v>STAR CAMPUS TARP 1
10x24FT
WITH SEAMING
BLACK OUT
EYELET ALL OVER
WITH INSTALLATION</v>
      </c>
      <c r="E4164" s="196" t="str">
        <f>IFERROR(__xludf.DUMMYFUNCTION("""COMPUTED_VALUE"""),"MARKETING/ REORDER")</f>
        <v>MARKETING/ REORDER</v>
      </c>
    </row>
    <row r="4165">
      <c r="A4165" s="234">
        <f>IFERROR(__xludf.DUMMYFUNCTION("""COMPUTED_VALUE"""),104456.0)</f>
        <v>104456</v>
      </c>
      <c r="B4165" s="235" t="str">
        <f>IFERROR(__xludf.DUMMYFUNCTION("""COMPUTED_VALUE"""),"JESUIT CHRISTIAN GALICIA")</f>
        <v>JESUIT CHRISTIAN GALICIA</v>
      </c>
      <c r="C4165" s="235" t="str">
        <f>IFERROR(__xludf.DUMMYFUNCTION("""COMPUTED_VALUE"""),"AMD")</f>
        <v>AMD</v>
      </c>
      <c r="D4165" s="196" t="str">
        <f>IFERROR(__xludf.DUMMYFUNCTION("""COMPUTED_VALUE"""),"T5 18 WATTS FLOURESCENT LIGHT DL 20PCS")</f>
        <v>T5 18 WATTS FLOURESCENT LIGHT DL 20PCS</v>
      </c>
      <c r="E4165" s="196" t="str">
        <f>IFERROR(__xludf.DUMMYFUNCTION("""COMPUTED_VALUE"""),"ENGINEERING WAREHOUSE STOCK REPLENISHMENT")</f>
        <v>ENGINEERING WAREHOUSE STOCK REPLENISHMENT</v>
      </c>
    </row>
    <row r="4166">
      <c r="A4166" s="234">
        <f>IFERROR(__xludf.DUMMYFUNCTION("""COMPUTED_VALUE"""),104457.0)</f>
        <v>104457</v>
      </c>
      <c r="B4166" s="235" t="str">
        <f>IFERROR(__xludf.DUMMYFUNCTION("""COMPUTED_VALUE"""),"SHEREE ESPINOSA")</f>
        <v>SHEREE ESPINOSA</v>
      </c>
      <c r="C4166" s="235" t="str">
        <f>IFERROR(__xludf.DUMMYFUNCTION("""COMPUTED_VALUE"""),"ADMIN")</f>
        <v>ADMIN</v>
      </c>
      <c r="D4166" s="196" t="str">
        <f>IFERROR(__xludf.DUMMYFUNCTION("""COMPUTED_VALUE"""),"PLY BOARD 3/4"" X 4'X8X 7PCS
DRAWER LOCK YALE 4PCS
DOOR HANDLE 8 PCS
CONCEALED HINGS C-3  8PAIRS
PLYWOOD 1/4"" X 4' X 8 2PCS
BURREL BOLT 3"" 4PCS
S4S KD 2X3X8 4 PCS
POLI TUFF W HARDENER 1 LITER
SANDING PAPER #100 1 METER")</f>
        <v>PLY BOARD 3/4" X 4'X8X 7PCS
DRAWER LOCK YALE 4PCS
DOOR HANDLE 8 PCS
CONCEALED HINGS C-3  8PAIRS
PLYWOOD 1/4" X 4' X 8 2PCS
BURREL BOLT 3" 4PCS
S4S KD 2X3X8 4 PCS
POLI TUFF W HARDENER 1 LITER
SANDING PAPER #100 1 METER</v>
      </c>
      <c r="E4166" s="196" t="str">
        <f>IFERROR(__xludf.DUMMYFUNCTION("""COMPUTED_VALUE"""),"CABINET STORAGE AND SIDE TABLE AT 5TH FLOOR L SHAPE COMFORT ROOM")</f>
        <v>CABINET STORAGE AND SIDE TABLE AT 5TH FLOOR L SHAPE COMFORT ROOM</v>
      </c>
    </row>
    <row r="4167">
      <c r="A4167" s="234">
        <f>IFERROR(__xludf.DUMMYFUNCTION("""COMPUTED_VALUE"""),104458.0)</f>
        <v>104458</v>
      </c>
      <c r="B4167" s="235" t="str">
        <f>IFERROR(__xludf.DUMMYFUNCTION("""COMPUTED_VALUE"""),"ELMIE LAUDIATO")</f>
        <v>ELMIE LAUDIATO</v>
      </c>
      <c r="C4167" s="235" t="str">
        <f>IFERROR(__xludf.DUMMYFUNCTION("""COMPUTED_VALUE"""),"HRMD")</f>
        <v>HRMD</v>
      </c>
      <c r="D4167" s="196" t="str">
        <f>IFERROR(__xludf.DUMMYFUNCTION("""COMPUTED_VALUE"""),"EMPLOYEE UNIFORM FOR AY 2023-2024")</f>
        <v>EMPLOYEE UNIFORM FOR AY 2023-2024</v>
      </c>
      <c r="E4167" s="196" t="str">
        <f>IFERROR(__xludf.DUMMYFUNCTION("""COMPUTED_VALUE"""),"ADDTL SISC EMPLOYEE UNIFORMS ")</f>
        <v>ADDTL SISC EMPLOYEE UNIFORMS </v>
      </c>
    </row>
    <row r="4168">
      <c r="A4168" s="234">
        <f>IFERROR(__xludf.DUMMYFUNCTION("""COMPUTED_VALUE"""),104459.0)</f>
        <v>104459</v>
      </c>
      <c r="B4168" s="235" t="str">
        <f>IFERROR(__xludf.DUMMYFUNCTION("""COMPUTED_VALUE"""),"ELMIE LAUDIATO")</f>
        <v>ELMIE LAUDIATO</v>
      </c>
      <c r="C4168" s="235" t="str">
        <f>IFERROR(__xludf.DUMMYFUNCTION("""COMPUTED_VALUE"""),"HRMD")</f>
        <v>HRMD</v>
      </c>
      <c r="D4168" s="196" t="str">
        <f>IFERROR(__xludf.DUMMYFUNCTION("""COMPUTED_VALUE"""),"EMPLOYEE UNIFORM FOR AY 2023-2024")</f>
        <v>EMPLOYEE UNIFORM FOR AY 2023-2024</v>
      </c>
      <c r="E4168" s="196" t="str">
        <f>IFERROR(__xludf.DUMMYFUNCTION("""COMPUTED_VALUE"""),"ADDTL SISC EMPLOYEE UNIFORMS ")</f>
        <v>ADDTL SISC EMPLOYEE UNIFORMS </v>
      </c>
    </row>
    <row r="4169">
      <c r="A4169" s="234">
        <f>IFERROR(__xludf.DUMMYFUNCTION("""COMPUTED_VALUE"""),104460.0)</f>
        <v>104460</v>
      </c>
      <c r="B4169" s="235" t="str">
        <f>IFERROR(__xludf.DUMMYFUNCTION("""COMPUTED_VALUE"""),"SHEREE ESPINOSA/ ALFA DELEON")</f>
        <v>SHEREE ESPINOSA/ ALFA DELEON</v>
      </c>
      <c r="C4169" s="235" t="str">
        <f>IFERROR(__xludf.DUMMYFUNCTION("""COMPUTED_VALUE"""),"ADMIN")</f>
        <v>ADMIN</v>
      </c>
      <c r="D4169" s="196" t="str">
        <f>IFERROR(__xludf.DUMMYFUNCTION("""COMPUTED_VALUE"""),"TUBULAR BAR 2 x 2 x 4 (70)
TUBULAR BAR 2 x 1 x 2 (5)
SQUARE BAR 5
WELDING ROD  10
CUTTING DISK 30
PLAIN SHEET 10
BLIND RIVET 5
DRILL BIT 20
EPOXY PRIMIER GRAY 8
LACQUER THINNER 1 TIN
SEMI GLOSS LATEX WHITE 40
QDE- CHOCOLATE BROWN 12
ACRI COLOR LAMP BLACK "&amp;"5
ACRI COLOR RAW SIENNA 12
PAINT ROLLER #7 ACRYLON 10
PAINT BRUSH 10
PAINT THINNER 2
PAINT ROLLER #4 COTTON 10
SKIM COAT 3
SAND PAPER 10
HACK SAW BLADE 5")</f>
        <v>TUBULAR BAR 2 x 2 x 4 (70)
TUBULAR BAR 2 x 1 x 2 (5)
SQUARE BAR 5
WELDING ROD  10
CUTTING DISK 30
PLAIN SHEET 10
BLIND RIVET 5
DRILL BIT 20
EPOXY PRIMIER GRAY 8
LACQUER THINNER 1 TIN
SEMI GLOSS LATEX WHITE 40
QDE- CHOCOLATE BROWN 12
ACRI COLOR LAMP BLACK 5
ACRI COLOR RAW SIENNA 12
PAINT ROLLER #7 ACRYLON 10
PAINT BRUSH 10
PAINT THINNER 2
PAINT ROLLER #4 COTTON 10
SKIM COAT 3
SAND PAPER 10
HACK SAW BLADE 5</v>
      </c>
      <c r="E4169" s="196" t="str">
        <f>IFERROR(__xludf.DUMMYFUNCTION("""COMPUTED_VALUE"""),"CAMPUS PERIMETER PREVENTIVE MAINTENANCE")</f>
        <v>CAMPUS PERIMETER PREVENTIVE MAINTENANCE</v>
      </c>
    </row>
    <row r="4170">
      <c r="A4170" s="234">
        <f>IFERROR(__xludf.DUMMYFUNCTION("""COMPUTED_VALUE"""),104461.0)</f>
        <v>104461</v>
      </c>
      <c r="B4170" s="235" t="str">
        <f>IFERROR(__xludf.DUMMYFUNCTION("""COMPUTED_VALUE"""),"JOMEL BUTIAL ")</f>
        <v>JOMEL BUTIAL </v>
      </c>
      <c r="C4170" s="235" t="str">
        <f>IFERROR(__xludf.DUMMYFUNCTION("""COMPUTED_VALUE"""),"ADMIN")</f>
        <v>ADMIN</v>
      </c>
      <c r="D4170" s="196" t="str">
        <f>IFERROR(__xludf.DUMMYFUNCTION("""COMPUTED_VALUE"""),"SOUTHVILLE EVENTS WRIST BOND 2 x 23 CM 1000PCS")</f>
        <v>SOUTHVILLE EVENTS WRIST BOND 2 x 23 CM 1000PCS</v>
      </c>
      <c r="E4170" s="196" t="str">
        <f>IFERROR(__xludf.DUMMYFUNCTION("""COMPUTED_VALUE"""),"MUSIKANTAHAN WRISTBAND")</f>
        <v>MUSIKANTAHAN WRISTBAND</v>
      </c>
    </row>
    <row r="4171">
      <c r="A4171" s="234">
        <f>IFERROR(__xludf.DUMMYFUNCTION("""COMPUTED_VALUE"""),104462.0)</f>
        <v>104462</v>
      </c>
      <c r="B4171" s="235" t="str">
        <f>IFERROR(__xludf.DUMMYFUNCTION("""COMPUTED_VALUE"""),"VIOLETA ALDUCENTE")</f>
        <v>VIOLETA ALDUCENTE</v>
      </c>
      <c r="C4171" s="235" t="str">
        <f>IFERROR(__xludf.DUMMYFUNCTION("""COMPUTED_VALUE"""),"IB")</f>
        <v>IB</v>
      </c>
      <c r="D4171" s="196" t="str">
        <f>IFERROR(__xludf.DUMMYFUNCTION("""COMPUTED_VALUE"""),"SOFT CONTACT LENSES 15PAIRS/30PCS
CONTACT LENS SOLUTION 500ML 1 BOTTLE")</f>
        <v>SOFT CONTACT LENSES 15PAIRS/30PCS
CONTACT LENS SOLUTION 500ML 1 BOTTLE</v>
      </c>
      <c r="E4171" s="196" t="str">
        <f>IFERROR(__xludf.DUMMYFUNCTION("""COMPUTED_VALUE"""),"CHEMISTRY LABORATORY EXPERIMENT FOR IB1")</f>
        <v>CHEMISTRY LABORATORY EXPERIMENT FOR IB1</v>
      </c>
    </row>
    <row r="4172">
      <c r="A4172" s="234">
        <f>IFERROR(__xludf.DUMMYFUNCTION("""COMPUTED_VALUE"""),104463.0)</f>
        <v>104463</v>
      </c>
      <c r="B4172" s="235" t="str">
        <f>IFERROR(__xludf.DUMMYFUNCTION("""COMPUTED_VALUE"""),"SHEREE ESPINOSA")</f>
        <v>SHEREE ESPINOSA</v>
      </c>
      <c r="C4172" s="235" t="str">
        <f>IFERROR(__xludf.DUMMYFUNCTION("""COMPUTED_VALUE"""),"ADMIN")</f>
        <v>ADMIN</v>
      </c>
      <c r="D4172" s="196" t="str">
        <f>IFERROR(__xludf.DUMMYFUNCTION("""COMPUTED_VALUE"""),"ROOF GUARD 3TIN
BABY ROLLER COTTON 5PCS
PAINT BRUSH 5pcs")</f>
        <v>ROOF GUARD 3TIN
BABY ROLLER COTTON 5PCS
PAINT BRUSH 5pcs</v>
      </c>
      <c r="E4172" s="196" t="str">
        <f>IFERROR(__xludf.DUMMYFUNCTION("""COMPUTED_VALUE"""),"PREVENTIVE MAINTENANCE OF PLANT BOXES")</f>
        <v>PREVENTIVE MAINTENANCE OF PLANT BOXES</v>
      </c>
    </row>
    <row r="4173">
      <c r="A4173" s="234">
        <f>IFERROR(__xludf.DUMMYFUNCTION("""COMPUTED_VALUE"""),104464.0)</f>
        <v>104464</v>
      </c>
      <c r="B4173" s="235" t="str">
        <f>IFERROR(__xludf.DUMMYFUNCTION("""COMPUTED_VALUE"""),"CHRISTIAN ANDRES")</f>
        <v>CHRISTIAN ANDRES</v>
      </c>
      <c r="C4173" s="235" t="str">
        <f>IFERROR(__xludf.DUMMYFUNCTION("""COMPUTED_VALUE"""),"PR &amp; MARKETING")</f>
        <v>PR &amp; MARKETING</v>
      </c>
      <c r="D4173" s="196" t="str">
        <f>IFERROR(__xludf.DUMMYFUNCTION("""COMPUTED_VALUE"""),"STAR CAMPUS TARP VILLAGE SIGN
-42 x 79 INCH
-WITH SEAMING
-NO EYELETS
-BLACK OUT")</f>
        <v>STAR CAMPUS TARP VILLAGE SIGN
-42 x 79 INCH
-WITH SEAMING
-NO EYELETS
-BLACK OUT</v>
      </c>
      <c r="E4173" s="196" t="str">
        <f>IFERROR(__xludf.DUMMYFUNCTION("""COMPUTED_VALUE"""),"MARKETING")</f>
        <v>MARKETING</v>
      </c>
    </row>
    <row r="4174">
      <c r="A4174" s="234">
        <f>IFERROR(__xludf.DUMMYFUNCTION("""COMPUTED_VALUE"""),104465.0)</f>
        <v>104465</v>
      </c>
      <c r="B4174" s="235" t="str">
        <f>IFERROR(__xludf.DUMMYFUNCTION("""COMPUTED_VALUE"""),"SHEREE ESPINOSA")</f>
        <v>SHEREE ESPINOSA</v>
      </c>
      <c r="C4174" s="235" t="str">
        <f>IFERROR(__xludf.DUMMYFUNCTION("""COMPUTED_VALUE"""),"ADMIN")</f>
        <v>ADMIN</v>
      </c>
      <c r="D4174" s="196" t="str">
        <f>IFERROR(__xludf.DUMMYFUNCTION("""COMPUTED_VALUE"""),"ISAC BANNER REPRINTING 12 PCS")</f>
        <v>ISAC BANNER REPRINTING 12 PCS</v>
      </c>
      <c r="E4174" s="196" t="str">
        <f>IFERROR(__xludf.DUMMYFUNCTION("""COMPUTED_VALUE"""),"REPRINTING OF ISAC BANNERS IN MONARCHS GYM")</f>
        <v>REPRINTING OF ISAC BANNERS IN MONARCHS GYM</v>
      </c>
    </row>
    <row r="4175">
      <c r="A4175" s="234">
        <f>IFERROR(__xludf.DUMMYFUNCTION("""COMPUTED_VALUE"""),104466.0)</f>
        <v>104466</v>
      </c>
      <c r="B4175" s="235" t="str">
        <f>IFERROR(__xludf.DUMMYFUNCTION("""COMPUTED_VALUE"""),"RONALD VERDE")</f>
        <v>RONALD VERDE</v>
      </c>
      <c r="C4175" s="235" t="str">
        <f>IFERROR(__xludf.DUMMYFUNCTION("""COMPUTED_VALUE"""),"ADMIN")</f>
        <v>ADMIN</v>
      </c>
      <c r="D4175" s="196" t="str">
        <f>IFERROR(__xludf.DUMMYFUNCTION("""COMPUTED_VALUE"""),"VACUUM CLEANER HEAVY DUTY 1 UNIT")</f>
        <v>VACUUM CLEANER HEAVY DUTY 1 UNIT</v>
      </c>
      <c r="E4175" s="196" t="str">
        <f>IFERROR(__xludf.DUMMYFUNCTION("""COMPUTED_VALUE"""),"FOR SISC VEHICLE MAINTENANCE")</f>
        <v>FOR SISC VEHICLE MAINTENANCE</v>
      </c>
    </row>
    <row r="4176">
      <c r="A4176" s="234">
        <f>IFERROR(__xludf.DUMMYFUNCTION("""COMPUTED_VALUE"""),104467.0)</f>
        <v>104467</v>
      </c>
      <c r="B4176" s="235" t="str">
        <f>IFERROR(__xludf.DUMMYFUNCTION("""COMPUTED_VALUE"""),"OWIE PAR")</f>
        <v>OWIE PAR</v>
      </c>
      <c r="C4176" s="235" t="str">
        <f>IFERROR(__xludf.DUMMYFUNCTION("""COMPUTED_VALUE"""),"ENGINEERING")</f>
        <v>ENGINEERING</v>
      </c>
      <c r="D4176" s="196" t="str">
        <f>IFERROR(__xludf.DUMMYFUNCTION("""COMPUTED_VALUE"""),"ACRYLIC 2x2 FT 320PCS
ALUMINUM FLAT BAR #1 64PCS
BLIND REVITS 3/16 2BOXES
DRILL BIT 3/16 5PCS")</f>
        <v>ACRYLIC 2x2 FT 320PCS
ALUMINUM FLAT BAR #1 64PCS
BLIND REVITS 3/16 2BOXES
DRILL BIT 3/16 5PCS</v>
      </c>
      <c r="E4176" s="196" t="str">
        <f>IFERROR(__xludf.DUMMYFUNCTION("""COMPUTED_VALUE"""),"FOR LUX LIGHT DIPUSER")</f>
        <v>FOR LUX LIGHT DIPUSER</v>
      </c>
    </row>
    <row r="4177">
      <c r="A4177" s="234">
        <f>IFERROR(__xludf.DUMMYFUNCTION("""COMPUTED_VALUE"""),104468.0)</f>
        <v>104468</v>
      </c>
      <c r="B4177" s="235" t="str">
        <f>IFERROR(__xludf.DUMMYFUNCTION("""COMPUTED_VALUE"""),"JOMEL BUTIAL ")</f>
        <v>JOMEL BUTIAL </v>
      </c>
      <c r="C4177" s="235" t="str">
        <f>IFERROR(__xludf.DUMMYFUNCTION("""COMPUTED_VALUE"""),"PR &amp; MARKETING")</f>
        <v>PR &amp; MARKETING</v>
      </c>
      <c r="D4177" s="196" t="str">
        <f>IFERROR(__xludf.DUMMYFUNCTION("""COMPUTED_VALUE"""),"ISO WELCOME X-STAND 2")</f>
        <v>ISO WELCOME X-STAND 2</v>
      </c>
      <c r="E4177" s="196" t="str">
        <f>IFERROR(__xludf.DUMMYFUNCTION("""COMPUTED_VALUE"""),"SOUTHVILLE ISO AUDIT")</f>
        <v>SOUTHVILLE ISO AUDIT</v>
      </c>
    </row>
    <row r="4178">
      <c r="A4178" s="234">
        <f>IFERROR(__xludf.DUMMYFUNCTION("""COMPUTED_VALUE"""),104469.0)</f>
        <v>104469</v>
      </c>
      <c r="B4178" s="235" t="str">
        <f>IFERROR(__xludf.DUMMYFUNCTION("""COMPUTED_VALUE"""),"PHEN PETIN")</f>
        <v>PHEN PETIN</v>
      </c>
      <c r="C4178" s="235" t="str">
        <f>IFERROR(__xludf.DUMMYFUNCTION("""COMPUTED_VALUE"""),"ADMIN")</f>
        <v>ADMIN</v>
      </c>
      <c r="D4178" s="196" t="str">
        <f>IFERROR(__xludf.DUMMYFUNCTION("""COMPUTED_VALUE"""),"FRAMES DECOR 10SETS")</f>
        <v>FRAMES DECOR 10SETS</v>
      </c>
      <c r="E4178" s="196" t="str">
        <f>IFERROR(__xludf.DUMMYFUNCTION("""COMPUTED_VALUE"""),"FRAMES FOR RESTROOMS WASC VISIT PREPARATION")</f>
        <v>FRAMES FOR RESTROOMS WASC VISIT PREPARATION</v>
      </c>
    </row>
    <row r="4179">
      <c r="A4179" s="234">
        <f>IFERROR(__xludf.DUMMYFUNCTION("""COMPUTED_VALUE"""),104470.0)</f>
        <v>104470</v>
      </c>
      <c r="B4179" s="235" t="str">
        <f>IFERROR(__xludf.DUMMYFUNCTION("""COMPUTED_VALUE"""),"PHEN PETIN")</f>
        <v>PHEN PETIN</v>
      </c>
      <c r="C4179" s="235" t="str">
        <f>IFERROR(__xludf.DUMMYFUNCTION("""COMPUTED_VALUE"""),"ADMIN")</f>
        <v>ADMIN</v>
      </c>
      <c r="D4179" s="196" t="str">
        <f>IFERROR(__xludf.DUMMYFUNCTION("""COMPUTED_VALUE"""),"POTTS(WHITE) 20PCS")</f>
        <v>POTTS(WHITE) 20PCS</v>
      </c>
      <c r="E4179" s="196" t="str">
        <f>IFERROR(__xludf.DUMMYFUNCTION("""COMPUTED_VALUE"""),"POTTS FOR STAR RESTROOMS WASC PREPARATION VISIT")</f>
        <v>POTTS FOR STAR RESTROOMS WASC PREPARATION VISIT</v>
      </c>
    </row>
    <row r="4180">
      <c r="A4180" s="234">
        <f>IFERROR(__xludf.DUMMYFUNCTION("""COMPUTED_VALUE"""),104471.0)</f>
        <v>104471</v>
      </c>
      <c r="B4180" s="235" t="str">
        <f>IFERROR(__xludf.DUMMYFUNCTION("""COMPUTED_VALUE"""),"PHEN PETIN")</f>
        <v>PHEN PETIN</v>
      </c>
      <c r="C4180" s="235" t="str">
        <f>IFERROR(__xludf.DUMMYFUNCTION("""COMPUTED_VALUE"""),"ADMIN")</f>
        <v>ADMIN</v>
      </c>
      <c r="D4180" s="196" t="str">
        <f>IFERROR(__xludf.DUMMYFUNCTION("""COMPUTED_VALUE"""),"PLANT HOLDER 6 SETS")</f>
        <v>PLANT HOLDER 6 SETS</v>
      </c>
      <c r="E4180" s="196" t="str">
        <f>IFERROR(__xludf.DUMMYFUNCTION("""COMPUTED_VALUE"""),"PLANT HOLDER FOR STAR CAMPUS PREPARATION FOR WASC VISIT")</f>
        <v>PLANT HOLDER FOR STAR CAMPUS PREPARATION FOR WASC VISIT</v>
      </c>
    </row>
    <row r="4181">
      <c r="A4181" s="234">
        <f>IFERROR(__xludf.DUMMYFUNCTION("""COMPUTED_VALUE"""),104472.0)</f>
        <v>104472</v>
      </c>
      <c r="B4181" s="235" t="str">
        <f>IFERROR(__xludf.DUMMYFUNCTION("""COMPUTED_VALUE"""),"CAMILLE GABRIEL")</f>
        <v>CAMILLE GABRIEL</v>
      </c>
      <c r="C4181" s="235" t="str">
        <f>IFERROR(__xludf.DUMMYFUNCTION("""COMPUTED_VALUE"""),"ADMIN")</f>
        <v>ADMIN</v>
      </c>
      <c r="D4181" s="196" t="str">
        <f>IFERROR(__xludf.DUMMYFUNCTION("""COMPUTED_VALUE"""),"FLOWER WREATH FOR THE DEMISE OF HER MOTHER, LETICIA S. PUYOD
-VIEWING WILL START AT 6PM ONWARDS
-VENUE: GOLDEN HAREN VERANDA 3
-INTERNMENT: APRIL 20, 2024")</f>
        <v>FLOWER WREATH FOR THE DEMISE OF HER MOTHER, LETICIA S. PUYOD
-VIEWING WILL START AT 6PM ONWARDS
-VENUE: GOLDEN HAREN VERANDA 3
-INTERNMENT: APRIL 20, 2024</v>
      </c>
      <c r="E4181" s="196" t="str">
        <f>IFERROR(__xludf.DUMMYFUNCTION("""COMPUTED_VALUE"""),"FLOWER WREATH FOR THE MOTHER OF MS LIZA JIMENEZ")</f>
        <v>FLOWER WREATH FOR THE MOTHER OF MS LIZA JIMENEZ</v>
      </c>
    </row>
    <row r="4182">
      <c r="A4182" s="234">
        <f>IFERROR(__xludf.DUMMYFUNCTION("""COMPUTED_VALUE"""),104473.0)</f>
        <v>104473</v>
      </c>
      <c r="B4182" s="235" t="str">
        <f>IFERROR(__xludf.DUMMYFUNCTION("""COMPUTED_VALUE"""),"ELYDIA REYES")</f>
        <v>ELYDIA REYES</v>
      </c>
      <c r="C4182" s="235" t="str">
        <f>IFERROR(__xludf.DUMMYFUNCTION("""COMPUTED_VALUE"""),"PR &amp; MARKETING")</f>
        <v>PR &amp; MARKETING</v>
      </c>
      <c r="D4182" s="196" t="str">
        <f>IFERROR(__xludf.DUMMYFUNCTION("""COMPUTED_VALUE"""),"ACHIEVERS X-STAND (10)
-WITH SEAMING
-EYE 4CORNERS
-2.5 x 6 FEET")</f>
        <v>ACHIEVERS X-STAND (10)
-WITH SEAMING
-EYE 4CORNERS
-2.5 x 6 FEET</v>
      </c>
      <c r="E4182" s="196" t="str">
        <f>IFERROR(__xludf.DUMMYFUNCTION("""COMPUTED_VALUE"""),"SCHOOL BRANDING AND MARKETING")</f>
        <v>SCHOOL BRANDING AND MARKETING</v>
      </c>
    </row>
    <row r="4183">
      <c r="A4183" s="234">
        <f>IFERROR(__xludf.DUMMYFUNCTION("""COMPUTED_VALUE"""),104474.0)</f>
        <v>104474</v>
      </c>
      <c r="B4183" s="235" t="str">
        <f>IFERROR(__xludf.DUMMYFUNCTION("""COMPUTED_VALUE"""),"JOHN CARLO CAMPIT")</f>
        <v>JOHN CARLO CAMPIT</v>
      </c>
      <c r="C4183" s="235" t="str">
        <f>IFERROR(__xludf.DUMMYFUNCTION("""COMPUTED_VALUE"""),"STUFFSHOP")</f>
        <v>STUFFSHOP</v>
      </c>
      <c r="D4183" s="196" t="str">
        <f>IFERROR(__xludf.DUMMYFUNCTION("""COMPUTED_VALUE"""),"G1, TOWPEP JOURNAL 100
G2, TOWPEP JOURNAL 140
G3, TOWPEP JOURNAL 120
G4, TOWPEP JOURNAL 110
G5, TOWPEP JOURNAL 85
G6, TOWPEP JOURNAL 110
G7, TOWPEP JOURNAL 130
G8, TOWPEP JOURNAL 155
G9, TOWPEP JOURNAL 145
G10, TOWPEP JOURNAL 200
G11, TOWPEP JOURNAL165
G1"&amp;"2, TOTWPEP JOURNAL 190")</f>
        <v>G1, TOWPEP JOURNAL 100
G2, TOWPEP JOURNAL 140
G3, TOWPEP JOURNAL 120
G4, TOWPEP JOURNAL 110
G5, TOWPEP JOURNAL 85
G6, TOWPEP JOURNAL 110
G7, TOWPEP JOURNAL 130
G8, TOWPEP JOURNAL 155
G9, TOWPEP JOURNAL 145
G10, TOWPEP JOURNAL 200
G11, TOWPEP JOURNAL165
G12, TOTWPEP JOURNAL 190</v>
      </c>
      <c r="E4183" s="196" t="str">
        <f>IFERROR(__xludf.DUMMYFUNCTION("""COMPUTED_VALUE"""),"SISC TEXTBOOKS FOR AY 2024-2025")</f>
        <v>SISC TEXTBOOKS FOR AY 2024-2025</v>
      </c>
    </row>
    <row r="4184">
      <c r="A4184" s="234">
        <f>IFERROR(__xludf.DUMMYFUNCTION("""COMPUTED_VALUE"""),104475.0)</f>
        <v>104475</v>
      </c>
      <c r="B4184" s="235" t="str">
        <f>IFERROR(__xludf.DUMMYFUNCTION("""COMPUTED_VALUE"""),"JOHN CARLO CAMPIT")</f>
        <v>JOHN CARLO CAMPIT</v>
      </c>
      <c r="C4184" s="235" t="str">
        <f>IFERROR(__xludf.DUMMYFUNCTION("""COMPUTED_VALUE"""),"ABU-STUFFSHOP")</f>
        <v>ABU-STUFFSHOP</v>
      </c>
      <c r="D4184" s="196" t="str">
        <f>IFERROR(__xludf.DUMMYFUNCTION("""COMPUTED_VALUE"""),"STANDFORD SKILLBOOK MATH- 2 (KINDER) NEW EDITION 25
PS, SKILLBOOK STANDFORN READING- B (KINDER) NEW EDITION 20
STANDFORD SKILL BOOK MATH-3 (JK) NEW EDITION 45
SKILLBOOK STANDFORN READING- C (JK) NEW EDITION 45
STANFORD SKILLBOOK MATH-4 (SK) NEW EDITION 70"&amp;"
PS, SKILLBOOK STANFORD READING- D (SENIOR PREP) 65")</f>
        <v>STANDFORD SKILLBOOK MATH- 2 (KINDER) NEW EDITION 25
PS, SKILLBOOK STANDFORN READING- B (KINDER) NEW EDITION 20
STANDFORD SKILL BOOK MATH-3 (JK) NEW EDITION 45
SKILLBOOK STANDFORN READING- C (JK) NEW EDITION 45
STANFORD SKILLBOOK MATH-4 (SK) NEW EDITION 70
PS, SKILLBOOK STANFORD READING- D (SENIOR PREP) 65</v>
      </c>
      <c r="E4184" s="196" t="str">
        <f>IFERROR(__xludf.DUMMYFUNCTION("""COMPUTED_VALUE"""),"SISC TEXTBOOKS FOR AY 2024-2025")</f>
        <v>SISC TEXTBOOKS FOR AY 2024-2025</v>
      </c>
    </row>
    <row r="4185">
      <c r="A4185" s="234">
        <f>IFERROR(__xludf.DUMMYFUNCTION("""COMPUTED_VALUE"""),104476.0)</f>
        <v>104476</v>
      </c>
      <c r="B4185" s="235" t="str">
        <f>IFERROR(__xludf.DUMMYFUNCTION("""COMPUTED_VALUE"""),"JOHN CARLO CAMPIT")</f>
        <v>JOHN CARLO CAMPIT</v>
      </c>
      <c r="C4185" s="235" t="str">
        <f>IFERROR(__xludf.DUMMYFUNCTION("""COMPUTED_VALUE"""),"ABU-STUFFSHOP")</f>
        <v>ABU-STUFFSHOP</v>
      </c>
      <c r="D4185" s="196" t="str">
        <f>IFERROR(__xludf.DUMMYFUNCTION("""COMPUTED_VALUE"""),"CURSIVE WRITING 3 (115)
CURSIVE WRITING 4 (115)
CURSIVE WRITING 5 (70)
CURSIVE WRITING 6 (140)")</f>
        <v>CURSIVE WRITING 3 (115)
CURSIVE WRITING 4 (115)
CURSIVE WRITING 5 (70)
CURSIVE WRITING 6 (140)</v>
      </c>
      <c r="E4185" s="196" t="str">
        <f>IFERROR(__xludf.DUMMYFUNCTION("""COMPUTED_VALUE"""),"SISC TEXTBOOKS FOR AY 2024-2025")</f>
        <v>SISC TEXTBOOKS FOR AY 2024-2025</v>
      </c>
    </row>
    <row r="4186">
      <c r="A4186" s="234">
        <f>IFERROR(__xludf.DUMMYFUNCTION("""COMPUTED_VALUE"""),104477.0)</f>
        <v>104477</v>
      </c>
      <c r="B4186" s="235" t="str">
        <f>IFERROR(__xludf.DUMMYFUNCTION("""COMPUTED_VALUE"""),"JOHN CARLO CAMPIT")</f>
        <v>JOHN CARLO CAMPIT</v>
      </c>
      <c r="C4186" s="235" t="str">
        <f>IFERROR(__xludf.DUMMYFUNCTION("""COMPUTED_VALUE"""),"ABU-STUFFSHOP")</f>
        <v>ABU-STUFFSHOP</v>
      </c>
      <c r="D4186" s="196" t="str">
        <f>IFERROR(__xludf.DUMMYFUNCTION("""COMPUTED_VALUE"""),"G1, MY ABC EQ AND ACT 100
G2, MY FAMILY AND I EQ, ICAN DO IT ACT 140
G3, ALL ABOUT ME EQ, THE ACHIEVER IN ME ACT120
G4, I AM ME! EQ, I AM ME ACT 120
G5, JOURNEYING INTO ME EQ, ACT
G6, THE WHOLE ME EQ, ACT 125
G7, MY EQ FACTOR, G7, MY ACHIEVEMENT JOURNEY A"&amp;"CT
G8, I AM A GIFT EQ, ACT
G9, THE JOY OF BEING ME EQ, ACT 155
G10, ONE STEP AT A TIME EQ/ACT 195
G11, ONE BIG LEAP: EQ-ACT AND CAREER GUIDANCE 190
G12, SOARING HIGH: EQ-ACT AND CAREER GUINDANCE WORKBOOK 145")</f>
        <v>G1, MY ABC EQ AND ACT 100
G2, MY FAMILY AND I EQ, ICAN DO IT ACT 140
G3, ALL ABOUT ME EQ, THE ACHIEVER IN ME ACT120
G4, I AM ME! EQ, I AM ME ACT 120
G5, JOURNEYING INTO ME EQ, ACT
G6, THE WHOLE ME EQ, ACT 125
G7, MY EQ FACTOR, G7, MY ACHIEVEMENT JOURNEY ACT
G8, I AM A GIFT EQ, ACT
G9, THE JOY OF BEING ME EQ, ACT 155
G10, ONE STEP AT A TIME EQ/ACT 195
G11, ONE BIG LEAP: EQ-ACT AND CAREER GUIDANCE 190
G12, SOARING HIGH: EQ-ACT AND CAREER GUINDANCE WORKBOOK 145</v>
      </c>
      <c r="E4186" s="196" t="str">
        <f>IFERROR(__xludf.DUMMYFUNCTION("""COMPUTED_VALUE"""),"SISC TEXTBOOKS FOR AY 2024-2025")</f>
        <v>SISC TEXTBOOKS FOR AY 2024-2025</v>
      </c>
    </row>
    <row r="4187">
      <c r="A4187" s="234">
        <f>IFERROR(__xludf.DUMMYFUNCTION("""COMPUTED_VALUE"""),104478.0)</f>
        <v>104478</v>
      </c>
      <c r="B4187" s="235" t="str">
        <f>IFERROR(__xludf.DUMMYFUNCTION("""COMPUTED_VALUE"""),"JOHN ROEZEL FUENTES")</f>
        <v>JOHN ROEZEL FUENTES</v>
      </c>
      <c r="C4187" s="235" t="str">
        <f>IFERROR(__xludf.DUMMYFUNCTION("""COMPUTED_VALUE"""),"REGISTRATION")</f>
        <v>REGISTRATION</v>
      </c>
      <c r="D4187" s="196" t="str">
        <f>IFERROR(__xludf.DUMMYFUNCTION("""COMPUTED_VALUE"""),"CONQUEROR PAPER LEGAL SIZE 5 REAMS (IVORY COLOR, 90 GSM)")</f>
        <v>CONQUEROR PAPER LEGAL SIZE 5 REAMS (IVORY COLOR, 90 GSM)</v>
      </c>
      <c r="E4187" s="196" t="str">
        <f>IFERROR(__xludf.DUMMYFUNCTION("""COMPUTED_VALUE"""),"FOR PRINTING RLE AND HONORABLE DISMISAL REQUEST OF STUDENTS")</f>
        <v>FOR PRINTING RLE AND HONORABLE DISMISAL REQUEST OF STUDENTS</v>
      </c>
    </row>
    <row r="4188">
      <c r="A4188" s="234">
        <f>IFERROR(__xludf.DUMMYFUNCTION("""COMPUTED_VALUE"""),104479.0)</f>
        <v>104479</v>
      </c>
      <c r="B4188" s="235" t="str">
        <f>IFERROR(__xludf.DUMMYFUNCTION("""COMPUTED_VALUE"""),"CHRISTIAN ANDRES")</f>
        <v>CHRISTIAN ANDRES</v>
      </c>
      <c r="C4188" s="235" t="str">
        <f>IFERROR(__xludf.DUMMYFUNCTION("""COMPUTED_VALUE"""),"PR &amp; MARKETING")</f>
        <v>PR &amp; MARKETING</v>
      </c>
      <c r="D4188" s="196" t="str">
        <f>IFERROR(__xludf.DUMMYFUNCTION("""COMPUTED_VALUE"""),"WASC WELCOME BANNER FOR ELIZALDE CAMPUS 1
1 SIZE 196 x 72 INCH
2 WITH SEAMING
3 BLACK OUT
4 EYELET ALL OVER")</f>
        <v>WASC WELCOME BANNER FOR ELIZALDE CAMPUS 1
1 SIZE 196 x 72 INCH
2 WITH SEAMING
3 BLACK OUT
4 EYELET ALL OVER</v>
      </c>
      <c r="E4188" s="196" t="str">
        <f>IFERROR(__xludf.DUMMYFUNCTION("""COMPUTED_VALUE"""),"EVENT/ WELCOME TARP")</f>
        <v>EVENT/ WELCOME TARP</v>
      </c>
    </row>
    <row r="4189">
      <c r="A4189" s="234">
        <f>IFERROR(__xludf.DUMMYFUNCTION("""COMPUTED_VALUE"""),104480.0)</f>
        <v>104480</v>
      </c>
      <c r="B4189" s="235" t="str">
        <f>IFERROR(__xludf.DUMMYFUNCTION("""COMPUTED_VALUE"""),"RORY MANSBRIDGE")</f>
        <v>RORY MANSBRIDGE</v>
      </c>
      <c r="C4189" s="235" t="str">
        <f>IFERROR(__xludf.DUMMYFUNCTION("""COMPUTED_VALUE"""),"ATHLETICS")</f>
        <v>ATHLETICS</v>
      </c>
      <c r="D4189" s="196" t="str">
        <f>IFERROR(__xludf.DUMMYFUNCTION("""COMPUTED_VALUE"""),"JACKET FOR ATHLETICS 10")</f>
        <v>JACKET FOR ATHLETICS 10</v>
      </c>
      <c r="E4189" s="196" t="str">
        <f>IFERROR(__xludf.DUMMYFUNCTION("""COMPUTED_VALUE"""),"VARSITY JACKET FOR COACHES UNIFORM")</f>
        <v>VARSITY JACKET FOR COACHES UNIFORM</v>
      </c>
    </row>
    <row r="4190">
      <c r="A4190" s="234">
        <f>IFERROR(__xludf.DUMMYFUNCTION("""COMPUTED_VALUE"""),104481.0)</f>
        <v>104481</v>
      </c>
      <c r="B4190" s="235" t="str">
        <f>IFERROR(__xludf.DUMMYFUNCTION("""COMPUTED_VALUE"""),"MARYNEILLA CARAMOAN")</f>
        <v>MARYNEILLA CARAMOAN</v>
      </c>
      <c r="C4190" s="235" t="str">
        <f>IFERROR(__xludf.DUMMYFUNCTION("""COMPUTED_VALUE"""),"PR &amp; MARKETING")</f>
        <v>PR &amp; MARKETING</v>
      </c>
      <c r="D4190" s="196" t="str">
        <f>IFERROR(__xludf.DUMMYFUNCTION("""COMPUTED_VALUE"""),"NEW BRASS LOGO OF SOUTHVILLE ")</f>
        <v>NEW BRASS LOGO OF SOUTHVILLE </v>
      </c>
      <c r="E4190" s="196" t="str">
        <f>IFERROR(__xludf.DUMMYFUNCTION("""COMPUTED_VALUE"""),"TO CHANGE THE BRASS LOGO IN THE PR OFFICE")</f>
        <v>TO CHANGE THE BRASS LOGO IN THE PR OFFICE</v>
      </c>
    </row>
    <row r="4191">
      <c r="A4191" s="234">
        <f>IFERROR(__xludf.DUMMYFUNCTION("""COMPUTED_VALUE"""),104482.0)</f>
        <v>104482</v>
      </c>
      <c r="B4191" s="235" t="str">
        <f>IFERROR(__xludf.DUMMYFUNCTION("""COMPUTED_VALUE"""),"JOMEL BUTIAL ")</f>
        <v>JOMEL BUTIAL </v>
      </c>
      <c r="C4191" s="235" t="str">
        <f>IFERROR(__xludf.DUMMYFUNCTION("""COMPUTED_VALUE"""),"PR &amp; MARKETING")</f>
        <v>PR &amp; MARKETING</v>
      </c>
      <c r="D4191" s="196" t="str">
        <f>IFERROR(__xludf.DUMMYFUNCTION("""COMPUTED_VALUE"""),"1. MUSIKANTAHAN BACKDROP (1) SIZE: 84x72 INCH
*WITH SEAMING AND EYELET ALL OVER
2.  WASC WELCOME BANNER (ELIZALDE CAMPUS) (1)
* SIZE 196 INCHES x 72 INCHES
WITH SEAMING  AND EYELET ALLOVER
3. MUSIKANTAHAN GATE BANNER SIZE: 7x3 FT (1)
*WITH SEAMING AND EYE"&amp;"LETS ALLOVER")</f>
        <v>1. MUSIKANTAHAN BACKDROP (1) SIZE: 84x72 INCH
*WITH SEAMING AND EYELET ALL OVER
2.  WASC WELCOME BANNER (ELIZALDE CAMPUS) (1)
* SIZE 196 INCHES x 72 INCHES
WITH SEAMING  AND EYELET ALLOVER
3. MUSIKANTAHAN GATE BANNER SIZE: 7x3 FT (1)
*WITH SEAMING AND EYELETS ALLOVER</v>
      </c>
      <c r="E4191" s="196" t="str">
        <f>IFERROR(__xludf.DUMMYFUNCTION("""COMPUTED_VALUE"""),"FOR THE WASC AND MUSIKANTAHAN")</f>
        <v>FOR THE WASC AND MUSIKANTAHAN</v>
      </c>
    </row>
    <row r="4192">
      <c r="A4192" s="234">
        <f>IFERROR(__xludf.DUMMYFUNCTION("""COMPUTED_VALUE"""),104483.0)</f>
        <v>104483</v>
      </c>
      <c r="B4192" s="235" t="str">
        <f>IFERROR(__xludf.DUMMYFUNCTION("""COMPUTED_VALUE"""),"SARY ESCUREL")</f>
        <v>SARY ESCUREL</v>
      </c>
      <c r="C4192" s="235" t="str">
        <f>IFERROR(__xludf.DUMMYFUNCTION("""COMPUTED_VALUE"""),"K12 &amp; IB")</f>
        <v>K12 &amp; IB</v>
      </c>
      <c r="D4192" s="196" t="str">
        <f>IFERROR(__xludf.DUMMYFUNCTION("""COMPUTED_VALUE"""),"5 LANYARDS FOR WASC ACCREDITORS (5)")</f>
        <v>5 LANYARDS FOR WASC ACCREDITORS (5)</v>
      </c>
      <c r="E4192" s="196" t="str">
        <f>IFERROR(__xludf.DUMMYFUNCTION("""COMPUTED_VALUE"""),"FOR WASC ACCREDITORS")</f>
        <v>FOR WASC ACCREDITORS</v>
      </c>
    </row>
    <row r="4193">
      <c r="A4193" s="234">
        <f>IFERROR(__xludf.DUMMYFUNCTION("""COMPUTED_VALUE"""),104484.0)</f>
        <v>104484</v>
      </c>
      <c r="B4193" s="235" t="str">
        <f>IFERROR(__xludf.DUMMYFUNCTION("""COMPUTED_VALUE"""),"PHEN PETIN")</f>
        <v>PHEN PETIN</v>
      </c>
      <c r="C4193" s="235" t="str">
        <f>IFERROR(__xludf.DUMMYFUNCTION("""COMPUTED_VALUE"""),"ADMIN")</f>
        <v>ADMIN</v>
      </c>
      <c r="D4193" s="196" t="str">
        <f>IFERROR(__xludf.DUMMYFUNCTION("""COMPUTED_VALUE"""),"REPLACE TRASH CAN (4pcs)
BLACK 50L")</f>
        <v>REPLACE TRASH CAN (4pcs)
BLACK 50L</v>
      </c>
      <c r="E4193" s="196" t="str">
        <f>IFERROR(__xludf.DUMMYFUNCTION("""COMPUTED_VALUE"""),"REPLACE BROKEN TRASH CAN ROOM 201-204")</f>
        <v>REPLACE BROKEN TRASH CAN ROOM 201-204</v>
      </c>
    </row>
    <row r="4194">
      <c r="A4194" s="234">
        <f>IFERROR(__xludf.DUMMYFUNCTION("""COMPUTED_VALUE"""),104485.0)</f>
        <v>104485</v>
      </c>
      <c r="B4194" s="235" t="str">
        <f>IFERROR(__xludf.DUMMYFUNCTION("""COMPUTED_VALUE"""),"OWIE PAR")</f>
        <v>OWIE PAR</v>
      </c>
      <c r="C4194" s="235" t="str">
        <f>IFERROR(__xludf.DUMMYFUNCTION("""COMPUTED_VALUE"""),"ENGINEERING")</f>
        <v>ENGINEERING</v>
      </c>
      <c r="D4194" s="196" t="str">
        <f>IFERROR(__xludf.DUMMYFUNCTION("""COMPUTED_VALUE"""),"GI PIPE #1/2 SCH 40 10PCS
WELDING ROD 3KGS
CUTTING DISK #4 20PCS
EPOXY PRIMER GRAY SPHERO 1GAL
LACQUER THINNER 1 GAL 
PAINT ROLLER #4 COTTON 2PCS")</f>
        <v>GI PIPE #1/2 SCH 40 10PCS
WELDING ROD 3KGS
CUTTING DISK #4 20PCS
EPOXY PRIMER GRAY SPHERO 1GAL
LACQUER THINNER 1 GAL 
PAINT ROLLER #4 COTTON 2PCS</v>
      </c>
      <c r="E4194" s="196" t="str">
        <f>IFERROR(__xludf.DUMMYFUNCTION("""COMPUTED_VALUE"""),"FOR PLANT SIGNAGE AT MONARCH PARK")</f>
        <v>FOR PLANT SIGNAGE AT MONARCH PARK</v>
      </c>
    </row>
    <row r="4195">
      <c r="A4195" s="234">
        <f>IFERROR(__xludf.DUMMYFUNCTION("""COMPUTED_VALUE"""),104486.0)</f>
        <v>104486</v>
      </c>
      <c r="B4195" s="235" t="str">
        <f>IFERROR(__xludf.DUMMYFUNCTION("""COMPUTED_VALUE"""),"ALFA DE LEON")</f>
        <v>ALFA DE LEON</v>
      </c>
      <c r="C4195" s="235" t="str">
        <f>IFERROR(__xludf.DUMMYFUNCTION("""COMPUTED_VALUE"""),"ADMIN - MUNICH")</f>
        <v>ADMIN - MUNICH</v>
      </c>
      <c r="D4195" s="196" t="str">
        <f>IFERROR(__xludf.DUMMYFUNCTION("""COMPUTED_VALUE"""),"AUTOMATIC AIR FRESHENER 14")</f>
        <v>AUTOMATIC AIR FRESHENER 14</v>
      </c>
      <c r="E4195" s="196" t="str">
        <f>IFERROR(__xludf.DUMMYFUNCTION("""COMPUTED_VALUE"""),"RESTROOM ENHANCEMENT")</f>
        <v>RESTROOM ENHANCEMENT</v>
      </c>
    </row>
    <row r="4196">
      <c r="A4196" s="234">
        <f>IFERROR(__xludf.DUMMYFUNCTION("""COMPUTED_VALUE"""),104487.0)</f>
        <v>104487</v>
      </c>
      <c r="B4196" s="235" t="str">
        <f>IFERROR(__xludf.DUMMYFUNCTION("""COMPUTED_VALUE"""),"SHEREE ESPINOSA")</f>
        <v>SHEREE ESPINOSA</v>
      </c>
      <c r="C4196" s="235" t="str">
        <f>IFERROR(__xludf.DUMMYFUNCTION("""COMPUTED_VALUE"""),"ADMIN")</f>
        <v>ADMIN</v>
      </c>
      <c r="D4196" s="196" t="str">
        <f>IFERROR(__xludf.DUMMYFUNCTION("""COMPUTED_VALUE"""),"MIGHTY SPARKLE DIAMOND PRO 25 (4GAL)  FLOOR FINISH")</f>
        <v>MIGHTY SPARKLE DIAMOND PRO 25 (4GAL)  FLOOR FINISH</v>
      </c>
      <c r="E4196" s="196" t="str">
        <f>IFERROR(__xludf.DUMMYFUNCTION("""COMPUTED_VALUE"""),"FOR FOOD COURT, MONARCH PARK AND LUX HALL FLOORING MAINTENANCE")</f>
        <v>FOR FOOD COURT, MONARCH PARK AND LUX HALL FLOORING MAINTENANCE</v>
      </c>
    </row>
    <row r="4197">
      <c r="A4197" s="234">
        <f>IFERROR(__xludf.DUMMYFUNCTION("""COMPUTED_VALUE"""),104488.0)</f>
        <v>104488</v>
      </c>
      <c r="B4197" s="235" t="str">
        <f>IFERROR(__xludf.DUMMYFUNCTION("""COMPUTED_VALUE"""),"SHEREE ESPINOSA")</f>
        <v>SHEREE ESPINOSA</v>
      </c>
      <c r="C4197" s="235" t="str">
        <f>IFERROR(__xludf.DUMMYFUNCTION("""COMPUTED_VALUE"""),"ADMIN")</f>
        <v>ADMIN</v>
      </c>
      <c r="D4197" s="196" t="str">
        <f>IFERROR(__xludf.DUMMYFUNCTION("""COMPUTED_VALUE"""),"AIR FRESHENER REFILL FRESH BAMBOO 3
GREEN TEA 3")</f>
        <v>AIR FRESHENER REFILL FRESH BAMBOO 3
GREEN TEA 3</v>
      </c>
      <c r="E4197" s="196" t="str">
        <f>IFERROR(__xludf.DUMMYFUNCTION("""COMPUTED_VALUE"""),"AUTOMATIC AIR FRESHENER REFILL")</f>
        <v>AUTOMATIC AIR FRESHENER REFILL</v>
      </c>
    </row>
    <row r="4198">
      <c r="A4198" s="234">
        <f>IFERROR(__xludf.DUMMYFUNCTION("""COMPUTED_VALUE"""),104489.0)</f>
        <v>104489</v>
      </c>
      <c r="B4198" s="235" t="str">
        <f>IFERROR(__xludf.DUMMYFUNCTION("""COMPUTED_VALUE"""),"ALFA DE LEON")</f>
        <v>ALFA DE LEON</v>
      </c>
      <c r="C4198" s="235" t="str">
        <f>IFERROR(__xludf.DUMMYFUNCTION("""COMPUTED_VALUE"""),"ADMIN")</f>
        <v>ADMIN</v>
      </c>
      <c r="D4198" s="196" t="str">
        <f>IFERROR(__xludf.DUMMYFUNCTION("""COMPUTED_VALUE"""),"PANDAKAKI 100
DURANTA 100
PICARRA 80
FORGET ME NOT 80")</f>
        <v>PANDAKAKI 100
DURANTA 100
PICARRA 80
FORGET ME NOT 80</v>
      </c>
      <c r="E4198" s="196" t="str">
        <f>IFERROR(__xludf.DUMMYFUNCTION("""COMPUTED_VALUE"""),"YOKOHAMA AND TROPICAL PLANT BOX MAINTENANCE AND MONARCH PARK")</f>
        <v>YOKOHAMA AND TROPICAL PLANT BOX MAINTENANCE AND MONARCH PARK</v>
      </c>
    </row>
    <row r="4199">
      <c r="A4199" s="234">
        <f>IFERROR(__xludf.DUMMYFUNCTION("""COMPUTED_VALUE"""),104490.0)</f>
        <v>104490</v>
      </c>
      <c r="B4199" s="235" t="str">
        <f>IFERROR(__xludf.DUMMYFUNCTION("""COMPUTED_VALUE"""),"ALFA DE LEON")</f>
        <v>ALFA DE LEON</v>
      </c>
      <c r="C4199" s="235" t="str">
        <f>IFERROR(__xludf.DUMMYFUNCTION("""COMPUTED_VALUE"""),"LANDSCAPING")</f>
        <v>LANDSCAPING</v>
      </c>
      <c r="D4199" s="196" t="str">
        <f>IFERROR(__xludf.DUMMYFUNCTION("""COMPUTED_VALUE"""),"FURADAN  6SACKS
KARATE 6BTLS
UREA 1SACK
COMPLETE 1 SACK")</f>
        <v>FURADAN  6SACKS
KARATE 6BTLS
UREA 1SACK
COMPLETE 1 SACK</v>
      </c>
      <c r="E4199" s="196" t="str">
        <f>IFERROR(__xludf.DUMMYFUNCTION("""COMPUTED_VALUE"""),"PLANT MAINTENANCE: FERTILIZER")</f>
        <v>PLANT MAINTENANCE: FERTILIZER</v>
      </c>
    </row>
    <row r="4200">
      <c r="A4200" s="234">
        <f>IFERROR(__xludf.DUMMYFUNCTION("""COMPUTED_VALUE"""),104491.0)</f>
        <v>104491</v>
      </c>
      <c r="B4200" s="235" t="str">
        <f>IFERROR(__xludf.DUMMYFUNCTION("""COMPUTED_VALUE"""),"ALFA DE LEON")</f>
        <v>ALFA DE LEON</v>
      </c>
      <c r="C4200" s="235" t="str">
        <f>IFERROR(__xludf.DUMMYFUNCTION("""COMPUTED_VALUE"""),"LANDSCAPING")</f>
        <v>LANDSCAPING</v>
      </c>
      <c r="D4200" s="196" t="str">
        <f>IFERROR(__xludf.DUMMYFUNCTION("""COMPUTED_VALUE"""),"TABACCO DWARF 3FT TO 4FT 30
SELLOUM 2FT 30
HELICONIA DWARF 2FT 250")</f>
        <v>TABACCO DWARF 3FT TO 4FT 30
SELLOUM 2FT 30
HELICONIA DWARF 2FT 250</v>
      </c>
      <c r="E4200" s="196" t="str">
        <f>IFERROR(__xludf.DUMMYFUNCTION("""COMPUTED_VALUE"""),"TO REPLACE THE TALLER TABACCO PLANTS AND RE-ARRANGE THE PLANTS BOX. PREPARATION FOR RECOGNITION AND GRADUATION EVENTS IN LUX HALL")</f>
        <v>TO REPLACE THE TALLER TABACCO PLANTS AND RE-ARRANGE THE PLANTS BOX. PREPARATION FOR RECOGNITION AND GRADUATION EVENTS IN LUX HALL</v>
      </c>
    </row>
    <row r="4201">
      <c r="A4201" s="234">
        <f>IFERROR(__xludf.DUMMYFUNCTION("""COMPUTED_VALUE"""),104492.0)</f>
        <v>104492</v>
      </c>
      <c r="B4201" s="235" t="str">
        <f>IFERROR(__xludf.DUMMYFUNCTION("""COMPUTED_VALUE"""),"ALFA DE LEON")</f>
        <v>ALFA DE LEON</v>
      </c>
      <c r="C4201" s="235" t="str">
        <f>IFERROR(__xludf.DUMMYFUNCTION("""COMPUTED_VALUE"""),"ADMIN")</f>
        <v>ADMIN</v>
      </c>
      <c r="D4201" s="196" t="str">
        <f>IFERROR(__xludf.DUMMYFUNCTION("""COMPUTED_VALUE"""),"RED BUTTON 2FT 85")</f>
        <v>RED BUTTON 2FT 85</v>
      </c>
      <c r="E4201" s="196" t="str">
        <f>IFERROR(__xludf.DUMMYFUNCTION("""COMPUTED_VALUE"""),"TO PLANT IN THE FITNESS HUB POT SIDE CORNER")</f>
        <v>TO PLANT IN THE FITNESS HUB POT SIDE CORNER</v>
      </c>
    </row>
    <row r="4202">
      <c r="A4202" s="234">
        <f>IFERROR(__xludf.DUMMYFUNCTION("""COMPUTED_VALUE"""),104493.0)</f>
        <v>104493</v>
      </c>
      <c r="B4202" s="235" t="str">
        <f>IFERROR(__xludf.DUMMYFUNCTION("""COMPUTED_VALUE"""),"ALFA DE LEON")</f>
        <v>ALFA DE LEON</v>
      </c>
      <c r="C4202" s="235" t="str">
        <f>IFERROR(__xludf.DUMMYFUNCTION("""COMPUTED_VALUE"""),"LANDSCAPING")</f>
        <v>LANDSCAPING</v>
      </c>
      <c r="D4202" s="196" t="str">
        <f>IFERROR(__xludf.DUMMYFUNCTION("""COMPUTED_VALUE"""),"FROG GRASS 40SQM 40")</f>
        <v>FROG GRASS 40SQM 40</v>
      </c>
      <c r="E4202" s="196" t="str">
        <f>IFERROR(__xludf.DUMMYFUNCTION("""COMPUTED_VALUE"""),"TROPICAL GARDEN MAINTENANCE")</f>
        <v>TROPICAL GARDEN MAINTENANCE</v>
      </c>
    </row>
    <row r="4203">
      <c r="A4203" s="234">
        <f>IFERROR(__xludf.DUMMYFUNCTION("""COMPUTED_VALUE"""),104494.0)</f>
        <v>104494</v>
      </c>
      <c r="B4203" s="235" t="str">
        <f>IFERROR(__xludf.DUMMYFUNCTION("""COMPUTED_VALUE"""),"SHEREE ESPINOSA")</f>
        <v>SHEREE ESPINOSA</v>
      </c>
      <c r="C4203" s="235" t="str">
        <f>IFERROR(__xludf.DUMMYFUNCTION("""COMPUTED_VALUE"""),"ADMIN")</f>
        <v>ADMIN</v>
      </c>
      <c r="D4203" s="196" t="str">
        <f>IFERROR(__xludf.DUMMYFUNCTION("""COMPUTED_VALUE"""),"CR SIGNAGE 
-MALE 27
-FEMALE 27
-COMFORT ROOM 25
-FACULTY / STAFF 8")</f>
        <v>CR SIGNAGE 
-MALE 27
-FEMALE 27
-COMFORT ROOM 25
-FACULTY / STAFF 8</v>
      </c>
      <c r="E4203" s="196" t="str">
        <f>IFERROR(__xludf.DUMMYFUNCTION("""COMPUTED_VALUE"""),"FOR ALL CRs IN CAMPUSES (TO MAKE IT UNIFORM SIGNAGE/ LABEL) LUX, TROPICAL, COLLEGE)")</f>
        <v>FOR ALL CRs IN CAMPUSES (TO MAKE IT UNIFORM SIGNAGE/ LABEL) LUX, TROPICAL, COLLEGE)</v>
      </c>
    </row>
    <row r="4204">
      <c r="A4204" s="234">
        <f>IFERROR(__xludf.DUMMYFUNCTION("""COMPUTED_VALUE"""),104495.0)</f>
        <v>104495</v>
      </c>
      <c r="B4204" s="235" t="str">
        <f>IFERROR(__xludf.DUMMYFUNCTION("""COMPUTED_VALUE"""),"JESUIT CHRISTIAN GALICIA")</f>
        <v>JESUIT CHRISTIAN GALICIA</v>
      </c>
      <c r="C4204" s="235" t="str">
        <f>IFERROR(__xludf.DUMMYFUNCTION("""COMPUTED_VALUE"""),"AMD")</f>
        <v>AMD</v>
      </c>
      <c r="D4204" s="196" t="str">
        <f>IFERROR(__xludf.DUMMYFUNCTION("""COMPUTED_VALUE"""),"MALE PLUG RUBBER (EAGLE) 30")</f>
        <v>MALE PLUG RUBBER (EAGLE) 30</v>
      </c>
      <c r="E4204" s="196" t="str">
        <f>IFERROR(__xludf.DUMMYFUNCTION("""COMPUTED_VALUE"""),"ENGINEERING WAREHOUSE STOCK REPLENISHMENT")</f>
        <v>ENGINEERING WAREHOUSE STOCK REPLENISHMENT</v>
      </c>
    </row>
    <row r="4205">
      <c r="A4205" s="234">
        <f>IFERROR(__xludf.DUMMYFUNCTION("""COMPUTED_VALUE"""),104496.0)</f>
        <v>104496</v>
      </c>
      <c r="B4205" s="235" t="str">
        <f>IFERROR(__xludf.DUMMYFUNCTION("""COMPUTED_VALUE"""),"BONVIE ANDREI PASILONG")</f>
        <v>BONVIE ANDREI PASILONG</v>
      </c>
      <c r="C4205" s="235" t="str">
        <f>IFERROR(__xludf.DUMMYFUNCTION("""COMPUTED_VALUE"""),"CEM OFFICE")</f>
        <v>CEM OFFICE</v>
      </c>
      <c r="D4205" s="196" t="str">
        <f>IFERROR(__xludf.DUMMYFUNCTION("""COMPUTED_VALUE"""),"HAIER M53-52401 DUAL 4G TABLET 25PCS")</f>
        <v>HAIER M53-52401 DUAL 4G TABLET 25PCS</v>
      </c>
      <c r="E4205" s="196" t="str">
        <f>IFERROR(__xludf.DUMMYFUNCTION("""COMPUTED_VALUE"""),"READING PROGRAM")</f>
        <v>READING PROGRAM</v>
      </c>
    </row>
    <row r="4206">
      <c r="A4206" s="234">
        <f>IFERROR(__xludf.DUMMYFUNCTION("""COMPUTED_VALUE"""),104497.0)</f>
        <v>104497</v>
      </c>
      <c r="B4206" s="235" t="str">
        <f>IFERROR(__xludf.DUMMYFUNCTION("""COMPUTED_VALUE"""),"ARNEL MONTABLAN")</f>
        <v>ARNEL MONTABLAN</v>
      </c>
      <c r="C4206" s="235" t="str">
        <f>IFERROR(__xludf.DUMMYFUNCTION("""COMPUTED_VALUE"""),"ASAT")</f>
        <v>ASAT</v>
      </c>
      <c r="D4206" s="196" t="str">
        <f>IFERROR(__xludf.DUMMYFUNCTION("""COMPUTED_VALUE"""),"TOILET BOWL (ROYAL TERN) 2")</f>
        <v>TOILET BOWL (ROYAL TERN) 2</v>
      </c>
      <c r="E4206" s="196" t="str">
        <f>IFERROR(__xludf.DUMMYFUNCTION("""COMPUTED_VALUE"""),"REPLACEMEMT OF BROKEN TOILET BOWLS WITH CRACKS (YOKOHAMA)")</f>
        <v>REPLACEMEMT OF BROKEN TOILET BOWLS WITH CRACKS (YOKOHAMA)</v>
      </c>
    </row>
    <row r="4207">
      <c r="A4207" s="234">
        <f>IFERROR(__xludf.DUMMYFUNCTION("""COMPUTED_VALUE"""),104498.0)</f>
        <v>104498</v>
      </c>
      <c r="B4207" s="235" t="str">
        <f>IFERROR(__xludf.DUMMYFUNCTION("""COMPUTED_VALUE"""),"OWIE PAR")</f>
        <v>OWIE PAR</v>
      </c>
      <c r="C4207" s="235" t="str">
        <f>IFERROR(__xludf.DUMMYFUNCTION("""COMPUTED_VALUE"""),"ADMIN")</f>
        <v>ADMIN</v>
      </c>
      <c r="D4207" s="196" t="str">
        <f>IFERROR(__xludf.DUMMYFUNCTION("""COMPUTED_VALUE"""),"1.5 HP WINDOW TYPE INVERTER 1 UNIT")</f>
        <v>1.5 HP WINDOW TYPE INVERTER 1 UNIT</v>
      </c>
      <c r="E4207" s="196" t="str">
        <f>IFERROR(__xludf.DUMMYFUNCTION("""COMPUTED_VALUE"""),"FOR MONARCH PARK GIRL CR")</f>
        <v>FOR MONARCH PARK GIRL CR</v>
      </c>
    </row>
    <row r="4208">
      <c r="A4208" s="234">
        <f>IFERROR(__xludf.DUMMYFUNCTION("""COMPUTED_VALUE"""),104499.0)</f>
        <v>104499</v>
      </c>
      <c r="B4208" s="235" t="str">
        <f>IFERROR(__xludf.DUMMYFUNCTION("""COMPUTED_VALUE"""),"PHEN PETIN")</f>
        <v>PHEN PETIN</v>
      </c>
      <c r="C4208" s="235" t="str">
        <f>IFERROR(__xludf.DUMMYFUNCTION("""COMPUTED_VALUE"""),"ADMIN")</f>
        <v>ADMIN</v>
      </c>
      <c r="D4208" s="196" t="str">
        <f>IFERROR(__xludf.DUMMYFUNCTION("""COMPUTED_VALUE"""),"MARIANNE PLANTS 20PCS")</f>
        <v>MARIANNE PLANTS 20PCS</v>
      </c>
      <c r="E4208" s="196" t="str">
        <f>IFERROR(__xludf.DUMMYFUNCTION("""COMPUTED_VALUE"""),"FOR STARS BEAUTIFICATION OF RESTROOMS")</f>
        <v>FOR STARS BEAUTIFICATION OF RESTROOMS</v>
      </c>
    </row>
    <row r="4209">
      <c r="A4209" s="234">
        <f>IFERROR(__xludf.DUMMYFUNCTION("""COMPUTED_VALUE"""),104500.0)</f>
        <v>104500</v>
      </c>
      <c r="B4209" s="235" t="str">
        <f>IFERROR(__xludf.DUMMYFUNCTION("""COMPUTED_VALUE"""),"PHEN PETIN")</f>
        <v>PHEN PETIN</v>
      </c>
      <c r="C4209" s="235" t="str">
        <f>IFERROR(__xludf.DUMMYFUNCTION("""COMPUTED_VALUE"""),"ADMIN")</f>
        <v>ADMIN</v>
      </c>
      <c r="D4209" s="196" t="str">
        <f>IFERROR(__xludf.DUMMYFUNCTION("""COMPUTED_VALUE"""),"1 GANG SWITCH DEVICE 6 SETS
2 GANG SWTICH DEVICE 6SETS
3 GANG SWITCH DEVICE 6 SETS")</f>
        <v>1 GANG SWITCH DEVICE 6 SETS
2 GANG SWTICH DEVICE 6SETS
3 GANG SWITCH DEVICE 6 SETS</v>
      </c>
      <c r="E4209" s="196" t="str">
        <f>IFERROR(__xludf.DUMMYFUNCTION("""COMPUTED_VALUE"""),"FOR ENGINEERING USED STAR CAMPUS")</f>
        <v>FOR ENGINEERING USED STAR CAMPUS</v>
      </c>
    </row>
    <row r="4210">
      <c r="A4210" s="234">
        <f>IFERROR(__xludf.DUMMYFUNCTION("""COMPUTED_VALUE"""),104501.0)</f>
        <v>104501</v>
      </c>
      <c r="B4210" s="235" t="str">
        <f>IFERROR(__xludf.DUMMYFUNCTION("""COMPUTED_VALUE"""),"OWIE PAR ")</f>
        <v>OWIE PAR </v>
      </c>
      <c r="C4210" s="235" t="str">
        <f>IFERROR(__xludf.DUMMYFUNCTION("""COMPUTED_VALUE"""),"ENGINEERING")</f>
        <v>ENGINEERING</v>
      </c>
      <c r="D4210" s="196" t="str">
        <f>IFERROR(__xludf.DUMMYFUNCTION("""COMPUTED_VALUE"""),"GI TUBULAR BAR 2.0 2x2 6PCS
FLAT BAR 3/16 x 1
WELDING ROD SPECIAL 3KGS
DOOR TRUCK 2x2x10 2PCS
DOOR HANGER #2 STANLEY 2PAIRS
CUTTING DISC #4 5PCS
EPOXY PRIMER GRAY SPHERO 1GAL
LAQUER THINNER  1GAL
PAINT ROLLER #4 COTTON 2PCS
BLACK SCREW #1 1/2 METAL 50PCS
"&amp;"DYNA BOLT 3/8 10PCS")</f>
        <v>GI TUBULAR BAR 2.0 2x2 6PCS
FLAT BAR 3/16 x 1
WELDING ROD SPECIAL 3KGS
DOOR TRUCK 2x2x10 2PCS
DOOR HANGER #2 STANLEY 2PAIRS
CUTTING DISC #4 5PCS
EPOXY PRIMER GRAY SPHERO 1GAL
LAQUER THINNER  1GAL
PAINT ROLLER #4 COTTON 2PCS
BLACK SCREW #1 1/2 METAL 50PCS
DYNA BOLT 3/8 10PCS</v>
      </c>
      <c r="E4210" s="196" t="str">
        <f>IFERROR(__xludf.DUMMYFUNCTION("""COMPUTED_VALUE"""),"FABRICATION OF NEW DOOR FOR LUX HALL")</f>
        <v>FABRICATION OF NEW DOOR FOR LUX HALL</v>
      </c>
    </row>
    <row r="4211">
      <c r="A4211" s="234">
        <f>IFERROR(__xludf.DUMMYFUNCTION("""COMPUTED_VALUE"""),104502.0)</f>
        <v>104502</v>
      </c>
      <c r="B4211" s="235" t="str">
        <f>IFERROR(__xludf.DUMMYFUNCTION("""COMPUTED_VALUE"""),"ALFA DE LEON")</f>
        <v>ALFA DE LEON</v>
      </c>
      <c r="C4211" s="235" t="str">
        <f>IFERROR(__xludf.DUMMYFUNCTION("""COMPUTED_VALUE"""),"LANDSCAPING")</f>
        <v>LANDSCAPING</v>
      </c>
      <c r="D4211" s="196" t="str">
        <f>IFERROR(__xludf.DUMMYFUNCTION("""COMPUTED_VALUE"""),"KUTSARA 2
GARDEN SCISSOR ADJUSTABLE BIG 1
SCISSOR FOR CUTTING SMALL BRANCHES 2")</f>
        <v>KUTSARA 2
GARDEN SCISSOR ADJUSTABLE BIG 1
SCISSOR FOR CUTTING SMALL BRANCHES 2</v>
      </c>
      <c r="E4211" s="196" t="str">
        <f>IFERROR(__xludf.DUMMYFUNCTION("""COMPUTED_VALUE"""),"GARDEN MATERIALS (REPLACEMENT/ BROKEN)")</f>
        <v>GARDEN MATERIALS (REPLACEMENT/ BROKEN)</v>
      </c>
    </row>
    <row r="4212">
      <c r="A4212" s="234">
        <f>IFERROR(__xludf.DUMMYFUNCTION("""COMPUTED_VALUE"""),104503.0)</f>
        <v>104503</v>
      </c>
      <c r="B4212" s="235" t="str">
        <f>IFERROR(__xludf.DUMMYFUNCTION("""COMPUTED_VALUE"""),"CHARLES DONOR")</f>
        <v>CHARLES DONOR</v>
      </c>
      <c r="C4212" s="235" t="str">
        <f>IFERROR(__xludf.DUMMYFUNCTION("""COMPUTED_VALUE"""),"AMD")</f>
        <v>AMD</v>
      </c>
      <c r="D4212" s="196" t="str">
        <f>IFERROR(__xludf.DUMMYFUNCTION("""COMPUTED_VALUE"""),"PAPER, COPY-LASER SUB. 20 SHORT WHITE 621 REAMS")</f>
        <v>PAPER, COPY-LASER SUB. 20 SHORT WHITE 621 REAMS</v>
      </c>
      <c r="E4212" s="196" t="str">
        <f>IFERROR(__xludf.DUMMYFUNCTION("""COMPUTED_VALUE"""),"OSSUP WAREHOUSE STOCK REPLENISHMENT")</f>
        <v>OSSUP WAREHOUSE STOCK REPLENISHMENT</v>
      </c>
    </row>
    <row r="4213">
      <c r="A4213" s="234">
        <f>IFERROR(__xludf.DUMMYFUNCTION("""COMPUTED_VALUE"""),104504.0)</f>
        <v>104504</v>
      </c>
      <c r="B4213" s="235" t="str">
        <f>IFERROR(__xludf.DUMMYFUNCTION("""COMPUTED_VALUE"""),"ALFA DE LEON")</f>
        <v>ALFA DE LEON</v>
      </c>
      <c r="C4213" s="235" t="str">
        <f>IFERROR(__xludf.DUMMYFUNCTION("""COMPUTED_VALUE"""),"ADMIN - MUNICH")</f>
        <v>ADMIN - MUNICH</v>
      </c>
      <c r="D4213" s="196" t="str">
        <f>IFERROR(__xludf.DUMMYFUNCTION("""COMPUTED_VALUE"""),"MISSION &amp; VISION TARP 1
SIZE: 5FT x 5FT")</f>
        <v>MISSION &amp; VISION TARP 1
SIZE: 5FT x 5FT</v>
      </c>
      <c r="E4213" s="196" t="str">
        <f>IFERROR(__xludf.DUMMYFUNCTION("""COMPUTED_VALUE"""),"G/F LOBBY UPDATE OF MISSION AND VISION TARP")</f>
        <v>G/F LOBBY UPDATE OF MISSION AND VISION TARP</v>
      </c>
    </row>
    <row r="4214">
      <c r="A4214" s="234">
        <f>IFERROR(__xludf.DUMMYFUNCTION("""COMPUTED_VALUE"""),104505.0)</f>
        <v>104505</v>
      </c>
      <c r="B4214" s="235" t="str">
        <f>IFERROR(__xludf.DUMMYFUNCTION("""COMPUTED_VALUE"""),"JESUIT CHRISTIAN GALICIA")</f>
        <v>JESUIT CHRISTIAN GALICIA</v>
      </c>
      <c r="C4214" s="235" t="str">
        <f>IFERROR(__xludf.DUMMYFUNCTION("""COMPUTED_VALUE"""),"AMD")</f>
        <v>AMD</v>
      </c>
      <c r="D4214" s="196" t="str">
        <f>IFERROR(__xludf.DUMMYFUNCTION("""COMPUTED_VALUE"""),"WIFI CARD PCI-E (TP LINK TL-WN881ND) 10PCS
EDIFIER SPEAKER (x100B) 10PCS")</f>
        <v>WIFI CARD PCI-E (TP LINK TL-WN881ND) 10PCS
EDIFIER SPEAKER (x100B) 10PCS</v>
      </c>
      <c r="E4214" s="196" t="str">
        <f>IFERROR(__xludf.DUMMYFUNCTION("""COMPUTED_VALUE"""),"MIS WAREHOUSE STOCK REPLENISHMENT")</f>
        <v>MIS WAREHOUSE STOCK REPLENISHMENT</v>
      </c>
    </row>
    <row r="4215">
      <c r="A4215" s="234">
        <f>IFERROR(__xludf.DUMMYFUNCTION("""COMPUTED_VALUE"""),104506.0)</f>
        <v>104506</v>
      </c>
      <c r="B4215" s="235" t="str">
        <f>IFERROR(__xludf.DUMMYFUNCTION("""COMPUTED_VALUE"""),"JESUIT CHRISTIAN GALICIA")</f>
        <v>JESUIT CHRISTIAN GALICIA</v>
      </c>
      <c r="C4215" s="235" t="str">
        <f>IFERROR(__xludf.DUMMYFUNCTION("""COMPUTED_VALUE"""),"AMD")</f>
        <v>AMD</v>
      </c>
      <c r="D4215" s="196" t="str">
        <f>IFERROR(__xludf.DUMMYFUNCTION("""COMPUTED_VALUE"""),"MALE PLUG RUBBER (EAGLE) 30")</f>
        <v>MALE PLUG RUBBER (EAGLE) 30</v>
      </c>
      <c r="E4215" s="196" t="str">
        <f>IFERROR(__xludf.DUMMYFUNCTION("""COMPUTED_VALUE"""),"ENGINEERING WAREHOUSE STOCK REPLENISHMENT")</f>
        <v>ENGINEERING WAREHOUSE STOCK REPLENISHMENT</v>
      </c>
    </row>
    <row r="4216">
      <c r="A4216" s="234">
        <f>IFERROR(__xludf.DUMMYFUNCTION("""COMPUTED_VALUE"""),104507.0)</f>
        <v>104507</v>
      </c>
      <c r="B4216" s="235" t="str">
        <f>IFERROR(__xludf.DUMMYFUNCTION("""COMPUTED_VALUE"""),"OWIE PAR")</f>
        <v>OWIE PAR</v>
      </c>
      <c r="C4216" s="235" t="str">
        <f>IFERROR(__xludf.DUMMYFUNCTION("""COMPUTED_VALUE"""),"ENGINEERING")</f>
        <v>ENGINEERING</v>
      </c>
      <c r="D4216" s="196" t="str">
        <f>IFERROR(__xludf.DUMMYFUNCTION("""COMPUTED_VALUE"""),"6.0 HP PANASONIC INVERTER 5UNITS
4.0 HP PANASONIC INVERTER 4UNITS")</f>
        <v>6.0 HP PANASONIC INVERTER 5UNITS
4.0 HP PANASONIC INVERTER 4UNITS</v>
      </c>
      <c r="E4216" s="196" t="str">
        <f>IFERROR(__xludf.DUMMYFUNCTION("""COMPUTED_VALUE"""),"FOR MUNICH  HALLWAY")</f>
        <v>FOR MUNICH  HALLWAY</v>
      </c>
    </row>
    <row r="4217">
      <c r="A4217" s="234">
        <f>IFERROR(__xludf.DUMMYFUNCTION("""COMPUTED_VALUE"""),104508.0)</f>
        <v>104508</v>
      </c>
      <c r="B4217" s="235" t="str">
        <f>IFERROR(__xludf.DUMMYFUNCTION("""COMPUTED_VALUE"""),"JOMEL BUTIAL ")</f>
        <v>JOMEL BUTIAL </v>
      </c>
      <c r="C4217" s="235" t="str">
        <f>IFERROR(__xludf.DUMMYFUNCTION("""COMPUTED_VALUE"""),"PR &amp; MARKETING")</f>
        <v>PR &amp; MARKETING</v>
      </c>
      <c r="D4217" s="196" t="str">
        <f>IFERROR(__xludf.DUMMYFUNCTION("""COMPUTED_VALUE"""),"WASC VISIT 2018 SINTRABOARD 16
SIZE: 19x11 INCHES")</f>
        <v>WASC VISIT 2018 SINTRABOARD 16
SIZE: 19x11 INCHES</v>
      </c>
      <c r="E4217" s="196" t="str">
        <f>IFERROR(__xludf.DUMMYFUNCTION("""COMPUTED_VALUE"""),"WASC VISIT 2024")</f>
        <v>WASC VISIT 2024</v>
      </c>
    </row>
    <row r="4218">
      <c r="A4218" s="234">
        <f>IFERROR(__xludf.DUMMYFUNCTION("""COMPUTED_VALUE"""),104509.0)</f>
        <v>104509</v>
      </c>
      <c r="B4218" s="235" t="str">
        <f>IFERROR(__xludf.DUMMYFUNCTION("""COMPUTED_VALUE"""),"JOMEL BUTIAL ")</f>
        <v>JOMEL BUTIAL </v>
      </c>
      <c r="C4218" s="235" t="str">
        <f>IFERROR(__xludf.DUMMYFUNCTION("""COMPUTED_VALUE"""),"PR &amp; MARKETING")</f>
        <v>PR &amp; MARKETING</v>
      </c>
      <c r="D4218" s="196" t="str">
        <f>IFERROR(__xludf.DUMMYFUNCTION("""COMPUTED_VALUE"""),"K TO 12 BROCHURE 1000")</f>
        <v>K TO 12 BROCHURE 1000</v>
      </c>
      <c r="E4218" s="196" t="str">
        <f>IFERROR(__xludf.DUMMYFUNCTION("""COMPUTED_VALUE"""),"WASC VISIT 2024")</f>
        <v>WASC VISIT 2024</v>
      </c>
    </row>
    <row r="4219">
      <c r="A4219" s="234">
        <f>IFERROR(__xludf.DUMMYFUNCTION("""COMPUTED_VALUE"""),104510.0)</f>
        <v>104510</v>
      </c>
      <c r="B4219" s="235" t="str">
        <f>IFERROR(__xludf.DUMMYFUNCTION("""COMPUTED_VALUE"""),"SAMEYA BANTA")</f>
        <v>SAMEYA BANTA</v>
      </c>
      <c r="C4219" s="235" t="str">
        <f>IFERROR(__xludf.DUMMYFUNCTION("""COMPUTED_VALUE"""),"ADMIN")</f>
        <v>ADMIN</v>
      </c>
      <c r="D4219" s="196" t="str">
        <f>IFERROR(__xludf.DUMMYFUNCTION("""COMPUTED_VALUE"""),"MAKITA BLOWER 2PCS")</f>
        <v>MAKITA BLOWER 2PCS</v>
      </c>
      <c r="E4219" s="196" t="str">
        <f>IFERROR(__xludf.DUMMYFUNCTION("""COMPUTED_VALUE"""),"FOR LEAVES; TO SPEED UP GARDEN AND PERIMETER MAINTENANCE")</f>
        <v>FOR LEAVES; TO SPEED UP GARDEN AND PERIMETER MAINTENANCE</v>
      </c>
    </row>
    <row r="4220">
      <c r="A4220" s="234">
        <f>IFERROR(__xludf.DUMMYFUNCTION("""COMPUTED_VALUE"""),104511.0)</f>
        <v>104511</v>
      </c>
      <c r="B4220" s="235" t="str">
        <f>IFERROR(__xludf.DUMMYFUNCTION("""COMPUTED_VALUE"""),"SAMEYA BANTA")</f>
        <v>SAMEYA BANTA</v>
      </c>
      <c r="C4220" s="235" t="str">
        <f>IFERROR(__xludf.DUMMYFUNCTION("""COMPUTED_VALUE"""),"ADMIN")</f>
        <v>ADMIN</v>
      </c>
      <c r="D4220" s="196" t="str">
        <f>IFERROR(__xludf.DUMMYFUNCTION("""COMPUTED_VALUE"""),"IWATA TORNADO MIST 26 3PCS")</f>
        <v>IWATA TORNADO MIST 26 3PCS</v>
      </c>
      <c r="E4220" s="196" t="str">
        <f>IFERROR(__xludf.DUMMYFUNCTION("""COMPUTED_VALUE"""),"ADDITIONAL VENTILATION DUE TO HEAT INDEX")</f>
        <v>ADDITIONAL VENTILATION DUE TO HEAT INDEX</v>
      </c>
    </row>
    <row r="4221">
      <c r="A4221" s="234">
        <f>IFERROR(__xludf.DUMMYFUNCTION("""COMPUTED_VALUE"""),104512.0)</f>
        <v>104512</v>
      </c>
      <c r="B4221" s="235" t="str">
        <f>IFERROR(__xludf.DUMMYFUNCTION("""COMPUTED_VALUE"""),"ALFA DE LEON")</f>
        <v>ALFA DE LEON</v>
      </c>
      <c r="C4221" s="235" t="str">
        <f>IFERROR(__xludf.DUMMYFUNCTION("""COMPUTED_VALUE"""),"LANDSCAPING")</f>
        <v>LANDSCAPING</v>
      </c>
      <c r="D4221" s="196" t="str">
        <f>IFERROR(__xludf.DUMMYFUNCTION("""COMPUTED_VALUE"""),"POTS L 55PCS")</f>
        <v>POTS L 55PCS</v>
      </c>
      <c r="E4221" s="196" t="str">
        <f>IFERROR(__xludf.DUMMYFUNCTION("""COMPUTED_VALUE"""),"NEW POTS FOR SOME PLANTS THAT WILL BE REMOVED INTHE PLANT BOX OF YOKOHAMA AND MUNICH. WILL USED TO PROPAGATE BY PLANTS")</f>
        <v>NEW POTS FOR SOME PLANTS THAT WILL BE REMOVED INTHE PLANT BOX OF YOKOHAMA AND MUNICH. WILL USED TO PROPAGATE BY PLANTS</v>
      </c>
    </row>
    <row r="4222">
      <c r="A4222" s="234">
        <f>IFERROR(__xludf.DUMMYFUNCTION("""COMPUTED_VALUE"""),104513.0)</f>
        <v>104513</v>
      </c>
      <c r="B4222" s="235" t="str">
        <f>IFERROR(__xludf.DUMMYFUNCTION("""COMPUTED_VALUE"""),"OWIE PAR")</f>
        <v>OWIE PAR</v>
      </c>
      <c r="C4222" s="235" t="str">
        <f>IFERROR(__xludf.DUMMYFUNCTION("""COMPUTED_VALUE"""),"ENGINEERING")</f>
        <v>ENGINEERING</v>
      </c>
      <c r="D4222" s="196" t="str">
        <f>IFERROR(__xludf.DUMMYFUNCTION("""COMPUTED_VALUE"""),"SQUARE BAR 12MM 10PCS
ANGLE BAR #1 4PCS
DYNA BOLT 3/8 10PCS")</f>
        <v>SQUARE BAR 12MM 10PCS
ANGLE BAR #1 4PCS
DYNA BOLT 3/8 10PCS</v>
      </c>
      <c r="E4222" s="196" t="str">
        <f>IFERROR(__xludf.DUMMYFUNCTION("""COMPUTED_VALUE"""),"FABRICATION OF FIRE EXTINGUISHER CAGE FOR TROPICAL PARKING")</f>
        <v>FABRICATION OF FIRE EXTINGUISHER CAGE FOR TROPICAL PARKING</v>
      </c>
    </row>
    <row r="4223">
      <c r="A4223" s="234">
        <f>IFERROR(__xludf.DUMMYFUNCTION("""COMPUTED_VALUE"""),104514.0)</f>
        <v>104514</v>
      </c>
      <c r="B4223" s="235" t="str">
        <f>IFERROR(__xludf.DUMMYFUNCTION("""COMPUTED_VALUE"""),"OWIE PAR")</f>
        <v>OWIE PAR</v>
      </c>
      <c r="C4223" s="235" t="str">
        <f>IFERROR(__xludf.DUMMYFUNCTION("""COMPUTED_VALUE"""),"ENGINEERING")</f>
        <v>ENGINEERING</v>
      </c>
      <c r="D4223" s="196" t="str">
        <f>IFERROR(__xludf.DUMMYFUNCTION("""COMPUTED_VALUE"""),"AFFF 50LBS W/ WHEEL 2UNITS")</f>
        <v>AFFF 50LBS W/ WHEEL 2UNITS</v>
      </c>
      <c r="E4223" s="196" t="str">
        <f>IFERROR(__xludf.DUMMYFUNCTION("""COMPUTED_VALUE"""),"FOR TROPICAL PARKING AS PER REQUESTED BY SECURITY HEAD")</f>
        <v>FOR TROPICAL PARKING AS PER REQUESTED BY SECURITY HEAD</v>
      </c>
    </row>
    <row r="4224">
      <c r="A4224" s="234">
        <f>IFERROR(__xludf.DUMMYFUNCTION("""COMPUTED_VALUE"""),104515.0)</f>
        <v>104515</v>
      </c>
      <c r="B4224" s="235" t="str">
        <f>IFERROR(__xludf.DUMMYFUNCTION("""COMPUTED_VALUE"""),"OWIE PAR")</f>
        <v>OWIE PAR</v>
      </c>
      <c r="C4224" s="235" t="str">
        <f>IFERROR(__xludf.DUMMYFUNCTION("""COMPUTED_VALUE"""),"ENGINEERING")</f>
        <v>ENGINEERING</v>
      </c>
      <c r="D4224" s="196" t="str">
        <f>IFERROR(__xludf.DUMMYFUNCTION("""COMPUTED_VALUE"""),"3.0 HP CEILING CASSETTE INVERTER ")</f>
        <v>3.0 HP CEILING CASSETTE INVERTER </v>
      </c>
      <c r="E4224" s="196" t="str">
        <f>IFERROR(__xludf.DUMMYFUNCTION("""COMPUTED_VALUE"""),"REPLACEMENT OF OLD UNIT BED LIBRARY IB SECTION")</f>
        <v>REPLACEMENT OF OLD UNIT BED LIBRARY IB SECTION</v>
      </c>
    </row>
    <row r="4225">
      <c r="A4225" s="234">
        <f>IFERROR(__xludf.DUMMYFUNCTION("""COMPUTED_VALUE"""),104516.0)</f>
        <v>104516</v>
      </c>
      <c r="B4225" s="235" t="str">
        <f>IFERROR(__xludf.DUMMYFUNCTION("""COMPUTED_VALUE"""),"MARY JHOY ILAO")</f>
        <v>MARY JHOY ILAO</v>
      </c>
      <c r="C4225" s="235" t="str">
        <f>IFERROR(__xludf.DUMMYFUNCTION("""COMPUTED_VALUE"""),"CEM OFFICE")</f>
        <v>CEM OFFICE</v>
      </c>
      <c r="D4225" s="196" t="str">
        <f>IFERROR(__xludf.DUMMYFUNCTION("""COMPUTED_VALUE"""),"GLL'S CALLING CARD 100")</f>
        <v>GLL'S CALLING CARD 100</v>
      </c>
      <c r="E4225" s="196" t="str">
        <f>IFERROR(__xludf.DUMMYFUNCTION("""COMPUTED_VALUE"""),"GLL'S CALLING CARD ")</f>
        <v>GLL'S CALLING CARD </v>
      </c>
    </row>
    <row r="4226">
      <c r="A4226" s="234">
        <f>IFERROR(__xludf.DUMMYFUNCTION("""COMPUTED_VALUE"""),104517.0)</f>
        <v>104517</v>
      </c>
      <c r="B4226" s="235" t="str">
        <f>IFERROR(__xludf.DUMMYFUNCTION("""COMPUTED_VALUE"""),"RUEL BALANLAYOS")</f>
        <v>RUEL BALANLAYOS</v>
      </c>
      <c r="C4226" s="235" t="str">
        <f>IFERROR(__xludf.DUMMYFUNCTION("""COMPUTED_VALUE"""),"PURCHASING")</f>
        <v>PURCHASING</v>
      </c>
      <c r="D4226" s="196" t="str">
        <f>IFERROR(__xludf.DUMMYFUNCTION("""COMPUTED_VALUE"""),"TRODAT (4910) 1PC
RUEL BALANLAYOS")</f>
        <v>TRODAT (4910) 1PC
RUEL BALANLAYOS</v>
      </c>
      <c r="E4226" s="196" t="str">
        <f>IFERROR(__xludf.DUMMYFUNCTION("""COMPUTED_VALUE"""),"FOR OFFICE USE")</f>
        <v>FOR OFFICE USE</v>
      </c>
    </row>
    <row r="4227">
      <c r="A4227" s="234">
        <f>IFERROR(__xludf.DUMMYFUNCTION("""COMPUTED_VALUE"""),104518.0)</f>
        <v>104518</v>
      </c>
      <c r="B4227" s="235" t="str">
        <f>IFERROR(__xludf.DUMMYFUNCTION("""COMPUTED_VALUE"""),"SHEREE ESPINOSA")</f>
        <v>SHEREE ESPINOSA</v>
      </c>
      <c r="C4227" s="235" t="str">
        <f>IFERROR(__xludf.DUMMYFUNCTION("""COMPUTED_VALUE"""),"ADMIN")</f>
        <v>ADMIN</v>
      </c>
      <c r="D4227" s="196" t="str">
        <f>IFERROR(__xludf.DUMMYFUNCTION("""COMPUTED_VALUE"""),"WHITE STONES 1BAG
ASSORTED PLASTIC POTS")</f>
        <v>WHITE STONES 1BAG
ASSORTED PLASTIC POTS</v>
      </c>
      <c r="E4227" s="196" t="str">
        <f>IFERROR(__xludf.DUMMYFUNCTION("""COMPUTED_VALUE"""),"PLASTIC POTS AND STONES FOR THE NEWLY PLANTED PLANTS FOR CR's AND COMMON AREAS")</f>
        <v>PLASTIC POTS AND STONES FOR THE NEWLY PLANTED PLANTS FOR CR's AND COMMON AREAS</v>
      </c>
    </row>
    <row r="4228">
      <c r="A4228" s="234">
        <f>IFERROR(__xludf.DUMMYFUNCTION("""COMPUTED_VALUE"""),104519.0)</f>
        <v>104519</v>
      </c>
      <c r="B4228" s="235" t="str">
        <f>IFERROR(__xludf.DUMMYFUNCTION("""COMPUTED_VALUE"""),"ROSELET REYNOSO")</f>
        <v>ROSELET REYNOSO</v>
      </c>
      <c r="C4228" s="235" t="str">
        <f>IFERROR(__xludf.DUMMYFUNCTION("""COMPUTED_VALUE"""),"K12")</f>
        <v>K12</v>
      </c>
      <c r="D4228" s="196" t="str">
        <f>IFERROR(__xludf.DUMMYFUNCTION("""COMPUTED_VALUE"""),"TABLOID SIZE FOR NEWSPAPER 9"" BY 12"" 2000
ANTHOLOGY 5")</f>
        <v>TABLOID SIZE FOR NEWSPAPER 9" BY 12" 2000
ANTHOLOGY 5</v>
      </c>
      <c r="E4228" s="196" t="str">
        <f>IFERROR(__xludf.DUMMYFUNCTION("""COMPUTED_VALUE"""),"STUDENT PUBLICATION")</f>
        <v>STUDENT PUBLICATION</v>
      </c>
    </row>
    <row r="4229">
      <c r="A4229" s="234">
        <f>IFERROR(__xludf.DUMMYFUNCTION("""COMPUTED_VALUE"""),104520.0)</f>
        <v>104520</v>
      </c>
      <c r="B4229" s="235" t="str">
        <f>IFERROR(__xludf.DUMMYFUNCTION("""COMPUTED_VALUE"""),"CHARLES DONOR")</f>
        <v>CHARLES DONOR</v>
      </c>
      <c r="C4229" s="235" t="str">
        <f>IFERROR(__xludf.DUMMYFUNCTION("""COMPUTED_VALUE"""),"AMD")</f>
        <v>AMD</v>
      </c>
      <c r="D4229" s="196" t="str">
        <f>IFERROR(__xludf.DUMMYFUNCTION("""COMPUTED_VALUE"""),"PENS EXECUTIVE BLK WITH SISC PRINT- 200 PCS ")</f>
        <v>PENS EXECUTIVE BLK WITH SISC PRINT- 200 PCS </v>
      </c>
      <c r="E4229" s="196" t="str">
        <f>IFERROR(__xludf.DUMMYFUNCTION("""COMPUTED_VALUE"""),"TOKENS - STOCK REPLENISHMENT")</f>
        <v>TOKENS - STOCK REPLENISHMENT</v>
      </c>
    </row>
    <row r="4230">
      <c r="A4230" s="234">
        <f>IFERROR(__xludf.DUMMYFUNCTION("""COMPUTED_VALUE"""),104521.0)</f>
        <v>104521</v>
      </c>
      <c r="B4230" s="235" t="str">
        <f>IFERROR(__xludf.DUMMYFUNCTION("""COMPUTED_VALUE"""),"CHARLES DONOR")</f>
        <v>CHARLES DONOR</v>
      </c>
      <c r="C4230" s="235" t="str">
        <f>IFERROR(__xludf.DUMMYFUNCTION("""COMPUTED_VALUE"""),"AMD")</f>
        <v>AMD</v>
      </c>
      <c r="D4230" s="196" t="str">
        <f>IFERROR(__xludf.DUMMYFUNCTION("""COMPUTED_VALUE"""),"TISSUE, JUMBO ROLL, 200 MTRS - 900 ROLLS")</f>
        <v>TISSUE, JUMBO ROLL, 200 MTRS - 900 ROLLS</v>
      </c>
      <c r="E4230" s="196" t="str">
        <f>IFERROR(__xludf.DUMMYFUNCTION("""COMPUTED_VALUE"""),"HSKPG- STOCK REPLENISHMENT ")</f>
        <v>HSKPG- STOCK REPLENISHMENT </v>
      </c>
    </row>
    <row r="4231">
      <c r="A4231" s="234">
        <f>IFERROR(__xludf.DUMMYFUNCTION("""COMPUTED_VALUE"""),104522.0)</f>
        <v>104522</v>
      </c>
      <c r="B4231" s="235" t="str">
        <f>IFERROR(__xludf.DUMMYFUNCTION("""COMPUTED_VALUE"""),"CHARLES DONOR")</f>
        <v>CHARLES DONOR</v>
      </c>
      <c r="C4231" s="235" t="str">
        <f>IFERROR(__xludf.DUMMYFUNCTION("""COMPUTED_VALUE"""),"AMD")</f>
        <v>AMD</v>
      </c>
      <c r="D4231" s="196" t="str">
        <f>IFERROR(__xludf.DUMMYFUNCTION("""COMPUTED_VALUE"""),"BOARD, VELLUM (SHORT) 245 PACKS")</f>
        <v>BOARD, VELLUM (SHORT) 245 PACKS</v>
      </c>
      <c r="E4231" s="196" t="str">
        <f>IFERROR(__xludf.DUMMYFUNCTION("""COMPUTED_VALUE"""),"OSSUP- STOCK REPLENISHMENT ")</f>
        <v>OSSUP- STOCK REPLENISHMENT </v>
      </c>
    </row>
    <row r="4232">
      <c r="A4232" s="234">
        <f>IFERROR(__xludf.DUMMYFUNCTION("""COMPUTED_VALUE"""),104523.0)</f>
        <v>104523</v>
      </c>
      <c r="B4232" s="235" t="str">
        <f>IFERROR(__xludf.DUMMYFUNCTION("""COMPUTED_VALUE"""),"CHARLES DONOR")</f>
        <v>CHARLES DONOR</v>
      </c>
      <c r="C4232" s="235" t="str">
        <f>IFERROR(__xludf.DUMMYFUNCTION("""COMPUTED_VALUE"""),"AMD")</f>
        <v>AMD</v>
      </c>
      <c r="D4232" s="196" t="str">
        <f>IFERROR(__xludf.DUMMYFUNCTION("""COMPUTED_VALUE"""),"FRAME, CERTIFICATE GLASS 11X14 33 PCS. ")</f>
        <v>FRAME, CERTIFICATE GLASS 11X14 33 PCS. </v>
      </c>
      <c r="E4232" s="196" t="str">
        <f>IFERROR(__xludf.DUMMYFUNCTION("""COMPUTED_VALUE"""),"OSSUP- STOCK REPLENISHMENT ")</f>
        <v>OSSUP- STOCK REPLENISHMENT </v>
      </c>
    </row>
    <row r="4233">
      <c r="A4233" s="234">
        <f>IFERROR(__xludf.DUMMYFUNCTION("""COMPUTED_VALUE"""),104524.0)</f>
        <v>104524</v>
      </c>
      <c r="B4233" s="235" t="str">
        <f>IFERROR(__xludf.DUMMYFUNCTION("""COMPUTED_VALUE"""),"SHEREE ESPINOSA")</f>
        <v>SHEREE ESPINOSA</v>
      </c>
      <c r="C4233" s="235" t="str">
        <f>IFERROR(__xludf.DUMMYFUNCTION("""COMPUTED_VALUE"""),"ADMIN")</f>
        <v>ADMIN</v>
      </c>
      <c r="D4233" s="196" t="str">
        <f>IFERROR(__xludf.DUMMYFUNCTION("""COMPUTED_VALUE"""),"PHILIPS- T5 LIGHTS 60 CM 8W 23 PCS., T5 LIGHTS 90 CM 12W 1 PC, FLAT CORD #14 1 BOX, T5 LIGHTS 60 CM 8W 80 PCS., T5 LIGHTS 90 CM 12W 4 PCS")</f>
        <v>PHILIPS- T5 LIGHTS 60 CM 8W 23 PCS., T5 LIGHTS 90 CM 12W 1 PC, FLAT CORD #14 1 BOX, T5 LIGHTS 60 CM 8W 80 PCS., T5 LIGHTS 90 CM 12W 4 PCS</v>
      </c>
      <c r="E4233" s="196" t="str">
        <f>IFERROR(__xludf.DUMMYFUNCTION("""COMPUTED_VALUE"""),"LIGHTS FOR BEVELED MIRRORS IN CRS")</f>
        <v>LIGHTS FOR BEVELED MIRRORS IN CRS</v>
      </c>
    </row>
    <row r="4234">
      <c r="A4234" s="234">
        <f>IFERROR(__xludf.DUMMYFUNCTION("""COMPUTED_VALUE"""),104525.0)</f>
        <v>104525</v>
      </c>
      <c r="B4234" s="235" t="str">
        <f>IFERROR(__xludf.DUMMYFUNCTION("""COMPUTED_VALUE"""),"OWIE PAR ")</f>
        <v>OWIE PAR </v>
      </c>
      <c r="C4234" s="235" t="str">
        <f>IFERROR(__xludf.DUMMYFUNCTION("""COMPUTED_VALUE"""),"AMD")</f>
        <v>AMD</v>
      </c>
      <c r="D4234" s="196" t="str">
        <f>IFERROR(__xludf.DUMMYFUNCTION("""COMPUTED_VALUE"""),"ACU, WINDOW TYPE  HP INVERTER PANASONIC  UNIT")</f>
        <v>ACU, WINDOW TYPE  HP INVERTER PANASONIC  UNIT</v>
      </c>
      <c r="E4234" s="196" t="str">
        <f>IFERROR(__xludf.DUMMYFUNCTION("""COMPUTED_VALUE"""),"FOR MONARCH PARK GIRL'S CR")</f>
        <v>FOR MONARCH PARK GIRL'S CR</v>
      </c>
    </row>
    <row r="4235">
      <c r="A4235" s="234">
        <f>IFERROR(__xludf.DUMMYFUNCTION("""COMPUTED_VALUE"""),104526.0)</f>
        <v>104526</v>
      </c>
      <c r="B4235" s="235" t="str">
        <f>IFERROR(__xludf.DUMMYFUNCTION("""COMPUTED_VALUE"""),"SHEREE ESPINOSA")</f>
        <v>SHEREE ESPINOSA</v>
      </c>
      <c r="C4235" s="235" t="str">
        <f>IFERROR(__xludf.DUMMYFUNCTION("""COMPUTED_VALUE"""),"ADMIN")</f>
        <v>ADMIN</v>
      </c>
      <c r="D4235" s="196" t="str">
        <f>IFERROR(__xludf.DUMMYFUNCTION("""COMPUTED_VALUE"""),"SOLAR LIGHTS 80 WATTS ")</f>
        <v>SOLAR LIGHTS 80 WATTS </v>
      </c>
      <c r="E4235" s="196" t="str">
        <f>IFERROR(__xludf.DUMMYFUNCTION("""COMPUTED_VALUE"""),"LIGHTS FOR MONARCH PARK")</f>
        <v>LIGHTS FOR MONARCH PARK</v>
      </c>
    </row>
    <row r="4236">
      <c r="A4236" s="234">
        <f>IFERROR(__xludf.DUMMYFUNCTION("""COMPUTED_VALUE"""),104527.0)</f>
        <v>104527</v>
      </c>
      <c r="B4236" s="235" t="str">
        <f>IFERROR(__xludf.DUMMYFUNCTION("""COMPUTED_VALUE"""),"RORY MANSBRIDGE ")</f>
        <v>RORY MANSBRIDGE </v>
      </c>
      <c r="C4236" s="235" t="str">
        <f>IFERROR(__xludf.DUMMYFUNCTION("""COMPUTED_VALUE"""),"ATHLETICS")</f>
        <v>ATHLETICS</v>
      </c>
      <c r="D4236" s="196" t="str">
        <f>IFERROR(__xludf.DUMMYFUNCTION("""COMPUTED_VALUE"""),"MOLTEN BALLS #4 30
MOLTEN BALLS #5 20
ADJUSTABLE BASKETBALL RING 2
VOLLEYBALL ANENNA (PAIR) 4
BASKETBALL NETS 6
FOOTBALL NETS 5 A SIDE 2
FOOTBALL NETS 7A SIDE 4
FOOTBALL NETS 9 A SIDE 4
FOOTBALL NETS 11 A SIDE 2
11 A SIDE  FOOTBALL GOALS WITH WHEELS 2
EXE"&amp;"RCISE BANDS : YELLOW, RED, BLACK 20 EACH
DECATHLON MEDICINE BALLS 4KG 5
DECATHLON MEDICINE BALLS 5KG 5
VOLLEYBALL BALL CART (MOLTEN) 2
BLOCKING SHEILD 2
VOLLEYBALL BALLS V200W 30
HALO (SETTING TARGET) 1
AGILITY POLES/HANDLES 40
SKLZ TALL CONES, PLASTIC,RU"&amp;"BBER, FLAT 100 EACH
NET BAG FOR FOOTBALL, 6
")</f>
        <v>MOLTEN BALLS #4 30
MOLTEN BALLS #5 20
ADJUSTABLE BASKETBALL RING 2
VOLLEYBALL ANENNA (PAIR) 4
BASKETBALL NETS 6
FOOTBALL NETS 5 A SIDE 2
FOOTBALL NETS 7A SIDE 4
FOOTBALL NETS 9 A SIDE 4
FOOTBALL NETS 11 A SIDE 2
11 A SIDE  FOOTBALL GOALS WITH WHEELS 2
EXERCISE BANDS : YELLOW, RED, BLACK 20 EACH
DECATHLON MEDICINE BALLS 4KG 5
DECATHLON MEDICINE BALLS 5KG 5
VOLLEYBALL BALL CART (MOLTEN) 2
BLOCKING SHEILD 2
VOLLEYBALL BALLS V200W 30
HALO (SETTING TARGET) 1
AGILITY POLES/HANDLES 40
SKLZ TALL CONES, PLASTIC,RUBBER, FLAT 100 EACH
NET BAG FOR FOOTBALL, 6
</v>
      </c>
      <c r="E4236" s="196" t="str">
        <f>IFERROR(__xludf.DUMMYFUNCTION("""COMPUTED_VALUE"""),"VARSITY EQUIPMENT")</f>
        <v>VARSITY EQUIPMENT</v>
      </c>
    </row>
    <row r="4237">
      <c r="A4237" s="234">
        <f>IFERROR(__xludf.DUMMYFUNCTION("""COMPUTED_VALUE"""),104528.0)</f>
        <v>104528</v>
      </c>
      <c r="B4237" s="235" t="str">
        <f>IFERROR(__xludf.DUMMYFUNCTION("""COMPUTED_VALUE"""),"CHARLES DONOR")</f>
        <v>CHARLES DONOR</v>
      </c>
      <c r="C4237" s="235" t="str">
        <f>IFERROR(__xludf.DUMMYFUNCTION("""COMPUTED_VALUE"""),"AMD")</f>
        <v>AMD</v>
      </c>
      <c r="D4237" s="196" t="str">
        <f>IFERROR(__xludf.DUMMYFUNCTION("""COMPUTED_VALUE"""),"Mother of Pearl cutwork with Bahay Kubo design - CANCELLED ( AS PER INSTRUCTION OF DR. JO, WILL LOOK FOR ALTERNATIVE THAT CHEAPER AND MORE FUNCTIONAL)")</f>
        <v>Mother of Pearl cutwork with Bahay Kubo design - CANCELLED ( AS PER INSTRUCTION OF DR. JO, WILL LOOK FOR ALTERNATIVE THAT CHEAPER AND MORE FUNCTIONAL)</v>
      </c>
      <c r="E4237" s="196" t="str">
        <f>IFERROR(__xludf.DUMMYFUNCTION("""COMPUTED_VALUE"""),"TOKENS STOCK REPLENISHMENT")</f>
        <v>TOKENS STOCK REPLENISHMENT</v>
      </c>
    </row>
    <row r="4238">
      <c r="A4238" s="234">
        <f>IFERROR(__xludf.DUMMYFUNCTION("""COMPUTED_VALUE"""),104529.0)</f>
        <v>104529</v>
      </c>
      <c r="B4238" s="235" t="str">
        <f>IFERROR(__xludf.DUMMYFUNCTION("""COMPUTED_VALUE"""),"CHARLES DONOR")</f>
        <v>CHARLES DONOR</v>
      </c>
      <c r="C4238" s="235" t="str">
        <f>IFERROR(__xludf.DUMMYFUNCTION("""COMPUTED_VALUE"""),"AMD")</f>
        <v>AMD</v>
      </c>
      <c r="D4238" s="196" t="str">
        <f>IFERROR(__xludf.DUMMYFUNCTION("""COMPUTED_VALUE"""),"SISC TISSUE WRAPPING PAPER 12X18, 2000 pcs. ")</f>
        <v>SISC TISSUE WRAPPING PAPER 12X18, 2000 pcs. </v>
      </c>
      <c r="E4238" s="196" t="str">
        <f>IFERROR(__xludf.DUMMYFUNCTION("""COMPUTED_VALUE"""),"TOKENS STOCK REPLENISHMENT")</f>
        <v>TOKENS STOCK REPLENISHMENT</v>
      </c>
    </row>
    <row r="4239">
      <c r="A4239" s="234">
        <f>IFERROR(__xludf.DUMMYFUNCTION("""COMPUTED_VALUE"""),104530.0)</f>
        <v>104530</v>
      </c>
      <c r="B4239" s="235" t="str">
        <f>IFERROR(__xludf.DUMMYFUNCTION("""COMPUTED_VALUE"""),"CHARLES DONOR")</f>
        <v>CHARLES DONOR</v>
      </c>
      <c r="C4239" s="235" t="str">
        <f>IFERROR(__xludf.DUMMYFUNCTION("""COMPUTED_VALUE"""),"AMD")</f>
        <v>AMD</v>
      </c>
      <c r="D4239" s="196" t="str">
        <f>IFERROR(__xludf.DUMMYFUNCTION("""COMPUTED_VALUE"""),"TAPE, DOUBLE SIDED TAPE W/O FOAM 150")</f>
        <v>TAPE, DOUBLE SIDED TAPE W/O FOAM 150</v>
      </c>
      <c r="E4239" s="196" t="str">
        <f>IFERROR(__xludf.DUMMYFUNCTION("""COMPUTED_VALUE"""),"OSSUP- STOCK REPLENISHMENT ")</f>
        <v>OSSUP- STOCK REPLENISHMENT </v>
      </c>
    </row>
    <row r="4240">
      <c r="A4240" s="234">
        <f>IFERROR(__xludf.DUMMYFUNCTION("""COMPUTED_VALUE"""),104531.0)</f>
        <v>104531</v>
      </c>
      <c r="B4240" s="235" t="str">
        <f>IFERROR(__xludf.DUMMYFUNCTION("""COMPUTED_VALUE"""),"EVA NECOSIA")</f>
        <v>EVA NECOSIA</v>
      </c>
      <c r="C4240" s="235" t="str">
        <f>IFERROR(__xludf.DUMMYFUNCTION("""COMPUTED_VALUE"""),"FINANCE &amp; ACCOUNTING")</f>
        <v>FINANCE &amp; ACCOUNTING</v>
      </c>
      <c r="D4240" s="196" t="str">
        <f>IFERROR(__xludf.DUMMYFUNCTION("""COMPUTED_VALUE"""),"CASH VAULT LOCKER ")</f>
        <v>CASH VAULT LOCKER </v>
      </c>
      <c r="E4240" s="196" t="str">
        <f>IFERROR(__xludf.DUMMYFUNCTION("""COMPUTED_VALUE"""),"SAFEKEEP OF COLLECTION DURING ENROLLMENT")</f>
        <v>SAFEKEEP OF COLLECTION DURING ENROLLMENT</v>
      </c>
    </row>
    <row r="4241">
      <c r="A4241" s="234">
        <f>IFERROR(__xludf.DUMMYFUNCTION("""COMPUTED_VALUE"""),104532.0)</f>
        <v>104532</v>
      </c>
      <c r="B4241" s="235" t="str">
        <f>IFERROR(__xludf.DUMMYFUNCTION("""COMPUTED_VALUE"""),"OWIE PAR")</f>
        <v>OWIE PAR</v>
      </c>
      <c r="C4241" s="235" t="str">
        <f>IFERROR(__xludf.DUMMYFUNCTION("""COMPUTED_VALUE"""),"ENGINEERING")</f>
        <v>ENGINEERING</v>
      </c>
      <c r="D4241" s="196" t="str">
        <f>IFERROR(__xludf.DUMMYFUNCTION("""COMPUTED_VALUE"""),"6.0 HP PANASONIC CEILING DUCTED INVERTER 2UNITS")</f>
        <v>6.0 HP PANASONIC CEILING DUCTED INVERTER 2UNITS</v>
      </c>
      <c r="E4241" s="196" t="str">
        <f>IFERROR(__xludf.DUMMYFUNCTION("""COMPUTED_VALUE"""),"FOR IMPROVEMENT  VENTILATION OF LUX HALL")</f>
        <v>FOR IMPROVEMENT  VENTILATION OF LUX HALL</v>
      </c>
    </row>
    <row r="4242">
      <c r="A4242" s="234">
        <f>IFERROR(__xludf.DUMMYFUNCTION("""COMPUTED_VALUE"""),104533.0)</f>
        <v>104533</v>
      </c>
      <c r="B4242" s="235" t="str">
        <f>IFERROR(__xludf.DUMMYFUNCTION("""COMPUTED_VALUE"""),"ALFA DE LEON")</f>
        <v>ALFA DE LEON</v>
      </c>
      <c r="C4242" s="235" t="str">
        <f>IFERROR(__xludf.DUMMYFUNCTION("""COMPUTED_VALUE"""),"LANDSCAPING")</f>
        <v>LANDSCAPING</v>
      </c>
      <c r="D4242" s="196" t="str">
        <f>IFERROR(__xludf.DUMMYFUNCTION("""COMPUTED_VALUE"""),"SHOVEL 1
SHOVEL 2")</f>
        <v>SHOVEL 1
SHOVEL 2</v>
      </c>
      <c r="E4242" s="196" t="str">
        <f>IFERROR(__xludf.DUMMYFUNCTION("""COMPUTED_VALUE"""),"MATERIAL FOR DISMANTLE PLANT BOXES AUDIT FINDINGS")</f>
        <v>MATERIAL FOR DISMANTLE PLANT BOXES AUDIT FINDINGS</v>
      </c>
    </row>
    <row r="4243">
      <c r="A4243" s="234">
        <f>IFERROR(__xludf.DUMMYFUNCTION("""COMPUTED_VALUE"""),104534.0)</f>
        <v>104534</v>
      </c>
      <c r="B4243" s="235" t="str">
        <f>IFERROR(__xludf.DUMMYFUNCTION("""COMPUTED_VALUE"""),"SAMEYA BANTA")</f>
        <v>SAMEYA BANTA</v>
      </c>
      <c r="C4243" s="235" t="str">
        <f>IFERROR(__xludf.DUMMYFUNCTION("""COMPUTED_VALUE"""),"ADMIN")</f>
        <v>ADMIN</v>
      </c>
      <c r="D4243" s="196" t="str">
        <f>IFERROR(__xludf.DUMMYFUNCTION("""COMPUTED_VALUE"""),"TRODAT 
-ENGR. JORDAN C. JORDAN
-OWIE PAR
ALL CAPS")</f>
        <v>TRODAT 
-ENGR. JORDAN C. JORDAN
-OWIE PAR
ALL CAPS</v>
      </c>
      <c r="E4243" s="196" t="str">
        <f>IFERROR(__xludf.DUMMYFUNCTION("""COMPUTED_VALUE"""),"TRODAT FOR SIR OWIE AND SIR JORDAN")</f>
        <v>TRODAT FOR SIR OWIE AND SIR JORDAN</v>
      </c>
    </row>
    <row r="4244">
      <c r="A4244" s="234">
        <f>IFERROR(__xludf.DUMMYFUNCTION("""COMPUTED_VALUE"""),104535.0)</f>
        <v>104535</v>
      </c>
      <c r="B4244" s="235" t="str">
        <f>IFERROR(__xludf.DUMMYFUNCTION("""COMPUTED_VALUE"""),"JOMEL BUTIAL")</f>
        <v>JOMEL BUTIAL</v>
      </c>
      <c r="C4244" s="235" t="str">
        <f>IFERROR(__xludf.DUMMYFUNCTION("""COMPUTED_VALUE"""),"PR &amp; MARKETING")</f>
        <v>PR &amp; MARKETING</v>
      </c>
      <c r="D4244" s="196" t="str">
        <f>IFERROR(__xludf.DUMMYFUNCTION("""COMPUTED_VALUE"""),"WADHWANI FOUNDATION WEN  FACULTY TRAINING PROGRAM TARP 1
SIZE: W= 162 H= 78 INCHES
-WITH SEAMING
-WITH EYELET ALL OVER
-WITH BLACKOUT
- THICKNESS 18ONZ")</f>
        <v>WADHWANI FOUNDATION WEN  FACULTY TRAINING PROGRAM TARP 1
SIZE: W= 162 H= 78 INCHES
-WITH SEAMING
-WITH EYELET ALL OVER
-WITH BLACKOUT
- THICKNESS 18ONZ</v>
      </c>
      <c r="E4244" s="196" t="str">
        <f>IFERROR(__xludf.DUMMYFUNCTION("""COMPUTED_VALUE"""),"MARKETING")</f>
        <v>MARKETING</v>
      </c>
    </row>
    <row r="4245">
      <c r="A4245" s="234">
        <f>IFERROR(__xludf.DUMMYFUNCTION("""COMPUTED_VALUE"""),104536.0)</f>
        <v>104536</v>
      </c>
      <c r="B4245" s="235" t="str">
        <f>IFERROR(__xludf.DUMMYFUNCTION("""COMPUTED_VALUE"""),"ADRIAN VELA")</f>
        <v>ADRIAN VELA</v>
      </c>
      <c r="C4245" s="235" t="str">
        <f>IFERROR(__xludf.DUMMYFUNCTION("""COMPUTED_VALUE"""),"TAYLOR CENTER (TCPD)")</f>
        <v>TAYLOR CENTER (TCPD)</v>
      </c>
      <c r="D4245" s="196" t="str">
        <f>IFERROR(__xludf.DUMMYFUNCTION("""COMPUTED_VALUE"""),"PEVCOLATOR 1
MICROWAVE OVEN 1
SINGLE DOOR REFRIGERATOR 1")</f>
        <v>PEVCOLATOR 1
MICROWAVE OVEN 1
SINGLE DOOR REFRIGERATOR 1</v>
      </c>
      <c r="E4245" s="196" t="str">
        <f>IFERROR(__xludf.DUMMYFUNCTION("""COMPUTED_VALUE"""),"NEW EQUIPMENT FOR TCPD")</f>
        <v>NEW EQUIPMENT FOR TCPD</v>
      </c>
    </row>
    <row r="4246">
      <c r="A4246" s="234">
        <f>IFERROR(__xludf.DUMMYFUNCTION("""COMPUTED_VALUE"""),104537.0)</f>
        <v>104537</v>
      </c>
      <c r="B4246" s="235" t="str">
        <f>IFERROR(__xludf.DUMMYFUNCTION("""COMPUTED_VALUE"""),"PAUL ARANA")</f>
        <v>PAUL ARANA</v>
      </c>
      <c r="C4246" s="235" t="str">
        <f>IFERROR(__xludf.DUMMYFUNCTION("""COMPUTED_VALUE"""),"AV/MIS")</f>
        <v>AV/MIS</v>
      </c>
      <c r="D4246" s="196" t="str">
        <f>IFERROR(__xludf.DUMMYFUNCTION("""COMPUTED_VALUE"""),"SARAMONIC INTERCOM 6PCS")</f>
        <v>SARAMONIC INTERCOM 6PCS</v>
      </c>
      <c r="E4246" s="196" t="str">
        <f>IFERROR(__xludf.DUMMYFUNCTION("""COMPUTED_VALUE"""),"FOR LUX HALL EVENTS/ FOR COMMUNICATION PURPOSES DURING EVENTS")</f>
        <v>FOR LUX HALL EVENTS/ FOR COMMUNICATION PURPOSES DURING EVENTS</v>
      </c>
    </row>
    <row r="4247">
      <c r="A4247" s="234">
        <f>IFERROR(__xludf.DUMMYFUNCTION("""COMPUTED_VALUE"""),104538.0)</f>
        <v>104538</v>
      </c>
      <c r="B4247" s="235" t="str">
        <f>IFERROR(__xludf.DUMMYFUNCTION("""COMPUTED_VALUE"""),"JOMEL BUTIAL")</f>
        <v>JOMEL BUTIAL</v>
      </c>
      <c r="C4247" s="235" t="str">
        <f>IFERROR(__xludf.DUMMYFUNCTION("""COMPUTED_VALUE"""),"PR &amp; MARKETING")</f>
        <v>PR &amp; MARKETING</v>
      </c>
      <c r="D4247" s="196" t="str">
        <f>IFERROR(__xludf.DUMMYFUNCTION("""COMPUTED_VALUE"""),"SISC HS FOOTBALL TEAM 2ND RUNNER UP TARP (BOYS) 1
SISC HS FOOTBALL TEAM 1ST RUNNER UP TARP (GIRLS) 1
NOTE: WITH SEAMING
WITH EYELET
WITH BLACKOUT 
18ONZ
SIZE: 6.4FT x 169FT")</f>
        <v>SISC HS FOOTBALL TEAM 2ND RUNNER UP TARP (BOYS) 1
SISC HS FOOTBALL TEAM 1ST RUNNER UP TARP (GIRLS) 1
NOTE: WITH SEAMING
WITH EYELET
WITH BLACKOUT 
18ONZ
SIZE: 6.4FT x 169FT</v>
      </c>
      <c r="E4247" s="196" t="str">
        <f>IFERROR(__xludf.DUMMYFUNCTION("""COMPUTED_VALUE"""),"MARKETING")</f>
        <v>MARKETING</v>
      </c>
    </row>
    <row r="4248">
      <c r="A4248" s="234">
        <f>IFERROR(__xludf.DUMMYFUNCTION("""COMPUTED_VALUE"""),104539.0)</f>
        <v>104539</v>
      </c>
      <c r="B4248" s="235" t="str">
        <f>IFERROR(__xludf.DUMMYFUNCTION("""COMPUTED_VALUE"""),"ANA DELA ISLA")</f>
        <v>ANA DELA ISLA</v>
      </c>
      <c r="C4248" s="235" t="str">
        <f>IFERROR(__xludf.DUMMYFUNCTION("""COMPUTED_VALUE"""),"IB")</f>
        <v>IB</v>
      </c>
      <c r="D4248" s="196" t="str">
        <f>IFERROR(__xludf.DUMMYFUNCTION("""COMPUTED_VALUE"""),"MEDALS:
LOYALTY AWARD 4
GOLD 5
SILVER 7
SUBJECT EXCELLENCE 15
BRONZE 9")</f>
        <v>MEDALS:
LOYALTY AWARD 4
GOLD 5
SILVER 7
SUBJECT EXCELLENCE 15
BRONZE 9</v>
      </c>
      <c r="E4248" s="196" t="str">
        <f>IFERROR(__xludf.DUMMYFUNCTION("""COMPUTED_VALUE"""),"FOR IB GRADUATION")</f>
        <v>FOR IB GRADUATION</v>
      </c>
    </row>
    <row r="4249">
      <c r="A4249" s="234">
        <f>IFERROR(__xludf.DUMMYFUNCTION("""COMPUTED_VALUE"""),104540.0)</f>
        <v>104540</v>
      </c>
      <c r="B4249" s="235" t="str">
        <f>IFERROR(__xludf.DUMMYFUNCTION("""COMPUTED_VALUE"""),"CHRISTIAN ANDRES")</f>
        <v>CHRISTIAN ANDRES</v>
      </c>
      <c r="C4249" s="235" t="str">
        <f>IFERROR(__xludf.DUMMYFUNCTION("""COMPUTED_VALUE"""),"PR &amp; MARKETING")</f>
        <v>PR &amp; MARKETING</v>
      </c>
      <c r="D4249" s="196" t="str">
        <f>IFERROR(__xludf.DUMMYFUNCTION("""COMPUTED_VALUE"""),"BUSINESS SCHOOL TARP
-WITH SEAMING
-BLACK OUT
-EYELET ALLOVER
-368 x 480CM")</f>
        <v>BUSINESS SCHOOL TARP
-WITH SEAMING
-BLACK OUT
-EYELET ALLOVER
-368 x 480CM</v>
      </c>
      <c r="E4249" s="196" t="str">
        <f>IFERROR(__xludf.DUMMYFUNCTION("""COMPUTED_VALUE"""),"MARKETING")</f>
        <v>MARKETING</v>
      </c>
    </row>
    <row r="4250">
      <c r="A4250" s="234">
        <f>IFERROR(__xludf.DUMMYFUNCTION("""COMPUTED_VALUE"""),104541.0)</f>
        <v>104541</v>
      </c>
      <c r="B4250" s="235" t="str">
        <f>IFERROR(__xludf.DUMMYFUNCTION("""COMPUTED_VALUE"""),"LYKA PERALTA")</f>
        <v>LYKA PERALTA</v>
      </c>
      <c r="C4250" s="235" t="str">
        <f>IFERROR(__xludf.DUMMYFUNCTION("""COMPUTED_VALUE"""),"AMD")</f>
        <v>AMD</v>
      </c>
      <c r="D4250" s="196" t="str">
        <f>IFERROR(__xludf.DUMMYFUNCTION("""COMPUTED_VALUE"""),"CORKBOARD- 2x3 (1/4T) mmmm WITHOUT FRAME 20PCS")</f>
        <v>CORKBOARD- 2x3 (1/4T) mmmm WITHOUT FRAME 20PCS</v>
      </c>
      <c r="E4250" s="196" t="str">
        <f>IFERROR(__xludf.DUMMYFUNCTION("""COMPUTED_VALUE"""),"OSSUP- STOCK REPLENISHMENT")</f>
        <v>OSSUP- STOCK REPLENISHMENT</v>
      </c>
    </row>
    <row r="4251">
      <c r="A4251" s="234">
        <f>IFERROR(__xludf.DUMMYFUNCTION("""COMPUTED_VALUE"""),104542.0)</f>
        <v>104542</v>
      </c>
      <c r="B4251" s="235" t="str">
        <f>IFERROR(__xludf.DUMMYFUNCTION("""COMPUTED_VALUE"""),"OWIE PAR")</f>
        <v>OWIE PAR</v>
      </c>
      <c r="C4251" s="235" t="str">
        <f>IFERROR(__xludf.DUMMYFUNCTION("""COMPUTED_VALUE"""),"ADMIN")</f>
        <v>ADMIN</v>
      </c>
      <c r="D4251" s="196" t="str">
        <f>IFERROR(__xludf.DUMMYFUNCTION("""COMPUTED_VALUE"""),"3.0 ACU UNIT- ANY BRAND WINDOW TYPE 2UNITS 
(LOOK FOR THE CHEAPER ONE)")</f>
        <v>3.0 ACU UNIT- ANY BRAND WINDOW TYPE 2UNITS 
(LOOK FOR THE CHEAPER ONE)</v>
      </c>
      <c r="E4251" s="196" t="str">
        <f>IFERROR(__xludf.DUMMYFUNCTION("""COMPUTED_VALUE"""),"FOR BFP FIRE STATION, LAS PINAS (DONATION)")</f>
        <v>FOR BFP FIRE STATION, LAS PINAS (DONATION)</v>
      </c>
    </row>
    <row r="4252">
      <c r="A4252" s="234">
        <f>IFERROR(__xludf.DUMMYFUNCTION("""COMPUTED_VALUE"""),104543.0)</f>
        <v>104543</v>
      </c>
      <c r="B4252" s="235" t="str">
        <f>IFERROR(__xludf.DUMMYFUNCTION("""COMPUTED_VALUE"""),"SAMEYA BANTA")</f>
        <v>SAMEYA BANTA</v>
      </c>
      <c r="C4252" s="235" t="str">
        <f>IFERROR(__xludf.DUMMYFUNCTION("""COMPUTED_VALUE"""),"ADMIN")</f>
        <v>ADMIN</v>
      </c>
      <c r="D4252" s="196" t="str">
        <f>IFERROR(__xludf.DUMMYFUNCTION("""COMPUTED_VALUE"""),"CASIO MX-120B 12 DIGITS CALCULATOR 2PCS")</f>
        <v>CASIO MX-120B 12 DIGITS CALCULATOR 2PCS</v>
      </c>
      <c r="E4252" s="196" t="str">
        <f>IFERROR(__xludf.DUMMYFUNCTION("""COMPUTED_VALUE"""),"FOR SIR TOM'S AND SIR JORDAN'S USE- FOR OFFICE USE")</f>
        <v>FOR SIR TOM'S AND SIR JORDAN'S USE- FOR OFFICE USE</v>
      </c>
    </row>
    <row r="4253">
      <c r="A4253" s="234">
        <f>IFERROR(__xludf.DUMMYFUNCTION("""COMPUTED_VALUE"""),104544.0)</f>
        <v>104544</v>
      </c>
      <c r="B4253" s="235" t="str">
        <f>IFERROR(__xludf.DUMMYFUNCTION("""COMPUTED_VALUE"""),"JESSABEL ARISCON")</f>
        <v>JESSABEL ARISCON</v>
      </c>
      <c r="C4253" s="235" t="str">
        <f>IFERROR(__xludf.DUMMYFUNCTION("""COMPUTED_VALUE"""),"PURCHASING")</f>
        <v>PURCHASING</v>
      </c>
      <c r="D4253" s="196" t="str">
        <f>IFERROR(__xludf.DUMMYFUNCTION("""COMPUTED_VALUE"""),"TRASH BAG, XXL (37""x40"") CLEAR 120 PACKS")</f>
        <v>TRASH BAG, XXL (37"x40") CLEAR 120 PACKS</v>
      </c>
      <c r="E4253" s="196" t="str">
        <f>IFERROR(__xludf.DUMMYFUNCTION("""COMPUTED_VALUE"""),"FOR OFFICE USE/ USE FOR MEETING WITH SUPPLIER")</f>
        <v>FOR OFFICE USE/ USE FOR MEETING WITH SUPPLIER</v>
      </c>
    </row>
    <row r="4254">
      <c r="A4254" s="234">
        <f>IFERROR(__xludf.DUMMYFUNCTION("""COMPUTED_VALUE"""),104545.0)</f>
        <v>104545</v>
      </c>
      <c r="B4254" s="235" t="str">
        <f>IFERROR(__xludf.DUMMYFUNCTION("""COMPUTED_VALUE"""),"CHARLES DONOR")</f>
        <v>CHARLES DONOR</v>
      </c>
      <c r="C4254" s="235" t="str">
        <f>IFERROR(__xludf.DUMMYFUNCTION("""COMPUTED_VALUE"""),"AMD")</f>
        <v>AMD</v>
      </c>
      <c r="D4254" s="196" t="str">
        <f>IFERROR(__xludf.DUMMYFUNCTION("""COMPUTED_VALUE"""),"TRASHBAG 2XL CLEAR  120 PACKS")</f>
        <v>TRASHBAG 2XL CLEAR  120 PACKS</v>
      </c>
      <c r="E4254" s="196" t="str">
        <f>IFERROR(__xludf.DUMMYFUNCTION("""COMPUTED_VALUE"""),"HOUSEKEEPING STOCK REPLENISHMENT")</f>
        <v>HOUSEKEEPING STOCK REPLENISHMENT</v>
      </c>
    </row>
    <row r="4255">
      <c r="A4255" s="234">
        <f>IFERROR(__xludf.DUMMYFUNCTION("""COMPUTED_VALUE"""),104546.0)</f>
        <v>104546</v>
      </c>
      <c r="B4255" s="235" t="str">
        <f>IFERROR(__xludf.DUMMYFUNCTION("""COMPUTED_VALUE"""),"CHARLES DONOR")</f>
        <v>CHARLES DONOR</v>
      </c>
      <c r="C4255" s="235" t="str">
        <f>IFERROR(__xludf.DUMMYFUNCTION("""COMPUTED_VALUE"""),"AMD")</f>
        <v>AMD</v>
      </c>
      <c r="D4255" s="196" t="str">
        <f>IFERROR(__xludf.DUMMYFUNCTION("""COMPUTED_VALUE"""),"SCRUBBING PAD, BIG (SCOTCH BRITE) BIG SIZE 300PCS")</f>
        <v>SCRUBBING PAD, BIG (SCOTCH BRITE) BIG SIZE 300PCS</v>
      </c>
      <c r="E4255" s="196" t="str">
        <f>IFERROR(__xludf.DUMMYFUNCTION("""COMPUTED_VALUE"""),"HOUSEKEEPING STOCK REPLENISHMENT")</f>
        <v>HOUSEKEEPING STOCK REPLENISHMENT</v>
      </c>
    </row>
    <row r="4256">
      <c r="A4256" s="234">
        <f>IFERROR(__xludf.DUMMYFUNCTION("""COMPUTED_VALUE"""),104547.0)</f>
        <v>104547</v>
      </c>
      <c r="B4256" s="235" t="str">
        <f>IFERROR(__xludf.DUMMYFUNCTION("""COMPUTED_VALUE"""),"CHARLES DONOR")</f>
        <v>CHARLES DONOR</v>
      </c>
      <c r="C4256" s="235" t="str">
        <f>IFERROR(__xludf.DUMMYFUNCTION("""COMPUTED_VALUE"""),"AMD")</f>
        <v>AMD</v>
      </c>
      <c r="D4256" s="196" t="str">
        <f>IFERROR(__xludf.DUMMYFUNCTION("""COMPUTED_VALUE"""),"RUBBER CHAMOIS 130PCS")</f>
        <v>RUBBER CHAMOIS 130PCS</v>
      </c>
      <c r="E4256" s="196" t="str">
        <f>IFERROR(__xludf.DUMMYFUNCTION("""COMPUTED_VALUE"""),"HOUSEKEEPING STOCK REPLENISHMENT")</f>
        <v>HOUSEKEEPING STOCK REPLENISHMENT</v>
      </c>
    </row>
    <row r="4257">
      <c r="A4257" s="234">
        <f>IFERROR(__xludf.DUMMYFUNCTION("""COMPUTED_VALUE"""),104548.0)</f>
        <v>104548</v>
      </c>
      <c r="B4257" s="235" t="str">
        <f>IFERROR(__xludf.DUMMYFUNCTION("""COMPUTED_VALUE"""),"CHARLES DONOR")</f>
        <v>CHARLES DONOR</v>
      </c>
      <c r="C4257" s="235" t="str">
        <f>IFERROR(__xludf.DUMMYFUNCTION("""COMPUTED_VALUE"""),"AMD")</f>
        <v>AMD</v>
      </c>
      <c r="D4257" s="196" t="str">
        <f>IFERROR(__xludf.DUMMYFUNCTION("""COMPUTED_VALUE"""),"ARIEL WASHING DETERGENT POWDER 3KG 50PCS")</f>
        <v>ARIEL WASHING DETERGENT POWDER 3KG 50PCS</v>
      </c>
      <c r="E4257" s="196" t="str">
        <f>IFERROR(__xludf.DUMMYFUNCTION("""COMPUTED_VALUE"""),"HOUSEKEEPING STOCK REPLENISHMENT")</f>
        <v>HOUSEKEEPING STOCK REPLENISHMENT</v>
      </c>
    </row>
    <row r="4258">
      <c r="A4258" s="234">
        <f>IFERROR(__xludf.DUMMYFUNCTION("""COMPUTED_VALUE"""),104549.0)</f>
        <v>104549</v>
      </c>
      <c r="B4258" s="235"/>
      <c r="C4258" s="235"/>
      <c r="D4258" s="196"/>
      <c r="E4258" s="196"/>
    </row>
    <row r="4259">
      <c r="A4259" s="234">
        <f>IFERROR(__xludf.DUMMYFUNCTION("""COMPUTED_VALUE"""),104550.0)</f>
        <v>104550</v>
      </c>
      <c r="B4259" s="235" t="str">
        <f>IFERROR(__xludf.DUMMYFUNCTION("""COMPUTED_VALUE"""),"CHARLES DONOR")</f>
        <v>CHARLES DONOR</v>
      </c>
      <c r="C4259" s="235" t="str">
        <f>IFERROR(__xludf.DUMMYFUNCTION("""COMPUTED_VALUE"""),"AMD")</f>
        <v>AMD</v>
      </c>
      <c r="D4259" s="196" t="str">
        <f>IFERROR(__xludf.DUMMYFUNCTION("""COMPUTED_VALUE"""),"ALL PURPOSE POWDER, 800GRAMS PER PACK, CHAMPION 450KILOS")</f>
        <v>ALL PURPOSE POWDER, 800GRAMS PER PACK, CHAMPION 450KILOS</v>
      </c>
      <c r="E4259" s="196" t="str">
        <f>IFERROR(__xludf.DUMMYFUNCTION("""COMPUTED_VALUE"""),"HOUSEKEEPING STOCK REPLENISHMENT")</f>
        <v>HOUSEKEEPING STOCK REPLENISHMENT</v>
      </c>
    </row>
    <row r="4260">
      <c r="A4260" s="234">
        <f>IFERROR(__xludf.DUMMYFUNCTION("""COMPUTED_VALUE"""),104551.0)</f>
        <v>104551</v>
      </c>
      <c r="B4260" s="235" t="str">
        <f>IFERROR(__xludf.DUMMYFUNCTION("""COMPUTED_VALUE"""),"CHARLES DONOR")</f>
        <v>CHARLES DONOR</v>
      </c>
      <c r="C4260" s="235" t="str">
        <f>IFERROR(__xludf.DUMMYFUNCTION("""COMPUTED_VALUE"""),"AMD")</f>
        <v>AMD</v>
      </c>
      <c r="D4260" s="196" t="str">
        <f>IFERROR(__xludf.DUMMYFUNCTION("""COMPUTED_VALUE"""),"SPATULA, SMALL 25PCS")</f>
        <v>SPATULA, SMALL 25PCS</v>
      </c>
      <c r="E4260" s="196" t="str">
        <f>IFERROR(__xludf.DUMMYFUNCTION("""COMPUTED_VALUE"""),"HOUSEKEEPING STOCK REPLENISHMENT")</f>
        <v>HOUSEKEEPING STOCK REPLENISHMENT</v>
      </c>
    </row>
    <row r="4261">
      <c r="A4261" s="234">
        <f>IFERROR(__xludf.DUMMYFUNCTION("""COMPUTED_VALUE"""),104552.0)</f>
        <v>104552</v>
      </c>
      <c r="B4261" s="235" t="str">
        <f>IFERROR(__xludf.DUMMYFUNCTION("""COMPUTED_VALUE"""),"DARLENE JILL MARCALAR")</f>
        <v>DARLENE JILL MARCALAR</v>
      </c>
      <c r="C4261" s="235" t="str">
        <f>IFERROR(__xludf.DUMMYFUNCTION("""COMPUTED_VALUE"""),"SGEN LEARNING VILLAGE")</f>
        <v>SGEN LEARNING VILLAGE</v>
      </c>
      <c r="D4261" s="196" t="str">
        <f>IFERROR(__xludf.DUMMYFUNCTION("""COMPUTED_VALUE"""),"ISOPROPYL ALCOHOL DOCTOR J 1 LITER
BETADINE 1 BOTTLE- 60ML
SANICARE COTTON BALLS 150PIECES 1 BAG
KIDS BANDAID 1 BOX
CLEAN GLOVES- 2 PAIRS
MEDIPLAST STERILE EYE PADS- 3PADS
MEDIPLAST STERILE GAUZE 2x2 5 PADS
MEDIPLAST STERILE GAUZE 4x4 5PADS
SANICARE COTTO"&amp;"N BUDS 108 TIPS
3M MICROPORE/ TRANSPORE 1PIECE
TWEEZER/ FORCEPS 1PIECE
BANDAGE SCISSORS 1PIECE
MEDIPLAST ELASTIC BANDAGE 2 INCH- 2PCS
MUPIROCIN 1PIECE
CALMOSEPTINE 1 BOX- 20SACHETS
BURN OINTMENT 1PIECE
TONGUE DEPRESSOR 5PIECES
MEDICINE BROWN PAPER BAGS 5P"&amp;"IECES 6""x9""")</f>
        <v>ISOPROPYL ALCOHOL DOCTOR J 1 LITER
BETADINE 1 BOTTLE- 60ML
SANICARE COTTON BALLS 150PIECES 1 BAG
KIDS BANDAID 1 BOX
CLEAN GLOVES- 2 PAIRS
MEDIPLAST STERILE EYE PADS- 3PADS
MEDIPLAST STERILE GAUZE 2x2 5 PADS
MEDIPLAST STERILE GAUZE 4x4 5PADS
SANICARE COTTON BUDS 108 TIPS
3M MICROPORE/ TRANSPORE 1PIECE
TWEEZER/ FORCEPS 1PIECE
BANDAGE SCISSORS 1PIECE
MEDIPLAST ELASTIC BANDAGE 2 INCH- 2PCS
MUPIROCIN 1PIECE
CALMOSEPTINE 1 BOX- 20SACHETS
BURN OINTMENT 1PIECE
TONGUE DEPRESSOR 5PIECES
MEDICINE BROWN PAPER BAGS 5PIECES 6"x9"</v>
      </c>
      <c r="E4261" s="196" t="str">
        <f>IFERROR(__xludf.DUMMYFUNCTION("""COMPUTED_VALUE"""),"FOR FIRST AID KIT IN LEARNING VILLAGE")</f>
        <v>FOR FIRST AID KIT IN LEARNING VILLAGE</v>
      </c>
    </row>
    <row r="4262">
      <c r="A4262" s="234">
        <f>IFERROR(__xludf.DUMMYFUNCTION("""COMPUTED_VALUE"""),104553.0)</f>
        <v>104553</v>
      </c>
      <c r="B4262" s="235" t="str">
        <f>IFERROR(__xludf.DUMMYFUNCTION("""COMPUTED_VALUE"""),"JOHN CARLO CAMPIT")</f>
        <v>JOHN CARLO CAMPIT</v>
      </c>
      <c r="C4262" s="235" t="str">
        <f>IFERROR(__xludf.DUMMYFUNCTION("""COMPUTED_VALUE"""),"ABU")</f>
        <v>ABU</v>
      </c>
      <c r="D4262" s="196" t="str">
        <f>IFERROR(__xludf.DUMMYFUNCTION("""COMPUTED_VALUE"""),"18INCH CEILING FAN 3PCS")</f>
        <v>18INCH CEILING FAN 3PCS</v>
      </c>
      <c r="E4262" s="196" t="str">
        <f>IFERROR(__xludf.DUMMYFUNCTION("""COMPUTED_VALUE"""),"ADDITIONAL CEILING FAN")</f>
        <v>ADDITIONAL CEILING FAN</v>
      </c>
    </row>
    <row r="4263">
      <c r="A4263" s="234">
        <f>IFERROR(__xludf.DUMMYFUNCTION("""COMPUTED_VALUE"""),104554.0)</f>
        <v>104554</v>
      </c>
      <c r="B4263" s="235" t="str">
        <f>IFERROR(__xludf.DUMMYFUNCTION("""COMPUTED_VALUE"""),"JOHN CARLO CAMPIT")</f>
        <v>JOHN CARLO CAMPIT</v>
      </c>
      <c r="C4263" s="235" t="str">
        <f>IFERROR(__xludf.DUMMYFUNCTION("""COMPUTED_VALUE"""),"ABU")</f>
        <v>ABU</v>
      </c>
      <c r="D4263" s="196" t="str">
        <f>IFERROR(__xludf.DUMMYFUNCTION("""COMPUTED_VALUE"""),"1 WAY SWITCH 2PCS
PD #12 WIRE (BLACK) 10M")</f>
        <v>1 WAY SWITCH 2PCS
PD #12 WIRE (BLACK) 10M</v>
      </c>
      <c r="E4263" s="196" t="str">
        <f>IFERROR(__xludf.DUMMYFUNCTION("""COMPUTED_VALUE"""),"TO SEPARATE THE SWITCH OF EXHAUST FAN AND CEILING FAN FROM THE BULB (MS. LUDY'S AREA- MUNICH WAITING AREA")</f>
        <v>TO SEPARATE THE SWITCH OF EXHAUST FAN AND CEILING FAN FROM THE BULB (MS. LUDY'S AREA- MUNICH WAITING AREA</v>
      </c>
    </row>
    <row r="4264">
      <c r="A4264" s="234">
        <f>IFERROR(__xludf.DUMMYFUNCTION("""COMPUTED_VALUE"""),104555.0)</f>
        <v>104555</v>
      </c>
      <c r="B4264" s="235" t="str">
        <f>IFERROR(__xludf.DUMMYFUNCTION("""COMPUTED_VALUE"""),"LUCILLE BEYER")</f>
        <v>LUCILLE BEYER</v>
      </c>
      <c r="C4264" s="235" t="str">
        <f>IFERROR(__xludf.DUMMYFUNCTION("""COMPUTED_VALUE"""),"MEDICAL")</f>
        <v>MEDICAL</v>
      </c>
      <c r="D4264" s="196" t="str">
        <f>IFERROR(__xludf.DUMMYFUNCTION("""COMPUTED_VALUE"""),"MEDICINES AND CLINIC SUPPLIES")</f>
        <v>MEDICINES AND CLINIC SUPPLIES</v>
      </c>
      <c r="E4264" s="196" t="str">
        <f>IFERROR(__xludf.DUMMYFUNCTION("""COMPUTED_VALUE"""),"REPLENISHMENT OF MEDICINES AND CLINIC SUPPLIES FOR LUX, MUNICH AND STAR")</f>
        <v>REPLENISHMENT OF MEDICINES AND CLINIC SUPPLIES FOR LUX, MUNICH AND STAR</v>
      </c>
    </row>
    <row r="4265">
      <c r="A4265" s="234">
        <f>IFERROR(__xludf.DUMMYFUNCTION("""COMPUTED_VALUE"""),104556.0)</f>
        <v>104556</v>
      </c>
      <c r="B4265" s="235" t="str">
        <f>IFERROR(__xludf.DUMMYFUNCTION("""COMPUTED_VALUE"""),"PAUL ARANA")</f>
        <v>PAUL ARANA</v>
      </c>
      <c r="C4265" s="235" t="str">
        <f>IFERROR(__xludf.DUMMYFUNCTION("""COMPUTED_VALUE"""),"AV/MIS")</f>
        <v>AV/MIS</v>
      </c>
      <c r="D4265" s="378" t="str">
        <f>IFERROR(__xludf.DUMMYFUNCTION("""COMPUTED_VALUE"""),"ROYAL CORD 12/2 (3.5mm) ^ 2 1 ROLL
ROYAL CORD OUTLET 10
ROYAL CORD PLUG 10
FOLLOW SPOTLIGHT 2")</f>
        <v>ROYAL CORD 12/2 (3.5mm) ^ 2 1 ROLL
ROYAL CORD OUTLET 10
ROYAL CORD PLUG 10
FOLLOW SPOTLIGHT 2</v>
      </c>
      <c r="E4265" s="196" t="str">
        <f>IFERROR(__xludf.DUMMYFUNCTION("""COMPUTED_VALUE"""),"FOR EVENTS")</f>
        <v>FOR EVENTS</v>
      </c>
    </row>
    <row r="4266">
      <c r="A4266" s="234">
        <f>IFERROR(__xludf.DUMMYFUNCTION("""COMPUTED_VALUE"""),104557.0)</f>
        <v>104557</v>
      </c>
      <c r="B4266" s="235" t="str">
        <f>IFERROR(__xludf.DUMMYFUNCTION("""COMPUTED_VALUE"""),"ALFA DE LEON")</f>
        <v>ALFA DE LEON</v>
      </c>
      <c r="C4266" s="235" t="str">
        <f>IFERROR(__xludf.DUMMYFUNCTION("""COMPUTED_VALUE"""),"ADMIN - MUNICH")</f>
        <v>ADMIN - MUNICH</v>
      </c>
      <c r="D4266" s="196" t="str">
        <f>IFERROR(__xludf.DUMMYFUNCTION("""COMPUTED_VALUE"""),"FORMICA 3
RUGBY 1
PLYWOOD 3/4 1
FORMICA 4")</f>
        <v>FORMICA 3
RUGBY 1
PLYWOOD 3/4 1
FORMICA 4</v>
      </c>
      <c r="E4266" s="196" t="str">
        <f>IFERROR(__xludf.DUMMYFUNCTION("""COMPUTED_VALUE"""),"FACULTY WORKING TABLE REPAIR AND COMPUTER REPAIR AND REPAINTING")</f>
        <v>FACULTY WORKING TABLE REPAIR AND COMPUTER REPAIR AND REPAINTING</v>
      </c>
    </row>
    <row r="4267">
      <c r="A4267" s="234">
        <f>IFERROR(__xludf.DUMMYFUNCTION("""COMPUTED_VALUE"""),104558.0)</f>
        <v>104558</v>
      </c>
      <c r="B4267" s="235" t="str">
        <f>IFERROR(__xludf.DUMMYFUNCTION("""COMPUTED_VALUE"""),"ALFA DE LEON")</f>
        <v>ALFA DE LEON</v>
      </c>
      <c r="C4267" s="235" t="str">
        <f>IFERROR(__xludf.DUMMYFUNCTION("""COMPUTED_VALUE"""),"ADMIN - MUNICH")</f>
        <v>ADMIN - MUNICH</v>
      </c>
      <c r="D4267" s="196" t="str">
        <f>IFERROR(__xludf.DUMMYFUNCTION("""COMPUTED_VALUE"""),"GLOSSY WHITE FORMICA 7
RUGBY 3 GAL")</f>
        <v>GLOSSY WHITE FORMICA 7
RUGBY 3 GAL</v>
      </c>
      <c r="E4267" s="196" t="str">
        <f>IFERROR(__xludf.DUMMYFUNCTION("""COMPUTED_VALUE"""),"REPAIR OF DIARY BOARD FORMICA AND REAPAINTING")</f>
        <v>REPAIR OF DIARY BOARD FORMICA AND REAPAINTING</v>
      </c>
    </row>
    <row r="4268">
      <c r="A4268" s="234">
        <f>IFERROR(__xludf.DUMMYFUNCTION("""COMPUTED_VALUE"""),104559.0)</f>
        <v>104559</v>
      </c>
      <c r="B4268" s="235" t="str">
        <f>IFERROR(__xludf.DUMMYFUNCTION("""COMPUTED_VALUE"""),"OWIE PAR")</f>
        <v>OWIE PAR</v>
      </c>
      <c r="C4268" s="235" t="str">
        <f>IFERROR(__xludf.DUMMYFUNCTION("""COMPUTED_VALUE"""),"ENGINEERING")</f>
        <v>ENGINEERING</v>
      </c>
      <c r="D4268" s="196" t="str">
        <f>IFERROR(__xludf.DUMMYFUNCTION("""COMPUTED_VALUE"""),"DRAWER LOCK YALE 21PCS")</f>
        <v>DRAWER LOCK YALE 21PCS</v>
      </c>
      <c r="E4268" s="196" t="str">
        <f>IFERROR(__xludf.DUMMYFUNCTION("""COMPUTED_VALUE"""),"FOR HE ROOM")</f>
        <v>FOR HE ROOM</v>
      </c>
    </row>
    <row r="4269">
      <c r="A4269" s="234">
        <f>IFERROR(__xludf.DUMMYFUNCTION("""COMPUTED_VALUE"""),104560.0)</f>
        <v>104560</v>
      </c>
      <c r="B4269" s="235" t="str">
        <f>IFERROR(__xludf.DUMMYFUNCTION("""COMPUTED_VALUE"""),"EVA NECOSIA")</f>
        <v>EVA NECOSIA</v>
      </c>
      <c r="C4269" s="235" t="str">
        <f>IFERROR(__xludf.DUMMYFUNCTION("""COMPUTED_VALUE"""),"FINANCE &amp; ACCOUNTING")</f>
        <v>FINANCE &amp; ACCOUNTING</v>
      </c>
      <c r="D4269" s="196" t="str">
        <f>IFERROR(__xludf.DUMMYFUNCTION("""COMPUTED_VALUE"""),"INVOICE 20 BOX")</f>
        <v>INVOICE 20 BOX</v>
      </c>
      <c r="E4269" s="196" t="str">
        <f>IFERROR(__xludf.DUMMYFUNCTION("""COMPUTED_VALUE"""),"INVOICE- NEW BIR REQUIREMENTS")</f>
        <v>INVOICE- NEW BIR REQUIREMENTS</v>
      </c>
    </row>
    <row r="4270">
      <c r="A4270" s="234">
        <f>IFERROR(__xludf.DUMMYFUNCTION("""COMPUTED_VALUE"""),104561.0)</f>
        <v>104561</v>
      </c>
      <c r="B4270" s="235" t="str">
        <f>IFERROR(__xludf.DUMMYFUNCTION("""COMPUTED_VALUE"""),"JESUIT CHRISTIAN GALICIA")</f>
        <v>JESUIT CHRISTIAN GALICIA</v>
      </c>
      <c r="C4270" s="235" t="str">
        <f>IFERROR(__xludf.DUMMYFUNCTION("""COMPUTED_VALUE"""),"AMD")</f>
        <v>AMD</v>
      </c>
      <c r="D4270" s="196" t="str">
        <f>IFERROR(__xludf.DUMMYFUNCTION("""COMPUTED_VALUE"""),"KINGSTON SOLID STATE DRIVE 240GB 10PCS")</f>
        <v>KINGSTON SOLID STATE DRIVE 240GB 10PCS</v>
      </c>
      <c r="E4270" s="196" t="str">
        <f>IFERROR(__xludf.DUMMYFUNCTION("""COMPUTED_VALUE"""),"MIS WAREHOUSE STOCK REPLENISHMENT")</f>
        <v>MIS WAREHOUSE STOCK REPLENISHMENT</v>
      </c>
    </row>
    <row r="4271">
      <c r="A4271" s="234">
        <f>IFERROR(__xludf.DUMMYFUNCTION("""COMPUTED_VALUE"""),104562.0)</f>
        <v>104562</v>
      </c>
      <c r="B4271" s="235" t="str">
        <f>IFERROR(__xludf.DUMMYFUNCTION("""COMPUTED_VALUE"""),"ALFA DE LEON")</f>
        <v>ALFA DE LEON</v>
      </c>
      <c r="C4271" s="235" t="str">
        <f>IFERROR(__xludf.DUMMYFUNCTION("""COMPUTED_VALUE"""),"ADMIN - MUNICH")</f>
        <v>ADMIN - MUNICH</v>
      </c>
      <c r="D4271" s="196" t="str">
        <f>IFERROR(__xludf.DUMMYFUNCTION("""COMPUTED_VALUE"""),"EXHAUSTFAN 16"" 1
WALL FAN 16"" 1")</f>
        <v>EXHAUSTFAN 16" 1
WALL FAN 16" 1</v>
      </c>
      <c r="E4271" s="196" t="str">
        <f>IFERROR(__xludf.DUMMYFUNCTION("""COMPUTED_VALUE"""),"REPLACEMENT OF BROKEN EXHAUST FAN AND WALL FAN
EW CR MALE &amp; EW LOBBY")</f>
        <v>REPLACEMENT OF BROKEN EXHAUST FAN AND WALL FAN
EW CR MALE &amp; EW LOBBY</v>
      </c>
    </row>
    <row r="4272">
      <c r="A4272" s="234">
        <f>IFERROR(__xludf.DUMMYFUNCTION("""COMPUTED_VALUE"""),104563.0)</f>
        <v>104563</v>
      </c>
      <c r="B4272" s="235" t="str">
        <f>IFERROR(__xludf.DUMMYFUNCTION("""COMPUTED_VALUE"""),"OWIE PAR")</f>
        <v>OWIE PAR</v>
      </c>
      <c r="C4272" s="235" t="str">
        <f>IFERROR(__xludf.DUMMYFUNCTION("""COMPUTED_VALUE"""),"ADMIN")</f>
        <v>ADMIN</v>
      </c>
      <c r="D4272" s="196" t="str">
        <f>IFERROR(__xludf.DUMMYFUNCTION("""COMPUTED_VALUE"""),"ASSORTED TILES OF COLLEGE, LUX AND TROPICAL BUILDINGS")</f>
        <v>ASSORTED TILES OF COLLEGE, LUX AND TROPICAL BUILDINGS</v>
      </c>
      <c r="E4272" s="196" t="str">
        <f>IFERROR(__xludf.DUMMYFUNCTION("""COMPUTED_VALUE"""),"PREVENTIVE MAINTENANCE OF BUILDINGS")</f>
        <v>PREVENTIVE MAINTENANCE OF BUILDINGS</v>
      </c>
    </row>
    <row r="4273">
      <c r="A4273" s="234">
        <f>IFERROR(__xludf.DUMMYFUNCTION("""COMPUTED_VALUE"""),104564.0)</f>
        <v>104564</v>
      </c>
      <c r="B4273" s="235" t="str">
        <f>IFERROR(__xludf.DUMMYFUNCTION("""COMPUTED_VALUE"""),"JESUIT CHRISTIAN GALICIA")</f>
        <v>JESUIT CHRISTIAN GALICIA</v>
      </c>
      <c r="C4273" s="235" t="str">
        <f>IFERROR(__xludf.DUMMYFUNCTION("""COMPUTED_VALUE"""),"AMD")</f>
        <v>AMD</v>
      </c>
      <c r="D4273" s="196" t="str">
        <f>IFERROR(__xludf.DUMMYFUNCTION("""COMPUTED_VALUE"""),"CAPACITOR 3UF 8
FLEXIBLE HOSE 1/4 x 7/8 22
FLEXIBLE HOSE 1/2 x 1/4 24
LED BULB 3W MINI DAYLIGHT- PHILIPS 30
PO PLUG 30
UNIVERSAL ADAPTOR(OMNI) 22
PADLOCK 25mm (YALE) 20
PADLOCK 50MM (YALE) 20")</f>
        <v>CAPACITOR 3UF 8
FLEXIBLE HOSE 1/4 x 7/8 22
FLEXIBLE HOSE 1/2 x 1/4 24
LED BULB 3W MINI DAYLIGHT- PHILIPS 30
PO PLUG 30
UNIVERSAL ADAPTOR(OMNI) 22
PADLOCK 25mm (YALE) 20
PADLOCK 50MM (YALE) 20</v>
      </c>
      <c r="E4273" s="196" t="str">
        <f>IFERROR(__xludf.DUMMYFUNCTION("""COMPUTED_VALUE"""),"ENGINEERING WAREHOUSE STOCK REPLENISHMENT")</f>
        <v>ENGINEERING WAREHOUSE STOCK REPLENISHMENT</v>
      </c>
    </row>
    <row r="4274">
      <c r="A4274" s="234">
        <f>IFERROR(__xludf.DUMMYFUNCTION("""COMPUTED_VALUE"""),104565.0)</f>
        <v>104565</v>
      </c>
      <c r="B4274" s="235" t="str">
        <f>IFERROR(__xludf.DUMMYFUNCTION("""COMPUTED_VALUE"""),"JOMEL BUTIAL")</f>
        <v>JOMEL BUTIAL</v>
      </c>
      <c r="C4274" s="235" t="str">
        <f>IFERROR(__xludf.DUMMYFUNCTION("""COMPUTED_VALUE"""),"PR &amp; MARKETING")</f>
        <v>PR &amp; MARKETING</v>
      </c>
      <c r="D4274" s="196" t="str">
        <f>IFERROR(__xludf.DUMMYFUNCTION("""COMPUTED_VALUE"""),"ADDITIONAL SOUTHVILLE CLOTH 4")</f>
        <v>ADDITIONAL SOUTHVILLE CLOTH 4</v>
      </c>
      <c r="E4274" s="196" t="str">
        <f>IFERROR(__xludf.DUMMYFUNCTION("""COMPUTED_VALUE"""),"MARKETING")</f>
        <v>MARKETING</v>
      </c>
    </row>
    <row r="4275">
      <c r="A4275" s="234">
        <f>IFERROR(__xludf.DUMMYFUNCTION("""COMPUTED_VALUE"""),104566.0)</f>
        <v>104566</v>
      </c>
      <c r="B4275" s="235" t="str">
        <f>IFERROR(__xludf.DUMMYFUNCTION("""COMPUTED_VALUE"""),"JOMEL BUTIAL")</f>
        <v>JOMEL BUTIAL</v>
      </c>
      <c r="C4275" s="235" t="str">
        <f>IFERROR(__xludf.DUMMYFUNCTION("""COMPUTED_VALUE"""),"PR &amp; MARKETING")</f>
        <v>PR &amp; MARKETING</v>
      </c>
      <c r="D4275" s="196" t="str">
        <f>IFERROR(__xludf.DUMMYFUNCTION("""COMPUTED_VALUE"""),"BS TOURIDM ALUMNI TARPAULIN  1
WITH SEAMING AND EYELET ALL OVER; THICKNESS= 18
WIDTH: 147 INCHES
HEIGHT: 80 INCHES")</f>
        <v>BS TOURIDM ALUMNI TARPAULIN  1
WITH SEAMING AND EYELET ALL OVER; THICKNESS= 18
WIDTH: 147 INCHES
HEIGHT: 80 INCHES</v>
      </c>
      <c r="E4275" s="196" t="str">
        <f>IFERROR(__xludf.DUMMYFUNCTION("""COMPUTED_VALUE"""),"MARKETING")</f>
        <v>MARKETING</v>
      </c>
    </row>
    <row r="4276">
      <c r="A4276" s="234">
        <f>IFERROR(__xludf.DUMMYFUNCTION("""COMPUTED_VALUE"""),104567.0)</f>
        <v>104567</v>
      </c>
      <c r="B4276" s="235" t="str">
        <f>IFERROR(__xludf.DUMMYFUNCTION("""COMPUTED_VALUE"""),"LYKA PERALTA")</f>
        <v>LYKA PERALTA</v>
      </c>
      <c r="C4276" s="235" t="str">
        <f>IFERROR(__xludf.DUMMYFUNCTION("""COMPUTED_VALUE"""),"AMD")</f>
        <v>AMD</v>
      </c>
      <c r="D4276" s="196" t="str">
        <f>IFERROR(__xludf.DUMMYFUNCTION("""COMPUTED_VALUE"""),"BOX OF PAPER, CONTINUOUS - 11x9.5 4PLY 3BOXES")</f>
        <v>BOX OF PAPER, CONTINUOUS - 11x9.5 4PLY 3BOXES</v>
      </c>
      <c r="E4276" s="196" t="str">
        <f>IFERROR(__xludf.DUMMYFUNCTION("""COMPUTED_VALUE"""),"OSSUP- STOCK REPLENISHMENT")</f>
        <v>OSSUP- STOCK REPLENISHMENT</v>
      </c>
    </row>
    <row r="4277">
      <c r="A4277" s="234">
        <f>IFERROR(__xludf.DUMMYFUNCTION("""COMPUTED_VALUE"""),104568.0)</f>
        <v>104568</v>
      </c>
      <c r="B4277" s="235" t="str">
        <f>IFERROR(__xludf.DUMMYFUNCTION("""COMPUTED_VALUE"""),"LYKA PERALTA")</f>
        <v>LYKA PERALTA</v>
      </c>
      <c r="C4277" s="235" t="str">
        <f>IFERROR(__xludf.DUMMYFUNCTION("""COMPUTED_VALUE"""),"AMD")</f>
        <v>AMD</v>
      </c>
      <c r="D4277" s="196" t="str">
        <f>IFERROR(__xludf.DUMMYFUNCTION("""COMPUTED_VALUE"""),"ILLUSTRATION BOARD- BLK/WH (1/2) 20x30 30PCS")</f>
        <v>ILLUSTRATION BOARD- BLK/WH (1/2) 20x30 30PCS</v>
      </c>
      <c r="E4277" s="196" t="str">
        <f>IFERROR(__xludf.DUMMYFUNCTION("""COMPUTED_VALUE"""),"OSSUP- STOCK REPLENISHMENT ")</f>
        <v>OSSUP- STOCK REPLENISHMENT </v>
      </c>
    </row>
    <row r="4278">
      <c r="A4278" s="234">
        <f>IFERROR(__xludf.DUMMYFUNCTION("""COMPUTED_VALUE"""),104569.0)</f>
        <v>104569</v>
      </c>
      <c r="B4278" s="235" t="str">
        <f>IFERROR(__xludf.DUMMYFUNCTION("""COMPUTED_VALUE"""),"LYKA PERALTA")</f>
        <v>LYKA PERALTA</v>
      </c>
      <c r="C4278" s="235" t="str">
        <f>IFERROR(__xludf.DUMMYFUNCTION("""COMPUTED_VALUE"""),"AMD")</f>
        <v>AMD</v>
      </c>
      <c r="D4278" s="196" t="str">
        <f>IFERROR(__xludf.DUMMYFUNCTION("""COMPUTED_VALUE"""),"70% ISOPHROPYL ALCOHOL GALLON 200GALLONS")</f>
        <v>70% ISOPHROPYL ALCOHOL GALLON 200GALLONS</v>
      </c>
      <c r="E4278" s="196" t="str">
        <f>IFERROR(__xludf.DUMMYFUNCTION("""COMPUTED_VALUE"""),"OSSUP- STOCK REPLENISHMENT")</f>
        <v>OSSUP- STOCK REPLENISHMENT</v>
      </c>
    </row>
    <row r="4279">
      <c r="A4279" s="234">
        <f>IFERROR(__xludf.DUMMYFUNCTION("""COMPUTED_VALUE"""),104570.0)</f>
        <v>104570</v>
      </c>
      <c r="B4279" s="235" t="str">
        <f>IFERROR(__xludf.DUMMYFUNCTION("""COMPUTED_VALUE"""),"CAMILLE GABRIEL")</f>
        <v>CAMILLE GABRIEL</v>
      </c>
      <c r="C4279" s="235" t="str">
        <f>IFERROR(__xludf.DUMMYFUNCTION("""COMPUTED_VALUE"""),"HRMD")</f>
        <v>HRMD</v>
      </c>
      <c r="D4279" s="196" t="str">
        <f>IFERROR(__xludf.DUMMYFUNCTION("""COMPUTED_VALUE"""),"FLOWER WREATH FOR MS RECHILDA A MONTINOLA")</f>
        <v>FLOWER WREATH FOR MS RECHILDA A MONTINOLA</v>
      </c>
      <c r="E4279" s="196" t="str">
        <f>IFERROR(__xludf.DUMMYFUNCTION("""COMPUTED_VALUE"""),"FLOWER WREATH FOR THE DEMISE MOTHER OF MS EMELU MAJAHRANI MONTINOLA")</f>
        <v>FLOWER WREATH FOR THE DEMISE MOTHER OF MS EMELU MAJAHRANI MONTINOLA</v>
      </c>
    </row>
    <row r="4280">
      <c r="A4280" s="234">
        <f>IFERROR(__xludf.DUMMYFUNCTION("""COMPUTED_VALUE"""),104571.0)</f>
        <v>104571</v>
      </c>
      <c r="B4280" s="235" t="str">
        <f>IFERROR(__xludf.DUMMYFUNCTION("""COMPUTED_VALUE"""),"ADOR MARINDA")</f>
        <v>ADOR MARINDA</v>
      </c>
      <c r="C4280" s="235" t="str">
        <f>IFERROR(__xludf.DUMMYFUNCTION("""COMPUTED_VALUE"""),"AV/MIS")</f>
        <v>AV/MIS</v>
      </c>
      <c r="D4280" s="196" t="str">
        <f>IFERROR(__xludf.DUMMYFUNCTION("""COMPUTED_VALUE"""),"8 OUTLET POWER STRIP SURGE PROTECTOR 3
PANTHER PSP 0512 6 GANG EXTENSION 3")</f>
        <v>8 OUTLET POWER STRIP SURGE PROTECTOR 3
PANTHER PSP 0512 6 GANG EXTENSION 3</v>
      </c>
      <c r="E4280" s="196" t="str">
        <f>IFERROR(__xludf.DUMMYFUNCTION("""COMPUTED_VALUE"""),"SURGE PROTECTOR FOR SWITCHES")</f>
        <v>SURGE PROTECTOR FOR SWITCHES</v>
      </c>
    </row>
    <row r="4281">
      <c r="A4281" s="234">
        <f>IFERROR(__xludf.DUMMYFUNCTION("""COMPUTED_VALUE"""),104572.0)</f>
        <v>104572</v>
      </c>
      <c r="B4281" s="235" t="str">
        <f>IFERROR(__xludf.DUMMYFUNCTION("""COMPUTED_VALUE"""),"JHONNY QUIQUI")</f>
        <v>JHONNY QUIQUI</v>
      </c>
      <c r="C4281" s="235" t="str">
        <f>IFERROR(__xludf.DUMMYFUNCTION("""COMPUTED_VALUE"""),"STUFFSHOP")</f>
        <v>STUFFSHOP</v>
      </c>
      <c r="D4281" s="196" t="str">
        <f>IFERROR(__xludf.DUMMYFUNCTION("""COMPUTED_VALUE"""),"XIAOMI REDMI 10A SKYBLUE 1PC")</f>
        <v>XIAOMI REDMI 10A SKYBLUE 1PC</v>
      </c>
      <c r="E4281" s="196" t="str">
        <f>IFERROR(__xludf.DUMMYFUNCTION("""COMPUTED_VALUE"""),"FOR STUFFSHOP ISE INQUIRIES AND ONLINE PAYMENT")</f>
        <v>FOR STUFFSHOP ISE INQUIRIES AND ONLINE PAYMENT</v>
      </c>
    </row>
    <row r="4282">
      <c r="A4282" s="234">
        <f>IFERROR(__xludf.DUMMYFUNCTION("""COMPUTED_VALUE"""),104573.0)</f>
        <v>104573</v>
      </c>
      <c r="B4282" s="235" t="str">
        <f>IFERROR(__xludf.DUMMYFUNCTION("""COMPUTED_VALUE"""),"PHEN PETIN")</f>
        <v>PHEN PETIN</v>
      </c>
      <c r="C4282" s="235" t="str">
        <f>IFERROR(__xludf.DUMMYFUNCTION("""COMPUTED_VALUE"""),"ADMIN-STAR")</f>
        <v>ADMIN-STAR</v>
      </c>
      <c r="D4282" s="196" t="str">
        <f>IFERROR(__xludf.DUMMYFUNCTION("""COMPUTED_VALUE"""),"ROPE LIGHT(WHITE) 3BOX
ADAPTOR 50PCS")</f>
        <v>ROPE LIGHT(WHITE) 3BOX
ADAPTOR 50PCS</v>
      </c>
      <c r="E4282" s="196" t="str">
        <f>IFERROR(__xludf.DUMMYFUNCTION("""COMPUTED_VALUE"""),"CHANGE BUSTED ROPE LIGHTS FACADE STAR CAMPUS")</f>
        <v>CHANGE BUSTED ROPE LIGHTS FACADE STAR CAMPUS</v>
      </c>
    </row>
    <row r="4283">
      <c r="A4283" s="234">
        <f>IFERROR(__xludf.DUMMYFUNCTION("""COMPUTED_VALUE"""),104574.0)</f>
        <v>104574</v>
      </c>
      <c r="B4283" s="235" t="str">
        <f>IFERROR(__xludf.DUMMYFUNCTION("""COMPUTED_VALUE"""),"CARLITO DELA VEGA")</f>
        <v>CARLITO DELA VEGA</v>
      </c>
      <c r="C4283" s="235" t="str">
        <f>IFERROR(__xludf.DUMMYFUNCTION("""COMPUTED_VALUE"""),"SECURITY")</f>
        <v>SECURITY</v>
      </c>
      <c r="D4283" s="196" t="str">
        <f>IFERROR(__xludf.DUMMYFUNCTION("""COMPUTED_VALUE"""),"BIG UMBRELLA W/ WIND BREAKER DARKBLUE 45PCS")</f>
        <v>BIG UMBRELLA W/ WIND BREAKER DARKBLUE 45PCS</v>
      </c>
      <c r="E4283" s="196" t="str">
        <f>IFERROR(__xludf.DUMMYFUNCTION("""COMPUTED_VALUE"""),"GATES USE")</f>
        <v>GATES USE</v>
      </c>
    </row>
    <row r="4284">
      <c r="A4284" s="234">
        <f>IFERROR(__xludf.DUMMYFUNCTION("""COMPUTED_VALUE"""),104575.0)</f>
        <v>104575</v>
      </c>
      <c r="B4284" s="235" t="str">
        <f>IFERROR(__xludf.DUMMYFUNCTION("""COMPUTED_VALUE"""),"JOSSA GALLANOSA")</f>
        <v>JOSSA GALLANOSA</v>
      </c>
      <c r="C4284" s="235" t="str">
        <f>IFERROR(__xludf.DUMMYFUNCTION("""COMPUTED_VALUE"""),"CEM OFFICE")</f>
        <v>CEM OFFICE</v>
      </c>
      <c r="D4284" s="196" t="str">
        <f>IFERROR(__xludf.DUMMYFUNCTION("""COMPUTED_VALUE"""),"HAIER M53 TABLET 10PCS")</f>
        <v>HAIER M53 TABLET 10PCS</v>
      </c>
      <c r="E4284" s="196" t="str">
        <f>IFERROR(__xludf.DUMMYFUNCTION("""COMPUTED_VALUE"""),"READING PROGRAM USE")</f>
        <v>READING PROGRAM USE</v>
      </c>
    </row>
    <row r="4285">
      <c r="A4285" s="234">
        <f>IFERROR(__xludf.DUMMYFUNCTION("""COMPUTED_VALUE"""),104576.0)</f>
        <v>104576</v>
      </c>
      <c r="B4285" s="235" t="str">
        <f>IFERROR(__xludf.DUMMYFUNCTION("""COMPUTED_VALUE"""),"ALFA DE LEON")</f>
        <v>ALFA DE LEON</v>
      </c>
      <c r="C4285" s="235" t="str">
        <f>IFERROR(__xludf.DUMMYFUNCTION("""COMPUTED_VALUE"""),"ADMIN - MUNICH")</f>
        <v>ADMIN - MUNICH</v>
      </c>
      <c r="D4285" s="196" t="str">
        <f>IFERROR(__xludf.DUMMYFUNCTION("""COMPUTED_VALUE"""),"EMERGENCY LIGHTS 13")</f>
        <v>EMERGENCY LIGHTS 13</v>
      </c>
      <c r="E4285" s="196" t="str">
        <f>IFERROR(__xludf.DUMMYFUNCTION("""COMPUTED_VALUE"""),"REPLACEMENT OF BROKEN EMERGENCY LIGHTS 2/F, 3/F RAMP, HALLWAYS")</f>
        <v>REPLACEMENT OF BROKEN EMERGENCY LIGHTS 2/F, 3/F RAMP, HALLWAYS</v>
      </c>
    </row>
    <row r="4286">
      <c r="A4286" s="234">
        <f>IFERROR(__xludf.DUMMYFUNCTION("""COMPUTED_VALUE"""),104577.0)</f>
        <v>104577</v>
      </c>
      <c r="B4286" s="235" t="str">
        <f>IFERROR(__xludf.DUMMYFUNCTION("""COMPUTED_VALUE"""),"PHEN PETIN")</f>
        <v>PHEN PETIN</v>
      </c>
      <c r="C4286" s="235" t="str">
        <f>IFERROR(__xludf.DUMMYFUNCTION("""COMPUTED_VALUE"""),"ADMIN - STAR")</f>
        <v>ADMIN - STAR</v>
      </c>
      <c r="D4286" s="196" t="str">
        <f>IFERROR(__xludf.DUMMYFUNCTION("""COMPUTED_VALUE"""),"FLOOD LIGHT DAY LIGHT")</f>
        <v>FLOOD LIGHT DAY LIGHT</v>
      </c>
      <c r="E4286" s="196" t="str">
        <f>IFERROR(__xludf.DUMMYFUNCTION("""COMPUTED_VALUE"""),"CHANGE BUSTED FLOOD LIGHTS LV ROOF AND FACADE")</f>
        <v>CHANGE BUSTED FLOOD LIGHTS LV ROOF AND FACADE</v>
      </c>
    </row>
    <row r="4287">
      <c r="A4287" s="234">
        <f>IFERROR(__xludf.DUMMYFUNCTION("""COMPUTED_VALUE"""),104578.0)</f>
        <v>104578</v>
      </c>
      <c r="B4287" s="235" t="str">
        <f>IFERROR(__xludf.DUMMYFUNCTION("""COMPUTED_VALUE"""),"LORRAINE ALMAZAN/ JULIUS PAGDATO")</f>
        <v>LORRAINE ALMAZAN/ JULIUS PAGDATO</v>
      </c>
      <c r="C4287" s="235" t="str">
        <f>IFERROR(__xludf.DUMMYFUNCTION("""COMPUTED_VALUE"""),"AV/MIS")</f>
        <v>AV/MIS</v>
      </c>
      <c r="D4287" s="196" t="str">
        <f>IFERROR(__xludf.DUMMYFUNCTION("""COMPUTED_VALUE"""),"AV MATRIX PT2 1271- POE- 20x CAMERA
8 CHANNEL WIRELESS GOOSENECK MICROPHONES
12INCH PROJECTOR SCREEN")</f>
        <v>AV MATRIX PT2 1271- POE- 20x CAMERA
8 CHANNEL WIRELESS GOOSENECK MICROPHONES
12INCH PROJECTOR SCREEN</v>
      </c>
      <c r="E4287" s="196" t="str">
        <f>IFERROR(__xludf.DUMMYFUNCTION("""COMPUTED_VALUE"""),"REPLACEMENT OF PROJECTOR AND VOLT SETUP IMPROVEMENT FOR CEM'S BOARDROOM")</f>
        <v>REPLACEMENT OF PROJECTOR AND VOLT SETUP IMPROVEMENT FOR CEM'S BOARDROOM</v>
      </c>
    </row>
    <row r="4288">
      <c r="A4288" s="234">
        <f>IFERROR(__xludf.DUMMYFUNCTION("""COMPUTED_VALUE"""),104579.0)</f>
        <v>104579</v>
      </c>
      <c r="B4288" s="235" t="str">
        <f>IFERROR(__xludf.DUMMYFUNCTION("""COMPUTED_VALUE"""),"JEREMIAH TIROL/ANGELICA LAGDAMEO")</f>
        <v>JEREMIAH TIROL/ANGELICA LAGDAMEO</v>
      </c>
      <c r="C4288" s="235" t="str">
        <f>IFERROR(__xludf.DUMMYFUNCTION("""COMPUTED_VALUE"""),"COLLEGE LAB")</f>
        <v>COLLEGE LAB</v>
      </c>
      <c r="D4288" s="196" t="str">
        <f>IFERROR(__xludf.DUMMYFUNCTION("""COMPUTED_VALUE"""),"OXYGENT TANK 15 LBS 1PC
OXYGEN REGULATOR WITH HUMIDIFIER(COMPATIBLE IN ALL OXYGEN TANK) 2 PCS
OXYGEN TANK CARRIER(TROLLEY) 1PC
FOR 15 LBS AND 50 LBS 1PC")</f>
        <v>OXYGENT TANK 15 LBS 1PC
OXYGEN REGULATOR WITH HUMIDIFIER(COMPATIBLE IN ALL OXYGEN TANK) 2 PCS
OXYGEN TANK CARRIER(TROLLEY) 1PC
FOR 15 LBS AND 50 LBS 1PC</v>
      </c>
      <c r="E4288" s="196" t="str">
        <f>IFERROR(__xludf.DUMMYFUNCTION("""COMPUTED_VALUE"""),"FOR LABATORY USE")</f>
        <v>FOR LABATORY USE</v>
      </c>
    </row>
    <row r="4289">
      <c r="A4289" s="234">
        <f>IFERROR(__xludf.DUMMYFUNCTION("""COMPUTED_VALUE"""),104580.0)</f>
        <v>104580</v>
      </c>
      <c r="B4289" s="235" t="str">
        <f>IFERROR(__xludf.DUMMYFUNCTION("""COMPUTED_VALUE"""),"JESUIT CHRISTIAN GALICIA")</f>
        <v>JESUIT CHRISTIAN GALICIA</v>
      </c>
      <c r="C4289" s="235" t="str">
        <f>IFERROR(__xludf.DUMMYFUNCTION("""COMPUTED_VALUE"""),"AMD")</f>
        <v>AMD</v>
      </c>
      <c r="D4289" s="196" t="str">
        <f>IFERROR(__xludf.DUMMYFUNCTION("""COMPUTED_VALUE"""),"T5 18W FLOURESCENT DL (ALPHA KUX) 20PCS")</f>
        <v>T5 18W FLOURESCENT DL (ALPHA KUX) 20PCS</v>
      </c>
      <c r="E4289" s="196" t="str">
        <f>IFERROR(__xludf.DUMMYFUNCTION("""COMPUTED_VALUE"""),"ENGR WAREHOUSE STOCK REPLENISHMENT")</f>
        <v>ENGR WAREHOUSE STOCK REPLENISHMENT</v>
      </c>
    </row>
    <row r="4290">
      <c r="A4290" s="234">
        <f>IFERROR(__xludf.DUMMYFUNCTION("""COMPUTED_VALUE"""),104581.0)</f>
        <v>104581</v>
      </c>
      <c r="B4290" s="235" t="str">
        <f>IFERROR(__xludf.DUMMYFUNCTION("""COMPUTED_VALUE"""),"MS JAN GUTIERREZ")</f>
        <v>MS JAN GUTIERREZ</v>
      </c>
      <c r="C4290" s="235" t="str">
        <f>IFERROR(__xludf.DUMMYFUNCTION("""COMPUTED_VALUE"""),"SHS DEPARTMENT")</f>
        <v>SHS DEPARTMENT</v>
      </c>
      <c r="D4290" s="196" t="str">
        <f>IFERROR(__xludf.DUMMYFUNCTION("""COMPUTED_VALUE"""),"SPECIAL ENVELOPE PURPLE 186PCS
PROGRAM COVER FOR GRAD INVITE (GRADE12) 186PCS
FLAT PROGRAM CUSTOMIZED BORDER (GRADE 12) 186PCS
CUSTOM STATIONERY COLORED (INSIDE PAGES) 7REAMS
DIGITAL GUEST TAG 165PCS
PRESTIGE PAPER PRODUCTS-KAPAS 80GSM 200PACKS
CONCORDE 9"&amp;"0GSM 15REAMS ")</f>
        <v>SPECIAL ENVELOPE PURPLE 186PCS
PROGRAM COVER FOR GRAD INVITE (GRADE12) 186PCS
FLAT PROGRAM CUSTOMIZED BORDER (GRADE 12) 186PCS
CUSTOM STATIONERY COLORED (INSIDE PAGES) 7REAMS
DIGITAL GUEST TAG 165PCS
PRESTIGE PAPER PRODUCTS-KAPAS 80GSM 200PACKS
CONCORDE 90GSM 15REAMS </v>
      </c>
      <c r="E4290" s="196" t="str">
        <f>IFERROR(__xludf.DUMMYFUNCTION("""COMPUTED_VALUE"""),"SHS GRADUATION AY 23-24")</f>
        <v>SHS GRADUATION AY 23-24</v>
      </c>
    </row>
    <row r="4291">
      <c r="A4291" s="234">
        <f>IFERROR(__xludf.DUMMYFUNCTION("""COMPUTED_VALUE"""),104582.0)</f>
        <v>104582</v>
      </c>
      <c r="B4291" s="235" t="str">
        <f>IFERROR(__xludf.DUMMYFUNCTION("""COMPUTED_VALUE"""),"ARCH TEMOTHIE DIOSAY")</f>
        <v>ARCH TEMOTHIE DIOSAY</v>
      </c>
      <c r="C4291" s="235" t="str">
        <f>IFERROR(__xludf.DUMMYFUNCTION("""COMPUTED_VALUE"""),"ADMIN")</f>
        <v>ADMIN</v>
      </c>
      <c r="D4291" s="196" t="str">
        <f>IFERROR(__xludf.DUMMYFUNCTION("""COMPUTED_VALUE"""),"TABAKO 23
SELLOUM 5
FALSE BIRD OF PARADISE
KAMUNING 28PCS
GREEN SCHEFFLERA 15PCS
SPIDER LILY 58
BOSTOM FERN 52
DWARF PANDARAKI 104
FROG GRASS 2 SQM")</f>
        <v>TABAKO 23
SELLOUM 5
FALSE BIRD OF PARADISE
KAMUNING 28PCS
GREEN SCHEFFLERA 15PCS
SPIDER LILY 58
BOSTOM FERN 52
DWARF PANDARAKI 104
FROG GRASS 2 SQM</v>
      </c>
      <c r="E4291" s="196" t="str">
        <f>IFERROR(__xludf.DUMMYFUNCTION("""COMPUTED_VALUE"""),"PLANTS FOR THE STAR CAMPUS QUADRANGLE")</f>
        <v>PLANTS FOR THE STAR CAMPUS QUADRANGLE</v>
      </c>
    </row>
    <row r="4292">
      <c r="A4292" s="234">
        <f>IFERROR(__xludf.DUMMYFUNCTION("""COMPUTED_VALUE"""),104583.0)</f>
        <v>104583</v>
      </c>
      <c r="B4292" s="235" t="str">
        <f>IFERROR(__xludf.DUMMYFUNCTION("""COMPUTED_VALUE"""),"RORY MANSBRIDGE")</f>
        <v>RORY MANSBRIDGE</v>
      </c>
      <c r="C4292" s="235" t="str">
        <f>IFERROR(__xludf.DUMMYFUNCTION("""COMPUTED_VALUE"""),"ATHLETICS")</f>
        <v>ATHLETICS</v>
      </c>
      <c r="D4292" s="196" t="str">
        <f>IFERROR(__xludf.DUMMYFUNCTION("""COMPUTED_VALUE"""),"VARSITY MEDALS 51
VARSITY PLAQUES 2")</f>
        <v>VARSITY MEDALS 51
VARSITY PLAQUES 2</v>
      </c>
      <c r="E4292" s="196" t="str">
        <f>IFERROR(__xludf.DUMMYFUNCTION("""COMPUTED_VALUE"""),"VARSITY MEDALS")</f>
        <v>VARSITY MEDALS</v>
      </c>
    </row>
    <row r="4293">
      <c r="A4293" s="234">
        <f>IFERROR(__xludf.DUMMYFUNCTION("""COMPUTED_VALUE"""),104584.0)</f>
        <v>104584</v>
      </c>
      <c r="B4293" s="235" t="str">
        <f>IFERROR(__xludf.DUMMYFUNCTION("""COMPUTED_VALUE"""),"OWIE PAR")</f>
        <v>OWIE PAR</v>
      </c>
      <c r="C4293" s="235" t="str">
        <f>IFERROR(__xludf.DUMMYFUNCTION("""COMPUTED_VALUE"""),"ENGINEERING")</f>
        <v>ENGINEERING</v>
      </c>
      <c r="D4293" s="196" t="str">
        <f>IFERROR(__xludf.DUMMYFUNCTION("""COMPUTED_VALUE"""),"WIDE SERIES OUTLET PANASONIC 2 GANG 20SETS")</f>
        <v>WIDE SERIES OUTLET PANASONIC 2 GANG 20SETS</v>
      </c>
      <c r="E4293" s="196" t="str">
        <f>IFERROR(__xludf.DUMMYFUNCTION("""COMPUTED_VALUE"""),"FOR BOARD ROOM")</f>
        <v>FOR BOARD ROOM</v>
      </c>
    </row>
    <row r="4294">
      <c r="A4294" s="234">
        <f>IFERROR(__xludf.DUMMYFUNCTION("""COMPUTED_VALUE"""),104585.0)</f>
        <v>104585</v>
      </c>
      <c r="B4294" s="235" t="str">
        <f>IFERROR(__xludf.DUMMYFUNCTION("""COMPUTED_VALUE"""),"CHRISTIAN ANDRES")</f>
        <v>CHRISTIAN ANDRES</v>
      </c>
      <c r="C4294" s="235" t="str">
        <f>IFERROR(__xludf.DUMMYFUNCTION("""COMPUTED_VALUE"""),"PR &amp; MARKETING")</f>
        <v>PR &amp; MARKETING</v>
      </c>
      <c r="D4294" s="196" t="str">
        <f>IFERROR(__xludf.DUMMYFUNCTION("""COMPUTED_VALUE"""),"4TB HARD DRIVE 2
GUNTACKER 1")</f>
        <v>4TB HARD DRIVE 2
GUNTACKER 1</v>
      </c>
      <c r="E4294" s="196" t="str">
        <f>IFERROR(__xludf.DUMMYFUNCTION("""COMPUTED_VALUE"""),"FOR OFFICE USE (PREVIOUS DRIVES ARE FULL)")</f>
        <v>FOR OFFICE USE (PREVIOUS DRIVES ARE FULL)</v>
      </c>
    </row>
    <row r="4295">
      <c r="A4295" s="234">
        <f>IFERROR(__xludf.DUMMYFUNCTION("""COMPUTED_VALUE"""),104586.0)</f>
        <v>104586</v>
      </c>
      <c r="B4295" s="235" t="str">
        <f>IFERROR(__xludf.DUMMYFUNCTION("""COMPUTED_VALUE"""),"PHEN PETIN")</f>
        <v>PHEN PETIN</v>
      </c>
      <c r="C4295" s="235" t="str">
        <f>IFERROR(__xludf.DUMMYFUNCTION("""COMPUTED_VALUE"""),"ADMIN - STAR")</f>
        <v>ADMIN - STAR</v>
      </c>
      <c r="D4295" s="196" t="str">
        <f>IFERROR(__xludf.DUMMYFUNCTION("""COMPUTED_VALUE"""),"AUTOMATIC AIR FRESHENER 10PCS")</f>
        <v>AUTOMATIC AIR FRESHENER 10PCS</v>
      </c>
      <c r="E4295" s="196" t="str">
        <f>IFERROR(__xludf.DUMMYFUNCTION("""COMPUTED_VALUE"""),"FOR STAR CAMPUS CR'S AIR FRESHENER")</f>
        <v>FOR STAR CAMPUS CR'S AIR FRESHENER</v>
      </c>
    </row>
    <row r="4296">
      <c r="A4296" s="234">
        <f>IFERROR(__xludf.DUMMYFUNCTION("""COMPUTED_VALUE"""),104587.0)</f>
        <v>104587</v>
      </c>
      <c r="B4296" s="235" t="str">
        <f>IFERROR(__xludf.DUMMYFUNCTION("""COMPUTED_VALUE"""),"JESUIT CHRISTIAN GALICIA")</f>
        <v>JESUIT CHRISTIAN GALICIA</v>
      </c>
      <c r="C4296" s="235" t="str">
        <f>IFERROR(__xludf.DUMMYFUNCTION("""COMPUTED_VALUE"""),"AMD")</f>
        <v>AMD</v>
      </c>
      <c r="D4296" s="196" t="str">
        <f>IFERROR(__xludf.DUMMYFUNCTION("""COMPUTED_VALUE"""),"TANK FITTINGS STANDARD WITH FILL VALVE 12PCS")</f>
        <v>TANK FITTINGS STANDARD WITH FILL VALVE 12PCS</v>
      </c>
      <c r="E4296" s="196" t="str">
        <f>IFERROR(__xludf.DUMMYFUNCTION("""COMPUTED_VALUE"""),"ENGR WAREHOUSE STOCK REPLENISHMENT")</f>
        <v>ENGR WAREHOUSE STOCK REPLENISHMENT</v>
      </c>
    </row>
    <row r="4297">
      <c r="A4297" s="234">
        <f>IFERROR(__xludf.DUMMYFUNCTION("""COMPUTED_VALUE"""),104588.0)</f>
        <v>104588</v>
      </c>
      <c r="B4297" s="235" t="str">
        <f>IFERROR(__xludf.DUMMYFUNCTION("""COMPUTED_VALUE"""),"MELLISA NAVAL-ODONO")</f>
        <v>MELLISA NAVAL-ODONO</v>
      </c>
      <c r="C4297" s="235" t="str">
        <f>IFERROR(__xludf.DUMMYFUNCTION("""COMPUTED_VALUE"""),"LIBRARY COLLEGE")</f>
        <v>LIBRARY COLLEGE</v>
      </c>
      <c r="D4297" s="196" t="str">
        <f>IFERROR(__xludf.DUMMYFUNCTION("""COMPUTED_VALUE"""),"COMMA BOOKS (1 LOT)
IT BOOKS (1 LOT)")</f>
        <v>COMMA BOOKS (1 LOT)
IT BOOKS (1 LOT)</v>
      </c>
      <c r="E4297" s="196" t="str">
        <f>IFERROR(__xludf.DUMMYFUNCTION("""COMPUTED_VALUE"""),"FOR PACUCOA - LIBRARY'S COPY")</f>
        <v>FOR PACUCOA - LIBRARY'S COPY</v>
      </c>
    </row>
    <row r="4298">
      <c r="A4298" s="234">
        <f>IFERROR(__xludf.DUMMYFUNCTION("""COMPUTED_VALUE"""),104589.0)</f>
        <v>104589</v>
      </c>
      <c r="B4298" s="235" t="str">
        <f>IFERROR(__xludf.DUMMYFUNCTION("""COMPUTED_VALUE"""),"MELLISA NAVAL-ODONO")</f>
        <v>MELLISA NAVAL-ODONO</v>
      </c>
      <c r="C4298" s="235" t="str">
        <f>IFERROR(__xludf.DUMMYFUNCTION("""COMPUTED_VALUE"""),"LIBRARY COLLEGE")</f>
        <v>LIBRARY COLLEGE</v>
      </c>
      <c r="D4298" s="196" t="str">
        <f>IFERROR(__xludf.DUMMYFUNCTION("""COMPUTED_VALUE"""),"IT BOOKS
GEN ED BOOKS")</f>
        <v>IT BOOKS
GEN ED BOOKS</v>
      </c>
      <c r="E4298" s="196" t="str">
        <f>IFERROR(__xludf.DUMMYFUNCTION("""COMPUTED_VALUE"""),"FOR PACUCOA ")</f>
        <v>FOR PACUCOA </v>
      </c>
    </row>
    <row r="4299">
      <c r="A4299" s="234">
        <f>IFERROR(__xludf.DUMMYFUNCTION("""COMPUTED_VALUE"""),104590.0)</f>
        <v>104590</v>
      </c>
      <c r="B4299" s="235" t="str">
        <f>IFERROR(__xludf.DUMMYFUNCTION("""COMPUTED_VALUE"""),"MELLISA NAVAL-ODONO")</f>
        <v>MELLISA NAVAL-ODONO</v>
      </c>
      <c r="C4299" s="235" t="str">
        <f>IFERROR(__xludf.DUMMYFUNCTION("""COMPUTED_VALUE"""),"LIBRARY COLLEGE")</f>
        <v>LIBRARY COLLEGE</v>
      </c>
      <c r="D4299" s="196" t="str">
        <f>IFERROR(__xludf.DUMMYFUNCTION("""COMPUTED_VALUE"""),"NURSING BOOKS 5
ACCOUNTING BOOKS 2
TOURISM 3
GEN ED BOOKS 21")</f>
        <v>NURSING BOOKS 5
ACCOUNTING BOOKS 2
TOURISM 3
GEN ED BOOKS 21</v>
      </c>
      <c r="E4299" s="196" t="str">
        <f>IFERROR(__xludf.DUMMYFUNCTION("""COMPUTED_VALUE"""),"FOR PACUCOA ")</f>
        <v>FOR PACUCOA </v>
      </c>
    </row>
    <row r="4300">
      <c r="A4300" s="234">
        <f>IFERROR(__xludf.DUMMYFUNCTION("""COMPUTED_VALUE"""),104591.0)</f>
        <v>104591</v>
      </c>
      <c r="B4300" s="235" t="str">
        <f>IFERROR(__xludf.DUMMYFUNCTION("""COMPUTED_VALUE"""),"MELLISA NAVAL-ODONO")</f>
        <v>MELLISA NAVAL-ODONO</v>
      </c>
      <c r="C4300" s="235" t="str">
        <f>IFERROR(__xludf.DUMMYFUNCTION("""COMPUTED_VALUE"""),"LIBRARY COLLEGE")</f>
        <v>LIBRARY COLLEGE</v>
      </c>
      <c r="D4300" s="196" t="str">
        <f>IFERROR(__xludf.DUMMYFUNCTION("""COMPUTED_VALUE"""),"GEN ED SUBJECTS 20
PSYCH BOOKS 29")</f>
        <v>GEN ED SUBJECTS 20
PSYCH BOOKS 29</v>
      </c>
      <c r="E4300" s="196" t="str">
        <f>IFERROR(__xludf.DUMMYFUNCTION("""COMPUTED_VALUE"""),"FOR PACUCOA ")</f>
        <v>FOR PACUCOA </v>
      </c>
    </row>
    <row r="4301">
      <c r="A4301" s="234">
        <f>IFERROR(__xludf.DUMMYFUNCTION("""COMPUTED_VALUE"""),104592.0)</f>
        <v>104592</v>
      </c>
      <c r="B4301" s="235" t="str">
        <f>IFERROR(__xludf.DUMMYFUNCTION("""COMPUTED_VALUE"""),"MELLISA NAVAL-ODONO")</f>
        <v>MELLISA NAVAL-ODONO</v>
      </c>
      <c r="C4301" s="235" t="str">
        <f>IFERROR(__xludf.DUMMYFUNCTION("""COMPUTED_VALUE"""),"LIBRARY BASIC ED")</f>
        <v>LIBRARY BASIC ED</v>
      </c>
      <c r="D4301" s="196" t="str">
        <f>IFERROR(__xludf.DUMMYFUNCTION("""COMPUTED_VALUE"""),"AI BOOKS (ICT) 2
BUSINESS 12")</f>
        <v>AI BOOKS (ICT) 2
BUSINESS 12</v>
      </c>
      <c r="E4301" s="196" t="str">
        <f>IFERROR(__xludf.DUMMYFUNCTION("""COMPUTED_VALUE"""),"FOR LIBRARY'S COPY")</f>
        <v>FOR LIBRARY'S COPY</v>
      </c>
    </row>
    <row r="4302">
      <c r="A4302" s="234">
        <f>IFERROR(__xludf.DUMMYFUNCTION("""COMPUTED_VALUE"""),104593.0)</f>
        <v>104593</v>
      </c>
      <c r="B4302" s="235" t="str">
        <f>IFERROR(__xludf.DUMMYFUNCTION("""COMPUTED_VALUE"""),"LYKA PERALTA")</f>
        <v>LYKA PERALTA</v>
      </c>
      <c r="C4302" s="235" t="str">
        <f>IFERROR(__xludf.DUMMYFUNCTION("""COMPUTED_VALUE"""),"AMD")</f>
        <v>AMD</v>
      </c>
      <c r="D4302" s="196" t="str">
        <f>IFERROR(__xludf.DUMMYFUNCTION("""COMPUTED_VALUE"""),"TAPE, PACKAGING TAPE (2"") 50PCS")</f>
        <v>TAPE, PACKAGING TAPE (2") 50PCS</v>
      </c>
      <c r="E4302" s="196" t="str">
        <f>IFERROR(__xludf.DUMMYFUNCTION("""COMPUTED_VALUE"""),"OSSUP-STOCK REPLENISHMENT")</f>
        <v>OSSUP-STOCK REPLENISHMENT</v>
      </c>
    </row>
    <row r="4303">
      <c r="A4303" s="234">
        <f>IFERROR(__xludf.DUMMYFUNCTION("""COMPUTED_VALUE"""),104594.0)</f>
        <v>104594</v>
      </c>
      <c r="B4303" s="235" t="str">
        <f>IFERROR(__xludf.DUMMYFUNCTION("""COMPUTED_VALUE"""),"LYKA PERALTA")</f>
        <v>LYKA PERALTA</v>
      </c>
      <c r="C4303" s="235" t="str">
        <f>IFERROR(__xludf.DUMMYFUNCTION("""COMPUTED_VALUE"""),"AMD")</f>
        <v>AMD</v>
      </c>
      <c r="D4303" s="196" t="str">
        <f>IFERROR(__xludf.DUMMYFUNCTION("""COMPUTED_VALUE"""),"CORRECTION TAPE, JOY 200PCS")</f>
        <v>CORRECTION TAPE, JOY 200PCS</v>
      </c>
      <c r="E4303" s="196" t="str">
        <f>IFERROR(__xludf.DUMMYFUNCTION("""COMPUTED_VALUE"""),"OSSUP-STOCK REPLENISHMENT")</f>
        <v>OSSUP-STOCK REPLENISHMENT</v>
      </c>
    </row>
    <row r="4304">
      <c r="A4304" s="234">
        <f>IFERROR(__xludf.DUMMYFUNCTION("""COMPUTED_VALUE"""),104595.0)</f>
        <v>104595</v>
      </c>
      <c r="B4304" s="235" t="str">
        <f>IFERROR(__xludf.DUMMYFUNCTION("""COMPUTED_VALUE"""),"LYKA PERALTA")</f>
        <v>LYKA PERALTA</v>
      </c>
      <c r="C4304" s="235" t="str">
        <f>IFERROR(__xludf.DUMMYFUNCTION("""COMPUTED_VALUE"""),"AMD")</f>
        <v>AMD</v>
      </c>
      <c r="D4304" s="196" t="str">
        <f>IFERROR(__xludf.DUMMYFUNCTION("""COMPUTED_VALUE"""),"PAPER, COPY-LASER SUB. 20 LONG WHITE 200 REAMS")</f>
        <v>PAPER, COPY-LASER SUB. 20 LONG WHITE 200 REAMS</v>
      </c>
      <c r="E4304" s="196" t="str">
        <f>IFERROR(__xludf.DUMMYFUNCTION("""COMPUTED_VALUE"""),"OSSUP-STOCK REPLENISHMENT")</f>
        <v>OSSUP-STOCK REPLENISHMENT</v>
      </c>
    </row>
    <row r="4305">
      <c r="A4305" s="234">
        <f>IFERROR(__xludf.DUMMYFUNCTION("""COMPUTED_VALUE"""),104596.0)</f>
        <v>104596</v>
      </c>
      <c r="B4305" s="235" t="str">
        <f>IFERROR(__xludf.DUMMYFUNCTION("""COMPUTED_VALUE"""),"ADOR MARINDA")</f>
        <v>ADOR MARINDA</v>
      </c>
      <c r="C4305" s="235" t="str">
        <f>IFERROR(__xludf.DUMMYFUNCTION("""COMPUTED_VALUE"""),"AV/MIS")</f>
        <v>AV/MIS</v>
      </c>
      <c r="D4305" s="196" t="str">
        <f>IFERROR(__xludf.DUMMYFUNCTION("""COMPUTED_VALUE"""),"SEAGATE ST2000NM0008 ENTERPRISE HDD 2TB 12")</f>
        <v>SEAGATE ST2000NM0008 ENTERPRISE HDD 2TB 12</v>
      </c>
      <c r="E4305" s="196" t="str">
        <f>IFERROR(__xludf.DUMMYFUNCTION("""COMPUTED_VALUE"""),"REPLACEMENT OF BROKEN  HDD")</f>
        <v>REPLACEMENT OF BROKEN  HDD</v>
      </c>
    </row>
    <row r="4306">
      <c r="A4306" s="234">
        <f>IFERROR(__xludf.DUMMYFUNCTION("""COMPUTED_VALUE"""),104597.0)</f>
        <v>104597</v>
      </c>
      <c r="B4306" s="235" t="str">
        <f>IFERROR(__xludf.DUMMYFUNCTION("""COMPUTED_VALUE"""),"ELMIE LAUDIATO")</f>
        <v>ELMIE LAUDIATO</v>
      </c>
      <c r="C4306" s="235" t="str">
        <f>IFERROR(__xludf.DUMMYFUNCTION("""COMPUTED_VALUE"""),"HRMD")</f>
        <v>HRMD</v>
      </c>
      <c r="D4306" s="196" t="str">
        <f>IFERROR(__xludf.DUMMYFUNCTION("""COMPUTED_VALUE"""),"SISC PIN 500")</f>
        <v>SISC PIN 500</v>
      </c>
      <c r="E4306" s="196" t="str">
        <f>IFERROR(__xludf.DUMMYFUNCTION("""COMPUTED_VALUE"""),"FOR AY 24-25 NEW KIT AND PART OF ee UNIFORM")</f>
        <v>FOR AY 24-25 NEW KIT AND PART OF ee UNIFORM</v>
      </c>
    </row>
    <row r="4307">
      <c r="A4307" s="234">
        <f>IFERROR(__xludf.DUMMYFUNCTION("""COMPUTED_VALUE"""),104598.0)</f>
        <v>104598</v>
      </c>
      <c r="B4307" s="235" t="str">
        <f>IFERROR(__xludf.DUMMYFUNCTION("""COMPUTED_VALUE"""),"OWIE PAR ")</f>
        <v>OWIE PAR </v>
      </c>
      <c r="C4307" s="235" t="str">
        <f>IFERROR(__xludf.DUMMYFUNCTION("""COMPUTED_VALUE"""),"ENGINEERING")</f>
        <v>ENGINEERING</v>
      </c>
      <c r="D4307" s="196" t="str">
        <f>IFERROR(__xludf.DUMMYFUNCTION("""COMPUTED_VALUE"""),"6.0 HP CEILING CASSETE INVERTER (1 UNIT)")</f>
        <v>6.0 HP CEILING CASSETE INVERTER (1 UNIT)</v>
      </c>
      <c r="E4307" s="196" t="str">
        <f>IFERROR(__xludf.DUMMYFUNCTION("""COMPUTED_VALUE"""),"REPLACEMENT OF OLD UNIT DANCE STUDIO (STOCK UP COMPRESSOR)")</f>
        <v>REPLACEMENT OF OLD UNIT DANCE STUDIO (STOCK UP COMPRESSOR)</v>
      </c>
    </row>
    <row r="4308">
      <c r="A4308" s="234">
        <f>IFERROR(__xludf.DUMMYFUNCTION("""COMPUTED_VALUE"""),104599.0)</f>
        <v>104599</v>
      </c>
      <c r="B4308" s="235" t="str">
        <f>IFERROR(__xludf.DUMMYFUNCTION("""COMPUTED_VALUE"""),"JC CAMPIT")</f>
        <v>JC CAMPIT</v>
      </c>
      <c r="C4308" s="235" t="str">
        <f>IFERROR(__xludf.DUMMYFUNCTION("""COMPUTED_VALUE"""),"ABU")</f>
        <v>ABU</v>
      </c>
      <c r="D4308" s="196" t="str">
        <f>IFERROR(__xludf.DUMMYFUNCTION("""COMPUTED_VALUE"""),"STANDARD CEILING FAN 18INCH 1")</f>
        <v>STANDARD CEILING FAN 18INCH 1</v>
      </c>
      <c r="E4308" s="196" t="str">
        <f>IFERROR(__xludf.DUMMYFUNCTION("""COMPUTED_VALUE"""),"ADDITIONAL CEILING FAN NEAR HIDDEN CHEF AREA")</f>
        <v>ADDITIONAL CEILING FAN NEAR HIDDEN CHEF AREA</v>
      </c>
    </row>
    <row r="4309">
      <c r="A4309" s="234">
        <f>IFERROR(__xludf.DUMMYFUNCTION("""COMPUTED_VALUE"""),104600.0)</f>
        <v>104600</v>
      </c>
      <c r="B4309" s="235" t="str">
        <f>IFERROR(__xludf.DUMMYFUNCTION("""COMPUTED_VALUE"""),"JENNY FONTE")</f>
        <v>JENNY FONTE</v>
      </c>
      <c r="C4309" s="235" t="str">
        <f>IFERROR(__xludf.DUMMYFUNCTION("""COMPUTED_VALUE"""),"LEARNING VILLAGE")</f>
        <v>LEARNING VILLAGE</v>
      </c>
      <c r="D4309" s="196" t="str">
        <f>IFERROR(__xludf.DUMMYFUNCTION("""COMPUTED_VALUE"""),"MOBILE STAGE")</f>
        <v>MOBILE STAGE</v>
      </c>
      <c r="E4309" s="196" t="str">
        <f>IFERROR(__xludf.DUMMYFUNCTION("""COMPUTED_VALUE"""),"FOR EVENTS AND ACTIVITIES OF LEARNING VILLAGE AND STAR")</f>
        <v>FOR EVENTS AND ACTIVITIES OF LEARNING VILLAGE AND STAR</v>
      </c>
    </row>
    <row r="4310">
      <c r="A4310" s="234">
        <f>IFERROR(__xludf.DUMMYFUNCTION("""COMPUTED_VALUE"""),104601.0)</f>
        <v>104601</v>
      </c>
      <c r="B4310" s="235" t="str">
        <f>IFERROR(__xludf.DUMMYFUNCTION("""COMPUTED_VALUE"""),"MS JAN GUTIERREZ")</f>
        <v>MS JAN GUTIERREZ</v>
      </c>
      <c r="C4310" s="235" t="str">
        <f>IFERROR(__xludf.DUMMYFUNCTION("""COMPUTED_VALUE"""),"SHS DAPARTMENT")</f>
        <v>SHS DAPARTMENT</v>
      </c>
      <c r="D4310" s="196" t="str">
        <f>IFERROR(__xludf.DUMMYFUNCTION("""COMPUTED_VALUE"""),"VALUES EXCELLENCE (WHITE LACE) 438
PERFECT ATTENDANCE (YELLOW LACE) 204
ACADEMIC EXCELLENCE (GREEN LACE) GOLD 301
ACADEMIC EXCELLENCE ( PURPLE LACE) SILVER 162
ACADEMIC EXCELLENCE (PINK LACE) BRONZE 157")</f>
        <v>VALUES EXCELLENCE (WHITE LACE) 438
PERFECT ATTENDANCE (YELLOW LACE) 204
ACADEMIC EXCELLENCE (GREEN LACE) GOLD 301
ACADEMIC EXCELLENCE ( PURPLE LACE) SILVER 162
ACADEMIC EXCELLENCE (PINK LACE) BRONZE 157</v>
      </c>
      <c r="E4310" s="196" t="str">
        <f>IFERROR(__xludf.DUMMYFUNCTION("""COMPUTED_VALUE"""),"GRADE 7-11 MEDALS FOR RECOGNITION DAY")</f>
        <v>GRADE 7-11 MEDALS FOR RECOGNITION DAY</v>
      </c>
    </row>
    <row r="4311">
      <c r="A4311" s="234">
        <f>IFERROR(__xludf.DUMMYFUNCTION("""COMPUTED_VALUE"""),104602.0)</f>
        <v>104602</v>
      </c>
      <c r="B4311" s="235" t="str">
        <f>IFERROR(__xludf.DUMMYFUNCTION("""COMPUTED_VALUE"""),"JOHN CARLO CAMPIT")</f>
        <v>JOHN CARLO CAMPIT</v>
      </c>
      <c r="C4311" s="235" t="str">
        <f>IFERROR(__xludf.DUMMYFUNCTION("""COMPUTED_VALUE"""),"ABU")</f>
        <v>ABU</v>
      </c>
      <c r="D4311" s="196" t="str">
        <f>IFERROR(__xludf.DUMMYFUNCTION("""COMPUTED_VALUE"""),"OVERHEAD DOOR CLOSER 2")</f>
        <v>OVERHEAD DOOR CLOSER 2</v>
      </c>
      <c r="E4311" s="196" t="str">
        <f>IFERROR(__xludf.DUMMYFUNCTION("""COMPUTED_VALUE"""),"REPLACEMENT OF OVERHEAD DOOR CLOSER IN COLLEGE CAFETERIA")</f>
        <v>REPLACEMENT OF OVERHEAD DOOR CLOSER IN COLLEGE CAFETERIA</v>
      </c>
    </row>
    <row r="4312">
      <c r="A4312" s="234">
        <f>IFERROR(__xludf.DUMMYFUNCTION("""COMPUTED_VALUE"""),104603.0)</f>
        <v>104603</v>
      </c>
      <c r="B4312" s="235" t="str">
        <f>IFERROR(__xludf.DUMMYFUNCTION("""COMPUTED_VALUE"""),"CHARLES DONOR")</f>
        <v>CHARLES DONOR</v>
      </c>
      <c r="C4312" s="235" t="str">
        <f>IFERROR(__xludf.DUMMYFUNCTION("""COMPUTED_VALUE"""),"AMD")</f>
        <v>AMD</v>
      </c>
      <c r="D4312" s="196" t="str">
        <f>IFERROR(__xludf.DUMMYFUNCTION("""COMPUTED_VALUE"""),"SPRAY GUN 208PCS")</f>
        <v>SPRAY GUN 208PCS</v>
      </c>
      <c r="E4312" s="196" t="str">
        <f>IFERROR(__xludf.DUMMYFUNCTION("""COMPUTED_VALUE"""),"HOUSEKEEPING STOCK REPLENISHMENT")</f>
        <v>HOUSEKEEPING STOCK REPLENISHMENT</v>
      </c>
    </row>
    <row r="4313">
      <c r="A4313" s="234">
        <f>IFERROR(__xludf.DUMMYFUNCTION("""COMPUTED_VALUE"""),104604.0)</f>
        <v>104604</v>
      </c>
      <c r="B4313" s="235" t="str">
        <f>IFERROR(__xludf.DUMMYFUNCTION("""COMPUTED_VALUE"""),"CHARLES DONOR")</f>
        <v>CHARLES DONOR</v>
      </c>
      <c r="C4313" s="235" t="str">
        <f>IFERROR(__xludf.DUMMYFUNCTION("""COMPUTED_VALUE"""),"AMD")</f>
        <v>AMD</v>
      </c>
      <c r="D4313" s="196" t="str">
        <f>IFERROR(__xludf.DUMMYFUNCTION("""COMPUTED_VALUE"""),"MOP HEAD 105")</f>
        <v>MOP HEAD 105</v>
      </c>
      <c r="E4313" s="196" t="str">
        <f>IFERROR(__xludf.DUMMYFUNCTION("""COMPUTED_VALUE"""),"HOUSEKEEPING STOCK REPLENISHMENT")</f>
        <v>HOUSEKEEPING STOCK REPLENISHMENT</v>
      </c>
    </row>
    <row r="4314">
      <c r="A4314" s="234">
        <f>IFERROR(__xludf.DUMMYFUNCTION("""COMPUTED_VALUE"""),104605.0)</f>
        <v>104605</v>
      </c>
      <c r="B4314" s="235" t="str">
        <f>IFERROR(__xludf.DUMMYFUNCTION("""COMPUTED_VALUE"""),"CHARLES DONOR")</f>
        <v>CHARLES DONOR</v>
      </c>
      <c r="C4314" s="235" t="str">
        <f>IFERROR(__xludf.DUMMYFUNCTION("""COMPUTED_VALUE"""),"AMD")</f>
        <v>AMD</v>
      </c>
      <c r="D4314" s="196" t="str">
        <f>IFERROR(__xludf.DUMMYFUNCTION("""COMPUTED_VALUE"""),"SOFT BROOM 105")</f>
        <v>SOFT BROOM 105</v>
      </c>
      <c r="E4314" s="196" t="str">
        <f>IFERROR(__xludf.DUMMYFUNCTION("""COMPUTED_VALUE"""),"HOUSEKEEPING STOCK REPLENISHMENT")</f>
        <v>HOUSEKEEPING STOCK REPLENISHMENT</v>
      </c>
    </row>
    <row r="4315">
      <c r="A4315" s="234">
        <f>IFERROR(__xludf.DUMMYFUNCTION("""COMPUTED_VALUE"""),104606.0)</f>
        <v>104606</v>
      </c>
      <c r="B4315" s="235" t="str">
        <f>IFERROR(__xludf.DUMMYFUNCTION("""COMPUTED_VALUE"""),"CHARLES DONOR")</f>
        <v>CHARLES DONOR</v>
      </c>
      <c r="C4315" s="235" t="str">
        <f>IFERROR(__xludf.DUMMYFUNCTION("""COMPUTED_VALUE"""),"AMD")</f>
        <v>AMD</v>
      </c>
      <c r="D4315" s="196" t="str">
        <f>IFERROR(__xludf.DUMMYFUNCTION("""COMPUTED_VALUE"""),"CHLORINE, 1KG PER PACK 220")</f>
        <v>CHLORINE, 1KG PER PACK 220</v>
      </c>
      <c r="E4315" s="196" t="str">
        <f>IFERROR(__xludf.DUMMYFUNCTION("""COMPUTED_VALUE"""),"HOUSEKEEPING STOCK REPLENISHMENT")</f>
        <v>HOUSEKEEPING STOCK REPLENISHMENT</v>
      </c>
    </row>
    <row r="4316">
      <c r="A4316" s="234">
        <f>IFERROR(__xludf.DUMMYFUNCTION("""COMPUTED_VALUE"""),104607.0)</f>
        <v>104607</v>
      </c>
      <c r="B4316" s="235" t="str">
        <f>IFERROR(__xludf.DUMMYFUNCTION("""COMPUTED_VALUE"""),"LYKA PERALTA")</f>
        <v>LYKA PERALTA</v>
      </c>
      <c r="C4316" s="235" t="str">
        <f>IFERROR(__xludf.DUMMYFUNCTION("""COMPUTED_VALUE"""),"AMD")</f>
        <v>AMD</v>
      </c>
      <c r="D4316" s="196" t="str">
        <f>IFERROR(__xludf.DUMMYFUNCTION("""COMPUTED_VALUE"""),"RIBBON, CARTRIDGE EPSON LX310 SO15632 20PCS")</f>
        <v>RIBBON, CARTRIDGE EPSON LX310 SO15632 20PCS</v>
      </c>
      <c r="E4316" s="196" t="str">
        <f>IFERROR(__xludf.DUMMYFUNCTION("""COMPUTED_VALUE"""),"OSSUP-STOCK REPLENISHMENT")</f>
        <v>OSSUP-STOCK REPLENISHMENT</v>
      </c>
    </row>
    <row r="4317">
      <c r="A4317" s="234">
        <f>IFERROR(__xludf.DUMMYFUNCTION("""COMPUTED_VALUE"""),104608.0)</f>
        <v>104608</v>
      </c>
      <c r="B4317" s="235" t="str">
        <f>IFERROR(__xludf.DUMMYFUNCTION("""COMPUTED_VALUE"""),"JOHN BENEDICT CARANAY")</f>
        <v>JOHN BENEDICT CARANAY</v>
      </c>
      <c r="C4317" s="235" t="str">
        <f>IFERROR(__xludf.DUMMYFUNCTION("""COMPUTED_VALUE"""),"PRESIDENT'S OFFICE")</f>
        <v>PRESIDENT'S OFFICE</v>
      </c>
      <c r="D4317" s="196" t="str">
        <f>IFERROR(__xludf.DUMMYFUNCTION("""COMPUTED_VALUE"""),"WOOD  FRAME FOR PAINTINGS 5
P1- W=27"" L=19""
P2- W=27"" L=28""
P3- W=27"" L=19""
P4- W=19"" L=27""
P5- W=27"" L=29""")</f>
        <v>WOOD  FRAME FOR PAINTINGS 5
P1- W=27" L=19"
P2- W=27" L=28"
P3- W=27" L=19"
P4- W=19" L=27"
P5- W=27" L=29"</v>
      </c>
      <c r="E4317" s="196" t="str">
        <f>IFERROR(__xludf.DUMMYFUNCTION("""COMPUTED_VALUE"""),"FRAMING OF PAINTINGS")</f>
        <v>FRAMING OF PAINTINGS</v>
      </c>
    </row>
    <row r="4318">
      <c r="A4318" s="234">
        <f>IFERROR(__xludf.DUMMYFUNCTION("""COMPUTED_VALUE"""),104609.0)</f>
        <v>104609</v>
      </c>
      <c r="B4318" s="235" t="str">
        <f>IFERROR(__xludf.DUMMYFUNCTION("""COMPUTED_VALUE"""),"ALFA DE LEON")</f>
        <v>ALFA DE LEON</v>
      </c>
      <c r="C4318" s="235" t="str">
        <f>IFERROR(__xludf.DUMMYFUNCTION("""COMPUTED_VALUE"""),"LANDSCAPING")</f>
        <v>LANDSCAPING</v>
      </c>
      <c r="D4318" s="196" t="str">
        <f>IFERROR(__xludf.DUMMYFUNCTION("""COMPUTED_VALUE"""),"GARDEN HOSE 100 METERS ")</f>
        <v>GARDEN HOSE 100 METERS </v>
      </c>
      <c r="E4318" s="196" t="str">
        <f>IFERROR(__xludf.DUMMYFUNCTION("""COMPUTED_VALUE"""),"TO BE USED FOR TROPICAL AND LUX GARDEN TRICYCLE SIDE")</f>
        <v>TO BE USED FOR TROPICAL AND LUX GARDEN TRICYCLE SIDE</v>
      </c>
    </row>
    <row r="4319">
      <c r="A4319" s="234">
        <f>IFERROR(__xludf.DUMMYFUNCTION("""COMPUTED_VALUE"""),104610.0)</f>
        <v>104610</v>
      </c>
      <c r="B4319" s="235" t="str">
        <f>IFERROR(__xludf.DUMMYFUNCTION("""COMPUTED_VALUE"""),"ALFA DE LEON")</f>
        <v>ALFA DE LEON</v>
      </c>
      <c r="C4319" s="235" t="str">
        <f>IFERROR(__xludf.DUMMYFUNCTION("""COMPUTED_VALUE"""),"LANDSCAPING")</f>
        <v>LANDSCAPING</v>
      </c>
      <c r="D4319" s="196" t="str">
        <f>IFERROR(__xludf.DUMMYFUNCTION("""COMPUTED_VALUE"""),"UREA 2 SACKS")</f>
        <v>UREA 2 SACKS</v>
      </c>
      <c r="E4319" s="196" t="str">
        <f>IFERROR(__xludf.DUMMYFUNCTION("""COMPUTED_VALUE"""),"PLANTS FERTILIZERS")</f>
        <v>PLANTS FERTILIZERS</v>
      </c>
    </row>
    <row r="4320">
      <c r="A4320" s="234">
        <f>IFERROR(__xludf.DUMMYFUNCTION("""COMPUTED_VALUE"""),104611.0)</f>
        <v>104611</v>
      </c>
      <c r="B4320" s="235" t="str">
        <f>IFERROR(__xludf.DUMMYFUNCTION("""COMPUTED_VALUE"""),"OWIE PAR")</f>
        <v>OWIE PAR</v>
      </c>
      <c r="C4320" s="235" t="str">
        <f>IFERROR(__xludf.DUMMYFUNCTION("""COMPUTED_VALUE"""),"ENGINEERING")</f>
        <v>ENGINEERING</v>
      </c>
      <c r="D4320" s="196" t="str">
        <f>IFERROR(__xludf.DUMMYFUNCTION("""COMPUTED_VALUE"""),"T-5 28W DAYLIGHT 10PCS")</f>
        <v>T-5 28W DAYLIGHT 10PCS</v>
      </c>
      <c r="E4320" s="196" t="str">
        <f>IFERROR(__xludf.DUMMYFUNCTION("""COMPUTED_VALUE"""),"FOR LUX MMA")</f>
        <v>FOR LUX MMA</v>
      </c>
    </row>
    <row r="4321">
      <c r="A4321" s="234">
        <f>IFERROR(__xludf.DUMMYFUNCTION("""COMPUTED_VALUE"""),104612.0)</f>
        <v>104612</v>
      </c>
      <c r="B4321" s="235" t="str">
        <f>IFERROR(__xludf.DUMMYFUNCTION("""COMPUTED_VALUE"""),"SHEREE ESPINOSA")</f>
        <v>SHEREE ESPINOSA</v>
      </c>
      <c r="C4321" s="235" t="str">
        <f>IFERROR(__xludf.DUMMYFUNCTION("""COMPUTED_VALUE"""),"ADMIN")</f>
        <v>ADMIN</v>
      </c>
      <c r="D4321" s="196" t="str">
        <f>IFERROR(__xludf.DUMMYFUNCTION("""COMPUTED_VALUE"""),"CHAIRS FOR NEW CLASSROOMS 226
ROOM 501-33
ROOM 502- 48
ROOM 503 - 48
ROOM 504- 42
ROOM 505- 40
ROOM 506- 15 (SPED ROOM)")</f>
        <v>CHAIRS FOR NEW CLASSROOMS 226
ROOM 501-33
ROOM 502- 48
ROOM 503 - 48
ROOM 504- 42
ROOM 505- 40
ROOM 506- 15 (SPED ROOM)</v>
      </c>
      <c r="E4321" s="196" t="str">
        <f>IFERROR(__xludf.DUMMYFUNCTION("""COMPUTED_VALUE"""),"FOR 5F COLLEGE NEW CLASSROOM (8CLASSROOMS)")</f>
        <v>FOR 5F COLLEGE NEW CLASSROOM (8CLASSROOMS)</v>
      </c>
    </row>
    <row r="4322">
      <c r="A4322" s="234">
        <f>IFERROR(__xludf.DUMMYFUNCTION("""COMPUTED_VALUE"""),104613.0)</f>
        <v>104613</v>
      </c>
      <c r="B4322" s="235" t="str">
        <f>IFERROR(__xludf.DUMMYFUNCTION("""COMPUTED_VALUE"""),"ALFA DE LEON")</f>
        <v>ALFA DE LEON</v>
      </c>
      <c r="C4322" s="235" t="str">
        <f>IFERROR(__xludf.DUMMYFUNCTION("""COMPUTED_VALUE"""),"ADMIN - MUNICH")</f>
        <v>ADMIN - MUNICH</v>
      </c>
      <c r="D4322" s="196" t="str">
        <f>IFERROR(__xludf.DUMMYFUNCTION("""COMPUTED_VALUE"""),"3M NOMAD MATTING (GREEN) 1 ROLL
SIZE: 1.2M x 12 M x7-10M")</f>
        <v>3M NOMAD MATTING (GREEN) 1 ROLL
SIZE: 1.2M x 12 M x7-10M</v>
      </c>
      <c r="E4322" s="196" t="str">
        <f>IFERROR(__xludf.DUMMYFUNCTION("""COMPUTED_VALUE"""),"MATTING FOR CRS")</f>
        <v>MATTING FOR CRS</v>
      </c>
    </row>
    <row r="4323">
      <c r="A4323" s="234">
        <f>IFERROR(__xludf.DUMMYFUNCTION("""COMPUTED_VALUE"""),104614.0)</f>
        <v>104614</v>
      </c>
      <c r="B4323" s="235" t="str">
        <f>IFERROR(__xludf.DUMMYFUNCTION("""COMPUTED_VALUE"""),"LORRAINE ALMAZAN")</f>
        <v>LORRAINE ALMAZAN</v>
      </c>
      <c r="C4323" s="235" t="str">
        <f>IFERROR(__xludf.DUMMYFUNCTION("""COMPUTED_VALUE"""),"AV/MIS")</f>
        <v>AV/MIS</v>
      </c>
      <c r="D4323" s="196" t="str">
        <f>IFERROR(__xludf.DUMMYFUNCTION("""COMPUTED_VALUE"""),"HDP6600 DUAL SIDED ID RETRANSFER PRINTER 1")</f>
        <v>HDP6600 DUAL SIDED ID RETRANSFER PRINTER 1</v>
      </c>
      <c r="E4323" s="196" t="str">
        <f>IFERROR(__xludf.DUMMYFUNCTION("""COMPUTED_VALUE"""),"ADDITIONAL PRINTER FOR PRINTING THE IDS OF STUDENTS, EMPLOYEES AND ALUMNI")</f>
        <v>ADDITIONAL PRINTER FOR PRINTING THE IDS OF STUDENTS, EMPLOYEES AND ALUMNI</v>
      </c>
    </row>
    <row r="4324">
      <c r="A4324" s="234">
        <f>IFERROR(__xludf.DUMMYFUNCTION("""COMPUTED_VALUE"""),104615.0)</f>
        <v>104615</v>
      </c>
      <c r="B4324" s="235" t="str">
        <f>IFERROR(__xludf.DUMMYFUNCTION("""COMPUTED_VALUE"""),"PAUL ARANA")</f>
        <v>PAUL ARANA</v>
      </c>
      <c r="C4324" s="235" t="str">
        <f>IFERROR(__xludf.DUMMYFUNCTION("""COMPUTED_VALUE"""),"AV/MIS")</f>
        <v>AV/MIS</v>
      </c>
      <c r="D4324" s="196" t="str">
        <f>IFERROR(__xludf.DUMMYFUNCTION("""COMPUTED_VALUE"""),"EPSON EB-X51 XGA 3LCD PROJECTOR 25PCS")</f>
        <v>EPSON EB-X51 XGA 3LCD PROJECTOR 25PCS</v>
      </c>
      <c r="E4324" s="196" t="str">
        <f>IFERROR(__xludf.DUMMYFUNCTION("""COMPUTED_VALUE"""),"ADDITIONAL AND REPLACEMENT OF ALL OLD PROJECTORS")</f>
        <v>ADDITIONAL AND REPLACEMENT OF ALL OLD PROJECTORS</v>
      </c>
    </row>
    <row r="4325">
      <c r="A4325" s="234">
        <f>IFERROR(__xludf.DUMMYFUNCTION("""COMPUTED_VALUE"""),104616.0)</f>
        <v>104616</v>
      </c>
      <c r="B4325" s="235" t="str">
        <f>IFERROR(__xludf.DUMMYFUNCTION("""COMPUTED_VALUE"""),"CHRISTIAN ANDRES")</f>
        <v>CHRISTIAN ANDRES</v>
      </c>
      <c r="C4325" s="235" t="str">
        <f>IFERROR(__xludf.DUMMYFUNCTION("""COMPUTED_VALUE"""),"PR &amp; MARKETING")</f>
        <v>PR &amp; MARKETING</v>
      </c>
      <c r="D4325" s="196" t="str">
        <f>IFERROR(__xludf.DUMMYFUNCTION("""COMPUTED_VALUE"""),"SPLASH ISLAND TARP:
1. 84X 240 INCH
2. EYELET ALL-OVER
3. BLACKOUT
4. WITH SEAMING")</f>
        <v>SPLASH ISLAND TARP:
1. 84X 240 INCH
2. EYELET ALL-OVER
3. BLACKOUT
4. WITH SEAMING</v>
      </c>
      <c r="E4325" s="196" t="str">
        <f>IFERROR(__xludf.DUMMYFUNCTION("""COMPUTED_VALUE"""),"PROMOTION/MARKETING")</f>
        <v>PROMOTION/MARKETING</v>
      </c>
    </row>
    <row r="4326">
      <c r="A4326" s="234">
        <f>IFERROR(__xludf.DUMMYFUNCTION("""COMPUTED_VALUE"""),104617.0)</f>
        <v>104617</v>
      </c>
      <c r="B4326" s="235" t="str">
        <f>IFERROR(__xludf.DUMMYFUNCTION("""COMPUTED_VALUE"""),"SHEREE ESPINOSA")</f>
        <v>SHEREE ESPINOSA</v>
      </c>
      <c r="C4326" s="235" t="str">
        <f>IFERROR(__xludf.DUMMYFUNCTION("""COMPUTED_VALUE"""),"ADMIN")</f>
        <v>ADMIN</v>
      </c>
      <c r="D4326" s="196" t="str">
        <f>IFERROR(__xludf.DUMMYFUNCTION("""COMPUTED_VALUE"""),"ANTI SLIP TAPE 250 METERS")</f>
        <v>ANTI SLIP TAPE 250 METERS</v>
      </c>
      <c r="E4326" s="196" t="str">
        <f>IFERROR(__xludf.DUMMYFUNCTION("""COMPUTED_VALUE"""),"REPLACEMENT OF THE EXISTING ANTI-SLIP TAPE ON THE STAIRS DUE TO DETERIORATION- COLLEGE BUILDING")</f>
        <v>REPLACEMENT OF THE EXISTING ANTI-SLIP TAPE ON THE STAIRS DUE TO DETERIORATION- COLLEGE BUILDING</v>
      </c>
    </row>
    <row r="4327">
      <c r="A4327" s="234">
        <f>IFERROR(__xludf.DUMMYFUNCTION("""COMPUTED_VALUE"""),104618.0)</f>
        <v>104618</v>
      </c>
      <c r="B4327" s="235" t="str">
        <f>IFERROR(__xludf.DUMMYFUNCTION("""COMPUTED_VALUE"""),"ALFA DE LEON")</f>
        <v>ALFA DE LEON</v>
      </c>
      <c r="C4327" s="235" t="str">
        <f>IFERROR(__xludf.DUMMYFUNCTION("""COMPUTED_VALUE"""),"ADMIN - MUNICH")</f>
        <v>ADMIN - MUNICH</v>
      </c>
      <c r="D4327" s="196" t="str">
        <f>IFERROR(__xludf.DUMMYFUNCTION("""COMPUTED_VALUE"""),"IWATA BLACK 2")</f>
        <v>IWATA BLACK 2</v>
      </c>
      <c r="E4327" s="196" t="str">
        <f>IFERROR(__xludf.DUMMYFUNCTION("""COMPUTED_VALUE"""),"REPLACEMENT OF BROKEN IWATA")</f>
        <v>REPLACEMENT OF BROKEN IWATA</v>
      </c>
    </row>
    <row r="4328">
      <c r="A4328" s="234">
        <f>IFERROR(__xludf.DUMMYFUNCTION("""COMPUTED_VALUE"""),104619.0)</f>
        <v>104619</v>
      </c>
      <c r="B4328" s="235" t="str">
        <f>IFERROR(__xludf.DUMMYFUNCTION("""COMPUTED_VALUE"""),"CHARLES DONOR")</f>
        <v>CHARLES DONOR</v>
      </c>
      <c r="C4328" s="235" t="str">
        <f>IFERROR(__xludf.DUMMYFUNCTION("""COMPUTED_VALUE"""),"AMD")</f>
        <v>AMD</v>
      </c>
      <c r="D4328" s="196" t="str">
        <f>IFERROR(__xludf.DUMMYFUNCTION("""COMPUTED_VALUE"""),"MR. MUSCLE SUPER TOILET BOWL CLEANER, 500ML 113PCS")</f>
        <v>MR. MUSCLE SUPER TOILET BOWL CLEANER, 500ML 113PCS</v>
      </c>
      <c r="E4328" s="196" t="str">
        <f>IFERROR(__xludf.DUMMYFUNCTION("""COMPUTED_VALUE"""),"HOUSEKEEPING STOCK REPLENISHMENT")</f>
        <v>HOUSEKEEPING STOCK REPLENISHMENT</v>
      </c>
    </row>
    <row r="4329">
      <c r="A4329" s="234">
        <f>IFERROR(__xludf.DUMMYFUNCTION("""COMPUTED_VALUE"""),104620.0)</f>
        <v>104620</v>
      </c>
      <c r="B4329" s="235" t="str">
        <f>IFERROR(__xludf.DUMMYFUNCTION("""COMPUTED_VALUE"""),"LYKA PERALTA")</f>
        <v>LYKA PERALTA</v>
      </c>
      <c r="C4329" s="235" t="str">
        <f>IFERROR(__xludf.DUMMYFUNCTION("""COMPUTED_VALUE"""),"AMD")</f>
        <v>AMD</v>
      </c>
      <c r="D4329" s="196" t="str">
        <f>IFERROR(__xludf.DUMMYFUNCTION("""COMPUTED_VALUE"""),"BATTERY, ENERGIZER SIZE AA 700PCS")</f>
        <v>BATTERY, ENERGIZER SIZE AA 700PCS</v>
      </c>
      <c r="E4329" s="196" t="str">
        <f>IFERROR(__xludf.DUMMYFUNCTION("""COMPUTED_VALUE"""),"OSSUP- STOCK REPLENISHMENT")</f>
        <v>OSSUP- STOCK REPLENISHMENT</v>
      </c>
    </row>
    <row r="4330">
      <c r="A4330" s="234">
        <f>IFERROR(__xludf.DUMMYFUNCTION("""COMPUTED_VALUE"""),104621.0)</f>
        <v>104621</v>
      </c>
      <c r="B4330" s="235" t="str">
        <f>IFERROR(__xludf.DUMMYFUNCTION("""COMPUTED_VALUE"""),"LYKA PERALTA")</f>
        <v>LYKA PERALTA</v>
      </c>
      <c r="C4330" s="235" t="str">
        <f>IFERROR(__xludf.DUMMYFUNCTION("""COMPUTED_VALUE"""),"AMD")</f>
        <v>AMD</v>
      </c>
      <c r="D4330" s="196" t="str">
        <f>IFERROR(__xludf.DUMMYFUNCTION("""COMPUTED_VALUE"""),"PAPER, COPY-FORTUNE SUB. 24 SHORT BLUE 1 REAM
PAPER, COLORED FORTUNE ORANGE 500PCS")</f>
        <v>PAPER, COPY-FORTUNE SUB. 24 SHORT BLUE 1 REAM
PAPER, COLORED FORTUNE ORANGE 500PCS</v>
      </c>
      <c r="E4330" s="196" t="str">
        <f>IFERROR(__xludf.DUMMYFUNCTION("""COMPUTED_VALUE"""),"OSSUP- STOCK REPLENISHMENT")</f>
        <v>OSSUP- STOCK REPLENISHMENT</v>
      </c>
    </row>
    <row r="4331">
      <c r="A4331" s="234">
        <f>IFERROR(__xludf.DUMMYFUNCTION("""COMPUTED_VALUE"""),104622.0)</f>
        <v>104622</v>
      </c>
      <c r="B4331" s="235" t="str">
        <f>IFERROR(__xludf.DUMMYFUNCTION("""COMPUTED_VALUE"""),"LYKA PERALTA")</f>
        <v>LYKA PERALTA</v>
      </c>
      <c r="C4331" s="235" t="str">
        <f>IFERROR(__xludf.DUMMYFUNCTION("""COMPUTED_VALUE"""),"AMD")</f>
        <v>AMD</v>
      </c>
      <c r="D4331" s="196" t="str">
        <f>IFERROR(__xludf.DUMMYFUNCTION("""COMPUTED_VALUE"""),"PAPER, COPY-FORTUNE SUB. 24 SHORT GREEN 2 REAMS")</f>
        <v>PAPER, COPY-FORTUNE SUB. 24 SHORT GREEN 2 REAMS</v>
      </c>
      <c r="E4331" s="196" t="str">
        <f>IFERROR(__xludf.DUMMYFUNCTION("""COMPUTED_VALUE"""),"OSSUP- STOCK REPLENISHMENT")</f>
        <v>OSSUP- STOCK REPLENISHMENT</v>
      </c>
    </row>
    <row r="4332">
      <c r="A4332" s="234">
        <f>IFERROR(__xludf.DUMMYFUNCTION("""COMPUTED_VALUE"""),104623.0)</f>
        <v>104623</v>
      </c>
      <c r="B4332" s="235" t="str">
        <f>IFERROR(__xludf.DUMMYFUNCTION("""COMPUTED_VALUE"""),"LYKA PERALTA")</f>
        <v>LYKA PERALTA</v>
      </c>
      <c r="C4332" s="235" t="str">
        <f>IFERROR(__xludf.DUMMYFUNCTION("""COMPUTED_VALUE"""),"AMD")</f>
        <v>AMD</v>
      </c>
      <c r="D4332" s="196" t="str">
        <f>IFERROR(__xludf.DUMMYFUNCTION("""COMPUTED_VALUE"""),"TONER, CARTRIDGE CF212A YELLOW 30PCS
TONER, CARTRIDGE CF211A CYAN 25PCS
TONER, CARTRIDGE CF213A MAGENTA 25PCS")</f>
        <v>TONER, CARTRIDGE CF212A YELLOW 30PCS
TONER, CARTRIDGE CF211A CYAN 25PCS
TONER, CARTRIDGE CF213A MAGENTA 25PCS</v>
      </c>
      <c r="E4332" s="196" t="str">
        <f>IFERROR(__xludf.DUMMYFUNCTION("""COMPUTED_VALUE"""),"OSSUP- STOCK REPLENISHMENT")</f>
        <v>OSSUP- STOCK REPLENISHMENT</v>
      </c>
    </row>
    <row r="4333">
      <c r="A4333" s="234">
        <f>IFERROR(__xludf.DUMMYFUNCTION("""COMPUTED_VALUE"""),104624.0)</f>
        <v>104624</v>
      </c>
      <c r="B4333" s="235" t="str">
        <f>IFERROR(__xludf.DUMMYFUNCTION("""COMPUTED_VALUE"""),"LYKA PERALTA")</f>
        <v>LYKA PERALTA</v>
      </c>
      <c r="C4333" s="235" t="str">
        <f>IFERROR(__xludf.DUMMYFUNCTION("""COMPUTED_VALUE"""),"AMD")</f>
        <v>AMD</v>
      </c>
      <c r="D4333" s="196" t="str">
        <f>IFERROR(__xludf.DUMMYFUNCTION("""COMPUTED_VALUE"""),"BALLPEN, PANDA BLUE 255PCS
MARKER, WHITEBOARD- PILOT BLACK 255
GLUE, MIGHTY BOND 40PCS")</f>
        <v>BALLPEN, PANDA BLUE 255PCS
MARKER, WHITEBOARD- PILOT BLACK 255
GLUE, MIGHTY BOND 40PCS</v>
      </c>
      <c r="E4333" s="196" t="str">
        <f>IFERROR(__xludf.DUMMYFUNCTION("""COMPUTED_VALUE"""),"OSSUP- STOCK REPLENISHMENT")</f>
        <v>OSSUP- STOCK REPLENISHMENT</v>
      </c>
    </row>
    <row r="4334">
      <c r="A4334" s="234">
        <f>IFERROR(__xludf.DUMMYFUNCTION("""COMPUTED_VALUE"""),104625.0)</f>
        <v>104625</v>
      </c>
      <c r="B4334" s="235" t="str">
        <f>IFERROR(__xludf.DUMMYFUNCTION("""COMPUTED_VALUE"""),"ALFA DE LEON")</f>
        <v>ALFA DE LEON</v>
      </c>
      <c r="C4334" s="235" t="str">
        <f>IFERROR(__xludf.DUMMYFUNCTION("""COMPUTED_VALUE"""),"MUNICH")</f>
        <v>MUNICH</v>
      </c>
      <c r="D4334" s="196" t="str">
        <f>IFERROR(__xludf.DUMMYFUNCTION("""COMPUTED_VALUE"""),"STIKWEL - 2PCS
BUTTERFLY ULTRA THIN - 1 PC")</f>
        <v>STIKWEL - 2PCS
BUTTERFLY ULTRA THIN - 1 PC</v>
      </c>
      <c r="E4334" s="196" t="str">
        <f>IFERROR(__xludf.DUMMYFUNCTION("""COMPUTED_VALUE"""),"REPAIRS OF WW CR FEMALE TILES")</f>
        <v>REPAIRS OF WW CR FEMALE TILES</v>
      </c>
    </row>
    <row r="4335">
      <c r="A4335" s="234">
        <f>IFERROR(__xludf.DUMMYFUNCTION("""COMPUTED_VALUE"""),104626.0)</f>
        <v>104626</v>
      </c>
      <c r="B4335" s="235" t="str">
        <f>IFERROR(__xludf.DUMMYFUNCTION("""COMPUTED_VALUE"""),"ALFA DE LEON")</f>
        <v>ALFA DE LEON</v>
      </c>
      <c r="C4335" s="235" t="str">
        <f>IFERROR(__xludf.DUMMYFUNCTION("""COMPUTED_VALUE"""),"ADMIN - MUNICH")</f>
        <v>ADMIN - MUNICH</v>
      </c>
      <c r="D4335" s="196" t="str">
        <f>IFERROR(__xludf.DUMMYFUNCTION("""COMPUTED_VALUE"""),"STAGE- 3 PANELS W/ RISER ON STEP  1 SET
SIZE: 4x4 PER PANEL W/ CARPET ")</f>
        <v>STAGE- 3 PANELS W/ RISER ON STEP  1 SET
SIZE: 4x4 PER PANEL W/ CARPET </v>
      </c>
      <c r="E4335" s="196" t="str">
        <f>IFERROR(__xludf.DUMMYFUNCTION("""COMPUTED_VALUE"""),"EVENTS IN CARES CAFE, OUTDOOR PLAYGROUND AND INDOOR")</f>
        <v>EVENTS IN CARES CAFE, OUTDOOR PLAYGROUND AND INDOOR</v>
      </c>
    </row>
    <row r="4336">
      <c r="A4336" s="234">
        <f>IFERROR(__xludf.DUMMYFUNCTION("""COMPUTED_VALUE"""),104627.0)</f>
        <v>104627</v>
      </c>
      <c r="B4336" s="235" t="str">
        <f>IFERROR(__xludf.DUMMYFUNCTION("""COMPUTED_VALUE"""),"RORY MANSBRIDGE")</f>
        <v>RORY MANSBRIDGE</v>
      </c>
      <c r="C4336" s="235" t="str">
        <f>IFERROR(__xludf.DUMMYFUNCTION("""COMPUTED_VALUE"""),"ATHLETICS")</f>
        <v>ATHLETICS</v>
      </c>
      <c r="D4336" s="196" t="str">
        <f>IFERROR(__xludf.DUMMYFUNCTION("""COMPUTED_VALUE"""),"TRAINING SHIRTS- 10 YOUTH SMALL 10
FOOTBALL/ VOLLEYBALL 10 YOUTH MEDIUM 10
10 YOUTH LARGE 10
10 YOUTH EXTRA LARGE 10
20 ADULT XS 20")</f>
        <v>TRAINING SHIRTS- 10 YOUTH SMALL 10
FOOTBALL/ VOLLEYBALL 10 YOUTH MEDIUM 10
10 YOUTH LARGE 10
10 YOUTH EXTRA LARGE 10
20 ADULT XS 20</v>
      </c>
      <c r="E4336" s="196"/>
    </row>
    <row r="4337">
      <c r="A4337" s="234">
        <f>IFERROR(__xludf.DUMMYFUNCTION("""COMPUTED_VALUE"""),104628.0)</f>
        <v>104628</v>
      </c>
      <c r="B4337" s="235"/>
      <c r="C4337" s="235"/>
      <c r="D4337" s="196"/>
      <c r="E4337" s="196"/>
    </row>
    <row r="4338">
      <c r="A4338" s="234">
        <f>IFERROR(__xludf.DUMMYFUNCTION("""COMPUTED_VALUE"""),104629.0)</f>
        <v>104629</v>
      </c>
      <c r="B4338" s="235" t="str">
        <f>IFERROR(__xludf.DUMMYFUNCTION("""COMPUTED_VALUE"""),"LYKA PERALTA")</f>
        <v>LYKA PERALTA</v>
      </c>
      <c r="C4338" s="235" t="str">
        <f>IFERROR(__xludf.DUMMYFUNCTION("""COMPUTED_VALUE"""),"AMD")</f>
        <v>AMD</v>
      </c>
      <c r="D4338" s="196" t="str">
        <f>IFERROR(__xludf.DUMMYFUNCTION("""COMPUTED_VALUE"""),"TONER, CARTRIDGE INKONVERT LBP6000 85A 100PCS")</f>
        <v>TONER, CARTRIDGE INKONVERT LBP6000 85A 100PCS</v>
      </c>
      <c r="E4338" s="196" t="str">
        <f>IFERROR(__xludf.DUMMYFUNCTION("""COMPUTED_VALUE"""),"OSSUP- STOCK REPLENISHMENT")</f>
        <v>OSSUP- STOCK REPLENISHMENT</v>
      </c>
    </row>
    <row r="4339">
      <c r="A4339" s="234">
        <f>IFERROR(__xludf.DUMMYFUNCTION("""COMPUTED_VALUE"""),104630.0)</f>
        <v>104630</v>
      </c>
      <c r="B4339" s="235" t="str">
        <f>IFERROR(__xludf.DUMMYFUNCTION("""COMPUTED_VALUE"""),"LYKA PERALTA")</f>
        <v>LYKA PERALTA</v>
      </c>
      <c r="C4339" s="235" t="str">
        <f>IFERROR(__xludf.DUMMYFUNCTION("""COMPUTED_VALUE"""),"AMD")</f>
        <v>AMD</v>
      </c>
      <c r="D4339" s="196" t="str">
        <f>IFERROR(__xludf.DUMMYFUNCTION("""COMPUTED_VALUE"""),"ENVELOPE, SISC LETTER COLORED W/O WINDOW 3000PCS")</f>
        <v>ENVELOPE, SISC LETTER COLORED W/O WINDOW 3000PCS</v>
      </c>
      <c r="E4339" s="196" t="str">
        <f>IFERROR(__xludf.DUMMYFUNCTION("""COMPUTED_VALUE"""),"OSSUP- STOCK REPLENISHMENT")</f>
        <v>OSSUP- STOCK REPLENISHMENT</v>
      </c>
    </row>
    <row r="4340">
      <c r="A4340" s="234">
        <f>IFERROR(__xludf.DUMMYFUNCTION("""COMPUTED_VALUE"""),104631.0)</f>
        <v>104631</v>
      </c>
      <c r="B4340" s="235" t="str">
        <f>IFERROR(__xludf.DUMMYFUNCTION("""COMPUTED_VALUE"""),"JESUIT CHRISTIAN GALICIA")</f>
        <v>JESUIT CHRISTIAN GALICIA</v>
      </c>
      <c r="C4340" s="235" t="str">
        <f>IFERROR(__xludf.DUMMYFUNCTION("""COMPUTED_VALUE"""),"AMD")</f>
        <v>AMD</v>
      </c>
      <c r="D4340" s="196" t="str">
        <f>IFERROR(__xludf.DUMMYFUNCTION("""COMPUTED_VALUE"""),"P-TRAP STAINLESS W/OUT PO PLUG 20PCS
P-TRAP STAINLESS W/ PO PLUG 20PCS")</f>
        <v>P-TRAP STAINLESS W/OUT PO PLUG 20PCS
P-TRAP STAINLESS W/ PO PLUG 20PCS</v>
      </c>
      <c r="E4340" s="196" t="str">
        <f>IFERROR(__xludf.DUMMYFUNCTION("""COMPUTED_VALUE"""),"ENGR WAREHOUSE STOCK REPLENISHMENT")</f>
        <v>ENGR WAREHOUSE STOCK REPLENISHMENT</v>
      </c>
    </row>
    <row r="4341">
      <c r="A4341" s="234">
        <f>IFERROR(__xludf.DUMMYFUNCTION("""COMPUTED_VALUE"""),104632.0)</f>
        <v>104632</v>
      </c>
      <c r="B4341" s="235" t="str">
        <f>IFERROR(__xludf.DUMMYFUNCTION("""COMPUTED_VALUE"""),"ELYDIA REYES")</f>
        <v>ELYDIA REYES</v>
      </c>
      <c r="C4341" s="235" t="str">
        <f>IFERROR(__xludf.DUMMYFUNCTION("""COMPUTED_VALUE"""),"PR &amp; MARKETING")</f>
        <v>PR &amp; MARKETING</v>
      </c>
      <c r="D4341" s="196" t="str">
        <f>IFERROR(__xludf.DUMMYFUNCTION("""COMPUTED_VALUE"""),"WOOD FLYERS HOLDER WITH ACRYLIC
96CM x 21CM, 1 pc. ")</f>
        <v>WOOD FLYERS HOLDER WITH ACRYLIC
96CM x 21CM, 1 pc. </v>
      </c>
      <c r="E4341" s="196" t="str">
        <f>IFERROR(__xludf.DUMMYFUNCTION("""COMPUTED_VALUE"""),"FLYER PLACEMENTS AT THE PR LOBBY TO MAXIMIZE THE SPACE")</f>
        <v>FLYER PLACEMENTS AT THE PR LOBBY TO MAXIMIZE THE SPACE</v>
      </c>
    </row>
    <row r="4342">
      <c r="A4342" s="234">
        <f>IFERROR(__xludf.DUMMYFUNCTION("""COMPUTED_VALUE"""),104633.0)</f>
        <v>104633</v>
      </c>
      <c r="B4342" s="235" t="str">
        <f>IFERROR(__xludf.DUMMYFUNCTION("""COMPUTED_VALUE"""),"JAYVEN POBLETE")</f>
        <v>JAYVEN POBLETE</v>
      </c>
      <c r="C4342" s="235" t="str">
        <f>IFERROR(__xludf.DUMMYFUNCTION("""COMPUTED_VALUE"""),"PR &amp; MARKETING")</f>
        <v>PR &amp; MARKETING</v>
      </c>
      <c r="D4342" s="196" t="str">
        <f>IFERROR(__xludf.DUMMYFUNCTION("""COMPUTED_VALUE"""),"STANDEE 2 pcs")</f>
        <v>STANDEE 2 pcs</v>
      </c>
      <c r="E4342" s="196" t="str">
        <f>IFERROR(__xludf.DUMMYFUNCTION("""COMPUTED_VALUE"""),"PR AND MARKETING, SCHOOL PRES")</f>
        <v>PR AND MARKETING, SCHOOL PRES</v>
      </c>
    </row>
    <row r="4343">
      <c r="A4343" s="234">
        <f>IFERROR(__xludf.DUMMYFUNCTION("""COMPUTED_VALUE"""),104634.0)</f>
        <v>104634</v>
      </c>
      <c r="B4343" s="235" t="str">
        <f>IFERROR(__xludf.DUMMYFUNCTION("""COMPUTED_VALUE"""),"CHARLES DONOR")</f>
        <v>CHARLES DONOR</v>
      </c>
      <c r="C4343" s="235" t="str">
        <f>IFERROR(__xludf.DUMMYFUNCTION("""COMPUTED_VALUE"""),"AMD")</f>
        <v>AMD</v>
      </c>
      <c r="D4343" s="196" t="str">
        <f>IFERROR(__xludf.DUMMYFUNCTION("""COMPUTED_VALUE"""),"BIDET, RINSE TECH HERITAGE MODEL- CREAM 90PCS")</f>
        <v>BIDET, RINSE TECH HERITAGE MODEL- CREAM 90PCS</v>
      </c>
      <c r="E4343" s="196" t="str">
        <f>IFERROR(__xludf.DUMMYFUNCTION("""COMPUTED_VALUE"""),"HOUSEKEEPING STOCK REPLENISHMENT")</f>
        <v>HOUSEKEEPING STOCK REPLENISHMENT</v>
      </c>
    </row>
    <row r="4344">
      <c r="A4344" s="234">
        <f>IFERROR(__xludf.DUMMYFUNCTION("""COMPUTED_VALUE"""),104635.0)</f>
        <v>104635</v>
      </c>
      <c r="B4344" s="235" t="str">
        <f>IFERROR(__xludf.DUMMYFUNCTION("""COMPUTED_VALUE"""),"CHARLES DONOR")</f>
        <v>CHARLES DONOR</v>
      </c>
      <c r="C4344" s="235" t="str">
        <f>IFERROR(__xludf.DUMMYFUNCTION("""COMPUTED_VALUE"""),"AMD")</f>
        <v>AMD</v>
      </c>
      <c r="D4344" s="196" t="str">
        <f>IFERROR(__xludf.DUMMYFUNCTION("""COMPUTED_VALUE"""),"TRASH BAG, MEDIUM (22x24) CLEAR 125
TRASH BAG, XL (36x40)/(30x37) CLEAR 125")</f>
        <v>TRASH BAG, MEDIUM (22x24) CLEAR 125
TRASH BAG, XL (36x40)/(30x37) CLEAR 125</v>
      </c>
      <c r="E4344" s="196" t="str">
        <f>IFERROR(__xludf.DUMMYFUNCTION("""COMPUTED_VALUE"""),"HOUSEKEEPING STOCK REPLENISHMENT")</f>
        <v>HOUSEKEEPING STOCK REPLENISHMENT</v>
      </c>
    </row>
    <row r="4345">
      <c r="A4345" s="234">
        <f>IFERROR(__xludf.DUMMYFUNCTION("""COMPUTED_VALUE"""),104636.0)</f>
        <v>104636</v>
      </c>
      <c r="B4345" s="235" t="str">
        <f>IFERROR(__xludf.DUMMYFUNCTION("""COMPUTED_VALUE"""),"CHARLES DONOR")</f>
        <v>CHARLES DONOR</v>
      </c>
      <c r="C4345" s="235" t="str">
        <f>IFERROR(__xludf.DUMMYFUNCTION("""COMPUTED_VALUE"""),"AMD")</f>
        <v>AMD</v>
      </c>
      <c r="D4345" s="196" t="str">
        <f>IFERROR(__xludf.DUMMYFUNCTION("""COMPUTED_VALUE"""),"SCENTED- BAYGON PROTECTOR MULTI INSECT KILLER 500ML, CAN 173PCS")</f>
        <v>SCENTED- BAYGON PROTECTOR MULTI INSECT KILLER 500ML, CAN 173PCS</v>
      </c>
      <c r="E4345" s="196" t="str">
        <f>IFERROR(__xludf.DUMMYFUNCTION("""COMPUTED_VALUE"""),"HOUSEKEEPING STOCK REPLENISHMENT")</f>
        <v>HOUSEKEEPING STOCK REPLENISHMENT</v>
      </c>
    </row>
    <row r="4346">
      <c r="A4346" s="234">
        <f>IFERROR(__xludf.DUMMYFUNCTION("""COMPUTED_VALUE"""),104637.0)</f>
        <v>104637</v>
      </c>
      <c r="B4346" s="235" t="str">
        <f>IFERROR(__xludf.DUMMYFUNCTION("""COMPUTED_VALUE"""),"CHARLES DONOR")</f>
        <v>CHARLES DONOR</v>
      </c>
      <c r="C4346" s="235" t="str">
        <f>IFERROR(__xludf.DUMMYFUNCTION("""COMPUTED_VALUE"""),"AMD")</f>
        <v>AMD</v>
      </c>
      <c r="D4346" s="196" t="str">
        <f>IFERROR(__xludf.DUMMYFUNCTION("""COMPUTED_VALUE"""),"FLANELLA, BLUE 400PCS
FLANELLA, PINK 300PCS")</f>
        <v>FLANELLA, BLUE 400PCS
FLANELLA, PINK 300PCS</v>
      </c>
      <c r="E4346" s="196" t="str">
        <f>IFERROR(__xludf.DUMMYFUNCTION("""COMPUTED_VALUE"""),"HOUSEKEEPING STOCK REPLENISHMENT")</f>
        <v>HOUSEKEEPING STOCK REPLENISHMENT</v>
      </c>
    </row>
    <row r="4347">
      <c r="A4347" s="234">
        <f>IFERROR(__xludf.DUMMYFUNCTION("""COMPUTED_VALUE"""),104638.0)</f>
        <v>104638</v>
      </c>
      <c r="B4347" s="235" t="str">
        <f>IFERROR(__xludf.DUMMYFUNCTION("""COMPUTED_VALUE"""),"CHARLES DONOR")</f>
        <v>CHARLES DONOR</v>
      </c>
      <c r="C4347" s="235" t="str">
        <f>IFERROR(__xludf.DUMMYFUNCTION("""COMPUTED_VALUE"""),"AMD")</f>
        <v>AMD</v>
      </c>
      <c r="D4347" s="196" t="str">
        <f>IFERROR(__xludf.DUMMYFUNCTION("""COMPUTED_VALUE"""),"FABRIC CONDITIONER(DOWNY) 20PCS")</f>
        <v>FABRIC CONDITIONER(DOWNY) 20PCS</v>
      </c>
      <c r="E4347" s="196" t="str">
        <f>IFERROR(__xludf.DUMMYFUNCTION("""COMPUTED_VALUE"""),"HOUSEKEEPING STOCK REPLENISHMENT")</f>
        <v>HOUSEKEEPING STOCK REPLENISHMENT</v>
      </c>
    </row>
    <row r="4348">
      <c r="A4348" s="234">
        <f>IFERROR(__xludf.DUMMYFUNCTION("""COMPUTED_VALUE"""),104639.0)</f>
        <v>104639</v>
      </c>
      <c r="B4348" s="235" t="str">
        <f>IFERROR(__xludf.DUMMYFUNCTION("""COMPUTED_VALUE"""),"SHERYL MANALO")</f>
        <v>SHERYL MANALO</v>
      </c>
      <c r="C4348" s="235" t="str">
        <f>IFERROR(__xludf.DUMMYFUNCTION("""COMPUTED_VALUE"""),"GRADE SCHOOL")</f>
        <v>GRADE SCHOOL</v>
      </c>
      <c r="D4348" s="196" t="str">
        <f>IFERROR(__xludf.DUMMYFUNCTION("""COMPUTED_VALUE"""),"ACADEMIC EXCELLENCE GOLD (TRICOLOR LACE WITH LABEL) - 2 PCS
ACADEMIC EXCELLENCE SILVER (TRICOLOR LACE WITH LABEL) - 2PCS 
ACADEMIC EXCELLENCE BRONZE (TICOLOR LACE WITH LABEL) - 2PCS
SUBJECT EXCELLENCE (TRICOLOR LACE WITH LABEL) - 12 PCS
SPECIAL AWARDS (TR"&amp;"ICOLOR LACE WITH LABEL) - 2PCS
ACADEMIC EXCELLENCE GOLD (GREEN LACE) - 50PCS
ACADEMIC EXCELLENCE SILVER (GREEN LACE) - 40 PCS
ACADEMIC EXCELLENCE BRONZE (GREEN LACE) - 30 PCS
VALUES EXCELLENCE (WHITE LACE) - 70 PCS
PERFECT ATTENDANCE (YELLOW LACE) - 20 PC"&amp;"S")</f>
        <v>ACADEMIC EXCELLENCE GOLD (TRICOLOR LACE WITH LABEL) - 2 PCS
ACADEMIC EXCELLENCE SILVER (TRICOLOR LACE WITH LABEL) - 2PCS 
ACADEMIC EXCELLENCE BRONZE (TICOLOR LACE WITH LABEL) - 2PCS
SUBJECT EXCELLENCE (TRICOLOR LACE WITH LABEL) - 12 PCS
SPECIAL AWARDS (TRICOLOR LACE WITH LABEL) - 2PCS
ACADEMIC EXCELLENCE GOLD (GREEN LACE) - 50PCS
ACADEMIC EXCELLENCE SILVER (GREEN LACE) - 40 PCS
ACADEMIC EXCELLENCE BRONZE (GREEN LACE) - 30 PCS
VALUES EXCELLENCE (WHITE LACE) - 70 PCS
PERFECT ATTENDANCE (YELLOW LACE) - 20 PCS</v>
      </c>
      <c r="E4348" s="196" t="str">
        <f>IFERROR(__xludf.DUMMYFUNCTION("""COMPUTED_VALUE"""),"GRADE 6 GRADUATION")</f>
        <v>GRADE 6 GRADUATION</v>
      </c>
    </row>
    <row r="4349">
      <c r="A4349" s="234">
        <f>IFERROR(__xludf.DUMMYFUNCTION("""COMPUTED_VALUE"""),104640.0)</f>
        <v>104640</v>
      </c>
      <c r="B4349" s="235" t="str">
        <f>IFERROR(__xludf.DUMMYFUNCTION("""COMPUTED_VALUE"""),"SHERYL MANALO")</f>
        <v>SHERYL MANALO</v>
      </c>
      <c r="C4349" s="235" t="str">
        <f>IFERROR(__xludf.DUMMYFUNCTION("""COMPUTED_VALUE"""),"ECED")</f>
        <v>ECED</v>
      </c>
      <c r="D4349" s="196" t="str">
        <f>IFERROR(__xludf.DUMMYFUNCTION("""COMPUTED_VALUE"""),"ACADEMIC EXCELLENCE GOLD (GREEN LACE) - 150PCS
ACADEMIC EXCELLENCE SILVER (GREEN LACE) - 45PCS
ACADEMIC EXCELLENCE BRONZE (GREEN LACE) - 30PCS
VALUES EXCELLENCE WHITE LACE - 150PCS
PERFECT ATTENDANCE YELOW LACE - 40PCS")</f>
        <v>ACADEMIC EXCELLENCE GOLD (GREEN LACE) - 150PCS
ACADEMIC EXCELLENCE SILVER (GREEN LACE) - 45PCS
ACADEMIC EXCELLENCE BRONZE (GREEN LACE) - 30PCS
VALUES EXCELLENCE WHITE LACE - 150PCS
PERFECT ATTENDANCE YELOW LACE - 40PCS</v>
      </c>
      <c r="E4349" s="196" t="str">
        <f>IFERROR(__xludf.DUMMYFUNCTION("""COMPUTED_VALUE"""),"G1 - G2 RECOGNITION")</f>
        <v>G1 - G2 RECOGNITION</v>
      </c>
    </row>
    <row r="4350">
      <c r="A4350" s="234">
        <f>IFERROR(__xludf.DUMMYFUNCTION("""COMPUTED_VALUE"""),104641.0)</f>
        <v>104641</v>
      </c>
      <c r="B4350" s="235" t="str">
        <f>IFERROR(__xludf.DUMMYFUNCTION("""COMPUTED_VALUE"""),"PHEN PETIN")</f>
        <v>PHEN PETIN</v>
      </c>
      <c r="C4350" s="235" t="str">
        <f>IFERROR(__xludf.DUMMYFUNCTION("""COMPUTED_VALUE"""),"ADMIN")</f>
        <v>ADMIN</v>
      </c>
      <c r="D4350" s="196" t="str">
        <f>IFERROR(__xludf.DUMMYFUNCTION("""COMPUTED_VALUE"""),"TATP FOR QUADRANGLE - 1PC")</f>
        <v>TATP FOR QUADRANGLE - 1PC</v>
      </c>
      <c r="E4350" s="196" t="str">
        <f>IFERROR(__xludf.DUMMYFUNCTION("""COMPUTED_VALUE"""),"TARP PRINT OUT STAR QUADRANGLE DESIGN")</f>
        <v>TARP PRINT OUT STAR QUADRANGLE DESIGN</v>
      </c>
    </row>
    <row r="4351">
      <c r="A4351" s="234">
        <f>IFERROR(__xludf.DUMMYFUNCTION("""COMPUTED_VALUE"""),104642.0)</f>
        <v>104642</v>
      </c>
      <c r="B4351" s="235" t="str">
        <f>IFERROR(__xludf.DUMMYFUNCTION("""COMPUTED_VALUE"""),"SHEREE ESPINOSA")</f>
        <v>SHEREE ESPINOSA</v>
      </c>
      <c r="C4351" s="235" t="str">
        <f>IFERROR(__xludf.DUMMYFUNCTION("""COMPUTED_VALUE"""),"ADMIN")</f>
        <v>ADMIN</v>
      </c>
      <c r="D4351" s="196" t="str">
        <f>IFERROR(__xludf.DUMMYFUNCTION("""COMPUTED_VALUE"""),"STATE MIGHTY SPARKLE DIAMOND - 4 GALONS")</f>
        <v>STATE MIGHTY SPARKLE DIAMOND - 4 GALONS</v>
      </c>
      <c r="E4351" s="196" t="str">
        <f>IFERROR(__xludf.DUMMYFUNCTION("""COMPUTED_VALUE"""),"IN PREPARATION OF LUX HALL FLOORING FOR GRADUATION/RECOGNITION EVENTS")</f>
        <v>IN PREPARATION OF LUX HALL FLOORING FOR GRADUATION/RECOGNITION EVENTS</v>
      </c>
    </row>
    <row r="4352">
      <c r="A4352" s="234">
        <f>IFERROR(__xludf.DUMMYFUNCTION("""COMPUTED_VALUE"""),104643.0)</f>
        <v>104643</v>
      </c>
      <c r="B4352" s="235" t="str">
        <f>IFERROR(__xludf.DUMMYFUNCTION("""COMPUTED_VALUE"""),"SHEREE ESPINOSA")</f>
        <v>SHEREE ESPINOSA</v>
      </c>
      <c r="C4352" s="235" t="str">
        <f>IFERROR(__xludf.DUMMYFUNCTION("""COMPUTED_VALUE"""),"ADMIN")</f>
        <v>ADMIN</v>
      </c>
      <c r="D4352" s="196" t="str">
        <f>IFERROR(__xludf.DUMMYFUNCTION("""COMPUTED_VALUE"""),"SIR FRESHENER REFLL (LAVENDER) - 10PCS")</f>
        <v>SIR FRESHENER REFLL (LAVENDER) - 10PCS</v>
      </c>
      <c r="E4352" s="196" t="str">
        <f>IFERROR(__xludf.DUMMYFUNCTION("""COMPUTED_VALUE"""),"TO BE USED FOR INCOMING EVENTS (GRADUATION, RECOGNITIONS AND SOME EVENTS). FOR ALL CRs WITH AUTOMATIC FRESHENER DESPENSER")</f>
        <v>TO BE USED FOR INCOMING EVENTS (GRADUATION, RECOGNITIONS AND SOME EVENTS). FOR ALL CRs WITH AUTOMATIC FRESHENER DESPENSER</v>
      </c>
    </row>
    <row r="4353">
      <c r="A4353" s="234">
        <f>IFERROR(__xludf.DUMMYFUNCTION("""COMPUTED_VALUE"""),104644.0)</f>
        <v>104644</v>
      </c>
      <c r="B4353" s="235" t="str">
        <f>IFERROR(__xludf.DUMMYFUNCTION("""COMPUTED_VALUE"""),"SHEREE ESPINOSA")</f>
        <v>SHEREE ESPINOSA</v>
      </c>
      <c r="C4353" s="235" t="str">
        <f>IFERROR(__xludf.DUMMYFUNCTION("""COMPUTED_VALUE"""),"ADMIN")</f>
        <v>ADMIN</v>
      </c>
      <c r="D4353" s="196" t="str">
        <f>IFERROR(__xludf.DUMMYFUNCTION("""COMPUTED_VALUE"""),"MOP SQUEEZERS-BRAND: RUBBERMAID - 11PCS ")</f>
        <v>MOP SQUEEZERS-BRAND: RUBBERMAID - 11PCS </v>
      </c>
      <c r="E4353" s="196" t="str">
        <f>IFERROR(__xludf.DUMMYFUNCTION("""COMPUTED_VALUE"""),"REPLACEMENT OF BROKEN MOP SQUEEZER. FOR LUX, TROPICAL, AND COLLEGE")</f>
        <v>REPLACEMENT OF BROKEN MOP SQUEEZER. FOR LUX, TROPICAL, AND COLLEGE</v>
      </c>
    </row>
    <row r="4354">
      <c r="A4354" s="234">
        <f>IFERROR(__xludf.DUMMYFUNCTION("""COMPUTED_VALUE"""),104645.0)</f>
        <v>104645</v>
      </c>
      <c r="B4354" s="235" t="str">
        <f>IFERROR(__xludf.DUMMYFUNCTION("""COMPUTED_VALUE"""),"SHERYL MANALO")</f>
        <v>SHERYL MANALO</v>
      </c>
      <c r="C4354" s="235" t="str">
        <f>IFERROR(__xludf.DUMMYFUNCTION("""COMPUTED_VALUE"""),"PRESCHOOL (ECED)")</f>
        <v>PRESCHOOL (ECED)</v>
      </c>
      <c r="D4354" s="196" t="str">
        <f>IFERROR(__xludf.DUMMYFUNCTION("""COMPUTED_VALUE"""),"MEDALS:
ACAD. EXCELLENCE (TRICOLR LACE W/ LABEL) 40
ACAD. ACHIEVEMENT (TRICOLOR LACE WITH LABEL) 15
SUBJ. EXCELLENCE (TRICOLOR LACE WITH LABEL 25
SPECIAL AWARDS (TRICOLOR LACE WITH LABEL 15
VALUES EXCELLENCE (WHITE LACE) 10
PERFECT ATTENDANCE (YELLOW LACE"&amp;") 5")</f>
        <v>MEDALS:
ACAD. EXCELLENCE (TRICOLR LACE W/ LABEL) 40
ACAD. ACHIEVEMENT (TRICOLOR LACE WITH LABEL) 15
SUBJ. EXCELLENCE (TRICOLOR LACE WITH LABEL 25
SPECIAL AWARDS (TRICOLOR LACE WITH LABEL 15
VALUES EXCELLENCE (WHITE LACE) 10
PERFECT ATTENDANCE (YELLOW LACE) 5</v>
      </c>
      <c r="E4354" s="196" t="str">
        <f>IFERROR(__xludf.DUMMYFUNCTION("""COMPUTED_VALUE"""),"SK GRADUATION")</f>
        <v>SK GRADUATION</v>
      </c>
    </row>
    <row r="4355">
      <c r="A4355" s="234">
        <f>IFERROR(__xludf.DUMMYFUNCTION("""COMPUTED_VALUE"""),104646.0)</f>
        <v>104646</v>
      </c>
      <c r="B4355" s="235" t="str">
        <f>IFERROR(__xludf.DUMMYFUNCTION("""COMPUTED_VALUE"""),"SHERYL MANALO")</f>
        <v>SHERYL MANALO</v>
      </c>
      <c r="C4355" s="235" t="str">
        <f>IFERROR(__xludf.DUMMYFUNCTION("""COMPUTED_VALUE"""),"DP MUNICH")</f>
        <v>DP MUNICH</v>
      </c>
      <c r="D4355" s="196" t="str">
        <f>IFERROR(__xludf.DUMMYFUNCTION("""COMPUTED_VALUE"""),"MEDALS:
ACAD. EXCELLENCE (GOLD) GREEN LACE, 190
ACAD. EXCELLENCE (SILVER) PURPLE LACE 95
ACAD. EXCELLENCE (BRONZE) PINK LACE 50
VALUES EXCELLENCE WHITE LACE 240
PERFECT ATTENDANCE YELLOW LACE 75
")</f>
        <v>MEDALS:
ACAD. EXCELLENCE (GOLD) GREEN LACE, 190
ACAD. EXCELLENCE (SILVER) PURPLE LACE 95
ACAD. EXCELLENCE (BRONZE) PINK LACE 50
VALUES EXCELLENCE WHITE LACE 240
PERFECT ATTENDANCE YELLOW LACE 75
</v>
      </c>
      <c r="E4355" s="196" t="str">
        <f>IFERROR(__xludf.DUMMYFUNCTION("""COMPUTED_VALUE"""),"RECOGNITION DAY GRS 3-5")</f>
        <v>RECOGNITION DAY GRS 3-5</v>
      </c>
    </row>
    <row r="4356">
      <c r="A4356" s="234">
        <f>IFERROR(__xludf.DUMMYFUNCTION("""COMPUTED_VALUE"""),104647.0)</f>
        <v>104647</v>
      </c>
      <c r="B4356" s="235" t="str">
        <f>IFERROR(__xludf.DUMMYFUNCTION("""COMPUTED_VALUE"""),"RORY MANSBRIDGE ")</f>
        <v>RORY MANSBRIDGE </v>
      </c>
      <c r="C4356" s="235" t="str">
        <f>IFERROR(__xludf.DUMMYFUNCTION("""COMPUTED_VALUE"""),"ATHLETICS")</f>
        <v>ATHLETICS</v>
      </c>
      <c r="D4356" s="196" t="str">
        <f>IFERROR(__xludf.DUMMYFUNCTION("""COMPUTED_VALUE"""),"TRAINING SHIRTS (FOOTBALL/VOLLEYBALL)
10 YOUTH SMALL
10 YOUTH MEDIUM
10 YOUTH LARGE
10 YOUTH EXTRA LARGE
20 ADULT XS
15 ADULT SMALL
20 ADULT MEDIUM
15 ADULT LARGE
10 ADULT EXTRA LARGE
10 ADULT DOUBLE EXTRA LARGE")</f>
        <v>TRAINING SHIRTS (FOOTBALL/VOLLEYBALL)
10 YOUTH SMALL
10 YOUTH MEDIUM
10 YOUTH LARGE
10 YOUTH EXTRA LARGE
20 ADULT XS
15 ADULT SMALL
20 ADULT MEDIUM
15 ADULT LARGE
10 ADULT EXTRA LARGE
10 ADULT DOUBLE EXTRA LARGE</v>
      </c>
      <c r="E4356" s="196" t="str">
        <f>IFERROR(__xludf.DUMMYFUNCTION("""COMPUTED_VALUE"""),"VARSITY TRAINING SHIRTS")</f>
        <v>VARSITY TRAINING SHIRTS</v>
      </c>
    </row>
    <row r="4357">
      <c r="A4357" s="234">
        <f>IFERROR(__xludf.DUMMYFUNCTION("""COMPUTED_VALUE"""),104648.0)</f>
        <v>104648</v>
      </c>
      <c r="B4357" s="235" t="str">
        <f>IFERROR(__xludf.DUMMYFUNCTION("""COMPUTED_VALUE"""),"CHRISTIAN ANDRES")</f>
        <v>CHRISTIAN ANDRES</v>
      </c>
      <c r="C4357" s="235" t="str">
        <f>IFERROR(__xludf.DUMMYFUNCTION("""COMPUTED_VALUE"""),"PR &amp; MARKETING")</f>
        <v>PR &amp; MARKETING</v>
      </c>
      <c r="D4357" s="196" t="str">
        <f>IFERROR(__xludf.DUMMYFUNCTION("""COMPUTED_VALUE"""),"SCAPP STARDEE TARP 3PCS (2.5X6FT)
SCAPP STARDEE FRAVE 3PCS")</f>
        <v>SCAPP STARDEE TARP 3PCS (2.5X6FT)
SCAPP STARDEE FRAVE 3PCS</v>
      </c>
      <c r="E4357" s="196" t="str">
        <f>IFERROR(__xludf.DUMMYFUNCTION("""COMPUTED_VALUE"""),"PROMOTION MARKETING")</f>
        <v>PROMOTION MARKETING</v>
      </c>
    </row>
    <row r="4358">
      <c r="A4358" s="234">
        <f>IFERROR(__xludf.DUMMYFUNCTION("""COMPUTED_VALUE"""),104649.0)</f>
        <v>104649</v>
      </c>
      <c r="B4358" s="235" t="str">
        <f>IFERROR(__xludf.DUMMYFUNCTION("""COMPUTED_VALUE"""),"CHRISTIAN ANDRES")</f>
        <v>CHRISTIAN ANDRES</v>
      </c>
      <c r="C4358" s="235" t="str">
        <f>IFERROR(__xludf.DUMMYFUNCTION("""COMPUTED_VALUE"""),"PR &amp; MARKETING")</f>
        <v>PR &amp; MARKETING</v>
      </c>
      <c r="D4358" s="196" t="str">
        <f>IFERROR(__xludf.DUMMYFUNCTION("""COMPUTED_VALUE"""),"SGEN MEDALS
1. GOLD 50
2. SILVER 50")</f>
        <v>SGEN MEDALS
1. GOLD 50
2. SILVER 50</v>
      </c>
      <c r="E4358" s="196" t="str">
        <f>IFERROR(__xludf.DUMMYFUNCTION("""COMPUTED_VALUE"""),"FOR UPCOMING GRATIONS")</f>
        <v>FOR UPCOMING GRATIONS</v>
      </c>
    </row>
    <row r="4359">
      <c r="A4359" s="234">
        <f>IFERROR(__xludf.DUMMYFUNCTION("""COMPUTED_VALUE"""),104650.0)</f>
        <v>104650</v>
      </c>
      <c r="B4359" s="235" t="str">
        <f>IFERROR(__xludf.DUMMYFUNCTION("""COMPUTED_VALUE"""),"YVONNE  GANCITA")</f>
        <v>YVONNE  GANCITA</v>
      </c>
      <c r="C4359" s="235" t="str">
        <f>IFERROR(__xludf.DUMMYFUNCTION("""COMPUTED_VALUE"""),"STUDENT AFFAIRS")</f>
        <v>STUDENT AFFAIRS</v>
      </c>
      <c r="D4359" s="196" t="str">
        <f>IFERROR(__xludf.DUMMYFUNCTION("""COMPUTED_VALUE"""),"GRADUATION INVITE ( PLEASE SEE ATTACHED SAMPLE PAPER INSERT) 1500PCS")</f>
        <v>GRADUATION INVITE ( PLEASE SEE ATTACHED SAMPLE PAPER INSERT) 1500PCS</v>
      </c>
      <c r="E4359" s="196" t="str">
        <f>IFERROR(__xludf.DUMMYFUNCTION("""COMPUTED_VALUE"""),"GRADUATION FOR GRADE 6 PAPER FOR INVITE")</f>
        <v>GRADUATION FOR GRADE 6 PAPER FOR INVITE</v>
      </c>
    </row>
    <row r="4360">
      <c r="A4360" s="234">
        <f>IFERROR(__xludf.DUMMYFUNCTION("""COMPUTED_VALUE"""),104651.0)</f>
        <v>104651</v>
      </c>
      <c r="B4360" s="235" t="str">
        <f>IFERROR(__xludf.DUMMYFUNCTION("""COMPUTED_VALUE"""),"SAMEYA GARCIA")</f>
        <v>SAMEYA GARCIA</v>
      </c>
      <c r="C4360" s="235" t="str">
        <f>IFERROR(__xludf.DUMMYFUNCTION("""COMPUTED_VALUE"""),"ADMIN")</f>
        <v>ADMIN</v>
      </c>
      <c r="D4360" s="196" t="str">
        <f>IFERROR(__xludf.DUMMYFUNCTION("""COMPUTED_VALUE"""),"RETRACTABLE AIR CONDITIONER WINDSHIELD 1")</f>
        <v>RETRACTABLE AIR CONDITIONER WINDSHIELD 1</v>
      </c>
      <c r="E4360" s="196" t="str">
        <f>IFERROR(__xludf.DUMMYFUNCTION("""COMPUTED_VALUE"""),"FOR ADMIN OFFICE USE")</f>
        <v>FOR ADMIN OFFICE USE</v>
      </c>
    </row>
    <row r="4361">
      <c r="A4361" s="234">
        <f>IFERROR(__xludf.DUMMYFUNCTION("""COMPUTED_VALUE"""),104652.0)</f>
        <v>104652</v>
      </c>
      <c r="B4361" s="235" t="str">
        <f>IFERROR(__xludf.DUMMYFUNCTION("""COMPUTED_VALUE"""),"JESUIT CHRISTIAN GALICIA")</f>
        <v>JESUIT CHRISTIAN GALICIA</v>
      </c>
      <c r="C4361" s="235" t="str">
        <f>IFERROR(__xludf.DUMMYFUNCTION("""COMPUTED_VALUE"""),"AMD")</f>
        <v>AMD</v>
      </c>
      <c r="D4361" s="196" t="str">
        <f>IFERROR(__xludf.DUMMYFUNCTION("""COMPUTED_VALUE"""),"
JOLLY PLASTIC PALLET (SIZE 120 x 99x 15CM) 5PCS")</f>
        <v>
JOLLY PLASTIC PALLET (SIZE 120 x 99x 15CM) 5PCS</v>
      </c>
      <c r="E4361" s="196" t="str">
        <f>IFERROR(__xludf.DUMMYFUNCTION("""COMPUTED_VALUE"""),"WAREHOUSE EQUIPMENT  USE")</f>
        <v>WAREHOUSE EQUIPMENT  USE</v>
      </c>
    </row>
    <row r="4362">
      <c r="A4362" s="234">
        <f>IFERROR(__xludf.DUMMYFUNCTION("""COMPUTED_VALUE"""),104653.0)</f>
        <v>104653</v>
      </c>
      <c r="B4362" s="235" t="str">
        <f>IFERROR(__xludf.DUMMYFUNCTION("""COMPUTED_VALUE"""),"LYKA PERALTA")</f>
        <v>LYKA PERALTA</v>
      </c>
      <c r="C4362" s="235" t="str">
        <f>IFERROR(__xludf.DUMMYFUNCTION("""COMPUTED_VALUE"""),"AMD")</f>
        <v>AMD</v>
      </c>
      <c r="D4362" s="196" t="str">
        <f>IFERROR(__xludf.DUMMYFUNCTION("""COMPUTED_VALUE"""),"BOARD, VELLUM (LONG) 200PACKS")</f>
        <v>BOARD, VELLUM (LONG) 200PACKS</v>
      </c>
      <c r="E4362" s="196" t="str">
        <f>IFERROR(__xludf.DUMMYFUNCTION("""COMPUTED_VALUE"""),"OSSUP- STOCK REPLENISHMENT")</f>
        <v>OSSUP- STOCK REPLENISHMENT</v>
      </c>
    </row>
    <row r="4363">
      <c r="A4363" s="234">
        <f>IFERROR(__xludf.DUMMYFUNCTION("""COMPUTED_VALUE"""),104654.0)</f>
        <v>104654</v>
      </c>
      <c r="B4363" s="235" t="str">
        <f>IFERROR(__xludf.DUMMYFUNCTION("""COMPUTED_VALUE"""),"MELISSA ODOÑO")</f>
        <v>MELISSA ODOÑO</v>
      </c>
      <c r="C4363" s="235" t="str">
        <f>IFERROR(__xludf.DUMMYFUNCTION("""COMPUTED_VALUE"""),"LIBRARY COLLEGE")</f>
        <v>LIBRARY COLLEGE</v>
      </c>
      <c r="D4363" s="196" t="str">
        <f>IFERROR(__xludf.DUMMYFUNCTION("""COMPUTED_VALUE"""),"COMMA BOOKS
-10 Step Drawing Cats: Draw Over 50 Fabolous Felines In 10 Easy Steps
-Active Landscape Photography Diverse Practices
-Digital Storytelling For Brands
-Event Planning: Music Fests
-Podcasting In a Platform Age
-Researching Digital Media and So"&amp;"ciety
-Scrip Analyis For Actors, Directors, and Designers
-Scene Shift U.S, Set Designers In Conversation
-The Color Management Handbook For Visual Effects Artists Digital Color Principles, Color Management Fundamentals &amp; ACES Workflows
-Understanding Int"&amp;"eractive Digital Narrative Immersive Expressions for A Complex Time
-Watercolour Landscapes for the Absolute Beginner
-Writing for Interactive Media Social, Websites, Applications, E-
Learning, Games
MMA BOOKS
-Changing Models For Journalism Reinventing "&amp;"the Newsroom
-Communicating The Multiple Modes Of Human Communication
-Communication and Organizational Changemaking For Diversity, Equity, And Inclusion a Case Studies Approach 
- Conversations With Women In Musical Theatre Leadership
-Ethics For Journal"&amp;"ists
-Gender In Media, Art and Culture
-Identity And Digital Communication Concepts, Theories, Practices
-Introducing Language And Intercultural Communication
-A First Look At Communication Theory
-Live Digital Theatre Interdisciplinary Performative Pedag"&amp;"ogies
-New Media And Public Diplomacy Political Communication In India, the United States And China
-New Quality In The Digital Age
-Performance Art Education and Practice
-Strategic Social Media As Activism Repression, Resistance, Rebellion, Reform
-The "&amp;"Broadcast News Toolkit Inside The Digital Newsroom
IT BOOKS
-Basic Of Cloud Computing
-Circuits and Systems: A Modern Approach
-CompTIA A+ Guide to IT Technical Support
-Computer Concepts Comprehensive
-Computer Systems Application
-Cybersecurity All-In-"&amp;"One Dummies
-Database Systems Design, Implementation, and Management 14e
-Elementary Number Theory
-Fundamentals Of Database Systems
-Fundamentals Of Python First Programs
-HTML, CSS, &amp; JavaScript All-In-One Dummies
-Information Security
-Information Syst"&amp;"ems
-Information Technology Project Management
-Machine Learning With OneAPI")</f>
        <v>COMMA BOOKS
-10 Step Drawing Cats: Draw Over 50 Fabolous Felines In 10 Easy Steps
-Active Landscape Photography Diverse Practices
-Digital Storytelling For Brands
-Event Planning: Music Fests
-Podcasting In a Platform Age
-Researching Digital Media and Society
-Scrip Analyis For Actors, Directors, and Designers
-Scene Shift U.S, Set Designers In Conversation
-The Color Management Handbook For Visual Effects Artists Digital Color Principles, Color Management Fundamentals &amp; ACES Workflows
-Understanding Interactive Digital Narrative Immersive Expressions for A Complex Time
-Watercolour Landscapes for the Absolute Beginner
-Writing for Interactive Media Social, Websites, Applications, E-
Learning, Games
MMA BOOKS
-Changing Models For Journalism Reinventing the Newsroom
-Communicating The Multiple Modes Of Human Communication
-Communication and Organizational Changemaking For Diversity, Equity, And Inclusion a Case Studies Approach 
- Conversations With Women In Musical Theatre Leadership
-Ethics For Journalists
-Gender In Media, Art and Culture
-Identity And Digital Communication Concepts, Theories, Practices
-Introducing Language And Intercultural Communication
-A First Look At Communication Theory
-Live Digital Theatre Interdisciplinary Performative Pedagogies
-New Media And Public Diplomacy Political Communication In India, the United States And China
-New Quality In The Digital Age
-Performance Art Education and Practice
-Strategic Social Media As Activism Repression, Resistance, Rebellion, Reform
-The Broadcast News Toolkit Inside The Digital Newsroom
IT BOOKS
-Basic Of Cloud Computing
-Circuits and Systems: A Modern Approach
-CompTIA A+ Guide to IT Technical Support
-Computer Concepts Comprehensive
-Computer Systems Application
-Cybersecurity All-In-One Dummies
-Database Systems Design, Implementation, and Management 14e
-Elementary Number Theory
-Fundamentals Of Database Systems
-Fundamentals Of Python First Programs
-HTML, CSS, &amp; JavaScript All-In-One Dummies
-Information Security
-Information Systems
-Information Technology Project Management
-Machine Learning With OneAPI</v>
      </c>
      <c r="E4363" s="196" t="str">
        <f>IFERROR(__xludf.DUMMYFUNCTION("""COMPUTED_VALUE"""),"FOR LIBRARY'S COPY/FACULTY USE")</f>
        <v>FOR LIBRARY'S COPY/FACULTY USE</v>
      </c>
    </row>
    <row r="4364">
      <c r="A4364" s="234">
        <f>IFERROR(__xludf.DUMMYFUNCTION("""COMPUTED_VALUE"""),104655.0)</f>
        <v>104655</v>
      </c>
      <c r="B4364" s="235" t="str">
        <f>IFERROR(__xludf.DUMMYFUNCTION("""COMPUTED_VALUE"""),"MELISSA ODOÑO")</f>
        <v>MELISSA ODOÑO</v>
      </c>
      <c r="C4364" s="235" t="str">
        <f>IFERROR(__xludf.DUMMYFUNCTION("""COMPUTED_VALUE"""),"LIBRARY BASIC ED")</f>
        <v>LIBRARY BASIC ED</v>
      </c>
      <c r="D4364" s="196" t="str">
        <f>IFERROR(__xludf.DUMMYFUNCTION("""COMPUTED_VALUE"""),"FRENCH BOOKS
-Cosmopolite 1 - Livre de l'élève (A1): Cosmopolite 1: Livre de l'élève Paperback - February 10, 2017
-Cosmopolite 2 - Livre de l'élève (A2) Paperback - April 28, 2017
-Passe-passe 1 - Livre élève
-Adomania 1: Cahier d'activités + CD audio + "&amp;"Parcours digital:
-A1 (French Edition) Paperback - April 1, 2016
-Sésame 1 Livre de l'élève: Sésame 1 · Livre de l'élève
-Paperback - February 12, 2021")</f>
        <v>FRENCH BOOKS
-Cosmopolite 1 - Livre de l'élève (A1): Cosmopolite 1: Livre de l'élève Paperback - February 10, 2017
-Cosmopolite 2 - Livre de l'élève (A2) Paperback - April 28, 2017
-Passe-passe 1 - Livre élève
-Adomania 1: Cahier d'activités + CD audio + Parcours digital:
-A1 (French Edition) Paperback - April 1, 2016
-Sésame 1 Livre de l'élève: Sésame 1 · Livre de l'élève
-Paperback - February 12, 2021</v>
      </c>
      <c r="E4364" s="196" t="str">
        <f>IFERROR(__xludf.DUMMYFUNCTION("""COMPUTED_VALUE"""),"FOR LIBRARY'S COPY/FACULTY USE")</f>
        <v>FOR LIBRARY'S COPY/FACULTY USE</v>
      </c>
    </row>
    <row r="4365">
      <c r="A4365" s="234">
        <f>IFERROR(__xludf.DUMMYFUNCTION("""COMPUTED_VALUE"""),104656.0)</f>
        <v>104656</v>
      </c>
      <c r="B4365" s="235" t="str">
        <f>IFERROR(__xludf.DUMMYFUNCTION("""COMPUTED_VALUE"""),"MELISSA ODOÑO")</f>
        <v>MELISSA ODOÑO</v>
      </c>
      <c r="C4365" s="235" t="str">
        <f>IFERROR(__xludf.DUMMYFUNCTION("""COMPUTED_VALUE"""),"LIBRARY COLLEGE")</f>
        <v>LIBRARY COLLEGE</v>
      </c>
      <c r="D4365" s="196" t="str">
        <f>IFERROR(__xludf.DUMMYFUNCTION("""COMPUTED_VALUE"""),"PSYCHOLOGY BOOKS
• Abnormal Psychology
• Acceptance and Commitment Therapy and Brain Injury: A Practical Guide For Clinicians
• An At-Home Guide To Children's Sensory And Behavioral Problems: Qigong Sensory Treatment for Parents and Clinicians
• Anxiety "&amp;"&amp; Depression Workbook For Dummies
• Applied Behavior Analysis In Early Childhood: An Introduction To Evidence-Based Interventions And Teaching Strategies
• A Topical Approach to Life-Span Development
• Bullying Beyond The Schoolyard: Preventing And Respon"&amp;"ding to Cyberbullying
• 101 Career Myths Debunked: The Ultimate Career Planning Workbook
• Child Development
• Cognitive Psychology: Revisiting The Classic Studies
• Community Psychology: Emerging Issues and Challenges
• Compassion Focused Therapy: Clinic"&amp;"al Practice and Applications
• Culture and Psychology
• Developmental Cognitive Neuroscience: An Introduction
• Doing Research In Psychological Therapies: A Step-By-Step Guide
• Doing Statistical Analysis: A Student's Guide To Quantitative Research
• Envi"&amp;"ronmental Psychology: An Introduction
• Essential Research Methods in Psychology
• Evolution &amp; Psychology
• Fostering the Mental Health of Athletes, Coaches, and Staff: A Systems Approach to Developing A Mentally Healthy Sport Organization
• Fundamentals "&amp;"of Psychological Assessment and Testing
• How to Read, Evaluate, and Use Research
• Human Resources Kit For Dummies
• Industrial/Organizational Psychology: An Applied Approach
• Introductional Systems Design: Theory and Practice
• Introducing Mindfulness-"&amp;"Based Wellbeing Enhancement
• Issues in Learning And Behavior
• The Essentials of Human Development
• Lifespan Development In Context: A Topical Approach
• Managing Careers &amp; Employability
• Mastering Competencies in Family Therapy: A Practical Approach T"&amp;"o Theories &amp; Clinical Case Documentation
• Perfect Table Settings: Styling Techniques
• Person-Centred Experiential Counselling for Depression
• Psychiatric Mental Health Assessment and Diagnosis Of Adults for Advanced Practice Mental Health Nurses
• Psyc"&amp;"hology: An Introduction
• Quantitative Research Methods in Psychology
• Social Media and Mental Health
• Statistics For Psychology: A Beginner's Guide
• Supervision In School Psychology: The Developmental, Ecological, Problem-Solving Model
• The Language "&amp;"Of The Soul In Narrative Therapy: Spirituality In Clinical Theory and Practice
• Understanding Children's Behavior: Learning to Be With Others in the Early Years
Week by Week Plans for documenting Children's Development
What is Psychology? Foundations, Ap"&amp;"plications, and Integration
GEN-ED BOOKS
• An Introduction to English Language: Word, Sound and Sentence. PB
• Biochemestry Laboratory, HB
• Brilliant Teaching Using Culture And Artful Thinking to Close Equipy Gaps
• Chemistry Atoms First
• Children's"&amp;" Literature In the Classroom
• Commercial Dance An Essential Guide
• Dance Research Methodologies Ethics, Orientations, and Practices
• Even You Can Learn Statistics and Analytics An Easy To Undesstand Guide
• Explicit English Teaching
• First Class Teach"&amp;"ing 10 Lessons You Don't Learn In College
• Introducing Intercultural Communication Global Cultures and Context
• Key Concepts In Biochemistry
• Natural Disaster
• Neurodiversity and Education
• Principles Of Chemistry
• Purposive Communication
• Introduc"&amp;"tory Physics Summaries, Examples,a nd Practice Problems
• Teaching Mathematics Conceptually Guiding Instructural Principles for 5-10-Years-Olds
• Text Structures And Fables Teaching Students to Write About What They Read
• The Practice Educator's Handbook"&amp;"
• The Trainee Teachers's Handbook
• Using Theories For Second Language Teaching And Learning")</f>
        <v>PSYCHOLOGY BOOKS
• Abnormal Psychology
• Acceptance and Commitment Therapy and Brain Injury: A Practical Guide For Clinicians
• An At-Home Guide To Children's Sensory And Behavioral Problems: Qigong Sensory Treatment for Parents and Clinicians
• Anxiety &amp; Depression Workbook For Dummies
• Applied Behavior Analysis In Early Childhood: An Introduction To Evidence-Based Interventions And Teaching Strategies
• A Topical Approach to Life-Span Development
• Bullying Beyond The Schoolyard: Preventing And Responding to Cyberbullying
• 101 Career Myths Debunked: The Ultimate Career Planning Workbook
• Child Development
• Cognitive Psychology: Revisiting The Classic Studies
• Community Psychology: Emerging Issues and Challenges
• Compassion Focused Therapy: Clinical Practice and Applications
• Culture and Psychology
• Developmental Cognitive Neuroscience: An Introduction
• Doing Research In Psychological Therapies: A Step-By-Step Guide
• Doing Statistical Analysis: A Student's Guide To Quantitative Research
• Environmental Psychology: An Introduction
• Essential Research Methods in Psychology
• Evolution &amp; Psychology
• Fostering the Mental Health of Athletes, Coaches, and Staff: A Systems Approach to Developing A Mentally Healthy Sport Organization
• Fundamentals of Psychological Assessment and Testing
• How to Read, Evaluate, and Use Research
• Human Resources Kit For Dummies
• Industrial/Organizational Psychology: An Applied Approach
• Introductional Systems Design: Theory and Practice
• Introducing Mindfulness-Based Wellbeing Enhancement
• Issues in Learning And Behavior
• The Essentials of Human Development
• Lifespan Development In Context: A Topical Approach
• Managing Careers &amp; Employability
• Mastering Competencies in Family Therapy: A Practical Approach To Theories &amp; Clinical Case Documentation
• Perfect Table Settings: Styling Techniques
• Person-Centred Experiential Counselling for Depression
• Psychiatric Mental Health Assessment and Diagnosis Of Adults for Advanced Practice Mental Health Nurses
• Psychology: An Introduction
• Quantitative Research Methods in Psychology
• Social Media and Mental Health
• Statistics For Psychology: A Beginner's Guide
• Supervision In School Psychology: The Developmental, Ecological, Problem-Solving Model
• The Language Of The Soul In Narrative Therapy: Spirituality In Clinical Theory and Practice
• Understanding Children's Behavior: Learning to Be With Others in the Early Years
Week by Week Plans for documenting Children's Development
What is Psychology? Foundations, Applications, and Integration
GEN-ED BOOKS
• An Introduction to English Language: Word, Sound and Sentence. PB
• Biochemestry Laboratory, HB
• Brilliant Teaching Using Culture And Artful Thinking to Close Equipy Gaps
• Chemistry Atoms First
• Children's Literature In the Classroom
• Commercial Dance An Essential Guide
• Dance Research Methodologies Ethics, Orientations, and Practices
• Even You Can Learn Statistics and Analytics An Easy To Undesstand Guide
• Explicit English Teaching
• First Class Teaching 10 Lessons You Don't Learn In College
• Introducing Intercultural Communication Global Cultures and Context
• Key Concepts In Biochemistry
• Natural Disaster
• Neurodiversity and Education
• Principles Of Chemistry
• Purposive Communication
• Introductory Physics Summaries, Examples,a nd Practice Problems
• Teaching Mathematics Conceptually Guiding Instructural Principles for 5-10-Years-Olds
• Text Structures And Fables Teaching Students to Write About What They Read
• The Practice Educator's Handbook
• The Trainee Teachers's Handbook
• Using Theories For Second Language Teaching And Learning</v>
      </c>
      <c r="E4365" s="196" t="str">
        <f>IFERROR(__xludf.DUMMYFUNCTION("""COMPUTED_VALUE"""),"FOR LIBRARY'S COPY/FACULTY USE")</f>
        <v>FOR LIBRARY'S COPY/FACULTY USE</v>
      </c>
    </row>
    <row r="4366">
      <c r="A4366" s="234">
        <f>IFERROR(__xludf.DUMMYFUNCTION("""COMPUTED_VALUE"""),104657.0)</f>
        <v>104657</v>
      </c>
      <c r="B4366" s="235" t="str">
        <f>IFERROR(__xludf.DUMMYFUNCTION("""COMPUTED_VALUE"""),"JORA CASIS")</f>
        <v>JORA CASIS</v>
      </c>
      <c r="C4366" s="235" t="str">
        <f>IFERROR(__xludf.DUMMYFUNCTION("""COMPUTED_VALUE"""),"TOURISM")</f>
        <v>TOURISM</v>
      </c>
      <c r="D4366" s="196" t="str">
        <f>IFERROR(__xludf.DUMMYFUNCTION("""COMPUTED_VALUE"""),"SEABOLT BUCKLE 6
LIFE VEST 6
OXYGEN MASK 6")</f>
        <v>SEABOLT BUCKLE 6
LIFE VEST 6
OXYGEN MASK 6</v>
      </c>
      <c r="E4366" s="196" t="str">
        <f>IFERROR(__xludf.DUMMYFUNCTION("""COMPUTED_VALUE"""),"TOUR GUIDING: AIRLINE FLIGHT  ATTENDAND DEMO KIT")</f>
        <v>TOUR GUIDING: AIRLINE FLIGHT  ATTENDAND DEMO KIT</v>
      </c>
    </row>
    <row r="4367">
      <c r="A4367" s="234">
        <f>IFERROR(__xludf.DUMMYFUNCTION("""COMPUTED_VALUE"""),104658.0)</f>
        <v>104658</v>
      </c>
      <c r="B4367" s="235" t="str">
        <f>IFERROR(__xludf.DUMMYFUNCTION("""COMPUTED_VALUE"""),"ANN VILLARUL")</f>
        <v>ANN VILLARUL</v>
      </c>
      <c r="C4367" s="235" t="str">
        <f>IFERROR(__xludf.DUMMYFUNCTION("""COMPUTED_VALUE"""),"ACCREDITATION")</f>
        <v>ACCREDITATION</v>
      </c>
      <c r="D4367" s="196" t="str">
        <f>IFERROR(__xludf.DUMMYFUNCTION("""COMPUTED_VALUE"""),"FOR LEVEL 1 &amp; 4  HYBRID ACCREDITATION VISIT")</f>
        <v>FOR LEVEL 1 &amp; 4  HYBRID ACCREDITATION VISIT</v>
      </c>
      <c r="E4367" s="196" t="str">
        <f>IFERROR(__xludf.DUMMYFUNCTION("""COMPUTED_VALUE"""),"FOR LEVEL 1 &amp; 4  HYBRID ACCREDITATION VISIT")</f>
        <v>FOR LEVEL 1 &amp; 4  HYBRID ACCREDITATION VISIT</v>
      </c>
    </row>
    <row r="4368">
      <c r="A4368" s="234">
        <f>IFERROR(__xludf.DUMMYFUNCTION("""COMPUTED_VALUE"""),104659.0)</f>
        <v>104659</v>
      </c>
      <c r="B4368" s="235" t="str">
        <f>IFERROR(__xludf.DUMMYFUNCTION("""COMPUTED_VALUE"""),"MELISSA ODOÑO")</f>
        <v>MELISSA ODOÑO</v>
      </c>
      <c r="C4368" s="235" t="str">
        <f>IFERROR(__xludf.DUMMYFUNCTION("""COMPUTED_VALUE"""),"LIBRARY COLLEGE")</f>
        <v>LIBRARY COLLEGE</v>
      </c>
      <c r="D4368" s="196" t="str">
        <f>IFERROR(__xludf.DUMMYFUNCTION("""COMPUTED_VALUE"""),"BUSINESS BOOKS
• Brief Principles of Macro Economics
• Business Finance
• Business Analytics Descriptive, Predictive, Prescriptive
• Consumer Behavior
• E-Commerce Business, Technology and Society
• Essentials Of Marketing A Marketing Strategy Planning Ap"&amp;"proach
• Financial And Managerial Accounting The Basis For Business Decissions
• Fundamentals of Investments Valuation And Management
• Introduction To Agribusiness Management and Entrepreneurship
• Management Information System
• Managerial Accounting/13"&amp;"e Creating Value In A Dynamic Business Environment
• Marketing Management
• Managerial Accounting 16e
• Microeconomicss For Today
• MIS (Management Information System)
• Social Media Marketing
• Strategic Management Text &amp; Cases
• The Digital Marketing Pl"&amp;"anner Step-By-Step Guide
• The Global Business Environment Sustainability in the Balance
• Data Analytics for Accounting
• Comparative International Management
• Consumer Behavior
• Customer Experience Analytics How Customers Can Better Guide Your Web and"&amp;" App Design Decission
• Introduction Advertising
• Foundation Of Business
• Microeconomics 14E
• Organizational Behavior and Management
• Real Estate Principles A Value Approach
• Retail Management
TOURISM BOOKS
• Corporate Travel Management
• Event Plan"&amp;"ning in a Socially
• Hospitality and Tourism Management Strategies
• Marketing for Tourism, Hospitality &amp; Events a Global and Digital Approach
• Research in Hospitality
• Sustainable Tourism
• Tourism an Internanational Approach
• Tourism Policy Planning "&amp;"and Development
• Tourism Product Development
• Transportation Management in Tourism and Hospitality
• Travel Agency and Tour Operations")</f>
        <v>BUSINESS BOOKS
• Brief Principles of Macro Economics
• Business Finance
• Business Analytics Descriptive, Predictive, Prescriptive
• Consumer Behavior
• E-Commerce Business, Technology and Society
• Essentials Of Marketing A Marketing Strategy Planning Approach
• Financial And Managerial Accounting The Basis For Business Decissions
• Fundamentals of Investments Valuation And Management
• Introduction To Agribusiness Management and Entrepreneurship
• Management Information System
• Managerial Accounting/13e Creating Value In A Dynamic Business Environment
• Marketing Management
• Managerial Accounting 16e
• Microeconomicss For Today
• MIS (Management Information System)
• Social Media Marketing
• Strategic Management Text &amp; Cases
• The Digital Marketing Planner Step-By-Step Guide
• The Global Business Environment Sustainability in the Balance
• Data Analytics for Accounting
• Comparative International Management
• Consumer Behavior
• Customer Experience Analytics How Customers Can Better Guide Your Web and App Design Decission
• Introduction Advertising
• Foundation Of Business
• Microeconomics 14E
• Organizational Behavior and Management
• Real Estate Principles A Value Approach
• Retail Management
TOURISM BOOKS
• Corporate Travel Management
• Event Planning in a Socially
• Hospitality and Tourism Management Strategies
• Marketing for Tourism, Hospitality &amp; Events a Global and Digital Approach
• Research in Hospitality
• Sustainable Tourism
• Tourism an Internanational Approach
• Tourism Policy Planning and Development
• Tourism Product Development
• Transportation Management in Tourism and Hospitality
• Travel Agency and Tour Operations</v>
      </c>
      <c r="E4368" s="196" t="str">
        <f>IFERROR(__xludf.DUMMYFUNCTION("""COMPUTED_VALUE"""),"FOR LIBRARY'S COPY/FACULTY USE")</f>
        <v>FOR LIBRARY'S COPY/FACULTY USE</v>
      </c>
    </row>
    <row r="4369">
      <c r="A4369" s="234">
        <f>IFERROR(__xludf.DUMMYFUNCTION("""COMPUTED_VALUE"""),104660.0)</f>
        <v>104660</v>
      </c>
      <c r="B4369" s="235" t="str">
        <f>IFERROR(__xludf.DUMMYFUNCTION("""COMPUTED_VALUE"""),"MELISSA ODOÑO")</f>
        <v>MELISSA ODOÑO</v>
      </c>
      <c r="C4369" s="235" t="str">
        <f>IFERROR(__xludf.DUMMYFUNCTION("""COMPUTED_VALUE"""),"LIBRARY COLLEGE")</f>
        <v>LIBRARY COLLEGE</v>
      </c>
      <c r="D4369" s="196" t="str">
        <f>IFERROR(__xludf.DUMMYFUNCTION("""COMPUTED_VALUE"""),"NURSING BOOKS
• Anatomy and Physiology for Nursing
• Clinical Judgement and Decision Making in Nursing
• Criticall Care Nursing
• Clinical Nursing Skills
• Health Promotion and Health Education in Nursing
• Health Education
• Health Promotion for Nursing "&amp;"Students
• Intensive Nursing Practicum Hospital and Community Settings
• Introduction to Nursing Research
• Just Teaching feedback, Engagement, &amp; Well-Being For Each Student
• Microbiology and Parasitology for Nurses
• Nester's Microbiology A Human Perspe"&amp;"ctive
• Nurse Digest: Guide to Head-to-Toe Physical Assessment
• Nurse Digest: Guide to Specimen Collexction, Preparation, and Handling Procedures
• Nurse Digest: Hospital Diets for Select Disease Conditions
• Nurse Digest: Normal Pediatric Developmental "&amp;"Milestones
• Nurse Digest: Intravenous (IV) Therapy Technique
• Nursing Interventions")</f>
        <v>NURSING BOOKS
• Anatomy and Physiology for Nursing
• Clinical Judgement and Decision Making in Nursing
• Criticall Care Nursing
• Clinical Nursing Skills
• Health Promotion and Health Education in Nursing
• Health Education
• Health Promotion for Nursing Students
• Intensive Nursing Practicum Hospital and Community Settings
• Introduction to Nursing Research
• Just Teaching feedback, Engagement, &amp; Well-Being For Each Student
• Microbiology and Parasitology for Nurses
• Nester's Microbiology A Human Perspective
• Nurse Digest: Guide to Head-to-Toe Physical Assessment
• Nurse Digest: Guide to Specimen Collexction, Preparation, and Handling Procedures
• Nurse Digest: Hospital Diets for Select Disease Conditions
• Nurse Digest: Normal Pediatric Developmental Milestones
• Nurse Digest: Intravenous (IV) Therapy Technique
• Nursing Interventions</v>
      </c>
      <c r="E4369" s="196" t="str">
        <f>IFERROR(__xludf.DUMMYFUNCTION("""COMPUTED_VALUE"""),"FOR LIBRARY'S COPY/FACULTY USE")</f>
        <v>FOR LIBRARY'S COPY/FACULTY USE</v>
      </c>
    </row>
    <row r="4370">
      <c r="A4370" s="234">
        <f>IFERROR(__xludf.DUMMYFUNCTION("""COMPUTED_VALUE"""),104661.0)</f>
        <v>104661</v>
      </c>
      <c r="B4370" s="235" t="str">
        <f>IFERROR(__xludf.DUMMYFUNCTION("""COMPUTED_VALUE"""),"LUCILE BEYER")</f>
        <v>LUCILE BEYER</v>
      </c>
      <c r="C4370" s="235" t="str">
        <f>IFERROR(__xludf.DUMMYFUNCTION("""COMPUTED_VALUE"""),"MEDICAL")</f>
        <v>MEDICAL</v>
      </c>
      <c r="D4370" s="196" t="str">
        <f>IFERROR(__xludf.DUMMYFUNCTION("""COMPUTED_VALUE"""),"MEDICINE SUPPLIES ")</f>
        <v>MEDICINE SUPPLIES </v>
      </c>
      <c r="E4370" s="196" t="str">
        <f>IFERROR(__xludf.DUMMYFUNCTION("""COMPUTED_VALUE"""),"ANNUAL PURCHASED OF CLINIC SUPPLIES IN BAMBANG FOR 3 CLINICS")</f>
        <v>ANNUAL PURCHASED OF CLINIC SUPPLIES IN BAMBANG FOR 3 CLINICS</v>
      </c>
    </row>
    <row r="4371">
      <c r="A4371" s="234">
        <f>IFERROR(__xludf.DUMMYFUNCTION("""COMPUTED_VALUE"""),104662.0)</f>
        <v>104662</v>
      </c>
      <c r="B4371" s="235" t="str">
        <f>IFERROR(__xludf.DUMMYFUNCTION("""COMPUTED_VALUE"""),"FATIMA JANDOC ")</f>
        <v>FATIMA JANDOC </v>
      </c>
      <c r="C4371" s="235" t="str">
        <f>IFERROR(__xludf.DUMMYFUNCTION("""COMPUTED_VALUE"""),"LIBRARY BASIC ED")</f>
        <v>LIBRARY BASIC ED</v>
      </c>
      <c r="D4371" s="196" t="str">
        <f>IFERROR(__xludf.DUMMYFUNCTION("""COMPUTED_VALUE"""),"PLASTIC TWINE/PLASTIC STRAW 5 ROLLS 
ANY COLOR")</f>
        <v>PLASTIC TWINE/PLASTIC STRAW 5 ROLLS 
ANY COLOR</v>
      </c>
      <c r="E4371" s="196" t="str">
        <f>IFERROR(__xludf.DUMMYFUNCTION("""COMPUTED_VALUE"""),"TO ENSURE THE SAFE AND ORGANIZED MOVEMENT OF IB BOOKS; LIBRARY RE-LAYOUTING ")</f>
        <v>TO ENSURE THE SAFE AND ORGANIZED MOVEMENT OF IB BOOKS; LIBRARY RE-LAYOUTING </v>
      </c>
    </row>
    <row r="4372">
      <c r="A4372" s="234">
        <f>IFERROR(__xludf.DUMMYFUNCTION("""COMPUTED_VALUE"""),104663.0)</f>
        <v>104663</v>
      </c>
      <c r="B4372" s="235" t="str">
        <f>IFERROR(__xludf.DUMMYFUNCTION("""COMPUTED_VALUE"""),"JESUIT CHRISTIAN GALICIA")</f>
        <v>JESUIT CHRISTIAN GALICIA</v>
      </c>
      <c r="C4372" s="235" t="str">
        <f>IFERROR(__xludf.DUMMYFUNCTION("""COMPUTED_VALUE"""),"AMD")</f>
        <v>AMD</v>
      </c>
      <c r="D4372" s="196" t="str">
        <f>IFERROR(__xludf.DUMMYFUNCTION("""COMPUTED_VALUE"""),"VIDEO CARD 2GB DDR3 64BIT (NVIDIA) 20PCS")</f>
        <v>VIDEO CARD 2GB DDR3 64BIT (NVIDIA) 20PCS</v>
      </c>
      <c r="E4372" s="196" t="str">
        <f>IFERROR(__xludf.DUMMYFUNCTION("""COMPUTED_VALUE"""),"MIS WAREHOUSE REPLENISHMENT")</f>
        <v>MIS WAREHOUSE REPLENISHMENT</v>
      </c>
    </row>
    <row r="4373">
      <c r="A4373" s="234">
        <f>IFERROR(__xludf.DUMMYFUNCTION("""COMPUTED_VALUE"""),104664.0)</f>
        <v>104664</v>
      </c>
      <c r="B4373" s="235" t="str">
        <f>IFERROR(__xludf.DUMMYFUNCTION("""COMPUTED_VALUE"""),"JENNY FONTE")</f>
        <v>JENNY FONTE</v>
      </c>
      <c r="C4373" s="235" t="str">
        <f>IFERROR(__xludf.DUMMYFUNCTION("""COMPUTED_VALUE"""),"BED STAR CAMPUS")</f>
        <v>BED STAR CAMPUS</v>
      </c>
      <c r="D4373" s="196" t="str">
        <f>IFERROR(__xludf.DUMMYFUNCTION("""COMPUTED_VALUE"""),"MATERIALS FOR HE IMPROVEMENT ( KITCHEN ESSENTIALS  AND OTHER THINGS) 1 LOT")</f>
        <v>MATERIALS FOR HE IMPROVEMENT ( KITCHEN ESSENTIALS  AND OTHER THINGS) 1 LOT</v>
      </c>
      <c r="E4373" s="196" t="str">
        <f>IFERROR(__xludf.DUMMYFUNCTION("""COMPUTED_VALUE"""),"STAR HE IMPROVEMENT FOR AY 24-25 AS RECOMMENDED BY WASC STUDENT'S SERVICE LEARNNG")</f>
        <v>STAR HE IMPROVEMENT FOR AY 24-25 AS RECOMMENDED BY WASC STUDENT'S SERVICE LEARNNG</v>
      </c>
    </row>
    <row r="4374">
      <c r="A4374" s="234">
        <f>IFERROR(__xludf.DUMMYFUNCTION("""COMPUTED_VALUE"""),104665.0)</f>
        <v>104665</v>
      </c>
      <c r="B4374" s="235" t="str">
        <f>IFERROR(__xludf.DUMMYFUNCTION("""COMPUTED_VALUE"""),"ALFA DE LEON")</f>
        <v>ALFA DE LEON</v>
      </c>
      <c r="C4374" s="235" t="str">
        <f>IFERROR(__xludf.DUMMYFUNCTION("""COMPUTED_VALUE"""),"ADMIN")</f>
        <v>ADMIN</v>
      </c>
      <c r="D4374" s="196" t="str">
        <f>IFERROR(__xludf.DUMMYFUNCTION("""COMPUTED_VALUE"""),"PHIL FLAG 3x5 36PCS")</f>
        <v>PHIL FLAG 3x5 36PCS</v>
      </c>
      <c r="E4374" s="196" t="str">
        <f>IFERROR(__xludf.DUMMYFUNCTION("""COMPUTED_VALUE"""),"INDEPENDENCE DAY PHIL FLAG")</f>
        <v>INDEPENDENCE DAY PHIL FLAG</v>
      </c>
    </row>
    <row r="4375">
      <c r="A4375" s="234">
        <f>IFERROR(__xludf.DUMMYFUNCTION("""COMPUTED_VALUE"""),104666.0)</f>
        <v>104666</v>
      </c>
      <c r="B4375" s="235" t="str">
        <f>IFERROR(__xludf.DUMMYFUNCTION("""COMPUTED_VALUE"""),"PHEN PETIN")</f>
        <v>PHEN PETIN</v>
      </c>
      <c r="C4375" s="235" t="str">
        <f>IFERROR(__xludf.DUMMYFUNCTION("""COMPUTED_VALUE"""),"ADMIN")</f>
        <v>ADMIN</v>
      </c>
      <c r="D4375" s="196" t="str">
        <f>IFERROR(__xludf.DUMMYFUNCTION("""COMPUTED_VALUE"""),"TARP FOR BOARD UP (QUADRAGLE DESIGN) 
2PCS = 11.00M x 3.00M 
2PC = 14.00M x 3.00M ")</f>
        <v>TARP FOR BOARD UP (QUADRAGLE DESIGN) 
2PCS = 11.00M x 3.00M 
2PC = 14.00M x 3.00M </v>
      </c>
      <c r="E4375" s="196" t="str">
        <f>IFERROR(__xludf.DUMMYFUNCTION("""COMPUTED_VALUE"""),"TARP FOR BOARD UP STAR (QUADRAGLE DESIGN) ")</f>
        <v>TARP FOR BOARD UP STAR (QUADRAGLE DESIGN) </v>
      </c>
    </row>
    <row r="4376">
      <c r="A4376" s="234">
        <f>IFERROR(__xludf.DUMMYFUNCTION("""COMPUTED_VALUE"""),104667.0)</f>
        <v>104667</v>
      </c>
      <c r="B4376" s="235" t="str">
        <f>IFERROR(__xludf.DUMMYFUNCTION("""COMPUTED_VALUE"""),"CHRISTIAN ANDRES")</f>
        <v>CHRISTIAN ANDRES</v>
      </c>
      <c r="C4376" s="235" t="str">
        <f>IFERROR(__xludf.DUMMYFUNCTION("""COMPUTED_VALUE"""),"PR &amp; MARKETING")</f>
        <v>PR &amp; MARKETING</v>
      </c>
      <c r="D4376" s="196" t="str">
        <f>IFERROR(__xludf.DUMMYFUNCTION("""COMPUTED_VALUE"""),"SPLASH ISLAND TARP BATCH 2 6PCS
1 84x240 INCH
2 WITH SEAMING
3 EYELET ALL OVER
4 BLACKOUT")</f>
        <v>SPLASH ISLAND TARP BATCH 2 6PCS
1 84x240 INCH
2 WITH SEAMING
3 EYELET ALL OVER
4 BLACKOUT</v>
      </c>
      <c r="E4376" s="196" t="str">
        <f>IFERROR(__xludf.DUMMYFUNCTION("""COMPUTED_VALUE"""),"MARKETING/ PROMOTIONAL")</f>
        <v>MARKETING/ PROMOTIONAL</v>
      </c>
    </row>
    <row r="4377">
      <c r="A4377" s="234">
        <f>IFERROR(__xludf.DUMMYFUNCTION("""COMPUTED_VALUE"""),104668.0)</f>
        <v>104668</v>
      </c>
      <c r="B4377" s="235" t="str">
        <f>IFERROR(__xludf.DUMMYFUNCTION("""COMPUTED_VALUE"""),"ABEGAIL TOBALADO")</f>
        <v>ABEGAIL TOBALADO</v>
      </c>
      <c r="C4377" s="235" t="str">
        <f>IFERROR(__xludf.DUMMYFUNCTION("""COMPUTED_VALUE"""),"PR &amp; MARKETING")</f>
        <v>PR &amp; MARKETING</v>
      </c>
      <c r="D4377" s="196" t="str">
        <f>IFERROR(__xludf.DUMMYFUNCTION("""COMPUTED_VALUE"""),"TCL TV 55 SMART W/ BRACKET WALL MOUNTED ")</f>
        <v>TCL TV 55 SMART W/ BRACKET WALL MOUNTED </v>
      </c>
      <c r="E4377" s="196" t="str">
        <f>IFERROR(__xludf.DUMMYFUNCTION("""COMPUTED_VALUE"""),"WILL USE IT FOR PR CONFERENCE")</f>
        <v>WILL USE IT FOR PR CONFERENCE</v>
      </c>
    </row>
    <row r="4378">
      <c r="A4378" s="234">
        <f>IFERROR(__xludf.DUMMYFUNCTION("""COMPUTED_VALUE"""),104669.0)</f>
        <v>104669</v>
      </c>
      <c r="B4378" s="235"/>
      <c r="C4378" s="235"/>
      <c r="D4378" s="196"/>
      <c r="E4378" s="196"/>
    </row>
    <row r="4379">
      <c r="A4379" s="234" t="str">
        <f>IFERROR(__xludf.DUMMYFUNCTION("""COMPUTED_VALUE"""),"                                                                                                                                                                                                                                                               "&amp;"                                                                                                                                                                                                                                                               "&amp;"                                                                                                                                                                                                                                                               "&amp;"                                                                                                                                                                                                                                                               "&amp;"                                                                                                                                                                                                                                                               "&amp;"                                                                                                                                                                                                                                                               "&amp;"                                                                                                                                                                                                                                                               "&amp;"                                                                                                                                                                                                                                                               "&amp;"                                                                                                                                                                                                                                                               "&amp;"                                                                                                                                                                                                                                                               "&amp;"                                                                                                                                                                                                                                                               "&amp;"                                                                                                                                                                                                                                                               "&amp;"                                                                                                                                                                                                                                                               "&amp;"                                                                                                                                                                                                                                                               "&amp;"                                                                                                                                                                                                                                                               "&amp;"                                                                                                                                                                                                                                                               "&amp;"                                                                                                                                                                                                                                                               "&amp;"                                                                                                                                                                                                                                                               "&amp;"                                                                                                                                                                                                                                                               "&amp;"                                                                                                                                                                                                                                                               "&amp;"                                                                                                                                                                                                                                                               "&amp;"                                                                                                                                                                                                                                                               "&amp;"                                                                                                                                                                                                                                                               "&amp;"                                                                                                                                                                                                                                                               "&amp;"                                                                                                                                                                                                                                                               "&amp;"                                                                                                                                                                                                                                                               "&amp;"                                                                                                                                                                                                                                                               "&amp;"                                                                                                                                                                                                                                                               "&amp;"                                                                                                                                                                                                                                                               "&amp;"                                                                                                                                                                                                                                                               "&amp;"                                                                                                                                                                                                                                                               "&amp;"                                                                                                                                                                                                                                                               "&amp;"                                                                                                                                                                                                                                                               "&amp;"                               ")</f>
        <v>                                                                                                                                                                                                                                                                                                                                                                                                                                                                                                                                                                                                                                                                                                                                                                                                                                                                                                                                                                                                                                                                                                                                                                                                                                                                                                                                                                                                                                                                                                                                                                                                                                                                                                                                                                                                                                                                                                                                                                                                                                                                                                                                                                                                                                                                                                                                                                                                                                                                                                                                                                                                                                                                                                                                                                                                                                                                                                                                                                                                                                                                                                                                                                                                                                                                                                                                                                                                                                                                                                                                                                                                                                                                                                                                                                                                                                                                                                                                                                                                                                                                                                                                                                                                                                                                                                                                                                                                                                                                                                                                                                                                                                                                                                                                                                                                                                                                                                                                                                                                                                                                                                                                                                                                                                                                                                                                                                                                                                                                                                                                                                                                                                                                                                                                                                                                                                                                                                                                                                                                                                                                                                                                                                                                                                                                                                                                                                                                                                                                                                                                                                                                                                                                                                                                                                                                                                                                                                                                                                                                                                                                                                                                                                                                                                                                                                                                                                                                                                                                                                                                                                                                                                                                                                                                                                                                                                                                                                                                                                                                                                                                                                                                                                                                                                                                                                                                                                                                                                                                                                                                                                                                                                                                                                                                                                                              </v>
      </c>
      <c r="B4379" s="235"/>
      <c r="C4379" s="235"/>
      <c r="D4379" s="196"/>
      <c r="E4379" s="196"/>
    </row>
    <row r="4380">
      <c r="A4380" s="234">
        <f>IFERROR(__xludf.DUMMYFUNCTION("""COMPUTED_VALUE"""),104671.0)</f>
        <v>104671</v>
      </c>
      <c r="B4380" s="235" t="str">
        <f>IFERROR(__xludf.DUMMYFUNCTION("""COMPUTED_VALUE"""),"CHRISTIAN LUCAS")</f>
        <v>CHRISTIAN LUCAS</v>
      </c>
      <c r="C4380" s="235" t="str">
        <f>IFERROR(__xludf.DUMMYFUNCTION("""COMPUTED_VALUE"""),"AV/MIS")</f>
        <v>AV/MIS</v>
      </c>
      <c r="D4380" s="196" t="str">
        <f>IFERROR(__xludf.DUMMYFUNCTION("""COMPUTED_VALUE"""),"PSU PS-3221 9AE 1PC")</f>
        <v>PSU PS-3221 9AE 1PC</v>
      </c>
      <c r="E4380" s="196" t="str">
        <f>IFERROR(__xludf.DUMMYFUNCTION("""COMPUTED_VALUE"""),"FOR REPLACEMENT")</f>
        <v>FOR REPLACEMENT</v>
      </c>
    </row>
    <row r="4381">
      <c r="A4381" s="234">
        <f>IFERROR(__xludf.DUMMYFUNCTION("""COMPUTED_VALUE"""),104672.0)</f>
        <v>104672</v>
      </c>
      <c r="B4381" s="235" t="str">
        <f>IFERROR(__xludf.DUMMYFUNCTION("""COMPUTED_VALUE"""),"JESUIT CHRISTIAN GALICIA")</f>
        <v>JESUIT CHRISTIAN GALICIA</v>
      </c>
      <c r="C4381" s="235" t="str">
        <f>IFERROR(__xludf.DUMMYFUNCTION("""COMPUTED_VALUE"""),"AMD")</f>
        <v>AMD</v>
      </c>
      <c r="D4381" s="196" t="str">
        <f>IFERROR(__xludf.DUMMYFUNCTION("""COMPUTED_VALUE"""),"TOILET FLUSH 20PCS
TEFLON TAPE 20PCS
ANGLE VALVE ONE WAY (WASSERNISON) 10PCS
DRAWER LOCK (YALE) 20PCS")</f>
        <v>TOILET FLUSH 20PCS
TEFLON TAPE 20PCS
ANGLE VALVE ONE WAY (WASSERNISON) 10PCS
DRAWER LOCK (YALE) 20PCS</v>
      </c>
      <c r="E4381" s="196" t="str">
        <f>IFERROR(__xludf.DUMMYFUNCTION("""COMPUTED_VALUE"""),"ENGINEERING  STOCK REPLENISHMENT ")</f>
        <v>ENGINEERING  STOCK REPLENISHMENT </v>
      </c>
    </row>
    <row r="4382">
      <c r="A4382" s="234">
        <f>IFERROR(__xludf.DUMMYFUNCTION("""COMPUTED_VALUE"""),104673.0)</f>
        <v>104673</v>
      </c>
      <c r="B4382" s="235" t="str">
        <f>IFERROR(__xludf.DUMMYFUNCTION("""COMPUTED_VALUE"""),"LYKA PERALTA")</f>
        <v>LYKA PERALTA</v>
      </c>
      <c r="C4382" s="235" t="str">
        <f>IFERROR(__xludf.DUMMYFUNCTION("""COMPUTED_VALUE"""),"AMD")</f>
        <v>AMD</v>
      </c>
      <c r="D4382" s="196" t="str">
        <f>IFERROR(__xludf.DUMMYFUNCTION("""COMPUTED_VALUE"""),"GLUE, ELMER'S - 130GS (OSSUP) 150")</f>
        <v>GLUE, ELMER'S - 130GS (OSSUP) 150</v>
      </c>
      <c r="E4382" s="196" t="str">
        <f>IFERROR(__xludf.DUMMYFUNCTION("""COMPUTED_VALUE"""),"OSSUP- STOCK REPLENISHMENT")</f>
        <v>OSSUP- STOCK REPLENISHMENT</v>
      </c>
    </row>
    <row r="4383">
      <c r="A4383" s="234">
        <f>IFERROR(__xludf.DUMMYFUNCTION("""COMPUTED_VALUE"""),104674.0)</f>
        <v>104674</v>
      </c>
      <c r="B4383" s="235" t="str">
        <f>IFERROR(__xludf.DUMMYFUNCTION("""COMPUTED_VALUE"""),"LYKA PERALTA")</f>
        <v>LYKA PERALTA</v>
      </c>
      <c r="C4383" s="235" t="str">
        <f>IFERROR(__xludf.DUMMYFUNCTION("""COMPUTED_VALUE"""),"AMD")</f>
        <v>AMD</v>
      </c>
      <c r="D4383" s="196" t="str">
        <f>IFERROR(__xludf.DUMMYFUNCTION("""COMPUTED_VALUE"""),"FRAME, CERTIFICATE ORDINARY- BROWN 8.5x11 50PCS")</f>
        <v>FRAME, CERTIFICATE ORDINARY- BROWN 8.5x11 50PCS</v>
      </c>
      <c r="E4383" s="196" t="str">
        <f>IFERROR(__xludf.DUMMYFUNCTION("""COMPUTED_VALUE"""),"OSSUP- STOCK REPLENISHMENT")</f>
        <v>OSSUP- STOCK REPLENISHMENT</v>
      </c>
    </row>
    <row r="4384">
      <c r="A4384" s="234">
        <f>IFERROR(__xludf.DUMMYFUNCTION("""COMPUTED_VALUE"""),104675.0)</f>
        <v>104675</v>
      </c>
      <c r="B4384" s="235" t="str">
        <f>IFERROR(__xludf.DUMMYFUNCTION("""COMPUTED_VALUE"""),"SHEREE ESPINOSA")</f>
        <v>SHEREE ESPINOSA</v>
      </c>
      <c r="C4384" s="235" t="str">
        <f>IFERROR(__xludf.DUMMYFUNCTION("""COMPUTED_VALUE"""),"ADMIN")</f>
        <v>ADMIN</v>
      </c>
      <c r="D4384" s="196" t="str">
        <f>IFERROR(__xludf.DUMMYFUNCTION("""COMPUTED_VALUE"""),"HOOPS 4PCS")</f>
        <v>HOOPS 4PCS</v>
      </c>
      <c r="E4384" s="196" t="str">
        <f>IFERROR(__xludf.DUMMYFUNCTION("""COMPUTED_VALUE"""),"REPLACEMENT FOR MONARCH GYM")</f>
        <v>REPLACEMENT FOR MONARCH GYM</v>
      </c>
    </row>
    <row r="4385">
      <c r="A4385" s="234">
        <f>IFERROR(__xludf.DUMMYFUNCTION("""COMPUTED_VALUE"""),104676.0)</f>
        <v>104676</v>
      </c>
      <c r="B4385" s="235" t="str">
        <f>IFERROR(__xludf.DUMMYFUNCTION("""COMPUTED_VALUE"""),"SHEREE ESPINOSA")</f>
        <v>SHEREE ESPINOSA</v>
      </c>
      <c r="C4385" s="235" t="str">
        <f>IFERROR(__xludf.DUMMYFUNCTION("""COMPUTED_VALUE"""),"ADMIN")</f>
        <v>ADMIN</v>
      </c>
      <c r="D4385" s="196" t="str">
        <f>IFERROR(__xludf.DUMMYFUNCTION("""COMPUTED_VALUE"""),"MATERIALS FOR REPAINTING
SEMIGLOSS 15TIN
FLAT LATEX 3TIN
CHOCOLATE BROWN (ROOF GUARD) 2 TIN
ROCIENA 5QRT
LAMP BLACK 5QRT
BULLETIN RED 5QRT
THALO BLUE 5QRT
HANSA YELLOW 5QRT
ENAMEL WHITE 2 TIN
PAINT ROLLER #8 10PCS
SANDING PAPER 10METERS
PAINT BRUSH #2 10P"&amp;"CS
BORAL 3BAGS
POLITUFF W/ HARDINER 4LITERS")</f>
        <v>MATERIALS FOR REPAINTING
SEMIGLOSS 15TIN
FLAT LATEX 3TIN
CHOCOLATE BROWN (ROOF GUARD) 2 TIN
ROCIENA 5QRT
LAMP BLACK 5QRT
BULLETIN RED 5QRT
THALO BLUE 5QRT
HANSA YELLOW 5QRT
ENAMEL WHITE 2 TIN
PAINT ROLLER #8 10PCS
SANDING PAPER 10METERS
PAINT BRUSH #2 10PCS
BORAL 3BAGS
POLITUFF W/ HARDINER 4LITERS</v>
      </c>
      <c r="E4385" s="196" t="str">
        <f>IFERROR(__xludf.DUMMYFUNCTION("""COMPUTED_VALUE"""),"MATERIALS FOR CAMPUS REPAINTING OF CLASSROOMS, HALLWAYS, LOBBY AND HANDRAILS")</f>
        <v>MATERIALS FOR CAMPUS REPAINTING OF CLASSROOMS, HALLWAYS, LOBBY AND HANDRAILS</v>
      </c>
    </row>
    <row r="4386">
      <c r="A4386" s="234">
        <f>IFERROR(__xludf.DUMMYFUNCTION("""COMPUTED_VALUE"""),104677.0)</f>
        <v>104677</v>
      </c>
      <c r="B4386" s="235" t="str">
        <f>IFERROR(__xludf.DUMMYFUNCTION("""COMPUTED_VALUE"""),"MICHAEL GRAVAMEN ")</f>
        <v>MICHAEL GRAVAMEN </v>
      </c>
      <c r="C4386" s="235" t="str">
        <f>IFERROR(__xludf.DUMMYFUNCTION("""COMPUTED_VALUE"""),"K12- IB DIVISION")</f>
        <v>K12- IB DIVISION</v>
      </c>
      <c r="D4386" s="196" t="str">
        <f>IFERROR(__xludf.DUMMYFUNCTION("""COMPUTED_VALUE"""),"SEAGATE HDD 4TB 1PC")</f>
        <v>SEAGATE HDD 4TB 1PC</v>
      </c>
      <c r="E4386" s="196" t="str">
        <f>IFERROR(__xludf.DUMMYFUNCTION("""COMPUTED_VALUE"""),"DEDICATED (NETWORK ) DRIVE FOR K12 AND IB DIVISION, ACCOMODATE HIGH RESO VIDEOS/ PHOTOS")</f>
        <v>DEDICATED (NETWORK ) DRIVE FOR K12 AND IB DIVISION, ACCOMODATE HIGH RESO VIDEOS/ PHOTOS</v>
      </c>
    </row>
    <row r="4387">
      <c r="A4387" s="234">
        <f>IFERROR(__xludf.DUMMYFUNCTION("""COMPUTED_VALUE"""),104678.0)</f>
        <v>104678</v>
      </c>
      <c r="B4387" s="235" t="str">
        <f>IFERROR(__xludf.DUMMYFUNCTION("""COMPUTED_VALUE"""),"SHEREE ESPINOSA")</f>
        <v>SHEREE ESPINOSA</v>
      </c>
      <c r="C4387" s="235" t="str">
        <f>IFERROR(__xludf.DUMMYFUNCTION("""COMPUTED_VALUE"""),"ADMIN")</f>
        <v>ADMIN</v>
      </c>
      <c r="D4387" s="196" t="str">
        <f>IFERROR(__xludf.DUMMYFUNCTION("""COMPUTED_VALUE"""),"STEEL BACK HEAVY DUTY TYPE OPEN SHELVES 2PCS")</f>
        <v>STEEL BACK HEAVY DUTY TYPE OPEN SHELVES 2PCS</v>
      </c>
      <c r="E4387" s="196" t="str">
        <f>IFERROR(__xludf.DUMMYFUNCTION("""COMPUTED_VALUE"""),"FILING SHELVES FOR NEW TCPD OFFICE")</f>
        <v>FILING SHELVES FOR NEW TCPD OFFICE</v>
      </c>
    </row>
    <row r="4388">
      <c r="A4388" s="234">
        <f>IFERROR(__xludf.DUMMYFUNCTION("""COMPUTED_VALUE"""),104679.0)</f>
        <v>104679</v>
      </c>
      <c r="B4388" s="235" t="str">
        <f>IFERROR(__xludf.DUMMYFUNCTION("""COMPUTED_VALUE"""),"PAUL ARANA")</f>
        <v>PAUL ARANA</v>
      </c>
      <c r="C4388" s="235" t="str">
        <f>IFERROR(__xludf.DUMMYFUNCTION("""COMPUTED_VALUE"""),"AV/MIS")</f>
        <v>AV/MIS</v>
      </c>
      <c r="D4388" s="196" t="str">
        <f>IFERROR(__xludf.DUMMYFUNCTION("""COMPUTED_VALUE"""),"KINGSTON SSD (256GB) 228PCS")</f>
        <v>KINGSTON SSD (256GB) 228PCS</v>
      </c>
      <c r="E4388" s="196" t="str">
        <f>IFERROR(__xludf.DUMMYFUNCTION("""COMPUTED_VALUE"""),"FOR COMPUTER UPGRADE DURING PM")</f>
        <v>FOR COMPUTER UPGRADE DURING PM</v>
      </c>
    </row>
    <row r="4389">
      <c r="A4389" s="234">
        <f>IFERROR(__xludf.DUMMYFUNCTION("""COMPUTED_VALUE"""),104680.0)</f>
        <v>104680</v>
      </c>
      <c r="B4389" s="235" t="str">
        <f>IFERROR(__xludf.DUMMYFUNCTION("""COMPUTED_VALUE"""),"PAUL ARANA")</f>
        <v>PAUL ARANA</v>
      </c>
      <c r="C4389" s="235" t="str">
        <f>IFERROR(__xludf.DUMMYFUNCTION("""COMPUTED_VALUE"""),"AV/MIS")</f>
        <v>AV/MIS</v>
      </c>
      <c r="D4389" s="196" t="str">
        <f>IFERROR(__xludf.DUMMYFUNCTION("""COMPUTED_VALUE"""),"KIINGSTON RAM DDR3 (4GB) 47
KINGSTON RAM DDR4 (4GB) 25")</f>
        <v>KIINGSTON RAM DDR3 (4GB) 47
KINGSTON RAM DDR4 (4GB) 25</v>
      </c>
      <c r="E4389" s="196" t="str">
        <f>IFERROR(__xludf.DUMMYFUNCTION("""COMPUTED_VALUE"""),"COMPUTER UPGRADE DURING PM")</f>
        <v>COMPUTER UPGRADE DURING PM</v>
      </c>
    </row>
    <row r="4390">
      <c r="A4390" s="234">
        <f>IFERROR(__xludf.DUMMYFUNCTION("""COMPUTED_VALUE"""),104681.0)</f>
        <v>104681</v>
      </c>
      <c r="B4390" s="235" t="str">
        <f>IFERROR(__xludf.DUMMYFUNCTION("""COMPUTED_VALUE"""),"PAUL ARANA")</f>
        <v>PAUL ARANA</v>
      </c>
      <c r="C4390" s="235" t="str">
        <f>IFERROR(__xludf.DUMMYFUNCTION("""COMPUTED_VALUE"""),"AV/MIS")</f>
        <v>AV/MIS</v>
      </c>
      <c r="D4390" s="196" t="str">
        <f>IFERROR(__xludf.DUMMYFUNCTION("""COMPUTED_VALUE"""),"STANLEY (SCREW DRIVER) 9
CUTTING PLIERS 9
SANDISK FLASHDRIVE 9
COMPUTER VACUUM CLEANER 3
PAINT BRUSH 9
CONTACT CLEANER 3")</f>
        <v>STANLEY (SCREW DRIVER) 9
CUTTING PLIERS 9
SANDISK FLASHDRIVE 9
COMPUTER VACUUM CLEANER 3
PAINT BRUSH 9
CONTACT CLEANER 3</v>
      </c>
      <c r="E4390" s="196" t="str">
        <f>IFERROR(__xludf.DUMMYFUNCTION("""COMPUTED_VALUE"""),"MATERIALS NEEDED FOR PM")</f>
        <v>MATERIALS NEEDED FOR PM</v>
      </c>
    </row>
    <row r="4391">
      <c r="A4391" s="234">
        <f>IFERROR(__xludf.DUMMYFUNCTION("""COMPUTED_VALUE"""),104682.0)</f>
        <v>104682</v>
      </c>
      <c r="B4391" s="235" t="str">
        <f>IFERROR(__xludf.DUMMYFUNCTION("""COMPUTED_VALUE"""),"PAUL ARANA")</f>
        <v>PAUL ARANA</v>
      </c>
      <c r="C4391" s="235" t="str">
        <f>IFERROR(__xludf.DUMMYFUNCTION("""COMPUTED_VALUE"""),"AV/MIS")</f>
        <v>AV/MIS</v>
      </c>
      <c r="D4391" s="196" t="str">
        <f>IFERROR(__xludf.DUMMYFUNCTION("""COMPUTED_VALUE"""),"UGREEN HDMI CABLE 2.0 20")</f>
        <v>UGREEN HDMI CABLE 2.0 20</v>
      </c>
      <c r="E4391" s="196" t="str">
        <f>IFERROR(__xludf.DUMMYFUNCTION("""COMPUTED_VALUE"""),"FOR STOCK AND FOR REPLACEMENT OF SOME CLASSROOMS THAT HAVING A HDMI PROBLEM")</f>
        <v>FOR STOCK AND FOR REPLACEMENT OF SOME CLASSROOMS THAT HAVING A HDMI PROBLEM</v>
      </c>
    </row>
    <row r="4392">
      <c r="A4392" s="234">
        <f>IFERROR(__xludf.DUMMYFUNCTION("""COMPUTED_VALUE"""),104683.0)</f>
        <v>104683</v>
      </c>
      <c r="B4392" s="235" t="str">
        <f>IFERROR(__xludf.DUMMYFUNCTION("""COMPUTED_VALUE"""),"JENNIFER FONTE ")</f>
        <v>JENNIFER FONTE </v>
      </c>
      <c r="C4392" s="235" t="str">
        <f>IFERROR(__xludf.DUMMYFUNCTION("""COMPUTED_VALUE"""),"GRADE SCHOOL")</f>
        <v>GRADE SCHOOL</v>
      </c>
      <c r="D4392" s="196" t="str">
        <f>IFERROR(__xludf.DUMMYFUNCTION("""COMPUTED_VALUE"""),"MICROWAVE OVEN 1
CONVENTION OVEN 1
HANDMIXER 1
BLENDER 1
ELECTRIC STOVE 1
RICE COOKER 1")</f>
        <v>MICROWAVE OVEN 1
CONVENTION OVEN 1
HANDMIXER 1
BLENDER 1
ELECTRIC STOVE 1
RICE COOKER 1</v>
      </c>
      <c r="E4392" s="196" t="str">
        <f>IFERROR(__xludf.DUMMYFUNCTION("""COMPUTED_VALUE"""),"HE IMPROVEMENTS/ FOR AY 24-25 AS RECOMMENDED BY WASC FOR STUDENT SERVICE LEARNING")</f>
        <v>HE IMPROVEMENTS/ FOR AY 24-25 AS RECOMMENDED BY WASC FOR STUDENT SERVICE LEARNING</v>
      </c>
    </row>
    <row r="4393">
      <c r="A4393" s="234">
        <f>IFERROR(__xludf.DUMMYFUNCTION("""COMPUTED_VALUE"""),104684.0)</f>
        <v>104684</v>
      </c>
      <c r="B4393" s="235" t="str">
        <f>IFERROR(__xludf.DUMMYFUNCTION("""COMPUTED_VALUE"""),"JENNIFER FONTE ")</f>
        <v>JENNIFER FONTE </v>
      </c>
      <c r="C4393" s="235" t="str">
        <f>IFERROR(__xludf.DUMMYFUNCTION("""COMPUTED_VALUE"""),"GRADE SCHOOL")</f>
        <v>GRADE SCHOOL</v>
      </c>
      <c r="D4393" s="196" t="str">
        <f>IFERROR(__xludf.DUMMYFUNCTION("""COMPUTED_VALUE"""),"SINGLE BED WITH BEDFRAME AND FOAM 1
SMILE COUCH 1 SET
SIDE TABLE 1
DINING TABLE FOR 4 1 SET")</f>
        <v>SINGLE BED WITH BEDFRAME AND FOAM 1
SMILE COUCH 1 SET
SIDE TABLE 1
DINING TABLE FOR 4 1 SET</v>
      </c>
      <c r="E4393" s="196" t="str">
        <f>IFERROR(__xludf.DUMMYFUNCTION("""COMPUTED_VALUE"""),"HE IMPROVEMENTS/ FOR AY 24-25 AS RECOMMENDED BY WASC FOR STUDENT SERVICE LEARNING")</f>
        <v>HE IMPROVEMENTS/ FOR AY 24-25 AS RECOMMENDED BY WASC FOR STUDENT SERVICE LEARNING</v>
      </c>
    </row>
    <row r="4394">
      <c r="A4394" s="234">
        <f>IFERROR(__xludf.DUMMYFUNCTION("""COMPUTED_VALUE"""),104685.0)</f>
        <v>104685</v>
      </c>
      <c r="B4394" s="235" t="str">
        <f>IFERROR(__xludf.DUMMYFUNCTION("""COMPUTED_VALUE"""),"JOHNY QUIQUI")</f>
        <v>JOHNY QUIQUI</v>
      </c>
      <c r="C4394" s="235" t="str">
        <f>IFERROR(__xludf.DUMMYFUNCTION("""COMPUTED_VALUE"""),"STUFFSHOP")</f>
        <v>STUFFSHOP</v>
      </c>
      <c r="D4394" s="196" t="str">
        <f>IFERROR(__xludf.DUMMYFUNCTION("""COMPUTED_VALUE"""),"CASH DRAWER 1")</f>
        <v>CASH DRAWER 1</v>
      </c>
      <c r="E4394" s="196" t="str">
        <f>IFERROR(__xludf.DUMMYFUNCTION("""COMPUTED_VALUE"""),"REPLACEMENT OF CASH DRAWER")</f>
        <v>REPLACEMENT OF CASH DRAWER</v>
      </c>
    </row>
    <row r="4395">
      <c r="A4395" s="234">
        <f>IFERROR(__xludf.DUMMYFUNCTION("""COMPUTED_VALUE"""),104686.0)</f>
        <v>104686</v>
      </c>
      <c r="B4395" s="235" t="str">
        <f>IFERROR(__xludf.DUMMYFUNCTION("""COMPUTED_VALUE"""),"MELLISA ODONO")</f>
        <v>MELLISA ODONO</v>
      </c>
      <c r="C4395" s="235" t="str">
        <f>IFERROR(__xludf.DUMMYFUNCTION("""COMPUTED_VALUE"""),"K12- IB LIBRARY")</f>
        <v>K12- IB LIBRARY</v>
      </c>
      <c r="D4395" s="196" t="str">
        <f>IFERROR(__xludf.DUMMYFUNCTION("""COMPUTED_VALUE"""),"IB BOOKS- 1
New Ib Dp Biology Study Guide 1
New Ib Dp Chemistry Study Guide (Oxford Resources for lb: Diploma Programme) Study Guide Edition 1
NEW IB Prepared: Mathematics Analysis and Approaches 1
Oxford IB Diploma Programme IB Prepared: Business Managem"&amp;"ent 1
NEW IB Prepared: Mathematics Applications and interpretations 1
Chemistry for the IB Diploma Workbook with Digital Access (2 Years) 2nd Edition 1
Biology for the IB Diploma Workbook with Digital Access (2 Years) 3rd Edition 1
Physics for the IB Dipl"&amp;"oma Workbook with Digital Access (2 Years) 7th Edition 1
Physics for the IB Diploma Coursebook with Digital Access (2 Years) 7th Edition 1")</f>
        <v>IB BOOKS- 1
New Ib Dp Biology Study Guide 1
New Ib Dp Chemistry Study Guide (Oxford Resources for lb: Diploma Programme) Study Guide Edition 1
NEW IB Prepared: Mathematics Analysis and Approaches 1
Oxford IB Diploma Programme IB Prepared: Business Management 1
NEW IB Prepared: Mathematics Applications and interpretations 1
Chemistry for the IB Diploma Workbook with Digital Access (2 Years) 2nd Edition 1
Biology for the IB Diploma Workbook with Digital Access (2 Years) 3rd Edition 1
Physics for the IB Diploma Workbook with Digital Access (2 Years) 7th Edition 1
Physics for the IB Diploma Coursebook with Digital Access (2 Years) 7th Edition 1</v>
      </c>
      <c r="E4395" s="196" t="str">
        <f>IFERROR(__xludf.DUMMYFUNCTION("""COMPUTED_VALUE"""),"FOR FACULTY USE/ LIBRARY'S COPY")</f>
        <v>FOR FACULTY USE/ LIBRARY'S COPY</v>
      </c>
    </row>
    <row r="4396">
      <c r="A4396" s="234">
        <f>IFERROR(__xludf.DUMMYFUNCTION("""COMPUTED_VALUE"""),104687.0)</f>
        <v>104687</v>
      </c>
      <c r="B4396" s="235" t="str">
        <f>IFERROR(__xludf.DUMMYFUNCTION("""COMPUTED_VALUE"""),"PHEN PETIN")</f>
        <v>PHEN PETIN</v>
      </c>
      <c r="C4396" s="235" t="str">
        <f>IFERROR(__xludf.DUMMYFUNCTION("""COMPUTED_VALUE"""),"ADMIN- STAR")</f>
        <v>ADMIN- STAR</v>
      </c>
      <c r="D4396" s="196" t="str">
        <f>IFERROR(__xludf.DUMMYFUNCTION("""COMPUTED_VALUE"""),"MICROPHONE STAND 2")</f>
        <v>MICROPHONE STAND 2</v>
      </c>
      <c r="E4396" s="196" t="str">
        <f>IFERROR(__xludf.DUMMYFUNCTION("""COMPUTED_VALUE"""),"MICROPHONE STAND 2")</f>
        <v>MICROPHONE STAND 2</v>
      </c>
    </row>
    <row r="4397">
      <c r="A4397" s="234">
        <f>IFERROR(__xludf.DUMMYFUNCTION("""COMPUTED_VALUE"""),104688.0)</f>
        <v>104688</v>
      </c>
      <c r="B4397" s="235" t="str">
        <f>IFERROR(__xludf.DUMMYFUNCTION("""COMPUTED_VALUE"""),"MELLISA ODONO")</f>
        <v>MELLISA ODONO</v>
      </c>
      <c r="C4397" s="235" t="str">
        <f>IFERROR(__xludf.DUMMYFUNCTION("""COMPUTED_VALUE"""),"K12 IB")</f>
        <v>K12 IB</v>
      </c>
      <c r="D4397" s="196" t="str">
        <f>IFERROR(__xludf.DUMMYFUNCTION("""COMPUTED_VALUE"""),"SRA 1: SCHOOL HOUSE 5
SRA 2: POWER BUILDER 1A 5
SRA 3: POWER BUILDER 1B 5
SRA 4: POWER BUILDER 1C 5
SRA 5: POWER BUILDER 1D 5
 SRA 6: POWER BUILDER 1E 5
SRA 7: POWER BUILDER 1F 5
MARK 2B (GR8: RECORD BOOK 5
 MARK 2C (GR9: RECORD BOOK 5
READING LAB 3A (GR1"&amp;"0: RECORD BOOK 5
READING LAB 3B(GR11: RECORD BOOK 5
")</f>
        <v>SRA 1: SCHOOL HOUSE 5
SRA 2: POWER BUILDER 1A 5
SRA 3: POWER BUILDER 1B 5
SRA 4: POWER BUILDER 1C 5
SRA 5: POWER BUILDER 1D 5
 SRA 6: POWER BUILDER 1E 5
SRA 7: POWER BUILDER 1F 5
MARK 2B (GR8: RECORD BOOK 5
 MARK 2C (GR9: RECORD BOOK 5
READING LAB 3A (GR10: RECORD BOOK 5
READING LAB 3B(GR11: RECORD BOOK 5
</v>
      </c>
      <c r="E4397" s="196" t="str">
        <f>IFERROR(__xludf.DUMMYFUNCTION("""COMPUTED_VALUE"""),"FOR FACULTY USE/ LIBRARY'S COPY")</f>
        <v>FOR FACULTY USE/ LIBRARY'S COPY</v>
      </c>
    </row>
    <row r="4398">
      <c r="A4398" s="234">
        <f>IFERROR(__xludf.DUMMYFUNCTION("""COMPUTED_VALUE"""),104689.0)</f>
        <v>104689</v>
      </c>
      <c r="B4398" s="235" t="str">
        <f>IFERROR(__xludf.DUMMYFUNCTION("""COMPUTED_VALUE"""),"SHERYL MANALO")</f>
        <v>SHERYL MANALO</v>
      </c>
      <c r="C4398" s="235" t="str">
        <f>IFERROR(__xludf.DUMMYFUNCTION("""COMPUTED_VALUE"""),"GRADE SCHOOL")</f>
        <v>GRADE SCHOOL</v>
      </c>
      <c r="D4398" s="196" t="str">
        <f>IFERROR(__xludf.DUMMYFUNCTION("""COMPUTED_VALUE"""),"MICROWAVE OVEN 1
TOASTER 1
HANDMIXER 1
BLENDER 1
ELECTRIC STOVE 1
RICE COOKER 1")</f>
        <v>MICROWAVE OVEN 1
TOASTER 1
HANDMIXER 1
BLENDER 1
ELECTRIC STOVE 1
RICE COOKER 1</v>
      </c>
      <c r="E4398" s="196" t="str">
        <f>IFERROR(__xludf.DUMMYFUNCTION("""COMPUTED_VALUE"""),"WASC RECOMMENDATION FOR SERVICE LEARNING")</f>
        <v>WASC RECOMMENDATION FOR SERVICE LEARNING</v>
      </c>
    </row>
    <row r="4399">
      <c r="A4399" s="234">
        <f>IFERROR(__xludf.DUMMYFUNCTION("""COMPUTED_VALUE"""),104690.0)</f>
        <v>104690</v>
      </c>
      <c r="B4399" s="235" t="str">
        <f>IFERROR(__xludf.DUMMYFUNCTION("""COMPUTED_VALUE"""),"SHERYL MANALO")</f>
        <v>SHERYL MANALO</v>
      </c>
      <c r="C4399" s="235" t="str">
        <f>IFERROR(__xludf.DUMMYFUNCTION("""COMPUTED_VALUE"""),"GRADE SCHOOL")</f>
        <v>GRADE SCHOOL</v>
      </c>
      <c r="D4399" s="196" t="str">
        <f>IFERROR(__xludf.DUMMYFUNCTION("""COMPUTED_VALUE"""),"FRYING PAN/ SKILLET 2
SAUCE PAN 1
WOK 1
ROASTING PAN 1
STEAMER POTS
STOCK POTS 1
BAKING TRAY 5
SLOTTED TURNER 4
SOLID TURNER 4
SLOTTED SPOON 4
SOLID SPOON 4
MIXING BOWLS 4
SERVICE SPOONS 4
KNIFE 4 SETS
TONG 4
PLATES, SPOON, FORK 1 SET OF 4
CUP AND SAUCER "&amp;"4 SET
GLASSES 4PCS
TABLE NAPKIN 4PCS")</f>
        <v>FRYING PAN/ SKILLET 2
SAUCE PAN 1
WOK 1
ROASTING PAN 1
STEAMER POTS
STOCK POTS 1
BAKING TRAY 5
SLOTTED TURNER 4
SOLID TURNER 4
SLOTTED SPOON 4
SOLID SPOON 4
MIXING BOWLS 4
SERVICE SPOONS 4
KNIFE 4 SETS
TONG 4
PLATES, SPOON, FORK 1 SET OF 4
CUP AND SAUCER 4 SET
GLASSES 4PCS
TABLE NAPKIN 4PCS</v>
      </c>
      <c r="E4399" s="196" t="str">
        <f>IFERROR(__xludf.DUMMYFUNCTION("""COMPUTED_VALUE"""),"FOR WASC RECOMMENDATION FOR SERVICE LEARNING")</f>
        <v>FOR WASC RECOMMENDATION FOR SERVICE LEARNING</v>
      </c>
    </row>
    <row r="4400">
      <c r="A4400" s="234">
        <f>IFERROR(__xludf.DUMMYFUNCTION("""COMPUTED_VALUE"""),104691.0)</f>
        <v>104691</v>
      </c>
      <c r="B4400" s="235" t="str">
        <f>IFERROR(__xludf.DUMMYFUNCTION("""COMPUTED_VALUE"""),"LYKA PERALTA")</f>
        <v>LYKA PERALTA</v>
      </c>
      <c r="C4400" s="235" t="str">
        <f>IFERROR(__xludf.DUMMYFUNCTION("""COMPUTED_VALUE"""),"AMD")</f>
        <v>AMD</v>
      </c>
      <c r="D4400" s="196" t="str">
        <f>IFERROR(__xludf.DUMMYFUNCTION("""COMPUTED_VALUE"""),"TOWEL, HAND- GOOD MORNING 360 PCS")</f>
        <v>TOWEL, HAND- GOOD MORNING 360 PCS</v>
      </c>
      <c r="E4400" s="196" t="str">
        <f>IFERROR(__xludf.DUMMYFUNCTION("""COMPUTED_VALUE"""),"OSSUP- STOCK REPLENISHMENT")</f>
        <v>OSSUP- STOCK REPLENISHMENT</v>
      </c>
    </row>
    <row r="4401">
      <c r="A4401" s="234">
        <f>IFERROR(__xludf.DUMMYFUNCTION("""COMPUTED_VALUE"""),104692.0)</f>
        <v>104692</v>
      </c>
      <c r="B4401" s="235" t="str">
        <f>IFERROR(__xludf.DUMMYFUNCTION("""COMPUTED_VALUE"""),"JENNY FONTE")</f>
        <v>JENNY FONTE</v>
      </c>
      <c r="C4401" s="235" t="str">
        <f>IFERROR(__xludf.DUMMYFUNCTION("""COMPUTED_VALUE"""),"STAR CAMPUS")</f>
        <v>STAR CAMPUS</v>
      </c>
      <c r="D4401" s="196" t="str">
        <f>IFERROR(__xludf.DUMMYFUNCTION("""COMPUTED_VALUE"""),"SCIENCE LAB MATERIALS - PLEASE SEE ATTACHED")</f>
        <v>SCIENCE LAB MATERIALS - PLEASE SEE ATTACHED</v>
      </c>
      <c r="E4401" s="196" t="str">
        <f>IFERROR(__xludf.DUMMYFUNCTION("""COMPUTED_VALUE"""),"FOR IMPROVEMENT OF SCIENCE LAB AS RECOMMENDED IN EQA 23-24 FINDINGS")</f>
        <v>FOR IMPROVEMENT OF SCIENCE LAB AS RECOMMENDED IN EQA 23-24 FINDINGS</v>
      </c>
    </row>
    <row r="4402">
      <c r="A4402" s="234">
        <f>IFERROR(__xludf.DUMMYFUNCTION("""COMPUTED_VALUE"""),104693.0)</f>
        <v>104693</v>
      </c>
      <c r="B4402" s="235" t="str">
        <f>IFERROR(__xludf.DUMMYFUNCTION("""COMPUTED_VALUE"""),"SHEREE ESPINOSA")</f>
        <v>SHEREE ESPINOSA</v>
      </c>
      <c r="C4402" s="235" t="str">
        <f>IFERROR(__xludf.DUMMYFUNCTION("""COMPUTED_VALUE"""),"ADMIN")</f>
        <v>ADMIN</v>
      </c>
      <c r="D4402" s="196" t="str">
        <f>IFERROR(__xludf.DUMMYFUNCTION("""COMPUTED_VALUE"""),"MATERIALS FOR REPAINTING
SEMI-GLOSS 5TIN
ROOF GUARD CHOCO BROWN 1 TIN
ROCIENA 5QRT
PAINT BRUSH 2 5PCS
PAINT ROLLER 7 5PCS
SANDING PAPER 120  5 METERS
RAGS 2KGS")</f>
        <v>MATERIALS FOR REPAINTING
SEMI-GLOSS 5TIN
ROOF GUARD CHOCO BROWN 1 TIN
ROCIENA 5QRT
PAINT BRUSH 2 5PCS
PAINT ROLLER 7 5PCS
SANDING PAPER 120  5 METERS
RAGS 2KGS</v>
      </c>
      <c r="E4402" s="196" t="str">
        <f>IFERROR(__xludf.DUMMYFUNCTION("""COMPUTED_VALUE"""),"MATERIALS FOR COLLEGE BUILDING REPAINTING OF CLASSROOMS, HALLWAYS, LOBBY, HANDRAILS")</f>
        <v>MATERIALS FOR COLLEGE BUILDING REPAINTING OF CLASSROOMS, HALLWAYS, LOBBY, HANDRAILS</v>
      </c>
    </row>
    <row r="4403">
      <c r="A4403" s="234">
        <f>IFERROR(__xludf.DUMMYFUNCTION("""COMPUTED_VALUE"""),104694.0)</f>
        <v>104694</v>
      </c>
      <c r="B4403" s="235" t="str">
        <f>IFERROR(__xludf.DUMMYFUNCTION("""COMPUTED_VALUE"""),"CHARLES DONOR")</f>
        <v>CHARLES DONOR</v>
      </c>
      <c r="C4403" s="235" t="str">
        <f>IFERROR(__xludf.DUMMYFUNCTION("""COMPUTED_VALUE"""),"AMD")</f>
        <v>AMD</v>
      </c>
      <c r="D4403" s="196" t="str">
        <f>IFERROR(__xludf.DUMMYFUNCTION("""COMPUTED_VALUE"""),"STORAGE BOX FOR FILING COLOR BLACK 10PCS")</f>
        <v>STORAGE BOX FOR FILING COLOR BLACK 10PCS</v>
      </c>
      <c r="E4403" s="196" t="str">
        <f>IFERROR(__xludf.DUMMYFUNCTION("""COMPUTED_VALUE"""),"FOR FILING OF DOCUMENTS (PO FOR DELIVERIES)")</f>
        <v>FOR FILING OF DOCUMENTS (PO FOR DELIVERIES)</v>
      </c>
    </row>
    <row r="4404">
      <c r="A4404" s="234">
        <f>IFERROR(__xludf.DUMMYFUNCTION("""COMPUTED_VALUE"""),104695.0)</f>
        <v>104695</v>
      </c>
      <c r="B4404" s="235" t="str">
        <f>IFERROR(__xludf.DUMMYFUNCTION("""COMPUTED_VALUE"""),"ANGELIE MADANLOG")</f>
        <v>ANGELIE MADANLOG</v>
      </c>
      <c r="C4404" s="235" t="str">
        <f>IFERROR(__xludf.DUMMYFUNCTION("""COMPUTED_VALUE"""),"FINANCE &amp; ACCOUNTING")</f>
        <v>FINANCE &amp; ACCOUNTING</v>
      </c>
      <c r="D4404" s="196" t="str">
        <f>IFERROR(__xludf.DUMMYFUNCTION("""COMPUTED_VALUE"""),"ASSESSMENT FORM 10 BOX
ASSESSMENT START # 329501")</f>
        <v>ASSESSMENT FORM 10 BOX
ASSESSMENT START # 329501</v>
      </c>
      <c r="E4404" s="196" t="str">
        <f>IFERROR(__xludf.DUMMYFUNCTION("""COMPUTED_VALUE"""),"FOR ENROLLMENT AY 2024-2025")</f>
        <v>FOR ENROLLMENT AY 2024-2025</v>
      </c>
    </row>
    <row r="4405">
      <c r="A4405" s="234">
        <f>IFERROR(__xludf.DUMMYFUNCTION("""COMPUTED_VALUE"""),104696.0)</f>
        <v>104696</v>
      </c>
      <c r="B4405" s="235" t="str">
        <f>IFERROR(__xludf.DUMMYFUNCTION("""COMPUTED_VALUE"""),"KAREEN CARIO")</f>
        <v>KAREEN CARIO</v>
      </c>
      <c r="C4405" s="235" t="str">
        <f>IFERROR(__xludf.DUMMYFUNCTION("""COMPUTED_VALUE"""),"PR &amp; MARKETING")</f>
        <v>PR &amp; MARKETING</v>
      </c>
      <c r="D4405" s="196" t="str">
        <f>IFERROR(__xludf.DUMMYFUNCTION("""COMPUTED_VALUE"""),"TRANSPARENT ACRYLIC 6PCS
BROCHURES HOLDER 3 LAYERS A4 AND A5 (3 A4 AND 3 A5)")</f>
        <v>TRANSPARENT ACRYLIC 6PCS
BROCHURES HOLDER 3 LAYERS A4 AND A5 (3 A4 AND 3 A5)</v>
      </c>
      <c r="E4405" s="196" t="str">
        <f>IFERROR(__xludf.DUMMYFUNCTION("""COMPUTED_VALUE"""),"FOR OFFICE AND SCHOOL PRESENTATION/ EVENTS/ EXHIBIT USE")</f>
        <v>FOR OFFICE AND SCHOOL PRESENTATION/ EVENTS/ EXHIBIT USE</v>
      </c>
    </row>
    <row r="4406">
      <c r="A4406" s="234">
        <f>IFERROR(__xludf.DUMMYFUNCTION("""COMPUTED_VALUE"""),104697.0)</f>
        <v>104697</v>
      </c>
      <c r="B4406" s="235" t="str">
        <f>IFERROR(__xludf.DUMMYFUNCTION("""COMPUTED_VALUE"""),"JB CARANAY")</f>
        <v>JB CARANAY</v>
      </c>
      <c r="C4406" s="235" t="str">
        <f>IFERROR(__xludf.DUMMYFUNCTION("""COMPUTED_VALUE"""),"CEM OFFICE")</f>
        <v>CEM OFFICE</v>
      </c>
      <c r="D4406" s="196" t="str">
        <f>IFERROR(__xludf.DUMMYFUNCTION("""COMPUTED_VALUE"""),"CALLING CARD 8")</f>
        <v>CALLING CARD 8</v>
      </c>
      <c r="E4406" s="196" t="str">
        <f>IFERROR(__xludf.DUMMYFUNCTION("""COMPUTED_VALUE"""),"MANAGEMENT CALLING CARDS")</f>
        <v>MANAGEMENT CALLING CARDS</v>
      </c>
    </row>
    <row r="4407">
      <c r="A4407" s="234">
        <f>IFERROR(__xludf.DUMMYFUNCTION("""COMPUTED_VALUE"""),104698.0)</f>
        <v>104698</v>
      </c>
      <c r="B4407" s="235" t="str">
        <f>IFERROR(__xludf.DUMMYFUNCTION("""COMPUTED_VALUE"""),"JESUIT CHRISTIAN GALICIA")</f>
        <v>JESUIT CHRISTIAN GALICIA</v>
      </c>
      <c r="C4407" s="235" t="str">
        <f>IFERROR(__xludf.DUMMYFUNCTION("""COMPUTED_VALUE"""),"AMD")</f>
        <v>AMD</v>
      </c>
      <c r="D4407" s="196" t="str">
        <f>IFERROR(__xludf.DUMMYFUNCTION("""COMPUTED_VALUE"""),"KINGSTON SOLID STATE DRIVE 240GB (20PCS)")</f>
        <v>KINGSTON SOLID STATE DRIVE 240GB (20PCS)</v>
      </c>
      <c r="E4407" s="196" t="str">
        <f>IFERROR(__xludf.DUMMYFUNCTION("""COMPUTED_VALUE"""),"MIS WAREHOUSE STOCK REPLENISHMENT")</f>
        <v>MIS WAREHOUSE STOCK REPLENISHMENT</v>
      </c>
    </row>
    <row r="4408">
      <c r="A4408" s="234">
        <f>IFERROR(__xludf.DUMMYFUNCTION("""COMPUTED_VALUE"""),104699.0)</f>
        <v>104699</v>
      </c>
      <c r="B4408" s="235" t="str">
        <f>IFERROR(__xludf.DUMMYFUNCTION("""COMPUTED_VALUE"""),"MARVIN MARASIGAN")</f>
        <v>MARVIN MARASIGAN</v>
      </c>
      <c r="C4408" s="235" t="str">
        <f>IFERROR(__xludf.DUMMYFUNCTION("""COMPUTED_VALUE"""),"PR &amp; MARKETING")</f>
        <v>PR &amp; MARKETING</v>
      </c>
      <c r="D4408" s="196" t="str">
        <f>IFERROR(__xludf.DUMMYFUNCTION("""COMPUTED_VALUE"""),"SPLASH ISLAND TARP W/ SEAMING AND EYELET ALL OVER BLACKOUT 
6.4 x 16.9FT")</f>
        <v>SPLASH ISLAND TARP W/ SEAMING AND EYELET ALL OVER BLACKOUT 
6.4 x 16.9FT</v>
      </c>
      <c r="E4408" s="196" t="str">
        <f>IFERROR(__xludf.DUMMYFUNCTION("""COMPUTED_VALUE"""),"FOR SPLASH ISLAND/ SOUTHVILLE EVENT")</f>
        <v>FOR SPLASH ISLAND/ SOUTHVILLE EVENT</v>
      </c>
    </row>
    <row r="4409">
      <c r="A4409" s="234">
        <f>IFERROR(__xludf.DUMMYFUNCTION("""COMPUTED_VALUE"""),104700.0)</f>
        <v>104700</v>
      </c>
      <c r="B4409" s="235" t="str">
        <f>IFERROR(__xludf.DUMMYFUNCTION("""COMPUTED_VALUE"""),"SHEREE ESPINOSA")</f>
        <v>SHEREE ESPINOSA</v>
      </c>
      <c r="C4409" s="235" t="str">
        <f>IFERROR(__xludf.DUMMYFUNCTION("""COMPUTED_VALUE"""),"ADMIN")</f>
        <v>ADMIN</v>
      </c>
      <c r="D4409" s="196" t="str">
        <f>IFERROR(__xludf.DUMMYFUNCTION("""COMPUTED_VALUE"""),"ARM CHAIRS 80
LEFT HANDED 10
BIG CHAIRS 3")</f>
        <v>ARM CHAIRS 80
LEFT HANDED 10
BIG CHAIRS 3</v>
      </c>
      <c r="E4409" s="196" t="str">
        <f>IFERROR(__xludf.DUMMYFUNCTION("""COMPUTED_VALUE"""),"ADDITIONAL CHAIRS FOR NEW CLASSROOMS- K12 (301, 303, 306)")</f>
        <v>ADDITIONAL CHAIRS FOR NEW CLASSROOMS- K12 (301, 303, 306)</v>
      </c>
    </row>
    <row r="4410">
      <c r="A4410" s="234">
        <f>IFERROR(__xludf.DUMMYFUNCTION("""COMPUTED_VALUE"""),104701.0)</f>
        <v>104701</v>
      </c>
      <c r="B4410" s="235" t="str">
        <f>IFERROR(__xludf.DUMMYFUNCTION("""COMPUTED_VALUE"""),"PHEN PETIN")</f>
        <v>PHEN PETIN</v>
      </c>
      <c r="C4410" s="235" t="str">
        <f>IFERROR(__xludf.DUMMYFUNCTION("""COMPUTED_VALUE"""),"ADMIN - STAR")</f>
        <v>ADMIN - STAR</v>
      </c>
      <c r="D4410" s="196" t="str">
        <f>IFERROR(__xludf.DUMMYFUNCTION("""COMPUTED_VALUE"""),"POLYCARBONATE SHHET 20PCS
(4x8- BLUE)
4.5MM SOLID")</f>
        <v>POLYCARBONATE SHHET 20PCS
(4x8- BLUE)
4.5MM SOLID</v>
      </c>
      <c r="E4410" s="196" t="str">
        <f>IFERROR(__xludf.DUMMYFUNCTION("""COMPUTED_VALUE"""),"REPLACEMENT OF OLD POLYCARBONATE (DOME AREA STAR)")</f>
        <v>REPLACEMENT OF OLD POLYCARBONATE (DOME AREA STAR)</v>
      </c>
    </row>
    <row r="4411">
      <c r="A4411" s="234">
        <f>IFERROR(__xludf.DUMMYFUNCTION("""COMPUTED_VALUE"""),104702.0)</f>
        <v>104702</v>
      </c>
      <c r="B4411" s="235" t="str">
        <f>IFERROR(__xludf.DUMMYFUNCTION("""COMPUTED_VALUE"""),"SHEREE ESPINOSA")</f>
        <v>SHEREE ESPINOSA</v>
      </c>
      <c r="C4411" s="235" t="str">
        <f>IFERROR(__xludf.DUMMYFUNCTION("""COMPUTED_VALUE"""),"ADMIN")</f>
        <v>ADMIN</v>
      </c>
      <c r="D4411" s="196" t="str">
        <f>IFERROR(__xludf.DUMMYFUNCTION("""COMPUTED_VALUE"""),"ARM CHAIRS WITH WHEEL (ROOM 502)  48PCS")</f>
        <v>ARM CHAIRS WITH WHEEL (ROOM 502)  48PCS</v>
      </c>
      <c r="E4411" s="196" t="str">
        <f>IFERROR(__xludf.DUMMYFUNCTION("""COMPUTED_VALUE"""),"FOR 5F COLLEGE NEW CLASSROOM (1 CLASSROOM FOR INITIAL SAMPLE)")</f>
        <v>FOR 5F COLLEGE NEW CLASSROOM (1 CLASSROOM FOR INITIAL SAMPLE)</v>
      </c>
    </row>
    <row r="4412">
      <c r="A4412" s="234">
        <f>IFERROR(__xludf.DUMMYFUNCTION("""COMPUTED_VALUE"""),104703.0)</f>
        <v>104703</v>
      </c>
      <c r="B4412" s="235" t="str">
        <f>IFERROR(__xludf.DUMMYFUNCTION("""COMPUTED_VALUE"""),"ANGELO PARAS")</f>
        <v>ANGELO PARAS</v>
      </c>
      <c r="C4412" s="235" t="str">
        <f>IFERROR(__xludf.DUMMYFUNCTION("""COMPUTED_VALUE"""),"SCIENCE LAB BASIC ED.")</f>
        <v>SCIENCE LAB BASIC ED.</v>
      </c>
      <c r="D4412" s="196" t="str">
        <f>IFERROR(__xludf.DUMMYFUNCTION("""COMPUTED_VALUE"""),"HYDROCHLORIC ACID 37% 3L
VINEGAR, ANY BRAND 5L
GRADUATED CYLINDER, 10ML 5PCS
BEAKERS 500ML, 250ML, 150ML, (5PCS OF EACH) 15PCS
FOOD COLORING, ANY COLORS 30ML OR MORE 5 BOTTLES
DISTILLED WATER, ANY BRAND, CHEAPEST 10L
ALCOHOL THERMOMETER (NO MERCURY)"&amp;" 10PCS")</f>
        <v>HYDROCHLORIC ACID 37% 3L
VINEGAR, ANY BRAND 5L
GRADUATED CYLINDER, 10ML 5PCS
BEAKERS 500ML, 250ML, 150ML, (5PCS OF EACH) 15PCS
FOOD COLORING, ANY COLORS 30ML OR MORE 5 BOTTLES
DISTILLED WATER, ANY BRAND, CHEAPEST 10L
ALCOHOL THERMOMETER (NO MERCURY) 10PCS</v>
      </c>
      <c r="E4412" s="196" t="str">
        <f>IFERROR(__xludf.DUMMYFUNCTION("""COMPUTED_VALUE"""),"FOR CHEMISTRY CLASSES")</f>
        <v>FOR CHEMISTRY CLASSES</v>
      </c>
    </row>
    <row r="4413">
      <c r="A4413" s="234">
        <f>IFERROR(__xludf.DUMMYFUNCTION("""COMPUTED_VALUE"""),104704.0)</f>
        <v>104704</v>
      </c>
      <c r="B4413" s="235" t="str">
        <f>IFERROR(__xludf.DUMMYFUNCTION("""COMPUTED_VALUE"""),"ANGELO PARAS")</f>
        <v>ANGELO PARAS</v>
      </c>
      <c r="C4413" s="235" t="str">
        <f>IFERROR(__xludf.DUMMYFUNCTION("""COMPUTED_VALUE"""),"SCIENCE LAB BASIC ED.")</f>
        <v>SCIENCE LAB BASIC ED.</v>
      </c>
      <c r="D4413" s="196" t="str">
        <f>IFERROR(__xludf.DUMMYFUNCTION("""COMPUTED_VALUE"""),"BLENDER, 1.5L ANYBRAND 2 UNITS
DIGITAL WEIGHING SCALE, CAN MEASURE 0.1 g, UP TO 600g- 1KG 5UNITS
HALF BODY ANATOMY MODEL 1 UNIT")</f>
        <v>BLENDER, 1.5L ANYBRAND 2 UNITS
DIGITAL WEIGHING SCALE, CAN MEASURE 0.1 g, UP TO 600g- 1KG 5UNITS
HALF BODY ANATOMY MODEL 1 UNIT</v>
      </c>
      <c r="E4413" s="196" t="str">
        <f>IFERROR(__xludf.DUMMYFUNCTION("""COMPUTED_VALUE"""),"FOR BIOLOGY CLASSES")</f>
        <v>FOR BIOLOGY CLASSES</v>
      </c>
    </row>
    <row r="4414">
      <c r="A4414" s="234">
        <f>IFERROR(__xludf.DUMMYFUNCTION("""COMPUTED_VALUE"""),104705.0)</f>
        <v>104705</v>
      </c>
      <c r="B4414" s="235" t="str">
        <f>IFERROR(__xludf.DUMMYFUNCTION("""COMPUTED_VALUE"""),"ANGELO PARAS")</f>
        <v>ANGELO PARAS</v>
      </c>
      <c r="C4414" s="235" t="str">
        <f>IFERROR(__xludf.DUMMYFUNCTION("""COMPUTED_VALUE"""),"SCIENCE LAB BASIC ED.")</f>
        <v>SCIENCE LAB BASIC ED.</v>
      </c>
      <c r="D4414" s="196" t="str">
        <f>IFERROR(__xludf.DUMMYFUNCTION("""COMPUTED_VALUE"""),"-DIGITAL MULTIMETER, INGGO BRAND 8UNITS
-INFRARED THERMOMETER, INGGO BRAND 1 UNIT
-ALLIGATOR CLIPS WITH WIRE 100PCS
-LED LIGHT BULB 10PCS 3W AND 10PCS 5W ( 20PCS)
-9V BATTERY 10PCS
-AA BATTERY 10PCS
-AAA BATTERY 10PCS
-POPSICLE STICKS 1000
-LASER POINTER "&amp;"6PCS")</f>
        <v>-DIGITAL MULTIMETER, INGGO BRAND 8UNITS
-INFRARED THERMOMETER, INGGO BRAND 1 UNIT
-ALLIGATOR CLIPS WITH WIRE 100PCS
-LED LIGHT BULB 10PCS 3W AND 10PCS 5W ( 20PCS)
-9V BATTERY 10PCS
-AA BATTERY 10PCS
-AAA BATTERY 10PCS
-POPSICLE STICKS 1000
-LASER POINTER 6PCS</v>
      </c>
      <c r="E4414" s="196" t="str">
        <f>IFERROR(__xludf.DUMMYFUNCTION("""COMPUTED_VALUE"""),"FOR PHYSICS CLASSES, GR10-12")</f>
        <v>FOR PHYSICS CLASSES, GR10-12</v>
      </c>
    </row>
    <row r="4415">
      <c r="A4415" s="234">
        <f>IFERROR(__xludf.DUMMYFUNCTION("""COMPUTED_VALUE"""),104706.0)</f>
        <v>104706</v>
      </c>
      <c r="B4415" s="235" t="str">
        <f>IFERROR(__xludf.DUMMYFUNCTION("""COMPUTED_VALUE"""),"MELLISA ODONO/DR. LIZA JIMENEZ")</f>
        <v>MELLISA ODONO/DR. LIZA JIMENEZ</v>
      </c>
      <c r="C4415" s="235" t="str">
        <f>IFERROR(__xludf.DUMMYFUNCTION("""COMPUTED_VALUE"""),"LIBRARY COLLEGE")</f>
        <v>LIBRARY COLLEGE</v>
      </c>
      <c r="D4415" s="196" t="str">
        <f>IFERROR(__xludf.DUMMYFUNCTION("""COMPUTED_VALUE"""),"NURSING BOOKS
A Practical Guide for Nurse Practicioner Faculty Using Simulation Compentency-Based Education                                        
Adult Development and Aging                                        
Ambulatory Surgical Nursing           "&amp;"                             
Anatomy &amp; Physiology Made Incredibly Easy!                                        
Anatomy Physiology The Unity of Form and Function                                        
Bates' Guide Physical Examination and History Taking"&amp;"                                        
Bioetechs: A Nursing Perspective 8e                                        
Clinical Judgement and Test-Taking Strategies Passing Nursing Schopol and the NCLEX Exam                                        
Clinical "&amp;"Nursing Calculations                                        
Clinical Nursing Skills &amp; Techniques                                        
Community Public Health Nursing Promoting the Health of Populations                                        
Core Curr"&amp;"iculum for Oncology Nursing                                        
Core Curriculum for Maternal-Newborn Nursing                                        
ECGs For Acute, Critical And Emergency Care                                        
Emergency &amp; Critic"&amp;"al Care Pocket Guide ACLS Version                                        
Environmental Hazards Assesting Risk And Reducing Disaster                                        
Evidence-Based Practice in Nursing &amp; Healthcare A Guide to Best Practice          "&amp;"                              
Evidence-Based Practice For Nurses Appraisal and Application of Research                                        
Geriatic Education For Emergency Medical Services Course Manual                                        
Hamric "&amp;"&amp; Hansons's Advanced Practice Nursing an Integrative Approach                                        
Health Education                                        
Lehnes's Pharmacology for Nursing Care                                        
Levinson's Review"&amp;" Of Medical Microbiology and Immunology A Guide to Clinical Infectious Diseases                                        
Medical Surgical Nursing Concepts for Clinical Judgement and Collaborative Care                                        
Clinical Compan"&amp;"ion Medical Surgical Nursing Concepts for Clinical Judgement and Collaborative Care                                        
Microbiology A systems Approach                                        
Nursing Informatics and The Foundation of Knowledge        "&amp;"                                
Nursing Outcomes Classification (NOC) Measurement of Health Outcomes                                        
Illustrated Study Guide for the NCLEX-PN EXAM                                        
Q&amp;A Review for the NCLEX-RN"&amp;" Examination                                        
Qualittative Research in Nursing And Healthcare                                        
Prioritization, Delegation, and Assignment in LPN/LVN Nursing Practice Exercises for the NCLEX-PN Examination     "&amp;"                                   
Professional Governance for Nursing The Framework for Accountability, Engamenet, and Excellence                                        
Psychiatric Mental Health Nursing An Interpersonal Approach                        "&amp;"                
Sheehy's Manual of Emergency Care                                        
Refern's Nursing Older People                                        
Swearinges's All-In-One Nursing Care Planning Resource Medical-Surgical, Psychiatric, Maternit"&amp;"y, and Psychiatric-Mental Health                                        
Teaching in Nursing A Guide for Faculty                                        
Wong's Nursing Care of Infants and Children                                        
Artist's Guide to "&amp;"human Anatomy                                        
ECG Core Curriculum                                        ")</f>
        <v>NURSING BOOKS
A Practical Guide for Nurse Practicioner Faculty Using Simulation Compentency-Based Education                                        
Adult Development and Aging                                        
Ambulatory Surgical Nursing                                        
Anatomy &amp; Physiology Made Incredibly Easy!                                        
Anatomy Physiology The Unity of Form and Function                                        
Bates' Guide Physical Examination and History Taking                                        
Bioetechs: A Nursing Perspective 8e                                        
Clinical Judgement and Test-Taking Strategies Passing Nursing Schopol and the NCLEX Exam                                        
Clinical Nursing Calculations                                        
Clinical Nursing Skills &amp; Techniques                                        
Community Public Health Nursing Promoting the Health of Populations                                        
Core Curriculum for Oncology Nursing                                        
Core Curriculum for Maternal-Newborn Nursing                                        
ECGs For Acute, Critical And Emergency Care                                        
Emergency &amp; Critical Care Pocket Guide ACLS Version                                        
Environmental Hazards Assesting Risk And Reducing Disaster                                        
Evidence-Based Practice in Nursing &amp; Healthcare A Guide to Best Practice                                        
Evidence-Based Practice For Nurses Appraisal and Application of Research                                        
Geriatic Education For Emergency Medical Services Course Manual                                        
Hamric &amp; Hansons's Advanced Practice Nursing an Integrative Approach                                        
Health Education                                        
Lehnes's Pharmacology for Nursing Care                                        
Levinson's Review Of Medical Microbiology and Immunology A Guide to Clinical Infectious Diseases                                        
Medical Surgical Nursing Concepts for Clinical Judgement and Collaborative Care                                        
Clinical Companion Medical Surgical Nursing Concepts for Clinical Judgement and Collaborative Care                                        
Microbiology A systems Approach                                        
Nursing Informatics and The Foundation of Knowledge                                        
Nursing Outcomes Classification (NOC) Measurement of Health Outcomes                                        
Illustrated Study Guide for the NCLEX-PN EXAM                                        
Q&amp;A Review for the NCLEX-RN Examination                                        
Qualittative Research in Nursing And Healthcare                                        
Prioritization, Delegation, and Assignment in LPN/LVN Nursing Practice Exercises for the NCLEX-PN Examination                                        
Professional Governance for Nursing The Framework for Accountability, Engamenet, and Excellence                                        
Psychiatric Mental Health Nursing An Interpersonal Approach                                        
Sheehy's Manual of Emergency Care                                        
Refern's Nursing Older People                                        
Swearinges's All-In-One Nursing Care Planning Resource Medical-Surgical, Psychiatric, Maternity, and Psychiatric-Mental Health                                        
Teaching in Nursing A Guide for Faculty                                        
Wong's Nursing Care of Infants and Children                                        
Artist's Guide to human Anatomy                                        
ECG Core Curriculum                                        </v>
      </c>
      <c r="E4415" s="196" t="str">
        <f>IFERROR(__xludf.DUMMYFUNCTION("""COMPUTED_VALUE"""),"FOR PACUCOA COMPLIANCE / LIBRARY'S COPY")</f>
        <v>FOR PACUCOA COMPLIANCE / LIBRARY'S COPY</v>
      </c>
    </row>
    <row r="4416">
      <c r="A4416" s="234">
        <f>IFERROR(__xludf.DUMMYFUNCTION("""COMPUTED_VALUE"""),104707.0)</f>
        <v>104707</v>
      </c>
      <c r="B4416" s="235" t="str">
        <f>IFERROR(__xludf.DUMMYFUNCTION("""COMPUTED_VALUE"""),"MELLISA ODONO/DR. VIC MANABAT")</f>
        <v>MELLISA ODONO/DR. VIC MANABAT</v>
      </c>
      <c r="C4416" s="235" t="str">
        <f>IFERROR(__xludf.DUMMYFUNCTION("""COMPUTED_VALUE"""),"LIBRARY COLLEGE")</f>
        <v>LIBRARY COLLEGE</v>
      </c>
      <c r="D4416" s="196" t="str">
        <f>IFERROR(__xludf.DUMMYFUNCTION("""COMPUTED_VALUE"""),"BUSINESS BOOKS
A.
Research Ethics in Applied Economics A Practical Guide                                        
Introduction To Macroeconomics                                        
Marcroeconomics                                        
Practical Macr"&amp;"oeconomics for Non-Economics Question-And-Answer Approach                                        
Principles Of Macroeconomics                                        
Essential Of Microeconomics                                        
Introduction To Micr"&amp;"oeconomics                                        
Microeconomics Principles and Problems A Pluralist Introduction                                        
Microeconomics                                        
Digital Consumer Management Understanding and"&amp;" Managing Consumer Engagement in the Digital Environment                                        
Essential Of Supply Chain Management                                        
Fundamentals of Management Science                                        
Invest"&amp;"ment Management                                        
Management Research Applying the Principles of Business Research Methods                                        
Managerial Economics                                        
Materials and Inventory M"&amp;"anagement                                        
Project Management Planning and Scheduling Techniques                                        
Project Based Problem Solving and Desicion Making A Guide For Project Managers                                 "&amp;"       
Production and Operations Management                                        
Strategic Managementy Text &amp; Cases                                        
B.
Financial Accounting                                        
Financial Management          "&amp;"                              
Foundations Of Sustainable Business                                        
Behavioral Economics                                        
Fundamentals Of Public Relations                                        
Organizational"&amp;" Behavior                                        
Organizational Theory And Behavior                                        
Disciplined Entrepreneurship 24 Steps To A Successful Startup                                        
Disciplined Entrepreneurship"&amp;" Startup Tactics                                        
Introduction Agribusiness Management and Entrepreneurship                                        
Development Economic                                        
Environmental and Resource Economics Th"&amp;"eory and Practice                                        
International Economics Global Market Competition                                        
Labor Economics                                        
Managerial Economics Foundation of Business Analysi"&amp;"s and Strategy                                        
C.
Praise For Breakthrough Supply Chains                                        
Digital Analytics for Marketing                                        
E-Commerce Business, Technology and Society   "&amp;"                                     
Marketing Plans Profitable Stragies In the Digital Age                                        
Project Based Problem Solcving and Decision Making A Guide For Project Managers                                        
St"&amp;"rategic Content Marketing Creating Effective Content In Practice                                        
The Marketing Analytics Practitioner's Guide Volume 1 Brand and Consumer                                        
The Marketing Analytics Practitioner'"&amp;"s Guide Volume 4 Retail and Statistics                                        
The Marketing Analytics Practitioner's Guide Volume 2 Product, Advdertising, Packiging, Biometric, Price and Promotion                                        
The Marketing Ana"&amp;"lytics Practitioner's Guide Volume 3 Digital Marketing                                        
A Guide To Business Mathematics                                        
Business Mathematics Using Excel A Complete Course In Data Analytics                    "&amp;"                    
Statistics For Economist                                        
Statistical Techniques In Business And Economics                                        ")</f>
        <v>BUSINESS BOOKS
A.
Research Ethics in Applied Economics A Practical Guide                                        
Introduction To Macroeconomics                                        
Marcroeconomics                                        
Practical Macroeconomics for Non-Economics Question-And-Answer Approach                                        
Principles Of Macroeconomics                                        
Essential Of Microeconomics                                        
Introduction To Microeconomics                                        
Microeconomics Principles and Problems A Pluralist Introduction                                        
Microeconomics                                        
Digital Consumer Management Understanding and Managing Consumer Engagement in the Digital Environment                                        
Essential Of Supply Chain Management                                        
Fundamentals of Management Science                                        
Investment Management                                        
Management Research Applying the Principles of Business Research Methods                                        
Managerial Economics                                        
Materials and Inventory Management                                        
Project Management Planning and Scheduling Techniques                                        
Project Based Problem Solving and Desicion Making A Guide For Project Managers                                        
Production and Operations Management                                        
Strategic Managementy Text &amp; Cases                                        
B.
Financial Accounting                                        
Financial Management                                        
Foundations Of Sustainable Business                                        
Behavioral Economics                                        
Fundamentals Of Public Relations                                        
Organizational Behavior                                        
Organizational Theory And Behavior                                        
Disciplined Entrepreneurship 24 Steps To A Successful Startup                                        
Disciplined Entrepreneurship Startup Tactics                                        
Introduction Agribusiness Management and Entrepreneurship                                        
Development Economic                                        
Environmental and Resource Economics Theory and Practice                                        
International Economics Global Market Competition                                        
Labor Economics                                        
Managerial Economics Foundation of Business Analysis and Strategy                                        
C.
Praise For Breakthrough Supply Chains                                        
Digital Analytics for Marketing                                        
E-Commerce Business, Technology and Society                                        
Marketing Plans Profitable Stragies In the Digital Age                                        
Project Based Problem Solcving and Decision Making A Guide For Project Managers                                        
Strategic Content Marketing Creating Effective Content In Practice                                        
The Marketing Analytics Practitioner's Guide Volume 1 Brand and Consumer                                        
The Marketing Analytics Practitioner's Guide Volume 4 Retail and Statistics                                        
The Marketing Analytics Practitioner's Guide Volume 2 Product, Advdertising, Packiging, Biometric, Price and Promotion                                        
The Marketing Analytics Practitioner's Guide Volume 3 Digital Marketing                                        
A Guide To Business Mathematics                                        
Business Mathematics Using Excel A Complete Course In Data Analytics                                        
Statistics For Economist                                        
Statistical Techniques In Business And Economics                                        </v>
      </c>
      <c r="E4416" s="196" t="str">
        <f>IFERROR(__xludf.DUMMYFUNCTION("""COMPUTED_VALUE"""),"FOR PACUCOA COMPLIANCE / LIBRARY'S COPY")</f>
        <v>FOR PACUCOA COMPLIANCE / LIBRARY'S COPY</v>
      </c>
    </row>
    <row r="4417">
      <c r="A4417" s="234">
        <f>IFERROR(__xludf.DUMMYFUNCTION("""COMPUTED_VALUE"""),104708.0)</f>
        <v>104708</v>
      </c>
      <c r="B4417" s="235" t="str">
        <f>IFERROR(__xludf.DUMMYFUNCTION("""COMPUTED_VALUE"""),"MELLISA ODONO/DR. RUEL CAJILI")</f>
        <v>MELLISA ODONO/DR. RUEL CAJILI</v>
      </c>
      <c r="C4417" s="235" t="str">
        <f>IFERROR(__xludf.DUMMYFUNCTION("""COMPUTED_VALUE"""),"LIBRARY COLLEGE")</f>
        <v>LIBRARY COLLEGE</v>
      </c>
      <c r="D4417" s="196" t="str">
        <f>IFERROR(__xludf.DUMMYFUNCTION("""COMPUTED_VALUE"""),"PSYCH BOOKS
An Introduction To Psychometrics and Psychological Assessment Using, Interpreting and Developing Test                                        
Assessment of Children with Special Needs                                        
School and Peer Co"&amp;"ntexxt of Bullying: An Introduction and Exploration                                        
Coaching in Gifted Education Tools for Building Capacity and Catalyzing Change                                        
DataProof Your School how to Use Assessment "&amp;"Data Effectivity                                        
Effective Learning and Mental Wellbeing Improving the Mental Health and Trauma-Reslilience of Learners in A Trauma-Impact World                                        
Educating Exceptional Children"&amp;"                                        
Engaging in Narrative Inquiry                                        
Educational Psychology                                        
Educational Psychology                                        
Educational Psycho"&amp;"logy                                        
How to Use SPSS A Step-By-Step Guide To Analysis and Interpretation                                        
Observing Learning In Early Childhood                                        
Positive Child Guidance "&amp;"                                       
Psychological Disorders and Therapies DSM5 Perspective                                        
School-Based Family Counseling With Refugees And Immigrants                                        
The Child and Adoles"&amp;"cent Learners and Learning Principles                                        
Week By Week Plans For Documenting Children's Development                                        ")</f>
        <v>PSYCH BOOKS
An Introduction To Psychometrics and Psychological Assessment Using, Interpreting and Developing Test                                        
Assessment of Children with Special Needs                                        
School and Peer Contexxt of Bullying: An Introduction and Exploration                                        
Coaching in Gifted Education Tools for Building Capacity and Catalyzing Change                                        
DataProof Your School how to Use Assessment Data Effectivity                                        
Effective Learning and Mental Wellbeing Improving the Mental Health and Trauma-Reslilience of Learners in A Trauma-Impact World                                        
Educating Exceptional Children                                        
Engaging in Narrative Inquiry                                        
Educational Psychology                                        
Educational Psychology                                        
Educational Psychology                                        
How to Use SPSS A Step-By-Step Guide To Analysis and Interpretation                                        
Observing Learning In Early Childhood                                        
Positive Child Guidance                                        
Psychological Disorders and Therapies DSM5 Perspective                                        
School-Based Family Counseling With Refugees And Immigrants                                        
The Child and Adolescent Learners and Learning Principles                                        
Week By Week Plans For Documenting Children's Development                                        </v>
      </c>
      <c r="E4417" s="196" t="str">
        <f>IFERROR(__xludf.DUMMYFUNCTION("""COMPUTED_VALUE"""),"FOR PACUCOA COMPLIANCE / LIBRARY'S COPY")</f>
        <v>FOR PACUCOA COMPLIANCE / LIBRARY'S COPY</v>
      </c>
    </row>
    <row r="4418">
      <c r="A4418" s="234">
        <f>IFERROR(__xludf.DUMMYFUNCTION("""COMPUTED_VALUE"""),104709.0)</f>
        <v>104709</v>
      </c>
      <c r="B4418" s="235" t="str">
        <f>IFERROR(__xludf.DUMMYFUNCTION("""COMPUTED_VALUE"""),"MELLISA ODONO/DR. RENE ALIGUNERO")</f>
        <v>MELLISA ODONO/DR. RENE ALIGUNERO</v>
      </c>
      <c r="C4418" s="235" t="str">
        <f>IFERROR(__xludf.DUMMYFUNCTION("""COMPUTED_VALUE"""),"LIBRARY COLLEGE")</f>
        <v>LIBRARY COLLEGE</v>
      </c>
      <c r="D4418" s="196" t="str">
        <f>IFERROR(__xludf.DUMMYFUNCTION("""COMPUTED_VALUE"""),"TOURISM BOOKS
A.
Medical and Wellness Tourism                                        
Methods and Strategies For Tourism Demand                                        
Macro Perspectiveas of Tourism and Hospitality                                        "&amp;"
Research In Hospitality                                        
Role Of Social Media and Internet In Tourism And Hospitality                                        
Strategic Management For Tourism, Hospitality and Events                                 "&amp;"       
Strategic Management Theory &amp; Cases An Integrated Approach 14e                                        
Tourism and Heritage Attractions                                        
Tourism An International Approach                                      "&amp;"  
Tourism Planning Policies, Processes and Relationships                                        
Tourism Management an Introduction                                        
Tourism Product Development                                        
Training Manpo"&amp;"wer For Cruising and Ship Industry                                        
Travel Agency and Tour Operations                                        
B.
3G Handy Guide: Hotel Facilities Management                                        
Accommodation Oper"&amp;"ations And Management In Tourism And Hospitality                                        
Applied Business Tools and Technology In Tourism                                        
Ceative Tourism                                        
Cruise Tourism       "&amp;"                                 
Contemporary Tourism an International Approach                                        
Customer Care, Service &amp; Hospitality Ethics                                        
Community Based Tourism                           "&amp;"             
Effective Project Management                                        
Events Management                                        
Global Culture And Tourism Geography                                        
Hospitality Financial Management     "&amp;"                                   
An Intedgrateds Approach To Tourism, Hotel Management and Hospitality                                        
Introduction to Tourism and Hospitality Management                                        
Legal aspects in t"&amp;"ourism and hospitality                                         ")</f>
        <v>TOURISM BOOKS
A.
Medical and Wellness Tourism                                        
Methods and Strategies For Tourism Demand                                        
Macro Perspectiveas of Tourism and Hospitality                                        
Research In Hospitality                                        
Role Of Social Media and Internet In Tourism And Hospitality                                        
Strategic Management For Tourism, Hospitality and Events                                        
Strategic Management Theory &amp; Cases An Integrated Approach 14e                                        
Tourism and Heritage Attractions                                        
Tourism An International Approach                                        
Tourism Planning Policies, Processes and Relationships                                        
Tourism Management an Introduction                                        
Tourism Product Development                                        
Training Manpower For Cruising and Ship Industry                                        
Travel Agency and Tour Operations                                        
B.
3G Handy Guide: Hotel Facilities Management                                        
Accommodation Operations And Management In Tourism And Hospitality                                        
Applied Business Tools and Technology In Tourism                                        
Ceative Tourism                                        
Cruise Tourism                                        
Contemporary Tourism an International Approach                                        
Customer Care, Service &amp; Hospitality Ethics                                        
Community Based Tourism                                        
Effective Project Management                                        
Events Management                                        
Global Culture And Tourism Geography                                        
Hospitality Financial Management                                        
An Intedgrateds Approach To Tourism, Hotel Management and Hospitality                                        
Introduction to Tourism and Hospitality Management                                        
Legal aspects in tourism and hospitality                                         </v>
      </c>
      <c r="E4418" s="196" t="str">
        <f>IFERROR(__xludf.DUMMYFUNCTION("""COMPUTED_VALUE"""),"FOR PACUCOA COMPLIANCE / LIBRARY'S COPY")</f>
        <v>FOR PACUCOA COMPLIANCE / LIBRARY'S COPY</v>
      </c>
    </row>
    <row r="4419">
      <c r="A4419" s="234">
        <f>IFERROR(__xludf.DUMMYFUNCTION("""COMPUTED_VALUE"""),104710.0)</f>
        <v>104710</v>
      </c>
      <c r="B4419" s="235" t="str">
        <f>IFERROR(__xludf.DUMMYFUNCTION("""COMPUTED_VALUE"""),"MELLISA ODONO/DR. RENE ALIGUNERO")</f>
        <v>MELLISA ODONO/DR. RENE ALIGUNERO</v>
      </c>
      <c r="C4419" s="235" t="str">
        <f>IFERROR(__xludf.DUMMYFUNCTION("""COMPUTED_VALUE"""),"LIBRARY COLLEGE")</f>
        <v>LIBRARY COLLEGE</v>
      </c>
      <c r="D4419" s="196" t="str">
        <f>IFERROR(__xludf.DUMMYFUNCTION("""COMPUTED_VALUE"""),"GENERAL EDUCATION
A.
Core Concepts in Biology: Immunology                                        
Fundamentals Of Microbiology                                        
Analytical Chemistry                                        
Basic Of Organic Chemistry"&amp;"                                        
Core Concepts in Chemistry: Organic Chemistry                                        
Core Concepts in Chemistry: Analytical Chemistry                                        
Fundamentals of BioChemistry           "&amp;"                             
Inorganic Chemistry The Basics                                        
Principles of Chemistry                                        
Core Concepts in Physics: Classical Mechanics                                        
Fund"&amp;"amental Physics                                        
Introduction To Physics                                        
University Physics With Modern Physics                                        
Algebra An Introduction                                 "&amp;"       
Core Concepts in Mathematics: Algebra                                        
B.
High-Impact Design For Online Courses Blueprinting Quality Digital Learning In Eight Practical Steps                                        
Just Teaching Feedback, "&amp;"Engagement, &amp; Well-being For Each Student                                        
Illustrated Dictionary Of Biology                                        
Illustrated Dictionary Of Statistics                                        
Introducing Language a"&amp;"nd Intercultural Communication                                        
Inclusive Education Theory And Policy Moving From Special Educational Needs To Equity                                        
Innovation, Literacy, and Arts Integration in Multicultura"&amp;"l Classroom Theory and Practice for Designers of K-8 Learning Environments                                        
Innovating Assessment and Feedback Design in Teacher Education Transforming Practice                                        
Functional Appr"&amp;"oaches to Language: A Comprehensive                                        
Language Modeling An Applications-Oriented Approach Using Lexical Data                                        
L.S. Vygotsky and English in Education and the Language Arts        "&amp;"                                
Student Affairs Assessment Theory To Practice                                        
Teaching Secondary Mathematics                                        
Transforming Education With Virtual Reality                      "&amp;"                  
Teaching And Learning Source-Based Writing Current Perspectives and Future Directions                                        
C.
A Guide to Curriculum Mapping Creating ACollaborative, Transformative, and Learner-Centered Curriculum    "&amp;"                                    
Acing Online Assessment Your Guide to Success                                        
A Practical Guide To Teaching Foreign Lanuages in the Secondary School                                        
Curriculum Design and"&amp;" Lesson Planning                                        
A Different View Of Curriculum And Assesstment for Severe, Complex and Profound Learning Disabilities                                        
Educational Administration                              "&amp;"          
Educational Guidance                                        
Educating The Developing Mind A Developmental Theory of Instruction                                        
Encylopedia of Science and Technology                                      "&amp;"  
Effective Classroom Management                                        
Educational Testing &amp; Measurement                                        
Differentiated Instruction A Guide for World Language Teachers                                        
Form"&amp;"al Grammar Theory and Variation Accross Language                                        
D.
Basic Communication Skills
Beginning Teaching With Digital Technology
Critical Memetic Literacies In English Education How Do You Meme?
Experiencing English Li"&amp;"terature Shaping Authentic Student Response In Thinking And Writing
Fundamental Of English Language and Grammar
Introduction to the Theory of Grammar
Introducing English Language: a Resource Book For Students
Must Know High School Grammar And Composii"&amp;"on
Legal Writing
Principles and Theories Of Language Acquisition And Learning
Punctuation in Context-Past And Present Perspectives
Purposive Communication
Teaching And Assessment of Grammar
Read, Reason, Write An Argument Text and Reader
Teaching an"&amp;"d Learning In The Digital Era Issues and Studies
Teaching What You Want To Learn a Guidebook for Dance and Movement Teachers
Technical Writing
Technology For Teaching and Learning
The Diagnosis Of Writing In A Second Or Foreign Language
r, The Theory"&amp;" Of Educational Technology Towards a Dialogic Foundation For Design
Understanding English Language And Acquisition
E.
Fundamentals of Algebra                                        
College Geometry                                        
Core Concepts "&amp;"in Mathematics Geometry                                        
Foundations of Geometry                                        
Introduction to Algebraic Geometry                                        
Modern Geometry                                     "&amp;"   
Core Concepts in Mathematics: Trigometry                                        
Calculus A Comprehensive Course                                        
Calculus Essentials                                        
Core Concepts in Mathematics: Calculus"&amp;"                                        
Differential Calculus Problems and Solutions From Fundamentals To Nuances                                        
Pre-Calculus All-In-One for Dummies                                        
Core Concepts In Mathema"&amp;"tics: Statistics                                        
Foundation of Statistics                                        
Introduction To Statistics                                        
Introductory Statistics                                        
In"&amp;"troduction To Statistics &amp; Data Analysis                                        
Practical Statistics                                        
F.
Probability and Statistics For Science And Engineering                                        
Core Concepts "&amp;"in Mathematics: Differential Equations                                        
Core Concepts in Mathematics: Probability                                        
Differntial Equations and Applications                                        
Foundation of M"&amp;"athematics                                        
Foundation of Mathematics                                        
Graphs &amp; Digraphs                                        
Introduction To Differential Equations                                        
M"&amp;"athematics The Basics                                        
Ordinary Differential Equations With Applications                                        
Principle of Ethics                                        
Introductory Logic And Critical Thinking   "&amp;"                                     
An Introduction to Philosophy                                        
Philosophy of Education                                        
Philosophical Foundations of Mixed Methods Research Dialogues Between Researchers a"&amp;"nd Philosophers                                        
Philosophy of Mind a Contemporary Introduction                                        
Philosophy The Basics                                        
Applied Communication Research Methods Getting Sta"&amp;"rted As A Researcher                                        
Arts-Baseds Research Across Visual Media In Education Expanding Visual Epistemology-Volume 2                                        
Centering Youth, Family And Community in School Leadership Ca"&amp;"se Studies For Education Equity and Justice                                        
Communication Research Methods                                        
Dissertation Research Mehods A Step-By-Step Guide To Writing Up Your Research In the Social Sciences"&amp;"                                        
Essential French Grammar                                        
Tranformative Moments in Qualitative Research Method, Theory, and Reflection                                        ")</f>
        <v>GENERAL EDUCATION
A.
Core Concepts in Biology: Immunology                                        
Fundamentals Of Microbiology                                        
Analytical Chemistry                                        
Basic Of Organic Chemistry                                        
Core Concepts in Chemistry: Organic Chemistry                                        
Core Concepts in Chemistry: Analytical Chemistry                                        
Fundamentals of BioChemistry                                        
Inorganic Chemistry The Basics                                        
Principles of Chemistry                                        
Core Concepts in Physics: Classical Mechanics                                        
Fundamental Physics                                        
Introduction To Physics                                        
University Physics With Modern Physics                                        
Algebra An Introduction                                        
Core Concepts in Mathematics: Algebra                                        
B.
High-Impact Design For Online Courses Blueprinting Quality Digital Learning In Eight Practical Steps                                        
Just Teaching Feedback, Engagement, &amp; Well-being For Each Student                                        
Illustrated Dictionary Of Biology                                        
Illustrated Dictionary Of Statistics                                        
Introducing Language and Intercultural Communication                                        
Inclusive Education Theory And Policy Moving From Special Educational Needs To Equity                                        
Innovation, Literacy, and Arts Integration in Multicultural Classroom Theory and Practice for Designers of K-8 Learning Environments                                        
Innovating Assessment and Feedback Design in Teacher Education Transforming Practice                                        
Functional Approaches to Language: A Comprehensive                                        
Language Modeling An Applications-Oriented Approach Using Lexical Data                                        
L.S. Vygotsky and English in Education and the Language Arts                                        
Student Affairs Assessment Theory To Practice                                        
Teaching Secondary Mathematics                                        
Transforming Education With Virtual Reality                                        
Teaching And Learning Source-Based Writing Current Perspectives and Future Directions                                        
C.
A Guide to Curriculum Mapping Creating ACollaborative, Transformative, and Learner-Centered Curriculum                                        
Acing Online Assessment Your Guide to Success                                        
A Practical Guide To Teaching Foreign Lanuages in the Secondary School                                        
Curriculum Design and Lesson Planning                                        
A Different View Of Curriculum And Assesstment for Severe, Complex and Profound Learning Disabilities                                        
Educational Administration                                        
Educational Guidance                                        
Educating The Developing Mind A Developmental Theory of Instruction                                        
Encylopedia of Science and Technology                                        
Effective Classroom Management                                        
Educational Testing &amp; Measurement                                        
Differentiated Instruction A Guide for World Language Teachers                                        
Formal Grammar Theory and Variation Accross Language                                        
D.
Basic Communication Skills
Beginning Teaching With Digital Technology
Critical Memetic Literacies In English Education How Do You Meme?
Experiencing English Literature Shaping Authentic Student Response In Thinking And Writing
Fundamental Of English Language and Grammar
Introduction to the Theory of Grammar
Introducing English Language: a Resource Book For Students
Must Know High School Grammar And Composiion
Legal Writing
Principles and Theories Of Language Acquisition And Learning
Punctuation in Context-Past And Present Perspectives
Purposive Communication
Teaching And Assessment of Grammar
Read, Reason, Write An Argument Text and Reader
Teaching and Learning In The Digital Era Issues and Studies
Teaching What You Want To Learn a Guidebook for Dance and Movement Teachers
Technical Writing
Technology For Teaching and Learning
The Diagnosis Of Writing In A Second Or Foreign Language
r, The Theory Of Educational Technology Towards a Dialogic Foundation For Design
Understanding English Language And Acquisition
E.
Fundamentals of Algebra                                        
College Geometry                                        
Core Concepts in Mathematics Geometry                                        
Foundations of Geometry                                        
Introduction to Algebraic Geometry                                        
Modern Geometry                                        
Core Concepts in Mathematics: Trigometry                                        
Calculus A Comprehensive Course                                        
Calculus Essentials                                        
Core Concepts in Mathematics: Calculus                                        
Differential Calculus Problems and Solutions From Fundamentals To Nuances                                        
Pre-Calculus All-In-One for Dummies                                        
Core Concepts In Mathematics: Statistics                                        
Foundation of Statistics                                        
Introduction To Statistics                                        
Introductory Statistics                                        
Introduction To Statistics &amp; Data Analysis                                        
Practical Statistics                                        
F.
Probability and Statistics For Science And Engineering                                        
Core Concepts in Mathematics: Differential Equations                                        
Core Concepts in Mathematics: Probability                                        
Differntial Equations and Applications                                        
Foundation of Mathematics                                        
Foundation of Mathematics                                        
Graphs &amp; Digraphs                                        
Introduction To Differential Equations                                        
Mathematics The Basics                                        
Ordinary Differential Equations With Applications                                        
Principle of Ethics                                        
Introductory Logic And Critical Thinking                                        
An Introduction to Philosophy                                        
Philosophy of Education                                        
Philosophical Foundations of Mixed Methods Research Dialogues Between Researchers and Philosophers                                        
Philosophy of Mind a Contemporary Introduction                                        
Philosophy The Basics                                        
Applied Communication Research Methods Getting Started As A Researcher                                        
Arts-Baseds Research Across Visual Media In Education Expanding Visual Epistemology-Volume 2                                        
Centering Youth, Family And Community in School Leadership Case Studies For Education Equity and Justice                                        
Communication Research Methods                                        
Dissertation Research Mehods A Step-By-Step Guide To Writing Up Your Research In the Social Sciences                                        
Essential French Grammar                                        
Tranformative Moments in Qualitative Research Method, Theory, and Reflection                                        </v>
      </c>
      <c r="E4419" s="196" t="str">
        <f>IFERROR(__xludf.DUMMYFUNCTION("""COMPUTED_VALUE"""),"FOR PACUCOA COMPLIANCE / LIBRARY'S COPY")</f>
        <v>FOR PACUCOA COMPLIANCE / LIBRARY'S COPY</v>
      </c>
    </row>
    <row r="4420">
      <c r="A4420" s="234">
        <f>IFERROR(__xludf.DUMMYFUNCTION("""COMPUTED_VALUE"""),104711.0)</f>
        <v>104711</v>
      </c>
      <c r="B4420" s="235" t="str">
        <f>IFERROR(__xludf.DUMMYFUNCTION("""COMPUTED_VALUE"""),"MELISSA ODONO/ KRISTEN GABUTERO")</f>
        <v>MELISSA ODONO/ KRISTEN GABUTERO</v>
      </c>
      <c r="C4420" s="235" t="str">
        <f>IFERROR(__xludf.DUMMYFUNCTION("""COMPUTED_VALUE"""),"LIBRARY COLLEGE")</f>
        <v>LIBRARY COLLEGE</v>
      </c>
      <c r="D4420" s="196" t="str">
        <f>IFERROR(__xludf.DUMMYFUNCTION("""COMPUTED_VALUE"""),"ABCOM
A Beginnerds's guide to Watercolour Mixed Media With Inspiration Projects And Innovattive Techniques                                        
Becoming Readers And Writers Literate Identifies Across Childhood and Adolescent                            "&amp;"            
Blogging and Vlogging A, Professional Guide                                        
Broadcast Promotion and Merchandising                                        
Broadcast Journalism Technique Of Radio and Television News                     "&amp;"                   
Broadcast Journalism Basic Principles                                        
Communicating The Multiple Modes of Human Communication                                        
Collaborative Screeen Writing and Story Development A Global "&amp;"Guide for Writers, Story Teams an Creative Executives                                        
Creative Writing                                        
Composing for the Screen                                        
Communitating Ethically Character, Duti"&amp;"es, Consequences, and Relationships                                        
Everyday Media Literacy an Analog Guide for Your Digital Life                                        
Editor and Columnist                                        
Field Reporting "&amp;"                                       
Findingf Your Voice In Radio, Audio, and Podcast Production                                        
Introduction to Broadcasting                                        
Introduction to Media Distribution Film, Telev"&amp;"ision, and New Media                                        
Introduction to Journalism                                        
Voicw Made Visible Multi-Octave Voice Training and Techniques for Performers                                        
Newswritin"&amp;"g                                        
Modern Electronic Media and Broadcasting                                        
Writing For Interactive Media Social Media, Websites, Application, E-Learning, Games                                        
Read, R"&amp;"eason, Write An Argument Text and Reader                                        
Sports Broadcasting With HK ropel Access                                        
MMA
Adobe Indesign Revealed                                        
A Handbook Of World Art "&amp;"                                       
An Introduction To Film and TV Production                                        
Arts-Based Research Across Visual Media In Education Expanding Visual Epistemology-Volume 2                                        
A"&amp;" Companion To Contemporary Art In A Global Framework                                        
Cinematic Style Fashion, Architecture And Interior Design On Film                                        
Comics and Graphis Novels                               "&amp;"         
Computer Graphics Theory and Practice                                        
Designing Brand Identity                                        
Dyeing For entertainment Dyeing, Painting, Breakdown, and Special Effects for Costumes                "&amp;"                        
Ecologies of Creative Music Practice Mattering Music                                        
Elements of Game Design                                        
3G Handy Guide: Digital Production and Editing                           "&amp;"             
Film and Television analysis an Introduction to Mehods, theories, and Approaches                                        
Good: An Introduction To Ethics In Graphic Design                                        
Modern Recording Techniques a "&amp;"Practical Guide To Modern Music Production                                        
Performance In Popular Culture                                        
Pastels for the Absolute Beginner                                        
Seizing the Light A Social "&amp;"&amp; Aesthetic History Of Photography                                        
Social Media Communication Concepts, Practices, Data, Law and Ethics                                        
The VES Handbook Of Virtual Production                                 "&amp;"       
The Communicator's Guide To Media Law and Ethics a Handbook For Australian Professionals                                        
The Additive Sketcher                                        
MMA
The Complete Guide to Film and Digital Production T"&amp;"he People and The Process                                        
Translation Revision And Post-Editing                                        
Technology and Digital Media                                        
The Prop Building Guidebook For Theatre, F"&amp;"ilm, And TV                                        
The Ultimate Career Guide Graphic Designing                                        
The Art of Game Design                                        
Technical animation In Video Games                      "&amp;"                  
Writing for Interactive Media Social Media, Websites, Applications, E-Learning, Games                                        
World Music Traditions and Transformations                                        
Video Theories A Transdisci"&amp;"plinary Reader Vol. 14                                        
MMA
Histories of Exhibition Design In the Museum Makers, Process, and Practice                                        
History On Film/ Film On History                                        "&amp;"
Information Visualisation From Theory, To Research, To Practice and Back                                        
Leonardo Da Vinci A closer Look                                        
Milestones in Music Education                                        "&amp;"
Milestones in Asian American Theatre                                        
Motion Picture and Video Lighting For Cinematographers, Gaffers, and Lighting Technicians                                        
Music Technology in Live Performance Tools, Tec"&amp;"hniques, and Interaction                                        
Popular Culture In Everday Life A Critical Introduction                                        
Practical Musicology                                        
The Art Of Dance Composition Writ"&amp;"ing The Body                                        ")</f>
        <v>ABCOM
A Beginnerds's guide to Watercolour Mixed Media With Inspiration Projects And Innovattive Techniques                                        
Becoming Readers And Writers Literate Identifies Across Childhood and Adolescent                                        
Blogging and Vlogging A, Professional Guide                                        
Broadcast Promotion and Merchandising                                        
Broadcast Journalism Technique Of Radio and Television News                                        
Broadcast Journalism Basic Principles                                        
Communicating The Multiple Modes of Human Communication                                        
Collaborative Screeen Writing and Story Development A Global Guide for Writers, Story Teams an Creative Executives                                        
Creative Writing                                        
Composing for the Screen                                        
Communitating Ethically Character, Duties, Consequences, and Relationships                                        
Everyday Media Literacy an Analog Guide for Your Digital Life                                        
Editor and Columnist                                        
Field Reporting                                        
Findingf Your Voice In Radio, Audio, and Podcast Production                                        
Introduction to Broadcasting                                        
Introduction to Media Distribution Film, Television, and New Media                                        
Introduction to Journalism                                        
Voicw Made Visible Multi-Octave Voice Training and Techniques for Performers                                        
Newswriting                                        
Modern Electronic Media and Broadcasting                                        
Writing For Interactive Media Social Media, Websites, Application, E-Learning, Games                                        
Read, Reason, Write An Argument Text and Reader                                        
Sports Broadcasting With HK ropel Access                                        
MMA
Adobe Indesign Revealed                                        
A Handbook Of World Art                                        
An Introduction To Film and TV Production                                        
Arts-Based Research Across Visual Media In Education Expanding Visual Epistemology-Volume 2                                        
A Companion To Contemporary Art In A Global Framework                                        
Cinematic Style Fashion, Architecture And Interior Design On Film                                        
Comics and Graphis Novels                                        
Computer Graphics Theory and Practice                                        
Designing Brand Identity                                        
Dyeing For entertainment Dyeing, Painting, Breakdown, and Special Effects for Costumes                                        
Ecologies of Creative Music Practice Mattering Music                                        
Elements of Game Design                                        
3G Handy Guide: Digital Production and Editing                                        
Film and Television analysis an Introduction to Mehods, theories, and Approaches                                        
Good: An Introduction To Ethics In Graphic Design                                        
Modern Recording Techniques a Practical Guide To Modern Music Production                                        
Performance In Popular Culture                                        
Pastels for the Absolute Beginner                                        
Seizing the Light A Social &amp; Aesthetic History Of Photography                                        
Social Media Communication Concepts, Practices, Data, Law and Ethics                                        
The VES Handbook Of Virtual Production                                        
The Communicator's Guide To Media Law and Ethics a Handbook For Australian Professionals                                        
The Additive Sketcher                                        
MMA
The Complete Guide to Film and Digital Production The People and The Process                                        
Translation Revision And Post-Editing                                        
Technology and Digital Media                                        
The Prop Building Guidebook For Theatre, Film, And TV                                        
The Ultimate Career Guide Graphic Designing                                        
The Art of Game Design                                        
Technical animation In Video Games                                        
Writing for Interactive Media Social Media, Websites, Applications, E-Learning, Games                                        
World Music Traditions and Transformations                                        
Video Theories A Transdisciplinary Reader Vol. 14                                        
MMA
Histories of Exhibition Design In the Museum Makers, Process, and Practice                                        
History On Film/ Film On History                                        
Information Visualisation From Theory, To Research, To Practice and Back                                        
Leonardo Da Vinci A closer Look                                        
Milestones in Music Education                                        
Milestones in Asian American Theatre                                        
Motion Picture and Video Lighting For Cinematographers, Gaffers, and Lighting Technicians                                        
Music Technology in Live Performance Tools, Techniques, and Interaction                                        
Popular Culture In Everday Life A Critical Introduction                                        
Practical Musicology                                        
The Art Of Dance Composition Writing The Body                                        </v>
      </c>
      <c r="E4420" s="196" t="str">
        <f>IFERROR(__xludf.DUMMYFUNCTION("""COMPUTED_VALUE"""),"FOR PACUCOA COMPLIANCE / LIBRARY'S COPY")</f>
        <v>FOR PACUCOA COMPLIANCE / LIBRARY'S COPY</v>
      </c>
    </row>
    <row r="4421">
      <c r="A4421" s="234">
        <f>IFERROR(__xludf.DUMMYFUNCTION("""COMPUTED_VALUE"""),104712.0)</f>
        <v>104712</v>
      </c>
      <c r="B4421" s="235" t="str">
        <f>IFERROR(__xludf.DUMMYFUNCTION("""COMPUTED_VALUE"""),"EDGAR REBELLON")</f>
        <v>EDGAR REBELLON</v>
      </c>
      <c r="C4421" s="235" t="str">
        <f>IFERROR(__xludf.DUMMYFUNCTION("""COMPUTED_VALUE"""),"AMD")</f>
        <v>AMD</v>
      </c>
      <c r="D4421" s="196" t="str">
        <f>IFERROR(__xludf.DUMMYFUNCTION("""COMPUTED_VALUE"""),"BUSINESS CARDHOLDER CASE LEATHER SLIM METAL PURPLE- 100 PCS., BLACK - 100 PCS. ")</f>
        <v>BUSINESS CARDHOLDER CASE LEATHER SLIM METAL PURPLE- 100 PCS., BLACK - 100 PCS. </v>
      </c>
      <c r="E4421" s="196" t="str">
        <f>IFERROR(__xludf.DUMMYFUNCTION("""COMPUTED_VALUE"""),"BUSINESS CARD HOLDER FOR OFFICERS AND EMPLOYEES WHO HAS THE BUSINESS CARD, FOR AMD STOCK")</f>
        <v>BUSINESS CARD HOLDER FOR OFFICERS AND EMPLOYEES WHO HAS THE BUSINESS CARD, FOR AMD STOCK</v>
      </c>
    </row>
    <row r="4422">
      <c r="A4422" s="234">
        <f>IFERROR(__xludf.DUMMYFUNCTION("""COMPUTED_VALUE"""),104713.0)</f>
        <v>104713</v>
      </c>
      <c r="B4422" s="235" t="str">
        <f>IFERROR(__xludf.DUMMYFUNCTION("""COMPUTED_VALUE"""),"SHERYL MANALO")</f>
        <v>SHERYL MANALO</v>
      </c>
      <c r="C4422" s="235" t="str">
        <f>IFERROR(__xludf.DUMMYFUNCTION("""COMPUTED_VALUE"""),"MUNICH")</f>
        <v>MUNICH</v>
      </c>
      <c r="D4422" s="196" t="str">
        <f>IFERROR(__xludf.DUMMYFUNCTION("""COMPUTED_VALUE"""),"ADDITIONAL MEDALS FOR SK GRAD
-SPECIAL AWARDS 15PCS
-SK ACAD ACHIEVEMENT 10PCS")</f>
        <v>ADDITIONAL MEDALS FOR SK GRAD
-SPECIAL AWARDS 15PCS
-SK ACAD ACHIEVEMENT 10PCS</v>
      </c>
      <c r="E4422" s="196" t="str">
        <f>IFERROR(__xludf.DUMMYFUNCTION("""COMPUTED_VALUE"""),"PRESCHOOL RECOGNITION AND SK GRADUATION")</f>
        <v>PRESCHOOL RECOGNITION AND SK GRADUATION</v>
      </c>
    </row>
    <row r="4423">
      <c r="A4423" s="234">
        <f>IFERROR(__xludf.DUMMYFUNCTION("""COMPUTED_VALUE"""),104714.0)</f>
        <v>104714</v>
      </c>
      <c r="B4423" s="235" t="str">
        <f>IFERROR(__xludf.DUMMYFUNCTION("""COMPUTED_VALUE"""),"SHERYL MANALO")</f>
        <v>SHERYL MANALO</v>
      </c>
      <c r="C4423" s="235" t="str">
        <f>IFERROR(__xludf.DUMMYFUNCTION("""COMPUTED_VALUE"""),"MUNICH")</f>
        <v>MUNICH</v>
      </c>
      <c r="D4423" s="196" t="str">
        <f>IFERROR(__xludf.DUMMYFUNCTION("""COMPUTED_VALUE"""),"LED FOR GRADUATION AND SOUND SYSTEM 1PC")</f>
        <v>LED FOR GRADUATION AND SOUND SYSTEM 1PC</v>
      </c>
      <c r="E4423" s="196" t="str">
        <f>IFERROR(__xludf.DUMMYFUNCTION("""COMPUTED_VALUE"""),"PRESCHOOL RECOGNITION , SK AND GRADE 6 GRADUATION")</f>
        <v>PRESCHOOL RECOGNITION , SK AND GRADE 6 GRADUATION</v>
      </c>
    </row>
    <row r="4424">
      <c r="A4424" s="234">
        <f>IFERROR(__xludf.DUMMYFUNCTION("""COMPUTED_VALUE"""),104715.0)</f>
        <v>104715</v>
      </c>
      <c r="B4424" s="235" t="str">
        <f>IFERROR(__xludf.DUMMYFUNCTION("""COMPUTED_VALUE"""),"SHERYL MANALO")</f>
        <v>SHERYL MANALO</v>
      </c>
      <c r="C4424" s="235" t="str">
        <f>IFERROR(__xludf.DUMMYFUNCTION("""COMPUTED_VALUE"""),"MUNICH")</f>
        <v>MUNICH</v>
      </c>
      <c r="D4424" s="196" t="str">
        <f>IFERROR(__xludf.DUMMYFUNCTION("""COMPUTED_VALUE"""),"INVITAION ENVELOPE 150PCS
INVITATION COVER 150PCS")</f>
        <v>INVITAION ENVELOPE 150PCS
INVITATION COVER 150PCS</v>
      </c>
      <c r="E4424" s="196" t="str">
        <f>IFERROR(__xludf.DUMMYFUNCTION("""COMPUTED_VALUE"""),"PRESCHOOL RECOGNITION , SK AND GRADE 6 GRADUATION")</f>
        <v>PRESCHOOL RECOGNITION , SK AND GRADE 6 GRADUATION</v>
      </c>
    </row>
    <row r="4425">
      <c r="A4425" s="234">
        <f>IFERROR(__xludf.DUMMYFUNCTION("""COMPUTED_VALUE"""),104716.0)</f>
        <v>104716</v>
      </c>
      <c r="B4425" s="235" t="str">
        <f>IFERROR(__xludf.DUMMYFUNCTION("""COMPUTED_VALUE"""),"MELISSA ODONO ")</f>
        <v>MELISSA ODONO </v>
      </c>
      <c r="C4425" s="235" t="str">
        <f>IFERROR(__xludf.DUMMYFUNCTION("""COMPUTED_VALUE"""),"LIBRARY MUNICH")</f>
        <v>LIBRARY MUNICH</v>
      </c>
      <c r="D4425" s="196" t="str">
        <f>IFERROR(__xludf.DUMMYFUNCTION("""COMPUTED_VALUE"""),"SINTRA FOR STAND 32
ACRYLIC 30")</f>
        <v>SINTRA FOR STAND 32
ACRYLIC 30</v>
      </c>
      <c r="E4425" s="196" t="str">
        <f>IFERROR(__xludf.DUMMYFUNCTION("""COMPUTED_VALUE"""),"FOR LIBRARY'S USE")</f>
        <v>FOR LIBRARY'S USE</v>
      </c>
    </row>
    <row r="4426">
      <c r="A4426" s="234">
        <f>IFERROR(__xludf.DUMMYFUNCTION("""COMPUTED_VALUE"""),104717.0)</f>
        <v>104717</v>
      </c>
      <c r="B4426" s="235" t="str">
        <f>IFERROR(__xludf.DUMMYFUNCTION("""COMPUTED_VALUE"""),"LYKA PERALTA")</f>
        <v>LYKA PERALTA</v>
      </c>
      <c r="C4426" s="235" t="str">
        <f>IFERROR(__xludf.DUMMYFUNCTION("""COMPUTED_VALUE"""),"AMD")</f>
        <v>AMD</v>
      </c>
      <c r="D4426" s="196" t="str">
        <f>IFERROR(__xludf.DUMMYFUNCTION("""COMPUTED_VALUE"""),"PAPER, SISC LETTERHEAD COLORED A4 2500PCS")</f>
        <v>PAPER, SISC LETTERHEAD COLORED A4 2500PCS</v>
      </c>
      <c r="E4426" s="196" t="str">
        <f>IFERROR(__xludf.DUMMYFUNCTION("""COMPUTED_VALUE"""),"OSSUP- STOCK REPLENISHMENT")</f>
        <v>OSSUP- STOCK REPLENISHMENT</v>
      </c>
    </row>
    <row r="4427">
      <c r="A4427" s="234">
        <f>IFERROR(__xludf.DUMMYFUNCTION("""COMPUTED_VALUE"""),104718.0)</f>
        <v>104718</v>
      </c>
      <c r="B4427" s="235" t="str">
        <f>IFERROR(__xludf.DUMMYFUNCTION("""COMPUTED_VALUE"""),"LYKA PERALTA")</f>
        <v>LYKA PERALTA</v>
      </c>
      <c r="C4427" s="235" t="str">
        <f>IFERROR(__xludf.DUMMYFUNCTION("""COMPUTED_VALUE"""),"AMD")</f>
        <v>AMD</v>
      </c>
      <c r="D4427" s="196" t="str">
        <f>IFERROR(__xludf.DUMMYFUNCTION("""COMPUTED_VALUE"""),"CLIP, BINDER JOY 1"" 150BOXES")</f>
        <v>CLIP, BINDER JOY 1" 150BOXES</v>
      </c>
      <c r="E4427" s="196" t="str">
        <f>IFERROR(__xludf.DUMMYFUNCTION("""COMPUTED_VALUE"""),"PSSUP- STOCK REPLENISHMENT")</f>
        <v>PSSUP- STOCK REPLENISHMENT</v>
      </c>
    </row>
    <row r="4428">
      <c r="A4428" s="234">
        <f>IFERROR(__xludf.DUMMYFUNCTION("""COMPUTED_VALUE"""),104719.0)</f>
        <v>104719</v>
      </c>
      <c r="B4428" s="235" t="str">
        <f>IFERROR(__xludf.DUMMYFUNCTION("""COMPUTED_VALUE"""),"ALFA DE LEON")</f>
        <v>ALFA DE LEON</v>
      </c>
      <c r="C4428" s="235" t="str">
        <f>IFERROR(__xludf.DUMMYFUNCTION("""COMPUTED_VALUE"""),"ADMIN")</f>
        <v>ADMIN</v>
      </c>
      <c r="D4428" s="196" t="str">
        <f>IFERROR(__xludf.DUMMYFUNCTION("""COMPUTED_VALUE"""),"CARABAO GRASS 400
(COMPLETION OF REMAINING AREA)")</f>
        <v>CARABAO GRASS 400
(COMPLETION OF REMAINING AREA)</v>
      </c>
      <c r="E4428" s="196" t="str">
        <f>IFERROR(__xludf.DUMMYFUNCTION("""COMPUTED_VALUE"""),"SOCCERFIELD REHABILITATION")</f>
        <v>SOCCERFIELD REHABILITATION</v>
      </c>
    </row>
    <row r="4429">
      <c r="A4429" s="234">
        <f>IFERROR(__xludf.DUMMYFUNCTION("""COMPUTED_VALUE"""),104720.0)</f>
        <v>104720</v>
      </c>
      <c r="B4429" s="235" t="str">
        <f>IFERROR(__xludf.DUMMYFUNCTION("""COMPUTED_VALUE"""),"LUCILLE BEYER")</f>
        <v>LUCILLE BEYER</v>
      </c>
      <c r="C4429" s="235" t="str">
        <f>IFERROR(__xludf.DUMMYFUNCTION("""COMPUTED_VALUE"""),"MEDICAL")</f>
        <v>MEDICAL</v>
      </c>
      <c r="D4429" s="196" t="str">
        <f>IFERROR(__xludf.DUMMYFUNCTION("""COMPUTED_VALUE"""),"CANCELLED- TRANSFERED TO SO4476
WATER RETRACTOR 1
REGULATOR VALVE 2PCS
BOWL 1PC
STRAINER 1PC
SINGLE HOSE FOR SCALER 3 METERS
MAIN SWITCH 1
FOOT CONTROL (JOY STICK TYPE) 1SET
GREEN HOSE 2 METERS
T-CONNECTOR 1/4x1/8 1PC")</f>
        <v>CANCELLED- TRANSFERED TO SO4476
WATER RETRACTOR 1
REGULATOR VALVE 2PCS
BOWL 1PC
STRAINER 1PC
SINGLE HOSE FOR SCALER 3 METERS
MAIN SWITCH 1
FOOT CONTROL (JOY STICK TYPE) 1SET
GREEN HOSE 2 METERS
T-CONNECTOR 1/4x1/8 1PC</v>
      </c>
      <c r="E4429" s="196" t="str">
        <f>IFERROR(__xludf.DUMMYFUNCTION("""COMPUTED_VALUE"""),"FOR REPLACEMENT OF DENTAL CHAIR ACCESSORIES")</f>
        <v>FOR REPLACEMENT OF DENTAL CHAIR ACCESSORIES</v>
      </c>
    </row>
    <row r="4430">
      <c r="A4430" s="234">
        <f>IFERROR(__xludf.DUMMYFUNCTION("""COMPUTED_VALUE"""),104721.0)</f>
        <v>104721</v>
      </c>
      <c r="B4430" s="235" t="str">
        <f>IFERROR(__xludf.DUMMYFUNCTION("""COMPUTED_VALUE"""),"ELMIE LAUDIATO")</f>
        <v>ELMIE LAUDIATO</v>
      </c>
      <c r="C4430" s="235" t="str">
        <f>IFERROR(__xludf.DUMMYFUNCTION("""COMPUTED_VALUE"""),"HRMD")</f>
        <v>HRMD</v>
      </c>
      <c r="D4430" s="196" t="str">
        <f>IFERROR(__xludf.DUMMYFUNCTION("""COMPUTED_VALUE"""),"PLAQUE 5 YEARS 6"" 1PC
PLAQUE 10 YEARS 8"" 5PCS
PLAQUE 20 YEARS 12"" 2PCS")</f>
        <v>PLAQUE 5 YEARS 6" 1PC
PLAQUE 10 YEARS 8" 5PCS
PLAQUE 20 YEARS 12" 2PCS</v>
      </c>
      <c r="E4430" s="196" t="str">
        <f>IFERROR(__xludf.DUMMYFUNCTION("""COMPUTED_VALUE"""),"PEOPLE'S AWARD AND RECOGNITION PROGRAM SERVICE APPRECIATION AWARDEES")</f>
        <v>PEOPLE'S AWARD AND RECOGNITION PROGRAM SERVICE APPRECIATION AWARDEES</v>
      </c>
    </row>
    <row r="4431">
      <c r="A4431" s="234">
        <f>IFERROR(__xludf.DUMMYFUNCTION("""COMPUTED_VALUE"""),104722.0)</f>
        <v>104722</v>
      </c>
      <c r="B4431" s="235" t="str">
        <f>IFERROR(__xludf.DUMMYFUNCTION("""COMPUTED_VALUE"""),"ELMIE LAUDIATO")</f>
        <v>ELMIE LAUDIATO</v>
      </c>
      <c r="C4431" s="235" t="str">
        <f>IFERROR(__xludf.DUMMYFUNCTION("""COMPUTED_VALUE"""),"HRMD")</f>
        <v>HRMD</v>
      </c>
      <c r="D4431" s="196" t="str">
        <f>IFERROR(__xludf.DUMMYFUNCTION("""COMPUTED_VALUE"""),"PLAQUE 5 YEARS 6"" 17 PCs
PLAQUE 10 YEARS 8"" 6 PCS
PLAQUE 15 YEARS 10"" 4PCS
PLAQUE 20 YEARS 12"" 1PC
PLAQUE 25 YEARS 14"" 2PCS
PLAQUE 30 YEARS 16"" 1PCS")</f>
        <v>PLAQUE 5 YEARS 6" 17 PCs
PLAQUE 10 YEARS 8" 6 PCS
PLAQUE 15 YEARS 10" 4PCS
PLAQUE 20 YEARS 12" 1PC
PLAQUE 25 YEARS 14" 2PCS
PLAQUE 30 YEARS 16" 1PCS</v>
      </c>
      <c r="E4431" s="196" t="str">
        <f>IFERROR(__xludf.DUMMYFUNCTION("""COMPUTED_VALUE"""),"PEOPLE'S AWARD AND RECOGNITION PROGRAM SERVICE APPRECIATION AWARDEES")</f>
        <v>PEOPLE'S AWARD AND RECOGNITION PROGRAM SERVICE APPRECIATION AWARDEES</v>
      </c>
    </row>
    <row r="4432">
      <c r="A4432" s="234">
        <f>IFERROR(__xludf.DUMMYFUNCTION("""COMPUTED_VALUE"""),104723.0)</f>
        <v>104723</v>
      </c>
      <c r="B4432" s="235" t="str">
        <f>IFERROR(__xludf.DUMMYFUNCTION("""COMPUTED_VALUE"""),"LYKA PERALTA")</f>
        <v>LYKA PERALTA</v>
      </c>
      <c r="C4432" s="235" t="str">
        <f>IFERROR(__xludf.DUMMYFUNCTION("""COMPUTED_VALUE"""),"AMD")</f>
        <v>AMD</v>
      </c>
      <c r="D4432" s="196" t="str">
        <f>IFERROR(__xludf.DUMMYFUNCTION("""COMPUTED_VALUE"""),"BATTERY ENERGIZER TRIPLE A")</f>
        <v>BATTERY ENERGIZER TRIPLE A</v>
      </c>
      <c r="E4432" s="196" t="str">
        <f>IFERROR(__xludf.DUMMYFUNCTION("""COMPUTED_VALUE"""),"OSSUP- STOCK REPLENISHMENT")</f>
        <v>OSSUP- STOCK REPLENISHMENT</v>
      </c>
    </row>
    <row r="4433">
      <c r="A4433" s="234">
        <f>IFERROR(__xludf.DUMMYFUNCTION("""COMPUTED_VALUE"""),104724.0)</f>
        <v>104724</v>
      </c>
      <c r="B4433" s="235" t="str">
        <f>IFERROR(__xludf.DUMMYFUNCTION("""COMPUTED_VALUE"""),"ELYDIA REYES")</f>
        <v>ELYDIA REYES</v>
      </c>
      <c r="C4433" s="235" t="str">
        <f>IFERROR(__xludf.DUMMYFUNCTION("""COMPUTED_VALUE"""),"PR &amp; MARKETING")</f>
        <v>PR &amp; MARKETING</v>
      </c>
      <c r="D4433" s="196" t="str">
        <f>IFERROR(__xludf.DUMMYFUNCTION("""COMPUTED_VALUE"""),"1. SOUTHVILLE SUMMER SPLASH LOGOS W:18FTxH:72FT
2. SOUTHVILLE SUMMER SPLASH POSTER (LANDSCAPE) W:8FTxH:4.5FT
3. ANDREW E AND OTHER PERFORMERS AND DJ's W:9FTxH:6FT
4. RAVE AND FOAM PARTY W:9FTxH:6FT")</f>
        <v>1. SOUTHVILLE SUMMER SPLASH LOGOS W:18FTxH:72FT
2. SOUTHVILLE SUMMER SPLASH POSTER (LANDSCAPE) W:8FTxH:4.5FT
3. ANDREW E AND OTHER PERFORMERS AND DJ's W:9FTxH:6FT
4. RAVE AND FOAM PARTY W:9FTxH:6FT</v>
      </c>
      <c r="E4433" s="196" t="str">
        <f>IFERROR(__xludf.DUMMYFUNCTION("""COMPUTED_VALUE"""),"MARKETING OF SOUTHVILLE AT SPLASH TO SUUPORT COLLEGE OF BUSINESS")</f>
        <v>MARKETING OF SOUTHVILLE AT SPLASH TO SUUPORT COLLEGE OF BUSINESS</v>
      </c>
    </row>
    <row r="4434">
      <c r="A4434" s="234">
        <f>IFERROR(__xludf.DUMMYFUNCTION("""COMPUTED_VALUE"""),104725.0)</f>
        <v>104725</v>
      </c>
      <c r="B4434" s="235" t="str">
        <f>IFERROR(__xludf.DUMMYFUNCTION("""COMPUTED_VALUE"""),"RONALDO VERDE")</f>
        <v>RONALDO VERDE</v>
      </c>
      <c r="C4434" s="235" t="str">
        <f>IFERROR(__xludf.DUMMYFUNCTION("""COMPUTED_VALUE"""),"ADMIN")</f>
        <v>ADMIN</v>
      </c>
      <c r="D4434" s="196" t="str">
        <f>IFERROR(__xludf.DUMMYFUNCTION("""COMPUTED_VALUE"""),"1"" FLAT BAR 3/16"" 15PCS
WELDING ROD 1 KG
POLITUFF WITH HANDIVER 1 LITER")</f>
        <v>1" FLAT BAR 3/16" 15PCS
WELDING ROD 1 KG
POLITUFF WITH HANDIVER 1 LITER</v>
      </c>
      <c r="E4434" s="196" t="str">
        <f>IFERROR(__xludf.DUMMYFUNCTION("""COMPUTED_VALUE"""),"COLLEGE BASEMENT TRENCH DRAIN REPLACMENT (SAFETY CONCERNS)")</f>
        <v>COLLEGE BASEMENT TRENCH DRAIN REPLACMENT (SAFETY CONCERNS)</v>
      </c>
    </row>
    <row r="4435">
      <c r="A4435" s="234">
        <f>IFERROR(__xludf.DUMMYFUNCTION("""COMPUTED_VALUE"""),104726.0)</f>
        <v>104726</v>
      </c>
      <c r="B4435" s="235" t="str">
        <f>IFERROR(__xludf.DUMMYFUNCTION("""COMPUTED_VALUE"""),"CARLITO DELA VEGA")</f>
        <v>CARLITO DELA VEGA</v>
      </c>
      <c r="C4435" s="235" t="str">
        <f>IFERROR(__xludf.DUMMYFUNCTION("""COMPUTED_VALUE"""),"SECURITY")</f>
        <v>SECURITY</v>
      </c>
      <c r="D4435" s="196" t="str">
        <f>IFERROR(__xludf.DUMMYFUNCTION("""COMPUTED_VALUE"""),"IMOU BULLET WIFI CAM - 4MP IP-NONPOE WITH SD CARD 256GB
- LUX CAMPUS 49 PCS
- COLLEGE CAMPUS 27 PCS
- TROPICAL CAMPUS 27PCS
- EXTRA SD CARD 256GB 20 PCS")</f>
        <v>IMOU BULLET WIFI CAM - 4MP IP-NONPOE WITH SD CARD 256GB
- LUX CAMPUS 49 PCS
- COLLEGE CAMPUS 27 PCS
- TROPICAL CAMPUS 27PCS
- EXTRA SD CARD 256GB 20 PCS</v>
      </c>
      <c r="E4435" s="196" t="str">
        <f>IFERROR(__xludf.DUMMYFUNCTION("""COMPUTED_VALUE"""),"SAFETY SECURITY")</f>
        <v>SAFETY SECURITY</v>
      </c>
    </row>
    <row r="4436">
      <c r="A4436" s="234">
        <f>IFERROR(__xludf.DUMMYFUNCTION("""COMPUTED_VALUE"""),104727.0)</f>
        <v>104727</v>
      </c>
      <c r="B4436" s="235" t="str">
        <f>IFERROR(__xludf.DUMMYFUNCTION("""COMPUTED_VALUE"""),"PAUL ARANA")</f>
        <v>PAUL ARANA</v>
      </c>
      <c r="C4436" s="235" t="str">
        <f>IFERROR(__xludf.DUMMYFUNCTION("""COMPUTED_VALUE"""),"MIS")</f>
        <v>MIS</v>
      </c>
      <c r="D4436" s="196" t="str">
        <f>IFERROR(__xludf.DUMMYFUNCTION("""COMPUTED_VALUE"""),"ACER VERITON X 2680G INTEL CORE i5 35PCS")</f>
        <v>ACER VERITON X 2680G INTEL CORE i5 35PCS</v>
      </c>
      <c r="E4436" s="196" t="str">
        <f>IFERROR(__xludf.DUMMYFUNCTION("""COMPUTED_VALUE"""),"FOR THE REPLACEMENT OF ALL COMPUTERS IN COMLAB 2 LUX")</f>
        <v>FOR THE REPLACEMENT OF ALL COMPUTERS IN COMLAB 2 LUX</v>
      </c>
    </row>
    <row r="4437">
      <c r="A4437" s="234">
        <f>IFERROR(__xludf.DUMMYFUNCTION("""COMPUTED_VALUE"""),104728.0)</f>
        <v>104728</v>
      </c>
      <c r="B4437" s="235" t="str">
        <f>IFERROR(__xludf.DUMMYFUNCTION("""COMPUTED_VALUE"""),"SHERYL MANALO")</f>
        <v>SHERYL MANALO</v>
      </c>
      <c r="C4437" s="235" t="str">
        <f>IFERROR(__xludf.DUMMYFUNCTION("""COMPUTED_VALUE"""),"MUNICH")</f>
        <v>MUNICH</v>
      </c>
      <c r="D4437" s="196" t="str">
        <f>IFERROR(__xludf.DUMMYFUNCTION("""COMPUTED_VALUE"""),"SUBJECT EXCELLENCE MEDALS (ADDITIONAL GRADE 6)")</f>
        <v>SUBJECT EXCELLENCE MEDALS (ADDITIONAL GRADE 6)</v>
      </c>
      <c r="E4437" s="196" t="str">
        <f>IFERROR(__xludf.DUMMYFUNCTION("""COMPUTED_VALUE"""),"GRADE 6 GRADUATION")</f>
        <v>GRADE 6 GRADUATION</v>
      </c>
    </row>
    <row r="4438">
      <c r="A4438" s="234">
        <f>IFERROR(__xludf.DUMMYFUNCTION("""COMPUTED_VALUE"""),104729.0)</f>
        <v>104729</v>
      </c>
      <c r="B4438" s="235" t="str">
        <f>IFERROR(__xludf.DUMMYFUNCTION("""COMPUTED_VALUE"""),"SHEREE ESPINOSA")</f>
        <v>SHEREE ESPINOSA</v>
      </c>
      <c r="C4438" s="235" t="str">
        <f>IFERROR(__xludf.DUMMYFUNCTION("""COMPUTED_VALUE"""),"ADMIN")</f>
        <v>ADMIN</v>
      </c>
      <c r="D4438" s="196" t="str">
        <f>IFERROR(__xludf.DUMMYFUNCTION("""COMPUTED_VALUE"""),"METERAILS FOR REPAINT
1. SEMI GLOSS LATEX = 15TIW
2. ENAMEL WHITE = 2TIW
3. ENAMEL CHOCO BROWN ON 8 GAL = 2 TIW
4. ROCIENA = 1 LITTERS
5. PAINT THINNER = 4 GALLON
6. PAINT ROLLER #7 = 10PCS
7. PAINT BRUSH #2 = 10PCS
8. SANDING PAPER #100 = 5 METERS
9. BA"&amp;"GS = 5KGS
10. POLITUFF WITH HARDINER 1 GAL
11. BORAC 2 BAGS
12. TRAFFIC PAINT YELLOW 3 GALS
13. TRAFFIC PAINT BLACK 3 GALS")</f>
        <v>METERAILS FOR REPAINT
1. SEMI GLOSS LATEX = 15TIW
2. ENAMEL WHITE = 2TIW
3. ENAMEL CHOCO BROWN ON 8 GAL = 2 TIW
4. ROCIENA = 1 LITTERS
5. PAINT THINNER = 4 GALLON
6. PAINT ROLLER #7 = 10PCS
7. PAINT BRUSH #2 = 10PCS
8. SANDING PAPER #100 = 5 METERS
9. BAGS = 5KGS
10. POLITUFF WITH HARDINER 1 GAL
11. BORAC 2 BAGS
12. TRAFFIC PAINT YELLOW 3 GALS
13. TRAFFIC PAINT BLACK 3 GALS</v>
      </c>
      <c r="E4438" s="196" t="str">
        <f>IFERROR(__xludf.DUMMYFUNCTION("""COMPUTED_VALUE"""),"MATERIALS FOR TROPICAL CAMPUS REPAINTING OF CLASSROOMS, HALLWAYS, LOBBY, HANDRAILS")</f>
        <v>MATERIALS FOR TROPICAL CAMPUS REPAINTING OF CLASSROOMS, HALLWAYS, LOBBY, HANDRAILS</v>
      </c>
    </row>
    <row r="4439">
      <c r="A4439" s="234">
        <f>IFERROR(__xludf.DUMMYFUNCTION("""COMPUTED_VALUE"""),104730.0)</f>
        <v>104730</v>
      </c>
      <c r="B4439" s="235" t="str">
        <f>IFERROR(__xludf.DUMMYFUNCTION("""COMPUTED_VALUE"""),"PHEN PETIN")</f>
        <v>PHEN PETIN</v>
      </c>
      <c r="C4439" s="235" t="str">
        <f>IFERROR(__xludf.DUMMYFUNCTION("""COMPUTED_VALUE"""),"ADMIN - STAR")</f>
        <v>ADMIN - STAR</v>
      </c>
      <c r="D4439" s="196" t="str">
        <f>IFERROR(__xludf.DUMMYFUNCTION("""COMPUTED_VALUE"""),"TECAHER'S TABLE 2 PCS. ")</f>
        <v>TECAHER'S TABLE 2 PCS. </v>
      </c>
      <c r="E4439" s="196" t="str">
        <f>IFERROR(__xludf.DUMMYFUNCTION("""COMPUTED_VALUE"""),"TEACHER'S TABLE FOR SCIENCE RM AND RM 306")</f>
        <v>TEACHER'S TABLE FOR SCIENCE RM AND RM 306</v>
      </c>
    </row>
    <row r="4440">
      <c r="A4440" s="234">
        <f>IFERROR(__xludf.DUMMYFUNCTION("""COMPUTED_VALUE"""),104731.0)</f>
        <v>104731</v>
      </c>
      <c r="B4440" s="235" t="str">
        <f>IFERROR(__xludf.DUMMYFUNCTION("""COMPUTED_VALUE"""),"SHEREE ESPINOSA")</f>
        <v>SHEREE ESPINOSA</v>
      </c>
      <c r="C4440" s="235" t="str">
        <f>IFERROR(__xludf.DUMMYFUNCTION("""COMPUTED_VALUE"""),"ADMIN")</f>
        <v>ADMIN</v>
      </c>
      <c r="D4440" s="196" t="str">
        <f>IFERROR(__xludf.DUMMYFUNCTION("""COMPUTED_VALUE"""),"1 ROLL FLAT CORD #18")</f>
        <v>1 ROLL FLAT CORD #18</v>
      </c>
      <c r="E4440" s="196" t="str">
        <f>IFERROR(__xludf.DUMMYFUNCTION("""COMPUTED_VALUE"""),"INSTALLATION OF LIGHTINGS FOR THE RESTROOM (BACKLIT MIRROR LIGHTS)")</f>
        <v>INSTALLATION OF LIGHTINGS FOR THE RESTROOM (BACKLIT MIRROR LIGHTS)</v>
      </c>
    </row>
    <row r="4441">
      <c r="A4441" s="234">
        <f>IFERROR(__xludf.DUMMYFUNCTION("""COMPUTED_VALUE"""),104732.0)</f>
        <v>104732</v>
      </c>
      <c r="B4441" s="235" t="str">
        <f>IFERROR(__xludf.DUMMYFUNCTION("""COMPUTED_VALUE"""),"PHEN PETIN")</f>
        <v>PHEN PETIN</v>
      </c>
      <c r="C4441" s="235" t="str">
        <f>IFERROR(__xludf.DUMMYFUNCTION("""COMPUTED_VALUE"""),"ADMIN - STAR")</f>
        <v>ADMIN - STAR</v>
      </c>
      <c r="D4441" s="196" t="str">
        <f>IFERROR(__xludf.DUMMYFUNCTION("""COMPUTED_VALUE"""),"PODIUM  1 PC. ")</f>
        <v>PODIUM  1 PC. </v>
      </c>
      <c r="E4441" s="196" t="str">
        <f>IFERROR(__xludf.DUMMYFUNCTION("""COMPUTED_VALUE"""),"GLASS PODIUM WILL USE FOR EVENTS - STAR/ LEARNING VILLAGE ")</f>
        <v>GLASS PODIUM WILL USE FOR EVENTS - STAR/ LEARNING VILLAGE </v>
      </c>
    </row>
    <row r="4442">
      <c r="A4442" s="234">
        <f>IFERROR(__xludf.DUMMYFUNCTION("""COMPUTED_VALUE"""),104733.0)</f>
        <v>104733</v>
      </c>
      <c r="B4442" s="235" t="str">
        <f>IFERROR(__xludf.DUMMYFUNCTION("""COMPUTED_VALUE"""),"SHARJAN GATCHALIAN")</f>
        <v>SHARJAN GATCHALIAN</v>
      </c>
      <c r="C4442" s="235" t="str">
        <f>IFERROR(__xludf.DUMMYFUNCTION("""COMPUTED_VALUE"""),"MIS/ICT")</f>
        <v>MIS/ICT</v>
      </c>
      <c r="D4442" s="196" t="str">
        <f>IFERROR(__xludf.DUMMYFUNCTION("""COMPUTED_VALUE"""),"5 PCS TPLINK TL SG108 8 PORT GIGABIT HUB,
3 PCS. TL SG1005LP 5 PORT POF GIGABT HUB")</f>
        <v>5 PCS TPLINK TL SG108 8 PORT GIGABIT HUB,
3 PCS. TL SG1005LP 5 PORT POF GIGABT HUB</v>
      </c>
      <c r="E4442" s="196" t="str">
        <f>IFERROR(__xludf.DUMMYFUNCTION("""COMPUTED_VALUE"""),"FOR SERVICE UNITS")</f>
        <v>FOR SERVICE UNITS</v>
      </c>
    </row>
    <row r="4443">
      <c r="A4443" s="234">
        <f>IFERROR(__xludf.DUMMYFUNCTION("""COMPUTED_VALUE"""),104734.0)</f>
        <v>104734</v>
      </c>
      <c r="B4443" s="235" t="str">
        <f>IFERROR(__xludf.DUMMYFUNCTION("""COMPUTED_VALUE"""),"JESUIT CHRISTIAN GALICIA")</f>
        <v>JESUIT CHRISTIAN GALICIA</v>
      </c>
      <c r="C4443" s="235" t="str">
        <f>IFERROR(__xludf.DUMMYFUNCTION("""COMPUTED_VALUE"""),"AMD")</f>
        <v>AMD</v>
      </c>
      <c r="D4443" s="196" t="str">
        <f>IFERROR(__xludf.DUMMYFUNCTION("""COMPUTED_VALUE"""),"DOUBLE ACTION VALVE 1/2 X 1/4 X 1/2 (WASSERNISON) 25 PCS.
DOUBLE ACTION VALVE 1/2 X 1/2 X 1/2 (WASSERNISON) 25 PCS.
TANK BOLTS W/ UNIVERSAL RUBBER SPUD (WASSERNISON) 10 PCS. ")</f>
        <v>DOUBLE ACTION VALVE 1/2 X 1/4 X 1/2 (WASSERNISON) 25 PCS.
DOUBLE ACTION VALVE 1/2 X 1/2 X 1/2 (WASSERNISON) 25 PCS.
TANK BOLTS W/ UNIVERSAL RUBBER SPUD (WASSERNISON) 10 PCS. </v>
      </c>
      <c r="E4443" s="196" t="str">
        <f>IFERROR(__xludf.DUMMYFUNCTION("""COMPUTED_VALUE"""),"ENGINEERING WAREHOUSE STOCK REPLENISHMENT ")</f>
        <v>ENGINEERING WAREHOUSE STOCK REPLENISHMENT </v>
      </c>
    </row>
    <row r="4444">
      <c r="A4444" s="234">
        <f>IFERROR(__xludf.DUMMYFUNCTION("""COMPUTED_VALUE"""),104735.0)</f>
        <v>104735</v>
      </c>
      <c r="B4444" s="235" t="str">
        <f>IFERROR(__xludf.DUMMYFUNCTION("""COMPUTED_VALUE"""),"MELISSA N ODONO/DR. ARIS IGNACIO")</f>
        <v>MELISSA N ODONO/DR. ARIS IGNACIO</v>
      </c>
      <c r="C4444" s="235" t="str">
        <f>IFERROR(__xludf.DUMMYFUNCTION("""COMPUTED_VALUE"""),"LIBRARY COLLEGE")</f>
        <v>LIBRARY COLLEGE</v>
      </c>
      <c r="D4444" s="196" t="str">
        <f>IFERROR(__xludf.DUMMYFUNCTION("""COMPUTED_VALUE"""),"a. 
3D Printing for Dummies                                        
Analog Communications                                        
An Integrated Approach To Artificial Intelligence                                        
Basic Of Cloud Computing           "&amp;"                             
Basic Computer Coding: CSS                                        
Basic Computer Coding: Python                                        
Basic Computer Coding: Responsive Design                                        
Big Dat"&amp;"a Analytics A Guide To Datya Science Practioners Making the Transition To Big Data                                        
Big Data Management and Analytics                                        
C Programming                                        
Clou"&amp;"d Computing                                        
Computer Networks                                        
Core Concepts In Computer Science: Database Management Systems                                        
The Creation and Management Of Database Sy"&amp;"stems                                        
Database Systems A Practical Approach                                        
Deep Learning And Its Applications Using Python                                        
Design and Analysis Of Algorithms          "&amp;"                              
Embedded Software System Testing Authomatic Testing Solution Based On Formal Method                                        
Exploring Robotics and Robotic Systems                                        
File Processing And D"&amp;"atabase Systems                                        
b.
Fundamentals Of Artificial Neural Ndetwork And Fuzzy Logic                                        
HTML, CSS, &amp; JavaScript All-In-One for Dummies                                        
Introrduc"&amp;"tion To Computer Programming                                        
Introduction To Software Engineering                                        
Learn Programming With C An Easy Step-By-Step Self-Practice Book For Learning C                              "&amp;"          
Machine Learning Applications From Computer Vision To Robotics                                        
Mathematical Foundations Of Computer Science                                        
Multuimedia Applications and Web Designing              "&amp;"                          
Object Oriented Software Engineering                                        
Professional Javascript For Web Developers                                        
Programming with Python and Its Applications To Physical Systems    "&amp;"                                    
Python All-In-One For Dummies                                        
Python for Data Science For Dummies                                        
SQL Server Database Programming With C# Desktop and Web Applications    "&amp;"                                    
Teach Yourself visually HTML and CSS                                        
Theory, Practice and Techniques in Computer Science                                        
Theory, Practice and Techniques in MTML and CSS  "&amp;"                                      
Theory, Practice and Techniques in Web Development                                        
Web Coding &amp; Development All-In-One for Dummies                                        
c.
Android Boot Camp for Developers "&amp;"Using Java A guide To Creating Your First Android Apps                                        
Basic Cloud Computing                                        
Basic Networking                                        
Cryptography Algorithms, Protocol, and St"&amp;"andard s for Computer Security                                        
Computer Networking                                        
Core Concepts in Computer Science: Computer Networks                                        
Core Concepts in Computer Scien"&amp;"ce: Cloud Computing                                        
Core Concepts in Computer Science: Operating Systems                                        
Core Concepts in Computer Science: Software Engineering                                        
CompTI"&amp;"A Cloud+ Guide to Cloud Computing                                        
CompTIA Network+ Guide To Networks                                        
CompTIA PenTest+ Guide To Penetration Testing                                        
CompTIA CySA+ Guide "&amp;"To Cybersecurity Analyst                                        
Fundamentals of Data Base Systems                                        
Fundamentals of Internet Programming                                        
Fundamentals Of Computer Architecture  "&amp;"                                      
Foundation of Information Security                                        
Fundamentals of Programming                                        
d.
Human-Computer Interaction Fundamentals and Practice                 "&amp;"                       
Information Technology Project Management                                        
Information Technology Service Management                                        
Illustrated Handbook Of Advanced Operating Systems and Kernel Appli"&amp;"cations                                        
Introduction to Artificial Intelligence                                        
Introduction to Information Technology                                        
Introduction to Numerical Analysis              "&amp;"                          
Object Oriented Programming                                        
Operating Systems                                        
Textbook of Computer Information Science                                        
Systems Analysis and "&amp;"Design                                        
Software Architecture An Introduction                                        
Software Development Metrics                                        
Software Design                                        
Softw"&amp;"are Engineering Principles and Practices                                        
Software Testing and User Experience                                        ")</f>
        <v>a. 
3D Printing for Dummies                                        
Analog Communications                                        
An Integrated Approach To Artificial Intelligence                                        
Basic Of Cloud Computing                                        
Basic Computer Coding: CSS                                        
Basic Computer Coding: Python                                        
Basic Computer Coding: Responsive Design                                        
Big Data Analytics A Guide To Datya Science Practioners Making the Transition To Big Data                                        
Big Data Management and Analytics                                        
C Programming                                        
Cloud Computing                                        
Computer Networks                                        
Core Concepts In Computer Science: Database Management Systems                                        
The Creation and Management Of Database Systems                                        
Database Systems A Practical Approach                                        
Deep Learning And Its Applications Using Python                                        
Design and Analysis Of Algorithms                                        
Embedded Software System Testing Authomatic Testing Solution Based On Formal Method                                        
Exploring Robotics and Robotic Systems                                        
File Processing And Database Systems                                        
b.
Fundamentals Of Artificial Neural Ndetwork And Fuzzy Logic                                        
HTML, CSS, &amp; JavaScript All-In-One for Dummies                                        
Introrduction To Computer Programming                                        
Introduction To Software Engineering                                        
Learn Programming With C An Easy Step-By-Step Self-Practice Book For Learning C                                        
Machine Learning Applications From Computer Vision To Robotics                                        
Mathematical Foundations Of Computer Science                                        
Multuimedia Applications and Web Designing                                        
Object Oriented Software Engineering                                        
Professional Javascript For Web Developers                                        
Programming with Python and Its Applications To Physical Systems                                        
Python All-In-One For Dummies                                        
Python for Data Science For Dummies                                        
SQL Server Database Programming With C# Desktop and Web Applications                                        
Teach Yourself visually HTML and CSS                                        
Theory, Practice and Techniques in Computer Science                                        
Theory, Practice and Techniques in MTML and CSS                                        
Theory, Practice and Techniques in Web Development                                        
Web Coding &amp; Development All-In-One for Dummies                                        
c.
Android Boot Camp for Developers Using Java A guide To Creating Your First Android Apps                                        
Basic Cloud Computing                                        
Basic Networking                                        
Cryptography Algorithms, Protocol, and Standard s for Computer Security                                        
Computer Networking                                        
Core Concepts in Computer Science: Computer Networks                                        
Core Concepts in Computer Science: Cloud Computing                                        
Core Concepts in Computer Science: Operating Systems                                        
Core Concepts in Computer Science: Software Engineering                                        
CompTIA Cloud+ Guide to Cloud Computing                                        
CompTIA Network+ Guide To Networks                                        
CompTIA PenTest+ Guide To Penetration Testing                                        
CompTIA CySA+ Guide To Cybersecurity Analyst                                        
Fundamentals of Data Base Systems                                        
Fundamentals of Internet Programming                                        
Fundamentals Of Computer Architecture                                        
Foundation of Information Security                                        
Fundamentals of Programming                                        
d.
Human-Computer Interaction Fundamentals and Practice                                        
Information Technology Project Management                                        
Information Technology Service Management                                        
Illustrated Handbook Of Advanced Operating Systems and Kernel Applications                                        
Introduction to Artificial Intelligence                                        
Introduction to Information Technology                                        
Introduction to Numerical Analysis                                        
Object Oriented Programming                                        
Operating Systems                                        
Textbook of Computer Information Science                                        
Systems Analysis and Design                                        
Software Architecture An Introduction                                        
Software Development Metrics                                        
Software Design                                        
Software Engineering Principles and Practices                                        
Software Testing and User Experience                                        </v>
      </c>
      <c r="E4444" s="196" t="str">
        <f>IFERROR(__xludf.DUMMYFUNCTION("""COMPUTED_VALUE"""),"FOR PACUCOA COMPLIANCE / LIBRARY'S COPY")</f>
        <v>FOR PACUCOA COMPLIANCE / LIBRARY'S COPY</v>
      </c>
    </row>
    <row r="4445">
      <c r="A4445" s="234">
        <f>IFERROR(__xludf.DUMMYFUNCTION("""COMPUTED_VALUE"""),104736.0)</f>
        <v>104736</v>
      </c>
      <c r="B4445" s="235" t="str">
        <f>IFERROR(__xludf.DUMMYFUNCTION("""COMPUTED_VALUE"""),"GEN OLIVA")</f>
        <v>GEN OLIVA</v>
      </c>
      <c r="C4445" s="235" t="str">
        <f>IFERROR(__xludf.DUMMYFUNCTION("""COMPUTED_VALUE"""),"AFFILIATES ACCOUNTING")</f>
        <v>AFFILIATES ACCOUNTING</v>
      </c>
      <c r="D4445" s="196" t="str">
        <f>IFERROR(__xludf.DUMMYFUNCTION("""COMPUTED_VALUE"""),"OFFICE TABLE - 2 PCS
OFFICE CHAIR - 2PCS")</f>
        <v>OFFICE TABLE - 2 PCS
OFFICE CHAIR - 2PCS</v>
      </c>
      <c r="E4445" s="196" t="str">
        <f>IFERROR(__xludf.DUMMYFUNCTION("""COMPUTED_VALUE"""),"FOR NEW EMPLOYEES")</f>
        <v>FOR NEW EMPLOYEES</v>
      </c>
    </row>
    <row r="4446">
      <c r="A4446" s="234">
        <f>IFERROR(__xludf.DUMMYFUNCTION("""COMPUTED_VALUE"""),104737.0)</f>
        <v>104737</v>
      </c>
      <c r="B4446" s="235" t="str">
        <f>IFERROR(__xludf.DUMMYFUNCTION("""COMPUTED_VALUE"""),"CHOY JAMIAS")</f>
        <v>CHOY JAMIAS</v>
      </c>
      <c r="C4446" s="235" t="str">
        <f>IFERROR(__xludf.DUMMYFUNCTION("""COMPUTED_VALUE"""),"STUDENT AFFAIRS COLLEGE")</f>
        <v>STUDENT AFFAIRS COLLEGE</v>
      </c>
      <c r="D4446" s="196" t="str">
        <f>IFERROR(__xludf.DUMMYFUNCTION("""COMPUTED_VALUE"""),"NEW FLAGS FOR PROGRAM - 9PCS
PLAQUE FOR SEN. BAM AQUINO")</f>
        <v>NEW FLAGS FOR PROGRAM - 9PCS
PLAQUE FOR SEN. BAM AQUINO</v>
      </c>
      <c r="E4446" s="196" t="str">
        <f>IFERROR(__xludf.DUMMYFUNCTION("""COMPUTED_VALUE"""),"GRADUATION FLAGS AND SPEAKER")</f>
        <v>GRADUATION FLAGS AND SPEAKER</v>
      </c>
    </row>
    <row r="4447">
      <c r="A4447" s="234">
        <f>IFERROR(__xludf.DUMMYFUNCTION("""COMPUTED_VALUE"""),104738.0)</f>
        <v>104738</v>
      </c>
      <c r="B4447" s="235" t="str">
        <f>IFERROR(__xludf.DUMMYFUNCTION("""COMPUTED_VALUE"""),"PHEN PETIN ")</f>
        <v>PHEN PETIN </v>
      </c>
      <c r="C4447" s="235" t="str">
        <f>IFERROR(__xludf.DUMMYFUNCTION("""COMPUTED_VALUE"""),"ADMIN - STAR")</f>
        <v>ADMIN - STAR</v>
      </c>
      <c r="D4447" s="196" t="str">
        <f>IFERROR(__xludf.DUMMYFUNCTION("""COMPUTED_VALUE"""),"SLIDING GLASS DOOR LOCK")</f>
        <v>SLIDING GLASS DOOR LOCK</v>
      </c>
      <c r="E4447" s="196" t="str">
        <f>IFERROR(__xludf.DUMMYFUNCTION("""COMPUTED_VALUE"""),"GLASS LOCK FOR H.E. CABINET EQUIPMENT")</f>
        <v>GLASS LOCK FOR H.E. CABINET EQUIPMENT</v>
      </c>
    </row>
    <row r="4448">
      <c r="A4448" s="234">
        <f>IFERROR(__xludf.DUMMYFUNCTION("""COMPUTED_VALUE"""),104739.0)</f>
        <v>104739</v>
      </c>
      <c r="B4448" s="235" t="str">
        <f>IFERROR(__xludf.DUMMYFUNCTION("""COMPUTED_VALUE"""),"CHRISTIAN ANDRES ")</f>
        <v>CHRISTIAN ANDRES </v>
      </c>
      <c r="C4448" s="235" t="str">
        <f>IFERROR(__xludf.DUMMYFUNCTION("""COMPUTED_VALUE"""),"PR &amp; MARKETING")</f>
        <v>PR &amp; MARKETING</v>
      </c>
      <c r="D4448" s="196" t="str">
        <f>IFERROR(__xludf.DUMMYFUNCTION("""COMPUTED_VALUE"""),"OPENING OF CLASSES TARP 3 PCS. FOR TROPICAL, COLLEGE AND LUX")</f>
        <v>OPENING OF CLASSES TARP 3 PCS. FOR TROPICAL, COLLEGE AND LUX</v>
      </c>
      <c r="E4448" s="196" t="str">
        <f>IFERROR(__xludf.DUMMYFUNCTION("""COMPUTED_VALUE"""),"PROMOTION")</f>
        <v>PROMOTION</v>
      </c>
    </row>
    <row r="4449">
      <c r="A4449" s="234">
        <f>IFERROR(__xludf.DUMMYFUNCTION("""COMPUTED_VALUE"""),104740.0)</f>
        <v>104740</v>
      </c>
      <c r="B4449" s="235" t="str">
        <f>IFERROR(__xludf.DUMMYFUNCTION("""COMPUTED_VALUE"""),"MARVIN MARASIGAN")</f>
        <v>MARVIN MARASIGAN</v>
      </c>
      <c r="C4449" s="235" t="str">
        <f>IFERROR(__xludf.DUMMYFUNCTION("""COMPUTED_VALUE"""),"PR &amp; MARKETING")</f>
        <v>PR &amp; MARKETING</v>
      </c>
      <c r="D4449" s="196" t="str">
        <f>IFERROR(__xludf.DUMMYFUNCTION("""COMPUTED_VALUE"""),"PERIMETER BANNER 5, MOTORTOWN BANNER 3")</f>
        <v>PERIMETER BANNER 5, MOTORTOWN BANNER 3</v>
      </c>
      <c r="E4449" s="196" t="str">
        <f>IFERROR(__xludf.DUMMYFUNCTION("""COMPUTED_VALUE"""),"FOR ATC AD PLACEMENT ")</f>
        <v>FOR ATC AD PLACEMENT </v>
      </c>
    </row>
    <row r="4450">
      <c r="A4450" s="234">
        <f>IFERROR(__xludf.DUMMYFUNCTION("""COMPUTED_VALUE"""),104741.0)</f>
        <v>104741</v>
      </c>
      <c r="B4450" s="235" t="str">
        <f>IFERROR(__xludf.DUMMYFUNCTION("""COMPUTED_VALUE"""),"JESUIT CHRISTIAN GALICIA")</f>
        <v>JESUIT CHRISTIAN GALICIA</v>
      </c>
      <c r="C4450" s="235" t="str">
        <f>IFERROR(__xludf.DUMMYFUNCTION("""COMPUTED_VALUE"""),"AMD")</f>
        <v>AMD</v>
      </c>
      <c r="D4450" s="196" t="str">
        <f>IFERROR(__xludf.DUMMYFUNCTION("""COMPUTED_VALUE"""),"DOORKNOB GATEMAN 30PCS
MALE PLUG HEAVY DUTY RUBBER EAGLE 30 PCS")</f>
        <v>DOORKNOB GATEMAN 30PCS
MALE PLUG HEAVY DUTY RUBBER EAGLE 30 PCS</v>
      </c>
      <c r="E4450" s="196" t="str">
        <f>IFERROR(__xludf.DUMMYFUNCTION("""COMPUTED_VALUE"""),"ENGR WAREHOUSE STOCK REPLENSIHMENT")</f>
        <v>ENGR WAREHOUSE STOCK REPLENSIHMENT</v>
      </c>
    </row>
    <row r="4451">
      <c r="A4451" s="234">
        <f>IFERROR(__xludf.DUMMYFUNCTION("""COMPUTED_VALUE"""),104742.0)</f>
        <v>104742</v>
      </c>
      <c r="B4451" s="235" t="str">
        <f>IFERROR(__xludf.DUMMYFUNCTION("""COMPUTED_VALUE"""),"OWIE PAR ")</f>
        <v>OWIE PAR </v>
      </c>
      <c r="C4451" s="235" t="str">
        <f>IFERROR(__xludf.DUMMYFUNCTION("""COMPUTED_VALUE"""),"ENGINEERING")</f>
        <v>ENGINEERING</v>
      </c>
      <c r="D4451" s="196" t="str">
        <f>IFERROR(__xludf.DUMMYFUNCTION("""COMPUTED_VALUE"""),"STATE GREASE BGONE 3 PAILS ")</f>
        <v>STATE GREASE BGONE 3 PAILS </v>
      </c>
      <c r="E4451" s="196" t="str">
        <f>IFERROR(__xludf.DUMMYFUNCTION("""COMPUTED_VALUE"""),"FOR GREASE TRAP CLEANING AND MAINTENANCE ")</f>
        <v>FOR GREASE TRAP CLEANING AND MAINTENANCE </v>
      </c>
    </row>
    <row r="4452">
      <c r="A4452" s="234">
        <f>IFERROR(__xludf.DUMMYFUNCTION("""COMPUTED_VALUE"""),104743.0)</f>
        <v>104743</v>
      </c>
      <c r="B4452" s="235" t="str">
        <f>IFERROR(__xludf.DUMMYFUNCTION("""COMPUTED_VALUE"""),"PHEN PETIN")</f>
        <v>PHEN PETIN</v>
      </c>
      <c r="C4452" s="235" t="str">
        <f>IFERROR(__xludf.DUMMYFUNCTION("""COMPUTED_VALUE"""),"ADMIN - STAR")</f>
        <v>ADMIN - STAR</v>
      </c>
      <c r="D4452" s="196" t="str">
        <f>IFERROR(__xludf.DUMMYFUNCTION("""COMPUTED_VALUE"""),"EXECUTIVE CHAIR BLACK 1 PC")</f>
        <v>EXECUTIVE CHAIR BLACK 1 PC</v>
      </c>
      <c r="E4452" s="196" t="str">
        <f>IFERROR(__xludf.DUMMYFUNCTION("""COMPUTED_VALUE"""),"EXECUTIVE CHAIR FOR DP'S OFFICE STAR CAMPUS")</f>
        <v>EXECUTIVE CHAIR FOR DP'S OFFICE STAR CAMPUS</v>
      </c>
    </row>
    <row r="4453">
      <c r="A4453" s="234">
        <f>IFERROR(__xludf.DUMMYFUNCTION("""COMPUTED_VALUE"""),104744.0)</f>
        <v>104744</v>
      </c>
      <c r="B4453" s="235" t="str">
        <f>IFERROR(__xludf.DUMMYFUNCTION("""COMPUTED_VALUE"""),"SARY ESCUREL")</f>
        <v>SARY ESCUREL</v>
      </c>
      <c r="C4453" s="235" t="str">
        <f>IFERROR(__xludf.DUMMYFUNCTION("""COMPUTED_VALUE"""),"PRINCIPAL'S OFFICE")</f>
        <v>PRINCIPAL'S OFFICE</v>
      </c>
      <c r="D4453" s="196" t="str">
        <f>IFERROR(__xludf.DUMMYFUNCTION("""COMPUTED_VALUE"""),"FUNERAL FLOWER")</f>
        <v>FUNERAL FLOWER</v>
      </c>
      <c r="E4453" s="196" t="str">
        <f>IFERROR(__xludf.DUMMYFUNCTION("""COMPUTED_VALUE"""),"FOR MAYOR MEL'S BROTHER FUNERAL")</f>
        <v>FOR MAYOR MEL'S BROTHER FUNERAL</v>
      </c>
    </row>
    <row r="4454">
      <c r="A4454" s="234">
        <f>IFERROR(__xludf.DUMMYFUNCTION("""COMPUTED_VALUE"""),104745.0)</f>
        <v>104745</v>
      </c>
      <c r="B4454" s="235" t="str">
        <f>IFERROR(__xludf.DUMMYFUNCTION("""COMPUTED_VALUE"""),"SHEREE ESPINOSA ")</f>
        <v>SHEREE ESPINOSA </v>
      </c>
      <c r="C4454" s="235" t="str">
        <f>IFERROR(__xludf.DUMMYFUNCTION("""COMPUTED_VALUE"""),"ADMIN")</f>
        <v>ADMIN</v>
      </c>
      <c r="D4454" s="196" t="str">
        <f>IFERROR(__xludf.DUMMYFUNCTION("""COMPUTED_VALUE"""),"ESSENTIAL FRAGRANCE OIL 6 PCS. ")</f>
        <v>ESSENTIAL FRAGRANCE OIL 6 PCS. </v>
      </c>
      <c r="E4454" s="196" t="str">
        <f>IFERROR(__xludf.DUMMYFUNCTION("""COMPUTED_VALUE"""),"FRAGRANCE OIL FOR PTC AND OTHER EVENTS FOR LUX, TROPICAL, COLLEGE MUNICH AND STAR CAMPUS")</f>
        <v>FRAGRANCE OIL FOR PTC AND OTHER EVENTS FOR LUX, TROPICAL, COLLEGE MUNICH AND STAR CAMPUS</v>
      </c>
    </row>
    <row r="4455">
      <c r="A4455" s="234">
        <f>IFERROR(__xludf.DUMMYFUNCTION("""COMPUTED_VALUE"""),104746.0)</f>
        <v>104746</v>
      </c>
      <c r="B4455" s="235" t="str">
        <f>IFERROR(__xludf.DUMMYFUNCTION("""COMPUTED_VALUE"""),"OWIE PAR")</f>
        <v>OWIE PAR</v>
      </c>
      <c r="C4455" s="235" t="str">
        <f>IFERROR(__xludf.DUMMYFUNCTION("""COMPUTED_VALUE"""),"ADMIN")</f>
        <v>ADMIN</v>
      </c>
      <c r="D4455" s="196" t="str">
        <f>IFERROR(__xludf.DUMMYFUNCTION("""COMPUTED_VALUE"""),"ACU, 2.5 HP WALL MOUNTED INVERTER PANASONIC 1 PC. ")</f>
        <v>ACU, 2.5 HP WALL MOUNTED INVERTER PANASONIC 1 PC. </v>
      </c>
      <c r="E4455" s="196" t="str">
        <f>IFERROR(__xludf.DUMMYFUNCTION("""COMPUTED_VALUE"""),"RPLACEMENT OF OLD UNIT FOR STAR CAMPUS FACULTY RM. IN THE BASEMENT ")</f>
        <v>RPLACEMENT OF OLD UNIT FOR STAR CAMPUS FACULTY RM. IN THE BASEMENT </v>
      </c>
    </row>
    <row r="4456">
      <c r="A4456" s="234">
        <f>IFERROR(__xludf.DUMMYFUNCTION("""COMPUTED_VALUE"""),104747.0)</f>
        <v>104747</v>
      </c>
      <c r="B4456" s="235" t="str">
        <f>IFERROR(__xludf.DUMMYFUNCTION("""COMPUTED_VALUE"""),"OWIE PAR")</f>
        <v>OWIE PAR</v>
      </c>
      <c r="C4456" s="235" t="str">
        <f>IFERROR(__xludf.DUMMYFUNCTION("""COMPUTED_VALUE"""),"ADMIN")</f>
        <v>ADMIN</v>
      </c>
      <c r="D4456" s="196" t="str">
        <f>IFERROR(__xludf.DUMMYFUNCTION("""COMPUTED_VALUE"""),"ACU, 2.5 HP WALL MOUNTED INVERTER PANASONIC 3 UNITS, ACU 1.5 HP WALL MOUNTED INVERTER PANASONIC 1 UNIT")</f>
        <v>ACU, 2.5 HP WALL MOUNTED INVERTER PANASONIC 3 UNITS, ACU 1.5 HP WALL MOUNTED INVERTER PANASONIC 1 UNIT</v>
      </c>
      <c r="E4456" s="196" t="str">
        <f>IFERROR(__xludf.DUMMYFUNCTION("""COMPUTED_VALUE"""),"REPLACEMENT/ IMPROVEMENT OF ACU LUX CAMPUS 301, 303, 306 5TH FLOOR SERVER ROOM DUE TO THE CONVERSION OF FROM SMALL CLASSROOM TO BIG CLASSROOMS")</f>
        <v>REPLACEMENT/ IMPROVEMENT OF ACU LUX CAMPUS 301, 303, 306 5TH FLOOR SERVER ROOM DUE TO THE CONVERSION OF FROM SMALL CLASSROOM TO BIG CLASSROOMS</v>
      </c>
    </row>
    <row r="4457">
      <c r="A4457" s="234">
        <f>IFERROR(__xludf.DUMMYFUNCTION("""COMPUTED_VALUE"""),104748.0)</f>
        <v>104748</v>
      </c>
      <c r="B4457" s="235" t="str">
        <f>IFERROR(__xludf.DUMMYFUNCTION("""COMPUTED_VALUE"""),"LYKA PERALTA")</f>
        <v>LYKA PERALTA</v>
      </c>
      <c r="C4457" s="235" t="str">
        <f>IFERROR(__xludf.DUMMYFUNCTION("""COMPUTED_VALUE"""),"AMD")</f>
        <v>AMD</v>
      </c>
      <c r="D4457" s="196" t="str">
        <f>IFERROR(__xludf.DUMMYFUNCTION("""COMPUTED_VALUE"""),"JEEPNEY MINIATURE- PUT ONHOLD BY DR. JO (To look for other replacement)")</f>
        <v>JEEPNEY MINIATURE- PUT ONHOLD BY DR. JO (To look for other replacement)</v>
      </c>
      <c r="E4457" s="196" t="str">
        <f>IFERROR(__xludf.DUMMYFUNCTION("""COMPUTED_VALUE"""),"TOKEN STOCK REPLENISHMENT")</f>
        <v>TOKEN STOCK REPLENISHMENT</v>
      </c>
    </row>
    <row r="4458">
      <c r="A4458" s="234">
        <f>IFERROR(__xludf.DUMMYFUNCTION("""COMPUTED_VALUE"""),104749.0)</f>
        <v>104749</v>
      </c>
      <c r="B4458" s="235" t="str">
        <f>IFERROR(__xludf.DUMMYFUNCTION("""COMPUTED_VALUE"""),"LYKA PERALTA")</f>
        <v>LYKA PERALTA</v>
      </c>
      <c r="C4458" s="235" t="str">
        <f>IFERROR(__xludf.DUMMYFUNCTION("""COMPUTED_VALUE"""),"AMD")</f>
        <v>AMD</v>
      </c>
      <c r="D4458" s="196" t="str">
        <f>IFERROR(__xludf.DUMMYFUNCTION("""COMPUTED_VALUE"""),"TUMBER, VACCUM FLASK:
BLACK
WHITE
RED
BLUE
GRAY
SILVER
GREEN
PURPLE
25PCS EACH")</f>
        <v>TUMBER, VACCUM FLASK:
BLACK
WHITE
RED
BLUE
GRAY
SILVER
GREEN
PURPLE
25PCS EACH</v>
      </c>
      <c r="E4458" s="196" t="str">
        <f>IFERROR(__xludf.DUMMYFUNCTION("""COMPUTED_VALUE"""),"TOKEN STOCK REPLENISHMENT")</f>
        <v>TOKEN STOCK REPLENISHMENT</v>
      </c>
    </row>
    <row r="4459">
      <c r="A4459" s="234">
        <f>IFERROR(__xludf.DUMMYFUNCTION("""COMPUTED_VALUE"""),104750.0)</f>
        <v>104750</v>
      </c>
      <c r="B4459" s="235" t="str">
        <f>IFERROR(__xludf.DUMMYFUNCTION("""COMPUTED_VALUE"""),"GEN OLIVA")</f>
        <v>GEN OLIVA</v>
      </c>
      <c r="C4459" s="235" t="str">
        <f>IFERROR(__xludf.DUMMYFUNCTION("""COMPUTED_VALUE"""),"FINANCE &amp; ACCOUNTING")</f>
        <v>FINANCE &amp; ACCOUNTING</v>
      </c>
      <c r="D4459" s="196" t="str">
        <f>IFERROR(__xludf.DUMMYFUNCTION("""COMPUTED_VALUE"""),"3 PCS MOBILE CABINET")</f>
        <v>3 PCS MOBILE CABINET</v>
      </c>
      <c r="E4459" s="196" t="str">
        <f>IFERROR(__xludf.DUMMYFUNCTION("""COMPUTED_VALUE"""),"FOR EMPLOYEES USE ( RIZ, GEN AND TRIXIE)")</f>
        <v>FOR EMPLOYEES USE ( RIZ, GEN AND TRIXIE)</v>
      </c>
    </row>
    <row r="4460">
      <c r="A4460" s="234">
        <f>IFERROR(__xludf.DUMMYFUNCTION("""COMPUTED_VALUE"""),104751.0)</f>
        <v>104751</v>
      </c>
      <c r="B4460" s="235" t="str">
        <f>IFERROR(__xludf.DUMMYFUNCTION("""COMPUTED_VALUE"""),"GEN OLIVA")</f>
        <v>GEN OLIVA</v>
      </c>
      <c r="C4460" s="235" t="str">
        <f>IFERROR(__xludf.DUMMYFUNCTION("""COMPUTED_VALUE"""),"FINANCE &amp; ACCOUNTING")</f>
        <v>FINANCE &amp; ACCOUNTING</v>
      </c>
      <c r="D4460" s="196" t="str">
        <f>IFERROR(__xludf.DUMMYFUNCTION("""COMPUTED_VALUE"""),"2 PCS. PLASTIC STORAGE BOX")</f>
        <v>2 PCS. PLASTIC STORAGE BOX</v>
      </c>
      <c r="E4460" s="196" t="str">
        <f>IFERROR(__xludf.DUMMYFUNCTION("""COMPUTED_VALUE"""),"FOR FILE STORAGE ")</f>
        <v>FOR FILE STORAGE </v>
      </c>
    </row>
    <row r="4461">
      <c r="A4461" s="234">
        <f>IFERROR(__xludf.DUMMYFUNCTION("""COMPUTED_VALUE"""),104752.0)</f>
        <v>104752</v>
      </c>
      <c r="B4461" s="235" t="str">
        <f>IFERROR(__xludf.DUMMYFUNCTION("""COMPUTED_VALUE"""),"CHOY JAMIAS")</f>
        <v>CHOY JAMIAS</v>
      </c>
      <c r="C4461" s="235" t="str">
        <f>IFERROR(__xludf.DUMMYFUNCTION("""COMPUTED_VALUE"""),"STUDENT AFFAIRS COLLEGE")</f>
        <v>STUDENT AFFAIRS COLLEGE</v>
      </c>
      <c r="D4461" s="196" t="str">
        <f>IFERROR(__xludf.DUMMYFUNCTION("""COMPUTED_VALUE"""),"COLLEGE  MEDALS:
18 MAGNA CUM LAUDE
30 CUM LAUDE
10 WITH DISTINCTION
30 HONORABLE MENTION
4 DEAN'S MERIT
2 LOYALTY AWARD GOLD W/ RIBBON
3 MERITISSIMUS
2 MERITUS
3 BENE MERITUS
150 GOLD MEDAL WITH PURPLE RIBBON
1 CLINICAL EXCELLENCE MEDAL
7 CLINICAL RECOGN"&amp;"ITION
1 AMITY AWARD
1 LEADERSHIP AWARD
65 NURSING PINS")</f>
        <v>COLLEGE  MEDALS:
18 MAGNA CUM LAUDE
30 CUM LAUDE
10 WITH DISTINCTION
30 HONORABLE MENTION
4 DEAN'S MERIT
2 LOYALTY AWARD GOLD W/ RIBBON
3 MERITISSIMUS
2 MERITUS
3 BENE MERITUS
150 GOLD MEDAL WITH PURPLE RIBBON
1 CLINICAL EXCELLENCE MEDAL
7 CLINICAL RECOGNITION
1 AMITY AWARD
1 LEADERSHIP AWARD
65 NURSING PINS</v>
      </c>
      <c r="E4461" s="196" t="str">
        <f>IFERROR(__xludf.DUMMYFUNCTION("""COMPUTED_VALUE"""),"FOR COLLEGE RECOGNITION AND GRADUATION")</f>
        <v>FOR COLLEGE RECOGNITION AND GRADUATION</v>
      </c>
    </row>
    <row r="4462">
      <c r="A4462" s="234">
        <f>IFERROR(__xludf.DUMMYFUNCTION("""COMPUTED_VALUE"""),104753.0)</f>
        <v>104753</v>
      </c>
      <c r="B4462" s="235" t="str">
        <f>IFERROR(__xludf.DUMMYFUNCTION("""COMPUTED_VALUE"""),"CHOY JAMIAS")</f>
        <v>CHOY JAMIAS</v>
      </c>
      <c r="C4462" s="235" t="str">
        <f>IFERROR(__xludf.DUMMYFUNCTION("""COMPUTED_VALUE"""),"STUDENT AFFAIRS COLLEGE")</f>
        <v>STUDENT AFFAIRS COLLEGE</v>
      </c>
      <c r="D4462" s="196" t="str">
        <f>IFERROR(__xludf.DUMMYFUNCTION("""COMPUTED_VALUE"""),"400 PCS. GRADUATION INVITATION
400 PCS. SOUVENIR PROGRAM
400 PCS SOUVENIR ENVELOPE
200 PCS RECOGNITION INVITATION
70 PCS CLINICAL GRADUATION ")</f>
        <v>400 PCS. GRADUATION INVITATION
400 PCS. SOUVENIR PROGRAM
400 PCS SOUVENIR ENVELOPE
200 PCS RECOGNITION INVITATION
70 PCS CLINICAL GRADUATION </v>
      </c>
      <c r="E4462" s="196" t="str">
        <f>IFERROR(__xludf.DUMMYFUNCTION("""COMPUTED_VALUE"""),"FOR COLLEGE RECOGNITION AND GRADUATION")</f>
        <v>FOR COLLEGE RECOGNITION AND GRADUATION</v>
      </c>
    </row>
    <row r="4463">
      <c r="A4463" s="234">
        <f>IFERROR(__xludf.DUMMYFUNCTION("""COMPUTED_VALUE"""),104754.0)</f>
        <v>104754</v>
      </c>
      <c r="B4463" s="235" t="str">
        <f>IFERROR(__xludf.DUMMYFUNCTION("""COMPUTED_VALUE"""),"PHEN PETIN")</f>
        <v>PHEN PETIN</v>
      </c>
      <c r="C4463" s="235" t="str">
        <f>IFERROR(__xludf.DUMMYFUNCTION("""COMPUTED_VALUE"""),"ADMIN - STAR")</f>
        <v>ADMIN - STAR</v>
      </c>
      <c r="D4463" s="196" t="str">
        <f>IFERROR(__xludf.DUMMYFUNCTION("""COMPUTED_VALUE"""),"BIG TISSUE HOLDER for the following CR's:
3RD FLOOR CR GIRLS - 1 PC
3RD FLOOR CR BOYS - 1 PC.
2ND FLOOR CR BOYS- 1 PC
GUEST CR BOYS - 1 PC. 
BASEMENT CR - 1 PC.  ")</f>
        <v>BIG TISSUE HOLDER for the following CR's:
3RD FLOOR CR GIRLS - 1 PC
3RD FLOOR CR BOYS - 1 PC.
2ND FLOOR CR BOYS- 1 PC
GUEST CR BOYS - 1 PC. 
BASEMENT CR - 1 PC.  </v>
      </c>
      <c r="E4463" s="196" t="str">
        <f>IFERROR(__xludf.DUMMYFUNCTION("""COMPUTED_VALUE"""),"BIG TISSUE  HOLDER FOR STAR CAMPUS  CRs")</f>
        <v>BIG TISSUE  HOLDER FOR STAR CAMPUS  CRs</v>
      </c>
    </row>
    <row r="4464">
      <c r="A4464" s="234">
        <f>IFERROR(__xludf.DUMMYFUNCTION("""COMPUTED_VALUE"""),104755.0)</f>
        <v>104755</v>
      </c>
      <c r="B4464" s="235" t="str">
        <f>IFERROR(__xludf.DUMMYFUNCTION("""COMPUTED_VALUE"""),"ARNEL MONTABLAN")</f>
        <v>ARNEL MONTABLAN</v>
      </c>
      <c r="C4464" s="235" t="str">
        <f>IFERROR(__xludf.DUMMYFUNCTION("""COMPUTED_VALUE"""),"FOUNDER SCHOLARS ")</f>
        <v>FOUNDER SCHOLARS </v>
      </c>
      <c r="D4464" s="196" t="str">
        <f>IFERROR(__xludf.DUMMYFUNCTION("""COMPUTED_VALUE"""),"2 METAL RACKSHELF (5 LAYERS) 180X60X30/180X90X40/180X90X30 BLACK")</f>
        <v>2 METAL RACKSHELF (5 LAYERS) 180X60X30/180X90X40/180X90X30 BLACK</v>
      </c>
      <c r="E4464" s="196" t="str">
        <f>IFERROR(__xludf.DUMMYFUNCTION("""COMPUTED_VALUE"""),"FOR FOOD ORGANIZERS OF SCHOLARS (GIRLS DORM)")</f>
        <v>FOR FOOD ORGANIZERS OF SCHOLARS (GIRLS DORM)</v>
      </c>
    </row>
    <row r="4465">
      <c r="A4465" s="234">
        <f>IFERROR(__xludf.DUMMYFUNCTION("""COMPUTED_VALUE"""),104756.0)</f>
        <v>104756</v>
      </c>
      <c r="B4465" s="235" t="str">
        <f>IFERROR(__xludf.DUMMYFUNCTION("""COMPUTED_VALUE"""),"ARNEL MONTABLAN")</f>
        <v>ARNEL MONTABLAN</v>
      </c>
      <c r="C4465" s="235" t="str">
        <f>IFERROR(__xludf.DUMMYFUNCTION("""COMPUTED_VALUE"""),"FOUNDER SCHOLARS ")</f>
        <v>FOUNDER SCHOLARS </v>
      </c>
      <c r="D4465" s="196" t="str">
        <f>IFERROR(__xludf.DUMMYFUNCTION("""COMPUTED_VALUE"""),"HANABISHI  INDUSTRIAL FAN 18"" 2")</f>
        <v>HANABISHI  INDUSTRIAL FAN 18" 2</v>
      </c>
      <c r="E4465" s="196" t="str">
        <f>IFERROR(__xludf.DUMMYFUNCTION("""COMPUTED_VALUE"""),"REQUEST FOR 2 STAND FAN")</f>
        <v>REQUEST FOR 2 STAND FAN</v>
      </c>
    </row>
    <row r="4466">
      <c r="A4466" s="234">
        <f>IFERROR(__xludf.DUMMYFUNCTION("""COMPUTED_VALUE"""),104757.0)</f>
        <v>104757</v>
      </c>
      <c r="B4466" s="235" t="str">
        <f>IFERROR(__xludf.DUMMYFUNCTION("""COMPUTED_VALUE"""),"ALFA DE LEON")</f>
        <v>ALFA DE LEON</v>
      </c>
      <c r="C4466" s="235" t="str">
        <f>IFERROR(__xludf.DUMMYFUNCTION("""COMPUTED_VALUE"""),"ADMIN - MUNICH")</f>
        <v>ADMIN - MUNICH</v>
      </c>
      <c r="D4466" s="196" t="str">
        <f>IFERROR(__xludf.DUMMYFUNCTION("""COMPUTED_VALUE"""),"RM 311 AND LIBRARY 2 UNITS (4.0 HP)
G/F FACULTY 1 UNIT (4.0 HP)
LIBRARY 1 UNIT (3.0 HP) 
PARENTS LOUNGE 1 UNIT (2.5 HP)
CLASSROOM 1 &amp; 2, 2 UNITS (2.5 HP)
CARES CAFE 1 UNIT ( 6.0 HP)
")</f>
        <v>RM 311 AND LIBRARY 2 UNITS (4.0 HP)
G/F FACULTY 1 UNIT (4.0 HP)
LIBRARY 1 UNIT (3.0 HP) 
PARENTS LOUNGE 1 UNIT (2.5 HP)
CLASSROOM 1 &amp; 2, 2 UNITS (2.5 HP)
CARES CAFE 1 UNIT ( 6.0 HP)
</v>
      </c>
      <c r="E4466" s="196" t="str">
        <f>IFERROR(__xludf.DUMMYFUNCTION("""COMPUTED_VALUE"""),"NEW ACU FOR CLASSROOMS AND UPGRADING FOR OLD UNITS AND TRANSFER TO OTHER ROOM ")</f>
        <v>NEW ACU FOR CLASSROOMS AND UPGRADING FOR OLD UNITS AND TRANSFER TO OTHER ROOM </v>
      </c>
    </row>
    <row r="4467">
      <c r="A4467" s="234">
        <f>IFERROR(__xludf.DUMMYFUNCTION("""COMPUTED_VALUE"""),104758.0)</f>
        <v>104758</v>
      </c>
      <c r="B4467" s="235" t="str">
        <f>IFERROR(__xludf.DUMMYFUNCTION("""COMPUTED_VALUE"""),"MELISSA ODOÑO ")</f>
        <v>MELISSA ODOÑO </v>
      </c>
      <c r="C4467" s="235" t="str">
        <f>IFERROR(__xludf.DUMMYFUNCTION("""COMPUTED_VALUE"""),"LIBRARY BASIC ED")</f>
        <v>LIBRARY BASIC ED</v>
      </c>
      <c r="D4467" s="196" t="str">
        <f>IFERROR(__xludf.DUMMYFUNCTION("""COMPUTED_VALUE"""),"ACRYLIC COVER OF THE MANUSCRIPTS (1), SIGNAGES OF BARTHOLOMEWS SPECIAL COLLECTION (1), ADDtl SIGNAGES BAGGAGE COUNTER FOR BED LIBRARY, IB COLLECTION SIGNAGES")</f>
        <v>ACRYLIC COVER OF THE MANUSCRIPTS (1), SIGNAGES OF BARTHOLOMEWS SPECIAL COLLECTION (1), ADDtl SIGNAGES BAGGAGE COUNTER FOR BED LIBRARY, IB COLLECTION SIGNAGES</v>
      </c>
      <c r="E4467" s="196" t="str">
        <f>IFERROR(__xludf.DUMMYFUNCTION("""COMPUTED_VALUE"""),"FOR SAFETY OF MANUSCRIPTS OF NOLI AND EL FILI DONATED BY MR. BARTHOLOMEW")</f>
        <v>FOR SAFETY OF MANUSCRIPTS OF NOLI AND EL FILI DONATED BY MR. BARTHOLOMEW</v>
      </c>
    </row>
    <row r="4468">
      <c r="A4468" s="234">
        <f>IFERROR(__xludf.DUMMYFUNCTION("""COMPUTED_VALUE"""),104759.0)</f>
        <v>104759</v>
      </c>
      <c r="B4468" s="235" t="str">
        <f>IFERROR(__xludf.DUMMYFUNCTION("""COMPUTED_VALUE"""),"EDGAR REBELLON")</f>
        <v>EDGAR REBELLON</v>
      </c>
      <c r="C4468" s="235" t="str">
        <f>IFERROR(__xludf.DUMMYFUNCTION("""COMPUTED_VALUE"""),"AMD")</f>
        <v>AMD</v>
      </c>
      <c r="D4468" s="196" t="str">
        <f>IFERROR(__xludf.DUMMYFUNCTION("""COMPUTED_VALUE"""),"LABEL PRINTER, PHOMEMO M110 COLOR BLACK - 1 UNIT ")</f>
        <v>LABEL PRINTER, PHOMEMO M110 COLOR BLACK - 1 UNIT </v>
      </c>
      <c r="E4468" s="196" t="str">
        <f>IFERROR(__xludf.DUMMYFUNCTION("""COMPUTED_VALUE"""),"TO BE USED FOR LABELLING AND PACKAGING OF TOKENS")</f>
        <v>TO BE USED FOR LABELLING AND PACKAGING OF TOKENS</v>
      </c>
    </row>
    <row r="4469">
      <c r="A4469" s="234">
        <f>IFERROR(__xludf.DUMMYFUNCTION("""COMPUTED_VALUE"""),104760.0)</f>
        <v>104760</v>
      </c>
      <c r="B4469" s="235" t="str">
        <f>IFERROR(__xludf.DUMMYFUNCTION("""COMPUTED_VALUE"""),"PHEN PETIN")</f>
        <v>PHEN PETIN</v>
      </c>
      <c r="C4469" s="235" t="str">
        <f>IFERROR(__xludf.DUMMYFUNCTION("""COMPUTED_VALUE"""),"ADMIN - STAR")</f>
        <v>ADMIN - STAR</v>
      </c>
      <c r="D4469" s="196" t="str">
        <f>IFERROR(__xludf.DUMMYFUNCTION("""COMPUTED_VALUE"""),"TARPAULIN FOR BOARD UP 1")</f>
        <v>TARPAULIN FOR BOARD UP 1</v>
      </c>
      <c r="E4469" s="196" t="str">
        <f>IFERROR(__xludf.DUMMYFUNCTION("""COMPUTED_VALUE"""),"TARP FOR BOARD UP QUADRAQUEL")</f>
        <v>TARP FOR BOARD UP QUADRAQUEL</v>
      </c>
    </row>
    <row r="4470">
      <c r="A4470" s="234">
        <f>IFERROR(__xludf.DUMMYFUNCTION("""COMPUTED_VALUE"""),104761.0)</f>
        <v>104761</v>
      </c>
      <c r="B4470" s="235" t="str">
        <f>IFERROR(__xludf.DUMMYFUNCTION("""COMPUTED_VALUE"""),"OWIE PAR")</f>
        <v>OWIE PAR</v>
      </c>
      <c r="C4470" s="235" t="str">
        <f>IFERROR(__xludf.DUMMYFUNCTION("""COMPUTED_VALUE"""),"ENGINEERING")</f>
        <v>ENGINEERING</v>
      </c>
      <c r="D4470" s="196" t="str">
        <f>IFERROR(__xludf.DUMMYFUNCTION("""COMPUTED_VALUE"""),"WIDE SERIES OUTLET 200PCS
WIDE SERIES PLATE 2 GANG 150PCS
WIDE SERIES SWITCH ONE WAY 200PCS
WIDE SERIES PLATE ONE GANG 150PCS
WIDE SERIES PLATE 3GANG 50PCS
WIDE SERIES SWITCH 3 WAY 20PCS
")</f>
        <v>WIDE SERIES OUTLET 200PCS
WIDE SERIES PLATE 2 GANG 150PCS
WIDE SERIES SWITCH ONE WAY 200PCS
WIDE SERIES PLATE ONE GANG 150PCS
WIDE SERIES PLATE 3GANG 50PCS
WIDE SERIES SWITCH 3 WAY 20PCS
</v>
      </c>
      <c r="E4470" s="196" t="str">
        <f>IFERROR(__xludf.DUMMYFUNCTION("""COMPUTED_VALUE"""),"FOR LUX AND STAR CAMPUS")</f>
        <v>FOR LUX AND STAR CAMPUS</v>
      </c>
    </row>
    <row r="4471">
      <c r="A4471" s="234">
        <f>IFERROR(__xludf.DUMMYFUNCTION("""COMPUTED_VALUE"""),104762.0)</f>
        <v>104762</v>
      </c>
      <c r="B4471" s="235" t="str">
        <f>IFERROR(__xludf.DUMMYFUNCTION("""COMPUTED_VALUE"""),"PHEN PETIN")</f>
        <v>PHEN PETIN</v>
      </c>
      <c r="C4471" s="235" t="str">
        <f>IFERROR(__xludf.DUMMYFUNCTION("""COMPUTED_VALUE"""),"ADMIN-STAR")</f>
        <v>ADMIN-STAR</v>
      </c>
      <c r="D4471" s="196" t="str">
        <f>IFERROR(__xludf.DUMMYFUNCTION("""COMPUTED_VALUE"""),"RUBBER MAT 45x75cm
3RD FLOOR 2
2ND FLOOR 2
BASEMENT 2
GUEST CR 2
LEARNING VILLAGE 2")</f>
        <v>RUBBER MAT 45x75cm
3RD FLOOR 2
2ND FLOOR 2
BASEMENT 2
GUEST CR 2
LEARNING VILLAGE 2</v>
      </c>
      <c r="E4471" s="196" t="str">
        <f>IFERROR(__xludf.DUMMYFUNCTION("""COMPUTED_VALUE"""),"REPLACEMENT OLD RUBBER MAT OF RESTROOMS (STAR CAMPUS)")</f>
        <v>REPLACEMENT OLD RUBBER MAT OF RESTROOMS (STAR CAMPUS)</v>
      </c>
    </row>
    <row r="4472">
      <c r="A4472" s="234">
        <f>IFERROR(__xludf.DUMMYFUNCTION("""COMPUTED_VALUE"""),104763.0)</f>
        <v>104763</v>
      </c>
      <c r="B4472" s="235" t="str">
        <f>IFERROR(__xludf.DUMMYFUNCTION("""COMPUTED_VALUE"""),"SHEREE ESPINOSA")</f>
        <v>SHEREE ESPINOSA</v>
      </c>
      <c r="C4472" s="235" t="str">
        <f>IFERROR(__xludf.DUMMYFUNCTION("""COMPUTED_VALUE"""),"ADMIN")</f>
        <v>ADMIN</v>
      </c>
      <c r="D4472" s="196" t="str">
        <f>IFERROR(__xludf.DUMMYFUNCTION("""COMPUTED_VALUE"""),"1.5 HP PORTABLE AIRCON WITH AIR PURIFYING FILTERS 6")</f>
        <v>1.5 HP PORTABLE AIRCON WITH AIR PURIFYING FILTERS 6</v>
      </c>
      <c r="E4472" s="196" t="str">
        <f>IFERROR(__xludf.DUMMYFUNCTION("""COMPUTED_VALUE"""),"BACK UP PORTABLE ACU FOR LUX, TROPICAL, COLLEGE")</f>
        <v>BACK UP PORTABLE ACU FOR LUX, TROPICAL, COLLEGE</v>
      </c>
    </row>
    <row r="4473">
      <c r="A4473" s="234">
        <f>IFERROR(__xludf.DUMMYFUNCTION("""COMPUTED_VALUE"""),104764.0)</f>
        <v>104764</v>
      </c>
      <c r="B4473" s="235" t="str">
        <f>IFERROR(__xludf.DUMMYFUNCTION("""COMPUTED_VALUE"""),"CHARLES DONOR ")</f>
        <v>CHARLES DONOR </v>
      </c>
      <c r="C4473" s="235" t="str">
        <f>IFERROR(__xludf.DUMMYFUNCTION("""COMPUTED_VALUE"""),"AMD")</f>
        <v>AMD</v>
      </c>
      <c r="D4473" s="196" t="str">
        <f>IFERROR(__xludf.DUMMYFUNCTION("""COMPUTED_VALUE"""),"TISSUE, JUMBO ROLL, 200 METERS 900ROLLS")</f>
        <v>TISSUE, JUMBO ROLL, 200 METERS 900ROLLS</v>
      </c>
      <c r="E4473" s="196" t="str">
        <f>IFERROR(__xludf.DUMMYFUNCTION("""COMPUTED_VALUE"""),"HSKPG- STOCK REPLENISHMENT")</f>
        <v>HSKPG- STOCK REPLENISHMENT</v>
      </c>
    </row>
    <row r="4474">
      <c r="A4474" s="234">
        <f>IFERROR(__xludf.DUMMYFUNCTION("""COMPUTED_VALUE"""),104765.0)</f>
        <v>104765</v>
      </c>
      <c r="B4474" s="235" t="str">
        <f>IFERROR(__xludf.DUMMYFUNCTION("""COMPUTED_VALUE"""),"SHEREE ESPINOSA")</f>
        <v>SHEREE ESPINOSA</v>
      </c>
      <c r="C4474" s="235" t="str">
        <f>IFERROR(__xludf.DUMMYFUNCTION("""COMPUTED_VALUE"""),"ADMIN")</f>
        <v>ADMIN</v>
      </c>
      <c r="D4474" s="196" t="str">
        <f>IFERROR(__xludf.DUMMYFUNCTION("""COMPUTED_VALUE"""),"EXECUTIVE SWIVEL CHAIRS 3
SWIVEL CHAIRS 9")</f>
        <v>EXECUTIVE SWIVEL CHAIRS 3
SWIVEL CHAIRS 9</v>
      </c>
      <c r="E4474" s="196" t="str">
        <f>IFERROR(__xludf.DUMMYFUNCTION("""COMPUTED_VALUE"""),"REPLACEMENT FOR BROKEN CHAIRS FOR PR AND SGEN DIGITAL OFFICES")</f>
        <v>REPLACEMENT FOR BROKEN CHAIRS FOR PR AND SGEN DIGITAL OFFICES</v>
      </c>
    </row>
    <row r="4475">
      <c r="A4475" s="234">
        <f>IFERROR(__xludf.DUMMYFUNCTION("""COMPUTED_VALUE"""),104766.0)</f>
        <v>104766</v>
      </c>
      <c r="B4475" s="235" t="str">
        <f>IFERROR(__xludf.DUMMYFUNCTION("""COMPUTED_VALUE"""),"SHEREE ESPINOSA")</f>
        <v>SHEREE ESPINOSA</v>
      </c>
      <c r="C4475" s="235" t="str">
        <f>IFERROR(__xludf.DUMMYFUNCTION("""COMPUTED_VALUE"""),"ADMIN")</f>
        <v>ADMIN</v>
      </c>
      <c r="D4475" s="196" t="str">
        <f>IFERROR(__xludf.DUMMYFUNCTION("""COMPUTED_VALUE"""),"VISITOR'S CHAIRS 6PCS")</f>
        <v>VISITOR'S CHAIRS 6PCS</v>
      </c>
      <c r="E4475" s="196" t="str">
        <f>IFERROR(__xludf.DUMMYFUNCTION("""COMPUTED_VALUE"""),"NEW VISITOR'S CHAIRS FOR PR REGISTRATION FRONT DESK")</f>
        <v>NEW VISITOR'S CHAIRS FOR PR REGISTRATION FRONT DESK</v>
      </c>
    </row>
    <row r="4476">
      <c r="A4476" s="234">
        <f>IFERROR(__xludf.DUMMYFUNCTION("""COMPUTED_VALUE"""),104767.0)</f>
        <v>104767</v>
      </c>
      <c r="B4476" s="235" t="str">
        <f>IFERROR(__xludf.DUMMYFUNCTION("""COMPUTED_VALUE"""),"PHEN PETIN")</f>
        <v>PHEN PETIN</v>
      </c>
      <c r="C4476" s="235" t="str">
        <f>IFERROR(__xludf.DUMMYFUNCTION("""COMPUTED_VALUE"""),"ADMIN")</f>
        <v>ADMIN</v>
      </c>
      <c r="D4476" s="196" t="str">
        <f>IFERROR(__xludf.DUMMYFUNCTION("""COMPUTED_VALUE"""),"BOOSTER PUMP 1HP (MYERS) 1")</f>
        <v>BOOSTER PUMP 1HP (MYERS) 1</v>
      </c>
      <c r="E4476" s="196" t="str">
        <f>IFERROR(__xludf.DUMMYFUNCTION("""COMPUTED_VALUE"""),"REPLACE LOW PRESSURE AT STAR CAMPUS ")</f>
        <v>REPLACE LOW PRESSURE AT STAR CAMPUS </v>
      </c>
    </row>
    <row r="4477">
      <c r="A4477" s="234">
        <f>IFERROR(__xludf.DUMMYFUNCTION("""COMPUTED_VALUE"""),104768.0)</f>
        <v>104768</v>
      </c>
      <c r="B4477" s="235" t="str">
        <f>IFERROR(__xludf.DUMMYFUNCTION("""COMPUTED_VALUE"""),"SAMEYA GARCIA")</f>
        <v>SAMEYA GARCIA</v>
      </c>
      <c r="C4477" s="235" t="str">
        <f>IFERROR(__xludf.DUMMYFUNCTION("""COMPUTED_VALUE"""),"ADMIN")</f>
        <v>ADMIN</v>
      </c>
      <c r="D4477" s="196" t="str">
        <f>IFERROR(__xludf.DUMMYFUNCTION("""COMPUTED_VALUE"""),"TRODAT 3PCS
-ANGELA PRIMAVERA KAISER
-MARIA PATRICIA BELLEZA
-SAMEYA GARCIA")</f>
        <v>TRODAT 3PCS
-ANGELA PRIMAVERA KAISER
-MARIA PATRICIA BELLEZA
-SAMEYA GARCIA</v>
      </c>
      <c r="E4477" s="196" t="str">
        <f>IFERROR(__xludf.DUMMYFUNCTION("""COMPUTED_VALUE"""),"FOR OFFICE USE")</f>
        <v>FOR OFFICE USE</v>
      </c>
    </row>
    <row r="4478">
      <c r="A4478" s="234">
        <f>IFERROR(__xludf.DUMMYFUNCTION("""COMPUTED_VALUE"""),104769.0)</f>
        <v>104769</v>
      </c>
      <c r="B4478" s="235" t="str">
        <f>IFERROR(__xludf.DUMMYFUNCTION("""COMPUTED_VALUE"""),"CARLITO DELA VEGA")</f>
        <v>CARLITO DELA VEGA</v>
      </c>
      <c r="C4478" s="235" t="str">
        <f>IFERROR(__xludf.DUMMYFUNCTION("""COMPUTED_VALUE"""),"ADMIN")</f>
        <v>ADMIN</v>
      </c>
      <c r="D4478" s="196" t="str">
        <f>IFERROR(__xludf.DUMMYFUNCTION("""COMPUTED_VALUE"""),"ACRYLIC FLOOR SIGN 30CM x 30CM
1ST FLOOR 8
2ND FLOOR 7
3RD FLOOR 7
4TH FLOOR 4
5TH FLOOR 2
6TH FLOOR 1")</f>
        <v>ACRYLIC FLOOR SIGN 30CM x 30CM
1ST FLOOR 8
2ND FLOOR 7
3RD FLOOR 7
4TH FLOOR 4
5TH FLOOR 2
6TH FLOOR 1</v>
      </c>
      <c r="E4478" s="196" t="str">
        <f>IFERROR(__xludf.DUMMYFUNCTION("""COMPUTED_VALUE"""),"BUILDING FLOOR SIGN (4 CAMPUS)")</f>
        <v>BUILDING FLOOR SIGN (4 CAMPUS)</v>
      </c>
    </row>
    <row r="4479">
      <c r="A4479" s="234">
        <f>IFERROR(__xludf.DUMMYFUNCTION("""COMPUTED_VALUE"""),104770.0)</f>
        <v>104770</v>
      </c>
      <c r="B4479" s="235" t="str">
        <f>IFERROR(__xludf.DUMMYFUNCTION("""COMPUTED_VALUE"""),"PHEN PETIN")</f>
        <v>PHEN PETIN</v>
      </c>
      <c r="C4479" s="235" t="str">
        <f>IFERROR(__xludf.DUMMYFUNCTION("""COMPUTED_VALUE"""),"ADMIN - STAR")</f>
        <v>ADMIN - STAR</v>
      </c>
      <c r="D4479" s="196" t="str">
        <f>IFERROR(__xludf.DUMMYFUNCTION("""COMPUTED_VALUE"""),"FUJIDENZO (PORTABLE AIRCON WITH AIR PURIFYING FILTERS) 2 UNITS")</f>
        <v>FUJIDENZO (PORTABLE AIRCON WITH AIR PURIFYING FILTERS) 2 UNITS</v>
      </c>
      <c r="E4479" s="196" t="str">
        <f>IFERROR(__xludf.DUMMYFUNCTION("""COMPUTED_VALUE"""),"FOR STAR CAMPUS")</f>
        <v>FOR STAR CAMPUS</v>
      </c>
    </row>
    <row r="4480">
      <c r="A4480" s="234">
        <f>IFERROR(__xludf.DUMMYFUNCTION("""COMPUTED_VALUE"""),104771.0)</f>
        <v>104771</v>
      </c>
      <c r="B4480" s="235" t="str">
        <f>IFERROR(__xludf.DUMMYFUNCTION("""COMPUTED_VALUE"""),"PHEN PETIN")</f>
        <v>PHEN PETIN</v>
      </c>
      <c r="C4480" s="235" t="str">
        <f>IFERROR(__xludf.DUMMYFUNCTION("""COMPUTED_VALUE"""),"ADMIN - STAR")</f>
        <v>ADMIN - STAR</v>
      </c>
      <c r="D4480" s="196" t="str">
        <f>IFERROR(__xludf.DUMMYFUNCTION("""COMPUTED_VALUE"""),"PHIL FLAG 2
SISC FLAG 2
(SIZE: 3x5)")</f>
        <v>PHIL FLAG 2
SISC FLAG 2
(SIZE: 3x5)</v>
      </c>
      <c r="E4480" s="196" t="str">
        <f>IFERROR(__xludf.DUMMYFUNCTION("""COMPUTED_VALUE"""),"REPLACEMENT OF OLD FLAGS. STAR CAMPUS FLAG POLE AREA- ACTIVITY CENTER")</f>
        <v>REPLACEMENT OF OLD FLAGS. STAR CAMPUS FLAG POLE AREA- ACTIVITY CENTER</v>
      </c>
    </row>
    <row r="4481">
      <c r="A4481" s="234">
        <f>IFERROR(__xludf.DUMMYFUNCTION("""COMPUTED_VALUE"""),104772.0)</f>
        <v>104772</v>
      </c>
      <c r="B4481" s="235" t="str">
        <f>IFERROR(__xludf.DUMMYFUNCTION("""COMPUTED_VALUE"""),"ELMIE LAUDIATO")</f>
        <v>ELMIE LAUDIATO</v>
      </c>
      <c r="C4481" s="235" t="str">
        <f>IFERROR(__xludf.DUMMYFUNCTION("""COMPUTED_VALUE"""),"HRMD")</f>
        <v>HRMD</v>
      </c>
      <c r="D4481" s="196" t="str">
        <f>IFERROR(__xludf.DUMMYFUNCTION("""COMPUTED_VALUE"""),"EMPLOYEE UNIFORMS: 
BED FEMALE FACULTY LONG PANTS 1
BED FEMALE FACULTY BLAZER LONGSLEEVE 1
EMPLOYEE TYPE B UNIFORM POLO SHIRT2
CARGO/ KHAKI PANTS 5
COLLEGE BLOUSE SS 2
LONG PANTS 1
COAT LS 1
NTE BLOUSE 10
NTE SKIRT 3
NTE LONG PANTS FEMALE 6
NTE BLAZER L"&amp;"ONG SLEEVE 1
NTE POLO 1")</f>
        <v>EMPLOYEE UNIFORMS: 
BED FEMALE FACULTY LONG PANTS 1
BED FEMALE FACULTY BLAZER LONGSLEEVE 1
EMPLOYEE TYPE B UNIFORM POLO SHIRT2
CARGO/ KHAKI PANTS 5
COLLEGE BLOUSE SS 2
LONG PANTS 1
COAT LS 1
NTE BLOUSE 10
NTE SKIRT 3
NTE LONG PANTS FEMALE 6
NTE BLAZER LONG SLEEVE 1
NTE POLO 1</v>
      </c>
      <c r="E4481" s="196" t="str">
        <f>IFERROR(__xludf.DUMMYFUNCTION("""COMPUTED_VALUE"""),"EMPLOYEE UNIFORMS AY 23-24")</f>
        <v>EMPLOYEE UNIFORMS AY 23-24</v>
      </c>
    </row>
    <row r="4482">
      <c r="A4482" s="234">
        <f>IFERROR(__xludf.DUMMYFUNCTION("""COMPUTED_VALUE"""),104773.0)</f>
        <v>104773</v>
      </c>
      <c r="B4482" s="235" t="str">
        <f>IFERROR(__xludf.DUMMYFUNCTION("""COMPUTED_VALUE"""),"OWIE PAR")</f>
        <v>OWIE PAR</v>
      </c>
      <c r="C4482" s="235" t="str">
        <f>IFERROR(__xludf.DUMMYFUNCTION("""COMPUTED_VALUE"""),"ENGINEERING")</f>
        <v>ENGINEERING</v>
      </c>
      <c r="D4482" s="196" t="str">
        <f>IFERROR(__xludf.DUMMYFUNCTION("""COMPUTED_VALUE"""),"EXHAUST FAN WALL MOUNTED 12x12 1 UNIT")</f>
        <v>EXHAUST FAN WALL MOUNTED 12x12 1 UNIT</v>
      </c>
      <c r="E4482" s="196" t="str">
        <f>IFERROR(__xludf.DUMMYFUNCTION("""COMPUTED_VALUE"""),"FOR BASIC ED CAPS OFFICE")</f>
        <v>FOR BASIC ED CAPS OFFICE</v>
      </c>
    </row>
    <row r="4483">
      <c r="A4483" s="234">
        <f>IFERROR(__xludf.DUMMYFUNCTION("""COMPUTED_VALUE"""),104774.0)</f>
        <v>104774</v>
      </c>
      <c r="B4483" s="235" t="str">
        <f>IFERROR(__xludf.DUMMYFUNCTION("""COMPUTED_VALUE"""),"SHEREE ESPINOSA")</f>
        <v>SHEREE ESPINOSA</v>
      </c>
      <c r="C4483" s="235" t="str">
        <f>IFERROR(__xludf.DUMMYFUNCTION("""COMPUTED_VALUE"""),"ADMIN")</f>
        <v>ADMIN</v>
      </c>
      <c r="D4483" s="196" t="str">
        <f>IFERROR(__xludf.DUMMYFUNCTION("""COMPUTED_VALUE"""),"TRASH BINS (50LITERS) 27PCS")</f>
        <v>TRASH BINS (50LITERS) 27PCS</v>
      </c>
      <c r="E4483" s="196" t="str">
        <f>IFERROR(__xludf.DUMMYFUNCTION("""COMPUTED_VALUE"""),"TO IMPROVE THE TRASH BINS OF SOME KEY AREAS")</f>
        <v>TO IMPROVE THE TRASH BINS OF SOME KEY AREAS</v>
      </c>
    </row>
    <row r="4484">
      <c r="A4484" s="234">
        <f>IFERROR(__xludf.DUMMYFUNCTION("""COMPUTED_VALUE"""),104775.0)</f>
        <v>104775</v>
      </c>
      <c r="B4484" s="235" t="str">
        <f>IFERROR(__xludf.DUMMYFUNCTION("""COMPUTED_VALUE"""),"SHEREE ESPINOSA")</f>
        <v>SHEREE ESPINOSA</v>
      </c>
      <c r="C4484" s="235" t="str">
        <f>IFERROR(__xludf.DUMMYFUNCTION("""COMPUTED_VALUE"""),"ADMIN")</f>
        <v>ADMIN</v>
      </c>
      <c r="D4484" s="196" t="str">
        <f>IFERROR(__xludf.DUMMYFUNCTION("""COMPUTED_VALUE"""),"SIGNAGES
-CLASSROOM AND OFFICES
-PUSH AND PULL
-OFFICES")</f>
        <v>SIGNAGES
-CLASSROOM AND OFFICES
-PUSH AND PULL
-OFFICES</v>
      </c>
      <c r="E4484" s="196" t="str">
        <f>IFERROR(__xludf.DUMMYFUNCTION("""COMPUTED_VALUE"""),"CLASSROOM AND OFFICES FOR 24-25")</f>
        <v>CLASSROOM AND OFFICES FOR 24-25</v>
      </c>
    </row>
    <row r="4485">
      <c r="A4485" s="234">
        <f>IFERROR(__xludf.DUMMYFUNCTION("""COMPUTED_VALUE"""),104776.0)</f>
        <v>104776</v>
      </c>
      <c r="B4485" s="235" t="str">
        <f>IFERROR(__xludf.DUMMYFUNCTION("""COMPUTED_VALUE"""),"RONALDO VERDE")</f>
        <v>RONALDO VERDE</v>
      </c>
      <c r="C4485" s="235" t="str">
        <f>IFERROR(__xludf.DUMMYFUNCTION("""COMPUTED_VALUE"""),"ADMIN")</f>
        <v>ADMIN</v>
      </c>
      <c r="D4485" s="196" t="str">
        <f>IFERROR(__xludf.DUMMYFUNCTION("""COMPUTED_VALUE"""),"MOTOLITE GOLD 3SMF BATTERY FIR SISC VEHICLES 3UNITS")</f>
        <v>MOTOLITE GOLD 3SMF BATTERY FIR SISC VEHICLES 3UNITS</v>
      </c>
      <c r="E4485" s="196" t="str">
        <f>IFERROR(__xludf.DUMMYFUNCTION("""COMPUTED_VALUE"""),"PREVENTIVE MAINTENANCE  OF SISC VEHICLES ")</f>
        <v>PREVENTIVE MAINTENANCE  OF SISC VEHICLES </v>
      </c>
    </row>
    <row r="4486">
      <c r="A4486" s="234">
        <f>IFERROR(__xludf.DUMMYFUNCTION("""COMPUTED_VALUE"""),104777.0)</f>
        <v>104777</v>
      </c>
      <c r="B4486" s="235" t="str">
        <f>IFERROR(__xludf.DUMMYFUNCTION("""COMPUTED_VALUE"""),"SAMUEL RAIZ")</f>
        <v>SAMUEL RAIZ</v>
      </c>
      <c r="C4486" s="235" t="str">
        <f>IFERROR(__xludf.DUMMYFUNCTION("""COMPUTED_VALUE"""),"MIS DEPARTMENT")</f>
        <v>MIS DEPARTMENT</v>
      </c>
      <c r="D4486" s="196" t="str">
        <f>IFERROR(__xludf.DUMMYFUNCTION("""COMPUTED_VALUE"""),"PLASTIC STORAGE BOX NO WHEELS (46 x 32 x 22.5 cm) 10PCS
POP FLIP STORAGE BOX (WHITE- LARGE) 3PCS
BACKDROP CLOTH  ( WHITE 240CM x 300CM) 1PC
PXEL AA-B510 150W BULB 2PC")</f>
        <v>PLASTIC STORAGE BOX NO WHEELS (46 x 32 x 22.5 cm) 10PCS
POP FLIP STORAGE BOX (WHITE- LARGE) 3PCS
BACKDROP CLOTH  ( WHITE 240CM x 300CM) 1PC
PXEL AA-B510 150W BULB 2PC</v>
      </c>
      <c r="E4486" s="196" t="str">
        <f>IFERROR(__xludf.DUMMYFUNCTION("""COMPUTED_VALUE"""),"FOR MIS TECHNICAL CABINET STORAGES AND ID EQUIPMENT AND REPLACEMENT OF BULBS")</f>
        <v>FOR MIS TECHNICAL CABINET STORAGES AND ID EQUIPMENT AND REPLACEMENT OF BULBS</v>
      </c>
    </row>
    <row r="4487">
      <c r="A4487" s="234">
        <f>IFERROR(__xludf.DUMMYFUNCTION("""COMPUTED_VALUE"""),104778.0)</f>
        <v>104778</v>
      </c>
      <c r="B4487" s="235" t="str">
        <f>IFERROR(__xludf.DUMMYFUNCTION("""COMPUTED_VALUE"""),"ANGELO PARAS")</f>
        <v>ANGELO PARAS</v>
      </c>
      <c r="C4487" s="235" t="str">
        <f>IFERROR(__xludf.DUMMYFUNCTION("""COMPUTED_VALUE"""),"SCIENCE LAB BASIC ED.")</f>
        <v>SCIENCE LAB BASIC ED.</v>
      </c>
      <c r="D4487" s="196" t="str">
        <f>IFERROR(__xludf.DUMMYFUNCTION("""COMPUTED_VALUE"""),"BEAKERS ( 500mL. 250mL, 100mL) 5PCS OF EACH TOTAL OF 15PCS
ERLEMEYER FLASK 250ML 5PCS
GRADUATED CYLINDER (10mL, 50mL) 3 PCS EACH TOTAL OF 6PCS
TEST TUBE BRUSH 5PCS
BATHROOM SCALE (FLOOR) DIGITAL 1PC")</f>
        <v>BEAKERS ( 500mL. 250mL, 100mL) 5PCS OF EACH TOTAL OF 15PCS
ERLEMEYER FLASK 250ML 5PCS
GRADUATED CYLINDER (10mL, 50mL) 3 PCS EACH TOTAL OF 6PCS
TEST TUBE BRUSH 5PCS
BATHROOM SCALE (FLOOR) DIGITAL 1PC</v>
      </c>
      <c r="E4487" s="196" t="str">
        <f>IFERROR(__xludf.DUMMYFUNCTION("""COMPUTED_VALUE"""),"FOR USE IN BASIC ED SCIENCE LAB, CHEMISTRY")</f>
        <v>FOR USE IN BASIC ED SCIENCE LAB, CHEMISTRY</v>
      </c>
    </row>
    <row r="4488">
      <c r="A4488" s="234">
        <f>IFERROR(__xludf.DUMMYFUNCTION("""COMPUTED_VALUE"""),104779.0)</f>
        <v>104779</v>
      </c>
      <c r="B4488" s="235" t="str">
        <f>IFERROR(__xludf.DUMMYFUNCTION("""COMPUTED_VALUE"""),"ANGELO PARAS")</f>
        <v>ANGELO PARAS</v>
      </c>
      <c r="C4488" s="235" t="str">
        <f>IFERROR(__xludf.DUMMYFUNCTION("""COMPUTED_VALUE"""),"SCIENCE LAB BASIC ED.")</f>
        <v>SCIENCE LAB BASIC ED.</v>
      </c>
      <c r="D4488" s="196" t="str">
        <f>IFERROR(__xludf.DUMMYFUNCTION("""COMPUTED_VALUE"""),"FOOD COLORING, ANY BRAND 10BOTTLES
VEGETABLE OIL 2BOTTLES
PLATIC BASINS, ATLEAST 5-6 LITERS 10PCS
SAND PAPER, ANY BRAND 30PCS
DISSECTION KIT, OKADA BRAND OR SECHERON BRAND 10KITS
DISSECTION PAN, 19x26CM 10PCS
WICK FOR ALCOHOL LAMP 10PCS")</f>
        <v>FOOD COLORING, ANY BRAND 10BOTTLES
VEGETABLE OIL 2BOTTLES
PLATIC BASINS, ATLEAST 5-6 LITERS 10PCS
SAND PAPER, ANY BRAND 30PCS
DISSECTION KIT, OKADA BRAND OR SECHERON BRAND 10KITS
DISSECTION PAN, 19x26CM 10PCS
WICK FOR ALCOHOL LAMP 10PCS</v>
      </c>
      <c r="E4488" s="196" t="str">
        <f>IFERROR(__xludf.DUMMYFUNCTION("""COMPUTED_VALUE"""),"FOR USE IN MUNICH SCIENCE LAB AND BIOLOGY LAB")</f>
        <v>FOR USE IN MUNICH SCIENCE LAB AND BIOLOGY LAB</v>
      </c>
    </row>
    <row r="4489">
      <c r="A4489" s="234">
        <f>IFERROR(__xludf.DUMMYFUNCTION("""COMPUTED_VALUE"""),104780.0)</f>
        <v>104780</v>
      </c>
      <c r="B4489" s="235" t="str">
        <f>IFERROR(__xludf.DUMMYFUNCTION("""COMPUTED_VALUE"""),"ANGELO PARAS")</f>
        <v>ANGELO PARAS</v>
      </c>
      <c r="C4489" s="235" t="str">
        <f>IFERROR(__xludf.DUMMYFUNCTION("""COMPUTED_VALUE"""),"SCIENCE LAB BASIC ED.")</f>
        <v>SCIENCE LAB BASIC ED.</v>
      </c>
      <c r="D4489" s="196" t="str">
        <f>IFERROR(__xludf.DUMMYFUNCTION("""COMPUTED_VALUE"""),"FLASHLIGHTS ANY BRAND, MIDIUM SIZE 6PCS
BATTTERIES ( FOR FLASHLIGHTS) 12PCS
METER STICKS 20PCS
STOPWATCH 5PCS
ALLIGATOR CLIPS WITH WIRE 10PCS
SMALL LIGHT SWITCH 10PCS
MAGNET, BAR SHAPE MIDUIM SIZE 10PCS
MAGNET, HORSESHOE SHAPE MEMIUM SIZE 10PCS")</f>
        <v>FLASHLIGHTS ANY BRAND, MIDIUM SIZE 6PCS
BATTTERIES ( FOR FLASHLIGHTS) 12PCS
METER STICKS 20PCS
STOPWATCH 5PCS
ALLIGATOR CLIPS WITH WIRE 10PCS
SMALL LIGHT SWITCH 10PCS
MAGNET, BAR SHAPE MIDUIM SIZE 10PCS
MAGNET, HORSESHOE SHAPE MEMIUM SIZE 10PCS</v>
      </c>
      <c r="E4489" s="196" t="str">
        <f>IFERROR(__xludf.DUMMYFUNCTION("""COMPUTED_VALUE"""),"FOR USE IN THE MUNICH SCIENCE LAP")</f>
        <v>FOR USE IN THE MUNICH SCIENCE LAP</v>
      </c>
    </row>
    <row r="4490">
      <c r="A4490" s="234">
        <f>IFERROR(__xludf.DUMMYFUNCTION("""COMPUTED_VALUE"""),104781.0)</f>
        <v>104781</v>
      </c>
      <c r="B4490" s="235" t="str">
        <f>IFERROR(__xludf.DUMMYFUNCTION("""COMPUTED_VALUE"""),"ANGELO PARAS")</f>
        <v>ANGELO PARAS</v>
      </c>
      <c r="C4490" s="235" t="str">
        <f>IFERROR(__xludf.DUMMYFUNCTION("""COMPUTED_VALUE"""),"SCIENCE LAB BASIC ED.")</f>
        <v>SCIENCE LAB BASIC ED.</v>
      </c>
      <c r="D4490" s="196" t="str">
        <f>IFERROR(__xludf.DUMMYFUNCTION("""COMPUTED_VALUE"""),"FORCE TABLE, PHYSICS SAME AS ORDER FROM PRF# 103705 2 UNITS
STOPWATCH, CHEAPEST BRAND 10UNITS
PLANE MIRROR, AROUND 50mmX50mm, SMALL OR MEDIUM SIZE 10 UNITS")</f>
        <v>FORCE TABLE, PHYSICS SAME AS ORDER FROM PRF# 103705 2 UNITS
STOPWATCH, CHEAPEST BRAND 10UNITS
PLANE MIRROR, AROUND 50mmX50mm, SMALL OR MEDIUM SIZE 10 UNITS</v>
      </c>
      <c r="E4490" s="196" t="str">
        <f>IFERROR(__xludf.DUMMYFUNCTION("""COMPUTED_VALUE"""),"FOR USE IN THE BED SCIELAB PHYSICS")</f>
        <v>FOR USE IN THE BED SCIELAB PHYSICS</v>
      </c>
    </row>
    <row r="4491">
      <c r="A4491" s="234">
        <f>IFERROR(__xludf.DUMMYFUNCTION("""COMPUTED_VALUE"""),104782.0)</f>
        <v>104782</v>
      </c>
      <c r="B4491" s="235" t="str">
        <f>IFERROR(__xludf.DUMMYFUNCTION("""COMPUTED_VALUE"""),"ELMIE LAUDIATO")</f>
        <v>ELMIE LAUDIATO</v>
      </c>
      <c r="C4491" s="235" t="str">
        <f>IFERROR(__xludf.DUMMYFUNCTION("""COMPUTED_VALUE"""),"HRMD")</f>
        <v>HRMD</v>
      </c>
      <c r="D4491" s="196" t="str">
        <f>IFERROR(__xludf.DUMMYFUNCTION("""COMPUTED_VALUE"""),"WHITE LONG SLEEVES- refer to prf 104857
VEST
SKIRT
LONG SKIRT
PANTS
COAT
TURTLE NECK")</f>
        <v>WHITE LONG SLEEVES- refer to prf 104857
VEST
SKIRT
LONG SKIRT
PANTS
COAT
TURTLE NECK</v>
      </c>
      <c r="E4491" s="196" t="str">
        <f>IFERROR(__xludf.DUMMYFUNCTION("""COMPUTED_VALUE"""),"UNIFORM AY 24-25 ")</f>
        <v>UNIFORM AY 24-25 </v>
      </c>
    </row>
    <row r="4492">
      <c r="A4492" s="234">
        <f>IFERROR(__xludf.DUMMYFUNCTION("""COMPUTED_VALUE"""),104783.0)</f>
        <v>104783</v>
      </c>
      <c r="B4492" s="235" t="str">
        <f>IFERROR(__xludf.DUMMYFUNCTION("""COMPUTED_VALUE"""),"CHARLES LEBECO DONOR ")</f>
        <v>CHARLES LEBECO DONOR </v>
      </c>
      <c r="C4492" s="235" t="str">
        <f>IFERROR(__xludf.DUMMYFUNCTION("""COMPUTED_VALUE"""),"AMD")</f>
        <v>AMD</v>
      </c>
      <c r="D4492" s="196" t="str">
        <f>IFERROR(__xludf.DUMMYFUNCTION("""COMPUTED_VALUE"""),"96 gls. Toilet Bowl Cleaner - Bowl Care (Riv)")</f>
        <v>96 gls. Toilet Bowl Cleaner - Bowl Care (Riv)</v>
      </c>
      <c r="E4492" s="196" t="str">
        <f>IFERROR(__xludf.DUMMYFUNCTION("""COMPUTED_VALUE"""),"HSKPG- Stock Replenishment ")</f>
        <v>HSKPG- Stock Replenishment </v>
      </c>
    </row>
    <row r="4493">
      <c r="A4493" s="234">
        <f>IFERROR(__xludf.DUMMYFUNCTION("""COMPUTED_VALUE"""),104784.0)</f>
        <v>104784</v>
      </c>
      <c r="B4493" s="235" t="str">
        <f>IFERROR(__xludf.DUMMYFUNCTION("""COMPUTED_VALUE"""),"LYKA PERALTA")</f>
        <v>LYKA PERALTA</v>
      </c>
      <c r="C4493" s="235" t="str">
        <f>IFERROR(__xludf.DUMMYFUNCTION("""COMPUTED_VALUE"""),"AMD")</f>
        <v>AMD</v>
      </c>
      <c r="D4493" s="196" t="str">
        <f>IFERROR(__xludf.DUMMYFUNCTION("""COMPUTED_VALUE"""),"FARGO HDP6600 RETRANSFER FILM (FOR ID PRINTING) 20PCS
FARGO HDP6600 YMCK COLOR RIBBON (FOR ID PRINTER) 20PCS")</f>
        <v>FARGO HDP6600 RETRANSFER FILM (FOR ID PRINTING) 20PCS
FARGO HDP6600 YMCK COLOR RIBBON (FOR ID PRINTER) 20PCS</v>
      </c>
      <c r="E4493" s="196" t="str">
        <f>IFERROR(__xludf.DUMMYFUNCTION("""COMPUTED_VALUE"""),"OSSUP- STOCK REPLENISHMENT")</f>
        <v>OSSUP- STOCK REPLENISHMENT</v>
      </c>
    </row>
    <row r="4494">
      <c r="A4494" s="234">
        <f>IFERROR(__xludf.DUMMYFUNCTION("""COMPUTED_VALUE"""),104785.0)</f>
        <v>104785</v>
      </c>
      <c r="B4494" s="235" t="str">
        <f>IFERROR(__xludf.DUMMYFUNCTION("""COMPUTED_VALUE"""),"LYKA PERALTA")</f>
        <v>LYKA PERALTA</v>
      </c>
      <c r="C4494" s="235" t="str">
        <f>IFERROR(__xludf.DUMMYFUNCTION("""COMPUTED_VALUE"""),"AMD")</f>
        <v>AMD</v>
      </c>
      <c r="D4494" s="196" t="str">
        <f>IFERROR(__xludf.DUMMYFUNCTION("""COMPUTED_VALUE"""),"CORKBOARD- 2x3 (1/4T) mmmm W/O FRAME 20PCS")</f>
        <v>CORKBOARD- 2x3 (1/4T) mmmm W/O FRAME 20PCS</v>
      </c>
      <c r="E4494" s="196" t="str">
        <f>IFERROR(__xludf.DUMMYFUNCTION("""COMPUTED_VALUE"""),"OSSUP- STOCK REPLENISHMENT")</f>
        <v>OSSUP- STOCK REPLENISHMENT</v>
      </c>
    </row>
    <row r="4495">
      <c r="A4495" s="234">
        <f>IFERROR(__xludf.DUMMYFUNCTION("""COMPUTED_VALUE"""),104786.0)</f>
        <v>104786</v>
      </c>
      <c r="B4495" s="235" t="str">
        <f>IFERROR(__xludf.DUMMYFUNCTION("""COMPUTED_VALUE"""),"ABIGAIL TOBALADO")</f>
        <v>ABIGAIL TOBALADO</v>
      </c>
      <c r="C4495" s="235" t="str">
        <f>IFERROR(__xludf.DUMMYFUNCTION("""COMPUTED_VALUE"""),"SGEN DIGITAL")</f>
        <v>SGEN DIGITAL</v>
      </c>
      <c r="D4495" s="196" t="str">
        <f>IFERROR(__xludf.DUMMYFUNCTION("""COMPUTED_VALUE"""),"COMPUTER SET 2
-AMD RYZEN 55600 TRAY 
-ASROCK ASROCK B550M PRO4
-PNY GEFORCE RTXX 3050 8GB
-TFORCE DELTA RGB 16GB
-KINGSTON 500GB NV2
-THERMLARIGHT THERMAL COOLER
-NVISION FRAMELESS MONITOR")</f>
        <v>COMPUTER SET 2
-AMD RYZEN 55600 TRAY 
-ASROCK ASROCK B550M PRO4
-PNY GEFORCE RTXX 3050 8GB
-TFORCE DELTA RGB 16GB
-KINGSTON 500GB NV2
-THERMLARIGHT THERMAL COOLER
-NVISION FRAMELESS MONITOR</v>
      </c>
      <c r="E4495" s="196" t="str">
        <f>IFERROR(__xludf.DUMMYFUNCTION("""COMPUTED_VALUE"""),"COMPUTER REPLACEMENT")</f>
        <v>COMPUTER REPLACEMENT</v>
      </c>
    </row>
    <row r="4496">
      <c r="A4496" s="234">
        <f>IFERROR(__xludf.DUMMYFUNCTION("""COMPUTED_VALUE"""),104787.0)</f>
        <v>104787</v>
      </c>
      <c r="B4496" s="235" t="str">
        <f>IFERROR(__xludf.DUMMYFUNCTION("""COMPUTED_VALUE"""),"PAUL ARANA")</f>
        <v>PAUL ARANA</v>
      </c>
      <c r="C4496" s="235" t="str">
        <f>IFERROR(__xludf.DUMMYFUNCTION("""COMPUTED_VALUE"""),"MIS/ICT")</f>
        <v>MIS/ICT</v>
      </c>
      <c r="D4496" s="196" t="str">
        <f>IFERROR(__xludf.DUMMYFUNCTION("""COMPUTED_VALUE"""),"EPSON EB-X51 XGA 3LCD PROJECTORS 2
NOTE: REORDER OF PRF# 104615")</f>
        <v>EPSON EB-X51 XGA 3LCD PROJECTORS 2
NOTE: REORDER OF PRF# 104615</v>
      </c>
      <c r="E4496" s="196" t="str">
        <f>IFERROR(__xludf.DUMMYFUNCTION("""COMPUTED_VALUE"""),"ADDITIONAL/ NEW ECLASSROOMS IN MUNICH / LUX")</f>
        <v>ADDITIONAL/ NEW ECLASSROOMS IN MUNICH / LUX</v>
      </c>
    </row>
    <row r="4497">
      <c r="A4497" s="234">
        <f>IFERROR(__xludf.DUMMYFUNCTION("""COMPUTED_VALUE"""),104788.0)</f>
        <v>104788</v>
      </c>
      <c r="B4497" s="235" t="str">
        <f>IFERROR(__xludf.DUMMYFUNCTION("""COMPUTED_VALUE"""),"PAUL ARANA")</f>
        <v>PAUL ARANA</v>
      </c>
      <c r="C4497" s="235" t="str">
        <f>IFERROR(__xludf.DUMMYFUNCTION("""COMPUTED_VALUE"""),"MIS/ICT")</f>
        <v>MIS/ICT</v>
      </c>
      <c r="D4497" s="196" t="str">
        <f>IFERROR(__xludf.DUMMYFUNCTION("""COMPUTED_VALUE"""),"TCL UHD 55PG35 SMART ANDROID TV 8
")</f>
        <v>TCL UHD 55PG35 SMART ANDROID TV 8
</v>
      </c>
      <c r="E4497" s="196" t="str">
        <f>IFERROR(__xludf.DUMMYFUNCTION("""COMPUTED_VALUE"""),"ADDITIONAL/ NEW ECLASS ")</f>
        <v>ADDITIONAL/ NEW ECLASS </v>
      </c>
    </row>
    <row r="4498">
      <c r="A4498" s="234">
        <f>IFERROR(__xludf.DUMMYFUNCTION("""COMPUTED_VALUE"""),104789.0)</f>
        <v>104789</v>
      </c>
      <c r="B4498" s="235" t="str">
        <f>IFERROR(__xludf.DUMMYFUNCTION("""COMPUTED_VALUE"""),"PAUL ARANA")</f>
        <v>PAUL ARANA</v>
      </c>
      <c r="C4498" s="235" t="str">
        <f>IFERROR(__xludf.DUMMYFUNCTION("""COMPUTED_VALUE"""),"AV/MIS")</f>
        <v>AV/MIS</v>
      </c>
      <c r="D4498" s="196" t="str">
        <f>IFERROR(__xludf.DUMMYFUNCTION("""COMPUTED_VALUE"""),"4 CLONE CORE I5 PC (SAME W/ PO3006) 4
-INTEL CORE I5 12TH GEN W/ LATEST VIDEO CARD
VIEWSONIC VA1903H- 18.5"" TN 60HZ VGA/ HDMI MONITOR 9")</f>
        <v>4 CLONE CORE I5 PC (SAME W/ PO3006) 4
-INTEL CORE I5 12TH GEN W/ LATEST VIDEO CARD
VIEWSONIC VA1903H- 18.5" TN 60HZ VGA/ HDMI MONITOR 9</v>
      </c>
      <c r="E4498" s="196" t="str">
        <f>IFERROR(__xludf.DUMMYFUNCTION("""COMPUTED_VALUE"""),"ADDITIONAL/ NEW E-CLASSROOMS IN LUX AND MUNICH FOR AY 24-25")</f>
        <v>ADDITIONAL/ NEW E-CLASSROOMS IN LUX AND MUNICH FOR AY 24-25</v>
      </c>
    </row>
    <row r="4499">
      <c r="A4499" s="234">
        <f>IFERROR(__xludf.DUMMYFUNCTION("""COMPUTED_VALUE"""),104790.0)</f>
        <v>104790</v>
      </c>
      <c r="B4499" s="235" t="str">
        <f>IFERROR(__xludf.DUMMYFUNCTION("""COMPUTED_VALUE"""),"PAUL ARANA")</f>
        <v>PAUL ARANA</v>
      </c>
      <c r="C4499" s="235" t="str">
        <f>IFERROR(__xludf.DUMMYFUNCTION("""COMPUTED_VALUE"""),"AV/MIS")</f>
        <v>AV/MIS</v>
      </c>
      <c r="D4499" s="196" t="str">
        <f>IFERROR(__xludf.DUMMYFUNCTION("""COMPUTED_VALUE"""),"6 LOGITECH C270 HD WEB CAM 6
6 LOGITECH H390 HEADSET 6
")</f>
        <v>6 LOGITECH C270 HD WEB CAM 6
6 LOGITECH H390 HEADSET 6
</v>
      </c>
      <c r="E4499" s="196" t="str">
        <f>IFERROR(__xludf.DUMMYFUNCTION("""COMPUTED_VALUE"""),"ADDITIONAL/ NEW VOLT AND ECLASS IN LUX AND MUNICH")</f>
        <v>ADDITIONAL/ NEW VOLT AND ECLASS IN LUX AND MUNICH</v>
      </c>
    </row>
    <row r="4500">
      <c r="A4500" s="234">
        <f>IFERROR(__xludf.DUMMYFUNCTION("""COMPUTED_VALUE"""),104791.0)</f>
        <v>104791</v>
      </c>
      <c r="B4500" s="235" t="str">
        <f>IFERROR(__xludf.DUMMYFUNCTION("""COMPUTED_VALUE"""),"JESUIT CHRISTIAN GALICIA")</f>
        <v>JESUIT CHRISTIAN GALICIA</v>
      </c>
      <c r="C4500" s="235" t="str">
        <f>IFERROR(__xludf.DUMMYFUNCTION("""COMPUTED_VALUE"""),"AMD")</f>
        <v>AMD</v>
      </c>
      <c r="D4500" s="196" t="str">
        <f>IFERROR(__xludf.DUMMYFUNCTION("""COMPUTED_VALUE"""),"A4TECH 1080P WEBCAM 20PCS
MAONO CONFERENCE MIC 20PCS")</f>
        <v>A4TECH 1080P WEBCAM 20PCS
MAONO CONFERENCE MIC 20PCS</v>
      </c>
      <c r="E4500" s="196" t="str">
        <f>IFERROR(__xludf.DUMMYFUNCTION("""COMPUTED_VALUE"""),"MIS WAREHOUSE STOCK REPLENISHMENT")</f>
        <v>MIS WAREHOUSE STOCK REPLENISHMENT</v>
      </c>
    </row>
    <row r="4501">
      <c r="A4501" s="234">
        <f>IFERROR(__xludf.DUMMYFUNCTION("""COMPUTED_VALUE"""),104792.0)</f>
        <v>104792</v>
      </c>
      <c r="B4501" s="235" t="str">
        <f>IFERROR(__xludf.DUMMYFUNCTION("""COMPUTED_VALUE"""),"MARK VINCENT VITO")</f>
        <v>MARK VINCENT VITO</v>
      </c>
      <c r="C4501" s="235" t="str">
        <f>IFERROR(__xludf.DUMMYFUNCTION("""COMPUTED_VALUE"""),"PR &amp; MARKETING")</f>
        <v>PR &amp; MARKETING</v>
      </c>
      <c r="D4501" s="196" t="str">
        <f>IFERROR(__xludf.DUMMYFUNCTION("""COMPUTED_VALUE"""),"FLASH DRIVE 16GB 4PCS")</f>
        <v>FLASH DRIVE 16GB 4PCS</v>
      </c>
      <c r="E4501" s="196" t="str">
        <f>IFERROR(__xludf.DUMMYFUNCTION("""COMPUTED_VALUE"""),"FOR TV PROMOTION AND INFORMATION")</f>
        <v>FOR TV PROMOTION AND INFORMATION</v>
      </c>
    </row>
    <row r="4502">
      <c r="A4502" s="234">
        <f>IFERROR(__xludf.DUMMYFUNCTION("""COMPUTED_VALUE"""),104793.0)</f>
        <v>104793</v>
      </c>
      <c r="B4502" s="235" t="str">
        <f>IFERROR(__xludf.DUMMYFUNCTION("""COMPUTED_VALUE"""),"PAUL ARANA")</f>
        <v>PAUL ARANA</v>
      </c>
      <c r="C4502" s="235" t="str">
        <f>IFERROR(__xludf.DUMMYFUNCTION("""COMPUTED_VALUE"""),"AV/MIS")</f>
        <v>AV/MIS</v>
      </c>
      <c r="D4502" s="196" t="str">
        <f>IFERROR(__xludf.DUMMYFUNCTION("""COMPUTED_VALUE"""),"UGREEN HDMI CABLE 2.0 10METERS 10PCS
ACTIVE USB  2.0/ 3.0 EXTENDER 15 METERS 10
")</f>
        <v>UGREEN HDMI CABLE 2.0 10METERS 10PCS
ACTIVE USB  2.0/ 3.0 EXTENDER 15 METERS 10
</v>
      </c>
      <c r="E4502" s="196" t="str">
        <f>IFERROR(__xludf.DUMMYFUNCTION("""COMPUTED_VALUE"""),"FOR THE NEW E CLASSROOMS IN MUNICH, LUX, AND STAR")</f>
        <v>FOR THE NEW E CLASSROOMS IN MUNICH, LUX, AND STAR</v>
      </c>
    </row>
    <row r="4503">
      <c r="A4503" s="234">
        <f>IFERROR(__xludf.DUMMYFUNCTION("""COMPUTED_VALUE"""),104794.0)</f>
        <v>104794</v>
      </c>
      <c r="B4503" s="235" t="str">
        <f>IFERROR(__xludf.DUMMYFUNCTION("""COMPUTED_VALUE"""),"FATIMA JANDOC")</f>
        <v>FATIMA JANDOC</v>
      </c>
      <c r="C4503" s="235" t="str">
        <f>IFERROR(__xludf.DUMMYFUNCTION("""COMPUTED_VALUE"""),"LIBRARY BASIC ED")</f>
        <v>LIBRARY BASIC ED</v>
      </c>
      <c r="D4503" s="196" t="str">
        <f>IFERROR(__xludf.DUMMYFUNCTION("""COMPUTED_VALUE"""),"2 LED SPOTLIGHT (WARM LIGHT)")</f>
        <v>2 LED SPOTLIGHT (WARM LIGHT)</v>
      </c>
      <c r="E4503" s="196" t="str">
        <f>IFERROR(__xludf.DUMMYFUNCTION("""COMPUTED_VALUE"""),"FOR THE LIGHTING OF THE MANUSCRIPTS")</f>
        <v>FOR THE LIGHTING OF THE MANUSCRIPTS</v>
      </c>
    </row>
    <row r="4504">
      <c r="A4504" s="234">
        <f>IFERROR(__xludf.DUMMYFUNCTION("""COMPUTED_VALUE"""),104795.0)</f>
        <v>104795</v>
      </c>
      <c r="B4504" s="235" t="str">
        <f>IFERROR(__xludf.DUMMYFUNCTION("""COMPUTED_VALUE"""),"SHEREE ESPINOSA")</f>
        <v>SHEREE ESPINOSA</v>
      </c>
      <c r="C4504" s="235" t="str">
        <f>IFERROR(__xludf.DUMMYFUNCTION("""COMPUTED_VALUE"""),"ADMIN")</f>
        <v>ADMIN</v>
      </c>
      <c r="D4504" s="196" t="str">
        <f>IFERROR(__xludf.DUMMYFUNCTION("""COMPUTED_VALUE"""),"PODIUM 1 LOT")</f>
        <v>PODIUM 1 LOT</v>
      </c>
      <c r="E4504" s="196" t="str">
        <f>IFERROR(__xludf.DUMMYFUNCTION("""COMPUTED_VALUE"""),"REPLACEMENT FOR BROKEN PODIUM ")</f>
        <v>REPLACEMENT FOR BROKEN PODIUM </v>
      </c>
    </row>
    <row r="4505">
      <c r="A4505" s="234">
        <f>IFERROR(__xludf.DUMMYFUNCTION("""COMPUTED_VALUE"""),104796.0)</f>
        <v>104796</v>
      </c>
      <c r="B4505" s="235" t="str">
        <f>IFERROR(__xludf.DUMMYFUNCTION("""COMPUTED_VALUE"""),"LYKA PERALTA")</f>
        <v>LYKA PERALTA</v>
      </c>
      <c r="C4505" s="235" t="str">
        <f>IFERROR(__xludf.DUMMYFUNCTION("""COMPUTED_VALUE"""),"AMD")</f>
        <v>AMD</v>
      </c>
      <c r="D4505" s="196" t="str">
        <f>IFERROR(__xludf.DUMMYFUNCTION("""COMPUTED_VALUE"""),"HIGHLIGHTER, STABILO GREEN 40PCS")</f>
        <v>HIGHLIGHTER, STABILO GREEN 40PCS</v>
      </c>
      <c r="E4505" s="196" t="str">
        <f>IFERROR(__xludf.DUMMYFUNCTION("""COMPUTED_VALUE"""),"OSSUP- STOCK REPLENISHMENT")</f>
        <v>OSSUP- STOCK REPLENISHMENT</v>
      </c>
    </row>
    <row r="4506">
      <c r="A4506" s="234">
        <f>IFERROR(__xludf.DUMMYFUNCTION("""COMPUTED_VALUE"""),104797.0)</f>
        <v>104797</v>
      </c>
      <c r="B4506" s="235" t="str">
        <f>IFERROR(__xludf.DUMMYFUNCTION("""COMPUTED_VALUE"""),"LYKA PERALTA")</f>
        <v>LYKA PERALTA</v>
      </c>
      <c r="C4506" s="235" t="str">
        <f>IFERROR(__xludf.DUMMYFUNCTION("""COMPUTED_VALUE"""),"AMD")</f>
        <v>AMD</v>
      </c>
      <c r="D4506" s="196" t="str">
        <f>IFERROR(__xludf.DUMMYFUNCTION("""COMPUTED_VALUE"""),"PAPER, CARBON PAPER LONG (COLOR BLUE) 100PCS")</f>
        <v>PAPER, CARBON PAPER LONG (COLOR BLUE) 100PCS</v>
      </c>
      <c r="E4506" s="196" t="str">
        <f>IFERROR(__xludf.DUMMYFUNCTION("""COMPUTED_VALUE"""),"OSSUP- STOCK REPLENISHMENT")</f>
        <v>OSSUP- STOCK REPLENISHMENT</v>
      </c>
    </row>
    <row r="4507">
      <c r="A4507" s="234">
        <f>IFERROR(__xludf.DUMMYFUNCTION("""COMPUTED_VALUE"""),104798.0)</f>
        <v>104798</v>
      </c>
      <c r="B4507" s="235" t="str">
        <f>IFERROR(__xludf.DUMMYFUNCTION("""COMPUTED_VALUE"""),"JORDAN JORDAN/ RONALD VERDE")</f>
        <v>JORDAN JORDAN/ RONALD VERDE</v>
      </c>
      <c r="C4507" s="235" t="str">
        <f>IFERROR(__xludf.DUMMYFUNCTION("""COMPUTED_VALUE"""),"ADMIN")</f>
        <v>ADMIN</v>
      </c>
      <c r="D4507" s="196" t="str">
        <f>IFERROR(__xludf.DUMMYFUNCTION("""COMPUTED_VALUE"""),"METER (ELECTRICAL DIGITAL) WITH METER BASE 110-480 V / 80 MM2")</f>
        <v>METER (ELECTRICAL DIGITAL) WITH METER BASE 110-480 V / 80 MM2</v>
      </c>
      <c r="E4507" s="196"/>
    </row>
    <row r="4508">
      <c r="A4508" s="234">
        <f>IFERROR(__xludf.DUMMYFUNCTION("""COMPUTED_VALUE"""),104799.0)</f>
        <v>104799</v>
      </c>
      <c r="B4508" s="235" t="str">
        <f>IFERROR(__xludf.DUMMYFUNCTION("""COMPUTED_VALUE"""),"LYKA PERALTA")</f>
        <v>LYKA PERALTA</v>
      </c>
      <c r="C4508" s="235" t="str">
        <f>IFERROR(__xludf.DUMMYFUNCTION("""COMPUTED_VALUE"""),"AMD")</f>
        <v>AMD</v>
      </c>
      <c r="D4508" s="196" t="str">
        <f>IFERROR(__xludf.DUMMYFUNCTION("""COMPUTED_VALUE"""),"BALLPEN PANDA BLK , 275 PCS
BALLPEN PANDA BLUE , 275 PCS
BALLPEN PANDA RED, 275 PCS
BALLPEN PANDA GREEN, 275 PCS
ERASER, WHITEBOARD STERLING, 275 PCS
CORRECTION TAPE, JOY 275 PCS. 
PAD PAPER YELLOW, (PER PAD) 
PEN SIGN-PILOT BX V5 BLACK 275 PCS.
PEN SIGN-"&amp;" PILOT BX V5 GREEN 275 PCS.
INK, MARKING PILOT BLACK 30 BOTTLES
INK, MARKING PILOT BLUE 30 BOTTLES
INK, MARKING PILOT RED 30 BOTTLES
INK, WHITEBOARD PILOT BLACK 30 BOTTLES
INK, WHITEBOARD PILOT BLUE 30 BOTTLES
INK, WHITEBOARD PILOT RED 30 BOTTLES
WHITEBOA"&amp;"RD MARKER, PILOT BLACK 275 PCS
WHITEBOARD MARKER, PILOT BLUE 365 PCS
WHITEBOARD MARKER, PILOT RED 365 PCS
MARKER PILOT FINE BLACK 365 PCS
MARKER PILOT FINE BLUE 275 PCS")</f>
        <v>BALLPEN PANDA BLK , 275 PCS
BALLPEN PANDA BLUE , 275 PCS
BALLPEN PANDA RED, 275 PCS
BALLPEN PANDA GREEN, 275 PCS
ERASER, WHITEBOARD STERLING, 275 PCS
CORRECTION TAPE, JOY 275 PCS. 
PAD PAPER YELLOW, (PER PAD) 
PEN SIGN-PILOT BX V5 BLACK 275 PCS.
PEN SIGN- PILOT BX V5 GREEN 275 PCS.
INK, MARKING PILOT BLACK 30 BOTTLES
INK, MARKING PILOT BLUE 30 BOTTLES
INK, MARKING PILOT RED 30 BOTTLES
INK, WHITEBOARD PILOT BLACK 30 BOTTLES
INK, WHITEBOARD PILOT BLUE 30 BOTTLES
INK, WHITEBOARD PILOT RED 30 BOTTLES
WHITEBOARD MARKER, PILOT BLACK 275 PCS
WHITEBOARD MARKER, PILOT BLUE 365 PCS
WHITEBOARD MARKER, PILOT RED 365 PCS
MARKER PILOT FINE BLACK 365 PCS
MARKER PILOT FINE BLUE 275 PCS</v>
      </c>
      <c r="E4508" s="196" t="str">
        <f>IFERROR(__xludf.DUMMYFUNCTION("""COMPUTED_VALUE"""),"TEACHER OPENING  SUPPLIES AND CLASSROOM DECOR MATERIALS FOR AY 2024- 2025")</f>
        <v>TEACHER OPENING  SUPPLIES AND CLASSROOM DECOR MATERIALS FOR AY 2024- 2025</v>
      </c>
    </row>
    <row r="4509">
      <c r="A4509" s="234">
        <f>IFERROR(__xludf.DUMMYFUNCTION("""COMPUTED_VALUE"""),104800.0)</f>
        <v>104800</v>
      </c>
      <c r="B4509" s="235" t="str">
        <f>IFERROR(__xludf.DUMMYFUNCTION("""COMPUTED_VALUE"""),"MARC VINCENT VITTO")</f>
        <v>MARC VINCENT VITTO</v>
      </c>
      <c r="C4509" s="235" t="str">
        <f>IFERROR(__xludf.DUMMYFUNCTION("""COMPUTED_VALUE"""),"PR &amp; MARKETING")</f>
        <v>PR &amp; MARKETING</v>
      </c>
      <c r="D4509" s="196" t="str">
        <f>IFERROR(__xludf.DUMMYFUNCTION("""COMPUTED_VALUE"""),"OPENING OF CLASSES TARP -CANCELLED 
SIZES: 
6.4FT x 16.9FT 1
6.5FT x 13FT 1
10FT x 17FT 1
WITH SEAMING AND EYELET IN EVERY FOOT
")</f>
        <v>OPENING OF CLASSES TARP -CANCELLED 
SIZES: 
6.4FT x 16.9FT 1
6.5FT x 13FT 1
10FT x 17FT 1
WITH SEAMING AND EYELET IN EVERY FOOT
</v>
      </c>
      <c r="E4509" s="196" t="str">
        <f>IFERROR(__xludf.DUMMYFUNCTION("""COMPUTED_VALUE"""),"MARKETING")</f>
        <v>MARKETING</v>
      </c>
    </row>
    <row r="4510">
      <c r="A4510" s="234">
        <f>IFERROR(__xludf.DUMMYFUNCTION("""COMPUTED_VALUE"""),104801.0)</f>
        <v>104801</v>
      </c>
      <c r="B4510" s="235" t="str">
        <f>IFERROR(__xludf.DUMMYFUNCTION("""COMPUTED_VALUE"""),"GANINA GARCHE")</f>
        <v>GANINA GARCHE</v>
      </c>
      <c r="C4510" s="235" t="str">
        <f>IFERROR(__xludf.DUMMYFUNCTION("""COMPUTED_VALUE"""),"AUDIT")</f>
        <v>AUDIT</v>
      </c>
      <c r="D4510" s="196" t="str">
        <f>IFERROR(__xludf.DUMMYFUNCTION("""COMPUTED_VALUE"""),"MOBILE CABINET ( ANYCOLOR) 1PC
TRODAT NAMES 2PC
-JANINA GARCHE
-JOMARI TORRES
CALCULATOR (PINK AND BLACK ) 2PCS
")</f>
        <v>MOBILE CABINET ( ANYCOLOR) 1PC
TRODAT NAMES 2PC
-JANINA GARCHE
-JOMARI TORRES
CALCULATOR (PINK AND BLACK ) 2PCS
</v>
      </c>
      <c r="E4510" s="196" t="str">
        <f>IFERROR(__xludf.DUMMYFUNCTION("""COMPUTED_VALUE"""),"OFFICE USE AND SUPPLIES OF NEW EMPLOYEES")</f>
        <v>OFFICE USE AND SUPPLIES OF NEW EMPLOYEES</v>
      </c>
    </row>
    <row r="4511">
      <c r="A4511" s="234">
        <f>IFERROR(__xludf.DUMMYFUNCTION("""COMPUTED_VALUE"""),104802.0)</f>
        <v>104802</v>
      </c>
      <c r="B4511" s="235" t="str">
        <f>IFERROR(__xludf.DUMMYFUNCTION("""COMPUTED_VALUE"""),"OWIE PAR ")</f>
        <v>OWIE PAR </v>
      </c>
      <c r="C4511" s="235" t="str">
        <f>IFERROR(__xludf.DUMMYFUNCTION("""COMPUTED_VALUE"""),"ADMIN")</f>
        <v>ADMIN</v>
      </c>
      <c r="D4511" s="196" t="str">
        <f>IFERROR(__xludf.DUMMYFUNCTION("""COMPUTED_VALUE"""),"DOOR HANDLE 50 PCS. ")</f>
        <v>DOOR HANDLE 50 PCS. </v>
      </c>
      <c r="E4511" s="196" t="str">
        <f>IFERROR(__xludf.DUMMYFUNCTION("""COMPUTED_VALUE"""),"REPLACEMENT OF DOOR HANDLE IN ALL LUX ROOMS")</f>
        <v>REPLACEMENT OF DOOR HANDLE IN ALL LUX ROOMS</v>
      </c>
    </row>
    <row r="4512">
      <c r="A4512" s="234">
        <f>IFERROR(__xludf.DUMMYFUNCTION("""COMPUTED_VALUE"""),104803.0)</f>
        <v>104803</v>
      </c>
      <c r="B4512" s="235" t="str">
        <f>IFERROR(__xludf.DUMMYFUNCTION("""COMPUTED_VALUE"""),"JESUIT CHRISTIAN GALICIA ")</f>
        <v>JESUIT CHRISTIAN GALICIA </v>
      </c>
      <c r="C4512" s="235" t="str">
        <f>IFERROR(__xludf.DUMMYFUNCTION("""COMPUTED_VALUE"""),"AMD")</f>
        <v>AMD</v>
      </c>
      <c r="D4512" s="196" t="str">
        <f>IFERROR(__xludf.DUMMYFUNCTION("""COMPUTED_VALUE"""),"1 PC WOODBASE A3 PAPER CUTTER, 1 PC. HEAVY DUTY HOT AND COLD LAMINATING MACHINE")</f>
        <v>1 PC WOODBASE A3 PAPER CUTTER, 1 PC. HEAVY DUTY HOT AND COLD LAMINATING MACHINE</v>
      </c>
      <c r="E4512" s="196" t="str">
        <f>IFERROR(__xludf.DUMMYFUNCTION("""COMPUTED_VALUE"""),"AMD ADDTL OFFICE EQUIPMENT")</f>
        <v>AMD ADDTL OFFICE EQUIPMENT</v>
      </c>
    </row>
    <row r="4513">
      <c r="A4513" s="234">
        <f>IFERROR(__xludf.DUMMYFUNCTION("""COMPUTED_VALUE"""),104804.0)</f>
        <v>104804</v>
      </c>
      <c r="B4513" s="235" t="str">
        <f>IFERROR(__xludf.DUMMYFUNCTION("""COMPUTED_VALUE"""),"LYKA PERALTA")</f>
        <v>LYKA PERALTA</v>
      </c>
      <c r="C4513" s="235" t="str">
        <f>IFERROR(__xludf.DUMMYFUNCTION("""COMPUTED_VALUE"""),"AMD")</f>
        <v>AMD</v>
      </c>
      <c r="D4513" s="196" t="str">
        <f>IFERROR(__xludf.DUMMYFUNCTION("""COMPUTED_VALUE"""),"MARKER PILOT FINE RED 275 PCS
MARKER PILOT BROAD BLACK 275 PCS
MARKER PILOT BROAD BLUE 275 PCS
MARKER PILOT BROAD RED 275 PCS
PAPER, COLORED FORTUNE NEON BLUE  410 PCS
PAPER, COLORED FORTUNE NEON GREEN 410 PCS
PAPER, COLORED FORTUNE NEON PINK 410 PCS
PAPE"&amp;"R, COLORED FORTUNE NEON RED 410 PCS
PAPER, COLORED FORTUNE NEON VIOLET 410 PCS
PAPER, COLORED FORTUNE NEON YELLOW 410 PCS
CARTOLINA BLACK 270 PCS
CARTOLINA NEON BLUE 270 PCS
CARTOLINA NEON GREEN 270 PCS
CARTOLINA NEON ORANGE 270 PCS
CARTOLINA NEON PINK 27"&amp;"0 PCS
CARTOLINA NEON YELLOW 270 PCS
CARTOLINA WHITE 270 PCS
GLUE, ELMERS 130GS (OSSUP) 90 PCS
TAPE, 3M MARKING TAPE BIG (1"") 270 PCS
PLASTIC COVER, GAUGE 4 48"" W ( PER METER)
STAPLE WIRE #35- 5M 90 BOXES
THUMBTACKS 90 BOXES")</f>
        <v>MARKER PILOT FINE RED 275 PCS
MARKER PILOT BROAD BLACK 275 PCS
MARKER PILOT BROAD BLUE 275 PCS
MARKER PILOT BROAD RED 275 PCS
PAPER, COLORED FORTUNE NEON BLUE  410 PCS
PAPER, COLORED FORTUNE NEON GREEN 410 PCS
PAPER, COLORED FORTUNE NEON PINK 410 PCS
PAPER, COLORED FORTUNE NEON RED 410 PCS
PAPER, COLORED FORTUNE NEON VIOLET 410 PCS
PAPER, COLORED FORTUNE NEON YELLOW 410 PCS
CARTOLINA BLACK 270 PCS
CARTOLINA NEON BLUE 270 PCS
CARTOLINA NEON GREEN 270 PCS
CARTOLINA NEON ORANGE 270 PCS
CARTOLINA NEON PINK 270 PCS
CARTOLINA NEON YELLOW 270 PCS
CARTOLINA WHITE 270 PCS
GLUE, ELMERS 130GS (OSSUP) 90 PCS
TAPE, 3M MARKING TAPE BIG (1") 270 PCS
PLASTIC COVER, GAUGE 4 48" W ( PER METER)
STAPLE WIRE #35- 5M 90 BOXES
THUMBTACKS 90 BOXES</v>
      </c>
      <c r="E4513" s="196" t="str">
        <f>IFERROR(__xludf.DUMMYFUNCTION("""COMPUTED_VALUE"""),"TEACHER'S OPENING SUPPLIES AND CLASSROOM DECOR MATERIALS")</f>
        <v>TEACHER'S OPENING SUPPLIES AND CLASSROOM DECOR MATERIALS</v>
      </c>
    </row>
    <row r="4514">
      <c r="A4514" s="234">
        <f>IFERROR(__xludf.DUMMYFUNCTION("""COMPUTED_VALUE"""),104805.0)</f>
        <v>104805</v>
      </c>
      <c r="B4514" s="235" t="str">
        <f>IFERROR(__xludf.DUMMYFUNCTION("""COMPUTED_VALUE"""),"JORDAN JORDAN/ RONALD VERDE")</f>
        <v>JORDAN JORDAN/ RONALD VERDE</v>
      </c>
      <c r="C4514" s="235" t="str">
        <f>IFERROR(__xludf.DUMMYFUNCTION("""COMPUTED_VALUE"""),"ADMIN")</f>
        <v>ADMIN</v>
      </c>
      <c r="D4514" s="196" t="str">
        <f>IFERROR(__xludf.DUMMYFUNCTION("""COMPUTED_VALUE"""),"ELECTRICAL WIRE #12 THHN 1 BOX= 150M
MICATUBE 1/2 40M
V-BOX SURFACE TYPE 10PCS
C OUTLET 2 GANG 10PCS
ELECTRICAL FLEXIBLE HOSE 1/2 100M")</f>
        <v>ELECTRICAL WIRE #12 THHN 1 BOX= 150M
MICATUBE 1/2 40M
V-BOX SURFACE TYPE 10PCS
C OUTLET 2 GANG 10PCS
ELECTRICAL FLEXIBLE HOSE 1/2 100M</v>
      </c>
      <c r="E4514" s="196" t="str">
        <f>IFERROR(__xludf.DUMMYFUNCTION("""COMPUTED_VALUE"""),"INSTALLATION OF OUTLETS AND WIRE LAYOUT FOR COMLAB 3 COLLEGE")</f>
        <v>INSTALLATION OF OUTLETS AND WIRE LAYOUT FOR COMLAB 3 COLLEGE</v>
      </c>
    </row>
    <row r="4515">
      <c r="A4515" s="234">
        <f>IFERROR(__xludf.DUMMYFUNCTION("""COMPUTED_VALUE"""),104806.0)</f>
        <v>104806</v>
      </c>
      <c r="B4515" s="235" t="str">
        <f>IFERROR(__xludf.DUMMYFUNCTION("""COMPUTED_VALUE"""),"MELISSA ODONO")</f>
        <v>MELISSA ODONO</v>
      </c>
      <c r="C4515" s="235" t="str">
        <f>IFERROR(__xludf.DUMMYFUNCTION("""COMPUTED_VALUE"""),"LIBRARY MUNICH")</f>
        <v>LIBRARY MUNICH</v>
      </c>
      <c r="D4515" s="196" t="str">
        <f>IFERROR(__xludf.DUMMYFUNCTION("""COMPUTED_VALUE"""),"SRA 1: SCHOOL HOUSE 35
SRA 2: POWER BUILDER 1A 35
SRA 3: POWER BUILDER 1B 35
SRA 4: POWER BUILDER 1C 35
SRA 5: POWER BUILDER 1D 35
SRA 6: POWER BUILDER 1E 35
SRA 1: SCHOOL HOUSE 25
SRA 2: POWER BUILDER 1A 25
SRA 3: POWER BUILDER 1B 25
SRA 4: POWER BUILDE"&amp;"R 1C 25
")</f>
        <v>SRA 1: SCHOOL HOUSE 35
SRA 2: POWER BUILDER 1A 35
SRA 3: POWER BUILDER 1B 35
SRA 4: POWER BUILDER 1C 35
SRA 5: POWER BUILDER 1D 35
SRA 6: POWER BUILDER 1E 35
SRA 1: SCHOOL HOUSE 25
SRA 2: POWER BUILDER 1A 25
SRA 3: POWER BUILDER 1B 25
SRA 4: POWER BUILDER 1C 25
</v>
      </c>
      <c r="E4515" s="196" t="str">
        <f>IFERROR(__xludf.DUMMYFUNCTION("""COMPUTED_VALUE"""),"FOR STUDENT'S USE/ LIBRARY'S COPY")</f>
        <v>FOR STUDENT'S USE/ LIBRARY'S COPY</v>
      </c>
    </row>
    <row r="4516">
      <c r="A4516" s="234">
        <f>IFERROR(__xludf.DUMMYFUNCTION("""COMPUTED_VALUE"""),104807.0)</f>
        <v>104807</v>
      </c>
      <c r="B4516" s="235" t="str">
        <f>IFERROR(__xludf.DUMMYFUNCTION("""COMPUTED_VALUE"""),"MELISSA ODONO")</f>
        <v>MELISSA ODONO</v>
      </c>
      <c r="C4516" s="235" t="str">
        <f>IFERROR(__xludf.DUMMYFUNCTION("""COMPUTED_VALUE"""),"LIBRARY BASIC ED")</f>
        <v>LIBRARY BASIC ED</v>
      </c>
      <c r="D4516" s="196" t="str">
        <f>IFERROR(__xludf.DUMMYFUNCTION("""COMPUTED_VALUE"""),"1 My Summer of Love and Misfortune
1 Natalie Tan's Book of Luck &amp; Fortune
1 Of Princes and Promises
1 Prom Theory
1 The Hoodie Girl
1 The Lost Ticket
1 The Falling
1 The Next Boy Story
1 The Mighty-Nein Origins
1 The Map of Stories
1 The Lucky List
1 The "&amp;"Other Side of Perfect
1 The Torchbearers
1 THE WHITE COAT DIARIES
1 THIS IS MY BRAIN IN LOVE
1 TOKYO EVER AFTER
1 TOKYO DREAMING
1 UNPLUGGED PLAY
1 100+ Little Habits of Happy, Successful Relationships
1 A Baby Sitter's Guide to Monster Hunting: Mission "&amp;"to Monster Island
1 A Pilgrimage to Eternity
1 A Sky Beyond the Storm
1 Adult Assembly Required
1 All Together Now
1 All the Pretty Things
1 Cupid's Match
1 Dr. Disaster's Guide to Surviving Everythig
1 Dragonfly Girl
1 Elizabeth Webster and the Chamber o"&amp;"f Stolen Ghosts
1 Elizabeth Webster and the Court of Uncommon Pleas
1 Elizabeth Webster and the Portal of Doom
1 Enola Holmes and the Black Barouche
1 FIN AND THE TIME TRAVELING PAJAMAS
1 GIRL, UNFRAMED
1 HOW TO BE THE BEST THIRD WHEEL
1 28 Summers
1 A T"&amp;"aste for Love
1 After the End
1 Bring Me Back
1 From Little Tokyo, with Love
1 Lockdown on London Lane
1 The Jane Austen Society
1 Take Me with You when You Go
1 8 Secrets to Raising Successful Kids
1 Be Dazzled
1 How to Talk when Kids Won't Listen
1 Rai"&amp;"sing them Ready
1 Taking the Stress Out of Homework
1 The Brave Learner
1 The Opposite of Falling Apart")</f>
        <v>1 My Summer of Love and Misfortune
1 Natalie Tan's Book of Luck &amp; Fortune
1 Of Princes and Promises
1 Prom Theory
1 The Hoodie Girl
1 The Lost Ticket
1 The Falling
1 The Next Boy Story
1 The Mighty-Nein Origins
1 The Map of Stories
1 The Lucky List
1 The Other Side of Perfect
1 The Torchbearers
1 THE WHITE COAT DIARIES
1 THIS IS MY BRAIN IN LOVE
1 TOKYO EVER AFTER
1 TOKYO DREAMING
1 UNPLUGGED PLAY
1 100+ Little Habits of Happy, Successful Relationships
1 A Baby Sitter's Guide to Monster Hunting: Mission to Monster Island
1 A Pilgrimage to Eternity
1 A Sky Beyond the Storm
1 Adult Assembly Required
1 All Together Now
1 All the Pretty Things
1 Cupid's Match
1 Dr. Disaster's Guide to Surviving Everythig
1 Dragonfly Girl
1 Elizabeth Webster and the Chamber of Stolen Ghosts
1 Elizabeth Webster and the Court of Uncommon Pleas
1 Elizabeth Webster and the Portal of Doom
1 Enola Holmes and the Black Barouche
1 FIN AND THE TIME TRAVELING PAJAMAS
1 GIRL, UNFRAMED
1 HOW TO BE THE BEST THIRD WHEEL
1 28 Summers
1 A Taste for Love
1 After the End
1 Bring Me Back
1 From Little Tokyo, with Love
1 Lockdown on London Lane
1 The Jane Austen Society
1 Take Me with You when You Go
1 8 Secrets to Raising Successful Kids
1 Be Dazzled
1 How to Talk when Kids Won't Listen
1 Raising them Ready
1 Taking the Stress Out of Homework
1 The Brave Learner
1 The Opposite of Falling Apart</v>
      </c>
      <c r="E4516" s="196" t="str">
        <f>IFERROR(__xludf.DUMMYFUNCTION("""COMPUTED_VALUE"""),"FOR STUDENT'S USE/ LIBRARY'S COPY")</f>
        <v>FOR STUDENT'S USE/ LIBRARY'S COPY</v>
      </c>
    </row>
    <row r="4517">
      <c r="A4517" s="234">
        <f>IFERROR(__xludf.DUMMYFUNCTION("""COMPUTED_VALUE"""),104808.0)</f>
        <v>104808</v>
      </c>
      <c r="B4517" s="235" t="str">
        <f>IFERROR(__xludf.DUMMYFUNCTION("""COMPUTED_VALUE"""),"SHEREE ESPINOSA ")</f>
        <v>SHEREE ESPINOSA </v>
      </c>
      <c r="C4517" s="235" t="str">
        <f>IFERROR(__xludf.DUMMYFUNCTION("""COMPUTED_VALUE"""),"ADMIN")</f>
        <v>ADMIN</v>
      </c>
      <c r="D4517" s="196" t="str">
        <f>IFERROR(__xludf.DUMMYFUNCTION("""COMPUTED_VALUE"""),"COMPUTER TABLE CHAIRS (PLS SEE ATTACHED ACTUAL IMAGE) 28 PCS. ")</f>
        <v>COMPUTER TABLE CHAIRS (PLS SEE ATTACHED ACTUAL IMAGE) 28 PCS. </v>
      </c>
      <c r="E4517" s="196" t="str">
        <f>IFERROR(__xludf.DUMMYFUNCTION("""COMPUTED_VALUE"""),"FOR NEW COMPLAB IN COLLEGE")</f>
        <v>FOR NEW COMPLAB IN COLLEGE</v>
      </c>
    </row>
    <row r="4518">
      <c r="A4518" s="234">
        <f>IFERROR(__xludf.DUMMYFUNCTION("""COMPUTED_VALUE"""),104809.0)</f>
        <v>104809</v>
      </c>
      <c r="B4518" s="235" t="str">
        <f>IFERROR(__xludf.DUMMYFUNCTION("""COMPUTED_VALUE"""),"JESUIT CHRISTIAN GALICIA")</f>
        <v>JESUIT CHRISTIAN GALICIA</v>
      </c>
      <c r="C4518" s="235" t="str">
        <f>IFERROR(__xludf.DUMMYFUNCTION("""COMPUTED_VALUE"""),"AMD")</f>
        <v>AMD</v>
      </c>
      <c r="D4518" s="196" t="str">
        <f>IFERROR(__xludf.DUMMYFUNCTION("""COMPUTED_VALUE"""),"TRODAT PRINTY 4910 STAMP (RODRIGO R. CUSTODIO, LYKA J. PERALTA)")</f>
        <v>TRODAT PRINTY 4910 STAMP (RODRIGO R. CUSTODIO, LYKA J. PERALTA)</v>
      </c>
      <c r="E4518" s="196" t="str">
        <f>IFERROR(__xludf.DUMMYFUNCTION("""COMPUTED_VALUE"""),"FOR OFFICE USE AND RECEIVING OF DELIVERIES")</f>
        <v>FOR OFFICE USE AND RECEIVING OF DELIVERIES</v>
      </c>
    </row>
    <row r="4519">
      <c r="A4519" s="234">
        <f>IFERROR(__xludf.DUMMYFUNCTION("""COMPUTED_VALUE"""),104810.0)</f>
        <v>104810</v>
      </c>
      <c r="B4519" s="235" t="str">
        <f>IFERROR(__xludf.DUMMYFUNCTION("""COMPUTED_VALUE"""),"ALFA DE LEON ")</f>
        <v>ALFA DE LEON </v>
      </c>
      <c r="C4519" s="235" t="str">
        <f>IFERROR(__xludf.DUMMYFUNCTION("""COMPUTED_VALUE"""),"ADMIN - MUNICH")</f>
        <v>ADMIN - MUNICH</v>
      </c>
      <c r="D4519" s="196" t="str">
        <f>IFERROR(__xludf.DUMMYFUNCTION("""COMPUTED_VALUE"""),"EXECUTIVE CHAIRS, MESHBACK REST FABRIC NYLON BASE 2 PCS, REGULAR CHAIR MESH BACK REST FABRIC NYLON BASE 18 PCS. ")</f>
        <v>EXECUTIVE CHAIRS, MESHBACK REST FABRIC NYLON BASE 2 PCS, REGULAR CHAIR MESH BACK REST FABRIC NYLON BASE 18 PCS. </v>
      </c>
      <c r="E4519" s="196" t="str">
        <f>IFERROR(__xludf.DUMMYFUNCTION("""COMPUTED_VALUE"""),"REPLACEMENT OF OLD AND BROKEN SWIVEL CHAIR  AND ADDTL SWIVEL CHAIR IN THE FACULTY ROOM")</f>
        <v>REPLACEMENT OF OLD AND BROKEN SWIVEL CHAIR  AND ADDTL SWIVEL CHAIR IN THE FACULTY ROOM</v>
      </c>
    </row>
    <row r="4520">
      <c r="A4520" s="234">
        <f>IFERROR(__xludf.DUMMYFUNCTION("""COMPUTED_VALUE"""),104811.0)</f>
        <v>104811</v>
      </c>
      <c r="B4520" s="235" t="str">
        <f>IFERROR(__xludf.DUMMYFUNCTION("""COMPUTED_VALUE"""),"ALFA DE LEON ")</f>
        <v>ALFA DE LEON </v>
      </c>
      <c r="C4520" s="235" t="str">
        <f>IFERROR(__xludf.DUMMYFUNCTION("""COMPUTED_VALUE"""),"ADMIN - MUNICH")</f>
        <v>ADMIN - MUNICH</v>
      </c>
      <c r="D4520" s="196" t="str">
        <f>IFERROR(__xludf.DUMMYFUNCTION("""COMPUTED_VALUE"""),"TEACHERS TABLE  W/ CPU HOLDER AT THE RIGHT ")</f>
        <v>TEACHERS TABLE  W/ CPU HOLDER AT THE RIGHT </v>
      </c>
      <c r="E4520" s="196" t="str">
        <f>IFERROR(__xludf.DUMMYFUNCTION("""COMPUTED_VALUE"""),"TEACHERS TABLE FOR NEW CLASSROOM 211")</f>
        <v>TEACHERS TABLE FOR NEW CLASSROOM 211</v>
      </c>
    </row>
    <row r="4521">
      <c r="A4521" s="234">
        <f>IFERROR(__xludf.DUMMYFUNCTION("""COMPUTED_VALUE"""),104812.0)</f>
        <v>104812</v>
      </c>
      <c r="B4521" s="235" t="str">
        <f>IFERROR(__xludf.DUMMYFUNCTION("""COMPUTED_VALUE"""),"ALFA DE LEON ")</f>
        <v>ALFA DE LEON </v>
      </c>
      <c r="C4521" s="235" t="str">
        <f>IFERROR(__xludf.DUMMYFUNCTION("""COMPUTED_VALUE"""),"ADMIN - MUNICH")</f>
        <v>ADMIN - MUNICH</v>
      </c>
      <c r="D4521" s="196" t="str">
        <f>IFERROR(__xludf.DUMMYFUNCTION("""COMPUTED_VALUE"""),"326 WIDE SERIES OUTLETS, 164 WIDE SERIES SWITCH, 195 WIDE SERIES 2 GANG PLATE,  35 WIDE SERIES GANG PLATE, 20 WIDE SERIES BLANK COVER PLATE, 15 WIDE SERIES 3 GANG PLATE BRAND PANASONIC W/ MOUNTING SCREWS 530 PCS.  ")</f>
        <v>326 WIDE SERIES OUTLETS, 164 WIDE SERIES SWITCH, 195 WIDE SERIES 2 GANG PLATE,  35 WIDE SERIES GANG PLATE, 20 WIDE SERIES BLANK COVER PLATE, 15 WIDE SERIES 3 GANG PLATE BRAND PANASONIC W/ MOUNTING SCREWS 530 PCS.  </v>
      </c>
      <c r="E4521" s="196" t="str">
        <f>IFERROR(__xludf.DUMMYFUNCTION("""COMPUTED_VALUE"""),"REPLACEMENT OF OLD AND BROKEN SWITCHES OUTLET AND COVER")</f>
        <v>REPLACEMENT OF OLD AND BROKEN SWITCHES OUTLET AND COVER</v>
      </c>
    </row>
    <row r="4522">
      <c r="A4522" s="234">
        <f>IFERROR(__xludf.DUMMYFUNCTION("""COMPUTED_VALUE"""),104813.0)</f>
        <v>104813</v>
      </c>
      <c r="B4522" s="235" t="str">
        <f>IFERROR(__xludf.DUMMYFUNCTION("""COMPUTED_VALUE"""),"ANNABEL VASQUEZ")</f>
        <v>ANNABEL VASQUEZ</v>
      </c>
      <c r="C4522" s="235" t="str">
        <f>IFERROR(__xludf.DUMMYFUNCTION("""COMPUTED_VALUE"""),"DISCIPLINE BED")</f>
        <v>DISCIPLINE BED</v>
      </c>
      <c r="D4522" s="196" t="str">
        <f>IFERROR(__xludf.DUMMYFUNCTION("""COMPUTED_VALUE"""),"STUDENT HANDBOOK  FOR AY 24-25")</f>
        <v>STUDENT HANDBOOK  FOR AY 24-25</v>
      </c>
      <c r="E4522" s="196" t="str">
        <f>IFERROR(__xludf.DUMMYFUNCTION("""COMPUTED_VALUE"""),"PRINTING OF THE REVISED STUDENT HANDBOOK NEEDED BEFORE THE OPENING OF CLASSES  ")</f>
        <v>PRINTING OF THE REVISED STUDENT HANDBOOK NEEDED BEFORE THE OPENING OF CLASSES  </v>
      </c>
    </row>
    <row r="4523">
      <c r="A4523" s="234">
        <f>IFERROR(__xludf.DUMMYFUNCTION("""COMPUTED_VALUE"""),104814.0)</f>
        <v>104814</v>
      </c>
      <c r="B4523" s="235" t="str">
        <f>IFERROR(__xludf.DUMMYFUNCTION("""COMPUTED_VALUE"""),"MELISSA NAVAL ODOÑO")</f>
        <v>MELISSA NAVAL ODOÑO</v>
      </c>
      <c r="C4523" s="235" t="str">
        <f>IFERROR(__xludf.DUMMYFUNCTION("""COMPUTED_VALUE"""),"LIBRARY STAR")</f>
        <v>LIBRARY STAR</v>
      </c>
      <c r="D4523" s="196" t="str">
        <f>IFERROR(__xludf.DUMMYFUNCTION("""COMPUTED_VALUE"""),"TV, TCL 55P71B 55 INCHES, 4K UHD: GOOGLE TV, DOLBY AUDIO  1 PC. ")</f>
        <v>TV, TCL 55P71B 55 INCHES, 4K UHD: GOOGLE TV, DOLBY AUDIO  1 PC. </v>
      </c>
      <c r="E4523" s="196" t="str">
        <f>IFERROR(__xludf.DUMMYFUNCTION("""COMPUTED_VALUE"""),"FOR STUDENT USE IN STAR CA,PUS LIBRARY")</f>
        <v>FOR STUDENT USE IN STAR CA,PUS LIBRARY</v>
      </c>
    </row>
    <row r="4524">
      <c r="A4524" s="234">
        <f>IFERROR(__xludf.DUMMYFUNCTION("""COMPUTED_VALUE"""),104815.0)</f>
        <v>104815</v>
      </c>
      <c r="B4524" s="235" t="str">
        <f>IFERROR(__xludf.DUMMYFUNCTION("""COMPUTED_VALUE"""),"MELISSA NAVAL ODOÑO")</f>
        <v>MELISSA NAVAL ODOÑO</v>
      </c>
      <c r="C4524" s="235" t="str">
        <f>IFERROR(__xludf.DUMMYFUNCTION("""COMPUTED_VALUE"""),"LIBRARY COLLEGE")</f>
        <v>LIBRARY COLLEGE</v>
      </c>
      <c r="D4524" s="196" t="str">
        <f>IFERROR(__xludf.DUMMYFUNCTION("""COMPUTED_VALUE"""),"BIOLOGICAL PSYCHOLOGY 1 PC.
CHILD PSYCHOPATYHOLOGY 8 E, 1 PC.
COGNITIVE PSYCHOLOGY: THE BASICS 1 PC.
COUNSELLING YOUNG PEOPLE A HANDBOOK FOR TRAINEES AND PRACTITIONERS 1 PC. 
CULTURAL AND PSYCHOLOGY 1 PC. 
EDUCATIONAL PSYCHOLOGY 1 PC.
EXPERIMENTAL DESIGN "&amp;"IN A PSYCHOLOGY A CASE APPROACH, 1 PC.
FUNDAMENTALS OF PSYCHOLOGY ASSESMENT AND TESTING, 1 PC. 
AN INTRODUCTION TO CYBERPSYCHOLOGY 1 PC. 
ORGANIZATIONAL PSYCHOLOGYAN ESSENTIAL GUIDE, 1 PC.
PERSONNEL PSYCHOLOGY 1 PC.
THE PSYCHOLOGY OF WOMEN AND GENDER  1 P"&amp;"C. 
SOCIAL PSYCHOLOGY 1 PC. 
SOCIAL PSYCHOLOGY THEORIES AND APPLICATIONS 1 PC.  
STATISTICS FOR THE BEHAVIORAL SCIENCES 1 PC.  
SYSTEMS PSYCHOLODYNAMICS THEORIST AND PRACTITIONER  VOICES FROM FIELD, 1 PC. 
TEXTBOOKS OF COUNSELLING AND PSYCHOTHERAPY 1 PC. ")</f>
        <v>BIOLOGICAL PSYCHOLOGY 1 PC.
CHILD PSYCHOPATYHOLOGY 8 E, 1 PC.
COGNITIVE PSYCHOLOGY: THE BASICS 1 PC.
COUNSELLING YOUNG PEOPLE A HANDBOOK FOR TRAINEES AND PRACTITIONERS 1 PC. 
CULTURAL AND PSYCHOLOGY 1 PC. 
EDUCATIONAL PSYCHOLOGY 1 PC.
EXPERIMENTAL DESIGN IN A PSYCHOLOGY A CASE APPROACH, 1 PC.
FUNDAMENTALS OF PSYCHOLOGY ASSESMENT AND TESTING, 1 PC. 
AN INTRODUCTION TO CYBERPSYCHOLOGY 1 PC. 
ORGANIZATIONAL PSYCHOLOGYAN ESSENTIAL GUIDE, 1 PC.
PERSONNEL PSYCHOLOGY 1 PC.
THE PSYCHOLOGY OF WOMEN AND GENDER  1 PC. 
SOCIAL PSYCHOLOGY 1 PC. 
SOCIAL PSYCHOLOGY THEORIES AND APPLICATIONS 1 PC.  
STATISTICS FOR THE BEHAVIORAL SCIENCES 1 PC.  
SYSTEMS PSYCHOLODYNAMICS THEORIST AND PRACTITIONER  VOICES FROM FIELD, 1 PC. 
TEXTBOOKS OF COUNSELLING AND PSYCHOTHERAPY 1 PC. </v>
      </c>
      <c r="E4524" s="196" t="str">
        <f>IFERROR(__xludf.DUMMYFUNCTION("""COMPUTED_VALUE"""),"FOR PACUCUOA COMPLIANCE AND LIBRARY USE ")</f>
        <v>FOR PACUCUOA COMPLIANCE AND LIBRARY USE </v>
      </c>
    </row>
    <row r="4525">
      <c r="A4525" s="234">
        <f>IFERROR(__xludf.DUMMYFUNCTION("""COMPUTED_VALUE"""),104816.0)</f>
        <v>104816</v>
      </c>
      <c r="B4525" s="235" t="str">
        <f>IFERROR(__xludf.DUMMYFUNCTION("""COMPUTED_VALUE"""),"SHEREE ESPINOSA ")</f>
        <v>SHEREE ESPINOSA </v>
      </c>
      <c r="C4525" s="235" t="str">
        <f>IFERROR(__xludf.DUMMYFUNCTION("""COMPUTED_VALUE"""),"ADMIN")</f>
        <v>ADMIN</v>
      </c>
      <c r="D4525" s="196" t="str">
        <f>IFERROR(__xludf.DUMMYFUNCTION("""COMPUTED_VALUE"""),"LED LIGHTS- WARM WHITE, 8 PCS. ")</f>
        <v>LED LIGHTS- WARM WHITE, 8 PCS. </v>
      </c>
      <c r="E4525" s="196" t="str">
        <f>IFERROR(__xludf.DUMMYFUNCTION("""COMPUTED_VALUE"""),"ADDTL LIGHTS FOR LUX HALL")</f>
        <v>ADDTL LIGHTS FOR LUX HALL</v>
      </c>
    </row>
    <row r="4526">
      <c r="A4526" s="234">
        <f>IFERROR(__xludf.DUMMYFUNCTION("""COMPUTED_VALUE"""),104817.0)</f>
        <v>104817</v>
      </c>
      <c r="B4526" s="235" t="str">
        <f>IFERROR(__xludf.DUMMYFUNCTION("""COMPUTED_VALUE"""),"SHERYL MANALO")</f>
        <v>SHERYL MANALO</v>
      </c>
      <c r="C4526" s="235" t="str">
        <f>IFERROR(__xludf.DUMMYFUNCTION("""COMPUTED_VALUE"""),"DP MUNICH")</f>
        <v>DP MUNICH</v>
      </c>
      <c r="D4526" s="196" t="str">
        <f>IFERROR(__xludf.DUMMYFUNCTION("""COMPUTED_VALUE"""),"DIAPASON NO. 125 UPRIGHT PIANO, 1 PC. ")</f>
        <v>DIAPASON NO. 125 UPRIGHT PIANO, 1 PC. </v>
      </c>
      <c r="E4526" s="196" t="str">
        <f>IFERROR(__xludf.DUMMYFUNCTION("""COMPUTED_VALUE"""),"FOR MUSICAL CLASSES AND CHORAL CLUB")</f>
        <v>FOR MUSICAL CLASSES AND CHORAL CLUB</v>
      </c>
    </row>
    <row r="4527">
      <c r="A4527" s="234">
        <f>IFERROR(__xludf.DUMMYFUNCTION("""COMPUTED_VALUE"""),104818.0)</f>
        <v>104818</v>
      </c>
      <c r="B4527" s="235" t="str">
        <f>IFERROR(__xludf.DUMMYFUNCTION("""COMPUTED_VALUE"""),"JESSABEL ARISCON/ LEAH BUHAY ")</f>
        <v>JESSABEL ARISCON/ LEAH BUHAY </v>
      </c>
      <c r="C4527" s="235" t="str">
        <f>IFERROR(__xludf.DUMMYFUNCTION("""COMPUTED_VALUE"""),"PURCHASING")</f>
        <v>PURCHASING</v>
      </c>
      <c r="D4527" s="196" t="str">
        <f>IFERROR(__xludf.DUMMYFUNCTION("""COMPUTED_VALUE"""),"4 PCS. CALCULATOR  CASIO ")</f>
        <v>4 PCS. CALCULATOR  CASIO </v>
      </c>
      <c r="E4527" s="196" t="str">
        <f>IFERROR(__xludf.DUMMYFUNCTION("""COMPUTED_VALUE"""),"FOR OFFICE USE ")</f>
        <v>FOR OFFICE USE </v>
      </c>
    </row>
    <row r="4528">
      <c r="A4528" s="234">
        <f>IFERROR(__xludf.DUMMYFUNCTION("""COMPUTED_VALUE"""),104819.0)</f>
        <v>104819</v>
      </c>
      <c r="B4528" s="235" t="str">
        <f>IFERROR(__xludf.DUMMYFUNCTION("""COMPUTED_VALUE"""),"JESSABEL ARISCON/ LEAH BUHAY ")</f>
        <v>JESSABEL ARISCON/ LEAH BUHAY </v>
      </c>
      <c r="C4528" s="235" t="str">
        <f>IFERROR(__xludf.DUMMYFUNCTION("""COMPUTED_VALUE"""),"PURCHASING")</f>
        <v>PURCHASING</v>
      </c>
      <c r="D4528" s="196" t="str">
        <f>IFERROR(__xludf.DUMMYFUNCTION("""COMPUTED_VALUE"""),"1 PC TRODAT FOR FLABIANO JONATHAN C. DELA CRUZ")</f>
        <v>1 PC TRODAT FOR FLABIANO JONATHAN C. DELA CRUZ</v>
      </c>
      <c r="E4528" s="196" t="str">
        <f>IFERROR(__xludf.DUMMYFUNCTION("""COMPUTED_VALUE"""),"FOR OFFICE USE ")</f>
        <v>FOR OFFICE USE </v>
      </c>
    </row>
    <row r="4529">
      <c r="A4529" s="234">
        <f>IFERROR(__xludf.DUMMYFUNCTION("""COMPUTED_VALUE"""),104820.0)</f>
        <v>104820</v>
      </c>
      <c r="B4529" s="235" t="str">
        <f>IFERROR(__xludf.DUMMYFUNCTION("""COMPUTED_VALUE"""),"JESSABEL ARISCON/ LEAH BUHAY ")</f>
        <v>JESSABEL ARISCON/ LEAH BUHAY </v>
      </c>
      <c r="C4529" s="235" t="str">
        <f>IFERROR(__xludf.DUMMYFUNCTION("""COMPUTED_VALUE"""),"PURCHASING")</f>
        <v>PURCHASING</v>
      </c>
      <c r="D4529" s="196" t="str">
        <f>IFERROR(__xludf.DUMMYFUNCTION("""COMPUTED_VALUE"""),"MAGAZINE HOLDER DOUBLE 4 PCS. ")</f>
        <v>MAGAZINE HOLDER DOUBLE 4 PCS. </v>
      </c>
      <c r="E4529" s="196" t="str">
        <f>IFERROR(__xludf.DUMMYFUNCTION("""COMPUTED_VALUE"""),"FOR OFFICE USE ")</f>
        <v>FOR OFFICE USE </v>
      </c>
    </row>
    <row r="4530">
      <c r="A4530" s="234">
        <f>IFERROR(__xludf.DUMMYFUNCTION("""COMPUTED_VALUE"""),104821.0)</f>
        <v>104821</v>
      </c>
      <c r="B4530" s="235" t="str">
        <f>IFERROR(__xludf.DUMMYFUNCTION("""COMPUTED_VALUE"""),"OWIE PAR/RONALD VERDE")</f>
        <v>OWIE PAR/RONALD VERDE</v>
      </c>
      <c r="C4530" s="235" t="str">
        <f>IFERROR(__xludf.DUMMYFUNCTION("""COMPUTED_VALUE"""),"ADMIN")</f>
        <v>ADMIN</v>
      </c>
      <c r="D4530" s="196" t="str">
        <f>IFERROR(__xludf.DUMMYFUNCTION("""COMPUTED_VALUE"""),"10 TIN RED OXIDE (FOR PRIMER), 10 TIN ROOF GUAR BEIGE, 6 PCS. PAINT BRUSH #5, 6 GALS VULCASEAL, 1000 PCS. TECSCREWS ")</f>
        <v>10 TIN RED OXIDE (FOR PRIMER), 10 TIN ROOF GUAR BEIGE, 6 PCS. PAINT BRUSH #5, 6 GALS VULCASEAL, 1000 PCS. TECSCREWS </v>
      </c>
      <c r="E4530" s="196" t="str">
        <f>IFERROR(__xludf.DUMMYFUNCTION("""COMPUTED_VALUE"""),"SEALING OF LEAKS AND PREVENTIVE MAINTENANCE OF TROPICAL GYM ROOFING")</f>
        <v>SEALING OF LEAKS AND PREVENTIVE MAINTENANCE OF TROPICAL GYM ROOFING</v>
      </c>
    </row>
    <row r="4531">
      <c r="A4531" s="234">
        <f>IFERROR(__xludf.DUMMYFUNCTION("""COMPUTED_VALUE"""),104822.0)</f>
        <v>104822</v>
      </c>
      <c r="B4531" s="235" t="str">
        <f>IFERROR(__xludf.DUMMYFUNCTION("""COMPUTED_VALUE"""),"MARVIN MARASIGAN ")</f>
        <v>MARVIN MARASIGAN </v>
      </c>
      <c r="C4531" s="235" t="str">
        <f>IFERROR(__xludf.DUMMYFUNCTION("""COMPUTED_VALUE"""),"PR &amp; MARKETING")</f>
        <v>PR &amp; MARKETING</v>
      </c>
      <c r="D4531" s="196" t="str">
        <f>IFERROR(__xludf.DUMMYFUNCTION("""COMPUTED_VALUE"""),"1 EACH
AMADEUS CONGRATULATORY TARPS (184 IN X 77 IN)
TATAD CONGRATULATORY  TARP (144 IN X 72 IN)
MANO CONGRATULATORY TARP (144 X 72 IN)
ALZONA CONGRATULATORY TARPM (144 X 72 IN)")</f>
        <v>1 EACH
AMADEUS CONGRATULATORY TARPS (184 IN X 77 IN)
TATAD CONGRATULATORY  TARP (144 IN X 72 IN)
MANO CONGRATULATORY TARP (144 X 72 IN)
ALZONA CONGRATULATORY TARPM (144 X 72 IN)</v>
      </c>
      <c r="E4531" s="196" t="str">
        <f>IFERROR(__xludf.DUMMYFUNCTION("""COMPUTED_VALUE"""),"FOR MARKETING AND RECOGNITION PURPOSES ")</f>
        <v>FOR MARKETING AND RECOGNITION PURPOSES </v>
      </c>
    </row>
    <row r="4532">
      <c r="A4532" s="234">
        <f>IFERROR(__xludf.DUMMYFUNCTION("""COMPUTED_VALUE"""),104823.0)</f>
        <v>104823</v>
      </c>
      <c r="B4532" s="235" t="str">
        <f>IFERROR(__xludf.DUMMYFUNCTION("""COMPUTED_VALUE"""),"RONALDO VERDE ")</f>
        <v>RONALDO VERDE </v>
      </c>
      <c r="C4532" s="235" t="str">
        <f>IFERROR(__xludf.DUMMYFUNCTION("""COMPUTED_VALUE"""),"ADMIN")</f>
        <v>ADMIN</v>
      </c>
      <c r="D4532" s="196" t="str">
        <f>IFERROR(__xludf.DUMMYFUNCTION("""COMPUTED_VALUE"""),"TILES 60X60 200 PCS, CEMENT 10 BAGS, TILE ADHESIVE 10 BAGS")</f>
        <v>TILES 60X60 200 PCS, CEMENT 10 BAGS, TILE ADHESIVE 10 BAGS</v>
      </c>
      <c r="E4532" s="196" t="str">
        <f>IFERROR(__xludf.DUMMYFUNCTION("""COMPUTED_VALUE"""),"CLASSROOMS AND HALLWAYS PREVENTIVE MAINTENANCE ")</f>
        <v>CLASSROOMS AND HALLWAYS PREVENTIVE MAINTENANCE </v>
      </c>
    </row>
    <row r="4533">
      <c r="A4533" s="234">
        <f>IFERROR(__xludf.DUMMYFUNCTION("""COMPUTED_VALUE"""),104824.0)</f>
        <v>104824</v>
      </c>
      <c r="B4533" s="235" t="str">
        <f>IFERROR(__xludf.DUMMYFUNCTION("""COMPUTED_VALUE"""),"MARC VINCENT VITTO")</f>
        <v>MARC VINCENT VITTO</v>
      </c>
      <c r="C4533" s="235" t="str">
        <f>IFERROR(__xludf.DUMMYFUNCTION("""COMPUTED_VALUE"""),"PR &amp; MARKETING")</f>
        <v>PR &amp; MARKETING</v>
      </c>
      <c r="D4533" s="196" t="str">
        <f>IFERROR(__xludf.DUMMYFUNCTION("""COMPUTED_VALUE"""),"COLLEGE FLAGS TO BE REPLACED IN COLLEGE GRADUATION 3 PCS. 
EXTERIOR FLAGS (3FT X 18 FT) CLOTH BASE")</f>
        <v>COLLEGE FLAGS TO BE REPLACED IN COLLEGE GRADUATION 3 PCS. 
EXTERIOR FLAGS (3FT X 18 FT) CLOTH BASE</v>
      </c>
      <c r="E4533" s="196" t="str">
        <f>IFERROR(__xludf.DUMMYFUNCTION("""COMPUTED_VALUE"""),"GRADUATION MARKETING ")</f>
        <v>GRADUATION MARKETING </v>
      </c>
    </row>
    <row r="4534">
      <c r="A4534" s="234">
        <f>IFERROR(__xludf.DUMMYFUNCTION("""COMPUTED_VALUE"""),104825.0)</f>
        <v>104825</v>
      </c>
      <c r="B4534" s="235" t="str">
        <f>IFERROR(__xludf.DUMMYFUNCTION("""COMPUTED_VALUE"""),"MARC VINCENT VITTO")</f>
        <v>MARC VINCENT VITTO</v>
      </c>
      <c r="C4534" s="235" t="str">
        <f>IFERROR(__xludf.DUMMYFUNCTION("""COMPUTED_VALUE"""),"PR &amp; MARKETING")</f>
        <v>PR &amp; MARKETING</v>
      </c>
      <c r="D4534" s="196" t="str">
        <f>IFERROR(__xludf.DUMMYFUNCTION("""COMPUTED_VALUE"""),"COLLEGE TARPAULINS:
PLANT BOX (6M X1.5 M) 2 PCS. 
T-STAND (4 FT X 8 FT) 1 PC.
RAILING (4M X 3.4 M) 2 PCS. 
")</f>
        <v>COLLEGE TARPAULINS:
PLANT BOX (6M X1.5 M) 2 PCS. 
T-STAND (4 FT X 8 FT) 1 PC.
RAILING (4M X 3.4 M) 2 PCS. 
</v>
      </c>
      <c r="E4534" s="196" t="str">
        <f>IFERROR(__xludf.DUMMYFUNCTION("""COMPUTED_VALUE"""),"GRADUATION MARKETING ")</f>
        <v>GRADUATION MARKETING </v>
      </c>
    </row>
    <row r="4535">
      <c r="A4535" s="234">
        <f>IFERROR(__xludf.DUMMYFUNCTION("""COMPUTED_VALUE"""),104826.0)</f>
        <v>104826</v>
      </c>
      <c r="B4535" s="235" t="str">
        <f>IFERROR(__xludf.DUMMYFUNCTION("""COMPUTED_VALUE"""),"JOMEL BUTIAL ")</f>
        <v>JOMEL BUTIAL </v>
      </c>
      <c r="C4535" s="235" t="str">
        <f>IFERROR(__xludf.DUMMYFUNCTION("""COMPUTED_VALUE"""),"PR &amp; MARKETING")</f>
        <v>PR &amp; MARKETING</v>
      </c>
      <c r="D4535" s="196" t="str">
        <f>IFERROR(__xludf.DUMMYFUNCTION("""COMPUTED_VALUE"""),"KENCALE TARP 8FT X W 4FT")</f>
        <v>KENCALE TARP 8FT X W 4FT</v>
      </c>
      <c r="E4535" s="196" t="str">
        <f>IFERROR(__xludf.DUMMYFUNCTION("""COMPUTED_VALUE"""),"MARKETING IN KENCALE")</f>
        <v>MARKETING IN KENCALE</v>
      </c>
    </row>
    <row r="4536">
      <c r="A4536" s="234">
        <f>IFERROR(__xludf.DUMMYFUNCTION("""COMPUTED_VALUE"""),104827.0)</f>
        <v>104827</v>
      </c>
      <c r="B4536" s="235" t="str">
        <f>IFERROR(__xludf.DUMMYFUNCTION("""COMPUTED_VALUE"""),"LUCILLE BEYER ")</f>
        <v>LUCILLE BEYER </v>
      </c>
      <c r="C4536" s="235" t="str">
        <f>IFERROR(__xludf.DUMMYFUNCTION("""COMPUTED_VALUE"""),"MEDICAL")</f>
        <v>MEDICAL</v>
      </c>
      <c r="D4536" s="196" t="str">
        <f>IFERROR(__xludf.DUMMYFUNCTION("""COMPUTED_VALUE"""),"CLINIC SUPPLIES FOR THE MONTH OF AUGUST AND SEPTEMBER ( for the 3 clinics)")</f>
        <v>CLINIC SUPPLIES FOR THE MONTH OF AUGUST AND SEPTEMBER ( for the 3 clinics)</v>
      </c>
      <c r="E4536" s="196" t="str">
        <f>IFERROR(__xludf.DUMMYFUNCTION("""COMPUTED_VALUE"""),"MONTHLY REPLENISHMENT OF MEDS SUPPLIES FOR 3 CLINICS")</f>
        <v>MONTHLY REPLENISHMENT OF MEDS SUPPLIES FOR 3 CLINICS</v>
      </c>
    </row>
    <row r="4537">
      <c r="A4537" s="234">
        <f>IFERROR(__xludf.DUMMYFUNCTION("""COMPUTED_VALUE"""),104828.0)</f>
        <v>104828</v>
      </c>
      <c r="B4537" s="235" t="str">
        <f>IFERROR(__xludf.DUMMYFUNCTION("""COMPUTED_VALUE"""),"LYKA PERALTA")</f>
        <v>LYKA PERALTA</v>
      </c>
      <c r="C4537" s="235" t="str">
        <f>IFERROR(__xludf.DUMMYFUNCTION("""COMPUTED_VALUE"""),"AMD")</f>
        <v>AMD</v>
      </c>
      <c r="D4537" s="196" t="str">
        <f>IFERROR(__xludf.DUMMYFUNCTION("""COMPUTED_VALUE"""),"10 REAMS PAPER, FORTUNE COPY 11 X 17 WHITE A3")</f>
        <v>10 REAMS PAPER, FORTUNE COPY 11 X 17 WHITE A3</v>
      </c>
      <c r="E4537" s="196" t="str">
        <f>IFERROR(__xludf.DUMMYFUNCTION("""COMPUTED_VALUE"""),"OSSUP STOCK REPLENISHMENT ")</f>
        <v>OSSUP STOCK REPLENISHMENT </v>
      </c>
    </row>
    <row r="4538">
      <c r="A4538" s="234">
        <f>IFERROR(__xludf.DUMMYFUNCTION("""COMPUTED_VALUE"""),104829.0)</f>
        <v>104829</v>
      </c>
      <c r="B4538" s="235" t="str">
        <f>IFERROR(__xludf.DUMMYFUNCTION("""COMPUTED_VALUE"""),"LYKA PERALTA")</f>
        <v>LYKA PERALTA</v>
      </c>
      <c r="C4538" s="235" t="str">
        <f>IFERROR(__xludf.DUMMYFUNCTION("""COMPUTED_VALUE"""),"AMD")</f>
        <v>AMD</v>
      </c>
      <c r="D4538" s="196" t="str">
        <f>IFERROR(__xludf.DUMMYFUNCTION("""COMPUTED_VALUE"""),"30 pcs TONER CARTRIDGE CF210A BLACK ")</f>
        <v>30 pcs TONER CARTRIDGE CF210A BLACK </v>
      </c>
      <c r="E4538" s="196" t="str">
        <f>IFERROR(__xludf.DUMMYFUNCTION("""COMPUTED_VALUE"""),"OSSUP STOCK REPLENISHMENT ")</f>
        <v>OSSUP STOCK REPLENISHMENT </v>
      </c>
    </row>
    <row r="4539">
      <c r="A4539" s="234">
        <f>IFERROR(__xludf.DUMMYFUNCTION("""COMPUTED_VALUE"""),104830.0)</f>
        <v>104830</v>
      </c>
      <c r="B4539" s="235" t="str">
        <f>IFERROR(__xludf.DUMMYFUNCTION("""COMPUTED_VALUE"""),"LYKA PERALTA")</f>
        <v>LYKA PERALTA</v>
      </c>
      <c r="C4539" s="235" t="str">
        <f>IFERROR(__xludf.DUMMYFUNCTION("""COMPUTED_VALUE"""),"AMD")</f>
        <v>AMD</v>
      </c>
      <c r="D4539" s="196" t="str">
        <f>IFERROR(__xludf.DUMMYFUNCTION("""COMPUTED_VALUE"""),"240 PCS BALLPEN, DONG A MY EL BLK 0.05")</f>
        <v>240 PCS BALLPEN, DONG A MY EL BLK 0.05</v>
      </c>
      <c r="E4539" s="196" t="str">
        <f>IFERROR(__xludf.DUMMYFUNCTION("""COMPUTED_VALUE"""),"OSSUP STOCK REPLENISHMENT ")</f>
        <v>OSSUP STOCK REPLENISHMENT </v>
      </c>
    </row>
    <row r="4540">
      <c r="A4540" s="234">
        <f>IFERROR(__xludf.DUMMYFUNCTION("""COMPUTED_VALUE"""),104831.0)</f>
        <v>104831</v>
      </c>
      <c r="B4540" s="235" t="str">
        <f>IFERROR(__xludf.DUMMYFUNCTION("""COMPUTED_VALUE"""),"CHOY JAMIAS ")</f>
        <v>CHOY JAMIAS </v>
      </c>
      <c r="C4540" s="235" t="str">
        <f>IFERROR(__xludf.DUMMYFUNCTION("""COMPUTED_VALUE"""),"STUDENT AFFAIRS COLLEGE")</f>
        <v>STUDENT AFFAIRS COLLEGE</v>
      </c>
      <c r="D4540" s="196" t="str">
        <f>IFERROR(__xludf.DUMMYFUNCTION("""COMPUTED_VALUE"""),"4 PCS LOYALTY PIN TYPE GOLD 
11 PCS. LOYALTY PIN TYPE GOLD
2 PCS SUMMA CUMLAUDE - GOLD 
10 PCS MAGNA CUMLAUDE - SILVER
5 PCS CUMLAUDE BRONZE
34 PCS DEANS MERIT  BRONZE 
2 PCS. 5CS AWARD - GOLD 
2 PCS. FLEX WITH HIGHEST HONOR (NEW) SAME WITH SUMMA 
")</f>
        <v>4 PCS LOYALTY PIN TYPE GOLD 
11 PCS. LOYALTY PIN TYPE GOLD
2 PCS SUMMA CUMLAUDE - GOLD 
10 PCS MAGNA CUMLAUDE - SILVER
5 PCS CUMLAUDE BRONZE
34 PCS DEANS MERIT  BRONZE 
2 PCS. 5CS AWARD - GOLD 
2 PCS. FLEX WITH HIGHEST HONOR (NEW) SAME WITH SUMMA 
</v>
      </c>
      <c r="E4540" s="196" t="str">
        <f>IFERROR(__xludf.DUMMYFUNCTION("""COMPUTED_VALUE"""),"ADDTL MEDALS FOR COLLEGE GRADUATION ")</f>
        <v>ADDTL MEDALS FOR COLLEGE GRADUATION </v>
      </c>
    </row>
    <row r="4541">
      <c r="A4541" s="234">
        <f>IFERROR(__xludf.DUMMYFUNCTION("""COMPUTED_VALUE"""),104832.0)</f>
        <v>104832</v>
      </c>
      <c r="B4541" s="235" t="str">
        <f>IFERROR(__xludf.DUMMYFUNCTION("""COMPUTED_VALUE"""),"SHEREE ESPINOSA")</f>
        <v>SHEREE ESPINOSA</v>
      </c>
      <c r="C4541" s="235" t="str">
        <f>IFERROR(__xludf.DUMMYFUNCTION("""COMPUTED_VALUE"""),"ADMIN")</f>
        <v>ADMIN</v>
      </c>
      <c r="D4541" s="196" t="str">
        <f>IFERROR(__xludf.DUMMYFUNCTION("""COMPUTED_VALUE"""),"50 PCS ARMCHAIRS")</f>
        <v>50 PCS ARMCHAIRS</v>
      </c>
      <c r="E4541" s="196" t="str">
        <f>IFERROR(__xludf.DUMMYFUNCTION("""COMPUTED_VALUE"""),"REPLACEMENT OF THE PLASTIC ARM CHAIRS IN MPHT")</f>
        <v>REPLACEMENT OF THE PLASTIC ARM CHAIRS IN MPHT</v>
      </c>
    </row>
    <row r="4542">
      <c r="A4542" s="234">
        <f>IFERROR(__xludf.DUMMYFUNCTION("""COMPUTED_VALUE"""),104833.0)</f>
        <v>104833</v>
      </c>
      <c r="B4542" s="235" t="str">
        <f>IFERROR(__xludf.DUMMYFUNCTION("""COMPUTED_VALUE"""),"SHEREE ESPINOSA")</f>
        <v>SHEREE ESPINOSA</v>
      </c>
      <c r="C4542" s="235" t="str">
        <f>IFERROR(__xludf.DUMMYFUNCTION("""COMPUTED_VALUE"""),"ADMIN")</f>
        <v>ADMIN</v>
      </c>
      <c r="D4542" s="196" t="str">
        <f>IFERROR(__xludf.DUMMYFUNCTION("""COMPUTED_VALUE"""),"3 PCS PLYWOOD #3/4"" X 4""X8"", 1 TR POLITUFF W/ HARDENER, 4 PCS S4S KD #2X2X8, 1 GAL PAINT THINNER, 1 GAL LACQUER THINNER, 2 PCS PAINT BRUSH #1, 2 PCS PAINT ROLLER #4 (COTTON)")</f>
        <v>3 PCS PLYWOOD #3/4" X 4"X8", 1 TR POLITUFF W/ HARDENER, 4 PCS S4S KD #2X2X8, 1 GAL PAINT THINNER, 1 GAL LACQUER THINNER, 2 PCS PAINT BRUSH #1, 2 PCS PAINT ROLLER #4 (COTTON)</v>
      </c>
      <c r="E4542" s="196" t="str">
        <f>IFERROR(__xludf.DUMMYFUNCTION("""COMPUTED_VALUE"""),"MATERIALS FOR THE CABINET PARTITION FOR NEW TCPD OFFICE")</f>
        <v>MATERIALS FOR THE CABINET PARTITION FOR NEW TCPD OFFICE</v>
      </c>
    </row>
    <row r="4543">
      <c r="A4543" s="234">
        <f>IFERROR(__xludf.DUMMYFUNCTION("""COMPUTED_VALUE"""),104834.0)</f>
        <v>104834</v>
      </c>
      <c r="B4543" s="235" t="str">
        <f>IFERROR(__xludf.DUMMYFUNCTION("""COMPUTED_VALUE"""),"MARC VINCENT VITTO")</f>
        <v>MARC VINCENT VITTO</v>
      </c>
      <c r="C4543" s="235" t="str">
        <f>IFERROR(__xludf.DUMMYFUNCTION("""COMPUTED_VALUE"""),"PR &amp; MARKETING")</f>
        <v>PR &amp; MARKETING</v>
      </c>
      <c r="D4543" s="196" t="str">
        <f>IFERROR(__xludf.DUMMYFUNCTION("""COMPUTED_VALUE"""),"GRADUATION BACKDROP SIZE: 7FT X 7 FT WITH EYELET EVERY 1/2 FOOT 1 PC. ")</f>
        <v>GRADUATION BACKDROP SIZE: 7FT X 7 FT WITH EYELET EVERY 1/2 FOOT 1 PC. </v>
      </c>
      <c r="E4543" s="196" t="str">
        <f>IFERROR(__xludf.DUMMYFUNCTION("""COMPUTED_VALUE"""),"GRADUATION MARKETING ")</f>
        <v>GRADUATION MARKETING </v>
      </c>
    </row>
    <row r="4544">
      <c r="A4544" s="234">
        <f>IFERROR(__xludf.DUMMYFUNCTION("""COMPUTED_VALUE"""),104835.0)</f>
        <v>104835</v>
      </c>
      <c r="B4544" s="235" t="str">
        <f>IFERROR(__xludf.DUMMYFUNCTION("""COMPUTED_VALUE"""),"LYKA PERALTA ")</f>
        <v>LYKA PERALTA </v>
      </c>
      <c r="C4544" s="235" t="str">
        <f>IFERROR(__xludf.DUMMYFUNCTION("""COMPUTED_VALUE"""),"AMD")</f>
        <v>AMD</v>
      </c>
      <c r="D4544" s="196" t="str">
        <f>IFERROR(__xludf.DUMMYFUNCTION("""COMPUTED_VALUE"""),"PAPER COLORED FORTUNE BLUE 500 PCS. PAPER COLORED FORTUNE PINK 500 PCS. , PAPER COLORED FORTUNE YELLOW  500 PCS. ")</f>
        <v>PAPER COLORED FORTUNE BLUE 500 PCS. PAPER COLORED FORTUNE PINK 500 PCS. , PAPER COLORED FORTUNE YELLOW  500 PCS. </v>
      </c>
      <c r="E4544" s="196" t="str">
        <f>IFERROR(__xludf.DUMMYFUNCTION("""COMPUTED_VALUE"""),"OSSUP STOCK REPLENISHMENT ")</f>
        <v>OSSUP STOCK REPLENISHMENT </v>
      </c>
    </row>
    <row r="4545">
      <c r="A4545" s="234">
        <f>IFERROR(__xludf.DUMMYFUNCTION("""COMPUTED_VALUE"""),104836.0)</f>
        <v>104836</v>
      </c>
      <c r="B4545" s="235" t="str">
        <f>IFERROR(__xludf.DUMMYFUNCTION("""COMPUTED_VALUE"""),"LYKA PERALTA ")</f>
        <v>LYKA PERALTA </v>
      </c>
      <c r="C4545" s="235" t="str">
        <f>IFERROR(__xludf.DUMMYFUNCTION("""COMPUTED_VALUE"""),"AMD")</f>
        <v>AMD</v>
      </c>
      <c r="D4545" s="196" t="str">
        <f>IFERROR(__xludf.DUMMYFUNCTION("""COMPUTED_VALUE"""),"250 PCS TUMBLER SISC, VACCUM FLASK PURPLE ")</f>
        <v>250 PCS TUMBLER SISC, VACCUM FLASK PURPLE </v>
      </c>
      <c r="E4545" s="196" t="str">
        <f>IFERROR(__xludf.DUMMYFUNCTION("""COMPUTED_VALUE"""),"ENROLMENT TOKEN STOCK REPLENISHMENT ")</f>
        <v>ENROLMENT TOKEN STOCK REPLENISHMENT </v>
      </c>
    </row>
    <row r="4546">
      <c r="A4546" s="234" t="str">
        <f>IFERROR(__xludf.DUMMYFUNCTION("""COMPUTED_VALUE"""),"END OF AY 2023-2024")</f>
        <v>END OF AY 2023-2024</v>
      </c>
      <c r="B4546" s="235" t="str">
        <f>IFERROR(__xludf.DUMMYFUNCTION("""COMPUTED_VALUE"""),"END OF AY 2023-2024")</f>
        <v>END OF AY 2023-2024</v>
      </c>
      <c r="C4546" s="235" t="str">
        <f>IFERROR(__xludf.DUMMYFUNCTION("""COMPUTED_VALUE"""),"END OF AY 2023-2024")</f>
        <v>END OF AY 2023-2024</v>
      </c>
      <c r="D4546" s="379" t="str">
        <f>IFERROR(__xludf.DUMMYFUNCTION("""COMPUTED_VALUE"""),"PLEASE CLICK THIS LINK FOR PRF STARTING AUGUST 1, 2024
V2 - PRF AND SRF ONLINE MONITORING ")</f>
        <v>PLEASE CLICK THIS LINK FOR PRF STARTING AUGUST 1, 2024
V2 - PRF AND SRF ONLINE MONITORING </v>
      </c>
      <c r="E4546" s="196" t="str">
        <f>IFERROR(__xludf.DUMMYFUNCTION("""COMPUTED_VALUE"""),"END OF AY 2023-2024")</f>
        <v>END OF AY 2023-2024</v>
      </c>
    </row>
    <row r="4547">
      <c r="A4547" s="234"/>
      <c r="B4547" s="235"/>
      <c r="C4547" s="235"/>
      <c r="D4547" s="196"/>
      <c r="E4547" s="196"/>
    </row>
    <row r="4548">
      <c r="A4548" s="234"/>
      <c r="B4548" s="235"/>
      <c r="C4548" s="235"/>
      <c r="D4548" s="196"/>
      <c r="E4548" s="196"/>
    </row>
    <row r="4549">
      <c r="A4549" s="234"/>
      <c r="B4549" s="235"/>
      <c r="C4549" s="235"/>
      <c r="D4549" s="196"/>
      <c r="E4549" s="196"/>
    </row>
    <row r="4550">
      <c r="A4550" s="234"/>
      <c r="B4550" s="235"/>
      <c r="C4550" s="235"/>
      <c r="D4550" s="196"/>
      <c r="E4550" s="196"/>
    </row>
    <row r="4551">
      <c r="A4551" s="234"/>
      <c r="B4551" s="235"/>
      <c r="C4551" s="235"/>
      <c r="D4551" s="196"/>
      <c r="E4551" s="196"/>
    </row>
    <row r="4552">
      <c r="A4552" s="234"/>
      <c r="B4552" s="235"/>
      <c r="C4552" s="235"/>
      <c r="D4552" s="196"/>
      <c r="E4552" s="196"/>
    </row>
    <row r="4553">
      <c r="A4553" s="234"/>
      <c r="B4553" s="235"/>
      <c r="C4553" s="235"/>
      <c r="D4553" s="196"/>
      <c r="E4553" s="196"/>
    </row>
    <row r="4554">
      <c r="A4554" s="234"/>
      <c r="B4554" s="235"/>
      <c r="C4554" s="235"/>
      <c r="D4554" s="196"/>
      <c r="E4554" s="196"/>
    </row>
    <row r="4555">
      <c r="A4555" s="234"/>
      <c r="B4555" s="235"/>
      <c r="C4555" s="235"/>
      <c r="D4555" s="196"/>
      <c r="E4555" s="196"/>
    </row>
    <row r="4556">
      <c r="A4556" s="234"/>
      <c r="B4556" s="235"/>
      <c r="C4556" s="235"/>
      <c r="D4556" s="196"/>
      <c r="E4556" s="196"/>
    </row>
    <row r="4557">
      <c r="A4557" s="234"/>
      <c r="B4557" s="235"/>
      <c r="C4557" s="235"/>
      <c r="D4557" s="196"/>
      <c r="E4557" s="196"/>
    </row>
    <row r="4558">
      <c r="A4558" s="234"/>
      <c r="B4558" s="235"/>
      <c r="C4558" s="235"/>
      <c r="D4558" s="196"/>
      <c r="E4558" s="196"/>
    </row>
    <row r="4559">
      <c r="A4559" s="234"/>
      <c r="B4559" s="235"/>
      <c r="C4559" s="235"/>
      <c r="D4559" s="196"/>
      <c r="E4559" s="196"/>
    </row>
    <row r="4560">
      <c r="A4560" s="234"/>
      <c r="B4560" s="235"/>
      <c r="C4560" s="235"/>
      <c r="D4560" s="196"/>
      <c r="E4560" s="196"/>
    </row>
    <row r="4561">
      <c r="A4561" s="234"/>
      <c r="B4561" s="235"/>
      <c r="C4561" s="235"/>
      <c r="D4561" s="196"/>
      <c r="E4561" s="196"/>
    </row>
    <row r="4562">
      <c r="A4562" s="234"/>
      <c r="B4562" s="235"/>
      <c r="C4562" s="235"/>
      <c r="D4562" s="196"/>
      <c r="E4562" s="196"/>
    </row>
    <row r="4563">
      <c r="A4563" s="234"/>
      <c r="B4563" s="235"/>
      <c r="C4563" s="235"/>
      <c r="D4563" s="196"/>
      <c r="E4563" s="196"/>
    </row>
    <row r="4564">
      <c r="A4564" s="234"/>
      <c r="B4564" s="235"/>
      <c r="C4564" s="235"/>
      <c r="D4564" s="196"/>
      <c r="E4564" s="196"/>
    </row>
    <row r="4565">
      <c r="A4565" s="234"/>
      <c r="B4565" s="235"/>
      <c r="C4565" s="235"/>
      <c r="D4565" s="196"/>
      <c r="E4565" s="196"/>
    </row>
    <row r="4566">
      <c r="A4566" s="234"/>
      <c r="B4566" s="235"/>
      <c r="C4566" s="235"/>
      <c r="D4566" s="196"/>
      <c r="E4566" s="196"/>
    </row>
    <row r="4567">
      <c r="A4567" s="234"/>
      <c r="B4567" s="235"/>
      <c r="C4567" s="235"/>
      <c r="D4567" s="196"/>
      <c r="E4567" s="196"/>
    </row>
    <row r="4568">
      <c r="A4568" s="234"/>
      <c r="B4568" s="235"/>
      <c r="C4568" s="235"/>
      <c r="D4568" s="196"/>
      <c r="E4568" s="196"/>
    </row>
    <row r="4569">
      <c r="A4569" s="234"/>
      <c r="B4569" s="235"/>
      <c r="C4569" s="235"/>
      <c r="D4569" s="196"/>
      <c r="E4569" s="196"/>
    </row>
    <row r="4570">
      <c r="A4570" s="234"/>
      <c r="B4570" s="235"/>
      <c r="C4570" s="235"/>
      <c r="D4570" s="196"/>
      <c r="E4570" s="196"/>
    </row>
    <row r="4571">
      <c r="A4571" s="234"/>
      <c r="B4571" s="235"/>
      <c r="C4571" s="235"/>
      <c r="D4571" s="196"/>
      <c r="E4571" s="196"/>
    </row>
    <row r="4572">
      <c r="A4572" s="234"/>
      <c r="B4572" s="235"/>
      <c r="C4572" s="235"/>
      <c r="D4572" s="196"/>
      <c r="E4572" s="196"/>
    </row>
    <row r="4573">
      <c r="A4573" s="234"/>
      <c r="B4573" s="235"/>
      <c r="C4573" s="235"/>
      <c r="D4573" s="196"/>
      <c r="E4573" s="196"/>
    </row>
    <row r="4574">
      <c r="A4574" s="234"/>
      <c r="B4574" s="235"/>
      <c r="C4574" s="235"/>
      <c r="D4574" s="196"/>
      <c r="E4574" s="196"/>
    </row>
    <row r="4575">
      <c r="A4575" s="234"/>
      <c r="B4575" s="235"/>
      <c r="C4575" s="235"/>
      <c r="D4575" s="196"/>
      <c r="E4575" s="196"/>
    </row>
    <row r="4576">
      <c r="A4576" s="234"/>
      <c r="B4576" s="235"/>
      <c r="C4576" s="235"/>
      <c r="D4576" s="196"/>
      <c r="E4576" s="196"/>
    </row>
    <row r="4577">
      <c r="A4577" s="234"/>
      <c r="B4577" s="235"/>
      <c r="C4577" s="235"/>
      <c r="D4577" s="196"/>
      <c r="E4577" s="196"/>
    </row>
    <row r="4578">
      <c r="A4578" s="234"/>
      <c r="B4578" s="235"/>
      <c r="C4578" s="235"/>
      <c r="D4578" s="196"/>
      <c r="E4578" s="196"/>
    </row>
    <row r="4579">
      <c r="A4579" s="234"/>
      <c r="B4579" s="235"/>
      <c r="C4579" s="235"/>
      <c r="D4579" s="196"/>
      <c r="E4579" s="196"/>
    </row>
    <row r="4580">
      <c r="A4580" s="234"/>
      <c r="B4580" s="235"/>
      <c r="C4580" s="235"/>
      <c r="D4580" s="196"/>
      <c r="E4580" s="196"/>
    </row>
    <row r="4581">
      <c r="A4581" s="234"/>
      <c r="B4581" s="235"/>
      <c r="C4581" s="235"/>
      <c r="D4581" s="196"/>
      <c r="E4581" s="196"/>
    </row>
    <row r="4582">
      <c r="A4582" s="234"/>
      <c r="B4582" s="235"/>
      <c r="C4582" s="235"/>
      <c r="D4582" s="196"/>
      <c r="E4582" s="196"/>
    </row>
    <row r="4583">
      <c r="A4583" s="234"/>
      <c r="B4583" s="235"/>
      <c r="C4583" s="235"/>
      <c r="D4583" s="196"/>
      <c r="E4583" s="196"/>
    </row>
    <row r="4584">
      <c r="A4584" s="234"/>
      <c r="B4584" s="235"/>
      <c r="C4584" s="235"/>
      <c r="D4584" s="196"/>
      <c r="E4584" s="196"/>
    </row>
    <row r="4585">
      <c r="A4585" s="234"/>
      <c r="B4585" s="235"/>
      <c r="C4585" s="235"/>
      <c r="D4585" s="196"/>
      <c r="E4585" s="196"/>
    </row>
    <row r="4586">
      <c r="A4586" s="234"/>
      <c r="B4586" s="235"/>
      <c r="C4586" s="235"/>
      <c r="D4586" s="196"/>
      <c r="E4586" s="196"/>
    </row>
    <row r="4587">
      <c r="A4587" s="234"/>
      <c r="B4587" s="235"/>
      <c r="C4587" s="235"/>
      <c r="D4587" s="196"/>
      <c r="E4587" s="196"/>
    </row>
    <row r="4588">
      <c r="A4588" s="234"/>
      <c r="B4588" s="235"/>
      <c r="C4588" s="235"/>
      <c r="D4588" s="196"/>
      <c r="E4588" s="196"/>
    </row>
    <row r="4589">
      <c r="A4589" s="234"/>
      <c r="B4589" s="235"/>
      <c r="C4589" s="235"/>
      <c r="D4589" s="196"/>
      <c r="E4589" s="196"/>
    </row>
    <row r="4590">
      <c r="A4590" s="234"/>
      <c r="B4590" s="235"/>
      <c r="C4590" s="235"/>
      <c r="D4590" s="196"/>
      <c r="E4590" s="196"/>
    </row>
    <row r="4591">
      <c r="A4591" s="234"/>
      <c r="B4591" s="235"/>
      <c r="C4591" s="235"/>
      <c r="D4591" s="196"/>
      <c r="E4591" s="196"/>
    </row>
    <row r="4592">
      <c r="A4592" s="234"/>
      <c r="B4592" s="235"/>
      <c r="C4592" s="235"/>
      <c r="D4592" s="196"/>
      <c r="E4592" s="196"/>
    </row>
    <row r="4593">
      <c r="A4593" s="234"/>
      <c r="B4593" s="235"/>
      <c r="C4593" s="235"/>
      <c r="D4593" s="196"/>
      <c r="E4593" s="196"/>
    </row>
    <row r="4594">
      <c r="A4594" s="234"/>
      <c r="B4594" s="235"/>
      <c r="C4594" s="235"/>
      <c r="D4594" s="196"/>
      <c r="E4594" s="196"/>
    </row>
    <row r="4595">
      <c r="A4595" s="234"/>
      <c r="B4595" s="235"/>
      <c r="C4595" s="235"/>
      <c r="D4595" s="196"/>
      <c r="E4595" s="196"/>
    </row>
    <row r="4596">
      <c r="A4596" s="234"/>
      <c r="B4596" s="235"/>
      <c r="C4596" s="235"/>
      <c r="D4596" s="196"/>
      <c r="E4596" s="196"/>
    </row>
    <row r="4597">
      <c r="A4597" s="234"/>
      <c r="B4597" s="235"/>
      <c r="C4597" s="235"/>
      <c r="D4597" s="196"/>
      <c r="E4597" s="196"/>
    </row>
    <row r="4598">
      <c r="A4598" s="234"/>
      <c r="B4598" s="235"/>
      <c r="C4598" s="235"/>
      <c r="D4598" s="196"/>
      <c r="E4598" s="196"/>
    </row>
    <row r="4599">
      <c r="A4599" s="234"/>
      <c r="B4599" s="235"/>
      <c r="C4599" s="235"/>
      <c r="D4599" s="196"/>
      <c r="E4599" s="196"/>
    </row>
    <row r="4600">
      <c r="A4600" s="234"/>
      <c r="B4600" s="235"/>
      <c r="C4600" s="235"/>
      <c r="D4600" s="196"/>
      <c r="E4600" s="196"/>
    </row>
    <row r="4601">
      <c r="A4601" s="234"/>
      <c r="B4601" s="235"/>
      <c r="C4601" s="235"/>
      <c r="D4601" s="196"/>
      <c r="E4601" s="196"/>
    </row>
    <row r="4602">
      <c r="A4602" s="234"/>
      <c r="B4602" s="235"/>
      <c r="C4602" s="235"/>
      <c r="D4602" s="196"/>
      <c r="E4602" s="196"/>
    </row>
    <row r="4603">
      <c r="A4603" s="234"/>
      <c r="B4603" s="235"/>
      <c r="C4603" s="235"/>
      <c r="D4603" s="196"/>
      <c r="E4603" s="196"/>
    </row>
    <row r="4604">
      <c r="A4604" s="234"/>
      <c r="B4604" s="235"/>
      <c r="C4604" s="235"/>
      <c r="D4604" s="196"/>
      <c r="E4604" s="196"/>
    </row>
    <row r="4605">
      <c r="A4605" s="234"/>
      <c r="B4605" s="235"/>
      <c r="C4605" s="235"/>
      <c r="D4605" s="196"/>
      <c r="E4605" s="196"/>
    </row>
    <row r="4606">
      <c r="A4606" s="234"/>
      <c r="B4606" s="235"/>
      <c r="C4606" s="235"/>
      <c r="D4606" s="196"/>
      <c r="E4606" s="196"/>
    </row>
    <row r="4607">
      <c r="A4607" s="234"/>
      <c r="B4607" s="235"/>
      <c r="C4607" s="235"/>
      <c r="D4607" s="196"/>
      <c r="E4607" s="196"/>
    </row>
    <row r="4608">
      <c r="A4608" s="234"/>
      <c r="B4608" s="235"/>
      <c r="C4608" s="235"/>
      <c r="D4608" s="196"/>
      <c r="E4608" s="196"/>
    </row>
    <row r="4609">
      <c r="A4609" s="234"/>
      <c r="B4609" s="235"/>
      <c r="C4609" s="235"/>
      <c r="D4609" s="196"/>
      <c r="E4609" s="196"/>
    </row>
    <row r="4610">
      <c r="A4610" s="234"/>
      <c r="B4610" s="235"/>
      <c r="C4610" s="235"/>
      <c r="D4610" s="196"/>
      <c r="E4610" s="196"/>
    </row>
    <row r="4611">
      <c r="A4611" s="234"/>
      <c r="B4611" s="235"/>
      <c r="C4611" s="235"/>
      <c r="D4611" s="196"/>
      <c r="E4611" s="196"/>
    </row>
    <row r="4612">
      <c r="A4612" s="234"/>
      <c r="B4612" s="235"/>
      <c r="C4612" s="235"/>
      <c r="D4612" s="196"/>
      <c r="E4612" s="196"/>
    </row>
    <row r="4613">
      <c r="A4613" s="234"/>
      <c r="B4613" s="235"/>
      <c r="C4613" s="235"/>
      <c r="D4613" s="196"/>
      <c r="E4613" s="196"/>
    </row>
    <row r="4614">
      <c r="A4614" s="234"/>
      <c r="B4614" s="235"/>
      <c r="C4614" s="235"/>
      <c r="D4614" s="196"/>
      <c r="E4614" s="196"/>
    </row>
    <row r="4615">
      <c r="A4615" s="234"/>
      <c r="B4615" s="235"/>
      <c r="C4615" s="235"/>
      <c r="D4615" s="196"/>
      <c r="E4615" s="196"/>
    </row>
    <row r="4616">
      <c r="A4616" s="234"/>
      <c r="B4616" s="235"/>
      <c r="C4616" s="235"/>
      <c r="D4616" s="196"/>
      <c r="E4616" s="196"/>
    </row>
    <row r="4617">
      <c r="A4617" s="234"/>
      <c r="B4617" s="235"/>
      <c r="C4617" s="235"/>
      <c r="D4617" s="196"/>
      <c r="E4617" s="196"/>
    </row>
    <row r="4618">
      <c r="A4618" s="234"/>
      <c r="B4618" s="235"/>
      <c r="C4618" s="235"/>
      <c r="D4618" s="196"/>
      <c r="E4618" s="196"/>
    </row>
    <row r="4619">
      <c r="A4619" s="234"/>
      <c r="B4619" s="235"/>
      <c r="C4619" s="235"/>
      <c r="D4619" s="196"/>
      <c r="E4619" s="196"/>
    </row>
    <row r="4620">
      <c r="A4620" s="234"/>
      <c r="B4620" s="235"/>
      <c r="C4620" s="235"/>
      <c r="D4620" s="196"/>
      <c r="E4620" s="196"/>
    </row>
    <row r="4621">
      <c r="A4621" s="234"/>
      <c r="B4621" s="235"/>
      <c r="C4621" s="235"/>
      <c r="D4621" s="196"/>
      <c r="E4621" s="196"/>
    </row>
    <row r="4622">
      <c r="A4622" s="234"/>
      <c r="B4622" s="235"/>
      <c r="C4622" s="235"/>
      <c r="D4622" s="196"/>
      <c r="E4622" s="196"/>
    </row>
    <row r="4623">
      <c r="A4623" s="234"/>
      <c r="B4623" s="235"/>
      <c r="C4623" s="235"/>
      <c r="D4623" s="196"/>
      <c r="E4623" s="196"/>
    </row>
    <row r="4624">
      <c r="A4624" s="234"/>
      <c r="B4624" s="235"/>
      <c r="C4624" s="235"/>
      <c r="D4624" s="196"/>
      <c r="E4624" s="196"/>
    </row>
    <row r="4625">
      <c r="A4625" s="234"/>
      <c r="B4625" s="235"/>
      <c r="C4625" s="235"/>
      <c r="D4625" s="196"/>
      <c r="E4625" s="196"/>
    </row>
    <row r="4626">
      <c r="A4626" s="234"/>
      <c r="B4626" s="235"/>
      <c r="C4626" s="235"/>
      <c r="D4626" s="196"/>
      <c r="E4626" s="196"/>
    </row>
    <row r="4627">
      <c r="A4627" s="234"/>
      <c r="B4627" s="235"/>
      <c r="C4627" s="235"/>
      <c r="D4627" s="196"/>
      <c r="E4627" s="196"/>
    </row>
    <row r="4628">
      <c r="A4628" s="234"/>
      <c r="B4628" s="235"/>
      <c r="C4628" s="235"/>
      <c r="D4628" s="196"/>
      <c r="E4628" s="196"/>
    </row>
    <row r="4629">
      <c r="A4629" s="234"/>
      <c r="B4629" s="235"/>
      <c r="C4629" s="235"/>
      <c r="D4629" s="196"/>
      <c r="E4629" s="196"/>
    </row>
    <row r="4630">
      <c r="A4630" s="234"/>
      <c r="B4630" s="235"/>
      <c r="C4630" s="235"/>
      <c r="D4630" s="196"/>
      <c r="E4630" s="196"/>
    </row>
    <row r="4631">
      <c r="A4631" s="234"/>
      <c r="B4631" s="235"/>
      <c r="C4631" s="235"/>
      <c r="D4631" s="196"/>
      <c r="E4631" s="196"/>
    </row>
    <row r="4632">
      <c r="A4632" s="234"/>
      <c r="B4632" s="235"/>
      <c r="C4632" s="235"/>
      <c r="D4632" s="196"/>
      <c r="E4632" s="196"/>
    </row>
    <row r="4633">
      <c r="A4633" s="234"/>
      <c r="B4633" s="235"/>
      <c r="C4633" s="235"/>
      <c r="D4633" s="196"/>
      <c r="E4633" s="196"/>
    </row>
    <row r="4634">
      <c r="A4634" s="234"/>
      <c r="B4634" s="235"/>
      <c r="C4634" s="235"/>
      <c r="D4634" s="196"/>
      <c r="E4634" s="196"/>
    </row>
    <row r="4635">
      <c r="A4635" s="234"/>
      <c r="B4635" s="235"/>
      <c r="C4635" s="235"/>
      <c r="D4635" s="196"/>
      <c r="E4635" s="196"/>
    </row>
    <row r="4636">
      <c r="A4636" s="234"/>
      <c r="B4636" s="235"/>
      <c r="C4636" s="235"/>
      <c r="D4636" s="196"/>
      <c r="E4636" s="196"/>
    </row>
    <row r="4637">
      <c r="A4637" s="234"/>
      <c r="B4637" s="235"/>
      <c r="C4637" s="235"/>
      <c r="D4637" s="196"/>
      <c r="E4637" s="196"/>
    </row>
    <row r="4638">
      <c r="A4638" s="234"/>
      <c r="B4638" s="235"/>
      <c r="C4638" s="235"/>
      <c r="D4638" s="196"/>
      <c r="E4638" s="196"/>
    </row>
    <row r="4639">
      <c r="A4639" s="234"/>
      <c r="B4639" s="235"/>
      <c r="C4639" s="235"/>
      <c r="D4639" s="196"/>
      <c r="E4639" s="196"/>
    </row>
    <row r="4640">
      <c r="A4640" s="234"/>
      <c r="B4640" s="235"/>
      <c r="C4640" s="235"/>
      <c r="D4640" s="196"/>
      <c r="E4640" s="196"/>
    </row>
    <row r="4641">
      <c r="A4641" s="234"/>
      <c r="B4641" s="235"/>
      <c r="C4641" s="235"/>
      <c r="D4641" s="196"/>
      <c r="E4641" s="196"/>
    </row>
    <row r="4642">
      <c r="A4642" s="234"/>
      <c r="B4642" s="235"/>
      <c r="C4642" s="235"/>
      <c r="D4642" s="196"/>
      <c r="E4642" s="196"/>
    </row>
    <row r="4643">
      <c r="A4643" s="234"/>
      <c r="B4643" s="235"/>
      <c r="C4643" s="235"/>
      <c r="D4643" s="196"/>
      <c r="E4643" s="196"/>
    </row>
    <row r="4644">
      <c r="A4644" s="234"/>
      <c r="B4644" s="235"/>
      <c r="C4644" s="235"/>
      <c r="D4644" s="196"/>
      <c r="E4644" s="196"/>
    </row>
    <row r="4645">
      <c r="A4645" s="234"/>
      <c r="B4645" s="235"/>
      <c r="C4645" s="235"/>
      <c r="D4645" s="196"/>
      <c r="E4645" s="196"/>
    </row>
    <row r="4646">
      <c r="A4646" s="234"/>
      <c r="B4646" s="235"/>
      <c r="C4646" s="235"/>
      <c r="D4646" s="196"/>
      <c r="E4646" s="196"/>
    </row>
    <row r="4647">
      <c r="A4647" s="234"/>
      <c r="B4647" s="235"/>
      <c r="C4647" s="235"/>
      <c r="D4647" s="196"/>
      <c r="E4647" s="196"/>
    </row>
    <row r="4648">
      <c r="A4648" s="234"/>
      <c r="B4648" s="235"/>
      <c r="C4648" s="235"/>
      <c r="D4648" s="196"/>
      <c r="E4648" s="196"/>
    </row>
    <row r="4649">
      <c r="A4649" s="234"/>
      <c r="B4649" s="235"/>
      <c r="C4649" s="235"/>
      <c r="D4649" s="196"/>
      <c r="E4649" s="196"/>
    </row>
    <row r="4650">
      <c r="A4650" s="234"/>
      <c r="B4650" s="235"/>
      <c r="C4650" s="235"/>
      <c r="D4650" s="196"/>
      <c r="E4650" s="196"/>
    </row>
    <row r="4651">
      <c r="A4651" s="234"/>
      <c r="B4651" s="235"/>
      <c r="C4651" s="235"/>
      <c r="D4651" s="196"/>
      <c r="E4651" s="196"/>
    </row>
    <row r="4652">
      <c r="A4652" s="234"/>
      <c r="B4652" s="235"/>
      <c r="C4652" s="235"/>
      <c r="D4652" s="196"/>
      <c r="E4652" s="196"/>
    </row>
    <row r="4653">
      <c r="A4653" s="234"/>
      <c r="B4653" s="235"/>
      <c r="C4653" s="235"/>
      <c r="D4653" s="196"/>
      <c r="E4653" s="196"/>
    </row>
    <row r="4654">
      <c r="A4654" s="234"/>
      <c r="B4654" s="235"/>
      <c r="C4654" s="235"/>
      <c r="D4654" s="196"/>
      <c r="E4654" s="196"/>
    </row>
    <row r="4655">
      <c r="A4655" s="234"/>
      <c r="B4655" s="235"/>
      <c r="C4655" s="235"/>
      <c r="D4655" s="196"/>
      <c r="E4655" s="196"/>
    </row>
    <row r="4656">
      <c r="A4656" s="234"/>
      <c r="B4656" s="235"/>
      <c r="C4656" s="235"/>
      <c r="D4656" s="196"/>
      <c r="E4656" s="196"/>
    </row>
    <row r="4657">
      <c r="A4657" s="234"/>
      <c r="B4657" s="235"/>
      <c r="C4657" s="235"/>
      <c r="D4657" s="196"/>
      <c r="E4657" s="196"/>
    </row>
    <row r="4658">
      <c r="A4658" s="234"/>
      <c r="B4658" s="235"/>
      <c r="C4658" s="235"/>
      <c r="D4658" s="196"/>
      <c r="E4658" s="196"/>
    </row>
    <row r="4659">
      <c r="A4659" s="234"/>
      <c r="B4659" s="235"/>
      <c r="C4659" s="235"/>
      <c r="D4659" s="196"/>
      <c r="E4659" s="196"/>
    </row>
    <row r="4660">
      <c r="A4660" s="234"/>
      <c r="B4660" s="235"/>
      <c r="C4660" s="235"/>
      <c r="D4660" s="196"/>
      <c r="E4660" s="196"/>
    </row>
    <row r="4661">
      <c r="A4661" s="234"/>
      <c r="B4661" s="235"/>
      <c r="C4661" s="235"/>
      <c r="D4661" s="196"/>
      <c r="E4661" s="196"/>
    </row>
    <row r="4662">
      <c r="A4662" s="234"/>
      <c r="B4662" s="235"/>
      <c r="C4662" s="235"/>
      <c r="D4662" s="196"/>
      <c r="E4662" s="196"/>
    </row>
    <row r="4663">
      <c r="A4663" s="234"/>
      <c r="B4663" s="235"/>
      <c r="C4663" s="235"/>
      <c r="D4663" s="196"/>
      <c r="E4663" s="196"/>
    </row>
    <row r="4664">
      <c r="A4664" s="234"/>
      <c r="B4664" s="235"/>
      <c r="C4664" s="235"/>
      <c r="D4664" s="196"/>
      <c r="E4664" s="196"/>
    </row>
    <row r="4665">
      <c r="A4665" s="234"/>
      <c r="B4665" s="235"/>
      <c r="C4665" s="235"/>
      <c r="D4665" s="196"/>
      <c r="E4665" s="196"/>
    </row>
    <row r="4666">
      <c r="A4666" s="234"/>
      <c r="B4666" s="235"/>
      <c r="C4666" s="235"/>
      <c r="D4666" s="196"/>
      <c r="E4666" s="196"/>
    </row>
    <row r="4667">
      <c r="A4667" s="234"/>
      <c r="B4667" s="235"/>
      <c r="C4667" s="235"/>
      <c r="D4667" s="196"/>
      <c r="E4667" s="196"/>
    </row>
    <row r="4668">
      <c r="A4668" s="234"/>
      <c r="B4668" s="235"/>
      <c r="C4668" s="235"/>
      <c r="D4668" s="196"/>
      <c r="E4668" s="196"/>
    </row>
    <row r="4669">
      <c r="A4669" s="234"/>
      <c r="B4669" s="235"/>
      <c r="C4669" s="235"/>
      <c r="D4669" s="196"/>
      <c r="E4669" s="196"/>
    </row>
    <row r="4670">
      <c r="A4670" s="234"/>
      <c r="B4670" s="235"/>
      <c r="C4670" s="235"/>
      <c r="D4670" s="196"/>
      <c r="E4670" s="196"/>
    </row>
    <row r="4671">
      <c r="A4671" s="234"/>
      <c r="B4671" s="235"/>
      <c r="C4671" s="235"/>
      <c r="D4671" s="196"/>
      <c r="E4671" s="196"/>
    </row>
    <row r="4672">
      <c r="A4672" s="234"/>
      <c r="B4672" s="235"/>
      <c r="C4672" s="235"/>
      <c r="D4672" s="196"/>
      <c r="E4672" s="196"/>
    </row>
    <row r="4673">
      <c r="A4673" s="234"/>
      <c r="B4673" s="235"/>
      <c r="C4673" s="235"/>
      <c r="D4673" s="196"/>
      <c r="E4673" s="196"/>
    </row>
    <row r="4674">
      <c r="A4674" s="234"/>
      <c r="B4674" s="235"/>
      <c r="C4674" s="235"/>
      <c r="D4674" s="196"/>
      <c r="E4674" s="196"/>
    </row>
    <row r="4675">
      <c r="A4675" s="234"/>
      <c r="B4675" s="235"/>
      <c r="C4675" s="235"/>
      <c r="D4675" s="196"/>
      <c r="E4675" s="196"/>
    </row>
    <row r="4676">
      <c r="A4676" s="234"/>
      <c r="B4676" s="235"/>
      <c r="C4676" s="235"/>
      <c r="D4676" s="196"/>
      <c r="E4676" s="196"/>
    </row>
    <row r="4677">
      <c r="A4677" s="234"/>
      <c r="B4677" s="235"/>
      <c r="C4677" s="235"/>
      <c r="D4677" s="196"/>
      <c r="E4677" s="196"/>
    </row>
    <row r="4678">
      <c r="A4678" s="234"/>
      <c r="B4678" s="235"/>
      <c r="C4678" s="235"/>
      <c r="D4678" s="196"/>
      <c r="E4678" s="196"/>
    </row>
    <row r="4679">
      <c r="A4679" s="234"/>
      <c r="B4679" s="235"/>
      <c r="C4679" s="235"/>
      <c r="D4679" s="196"/>
      <c r="E4679" s="196"/>
    </row>
    <row r="4680">
      <c r="A4680" s="234"/>
      <c r="B4680" s="235"/>
      <c r="C4680" s="235"/>
      <c r="D4680" s="196"/>
      <c r="E4680" s="196"/>
    </row>
    <row r="4681">
      <c r="A4681" s="234"/>
      <c r="B4681" s="235"/>
      <c r="C4681" s="235"/>
      <c r="D4681" s="196"/>
      <c r="E4681" s="196"/>
    </row>
    <row r="4682">
      <c r="A4682" s="234"/>
      <c r="B4682" s="235"/>
      <c r="C4682" s="235"/>
      <c r="D4682" s="196"/>
      <c r="E4682" s="196"/>
    </row>
    <row r="4683">
      <c r="A4683" s="234"/>
      <c r="B4683" s="235"/>
      <c r="C4683" s="235"/>
      <c r="D4683" s="196"/>
      <c r="E4683" s="196"/>
    </row>
    <row r="4684">
      <c r="A4684" s="234"/>
      <c r="B4684" s="235"/>
      <c r="C4684" s="235"/>
      <c r="D4684" s="196"/>
      <c r="E4684" s="196"/>
    </row>
    <row r="4685">
      <c r="A4685" s="234"/>
      <c r="B4685" s="235"/>
      <c r="C4685" s="235"/>
      <c r="D4685" s="196"/>
      <c r="E4685" s="196"/>
    </row>
    <row r="4686">
      <c r="A4686" s="234"/>
      <c r="B4686" s="235"/>
      <c r="C4686" s="235"/>
      <c r="D4686" s="196"/>
      <c r="E4686" s="196"/>
    </row>
    <row r="4687">
      <c r="A4687" s="234"/>
      <c r="B4687" s="235"/>
      <c r="C4687" s="235"/>
      <c r="D4687" s="196"/>
      <c r="E4687" s="196"/>
    </row>
    <row r="4688">
      <c r="A4688" s="234"/>
      <c r="B4688" s="235"/>
      <c r="C4688" s="235"/>
      <c r="D4688" s="196"/>
      <c r="E4688" s="196"/>
    </row>
    <row r="4689">
      <c r="A4689" s="234"/>
      <c r="B4689" s="235"/>
      <c r="C4689" s="235"/>
      <c r="D4689" s="196"/>
      <c r="E4689" s="196"/>
    </row>
    <row r="4690">
      <c r="A4690" s="234"/>
      <c r="B4690" s="235"/>
      <c r="C4690" s="235"/>
      <c r="D4690" s="196"/>
      <c r="E4690" s="196"/>
    </row>
    <row r="4691">
      <c r="A4691" s="234"/>
      <c r="B4691" s="235"/>
      <c r="C4691" s="235"/>
      <c r="D4691" s="196"/>
      <c r="E4691" s="196"/>
    </row>
    <row r="4692">
      <c r="A4692" s="234"/>
      <c r="B4692" s="235"/>
      <c r="C4692" s="235"/>
      <c r="D4692" s="196"/>
      <c r="E4692" s="196"/>
    </row>
    <row r="4693">
      <c r="A4693" s="234"/>
      <c r="B4693" s="235"/>
      <c r="C4693" s="235"/>
      <c r="D4693" s="196"/>
      <c r="E4693" s="196"/>
    </row>
    <row r="4694">
      <c r="A4694" s="234"/>
      <c r="B4694" s="235"/>
      <c r="C4694" s="235"/>
      <c r="D4694" s="196"/>
      <c r="E4694" s="196"/>
    </row>
    <row r="4695">
      <c r="A4695" s="234"/>
      <c r="B4695" s="235"/>
      <c r="C4695" s="235"/>
      <c r="D4695" s="196"/>
      <c r="E4695" s="196"/>
    </row>
    <row r="4696">
      <c r="A4696" s="234"/>
      <c r="B4696" s="235"/>
      <c r="C4696" s="235"/>
      <c r="D4696" s="196"/>
      <c r="E4696" s="196"/>
    </row>
    <row r="4697">
      <c r="A4697" s="234"/>
      <c r="B4697" s="235"/>
      <c r="C4697" s="235"/>
      <c r="D4697" s="196"/>
      <c r="E4697" s="196"/>
    </row>
    <row r="4698">
      <c r="A4698" s="234"/>
      <c r="B4698" s="235"/>
      <c r="C4698" s="235"/>
      <c r="D4698" s="196"/>
      <c r="E4698" s="196"/>
    </row>
    <row r="4699">
      <c r="A4699" s="234"/>
      <c r="B4699" s="235"/>
      <c r="C4699" s="235"/>
      <c r="D4699" s="196"/>
      <c r="E4699" s="196"/>
    </row>
    <row r="4700">
      <c r="A4700" s="234"/>
      <c r="B4700" s="235"/>
      <c r="C4700" s="235"/>
      <c r="D4700" s="196"/>
      <c r="E4700" s="196"/>
    </row>
    <row r="4701">
      <c r="A4701" s="234"/>
      <c r="B4701" s="235"/>
      <c r="C4701" s="235"/>
      <c r="D4701" s="196"/>
      <c r="E4701" s="196"/>
    </row>
    <row r="4702">
      <c r="A4702" s="234"/>
      <c r="B4702" s="235"/>
      <c r="C4702" s="235"/>
      <c r="D4702" s="196"/>
      <c r="E4702" s="196"/>
    </row>
    <row r="4703">
      <c r="A4703" s="234"/>
      <c r="B4703" s="235"/>
      <c r="C4703" s="235"/>
      <c r="D4703" s="196"/>
      <c r="E4703" s="196"/>
    </row>
    <row r="4704">
      <c r="A4704" s="234"/>
      <c r="B4704" s="235"/>
      <c r="C4704" s="235"/>
      <c r="D4704" s="196"/>
      <c r="E4704" s="196"/>
    </row>
    <row r="4705">
      <c r="A4705" s="234"/>
      <c r="B4705" s="235"/>
      <c r="C4705" s="235"/>
      <c r="D4705" s="196"/>
      <c r="E4705" s="196"/>
    </row>
    <row r="4706">
      <c r="A4706" s="234"/>
      <c r="B4706" s="235"/>
      <c r="C4706" s="235"/>
      <c r="D4706" s="196"/>
      <c r="E4706" s="196"/>
    </row>
    <row r="4707">
      <c r="A4707" s="234"/>
      <c r="B4707" s="235"/>
      <c r="C4707" s="235"/>
      <c r="D4707" s="196"/>
      <c r="E4707" s="196"/>
    </row>
    <row r="4708">
      <c r="A4708" s="234"/>
      <c r="B4708" s="235"/>
      <c r="C4708" s="235"/>
      <c r="D4708" s="196"/>
      <c r="E4708" s="196"/>
    </row>
    <row r="4709">
      <c r="A4709" s="234"/>
      <c r="B4709" s="235"/>
      <c r="C4709" s="235"/>
      <c r="D4709" s="196"/>
      <c r="E4709" s="196"/>
    </row>
    <row r="4710">
      <c r="A4710" s="234"/>
      <c r="B4710" s="235"/>
      <c r="C4710" s="235"/>
      <c r="D4710" s="196"/>
      <c r="E4710" s="196"/>
    </row>
    <row r="4711">
      <c r="A4711" s="234"/>
      <c r="B4711" s="235"/>
      <c r="C4711" s="235"/>
      <c r="D4711" s="196"/>
      <c r="E4711" s="196"/>
    </row>
    <row r="4712">
      <c r="A4712" s="234"/>
      <c r="B4712" s="235"/>
      <c r="C4712" s="235"/>
      <c r="D4712" s="196"/>
      <c r="E4712" s="196"/>
    </row>
    <row r="4713">
      <c r="A4713" s="234"/>
      <c r="B4713" s="235"/>
      <c r="C4713" s="235"/>
      <c r="D4713" s="196"/>
      <c r="E4713" s="196"/>
    </row>
    <row r="4714">
      <c r="A4714" s="234"/>
      <c r="B4714" s="235"/>
      <c r="C4714" s="235"/>
      <c r="D4714" s="196"/>
      <c r="E4714" s="196"/>
    </row>
    <row r="4715">
      <c r="A4715" s="234"/>
      <c r="B4715" s="235"/>
      <c r="C4715" s="235"/>
      <c r="D4715" s="196"/>
      <c r="E4715" s="196"/>
    </row>
    <row r="4716">
      <c r="A4716" s="234"/>
      <c r="B4716" s="235"/>
      <c r="C4716" s="235"/>
      <c r="D4716" s="196"/>
      <c r="E4716" s="196"/>
    </row>
    <row r="4717">
      <c r="A4717" s="234"/>
      <c r="B4717" s="235"/>
      <c r="C4717" s="235"/>
      <c r="D4717" s="196"/>
      <c r="E4717" s="196"/>
    </row>
    <row r="4718">
      <c r="A4718" s="234"/>
      <c r="B4718" s="235"/>
      <c r="C4718" s="235"/>
      <c r="D4718" s="196"/>
      <c r="E4718" s="196"/>
    </row>
    <row r="4719">
      <c r="A4719" s="234"/>
      <c r="B4719" s="235"/>
      <c r="C4719" s="235"/>
      <c r="D4719" s="196"/>
      <c r="E4719" s="196"/>
    </row>
    <row r="4720">
      <c r="A4720" s="234"/>
      <c r="B4720" s="235"/>
      <c r="C4720" s="235"/>
      <c r="D4720" s="196"/>
      <c r="E4720" s="196"/>
    </row>
    <row r="4721">
      <c r="A4721" s="234"/>
      <c r="B4721" s="235"/>
      <c r="C4721" s="235"/>
      <c r="D4721" s="196"/>
      <c r="E4721" s="196"/>
    </row>
    <row r="4722">
      <c r="A4722" s="234"/>
      <c r="B4722" s="235"/>
      <c r="C4722" s="235"/>
      <c r="D4722" s="196"/>
      <c r="E4722" s="196"/>
    </row>
    <row r="4723">
      <c r="A4723" s="234"/>
      <c r="B4723" s="235"/>
      <c r="C4723" s="235"/>
      <c r="D4723" s="196"/>
      <c r="E4723" s="196"/>
    </row>
    <row r="4724">
      <c r="A4724" s="234"/>
      <c r="B4724" s="235"/>
      <c r="C4724" s="235"/>
      <c r="D4724" s="196"/>
      <c r="E4724" s="196"/>
    </row>
    <row r="4725">
      <c r="A4725" s="234"/>
      <c r="B4725" s="235"/>
      <c r="C4725" s="235"/>
      <c r="D4725" s="196"/>
      <c r="E4725" s="196"/>
    </row>
    <row r="4726">
      <c r="A4726" s="234"/>
      <c r="B4726" s="235"/>
      <c r="C4726" s="235"/>
      <c r="D4726" s="196"/>
      <c r="E4726" s="196"/>
    </row>
    <row r="4727">
      <c r="A4727" s="234"/>
      <c r="B4727" s="235"/>
      <c r="C4727" s="235"/>
      <c r="D4727" s="196"/>
      <c r="E4727" s="196"/>
    </row>
    <row r="4728">
      <c r="A4728" s="234"/>
      <c r="B4728" s="235"/>
      <c r="C4728" s="235"/>
      <c r="D4728" s="196"/>
      <c r="E4728" s="196"/>
    </row>
    <row r="4729">
      <c r="A4729" s="234"/>
      <c r="B4729" s="235"/>
      <c r="C4729" s="235"/>
      <c r="D4729" s="196"/>
      <c r="E4729" s="196"/>
    </row>
    <row r="4730">
      <c r="A4730" s="234"/>
      <c r="B4730" s="235"/>
      <c r="C4730" s="235"/>
      <c r="D4730" s="196"/>
      <c r="E4730" s="196"/>
    </row>
    <row r="4731">
      <c r="A4731" s="234"/>
      <c r="B4731" s="235"/>
      <c r="C4731" s="235"/>
      <c r="D4731" s="196"/>
      <c r="E4731" s="196"/>
    </row>
    <row r="4732">
      <c r="A4732" s="234"/>
      <c r="B4732" s="235"/>
      <c r="C4732" s="235"/>
      <c r="D4732" s="196"/>
      <c r="E4732" s="196"/>
    </row>
    <row r="4733">
      <c r="A4733" s="234"/>
      <c r="B4733" s="235"/>
      <c r="C4733" s="235"/>
      <c r="D4733" s="196"/>
      <c r="E4733" s="196"/>
    </row>
    <row r="4734">
      <c r="A4734" s="234"/>
      <c r="B4734" s="235"/>
      <c r="C4734" s="235"/>
      <c r="D4734" s="196"/>
      <c r="E4734" s="196"/>
    </row>
    <row r="4735">
      <c r="A4735" s="234"/>
      <c r="B4735" s="235"/>
      <c r="C4735" s="235"/>
      <c r="D4735" s="196"/>
      <c r="E4735" s="196"/>
    </row>
    <row r="4736">
      <c r="A4736" s="234"/>
      <c r="B4736" s="235"/>
      <c r="C4736" s="235"/>
      <c r="D4736" s="196"/>
      <c r="E4736" s="196"/>
    </row>
    <row r="4737">
      <c r="A4737" s="234"/>
      <c r="B4737" s="235"/>
      <c r="C4737" s="235"/>
      <c r="D4737" s="196"/>
      <c r="E4737" s="196"/>
    </row>
    <row r="4738">
      <c r="A4738" s="234"/>
      <c r="B4738" s="235"/>
      <c r="C4738" s="235"/>
      <c r="D4738" s="196"/>
      <c r="E4738" s="196"/>
    </row>
    <row r="4739">
      <c r="A4739" s="234"/>
      <c r="B4739" s="235"/>
      <c r="C4739" s="235"/>
      <c r="D4739" s="196"/>
      <c r="E4739" s="196"/>
    </row>
    <row r="4740">
      <c r="A4740" s="234"/>
      <c r="B4740" s="235"/>
      <c r="C4740" s="235"/>
      <c r="D4740" s="196"/>
      <c r="E4740" s="196"/>
    </row>
    <row r="4741">
      <c r="A4741" s="234"/>
      <c r="B4741" s="235"/>
      <c r="C4741" s="235"/>
      <c r="D4741" s="196"/>
      <c r="E4741" s="196"/>
    </row>
    <row r="4742">
      <c r="A4742" s="234"/>
      <c r="B4742" s="235"/>
      <c r="C4742" s="235"/>
      <c r="D4742" s="196"/>
      <c r="E4742" s="196"/>
    </row>
    <row r="4743">
      <c r="A4743" s="234"/>
      <c r="B4743" s="235"/>
      <c r="C4743" s="235"/>
      <c r="D4743" s="196"/>
      <c r="E4743" s="196"/>
    </row>
    <row r="4744">
      <c r="A4744" s="234"/>
      <c r="B4744" s="235"/>
      <c r="C4744" s="235"/>
      <c r="D4744" s="196"/>
      <c r="E4744" s="196"/>
    </row>
    <row r="4745">
      <c r="A4745" s="234"/>
      <c r="B4745" s="235"/>
      <c r="C4745" s="235"/>
      <c r="D4745" s="196"/>
      <c r="E4745" s="196"/>
    </row>
    <row r="4746">
      <c r="A4746" s="234"/>
      <c r="B4746" s="235"/>
      <c r="C4746" s="235"/>
      <c r="D4746" s="196"/>
      <c r="E4746" s="196"/>
    </row>
    <row r="4747">
      <c r="A4747" s="234"/>
      <c r="B4747" s="235"/>
      <c r="C4747" s="235"/>
      <c r="D4747" s="196"/>
      <c r="E4747" s="196"/>
    </row>
    <row r="4748">
      <c r="A4748" s="234"/>
      <c r="B4748" s="235"/>
      <c r="C4748" s="235"/>
      <c r="D4748" s="196"/>
      <c r="E4748" s="196"/>
    </row>
    <row r="4749">
      <c r="A4749" s="234"/>
      <c r="B4749" s="235"/>
      <c r="C4749" s="235"/>
      <c r="D4749" s="196"/>
      <c r="E4749" s="196"/>
    </row>
    <row r="4750">
      <c r="A4750" s="234"/>
      <c r="B4750" s="235"/>
      <c r="C4750" s="235"/>
      <c r="D4750" s="196"/>
      <c r="E4750" s="196"/>
    </row>
    <row r="4751">
      <c r="A4751" s="234"/>
      <c r="B4751" s="235"/>
      <c r="C4751" s="235"/>
      <c r="D4751" s="196"/>
      <c r="E4751" s="196"/>
    </row>
    <row r="4752">
      <c r="A4752" s="234"/>
      <c r="B4752" s="235"/>
      <c r="C4752" s="235"/>
      <c r="D4752" s="196"/>
      <c r="E4752" s="196"/>
    </row>
    <row r="4753">
      <c r="A4753" s="234"/>
      <c r="B4753" s="235"/>
      <c r="C4753" s="235"/>
      <c r="D4753" s="196"/>
      <c r="E4753" s="196"/>
    </row>
    <row r="4754">
      <c r="A4754" s="234"/>
      <c r="B4754" s="235"/>
      <c r="C4754" s="235"/>
      <c r="D4754" s="196"/>
      <c r="E4754" s="196"/>
    </row>
    <row r="4755">
      <c r="A4755" s="234"/>
      <c r="B4755" s="235"/>
      <c r="C4755" s="235"/>
      <c r="D4755" s="196"/>
      <c r="E4755" s="196"/>
    </row>
    <row r="4756">
      <c r="A4756" s="234"/>
      <c r="B4756" s="235"/>
      <c r="C4756" s="235"/>
      <c r="D4756" s="196"/>
      <c r="E4756" s="196"/>
    </row>
    <row r="4757">
      <c r="A4757" s="234"/>
      <c r="B4757" s="235"/>
      <c r="C4757" s="235"/>
      <c r="D4757" s="196"/>
      <c r="E4757" s="196"/>
    </row>
    <row r="4758">
      <c r="A4758" s="234"/>
      <c r="B4758" s="235"/>
      <c r="C4758" s="235"/>
      <c r="D4758" s="196"/>
      <c r="E4758" s="196"/>
    </row>
    <row r="4759">
      <c r="A4759" s="234"/>
      <c r="B4759" s="235"/>
      <c r="C4759" s="235"/>
      <c r="D4759" s="196"/>
      <c r="E4759" s="196"/>
    </row>
    <row r="4760">
      <c r="A4760" s="234"/>
      <c r="B4760" s="235"/>
      <c r="C4760" s="235"/>
      <c r="D4760" s="196"/>
      <c r="E4760" s="196"/>
    </row>
    <row r="4761">
      <c r="A4761" s="234"/>
      <c r="B4761" s="235"/>
      <c r="C4761" s="235"/>
      <c r="D4761" s="196"/>
      <c r="E4761" s="196"/>
    </row>
    <row r="4762">
      <c r="A4762" s="234"/>
      <c r="B4762" s="235"/>
      <c r="C4762" s="235"/>
      <c r="D4762" s="196"/>
      <c r="E4762" s="196"/>
    </row>
  </sheetData>
  <hyperlinks>
    <hyperlink r:id="rId1" location="gid=560387622" ref="D4546"/>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2.88"/>
    <col customWidth="1" min="2" max="2" width="2.13"/>
    <col customWidth="1" min="3" max="3" width="15.38"/>
    <col customWidth="1" min="4" max="5" width="19.25"/>
    <col customWidth="1" min="6" max="6" width="12.25"/>
    <col customWidth="1" min="7" max="7" width="13.75"/>
    <col customWidth="1" min="8" max="8" width="13.25"/>
    <col customWidth="1" min="9" max="9" width="35.75"/>
    <col customWidth="1" min="10" max="10" width="3.13"/>
    <col customWidth="1" min="11" max="11" width="2.88"/>
  </cols>
  <sheetData>
    <row r="2">
      <c r="B2" s="246"/>
      <c r="C2" s="247"/>
      <c r="D2" s="247"/>
      <c r="E2" s="247"/>
      <c r="F2" s="247"/>
      <c r="G2" s="247"/>
      <c r="H2" s="247"/>
      <c r="I2" s="247"/>
      <c r="J2" s="248"/>
    </row>
    <row r="3">
      <c r="B3" s="249"/>
      <c r="C3" s="250"/>
      <c r="D3" s="251" t="s">
        <v>5</v>
      </c>
      <c r="J3" s="252"/>
    </row>
    <row r="4">
      <c r="B4" s="249"/>
      <c r="D4" s="253" t="s">
        <v>6</v>
      </c>
      <c r="J4" s="252"/>
    </row>
    <row r="5">
      <c r="B5" s="249"/>
      <c r="J5" s="252"/>
    </row>
    <row r="6">
      <c r="B6" s="249"/>
      <c r="C6" s="254"/>
      <c r="D6" s="59"/>
      <c r="E6" s="59"/>
      <c r="J6" s="252"/>
    </row>
    <row r="7">
      <c r="B7" s="249"/>
      <c r="C7" s="254" t="s">
        <v>9</v>
      </c>
      <c r="D7" s="44"/>
      <c r="E7" s="59"/>
      <c r="J7" s="252"/>
    </row>
    <row r="8">
      <c r="B8" s="249"/>
      <c r="J8" s="252"/>
    </row>
    <row r="9">
      <c r="B9" s="249"/>
      <c r="C9" s="254" t="s">
        <v>16</v>
      </c>
      <c r="D9" s="56"/>
      <c r="E9" s="57"/>
      <c r="F9" s="57"/>
      <c r="G9" s="58"/>
      <c r="H9" s="254" t="s">
        <v>21</v>
      </c>
      <c r="I9" s="62"/>
      <c r="J9" s="252"/>
    </row>
    <row r="10" ht="6.75" customHeight="1">
      <c r="B10" s="249"/>
      <c r="C10" s="254"/>
      <c r="H10" s="254"/>
      <c r="J10" s="252"/>
    </row>
    <row r="11">
      <c r="B11" s="249"/>
      <c r="C11" s="254" t="s">
        <v>24</v>
      </c>
      <c r="D11" s="63"/>
      <c r="E11" s="64"/>
      <c r="F11" s="64"/>
      <c r="G11" s="65"/>
      <c r="H11" s="254" t="s">
        <v>25</v>
      </c>
      <c r="I11" s="49"/>
      <c r="J11" s="252"/>
    </row>
    <row r="12" ht="6.75" customHeight="1">
      <c r="B12" s="249"/>
      <c r="C12" s="254"/>
      <c r="D12" s="255"/>
      <c r="E12" s="255"/>
      <c r="F12" s="255"/>
      <c r="G12" s="255"/>
      <c r="H12" s="254"/>
      <c r="J12" s="252"/>
    </row>
    <row r="13">
      <c r="B13" s="249"/>
      <c r="C13" s="256" t="s">
        <v>28</v>
      </c>
      <c r="D13" s="257"/>
      <c r="G13" s="70"/>
      <c r="H13" s="254" t="s">
        <v>30</v>
      </c>
      <c r="I13" s="72"/>
      <c r="J13" s="252"/>
    </row>
    <row r="14">
      <c r="B14" s="249"/>
      <c r="D14" s="73"/>
      <c r="G14" s="70"/>
      <c r="I14" s="74"/>
      <c r="J14" s="252"/>
    </row>
    <row r="15">
      <c r="B15" s="249"/>
      <c r="D15" s="79"/>
      <c r="E15" s="80"/>
      <c r="F15" s="80"/>
      <c r="G15" s="81"/>
      <c r="I15" s="82"/>
      <c r="J15" s="252"/>
    </row>
    <row r="16">
      <c r="B16" s="249"/>
      <c r="J16" s="252"/>
    </row>
    <row r="17">
      <c r="A17" s="258"/>
      <c r="B17" s="259"/>
      <c r="C17" s="260" t="s">
        <v>34</v>
      </c>
      <c r="D17" s="57"/>
      <c r="E17" s="58"/>
      <c r="F17" s="261" t="s">
        <v>36</v>
      </c>
      <c r="G17" s="261" t="s">
        <v>38</v>
      </c>
      <c r="H17" s="261" t="s">
        <v>39</v>
      </c>
      <c r="I17" s="261" t="s">
        <v>2285</v>
      </c>
      <c r="J17" s="262"/>
      <c r="K17" s="258"/>
    </row>
    <row r="18">
      <c r="B18" s="249"/>
      <c r="C18" s="56" t="s">
        <v>43</v>
      </c>
      <c r="D18" s="57"/>
      <c r="E18" s="58"/>
      <c r="F18" s="94"/>
      <c r="G18" s="94"/>
      <c r="H18" s="94"/>
      <c r="I18" s="49"/>
      <c r="J18" s="252"/>
    </row>
    <row r="19">
      <c r="B19" s="249"/>
      <c r="C19" s="56" t="s">
        <v>44</v>
      </c>
      <c r="D19" s="57"/>
      <c r="E19" s="58"/>
      <c r="F19" s="94"/>
      <c r="G19" s="94"/>
      <c r="H19" s="94"/>
      <c r="I19" s="49"/>
      <c r="J19" s="252"/>
    </row>
    <row r="20">
      <c r="B20" s="249"/>
      <c r="C20" s="56" t="s">
        <v>45</v>
      </c>
      <c r="D20" s="57"/>
      <c r="E20" s="58"/>
      <c r="F20" s="94"/>
      <c r="G20" s="94"/>
      <c r="H20" s="94"/>
      <c r="I20" s="49"/>
      <c r="J20" s="252"/>
    </row>
    <row r="21">
      <c r="B21" s="249"/>
      <c r="C21" s="56" t="s">
        <v>47</v>
      </c>
      <c r="D21" s="57"/>
      <c r="E21" s="58"/>
      <c r="F21" s="94"/>
      <c r="G21" s="94"/>
      <c r="H21" s="94"/>
      <c r="I21" s="49"/>
      <c r="J21" s="252"/>
    </row>
    <row r="22">
      <c r="B22" s="249"/>
      <c r="C22" s="56" t="s">
        <v>49</v>
      </c>
      <c r="D22" s="57"/>
      <c r="E22" s="58"/>
      <c r="F22" s="94"/>
      <c r="G22" s="94"/>
      <c r="H22" s="94"/>
      <c r="I22" s="49"/>
      <c r="J22" s="252"/>
    </row>
    <row r="23" ht="6.0" customHeight="1">
      <c r="B23" s="249"/>
      <c r="D23" s="254"/>
      <c r="E23" s="254"/>
      <c r="J23" s="252"/>
    </row>
    <row r="24">
      <c r="B24" s="249"/>
      <c r="E24" s="254" t="s">
        <v>42</v>
      </c>
      <c r="F24" s="263" t="str">
        <f t="shared" ref="F24:H24" si="1">IF(COUNT(F18:F22)=0,"", AVERAGE(F18:F22))</f>
        <v/>
      </c>
      <c r="G24" s="263" t="str">
        <f t="shared" si="1"/>
        <v/>
      </c>
      <c r="H24" s="263" t="str">
        <f t="shared" si="1"/>
        <v/>
      </c>
      <c r="J24" s="252"/>
    </row>
    <row r="25" ht="6.75" customHeight="1">
      <c r="B25" s="249"/>
      <c r="D25" s="254"/>
      <c r="E25" s="254"/>
      <c r="J25" s="252"/>
    </row>
    <row r="26">
      <c r="B26" s="249"/>
      <c r="E26" s="254" t="s">
        <v>52</v>
      </c>
      <c r="F26" s="264" t="str">
        <f>IF(COUNT(F24:H24)=0,"", AVERAGE(F24:H24))</f>
        <v/>
      </c>
      <c r="J26" s="252"/>
    </row>
    <row r="27">
      <c r="B27" s="249"/>
      <c r="J27" s="252"/>
    </row>
    <row r="28">
      <c r="B28" s="249"/>
      <c r="C28" s="265" t="s">
        <v>54</v>
      </c>
      <c r="D28" s="110"/>
      <c r="E28" s="110"/>
      <c r="F28" s="110"/>
      <c r="G28" s="54"/>
      <c r="H28" s="266"/>
      <c r="I28" s="267" t="s">
        <v>56</v>
      </c>
      <c r="J28" s="252"/>
    </row>
    <row r="29">
      <c r="B29" s="249"/>
      <c r="C29" s="268" t="s">
        <v>2302</v>
      </c>
      <c r="D29" s="110"/>
      <c r="E29" s="110"/>
      <c r="F29" s="110"/>
      <c r="G29" s="54"/>
      <c r="H29" s="66"/>
      <c r="I29" s="269" t="s">
        <v>2305</v>
      </c>
      <c r="J29" s="252"/>
    </row>
    <row r="30">
      <c r="B30" s="249"/>
      <c r="C30" s="270" t="s">
        <v>2310</v>
      </c>
      <c r="D30" s="110"/>
      <c r="E30" s="110"/>
      <c r="F30" s="110"/>
      <c r="G30" s="54"/>
      <c r="H30" s="271"/>
      <c r="I30" s="269" t="s">
        <v>2311</v>
      </c>
      <c r="J30" s="252"/>
    </row>
    <row r="31">
      <c r="B31" s="272" t="s">
        <v>62</v>
      </c>
      <c r="C31" s="268" t="s">
        <v>2314</v>
      </c>
      <c r="D31" s="110"/>
      <c r="E31" s="110"/>
      <c r="F31" s="110"/>
      <c r="G31" s="54"/>
      <c r="H31" s="66"/>
      <c r="I31" s="269" t="s">
        <v>2315</v>
      </c>
      <c r="J31" s="252"/>
    </row>
    <row r="32">
      <c r="B32" s="249"/>
      <c r="C32" s="268" t="s">
        <v>2316</v>
      </c>
      <c r="D32" s="110"/>
      <c r="E32" s="110"/>
      <c r="F32" s="110"/>
      <c r="G32" s="54"/>
      <c r="H32" s="66"/>
      <c r="I32" s="269" t="s">
        <v>2319</v>
      </c>
      <c r="J32" s="252"/>
    </row>
    <row r="33">
      <c r="B33" s="249"/>
      <c r="C33" s="268" t="s">
        <v>2320</v>
      </c>
      <c r="D33" s="110"/>
      <c r="E33" s="110"/>
      <c r="F33" s="110"/>
      <c r="G33" s="54"/>
      <c r="H33" s="66"/>
      <c r="I33" s="269" t="s">
        <v>2321</v>
      </c>
      <c r="J33" s="252"/>
    </row>
    <row r="34" ht="6.75" customHeight="1">
      <c r="B34" s="249"/>
      <c r="J34" s="252"/>
    </row>
    <row r="35" ht="12.75" customHeight="1">
      <c r="B35" s="249"/>
      <c r="C35" s="66" t="s">
        <v>2322</v>
      </c>
      <c r="J35" s="252"/>
    </row>
    <row r="36">
      <c r="B36" s="249"/>
      <c r="J36" s="252"/>
    </row>
    <row r="37">
      <c r="B37" s="249"/>
      <c r="C37" s="273" t="s">
        <v>71</v>
      </c>
      <c r="J37" s="252"/>
    </row>
    <row r="38">
      <c r="B38" s="249"/>
      <c r="C38" s="274"/>
      <c r="D38" s="122"/>
      <c r="J38" s="252"/>
    </row>
    <row r="39">
      <c r="B39" s="249"/>
      <c r="C39" s="253" t="s">
        <v>46</v>
      </c>
      <c r="E39" s="253"/>
      <c r="J39" s="252"/>
    </row>
    <row r="40">
      <c r="B40" s="249"/>
      <c r="J40" s="252"/>
    </row>
    <row r="41">
      <c r="B41" s="249"/>
      <c r="C41" s="273" t="s">
        <v>74</v>
      </c>
      <c r="E41" s="254" t="s">
        <v>75</v>
      </c>
      <c r="H41" s="254" t="s">
        <v>76</v>
      </c>
      <c r="J41" s="252"/>
    </row>
    <row r="42">
      <c r="B42" s="249"/>
      <c r="C42" s="274"/>
      <c r="D42" s="122"/>
      <c r="I42" s="250" t="s">
        <v>77</v>
      </c>
      <c r="J42" s="252"/>
    </row>
    <row r="43">
      <c r="B43" s="249"/>
      <c r="C43" s="253" t="s">
        <v>78</v>
      </c>
      <c r="F43" s="275" t="s">
        <v>79</v>
      </c>
      <c r="G43" s="124"/>
      <c r="I43" s="275" t="s">
        <v>80</v>
      </c>
      <c r="J43" s="252"/>
    </row>
    <row r="44">
      <c r="B44" s="249"/>
      <c r="J44" s="252"/>
    </row>
    <row r="45">
      <c r="B45" s="249"/>
      <c r="J45" s="252"/>
    </row>
    <row r="46">
      <c r="B46" s="249"/>
      <c r="J46" s="252"/>
    </row>
    <row r="47">
      <c r="B47" s="276"/>
      <c r="C47" s="274"/>
      <c r="D47" s="274"/>
      <c r="E47" s="274"/>
      <c r="F47" s="274"/>
      <c r="G47" s="274"/>
      <c r="H47" s="274"/>
      <c r="I47" s="274"/>
      <c r="J47" s="277"/>
    </row>
  </sheetData>
  <mergeCells count="26">
    <mergeCell ref="C3:C4"/>
    <mergeCell ref="D3:I3"/>
    <mergeCell ref="D4:I4"/>
    <mergeCell ref="D9:G9"/>
    <mergeCell ref="D11:G11"/>
    <mergeCell ref="D13:G15"/>
    <mergeCell ref="I13:I15"/>
    <mergeCell ref="C13:C15"/>
    <mergeCell ref="C17:E17"/>
    <mergeCell ref="C18:E18"/>
    <mergeCell ref="C19:E19"/>
    <mergeCell ref="C20:E20"/>
    <mergeCell ref="C21:E21"/>
    <mergeCell ref="C22:E22"/>
    <mergeCell ref="C39:D39"/>
    <mergeCell ref="C42:D42"/>
    <mergeCell ref="F42:G42"/>
    <mergeCell ref="C43:D43"/>
    <mergeCell ref="F43:G43"/>
    <mergeCell ref="C28:G28"/>
    <mergeCell ref="C29:G29"/>
    <mergeCell ref="C30:G30"/>
    <mergeCell ref="C31:G31"/>
    <mergeCell ref="C32:G32"/>
    <mergeCell ref="C33:G33"/>
    <mergeCell ref="C38:D38"/>
  </mergeCells>
  <dataValidations>
    <dataValidation type="custom" allowBlank="1" showDropDown="1" showInputMessage="1" prompt="Enter a valid date" sqref="D6:E7">
      <formula1>OR(NOT(ISERROR(DATEVALUE(D6))), AND(ISNUMBER(D6), LEFT(CELL("format", D6))="D"))</formula1>
    </dataValidation>
    <dataValidation type="list" allowBlank="1" sqref="D9">
      <formula1>DATABASE!$E$3:$E48</formula1>
    </dataValidation>
  </dataValidations>
  <printOptions gridLines="1" horizontalCentered="1"/>
  <pageMargins bottom="0.75" footer="0.0" header="0.0" left="0.7" right="0.7" top="0.75"/>
  <pageSetup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25.88"/>
    <col customWidth="1" min="3" max="3" width="9.38"/>
    <col customWidth="1" min="4" max="4" width="10.75"/>
    <col customWidth="1" min="5" max="5" width="6.0"/>
    <col customWidth="1" min="6" max="6" width="24.75"/>
    <col customWidth="1" min="9" max="9" width="6.75"/>
    <col customWidth="1" min="10" max="10" width="39.5"/>
    <col customWidth="1" min="13" max="13" width="36.88"/>
    <col customWidth="1" min="14" max="14" width="4.25"/>
    <col customWidth="1" min="15" max="15" width="6.88"/>
    <col customWidth="1" min="16" max="16" width="7.0"/>
  </cols>
  <sheetData>
    <row r="1">
      <c r="A1" s="226"/>
      <c r="B1" s="188"/>
      <c r="C1" s="278"/>
      <c r="E1" s="3"/>
      <c r="G1" s="4"/>
      <c r="I1" s="279"/>
      <c r="K1" s="4"/>
      <c r="R1" s="4"/>
    </row>
    <row r="2">
      <c r="A2" s="280" t="s">
        <v>2353</v>
      </c>
      <c r="B2" s="281"/>
      <c r="C2" s="282"/>
      <c r="E2" s="283" t="s">
        <v>2353</v>
      </c>
      <c r="F2" s="281"/>
      <c r="G2" s="284"/>
      <c r="I2" s="283" t="s">
        <v>2353</v>
      </c>
      <c r="J2" s="281"/>
      <c r="K2" s="284"/>
      <c r="R2" s="4"/>
    </row>
    <row r="3">
      <c r="A3" s="152"/>
      <c r="B3" s="85"/>
      <c r="C3" s="285" t="s">
        <v>2358</v>
      </c>
      <c r="E3" s="152"/>
      <c r="F3" s="85"/>
      <c r="G3" s="55" t="s">
        <v>2359</v>
      </c>
      <c r="I3" s="152"/>
      <c r="J3" s="85"/>
      <c r="K3" s="55" t="s">
        <v>2359</v>
      </c>
      <c r="R3" s="4"/>
    </row>
    <row r="4">
      <c r="A4" s="78" t="s">
        <v>29</v>
      </c>
      <c r="B4" s="54"/>
      <c r="C4" s="286"/>
      <c r="E4" s="181"/>
      <c r="F4" s="181"/>
      <c r="G4" s="4"/>
      <c r="I4" s="287"/>
      <c r="J4" s="287"/>
      <c r="K4" s="4"/>
      <c r="Q4" s="59" t="str">
        <f>IFERROR(__xludf.DUMMYFUNCTION("QUERY(M:N, ""select M, AVG(N) where M is not null group by M label AVG(N) 'Average Rating'"", 0)"),"")</f>
        <v/>
      </c>
      <c r="R4" s="4" t="str">
        <f>IFERROR(__xludf.DUMMYFUNCTION("""COMPUTED_VALUE"""),"Average Rating")</f>
        <v>Average Rating</v>
      </c>
    </row>
    <row r="5">
      <c r="A5" s="288">
        <v>1.0</v>
      </c>
      <c r="B5" s="98" t="s">
        <v>48</v>
      </c>
      <c r="C5" s="289">
        <v>4.5</v>
      </c>
      <c r="E5" s="47"/>
      <c r="F5" s="48" t="s">
        <v>10</v>
      </c>
      <c r="G5" s="4"/>
      <c r="I5" s="290"/>
      <c r="J5" s="291"/>
      <c r="K5" s="4"/>
      <c r="M5" s="59" t="str">
        <f>IFERROR(__xludf.DUMMYFUNCTION("FILTER( {DATABASE!E2:E1102, DATABASE!AC2:AC1102, DATABASE!D2:D1102}, (DATABASE!D2:D1102 &gt;= DATE(2023,7,1)) * (DATABASE!D2:D1102 &lt;= DATE(2024,6,30)) )"),"Leonard Prints Inc.")</f>
        <v>Leonard Prints Inc.</v>
      </c>
      <c r="N5" s="4">
        <f>IFERROR(__xludf.DUMMYFUNCTION("""COMPUTED_VALUE"""),4.833333333333333)</f>
        <v>4.833333333</v>
      </c>
      <c r="O5" s="60">
        <f>IFERROR(__xludf.DUMMYFUNCTION("""COMPUTED_VALUE"""),45110.0)</f>
        <v>45110</v>
      </c>
      <c r="Q5" s="59" t="str">
        <f>IFERROR(__xludf.DUMMYFUNCTION("""COMPUTED_VALUE"""),"ADBM Lightning Equipment Trading")</f>
        <v>ADBM Lightning Equipment Trading</v>
      </c>
      <c r="R5" s="4">
        <f>IFERROR(__xludf.DUMMYFUNCTION("""COMPUTED_VALUE"""),5.0)</f>
        <v>5</v>
      </c>
    </row>
    <row r="6">
      <c r="A6" s="288">
        <v>2.0</v>
      </c>
      <c r="B6" s="98" t="s">
        <v>53</v>
      </c>
      <c r="C6" s="289">
        <v>4.5</v>
      </c>
      <c r="E6" s="78" t="s">
        <v>29</v>
      </c>
      <c r="F6" s="54"/>
      <c r="G6" s="36" t="str">
        <f>average(G7:G12)</f>
        <v>#DIV/0!</v>
      </c>
      <c r="I6" s="292" t="s">
        <v>15</v>
      </c>
      <c r="J6" s="85"/>
      <c r="K6" s="4"/>
      <c r="M6" s="59" t="str">
        <f>IFERROR(__xludf.DUMMYFUNCTION("""COMPUTED_VALUE"""),"Leonard Prints Inc.")</f>
        <v>Leonard Prints Inc.</v>
      </c>
      <c r="N6" s="4">
        <f>IFERROR(__xludf.DUMMYFUNCTION("""COMPUTED_VALUE"""),4.833333333333333)</f>
        <v>4.833333333</v>
      </c>
      <c r="O6" s="60">
        <f>IFERROR(__xludf.DUMMYFUNCTION("""COMPUTED_VALUE"""),45110.0)</f>
        <v>45110</v>
      </c>
      <c r="Q6" s="59" t="str">
        <f>IFERROR(__xludf.DUMMYFUNCTION("""COMPUTED_VALUE"""),"Abacus Book &amp; Card Corp.")</f>
        <v>Abacus Book &amp; Card Corp.</v>
      </c>
      <c r="R6" s="4">
        <f>IFERROR(__xludf.DUMMYFUNCTION("""COMPUTED_VALUE"""),4.845897435897436)</f>
        <v>4.845897436</v>
      </c>
    </row>
    <row r="7">
      <c r="A7" s="288">
        <v>3.0</v>
      </c>
      <c r="B7" s="98" t="s">
        <v>61</v>
      </c>
      <c r="C7" s="289">
        <v>5.0</v>
      </c>
      <c r="E7" s="98">
        <v>1.0</v>
      </c>
      <c r="F7" s="98" t="s">
        <v>48</v>
      </c>
      <c r="G7" s="4"/>
      <c r="I7" s="293" t="s">
        <v>33</v>
      </c>
      <c r="J7" s="85"/>
      <c r="K7" s="36">
        <f>AVERAGE(K8:K10)</f>
        <v>4.775192308</v>
      </c>
      <c r="M7" s="59" t="str">
        <f>IFERROR(__xludf.DUMMYFUNCTION("""COMPUTED_VALUE"""),"Net Ad IT Solutions")</f>
        <v>Net Ad IT Solutions</v>
      </c>
      <c r="N7" s="4">
        <f>IFERROR(__xludf.DUMMYFUNCTION("""COMPUTED_VALUE"""),4.733333333333333)</f>
        <v>4.733333333</v>
      </c>
      <c r="O7" s="60">
        <f>IFERROR(__xludf.DUMMYFUNCTION("""COMPUTED_VALUE"""),45127.0)</f>
        <v>45127</v>
      </c>
      <c r="Q7" s="59" t="str">
        <f>IFERROR(__xludf.DUMMYFUNCTION("""COMPUTED_VALUE"""),"Abenson Ventures, Inc.")</f>
        <v>Abenson Ventures, Inc.</v>
      </c>
      <c r="R7" s="4">
        <f>IFERROR(__xludf.DUMMYFUNCTION("""COMPUTED_VALUE"""),4.608333333333333)</f>
        <v>4.608333333</v>
      </c>
    </row>
    <row r="8">
      <c r="A8" s="288">
        <v>4.0</v>
      </c>
      <c r="B8" s="98" t="s">
        <v>72</v>
      </c>
      <c r="C8" s="286"/>
      <c r="E8" s="98">
        <v>2.0</v>
      </c>
      <c r="F8" s="98" t="s">
        <v>53</v>
      </c>
      <c r="G8" s="4"/>
      <c r="I8" s="294">
        <v>1.0</v>
      </c>
      <c r="J8" s="295" t="s">
        <v>51</v>
      </c>
      <c r="K8" s="4">
        <v>4.775192307692308</v>
      </c>
      <c r="M8" s="59" t="str">
        <f>IFERROR(__xludf.DUMMYFUNCTION("""COMPUTED_VALUE"""),"Forefront Book Co., Inc.")</f>
        <v>Forefront Book Co., Inc.</v>
      </c>
      <c r="N8" s="4">
        <f>IFERROR(__xludf.DUMMYFUNCTION("""COMPUTED_VALUE"""),4.733333333333333)</f>
        <v>4.733333333</v>
      </c>
      <c r="O8" s="60">
        <f>IFERROR(__xludf.DUMMYFUNCTION("""COMPUTED_VALUE"""),45128.0)</f>
        <v>45128</v>
      </c>
      <c r="Q8" s="59" t="str">
        <f>IFERROR(__xludf.DUMMYFUNCTION("""COMPUTED_VALUE"""),"Ahrcel's Gift Shop")</f>
        <v>Ahrcel's Gift Shop</v>
      </c>
      <c r="R8" s="4">
        <f>IFERROR(__xludf.DUMMYFUNCTION("""COMPUTED_VALUE"""),4.836111111111111)</f>
        <v>4.836111111</v>
      </c>
    </row>
    <row r="9">
      <c r="A9" s="288">
        <v>5.0</v>
      </c>
      <c r="B9" s="98" t="s">
        <v>81</v>
      </c>
      <c r="C9" s="286"/>
      <c r="E9" s="98">
        <v>3.0</v>
      </c>
      <c r="F9" s="98" t="s">
        <v>61</v>
      </c>
      <c r="G9" s="4"/>
      <c r="I9" s="296">
        <v>2.0</v>
      </c>
      <c r="J9" s="297" t="s">
        <v>55</v>
      </c>
      <c r="K9" s="4"/>
      <c r="M9" s="59" t="str">
        <f>IFERROR(__xludf.DUMMYFUNCTION("""COMPUTED_VALUE"""),"Contrade Integrated Depot")</f>
        <v>Contrade Integrated Depot</v>
      </c>
      <c r="N9" s="4">
        <f>IFERROR(__xludf.DUMMYFUNCTION("""COMPUTED_VALUE"""),4.680000000000001)</f>
        <v>4.68</v>
      </c>
      <c r="O9" s="60">
        <f>IFERROR(__xludf.DUMMYFUNCTION("""COMPUTED_VALUE"""),45131.0)</f>
        <v>45131</v>
      </c>
      <c r="Q9" s="59" t="str">
        <f>IFERROR(__xludf.DUMMYFUNCTION("""COMPUTED_VALUE"""),"Alpha Steel Office and Home Furnishing Company")</f>
        <v>Alpha Steel Office and Home Furnishing Company</v>
      </c>
      <c r="R9" s="4">
        <f>IFERROR(__xludf.DUMMYFUNCTION("""COMPUTED_VALUE"""),5.0)</f>
        <v>5</v>
      </c>
    </row>
    <row r="10">
      <c r="A10" s="288">
        <v>6.0</v>
      </c>
      <c r="B10" s="98" t="s">
        <v>83</v>
      </c>
      <c r="C10" s="286"/>
      <c r="E10" s="98">
        <v>4.0</v>
      </c>
      <c r="F10" s="98" t="s">
        <v>72</v>
      </c>
      <c r="G10" s="4"/>
      <c r="I10" s="296">
        <v>3.0</v>
      </c>
      <c r="J10" s="297" t="s">
        <v>63</v>
      </c>
      <c r="K10" s="4"/>
      <c r="M10" s="59" t="str">
        <f>IFERROR(__xludf.DUMMYFUNCTION("""COMPUTED_VALUE"""),"Alpha-Cored Technology Systems, Inc.")</f>
        <v>Alpha-Cored Technology Systems, Inc.</v>
      </c>
      <c r="N10" s="4">
        <f>IFERROR(__xludf.DUMMYFUNCTION("""COMPUTED_VALUE"""),5.0)</f>
        <v>5</v>
      </c>
      <c r="O10" s="60">
        <f>IFERROR(__xludf.DUMMYFUNCTION("""COMPUTED_VALUE"""),45134.0)</f>
        <v>45134</v>
      </c>
      <c r="Q10" s="59" t="str">
        <f>IFERROR(__xludf.DUMMYFUNCTION("""COMPUTED_VALUE"""),"Alpha-Cored Technology Systems, Inc.")</f>
        <v>Alpha-Cored Technology Systems, Inc.</v>
      </c>
      <c r="R10" s="4">
        <f>IFERROR(__xludf.DUMMYFUNCTION("""COMPUTED_VALUE"""),5.0)</f>
        <v>5</v>
      </c>
    </row>
    <row r="11">
      <c r="A11" s="298" t="s">
        <v>2393</v>
      </c>
      <c r="B11" s="54"/>
      <c r="C11" s="299">
        <f>AVERAGE(C5:C10)</f>
        <v>4.666666667</v>
      </c>
      <c r="E11" s="98">
        <v>5.0</v>
      </c>
      <c r="F11" s="98" t="s">
        <v>81</v>
      </c>
      <c r="G11" s="4"/>
      <c r="I11" s="293" t="s">
        <v>29</v>
      </c>
      <c r="J11" s="85"/>
      <c r="K11" s="36">
        <f>AVERAGE(K12:K18)</f>
        <v>4.425</v>
      </c>
      <c r="M11" s="59" t="str">
        <f>IFERROR(__xludf.DUMMYFUNCTION("""COMPUTED_VALUE"""),"Tropical Palms Fashion House, Inc.")</f>
        <v>Tropical Palms Fashion House, Inc.</v>
      </c>
      <c r="N11" s="4">
        <f>IFERROR(__xludf.DUMMYFUNCTION("""COMPUTED_VALUE"""),4.608333333333333)</f>
        <v>4.608333333</v>
      </c>
      <c r="O11" s="60">
        <f>IFERROR(__xludf.DUMMYFUNCTION("""COMPUTED_VALUE"""),45140.0)</f>
        <v>45140</v>
      </c>
      <c r="Q11" s="59" t="str">
        <f>IFERROR(__xludf.DUMMYFUNCTION("""COMPUTED_VALUE"""),"Amalgamated Specialties Corporation")</f>
        <v>Amalgamated Specialties Corporation</v>
      </c>
      <c r="R11" s="4">
        <f>IFERROR(__xludf.DUMMYFUNCTION("""COMPUTED_VALUE"""),5.0)</f>
        <v>5</v>
      </c>
    </row>
    <row r="12">
      <c r="A12" s="78" t="s">
        <v>84</v>
      </c>
      <c r="B12" s="54"/>
      <c r="C12" s="286"/>
      <c r="E12" s="98">
        <v>6.0</v>
      </c>
      <c r="F12" s="98" t="s">
        <v>83</v>
      </c>
      <c r="G12" s="4"/>
      <c r="I12" s="294">
        <v>4.0</v>
      </c>
      <c r="J12" s="297" t="s">
        <v>86</v>
      </c>
      <c r="K12" s="4"/>
      <c r="M12" s="59" t="str">
        <f>IFERROR(__xludf.DUMMYFUNCTION("""COMPUTED_VALUE"""),"Awardextremes, Inc.")</f>
        <v>Awardextremes, Inc.</v>
      </c>
      <c r="N12" s="4">
        <f>IFERROR(__xludf.DUMMYFUNCTION("""COMPUTED_VALUE"""),4.566666666666666)</f>
        <v>4.566666667</v>
      </c>
      <c r="O12" s="60">
        <f>IFERROR(__xludf.DUMMYFUNCTION("""COMPUTED_VALUE"""),45141.0)</f>
        <v>45141</v>
      </c>
      <c r="Q12" s="59" t="str">
        <f>IFERROR(__xludf.DUMMYFUNCTION("""COMPUTED_VALUE"""),"Arkin Hardware")</f>
        <v>Arkin Hardware</v>
      </c>
      <c r="R12" s="4">
        <f>IFERROR(__xludf.DUMMYFUNCTION("""COMPUTED_VALUE"""),4.4714285714285715)</f>
        <v>4.471428571</v>
      </c>
    </row>
    <row r="13">
      <c r="A13" s="288">
        <v>7.0</v>
      </c>
      <c r="B13" s="98" t="s">
        <v>87</v>
      </c>
      <c r="C13" s="4">
        <v>4.716145833333334</v>
      </c>
      <c r="E13" s="78" t="s">
        <v>85</v>
      </c>
      <c r="F13" s="54"/>
      <c r="G13" s="36">
        <f>average(G14:G21)</f>
        <v>4.798611111</v>
      </c>
      <c r="I13" s="294">
        <v>5.0</v>
      </c>
      <c r="J13" s="297" t="s">
        <v>89</v>
      </c>
      <c r="K13" s="141">
        <v>4.5</v>
      </c>
      <c r="M13" s="59" t="str">
        <f>IFERROR(__xludf.DUMMYFUNCTION("""COMPUTED_VALUE"""),"Contrade Integrated Depot")</f>
        <v>Contrade Integrated Depot</v>
      </c>
      <c r="N13" s="4">
        <f>IFERROR(__xludf.DUMMYFUNCTION("""COMPUTED_VALUE"""),4.566666666666666)</f>
        <v>4.566666667</v>
      </c>
      <c r="O13" s="60">
        <f>IFERROR(__xludf.DUMMYFUNCTION("""COMPUTED_VALUE"""),45142.0)</f>
        <v>45142</v>
      </c>
      <c r="Q13" s="59" t="str">
        <f>IFERROR(__xludf.DUMMYFUNCTION("""COMPUTED_VALUE"""),"Atlas Superflags")</f>
        <v>Atlas Superflags</v>
      </c>
      <c r="R13" s="4">
        <f>IFERROR(__xludf.DUMMYFUNCTION("""COMPUTED_VALUE"""),4.0)</f>
        <v>4</v>
      </c>
    </row>
    <row r="14">
      <c r="A14" s="288">
        <v>8.0</v>
      </c>
      <c r="B14" s="98" t="s">
        <v>90</v>
      </c>
      <c r="C14" s="4">
        <v>4.645833333333334</v>
      </c>
      <c r="E14" s="98">
        <v>7.0</v>
      </c>
      <c r="F14" s="98" t="s">
        <v>88</v>
      </c>
      <c r="G14" s="4">
        <v>4.722222222222222</v>
      </c>
      <c r="I14" s="296">
        <v>6.0</v>
      </c>
      <c r="J14" s="295" t="s">
        <v>92</v>
      </c>
      <c r="K14" s="4"/>
      <c r="M14" s="59" t="str">
        <f>IFERROR(__xludf.DUMMYFUNCTION("""COMPUTED_VALUE"""),"Lordfel Marketing")</f>
        <v>Lordfel Marketing</v>
      </c>
      <c r="N14" s="4">
        <f>IFERROR(__xludf.DUMMYFUNCTION("""COMPUTED_VALUE"""),4.0)</f>
        <v>4</v>
      </c>
      <c r="O14" s="60">
        <f>IFERROR(__xludf.DUMMYFUNCTION("""COMPUTED_VALUE"""),45142.0)</f>
        <v>45142</v>
      </c>
      <c r="Q14" s="59" t="str">
        <f>IFERROR(__xludf.DUMMYFUNCTION("""COMPUTED_VALUE"""),"Awardextremes, Inc.")</f>
        <v>Awardextremes, Inc.</v>
      </c>
      <c r="R14" s="4">
        <f>IFERROR(__xludf.DUMMYFUNCTION("""COMPUTED_VALUE"""),4.566666666666666)</f>
        <v>4.566666667</v>
      </c>
    </row>
    <row r="15">
      <c r="A15" s="298" t="s">
        <v>2393</v>
      </c>
      <c r="B15" s="54"/>
      <c r="C15" s="299">
        <f>AVERAGE(C13:C14)</f>
        <v>4.680989583</v>
      </c>
      <c r="E15" s="98">
        <v>8.0</v>
      </c>
      <c r="F15" s="98" t="s">
        <v>91</v>
      </c>
      <c r="G15" s="4">
        <v>4.708333333333334</v>
      </c>
      <c r="I15" s="296">
        <v>7.0</v>
      </c>
      <c r="J15" s="295" t="s">
        <v>81</v>
      </c>
      <c r="K15" s="141">
        <v>4.5</v>
      </c>
      <c r="M15" s="59" t="str">
        <f>IFERROR(__xludf.DUMMYFUNCTION("""COMPUTED_VALUE"""),"Rivchem Enterprises")</f>
        <v>Rivchem Enterprises</v>
      </c>
      <c r="N15" s="4">
        <f>IFERROR(__xludf.DUMMYFUNCTION("""COMPUTED_VALUE"""),4.6)</f>
        <v>4.6</v>
      </c>
      <c r="O15" s="60">
        <f>IFERROR(__xludf.DUMMYFUNCTION("""COMPUTED_VALUE"""),45145.0)</f>
        <v>45145</v>
      </c>
      <c r="Q15" s="59" t="str">
        <f>IFERROR(__xludf.DUMMYFUNCTION("""COMPUTED_VALUE"""),"Belview Co., Inc.")</f>
        <v>Belview Co., Inc.</v>
      </c>
      <c r="R15" s="4">
        <f>IFERROR(__xludf.DUMMYFUNCTION("""COMPUTED_VALUE"""),4.753333333333333)</f>
        <v>4.753333333</v>
      </c>
    </row>
    <row r="16">
      <c r="A16" s="78" t="s">
        <v>2417</v>
      </c>
      <c r="B16" s="54"/>
      <c r="C16" s="286"/>
      <c r="E16" s="98">
        <v>9.0</v>
      </c>
      <c r="F16" s="98" t="s">
        <v>94</v>
      </c>
      <c r="G16" s="4">
        <v>4.833333333333333</v>
      </c>
      <c r="I16" s="294">
        <v>8.0</v>
      </c>
      <c r="J16" s="297" t="s">
        <v>99</v>
      </c>
      <c r="K16" s="4"/>
      <c r="M16" s="59" t="str">
        <f>IFERROR(__xludf.DUMMYFUNCTION("""COMPUTED_VALUE"""),"Rivchem Enterprises")</f>
        <v>Rivchem Enterprises</v>
      </c>
      <c r="N16" s="4">
        <f>IFERROR(__xludf.DUMMYFUNCTION("""COMPUTED_VALUE"""),4.6)</f>
        <v>4.6</v>
      </c>
      <c r="O16" s="60">
        <f>IFERROR(__xludf.DUMMYFUNCTION("""COMPUTED_VALUE"""),45146.0)</f>
        <v>45146</v>
      </c>
      <c r="Q16" s="59" t="str">
        <f>IFERROR(__xludf.DUMMYFUNCTION("""COMPUTED_VALUE"""),"Beyond Global Multiales Corp.")</f>
        <v>Beyond Global Multiales Corp.</v>
      </c>
      <c r="R16" s="4">
        <f>IFERROR(__xludf.DUMMYFUNCTION("""COMPUTED_VALUE"""),4.833333333333333)</f>
        <v>4.833333333</v>
      </c>
    </row>
    <row r="17">
      <c r="A17" s="288">
        <v>9.0</v>
      </c>
      <c r="B17" s="98" t="s">
        <v>88</v>
      </c>
      <c r="C17" s="4">
        <v>4.722222222222222</v>
      </c>
      <c r="E17" s="98">
        <v>10.0</v>
      </c>
      <c r="F17" s="98" t="s">
        <v>95</v>
      </c>
      <c r="G17" s="4">
        <v>4.916666666666667</v>
      </c>
      <c r="I17" s="294">
        <v>9.0</v>
      </c>
      <c r="J17" s="297" t="s">
        <v>102</v>
      </c>
      <c r="K17" s="141">
        <v>4.3</v>
      </c>
      <c r="M17" s="59" t="str">
        <f>IFERROR(__xludf.DUMMYFUNCTION("""COMPUTED_VALUE"""),"Lordfel Marketing")</f>
        <v>Lordfel Marketing</v>
      </c>
      <c r="N17" s="4">
        <f>IFERROR(__xludf.DUMMYFUNCTION("""COMPUTED_VALUE"""),5.0)</f>
        <v>5</v>
      </c>
      <c r="O17" s="60">
        <f>IFERROR(__xludf.DUMMYFUNCTION("""COMPUTED_VALUE"""),45149.0)</f>
        <v>45149</v>
      </c>
      <c r="Q17" s="59" t="str">
        <f>IFERROR(__xludf.DUMMYFUNCTION("""COMPUTED_VALUE"""),"Booktrens Enterprises")</f>
        <v>Booktrens Enterprises</v>
      </c>
      <c r="R17" s="4">
        <f>IFERROR(__xludf.DUMMYFUNCTION("""COMPUTED_VALUE"""),5.0)</f>
        <v>5</v>
      </c>
    </row>
    <row r="18">
      <c r="A18" s="288">
        <v>10.0</v>
      </c>
      <c r="B18" s="98" t="s">
        <v>91</v>
      </c>
      <c r="C18" s="4">
        <v>4.708333333333334</v>
      </c>
      <c r="E18" s="98">
        <v>11.0</v>
      </c>
      <c r="F18" s="98" t="s">
        <v>98</v>
      </c>
      <c r="G18" s="4"/>
      <c r="I18" s="294">
        <v>10.0</v>
      </c>
      <c r="J18" s="297" t="s">
        <v>107</v>
      </c>
      <c r="K18" s="141">
        <v>4.4</v>
      </c>
      <c r="M18" s="59" t="str">
        <f>IFERROR(__xludf.DUMMYFUNCTION("""COMPUTED_VALUE"""),"Lordfel Marketing")</f>
        <v>Lordfel Marketing</v>
      </c>
      <c r="N18" s="4">
        <f>IFERROR(__xludf.DUMMYFUNCTION("""COMPUTED_VALUE"""),4.0)</f>
        <v>4</v>
      </c>
      <c r="O18" s="60">
        <f>IFERROR(__xludf.DUMMYFUNCTION("""COMPUTED_VALUE"""),45149.0)</f>
        <v>45149</v>
      </c>
      <c r="Q18" s="59" t="str">
        <f>IFERROR(__xludf.DUMMYFUNCTION("""COMPUTED_VALUE"""),"Chemtrust Global Market, Inc.")</f>
        <v>Chemtrust Global Market, Inc.</v>
      </c>
      <c r="R18" s="4">
        <f>IFERROR(__xludf.DUMMYFUNCTION("""COMPUTED_VALUE"""),4.794444444444444)</f>
        <v>4.794444444</v>
      </c>
    </row>
    <row r="19">
      <c r="A19" s="288">
        <v>11.0</v>
      </c>
      <c r="B19" s="98" t="s">
        <v>94</v>
      </c>
      <c r="C19" s="4">
        <v>4.833333333333333</v>
      </c>
      <c r="E19" s="98">
        <v>12.0</v>
      </c>
      <c r="F19" s="98" t="s">
        <v>101</v>
      </c>
      <c r="G19" s="4"/>
      <c r="I19" s="293" t="s">
        <v>108</v>
      </c>
      <c r="J19" s="85"/>
      <c r="K19" s="36">
        <f>AVERAGE(K20:K28)</f>
        <v>4.932083333</v>
      </c>
      <c r="M19" s="59" t="str">
        <f>IFERROR(__xludf.DUMMYFUNCTION("""COMPUTED_VALUE"""),"Lordfel Marketing")</f>
        <v>Lordfel Marketing</v>
      </c>
      <c r="N19" s="4">
        <f>IFERROR(__xludf.DUMMYFUNCTION("""COMPUTED_VALUE"""),4.0)</f>
        <v>4</v>
      </c>
      <c r="O19" s="60">
        <f>IFERROR(__xludf.DUMMYFUNCTION("""COMPUTED_VALUE"""),45149.0)</f>
        <v>45149</v>
      </c>
      <c r="Q19" s="59" t="str">
        <f>IFERROR(__xludf.DUMMYFUNCTION("""COMPUTED_VALUE"""),"Chronos Athletics Shop")</f>
        <v>Chronos Athletics Shop</v>
      </c>
      <c r="R19" s="4">
        <f>IFERROR(__xludf.DUMMYFUNCTION("""COMPUTED_VALUE"""),4.519444444444445)</f>
        <v>4.519444444</v>
      </c>
    </row>
    <row r="20">
      <c r="A20" s="288">
        <v>12.0</v>
      </c>
      <c r="B20" s="98" t="s">
        <v>95</v>
      </c>
      <c r="C20" s="4">
        <v>4.916666666666667</v>
      </c>
      <c r="E20" s="98">
        <v>13.0</v>
      </c>
      <c r="F20" s="98" t="s">
        <v>103</v>
      </c>
      <c r="G20" s="4">
        <v>4.8125</v>
      </c>
      <c r="I20" s="296">
        <v>11.0</v>
      </c>
      <c r="J20" s="295" t="s">
        <v>2430</v>
      </c>
      <c r="K20" s="4"/>
      <c r="M20" s="59" t="str">
        <f>IFERROR(__xludf.DUMMYFUNCTION("""COMPUTED_VALUE"""),"Lordfel Marketing")</f>
        <v>Lordfel Marketing</v>
      </c>
      <c r="N20" s="4">
        <f>IFERROR(__xludf.DUMMYFUNCTION("""COMPUTED_VALUE"""),4.0)</f>
        <v>4</v>
      </c>
      <c r="O20" s="60">
        <f>IFERROR(__xludf.DUMMYFUNCTION("""COMPUTED_VALUE"""),45149.0)</f>
        <v>45149</v>
      </c>
      <c r="Q20" s="59" t="str">
        <f>IFERROR(__xludf.DUMMYFUNCTION("""COMPUTED_VALUE"""),"Circuitrocks Electronic Store")</f>
        <v>Circuitrocks Electronic Store</v>
      </c>
      <c r="R20" s="4">
        <f>IFERROR(__xludf.DUMMYFUNCTION("""COMPUTED_VALUE"""),4.908333333333333)</f>
        <v>4.908333333</v>
      </c>
    </row>
    <row r="21">
      <c r="A21" s="288">
        <v>13.0</v>
      </c>
      <c r="B21" s="98" t="s">
        <v>98</v>
      </c>
      <c r="C21" s="286"/>
      <c r="E21" s="98">
        <v>14.0</v>
      </c>
      <c r="F21" s="98" t="s">
        <v>106</v>
      </c>
      <c r="G21" s="4"/>
      <c r="I21" s="294">
        <v>12.0</v>
      </c>
      <c r="J21" s="297" t="s">
        <v>111</v>
      </c>
      <c r="K21" s="4"/>
      <c r="M21" s="59" t="str">
        <f>IFERROR(__xludf.DUMMYFUNCTION("""COMPUTED_VALUE"""),"Lordfel Marketing")</f>
        <v>Lordfel Marketing</v>
      </c>
      <c r="N21" s="4">
        <f>IFERROR(__xludf.DUMMYFUNCTION("""COMPUTED_VALUE"""),4.0)</f>
        <v>4</v>
      </c>
      <c r="O21" s="60">
        <f>IFERROR(__xludf.DUMMYFUNCTION("""COMPUTED_VALUE"""),45149.0)</f>
        <v>45149</v>
      </c>
      <c r="Q21" s="59" t="str">
        <f>IFERROR(__xludf.DUMMYFUNCTION("""COMPUTED_VALUE"""),"Colent Marketing Philippines, Inc.")</f>
        <v>Colent Marketing Philippines, Inc.</v>
      </c>
      <c r="R21" s="4">
        <f>IFERROR(__xludf.DUMMYFUNCTION("""COMPUTED_VALUE"""),5.0)</f>
        <v>5</v>
      </c>
    </row>
    <row r="22">
      <c r="A22" s="288">
        <v>14.0</v>
      </c>
      <c r="B22" s="98" t="s">
        <v>101</v>
      </c>
      <c r="C22" s="286"/>
      <c r="E22" s="78" t="s">
        <v>108</v>
      </c>
      <c r="F22" s="54"/>
      <c r="G22" s="36">
        <f>average(G23:G27)</f>
        <v>4.858543771</v>
      </c>
      <c r="I22" s="294">
        <v>13.0</v>
      </c>
      <c r="J22" s="297" t="s">
        <v>114</v>
      </c>
      <c r="K22" s="4"/>
      <c r="M22" s="59" t="str">
        <f>IFERROR(__xludf.DUMMYFUNCTION("""COMPUTED_VALUE"""),"Contrade Integrated Depot")</f>
        <v>Contrade Integrated Depot</v>
      </c>
      <c r="N22" s="4">
        <f>IFERROR(__xludf.DUMMYFUNCTION("""COMPUTED_VALUE"""),4.690833333333334)</f>
        <v>4.690833333</v>
      </c>
      <c r="O22" s="60">
        <f>IFERROR(__xludf.DUMMYFUNCTION("""COMPUTED_VALUE"""),45152.0)</f>
        <v>45152</v>
      </c>
      <c r="Q22" s="59" t="str">
        <f>IFERROR(__xludf.DUMMYFUNCTION("""COMPUTED_VALUE"""),"Columbia Technologies, Inc.")</f>
        <v>Columbia Technologies, Inc.</v>
      </c>
      <c r="R22" s="4">
        <f>IFERROR(__xludf.DUMMYFUNCTION("""COMPUTED_VALUE"""),4.0)</f>
        <v>4</v>
      </c>
    </row>
    <row r="23">
      <c r="A23" s="288">
        <v>15.0</v>
      </c>
      <c r="B23" s="98" t="s">
        <v>103</v>
      </c>
      <c r="C23" s="4">
        <v>4.8125</v>
      </c>
      <c r="E23" s="98">
        <v>15.0</v>
      </c>
      <c r="F23" s="98" t="s">
        <v>110</v>
      </c>
      <c r="G23" s="4">
        <v>4.826388888888888</v>
      </c>
      <c r="I23" s="294">
        <v>14.0</v>
      </c>
      <c r="J23" s="297" t="s">
        <v>117</v>
      </c>
      <c r="K23" s="4">
        <v>4.958333333333333</v>
      </c>
      <c r="M23" s="59" t="str">
        <f>IFERROR(__xludf.DUMMYFUNCTION("""COMPUTED_VALUE"""),"Polaris Prime Air Tech Corporation")</f>
        <v>Polaris Prime Air Tech Corporation</v>
      </c>
      <c r="N23" s="4">
        <f>IFERROR(__xludf.DUMMYFUNCTION("""COMPUTED_VALUE"""),4.0)</f>
        <v>4</v>
      </c>
      <c r="O23" s="60">
        <f>IFERROR(__xludf.DUMMYFUNCTION("""COMPUTED_VALUE"""),45152.0)</f>
        <v>45152</v>
      </c>
      <c r="Q23" s="59" t="str">
        <f>IFERROR(__xludf.DUMMYFUNCTION("""COMPUTED_VALUE"""),"Commerce Asia, Inc.")</f>
        <v>Commerce Asia, Inc.</v>
      </c>
      <c r="R23" s="4">
        <f>IFERROR(__xludf.DUMMYFUNCTION("""COMPUTED_VALUE"""),4.748333333333333)</f>
        <v>4.748333333</v>
      </c>
    </row>
    <row r="24">
      <c r="A24" s="288">
        <v>16.0</v>
      </c>
      <c r="B24" s="98" t="s">
        <v>106</v>
      </c>
      <c r="C24" s="286"/>
      <c r="E24" s="98">
        <v>16.0</v>
      </c>
      <c r="F24" s="98" t="s">
        <v>113</v>
      </c>
      <c r="G24" s="4">
        <v>4.916666666666666</v>
      </c>
      <c r="I24" s="294">
        <v>15.0</v>
      </c>
      <c r="J24" s="297" t="s">
        <v>116</v>
      </c>
      <c r="K24" s="4">
        <v>4.941666666666666</v>
      </c>
      <c r="M24" s="59" t="str">
        <f>IFERROR(__xludf.DUMMYFUNCTION("""COMPUTED_VALUE"""),"Abacus Book &amp; Card Corp.")</f>
        <v>Abacus Book &amp; Card Corp.</v>
      </c>
      <c r="N24" s="4">
        <f>IFERROR(__xludf.DUMMYFUNCTION("""COMPUTED_VALUE"""),4.666666666666667)</f>
        <v>4.666666667</v>
      </c>
      <c r="O24" s="60">
        <f>IFERROR(__xludf.DUMMYFUNCTION("""COMPUTED_VALUE"""),45153.0)</f>
        <v>45153</v>
      </c>
      <c r="Q24" s="59" t="str">
        <f>IFERROR(__xludf.DUMMYFUNCTION("""COMPUTED_VALUE"""),"Contrade Integrated Depot")</f>
        <v>Contrade Integrated Depot</v>
      </c>
      <c r="R24" s="4">
        <f>IFERROR(__xludf.DUMMYFUNCTION("""COMPUTED_VALUE"""),4.6089166666666666)</f>
        <v>4.608916667</v>
      </c>
    </row>
    <row r="25">
      <c r="A25" s="288">
        <v>17.0</v>
      </c>
      <c r="B25" s="98" t="s">
        <v>115</v>
      </c>
      <c r="C25" s="286"/>
      <c r="E25" s="98">
        <v>8.0</v>
      </c>
      <c r="F25" s="98" t="s">
        <v>116</v>
      </c>
      <c r="G25" s="4">
        <v>4.832575757575758</v>
      </c>
      <c r="I25" s="294">
        <v>16.0</v>
      </c>
      <c r="J25" s="297" t="s">
        <v>106</v>
      </c>
      <c r="K25" s="4"/>
      <c r="M25" s="59" t="str">
        <f>IFERROR(__xludf.DUMMYFUNCTION("""COMPUTED_VALUE"""),"Net Ad IT Solutions")</f>
        <v>Net Ad IT Solutions</v>
      </c>
      <c r="N25" s="4">
        <f>IFERROR(__xludf.DUMMYFUNCTION("""COMPUTED_VALUE"""),4.875)</f>
        <v>4.875</v>
      </c>
      <c r="O25" s="60">
        <f>IFERROR(__xludf.DUMMYFUNCTION("""COMPUTED_VALUE"""),45157.0)</f>
        <v>45157</v>
      </c>
      <c r="Q25" s="59" t="str">
        <f>IFERROR(__xludf.DUMMYFUNCTION("""COMPUTED_VALUE"""),"Creative Juice Digital Printing")</f>
        <v>Creative Juice Digital Printing</v>
      </c>
      <c r="R25" s="4">
        <f>IFERROR(__xludf.DUMMYFUNCTION("""COMPUTED_VALUE"""),4.629938271604938)</f>
        <v>4.629938272</v>
      </c>
    </row>
    <row r="26">
      <c r="A26" s="288">
        <v>18.0</v>
      </c>
      <c r="B26" s="98" t="s">
        <v>122</v>
      </c>
      <c r="C26" s="4">
        <v>4.703703703703704</v>
      </c>
      <c r="E26" s="98">
        <v>18.0</v>
      </c>
      <c r="F26" s="98" t="s">
        <v>125</v>
      </c>
      <c r="G26" s="4"/>
      <c r="I26" s="294">
        <v>17.0</v>
      </c>
      <c r="J26" s="300" t="s">
        <v>134</v>
      </c>
      <c r="K26" s="4">
        <v>5.0</v>
      </c>
      <c r="M26" s="59" t="str">
        <f>IFERROR(__xludf.DUMMYFUNCTION("""COMPUTED_VALUE"""),"Microsmith Technology System,Inc.")</f>
        <v>Microsmith Technology System,Inc.</v>
      </c>
      <c r="N26" s="4">
        <f>IFERROR(__xludf.DUMMYFUNCTION("""COMPUTED_VALUE"""),4.833333333333333)</f>
        <v>4.833333333</v>
      </c>
      <c r="O26" s="60">
        <f>IFERROR(__xludf.DUMMYFUNCTION("""COMPUTED_VALUE"""),45163.0)</f>
        <v>45163</v>
      </c>
      <c r="Q26" s="59" t="str">
        <f>IFERROR(__xludf.DUMMYFUNCTION("""COMPUTED_VALUE"""),"Crosspoint Paper, Inc.")</f>
        <v>Crosspoint Paper, Inc.</v>
      </c>
      <c r="R26" s="4">
        <f>IFERROR(__xludf.DUMMYFUNCTION("""COMPUTED_VALUE"""),5.0)</f>
        <v>5</v>
      </c>
    </row>
    <row r="27">
      <c r="A27" s="298" t="s">
        <v>2393</v>
      </c>
      <c r="B27" s="54"/>
      <c r="C27" s="299">
        <f>AVERAGE(C17:C26)</f>
        <v>4.78279321</v>
      </c>
      <c r="E27" s="98">
        <v>19.0</v>
      </c>
      <c r="F27" s="98" t="s">
        <v>132</v>
      </c>
      <c r="G27" s="4"/>
      <c r="I27" s="294">
        <v>18.0</v>
      </c>
      <c r="J27" s="300" t="s">
        <v>110</v>
      </c>
      <c r="K27" s="4">
        <v>4.760416666666666</v>
      </c>
      <c r="M27" s="59" t="str">
        <f>IFERROR(__xludf.DUMMYFUNCTION("""COMPUTED_VALUE"""),"Atlas Superflags")</f>
        <v>Atlas Superflags</v>
      </c>
      <c r="N27" s="4">
        <f>IFERROR(__xludf.DUMMYFUNCTION("""COMPUTED_VALUE"""),4.0)</f>
        <v>4</v>
      </c>
      <c r="O27" s="60">
        <f>IFERROR(__xludf.DUMMYFUNCTION("""COMPUTED_VALUE"""),45165.0)</f>
        <v>45165</v>
      </c>
      <c r="Q27" s="59" t="str">
        <f>IFERROR(__xludf.DUMMYFUNCTION("""COMPUTED_VALUE"""),"DKL Laboratory Supplies")</f>
        <v>DKL Laboratory Supplies</v>
      </c>
      <c r="R27" s="4">
        <f>IFERROR(__xludf.DUMMYFUNCTION("""COMPUTED_VALUE"""),3.6666666666666665)</f>
        <v>3.666666667</v>
      </c>
    </row>
    <row r="28">
      <c r="A28" s="78" t="s">
        <v>108</v>
      </c>
      <c r="B28" s="54"/>
      <c r="C28" s="286"/>
      <c r="E28" s="78" t="s">
        <v>133</v>
      </c>
      <c r="F28" s="54"/>
      <c r="G28" s="36">
        <f>average(G29:G43)</f>
        <v>4.659876543</v>
      </c>
      <c r="I28" s="294">
        <v>19.0</v>
      </c>
      <c r="J28" s="297" t="s">
        <v>136</v>
      </c>
      <c r="K28" s="4">
        <v>5.0</v>
      </c>
      <c r="M28" s="59" t="str">
        <f>IFERROR(__xludf.DUMMYFUNCTION("""COMPUTED_VALUE"""),"Microsmith Technology System,Inc.")</f>
        <v>Microsmith Technology System,Inc.</v>
      </c>
      <c r="N28" s="4">
        <f>IFERROR(__xludf.DUMMYFUNCTION("""COMPUTED_VALUE"""),5.0)</f>
        <v>5</v>
      </c>
      <c r="O28" s="60">
        <f>IFERROR(__xludf.DUMMYFUNCTION("""COMPUTED_VALUE"""),45166.0)</f>
        <v>45166</v>
      </c>
      <c r="Q28" s="59" t="str">
        <f>IFERROR(__xludf.DUMMYFUNCTION("""COMPUTED_VALUE"""),"DOOPLO ADVERTISING")</f>
        <v>DOOPLO ADVERTISING</v>
      </c>
      <c r="R28" s="4">
        <f>IFERROR(__xludf.DUMMYFUNCTION("""COMPUTED_VALUE"""),4.375)</f>
        <v>4.375</v>
      </c>
    </row>
    <row r="29">
      <c r="A29" s="288">
        <v>19.0</v>
      </c>
      <c r="B29" s="98" t="s">
        <v>110</v>
      </c>
      <c r="C29" s="4">
        <v>4.826388888888888</v>
      </c>
      <c r="E29" s="98">
        <v>20.0</v>
      </c>
      <c r="F29" s="98" t="s">
        <v>51</v>
      </c>
      <c r="G29" s="4"/>
      <c r="I29" s="293" t="s">
        <v>138</v>
      </c>
      <c r="J29" s="85"/>
      <c r="K29" s="36">
        <f>AVERAGE(K30:K38)</f>
        <v>4.599434524</v>
      </c>
      <c r="M29" s="59" t="str">
        <f>IFERROR(__xludf.DUMMYFUNCTION("""COMPUTED_VALUE"""),"Net Ad IT Solutions")</f>
        <v>Net Ad IT Solutions</v>
      </c>
      <c r="N29" s="4">
        <f>IFERROR(__xludf.DUMMYFUNCTION("""COMPUTED_VALUE"""),5.0)</f>
        <v>5</v>
      </c>
      <c r="O29" s="60">
        <f>IFERROR(__xludf.DUMMYFUNCTION("""COMPUTED_VALUE"""),45181.0)</f>
        <v>45181</v>
      </c>
      <c r="Q29" s="59" t="str">
        <f>IFERROR(__xludf.DUMMYFUNCTION("""COMPUTED_VALUE"""),"Data Computer Forms, Inc.")</f>
        <v>Data Computer Forms, Inc.</v>
      </c>
      <c r="R29" s="4">
        <f>IFERROR(__xludf.DUMMYFUNCTION("""COMPUTED_VALUE"""),4.25)</f>
        <v>4.25</v>
      </c>
    </row>
    <row r="30">
      <c r="A30" s="288">
        <v>20.0</v>
      </c>
      <c r="B30" s="98" t="s">
        <v>113</v>
      </c>
      <c r="C30" s="4">
        <v>4.916666666666666</v>
      </c>
      <c r="E30" s="98">
        <v>21.0</v>
      </c>
      <c r="F30" s="98" t="s">
        <v>135</v>
      </c>
      <c r="G30" s="4"/>
      <c r="I30" s="294">
        <v>20.0</v>
      </c>
      <c r="J30" s="297" t="s">
        <v>142</v>
      </c>
      <c r="K30" s="141">
        <v>4.54</v>
      </c>
      <c r="M30" s="59" t="str">
        <f>IFERROR(__xludf.DUMMYFUNCTION("""COMPUTED_VALUE"""),"Net Ad IT Solutions")</f>
        <v>Net Ad IT Solutions</v>
      </c>
      <c r="N30" s="4">
        <f>IFERROR(__xludf.DUMMYFUNCTION("""COMPUTED_VALUE"""),4.875)</f>
        <v>4.875</v>
      </c>
      <c r="O30" s="60">
        <f>IFERROR(__xludf.DUMMYFUNCTION("""COMPUTED_VALUE"""),45181.0)</f>
        <v>45181</v>
      </c>
      <c r="Q30" s="59" t="str">
        <f>IFERROR(__xludf.DUMMYFUNCTION("""COMPUTED_VALUE"""),"Dynamics Electrical Supply and Hardware")</f>
        <v>Dynamics Electrical Supply and Hardware</v>
      </c>
      <c r="R30" s="4">
        <f>IFERROR(__xludf.DUMMYFUNCTION("""COMPUTED_VALUE"""),4.0)</f>
        <v>4</v>
      </c>
    </row>
    <row r="31">
      <c r="A31" s="288">
        <v>21.0</v>
      </c>
      <c r="B31" s="98" t="s">
        <v>116</v>
      </c>
      <c r="C31" s="4">
        <v>4.832575757575758</v>
      </c>
      <c r="E31" s="98">
        <v>22.0</v>
      </c>
      <c r="F31" s="98" t="s">
        <v>137</v>
      </c>
      <c r="G31" s="4">
        <v>4.583333333333333</v>
      </c>
      <c r="I31" s="294">
        <v>21.0</v>
      </c>
      <c r="J31" s="297" t="s">
        <v>87</v>
      </c>
      <c r="K31" s="4">
        <v>4.71547619047619</v>
      </c>
      <c r="M31" s="59" t="str">
        <f>IFERROR(__xludf.DUMMYFUNCTION("""COMPUTED_VALUE"""),"Abacus Book &amp; Card Corp.")</f>
        <v>Abacus Book &amp; Card Corp.</v>
      </c>
      <c r="N31" s="4">
        <f>IFERROR(__xludf.DUMMYFUNCTION("""COMPUTED_VALUE"""),4.833333333333333)</f>
        <v>4.833333333</v>
      </c>
      <c r="O31" s="60">
        <f>IFERROR(__xludf.DUMMYFUNCTION("""COMPUTED_VALUE"""),45181.0)</f>
        <v>45181</v>
      </c>
      <c r="Q31" s="59" t="str">
        <f>IFERROR(__xludf.DUMMYFUNCTION("""COMPUTED_VALUE"""),"EA Intertrade General Merchandising, Inc.")</f>
        <v>EA Intertrade General Merchandising, Inc.</v>
      </c>
      <c r="R31" s="4">
        <f>IFERROR(__xludf.DUMMYFUNCTION("""COMPUTED_VALUE"""),5.0)</f>
        <v>5</v>
      </c>
    </row>
    <row r="32">
      <c r="A32" s="288">
        <v>22.0</v>
      </c>
      <c r="B32" s="98" t="s">
        <v>125</v>
      </c>
      <c r="C32" s="286"/>
      <c r="E32" s="98">
        <v>23.0</v>
      </c>
      <c r="F32" s="98" t="s">
        <v>139</v>
      </c>
      <c r="G32" s="4"/>
      <c r="I32" s="294">
        <v>22.0</v>
      </c>
      <c r="J32" s="297" t="s">
        <v>149</v>
      </c>
      <c r="K32" s="141">
        <v>4.79</v>
      </c>
      <c r="M32" s="59" t="str">
        <f>IFERROR(__xludf.DUMMYFUNCTION("""COMPUTED_VALUE"""),"Chemtrust Global Market, Inc.")</f>
        <v>Chemtrust Global Market, Inc.</v>
      </c>
      <c r="N32" s="4">
        <f>IFERROR(__xludf.DUMMYFUNCTION("""COMPUTED_VALUE"""),5.0)</f>
        <v>5</v>
      </c>
      <c r="O32" s="60">
        <f>IFERROR(__xludf.DUMMYFUNCTION("""COMPUTED_VALUE"""),45182.0)</f>
        <v>45182</v>
      </c>
      <c r="Q32" s="59" t="str">
        <f>IFERROR(__xludf.DUMMYFUNCTION("""COMPUTED_VALUE"""),"EESM Bookstore")</f>
        <v>EESM Bookstore</v>
      </c>
      <c r="R32" s="4">
        <f>IFERROR(__xludf.DUMMYFUNCTION("""COMPUTED_VALUE"""),4.808333333333333)</f>
        <v>4.808333333</v>
      </c>
    </row>
    <row r="33">
      <c r="A33" s="288">
        <v>23.0</v>
      </c>
      <c r="B33" s="98" t="s">
        <v>132</v>
      </c>
      <c r="C33" s="286"/>
      <c r="E33" s="98">
        <v>24.0</v>
      </c>
      <c r="F33" s="98" t="s">
        <v>141</v>
      </c>
      <c r="G33" s="4"/>
      <c r="I33" s="296">
        <v>23.0</v>
      </c>
      <c r="J33" s="111" t="s">
        <v>151</v>
      </c>
      <c r="K33" s="4"/>
      <c r="M33" s="59" t="str">
        <f>IFERROR(__xludf.DUMMYFUNCTION("""COMPUTED_VALUE"""),"Chemtrust Global Market, Inc.")</f>
        <v>Chemtrust Global Market, Inc.</v>
      </c>
      <c r="N33" s="4">
        <f>IFERROR(__xludf.DUMMYFUNCTION("""COMPUTED_VALUE"""),5.0)</f>
        <v>5</v>
      </c>
      <c r="O33" s="60">
        <f>IFERROR(__xludf.DUMMYFUNCTION("""COMPUTED_VALUE"""),45184.0)</f>
        <v>45184</v>
      </c>
      <c r="Q33" s="59" t="str">
        <f>IFERROR(__xludf.DUMMYFUNCTION("""COMPUTED_VALUE"""),"EIG Metal Engravers")</f>
        <v>EIG Metal Engravers</v>
      </c>
      <c r="R33" s="4">
        <f>IFERROR(__xludf.DUMMYFUNCTION("""COMPUTED_VALUE"""),4.75)</f>
        <v>4.75</v>
      </c>
    </row>
    <row r="34">
      <c r="A34" s="298" t="s">
        <v>2393</v>
      </c>
      <c r="B34" s="54"/>
      <c r="C34" s="299">
        <f>AVERAGE(C29:C33)</f>
        <v>4.858543771</v>
      </c>
      <c r="E34" s="98">
        <v>25.0</v>
      </c>
      <c r="F34" s="98" t="s">
        <v>143</v>
      </c>
      <c r="G34" s="4">
        <v>4.60462962962963</v>
      </c>
      <c r="I34" s="294">
        <v>24.0</v>
      </c>
      <c r="J34" s="301" t="s">
        <v>154</v>
      </c>
      <c r="K34" s="141">
        <v>4.42</v>
      </c>
      <c r="M34" s="59" t="str">
        <f>IFERROR(__xludf.DUMMYFUNCTION("""COMPUTED_VALUE"""),"Rivchem Enterprises")</f>
        <v>Rivchem Enterprises</v>
      </c>
      <c r="N34" s="4">
        <f>IFERROR(__xludf.DUMMYFUNCTION("""COMPUTED_VALUE"""),2.7416666666666667)</f>
        <v>2.741666667</v>
      </c>
      <c r="O34" s="60">
        <f>IFERROR(__xludf.DUMMYFUNCTION("""COMPUTED_VALUE"""),45185.0)</f>
        <v>45185</v>
      </c>
      <c r="Q34" s="59" t="str">
        <f>IFERROR(__xludf.DUMMYFUNCTION("""COMPUTED_VALUE"""),"Falcon Waterfree Philippines, Inc.")</f>
        <v>Falcon Waterfree Philippines, Inc.</v>
      </c>
      <c r="R34" s="4">
        <f>IFERROR(__xludf.DUMMYFUNCTION("""COMPUTED_VALUE"""),4.541666666666666)</f>
        <v>4.541666667</v>
      </c>
    </row>
    <row r="35">
      <c r="A35" s="167"/>
      <c r="B35" s="167"/>
      <c r="C35" s="286"/>
      <c r="E35" s="98"/>
      <c r="F35" s="98"/>
      <c r="G35" s="4"/>
      <c r="I35" s="294"/>
      <c r="J35" s="66" t="s">
        <v>1257</v>
      </c>
      <c r="K35" s="141">
        <v>4.75</v>
      </c>
      <c r="M35" s="59" t="str">
        <f>IFERROR(__xludf.DUMMYFUNCTION("""COMPUTED_VALUE"""),"Rivchem Enterprises")</f>
        <v>Rivchem Enterprises</v>
      </c>
      <c r="N35" s="4">
        <f>IFERROR(__xludf.DUMMYFUNCTION("""COMPUTED_VALUE"""),2.891666666666667)</f>
        <v>2.891666667</v>
      </c>
      <c r="O35" s="60">
        <f>IFERROR(__xludf.DUMMYFUNCTION("""COMPUTED_VALUE"""),45185.0)</f>
        <v>45185</v>
      </c>
      <c r="Q35" s="59" t="str">
        <f>IFERROR(__xludf.DUMMYFUNCTION("""COMPUTED_VALUE"""),"Forefront Book Co., Inc.")</f>
        <v>Forefront Book Co., Inc.</v>
      </c>
      <c r="R35" s="4">
        <f>IFERROR(__xludf.DUMMYFUNCTION("""COMPUTED_VALUE"""),4.733333333333333)</f>
        <v>4.733333333</v>
      </c>
    </row>
    <row r="36">
      <c r="A36" s="167"/>
      <c r="B36" s="167"/>
      <c r="C36" s="286"/>
      <c r="E36" s="98"/>
      <c r="F36" s="98"/>
      <c r="G36" s="4"/>
      <c r="I36" s="294"/>
      <c r="J36" s="66" t="s">
        <v>1212</v>
      </c>
      <c r="K36" s="141">
        <v>4.44</v>
      </c>
      <c r="M36" s="59" t="str">
        <f>IFERROR(__xludf.DUMMYFUNCTION("""COMPUTED_VALUE"""),"Contrade Integrated Depot")</f>
        <v>Contrade Integrated Depot</v>
      </c>
      <c r="N36" s="4">
        <f>IFERROR(__xludf.DUMMYFUNCTION("""COMPUTED_VALUE"""),4.566666666666666)</f>
        <v>4.566666667</v>
      </c>
      <c r="O36" s="60">
        <f>IFERROR(__xludf.DUMMYFUNCTION("""COMPUTED_VALUE"""),45189.0)</f>
        <v>45189</v>
      </c>
      <c r="Q36" s="59" t="str">
        <f>IFERROR(__xludf.DUMMYFUNCTION("""COMPUTED_VALUE"""),"Goldlink Indsutrial Sales")</f>
        <v>Goldlink Indsutrial Sales</v>
      </c>
      <c r="R36" s="4">
        <f>IFERROR(__xludf.DUMMYFUNCTION("""COMPUTED_VALUE"""),4.541666666666666)</f>
        <v>4.541666667</v>
      </c>
    </row>
    <row r="37">
      <c r="A37" s="167"/>
      <c r="B37" s="167"/>
      <c r="C37" s="286"/>
      <c r="E37" s="98"/>
      <c r="F37" s="98"/>
      <c r="G37" s="4"/>
      <c r="I37" s="294"/>
      <c r="J37" s="59" t="s">
        <v>1079</v>
      </c>
      <c r="K37" s="141">
        <v>4.6</v>
      </c>
      <c r="M37" s="59" t="str">
        <f>IFERROR(__xludf.DUMMYFUNCTION("""COMPUTED_VALUE"""),"Booktrens Enterprises")</f>
        <v>Booktrens Enterprises</v>
      </c>
      <c r="N37" s="4">
        <f>IFERROR(__xludf.DUMMYFUNCTION("""COMPUTED_VALUE"""),5.0)</f>
        <v>5</v>
      </c>
      <c r="O37" s="60">
        <f>IFERROR(__xludf.DUMMYFUNCTION("""COMPUTED_VALUE"""),45191.0)</f>
        <v>45191</v>
      </c>
      <c r="Q37" s="59" t="str">
        <f>IFERROR(__xludf.DUMMYFUNCTION("""COMPUTED_VALUE"""),"Hospeco Philippines, Inc.")</f>
        <v>Hospeco Philippines, Inc.</v>
      </c>
      <c r="R37" s="4">
        <f>IFERROR(__xludf.DUMMYFUNCTION("""COMPUTED_VALUE"""),4.416666666666666)</f>
        <v>4.416666667</v>
      </c>
    </row>
    <row r="38">
      <c r="A38" s="78" t="s">
        <v>133</v>
      </c>
      <c r="B38" s="54"/>
      <c r="C38" s="286"/>
      <c r="E38" s="98">
        <v>26.0</v>
      </c>
      <c r="F38" s="98" t="s">
        <v>145</v>
      </c>
      <c r="G38" s="4"/>
      <c r="I38" s="294">
        <v>25.0</v>
      </c>
      <c r="J38" s="297" t="s">
        <v>156</v>
      </c>
      <c r="K38" s="141">
        <v>4.54</v>
      </c>
      <c r="M38" s="59" t="str">
        <f>IFERROR(__xludf.DUMMYFUNCTION("""COMPUTED_VALUE"""),"Microsmith Technology System,Inc.")</f>
        <v>Microsmith Technology System,Inc.</v>
      </c>
      <c r="N38" s="4">
        <f>IFERROR(__xludf.DUMMYFUNCTION("""COMPUTED_VALUE"""),4.666666666666667)</f>
        <v>4.666666667</v>
      </c>
      <c r="O38" s="60">
        <f>IFERROR(__xludf.DUMMYFUNCTION("""COMPUTED_VALUE"""),45195.0)</f>
        <v>45195</v>
      </c>
      <c r="Q38" s="59" t="str">
        <f>IFERROR(__xludf.DUMMYFUNCTION("""COMPUTED_VALUE"""),"I-Stop Graphics and Business Center")</f>
        <v>I-Stop Graphics and Business Center</v>
      </c>
      <c r="R38" s="4">
        <f>IFERROR(__xludf.DUMMYFUNCTION("""COMPUTED_VALUE"""),4.083333333333334)</f>
        <v>4.083333333</v>
      </c>
    </row>
    <row r="39">
      <c r="A39" s="288">
        <v>24.0</v>
      </c>
      <c r="B39" s="98" t="s">
        <v>51</v>
      </c>
      <c r="C39" s="286"/>
      <c r="E39" s="98">
        <v>27.0</v>
      </c>
      <c r="F39" s="140" t="s">
        <v>148</v>
      </c>
      <c r="G39" s="4"/>
      <c r="I39" s="293" t="s">
        <v>158</v>
      </c>
      <c r="J39" s="85"/>
      <c r="K39" s="36">
        <f>AVERAGE(K40:K50)</f>
        <v>4.745833333</v>
      </c>
      <c r="M39" s="59" t="str">
        <f>IFERROR(__xludf.DUMMYFUNCTION("""COMPUTED_VALUE"""),"Creative Juice Digital Printing")</f>
        <v>Creative Juice Digital Printing</v>
      </c>
      <c r="N39" s="4">
        <f>IFERROR(__xludf.DUMMYFUNCTION("""COMPUTED_VALUE"""),5.0)</f>
        <v>5</v>
      </c>
      <c r="O39" s="60">
        <f>IFERROR(__xludf.DUMMYFUNCTION("""COMPUTED_VALUE"""),45196.0)</f>
        <v>45196</v>
      </c>
      <c r="Q39" s="59" t="str">
        <f>IFERROR(__xludf.DUMMYFUNCTION("""COMPUTED_VALUE"""),"JLY Garment Trading")</f>
        <v>JLY Garment Trading</v>
      </c>
      <c r="R39" s="4">
        <f>IFERROR(__xludf.DUMMYFUNCTION("""COMPUTED_VALUE"""),4.713888888888889)</f>
        <v>4.713888889</v>
      </c>
    </row>
    <row r="40">
      <c r="A40" s="288">
        <v>25.0</v>
      </c>
      <c r="B40" s="98" t="s">
        <v>135</v>
      </c>
      <c r="C40" s="286"/>
      <c r="E40" s="98">
        <v>28.0</v>
      </c>
      <c r="F40" s="98" t="s">
        <v>150</v>
      </c>
      <c r="G40" s="4"/>
      <c r="I40" s="296">
        <v>26.0</v>
      </c>
      <c r="J40" s="295" t="s">
        <v>166</v>
      </c>
      <c r="K40" s="141">
        <v>4.5</v>
      </c>
      <c r="M40" s="59" t="str">
        <f>IFERROR(__xludf.DUMMYFUNCTION("""COMPUTED_VALUE"""),"Creative Juice Digital Printing")</f>
        <v>Creative Juice Digital Printing</v>
      </c>
      <c r="N40" s="4">
        <f>IFERROR(__xludf.DUMMYFUNCTION("""COMPUTED_VALUE"""),5.0)</f>
        <v>5</v>
      </c>
      <c r="O40" s="60">
        <f>IFERROR(__xludf.DUMMYFUNCTION("""COMPUTED_VALUE"""),45196.0)</f>
        <v>45196</v>
      </c>
      <c r="Q40" s="59" t="str">
        <f>IFERROR(__xludf.DUMMYFUNCTION("""COMPUTED_VALUE"""),"Jarm Printing Press")</f>
        <v>Jarm Printing Press</v>
      </c>
      <c r="R40" s="4">
        <f>IFERROR(__xludf.DUMMYFUNCTION("""COMPUTED_VALUE"""),4.874999999999999)</f>
        <v>4.875</v>
      </c>
    </row>
    <row r="41">
      <c r="A41" s="288">
        <v>26.0</v>
      </c>
      <c r="B41" s="98" t="s">
        <v>137</v>
      </c>
      <c r="C41" s="4">
        <v>4.583333333333333</v>
      </c>
      <c r="E41" s="98">
        <v>29.0</v>
      </c>
      <c r="F41" s="98" t="s">
        <v>153</v>
      </c>
      <c r="G41" s="4">
        <v>4.791666666666666</v>
      </c>
      <c r="I41" s="294">
        <v>27.0</v>
      </c>
      <c r="J41" s="297" t="s">
        <v>178</v>
      </c>
      <c r="K41" s="4"/>
      <c r="M41" s="59" t="str">
        <f>IFERROR(__xludf.DUMMYFUNCTION("""COMPUTED_VALUE"""),"Contrade Integrated Depot")</f>
        <v>Contrade Integrated Depot</v>
      </c>
      <c r="N41" s="4">
        <f>IFERROR(__xludf.DUMMYFUNCTION("""COMPUTED_VALUE"""),4.83)</f>
        <v>4.83</v>
      </c>
      <c r="O41" s="60">
        <f>IFERROR(__xludf.DUMMYFUNCTION("""COMPUTED_VALUE"""),45199.0)</f>
        <v>45199</v>
      </c>
      <c r="Q41" s="59" t="str">
        <f>IFERROR(__xludf.DUMMYFUNCTION("""COMPUTED_VALUE"""),"Leonard Prints Inc.")</f>
        <v>Leonard Prints Inc.</v>
      </c>
      <c r="R41" s="4">
        <f>IFERROR(__xludf.DUMMYFUNCTION("""COMPUTED_VALUE"""),4.84375)</f>
        <v>4.84375</v>
      </c>
    </row>
    <row r="42">
      <c r="A42" s="288">
        <v>27.0</v>
      </c>
      <c r="B42" s="98" t="s">
        <v>139</v>
      </c>
      <c r="C42" s="286"/>
      <c r="E42" s="98">
        <v>30.0</v>
      </c>
      <c r="F42" s="98" t="s">
        <v>155</v>
      </c>
      <c r="G42" s="4"/>
      <c r="I42" s="296">
        <v>28.0</v>
      </c>
      <c r="J42" s="297" t="s">
        <v>2504</v>
      </c>
      <c r="K42" s="4"/>
      <c r="M42" s="59" t="str">
        <f>IFERROR(__xludf.DUMMYFUNCTION("""COMPUTED_VALUE"""),"EESM Bookstore")</f>
        <v>EESM Bookstore</v>
      </c>
      <c r="N42" s="4">
        <f>IFERROR(__xludf.DUMMYFUNCTION("""COMPUTED_VALUE"""),4.733333333333333)</f>
        <v>4.733333333</v>
      </c>
      <c r="O42" s="60">
        <f>IFERROR(__xludf.DUMMYFUNCTION("""COMPUTED_VALUE"""),45199.0)</f>
        <v>45199</v>
      </c>
      <c r="Q42" s="59" t="str">
        <f>IFERROR(__xludf.DUMMYFUNCTION("""COMPUTED_VALUE"""),"Lordfel Marketing")</f>
        <v>Lordfel Marketing</v>
      </c>
      <c r="R42" s="4">
        <f>IFERROR(__xludf.DUMMYFUNCTION("""COMPUTED_VALUE"""),4.166666666666667)</f>
        <v>4.166666667</v>
      </c>
    </row>
    <row r="43">
      <c r="A43" s="288">
        <v>28.0</v>
      </c>
      <c r="B43" s="98" t="s">
        <v>141</v>
      </c>
      <c r="C43" s="286"/>
      <c r="E43" s="98">
        <v>31.0</v>
      </c>
      <c r="F43" s="98" t="s">
        <v>157</v>
      </c>
      <c r="G43" s="4"/>
      <c r="I43" s="294">
        <v>29.0</v>
      </c>
      <c r="J43" s="297" t="s">
        <v>182</v>
      </c>
      <c r="K43" s="4"/>
      <c r="M43" s="59" t="str">
        <f>IFERROR(__xludf.DUMMYFUNCTION("""COMPUTED_VALUE"""),"EESM Bookstore")</f>
        <v>EESM Bookstore</v>
      </c>
      <c r="N43" s="4">
        <f>IFERROR(__xludf.DUMMYFUNCTION("""COMPUTED_VALUE"""),4.833333333333333)</f>
        <v>4.833333333</v>
      </c>
      <c r="O43" s="60">
        <f>IFERROR(__xludf.DUMMYFUNCTION("""COMPUTED_VALUE"""),45199.0)</f>
        <v>45199</v>
      </c>
      <c r="Q43" s="59" t="str">
        <f>IFERROR(__xludf.DUMMYFUNCTION("""COMPUTED_VALUE"""),"Luminaire Printing And Publishing Corp.")</f>
        <v>Luminaire Printing And Publishing Corp.</v>
      </c>
      <c r="R43" s="4">
        <f>IFERROR(__xludf.DUMMYFUNCTION("""COMPUTED_VALUE"""),4.866666666666666)</f>
        <v>4.866666667</v>
      </c>
    </row>
    <row r="44">
      <c r="A44" s="288">
        <v>29.0</v>
      </c>
      <c r="B44" s="98" t="s">
        <v>143</v>
      </c>
      <c r="C44" s="4">
        <v>4.60462962962963</v>
      </c>
      <c r="E44" s="78" t="s">
        <v>163</v>
      </c>
      <c r="F44" s="54"/>
      <c r="G44" s="36" t="str">
        <f>average(G45:G49)</f>
        <v>#DIV/0!</v>
      </c>
      <c r="I44" s="296">
        <v>30.0</v>
      </c>
      <c r="J44" s="297" t="s">
        <v>185</v>
      </c>
      <c r="K44" s="4"/>
      <c r="M44" s="59" t="str">
        <f>IFERROR(__xludf.DUMMYFUNCTION("""COMPUTED_VALUE"""),"EESM Bookstore")</f>
        <v>EESM Bookstore</v>
      </c>
      <c r="N44" s="4">
        <f>IFERROR(__xludf.DUMMYFUNCTION("""COMPUTED_VALUE"""),4.833333333333333)</f>
        <v>4.833333333</v>
      </c>
      <c r="O44" s="60">
        <f>IFERROR(__xludf.DUMMYFUNCTION("""COMPUTED_VALUE"""),45199.0)</f>
        <v>45199</v>
      </c>
      <c r="Q44" s="59" t="str">
        <f>IFERROR(__xludf.DUMMYFUNCTION("""COMPUTED_VALUE"""),"Manila Rubber Corporation")</f>
        <v>Manila Rubber Corporation</v>
      </c>
      <c r="R44" s="4">
        <f>IFERROR(__xludf.DUMMYFUNCTION("""COMPUTED_VALUE"""),4.375)</f>
        <v>4.375</v>
      </c>
    </row>
    <row r="45">
      <c r="A45" s="288">
        <v>30.0</v>
      </c>
      <c r="B45" s="98" t="s">
        <v>2513</v>
      </c>
      <c r="C45" s="286"/>
      <c r="E45" s="98">
        <v>32.0</v>
      </c>
      <c r="F45" s="98" t="s">
        <v>172</v>
      </c>
      <c r="G45" s="4"/>
      <c r="I45" s="294">
        <v>31.0</v>
      </c>
      <c r="J45" s="297" t="s">
        <v>194</v>
      </c>
      <c r="K45" s="4"/>
      <c r="M45" s="59" t="str">
        <f>IFERROR(__xludf.DUMMYFUNCTION("""COMPUTED_VALUE"""),"Chemtrust Global Market, Inc.")</f>
        <v>Chemtrust Global Market, Inc.</v>
      </c>
      <c r="N45" s="4">
        <f>IFERROR(__xludf.DUMMYFUNCTION("""COMPUTED_VALUE"""),4.558333333333334)</f>
        <v>4.558333333</v>
      </c>
      <c r="O45" s="60">
        <f>IFERROR(__xludf.DUMMYFUNCTION("""COMPUTED_VALUE"""),45201.0)</f>
        <v>45201</v>
      </c>
      <c r="Q45" s="59" t="str">
        <f>IFERROR(__xludf.DUMMYFUNCTION("""COMPUTED_VALUE"""),"Marrbont Corporation")</f>
        <v>Marrbont Corporation</v>
      </c>
      <c r="R45" s="4">
        <f>IFERROR(__xludf.DUMMYFUNCTION("""COMPUTED_VALUE"""),4.6)</f>
        <v>4.6</v>
      </c>
    </row>
    <row r="46">
      <c r="A46" s="288">
        <v>31.0</v>
      </c>
      <c r="B46" s="98" t="s">
        <v>153</v>
      </c>
      <c r="C46" s="4">
        <v>4.791666666666666</v>
      </c>
      <c r="E46" s="98">
        <v>33.0</v>
      </c>
      <c r="F46" s="98" t="s">
        <v>174</v>
      </c>
      <c r="G46" s="4"/>
      <c r="I46" s="296">
        <v>32.0</v>
      </c>
      <c r="J46" s="297" t="s">
        <v>203</v>
      </c>
      <c r="K46" s="4"/>
      <c r="M46" s="59" t="str">
        <f>IFERROR(__xludf.DUMMYFUNCTION("""COMPUTED_VALUE"""),"Chemtrust Global Market, Inc.")</f>
        <v>Chemtrust Global Market, Inc.</v>
      </c>
      <c r="N46" s="4">
        <f>IFERROR(__xludf.DUMMYFUNCTION("""COMPUTED_VALUE"""),4.558333333333334)</f>
        <v>4.558333333</v>
      </c>
      <c r="O46" s="60">
        <f>IFERROR(__xludf.DUMMYFUNCTION("""COMPUTED_VALUE"""),45201.0)</f>
        <v>45201</v>
      </c>
      <c r="Q46" s="59" t="str">
        <f>IFERROR(__xludf.DUMMYFUNCTION("""COMPUTED_VALUE"""),"Microsmith Technology System,Inc.")</f>
        <v>Microsmith Technology System,Inc.</v>
      </c>
      <c r="R46" s="4">
        <f>IFERROR(__xludf.DUMMYFUNCTION("""COMPUTED_VALUE"""),4.868055555555555)</f>
        <v>4.868055556</v>
      </c>
    </row>
    <row r="47">
      <c r="A47" s="288">
        <v>32.0</v>
      </c>
      <c r="B47" s="98" t="s">
        <v>155</v>
      </c>
      <c r="C47" s="286"/>
      <c r="E47" s="98">
        <v>34.0</v>
      </c>
      <c r="F47" s="98" t="s">
        <v>177</v>
      </c>
      <c r="G47" s="4"/>
      <c r="I47" s="294">
        <v>33.0</v>
      </c>
      <c r="J47" s="297" t="s">
        <v>339</v>
      </c>
      <c r="K47" s="4"/>
      <c r="M47" s="59" t="str">
        <f>IFERROR(__xludf.DUMMYFUNCTION("""COMPUTED_VALUE"""),"Creative Juice Digital Printing")</f>
        <v>Creative Juice Digital Printing</v>
      </c>
      <c r="N47" s="4">
        <f>IFERROR(__xludf.DUMMYFUNCTION("""COMPUTED_VALUE"""),5.0)</f>
        <v>5</v>
      </c>
      <c r="O47" s="144">
        <f>IFERROR(__xludf.DUMMYFUNCTION("""COMPUTED_VALUE"""),45201.0)</f>
        <v>45201</v>
      </c>
      <c r="Q47" s="59" t="str">
        <f>IFERROR(__xludf.DUMMYFUNCTION("""COMPUTED_VALUE"""),"Mostaco Printing")</f>
        <v>Mostaco Printing</v>
      </c>
      <c r="R47" s="4">
        <f>IFERROR(__xludf.DUMMYFUNCTION("""COMPUTED_VALUE"""),5.0)</f>
        <v>5</v>
      </c>
    </row>
    <row r="48">
      <c r="A48" s="288">
        <v>33.0</v>
      </c>
      <c r="B48" s="98" t="s">
        <v>157</v>
      </c>
      <c r="C48" s="286"/>
      <c r="E48" s="98">
        <v>35.0</v>
      </c>
      <c r="F48" s="98" t="s">
        <v>179</v>
      </c>
      <c r="G48" s="4"/>
      <c r="I48" s="296">
        <v>34.0</v>
      </c>
      <c r="J48" s="297" t="s">
        <v>347</v>
      </c>
      <c r="K48" s="4"/>
      <c r="M48" s="59" t="str">
        <f>IFERROR(__xludf.DUMMYFUNCTION("""COMPUTED_VALUE"""),"Creative Juice Digital Printing")</f>
        <v>Creative Juice Digital Printing</v>
      </c>
      <c r="N48" s="4">
        <f>IFERROR(__xludf.DUMMYFUNCTION("""COMPUTED_VALUE"""),4.733333333333333)</f>
        <v>4.733333333</v>
      </c>
      <c r="O48" s="60">
        <f>IFERROR(__xludf.DUMMYFUNCTION("""COMPUTED_VALUE"""),45201.0)</f>
        <v>45201</v>
      </c>
      <c r="Q48" s="59" t="str">
        <f>IFERROR(__xludf.DUMMYFUNCTION("""COMPUTED_VALUE"""),"Net Ad IT Solutions")</f>
        <v>Net Ad IT Solutions</v>
      </c>
      <c r="R48" s="4">
        <f>IFERROR(__xludf.DUMMYFUNCTION("""COMPUTED_VALUE"""),4.8314814814814815)</f>
        <v>4.831481481</v>
      </c>
    </row>
    <row r="49">
      <c r="A49" s="288">
        <v>34.0</v>
      </c>
      <c r="B49" s="98" t="s">
        <v>2523</v>
      </c>
      <c r="C49" s="286"/>
      <c r="E49" s="98">
        <v>36.0</v>
      </c>
      <c r="F49" s="98" t="s">
        <v>181</v>
      </c>
      <c r="G49" s="4"/>
      <c r="I49" s="294">
        <v>35.0</v>
      </c>
      <c r="J49" s="297" t="s">
        <v>579</v>
      </c>
      <c r="K49" s="4"/>
      <c r="M49" s="59" t="str">
        <f>IFERROR(__xludf.DUMMYFUNCTION("""COMPUTED_VALUE"""),"Rivchem Enterprises")</f>
        <v>Rivchem Enterprises</v>
      </c>
      <c r="N49" s="4">
        <f>IFERROR(__xludf.DUMMYFUNCTION("""COMPUTED_VALUE"""),4.6)</f>
        <v>4.6</v>
      </c>
      <c r="O49" s="60">
        <f>IFERROR(__xludf.DUMMYFUNCTION("""COMPUTED_VALUE"""),45201.0)</f>
        <v>45201</v>
      </c>
      <c r="Q49" s="59" t="str">
        <f>IFERROR(__xludf.DUMMYFUNCTION("""COMPUTED_VALUE"""),"Oray Copier Solutions")</f>
        <v>Oray Copier Solutions</v>
      </c>
      <c r="R49" s="4">
        <f>IFERROR(__xludf.DUMMYFUNCTION("""COMPUTED_VALUE"""),4.666666666666667)</f>
        <v>4.666666667</v>
      </c>
    </row>
    <row r="50">
      <c r="A50" s="298" t="s">
        <v>2393</v>
      </c>
      <c r="B50" s="54"/>
      <c r="C50" s="299">
        <f>AVERAGE(C39:C49)</f>
        <v>4.659876543</v>
      </c>
      <c r="E50" s="78" t="s">
        <v>184</v>
      </c>
      <c r="F50" s="54"/>
      <c r="G50" s="36">
        <f>average(G51:G55)</f>
        <v>4.916666667</v>
      </c>
      <c r="I50" s="296">
        <v>36.0</v>
      </c>
      <c r="J50" s="111" t="s">
        <v>222</v>
      </c>
      <c r="K50" s="4">
        <v>4.991666666666666</v>
      </c>
      <c r="M50" s="59" t="str">
        <f>IFERROR(__xludf.DUMMYFUNCTION("""COMPUTED_VALUE"""),"Falcon Waterfree Philippines, Inc.")</f>
        <v>Falcon Waterfree Philippines, Inc.</v>
      </c>
      <c r="N50" s="4">
        <f>IFERROR(__xludf.DUMMYFUNCTION("""COMPUTED_VALUE"""),4.75)</f>
        <v>4.75</v>
      </c>
      <c r="O50" s="60">
        <f>IFERROR(__xludf.DUMMYFUNCTION("""COMPUTED_VALUE"""),45203.0)</f>
        <v>45203</v>
      </c>
      <c r="Q50" s="59" t="str">
        <f>IFERROR(__xludf.DUMMYFUNCTION("""COMPUTED_VALUE"""),"Paper Tree Marketing Group, Inc.")</f>
        <v>Paper Tree Marketing Group, Inc.</v>
      </c>
      <c r="R50" s="4">
        <f>IFERROR(__xludf.DUMMYFUNCTION("""COMPUTED_VALUE"""),4.8)</f>
        <v>4.8</v>
      </c>
    </row>
    <row r="51">
      <c r="A51" s="78" t="s">
        <v>163</v>
      </c>
      <c r="B51" s="54"/>
      <c r="C51" s="286"/>
      <c r="E51" s="98">
        <v>37.0</v>
      </c>
      <c r="F51" s="98" t="s">
        <v>193</v>
      </c>
      <c r="G51" s="4"/>
      <c r="I51" s="293" t="s">
        <v>266</v>
      </c>
      <c r="J51" s="85"/>
      <c r="K51" s="36">
        <f>AVERAGE(K52:K61)</f>
        <v>4.329388889</v>
      </c>
      <c r="M51" s="59" t="str">
        <f>IFERROR(__xludf.DUMMYFUNCTION("""COMPUTED_VALUE"""),"Contrade Integrated Depot")</f>
        <v>Contrade Integrated Depot</v>
      </c>
      <c r="N51" s="4">
        <f>IFERROR(__xludf.DUMMYFUNCTION("""COMPUTED_VALUE"""),4.83)</f>
        <v>4.83</v>
      </c>
      <c r="O51" s="60">
        <f>IFERROR(__xludf.DUMMYFUNCTION("""COMPUTED_VALUE"""),45205.0)</f>
        <v>45205</v>
      </c>
      <c r="Q51" s="59" t="str">
        <f>IFERROR(__xludf.DUMMYFUNCTION("""COMPUTED_VALUE"""),"Patagonian Enterprises ")</f>
        <v>Patagonian Enterprises </v>
      </c>
      <c r="R51" s="4">
        <f>IFERROR(__xludf.DUMMYFUNCTION("""COMPUTED_VALUE"""),3.6666666666666665)</f>
        <v>3.666666667</v>
      </c>
    </row>
    <row r="52">
      <c r="A52" s="288">
        <v>35.0</v>
      </c>
      <c r="B52" s="98" t="s">
        <v>172</v>
      </c>
      <c r="C52" s="286"/>
      <c r="E52" s="98">
        <v>38.0</v>
      </c>
      <c r="F52" s="98" t="s">
        <v>198</v>
      </c>
      <c r="G52" s="4"/>
      <c r="I52" s="294">
        <v>37.0</v>
      </c>
      <c r="J52" s="295" t="s">
        <v>274</v>
      </c>
      <c r="K52" s="4"/>
      <c r="M52" s="59" t="str">
        <f>IFERROR(__xludf.DUMMYFUNCTION("""COMPUTED_VALUE"""),"Contrade Integrated Depot")</f>
        <v>Contrade Integrated Depot</v>
      </c>
      <c r="N52" s="4">
        <f>IFERROR(__xludf.DUMMYFUNCTION("""COMPUTED_VALUE"""),4.83)</f>
        <v>4.83</v>
      </c>
      <c r="O52" s="60">
        <f>IFERROR(__xludf.DUMMYFUNCTION("""COMPUTED_VALUE"""),45205.0)</f>
        <v>45205</v>
      </c>
      <c r="Q52" s="59" t="str">
        <f>IFERROR(__xludf.DUMMYFUNCTION("""COMPUTED_VALUE"""),"Polaris Prime Air Tech Corporation")</f>
        <v>Polaris Prime Air Tech Corporation</v>
      </c>
      <c r="R52" s="4">
        <f>IFERROR(__xludf.DUMMYFUNCTION("""COMPUTED_VALUE"""),4.666666666666667)</f>
        <v>4.666666667</v>
      </c>
    </row>
    <row r="53">
      <c r="A53" s="288">
        <v>36.0</v>
      </c>
      <c r="B53" s="98" t="s">
        <v>183</v>
      </c>
      <c r="C53" s="286"/>
      <c r="E53" s="98">
        <v>39.0</v>
      </c>
      <c r="F53" s="98" t="s">
        <v>202</v>
      </c>
      <c r="G53" s="4"/>
      <c r="I53" s="294">
        <v>38.0</v>
      </c>
      <c r="J53" s="297" t="s">
        <v>282</v>
      </c>
      <c r="K53" s="4"/>
      <c r="M53" s="59" t="str">
        <f>IFERROR(__xludf.DUMMYFUNCTION("""COMPUTED_VALUE"""),"EESM Bookstore")</f>
        <v>EESM Bookstore</v>
      </c>
      <c r="N53" s="4">
        <f>IFERROR(__xludf.DUMMYFUNCTION("""COMPUTED_VALUE"""),4.833333333333333)</f>
        <v>4.833333333</v>
      </c>
      <c r="O53" s="60">
        <f>IFERROR(__xludf.DUMMYFUNCTION("""COMPUTED_VALUE"""),45205.0)</f>
        <v>45205</v>
      </c>
      <c r="Q53" s="59" t="str">
        <f>IFERROR(__xludf.DUMMYFUNCTION("""COMPUTED_VALUE"""),"Primeline Products Philippines, Inc.")</f>
        <v>Primeline Products Philippines, Inc.</v>
      </c>
      <c r="R53" s="4">
        <f>IFERROR(__xludf.DUMMYFUNCTION("""COMPUTED_VALUE"""),4.75)</f>
        <v>4.75</v>
      </c>
    </row>
    <row r="54">
      <c r="A54" s="298" t="s">
        <v>2393</v>
      </c>
      <c r="B54" s="54"/>
      <c r="C54" s="299" t="str">
        <f>AVERAGE(C52:C53)</f>
        <v>#DIV/0!</v>
      </c>
      <c r="E54" s="98">
        <v>40.0</v>
      </c>
      <c r="F54" s="98" t="s">
        <v>209</v>
      </c>
      <c r="G54" s="4">
        <v>4.916666666666666</v>
      </c>
      <c r="I54" s="294">
        <v>39.0</v>
      </c>
      <c r="J54" s="297" t="s">
        <v>219</v>
      </c>
      <c r="K54" s="4">
        <v>4.333333333333333</v>
      </c>
      <c r="M54" s="59" t="str">
        <f>IFERROR(__xludf.DUMMYFUNCTION("""COMPUTED_VALUE"""),"Rivchem Enterprises")</f>
        <v>Rivchem Enterprises</v>
      </c>
      <c r="N54" s="4">
        <f>IFERROR(__xludf.DUMMYFUNCTION("""COMPUTED_VALUE"""),4.183333333333334)</f>
        <v>4.183333333</v>
      </c>
      <c r="O54" s="60">
        <f>IFERROR(__xludf.DUMMYFUNCTION("""COMPUTED_VALUE"""),45205.0)</f>
        <v>45205</v>
      </c>
      <c r="Q54" s="59" t="str">
        <f>IFERROR(__xludf.DUMMYFUNCTION("""COMPUTED_VALUE"""),"Printing Shop PrintPilipinas.com")</f>
        <v>Printing Shop PrintPilipinas.com</v>
      </c>
      <c r="R54" s="4">
        <f>IFERROR(__xludf.DUMMYFUNCTION("""COMPUTED_VALUE"""),4.732916666666667)</f>
        <v>4.732916667</v>
      </c>
    </row>
    <row r="55">
      <c r="A55" s="78" t="s">
        <v>184</v>
      </c>
      <c r="B55" s="54"/>
      <c r="C55" s="286"/>
      <c r="E55" s="98">
        <v>41.0</v>
      </c>
      <c r="F55" s="98" t="s">
        <v>214</v>
      </c>
      <c r="G55" s="4"/>
      <c r="I55" s="294">
        <v>40.0</v>
      </c>
      <c r="J55" s="297" t="s">
        <v>295</v>
      </c>
      <c r="K55" s="4">
        <v>4.325444444444444</v>
      </c>
      <c r="M55" s="59" t="str">
        <f>IFERROR(__xludf.DUMMYFUNCTION("""COMPUTED_VALUE"""),"Marrbont Corporation")</f>
        <v>Marrbont Corporation</v>
      </c>
      <c r="N55" s="4">
        <f>IFERROR(__xludf.DUMMYFUNCTION("""COMPUTED_VALUE"""),4.6)</f>
        <v>4.6</v>
      </c>
      <c r="O55" s="60">
        <f>IFERROR(__xludf.DUMMYFUNCTION("""COMPUTED_VALUE"""),45205.0)</f>
        <v>45205</v>
      </c>
      <c r="Q55" s="59" t="str">
        <f>IFERROR(__xludf.DUMMYFUNCTION("""COMPUTED_VALUE"""),"REX Bookstore, Inc.")</f>
        <v>REX Bookstore, Inc.</v>
      </c>
      <c r="R55" s="4">
        <f>IFERROR(__xludf.DUMMYFUNCTION("""COMPUTED_VALUE"""),4.833333333333333)</f>
        <v>4.833333333</v>
      </c>
    </row>
    <row r="56">
      <c r="A56" s="288">
        <v>37.0</v>
      </c>
      <c r="B56" s="98" t="s">
        <v>193</v>
      </c>
      <c r="C56" s="286"/>
      <c r="E56" s="78" t="s">
        <v>220</v>
      </c>
      <c r="F56" s="54"/>
      <c r="G56" s="36">
        <f>average(G57:G59)</f>
        <v>4</v>
      </c>
      <c r="I56" s="294">
        <v>41.0</v>
      </c>
      <c r="J56" s="297" t="s">
        <v>303</v>
      </c>
      <c r="K56" s="4"/>
      <c r="M56" s="59" t="str">
        <f>IFERROR(__xludf.DUMMYFUNCTION("""COMPUTED_VALUE"""),"Wisechoice Cleaning Supplies and Trading Corp.")</f>
        <v>Wisechoice Cleaning Supplies and Trading Corp.</v>
      </c>
      <c r="N56" s="4">
        <f>IFERROR(__xludf.DUMMYFUNCTION("""COMPUTED_VALUE"""),4.6)</f>
        <v>4.6</v>
      </c>
      <c r="O56" s="60">
        <f>IFERROR(__xludf.DUMMYFUNCTION("""COMPUTED_VALUE"""),45205.0)</f>
        <v>45205</v>
      </c>
      <c r="Q56" s="59" t="str">
        <f>IFERROR(__xludf.DUMMYFUNCTION("""COMPUTED_VALUE"""),"RSAZ Corporation")</f>
        <v>RSAZ Corporation</v>
      </c>
      <c r="R56" s="4">
        <f>IFERROR(__xludf.DUMMYFUNCTION("""COMPUTED_VALUE"""),4.833333333333333)</f>
        <v>4.833333333</v>
      </c>
    </row>
    <row r="57">
      <c r="A57" s="288">
        <v>38.0</v>
      </c>
      <c r="B57" s="98" t="s">
        <v>198</v>
      </c>
      <c r="C57" s="286"/>
      <c r="E57" s="167">
        <v>42.0</v>
      </c>
      <c r="F57" s="98" t="s">
        <v>230</v>
      </c>
      <c r="G57" s="4"/>
      <c r="I57" s="294">
        <v>42.0</v>
      </c>
      <c r="J57" s="297" t="s">
        <v>2544</v>
      </c>
      <c r="K57" s="4"/>
      <c r="M57" s="59" t="str">
        <f>IFERROR(__xludf.DUMMYFUNCTION("""COMPUTED_VALUE"""),"Contrade Integrated Depot")</f>
        <v>Contrade Integrated Depot</v>
      </c>
      <c r="N57" s="4">
        <f>IFERROR(__xludf.DUMMYFUNCTION("""COMPUTED_VALUE"""),4.83)</f>
        <v>4.83</v>
      </c>
      <c r="O57" s="60">
        <f>IFERROR(__xludf.DUMMYFUNCTION("""COMPUTED_VALUE"""),45212.0)</f>
        <v>45212</v>
      </c>
      <c r="Q57" s="59" t="str">
        <f>IFERROR(__xludf.DUMMYFUNCTION("""COMPUTED_VALUE"""),"Raynard's Enterprises")</f>
        <v>Raynard's Enterprises</v>
      </c>
      <c r="R57" s="4">
        <f>IFERROR(__xludf.DUMMYFUNCTION("""COMPUTED_VALUE"""),4.733333333333333)</f>
        <v>4.733333333</v>
      </c>
    </row>
    <row r="58">
      <c r="A58" s="288">
        <v>39.0</v>
      </c>
      <c r="B58" s="98" t="s">
        <v>202</v>
      </c>
      <c r="C58" s="286"/>
      <c r="E58" s="167">
        <v>43.0</v>
      </c>
      <c r="F58" s="98" t="s">
        <v>234</v>
      </c>
      <c r="G58" s="4">
        <v>4.0</v>
      </c>
      <c r="I58" s="294">
        <v>43.0</v>
      </c>
      <c r="J58" s="297" t="s">
        <v>316</v>
      </c>
      <c r="K58" s="4"/>
      <c r="M58" s="59" t="str">
        <f>IFERROR(__xludf.DUMMYFUNCTION("""COMPUTED_VALUE"""),"Creative Juice Digital Printing")</f>
        <v>Creative Juice Digital Printing</v>
      </c>
      <c r="N58" s="4">
        <f>IFERROR(__xludf.DUMMYFUNCTION("""COMPUTED_VALUE"""),4.833333333333333)</f>
        <v>4.833333333</v>
      </c>
      <c r="O58" s="60">
        <f>IFERROR(__xludf.DUMMYFUNCTION("""COMPUTED_VALUE"""),45212.0)</f>
        <v>45212</v>
      </c>
      <c r="Q58" s="59" t="str">
        <f>IFERROR(__xludf.DUMMYFUNCTION("""COMPUTED_VALUE"""),"Rivchem Enterprises")</f>
        <v>Rivchem Enterprises</v>
      </c>
      <c r="R58" s="4">
        <f>IFERROR(__xludf.DUMMYFUNCTION("""COMPUTED_VALUE"""),4.545740740740741)</f>
        <v>4.545740741</v>
      </c>
    </row>
    <row r="59">
      <c r="A59" s="288">
        <v>40.0</v>
      </c>
      <c r="B59" s="98" t="s">
        <v>209</v>
      </c>
      <c r="C59" s="4">
        <v>4.916666666666666</v>
      </c>
      <c r="E59" s="98">
        <v>44.0</v>
      </c>
      <c r="F59" s="98" t="s">
        <v>240</v>
      </c>
      <c r="G59" s="4"/>
      <c r="I59" s="294">
        <v>44.0</v>
      </c>
      <c r="J59" s="297" t="s">
        <v>323</v>
      </c>
      <c r="K59" s="4"/>
      <c r="M59" s="59" t="str">
        <f>IFERROR(__xludf.DUMMYFUNCTION("""COMPUTED_VALUE"""),"Rivchem Enterprises")</f>
        <v>Rivchem Enterprises</v>
      </c>
      <c r="N59" s="4">
        <f>IFERROR(__xludf.DUMMYFUNCTION("""COMPUTED_VALUE"""),5.0)</f>
        <v>5</v>
      </c>
      <c r="O59" s="60">
        <f>IFERROR(__xludf.DUMMYFUNCTION("""COMPUTED_VALUE"""),45212.0)</f>
        <v>45212</v>
      </c>
      <c r="Q59" s="59" t="str">
        <f>IFERROR(__xludf.DUMMYFUNCTION("""COMPUTED_VALUE"""),"Roavsan General Merchandise")</f>
        <v>Roavsan General Merchandise</v>
      </c>
      <c r="R59" s="4">
        <f>IFERROR(__xludf.DUMMYFUNCTION("""COMPUTED_VALUE"""),4.0)</f>
        <v>4</v>
      </c>
    </row>
    <row r="60">
      <c r="A60" s="288">
        <v>41.0</v>
      </c>
      <c r="B60" s="98" t="s">
        <v>218</v>
      </c>
      <c r="C60" s="4">
        <v>4.291666666666667</v>
      </c>
      <c r="E60" s="78" t="s">
        <v>248</v>
      </c>
      <c r="F60" s="54"/>
      <c r="G60" s="36">
        <f>average(G61:G65)</f>
        <v>4.666666667</v>
      </c>
      <c r="I60" s="294">
        <v>45.0</v>
      </c>
      <c r="J60" s="297" t="s">
        <v>98</v>
      </c>
      <c r="K60" s="4"/>
      <c r="M60" s="59" t="str">
        <f>IFERROR(__xludf.DUMMYFUNCTION("""COMPUTED_VALUE"""),"Rivchem Enterprises")</f>
        <v>Rivchem Enterprises</v>
      </c>
      <c r="N60" s="4">
        <f>IFERROR(__xludf.DUMMYFUNCTION("""COMPUTED_VALUE"""),4.258333333333334)</f>
        <v>4.258333333</v>
      </c>
      <c r="O60" s="60">
        <f>IFERROR(__xludf.DUMMYFUNCTION("""COMPUTED_VALUE"""),45213.0)</f>
        <v>45213</v>
      </c>
      <c r="Q60" s="59" t="str">
        <f>IFERROR(__xludf.DUMMYFUNCTION("""COMPUTED_VALUE"""),"Ronald Personalized Fashion Specialist")</f>
        <v>Ronald Personalized Fashion Specialist</v>
      </c>
      <c r="R60" s="4">
        <f>IFERROR(__xludf.DUMMYFUNCTION("""COMPUTED_VALUE"""),4.0)</f>
        <v>4</v>
      </c>
    </row>
    <row r="61">
      <c r="A61" s="298" t="s">
        <v>2393</v>
      </c>
      <c r="B61" s="54"/>
      <c r="C61" s="299">
        <f>AVERAGE(C56:C60)</f>
        <v>4.604166667</v>
      </c>
      <c r="E61" s="167">
        <v>45.0</v>
      </c>
      <c r="F61" s="98" t="s">
        <v>258</v>
      </c>
      <c r="G61" s="4">
        <v>4.833333333333333</v>
      </c>
      <c r="I61" s="294">
        <v>46.0</v>
      </c>
      <c r="J61" s="297" t="s">
        <v>340</v>
      </c>
      <c r="K61" s="4"/>
      <c r="M61" s="59" t="str">
        <f>IFERROR(__xludf.DUMMYFUNCTION("""COMPUTED_VALUE"""),"Rivchem Enterprises")</f>
        <v>Rivchem Enterprises</v>
      </c>
      <c r="N61" s="4">
        <f>IFERROR(__xludf.DUMMYFUNCTION("""COMPUTED_VALUE"""),4.333333333333333)</f>
        <v>4.333333333</v>
      </c>
      <c r="O61" s="60">
        <f>IFERROR(__xludf.DUMMYFUNCTION("""COMPUTED_VALUE"""),45213.0)</f>
        <v>45213</v>
      </c>
      <c r="Q61" s="59" t="str">
        <f>IFERROR(__xludf.DUMMYFUNCTION("""COMPUTED_VALUE"""),"Times Trading Co., Inc.")</f>
        <v>Times Trading Co., Inc.</v>
      </c>
      <c r="R61" s="4">
        <f>IFERROR(__xludf.DUMMYFUNCTION("""COMPUTED_VALUE"""),4.686041666666667)</f>
        <v>4.686041667</v>
      </c>
    </row>
    <row r="62">
      <c r="A62" s="78" t="s">
        <v>220</v>
      </c>
      <c r="B62" s="110"/>
      <c r="C62" s="286"/>
      <c r="E62" s="167">
        <v>46.0</v>
      </c>
      <c r="F62" s="98" t="s">
        <v>264</v>
      </c>
      <c r="G62" s="4">
        <v>4.5</v>
      </c>
      <c r="I62" s="293" t="s">
        <v>133</v>
      </c>
      <c r="J62" s="85"/>
      <c r="K62" s="36">
        <f>AVERAGE(K63:K72)</f>
        <v>4.53047619</v>
      </c>
      <c r="M62" s="59" t="str">
        <f>IFERROR(__xludf.DUMMYFUNCTION("""COMPUTED_VALUE"""),"Rivchem Enterprises")</f>
        <v>Rivchem Enterprises</v>
      </c>
      <c r="N62" s="4">
        <f>IFERROR(__xludf.DUMMYFUNCTION("""COMPUTED_VALUE"""),5.0)</f>
        <v>5</v>
      </c>
      <c r="O62" s="60">
        <f>IFERROR(__xludf.DUMMYFUNCTION("""COMPUTED_VALUE"""),45213.0)</f>
        <v>45213</v>
      </c>
      <c r="Q62" s="59" t="str">
        <f>IFERROR(__xludf.DUMMYFUNCTION("""COMPUTED_VALUE"""),"Tropical Palms Fashion House, Inc.")</f>
        <v>Tropical Palms Fashion House, Inc.</v>
      </c>
      <c r="R62" s="4">
        <f>IFERROR(__xludf.DUMMYFUNCTION("""COMPUTED_VALUE"""),4.729761904761905)</f>
        <v>4.729761905</v>
      </c>
    </row>
    <row r="63">
      <c r="A63" s="288">
        <v>42.0</v>
      </c>
      <c r="B63" s="98" t="s">
        <v>230</v>
      </c>
      <c r="C63" s="289">
        <v>5.0</v>
      </c>
      <c r="E63" s="167">
        <v>47.0</v>
      </c>
      <c r="F63" s="98" t="s">
        <v>273</v>
      </c>
      <c r="G63" s="4"/>
      <c r="I63" s="294">
        <v>47.0</v>
      </c>
      <c r="J63" s="297" t="s">
        <v>362</v>
      </c>
      <c r="K63" s="4"/>
      <c r="M63" s="59" t="str">
        <f>IFERROR(__xludf.DUMMYFUNCTION("""COMPUTED_VALUE"""),"Commerce Asia, Inc.")</f>
        <v>Commerce Asia, Inc.</v>
      </c>
      <c r="N63" s="4">
        <f>IFERROR(__xludf.DUMMYFUNCTION("""COMPUTED_VALUE"""),5.0)</f>
        <v>5</v>
      </c>
      <c r="O63" s="60">
        <f>IFERROR(__xludf.DUMMYFUNCTION("""COMPUTED_VALUE"""),45215.0)</f>
        <v>45215</v>
      </c>
      <c r="Q63" s="59" t="str">
        <f>IFERROR(__xludf.DUMMYFUNCTION("""COMPUTED_VALUE"""),"ULTRA PETRONNE INTERIOR SUPPLY CORPORATION")</f>
        <v>ULTRA PETRONNE INTERIOR SUPPLY CORPORATION</v>
      </c>
      <c r="R63" s="4">
        <f>IFERROR(__xludf.DUMMYFUNCTION("""COMPUTED_VALUE"""),4.5)</f>
        <v>4.5</v>
      </c>
    </row>
    <row r="64">
      <c r="A64" s="288">
        <v>43.0</v>
      </c>
      <c r="B64" s="98" t="s">
        <v>234</v>
      </c>
      <c r="C64" s="4">
        <v>4.0</v>
      </c>
      <c r="E64" s="167">
        <v>48.0</v>
      </c>
      <c r="F64" s="98" t="s">
        <v>281</v>
      </c>
      <c r="G64" s="4"/>
      <c r="I64" s="294">
        <v>48.0</v>
      </c>
      <c r="J64" s="297" t="s">
        <v>367</v>
      </c>
      <c r="K64" s="4">
        <v>4.785714285714286</v>
      </c>
      <c r="M64" s="59" t="str">
        <f>IFERROR(__xludf.DUMMYFUNCTION("""COMPUTED_VALUE"""),"Ronald Personalized Fashion Specialist")</f>
        <v>Ronald Personalized Fashion Specialist</v>
      </c>
      <c r="N64" s="4">
        <f>IFERROR(__xludf.DUMMYFUNCTION("""COMPUTED_VALUE"""),4.0)</f>
        <v>4</v>
      </c>
      <c r="O64" s="60">
        <f>IFERROR(__xludf.DUMMYFUNCTION("""COMPUTED_VALUE"""),45216.0)</f>
        <v>45216</v>
      </c>
      <c r="Q64" s="59" t="str">
        <f>IFERROR(__xludf.DUMMYFUNCTION("""COMPUTED_VALUE"""),"V.M Industries Corp.")</f>
        <v>V.M Industries Corp.</v>
      </c>
      <c r="R64" s="4">
        <f>IFERROR(__xludf.DUMMYFUNCTION("""COMPUTED_VALUE"""),4.441666666666666)</f>
        <v>4.441666667</v>
      </c>
    </row>
    <row r="65">
      <c r="A65" s="288">
        <v>44.0</v>
      </c>
      <c r="B65" s="98" t="s">
        <v>240</v>
      </c>
      <c r="C65" s="286"/>
      <c r="E65" s="167">
        <v>49.0</v>
      </c>
      <c r="F65" s="98" t="s">
        <v>287</v>
      </c>
      <c r="G65" s="4"/>
      <c r="I65" s="294">
        <v>49.0</v>
      </c>
      <c r="J65" s="297" t="s">
        <v>371</v>
      </c>
      <c r="K65" s="4">
        <v>4.816666666666666</v>
      </c>
      <c r="M65" s="59" t="str">
        <f>IFERROR(__xludf.DUMMYFUNCTION("""COMPUTED_VALUE"""),"Crosspoint Paper, Inc.")</f>
        <v>Crosspoint Paper, Inc.</v>
      </c>
      <c r="N65" s="4">
        <f>IFERROR(__xludf.DUMMYFUNCTION("""COMPUTED_VALUE"""),5.0)</f>
        <v>5</v>
      </c>
      <c r="O65" s="60">
        <f>IFERROR(__xludf.DUMMYFUNCTION("""COMPUTED_VALUE"""),45217.0)</f>
        <v>45217</v>
      </c>
      <c r="Q65" s="59" t="str">
        <f>IFERROR(__xludf.DUMMYFUNCTION("""COMPUTED_VALUE"""),"Wisechoice Cleaning Supplies and Trading Corp.")</f>
        <v>Wisechoice Cleaning Supplies and Trading Corp.</v>
      </c>
      <c r="R65" s="4">
        <f>IFERROR(__xludf.DUMMYFUNCTION("""COMPUTED_VALUE"""),4.536111111111111)</f>
        <v>4.536111111</v>
      </c>
    </row>
    <row r="66">
      <c r="A66" s="298" t="s">
        <v>2393</v>
      </c>
      <c r="B66" s="54"/>
      <c r="C66" s="299">
        <f>AVERAGE(C63:C65)</f>
        <v>4.5</v>
      </c>
      <c r="E66" s="78" t="s">
        <v>279</v>
      </c>
      <c r="F66" s="54"/>
      <c r="G66" s="36">
        <f>average(G67:G83)</f>
        <v>4.604166667</v>
      </c>
      <c r="I66" s="294">
        <v>50.0</v>
      </c>
      <c r="J66" s="297" t="s">
        <v>225</v>
      </c>
      <c r="K66" s="4">
        <v>4.75</v>
      </c>
      <c r="M66" s="59" t="str">
        <f>IFERROR(__xludf.DUMMYFUNCTION("""COMPUTED_VALUE"""),"Jarm Printing Press")</f>
        <v>Jarm Printing Press</v>
      </c>
      <c r="N66" s="4">
        <f>IFERROR(__xludf.DUMMYFUNCTION("""COMPUTED_VALUE"""),5.0)</f>
        <v>5</v>
      </c>
      <c r="O66" s="60">
        <f>IFERROR(__xludf.DUMMYFUNCTION("""COMPUTED_VALUE"""),45217.0)</f>
        <v>45217</v>
      </c>
      <c r="Q66" s="59" t="str">
        <f>IFERROR(__xludf.DUMMYFUNCTION("""COMPUTED_VALUE"""),"World Magazine Exchange Marketing Corp.")</f>
        <v>World Magazine Exchange Marketing Corp.</v>
      </c>
      <c r="R66" s="4">
        <f>IFERROR(__xludf.DUMMYFUNCTION("""COMPUTED_VALUE"""),4.733333333333333)</f>
        <v>4.733333333</v>
      </c>
    </row>
    <row r="67">
      <c r="A67" s="78" t="s">
        <v>248</v>
      </c>
      <c r="B67" s="110"/>
      <c r="C67" s="286"/>
      <c r="E67" s="98">
        <v>50.0</v>
      </c>
      <c r="F67" s="98" t="s">
        <v>166</v>
      </c>
      <c r="G67" s="4">
        <v>4.416666666666667</v>
      </c>
      <c r="I67" s="294">
        <v>51.0</v>
      </c>
      <c r="J67" s="297" t="s">
        <v>388</v>
      </c>
      <c r="K67" s="4"/>
      <c r="M67" s="59" t="str">
        <f>IFERROR(__xludf.DUMMYFUNCTION("""COMPUTED_VALUE"""),"Crosspoint Paper, Inc.")</f>
        <v>Crosspoint Paper, Inc.</v>
      </c>
      <c r="N67" s="4">
        <f>IFERROR(__xludf.DUMMYFUNCTION("""COMPUTED_VALUE"""),5.0)</f>
        <v>5</v>
      </c>
      <c r="O67" s="60">
        <f>IFERROR(__xludf.DUMMYFUNCTION("""COMPUTED_VALUE"""),45218.0)</f>
        <v>45218</v>
      </c>
      <c r="Q67" s="59" t="str">
        <f>IFERROR(__xludf.DUMMYFUNCTION("""COMPUTED_VALUE"""),"Zariah's Non-Specialized Wholesale Trading")</f>
        <v>Zariah's Non-Specialized Wholesale Trading</v>
      </c>
      <c r="R67" s="4">
        <f>IFERROR(__xludf.DUMMYFUNCTION("""COMPUTED_VALUE"""),4.791666666666667)</f>
        <v>4.791666667</v>
      </c>
    </row>
    <row r="68">
      <c r="A68" s="288">
        <v>45.0</v>
      </c>
      <c r="B68" s="98" t="s">
        <v>258</v>
      </c>
      <c r="C68" s="4">
        <v>4.833333333333333</v>
      </c>
      <c r="E68" s="98">
        <v>51.0</v>
      </c>
      <c r="F68" s="98" t="s">
        <v>173</v>
      </c>
      <c r="G68" s="4">
        <v>4.791666666666667</v>
      </c>
      <c r="I68" s="294">
        <v>52.0</v>
      </c>
      <c r="J68" s="297" t="s">
        <v>2569</v>
      </c>
      <c r="K68" s="4"/>
      <c r="M68" s="59" t="str">
        <f>IFERROR(__xludf.DUMMYFUNCTION("""COMPUTED_VALUE"""),"Abacus Book &amp; Card Corp.")</f>
        <v>Abacus Book &amp; Card Corp.</v>
      </c>
      <c r="N68" s="4">
        <f>IFERROR(__xludf.DUMMYFUNCTION("""COMPUTED_VALUE"""),5.0)</f>
        <v>5</v>
      </c>
      <c r="O68" s="60">
        <f>IFERROR(__xludf.DUMMYFUNCTION("""COMPUTED_VALUE"""),45225.0)</f>
        <v>45225</v>
      </c>
      <c r="R68" s="4"/>
    </row>
    <row r="69">
      <c r="A69" s="288">
        <v>46.0</v>
      </c>
      <c r="B69" s="98" t="s">
        <v>264</v>
      </c>
      <c r="C69" s="4">
        <v>4.5</v>
      </c>
      <c r="E69" s="98">
        <v>52.0</v>
      </c>
      <c r="F69" s="98" t="s">
        <v>178</v>
      </c>
      <c r="G69" s="4"/>
      <c r="I69" s="294">
        <v>53.0</v>
      </c>
      <c r="J69" s="297" t="s">
        <v>398</v>
      </c>
      <c r="K69" s="4">
        <v>4.966666666666667</v>
      </c>
      <c r="M69" s="59" t="str">
        <f>IFERROR(__xludf.DUMMYFUNCTION("""COMPUTED_VALUE"""),"Abacus Book &amp; Card Corp.")</f>
        <v>Abacus Book &amp; Card Corp.</v>
      </c>
      <c r="N69" s="4">
        <f>IFERROR(__xludf.DUMMYFUNCTION("""COMPUTED_VALUE"""),5.0)</f>
        <v>5</v>
      </c>
      <c r="O69" s="60">
        <f>IFERROR(__xludf.DUMMYFUNCTION("""COMPUTED_VALUE"""),45225.0)</f>
        <v>45225</v>
      </c>
      <c r="R69" s="4"/>
    </row>
    <row r="70">
      <c r="A70" s="298" t="s">
        <v>2393</v>
      </c>
      <c r="B70" s="54"/>
      <c r="C70" s="299">
        <f>AVERAGE(C68:C69)</f>
        <v>4.666666667</v>
      </c>
      <c r="E70" s="98">
        <v>53.0</v>
      </c>
      <c r="F70" s="98" t="s">
        <v>180</v>
      </c>
      <c r="G70" s="4"/>
      <c r="I70" s="294">
        <v>54.0</v>
      </c>
      <c r="J70" s="297" t="s">
        <v>403</v>
      </c>
      <c r="K70" s="4">
        <v>3.3333333333333335</v>
      </c>
      <c r="M70" s="59" t="str">
        <f>IFERROR(__xludf.DUMMYFUNCTION("""COMPUTED_VALUE"""),"Contrade Integrated Depot")</f>
        <v>Contrade Integrated Depot</v>
      </c>
      <c r="N70" s="4">
        <f>IFERROR(__xludf.DUMMYFUNCTION("""COMPUTED_VALUE"""),4.83)</f>
        <v>4.83</v>
      </c>
      <c r="O70" s="60">
        <f>IFERROR(__xludf.DUMMYFUNCTION("""COMPUTED_VALUE"""),45226.0)</f>
        <v>45226</v>
      </c>
      <c r="R70" s="4"/>
    </row>
    <row r="71">
      <c r="A71" s="78" t="s">
        <v>279</v>
      </c>
      <c r="B71" s="110"/>
      <c r="C71" s="286"/>
      <c r="E71" s="98">
        <v>54.0</v>
      </c>
      <c r="F71" s="98" t="s">
        <v>182</v>
      </c>
      <c r="G71" s="4"/>
      <c r="I71" s="294">
        <v>55.0</v>
      </c>
      <c r="J71" s="302" t="s">
        <v>408</v>
      </c>
      <c r="K71" s="4"/>
      <c r="M71" s="59" t="str">
        <f>IFERROR(__xludf.DUMMYFUNCTION("""COMPUTED_VALUE"""),"Creative Juice Digital Printing")</f>
        <v>Creative Juice Digital Printing</v>
      </c>
      <c r="N71" s="4">
        <f>IFERROR(__xludf.DUMMYFUNCTION("""COMPUTED_VALUE"""),4.0)</f>
        <v>4</v>
      </c>
      <c r="O71" s="60">
        <f>IFERROR(__xludf.DUMMYFUNCTION("""COMPUTED_VALUE"""),45226.0)</f>
        <v>45226</v>
      </c>
      <c r="R71" s="4"/>
    </row>
    <row r="72">
      <c r="A72" s="288">
        <v>47.0</v>
      </c>
      <c r="B72" s="98" t="s">
        <v>166</v>
      </c>
      <c r="C72" s="4">
        <v>4.416666666666667</v>
      </c>
      <c r="E72" s="98">
        <v>55.0</v>
      </c>
      <c r="F72" s="98" t="s">
        <v>185</v>
      </c>
      <c r="G72" s="4"/>
      <c r="I72" s="294">
        <v>56.0</v>
      </c>
      <c r="J72" s="297" t="s">
        <v>415</v>
      </c>
      <c r="K72" s="4"/>
      <c r="M72" s="59" t="str">
        <f>IFERROR(__xludf.DUMMYFUNCTION("""COMPUTED_VALUE"""),"Times Trading Co., Inc.")</f>
        <v>Times Trading Co., Inc.</v>
      </c>
      <c r="N72" s="4">
        <f>IFERROR(__xludf.DUMMYFUNCTION("""COMPUTED_VALUE"""),5.0)</f>
        <v>5</v>
      </c>
      <c r="O72" s="60">
        <f>IFERROR(__xludf.DUMMYFUNCTION("""COMPUTED_VALUE"""),45227.0)</f>
        <v>45227</v>
      </c>
      <c r="R72" s="4"/>
    </row>
    <row r="73">
      <c r="A73" s="288">
        <v>48.0</v>
      </c>
      <c r="B73" s="98" t="s">
        <v>178</v>
      </c>
      <c r="C73" s="286"/>
      <c r="E73" s="98">
        <v>56.0</v>
      </c>
      <c r="F73" s="98" t="s">
        <v>194</v>
      </c>
      <c r="G73" s="4"/>
      <c r="I73" s="293" t="s">
        <v>163</v>
      </c>
      <c r="J73" s="85"/>
      <c r="K73" s="36">
        <f>AVERAGE(K74:K77)</f>
        <v>4.46</v>
      </c>
      <c r="M73" s="59" t="str">
        <f>IFERROR(__xludf.DUMMYFUNCTION("""COMPUTED_VALUE"""),"Contrade Integrated Depot")</f>
        <v>Contrade Integrated Depot</v>
      </c>
      <c r="N73" s="4">
        <f>IFERROR(__xludf.DUMMYFUNCTION("""COMPUTED_VALUE"""),4.83)</f>
        <v>4.83</v>
      </c>
      <c r="O73" s="60">
        <f>IFERROR(__xludf.DUMMYFUNCTION("""COMPUTED_VALUE"""),45230.0)</f>
        <v>45230</v>
      </c>
      <c r="R73" s="4"/>
    </row>
    <row r="74">
      <c r="A74" s="288">
        <v>49.0</v>
      </c>
      <c r="B74" s="98" t="s">
        <v>180</v>
      </c>
      <c r="C74" s="286"/>
      <c r="E74" s="98">
        <v>57.0</v>
      </c>
      <c r="F74" s="98" t="s">
        <v>199</v>
      </c>
      <c r="G74" s="4"/>
      <c r="I74" s="294">
        <v>57.0</v>
      </c>
      <c r="J74" s="295" t="s">
        <v>429</v>
      </c>
      <c r="K74" s="4"/>
      <c r="M74" s="59" t="str">
        <f>IFERROR(__xludf.DUMMYFUNCTION("""COMPUTED_VALUE"""),"Contrade Integrated Depot")</f>
        <v>Contrade Integrated Depot</v>
      </c>
      <c r="N74" s="4">
        <f>IFERROR(__xludf.DUMMYFUNCTION("""COMPUTED_VALUE"""),4.83)</f>
        <v>4.83</v>
      </c>
      <c r="O74" s="60">
        <f>IFERROR(__xludf.DUMMYFUNCTION("""COMPUTED_VALUE"""),45230.0)</f>
        <v>45230</v>
      </c>
      <c r="R74" s="4"/>
    </row>
    <row r="75">
      <c r="A75" s="288">
        <v>50.0</v>
      </c>
      <c r="B75" s="98" t="s">
        <v>182</v>
      </c>
      <c r="C75" s="286"/>
      <c r="E75" s="98">
        <v>58.0</v>
      </c>
      <c r="F75" s="98" t="s">
        <v>210</v>
      </c>
      <c r="G75" s="4"/>
      <c r="I75" s="294">
        <v>58.0</v>
      </c>
      <c r="J75" s="297" t="s">
        <v>179</v>
      </c>
      <c r="K75" s="4"/>
      <c r="M75" s="59" t="str">
        <f>IFERROR(__xludf.DUMMYFUNCTION("""COMPUTED_VALUE"""),"Leonard Prints Inc.")</f>
        <v>Leonard Prints Inc.</v>
      </c>
      <c r="N75" s="4">
        <f>IFERROR(__xludf.DUMMYFUNCTION("""COMPUTED_VALUE"""),4.916666666666667)</f>
        <v>4.916666667</v>
      </c>
      <c r="O75" s="60">
        <f>IFERROR(__xludf.DUMMYFUNCTION("""COMPUTED_VALUE"""),45230.0)</f>
        <v>45230</v>
      </c>
      <c r="R75" s="4"/>
    </row>
    <row r="76">
      <c r="A76" s="288">
        <v>51.0</v>
      </c>
      <c r="B76" s="98" t="s">
        <v>185</v>
      </c>
      <c r="C76" s="286"/>
      <c r="E76" s="98">
        <v>59.0</v>
      </c>
      <c r="F76" s="98" t="s">
        <v>339</v>
      </c>
      <c r="G76" s="4"/>
      <c r="I76" s="294">
        <v>59.0</v>
      </c>
      <c r="J76" s="297" t="s">
        <v>174</v>
      </c>
      <c r="K76" s="141">
        <v>4.42</v>
      </c>
      <c r="M76" s="59" t="str">
        <f>IFERROR(__xludf.DUMMYFUNCTION("""COMPUTED_VALUE"""),"Rivchem Enterprises")</f>
        <v>Rivchem Enterprises</v>
      </c>
      <c r="N76" s="4">
        <f>IFERROR(__xludf.DUMMYFUNCTION("""COMPUTED_VALUE"""),4.333333333333333)</f>
        <v>4.333333333</v>
      </c>
      <c r="O76" s="60">
        <f>IFERROR(__xludf.DUMMYFUNCTION("""COMPUTED_VALUE"""),45230.0)</f>
        <v>45230</v>
      </c>
      <c r="R76" s="4"/>
    </row>
    <row r="77">
      <c r="A77" s="288">
        <v>52.0</v>
      </c>
      <c r="B77" s="98" t="s">
        <v>194</v>
      </c>
      <c r="C77" s="286"/>
      <c r="E77" s="98">
        <v>60.0</v>
      </c>
      <c r="F77" s="98" t="s">
        <v>347</v>
      </c>
      <c r="G77" s="4"/>
      <c r="I77" s="294">
        <v>60.0</v>
      </c>
      <c r="J77" s="295" t="s">
        <v>457</v>
      </c>
      <c r="K77" s="141">
        <v>4.5</v>
      </c>
      <c r="M77" s="59" t="str">
        <f>IFERROR(__xludf.DUMMYFUNCTION("""COMPUTED_VALUE"""),"Falcon Waterfree Philippines, Inc.")</f>
        <v>Falcon Waterfree Philippines, Inc.</v>
      </c>
      <c r="N77" s="4">
        <f>IFERROR(__xludf.DUMMYFUNCTION("""COMPUTED_VALUE"""),4.333333333333333)</f>
        <v>4.333333333</v>
      </c>
      <c r="O77" s="60">
        <f>IFERROR(__xludf.DUMMYFUNCTION("""COMPUTED_VALUE"""),45233.0)</f>
        <v>45233</v>
      </c>
      <c r="R77" s="4"/>
    </row>
    <row r="78">
      <c r="A78" s="288">
        <v>53.0</v>
      </c>
      <c r="B78" s="98" t="s">
        <v>199</v>
      </c>
      <c r="C78" s="286"/>
      <c r="E78" s="98">
        <v>61.0</v>
      </c>
      <c r="F78" s="98" t="s">
        <v>215</v>
      </c>
      <c r="G78" s="4"/>
      <c r="I78" s="293" t="s">
        <v>184</v>
      </c>
      <c r="J78" s="85"/>
      <c r="K78" s="36">
        <f>AVERAGE(K79:K86)</f>
        <v>4.372</v>
      </c>
      <c r="M78" s="59" t="str">
        <f>IFERROR(__xludf.DUMMYFUNCTION("""COMPUTED_VALUE"""),"Rivchem Enterprises")</f>
        <v>Rivchem Enterprises</v>
      </c>
      <c r="N78" s="4">
        <f>IFERROR(__xludf.DUMMYFUNCTION("""COMPUTED_VALUE"""),4.258333333333334)</f>
        <v>4.258333333</v>
      </c>
      <c r="O78" s="144">
        <f>IFERROR(__xludf.DUMMYFUNCTION("""COMPUTED_VALUE"""),45233.0)</f>
        <v>45233</v>
      </c>
      <c r="R78" s="4"/>
    </row>
    <row r="79">
      <c r="A79" s="288">
        <v>54.0</v>
      </c>
      <c r="B79" s="98" t="s">
        <v>210</v>
      </c>
      <c r="C79" s="286"/>
      <c r="E79" s="98">
        <v>62.0</v>
      </c>
      <c r="F79" s="98" t="s">
        <v>222</v>
      </c>
      <c r="G79" s="4"/>
      <c r="I79" s="294">
        <v>61.0</v>
      </c>
      <c r="J79" s="297" t="s">
        <v>193</v>
      </c>
      <c r="K79" s="4">
        <v>5.0</v>
      </c>
      <c r="M79" s="59" t="str">
        <f>IFERROR(__xludf.DUMMYFUNCTION("""COMPUTED_VALUE"""),"Rivchem Enterprises")</f>
        <v>Rivchem Enterprises</v>
      </c>
      <c r="N79" s="4">
        <f>IFERROR(__xludf.DUMMYFUNCTION("""COMPUTED_VALUE"""),4.258333333333334)</f>
        <v>4.258333333</v>
      </c>
      <c r="O79" s="60">
        <f>IFERROR(__xludf.DUMMYFUNCTION("""COMPUTED_VALUE"""),45233.0)</f>
        <v>45233</v>
      </c>
      <c r="R79" s="4"/>
    </row>
    <row r="80">
      <c r="A80" s="288">
        <v>55.0</v>
      </c>
      <c r="B80" s="98" t="s">
        <v>339</v>
      </c>
      <c r="C80" s="286"/>
      <c r="E80" s="98">
        <v>63.0</v>
      </c>
      <c r="F80" s="98" t="s">
        <v>235</v>
      </c>
      <c r="G80" s="4"/>
      <c r="I80" s="294">
        <v>62.0</v>
      </c>
      <c r="J80" s="297" t="s">
        <v>17</v>
      </c>
      <c r="K80" s="4">
        <v>4.766666666666667</v>
      </c>
      <c r="M80" s="59" t="str">
        <f>IFERROR(__xludf.DUMMYFUNCTION("""COMPUTED_VALUE"""),"Rivchem Enterprises")</f>
        <v>Rivchem Enterprises</v>
      </c>
      <c r="N80" s="4">
        <f>IFERROR(__xludf.DUMMYFUNCTION("""COMPUTED_VALUE"""),4.333333333333333)</f>
        <v>4.333333333</v>
      </c>
      <c r="O80" s="60">
        <f>IFERROR(__xludf.DUMMYFUNCTION("""COMPUTED_VALUE"""),45233.0)</f>
        <v>45233</v>
      </c>
      <c r="R80" s="4"/>
    </row>
    <row r="81">
      <c r="A81" s="288">
        <v>56.0</v>
      </c>
      <c r="B81" s="98" t="s">
        <v>347</v>
      </c>
      <c r="C81" s="286"/>
      <c r="E81" s="98">
        <v>64.0</v>
      </c>
      <c r="F81" s="98" t="s">
        <v>241</v>
      </c>
      <c r="G81" s="4"/>
      <c r="I81" s="294">
        <v>63.0</v>
      </c>
      <c r="J81" s="297" t="s">
        <v>2588</v>
      </c>
      <c r="K81" s="4">
        <v>2.926666666666667</v>
      </c>
      <c r="M81" s="59" t="str">
        <f>IFERROR(__xludf.DUMMYFUNCTION("""COMPUTED_VALUE"""),"Beyond Global Multiales Corp.")</f>
        <v>Beyond Global Multiales Corp.</v>
      </c>
      <c r="N81" s="4">
        <f>IFERROR(__xludf.DUMMYFUNCTION("""COMPUTED_VALUE"""),4.833333333333333)</f>
        <v>4.833333333</v>
      </c>
      <c r="O81" s="60">
        <f>IFERROR(__xludf.DUMMYFUNCTION("""COMPUTED_VALUE"""),45233.0)</f>
        <v>45233</v>
      </c>
      <c r="R81" s="4"/>
    </row>
    <row r="82">
      <c r="A82" s="288">
        <v>57.0</v>
      </c>
      <c r="B82" s="98" t="s">
        <v>215</v>
      </c>
      <c r="C82" s="286"/>
      <c r="E82" s="98">
        <v>65.0</v>
      </c>
      <c r="F82" s="98" t="s">
        <v>250</v>
      </c>
      <c r="G82" s="4"/>
      <c r="I82" s="294">
        <v>64.0</v>
      </c>
      <c r="J82" s="297" t="s">
        <v>209</v>
      </c>
      <c r="K82" s="4">
        <v>4.5</v>
      </c>
      <c r="M82" s="59" t="str">
        <f>IFERROR(__xludf.DUMMYFUNCTION("""COMPUTED_VALUE"""),"Columbia Technologies, Inc.")</f>
        <v>Columbia Technologies, Inc.</v>
      </c>
      <c r="N82" s="4">
        <f>IFERROR(__xludf.DUMMYFUNCTION("""COMPUTED_VALUE"""),4.0)</f>
        <v>4</v>
      </c>
      <c r="O82" s="60">
        <f>IFERROR(__xludf.DUMMYFUNCTION("""COMPUTED_VALUE"""),45237.0)</f>
        <v>45237</v>
      </c>
      <c r="R82" s="4"/>
    </row>
    <row r="83">
      <c r="A83" s="288">
        <v>58.0</v>
      </c>
      <c r="B83" s="98" t="s">
        <v>222</v>
      </c>
      <c r="C83" s="4">
        <v>4.666666666666667</v>
      </c>
      <c r="E83" s="98">
        <v>66.0</v>
      </c>
      <c r="F83" s="98" t="s">
        <v>259</v>
      </c>
      <c r="G83" s="4"/>
      <c r="I83" s="294">
        <v>65.0</v>
      </c>
      <c r="J83" s="297" t="s">
        <v>214</v>
      </c>
      <c r="K83" s="4"/>
      <c r="M83" s="59" t="str">
        <f>IFERROR(__xludf.DUMMYFUNCTION("""COMPUTED_VALUE"""),"Polaris Prime Air Tech Corporation")</f>
        <v>Polaris Prime Air Tech Corporation</v>
      </c>
      <c r="N83" s="4">
        <f>IFERROR(__xludf.DUMMYFUNCTION("""COMPUTED_VALUE"""),5.0)</f>
        <v>5</v>
      </c>
      <c r="O83" s="144">
        <f>IFERROR(__xludf.DUMMYFUNCTION("""COMPUTED_VALUE"""),45242.0)</f>
        <v>45242</v>
      </c>
      <c r="R83" s="4"/>
    </row>
    <row r="84">
      <c r="A84" s="288">
        <v>59.0</v>
      </c>
      <c r="B84" s="98" t="s">
        <v>235</v>
      </c>
      <c r="C84" s="286"/>
      <c r="E84" s="78" t="s">
        <v>385</v>
      </c>
      <c r="F84" s="54"/>
      <c r="G84" s="36">
        <f>average(G85:G90)</f>
        <v>5</v>
      </c>
      <c r="I84" s="294">
        <v>66.0</v>
      </c>
      <c r="J84" s="297" t="s">
        <v>495</v>
      </c>
      <c r="K84" s="4"/>
      <c r="M84" s="59" t="str">
        <f>IFERROR(__xludf.DUMMYFUNCTION("""COMPUTED_VALUE"""),"Abacus Book &amp; Card Corp.")</f>
        <v>Abacus Book &amp; Card Corp.</v>
      </c>
      <c r="N84" s="4">
        <f>IFERROR(__xludf.DUMMYFUNCTION("""COMPUTED_VALUE"""),5.0)</f>
        <v>5</v>
      </c>
      <c r="O84" s="60">
        <f>IFERROR(__xludf.DUMMYFUNCTION("""COMPUTED_VALUE"""),45247.0)</f>
        <v>45247</v>
      </c>
      <c r="R84" s="4"/>
    </row>
    <row r="85">
      <c r="A85" s="288">
        <v>60.0</v>
      </c>
      <c r="B85" s="98" t="s">
        <v>241</v>
      </c>
      <c r="C85" s="286"/>
      <c r="E85" s="98">
        <v>67.0</v>
      </c>
      <c r="F85" s="98" t="s">
        <v>394</v>
      </c>
      <c r="G85" s="4"/>
      <c r="I85" s="294">
        <v>67.0</v>
      </c>
      <c r="J85" s="297" t="s">
        <v>240</v>
      </c>
      <c r="K85" s="4"/>
      <c r="M85" s="59" t="str">
        <f>IFERROR(__xludf.DUMMYFUNCTION("""COMPUTED_VALUE"""),"Creative Juice Digital Printing")</f>
        <v>Creative Juice Digital Printing</v>
      </c>
      <c r="N85" s="4">
        <f>IFERROR(__xludf.DUMMYFUNCTION("""COMPUTED_VALUE"""),4.0)</f>
        <v>4</v>
      </c>
      <c r="O85" s="60">
        <f>IFERROR(__xludf.DUMMYFUNCTION("""COMPUTED_VALUE"""),45248.0)</f>
        <v>45248</v>
      </c>
      <c r="R85" s="4"/>
    </row>
    <row r="86">
      <c r="A86" s="288">
        <v>61.0</v>
      </c>
      <c r="B86" s="98" t="s">
        <v>250</v>
      </c>
      <c r="C86" s="286"/>
      <c r="E86" s="98">
        <v>68.0</v>
      </c>
      <c r="F86" s="98" t="s">
        <v>401</v>
      </c>
      <c r="G86" s="4"/>
      <c r="I86" s="294">
        <v>68.0</v>
      </c>
      <c r="J86" s="297" t="s">
        <v>508</v>
      </c>
      <c r="K86" s="4">
        <v>4.666666666666667</v>
      </c>
      <c r="M86" s="59" t="str">
        <f>IFERROR(__xludf.DUMMYFUNCTION("""COMPUTED_VALUE"""),"Printing Shop PrintPilipinas.com")</f>
        <v>Printing Shop PrintPilipinas.com</v>
      </c>
      <c r="N86" s="4">
        <f>IFERROR(__xludf.DUMMYFUNCTION("""COMPUTED_VALUE"""),4.93)</f>
        <v>4.93</v>
      </c>
      <c r="O86" s="60">
        <f>IFERROR(__xludf.DUMMYFUNCTION("""COMPUTED_VALUE"""),45248.0)</f>
        <v>45248</v>
      </c>
      <c r="R86" s="4"/>
    </row>
    <row r="87">
      <c r="A87" s="288">
        <v>62.0</v>
      </c>
      <c r="B87" s="98" t="s">
        <v>259</v>
      </c>
      <c r="C87" s="286"/>
      <c r="E87" s="98">
        <v>69.0</v>
      </c>
      <c r="F87" s="98" t="s">
        <v>233</v>
      </c>
      <c r="G87" s="4">
        <v>5.0</v>
      </c>
      <c r="I87" s="293" t="s">
        <v>248</v>
      </c>
      <c r="J87" s="85"/>
      <c r="K87" s="36">
        <f>AVERAGE(K88:K91)</f>
        <v>4.383333333</v>
      </c>
      <c r="M87" s="59" t="str">
        <f>IFERROR(__xludf.DUMMYFUNCTION("""COMPUTED_VALUE"""),"Rivchem Enterprises")</f>
        <v>Rivchem Enterprises</v>
      </c>
      <c r="N87" s="4">
        <f>IFERROR(__xludf.DUMMYFUNCTION("""COMPUTED_VALUE"""),4.333333333333333)</f>
        <v>4.333333333</v>
      </c>
      <c r="O87" s="60">
        <f>IFERROR(__xludf.DUMMYFUNCTION("""COMPUTED_VALUE"""),45252.0)</f>
        <v>45252</v>
      </c>
      <c r="R87" s="4"/>
    </row>
    <row r="88">
      <c r="A88" s="298" t="s">
        <v>2393</v>
      </c>
      <c r="B88" s="54"/>
      <c r="C88" s="299">
        <f>AVERAGE(C72:C87)</f>
        <v>4.541666667</v>
      </c>
      <c r="E88" s="98">
        <v>70.0</v>
      </c>
      <c r="F88" s="98" t="s">
        <v>274</v>
      </c>
      <c r="G88" s="4"/>
      <c r="I88" s="294">
        <v>69.0</v>
      </c>
      <c r="J88" s="297" t="s">
        <v>258</v>
      </c>
      <c r="K88" s="4"/>
      <c r="M88" s="59" t="str">
        <f>IFERROR(__xludf.DUMMYFUNCTION("""COMPUTED_VALUE"""),"Data Computer Forms, Inc.")</f>
        <v>Data Computer Forms, Inc.</v>
      </c>
      <c r="N88" s="4">
        <f>IFERROR(__xludf.DUMMYFUNCTION("""COMPUTED_VALUE"""),4.0)</f>
        <v>4</v>
      </c>
      <c r="O88" s="60">
        <f>IFERROR(__xludf.DUMMYFUNCTION("""COMPUTED_VALUE"""),45254.0)</f>
        <v>45254</v>
      </c>
      <c r="R88" s="4"/>
    </row>
    <row r="89">
      <c r="A89" s="78" t="s">
        <v>385</v>
      </c>
      <c r="B89" s="54"/>
      <c r="C89" s="286"/>
      <c r="E89" s="176">
        <v>71.0</v>
      </c>
      <c r="F89" s="98" t="s">
        <v>420</v>
      </c>
      <c r="G89" s="4"/>
      <c r="I89" s="294">
        <v>70.0</v>
      </c>
      <c r="J89" s="297" t="s">
        <v>264</v>
      </c>
      <c r="K89" s="4"/>
      <c r="M89" s="59" t="str">
        <f>IFERROR(__xludf.DUMMYFUNCTION("""COMPUTED_VALUE"""),"Contrade Integrated Depot")</f>
        <v>Contrade Integrated Depot</v>
      </c>
      <c r="N89" s="4">
        <f>IFERROR(__xludf.DUMMYFUNCTION("""COMPUTED_VALUE"""),4.83)</f>
        <v>4.83</v>
      </c>
      <c r="O89" s="60">
        <f>IFERROR(__xludf.DUMMYFUNCTION("""COMPUTED_VALUE"""),45255.0)</f>
        <v>45255</v>
      </c>
      <c r="R89" s="4"/>
    </row>
    <row r="90">
      <c r="A90" s="288">
        <v>63.0</v>
      </c>
      <c r="B90" s="98" t="s">
        <v>394</v>
      </c>
      <c r="C90" s="286"/>
      <c r="E90" s="178">
        <v>72.0</v>
      </c>
      <c r="F90" s="47" t="s">
        <v>428</v>
      </c>
      <c r="G90" s="4"/>
      <c r="I90" s="294">
        <v>71.0</v>
      </c>
      <c r="J90" s="297" t="s">
        <v>273</v>
      </c>
      <c r="K90" s="4">
        <v>4.0</v>
      </c>
      <c r="M90" s="59" t="str">
        <f>IFERROR(__xludf.DUMMYFUNCTION("""COMPUTED_VALUE"""),"Contrade Integrated Depot")</f>
        <v>Contrade Integrated Depot</v>
      </c>
      <c r="N90" s="4">
        <f>IFERROR(__xludf.DUMMYFUNCTION("""COMPUTED_VALUE"""),4.83)</f>
        <v>4.83</v>
      </c>
      <c r="O90" s="60">
        <f>IFERROR(__xludf.DUMMYFUNCTION("""COMPUTED_VALUE"""),45255.0)</f>
        <v>45255</v>
      </c>
      <c r="R90" s="4"/>
    </row>
    <row r="91">
      <c r="A91" s="288">
        <v>64.0</v>
      </c>
      <c r="B91" s="98" t="s">
        <v>401</v>
      </c>
      <c r="C91" s="286"/>
      <c r="E91" s="181"/>
      <c r="F91" s="181"/>
      <c r="G91" s="4"/>
      <c r="I91" s="294">
        <v>72.0</v>
      </c>
      <c r="J91" s="297" t="s">
        <v>287</v>
      </c>
      <c r="K91" s="4">
        <v>4.766666666666667</v>
      </c>
      <c r="M91" s="59" t="str">
        <f>IFERROR(__xludf.DUMMYFUNCTION("""COMPUTED_VALUE"""),"Contrade Integrated Depot")</f>
        <v>Contrade Integrated Depot</v>
      </c>
      <c r="N91" s="4">
        <f>IFERROR(__xludf.DUMMYFUNCTION("""COMPUTED_VALUE"""),4.83)</f>
        <v>4.83</v>
      </c>
      <c r="O91" s="60">
        <f>IFERROR(__xludf.DUMMYFUNCTION("""COMPUTED_VALUE"""),45255.0)</f>
        <v>45255</v>
      </c>
      <c r="R91" s="4"/>
    </row>
    <row r="92">
      <c r="A92" s="288">
        <v>65.0</v>
      </c>
      <c r="B92" s="98" t="s">
        <v>233</v>
      </c>
      <c r="C92" s="4">
        <v>5.0</v>
      </c>
      <c r="E92" s="181"/>
      <c r="F92" s="181"/>
      <c r="G92" s="4"/>
      <c r="I92" s="303" t="s">
        <v>440</v>
      </c>
      <c r="J92" s="85"/>
      <c r="K92" s="36">
        <f>AVERAGE(K93)</f>
        <v>4.8</v>
      </c>
      <c r="M92" s="59" t="str">
        <f>IFERROR(__xludf.DUMMYFUNCTION("""COMPUTED_VALUE"""),"Polaris Prime Air Tech Corporation")</f>
        <v>Polaris Prime Air Tech Corporation</v>
      </c>
      <c r="N92" s="4">
        <f>IFERROR(__xludf.DUMMYFUNCTION("""COMPUTED_VALUE"""),5.0)</f>
        <v>5</v>
      </c>
      <c r="O92" s="60">
        <f>IFERROR(__xludf.DUMMYFUNCTION("""COMPUTED_VALUE"""),45257.0)</f>
        <v>45257</v>
      </c>
      <c r="R92" s="4"/>
    </row>
    <row r="93">
      <c r="A93" s="288">
        <v>66.0</v>
      </c>
      <c r="B93" s="98" t="s">
        <v>274</v>
      </c>
      <c r="C93" s="286"/>
      <c r="E93" s="181"/>
      <c r="F93" s="181"/>
      <c r="G93" s="4"/>
      <c r="I93" s="294">
        <v>73.0</v>
      </c>
      <c r="J93" s="297" t="s">
        <v>454</v>
      </c>
      <c r="K93" s="141">
        <v>4.8</v>
      </c>
      <c r="M93" s="59" t="str">
        <f>IFERROR(__xludf.DUMMYFUNCTION("""COMPUTED_VALUE"""),"Goldlink Indsutrial Sales")</f>
        <v>Goldlink Indsutrial Sales</v>
      </c>
      <c r="N93" s="4">
        <f>IFERROR(__xludf.DUMMYFUNCTION("""COMPUTED_VALUE"""),4.333333333333333)</f>
        <v>4.333333333</v>
      </c>
      <c r="O93" s="60">
        <f>IFERROR(__xludf.DUMMYFUNCTION("""COMPUTED_VALUE"""),45258.0)</f>
        <v>45258</v>
      </c>
      <c r="R93" s="4"/>
    </row>
    <row r="94">
      <c r="A94" s="288">
        <v>67.0</v>
      </c>
      <c r="B94" s="98" t="s">
        <v>420</v>
      </c>
      <c r="C94" s="286"/>
      <c r="E94" s="181"/>
      <c r="F94" s="181"/>
      <c r="G94" s="4"/>
      <c r="I94" s="293" t="s">
        <v>220</v>
      </c>
      <c r="J94" s="85"/>
      <c r="K94" s="36">
        <f>AVERAGE(K95:K96)</f>
        <v>4.783333333</v>
      </c>
      <c r="M94" s="59" t="str">
        <f>IFERROR(__xludf.DUMMYFUNCTION("""COMPUTED_VALUE"""),"Abacus Book &amp; Card Corp.")</f>
        <v>Abacus Book &amp; Card Corp.</v>
      </c>
      <c r="N94" s="4">
        <f>IFERROR(__xludf.DUMMYFUNCTION("""COMPUTED_VALUE"""),5.0)</f>
        <v>5</v>
      </c>
      <c r="O94" s="60">
        <f>IFERROR(__xludf.DUMMYFUNCTION("""COMPUTED_VALUE"""),45259.0)</f>
        <v>45259</v>
      </c>
      <c r="R94" s="4"/>
    </row>
    <row r="95">
      <c r="A95" s="288">
        <v>68.0</v>
      </c>
      <c r="B95" s="98" t="s">
        <v>428</v>
      </c>
      <c r="C95" s="286"/>
      <c r="E95" s="181"/>
      <c r="F95" s="181"/>
      <c r="G95" s="4"/>
      <c r="I95" s="294">
        <v>74.0</v>
      </c>
      <c r="J95" s="297" t="s">
        <v>230</v>
      </c>
      <c r="K95" s="4">
        <v>4.783333333333333</v>
      </c>
      <c r="M95" s="59" t="str">
        <f>IFERROR(__xludf.DUMMYFUNCTION("""COMPUTED_VALUE"""),"Mostaco Printing")</f>
        <v>Mostaco Printing</v>
      </c>
      <c r="N95" s="4">
        <f>IFERROR(__xludf.DUMMYFUNCTION("""COMPUTED_VALUE"""),5.0)</f>
        <v>5</v>
      </c>
      <c r="O95" s="60">
        <f>IFERROR(__xludf.DUMMYFUNCTION("""COMPUTED_VALUE"""),45259.0)</f>
        <v>45259</v>
      </c>
      <c r="R95" s="4"/>
    </row>
    <row r="96">
      <c r="A96" s="288">
        <v>69.0</v>
      </c>
      <c r="B96" s="98" t="s">
        <v>434</v>
      </c>
      <c r="C96" s="286"/>
      <c r="E96" s="181"/>
      <c r="F96" s="181"/>
      <c r="G96" s="4"/>
      <c r="I96" s="294">
        <v>75.0</v>
      </c>
      <c r="J96" s="297" t="s">
        <v>234</v>
      </c>
      <c r="K96" s="4"/>
      <c r="M96" s="59" t="str">
        <f>IFERROR(__xludf.DUMMYFUNCTION("""COMPUTED_VALUE"""),"Printing Shop PrintPilipinas.com")</f>
        <v>Printing Shop PrintPilipinas.com</v>
      </c>
      <c r="N96" s="4">
        <f>IFERROR(__xludf.DUMMYFUNCTION("""COMPUTED_VALUE"""),4.746666666666667)</f>
        <v>4.746666667</v>
      </c>
      <c r="O96" s="60">
        <f>IFERROR(__xludf.DUMMYFUNCTION("""COMPUTED_VALUE"""),45259.0)</f>
        <v>45259</v>
      </c>
      <c r="R96" s="4"/>
    </row>
    <row r="97">
      <c r="A97" s="298" t="s">
        <v>2393</v>
      </c>
      <c r="B97" s="54"/>
      <c r="C97" s="286">
        <f>AVERAGE(C90:C96)</f>
        <v>5</v>
      </c>
      <c r="E97" s="181"/>
      <c r="F97" s="181"/>
      <c r="G97" s="4"/>
      <c r="I97" s="293" t="s">
        <v>564</v>
      </c>
      <c r="J97" s="85"/>
      <c r="K97" s="36">
        <f>AVERAGE(K98:K100)</f>
        <v>4.6</v>
      </c>
      <c r="M97" s="59" t="str">
        <f>IFERROR(__xludf.DUMMYFUNCTION("""COMPUTED_VALUE"""),"Chemtrust Global Market, Inc.")</f>
        <v>Chemtrust Global Market, Inc.</v>
      </c>
      <c r="N97" s="4">
        <f>IFERROR(__xludf.DUMMYFUNCTION("""COMPUTED_VALUE"""),4.516666666666667)</f>
        <v>4.516666667</v>
      </c>
      <c r="O97" s="60">
        <f>IFERROR(__xludf.DUMMYFUNCTION("""COMPUTED_VALUE"""),45260.0)</f>
        <v>45260</v>
      </c>
      <c r="R97" s="4"/>
    </row>
    <row r="98">
      <c r="A98" s="304" t="s">
        <v>440</v>
      </c>
      <c r="B98" s="54"/>
      <c r="C98" s="286"/>
      <c r="E98" s="181"/>
      <c r="F98" s="181"/>
      <c r="G98" s="4"/>
      <c r="I98" s="294">
        <v>76.0</v>
      </c>
      <c r="J98" s="297" t="s">
        <v>569</v>
      </c>
      <c r="K98" s="4"/>
      <c r="M98" s="59" t="str">
        <f>IFERROR(__xludf.DUMMYFUNCTION("""COMPUTED_VALUE"""),"Rivchem Enterprises")</f>
        <v>Rivchem Enterprises</v>
      </c>
      <c r="N98" s="4">
        <f>IFERROR(__xludf.DUMMYFUNCTION("""COMPUTED_VALUE"""),4.333333333333333)</f>
        <v>4.333333333</v>
      </c>
      <c r="O98" s="60">
        <f>IFERROR(__xludf.DUMMYFUNCTION("""COMPUTED_VALUE"""),45260.0)</f>
        <v>45260</v>
      </c>
      <c r="R98" s="4"/>
    </row>
    <row r="99">
      <c r="A99" s="305">
        <v>70.0</v>
      </c>
      <c r="B99" s="98" t="s">
        <v>454</v>
      </c>
      <c r="C99" s="4">
        <v>4.833333333333333</v>
      </c>
      <c r="E99" s="181"/>
      <c r="F99" s="181"/>
      <c r="G99" s="4"/>
      <c r="I99" s="294">
        <v>77.0</v>
      </c>
      <c r="J99" s="297" t="s">
        <v>574</v>
      </c>
      <c r="K99" s="4"/>
      <c r="M99" s="59" t="str">
        <f>IFERROR(__xludf.DUMMYFUNCTION("""COMPUTED_VALUE"""),"Rivchem Enterprises")</f>
        <v>Rivchem Enterprises</v>
      </c>
      <c r="N99" s="4">
        <f>IFERROR(__xludf.DUMMYFUNCTION("""COMPUTED_VALUE"""),5.0)</f>
        <v>5</v>
      </c>
      <c r="O99" s="60">
        <f>IFERROR(__xludf.DUMMYFUNCTION("""COMPUTED_VALUE"""),45260.0)</f>
        <v>45260</v>
      </c>
      <c r="R99" s="4"/>
    </row>
    <row r="100">
      <c r="A100" s="298" t="s">
        <v>2393</v>
      </c>
      <c r="B100" s="54"/>
      <c r="C100" s="299">
        <f>C99</f>
        <v>4.833333333</v>
      </c>
      <c r="E100" s="181"/>
      <c r="F100" s="181"/>
      <c r="G100" s="4"/>
      <c r="I100" s="294">
        <v>78.0</v>
      </c>
      <c r="J100" s="297" t="s">
        <v>579</v>
      </c>
      <c r="K100" s="141">
        <v>4.6</v>
      </c>
      <c r="M100" s="59" t="str">
        <f>IFERROR(__xludf.DUMMYFUNCTION("""COMPUTED_VALUE"""),"EA Intertrade General Merchandising, Inc.")</f>
        <v>EA Intertrade General Merchandising, Inc.</v>
      </c>
      <c r="N100" s="4">
        <f>IFERROR(__xludf.DUMMYFUNCTION("""COMPUTED_VALUE"""),5.0)</f>
        <v>5</v>
      </c>
      <c r="O100" s="60">
        <f>IFERROR(__xludf.DUMMYFUNCTION("""COMPUTED_VALUE"""),45260.0)</f>
        <v>45260</v>
      </c>
      <c r="R100" s="4"/>
    </row>
    <row r="101">
      <c r="A101" s="298"/>
      <c r="B101" s="54"/>
      <c r="C101" s="286"/>
      <c r="E101" s="181"/>
      <c r="F101" s="181"/>
      <c r="G101" s="4"/>
      <c r="I101" s="293" t="s">
        <v>2629</v>
      </c>
      <c r="J101" s="85"/>
      <c r="K101" s="36">
        <f>AVERAGE(K102:K105)</f>
        <v>5</v>
      </c>
      <c r="M101" s="59" t="str">
        <f>IFERROR(__xludf.DUMMYFUNCTION("""COMPUTED_VALUE"""),"Data Computer Forms, Inc.")</f>
        <v>Data Computer Forms, Inc.</v>
      </c>
      <c r="N101" s="4">
        <f>IFERROR(__xludf.DUMMYFUNCTION("""COMPUTED_VALUE"""),5.0)</f>
        <v>5</v>
      </c>
      <c r="O101" s="60">
        <f>IFERROR(__xludf.DUMMYFUNCTION("""COMPUTED_VALUE"""),45266.0)</f>
        <v>45266</v>
      </c>
      <c r="R101" s="4"/>
    </row>
    <row r="102">
      <c r="A102" s="226"/>
      <c r="B102" s="188"/>
      <c r="C102" s="278"/>
      <c r="E102" s="181"/>
      <c r="F102" s="181"/>
      <c r="G102" s="4"/>
      <c r="I102" s="294">
        <v>79.0</v>
      </c>
      <c r="J102" s="297" t="s">
        <v>394</v>
      </c>
      <c r="K102" s="4"/>
      <c r="M102" s="59" t="str">
        <f>IFERROR(__xludf.DUMMYFUNCTION("""COMPUTED_VALUE"""),"World Magazine Exchange Marketing Corp.")</f>
        <v>World Magazine Exchange Marketing Corp.</v>
      </c>
      <c r="N102" s="4">
        <f>IFERROR(__xludf.DUMMYFUNCTION("""COMPUTED_VALUE"""),4.733333333333333)</f>
        <v>4.733333333</v>
      </c>
      <c r="O102" s="60">
        <f>IFERROR(__xludf.DUMMYFUNCTION("""COMPUTED_VALUE"""),45267.0)</f>
        <v>45267</v>
      </c>
      <c r="R102" s="4"/>
    </row>
    <row r="103">
      <c r="A103" s="226"/>
      <c r="B103" s="306"/>
      <c r="C103" s="278"/>
      <c r="E103" s="181"/>
      <c r="F103" s="181"/>
      <c r="G103" s="4"/>
      <c r="I103" s="294">
        <v>80.0</v>
      </c>
      <c r="J103" s="297" t="s">
        <v>593</v>
      </c>
      <c r="K103" s="4"/>
      <c r="M103" s="59" t="str">
        <f>IFERROR(__xludf.DUMMYFUNCTION("""COMPUTED_VALUE"""),"Alpha-Cored Technology Systems, Inc.")</f>
        <v>Alpha-Cored Technology Systems, Inc.</v>
      </c>
      <c r="N103" s="4">
        <f>IFERROR(__xludf.DUMMYFUNCTION("""COMPUTED_VALUE"""),5.0)</f>
        <v>5</v>
      </c>
      <c r="O103" s="60">
        <f>IFERROR(__xludf.DUMMYFUNCTION("""COMPUTED_VALUE"""),45268.0)</f>
        <v>45268</v>
      </c>
      <c r="R103" s="4"/>
    </row>
    <row r="104">
      <c r="A104" s="226"/>
      <c r="B104" s="307"/>
      <c r="C104" s="278"/>
      <c r="E104" s="184"/>
      <c r="F104" s="181"/>
      <c r="G104" s="4"/>
      <c r="I104" s="294">
        <v>81.0</v>
      </c>
      <c r="J104" s="297" t="s">
        <v>600</v>
      </c>
      <c r="K104" s="4"/>
      <c r="M104" s="59" t="str">
        <f>IFERROR(__xludf.DUMMYFUNCTION("""COMPUTED_VALUE"""),"Printing Shop PrintPilipinas.com")</f>
        <v>Printing Shop PrintPilipinas.com</v>
      </c>
      <c r="N104" s="4">
        <f>IFERROR(__xludf.DUMMYFUNCTION("""COMPUTED_VALUE"""),4.0)</f>
        <v>4</v>
      </c>
      <c r="O104" s="60">
        <f>IFERROR(__xludf.DUMMYFUNCTION("""COMPUTED_VALUE"""),45272.0)</f>
        <v>45272</v>
      </c>
      <c r="R104" s="4"/>
    </row>
    <row r="105">
      <c r="A105" s="226"/>
      <c r="B105" s="307"/>
      <c r="C105" s="278"/>
      <c r="E105" s="181"/>
      <c r="F105" s="181"/>
      <c r="G105" s="4"/>
      <c r="I105" s="294">
        <v>82.0</v>
      </c>
      <c r="J105" s="297" t="s">
        <v>605</v>
      </c>
      <c r="K105" s="4">
        <v>5.0</v>
      </c>
      <c r="M105" s="59" t="str">
        <f>IFERROR(__xludf.DUMMYFUNCTION("""COMPUTED_VALUE"""),"Contrade Integrated Depot")</f>
        <v>Contrade Integrated Depot</v>
      </c>
      <c r="N105" s="4">
        <f>IFERROR(__xludf.DUMMYFUNCTION("""COMPUTED_VALUE"""),5.0)</f>
        <v>5</v>
      </c>
      <c r="O105" s="60">
        <f>IFERROR(__xludf.DUMMYFUNCTION("""COMPUTED_VALUE"""),45278.0)</f>
        <v>45278</v>
      </c>
      <c r="R105" s="4"/>
    </row>
    <row r="106">
      <c r="A106" s="226"/>
      <c r="B106" s="308"/>
      <c r="C106" s="278"/>
      <c r="E106" s="181"/>
      <c r="F106" s="181"/>
      <c r="G106" s="4"/>
      <c r="I106" s="181"/>
      <c r="J106" s="181"/>
      <c r="K106" s="4"/>
      <c r="M106" s="59" t="str">
        <f>IFERROR(__xludf.DUMMYFUNCTION("""COMPUTED_VALUE"""),"Printing Shop PrintPilipinas.com")</f>
        <v>Printing Shop PrintPilipinas.com</v>
      </c>
      <c r="N106" s="4">
        <f>IFERROR(__xludf.DUMMYFUNCTION("""COMPUTED_VALUE"""),4.833333333333333)</f>
        <v>4.833333333</v>
      </c>
      <c r="O106" s="60">
        <f>IFERROR(__xludf.DUMMYFUNCTION("""COMPUTED_VALUE"""),45294.0)</f>
        <v>45294</v>
      </c>
      <c r="R106" s="4"/>
    </row>
    <row r="107">
      <c r="A107" s="226"/>
      <c r="B107" s="188"/>
      <c r="C107" s="278"/>
      <c r="E107" s="181"/>
      <c r="F107" s="181"/>
      <c r="G107" s="4"/>
      <c r="I107" s="181"/>
      <c r="J107" s="181"/>
      <c r="K107" s="4"/>
      <c r="M107" s="59" t="str">
        <f>IFERROR(__xludf.DUMMYFUNCTION("""COMPUTED_VALUE"""),"Chronos Athletics Shop")</f>
        <v>Chronos Athletics Shop</v>
      </c>
      <c r="N107" s="4">
        <f>IFERROR(__xludf.DUMMYFUNCTION("""COMPUTED_VALUE"""),4.616666666666667)</f>
        <v>4.616666667</v>
      </c>
      <c r="O107" s="60">
        <f>IFERROR(__xludf.DUMMYFUNCTION("""COMPUTED_VALUE"""),45301.0)</f>
        <v>45301</v>
      </c>
      <c r="R107" s="4"/>
    </row>
    <row r="108">
      <c r="A108" s="226"/>
      <c r="B108" s="188"/>
      <c r="C108" s="278"/>
      <c r="E108" s="181"/>
      <c r="F108" s="181"/>
      <c r="G108" s="4"/>
      <c r="I108" s="181"/>
      <c r="J108" s="181"/>
      <c r="K108" s="4"/>
      <c r="M108" s="59" t="str">
        <f>IFERROR(__xludf.DUMMYFUNCTION("""COMPUTED_VALUE"""),"Creative Juice Digital Printing")</f>
        <v>Creative Juice Digital Printing</v>
      </c>
      <c r="N108" s="4">
        <f>IFERROR(__xludf.DUMMYFUNCTION("""COMPUTED_VALUE"""),5.0)</f>
        <v>5</v>
      </c>
      <c r="O108" s="60">
        <f>IFERROR(__xludf.DUMMYFUNCTION("""COMPUTED_VALUE"""),45301.0)</f>
        <v>45301</v>
      </c>
      <c r="R108" s="4"/>
    </row>
    <row r="109">
      <c r="A109" s="226"/>
      <c r="B109" s="308"/>
      <c r="C109" s="278"/>
      <c r="E109" s="181"/>
      <c r="F109" s="181"/>
      <c r="G109" s="4"/>
      <c r="I109" s="181"/>
      <c r="J109" s="181"/>
      <c r="K109" s="4"/>
      <c r="M109" s="59" t="str">
        <f>IFERROR(__xludf.DUMMYFUNCTION("""COMPUTED_VALUE"""),"Creative Juice Digital Printing")</f>
        <v>Creative Juice Digital Printing</v>
      </c>
      <c r="N109" s="4">
        <f>IFERROR(__xludf.DUMMYFUNCTION("""COMPUTED_VALUE"""),4.5)</f>
        <v>4.5</v>
      </c>
      <c r="O109" s="60">
        <f>IFERROR(__xludf.DUMMYFUNCTION("""COMPUTED_VALUE"""),45301.0)</f>
        <v>45301</v>
      </c>
      <c r="R109" s="4"/>
    </row>
    <row r="110">
      <c r="A110" s="226"/>
      <c r="B110" s="308"/>
      <c r="C110" s="278"/>
      <c r="E110" s="181"/>
      <c r="F110" s="181"/>
      <c r="G110" s="4"/>
      <c r="I110" s="181"/>
      <c r="J110" s="181"/>
      <c r="K110" s="4"/>
      <c r="M110" s="59" t="str">
        <f>IFERROR(__xludf.DUMMYFUNCTION("""COMPUTED_VALUE"""),"Wisechoice Cleaning Supplies and Trading Corp.")</f>
        <v>Wisechoice Cleaning Supplies and Trading Corp.</v>
      </c>
      <c r="N110" s="4">
        <f>IFERROR(__xludf.DUMMYFUNCTION("""COMPUTED_VALUE"""),4.258333333333334)</f>
        <v>4.258333333</v>
      </c>
      <c r="O110" s="60">
        <f>IFERROR(__xludf.DUMMYFUNCTION("""COMPUTED_VALUE"""),45308.0)</f>
        <v>45308</v>
      </c>
      <c r="R110" s="4"/>
    </row>
    <row r="111">
      <c r="A111" s="226"/>
      <c r="B111" s="188"/>
      <c r="C111" s="278"/>
      <c r="E111" s="181"/>
      <c r="F111" s="181"/>
      <c r="G111" s="4"/>
      <c r="I111" s="181"/>
      <c r="J111" s="181"/>
      <c r="K111" s="4"/>
      <c r="M111" s="59" t="str">
        <f>IFERROR(__xludf.DUMMYFUNCTION("""COMPUTED_VALUE"""),"Rivchem Enterprises")</f>
        <v>Rivchem Enterprises</v>
      </c>
      <c r="N111" s="4">
        <f>IFERROR(__xludf.DUMMYFUNCTION("""COMPUTED_VALUE"""),4.258333333333334)</f>
        <v>4.258333333</v>
      </c>
      <c r="O111" s="60">
        <f>IFERROR(__xludf.DUMMYFUNCTION("""COMPUTED_VALUE"""),45310.0)</f>
        <v>45310</v>
      </c>
      <c r="R111" s="4"/>
    </row>
    <row r="112">
      <c r="A112" s="226"/>
      <c r="B112" s="188"/>
      <c r="C112" s="278"/>
      <c r="E112" s="181"/>
      <c r="F112" s="181"/>
      <c r="G112" s="4"/>
      <c r="I112" s="181"/>
      <c r="J112" s="181"/>
      <c r="K112" s="4"/>
      <c r="M112" s="59" t="str">
        <f>IFERROR(__xludf.DUMMYFUNCTION("""COMPUTED_VALUE"""),"Luminaire Printing And Publishing Corp.")</f>
        <v>Luminaire Printing And Publishing Corp.</v>
      </c>
      <c r="N112" s="4">
        <f>IFERROR(__xludf.DUMMYFUNCTION("""COMPUTED_VALUE"""),4.833333333333333)</f>
        <v>4.833333333</v>
      </c>
      <c r="O112" s="60">
        <f>IFERROR(__xludf.DUMMYFUNCTION("""COMPUTED_VALUE"""),45313.0)</f>
        <v>45313</v>
      </c>
      <c r="R112" s="4"/>
    </row>
    <row r="113">
      <c r="A113" s="226"/>
      <c r="B113" s="188"/>
      <c r="C113" s="278"/>
      <c r="E113" s="181"/>
      <c r="F113" s="181"/>
      <c r="G113" s="4"/>
      <c r="I113" s="181"/>
      <c r="J113" s="181"/>
      <c r="K113" s="4"/>
      <c r="M113" s="59" t="str">
        <f>IFERROR(__xludf.DUMMYFUNCTION("""COMPUTED_VALUE"""),"Rivchem Enterprises")</f>
        <v>Rivchem Enterprises</v>
      </c>
      <c r="N113" s="4">
        <f>IFERROR(__xludf.DUMMYFUNCTION("""COMPUTED_VALUE"""),4.75)</f>
        <v>4.75</v>
      </c>
      <c r="O113" s="60">
        <f>IFERROR(__xludf.DUMMYFUNCTION("""COMPUTED_VALUE"""),45314.0)</f>
        <v>45314</v>
      </c>
      <c r="R113" s="4"/>
    </row>
    <row r="114">
      <c r="A114" s="226"/>
      <c r="B114" s="188"/>
      <c r="C114" s="278"/>
      <c r="E114" s="181"/>
      <c r="G114" s="4"/>
      <c r="I114" s="181"/>
      <c r="J114" s="181"/>
      <c r="K114" s="4"/>
      <c r="M114" s="59" t="str">
        <f>IFERROR(__xludf.DUMMYFUNCTION("""COMPUTED_VALUE"""),"Chronos Athletics Shop")</f>
        <v>Chronos Athletics Shop</v>
      </c>
      <c r="N114" s="4">
        <f>IFERROR(__xludf.DUMMYFUNCTION("""COMPUTED_VALUE"""),4.541666666666667)</f>
        <v>4.541666667</v>
      </c>
      <c r="O114" s="60">
        <f>IFERROR(__xludf.DUMMYFUNCTION("""COMPUTED_VALUE"""),45315.0)</f>
        <v>45315</v>
      </c>
      <c r="R114" s="4"/>
    </row>
    <row r="115">
      <c r="A115" s="226"/>
      <c r="B115" s="188"/>
      <c r="C115" s="278"/>
      <c r="E115" s="181"/>
      <c r="G115" s="4"/>
      <c r="I115" s="181"/>
      <c r="J115" s="181"/>
      <c r="K115" s="4"/>
      <c r="M115" s="59" t="str">
        <f>IFERROR(__xludf.DUMMYFUNCTION("""COMPUTED_VALUE"""),"Printing Shop PrintPilipinas.com")</f>
        <v>Printing Shop PrintPilipinas.com</v>
      </c>
      <c r="N115" s="4">
        <f>IFERROR(__xludf.DUMMYFUNCTION("""COMPUTED_VALUE"""),4.833333333333333)</f>
        <v>4.833333333</v>
      </c>
      <c r="O115" s="60">
        <f>IFERROR(__xludf.DUMMYFUNCTION("""COMPUTED_VALUE"""),45315.0)</f>
        <v>45315</v>
      </c>
      <c r="R115" s="4"/>
    </row>
    <row r="116">
      <c r="A116" s="226"/>
      <c r="B116" s="188"/>
      <c r="C116" s="278"/>
      <c r="E116" s="181"/>
      <c r="G116" s="4"/>
      <c r="I116" s="181"/>
      <c r="J116" s="181"/>
      <c r="K116" s="4"/>
      <c r="M116" s="59" t="str">
        <f>IFERROR(__xludf.DUMMYFUNCTION("""COMPUTED_VALUE"""),"Printing Shop PrintPilipinas.com")</f>
        <v>Printing Shop PrintPilipinas.com</v>
      </c>
      <c r="N116" s="4">
        <f>IFERROR(__xludf.DUMMYFUNCTION("""COMPUTED_VALUE"""),4.833333333333333)</f>
        <v>4.833333333</v>
      </c>
      <c r="O116" s="60">
        <f>IFERROR(__xludf.DUMMYFUNCTION("""COMPUTED_VALUE"""),45315.0)</f>
        <v>45315</v>
      </c>
      <c r="R116" s="4"/>
    </row>
    <row r="117">
      <c r="A117" s="226"/>
      <c r="B117" s="188"/>
      <c r="C117" s="278"/>
      <c r="E117" s="181"/>
      <c r="G117" s="4"/>
      <c r="I117" s="181"/>
      <c r="J117" s="181"/>
      <c r="K117" s="4"/>
      <c r="M117" s="59" t="str">
        <f>IFERROR(__xludf.DUMMYFUNCTION("""COMPUTED_VALUE"""),"Times Trading Co., Inc.")</f>
        <v>Times Trading Co., Inc.</v>
      </c>
      <c r="N117" s="4">
        <f>IFERROR(__xludf.DUMMYFUNCTION("""COMPUTED_VALUE"""),3.9966666666666666)</f>
        <v>3.996666667</v>
      </c>
      <c r="O117" s="60">
        <f>IFERROR(__xludf.DUMMYFUNCTION("""COMPUTED_VALUE"""),45315.0)</f>
        <v>45315</v>
      </c>
      <c r="R117" s="4"/>
    </row>
    <row r="118">
      <c r="A118" s="226"/>
      <c r="B118" s="188"/>
      <c r="C118" s="278"/>
      <c r="E118" s="181"/>
      <c r="F118" s="181"/>
      <c r="G118" s="4"/>
      <c r="I118" s="181"/>
      <c r="J118" s="181"/>
      <c r="K118" s="4"/>
      <c r="M118" s="59" t="str">
        <f>IFERROR(__xludf.DUMMYFUNCTION("""COMPUTED_VALUE"""),"Rivchem Enterprises")</f>
        <v>Rivchem Enterprises</v>
      </c>
      <c r="N118" s="4">
        <f>IFERROR(__xludf.DUMMYFUNCTION("""COMPUTED_VALUE"""),4.75)</f>
        <v>4.75</v>
      </c>
      <c r="O118" s="60">
        <f>IFERROR(__xludf.DUMMYFUNCTION("""COMPUTED_VALUE"""),45315.0)</f>
        <v>45315</v>
      </c>
      <c r="R118" s="4"/>
    </row>
    <row r="119">
      <c r="A119" s="226"/>
      <c r="B119" s="188"/>
      <c r="C119" s="278"/>
      <c r="E119" s="181"/>
      <c r="F119" s="181"/>
      <c r="G119" s="4"/>
      <c r="I119" s="181"/>
      <c r="J119" s="181"/>
      <c r="K119" s="4"/>
      <c r="M119" s="59" t="str">
        <f>IFERROR(__xludf.DUMMYFUNCTION("""COMPUTED_VALUE"""),"Circuitrocks Electronic Store")</f>
        <v>Circuitrocks Electronic Store</v>
      </c>
      <c r="N119" s="4">
        <f>IFERROR(__xludf.DUMMYFUNCTION("""COMPUTED_VALUE"""),4.908333333333333)</f>
        <v>4.908333333</v>
      </c>
      <c r="O119" s="60">
        <f>IFERROR(__xludf.DUMMYFUNCTION("""COMPUTED_VALUE"""),45316.0)</f>
        <v>45316</v>
      </c>
      <c r="R119" s="4"/>
    </row>
    <row r="120">
      <c r="A120" s="226"/>
      <c r="B120" s="188"/>
      <c r="C120" s="278"/>
      <c r="E120" s="181"/>
      <c r="F120" s="181"/>
      <c r="G120" s="4"/>
      <c r="I120" s="181"/>
      <c r="J120" s="181"/>
      <c r="K120" s="4"/>
      <c r="M120" s="59" t="str">
        <f>IFERROR(__xludf.DUMMYFUNCTION("""COMPUTED_VALUE"""),"Wisechoice Cleaning Supplies and Trading Corp.")</f>
        <v>Wisechoice Cleaning Supplies and Trading Corp.</v>
      </c>
      <c r="N120" s="4">
        <f>IFERROR(__xludf.DUMMYFUNCTION("""COMPUTED_VALUE"""),4.75)</f>
        <v>4.75</v>
      </c>
      <c r="O120" s="60">
        <f>IFERROR(__xludf.DUMMYFUNCTION("""COMPUTED_VALUE"""),45316.0)</f>
        <v>45316</v>
      </c>
      <c r="R120" s="4"/>
    </row>
    <row r="121">
      <c r="A121" s="226"/>
      <c r="B121" s="188"/>
      <c r="C121" s="278"/>
      <c r="E121" s="181"/>
      <c r="F121" s="181"/>
      <c r="G121" s="4"/>
      <c r="I121" s="181"/>
      <c r="J121" s="181"/>
      <c r="K121" s="4"/>
      <c r="M121" s="59" t="str">
        <f>IFERROR(__xludf.DUMMYFUNCTION("""COMPUTED_VALUE"""),"V.M Industries Corp.")</f>
        <v>V.M Industries Corp.</v>
      </c>
      <c r="N121" s="4">
        <f>IFERROR(__xludf.DUMMYFUNCTION("""COMPUTED_VALUE"""),4.441666666666666)</f>
        <v>4.441666667</v>
      </c>
      <c r="O121" s="60">
        <f>IFERROR(__xludf.DUMMYFUNCTION("""COMPUTED_VALUE"""),45317.0)</f>
        <v>45317</v>
      </c>
      <c r="R121" s="4"/>
    </row>
    <row r="122">
      <c r="A122" s="226"/>
      <c r="B122" s="188"/>
      <c r="C122" s="278"/>
      <c r="E122" s="181"/>
      <c r="G122" s="4"/>
      <c r="I122" s="181"/>
      <c r="J122" s="181"/>
      <c r="K122" s="4"/>
      <c r="M122" s="59" t="str">
        <f>IFERROR(__xludf.DUMMYFUNCTION("""COMPUTED_VALUE"""),"Rivchem Enterprises")</f>
        <v>Rivchem Enterprises</v>
      </c>
      <c r="N122" s="4">
        <f>IFERROR(__xludf.DUMMYFUNCTION("""COMPUTED_VALUE"""),5.0)</f>
        <v>5</v>
      </c>
      <c r="O122" s="60">
        <f>IFERROR(__xludf.DUMMYFUNCTION("""COMPUTED_VALUE"""),45317.0)</f>
        <v>45317</v>
      </c>
      <c r="R122" s="4"/>
    </row>
    <row r="123">
      <c r="A123" s="226"/>
      <c r="B123" s="188"/>
      <c r="C123" s="278"/>
      <c r="E123" s="181"/>
      <c r="G123" s="4"/>
      <c r="I123" s="181"/>
      <c r="J123" s="181"/>
      <c r="K123" s="4"/>
      <c r="M123" s="59" t="str">
        <f>IFERROR(__xludf.DUMMYFUNCTION("""COMPUTED_VALUE"""),"Leonard Prints Inc.")</f>
        <v>Leonard Prints Inc.</v>
      </c>
      <c r="N123" s="4">
        <f>IFERROR(__xludf.DUMMYFUNCTION("""COMPUTED_VALUE"""),4.833333333333333)</f>
        <v>4.833333333</v>
      </c>
      <c r="O123" s="60">
        <f>IFERROR(__xludf.DUMMYFUNCTION("""COMPUTED_VALUE"""),45320.0)</f>
        <v>45320</v>
      </c>
      <c r="R123" s="4"/>
    </row>
    <row r="124">
      <c r="A124" s="226"/>
      <c r="B124" s="188"/>
      <c r="C124" s="278"/>
      <c r="E124" s="181"/>
      <c r="F124" s="181"/>
      <c r="G124" s="4"/>
      <c r="I124" s="181"/>
      <c r="J124" s="181"/>
      <c r="K124" s="4"/>
      <c r="M124" s="59" t="str">
        <f>IFERROR(__xludf.DUMMYFUNCTION("""COMPUTED_VALUE"""),"Printing Shop PrintPilipinas.com")</f>
        <v>Printing Shop PrintPilipinas.com</v>
      </c>
      <c r="N124" s="4">
        <f>IFERROR(__xludf.DUMMYFUNCTION("""COMPUTED_VALUE"""),4.833333333333333)</f>
        <v>4.833333333</v>
      </c>
      <c r="O124" s="60">
        <f>IFERROR(__xludf.DUMMYFUNCTION("""COMPUTED_VALUE"""),45320.0)</f>
        <v>45320</v>
      </c>
      <c r="R124" s="4"/>
    </row>
    <row r="125">
      <c r="A125" s="226"/>
      <c r="B125" s="188"/>
      <c r="C125" s="278"/>
      <c r="E125" s="181"/>
      <c r="G125" s="4"/>
      <c r="I125" s="181"/>
      <c r="J125" s="181"/>
      <c r="K125" s="4"/>
      <c r="M125" s="59" t="str">
        <f>IFERROR(__xludf.DUMMYFUNCTION("""COMPUTED_VALUE"""),"Contrade Integrated Depot")</f>
        <v>Contrade Integrated Depot</v>
      </c>
      <c r="N125" s="4">
        <f>IFERROR(__xludf.DUMMYFUNCTION("""COMPUTED_VALUE"""),4.0)</f>
        <v>4</v>
      </c>
      <c r="O125" s="60">
        <f>IFERROR(__xludf.DUMMYFUNCTION("""COMPUTED_VALUE"""),45322.0)</f>
        <v>45322</v>
      </c>
      <c r="R125" s="4"/>
    </row>
    <row r="126">
      <c r="A126" s="226"/>
      <c r="B126" s="188"/>
      <c r="C126" s="278"/>
      <c r="E126" s="181"/>
      <c r="F126" s="181"/>
      <c r="G126" s="4"/>
      <c r="I126" s="181"/>
      <c r="J126" s="181"/>
      <c r="K126" s="4"/>
      <c r="M126" s="59" t="str">
        <f>IFERROR(__xludf.DUMMYFUNCTION("""COMPUTED_VALUE"""),"Contrade Integrated Depot")</f>
        <v>Contrade Integrated Depot</v>
      </c>
      <c r="N126" s="4">
        <f>IFERROR(__xludf.DUMMYFUNCTION("""COMPUTED_VALUE"""),4.0)</f>
        <v>4</v>
      </c>
      <c r="O126" s="60">
        <f>IFERROR(__xludf.DUMMYFUNCTION("""COMPUTED_VALUE"""),45322.0)</f>
        <v>45322</v>
      </c>
      <c r="R126" s="4"/>
    </row>
    <row r="127">
      <c r="A127" s="226"/>
      <c r="B127" s="188"/>
      <c r="C127" s="278"/>
      <c r="E127" s="181"/>
      <c r="F127" s="181"/>
      <c r="G127" s="4"/>
      <c r="I127" s="181"/>
      <c r="J127" s="181"/>
      <c r="K127" s="4"/>
      <c r="M127" s="59" t="str">
        <f>IFERROR(__xludf.DUMMYFUNCTION("""COMPUTED_VALUE"""),"Data Computer Forms, Inc.")</f>
        <v>Data Computer Forms, Inc.</v>
      </c>
      <c r="N127" s="4">
        <f>IFERROR(__xludf.DUMMYFUNCTION("""COMPUTED_VALUE"""),4.0)</f>
        <v>4</v>
      </c>
      <c r="O127" s="60">
        <f>IFERROR(__xludf.DUMMYFUNCTION("""COMPUTED_VALUE"""),45322.0)</f>
        <v>45322</v>
      </c>
      <c r="R127" s="4"/>
    </row>
    <row r="128">
      <c r="A128" s="226"/>
      <c r="B128" s="188"/>
      <c r="C128" s="278"/>
      <c r="E128" s="181"/>
      <c r="F128" s="181"/>
      <c r="G128" s="4"/>
      <c r="I128" s="181"/>
      <c r="J128" s="181"/>
      <c r="K128" s="4"/>
      <c r="M128" s="59" t="str">
        <f>IFERROR(__xludf.DUMMYFUNCTION("""COMPUTED_VALUE"""),"Net Ad IT Solutions")</f>
        <v>Net Ad IT Solutions</v>
      </c>
      <c r="N128" s="4">
        <f>IFERROR(__xludf.DUMMYFUNCTION("""COMPUTED_VALUE"""),4.0)</f>
        <v>4</v>
      </c>
      <c r="O128" s="60">
        <f>IFERROR(__xludf.DUMMYFUNCTION("""COMPUTED_VALUE"""),45322.0)</f>
        <v>45322</v>
      </c>
      <c r="R128" s="4"/>
    </row>
    <row r="129">
      <c r="A129" s="226"/>
      <c r="B129" s="188"/>
      <c r="C129" s="278"/>
      <c r="E129" s="181"/>
      <c r="F129" s="181"/>
      <c r="G129" s="4"/>
      <c r="I129" s="181"/>
      <c r="J129" s="181"/>
      <c r="K129" s="4"/>
      <c r="M129" s="59" t="str">
        <f>IFERROR(__xludf.DUMMYFUNCTION("""COMPUTED_VALUE"""),"Abenson Ventures, Inc.")</f>
        <v>Abenson Ventures, Inc.</v>
      </c>
      <c r="N129" s="4">
        <f>IFERROR(__xludf.DUMMYFUNCTION("""COMPUTED_VALUE"""),4.533333333333333)</f>
        <v>4.533333333</v>
      </c>
      <c r="O129" s="60">
        <f>IFERROR(__xludf.DUMMYFUNCTION("""COMPUTED_VALUE"""),45324.0)</f>
        <v>45324</v>
      </c>
      <c r="R129" s="4"/>
    </row>
    <row r="130">
      <c r="A130" s="226"/>
      <c r="B130" s="188"/>
      <c r="C130" s="278"/>
      <c r="E130" s="181"/>
      <c r="F130" s="181"/>
      <c r="G130" s="4"/>
      <c r="I130" s="181"/>
      <c r="J130" s="181"/>
      <c r="K130" s="4"/>
      <c r="M130" s="59" t="str">
        <f>IFERROR(__xludf.DUMMYFUNCTION("""COMPUTED_VALUE"""),"Belview Co., Inc.")</f>
        <v>Belview Co., Inc.</v>
      </c>
      <c r="N130" s="4">
        <f>IFERROR(__xludf.DUMMYFUNCTION("""COMPUTED_VALUE"""),4.733333333333333)</f>
        <v>4.733333333</v>
      </c>
      <c r="O130" s="60">
        <f>IFERROR(__xludf.DUMMYFUNCTION("""COMPUTED_VALUE"""),45327.0)</f>
        <v>45327</v>
      </c>
      <c r="R130" s="4"/>
    </row>
    <row r="131">
      <c r="A131" s="226"/>
      <c r="B131" s="188"/>
      <c r="C131" s="278"/>
      <c r="E131" s="181"/>
      <c r="F131" s="181"/>
      <c r="G131" s="4"/>
      <c r="I131" s="181"/>
      <c r="J131" s="181"/>
      <c r="K131" s="4"/>
      <c r="M131" s="59" t="str">
        <f>IFERROR(__xludf.DUMMYFUNCTION("""COMPUTED_VALUE"""),"Times Trading Co., Inc.")</f>
        <v>Times Trading Co., Inc.</v>
      </c>
      <c r="N131" s="4">
        <f>IFERROR(__xludf.DUMMYFUNCTION("""COMPUTED_VALUE"""),5.0)</f>
        <v>5</v>
      </c>
      <c r="O131" s="60">
        <f>IFERROR(__xludf.DUMMYFUNCTION("""COMPUTED_VALUE"""),45327.0)</f>
        <v>45327</v>
      </c>
      <c r="R131" s="4"/>
    </row>
    <row r="132">
      <c r="A132" s="226"/>
      <c r="B132" s="188"/>
      <c r="C132" s="278"/>
      <c r="E132" s="181"/>
      <c r="F132" s="181"/>
      <c r="G132" s="4"/>
      <c r="I132" s="181"/>
      <c r="J132" s="181"/>
      <c r="K132" s="4"/>
      <c r="M132" s="59" t="str">
        <f>IFERROR(__xludf.DUMMYFUNCTION("""COMPUTED_VALUE"""),"Contrade Integrated Depot")</f>
        <v>Contrade Integrated Depot</v>
      </c>
      <c r="N132" s="4">
        <f>IFERROR(__xludf.DUMMYFUNCTION("""COMPUTED_VALUE"""),4.0)</f>
        <v>4</v>
      </c>
      <c r="O132" s="60">
        <f>IFERROR(__xludf.DUMMYFUNCTION("""COMPUTED_VALUE"""),45329.0)</f>
        <v>45329</v>
      </c>
      <c r="R132" s="4"/>
    </row>
    <row r="133">
      <c r="A133" s="226"/>
      <c r="B133" s="188"/>
      <c r="C133" s="278"/>
      <c r="E133" s="181"/>
      <c r="F133" s="181"/>
      <c r="G133" s="4"/>
      <c r="I133" s="181"/>
      <c r="J133" s="181"/>
      <c r="K133" s="4"/>
      <c r="M133" s="59" t="str">
        <f>IFERROR(__xludf.DUMMYFUNCTION("""COMPUTED_VALUE"""),"Contrade Integrated Depot")</f>
        <v>Contrade Integrated Depot</v>
      </c>
      <c r="N133" s="4">
        <f>IFERROR(__xludf.DUMMYFUNCTION("""COMPUTED_VALUE"""),4.5)</f>
        <v>4.5</v>
      </c>
      <c r="O133" s="60">
        <f>IFERROR(__xludf.DUMMYFUNCTION("""COMPUTED_VALUE"""),45331.0)</f>
        <v>45331</v>
      </c>
      <c r="R133" s="4"/>
    </row>
    <row r="134">
      <c r="A134" s="226"/>
      <c r="B134" s="188"/>
      <c r="C134" s="278"/>
      <c r="E134" s="181"/>
      <c r="F134" s="181"/>
      <c r="G134" s="4"/>
      <c r="I134" s="181"/>
      <c r="J134" s="181"/>
      <c r="K134" s="4"/>
      <c r="M134" s="59" t="str">
        <f>IFERROR(__xludf.DUMMYFUNCTION("""COMPUTED_VALUE"""),"Belview Co., Inc.")</f>
        <v>Belview Co., Inc.</v>
      </c>
      <c r="N134" s="4">
        <f>IFERROR(__xludf.DUMMYFUNCTION("""COMPUTED_VALUE"""),4.733333333333333)</f>
        <v>4.733333333</v>
      </c>
      <c r="O134" s="60">
        <f>IFERROR(__xludf.DUMMYFUNCTION("""COMPUTED_VALUE"""),45335.0)</f>
        <v>45335</v>
      </c>
      <c r="R134" s="4"/>
    </row>
    <row r="135">
      <c r="A135" s="226"/>
      <c r="B135" s="188"/>
      <c r="C135" s="278"/>
      <c r="E135" s="181"/>
      <c r="F135" s="181"/>
      <c r="G135" s="4"/>
      <c r="I135" s="181"/>
      <c r="J135" s="181"/>
      <c r="K135" s="4"/>
      <c r="M135" s="59" t="str">
        <f>IFERROR(__xludf.DUMMYFUNCTION("""COMPUTED_VALUE"""),"REX Bookstore, Inc.")</f>
        <v>REX Bookstore, Inc.</v>
      </c>
      <c r="N135" s="4">
        <f>IFERROR(__xludf.DUMMYFUNCTION("""COMPUTED_VALUE"""),4.833333333333333)</f>
        <v>4.833333333</v>
      </c>
      <c r="O135" s="60">
        <f>IFERROR(__xludf.DUMMYFUNCTION("""COMPUTED_VALUE"""),45336.0)</f>
        <v>45336</v>
      </c>
      <c r="R135" s="4"/>
    </row>
    <row r="136">
      <c r="A136" s="226"/>
      <c r="B136" s="188"/>
      <c r="C136" s="278"/>
      <c r="E136" s="181"/>
      <c r="F136" s="181"/>
      <c r="G136" s="4"/>
      <c r="I136" s="181"/>
      <c r="J136" s="181"/>
      <c r="K136" s="4"/>
      <c r="M136" s="59" t="str">
        <f>IFERROR(__xludf.DUMMYFUNCTION("""COMPUTED_VALUE"""),"REX Bookstore, Inc.")</f>
        <v>REX Bookstore, Inc.</v>
      </c>
      <c r="N136" s="4">
        <f>IFERROR(__xludf.DUMMYFUNCTION("""COMPUTED_VALUE"""),4.833333333333333)</f>
        <v>4.833333333</v>
      </c>
      <c r="O136" s="60">
        <f>IFERROR(__xludf.DUMMYFUNCTION("""COMPUTED_VALUE"""),45336.0)</f>
        <v>45336</v>
      </c>
      <c r="R136" s="4"/>
    </row>
    <row r="137">
      <c r="A137" s="226"/>
      <c r="B137" s="188"/>
      <c r="C137" s="278"/>
      <c r="E137" s="181"/>
      <c r="F137" s="181"/>
      <c r="G137" s="4"/>
      <c r="I137" s="181"/>
      <c r="J137" s="181"/>
      <c r="K137" s="4"/>
      <c r="M137" s="59" t="str">
        <f>IFERROR(__xludf.DUMMYFUNCTION("""COMPUTED_VALUE"""),"Rivchem Enterprises")</f>
        <v>Rivchem Enterprises</v>
      </c>
      <c r="N137" s="4">
        <f>IFERROR(__xludf.DUMMYFUNCTION("""COMPUTED_VALUE"""),4.75)</f>
        <v>4.75</v>
      </c>
      <c r="O137" s="60">
        <f>IFERROR(__xludf.DUMMYFUNCTION("""COMPUTED_VALUE"""),45337.0)</f>
        <v>45337</v>
      </c>
      <c r="R137" s="4"/>
    </row>
    <row r="138">
      <c r="A138" s="226"/>
      <c r="B138" s="188"/>
      <c r="C138" s="278"/>
      <c r="E138" s="181"/>
      <c r="F138" s="181"/>
      <c r="G138" s="4"/>
      <c r="I138" s="181"/>
      <c r="J138" s="181"/>
      <c r="K138" s="4"/>
      <c r="M138" s="59" t="str">
        <f>IFERROR(__xludf.DUMMYFUNCTION("""COMPUTED_VALUE"""),"Belview Co., Inc.")</f>
        <v>Belview Co., Inc.</v>
      </c>
      <c r="N138" s="4">
        <f>IFERROR(__xludf.DUMMYFUNCTION("""COMPUTED_VALUE"""),4.733333333333333)</f>
        <v>4.733333333</v>
      </c>
      <c r="O138" s="60">
        <f>IFERROR(__xludf.DUMMYFUNCTION("""COMPUTED_VALUE"""),45338.0)</f>
        <v>45338</v>
      </c>
      <c r="R138" s="4"/>
    </row>
    <row r="139">
      <c r="A139" s="226"/>
      <c r="B139" s="188"/>
      <c r="C139" s="278"/>
      <c r="E139" s="181"/>
      <c r="F139" s="181"/>
      <c r="G139" s="4"/>
      <c r="I139" s="181"/>
      <c r="J139" s="181"/>
      <c r="K139" s="4"/>
      <c r="M139" s="59" t="str">
        <f>IFERROR(__xludf.DUMMYFUNCTION("""COMPUTED_VALUE"""),"Belview Co., Inc.")</f>
        <v>Belview Co., Inc.</v>
      </c>
      <c r="N139" s="4">
        <f>IFERROR(__xludf.DUMMYFUNCTION("""COMPUTED_VALUE"""),4.833333333333333)</f>
        <v>4.833333333</v>
      </c>
      <c r="O139" s="60">
        <f>IFERROR(__xludf.DUMMYFUNCTION("""COMPUTED_VALUE"""),45338.0)</f>
        <v>45338</v>
      </c>
      <c r="R139" s="4"/>
    </row>
    <row r="140">
      <c r="A140" s="226"/>
      <c r="B140" s="188"/>
      <c r="C140" s="278"/>
      <c r="E140" s="181"/>
      <c r="F140" s="181"/>
      <c r="G140" s="4"/>
      <c r="I140" s="181"/>
      <c r="J140" s="181"/>
      <c r="K140" s="4"/>
      <c r="M140" s="59" t="str">
        <f>IFERROR(__xludf.DUMMYFUNCTION("""COMPUTED_VALUE"""),"ADBM Lightning Equipment Trading")</f>
        <v>ADBM Lightning Equipment Trading</v>
      </c>
      <c r="N140" s="4">
        <f>IFERROR(__xludf.DUMMYFUNCTION("""COMPUTED_VALUE"""),5.0)</f>
        <v>5</v>
      </c>
      <c r="O140" s="60">
        <f>IFERROR(__xludf.DUMMYFUNCTION("""COMPUTED_VALUE"""),45342.0)</f>
        <v>45342</v>
      </c>
      <c r="R140" s="4"/>
    </row>
    <row r="141">
      <c r="A141" s="226"/>
      <c r="B141" s="188"/>
      <c r="C141" s="278"/>
      <c r="E141" s="181"/>
      <c r="F141" s="181"/>
      <c r="G141" s="4"/>
      <c r="I141" s="181"/>
      <c r="J141" s="181"/>
      <c r="K141" s="4"/>
      <c r="M141" s="59" t="str">
        <f>IFERROR(__xludf.DUMMYFUNCTION("""COMPUTED_VALUE"""),"Creative Juice Digital Printing")</f>
        <v>Creative Juice Digital Printing</v>
      </c>
      <c r="N141" s="4">
        <f>IFERROR(__xludf.DUMMYFUNCTION("""COMPUTED_VALUE"""),4.588888888888889)</f>
        <v>4.588888889</v>
      </c>
      <c r="O141" s="60">
        <f>IFERROR(__xludf.DUMMYFUNCTION("""COMPUTED_VALUE"""),45348.0)</f>
        <v>45348</v>
      </c>
      <c r="R141" s="4"/>
    </row>
    <row r="142">
      <c r="A142" s="226"/>
      <c r="B142" s="188"/>
      <c r="C142" s="278"/>
      <c r="E142" s="181"/>
      <c r="F142" s="181"/>
      <c r="G142" s="4"/>
      <c r="I142" s="181"/>
      <c r="J142" s="181"/>
      <c r="K142" s="4"/>
      <c r="M142" s="59" t="str">
        <f>IFERROR(__xludf.DUMMYFUNCTION("""COMPUTED_VALUE"""),"Creative Juice Digital Printing")</f>
        <v>Creative Juice Digital Printing</v>
      </c>
      <c r="N142" s="4">
        <f>IFERROR(__xludf.DUMMYFUNCTION("""COMPUTED_VALUE"""),4.533333333333333)</f>
        <v>4.533333333</v>
      </c>
      <c r="O142" s="60">
        <f>IFERROR(__xludf.DUMMYFUNCTION("""COMPUTED_VALUE"""),45348.0)</f>
        <v>45348</v>
      </c>
      <c r="R142" s="4"/>
    </row>
    <row r="143">
      <c r="A143" s="226"/>
      <c r="B143" s="188"/>
      <c r="C143" s="278"/>
      <c r="E143" s="181"/>
      <c r="F143" s="181"/>
      <c r="G143" s="4"/>
      <c r="I143" s="181"/>
      <c r="J143" s="181"/>
      <c r="K143" s="4"/>
      <c r="M143" s="59" t="str">
        <f>IFERROR(__xludf.DUMMYFUNCTION("""COMPUTED_VALUE"""),"Creative Juice Digital Printing")</f>
        <v>Creative Juice Digital Printing</v>
      </c>
      <c r="N143" s="4">
        <f>IFERROR(__xludf.DUMMYFUNCTION("""COMPUTED_VALUE"""),4.0)</f>
        <v>4</v>
      </c>
      <c r="O143" s="60">
        <f>IFERROR(__xludf.DUMMYFUNCTION("""COMPUTED_VALUE"""),45348.0)</f>
        <v>45348</v>
      </c>
      <c r="R143" s="4"/>
    </row>
    <row r="144">
      <c r="A144" s="226"/>
      <c r="B144" s="188"/>
      <c r="C144" s="278"/>
      <c r="E144" s="181"/>
      <c r="F144" s="181"/>
      <c r="G144" s="4"/>
      <c r="I144" s="181"/>
      <c r="J144" s="181"/>
      <c r="K144" s="4"/>
      <c r="M144" s="59" t="str">
        <f>IFERROR(__xludf.DUMMYFUNCTION("""COMPUTED_VALUE"""),"Primeline Products Philippines, Inc.")</f>
        <v>Primeline Products Philippines, Inc.</v>
      </c>
      <c r="N144" s="4">
        <f>IFERROR(__xludf.DUMMYFUNCTION("""COMPUTED_VALUE"""),4.75)</f>
        <v>4.75</v>
      </c>
      <c r="O144" s="60">
        <f>IFERROR(__xludf.DUMMYFUNCTION("""COMPUTED_VALUE"""),45348.0)</f>
        <v>45348</v>
      </c>
      <c r="R144" s="4"/>
    </row>
    <row r="145">
      <c r="A145" s="226"/>
      <c r="B145" s="188"/>
      <c r="C145" s="278"/>
      <c r="E145" s="181"/>
      <c r="F145" s="181"/>
      <c r="G145" s="4"/>
      <c r="I145" s="181"/>
      <c r="J145" s="181"/>
      <c r="K145" s="4"/>
      <c r="M145" s="59" t="str">
        <f>IFERROR(__xludf.DUMMYFUNCTION("""COMPUTED_VALUE"""),"Crosspoint Paper, Inc.")</f>
        <v>Crosspoint Paper, Inc.</v>
      </c>
      <c r="N145" s="4">
        <f>IFERROR(__xludf.DUMMYFUNCTION("""COMPUTED_VALUE"""),5.0)</f>
        <v>5</v>
      </c>
      <c r="O145" s="60">
        <f>IFERROR(__xludf.DUMMYFUNCTION("""COMPUTED_VALUE"""),45348.0)</f>
        <v>45348</v>
      </c>
      <c r="R145" s="4"/>
    </row>
    <row r="146">
      <c r="A146" s="226"/>
      <c r="B146" s="188"/>
      <c r="C146" s="278"/>
      <c r="E146" s="181"/>
      <c r="F146" s="181"/>
      <c r="G146" s="4"/>
      <c r="I146" s="181"/>
      <c r="J146" s="181"/>
      <c r="K146" s="4"/>
      <c r="M146" s="59" t="str">
        <f>IFERROR(__xludf.DUMMYFUNCTION("""COMPUTED_VALUE"""),"Contrade Integrated Depot")</f>
        <v>Contrade Integrated Depot</v>
      </c>
      <c r="N146" s="4">
        <f>IFERROR(__xludf.DUMMYFUNCTION("""COMPUTED_VALUE"""),4.5)</f>
        <v>4.5</v>
      </c>
      <c r="O146" s="60">
        <f>IFERROR(__xludf.DUMMYFUNCTION("""COMPUTED_VALUE"""),45348.0)</f>
        <v>45348</v>
      </c>
      <c r="R146" s="4"/>
    </row>
    <row r="147">
      <c r="A147" s="226"/>
      <c r="B147" s="188"/>
      <c r="C147" s="278"/>
      <c r="E147" s="181"/>
      <c r="F147" s="181"/>
      <c r="G147" s="4"/>
      <c r="I147" s="181"/>
      <c r="J147" s="181"/>
      <c r="K147" s="4"/>
      <c r="M147" s="59" t="str">
        <f>IFERROR(__xludf.DUMMYFUNCTION("""COMPUTED_VALUE"""),"Abacus Book &amp; Card Corp.")</f>
        <v>Abacus Book &amp; Card Corp.</v>
      </c>
      <c r="N147" s="4">
        <f>IFERROR(__xludf.DUMMYFUNCTION("""COMPUTED_VALUE"""),5.0)</f>
        <v>5</v>
      </c>
      <c r="O147" s="60">
        <f>IFERROR(__xludf.DUMMYFUNCTION("""COMPUTED_VALUE"""),45348.0)</f>
        <v>45348</v>
      </c>
      <c r="R147" s="4"/>
    </row>
    <row r="148">
      <c r="A148" s="226"/>
      <c r="B148" s="188"/>
      <c r="C148" s="278"/>
      <c r="E148" s="181"/>
      <c r="F148" s="181"/>
      <c r="G148" s="4"/>
      <c r="I148" s="181"/>
      <c r="J148" s="181"/>
      <c r="K148" s="4"/>
      <c r="M148" s="59" t="str">
        <f>IFERROR(__xludf.DUMMYFUNCTION("""COMPUTED_VALUE"""),"Contrade Integrated Depot")</f>
        <v>Contrade Integrated Depot</v>
      </c>
      <c r="N148" s="4">
        <f>IFERROR(__xludf.DUMMYFUNCTION("""COMPUTED_VALUE"""),4.5)</f>
        <v>4.5</v>
      </c>
      <c r="O148" s="60">
        <f>IFERROR(__xludf.DUMMYFUNCTION("""COMPUTED_VALUE"""),45348.0)</f>
        <v>45348</v>
      </c>
      <c r="R148" s="4"/>
    </row>
    <row r="149">
      <c r="A149" s="226"/>
      <c r="B149" s="188"/>
      <c r="C149" s="278"/>
      <c r="E149" s="181"/>
      <c r="F149" s="181"/>
      <c r="G149" s="4"/>
      <c r="I149" s="181"/>
      <c r="J149" s="181"/>
      <c r="K149" s="4"/>
      <c r="M149" s="59" t="str">
        <f>IFERROR(__xludf.DUMMYFUNCTION("""COMPUTED_VALUE"""),"Chemtrust Global Market, Inc.")</f>
        <v>Chemtrust Global Market, Inc.</v>
      </c>
      <c r="N149" s="4">
        <f>IFERROR(__xludf.DUMMYFUNCTION("""COMPUTED_VALUE"""),4.766666666666667)</f>
        <v>4.766666667</v>
      </c>
      <c r="O149" s="60">
        <f>IFERROR(__xludf.DUMMYFUNCTION("""COMPUTED_VALUE"""),45349.0)</f>
        <v>45349</v>
      </c>
      <c r="R149" s="4"/>
    </row>
    <row r="150">
      <c r="A150" s="226"/>
      <c r="B150" s="188"/>
      <c r="C150" s="278"/>
      <c r="E150" s="181"/>
      <c r="F150" s="181"/>
      <c r="G150" s="4"/>
      <c r="I150" s="181"/>
      <c r="J150" s="181"/>
      <c r="K150" s="4"/>
      <c r="M150" s="59" t="str">
        <f>IFERROR(__xludf.DUMMYFUNCTION("""COMPUTED_VALUE"""),"Contrade Integrated Depot")</f>
        <v>Contrade Integrated Depot</v>
      </c>
      <c r="N150" s="4">
        <f>IFERROR(__xludf.DUMMYFUNCTION("""COMPUTED_VALUE"""),5.0)</f>
        <v>5</v>
      </c>
      <c r="O150" s="60">
        <f>IFERROR(__xludf.DUMMYFUNCTION("""COMPUTED_VALUE"""),45349.0)</f>
        <v>45349</v>
      </c>
      <c r="R150" s="4"/>
    </row>
    <row r="151">
      <c r="A151" s="226"/>
      <c r="B151" s="188"/>
      <c r="C151" s="278"/>
      <c r="E151" s="181"/>
      <c r="F151" s="181"/>
      <c r="G151" s="4"/>
      <c r="I151" s="181"/>
      <c r="J151" s="181"/>
      <c r="K151" s="4"/>
      <c r="M151" s="59" t="str">
        <f>IFERROR(__xludf.DUMMYFUNCTION("""COMPUTED_VALUE"""),"Luminaire Printing And Publishing Corp.")</f>
        <v>Luminaire Printing And Publishing Corp.</v>
      </c>
      <c r="N151" s="4">
        <f>IFERROR(__xludf.DUMMYFUNCTION("""COMPUTED_VALUE"""),4.833333333333333)</f>
        <v>4.833333333</v>
      </c>
      <c r="O151" s="60">
        <f>IFERROR(__xludf.DUMMYFUNCTION("""COMPUTED_VALUE"""),45350.0)</f>
        <v>45350</v>
      </c>
      <c r="R151" s="4"/>
    </row>
    <row r="152">
      <c r="A152" s="226"/>
      <c r="B152" s="188"/>
      <c r="C152" s="278"/>
      <c r="E152" s="181"/>
      <c r="F152" s="181"/>
      <c r="G152" s="4"/>
      <c r="I152" s="181"/>
      <c r="J152" s="181"/>
      <c r="K152" s="4"/>
      <c r="M152" s="59" t="str">
        <f>IFERROR(__xludf.DUMMYFUNCTION("""COMPUTED_VALUE"""),"Luminaire Printing And Publishing Corp.")</f>
        <v>Luminaire Printing And Publishing Corp.</v>
      </c>
      <c r="N152" s="4">
        <f>IFERROR(__xludf.DUMMYFUNCTION("""COMPUTED_VALUE"""),5.0)</f>
        <v>5</v>
      </c>
      <c r="O152" s="60">
        <f>IFERROR(__xludf.DUMMYFUNCTION("""COMPUTED_VALUE"""),45350.0)</f>
        <v>45350</v>
      </c>
      <c r="R152" s="4"/>
    </row>
    <row r="153">
      <c r="A153" s="226"/>
      <c r="B153" s="188"/>
      <c r="C153" s="278"/>
      <c r="E153" s="181"/>
      <c r="F153" s="181"/>
      <c r="G153" s="4"/>
      <c r="I153" s="181"/>
      <c r="J153" s="181"/>
      <c r="K153" s="4"/>
      <c r="M153" s="59" t="str">
        <f>IFERROR(__xludf.DUMMYFUNCTION("""COMPUTED_VALUE"""),"Contrade Integrated Depot")</f>
        <v>Contrade Integrated Depot</v>
      </c>
      <c r="N153" s="4">
        <f>IFERROR(__xludf.DUMMYFUNCTION("""COMPUTED_VALUE"""),4.5)</f>
        <v>4.5</v>
      </c>
      <c r="O153" s="60">
        <f>IFERROR(__xludf.DUMMYFUNCTION("""COMPUTED_VALUE"""),45351.0)</f>
        <v>45351</v>
      </c>
      <c r="R153" s="4"/>
    </row>
    <row r="154">
      <c r="A154" s="226"/>
      <c r="B154" s="188"/>
      <c r="C154" s="278"/>
      <c r="E154" s="181"/>
      <c r="F154" s="181"/>
      <c r="G154" s="4"/>
      <c r="I154" s="181"/>
      <c r="J154" s="181"/>
      <c r="K154" s="4"/>
      <c r="M154" s="59" t="str">
        <f>IFERROR(__xludf.DUMMYFUNCTION("""COMPUTED_VALUE"""),"Mostaco Printing")</f>
        <v>Mostaco Printing</v>
      </c>
      <c r="N154" s="4">
        <f>IFERROR(__xludf.DUMMYFUNCTION("""COMPUTED_VALUE"""),5.0)</f>
        <v>5</v>
      </c>
      <c r="O154" s="60">
        <f>IFERROR(__xludf.DUMMYFUNCTION("""COMPUTED_VALUE"""),45351.0)</f>
        <v>45351</v>
      </c>
      <c r="R154" s="4"/>
    </row>
    <row r="155">
      <c r="A155" s="226"/>
      <c r="B155" s="188"/>
      <c r="C155" s="278"/>
      <c r="E155" s="181"/>
      <c r="F155" s="181"/>
      <c r="G155" s="4"/>
      <c r="I155" s="181"/>
      <c r="J155" s="181"/>
      <c r="K155" s="4"/>
      <c r="M155" s="59" t="str">
        <f>IFERROR(__xludf.DUMMYFUNCTION("""COMPUTED_VALUE"""),"Leonard Prints Inc.")</f>
        <v>Leonard Prints Inc.</v>
      </c>
      <c r="N155" s="4">
        <f>IFERROR(__xludf.DUMMYFUNCTION("""COMPUTED_VALUE"""),5.0)</f>
        <v>5</v>
      </c>
      <c r="O155" s="60">
        <f>IFERROR(__xludf.DUMMYFUNCTION("""COMPUTED_VALUE"""),45352.0)</f>
        <v>45352</v>
      </c>
      <c r="R155" s="4"/>
    </row>
    <row r="156">
      <c r="A156" s="226"/>
      <c r="B156" s="188"/>
      <c r="C156" s="278"/>
      <c r="E156" s="181"/>
      <c r="F156" s="181"/>
      <c r="G156" s="4"/>
      <c r="I156" s="181"/>
      <c r="J156" s="181"/>
      <c r="K156" s="4"/>
      <c r="M156" s="59" t="str">
        <f>IFERROR(__xludf.DUMMYFUNCTION("""COMPUTED_VALUE"""),"Abenson Ventures, Inc.")</f>
        <v>Abenson Ventures, Inc.</v>
      </c>
      <c r="N156" s="4">
        <f>IFERROR(__xludf.DUMMYFUNCTION("""COMPUTED_VALUE"""),4.575)</f>
        <v>4.575</v>
      </c>
      <c r="O156" s="60">
        <f>IFERROR(__xludf.DUMMYFUNCTION("""COMPUTED_VALUE"""),45353.0)</f>
        <v>45353</v>
      </c>
      <c r="R156" s="4"/>
    </row>
    <row r="157">
      <c r="A157" s="226"/>
      <c r="B157" s="188"/>
      <c r="C157" s="278"/>
      <c r="E157" s="181"/>
      <c r="F157" s="181"/>
      <c r="G157" s="4"/>
      <c r="I157" s="181"/>
      <c r="J157" s="181"/>
      <c r="K157" s="4"/>
      <c r="M157" s="59" t="str">
        <f>IFERROR(__xludf.DUMMYFUNCTION("""COMPUTED_VALUE"""),"Rivchem Enterprises")</f>
        <v>Rivchem Enterprises</v>
      </c>
      <c r="N157" s="4">
        <f>IFERROR(__xludf.DUMMYFUNCTION("""COMPUTED_VALUE"""),4.75)</f>
        <v>4.75</v>
      </c>
      <c r="O157" s="60">
        <f>IFERROR(__xludf.DUMMYFUNCTION("""COMPUTED_VALUE"""),45355.0)</f>
        <v>45355</v>
      </c>
      <c r="R157" s="4"/>
    </row>
    <row r="158">
      <c r="A158" s="226"/>
      <c r="B158" s="188"/>
      <c r="C158" s="278"/>
      <c r="E158" s="181"/>
      <c r="F158" s="181"/>
      <c r="G158" s="4"/>
      <c r="I158" s="181"/>
      <c r="J158" s="181"/>
      <c r="K158" s="4"/>
      <c r="M158" s="59" t="str">
        <f>IFERROR(__xludf.DUMMYFUNCTION("""COMPUTED_VALUE"""),"Abacus Book &amp; Card Corp.")</f>
        <v>Abacus Book &amp; Card Corp.</v>
      </c>
      <c r="N158" s="4">
        <f>IFERROR(__xludf.DUMMYFUNCTION("""COMPUTED_VALUE"""),4.5)</f>
        <v>4.5</v>
      </c>
      <c r="O158" s="60">
        <f>IFERROR(__xludf.DUMMYFUNCTION("""COMPUTED_VALUE"""),45356.0)</f>
        <v>45356</v>
      </c>
      <c r="R158" s="4"/>
    </row>
    <row r="159">
      <c r="A159" s="226"/>
      <c r="B159" s="188"/>
      <c r="C159" s="278"/>
      <c r="E159" s="181"/>
      <c r="F159" s="181"/>
      <c r="G159" s="4"/>
      <c r="I159" s="181"/>
      <c r="J159" s="181"/>
      <c r="K159" s="4"/>
      <c r="M159" s="59" t="str">
        <f>IFERROR(__xludf.DUMMYFUNCTION("""COMPUTED_VALUE"""),"Commerce Asia, Inc.")</f>
        <v>Commerce Asia, Inc.</v>
      </c>
      <c r="N159" s="4">
        <f>IFERROR(__xludf.DUMMYFUNCTION("""COMPUTED_VALUE"""),4.496666666666667)</f>
        <v>4.496666667</v>
      </c>
      <c r="O159" s="60">
        <f>IFERROR(__xludf.DUMMYFUNCTION("""COMPUTED_VALUE"""),45356.0)</f>
        <v>45356</v>
      </c>
      <c r="R159" s="4"/>
    </row>
    <row r="160">
      <c r="A160" s="226"/>
      <c r="B160" s="188"/>
      <c r="C160" s="278"/>
      <c r="E160" s="181"/>
      <c r="F160" s="181"/>
      <c r="G160" s="4"/>
      <c r="I160" s="181"/>
      <c r="J160" s="181"/>
      <c r="K160" s="4"/>
      <c r="M160" s="59" t="str">
        <f>IFERROR(__xludf.DUMMYFUNCTION("""COMPUTED_VALUE"""),"DKL Laboratory Supplies")</f>
        <v>DKL Laboratory Supplies</v>
      </c>
      <c r="N160" s="4">
        <f>IFERROR(__xludf.DUMMYFUNCTION("""COMPUTED_VALUE"""),3.6666666666666665)</f>
        <v>3.666666667</v>
      </c>
      <c r="O160" s="60">
        <f>IFERROR(__xludf.DUMMYFUNCTION("""COMPUTED_VALUE"""),45356.0)</f>
        <v>45356</v>
      </c>
      <c r="R160" s="4"/>
    </row>
    <row r="161">
      <c r="A161" s="226"/>
      <c r="B161" s="188"/>
      <c r="C161" s="278"/>
      <c r="E161" s="181"/>
      <c r="F161" s="181"/>
      <c r="G161" s="4"/>
      <c r="I161" s="181"/>
      <c r="J161" s="181"/>
      <c r="K161" s="4"/>
      <c r="M161" s="59" t="str">
        <f>IFERROR(__xludf.DUMMYFUNCTION("""COMPUTED_VALUE"""),"Patagonian Enterprises ")</f>
        <v>Patagonian Enterprises </v>
      </c>
      <c r="N161" s="4">
        <f>IFERROR(__xludf.DUMMYFUNCTION("""COMPUTED_VALUE"""),3.6666666666666665)</f>
        <v>3.666666667</v>
      </c>
      <c r="O161" s="60">
        <f>IFERROR(__xludf.DUMMYFUNCTION("""COMPUTED_VALUE"""),45356.0)</f>
        <v>45356</v>
      </c>
      <c r="R161" s="4"/>
    </row>
    <row r="162">
      <c r="A162" s="226"/>
      <c r="B162" s="188"/>
      <c r="C162" s="278"/>
      <c r="E162" s="181"/>
      <c r="F162" s="181"/>
      <c r="G162" s="4"/>
      <c r="I162" s="181"/>
      <c r="J162" s="181"/>
      <c r="K162" s="4"/>
      <c r="M162" s="59" t="str">
        <f>IFERROR(__xludf.DUMMYFUNCTION("""COMPUTED_VALUE"""),"Contrade Integrated Depot")</f>
        <v>Contrade Integrated Depot</v>
      </c>
      <c r="N162" s="4">
        <f>IFERROR(__xludf.DUMMYFUNCTION("""COMPUTED_VALUE"""),4.496666666666667)</f>
        <v>4.496666667</v>
      </c>
      <c r="O162" s="60">
        <f>IFERROR(__xludf.DUMMYFUNCTION("""COMPUTED_VALUE"""),45357.0)</f>
        <v>45357</v>
      </c>
      <c r="R162" s="4"/>
    </row>
    <row r="163">
      <c r="A163" s="226"/>
      <c r="B163" s="188"/>
      <c r="C163" s="278"/>
      <c r="E163" s="181"/>
      <c r="F163" s="181"/>
      <c r="G163" s="4"/>
      <c r="I163" s="181"/>
      <c r="J163" s="181"/>
      <c r="K163" s="4"/>
      <c r="M163" s="59" t="str">
        <f>IFERROR(__xludf.DUMMYFUNCTION("""COMPUTED_VALUE"""),"Contrade Integrated Depot")</f>
        <v>Contrade Integrated Depot</v>
      </c>
      <c r="N163" s="4">
        <f>IFERROR(__xludf.DUMMYFUNCTION("""COMPUTED_VALUE"""),4.5)</f>
        <v>4.5</v>
      </c>
      <c r="O163" s="60">
        <f>IFERROR(__xludf.DUMMYFUNCTION("""COMPUTED_VALUE"""),45357.0)</f>
        <v>45357</v>
      </c>
      <c r="R163" s="4"/>
    </row>
    <row r="164">
      <c r="A164" s="226"/>
      <c r="B164" s="188"/>
      <c r="C164" s="278"/>
      <c r="E164" s="181"/>
      <c r="F164" s="181"/>
      <c r="G164" s="4"/>
      <c r="I164" s="181"/>
      <c r="J164" s="181"/>
      <c r="K164" s="4"/>
      <c r="M164" s="59" t="str">
        <f>IFERROR(__xludf.DUMMYFUNCTION("""COMPUTED_VALUE"""),"Mostaco Printing")</f>
        <v>Mostaco Printing</v>
      </c>
      <c r="N164" s="4">
        <f>IFERROR(__xludf.DUMMYFUNCTION("""COMPUTED_VALUE"""),5.0)</f>
        <v>5</v>
      </c>
      <c r="O164" s="60">
        <f>IFERROR(__xludf.DUMMYFUNCTION("""COMPUTED_VALUE"""),45358.0)</f>
        <v>45358</v>
      </c>
      <c r="R164" s="4"/>
    </row>
    <row r="165">
      <c r="A165" s="226"/>
      <c r="B165" s="188"/>
      <c r="C165" s="278"/>
      <c r="E165" s="181"/>
      <c r="F165" s="181"/>
      <c r="G165" s="4"/>
      <c r="I165" s="181"/>
      <c r="J165" s="181"/>
      <c r="K165" s="4"/>
      <c r="M165" s="59" t="str">
        <f>IFERROR(__xludf.DUMMYFUNCTION("""COMPUTED_VALUE"""),"Abacus Book &amp; Card Corp.")</f>
        <v>Abacus Book &amp; Card Corp.</v>
      </c>
      <c r="N165" s="4">
        <f>IFERROR(__xludf.DUMMYFUNCTION("""COMPUTED_VALUE"""),4.5)</f>
        <v>4.5</v>
      </c>
      <c r="O165" s="60">
        <f>IFERROR(__xludf.DUMMYFUNCTION("""COMPUTED_VALUE"""),45359.0)</f>
        <v>45359</v>
      </c>
      <c r="R165" s="4"/>
    </row>
    <row r="166">
      <c r="A166" s="226"/>
      <c r="B166" s="188"/>
      <c r="C166" s="278"/>
      <c r="E166" s="181"/>
      <c r="F166" s="181"/>
      <c r="G166" s="4"/>
      <c r="I166" s="181"/>
      <c r="J166" s="181"/>
      <c r="K166" s="4"/>
      <c r="M166" s="59" t="str">
        <f>IFERROR(__xludf.DUMMYFUNCTION("""COMPUTED_VALUE"""),"Abacus Book &amp; Card Corp.")</f>
        <v>Abacus Book &amp; Card Corp.</v>
      </c>
      <c r="N166" s="4">
        <f>IFERROR(__xludf.DUMMYFUNCTION("""COMPUTED_VALUE"""),4.496666666666667)</f>
        <v>4.496666667</v>
      </c>
      <c r="O166" s="60">
        <f>IFERROR(__xludf.DUMMYFUNCTION("""COMPUTED_VALUE"""),45359.0)</f>
        <v>45359</v>
      </c>
      <c r="R166" s="4"/>
    </row>
    <row r="167">
      <c r="A167" s="226"/>
      <c r="B167" s="188"/>
      <c r="C167" s="278"/>
      <c r="E167" s="181"/>
      <c r="F167" s="181"/>
      <c r="G167" s="4"/>
      <c r="I167" s="181"/>
      <c r="J167" s="181"/>
      <c r="K167" s="4"/>
      <c r="M167" s="59" t="str">
        <f>IFERROR(__xludf.DUMMYFUNCTION("""COMPUTED_VALUE"""),"Creative Juice Digital Printing")</f>
        <v>Creative Juice Digital Printing</v>
      </c>
      <c r="N167" s="4">
        <f>IFERROR(__xludf.DUMMYFUNCTION("""COMPUTED_VALUE"""),4.833333333333333)</f>
        <v>4.833333333</v>
      </c>
      <c r="O167" s="60">
        <f>IFERROR(__xludf.DUMMYFUNCTION("""COMPUTED_VALUE"""),45360.0)</f>
        <v>45360</v>
      </c>
      <c r="R167" s="4"/>
    </row>
    <row r="168">
      <c r="A168" s="226"/>
      <c r="B168" s="188"/>
      <c r="C168" s="278"/>
      <c r="E168" s="181"/>
      <c r="F168" s="181"/>
      <c r="G168" s="4"/>
      <c r="I168" s="181"/>
      <c r="J168" s="181"/>
      <c r="K168" s="4"/>
      <c r="M168" s="59" t="str">
        <f>IFERROR(__xludf.DUMMYFUNCTION("""COMPUTED_VALUE"""),"Creative Juice Digital Printing")</f>
        <v>Creative Juice Digital Printing</v>
      </c>
      <c r="N168" s="4">
        <f>IFERROR(__xludf.DUMMYFUNCTION("""COMPUTED_VALUE"""),5.0)</f>
        <v>5</v>
      </c>
      <c r="O168" s="60">
        <f>IFERROR(__xludf.DUMMYFUNCTION("""COMPUTED_VALUE"""),45360.0)</f>
        <v>45360</v>
      </c>
      <c r="R168" s="4"/>
    </row>
    <row r="169">
      <c r="A169" s="226"/>
      <c r="B169" s="188"/>
      <c r="C169" s="278"/>
      <c r="E169" s="181"/>
      <c r="F169" s="181"/>
      <c r="G169" s="4"/>
      <c r="I169" s="181"/>
      <c r="J169" s="181"/>
      <c r="K169" s="4"/>
      <c r="M169" s="59" t="str">
        <f>IFERROR(__xludf.DUMMYFUNCTION("""COMPUTED_VALUE"""),"Rivchem Enterprises")</f>
        <v>Rivchem Enterprises</v>
      </c>
      <c r="N169" s="4">
        <f>IFERROR(__xludf.DUMMYFUNCTION("""COMPUTED_VALUE"""),4.75)</f>
        <v>4.75</v>
      </c>
      <c r="O169" s="60">
        <f>IFERROR(__xludf.DUMMYFUNCTION("""COMPUTED_VALUE"""),45360.0)</f>
        <v>45360</v>
      </c>
      <c r="R169" s="4"/>
    </row>
    <row r="170">
      <c r="A170" s="226"/>
      <c r="B170" s="188"/>
      <c r="C170" s="278"/>
      <c r="E170" s="181"/>
      <c r="F170" s="181"/>
      <c r="G170" s="4"/>
      <c r="I170" s="181"/>
      <c r="J170" s="181"/>
      <c r="K170" s="4"/>
      <c r="M170" s="59" t="str">
        <f>IFERROR(__xludf.DUMMYFUNCTION("""COMPUTED_VALUE"""),"Rivchem Enterprises")</f>
        <v>Rivchem Enterprises</v>
      </c>
      <c r="N170" s="4">
        <f>IFERROR(__xludf.DUMMYFUNCTION("""COMPUTED_VALUE"""),4.75)</f>
        <v>4.75</v>
      </c>
      <c r="O170" s="60">
        <f>IFERROR(__xludf.DUMMYFUNCTION("""COMPUTED_VALUE"""),45362.0)</f>
        <v>45362</v>
      </c>
      <c r="R170" s="4"/>
    </row>
    <row r="171">
      <c r="A171" s="226"/>
      <c r="B171" s="188"/>
      <c r="C171" s="278"/>
      <c r="E171" s="181"/>
      <c r="F171" s="181"/>
      <c r="G171" s="4"/>
      <c r="I171" s="181"/>
      <c r="J171" s="181"/>
      <c r="K171" s="4"/>
      <c r="M171" s="59" t="str">
        <f>IFERROR(__xludf.DUMMYFUNCTION("""COMPUTED_VALUE"""),"Rivchem Enterprises")</f>
        <v>Rivchem Enterprises</v>
      </c>
      <c r="N171" s="4">
        <f>IFERROR(__xludf.DUMMYFUNCTION("""COMPUTED_VALUE"""),4.75)</f>
        <v>4.75</v>
      </c>
      <c r="O171" s="60">
        <f>IFERROR(__xludf.DUMMYFUNCTION("""COMPUTED_VALUE"""),45362.0)</f>
        <v>45362</v>
      </c>
      <c r="R171" s="4"/>
    </row>
    <row r="172">
      <c r="A172" s="226"/>
      <c r="B172" s="188"/>
      <c r="C172" s="278"/>
      <c r="E172" s="181"/>
      <c r="F172" s="181"/>
      <c r="G172" s="4"/>
      <c r="I172" s="181"/>
      <c r="J172" s="181"/>
      <c r="K172" s="4"/>
      <c r="M172" s="59" t="str">
        <f>IFERROR(__xludf.DUMMYFUNCTION("""COMPUTED_VALUE"""),"Leonard Prints Inc.")</f>
        <v>Leonard Prints Inc.</v>
      </c>
      <c r="N172" s="4">
        <f>IFERROR(__xludf.DUMMYFUNCTION("""COMPUTED_VALUE"""),4.666666666666667)</f>
        <v>4.666666667</v>
      </c>
      <c r="O172" s="60">
        <f>IFERROR(__xludf.DUMMYFUNCTION("""COMPUTED_VALUE"""),45363.0)</f>
        <v>45363</v>
      </c>
      <c r="R172" s="4"/>
    </row>
    <row r="173">
      <c r="A173" s="226"/>
      <c r="B173" s="188"/>
      <c r="C173" s="278"/>
      <c r="E173" s="181"/>
      <c r="F173" s="181"/>
      <c r="G173" s="4"/>
      <c r="I173" s="181"/>
      <c r="J173" s="181"/>
      <c r="K173" s="4"/>
      <c r="M173" s="59" t="str">
        <f>IFERROR(__xludf.DUMMYFUNCTION("""COMPUTED_VALUE"""),"Luminaire Printing And Publishing Corp.")</f>
        <v>Luminaire Printing And Publishing Corp.</v>
      </c>
      <c r="N173" s="4">
        <f>IFERROR(__xludf.DUMMYFUNCTION("""COMPUTED_VALUE"""),4.833333333333333)</f>
        <v>4.833333333</v>
      </c>
      <c r="O173" s="60">
        <f>IFERROR(__xludf.DUMMYFUNCTION("""COMPUTED_VALUE"""),45365.0)</f>
        <v>45365</v>
      </c>
      <c r="R173" s="4"/>
    </row>
    <row r="174">
      <c r="A174" s="226"/>
      <c r="B174" s="188"/>
      <c r="C174" s="278"/>
      <c r="E174" s="181"/>
      <c r="F174" s="181"/>
      <c r="G174" s="4"/>
      <c r="I174" s="181"/>
      <c r="J174" s="181"/>
      <c r="K174" s="4"/>
      <c r="M174" s="59" t="str">
        <f>IFERROR(__xludf.DUMMYFUNCTION("""COMPUTED_VALUE"""),"Rivchem Enterprises")</f>
        <v>Rivchem Enterprises</v>
      </c>
      <c r="N174" s="4">
        <f>IFERROR(__xludf.DUMMYFUNCTION("""COMPUTED_VALUE"""),4.75)</f>
        <v>4.75</v>
      </c>
      <c r="O174" s="60">
        <f>IFERROR(__xludf.DUMMYFUNCTION("""COMPUTED_VALUE"""),45365.0)</f>
        <v>45365</v>
      </c>
      <c r="R174" s="4"/>
    </row>
    <row r="175">
      <c r="A175" s="226"/>
      <c r="B175" s="188"/>
      <c r="C175" s="278"/>
      <c r="E175" s="181"/>
      <c r="F175" s="181"/>
      <c r="G175" s="4"/>
      <c r="I175" s="181"/>
      <c r="J175" s="181"/>
      <c r="K175" s="4"/>
      <c r="M175" s="59" t="str">
        <f>IFERROR(__xludf.DUMMYFUNCTION("""COMPUTED_VALUE"""),"Tropical Palms Fashion House, Inc.")</f>
        <v>Tropical Palms Fashion House, Inc.</v>
      </c>
      <c r="N175" s="4">
        <f>IFERROR(__xludf.DUMMYFUNCTION("""COMPUTED_VALUE"""),5.0)</f>
        <v>5</v>
      </c>
      <c r="O175" s="60">
        <f>IFERROR(__xludf.DUMMYFUNCTION("""COMPUTED_VALUE"""),45366.0)</f>
        <v>45366</v>
      </c>
      <c r="R175" s="4"/>
    </row>
    <row r="176">
      <c r="A176" s="226"/>
      <c r="B176" s="188"/>
      <c r="C176" s="278"/>
      <c r="E176" s="181"/>
      <c r="F176" s="181"/>
      <c r="G176" s="4"/>
      <c r="I176" s="181"/>
      <c r="J176" s="181"/>
      <c r="K176" s="4"/>
      <c r="M176" s="59" t="str">
        <f>IFERROR(__xludf.DUMMYFUNCTION("""COMPUTED_VALUE"""),"Rivchem Enterprises")</f>
        <v>Rivchem Enterprises</v>
      </c>
      <c r="N176" s="4">
        <f>IFERROR(__xludf.DUMMYFUNCTION("""COMPUTED_VALUE"""),4.75)</f>
        <v>4.75</v>
      </c>
      <c r="O176" s="60">
        <f>IFERROR(__xludf.DUMMYFUNCTION("""COMPUTED_VALUE"""),45366.0)</f>
        <v>45366</v>
      </c>
      <c r="R176" s="4"/>
    </row>
    <row r="177">
      <c r="A177" s="226"/>
      <c r="B177" s="188"/>
      <c r="C177" s="278"/>
      <c r="E177" s="181"/>
      <c r="F177" s="181"/>
      <c r="G177" s="4"/>
      <c r="I177" s="181"/>
      <c r="J177" s="181"/>
      <c r="K177" s="4"/>
      <c r="M177" s="59" t="str">
        <f>IFERROR(__xludf.DUMMYFUNCTION("""COMPUTED_VALUE"""),"Rivchem Enterprises")</f>
        <v>Rivchem Enterprises</v>
      </c>
      <c r="N177" s="4">
        <f>IFERROR(__xludf.DUMMYFUNCTION("""COMPUTED_VALUE"""),4.75)</f>
        <v>4.75</v>
      </c>
      <c r="O177" s="60">
        <f>IFERROR(__xludf.DUMMYFUNCTION("""COMPUTED_VALUE"""),45366.0)</f>
        <v>45366</v>
      </c>
      <c r="R177" s="4"/>
    </row>
    <row r="178">
      <c r="A178" s="226"/>
      <c r="B178" s="188"/>
      <c r="C178" s="278"/>
      <c r="E178" s="181"/>
      <c r="F178" s="181"/>
      <c r="G178" s="4"/>
      <c r="I178" s="181"/>
      <c r="J178" s="181"/>
      <c r="K178" s="4"/>
      <c r="M178" s="59" t="str">
        <f>IFERROR(__xludf.DUMMYFUNCTION("""COMPUTED_VALUE"""),"Dynamics Electrical Supply and Hardware")</f>
        <v>Dynamics Electrical Supply and Hardware</v>
      </c>
      <c r="N178" s="4">
        <f>IFERROR(__xludf.DUMMYFUNCTION("""COMPUTED_VALUE"""),4.0)</f>
        <v>4</v>
      </c>
      <c r="O178" s="60">
        <f>IFERROR(__xludf.DUMMYFUNCTION("""COMPUTED_VALUE"""),45367.0)</f>
        <v>45367</v>
      </c>
      <c r="R178" s="4"/>
    </row>
    <row r="179">
      <c r="A179" s="226"/>
      <c r="B179" s="188"/>
      <c r="C179" s="278"/>
      <c r="E179" s="181"/>
      <c r="F179" s="181"/>
      <c r="G179" s="4"/>
      <c r="I179" s="181"/>
      <c r="J179" s="181"/>
      <c r="K179" s="4"/>
      <c r="M179" s="59" t="str">
        <f>IFERROR(__xludf.DUMMYFUNCTION("""COMPUTED_VALUE"""),"Net Ad IT Solutions")</f>
        <v>Net Ad IT Solutions</v>
      </c>
      <c r="N179" s="4">
        <f>IFERROR(__xludf.DUMMYFUNCTION("""COMPUTED_VALUE"""),5.0)</f>
        <v>5</v>
      </c>
      <c r="O179" s="60">
        <f>IFERROR(__xludf.DUMMYFUNCTION("""COMPUTED_VALUE"""),45367.0)</f>
        <v>45367</v>
      </c>
      <c r="R179" s="4"/>
    </row>
    <row r="180">
      <c r="A180" s="226"/>
      <c r="B180" s="188"/>
      <c r="C180" s="278"/>
      <c r="E180" s="181"/>
      <c r="F180" s="181"/>
      <c r="G180" s="4"/>
      <c r="I180" s="181"/>
      <c r="J180" s="181"/>
      <c r="K180" s="4"/>
      <c r="M180" s="59" t="str">
        <f>IFERROR(__xludf.DUMMYFUNCTION("""COMPUTED_VALUE"""),"Primeline Products Philippines, Inc.")</f>
        <v>Primeline Products Philippines, Inc.</v>
      </c>
      <c r="N180" s="4">
        <f>IFERROR(__xludf.DUMMYFUNCTION("""COMPUTED_VALUE"""),4.75)</f>
        <v>4.75</v>
      </c>
      <c r="O180" s="60">
        <f>IFERROR(__xludf.DUMMYFUNCTION("""COMPUTED_VALUE"""),45367.0)</f>
        <v>45367</v>
      </c>
      <c r="R180" s="4"/>
    </row>
    <row r="181">
      <c r="A181" s="226"/>
      <c r="B181" s="188"/>
      <c r="C181" s="278"/>
      <c r="E181" s="181"/>
      <c r="F181" s="181"/>
      <c r="G181" s="4"/>
      <c r="I181" s="181"/>
      <c r="J181" s="181"/>
      <c r="K181" s="4"/>
      <c r="M181" s="59" t="str">
        <f>IFERROR(__xludf.DUMMYFUNCTION("""COMPUTED_VALUE"""),"Chronos Athletics Shop")</f>
        <v>Chronos Athletics Shop</v>
      </c>
      <c r="N181" s="4">
        <f>IFERROR(__xludf.DUMMYFUNCTION("""COMPUTED_VALUE"""),4.3999999999999995)</f>
        <v>4.4</v>
      </c>
      <c r="O181" s="60">
        <f>IFERROR(__xludf.DUMMYFUNCTION("""COMPUTED_VALUE"""),45370.0)</f>
        <v>45370</v>
      </c>
      <c r="R181" s="4"/>
    </row>
    <row r="182">
      <c r="A182" s="226"/>
      <c r="B182" s="188"/>
      <c r="C182" s="278"/>
      <c r="E182" s="181"/>
      <c r="F182" s="181"/>
      <c r="G182" s="4"/>
      <c r="I182" s="181"/>
      <c r="J182" s="181"/>
      <c r="K182" s="4"/>
      <c r="M182" s="59" t="str">
        <f>IFERROR(__xludf.DUMMYFUNCTION("""COMPUTED_VALUE"""),"Microsmith Technology System,Inc.")</f>
        <v>Microsmith Technology System,Inc.</v>
      </c>
      <c r="N182" s="4">
        <f>IFERROR(__xludf.DUMMYFUNCTION("""COMPUTED_VALUE"""),4.833333333333333)</f>
        <v>4.833333333</v>
      </c>
      <c r="O182" s="60">
        <f>IFERROR(__xludf.DUMMYFUNCTION("""COMPUTED_VALUE"""),45370.0)</f>
        <v>45370</v>
      </c>
      <c r="R182" s="4"/>
    </row>
    <row r="183">
      <c r="A183" s="226"/>
      <c r="B183" s="188"/>
      <c r="C183" s="278"/>
      <c r="E183" s="181"/>
      <c r="F183" s="181"/>
      <c r="G183" s="4"/>
      <c r="I183" s="181"/>
      <c r="J183" s="181"/>
      <c r="K183" s="4"/>
      <c r="M183" s="59" t="str">
        <f>IFERROR(__xludf.DUMMYFUNCTION("""COMPUTED_VALUE"""),"Times Trading Co., Inc.")</f>
        <v>Times Trading Co., Inc.</v>
      </c>
      <c r="N183" s="4">
        <f>IFERROR(__xludf.DUMMYFUNCTION("""COMPUTED_VALUE"""),4.325)</f>
        <v>4.325</v>
      </c>
      <c r="O183" s="60">
        <f>IFERROR(__xludf.DUMMYFUNCTION("""COMPUTED_VALUE"""),45370.0)</f>
        <v>45370</v>
      </c>
      <c r="R183" s="4"/>
    </row>
    <row r="184">
      <c r="A184" s="226"/>
      <c r="B184" s="188"/>
      <c r="C184" s="278"/>
      <c r="E184" s="181"/>
      <c r="F184" s="181"/>
      <c r="G184" s="4"/>
      <c r="I184" s="181"/>
      <c r="J184" s="181"/>
      <c r="K184" s="4"/>
      <c r="M184" s="59" t="str">
        <f>IFERROR(__xludf.DUMMYFUNCTION("""COMPUTED_VALUE"""),"Chemtrust Global Market, Inc.")</f>
        <v>Chemtrust Global Market, Inc.</v>
      </c>
      <c r="N184" s="4">
        <f>IFERROR(__xludf.DUMMYFUNCTION("""COMPUTED_VALUE"""),4.75)</f>
        <v>4.75</v>
      </c>
      <c r="O184" s="60">
        <f>IFERROR(__xludf.DUMMYFUNCTION("""COMPUTED_VALUE"""),45370.0)</f>
        <v>45370</v>
      </c>
      <c r="R184" s="4"/>
    </row>
    <row r="185">
      <c r="A185" s="226"/>
      <c r="B185" s="188"/>
      <c r="C185" s="278"/>
      <c r="E185" s="181"/>
      <c r="F185" s="181"/>
      <c r="G185" s="4"/>
      <c r="I185" s="181"/>
      <c r="J185" s="181"/>
      <c r="K185" s="4"/>
      <c r="M185" s="59" t="str">
        <f>IFERROR(__xludf.DUMMYFUNCTION("""COMPUTED_VALUE"""),"I-Stop Graphics and Business Center")</f>
        <v>I-Stop Graphics and Business Center</v>
      </c>
      <c r="N185" s="4">
        <f>IFERROR(__xludf.DUMMYFUNCTION("""COMPUTED_VALUE"""),4.166666666666667)</f>
        <v>4.166666667</v>
      </c>
      <c r="O185" s="60">
        <f>IFERROR(__xludf.DUMMYFUNCTION("""COMPUTED_VALUE"""),45373.0)</f>
        <v>45373</v>
      </c>
      <c r="R185" s="4"/>
    </row>
    <row r="186">
      <c r="A186" s="226"/>
      <c r="B186" s="188"/>
      <c r="C186" s="278"/>
      <c r="E186" s="181"/>
      <c r="F186" s="181"/>
      <c r="G186" s="4"/>
      <c r="I186" s="181"/>
      <c r="J186" s="181"/>
      <c r="K186" s="4"/>
      <c r="M186" s="59" t="str">
        <f>IFERROR(__xludf.DUMMYFUNCTION("""COMPUTED_VALUE"""),"I-Stop Graphics and Business Center")</f>
        <v>I-Stop Graphics and Business Center</v>
      </c>
      <c r="N186" s="4">
        <f>IFERROR(__xludf.DUMMYFUNCTION("""COMPUTED_VALUE"""),4.0)</f>
        <v>4</v>
      </c>
      <c r="O186" s="60">
        <f>IFERROR(__xludf.DUMMYFUNCTION("""COMPUTED_VALUE"""),45373.0)</f>
        <v>45373</v>
      </c>
      <c r="R186" s="4"/>
    </row>
    <row r="187">
      <c r="A187" s="226"/>
      <c r="B187" s="188"/>
      <c r="C187" s="278"/>
      <c r="E187" s="181"/>
      <c r="F187" s="181"/>
      <c r="G187" s="4"/>
      <c r="I187" s="181"/>
      <c r="J187" s="181"/>
      <c r="K187" s="4"/>
      <c r="M187" s="59" t="str">
        <f>IFERROR(__xludf.DUMMYFUNCTION("""COMPUTED_VALUE"""),"RSAZ Corporation")</f>
        <v>RSAZ Corporation</v>
      </c>
      <c r="N187" s="4">
        <f>IFERROR(__xludf.DUMMYFUNCTION("""COMPUTED_VALUE"""),4.833333333333333)</f>
        <v>4.833333333</v>
      </c>
      <c r="O187" s="60">
        <f>IFERROR(__xludf.DUMMYFUNCTION("""COMPUTED_VALUE"""),45373.0)</f>
        <v>45373</v>
      </c>
      <c r="R187" s="4"/>
    </row>
    <row r="188">
      <c r="A188" s="226"/>
      <c r="B188" s="188"/>
      <c r="C188" s="278"/>
      <c r="E188" s="181"/>
      <c r="F188" s="181"/>
      <c r="G188" s="4"/>
      <c r="I188" s="181"/>
      <c r="J188" s="181"/>
      <c r="K188" s="4"/>
      <c r="M188" s="59" t="str">
        <f>IFERROR(__xludf.DUMMYFUNCTION("""COMPUTED_VALUE"""),"Rivchem Enterprises")</f>
        <v>Rivchem Enterprises</v>
      </c>
      <c r="N188" s="4">
        <f>IFERROR(__xludf.DUMMYFUNCTION("""COMPUTED_VALUE"""),4.75)</f>
        <v>4.75</v>
      </c>
      <c r="O188" s="60">
        <f>IFERROR(__xludf.DUMMYFUNCTION("""COMPUTED_VALUE"""),45373.0)</f>
        <v>45373</v>
      </c>
      <c r="R188" s="4"/>
    </row>
    <row r="189">
      <c r="A189" s="226"/>
      <c r="B189" s="188"/>
      <c r="C189" s="278"/>
      <c r="E189" s="181"/>
      <c r="F189" s="181"/>
      <c r="G189" s="4"/>
      <c r="I189" s="181"/>
      <c r="J189" s="181"/>
      <c r="K189" s="4"/>
      <c r="M189" s="59" t="str">
        <f>IFERROR(__xludf.DUMMYFUNCTION("""COMPUTED_VALUE"""),"Contrade Integrated Depot")</f>
        <v>Contrade Integrated Depot</v>
      </c>
      <c r="N189" s="4">
        <f>IFERROR(__xludf.DUMMYFUNCTION("""COMPUTED_VALUE"""),4.3999999999999995)</f>
        <v>4.4</v>
      </c>
      <c r="O189" s="60">
        <f>IFERROR(__xludf.DUMMYFUNCTION("""COMPUTED_VALUE"""),45374.0)</f>
        <v>45374</v>
      </c>
      <c r="R189" s="4"/>
    </row>
    <row r="190">
      <c r="A190" s="226"/>
      <c r="B190" s="188"/>
      <c r="C190" s="278"/>
      <c r="E190" s="181"/>
      <c r="F190" s="181"/>
      <c r="G190" s="4"/>
      <c r="I190" s="181"/>
      <c r="J190" s="181"/>
      <c r="K190" s="4"/>
      <c r="M190" s="59" t="str">
        <f>IFERROR(__xludf.DUMMYFUNCTION("""COMPUTED_VALUE"""),"Contrade Integrated Depot")</f>
        <v>Contrade Integrated Depot</v>
      </c>
      <c r="N190" s="4">
        <f>IFERROR(__xludf.DUMMYFUNCTION("""COMPUTED_VALUE"""),4.5)</f>
        <v>4.5</v>
      </c>
      <c r="O190" s="60">
        <f>IFERROR(__xludf.DUMMYFUNCTION("""COMPUTED_VALUE"""),45374.0)</f>
        <v>45374</v>
      </c>
      <c r="R190" s="4"/>
    </row>
    <row r="191">
      <c r="A191" s="226"/>
      <c r="B191" s="188"/>
      <c r="C191" s="278"/>
      <c r="E191" s="181"/>
      <c r="F191" s="181"/>
      <c r="G191" s="4"/>
      <c r="I191" s="181"/>
      <c r="J191" s="181"/>
      <c r="K191" s="4"/>
      <c r="M191" s="59" t="str">
        <f>IFERROR(__xludf.DUMMYFUNCTION("""COMPUTED_VALUE"""),"Times Trading Co., Inc.")</f>
        <v>Times Trading Co., Inc.</v>
      </c>
      <c r="N191" s="4">
        <f>IFERROR(__xludf.DUMMYFUNCTION("""COMPUTED_VALUE"""),4.833333333333333)</f>
        <v>4.833333333</v>
      </c>
      <c r="O191" s="60">
        <f>IFERROR(__xludf.DUMMYFUNCTION("""COMPUTED_VALUE"""),45376.0)</f>
        <v>45376</v>
      </c>
      <c r="R191" s="4"/>
    </row>
    <row r="192">
      <c r="A192" s="226"/>
      <c r="B192" s="188"/>
      <c r="C192" s="278"/>
      <c r="E192" s="181"/>
      <c r="F192" s="181"/>
      <c r="G192" s="4"/>
      <c r="I192" s="181"/>
      <c r="J192" s="181"/>
      <c r="K192" s="4"/>
      <c r="M192" s="59" t="str">
        <f>IFERROR(__xludf.DUMMYFUNCTION("""COMPUTED_VALUE"""),"JLY Garment Trading")</f>
        <v>JLY Garment Trading</v>
      </c>
      <c r="N192" s="4">
        <f>IFERROR(__xludf.DUMMYFUNCTION("""COMPUTED_VALUE"""),4.475)</f>
        <v>4.475</v>
      </c>
      <c r="O192" s="60">
        <f>IFERROR(__xludf.DUMMYFUNCTION("""COMPUTED_VALUE"""),45377.0)</f>
        <v>45377</v>
      </c>
      <c r="R192" s="4"/>
    </row>
    <row r="193">
      <c r="A193" s="226"/>
      <c r="B193" s="188"/>
      <c r="C193" s="278"/>
      <c r="E193" s="181"/>
      <c r="F193" s="181"/>
      <c r="G193" s="4"/>
      <c r="I193" s="181"/>
      <c r="J193" s="181"/>
      <c r="K193" s="4"/>
      <c r="M193" s="59" t="str">
        <f>IFERROR(__xludf.DUMMYFUNCTION("""COMPUTED_VALUE"""),"JLY Garment Trading")</f>
        <v>JLY Garment Trading</v>
      </c>
      <c r="N193" s="4">
        <f>IFERROR(__xludf.DUMMYFUNCTION("""COMPUTED_VALUE"""),4.833333333333333)</f>
        <v>4.833333333</v>
      </c>
      <c r="O193" s="60">
        <f>IFERROR(__xludf.DUMMYFUNCTION("""COMPUTED_VALUE"""),45377.0)</f>
        <v>45377</v>
      </c>
      <c r="R193" s="4"/>
    </row>
    <row r="194">
      <c r="A194" s="226"/>
      <c r="B194" s="188"/>
      <c r="C194" s="278"/>
      <c r="E194" s="181"/>
      <c r="F194" s="181"/>
      <c r="G194" s="4"/>
      <c r="I194" s="181"/>
      <c r="J194" s="181"/>
      <c r="K194" s="4"/>
      <c r="M194" s="59" t="str">
        <f>IFERROR(__xludf.DUMMYFUNCTION("""COMPUTED_VALUE"""),"Rivchem Enterprises")</f>
        <v>Rivchem Enterprises</v>
      </c>
      <c r="N194" s="4">
        <f>IFERROR(__xludf.DUMMYFUNCTION("""COMPUTED_VALUE"""),4.75)</f>
        <v>4.75</v>
      </c>
      <c r="O194" s="60">
        <f>IFERROR(__xludf.DUMMYFUNCTION("""COMPUTED_VALUE"""),45377.0)</f>
        <v>45377</v>
      </c>
      <c r="R194" s="4"/>
    </row>
    <row r="195">
      <c r="A195" s="226"/>
      <c r="B195" s="188"/>
      <c r="C195" s="278"/>
      <c r="E195" s="181"/>
      <c r="F195" s="181"/>
      <c r="G195" s="4"/>
      <c r="I195" s="181"/>
      <c r="J195" s="181"/>
      <c r="K195" s="4"/>
      <c r="M195" s="59" t="str">
        <f>IFERROR(__xludf.DUMMYFUNCTION("""COMPUTED_VALUE"""),"JLY Garment Trading")</f>
        <v>JLY Garment Trading</v>
      </c>
      <c r="N195" s="4">
        <f>IFERROR(__xludf.DUMMYFUNCTION("""COMPUTED_VALUE"""),4.833333333333333)</f>
        <v>4.833333333</v>
      </c>
      <c r="O195" s="60">
        <f>IFERROR(__xludf.DUMMYFUNCTION("""COMPUTED_VALUE"""),45377.0)</f>
        <v>45377</v>
      </c>
      <c r="R195" s="4"/>
    </row>
    <row r="196">
      <c r="A196" s="226"/>
      <c r="B196" s="188"/>
      <c r="C196" s="278"/>
      <c r="E196" s="181"/>
      <c r="F196" s="181"/>
      <c r="G196" s="4"/>
      <c r="I196" s="181"/>
      <c r="J196" s="181"/>
      <c r="K196" s="4"/>
      <c r="M196" s="59" t="str">
        <f>IFERROR(__xludf.DUMMYFUNCTION("""COMPUTED_VALUE"""),"Luminaire Printing And Publishing Corp.")</f>
        <v>Luminaire Printing And Publishing Corp.</v>
      </c>
      <c r="N196" s="4">
        <f>IFERROR(__xludf.DUMMYFUNCTION("""COMPUTED_VALUE"""),4.833333333333333)</f>
        <v>4.833333333</v>
      </c>
      <c r="O196" s="60">
        <f>IFERROR(__xludf.DUMMYFUNCTION("""COMPUTED_VALUE"""),45379.0)</f>
        <v>45379</v>
      </c>
      <c r="R196" s="4"/>
    </row>
    <row r="197">
      <c r="A197" s="226"/>
      <c r="B197" s="188"/>
      <c r="C197" s="278"/>
      <c r="E197" s="181"/>
      <c r="F197" s="181"/>
      <c r="G197" s="4"/>
      <c r="I197" s="181"/>
      <c r="J197" s="181"/>
      <c r="K197" s="4"/>
      <c r="M197" s="59" t="str">
        <f>IFERROR(__xludf.DUMMYFUNCTION("""COMPUTED_VALUE"""),"Alpha Steel Office and Home Furnishing Company")</f>
        <v>Alpha Steel Office and Home Furnishing Company</v>
      </c>
      <c r="N197" s="4">
        <f>IFERROR(__xludf.DUMMYFUNCTION("""COMPUTED_VALUE"""),5.0)</f>
        <v>5</v>
      </c>
      <c r="O197" s="60">
        <f>IFERROR(__xludf.DUMMYFUNCTION("""COMPUTED_VALUE"""),45380.0)</f>
        <v>45380</v>
      </c>
      <c r="R197" s="4"/>
    </row>
    <row r="198">
      <c r="A198" s="226"/>
      <c r="B198" s="188"/>
      <c r="C198" s="278"/>
      <c r="E198" s="181"/>
      <c r="F198" s="181"/>
      <c r="G198" s="4"/>
      <c r="I198" s="181"/>
      <c r="J198" s="181"/>
      <c r="K198" s="4"/>
      <c r="M198" s="59" t="str">
        <f>IFERROR(__xludf.DUMMYFUNCTION("""COMPUTED_VALUE"""),"Alpha Steel Office and Home Furnishing Company")</f>
        <v>Alpha Steel Office and Home Furnishing Company</v>
      </c>
      <c r="N198" s="4">
        <f>IFERROR(__xludf.DUMMYFUNCTION("""COMPUTED_VALUE"""),5.0)</f>
        <v>5</v>
      </c>
      <c r="O198" s="60">
        <f>IFERROR(__xludf.DUMMYFUNCTION("""COMPUTED_VALUE"""),45380.0)</f>
        <v>45380</v>
      </c>
      <c r="R198" s="4"/>
    </row>
    <row r="199">
      <c r="A199" s="226"/>
      <c r="B199" s="188"/>
      <c r="C199" s="278"/>
      <c r="E199" s="181"/>
      <c r="F199" s="181"/>
      <c r="G199" s="4"/>
      <c r="I199" s="181"/>
      <c r="J199" s="181"/>
      <c r="K199" s="4"/>
      <c r="M199" s="59" t="str">
        <f>IFERROR(__xludf.DUMMYFUNCTION("""COMPUTED_VALUE"""),"Creative Juice Digital Printing")</f>
        <v>Creative Juice Digital Printing</v>
      </c>
      <c r="N199" s="4">
        <f>IFERROR(__xludf.DUMMYFUNCTION("""COMPUTED_VALUE"""),4.833333333333333)</f>
        <v>4.833333333</v>
      </c>
      <c r="O199" s="60">
        <f>IFERROR(__xludf.DUMMYFUNCTION("""COMPUTED_VALUE"""),45383.0)</f>
        <v>45383</v>
      </c>
      <c r="R199" s="4"/>
    </row>
    <row r="200">
      <c r="A200" s="226"/>
      <c r="B200" s="188"/>
      <c r="C200" s="278"/>
      <c r="E200" s="181"/>
      <c r="F200" s="181"/>
      <c r="G200" s="4"/>
      <c r="I200" s="181"/>
      <c r="J200" s="181"/>
      <c r="K200" s="4"/>
      <c r="M200" s="59" t="str">
        <f>IFERROR(__xludf.DUMMYFUNCTION("""COMPUTED_VALUE"""),"Creative Juice Digital Printing")</f>
        <v>Creative Juice Digital Printing</v>
      </c>
      <c r="N200" s="4">
        <f>IFERROR(__xludf.DUMMYFUNCTION("""COMPUTED_VALUE"""),4.833333333333333)</f>
        <v>4.833333333</v>
      </c>
      <c r="O200" s="60">
        <f>IFERROR(__xludf.DUMMYFUNCTION("""COMPUTED_VALUE"""),45383.0)</f>
        <v>45383</v>
      </c>
      <c r="R200" s="4"/>
    </row>
    <row r="201">
      <c r="A201" s="226"/>
      <c r="B201" s="188"/>
      <c r="C201" s="278"/>
      <c r="E201" s="181"/>
      <c r="F201" s="181"/>
      <c r="G201" s="4"/>
      <c r="I201" s="181"/>
      <c r="J201" s="181"/>
      <c r="K201" s="4"/>
      <c r="M201" s="59" t="str">
        <f>IFERROR(__xludf.DUMMYFUNCTION("""COMPUTED_VALUE"""),"Printing Shop PrintPilipinas.com")</f>
        <v>Printing Shop PrintPilipinas.com</v>
      </c>
      <c r="N201" s="4">
        <f>IFERROR(__xludf.DUMMYFUNCTION("""COMPUTED_VALUE"""),4.833333333333333)</f>
        <v>4.833333333</v>
      </c>
      <c r="O201" s="60">
        <f>IFERROR(__xludf.DUMMYFUNCTION("""COMPUTED_VALUE"""),45383.0)</f>
        <v>45383</v>
      </c>
      <c r="R201" s="4"/>
    </row>
    <row r="202">
      <c r="A202" s="226"/>
      <c r="B202" s="188"/>
      <c r="C202" s="278"/>
      <c r="E202" s="181"/>
      <c r="F202" s="181"/>
      <c r="G202" s="4"/>
      <c r="I202" s="181"/>
      <c r="J202" s="181"/>
      <c r="K202" s="4"/>
      <c r="M202" s="59" t="str">
        <f>IFERROR(__xludf.DUMMYFUNCTION("""COMPUTED_VALUE"""),"Printing Shop PrintPilipinas.com")</f>
        <v>Printing Shop PrintPilipinas.com</v>
      </c>
      <c r="N202" s="4">
        <f>IFERROR(__xludf.DUMMYFUNCTION("""COMPUTED_VALUE"""),4.833333333333333)</f>
        <v>4.833333333</v>
      </c>
      <c r="O202" s="60">
        <f>IFERROR(__xludf.DUMMYFUNCTION("""COMPUTED_VALUE"""),45383.0)</f>
        <v>45383</v>
      </c>
      <c r="R202" s="4"/>
    </row>
    <row r="203">
      <c r="A203" s="226"/>
      <c r="B203" s="188"/>
      <c r="C203" s="278"/>
      <c r="E203" s="181"/>
      <c r="F203" s="181"/>
      <c r="G203" s="4"/>
      <c r="I203" s="181"/>
      <c r="J203" s="181"/>
      <c r="K203" s="4"/>
      <c r="M203" s="59" t="str">
        <f>IFERROR(__xludf.DUMMYFUNCTION("""COMPUTED_VALUE"""),"Rivchem Enterprises")</f>
        <v>Rivchem Enterprises</v>
      </c>
      <c r="N203" s="4">
        <f>IFERROR(__xludf.DUMMYFUNCTION("""COMPUTED_VALUE"""),5.0)</f>
        <v>5</v>
      </c>
      <c r="O203" s="60">
        <f>IFERROR(__xludf.DUMMYFUNCTION("""COMPUTED_VALUE"""),45383.0)</f>
        <v>45383</v>
      </c>
      <c r="R203" s="4"/>
    </row>
    <row r="204">
      <c r="A204" s="226"/>
      <c r="B204" s="188"/>
      <c r="C204" s="278"/>
      <c r="E204" s="181"/>
      <c r="F204" s="181"/>
      <c r="G204" s="4"/>
      <c r="I204" s="181"/>
      <c r="J204" s="181"/>
      <c r="K204" s="4"/>
      <c r="M204" s="59" t="str">
        <f>IFERROR(__xludf.DUMMYFUNCTION("""COMPUTED_VALUE"""),"Tropical Palms Fashion House, Inc.")</f>
        <v>Tropical Palms Fashion House, Inc.</v>
      </c>
      <c r="N204" s="4">
        <f>IFERROR(__xludf.DUMMYFUNCTION("""COMPUTED_VALUE"""),5.0)</f>
        <v>5</v>
      </c>
      <c r="O204" s="60">
        <f>IFERROR(__xludf.DUMMYFUNCTION("""COMPUTED_VALUE"""),45383.0)</f>
        <v>45383</v>
      </c>
      <c r="R204" s="4"/>
    </row>
    <row r="205">
      <c r="A205" s="226"/>
      <c r="B205" s="188"/>
      <c r="C205" s="278"/>
      <c r="E205" s="181"/>
      <c r="F205" s="181"/>
      <c r="G205" s="4"/>
      <c r="I205" s="181"/>
      <c r="J205" s="181"/>
      <c r="K205" s="4"/>
      <c r="M205" s="59" t="str">
        <f>IFERROR(__xludf.DUMMYFUNCTION("""COMPUTED_VALUE"""),"Raynard's Enterprises")</f>
        <v>Raynard's Enterprises</v>
      </c>
      <c r="N205" s="4">
        <f>IFERROR(__xludf.DUMMYFUNCTION("""COMPUTED_VALUE"""),4.733333333333333)</f>
        <v>4.733333333</v>
      </c>
      <c r="O205" s="60">
        <f>IFERROR(__xludf.DUMMYFUNCTION("""COMPUTED_VALUE"""),45387.0)</f>
        <v>45387</v>
      </c>
      <c r="R205" s="4"/>
    </row>
    <row r="206">
      <c r="A206" s="226"/>
      <c r="B206" s="188"/>
      <c r="C206" s="278"/>
      <c r="E206" s="181"/>
      <c r="F206" s="181"/>
      <c r="G206" s="4"/>
      <c r="I206" s="181"/>
      <c r="J206" s="181"/>
      <c r="K206" s="4"/>
      <c r="M206" s="59" t="str">
        <f>IFERROR(__xludf.DUMMYFUNCTION("""COMPUTED_VALUE"""),"Rivchem Enterprises")</f>
        <v>Rivchem Enterprises</v>
      </c>
      <c r="N206" s="4">
        <f>IFERROR(__xludf.DUMMYFUNCTION("""COMPUTED_VALUE"""),4.496666666666667)</f>
        <v>4.496666667</v>
      </c>
      <c r="O206" s="60">
        <f>IFERROR(__xludf.DUMMYFUNCTION("""COMPUTED_VALUE"""),45390.0)</f>
        <v>45390</v>
      </c>
      <c r="R206" s="4"/>
    </row>
    <row r="207">
      <c r="A207" s="226"/>
      <c r="B207" s="188"/>
      <c r="C207" s="278"/>
      <c r="E207" s="181"/>
      <c r="F207" s="181"/>
      <c r="G207" s="4"/>
      <c r="I207" s="181"/>
      <c r="J207" s="181"/>
      <c r="K207" s="4"/>
      <c r="M207" s="59" t="str">
        <f>IFERROR(__xludf.DUMMYFUNCTION("""COMPUTED_VALUE"""),"Rivchem Enterprises")</f>
        <v>Rivchem Enterprises</v>
      </c>
      <c r="N207" s="4">
        <f>IFERROR(__xludf.DUMMYFUNCTION("""COMPUTED_VALUE"""),5.0)</f>
        <v>5</v>
      </c>
      <c r="O207" s="60">
        <f>IFERROR(__xludf.DUMMYFUNCTION("""COMPUTED_VALUE"""),45390.0)</f>
        <v>45390</v>
      </c>
      <c r="R207" s="4"/>
    </row>
    <row r="208">
      <c r="A208" s="226"/>
      <c r="B208" s="188"/>
      <c r="C208" s="278"/>
      <c r="E208" s="181"/>
      <c r="F208" s="181"/>
      <c r="G208" s="4"/>
      <c r="I208" s="181"/>
      <c r="J208" s="181"/>
      <c r="K208" s="4"/>
      <c r="M208" s="59" t="str">
        <f>IFERROR(__xludf.DUMMYFUNCTION("""COMPUTED_VALUE"""),"Times Trading Co., Inc.")</f>
        <v>Times Trading Co., Inc.</v>
      </c>
      <c r="N208" s="4">
        <f>IFERROR(__xludf.DUMMYFUNCTION("""COMPUTED_VALUE"""),4.666666666666667)</f>
        <v>4.666666667</v>
      </c>
      <c r="O208" s="60">
        <f>IFERROR(__xludf.DUMMYFUNCTION("""COMPUTED_VALUE"""),45390.0)</f>
        <v>45390</v>
      </c>
      <c r="R208" s="4"/>
    </row>
    <row r="209">
      <c r="A209" s="226"/>
      <c r="B209" s="188"/>
      <c r="C209" s="278"/>
      <c r="E209" s="181"/>
      <c r="F209" s="181"/>
      <c r="G209" s="4"/>
      <c r="I209" s="181"/>
      <c r="J209" s="181"/>
      <c r="K209" s="4"/>
      <c r="M209" s="59" t="str">
        <f>IFERROR(__xludf.DUMMYFUNCTION("""COMPUTED_VALUE"""),"Times Trading Co., Inc.")</f>
        <v>Times Trading Co., Inc.</v>
      </c>
      <c r="N209" s="4">
        <f>IFERROR(__xludf.DUMMYFUNCTION("""COMPUTED_VALUE"""),4.833333333333333)</f>
        <v>4.833333333</v>
      </c>
      <c r="O209" s="60">
        <f>IFERROR(__xludf.DUMMYFUNCTION("""COMPUTED_VALUE"""),45390.0)</f>
        <v>45390</v>
      </c>
      <c r="R209" s="4"/>
    </row>
    <row r="210">
      <c r="A210" s="226"/>
      <c r="B210" s="188"/>
      <c r="C210" s="278"/>
      <c r="E210" s="181"/>
      <c r="F210" s="181"/>
      <c r="G210" s="4"/>
      <c r="I210" s="181"/>
      <c r="J210" s="181"/>
      <c r="K210" s="4"/>
      <c r="M210" s="59" t="str">
        <f>IFERROR(__xludf.DUMMYFUNCTION("""COMPUTED_VALUE"""),"Times Trading Co., Inc.")</f>
        <v>Times Trading Co., Inc.</v>
      </c>
      <c r="N210" s="4">
        <f>IFERROR(__xludf.DUMMYFUNCTION("""COMPUTED_VALUE"""),4.833333333333333)</f>
        <v>4.833333333</v>
      </c>
      <c r="O210" s="60">
        <f>IFERROR(__xludf.DUMMYFUNCTION("""COMPUTED_VALUE"""),45390.0)</f>
        <v>45390</v>
      </c>
      <c r="R210" s="4"/>
    </row>
    <row r="211">
      <c r="A211" s="226"/>
      <c r="B211" s="188"/>
      <c r="C211" s="278"/>
      <c r="E211" s="181"/>
      <c r="F211" s="181"/>
      <c r="G211" s="4"/>
      <c r="I211" s="181"/>
      <c r="J211" s="181"/>
      <c r="K211" s="4"/>
      <c r="M211" s="59" t="str">
        <f>IFERROR(__xludf.DUMMYFUNCTION("""COMPUTED_VALUE"""),"Goldlink Indsutrial Sales")</f>
        <v>Goldlink Indsutrial Sales</v>
      </c>
      <c r="N211" s="4">
        <f>IFERROR(__xludf.DUMMYFUNCTION("""COMPUTED_VALUE"""),4.75)</f>
        <v>4.75</v>
      </c>
      <c r="O211" s="60">
        <f>IFERROR(__xludf.DUMMYFUNCTION("""COMPUTED_VALUE"""),45394.0)</f>
        <v>45394</v>
      </c>
      <c r="R211" s="4"/>
    </row>
    <row r="212">
      <c r="A212" s="226"/>
      <c r="B212" s="188"/>
      <c r="C212" s="278"/>
      <c r="E212" s="181"/>
      <c r="F212" s="181"/>
      <c r="G212" s="4"/>
      <c r="I212" s="181"/>
      <c r="J212" s="181"/>
      <c r="K212" s="4"/>
      <c r="M212" s="59" t="str">
        <f>IFERROR(__xludf.DUMMYFUNCTION("""COMPUTED_VALUE"""),"Zariah's Non-Specialized Wholesale Trading")</f>
        <v>Zariah's Non-Specialized Wholesale Trading</v>
      </c>
      <c r="N212" s="4">
        <f>IFERROR(__xludf.DUMMYFUNCTION("""COMPUTED_VALUE"""),4.791666666666667)</f>
        <v>4.791666667</v>
      </c>
      <c r="O212" s="60">
        <f>IFERROR(__xludf.DUMMYFUNCTION("""COMPUTED_VALUE"""),45397.0)</f>
        <v>45397</v>
      </c>
      <c r="R212" s="4"/>
    </row>
    <row r="213">
      <c r="A213" s="226"/>
      <c r="B213" s="188"/>
      <c r="C213" s="278"/>
      <c r="E213" s="181"/>
      <c r="F213" s="181"/>
      <c r="G213" s="4"/>
      <c r="I213" s="181"/>
      <c r="J213" s="181"/>
      <c r="K213" s="4"/>
      <c r="M213" s="59" t="str">
        <f>IFERROR(__xludf.DUMMYFUNCTION("""COMPUTED_VALUE"""),"Rivchem Enterprises")</f>
        <v>Rivchem Enterprises</v>
      </c>
      <c r="N213" s="4">
        <f>IFERROR(__xludf.DUMMYFUNCTION("""COMPUTED_VALUE"""),5.0)</f>
        <v>5</v>
      </c>
      <c r="O213" s="60">
        <f>IFERROR(__xludf.DUMMYFUNCTION("""COMPUTED_VALUE"""),45398.0)</f>
        <v>45398</v>
      </c>
      <c r="R213" s="4"/>
    </row>
    <row r="214">
      <c r="A214" s="226"/>
      <c r="B214" s="188"/>
      <c r="C214" s="278"/>
      <c r="E214" s="181"/>
      <c r="F214" s="181"/>
      <c r="G214" s="4"/>
      <c r="I214" s="181"/>
      <c r="J214" s="181"/>
      <c r="K214" s="4"/>
      <c r="M214" s="59" t="str">
        <f>IFERROR(__xludf.DUMMYFUNCTION("""COMPUTED_VALUE"""),"Contrade Integrated Depot")</f>
        <v>Contrade Integrated Depot</v>
      </c>
      <c r="N214" s="4">
        <f>IFERROR(__xludf.DUMMYFUNCTION("""COMPUTED_VALUE"""),4.5)</f>
        <v>4.5</v>
      </c>
      <c r="O214" s="60">
        <f>IFERROR(__xludf.DUMMYFUNCTION("""COMPUTED_VALUE"""),45400.0)</f>
        <v>45400</v>
      </c>
      <c r="R214" s="4"/>
    </row>
    <row r="215">
      <c r="A215" s="226"/>
      <c r="B215" s="188"/>
      <c r="C215" s="278"/>
      <c r="E215" s="181"/>
      <c r="F215" s="181"/>
      <c r="G215" s="4"/>
      <c r="I215" s="181"/>
      <c r="J215" s="181"/>
      <c r="K215" s="4"/>
      <c r="M215" s="59" t="str">
        <f>IFERROR(__xludf.DUMMYFUNCTION("""COMPUTED_VALUE"""),"Printing Shop PrintPilipinas.com")</f>
        <v>Printing Shop PrintPilipinas.com</v>
      </c>
      <c r="N215" s="4">
        <f>IFERROR(__xludf.DUMMYFUNCTION("""COMPUTED_VALUE"""),4.691666666666666)</f>
        <v>4.691666667</v>
      </c>
      <c r="O215" s="60">
        <f>IFERROR(__xludf.DUMMYFUNCTION("""COMPUTED_VALUE"""),45401.0)</f>
        <v>45401</v>
      </c>
      <c r="R215" s="4"/>
    </row>
    <row r="216">
      <c r="A216" s="226"/>
      <c r="B216" s="188"/>
      <c r="C216" s="278"/>
      <c r="E216" s="181"/>
      <c r="F216" s="181"/>
      <c r="G216" s="4"/>
      <c r="I216" s="181"/>
      <c r="J216" s="181"/>
      <c r="K216" s="4"/>
      <c r="M216" s="59" t="str">
        <f>IFERROR(__xludf.DUMMYFUNCTION("""COMPUTED_VALUE"""),"Arkin Hardware")</f>
        <v>Arkin Hardware</v>
      </c>
      <c r="N216" s="4">
        <f>IFERROR(__xludf.DUMMYFUNCTION("""COMPUTED_VALUE"""),4.6499999999999995)</f>
        <v>4.65</v>
      </c>
      <c r="O216" s="60">
        <f>IFERROR(__xludf.DUMMYFUNCTION("""COMPUTED_VALUE"""),45402.0)</f>
        <v>45402</v>
      </c>
      <c r="R216" s="4"/>
    </row>
    <row r="217">
      <c r="A217" s="226"/>
      <c r="B217" s="188"/>
      <c r="C217" s="278"/>
      <c r="E217" s="181"/>
      <c r="F217" s="181"/>
      <c r="G217" s="4"/>
      <c r="I217" s="181"/>
      <c r="J217" s="181"/>
      <c r="K217" s="4"/>
      <c r="M217" s="59" t="str">
        <f>IFERROR(__xludf.DUMMYFUNCTION("""COMPUTED_VALUE"""),"Printing Shop PrintPilipinas.com")</f>
        <v>Printing Shop PrintPilipinas.com</v>
      </c>
      <c r="N217" s="4">
        <f>IFERROR(__xludf.DUMMYFUNCTION("""COMPUTED_VALUE"""),4.608333333333333)</f>
        <v>4.608333333</v>
      </c>
      <c r="O217" s="60">
        <f>IFERROR(__xludf.DUMMYFUNCTION("""COMPUTED_VALUE"""),45406.0)</f>
        <v>45406</v>
      </c>
      <c r="R217" s="4"/>
    </row>
    <row r="218">
      <c r="A218" s="226"/>
      <c r="B218" s="188"/>
      <c r="C218" s="278"/>
      <c r="E218" s="181"/>
      <c r="F218" s="181"/>
      <c r="G218" s="4"/>
      <c r="I218" s="181"/>
      <c r="J218" s="181"/>
      <c r="K218" s="4"/>
      <c r="M218" s="59" t="str">
        <f>IFERROR(__xludf.DUMMYFUNCTION("""COMPUTED_VALUE"""),"Rivchem Enterprises")</f>
        <v>Rivchem Enterprises</v>
      </c>
      <c r="N218" s="4">
        <f>IFERROR(__xludf.DUMMYFUNCTION("""COMPUTED_VALUE"""),4.833333333333333)</f>
        <v>4.833333333</v>
      </c>
      <c r="O218" s="60">
        <f>IFERROR(__xludf.DUMMYFUNCTION("""COMPUTED_VALUE"""),45406.0)</f>
        <v>45406</v>
      </c>
      <c r="R218" s="4"/>
    </row>
    <row r="219">
      <c r="A219" s="226"/>
      <c r="B219" s="188"/>
      <c r="C219" s="278"/>
      <c r="E219" s="181"/>
      <c r="F219" s="181"/>
      <c r="G219" s="4"/>
      <c r="I219" s="181"/>
      <c r="J219" s="181"/>
      <c r="K219" s="4"/>
      <c r="M219" s="59" t="str">
        <f>IFERROR(__xludf.DUMMYFUNCTION("""COMPUTED_VALUE"""),"Crosspoint Paper, Inc.")</f>
        <v>Crosspoint Paper, Inc.</v>
      </c>
      <c r="N219" s="4">
        <f>IFERROR(__xludf.DUMMYFUNCTION("""COMPUTED_VALUE"""),5.0)</f>
        <v>5</v>
      </c>
      <c r="O219" s="60">
        <f>IFERROR(__xludf.DUMMYFUNCTION("""COMPUTED_VALUE"""),45406.0)</f>
        <v>45406</v>
      </c>
      <c r="R219" s="4"/>
    </row>
    <row r="220">
      <c r="A220" s="226"/>
      <c r="B220" s="188"/>
      <c r="C220" s="278"/>
      <c r="E220" s="181"/>
      <c r="F220" s="181"/>
      <c r="G220" s="4"/>
      <c r="I220" s="181"/>
      <c r="J220" s="181"/>
      <c r="K220" s="4"/>
      <c r="M220" s="59" t="str">
        <f>IFERROR(__xludf.DUMMYFUNCTION("""COMPUTED_VALUE"""),"Abenson Ventures, Inc.")</f>
        <v>Abenson Ventures, Inc.</v>
      </c>
      <c r="N220" s="4">
        <f>IFERROR(__xludf.DUMMYFUNCTION("""COMPUTED_VALUE"""),4.833333333333333)</f>
        <v>4.833333333</v>
      </c>
      <c r="O220" s="60">
        <f>IFERROR(__xludf.DUMMYFUNCTION("""COMPUTED_VALUE"""),45407.0)</f>
        <v>45407</v>
      </c>
      <c r="R220" s="4"/>
    </row>
    <row r="221">
      <c r="A221" s="226"/>
      <c r="B221" s="188"/>
      <c r="C221" s="278"/>
      <c r="E221" s="181"/>
      <c r="F221" s="181"/>
      <c r="G221" s="4"/>
      <c r="I221" s="181"/>
      <c r="J221" s="181"/>
      <c r="K221" s="4"/>
      <c r="M221" s="59" t="str">
        <f>IFERROR(__xludf.DUMMYFUNCTION("""COMPUTED_VALUE"""),"Abenson Ventures, Inc.")</f>
        <v>Abenson Ventures, Inc.</v>
      </c>
      <c r="N221" s="4">
        <f>IFERROR(__xludf.DUMMYFUNCTION("""COMPUTED_VALUE"""),4.233333333333333)</f>
        <v>4.233333333</v>
      </c>
      <c r="O221" s="60">
        <f>IFERROR(__xludf.DUMMYFUNCTION("""COMPUTED_VALUE"""),45407.0)</f>
        <v>45407</v>
      </c>
      <c r="R221" s="4"/>
    </row>
    <row r="222">
      <c r="A222" s="226"/>
      <c r="B222" s="188"/>
      <c r="C222" s="278"/>
      <c r="E222" s="181"/>
      <c r="F222" s="181"/>
      <c r="G222" s="4"/>
      <c r="I222" s="181"/>
      <c r="J222" s="181"/>
      <c r="K222" s="4"/>
      <c r="M222" s="59" t="str">
        <f>IFERROR(__xludf.DUMMYFUNCTION("""COMPUTED_VALUE"""),"Abenson Ventures, Inc.")</f>
        <v>Abenson Ventures, Inc.</v>
      </c>
      <c r="N222" s="4">
        <f>IFERROR(__xludf.DUMMYFUNCTION("""COMPUTED_VALUE"""),4.0)</f>
        <v>4</v>
      </c>
      <c r="O222" s="60">
        <f>IFERROR(__xludf.DUMMYFUNCTION("""COMPUTED_VALUE"""),45407.0)</f>
        <v>45407</v>
      </c>
      <c r="R222" s="4"/>
    </row>
    <row r="223">
      <c r="A223" s="226"/>
      <c r="B223" s="188"/>
      <c r="C223" s="278"/>
      <c r="E223" s="181"/>
      <c r="F223" s="181"/>
      <c r="G223" s="4"/>
      <c r="I223" s="181"/>
      <c r="J223" s="181"/>
      <c r="K223" s="4"/>
      <c r="M223" s="59" t="str">
        <f>IFERROR(__xludf.DUMMYFUNCTION("""COMPUTED_VALUE"""),"Tropical Palms Fashion House, Inc.")</f>
        <v>Tropical Palms Fashion House, Inc.</v>
      </c>
      <c r="N223" s="4">
        <f>IFERROR(__xludf.DUMMYFUNCTION("""COMPUTED_VALUE"""),4.75)</f>
        <v>4.75</v>
      </c>
      <c r="O223" s="60">
        <f>IFERROR(__xludf.DUMMYFUNCTION("""COMPUTED_VALUE"""),45407.0)</f>
        <v>45407</v>
      </c>
      <c r="R223" s="4"/>
    </row>
    <row r="224">
      <c r="A224" s="226"/>
      <c r="B224" s="188"/>
      <c r="C224" s="278"/>
      <c r="E224" s="181"/>
      <c r="F224" s="181"/>
      <c r="G224" s="4"/>
      <c r="I224" s="181"/>
      <c r="J224" s="181"/>
      <c r="K224" s="4"/>
      <c r="M224" s="59" t="str">
        <f>IFERROR(__xludf.DUMMYFUNCTION("""COMPUTED_VALUE"""),"ULTRA PETRONNE INTERIOR SUPPLY CORPORATION")</f>
        <v>ULTRA PETRONNE INTERIOR SUPPLY CORPORATION</v>
      </c>
      <c r="N224" s="4">
        <f>IFERROR(__xludf.DUMMYFUNCTION("""COMPUTED_VALUE"""),4.5)</f>
        <v>4.5</v>
      </c>
      <c r="O224" s="60">
        <f>IFERROR(__xludf.DUMMYFUNCTION("""COMPUTED_VALUE"""),45408.0)</f>
        <v>45408</v>
      </c>
      <c r="R224" s="4"/>
    </row>
    <row r="225">
      <c r="A225" s="226"/>
      <c r="B225" s="188"/>
      <c r="C225" s="278"/>
      <c r="E225" s="181"/>
      <c r="F225" s="181"/>
      <c r="G225" s="4"/>
      <c r="I225" s="181"/>
      <c r="J225" s="181"/>
      <c r="K225" s="4"/>
      <c r="M225" s="59" t="str">
        <f>IFERROR(__xludf.DUMMYFUNCTION("""COMPUTED_VALUE"""),"Abacus Book &amp; Card Corp.")</f>
        <v>Abacus Book &amp; Card Corp.</v>
      </c>
      <c r="N225" s="4">
        <f>IFERROR(__xludf.DUMMYFUNCTION("""COMPUTED_VALUE"""),5.0)</f>
        <v>5</v>
      </c>
      <c r="O225" s="60">
        <f>IFERROR(__xludf.DUMMYFUNCTION("""COMPUTED_VALUE"""),45411.0)</f>
        <v>45411</v>
      </c>
      <c r="R225" s="4"/>
    </row>
    <row r="226">
      <c r="A226" s="226"/>
      <c r="B226" s="188"/>
      <c r="C226" s="278"/>
      <c r="E226" s="181"/>
      <c r="F226" s="181"/>
      <c r="G226" s="4"/>
      <c r="I226" s="181"/>
      <c r="J226" s="181"/>
      <c r="K226" s="4"/>
      <c r="M226" s="59" t="str">
        <f>IFERROR(__xludf.DUMMYFUNCTION("""COMPUTED_VALUE"""),"Alpha-Cored Technology Systems, Inc.")</f>
        <v>Alpha-Cored Technology Systems, Inc.</v>
      </c>
      <c r="N226" s="4">
        <f>IFERROR(__xludf.DUMMYFUNCTION("""COMPUTED_VALUE"""),5.0)</f>
        <v>5</v>
      </c>
      <c r="O226" s="60">
        <f>IFERROR(__xludf.DUMMYFUNCTION("""COMPUTED_VALUE"""),45411.0)</f>
        <v>45411</v>
      </c>
      <c r="R226" s="4"/>
    </row>
    <row r="227">
      <c r="A227" s="226"/>
      <c r="B227" s="188"/>
      <c r="C227" s="278"/>
      <c r="E227" s="181"/>
      <c r="F227" s="181"/>
      <c r="G227" s="4"/>
      <c r="I227" s="181"/>
      <c r="J227" s="181"/>
      <c r="K227" s="4"/>
      <c r="M227" s="59" t="str">
        <f>IFERROR(__xludf.DUMMYFUNCTION("""COMPUTED_VALUE"""),"Contrade Integrated Depot")</f>
        <v>Contrade Integrated Depot</v>
      </c>
      <c r="N227" s="4">
        <f>IFERROR(__xludf.DUMMYFUNCTION("""COMPUTED_VALUE"""),4.5)</f>
        <v>4.5</v>
      </c>
      <c r="O227" s="60">
        <f>IFERROR(__xludf.DUMMYFUNCTION("""COMPUTED_VALUE"""),45411.0)</f>
        <v>45411</v>
      </c>
      <c r="R227" s="4"/>
    </row>
    <row r="228">
      <c r="A228" s="226"/>
      <c r="B228" s="188"/>
      <c r="C228" s="278"/>
      <c r="E228" s="181"/>
      <c r="F228" s="181"/>
      <c r="G228" s="4"/>
      <c r="I228" s="181"/>
      <c r="J228" s="181"/>
      <c r="K228" s="4"/>
      <c r="M228" s="59" t="str">
        <f>IFERROR(__xludf.DUMMYFUNCTION("""COMPUTED_VALUE"""),"Hospeco Philippines, Inc.")</f>
        <v>Hospeco Philippines, Inc.</v>
      </c>
      <c r="N228" s="4">
        <f>IFERROR(__xludf.DUMMYFUNCTION("""COMPUTED_VALUE"""),4.833333333333333)</f>
        <v>4.833333333</v>
      </c>
      <c r="O228" s="60">
        <f>IFERROR(__xludf.DUMMYFUNCTION("""COMPUTED_VALUE"""),45411.0)</f>
        <v>45411</v>
      </c>
      <c r="R228" s="4"/>
    </row>
    <row r="229">
      <c r="A229" s="226"/>
      <c r="B229" s="188"/>
      <c r="C229" s="278"/>
      <c r="E229" s="181"/>
      <c r="F229" s="181"/>
      <c r="G229" s="4"/>
      <c r="I229" s="181"/>
      <c r="J229" s="181"/>
      <c r="K229" s="4"/>
      <c r="M229" s="59" t="str">
        <f>IFERROR(__xludf.DUMMYFUNCTION("""COMPUTED_VALUE"""),"Contrade Integrated Depot")</f>
        <v>Contrade Integrated Depot</v>
      </c>
      <c r="N229" s="4">
        <f>IFERROR(__xludf.DUMMYFUNCTION("""COMPUTED_VALUE"""),4.566666666666666)</f>
        <v>4.566666667</v>
      </c>
      <c r="O229" s="60">
        <f>IFERROR(__xludf.DUMMYFUNCTION("""COMPUTED_VALUE"""),45411.0)</f>
        <v>45411</v>
      </c>
      <c r="R229" s="4"/>
    </row>
    <row r="230">
      <c r="A230" s="226"/>
      <c r="B230" s="188"/>
      <c r="C230" s="278"/>
      <c r="E230" s="181"/>
      <c r="F230" s="181"/>
      <c r="G230" s="4"/>
      <c r="I230" s="181"/>
      <c r="J230" s="181"/>
      <c r="K230" s="4"/>
      <c r="M230" s="59" t="str">
        <f>IFERROR(__xludf.DUMMYFUNCTION("""COMPUTED_VALUE"""),"Abacus Book &amp; Card Corp.")</f>
        <v>Abacus Book &amp; Card Corp.</v>
      </c>
      <c r="N230" s="4">
        <f>IFERROR(__xludf.DUMMYFUNCTION("""COMPUTED_VALUE"""),5.0)</f>
        <v>5</v>
      </c>
      <c r="O230" s="60">
        <f>IFERROR(__xludf.DUMMYFUNCTION("""COMPUTED_VALUE"""),45411.0)</f>
        <v>45411</v>
      </c>
      <c r="R230" s="4"/>
    </row>
    <row r="231">
      <c r="A231" s="226"/>
      <c r="B231" s="188"/>
      <c r="C231" s="278"/>
      <c r="E231" s="181"/>
      <c r="F231" s="181"/>
      <c r="G231" s="4"/>
      <c r="I231" s="181"/>
      <c r="J231" s="181"/>
      <c r="K231" s="4"/>
      <c r="M231" s="59" t="str">
        <f>IFERROR(__xludf.DUMMYFUNCTION("""COMPUTED_VALUE"""),"Abenson Ventures, Inc.")</f>
        <v>Abenson Ventures, Inc.</v>
      </c>
      <c r="N231" s="4">
        <f>IFERROR(__xludf.DUMMYFUNCTION("""COMPUTED_VALUE"""),4.733333333333333)</f>
        <v>4.733333333</v>
      </c>
      <c r="O231" s="60">
        <f>IFERROR(__xludf.DUMMYFUNCTION("""COMPUTED_VALUE"""),45412.0)</f>
        <v>45412</v>
      </c>
      <c r="R231" s="4"/>
    </row>
    <row r="232">
      <c r="A232" s="226"/>
      <c r="B232" s="188"/>
      <c r="C232" s="278"/>
      <c r="E232" s="181"/>
      <c r="F232" s="181"/>
      <c r="G232" s="4"/>
      <c r="I232" s="181"/>
      <c r="J232" s="181"/>
      <c r="K232" s="4"/>
      <c r="M232" s="59" t="str">
        <f>IFERROR(__xludf.DUMMYFUNCTION("""COMPUTED_VALUE"""),"Abenson Ventures, Inc.")</f>
        <v>Abenson Ventures, Inc.</v>
      </c>
      <c r="N232" s="4">
        <f>IFERROR(__xludf.DUMMYFUNCTION("""COMPUTED_VALUE"""),4.733333333333333)</f>
        <v>4.733333333</v>
      </c>
      <c r="O232" s="60">
        <f>IFERROR(__xludf.DUMMYFUNCTION("""COMPUTED_VALUE"""),45412.0)</f>
        <v>45412</v>
      </c>
      <c r="R232" s="4"/>
    </row>
    <row r="233">
      <c r="A233" s="226"/>
      <c r="B233" s="188"/>
      <c r="C233" s="278"/>
      <c r="E233" s="181"/>
      <c r="F233" s="181"/>
      <c r="G233" s="4"/>
      <c r="I233" s="181"/>
      <c r="J233" s="181"/>
      <c r="K233" s="4"/>
      <c r="M233" s="59" t="str">
        <f>IFERROR(__xludf.DUMMYFUNCTION("""COMPUTED_VALUE"""),"DOOPLO ADVERTISING")</f>
        <v>DOOPLO ADVERTISING</v>
      </c>
      <c r="N233" s="4">
        <f>IFERROR(__xludf.DUMMYFUNCTION("""COMPUTED_VALUE"""),4.0)</f>
        <v>4</v>
      </c>
      <c r="O233" s="60">
        <f>IFERROR(__xludf.DUMMYFUNCTION("""COMPUTED_VALUE"""),45412.0)</f>
        <v>45412</v>
      </c>
      <c r="R233" s="4"/>
    </row>
    <row r="234">
      <c r="A234" s="226"/>
      <c r="B234" s="188"/>
      <c r="C234" s="278"/>
      <c r="E234" s="181"/>
      <c r="F234" s="181"/>
      <c r="G234" s="4"/>
      <c r="I234" s="181"/>
      <c r="J234" s="181"/>
      <c r="K234" s="4"/>
      <c r="M234" s="59" t="str">
        <f>IFERROR(__xludf.DUMMYFUNCTION("""COMPUTED_VALUE"""),"Arkin Hardware")</f>
        <v>Arkin Hardware</v>
      </c>
      <c r="N234" s="4">
        <f>IFERROR(__xludf.DUMMYFUNCTION("""COMPUTED_VALUE"""),4.5)</f>
        <v>4.5</v>
      </c>
      <c r="O234" s="60">
        <f>IFERROR(__xludf.DUMMYFUNCTION("""COMPUTED_VALUE"""),45415.0)</f>
        <v>45415</v>
      </c>
      <c r="R234" s="4"/>
    </row>
    <row r="235">
      <c r="A235" s="226"/>
      <c r="B235" s="188"/>
      <c r="C235" s="278"/>
      <c r="E235" s="181"/>
      <c r="F235" s="181"/>
      <c r="G235" s="4"/>
      <c r="I235" s="181"/>
      <c r="J235" s="181"/>
      <c r="K235" s="4"/>
      <c r="M235" s="59" t="str">
        <f>IFERROR(__xludf.DUMMYFUNCTION("""COMPUTED_VALUE"""),"Arkin Hardware")</f>
        <v>Arkin Hardware</v>
      </c>
      <c r="N235" s="4">
        <f>IFERROR(__xludf.DUMMYFUNCTION("""COMPUTED_VALUE"""),4.166666666666667)</f>
        <v>4.166666667</v>
      </c>
      <c r="O235" s="60">
        <f>IFERROR(__xludf.DUMMYFUNCTION("""COMPUTED_VALUE"""),45415.0)</f>
        <v>45415</v>
      </c>
      <c r="R235" s="4"/>
    </row>
    <row r="236">
      <c r="A236" s="226"/>
      <c r="B236" s="188"/>
      <c r="C236" s="278"/>
      <c r="E236" s="181"/>
      <c r="F236" s="181"/>
      <c r="G236" s="4"/>
      <c r="I236" s="181"/>
      <c r="J236" s="181"/>
      <c r="K236" s="4"/>
      <c r="M236" s="59" t="str">
        <f>IFERROR(__xludf.DUMMYFUNCTION("""COMPUTED_VALUE"""),"Tropical Palms Fashion House, Inc.")</f>
        <v>Tropical Palms Fashion House, Inc.</v>
      </c>
      <c r="N236" s="4">
        <f>IFERROR(__xludf.DUMMYFUNCTION("""COMPUTED_VALUE"""),4.5)</f>
        <v>4.5</v>
      </c>
      <c r="O236" s="60">
        <f>IFERROR(__xludf.DUMMYFUNCTION("""COMPUTED_VALUE"""),45415.0)</f>
        <v>45415</v>
      </c>
      <c r="R236" s="4"/>
    </row>
    <row r="237">
      <c r="A237" s="226"/>
      <c r="B237" s="188"/>
      <c r="C237" s="278"/>
      <c r="E237" s="181"/>
      <c r="F237" s="181"/>
      <c r="G237" s="4"/>
      <c r="I237" s="181"/>
      <c r="J237" s="181"/>
      <c r="K237" s="4"/>
      <c r="M237" s="59" t="str">
        <f>IFERROR(__xludf.DUMMYFUNCTION("""COMPUTED_VALUE"""),"Creative Juice Digital Printing")</f>
        <v>Creative Juice Digital Printing</v>
      </c>
      <c r="N237" s="4">
        <f>IFERROR(__xludf.DUMMYFUNCTION("""COMPUTED_VALUE"""),4.6499999999999995)</f>
        <v>4.65</v>
      </c>
      <c r="O237" s="60">
        <f>IFERROR(__xludf.DUMMYFUNCTION("""COMPUTED_VALUE"""),45416.0)</f>
        <v>45416</v>
      </c>
      <c r="R237" s="4"/>
    </row>
    <row r="238">
      <c r="A238" s="226"/>
      <c r="B238" s="188"/>
      <c r="C238" s="278"/>
      <c r="E238" s="181"/>
      <c r="F238" s="181"/>
      <c r="G238" s="4"/>
      <c r="I238" s="181"/>
      <c r="J238" s="181"/>
      <c r="K238" s="4"/>
      <c r="M238" s="59" t="str">
        <f>IFERROR(__xludf.DUMMYFUNCTION("""COMPUTED_VALUE"""),"DOOPLO ADVERTISING")</f>
        <v>DOOPLO ADVERTISING</v>
      </c>
      <c r="N238" s="4">
        <f>IFERROR(__xludf.DUMMYFUNCTION("""COMPUTED_VALUE"""),4.75)</f>
        <v>4.75</v>
      </c>
      <c r="O238" s="60">
        <f>IFERROR(__xludf.DUMMYFUNCTION("""COMPUTED_VALUE"""),45418.0)</f>
        <v>45418</v>
      </c>
      <c r="R238" s="4"/>
    </row>
    <row r="239">
      <c r="A239" s="226"/>
      <c r="B239" s="188"/>
      <c r="C239" s="278"/>
      <c r="E239" s="181"/>
      <c r="F239" s="181"/>
      <c r="G239" s="4"/>
      <c r="I239" s="181"/>
      <c r="J239" s="181"/>
      <c r="K239" s="4"/>
      <c r="M239" s="59" t="str">
        <f>IFERROR(__xludf.DUMMYFUNCTION("""COMPUTED_VALUE"""),"Arkin Hardware")</f>
        <v>Arkin Hardware</v>
      </c>
      <c r="N239" s="4">
        <f>IFERROR(__xludf.DUMMYFUNCTION("""COMPUTED_VALUE"""),4.0)</f>
        <v>4</v>
      </c>
      <c r="O239" s="60">
        <f>IFERROR(__xludf.DUMMYFUNCTION("""COMPUTED_VALUE"""),45418.0)</f>
        <v>45418</v>
      </c>
      <c r="R239" s="4"/>
    </row>
    <row r="240">
      <c r="A240" s="226"/>
      <c r="B240" s="188"/>
      <c r="C240" s="278"/>
      <c r="E240" s="181"/>
      <c r="F240" s="181"/>
      <c r="G240" s="4"/>
      <c r="I240" s="181"/>
      <c r="J240" s="181"/>
      <c r="K240" s="4"/>
      <c r="M240" s="59" t="str">
        <f>IFERROR(__xludf.DUMMYFUNCTION("""COMPUTED_VALUE"""),"Abacus Book &amp; Card Corp.")</f>
        <v>Abacus Book &amp; Card Corp.</v>
      </c>
      <c r="N240" s="4">
        <f>IFERROR(__xludf.DUMMYFUNCTION("""COMPUTED_VALUE"""),5.0)</f>
        <v>5</v>
      </c>
      <c r="O240" s="60">
        <f>IFERROR(__xludf.DUMMYFUNCTION("""COMPUTED_VALUE"""),45421.0)</f>
        <v>45421</v>
      </c>
      <c r="R240" s="4"/>
    </row>
    <row r="241">
      <c r="A241" s="226"/>
      <c r="B241" s="188"/>
      <c r="C241" s="278"/>
      <c r="E241" s="181"/>
      <c r="F241" s="181"/>
      <c r="G241" s="4"/>
      <c r="I241" s="181"/>
      <c r="J241" s="181"/>
      <c r="K241" s="4"/>
      <c r="M241" s="59" t="str">
        <f>IFERROR(__xludf.DUMMYFUNCTION("""COMPUTED_VALUE"""),"Creative Juice Digital Printing")</f>
        <v>Creative Juice Digital Printing</v>
      </c>
      <c r="N241" s="4">
        <f>IFERROR(__xludf.DUMMYFUNCTION("""COMPUTED_VALUE"""),4.0)</f>
        <v>4</v>
      </c>
      <c r="O241" s="60">
        <f>IFERROR(__xludf.DUMMYFUNCTION("""COMPUTED_VALUE"""),45423.0)</f>
        <v>45423</v>
      </c>
      <c r="R241" s="4"/>
    </row>
    <row r="242">
      <c r="A242" s="226"/>
      <c r="B242" s="188"/>
      <c r="C242" s="278"/>
      <c r="E242" s="181"/>
      <c r="F242" s="181"/>
      <c r="G242" s="4"/>
      <c r="I242" s="181"/>
      <c r="J242" s="181"/>
      <c r="K242" s="4"/>
      <c r="M242" s="59" t="str">
        <f>IFERROR(__xludf.DUMMYFUNCTION("""COMPUTED_VALUE"""),"Printing Shop PrintPilipinas.com")</f>
        <v>Printing Shop PrintPilipinas.com</v>
      </c>
      <c r="N242" s="4">
        <f>IFERROR(__xludf.DUMMYFUNCTION("""COMPUTED_VALUE"""),5.0)</f>
        <v>5</v>
      </c>
      <c r="O242" s="60">
        <f>IFERROR(__xludf.DUMMYFUNCTION("""COMPUTED_VALUE"""),45423.0)</f>
        <v>45423</v>
      </c>
      <c r="R242" s="4"/>
    </row>
    <row r="243">
      <c r="A243" s="226"/>
      <c r="B243" s="188"/>
      <c r="C243" s="278"/>
      <c r="E243" s="181"/>
      <c r="F243" s="181"/>
      <c r="G243" s="4"/>
      <c r="I243" s="181"/>
      <c r="J243" s="181"/>
      <c r="K243" s="4"/>
      <c r="M243" s="59" t="str">
        <f>IFERROR(__xludf.DUMMYFUNCTION("""COMPUTED_VALUE"""),"Arkin Hardware")</f>
        <v>Arkin Hardware</v>
      </c>
      <c r="N243" s="4">
        <f>IFERROR(__xludf.DUMMYFUNCTION("""COMPUTED_VALUE"""),4.625)</f>
        <v>4.625</v>
      </c>
      <c r="O243" s="60">
        <f>IFERROR(__xludf.DUMMYFUNCTION("""COMPUTED_VALUE"""),45425.0)</f>
        <v>45425</v>
      </c>
      <c r="R243" s="4"/>
    </row>
    <row r="244">
      <c r="A244" s="226"/>
      <c r="B244" s="188"/>
      <c r="C244" s="278"/>
      <c r="E244" s="181"/>
      <c r="F244" s="181"/>
      <c r="G244" s="4"/>
      <c r="I244" s="181"/>
      <c r="J244" s="181"/>
      <c r="K244" s="4"/>
      <c r="M244" s="59" t="str">
        <f>IFERROR(__xludf.DUMMYFUNCTION("""COMPUTED_VALUE"""),"Chemtrust Global Market, Inc.")</f>
        <v>Chemtrust Global Market, Inc.</v>
      </c>
      <c r="N244" s="4">
        <f>IFERROR(__xludf.DUMMYFUNCTION("""COMPUTED_VALUE"""),5.0)</f>
        <v>5</v>
      </c>
      <c r="O244" s="60">
        <f>IFERROR(__xludf.DUMMYFUNCTION("""COMPUTED_VALUE"""),45426.0)</f>
        <v>45426</v>
      </c>
      <c r="R244" s="4"/>
    </row>
    <row r="245">
      <c r="A245" s="226"/>
      <c r="B245" s="188"/>
      <c r="C245" s="278"/>
      <c r="E245" s="181"/>
      <c r="F245" s="181"/>
      <c r="G245" s="4"/>
      <c r="I245" s="181"/>
      <c r="J245" s="181"/>
      <c r="K245" s="4"/>
      <c r="M245" s="59" t="str">
        <f>IFERROR(__xludf.DUMMYFUNCTION("""COMPUTED_VALUE"""),"Amalgamated Specialties Corporation")</f>
        <v>Amalgamated Specialties Corporation</v>
      </c>
      <c r="N245" s="4">
        <f>IFERROR(__xludf.DUMMYFUNCTION("""COMPUTED_VALUE"""),5.0)</f>
        <v>5</v>
      </c>
      <c r="O245" s="60">
        <f>IFERROR(__xludf.DUMMYFUNCTION("""COMPUTED_VALUE"""),45429.0)</f>
        <v>45429</v>
      </c>
      <c r="R245" s="4"/>
    </row>
    <row r="246">
      <c r="A246" s="226"/>
      <c r="B246" s="188"/>
      <c r="C246" s="278"/>
      <c r="E246" s="181"/>
      <c r="F246" s="181"/>
      <c r="G246" s="4"/>
      <c r="I246" s="181"/>
      <c r="J246" s="181"/>
      <c r="K246" s="4"/>
      <c r="M246" s="59" t="str">
        <f>IFERROR(__xludf.DUMMYFUNCTION("""COMPUTED_VALUE"""),"Printing Shop PrintPilipinas.com")</f>
        <v>Printing Shop PrintPilipinas.com</v>
      </c>
      <c r="N246" s="4">
        <f>IFERROR(__xludf.DUMMYFUNCTION("""COMPUTED_VALUE"""),4.625)</f>
        <v>4.625</v>
      </c>
      <c r="O246" s="60">
        <f>IFERROR(__xludf.DUMMYFUNCTION("""COMPUTED_VALUE"""),45433.0)</f>
        <v>45433</v>
      </c>
      <c r="R246" s="4"/>
    </row>
    <row r="247">
      <c r="A247" s="226"/>
      <c r="B247" s="188"/>
      <c r="C247" s="278"/>
      <c r="E247" s="181"/>
      <c r="F247" s="181"/>
      <c r="G247" s="4"/>
      <c r="I247" s="181"/>
      <c r="J247" s="181"/>
      <c r="K247" s="4"/>
      <c r="M247" s="59" t="str">
        <f>IFERROR(__xludf.DUMMYFUNCTION("""COMPUTED_VALUE"""),"Arkin Hardware")</f>
        <v>Arkin Hardware</v>
      </c>
      <c r="N247" s="4">
        <f>IFERROR(__xludf.DUMMYFUNCTION("""COMPUTED_VALUE"""),4.733333333333333)</f>
        <v>4.733333333</v>
      </c>
      <c r="O247" s="60">
        <f>IFERROR(__xludf.DUMMYFUNCTION("""COMPUTED_VALUE"""),45434.0)</f>
        <v>45434</v>
      </c>
      <c r="R247" s="4"/>
    </row>
    <row r="248">
      <c r="A248" s="226"/>
      <c r="B248" s="188"/>
      <c r="C248" s="278"/>
      <c r="E248" s="181"/>
      <c r="F248" s="181"/>
      <c r="G248" s="4"/>
      <c r="I248" s="181"/>
      <c r="J248" s="181"/>
      <c r="K248" s="4"/>
      <c r="M248" s="59" t="str">
        <f>IFERROR(__xludf.DUMMYFUNCTION("""COMPUTED_VALUE"""),"Abenson Ventures, Inc.")</f>
        <v>Abenson Ventures, Inc.</v>
      </c>
      <c r="N248" s="4">
        <f>IFERROR(__xludf.DUMMYFUNCTION("""COMPUTED_VALUE"""),5.0)</f>
        <v>5</v>
      </c>
      <c r="O248" s="60">
        <f>IFERROR(__xludf.DUMMYFUNCTION("""COMPUTED_VALUE"""),45435.0)</f>
        <v>45435</v>
      </c>
      <c r="R248" s="4"/>
    </row>
    <row r="249">
      <c r="A249" s="226"/>
      <c r="B249" s="188"/>
      <c r="C249" s="278"/>
      <c r="E249" s="181"/>
      <c r="F249" s="181"/>
      <c r="G249" s="4"/>
      <c r="I249" s="181"/>
      <c r="J249" s="181"/>
      <c r="K249" s="4"/>
      <c r="M249" s="59" t="str">
        <f>IFERROR(__xludf.DUMMYFUNCTION("""COMPUTED_VALUE"""),"Hospeco Philippines, Inc.")</f>
        <v>Hospeco Philippines, Inc.</v>
      </c>
      <c r="N249" s="4">
        <f>IFERROR(__xludf.DUMMYFUNCTION("""COMPUTED_VALUE"""),4.0)</f>
        <v>4</v>
      </c>
      <c r="O249" s="60">
        <f>IFERROR(__xludf.DUMMYFUNCTION("""COMPUTED_VALUE"""),45436.0)</f>
        <v>45436</v>
      </c>
      <c r="R249" s="4"/>
    </row>
    <row r="250">
      <c r="A250" s="226"/>
      <c r="B250" s="188"/>
      <c r="C250" s="278"/>
      <c r="E250" s="181"/>
      <c r="F250" s="181"/>
      <c r="G250" s="4"/>
      <c r="I250" s="181"/>
      <c r="J250" s="181"/>
      <c r="K250" s="4"/>
      <c r="M250" s="59" t="str">
        <f>IFERROR(__xludf.DUMMYFUNCTION("""COMPUTED_VALUE"""),"Leonard Prints Inc.")</f>
        <v>Leonard Prints Inc.</v>
      </c>
      <c r="N250" s="4">
        <f>IFERROR(__xludf.DUMMYFUNCTION("""COMPUTED_VALUE"""),4.833333333333333)</f>
        <v>4.833333333</v>
      </c>
      <c r="O250" s="60">
        <f>IFERROR(__xludf.DUMMYFUNCTION("""COMPUTED_VALUE"""),45439.0)</f>
        <v>45439</v>
      </c>
      <c r="R250" s="4"/>
    </row>
    <row r="251">
      <c r="A251" s="226"/>
      <c r="B251" s="188"/>
      <c r="C251" s="278"/>
      <c r="E251" s="181"/>
      <c r="F251" s="181"/>
      <c r="G251" s="4"/>
      <c r="I251" s="181"/>
      <c r="J251" s="181"/>
      <c r="K251" s="4"/>
      <c r="M251" s="59" t="str">
        <f>IFERROR(__xludf.DUMMYFUNCTION("""COMPUTED_VALUE"""),"Jarm Printing Press")</f>
        <v>Jarm Printing Press</v>
      </c>
      <c r="N251" s="4">
        <f>IFERROR(__xludf.DUMMYFUNCTION("""COMPUTED_VALUE"""),4.833333333333333)</f>
        <v>4.833333333</v>
      </c>
      <c r="O251" s="60">
        <f>IFERROR(__xludf.DUMMYFUNCTION("""COMPUTED_VALUE"""),45443.0)</f>
        <v>45443</v>
      </c>
      <c r="R251" s="4"/>
    </row>
    <row r="252">
      <c r="A252" s="226"/>
      <c r="B252" s="188"/>
      <c r="C252" s="278"/>
      <c r="E252" s="181"/>
      <c r="F252" s="181"/>
      <c r="G252" s="4"/>
      <c r="I252" s="181"/>
      <c r="J252" s="181"/>
      <c r="K252" s="4"/>
      <c r="M252" s="59" t="str">
        <f>IFERROR(__xludf.DUMMYFUNCTION("""COMPUTED_VALUE"""),"Jarm Printing Press")</f>
        <v>Jarm Printing Press</v>
      </c>
      <c r="N252" s="4">
        <f>IFERROR(__xludf.DUMMYFUNCTION("""COMPUTED_VALUE"""),4.833333333333333)</f>
        <v>4.833333333</v>
      </c>
      <c r="O252" s="60">
        <f>IFERROR(__xludf.DUMMYFUNCTION("""COMPUTED_VALUE"""),45443.0)</f>
        <v>45443</v>
      </c>
      <c r="R252" s="4"/>
    </row>
    <row r="253">
      <c r="A253" s="226"/>
      <c r="B253" s="188"/>
      <c r="C253" s="278"/>
      <c r="E253" s="181"/>
      <c r="F253" s="181"/>
      <c r="G253" s="4"/>
      <c r="I253" s="181"/>
      <c r="J253" s="181"/>
      <c r="K253" s="4"/>
      <c r="M253" s="59" t="str">
        <f>IFERROR(__xludf.DUMMYFUNCTION("""COMPUTED_VALUE"""),"Jarm Printing Press")</f>
        <v>Jarm Printing Press</v>
      </c>
      <c r="N253" s="4">
        <f>IFERROR(__xludf.DUMMYFUNCTION("""COMPUTED_VALUE"""),4.833333333333333)</f>
        <v>4.833333333</v>
      </c>
      <c r="O253" s="60">
        <f>IFERROR(__xludf.DUMMYFUNCTION("""COMPUTED_VALUE"""),45443.0)</f>
        <v>45443</v>
      </c>
      <c r="R253" s="4"/>
    </row>
    <row r="254">
      <c r="A254" s="226"/>
      <c r="B254" s="188"/>
      <c r="C254" s="278"/>
      <c r="E254" s="181"/>
      <c r="F254" s="181"/>
      <c r="G254" s="4"/>
      <c r="I254" s="181"/>
      <c r="J254" s="181"/>
      <c r="K254" s="4"/>
      <c r="M254" s="59" t="str">
        <f>IFERROR(__xludf.DUMMYFUNCTION("""COMPUTED_VALUE"""),"Oray Copier Solutions")</f>
        <v>Oray Copier Solutions</v>
      </c>
      <c r="N254" s="4">
        <f>IFERROR(__xludf.DUMMYFUNCTION("""COMPUTED_VALUE"""),4.666666666666667)</f>
        <v>4.666666667</v>
      </c>
      <c r="O254" s="60">
        <f>IFERROR(__xludf.DUMMYFUNCTION("""COMPUTED_VALUE"""),45443.0)</f>
        <v>45443</v>
      </c>
      <c r="R254" s="4"/>
    </row>
    <row r="255">
      <c r="A255" s="226"/>
      <c r="B255" s="188"/>
      <c r="C255" s="278"/>
      <c r="E255" s="181"/>
      <c r="F255" s="181"/>
      <c r="G255" s="4"/>
      <c r="I255" s="181"/>
      <c r="J255" s="181"/>
      <c r="K255" s="4"/>
      <c r="M255" s="59" t="str">
        <f>IFERROR(__xludf.DUMMYFUNCTION("""COMPUTED_VALUE"""),"Chemtrust Global Market, Inc.")</f>
        <v>Chemtrust Global Market, Inc.</v>
      </c>
      <c r="N255" s="4">
        <f>IFERROR(__xludf.DUMMYFUNCTION("""COMPUTED_VALUE"""),5.0)</f>
        <v>5</v>
      </c>
      <c r="O255" s="60">
        <f>IFERROR(__xludf.DUMMYFUNCTION("""COMPUTED_VALUE"""),45449.0)</f>
        <v>45449</v>
      </c>
      <c r="R255" s="4"/>
    </row>
    <row r="256">
      <c r="A256" s="226"/>
      <c r="B256" s="188"/>
      <c r="C256" s="278"/>
      <c r="E256" s="181"/>
      <c r="F256" s="181"/>
      <c r="G256" s="4"/>
      <c r="I256" s="181"/>
      <c r="J256" s="181"/>
      <c r="K256" s="4"/>
      <c r="M256" s="59" t="str">
        <f>IFERROR(__xludf.DUMMYFUNCTION("""COMPUTED_VALUE"""),"Abenson Ventures, Inc.")</f>
        <v>Abenson Ventures, Inc.</v>
      </c>
      <c r="N256" s="4">
        <f>IFERROR(__xludf.DUMMYFUNCTION("""COMPUTED_VALUE"""),4.833333333333333)</f>
        <v>4.833333333</v>
      </c>
      <c r="O256" s="60">
        <f>IFERROR(__xludf.DUMMYFUNCTION("""COMPUTED_VALUE"""),45453.0)</f>
        <v>45453</v>
      </c>
      <c r="R256" s="4"/>
    </row>
    <row r="257">
      <c r="A257" s="226"/>
      <c r="B257" s="188"/>
      <c r="C257" s="278"/>
      <c r="E257" s="181"/>
      <c r="F257" s="181"/>
      <c r="G257" s="4"/>
      <c r="I257" s="181"/>
      <c r="J257" s="181"/>
      <c r="K257" s="4"/>
      <c r="M257" s="59" t="str">
        <f>IFERROR(__xludf.DUMMYFUNCTION("""COMPUTED_VALUE"""),"Manila Rubber Corporation")</f>
        <v>Manila Rubber Corporation</v>
      </c>
      <c r="N257" s="4">
        <f>IFERROR(__xludf.DUMMYFUNCTION("""COMPUTED_VALUE"""),4.0)</f>
        <v>4</v>
      </c>
      <c r="O257" s="60">
        <f>IFERROR(__xludf.DUMMYFUNCTION("""COMPUTED_VALUE"""),45458.0)</f>
        <v>45458</v>
      </c>
      <c r="R257" s="4"/>
    </row>
    <row r="258">
      <c r="A258" s="226"/>
      <c r="B258" s="188"/>
      <c r="C258" s="278"/>
      <c r="E258" s="181"/>
      <c r="F258" s="181"/>
      <c r="G258" s="4"/>
      <c r="I258" s="181"/>
      <c r="J258" s="181"/>
      <c r="K258" s="4"/>
      <c r="M258" s="59" t="str">
        <f>IFERROR(__xludf.DUMMYFUNCTION("""COMPUTED_VALUE"""),"Manila Rubber Corporation")</f>
        <v>Manila Rubber Corporation</v>
      </c>
      <c r="N258" s="4">
        <f>IFERROR(__xludf.DUMMYFUNCTION("""COMPUTED_VALUE"""),4.75)</f>
        <v>4.75</v>
      </c>
      <c r="O258" s="60">
        <f>IFERROR(__xludf.DUMMYFUNCTION("""COMPUTED_VALUE"""),45458.0)</f>
        <v>45458</v>
      </c>
      <c r="R258" s="4"/>
    </row>
    <row r="259">
      <c r="A259" s="226"/>
      <c r="B259" s="188"/>
      <c r="C259" s="278"/>
      <c r="E259" s="181"/>
      <c r="F259" s="181"/>
      <c r="G259" s="4"/>
      <c r="I259" s="181"/>
      <c r="J259" s="181"/>
      <c r="K259" s="4"/>
      <c r="M259" s="59" t="str">
        <f>IFERROR(__xludf.DUMMYFUNCTION("""COMPUTED_VALUE"""),"Printing Shop PrintPilipinas.com")</f>
        <v>Printing Shop PrintPilipinas.com</v>
      </c>
      <c r="N259" s="4">
        <f>IFERROR(__xludf.DUMMYFUNCTION("""COMPUTED_VALUE"""),4.625)</f>
        <v>4.625</v>
      </c>
      <c r="O259" s="60">
        <f>IFERROR(__xludf.DUMMYFUNCTION("""COMPUTED_VALUE"""),45463.0)</f>
        <v>45463</v>
      </c>
      <c r="R259" s="4"/>
    </row>
    <row r="260">
      <c r="A260" s="226"/>
      <c r="B260" s="188"/>
      <c r="C260" s="278"/>
      <c r="E260" s="181"/>
      <c r="F260" s="181"/>
      <c r="G260" s="4"/>
      <c r="I260" s="181"/>
      <c r="J260" s="181"/>
      <c r="K260" s="4"/>
      <c r="M260" s="59" t="str">
        <f>IFERROR(__xludf.DUMMYFUNCTION("""COMPUTED_VALUE"""),"Roavsan General Merchandise")</f>
        <v>Roavsan General Merchandise</v>
      </c>
      <c r="N260" s="4">
        <f>IFERROR(__xludf.DUMMYFUNCTION("""COMPUTED_VALUE"""),4.0)</f>
        <v>4</v>
      </c>
      <c r="O260" s="60">
        <f>IFERROR(__xludf.DUMMYFUNCTION("""COMPUTED_VALUE"""),45464.0)</f>
        <v>45464</v>
      </c>
      <c r="R260" s="4"/>
    </row>
    <row r="261">
      <c r="A261" s="226"/>
      <c r="B261" s="188"/>
      <c r="C261" s="278"/>
      <c r="E261" s="181"/>
      <c r="F261" s="181"/>
      <c r="G261" s="4"/>
      <c r="I261" s="181"/>
      <c r="J261" s="181"/>
      <c r="K261" s="4"/>
      <c r="M261" s="59" t="str">
        <f>IFERROR(__xludf.DUMMYFUNCTION("""COMPUTED_VALUE"""),"Printing Shop PrintPilipinas.com")</f>
        <v>Printing Shop PrintPilipinas.com</v>
      </c>
      <c r="N261" s="4">
        <f>IFERROR(__xludf.DUMMYFUNCTION("""COMPUTED_VALUE"""),4.75)</f>
        <v>4.75</v>
      </c>
      <c r="O261" s="60">
        <f>IFERROR(__xludf.DUMMYFUNCTION("""COMPUTED_VALUE"""),45468.0)</f>
        <v>45468</v>
      </c>
      <c r="R261" s="4"/>
    </row>
    <row r="262">
      <c r="A262" s="226"/>
      <c r="B262" s="188"/>
      <c r="C262" s="278"/>
      <c r="E262" s="181"/>
      <c r="F262" s="181"/>
      <c r="G262" s="4"/>
      <c r="I262" s="181"/>
      <c r="J262" s="181"/>
      <c r="K262" s="4"/>
      <c r="M262" s="59" t="str">
        <f>IFERROR(__xludf.DUMMYFUNCTION("""COMPUTED_VALUE"""),"Printing Shop PrintPilipinas.com")</f>
        <v>Printing Shop PrintPilipinas.com</v>
      </c>
      <c r="N262" s="4">
        <f>IFERROR(__xludf.DUMMYFUNCTION("""COMPUTED_VALUE"""),4.75)</f>
        <v>4.75</v>
      </c>
      <c r="O262" s="60">
        <f>IFERROR(__xludf.DUMMYFUNCTION("""COMPUTED_VALUE"""),45468.0)</f>
        <v>45468</v>
      </c>
      <c r="R262" s="4"/>
    </row>
    <row r="263">
      <c r="A263" s="226"/>
      <c r="B263" s="188"/>
      <c r="C263" s="278"/>
      <c r="E263" s="181"/>
      <c r="F263" s="181"/>
      <c r="G263" s="4"/>
      <c r="I263" s="181"/>
      <c r="J263" s="181"/>
      <c r="K263" s="4"/>
      <c r="M263" s="59" t="str">
        <f>IFERROR(__xludf.DUMMYFUNCTION("""COMPUTED_VALUE"""),"Arkin Hardware")</f>
        <v>Arkin Hardware</v>
      </c>
      <c r="N263" s="4">
        <f>IFERROR(__xludf.DUMMYFUNCTION("""COMPUTED_VALUE"""),4.625)</f>
        <v>4.625</v>
      </c>
      <c r="O263" s="60">
        <f>IFERROR(__xludf.DUMMYFUNCTION("""COMPUTED_VALUE"""),45468.0)</f>
        <v>45468</v>
      </c>
      <c r="R263" s="4"/>
    </row>
    <row r="264">
      <c r="A264" s="226"/>
      <c r="B264" s="188"/>
      <c r="C264" s="278"/>
      <c r="E264" s="181"/>
      <c r="F264" s="181"/>
      <c r="G264" s="4"/>
      <c r="I264" s="181"/>
      <c r="J264" s="181"/>
      <c r="K264" s="4"/>
      <c r="M264" s="59" t="str">
        <f>IFERROR(__xludf.DUMMYFUNCTION("""COMPUTED_VALUE"""),"Microsmith Technology System,Inc.")</f>
        <v>Microsmith Technology System,Inc.</v>
      </c>
      <c r="N264" s="4">
        <f>IFERROR(__xludf.DUMMYFUNCTION("""COMPUTED_VALUE"""),4.875)</f>
        <v>4.875</v>
      </c>
      <c r="O264" s="60">
        <f>IFERROR(__xludf.DUMMYFUNCTION("""COMPUTED_VALUE"""),45471.0)</f>
        <v>45471</v>
      </c>
      <c r="R264" s="4"/>
    </row>
    <row r="265">
      <c r="A265" s="226"/>
      <c r="B265" s="188"/>
      <c r="C265" s="278"/>
      <c r="E265" s="181"/>
      <c r="F265" s="181"/>
      <c r="G265" s="4"/>
      <c r="I265" s="181"/>
      <c r="J265" s="181"/>
      <c r="K265" s="4"/>
      <c r="M265" s="59" t="str">
        <f>IFERROR(__xludf.DUMMYFUNCTION("""COMPUTED_VALUE"""),"Data Computer Forms, Inc.")</f>
        <v>Data Computer Forms, Inc.</v>
      </c>
      <c r="N265" s="4">
        <f>IFERROR(__xludf.DUMMYFUNCTION("""COMPUTED_VALUE"""),4.0)</f>
        <v>4</v>
      </c>
      <c r="O265" s="144">
        <f>IFERROR(__xludf.DUMMYFUNCTION("""COMPUTED_VALUE"""),45254.0)</f>
        <v>45254</v>
      </c>
      <c r="R265" s="4"/>
    </row>
    <row r="266">
      <c r="A266" s="226"/>
      <c r="B266" s="188"/>
      <c r="C266" s="278"/>
      <c r="E266" s="181"/>
      <c r="F266" s="181"/>
      <c r="G266" s="4"/>
      <c r="I266" s="181"/>
      <c r="J266" s="181"/>
      <c r="K266" s="4"/>
      <c r="M266" s="59" t="str">
        <f>IFERROR(__xludf.DUMMYFUNCTION("""COMPUTED_VALUE"""),"Net Ad IT Solutions")</f>
        <v>Net Ad IT Solutions</v>
      </c>
      <c r="N266" s="4">
        <f>IFERROR(__xludf.DUMMYFUNCTION("""COMPUTED_VALUE"""),5.0)</f>
        <v>5</v>
      </c>
      <c r="O266" s="60">
        <f>IFERROR(__xludf.DUMMYFUNCTION("""COMPUTED_VALUE"""),45351.0)</f>
        <v>45351</v>
      </c>
      <c r="R266" s="4"/>
    </row>
    <row r="267">
      <c r="A267" s="226"/>
      <c r="B267" s="188"/>
      <c r="C267" s="278"/>
      <c r="E267" s="181"/>
      <c r="F267" s="181"/>
      <c r="G267" s="4"/>
      <c r="I267" s="181"/>
      <c r="J267" s="181"/>
      <c r="K267" s="4"/>
      <c r="M267" s="59" t="str">
        <f>IFERROR(__xludf.DUMMYFUNCTION("""COMPUTED_VALUE"""),"Colent Marketing Philippines, Inc.")</f>
        <v>Colent Marketing Philippines, Inc.</v>
      </c>
      <c r="N267" s="4">
        <f>IFERROR(__xludf.DUMMYFUNCTION("""COMPUTED_VALUE"""),5.0)</f>
        <v>5</v>
      </c>
      <c r="O267" s="60">
        <f>IFERROR(__xludf.DUMMYFUNCTION("""COMPUTED_VALUE"""),45453.0)</f>
        <v>45453</v>
      </c>
      <c r="R267" s="4"/>
    </row>
    <row r="268">
      <c r="A268" s="226"/>
      <c r="B268" s="188"/>
      <c r="C268" s="278"/>
      <c r="E268" s="181"/>
      <c r="F268" s="181"/>
      <c r="G268" s="4"/>
      <c r="I268" s="181"/>
      <c r="J268" s="181"/>
      <c r="K268" s="4"/>
      <c r="M268" s="59" t="str">
        <f>IFERROR(__xludf.DUMMYFUNCTION("""COMPUTED_VALUE"""),"Belview Co., Inc.")</f>
        <v>Belview Co., Inc.</v>
      </c>
      <c r="N268" s="4">
        <f>IFERROR(__xludf.DUMMYFUNCTION("""COMPUTED_VALUE"""),4.733333333333333)</f>
        <v>4.733333333</v>
      </c>
      <c r="O268" s="60">
        <f>IFERROR(__xludf.DUMMYFUNCTION("""COMPUTED_VALUE"""),45335.0)</f>
        <v>45335</v>
      </c>
      <c r="R268" s="4"/>
    </row>
    <row r="269">
      <c r="A269" s="226"/>
      <c r="B269" s="188"/>
      <c r="C269" s="278"/>
      <c r="E269" s="181"/>
      <c r="F269" s="181"/>
      <c r="G269" s="4"/>
      <c r="I269" s="181"/>
      <c r="J269" s="181"/>
      <c r="K269" s="4"/>
      <c r="M269" s="59" t="str">
        <f>IFERROR(__xludf.DUMMYFUNCTION("""COMPUTED_VALUE"""),"Net Ad IT Solutions")</f>
        <v>Net Ad IT Solutions</v>
      </c>
      <c r="N269" s="4">
        <f>IFERROR(__xludf.DUMMYFUNCTION("""COMPUTED_VALUE"""),5.0)</f>
        <v>5</v>
      </c>
      <c r="O269" s="60">
        <f>IFERROR(__xludf.DUMMYFUNCTION("""COMPUTED_VALUE"""),45468.0)</f>
        <v>45468</v>
      </c>
      <c r="R269" s="4"/>
    </row>
    <row r="270">
      <c r="A270" s="226"/>
      <c r="B270" s="188"/>
      <c r="C270" s="278"/>
      <c r="E270" s="181"/>
      <c r="F270" s="181"/>
      <c r="G270" s="4"/>
      <c r="I270" s="181"/>
      <c r="J270" s="181"/>
      <c r="K270" s="4"/>
      <c r="M270" s="59" t="str">
        <f>IFERROR(__xludf.DUMMYFUNCTION("""COMPUTED_VALUE"""),"Net Ad IT Solutions")</f>
        <v>Net Ad IT Solutions</v>
      </c>
      <c r="N270" s="4">
        <f>IFERROR(__xludf.DUMMYFUNCTION("""COMPUTED_VALUE"""),5.0)</f>
        <v>5</v>
      </c>
      <c r="O270" s="60">
        <f>IFERROR(__xludf.DUMMYFUNCTION("""COMPUTED_VALUE"""),45461.0)</f>
        <v>45461</v>
      </c>
      <c r="R270" s="4"/>
    </row>
    <row r="271">
      <c r="A271" s="226"/>
      <c r="B271" s="188"/>
      <c r="C271" s="278"/>
      <c r="E271" s="181"/>
      <c r="F271" s="181"/>
      <c r="G271" s="4"/>
      <c r="I271" s="181"/>
      <c r="J271" s="181"/>
      <c r="K271" s="4"/>
      <c r="M271" s="59" t="str">
        <f>IFERROR(__xludf.DUMMYFUNCTION("""COMPUTED_VALUE"""),"Microsmith Technology System,Inc.")</f>
        <v>Microsmith Technology System,Inc.</v>
      </c>
      <c r="N271" s="4">
        <f>IFERROR(__xludf.DUMMYFUNCTION("""COMPUTED_VALUE"""),5.0)</f>
        <v>5</v>
      </c>
      <c r="O271" s="60">
        <f>IFERROR(__xludf.DUMMYFUNCTION("""COMPUTED_VALUE"""),45352.0)</f>
        <v>45352</v>
      </c>
      <c r="R271" s="4"/>
    </row>
    <row r="272">
      <c r="A272" s="226"/>
      <c r="B272" s="188"/>
      <c r="C272" s="278"/>
      <c r="E272" s="181"/>
      <c r="F272" s="181"/>
      <c r="G272" s="4"/>
      <c r="I272" s="181"/>
      <c r="J272" s="181"/>
      <c r="K272" s="4"/>
      <c r="M272" s="59" t="str">
        <f>IFERROR(__xludf.DUMMYFUNCTION("""COMPUTED_VALUE"""),"Alpha-Cored Technology Systems, Inc.")</f>
        <v>Alpha-Cored Technology Systems, Inc.</v>
      </c>
      <c r="N272" s="4">
        <f>IFERROR(__xludf.DUMMYFUNCTION("""COMPUTED_VALUE"""),5.0)</f>
        <v>5</v>
      </c>
      <c r="O272" s="60">
        <f>IFERROR(__xludf.DUMMYFUNCTION("""COMPUTED_VALUE"""),45366.0)</f>
        <v>45366</v>
      </c>
      <c r="R272" s="4"/>
    </row>
    <row r="273">
      <c r="A273" s="226"/>
      <c r="B273" s="188"/>
      <c r="C273" s="278"/>
      <c r="E273" s="181"/>
      <c r="F273" s="181"/>
      <c r="G273" s="4"/>
      <c r="I273" s="181"/>
      <c r="J273" s="181"/>
      <c r="K273" s="4"/>
      <c r="M273" s="59" t="str">
        <f>IFERROR(__xludf.DUMMYFUNCTION("""COMPUTED_VALUE"""),"Alpha-Cored Technology Systems, Inc.")</f>
        <v>Alpha-Cored Technology Systems, Inc.</v>
      </c>
      <c r="N273" s="4">
        <f>IFERROR(__xludf.DUMMYFUNCTION("""COMPUTED_VALUE"""),5.0)</f>
        <v>5</v>
      </c>
      <c r="O273" s="60">
        <f>IFERROR(__xludf.DUMMYFUNCTION("""COMPUTED_VALUE"""),45366.0)</f>
        <v>45366</v>
      </c>
      <c r="R273" s="4"/>
    </row>
    <row r="274">
      <c r="A274" s="226"/>
      <c r="B274" s="188"/>
      <c r="C274" s="278"/>
      <c r="E274" s="181"/>
      <c r="F274" s="181"/>
      <c r="G274" s="4"/>
      <c r="I274" s="181"/>
      <c r="J274" s="181"/>
      <c r="K274" s="4"/>
      <c r="M274" s="59" t="str">
        <f>IFERROR(__xludf.DUMMYFUNCTION("""COMPUTED_VALUE"""),"EIG Metal Engravers")</f>
        <v>EIG Metal Engravers</v>
      </c>
      <c r="N274" s="4">
        <f>IFERROR(__xludf.DUMMYFUNCTION("""COMPUTED_VALUE"""),4.75)</f>
        <v>4.75</v>
      </c>
      <c r="O274" s="60">
        <f>IFERROR(__xludf.DUMMYFUNCTION("""COMPUTED_VALUE"""),45412.0)</f>
        <v>45412</v>
      </c>
      <c r="R274" s="4"/>
    </row>
    <row r="275">
      <c r="A275" s="226"/>
      <c r="B275" s="188"/>
      <c r="C275" s="278"/>
      <c r="E275" s="181"/>
      <c r="F275" s="181"/>
      <c r="G275" s="4"/>
      <c r="I275" s="181"/>
      <c r="J275" s="181"/>
      <c r="K275" s="4"/>
      <c r="M275" s="59" t="str">
        <f>IFERROR(__xludf.DUMMYFUNCTION("""COMPUTED_VALUE"""),"Alpha-Cored Technology Systems, Inc.")</f>
        <v>Alpha-Cored Technology Systems, Inc.</v>
      </c>
      <c r="N275" s="4">
        <f>IFERROR(__xludf.DUMMYFUNCTION("""COMPUTED_VALUE"""),5.0)</f>
        <v>5</v>
      </c>
      <c r="O275" s="60">
        <f>IFERROR(__xludf.DUMMYFUNCTION("""COMPUTED_VALUE"""),45268.0)</f>
        <v>45268</v>
      </c>
      <c r="R275" s="4"/>
    </row>
    <row r="276">
      <c r="A276" s="226"/>
      <c r="B276" s="188"/>
      <c r="C276" s="278"/>
      <c r="E276" s="181"/>
      <c r="F276" s="181"/>
      <c r="G276" s="4"/>
      <c r="I276" s="181"/>
      <c r="J276" s="181"/>
      <c r="K276" s="4"/>
      <c r="M276" s="59" t="str">
        <f>IFERROR(__xludf.DUMMYFUNCTION("""COMPUTED_VALUE"""),"Tropical Palms Fashion House, Inc.")</f>
        <v>Tropical Palms Fashion House, Inc.</v>
      </c>
      <c r="N276" s="4">
        <f>IFERROR(__xludf.DUMMYFUNCTION("""COMPUTED_VALUE"""),4.5)</f>
        <v>4.5</v>
      </c>
      <c r="O276" s="60">
        <f>IFERROR(__xludf.DUMMYFUNCTION("""COMPUTED_VALUE"""),45415.0)</f>
        <v>45415</v>
      </c>
      <c r="R276" s="4"/>
    </row>
    <row r="277">
      <c r="A277" s="226"/>
      <c r="B277" s="188"/>
      <c r="C277" s="278"/>
      <c r="E277" s="181"/>
      <c r="F277" s="181"/>
      <c r="G277" s="4"/>
      <c r="I277" s="181"/>
      <c r="J277" s="181"/>
      <c r="K277" s="4"/>
      <c r="M277" s="59" t="str">
        <f>IFERROR(__xludf.DUMMYFUNCTION("""COMPUTED_VALUE"""),"Tropical Palms Fashion House, Inc.")</f>
        <v>Tropical Palms Fashion House, Inc.</v>
      </c>
      <c r="N277" s="4">
        <f>IFERROR(__xludf.DUMMYFUNCTION("""COMPUTED_VALUE"""),4.75)</f>
        <v>4.75</v>
      </c>
      <c r="O277" s="60">
        <f>IFERROR(__xludf.DUMMYFUNCTION("""COMPUTED_VALUE"""),45407.0)</f>
        <v>45407</v>
      </c>
      <c r="R277" s="4"/>
    </row>
    <row r="278">
      <c r="A278" s="226"/>
      <c r="B278" s="188"/>
      <c r="C278" s="278"/>
      <c r="E278" s="181"/>
      <c r="F278" s="181"/>
      <c r="G278" s="4"/>
      <c r="I278" s="181"/>
      <c r="J278" s="181"/>
      <c r="K278" s="4"/>
      <c r="M278" s="59" t="str">
        <f>IFERROR(__xludf.DUMMYFUNCTION("""COMPUTED_VALUE"""),"Leonard Prints Inc.")</f>
        <v>Leonard Prints Inc.</v>
      </c>
      <c r="N278" s="4">
        <f>IFERROR(__xludf.DUMMYFUNCTION("""COMPUTED_VALUE"""),4.833333333333333)</f>
        <v>4.833333333</v>
      </c>
      <c r="O278" s="60">
        <f>IFERROR(__xludf.DUMMYFUNCTION("""COMPUTED_VALUE"""),45110.0)</f>
        <v>45110</v>
      </c>
      <c r="R278" s="4"/>
    </row>
    <row r="279">
      <c r="A279" s="226"/>
      <c r="B279" s="188"/>
      <c r="C279" s="278"/>
      <c r="E279" s="181"/>
      <c r="F279" s="181"/>
      <c r="G279" s="4"/>
      <c r="I279" s="181"/>
      <c r="J279" s="181"/>
      <c r="K279" s="4"/>
      <c r="M279" s="59" t="str">
        <f>IFERROR(__xludf.DUMMYFUNCTION("""COMPUTED_VALUE"""),"Alpha-Cored Technology Systems, Inc.")</f>
        <v>Alpha-Cored Technology Systems, Inc.</v>
      </c>
      <c r="N279" s="4">
        <f>IFERROR(__xludf.DUMMYFUNCTION("""COMPUTED_VALUE"""),5.0)</f>
        <v>5</v>
      </c>
      <c r="O279" s="60">
        <f>IFERROR(__xludf.DUMMYFUNCTION("""COMPUTED_VALUE"""),45366.0)</f>
        <v>45366</v>
      </c>
      <c r="R279" s="4"/>
    </row>
    <row r="280">
      <c r="A280" s="226"/>
      <c r="B280" s="188"/>
      <c r="C280" s="278"/>
      <c r="E280" s="181"/>
      <c r="F280" s="181"/>
      <c r="G280" s="4"/>
      <c r="I280" s="181"/>
      <c r="J280" s="181"/>
      <c r="K280" s="4"/>
      <c r="M280" s="59" t="str">
        <f>IFERROR(__xludf.DUMMYFUNCTION("""COMPUTED_VALUE"""),"Ahrcel's Gift Shop")</f>
        <v>Ahrcel's Gift Shop</v>
      </c>
      <c r="N280" s="4">
        <f>IFERROR(__xludf.DUMMYFUNCTION("""COMPUTED_VALUE"""),4.836111111111111)</f>
        <v>4.836111111</v>
      </c>
      <c r="O280" s="60">
        <f>IFERROR(__xludf.DUMMYFUNCTION("""COMPUTED_VALUE"""),45471.0)</f>
        <v>45471</v>
      </c>
      <c r="R280" s="4"/>
    </row>
    <row r="281">
      <c r="A281" s="226"/>
      <c r="B281" s="188"/>
      <c r="C281" s="278"/>
      <c r="E281" s="181"/>
      <c r="F281" s="181"/>
      <c r="G281" s="4"/>
      <c r="I281" s="181"/>
      <c r="J281" s="181"/>
      <c r="K281" s="4"/>
      <c r="M281" s="59" t="str">
        <f>IFERROR(__xludf.DUMMYFUNCTION("""COMPUTED_VALUE"""),"Paper Tree Marketing Group, Inc.")</f>
        <v>Paper Tree Marketing Group, Inc.</v>
      </c>
      <c r="N281" s="4">
        <f>IFERROR(__xludf.DUMMYFUNCTION("""COMPUTED_VALUE"""),4.8)</f>
        <v>4.8</v>
      </c>
      <c r="O281" s="60">
        <f>IFERROR(__xludf.DUMMYFUNCTION("""COMPUTED_VALUE"""),45434.0)</f>
        <v>45434</v>
      </c>
      <c r="R281" s="4"/>
    </row>
    <row r="282">
      <c r="A282" s="226"/>
      <c r="B282" s="188"/>
      <c r="C282" s="278"/>
      <c r="E282" s="181"/>
      <c r="F282" s="181"/>
      <c r="G282" s="4"/>
      <c r="I282" s="181"/>
      <c r="J282" s="181"/>
      <c r="K282" s="4"/>
      <c r="R282" s="4"/>
    </row>
    <row r="283">
      <c r="A283" s="226"/>
      <c r="B283" s="188"/>
      <c r="C283" s="278"/>
      <c r="E283" s="181"/>
      <c r="F283" s="181"/>
      <c r="G283" s="4"/>
      <c r="I283" s="181"/>
      <c r="J283" s="181"/>
      <c r="K283" s="4"/>
      <c r="R283" s="4"/>
    </row>
    <row r="284">
      <c r="A284" s="226"/>
      <c r="B284" s="188"/>
      <c r="C284" s="278"/>
      <c r="E284" s="181"/>
      <c r="F284" s="181"/>
      <c r="G284" s="4"/>
      <c r="I284" s="181"/>
      <c r="J284" s="181"/>
      <c r="K284" s="4"/>
      <c r="R284" s="4"/>
    </row>
    <row r="285">
      <c r="A285" s="226"/>
      <c r="B285" s="188"/>
      <c r="C285" s="278"/>
      <c r="E285" s="181"/>
      <c r="F285" s="181"/>
      <c r="G285" s="4"/>
      <c r="I285" s="181"/>
      <c r="J285" s="181"/>
      <c r="K285" s="4"/>
      <c r="R285" s="4"/>
    </row>
    <row r="286">
      <c r="A286" s="226"/>
      <c r="B286" s="188"/>
      <c r="C286" s="278"/>
      <c r="E286" s="181"/>
      <c r="F286" s="181"/>
      <c r="G286" s="4"/>
      <c r="I286" s="181"/>
      <c r="J286" s="181"/>
      <c r="K286" s="4"/>
      <c r="R286" s="4"/>
    </row>
    <row r="287">
      <c r="A287" s="226"/>
      <c r="B287" s="188"/>
      <c r="C287" s="278"/>
      <c r="E287" s="181"/>
      <c r="F287" s="181"/>
      <c r="G287" s="4"/>
      <c r="I287" s="181"/>
      <c r="J287" s="181"/>
      <c r="K287" s="4"/>
      <c r="R287" s="4"/>
    </row>
    <row r="288">
      <c r="A288" s="226"/>
      <c r="B288" s="188"/>
      <c r="C288" s="278"/>
      <c r="E288" s="181"/>
      <c r="F288" s="181"/>
      <c r="G288" s="4"/>
      <c r="I288" s="181"/>
      <c r="J288" s="181"/>
      <c r="K288" s="4"/>
      <c r="R288" s="4"/>
    </row>
    <row r="289">
      <c r="A289" s="226"/>
      <c r="B289" s="188"/>
      <c r="C289" s="278"/>
      <c r="E289" s="181"/>
      <c r="F289" s="181"/>
      <c r="G289" s="4"/>
      <c r="I289" s="181"/>
      <c r="J289" s="181"/>
      <c r="K289" s="4"/>
      <c r="R289" s="4"/>
    </row>
    <row r="290">
      <c r="A290" s="226"/>
      <c r="B290" s="188"/>
      <c r="C290" s="278"/>
      <c r="E290" s="181"/>
      <c r="F290" s="181"/>
      <c r="G290" s="4"/>
      <c r="I290" s="181"/>
      <c r="J290" s="181"/>
      <c r="K290" s="4"/>
      <c r="R290" s="4"/>
    </row>
    <row r="291">
      <c r="A291" s="226"/>
      <c r="B291" s="188"/>
      <c r="C291" s="278"/>
      <c r="E291" s="181"/>
      <c r="F291" s="181"/>
      <c r="G291" s="4"/>
      <c r="I291" s="181"/>
      <c r="J291" s="181"/>
      <c r="K291" s="4"/>
      <c r="R291" s="4"/>
    </row>
    <row r="292">
      <c r="A292" s="226"/>
      <c r="B292" s="188"/>
      <c r="C292" s="278"/>
      <c r="E292" s="181"/>
      <c r="F292" s="181"/>
      <c r="G292" s="4"/>
      <c r="I292" s="181"/>
      <c r="J292" s="181"/>
      <c r="K292" s="4"/>
      <c r="R292" s="4"/>
    </row>
    <row r="293">
      <c r="A293" s="226"/>
      <c r="B293" s="188"/>
      <c r="C293" s="278"/>
      <c r="E293" s="181"/>
      <c r="F293" s="181"/>
      <c r="G293" s="4"/>
      <c r="I293" s="181"/>
      <c r="J293" s="181"/>
      <c r="K293" s="4"/>
      <c r="R293" s="4"/>
    </row>
    <row r="294">
      <c r="A294" s="226"/>
      <c r="B294" s="188"/>
      <c r="C294" s="278"/>
      <c r="E294" s="181"/>
      <c r="F294" s="181"/>
      <c r="G294" s="4"/>
      <c r="I294" s="181"/>
      <c r="J294" s="181"/>
      <c r="K294" s="4"/>
      <c r="R294" s="4"/>
    </row>
    <row r="295">
      <c r="A295" s="226"/>
      <c r="B295" s="188"/>
      <c r="C295" s="278"/>
      <c r="E295" s="181"/>
      <c r="F295" s="181"/>
      <c r="G295" s="4"/>
      <c r="I295" s="181"/>
      <c r="J295" s="181"/>
      <c r="K295" s="4"/>
      <c r="R295" s="4"/>
    </row>
    <row r="296">
      <c r="A296" s="226"/>
      <c r="B296" s="188"/>
      <c r="C296" s="278"/>
      <c r="E296" s="181"/>
      <c r="F296" s="181"/>
      <c r="G296" s="4"/>
      <c r="I296" s="181"/>
      <c r="J296" s="181"/>
      <c r="K296" s="4"/>
      <c r="R296" s="4"/>
    </row>
    <row r="297">
      <c r="A297" s="226"/>
      <c r="B297" s="188"/>
      <c r="C297" s="278"/>
      <c r="E297" s="181"/>
      <c r="F297" s="181"/>
      <c r="G297" s="4"/>
      <c r="I297" s="181"/>
      <c r="J297" s="181"/>
      <c r="K297" s="4"/>
      <c r="R297" s="4"/>
    </row>
    <row r="298">
      <c r="A298" s="226"/>
      <c r="B298" s="188"/>
      <c r="C298" s="278"/>
      <c r="E298" s="181"/>
      <c r="F298" s="181"/>
      <c r="G298" s="4"/>
      <c r="I298" s="181"/>
      <c r="J298" s="181"/>
      <c r="K298" s="4"/>
      <c r="R298" s="4"/>
    </row>
    <row r="299">
      <c r="A299" s="226"/>
      <c r="B299" s="188"/>
      <c r="C299" s="278"/>
      <c r="E299" s="181"/>
      <c r="F299" s="181"/>
      <c r="G299" s="4"/>
      <c r="I299" s="181"/>
      <c r="J299" s="181"/>
      <c r="K299" s="4"/>
      <c r="R299" s="4"/>
    </row>
    <row r="300">
      <c r="A300" s="226"/>
      <c r="B300" s="188"/>
      <c r="C300" s="278"/>
      <c r="E300" s="181"/>
      <c r="F300" s="181"/>
      <c r="G300" s="4"/>
      <c r="I300" s="181"/>
      <c r="J300" s="181"/>
      <c r="K300" s="4"/>
      <c r="R300" s="4"/>
    </row>
    <row r="301">
      <c r="A301" s="226"/>
      <c r="B301" s="188"/>
      <c r="C301" s="278"/>
      <c r="E301" s="181"/>
      <c r="F301" s="181"/>
      <c r="G301" s="4"/>
      <c r="I301" s="181"/>
      <c r="J301" s="181"/>
      <c r="K301" s="4"/>
      <c r="R301" s="4"/>
    </row>
    <row r="302">
      <c r="A302" s="226"/>
      <c r="B302" s="188"/>
      <c r="C302" s="278"/>
      <c r="E302" s="181"/>
      <c r="F302" s="181"/>
      <c r="G302" s="4"/>
      <c r="I302" s="181"/>
      <c r="J302" s="181"/>
      <c r="K302" s="4"/>
      <c r="R302" s="4"/>
    </row>
    <row r="303">
      <c r="A303" s="226"/>
      <c r="B303" s="188"/>
      <c r="C303" s="278"/>
      <c r="E303" s="181"/>
      <c r="F303" s="181"/>
      <c r="G303" s="4"/>
      <c r="I303" s="181"/>
      <c r="J303" s="181"/>
      <c r="K303" s="4"/>
      <c r="R303" s="4"/>
    </row>
    <row r="304">
      <c r="A304" s="226"/>
      <c r="B304" s="188"/>
      <c r="C304" s="278"/>
      <c r="E304" s="181"/>
      <c r="F304" s="181"/>
      <c r="G304" s="4"/>
      <c r="I304" s="181"/>
      <c r="J304" s="181"/>
      <c r="K304" s="4"/>
      <c r="R304" s="4"/>
    </row>
    <row r="305">
      <c r="A305" s="226"/>
      <c r="B305" s="188"/>
      <c r="C305" s="278"/>
      <c r="E305" s="181"/>
      <c r="F305" s="181"/>
      <c r="G305" s="4"/>
      <c r="I305" s="181"/>
      <c r="J305" s="181"/>
      <c r="K305" s="4"/>
      <c r="R305" s="4"/>
    </row>
    <row r="306">
      <c r="A306" s="226"/>
      <c r="B306" s="188"/>
      <c r="C306" s="278"/>
      <c r="E306" s="181"/>
      <c r="F306" s="181"/>
      <c r="G306" s="4"/>
      <c r="I306" s="190"/>
      <c r="J306" s="190"/>
      <c r="K306" s="4"/>
      <c r="R306" s="4"/>
    </row>
    <row r="307">
      <c r="A307" s="226"/>
      <c r="B307" s="188"/>
      <c r="C307" s="278"/>
      <c r="E307" s="181"/>
      <c r="F307" s="181"/>
      <c r="G307" s="4"/>
      <c r="I307" s="190"/>
      <c r="J307" s="190"/>
      <c r="K307" s="4"/>
      <c r="R307" s="4"/>
    </row>
    <row r="308">
      <c r="A308" s="226"/>
      <c r="B308" s="188"/>
      <c r="C308" s="278"/>
      <c r="E308" s="181"/>
      <c r="F308" s="181"/>
      <c r="G308" s="4"/>
      <c r="I308" s="190"/>
      <c r="J308" s="190"/>
      <c r="K308" s="4"/>
      <c r="R308" s="4"/>
    </row>
    <row r="309">
      <c r="A309" s="226"/>
      <c r="B309" s="188"/>
      <c r="C309" s="278"/>
      <c r="E309" s="181"/>
      <c r="F309" s="181"/>
      <c r="G309" s="4"/>
      <c r="I309" s="190"/>
      <c r="J309" s="190"/>
      <c r="K309" s="4"/>
      <c r="R309" s="4"/>
    </row>
    <row r="310">
      <c r="A310" s="226"/>
      <c r="B310" s="188"/>
      <c r="C310" s="278"/>
      <c r="E310" s="181"/>
      <c r="F310" s="181"/>
      <c r="G310" s="4"/>
      <c r="I310" s="190"/>
      <c r="J310" s="190"/>
      <c r="K310" s="4"/>
      <c r="R310" s="4"/>
    </row>
    <row r="311">
      <c r="A311" s="226"/>
      <c r="B311" s="188"/>
      <c r="C311" s="278"/>
      <c r="E311" s="181"/>
      <c r="F311" s="181"/>
      <c r="G311" s="4"/>
      <c r="I311" s="190"/>
      <c r="J311" s="190"/>
      <c r="K311" s="4"/>
      <c r="R311" s="4"/>
    </row>
    <row r="312">
      <c r="A312" s="226"/>
      <c r="B312" s="188"/>
      <c r="C312" s="278"/>
      <c r="E312" s="181"/>
      <c r="F312" s="181"/>
      <c r="G312" s="4"/>
      <c r="I312" s="190"/>
      <c r="J312" s="190"/>
      <c r="K312" s="4"/>
      <c r="R312" s="4"/>
    </row>
    <row r="313">
      <c r="A313" s="226"/>
      <c r="B313" s="188"/>
      <c r="C313" s="278"/>
      <c r="E313" s="181"/>
      <c r="F313" s="181"/>
      <c r="G313" s="4"/>
      <c r="I313" s="190"/>
      <c r="J313" s="190"/>
      <c r="K313" s="4"/>
      <c r="R313" s="4"/>
    </row>
    <row r="314">
      <c r="A314" s="226"/>
      <c r="B314" s="188"/>
      <c r="C314" s="278"/>
      <c r="E314" s="181"/>
      <c r="F314" s="181"/>
      <c r="G314" s="4"/>
      <c r="I314" s="190"/>
      <c r="J314" s="190"/>
      <c r="K314" s="4"/>
      <c r="R314" s="4"/>
    </row>
    <row r="315">
      <c r="A315" s="226"/>
      <c r="B315" s="188"/>
      <c r="C315" s="278"/>
      <c r="E315" s="181"/>
      <c r="F315" s="181"/>
      <c r="G315" s="4"/>
      <c r="I315" s="190"/>
      <c r="J315" s="190"/>
      <c r="K315" s="4"/>
      <c r="R315" s="4"/>
    </row>
    <row r="316">
      <c r="A316" s="226"/>
      <c r="B316" s="188"/>
      <c r="C316" s="278"/>
      <c r="E316" s="181"/>
      <c r="F316" s="181"/>
      <c r="G316" s="4"/>
      <c r="I316" s="190"/>
      <c r="J316" s="190"/>
      <c r="K316" s="4"/>
      <c r="R316" s="4"/>
    </row>
    <row r="317">
      <c r="A317" s="226"/>
      <c r="B317" s="188"/>
      <c r="C317" s="278"/>
      <c r="E317" s="181"/>
      <c r="F317" s="181"/>
      <c r="G317" s="4"/>
      <c r="I317" s="190"/>
      <c r="J317" s="190"/>
      <c r="K317" s="4"/>
      <c r="R317" s="4"/>
    </row>
    <row r="318">
      <c r="A318" s="226"/>
      <c r="B318" s="188"/>
      <c r="C318" s="278"/>
      <c r="E318" s="181"/>
      <c r="F318" s="181"/>
      <c r="G318" s="4"/>
      <c r="I318" s="190"/>
      <c r="J318" s="190"/>
      <c r="K318" s="4"/>
      <c r="R318" s="4"/>
    </row>
    <row r="319">
      <c r="A319" s="226"/>
      <c r="B319" s="188"/>
      <c r="C319" s="278"/>
      <c r="E319" s="181"/>
      <c r="F319" s="181"/>
      <c r="G319" s="4"/>
      <c r="I319" s="190"/>
      <c r="J319" s="190"/>
      <c r="K319" s="4"/>
      <c r="R319" s="4"/>
    </row>
    <row r="320">
      <c r="A320" s="226"/>
      <c r="B320" s="188"/>
      <c r="C320" s="278"/>
      <c r="E320" s="181"/>
      <c r="F320" s="181"/>
      <c r="G320" s="4"/>
      <c r="I320" s="190"/>
      <c r="J320" s="190"/>
      <c r="K320" s="4"/>
      <c r="R320" s="4"/>
    </row>
    <row r="321">
      <c r="A321" s="226"/>
      <c r="B321" s="188"/>
      <c r="C321" s="278"/>
      <c r="E321" s="181"/>
      <c r="F321" s="181"/>
      <c r="G321" s="4"/>
      <c r="I321" s="190"/>
      <c r="J321" s="190"/>
      <c r="K321" s="4"/>
      <c r="R321" s="4"/>
    </row>
    <row r="322">
      <c r="A322" s="226"/>
      <c r="B322" s="188"/>
      <c r="C322" s="278"/>
      <c r="E322" s="181"/>
      <c r="F322" s="181"/>
      <c r="G322" s="4"/>
      <c r="I322" s="190"/>
      <c r="J322" s="190"/>
      <c r="K322" s="4"/>
      <c r="R322" s="4"/>
    </row>
    <row r="323">
      <c r="A323" s="226"/>
      <c r="B323" s="188"/>
      <c r="C323" s="278"/>
      <c r="E323" s="181"/>
      <c r="F323" s="181"/>
      <c r="G323" s="4"/>
      <c r="I323" s="190"/>
      <c r="J323" s="190"/>
      <c r="K323" s="4"/>
      <c r="R323" s="4"/>
    </row>
    <row r="324">
      <c r="A324" s="226"/>
      <c r="B324" s="188"/>
      <c r="C324" s="278"/>
      <c r="E324" s="181"/>
      <c r="F324" s="181"/>
      <c r="G324" s="4"/>
      <c r="I324" s="190"/>
      <c r="J324" s="190"/>
      <c r="K324" s="4"/>
      <c r="R324" s="4"/>
    </row>
    <row r="325">
      <c r="A325" s="226"/>
      <c r="B325" s="188"/>
      <c r="C325" s="278"/>
      <c r="E325" s="181"/>
      <c r="F325" s="181"/>
      <c r="G325" s="4"/>
      <c r="I325" s="190"/>
      <c r="J325" s="190"/>
      <c r="K325" s="4"/>
      <c r="R325" s="4"/>
    </row>
    <row r="326">
      <c r="A326" s="226"/>
      <c r="B326" s="188"/>
      <c r="C326" s="278"/>
      <c r="E326" s="181"/>
      <c r="F326" s="181"/>
      <c r="G326" s="4"/>
      <c r="I326" s="190"/>
      <c r="J326" s="190"/>
      <c r="K326" s="4"/>
      <c r="R326" s="4"/>
    </row>
    <row r="327">
      <c r="A327" s="226"/>
      <c r="B327" s="188"/>
      <c r="C327" s="278"/>
      <c r="E327" s="181"/>
      <c r="F327" s="181"/>
      <c r="G327" s="4"/>
      <c r="I327" s="190"/>
      <c r="J327" s="190"/>
      <c r="K327" s="4"/>
      <c r="R327" s="4"/>
    </row>
    <row r="328">
      <c r="A328" s="226"/>
      <c r="B328" s="188"/>
      <c r="C328" s="278"/>
      <c r="E328" s="181"/>
      <c r="F328" s="181"/>
      <c r="G328" s="4"/>
      <c r="I328" s="190"/>
      <c r="J328" s="190"/>
      <c r="K328" s="4"/>
      <c r="R328" s="4"/>
    </row>
    <row r="329">
      <c r="A329" s="226"/>
      <c r="B329" s="188"/>
      <c r="C329" s="278"/>
      <c r="E329" s="181"/>
      <c r="F329" s="181"/>
      <c r="G329" s="4"/>
      <c r="I329" s="190"/>
      <c r="J329" s="190"/>
      <c r="K329" s="4"/>
      <c r="R329" s="4"/>
    </row>
    <row r="330">
      <c r="A330" s="226"/>
      <c r="B330" s="188"/>
      <c r="C330" s="278"/>
      <c r="E330" s="181"/>
      <c r="F330" s="181"/>
      <c r="G330" s="4"/>
      <c r="I330" s="190"/>
      <c r="J330" s="190"/>
      <c r="K330" s="4"/>
      <c r="R330" s="4"/>
    </row>
    <row r="331">
      <c r="A331" s="226"/>
      <c r="B331" s="188"/>
      <c r="C331" s="278"/>
      <c r="E331" s="181"/>
      <c r="F331" s="181"/>
      <c r="G331" s="4"/>
      <c r="I331" s="190"/>
      <c r="J331" s="190"/>
      <c r="K331" s="4"/>
      <c r="R331" s="4"/>
    </row>
    <row r="332">
      <c r="A332" s="226"/>
      <c r="B332" s="188"/>
      <c r="C332" s="278"/>
      <c r="E332" s="181"/>
      <c r="F332" s="181"/>
      <c r="G332" s="4"/>
      <c r="I332" s="190"/>
      <c r="J332" s="190"/>
      <c r="K332" s="4"/>
      <c r="R332" s="4"/>
    </row>
    <row r="333">
      <c r="A333" s="226"/>
      <c r="B333" s="188"/>
      <c r="C333" s="278"/>
      <c r="E333" s="181"/>
      <c r="F333" s="181"/>
      <c r="G333" s="4"/>
      <c r="I333" s="190"/>
      <c r="J333" s="190"/>
      <c r="K333" s="4"/>
      <c r="R333" s="4"/>
    </row>
    <row r="334">
      <c r="A334" s="226"/>
      <c r="B334" s="188"/>
      <c r="C334" s="278"/>
      <c r="E334" s="181"/>
      <c r="F334" s="181"/>
      <c r="G334" s="4"/>
      <c r="I334" s="190"/>
      <c r="J334" s="190"/>
      <c r="K334" s="4"/>
      <c r="R334" s="4"/>
    </row>
    <row r="335">
      <c r="A335" s="226"/>
      <c r="B335" s="188"/>
      <c r="C335" s="278"/>
      <c r="E335" s="181"/>
      <c r="F335" s="181"/>
      <c r="G335" s="4"/>
      <c r="I335" s="190"/>
      <c r="J335" s="190"/>
      <c r="K335" s="4"/>
      <c r="R335" s="4"/>
    </row>
    <row r="336">
      <c r="A336" s="226"/>
      <c r="B336" s="188"/>
      <c r="C336" s="278"/>
      <c r="E336" s="181"/>
      <c r="F336" s="181"/>
      <c r="G336" s="4"/>
      <c r="I336" s="190"/>
      <c r="J336" s="190"/>
      <c r="K336" s="4"/>
      <c r="R336" s="4"/>
    </row>
    <row r="337">
      <c r="A337" s="226"/>
      <c r="B337" s="188"/>
      <c r="C337" s="278"/>
      <c r="E337" s="181"/>
      <c r="F337" s="181"/>
      <c r="G337" s="4"/>
      <c r="I337" s="190"/>
      <c r="J337" s="190"/>
      <c r="K337" s="4"/>
      <c r="R337" s="4"/>
    </row>
    <row r="338">
      <c r="A338" s="226"/>
      <c r="B338" s="188"/>
      <c r="C338" s="278"/>
      <c r="E338" s="181"/>
      <c r="F338" s="181"/>
      <c r="G338" s="4"/>
      <c r="I338" s="190"/>
      <c r="J338" s="190"/>
      <c r="K338" s="4"/>
      <c r="R338" s="4"/>
    </row>
    <row r="339">
      <c r="A339" s="226"/>
      <c r="B339" s="188"/>
      <c r="C339" s="278"/>
      <c r="E339" s="181"/>
      <c r="F339" s="181"/>
      <c r="G339" s="4"/>
      <c r="I339" s="190"/>
      <c r="J339" s="190"/>
      <c r="K339" s="4"/>
      <c r="R339" s="4"/>
    </row>
    <row r="340">
      <c r="A340" s="226"/>
      <c r="B340" s="188"/>
      <c r="C340" s="278"/>
      <c r="E340" s="181"/>
      <c r="F340" s="181"/>
      <c r="G340" s="4"/>
      <c r="I340" s="190"/>
      <c r="J340" s="190"/>
      <c r="K340" s="4"/>
      <c r="R340" s="4"/>
    </row>
    <row r="341">
      <c r="A341" s="226"/>
      <c r="B341" s="188"/>
      <c r="C341" s="278"/>
      <c r="E341" s="181"/>
      <c r="F341" s="181"/>
      <c r="G341" s="4"/>
      <c r="I341" s="190"/>
      <c r="J341" s="190"/>
      <c r="K341" s="4"/>
      <c r="R341" s="4"/>
    </row>
    <row r="342">
      <c r="A342" s="226"/>
      <c r="B342" s="188"/>
      <c r="C342" s="278"/>
      <c r="E342" s="181"/>
      <c r="F342" s="181"/>
      <c r="G342" s="4"/>
      <c r="I342" s="190"/>
      <c r="J342" s="190"/>
      <c r="K342" s="4"/>
      <c r="R342" s="4"/>
    </row>
    <row r="343">
      <c r="A343" s="226"/>
      <c r="B343" s="188"/>
      <c r="C343" s="278"/>
      <c r="E343" s="181"/>
      <c r="F343" s="181"/>
      <c r="G343" s="4"/>
      <c r="I343" s="190"/>
      <c r="J343" s="190"/>
      <c r="K343" s="4"/>
      <c r="R343" s="4"/>
    </row>
    <row r="344">
      <c r="A344" s="226"/>
      <c r="B344" s="188"/>
      <c r="C344" s="278"/>
      <c r="E344" s="181"/>
      <c r="F344" s="181"/>
      <c r="G344" s="4"/>
      <c r="I344" s="190"/>
      <c r="J344" s="190"/>
      <c r="K344" s="4"/>
      <c r="R344" s="4"/>
    </row>
    <row r="345">
      <c r="A345" s="226"/>
      <c r="B345" s="188"/>
      <c r="C345" s="278"/>
      <c r="E345" s="181"/>
      <c r="F345" s="181"/>
      <c r="G345" s="4"/>
      <c r="I345" s="190"/>
      <c r="J345" s="190"/>
      <c r="K345" s="4"/>
      <c r="R345" s="4"/>
    </row>
    <row r="346">
      <c r="A346" s="226"/>
      <c r="B346" s="188"/>
      <c r="C346" s="278"/>
      <c r="E346" s="181"/>
      <c r="F346" s="181"/>
      <c r="G346" s="4"/>
      <c r="I346" s="190"/>
      <c r="J346" s="190"/>
      <c r="K346" s="4"/>
      <c r="R346" s="4"/>
    </row>
    <row r="347">
      <c r="A347" s="226"/>
      <c r="B347" s="188"/>
      <c r="C347" s="278"/>
      <c r="E347" s="181"/>
      <c r="F347" s="181"/>
      <c r="G347" s="4"/>
      <c r="I347" s="190"/>
      <c r="J347" s="190"/>
      <c r="K347" s="4"/>
      <c r="R347" s="4"/>
    </row>
    <row r="348">
      <c r="A348" s="226"/>
      <c r="B348" s="188"/>
      <c r="C348" s="278"/>
      <c r="E348" s="181"/>
      <c r="F348" s="181"/>
      <c r="G348" s="4"/>
      <c r="I348" s="190"/>
      <c r="J348" s="190"/>
      <c r="K348" s="4"/>
      <c r="R348" s="4"/>
    </row>
    <row r="349">
      <c r="A349" s="226"/>
      <c r="B349" s="188"/>
      <c r="C349" s="278"/>
      <c r="E349" s="181"/>
      <c r="F349" s="181"/>
      <c r="G349" s="4"/>
      <c r="I349" s="190"/>
      <c r="J349" s="190"/>
      <c r="K349" s="4"/>
      <c r="R349" s="4"/>
    </row>
    <row r="350">
      <c r="A350" s="226"/>
      <c r="B350" s="188"/>
      <c r="C350" s="278"/>
      <c r="E350" s="181"/>
      <c r="F350" s="181"/>
      <c r="G350" s="4"/>
      <c r="I350" s="190"/>
      <c r="J350" s="190"/>
      <c r="K350" s="4"/>
      <c r="R350" s="4"/>
    </row>
    <row r="351">
      <c r="A351" s="226"/>
      <c r="B351" s="188"/>
      <c r="C351" s="278"/>
      <c r="E351" s="181"/>
      <c r="F351" s="181"/>
      <c r="G351" s="4"/>
      <c r="I351" s="190"/>
      <c r="J351" s="190"/>
      <c r="K351" s="4"/>
      <c r="R351" s="4"/>
    </row>
    <row r="352">
      <c r="A352" s="226"/>
      <c r="B352" s="188"/>
      <c r="C352" s="278"/>
      <c r="E352" s="181"/>
      <c r="F352" s="181"/>
      <c r="G352" s="4"/>
      <c r="I352" s="190"/>
      <c r="J352" s="190"/>
      <c r="K352" s="4"/>
      <c r="R352" s="4"/>
    </row>
    <row r="353">
      <c r="A353" s="226"/>
      <c r="B353" s="188"/>
      <c r="C353" s="278"/>
      <c r="E353" s="181"/>
      <c r="F353" s="181"/>
      <c r="G353" s="4"/>
      <c r="I353" s="190"/>
      <c r="J353" s="190"/>
      <c r="K353" s="4"/>
      <c r="R353" s="4"/>
    </row>
    <row r="354">
      <c r="A354" s="226"/>
      <c r="B354" s="188"/>
      <c r="C354" s="278"/>
      <c r="E354" s="181"/>
      <c r="F354" s="181"/>
      <c r="G354" s="4"/>
      <c r="I354" s="190"/>
      <c r="J354" s="190"/>
      <c r="K354" s="4"/>
      <c r="R354" s="4"/>
    </row>
    <row r="355">
      <c r="A355" s="226"/>
      <c r="B355" s="188"/>
      <c r="C355" s="278"/>
      <c r="E355" s="181"/>
      <c r="F355" s="181"/>
      <c r="G355" s="4"/>
      <c r="I355" s="190"/>
      <c r="J355" s="190"/>
      <c r="K355" s="4"/>
      <c r="R355" s="4"/>
    </row>
    <row r="356">
      <c r="A356" s="226"/>
      <c r="B356" s="188"/>
      <c r="C356" s="278"/>
      <c r="E356" s="181"/>
      <c r="F356" s="181"/>
      <c r="G356" s="4"/>
      <c r="I356" s="190"/>
      <c r="J356" s="190"/>
      <c r="K356" s="4"/>
      <c r="R356" s="4"/>
    </row>
    <row r="357">
      <c r="A357" s="226"/>
      <c r="B357" s="188"/>
      <c r="C357" s="278"/>
      <c r="E357" s="181"/>
      <c r="F357" s="181"/>
      <c r="G357" s="4"/>
      <c r="I357" s="190"/>
      <c r="J357" s="190"/>
      <c r="K357" s="4"/>
      <c r="R357" s="4"/>
    </row>
    <row r="358">
      <c r="A358" s="226"/>
      <c r="B358" s="188"/>
      <c r="C358" s="278"/>
      <c r="E358" s="181"/>
      <c r="F358" s="181"/>
      <c r="G358" s="4"/>
      <c r="I358" s="190"/>
      <c r="J358" s="190"/>
      <c r="K358" s="4"/>
      <c r="R358" s="4"/>
    </row>
    <row r="359">
      <c r="A359" s="226"/>
      <c r="B359" s="188"/>
      <c r="C359" s="278"/>
      <c r="E359" s="181"/>
      <c r="F359" s="181"/>
      <c r="G359" s="4"/>
      <c r="I359" s="190"/>
      <c r="J359" s="190"/>
      <c r="K359" s="4"/>
      <c r="R359" s="4"/>
    </row>
    <row r="360">
      <c r="A360" s="226"/>
      <c r="B360" s="188"/>
      <c r="C360" s="278"/>
      <c r="E360" s="181"/>
      <c r="F360" s="181"/>
      <c r="G360" s="4"/>
      <c r="I360" s="190"/>
      <c r="J360" s="190"/>
      <c r="K360" s="4"/>
      <c r="R360" s="4"/>
    </row>
    <row r="361">
      <c r="A361" s="226"/>
      <c r="B361" s="188"/>
      <c r="C361" s="278"/>
      <c r="E361" s="181"/>
      <c r="F361" s="181"/>
      <c r="G361" s="4"/>
      <c r="I361" s="190"/>
      <c r="J361" s="190"/>
      <c r="K361" s="4"/>
      <c r="R361" s="4"/>
    </row>
    <row r="362">
      <c r="A362" s="226"/>
      <c r="B362" s="188"/>
      <c r="C362" s="278"/>
      <c r="E362" s="181"/>
      <c r="F362" s="181"/>
      <c r="G362" s="4"/>
      <c r="I362" s="190"/>
      <c r="J362" s="190"/>
      <c r="K362" s="4"/>
      <c r="R362" s="4"/>
    </row>
    <row r="363">
      <c r="A363" s="226"/>
      <c r="B363" s="188"/>
      <c r="C363" s="278"/>
      <c r="E363" s="181"/>
      <c r="F363" s="181"/>
      <c r="G363" s="4"/>
      <c r="I363" s="190"/>
      <c r="J363" s="190"/>
      <c r="K363" s="4"/>
      <c r="R363" s="4"/>
    </row>
    <row r="364">
      <c r="A364" s="226"/>
      <c r="B364" s="188"/>
      <c r="C364" s="278"/>
      <c r="E364" s="181"/>
      <c r="F364" s="181"/>
      <c r="G364" s="4"/>
      <c r="I364" s="190"/>
      <c r="J364" s="190"/>
      <c r="K364" s="4"/>
      <c r="R364" s="4"/>
    </row>
    <row r="365">
      <c r="A365" s="226"/>
      <c r="B365" s="188"/>
      <c r="C365" s="278"/>
      <c r="E365" s="181"/>
      <c r="F365" s="181"/>
      <c r="G365" s="4"/>
      <c r="I365" s="190"/>
      <c r="J365" s="190"/>
      <c r="K365" s="4"/>
      <c r="R365" s="4"/>
    </row>
    <row r="366">
      <c r="A366" s="226"/>
      <c r="B366" s="188"/>
      <c r="C366" s="278"/>
      <c r="E366" s="181"/>
      <c r="F366" s="181"/>
      <c r="G366" s="4"/>
      <c r="I366" s="190"/>
      <c r="J366" s="190"/>
      <c r="K366" s="4"/>
      <c r="R366" s="4"/>
    </row>
    <row r="367">
      <c r="A367" s="226"/>
      <c r="B367" s="188"/>
      <c r="C367" s="278"/>
      <c r="E367" s="181"/>
      <c r="F367" s="181"/>
      <c r="G367" s="4"/>
      <c r="I367" s="190"/>
      <c r="J367" s="190"/>
      <c r="K367" s="4"/>
      <c r="R367" s="4"/>
    </row>
    <row r="368">
      <c r="A368" s="226"/>
      <c r="B368" s="188"/>
      <c r="C368" s="278"/>
      <c r="E368" s="181"/>
      <c r="F368" s="181"/>
      <c r="G368" s="4"/>
      <c r="I368" s="190"/>
      <c r="J368" s="190"/>
      <c r="K368" s="4"/>
      <c r="R368" s="4"/>
    </row>
    <row r="369">
      <c r="A369" s="226"/>
      <c r="B369" s="188"/>
      <c r="C369" s="278"/>
      <c r="E369" s="181"/>
      <c r="F369" s="181"/>
      <c r="G369" s="4"/>
      <c r="I369" s="190"/>
      <c r="J369" s="190"/>
      <c r="K369" s="4"/>
      <c r="R369" s="4"/>
    </row>
    <row r="370">
      <c r="A370" s="226"/>
      <c r="B370" s="188"/>
      <c r="C370" s="278"/>
      <c r="E370" s="181"/>
      <c r="F370" s="181"/>
      <c r="G370" s="4"/>
      <c r="I370" s="190"/>
      <c r="J370" s="190"/>
      <c r="K370" s="4"/>
      <c r="R370" s="4"/>
    </row>
    <row r="371">
      <c r="A371" s="226"/>
      <c r="B371" s="188"/>
      <c r="C371" s="278"/>
      <c r="E371" s="181"/>
      <c r="F371" s="181"/>
      <c r="G371" s="4"/>
      <c r="I371" s="190"/>
      <c r="J371" s="190"/>
      <c r="K371" s="4"/>
      <c r="R371" s="4"/>
    </row>
    <row r="372">
      <c r="A372" s="226"/>
      <c r="B372" s="188"/>
      <c r="C372" s="278"/>
      <c r="E372" s="181"/>
      <c r="F372" s="181"/>
      <c r="G372" s="4"/>
      <c r="I372" s="190"/>
      <c r="J372" s="190"/>
      <c r="K372" s="4"/>
      <c r="R372" s="4"/>
    </row>
    <row r="373">
      <c r="A373" s="226"/>
      <c r="B373" s="188"/>
      <c r="C373" s="278"/>
      <c r="E373" s="181"/>
      <c r="F373" s="181"/>
      <c r="G373" s="4"/>
      <c r="I373" s="190"/>
      <c r="J373" s="190"/>
      <c r="K373" s="4"/>
      <c r="R373" s="4"/>
    </row>
    <row r="374">
      <c r="A374" s="226"/>
      <c r="B374" s="188"/>
      <c r="C374" s="278"/>
      <c r="E374" s="181"/>
      <c r="F374" s="181"/>
      <c r="G374" s="4"/>
      <c r="I374" s="190"/>
      <c r="J374" s="190"/>
      <c r="K374" s="4"/>
      <c r="R374" s="4"/>
    </row>
    <row r="375">
      <c r="A375" s="226"/>
      <c r="B375" s="188"/>
      <c r="C375" s="278"/>
      <c r="E375" s="181"/>
      <c r="F375" s="181"/>
      <c r="G375" s="4"/>
      <c r="I375" s="190"/>
      <c r="J375" s="190"/>
      <c r="K375" s="4"/>
      <c r="R375" s="4"/>
    </row>
    <row r="376">
      <c r="A376" s="226"/>
      <c r="B376" s="188"/>
      <c r="C376" s="278"/>
      <c r="E376" s="181"/>
      <c r="F376" s="181"/>
      <c r="G376" s="4"/>
      <c r="I376" s="190"/>
      <c r="J376" s="190"/>
      <c r="K376" s="4"/>
      <c r="R376" s="4"/>
    </row>
    <row r="377">
      <c r="A377" s="226"/>
      <c r="B377" s="188"/>
      <c r="C377" s="278"/>
      <c r="E377" s="181"/>
      <c r="F377" s="181"/>
      <c r="G377" s="4"/>
      <c r="I377" s="190"/>
      <c r="J377" s="190"/>
      <c r="K377" s="4"/>
      <c r="R377" s="4"/>
    </row>
    <row r="378">
      <c r="A378" s="226"/>
      <c r="B378" s="188"/>
      <c r="C378" s="278"/>
      <c r="E378" s="181"/>
      <c r="F378" s="181"/>
      <c r="G378" s="4"/>
      <c r="I378" s="190"/>
      <c r="J378" s="190"/>
      <c r="K378" s="4"/>
      <c r="R378" s="4"/>
    </row>
    <row r="379">
      <c r="A379" s="226"/>
      <c r="B379" s="188"/>
      <c r="C379" s="278"/>
      <c r="E379" s="181"/>
      <c r="F379" s="181"/>
      <c r="G379" s="4"/>
      <c r="I379" s="190"/>
      <c r="J379" s="190"/>
      <c r="K379" s="4"/>
      <c r="R379" s="4"/>
    </row>
    <row r="380">
      <c r="A380" s="226"/>
      <c r="B380" s="188"/>
      <c r="C380" s="278"/>
      <c r="E380" s="181"/>
      <c r="F380" s="181"/>
      <c r="G380" s="4"/>
      <c r="I380" s="190"/>
      <c r="J380" s="190"/>
      <c r="K380" s="4"/>
      <c r="R380" s="4"/>
    </row>
    <row r="381">
      <c r="A381" s="226"/>
      <c r="B381" s="188"/>
      <c r="C381" s="278"/>
      <c r="E381" s="181"/>
      <c r="F381" s="181"/>
      <c r="G381" s="4"/>
      <c r="I381" s="190"/>
      <c r="J381" s="190"/>
      <c r="K381" s="4"/>
      <c r="R381" s="4"/>
    </row>
    <row r="382">
      <c r="A382" s="226"/>
      <c r="B382" s="188"/>
      <c r="C382" s="278"/>
      <c r="E382" s="181"/>
      <c r="F382" s="181"/>
      <c r="G382" s="4"/>
      <c r="I382" s="190"/>
      <c r="J382" s="190"/>
      <c r="K382" s="4"/>
      <c r="R382" s="4"/>
    </row>
    <row r="383">
      <c r="A383" s="226"/>
      <c r="B383" s="188"/>
      <c r="C383" s="278"/>
      <c r="E383" s="181"/>
      <c r="F383" s="181"/>
      <c r="G383" s="4"/>
      <c r="I383" s="190"/>
      <c r="J383" s="190"/>
      <c r="K383" s="4"/>
      <c r="R383" s="4"/>
    </row>
    <row r="384">
      <c r="A384" s="226"/>
      <c r="B384" s="188"/>
      <c r="C384" s="278"/>
      <c r="E384" s="181"/>
      <c r="F384" s="181"/>
      <c r="G384" s="4"/>
      <c r="I384" s="190"/>
      <c r="J384" s="190"/>
      <c r="K384" s="4"/>
      <c r="R384" s="4"/>
    </row>
    <row r="385">
      <c r="A385" s="226"/>
      <c r="B385" s="188"/>
      <c r="C385" s="278"/>
      <c r="E385" s="181"/>
      <c r="F385" s="181"/>
      <c r="G385" s="4"/>
      <c r="I385" s="190"/>
      <c r="J385" s="190"/>
      <c r="K385" s="4"/>
      <c r="R385" s="4"/>
    </row>
    <row r="386">
      <c r="A386" s="226"/>
      <c r="B386" s="188"/>
      <c r="C386" s="278"/>
      <c r="E386" s="181"/>
      <c r="F386" s="181"/>
      <c r="G386" s="4"/>
      <c r="I386" s="190"/>
      <c r="J386" s="190"/>
      <c r="K386" s="4"/>
      <c r="R386" s="4"/>
    </row>
    <row r="387">
      <c r="A387" s="226"/>
      <c r="B387" s="188"/>
      <c r="C387" s="278"/>
      <c r="E387" s="181"/>
      <c r="F387" s="181"/>
      <c r="G387" s="4"/>
      <c r="I387" s="190"/>
      <c r="J387" s="190"/>
      <c r="K387" s="4"/>
      <c r="R387" s="4"/>
    </row>
    <row r="388">
      <c r="A388" s="226"/>
      <c r="B388" s="188"/>
      <c r="C388" s="278"/>
      <c r="E388" s="181"/>
      <c r="F388" s="181"/>
      <c r="G388" s="4"/>
      <c r="I388" s="190"/>
      <c r="J388" s="190"/>
      <c r="K388" s="4"/>
      <c r="R388" s="4"/>
    </row>
    <row r="389">
      <c r="A389" s="226"/>
      <c r="B389" s="188"/>
      <c r="C389" s="278"/>
      <c r="E389" s="181"/>
      <c r="F389" s="181"/>
      <c r="G389" s="4"/>
      <c r="I389" s="190"/>
      <c r="J389" s="190"/>
      <c r="K389" s="4"/>
      <c r="R389" s="4"/>
    </row>
    <row r="390">
      <c r="A390" s="226"/>
      <c r="B390" s="188"/>
      <c r="C390" s="278"/>
      <c r="E390" s="181"/>
      <c r="F390" s="181"/>
      <c r="G390" s="4"/>
      <c r="I390" s="190"/>
      <c r="J390" s="190"/>
      <c r="K390" s="4"/>
      <c r="R390" s="4"/>
    </row>
    <row r="391">
      <c r="A391" s="226"/>
      <c r="B391" s="188"/>
      <c r="C391" s="278"/>
      <c r="E391" s="181"/>
      <c r="F391" s="181"/>
      <c r="G391" s="4"/>
      <c r="I391" s="190"/>
      <c r="J391" s="190"/>
      <c r="K391" s="4"/>
      <c r="R391" s="4"/>
    </row>
    <row r="392">
      <c r="A392" s="226"/>
      <c r="B392" s="188"/>
      <c r="C392" s="278"/>
      <c r="E392" s="181"/>
      <c r="F392" s="181"/>
      <c r="G392" s="4"/>
      <c r="I392" s="190"/>
      <c r="J392" s="190"/>
      <c r="K392" s="4"/>
      <c r="R392" s="4"/>
    </row>
    <row r="393">
      <c r="A393" s="226"/>
      <c r="B393" s="188"/>
      <c r="C393" s="278"/>
      <c r="E393" s="181"/>
      <c r="F393" s="181"/>
      <c r="G393" s="4"/>
      <c r="I393" s="190"/>
      <c r="J393" s="190"/>
      <c r="K393" s="4"/>
      <c r="R393" s="4"/>
    </row>
    <row r="394">
      <c r="A394" s="226"/>
      <c r="B394" s="188"/>
      <c r="C394" s="278"/>
      <c r="E394" s="181"/>
      <c r="F394" s="181"/>
      <c r="G394" s="4"/>
      <c r="I394" s="190"/>
      <c r="J394" s="190"/>
      <c r="K394" s="4"/>
      <c r="R394" s="4"/>
    </row>
    <row r="395">
      <c r="A395" s="226"/>
      <c r="B395" s="188"/>
      <c r="C395" s="278"/>
      <c r="E395" s="181"/>
      <c r="F395" s="181"/>
      <c r="G395" s="4"/>
      <c r="I395" s="190"/>
      <c r="J395" s="190"/>
      <c r="K395" s="4"/>
      <c r="R395" s="4"/>
    </row>
    <row r="396">
      <c r="A396" s="226"/>
      <c r="B396" s="188"/>
      <c r="C396" s="278"/>
      <c r="E396" s="181"/>
      <c r="F396" s="181"/>
      <c r="G396" s="4"/>
      <c r="I396" s="190"/>
      <c r="J396" s="190"/>
      <c r="K396" s="4"/>
      <c r="R396" s="4"/>
    </row>
    <row r="397">
      <c r="A397" s="226"/>
      <c r="B397" s="188"/>
      <c r="C397" s="278"/>
      <c r="E397" s="181"/>
      <c r="F397" s="181"/>
      <c r="G397" s="4"/>
      <c r="I397" s="190"/>
      <c r="J397" s="190"/>
      <c r="K397" s="4"/>
      <c r="R397" s="4"/>
    </row>
    <row r="398">
      <c r="A398" s="226"/>
      <c r="B398" s="188"/>
      <c r="C398" s="278"/>
      <c r="E398" s="181"/>
      <c r="F398" s="181"/>
      <c r="G398" s="4"/>
      <c r="I398" s="190"/>
      <c r="J398" s="190"/>
      <c r="K398" s="4"/>
      <c r="R398" s="4"/>
    </row>
    <row r="399">
      <c r="A399" s="226"/>
      <c r="B399" s="188"/>
      <c r="C399" s="278"/>
      <c r="E399" s="181"/>
      <c r="F399" s="181"/>
      <c r="G399" s="4"/>
      <c r="I399" s="190"/>
      <c r="J399" s="190"/>
      <c r="K399" s="4"/>
      <c r="R399" s="4"/>
    </row>
    <row r="400">
      <c r="A400" s="226"/>
      <c r="B400" s="188"/>
      <c r="C400" s="278"/>
      <c r="E400" s="181"/>
      <c r="F400" s="181"/>
      <c r="G400" s="4"/>
      <c r="I400" s="190"/>
      <c r="J400" s="190"/>
      <c r="K400" s="4"/>
      <c r="R400" s="4"/>
    </row>
    <row r="401">
      <c r="A401" s="226"/>
      <c r="B401" s="188"/>
      <c r="C401" s="278"/>
      <c r="E401" s="181"/>
      <c r="F401" s="181"/>
      <c r="G401" s="4"/>
      <c r="I401" s="190"/>
      <c r="J401" s="190"/>
      <c r="K401" s="4"/>
      <c r="R401" s="4"/>
    </row>
    <row r="402">
      <c r="A402" s="226"/>
      <c r="B402" s="188"/>
      <c r="C402" s="278"/>
      <c r="E402" s="181"/>
      <c r="F402" s="181"/>
      <c r="G402" s="4"/>
      <c r="I402" s="190"/>
      <c r="J402" s="190"/>
      <c r="K402" s="4"/>
      <c r="R402" s="4"/>
    </row>
    <row r="403">
      <c r="A403" s="226"/>
      <c r="B403" s="188"/>
      <c r="C403" s="278"/>
      <c r="E403" s="181"/>
      <c r="F403" s="181"/>
      <c r="G403" s="4"/>
      <c r="I403" s="190"/>
      <c r="J403" s="190"/>
      <c r="K403" s="4"/>
      <c r="R403" s="4"/>
    </row>
    <row r="404">
      <c r="A404" s="226"/>
      <c r="B404" s="188"/>
      <c r="C404" s="278"/>
      <c r="E404" s="181"/>
      <c r="F404" s="181"/>
      <c r="G404" s="4"/>
      <c r="I404" s="190"/>
      <c r="J404" s="190"/>
      <c r="K404" s="4"/>
      <c r="R404" s="4"/>
    </row>
    <row r="405">
      <c r="A405" s="226"/>
      <c r="B405" s="188"/>
      <c r="C405" s="278"/>
      <c r="E405" s="181"/>
      <c r="F405" s="181"/>
      <c r="G405" s="4"/>
      <c r="I405" s="190"/>
      <c r="J405" s="190"/>
      <c r="K405" s="4"/>
      <c r="R405" s="4"/>
    </row>
    <row r="406">
      <c r="A406" s="226"/>
      <c r="B406" s="188"/>
      <c r="C406" s="278"/>
      <c r="E406" s="181"/>
      <c r="F406" s="181"/>
      <c r="G406" s="4"/>
      <c r="I406" s="190"/>
      <c r="J406" s="190"/>
      <c r="K406" s="4"/>
      <c r="R406" s="4"/>
    </row>
    <row r="407">
      <c r="A407" s="226"/>
      <c r="B407" s="188"/>
      <c r="C407" s="278"/>
      <c r="E407" s="181"/>
      <c r="F407" s="181"/>
      <c r="G407" s="4"/>
      <c r="I407" s="190"/>
      <c r="J407" s="190"/>
      <c r="K407" s="4"/>
      <c r="R407" s="4"/>
    </row>
    <row r="408">
      <c r="A408" s="226"/>
      <c r="B408" s="188"/>
      <c r="C408" s="278"/>
      <c r="E408" s="181"/>
      <c r="F408" s="181"/>
      <c r="G408" s="4"/>
      <c r="I408" s="190"/>
      <c r="J408" s="190"/>
      <c r="K408" s="4"/>
      <c r="R408" s="4"/>
    </row>
    <row r="409">
      <c r="A409" s="226"/>
      <c r="B409" s="188"/>
      <c r="C409" s="278"/>
      <c r="E409" s="181"/>
      <c r="F409" s="181"/>
      <c r="G409" s="4"/>
      <c r="I409" s="190"/>
      <c r="J409" s="190"/>
      <c r="K409" s="4"/>
      <c r="R409" s="4"/>
    </row>
    <row r="410">
      <c r="A410" s="226"/>
      <c r="B410" s="188"/>
      <c r="C410" s="278"/>
      <c r="E410" s="181"/>
      <c r="F410" s="181"/>
      <c r="G410" s="4"/>
      <c r="I410" s="190"/>
      <c r="J410" s="190"/>
      <c r="K410" s="4"/>
      <c r="R410" s="4"/>
    </row>
    <row r="411">
      <c r="A411" s="226"/>
      <c r="B411" s="188"/>
      <c r="C411" s="278"/>
      <c r="E411" s="181"/>
      <c r="F411" s="181"/>
      <c r="G411" s="4"/>
      <c r="I411" s="190"/>
      <c r="J411" s="190"/>
      <c r="K411" s="4"/>
      <c r="R411" s="4"/>
    </row>
    <row r="412">
      <c r="A412" s="226"/>
      <c r="B412" s="188"/>
      <c r="C412" s="278"/>
      <c r="E412" s="181"/>
      <c r="F412" s="181"/>
      <c r="G412" s="4"/>
      <c r="I412" s="190"/>
      <c r="J412" s="190"/>
      <c r="K412" s="4"/>
      <c r="R412" s="4"/>
    </row>
    <row r="413">
      <c r="A413" s="226"/>
      <c r="B413" s="188"/>
      <c r="C413" s="278"/>
      <c r="E413" s="181"/>
      <c r="F413" s="181"/>
      <c r="G413" s="4"/>
      <c r="I413" s="190"/>
      <c r="J413" s="190"/>
      <c r="K413" s="4"/>
      <c r="R413" s="4"/>
    </row>
    <row r="414">
      <c r="A414" s="226"/>
      <c r="B414" s="188"/>
      <c r="C414" s="278"/>
      <c r="E414" s="181"/>
      <c r="F414" s="181"/>
      <c r="G414" s="4"/>
      <c r="I414" s="190"/>
      <c r="J414" s="190"/>
      <c r="K414" s="4"/>
      <c r="R414" s="4"/>
    </row>
    <row r="415">
      <c r="A415" s="226"/>
      <c r="B415" s="188"/>
      <c r="C415" s="278"/>
      <c r="E415" s="181"/>
      <c r="F415" s="181"/>
      <c r="G415" s="4"/>
      <c r="I415" s="190"/>
      <c r="J415" s="190"/>
      <c r="K415" s="4"/>
      <c r="R415" s="4"/>
    </row>
    <row r="416">
      <c r="A416" s="226"/>
      <c r="B416" s="188"/>
      <c r="C416" s="278"/>
      <c r="E416" s="181"/>
      <c r="F416" s="181"/>
      <c r="G416" s="4"/>
      <c r="I416" s="190"/>
      <c r="J416" s="190"/>
      <c r="K416" s="4"/>
      <c r="R416" s="4"/>
    </row>
    <row r="417">
      <c r="A417" s="226"/>
      <c r="B417" s="188"/>
      <c r="C417" s="278"/>
      <c r="E417" s="181"/>
      <c r="F417" s="181"/>
      <c r="G417" s="4"/>
      <c r="I417" s="190"/>
      <c r="J417" s="190"/>
      <c r="K417" s="4"/>
      <c r="R417" s="4"/>
    </row>
    <row r="418">
      <c r="A418" s="226"/>
      <c r="B418" s="188"/>
      <c r="C418" s="278"/>
      <c r="E418" s="181"/>
      <c r="F418" s="181"/>
      <c r="G418" s="4"/>
      <c r="I418" s="190"/>
      <c r="J418" s="190"/>
      <c r="K418" s="4"/>
      <c r="R418" s="4"/>
    </row>
    <row r="419">
      <c r="A419" s="226"/>
      <c r="B419" s="188"/>
      <c r="C419" s="278"/>
      <c r="E419" s="181"/>
      <c r="F419" s="181"/>
      <c r="G419" s="4"/>
      <c r="I419" s="190"/>
      <c r="J419" s="190"/>
      <c r="K419" s="4"/>
      <c r="R419" s="4"/>
    </row>
    <row r="420">
      <c r="A420" s="226"/>
      <c r="B420" s="188"/>
      <c r="C420" s="278"/>
      <c r="E420" s="181"/>
      <c r="F420" s="181"/>
      <c r="G420" s="4"/>
      <c r="I420" s="190"/>
      <c r="J420" s="190"/>
      <c r="K420" s="4"/>
      <c r="R420" s="4"/>
    </row>
    <row r="421">
      <c r="A421" s="226"/>
      <c r="B421" s="188"/>
      <c r="C421" s="278"/>
      <c r="E421" s="181"/>
      <c r="F421" s="181"/>
      <c r="G421" s="4"/>
      <c r="I421" s="190"/>
      <c r="J421" s="190"/>
      <c r="K421" s="4"/>
      <c r="R421" s="4"/>
    </row>
    <row r="422">
      <c r="A422" s="226"/>
      <c r="B422" s="188"/>
      <c r="C422" s="278"/>
      <c r="E422" s="181"/>
      <c r="F422" s="181"/>
      <c r="G422" s="4"/>
      <c r="I422" s="190"/>
      <c r="J422" s="190"/>
      <c r="K422" s="4"/>
      <c r="R422" s="4"/>
    </row>
    <row r="423">
      <c r="A423" s="226"/>
      <c r="B423" s="188"/>
      <c r="C423" s="278"/>
      <c r="E423" s="181"/>
      <c r="F423" s="181"/>
      <c r="G423" s="4"/>
      <c r="I423" s="190"/>
      <c r="J423" s="190"/>
      <c r="K423" s="4"/>
      <c r="R423" s="4"/>
    </row>
    <row r="424">
      <c r="A424" s="226"/>
      <c r="B424" s="188"/>
      <c r="C424" s="278"/>
      <c r="E424" s="181"/>
      <c r="F424" s="181"/>
      <c r="G424" s="4"/>
      <c r="I424" s="190"/>
      <c r="J424" s="190"/>
      <c r="K424" s="4"/>
      <c r="R424" s="4"/>
    </row>
    <row r="425">
      <c r="A425" s="226"/>
      <c r="B425" s="188"/>
      <c r="C425" s="278"/>
      <c r="E425" s="181"/>
      <c r="F425" s="181"/>
      <c r="G425" s="4"/>
      <c r="I425" s="190"/>
      <c r="J425" s="190"/>
      <c r="K425" s="4"/>
      <c r="R425" s="4"/>
    </row>
    <row r="426">
      <c r="A426" s="226"/>
      <c r="B426" s="188"/>
      <c r="C426" s="278"/>
      <c r="E426" s="181"/>
      <c r="F426" s="181"/>
      <c r="G426" s="4"/>
      <c r="I426" s="190"/>
      <c r="J426" s="190"/>
      <c r="K426" s="4"/>
      <c r="R426" s="4"/>
    </row>
    <row r="427">
      <c r="A427" s="226"/>
      <c r="B427" s="188"/>
      <c r="C427" s="278"/>
      <c r="E427" s="181"/>
      <c r="F427" s="181"/>
      <c r="G427" s="4"/>
      <c r="I427" s="190"/>
      <c r="J427" s="190"/>
      <c r="K427" s="4"/>
      <c r="R427" s="4"/>
    </row>
    <row r="428">
      <c r="A428" s="226"/>
      <c r="B428" s="188"/>
      <c r="C428" s="278"/>
      <c r="E428" s="181"/>
      <c r="F428" s="181"/>
      <c r="G428" s="4"/>
      <c r="I428" s="190"/>
      <c r="J428" s="190"/>
      <c r="K428" s="4"/>
      <c r="R428" s="4"/>
    </row>
    <row r="429">
      <c r="A429" s="226"/>
      <c r="B429" s="188"/>
      <c r="C429" s="278"/>
      <c r="E429" s="181"/>
      <c r="F429" s="181"/>
      <c r="G429" s="4"/>
      <c r="I429" s="190"/>
      <c r="J429" s="190"/>
      <c r="K429" s="4"/>
      <c r="R429" s="4"/>
    </row>
    <row r="430">
      <c r="A430" s="226"/>
      <c r="B430" s="188"/>
      <c r="C430" s="278"/>
      <c r="E430" s="181"/>
      <c r="F430" s="181"/>
      <c r="G430" s="4"/>
      <c r="I430" s="190"/>
      <c r="J430" s="190"/>
      <c r="K430" s="4"/>
      <c r="R430" s="4"/>
    </row>
    <row r="431">
      <c r="A431" s="226"/>
      <c r="B431" s="188"/>
      <c r="C431" s="278"/>
      <c r="E431" s="181"/>
      <c r="F431" s="181"/>
      <c r="G431" s="4"/>
      <c r="I431" s="190"/>
      <c r="J431" s="190"/>
      <c r="K431" s="4"/>
      <c r="R431" s="4"/>
    </row>
    <row r="432">
      <c r="A432" s="226"/>
      <c r="B432" s="188"/>
      <c r="C432" s="278"/>
      <c r="E432" s="181"/>
      <c r="F432" s="181"/>
      <c r="G432" s="4"/>
      <c r="I432" s="190"/>
      <c r="J432" s="190"/>
      <c r="K432" s="4"/>
      <c r="R432" s="4"/>
    </row>
    <row r="433">
      <c r="A433" s="226"/>
      <c r="B433" s="188"/>
      <c r="C433" s="278"/>
      <c r="E433" s="181"/>
      <c r="F433" s="181"/>
      <c r="G433" s="4"/>
      <c r="I433" s="190"/>
      <c r="J433" s="190"/>
      <c r="K433" s="4"/>
      <c r="R433" s="4"/>
    </row>
    <row r="434">
      <c r="A434" s="226"/>
      <c r="B434" s="188"/>
      <c r="C434" s="278"/>
      <c r="E434" s="181"/>
      <c r="F434" s="181"/>
      <c r="G434" s="4"/>
      <c r="I434" s="190"/>
      <c r="J434" s="190"/>
      <c r="K434" s="4"/>
      <c r="R434" s="4"/>
    </row>
    <row r="435">
      <c r="A435" s="226"/>
      <c r="B435" s="188"/>
      <c r="C435" s="278"/>
      <c r="E435" s="181"/>
      <c r="F435" s="181"/>
      <c r="G435" s="4"/>
      <c r="I435" s="190"/>
      <c r="J435" s="190"/>
      <c r="K435" s="4"/>
      <c r="R435" s="4"/>
    </row>
    <row r="436">
      <c r="A436" s="226"/>
      <c r="B436" s="188"/>
      <c r="C436" s="278"/>
      <c r="E436" s="181"/>
      <c r="F436" s="181"/>
      <c r="G436" s="4"/>
      <c r="I436" s="190"/>
      <c r="J436" s="190"/>
      <c r="K436" s="4"/>
      <c r="R436" s="4"/>
    </row>
    <row r="437">
      <c r="A437" s="226"/>
      <c r="B437" s="188"/>
      <c r="C437" s="278"/>
      <c r="E437" s="181"/>
      <c r="F437" s="181"/>
      <c r="G437" s="4"/>
      <c r="I437" s="190"/>
      <c r="J437" s="190"/>
      <c r="K437" s="4"/>
      <c r="R437" s="4"/>
    </row>
    <row r="438">
      <c r="A438" s="226"/>
      <c r="B438" s="188"/>
      <c r="C438" s="278"/>
      <c r="E438" s="181"/>
      <c r="F438" s="181"/>
      <c r="G438" s="4"/>
      <c r="I438" s="190"/>
      <c r="J438" s="190"/>
      <c r="K438" s="4"/>
      <c r="R438" s="4"/>
    </row>
    <row r="439">
      <c r="A439" s="226"/>
      <c r="B439" s="188"/>
      <c r="C439" s="278"/>
      <c r="E439" s="181"/>
      <c r="F439" s="181"/>
      <c r="G439" s="4"/>
      <c r="I439" s="190"/>
      <c r="J439" s="190"/>
      <c r="K439" s="4"/>
      <c r="R439" s="4"/>
    </row>
    <row r="440">
      <c r="A440" s="226"/>
      <c r="B440" s="188"/>
      <c r="C440" s="278"/>
      <c r="E440" s="181"/>
      <c r="F440" s="181"/>
      <c r="G440" s="4"/>
      <c r="I440" s="190"/>
      <c r="J440" s="190"/>
      <c r="K440" s="4"/>
      <c r="R440" s="4"/>
    </row>
    <row r="441">
      <c r="A441" s="226"/>
      <c r="B441" s="188"/>
      <c r="C441" s="278"/>
      <c r="E441" s="181"/>
      <c r="F441" s="181"/>
      <c r="G441" s="4"/>
      <c r="I441" s="190"/>
      <c r="J441" s="190"/>
      <c r="K441" s="4"/>
      <c r="R441" s="4"/>
    </row>
    <row r="442">
      <c r="A442" s="226"/>
      <c r="B442" s="188"/>
      <c r="C442" s="278"/>
      <c r="E442" s="181"/>
      <c r="F442" s="181"/>
      <c r="G442" s="4"/>
      <c r="I442" s="190"/>
      <c r="J442" s="190"/>
      <c r="K442" s="4"/>
      <c r="R442" s="4"/>
    </row>
    <row r="443">
      <c r="A443" s="226"/>
      <c r="B443" s="188"/>
      <c r="C443" s="278"/>
      <c r="E443" s="181"/>
      <c r="F443" s="181"/>
      <c r="G443" s="4"/>
      <c r="I443" s="190"/>
      <c r="J443" s="190"/>
      <c r="K443" s="4"/>
      <c r="R443" s="4"/>
    </row>
    <row r="444">
      <c r="A444" s="226"/>
      <c r="B444" s="188"/>
      <c r="C444" s="278"/>
      <c r="E444" s="181"/>
      <c r="F444" s="181"/>
      <c r="G444" s="4"/>
      <c r="I444" s="190"/>
      <c r="J444" s="190"/>
      <c r="K444" s="4"/>
      <c r="R444" s="4"/>
    </row>
    <row r="445">
      <c r="A445" s="226"/>
      <c r="B445" s="188"/>
      <c r="C445" s="278"/>
      <c r="E445" s="181"/>
      <c r="F445" s="181"/>
      <c r="G445" s="4"/>
      <c r="I445" s="190"/>
      <c r="J445" s="190"/>
      <c r="K445" s="4"/>
      <c r="R445" s="4"/>
    </row>
    <row r="446">
      <c r="A446" s="226"/>
      <c r="B446" s="188"/>
      <c r="C446" s="278"/>
      <c r="E446" s="181"/>
      <c r="F446" s="181"/>
      <c r="G446" s="4"/>
      <c r="I446" s="190"/>
      <c r="J446" s="190"/>
      <c r="K446" s="4"/>
      <c r="R446" s="4"/>
    </row>
    <row r="447">
      <c r="A447" s="226"/>
      <c r="B447" s="188"/>
      <c r="C447" s="278"/>
      <c r="E447" s="181"/>
      <c r="F447" s="181"/>
      <c r="G447" s="4"/>
      <c r="I447" s="190"/>
      <c r="J447" s="190"/>
      <c r="K447" s="4"/>
      <c r="R447" s="4"/>
    </row>
    <row r="448">
      <c r="A448" s="226"/>
      <c r="B448" s="188"/>
      <c r="C448" s="278"/>
      <c r="E448" s="181"/>
      <c r="F448" s="181"/>
      <c r="G448" s="4"/>
      <c r="I448" s="190"/>
      <c r="J448" s="190"/>
      <c r="K448" s="4"/>
      <c r="R448" s="4"/>
    </row>
    <row r="449">
      <c r="A449" s="226"/>
      <c r="B449" s="188"/>
      <c r="C449" s="278"/>
      <c r="E449" s="181"/>
      <c r="F449" s="181"/>
      <c r="G449" s="4"/>
      <c r="I449" s="190"/>
      <c r="J449" s="190"/>
      <c r="K449" s="4"/>
      <c r="R449" s="4"/>
    </row>
    <row r="450">
      <c r="A450" s="226"/>
      <c r="B450" s="188"/>
      <c r="C450" s="278"/>
      <c r="E450" s="181"/>
      <c r="F450" s="181"/>
      <c r="G450" s="4"/>
      <c r="I450" s="190"/>
      <c r="J450" s="190"/>
      <c r="K450" s="4"/>
      <c r="R450" s="4"/>
    </row>
    <row r="451">
      <c r="A451" s="226"/>
      <c r="B451" s="188"/>
      <c r="C451" s="278"/>
      <c r="E451" s="181"/>
      <c r="F451" s="181"/>
      <c r="G451" s="4"/>
      <c r="I451" s="190"/>
      <c r="J451" s="190"/>
      <c r="K451" s="4"/>
      <c r="R451" s="4"/>
    </row>
    <row r="452">
      <c r="A452" s="226"/>
      <c r="B452" s="188"/>
      <c r="C452" s="278"/>
      <c r="E452" s="181"/>
      <c r="F452" s="181"/>
      <c r="G452" s="4"/>
      <c r="I452" s="190"/>
      <c r="J452" s="190"/>
      <c r="K452" s="4"/>
      <c r="R452" s="4"/>
    </row>
    <row r="453">
      <c r="A453" s="226"/>
      <c r="B453" s="188"/>
      <c r="C453" s="278"/>
      <c r="E453" s="181"/>
      <c r="F453" s="181"/>
      <c r="G453" s="4"/>
      <c r="I453" s="190"/>
      <c r="J453" s="190"/>
      <c r="K453" s="4"/>
      <c r="R453" s="4"/>
    </row>
    <row r="454">
      <c r="A454" s="226"/>
      <c r="B454" s="188"/>
      <c r="C454" s="278"/>
      <c r="E454" s="181"/>
      <c r="F454" s="181"/>
      <c r="G454" s="4"/>
      <c r="I454" s="190"/>
      <c r="J454" s="190"/>
      <c r="K454" s="4"/>
      <c r="R454" s="4"/>
    </row>
    <row r="455">
      <c r="A455" s="226"/>
      <c r="B455" s="188"/>
      <c r="C455" s="278"/>
      <c r="E455" s="181"/>
      <c r="F455" s="181"/>
      <c r="G455" s="4"/>
      <c r="I455" s="190"/>
      <c r="J455" s="190"/>
      <c r="K455" s="4"/>
      <c r="R455" s="4"/>
    </row>
    <row r="456">
      <c r="A456" s="226"/>
      <c r="B456" s="188"/>
      <c r="C456" s="278"/>
      <c r="E456" s="181"/>
      <c r="F456" s="181"/>
      <c r="G456" s="4"/>
      <c r="I456" s="190"/>
      <c r="J456" s="190"/>
      <c r="K456" s="4"/>
      <c r="R456" s="4"/>
    </row>
    <row r="457">
      <c r="A457" s="226"/>
      <c r="B457" s="188"/>
      <c r="C457" s="278"/>
      <c r="E457" s="181"/>
      <c r="F457" s="181"/>
      <c r="G457" s="4"/>
      <c r="I457" s="190"/>
      <c r="J457" s="190"/>
      <c r="K457" s="4"/>
      <c r="R457" s="4"/>
    </row>
    <row r="458">
      <c r="A458" s="226"/>
      <c r="B458" s="188"/>
      <c r="C458" s="278"/>
      <c r="E458" s="181"/>
      <c r="F458" s="181"/>
      <c r="G458" s="4"/>
      <c r="I458" s="190"/>
      <c r="J458" s="190"/>
      <c r="K458" s="4"/>
      <c r="R458" s="4"/>
    </row>
    <row r="459">
      <c r="A459" s="226"/>
      <c r="B459" s="188"/>
      <c r="C459" s="278"/>
      <c r="E459" s="181"/>
      <c r="F459" s="181"/>
      <c r="G459" s="4"/>
      <c r="I459" s="190"/>
      <c r="J459" s="190"/>
      <c r="K459" s="4"/>
      <c r="R459" s="4"/>
    </row>
    <row r="460">
      <c r="A460" s="226"/>
      <c r="B460" s="188"/>
      <c r="C460" s="278"/>
      <c r="E460" s="181"/>
      <c r="F460" s="181"/>
      <c r="G460" s="4"/>
      <c r="I460" s="190"/>
      <c r="J460" s="190"/>
      <c r="K460" s="4"/>
      <c r="R460" s="4"/>
    </row>
    <row r="461">
      <c r="A461" s="226"/>
      <c r="B461" s="188"/>
      <c r="C461" s="278"/>
      <c r="E461" s="181"/>
      <c r="F461" s="181"/>
      <c r="G461" s="4"/>
      <c r="I461" s="190"/>
      <c r="J461" s="190"/>
      <c r="K461" s="4"/>
      <c r="R461" s="4"/>
    </row>
    <row r="462">
      <c r="A462" s="226"/>
      <c r="B462" s="188"/>
      <c r="C462" s="278"/>
      <c r="E462" s="181"/>
      <c r="F462" s="181"/>
      <c r="G462" s="4"/>
      <c r="I462" s="190"/>
      <c r="J462" s="190"/>
      <c r="K462" s="4"/>
      <c r="R462" s="4"/>
    </row>
    <row r="463">
      <c r="A463" s="226"/>
      <c r="B463" s="188"/>
      <c r="C463" s="278"/>
      <c r="E463" s="181"/>
      <c r="F463" s="181"/>
      <c r="G463" s="4"/>
      <c r="I463" s="190"/>
      <c r="J463" s="190"/>
      <c r="K463" s="4"/>
      <c r="R463" s="4"/>
    </row>
    <row r="464">
      <c r="A464" s="226"/>
      <c r="B464" s="188"/>
      <c r="C464" s="278"/>
      <c r="E464" s="181"/>
      <c r="F464" s="181"/>
      <c r="G464" s="4"/>
      <c r="I464" s="190"/>
      <c r="J464" s="190"/>
      <c r="K464" s="4"/>
      <c r="R464" s="4"/>
    </row>
    <row r="465">
      <c r="A465" s="226"/>
      <c r="B465" s="188"/>
      <c r="C465" s="278"/>
      <c r="E465" s="181"/>
      <c r="F465" s="181"/>
      <c r="G465" s="4"/>
      <c r="I465" s="190"/>
      <c r="J465" s="190"/>
      <c r="K465" s="4"/>
      <c r="R465" s="4"/>
    </row>
    <row r="466">
      <c r="A466" s="226"/>
      <c r="B466" s="188"/>
      <c r="C466" s="278"/>
      <c r="E466" s="181"/>
      <c r="F466" s="181"/>
      <c r="G466" s="4"/>
      <c r="I466" s="190"/>
      <c r="J466" s="190"/>
      <c r="K466" s="4"/>
      <c r="R466" s="4"/>
    </row>
    <row r="467">
      <c r="A467" s="226"/>
      <c r="B467" s="188"/>
      <c r="C467" s="278"/>
      <c r="E467" s="181"/>
      <c r="F467" s="181"/>
      <c r="G467" s="4"/>
      <c r="I467" s="190"/>
      <c r="J467" s="190"/>
      <c r="K467" s="4"/>
      <c r="R467" s="4"/>
    </row>
    <row r="468">
      <c r="A468" s="226"/>
      <c r="B468" s="188"/>
      <c r="C468" s="278"/>
      <c r="E468" s="181"/>
      <c r="F468" s="181"/>
      <c r="G468" s="4"/>
      <c r="I468" s="190"/>
      <c r="J468" s="190"/>
      <c r="K468" s="4"/>
      <c r="R468" s="4"/>
    </row>
    <row r="469">
      <c r="A469" s="226"/>
      <c r="B469" s="188"/>
      <c r="C469" s="278"/>
      <c r="E469" s="181"/>
      <c r="F469" s="181"/>
      <c r="G469" s="4"/>
      <c r="I469" s="190"/>
      <c r="J469" s="190"/>
      <c r="K469" s="4"/>
      <c r="R469" s="4"/>
    </row>
    <row r="470">
      <c r="A470" s="226"/>
      <c r="B470" s="188"/>
      <c r="C470" s="278"/>
      <c r="E470" s="181"/>
      <c r="F470" s="181"/>
      <c r="G470" s="4"/>
      <c r="I470" s="190"/>
      <c r="J470" s="190"/>
      <c r="K470" s="4"/>
      <c r="R470" s="4"/>
    </row>
    <row r="471">
      <c r="A471" s="226"/>
      <c r="B471" s="188"/>
      <c r="C471" s="278"/>
      <c r="E471" s="181"/>
      <c r="F471" s="181"/>
      <c r="G471" s="4"/>
      <c r="I471" s="190"/>
      <c r="J471" s="190"/>
      <c r="K471" s="4"/>
      <c r="R471" s="4"/>
    </row>
    <row r="472">
      <c r="A472" s="226"/>
      <c r="B472" s="188"/>
      <c r="C472" s="278"/>
      <c r="E472" s="181"/>
      <c r="F472" s="181"/>
      <c r="G472" s="4"/>
      <c r="I472" s="190"/>
      <c r="J472" s="190"/>
      <c r="K472" s="4"/>
      <c r="R472" s="4"/>
    </row>
    <row r="473">
      <c r="A473" s="226"/>
      <c r="B473" s="188"/>
      <c r="C473" s="278"/>
      <c r="E473" s="181"/>
      <c r="F473" s="181"/>
      <c r="G473" s="4"/>
      <c r="I473" s="190"/>
      <c r="J473" s="190"/>
      <c r="K473" s="4"/>
      <c r="R473" s="4"/>
    </row>
    <row r="474">
      <c r="A474" s="226"/>
      <c r="B474" s="188"/>
      <c r="C474" s="278"/>
      <c r="E474" s="181"/>
      <c r="F474" s="181"/>
      <c r="G474" s="4"/>
      <c r="I474" s="190"/>
      <c r="J474" s="190"/>
      <c r="K474" s="4"/>
      <c r="R474" s="4"/>
    </row>
    <row r="475">
      <c r="A475" s="226"/>
      <c r="B475" s="188"/>
      <c r="C475" s="278"/>
      <c r="E475" s="181"/>
      <c r="F475" s="181"/>
      <c r="G475" s="4"/>
      <c r="I475" s="190"/>
      <c r="J475" s="190"/>
      <c r="K475" s="4"/>
      <c r="R475" s="4"/>
    </row>
    <row r="476">
      <c r="A476" s="226"/>
      <c r="B476" s="188"/>
      <c r="C476" s="278"/>
      <c r="E476" s="181"/>
      <c r="F476" s="181"/>
      <c r="G476" s="4"/>
      <c r="I476" s="190"/>
      <c r="J476" s="190"/>
      <c r="K476" s="4"/>
      <c r="R476" s="4"/>
    </row>
    <row r="477">
      <c r="A477" s="226"/>
      <c r="B477" s="188"/>
      <c r="C477" s="278"/>
      <c r="E477" s="181"/>
      <c r="F477" s="181"/>
      <c r="G477" s="4"/>
      <c r="I477" s="190"/>
      <c r="J477" s="190"/>
      <c r="K477" s="4"/>
      <c r="R477" s="4"/>
    </row>
    <row r="478">
      <c r="A478" s="226"/>
      <c r="B478" s="188"/>
      <c r="C478" s="278"/>
      <c r="E478" s="181"/>
      <c r="F478" s="181"/>
      <c r="G478" s="4"/>
      <c r="I478" s="190"/>
      <c r="J478" s="190"/>
      <c r="K478" s="4"/>
      <c r="R478" s="4"/>
    </row>
    <row r="479">
      <c r="A479" s="226"/>
      <c r="B479" s="188"/>
      <c r="C479" s="278"/>
      <c r="E479" s="181"/>
      <c r="F479" s="181"/>
      <c r="G479" s="4"/>
      <c r="I479" s="190"/>
      <c r="J479" s="190"/>
      <c r="K479" s="4"/>
      <c r="R479" s="4"/>
    </row>
    <row r="480">
      <c r="A480" s="226"/>
      <c r="B480" s="188"/>
      <c r="C480" s="278"/>
      <c r="E480" s="181"/>
      <c r="F480" s="181"/>
      <c r="G480" s="4"/>
      <c r="I480" s="190"/>
      <c r="J480" s="190"/>
      <c r="K480" s="4"/>
      <c r="R480" s="4"/>
    </row>
    <row r="481">
      <c r="A481" s="226"/>
      <c r="B481" s="188"/>
      <c r="C481" s="278"/>
      <c r="E481" s="181"/>
      <c r="F481" s="181"/>
      <c r="G481" s="4"/>
      <c r="I481" s="190"/>
      <c r="J481" s="190"/>
      <c r="K481" s="4"/>
      <c r="R481" s="4"/>
    </row>
    <row r="482">
      <c r="A482" s="226"/>
      <c r="B482" s="188"/>
      <c r="C482" s="278"/>
      <c r="E482" s="181"/>
      <c r="F482" s="181"/>
      <c r="G482" s="4"/>
      <c r="I482" s="190"/>
      <c r="J482" s="190"/>
      <c r="K482" s="4"/>
      <c r="R482" s="4"/>
    </row>
    <row r="483">
      <c r="A483" s="226"/>
      <c r="B483" s="188"/>
      <c r="C483" s="278"/>
      <c r="E483" s="181"/>
      <c r="F483" s="181"/>
      <c r="G483" s="4"/>
      <c r="I483" s="190"/>
      <c r="J483" s="190"/>
      <c r="K483" s="4"/>
      <c r="R483" s="4"/>
    </row>
    <row r="484">
      <c r="A484" s="226"/>
      <c r="B484" s="188"/>
      <c r="C484" s="278"/>
      <c r="E484" s="181"/>
      <c r="F484" s="181"/>
      <c r="G484" s="4"/>
      <c r="I484" s="190"/>
      <c r="J484" s="190"/>
      <c r="K484" s="4"/>
      <c r="R484" s="4"/>
    </row>
    <row r="485">
      <c r="A485" s="226"/>
      <c r="B485" s="188"/>
      <c r="C485" s="278"/>
      <c r="E485" s="181"/>
      <c r="F485" s="181"/>
      <c r="G485" s="4"/>
      <c r="I485" s="190"/>
      <c r="J485" s="190"/>
      <c r="K485" s="4"/>
      <c r="R485" s="4"/>
    </row>
    <row r="486">
      <c r="A486" s="226"/>
      <c r="B486" s="188"/>
      <c r="C486" s="278"/>
      <c r="E486" s="181"/>
      <c r="F486" s="181"/>
      <c r="G486" s="4"/>
      <c r="I486" s="190"/>
      <c r="J486" s="190"/>
      <c r="K486" s="4"/>
      <c r="R486" s="4"/>
    </row>
    <row r="487">
      <c r="A487" s="226"/>
      <c r="B487" s="188"/>
      <c r="C487" s="278"/>
      <c r="E487" s="181"/>
      <c r="F487" s="181"/>
      <c r="G487" s="4"/>
      <c r="I487" s="190"/>
      <c r="J487" s="190"/>
      <c r="K487" s="4"/>
      <c r="R487" s="4"/>
    </row>
    <row r="488">
      <c r="A488" s="226"/>
      <c r="B488" s="188"/>
      <c r="C488" s="278"/>
      <c r="E488" s="181"/>
      <c r="F488" s="181"/>
      <c r="G488" s="4"/>
      <c r="I488" s="190"/>
      <c r="J488" s="190"/>
      <c r="K488" s="4"/>
      <c r="R488" s="4"/>
    </row>
    <row r="489">
      <c r="A489" s="226"/>
      <c r="B489" s="188"/>
      <c r="C489" s="278"/>
      <c r="E489" s="181"/>
      <c r="F489" s="181"/>
      <c r="G489" s="4"/>
      <c r="I489" s="190"/>
      <c r="J489" s="190"/>
      <c r="K489" s="4"/>
      <c r="R489" s="4"/>
    </row>
    <row r="490">
      <c r="A490" s="226"/>
      <c r="B490" s="188"/>
      <c r="C490" s="278"/>
      <c r="E490" s="181"/>
      <c r="F490" s="181"/>
      <c r="G490" s="4"/>
      <c r="I490" s="190"/>
      <c r="J490" s="190"/>
      <c r="K490" s="4"/>
      <c r="R490" s="4"/>
    </row>
    <row r="491">
      <c r="A491" s="226"/>
      <c r="B491" s="188"/>
      <c r="C491" s="278"/>
      <c r="E491" s="181"/>
      <c r="F491" s="181"/>
      <c r="G491" s="4"/>
      <c r="I491" s="190"/>
      <c r="J491" s="190"/>
      <c r="K491" s="4"/>
      <c r="R491" s="4"/>
    </row>
    <row r="492">
      <c r="A492" s="226"/>
      <c r="B492" s="188"/>
      <c r="C492" s="278"/>
      <c r="E492" s="181"/>
      <c r="F492" s="181"/>
      <c r="G492" s="4"/>
      <c r="I492" s="190"/>
      <c r="J492" s="190"/>
      <c r="K492" s="4"/>
      <c r="R492" s="4"/>
    </row>
    <row r="493">
      <c r="A493" s="226"/>
      <c r="B493" s="188"/>
      <c r="C493" s="278"/>
      <c r="E493" s="181"/>
      <c r="F493" s="181"/>
      <c r="G493" s="4"/>
      <c r="I493" s="190"/>
      <c r="J493" s="190"/>
      <c r="K493" s="4"/>
      <c r="R493" s="4"/>
    </row>
    <row r="494">
      <c r="A494" s="226"/>
      <c r="B494" s="188"/>
      <c r="C494" s="278"/>
      <c r="E494" s="181"/>
      <c r="F494" s="181"/>
      <c r="G494" s="4"/>
      <c r="I494" s="190"/>
      <c r="J494" s="190"/>
      <c r="K494" s="4"/>
      <c r="R494" s="4"/>
    </row>
    <row r="495">
      <c r="A495" s="226"/>
      <c r="B495" s="188"/>
      <c r="C495" s="278"/>
      <c r="E495" s="181"/>
      <c r="F495" s="181"/>
      <c r="G495" s="4"/>
      <c r="I495" s="190"/>
      <c r="J495" s="190"/>
      <c r="K495" s="4"/>
      <c r="R495" s="4"/>
    </row>
    <row r="496">
      <c r="A496" s="226"/>
      <c r="B496" s="188"/>
      <c r="C496" s="278"/>
      <c r="E496" s="181"/>
      <c r="F496" s="181"/>
      <c r="G496" s="4"/>
      <c r="I496" s="190"/>
      <c r="J496" s="190"/>
      <c r="K496" s="4"/>
      <c r="R496" s="4"/>
    </row>
    <row r="497">
      <c r="A497" s="226"/>
      <c r="B497" s="188"/>
      <c r="C497" s="278"/>
      <c r="E497" s="181"/>
      <c r="F497" s="181"/>
      <c r="G497" s="4"/>
      <c r="I497" s="190"/>
      <c r="J497" s="190"/>
      <c r="K497" s="4"/>
      <c r="R497" s="4"/>
    </row>
    <row r="498">
      <c r="A498" s="226"/>
      <c r="B498" s="188"/>
      <c r="C498" s="278"/>
      <c r="E498" s="181"/>
      <c r="F498" s="181"/>
      <c r="G498" s="4"/>
      <c r="I498" s="190"/>
      <c r="J498" s="190"/>
      <c r="K498" s="4"/>
      <c r="R498" s="4"/>
    </row>
    <row r="499">
      <c r="A499" s="226"/>
      <c r="B499" s="188"/>
      <c r="C499" s="278"/>
      <c r="E499" s="181"/>
      <c r="F499" s="181"/>
      <c r="G499" s="4"/>
      <c r="I499" s="190"/>
      <c r="J499" s="190"/>
      <c r="K499" s="4"/>
      <c r="R499" s="4"/>
    </row>
    <row r="500">
      <c r="A500" s="226"/>
      <c r="B500" s="188"/>
      <c r="C500" s="278"/>
      <c r="E500" s="181"/>
      <c r="F500" s="181"/>
      <c r="G500" s="4"/>
      <c r="I500" s="190"/>
      <c r="J500" s="190"/>
      <c r="K500" s="4"/>
      <c r="R500" s="4"/>
    </row>
    <row r="501">
      <c r="A501" s="226"/>
      <c r="B501" s="188"/>
      <c r="C501" s="278"/>
      <c r="E501" s="181"/>
      <c r="F501" s="181"/>
      <c r="G501" s="4"/>
      <c r="I501" s="190"/>
      <c r="J501" s="190"/>
      <c r="K501" s="4"/>
      <c r="R501" s="4"/>
    </row>
    <row r="502">
      <c r="A502" s="226"/>
      <c r="B502" s="188"/>
      <c r="C502" s="278"/>
      <c r="E502" s="181"/>
      <c r="F502" s="181"/>
      <c r="G502" s="4"/>
      <c r="I502" s="190"/>
      <c r="J502" s="190"/>
      <c r="K502" s="4"/>
      <c r="R502" s="4"/>
    </row>
    <row r="503">
      <c r="A503" s="226"/>
      <c r="B503" s="188"/>
      <c r="C503" s="278"/>
      <c r="E503" s="181"/>
      <c r="F503" s="181"/>
      <c r="G503" s="4"/>
      <c r="I503" s="190"/>
      <c r="J503" s="190"/>
      <c r="K503" s="4"/>
      <c r="R503" s="4"/>
    </row>
    <row r="504">
      <c r="A504" s="226"/>
      <c r="B504" s="188"/>
      <c r="C504" s="278"/>
      <c r="E504" s="181"/>
      <c r="F504" s="181"/>
      <c r="G504" s="4"/>
      <c r="I504" s="190"/>
      <c r="J504" s="190"/>
      <c r="K504" s="4"/>
      <c r="R504" s="4"/>
    </row>
    <row r="505">
      <c r="A505" s="226"/>
      <c r="B505" s="188"/>
      <c r="C505" s="278"/>
      <c r="E505" s="181"/>
      <c r="F505" s="181"/>
      <c r="G505" s="4"/>
      <c r="I505" s="190"/>
      <c r="J505" s="190"/>
      <c r="K505" s="4"/>
      <c r="R505" s="4"/>
    </row>
    <row r="506">
      <c r="A506" s="226"/>
      <c r="B506" s="188"/>
      <c r="C506" s="278"/>
      <c r="E506" s="181"/>
      <c r="F506" s="181"/>
      <c r="G506" s="4"/>
      <c r="I506" s="190"/>
      <c r="J506" s="190"/>
      <c r="K506" s="4"/>
      <c r="R506" s="4"/>
    </row>
    <row r="507">
      <c r="A507" s="226"/>
      <c r="B507" s="188"/>
      <c r="C507" s="278"/>
      <c r="E507" s="181"/>
      <c r="F507" s="181"/>
      <c r="G507" s="4"/>
      <c r="I507" s="190"/>
      <c r="J507" s="190"/>
      <c r="K507" s="4"/>
      <c r="R507" s="4"/>
    </row>
    <row r="508">
      <c r="A508" s="226"/>
      <c r="B508" s="188"/>
      <c r="C508" s="278"/>
      <c r="E508" s="181"/>
      <c r="F508" s="181"/>
      <c r="G508" s="4"/>
      <c r="I508" s="190"/>
      <c r="J508" s="190"/>
      <c r="K508" s="4"/>
      <c r="R508" s="4"/>
    </row>
    <row r="509">
      <c r="A509" s="226"/>
      <c r="B509" s="188"/>
      <c r="C509" s="278"/>
      <c r="E509" s="181"/>
      <c r="F509" s="181"/>
      <c r="G509" s="4"/>
      <c r="I509" s="190"/>
      <c r="J509" s="190"/>
      <c r="K509" s="4"/>
      <c r="R509" s="4"/>
    </row>
    <row r="510">
      <c r="A510" s="226"/>
      <c r="B510" s="188"/>
      <c r="C510" s="278"/>
      <c r="E510" s="181"/>
      <c r="F510" s="181"/>
      <c r="G510" s="4"/>
      <c r="I510" s="190"/>
      <c r="J510" s="190"/>
      <c r="K510" s="4"/>
      <c r="R510" s="4"/>
    </row>
    <row r="511">
      <c r="A511" s="226"/>
      <c r="B511" s="188"/>
      <c r="C511" s="278"/>
      <c r="E511" s="181"/>
      <c r="F511" s="181"/>
      <c r="G511" s="4"/>
      <c r="I511" s="190"/>
      <c r="J511" s="190"/>
      <c r="K511" s="4"/>
      <c r="R511" s="4"/>
    </row>
    <row r="512">
      <c r="A512" s="226"/>
      <c r="B512" s="188"/>
      <c r="C512" s="278"/>
      <c r="E512" s="181"/>
      <c r="F512" s="181"/>
      <c r="G512" s="4"/>
      <c r="I512" s="190"/>
      <c r="J512" s="190"/>
      <c r="K512" s="4"/>
      <c r="R512" s="4"/>
    </row>
    <row r="513">
      <c r="A513" s="226"/>
      <c r="B513" s="188"/>
      <c r="C513" s="278"/>
      <c r="E513" s="181"/>
      <c r="F513" s="181"/>
      <c r="G513" s="4"/>
      <c r="I513" s="190"/>
      <c r="J513" s="190"/>
      <c r="K513" s="4"/>
      <c r="R513" s="4"/>
    </row>
    <row r="514">
      <c r="A514" s="226"/>
      <c r="B514" s="188"/>
      <c r="C514" s="278"/>
      <c r="E514" s="181"/>
      <c r="F514" s="181"/>
      <c r="G514" s="4"/>
      <c r="I514" s="190"/>
      <c r="J514" s="190"/>
      <c r="K514" s="4"/>
      <c r="R514" s="4"/>
    </row>
    <row r="515">
      <c r="A515" s="226"/>
      <c r="B515" s="188"/>
      <c r="C515" s="278"/>
      <c r="E515" s="181"/>
      <c r="F515" s="181"/>
      <c r="G515" s="4"/>
      <c r="I515" s="190"/>
      <c r="J515" s="190"/>
      <c r="K515" s="4"/>
      <c r="R515" s="4"/>
    </row>
    <row r="516">
      <c r="A516" s="226"/>
      <c r="B516" s="188"/>
      <c r="C516" s="278"/>
      <c r="E516" s="181"/>
      <c r="F516" s="181"/>
      <c r="G516" s="4"/>
      <c r="I516" s="190"/>
      <c r="J516" s="190"/>
      <c r="K516" s="4"/>
      <c r="R516" s="4"/>
    </row>
    <row r="517">
      <c r="A517" s="226"/>
      <c r="B517" s="188"/>
      <c r="C517" s="278"/>
      <c r="E517" s="181"/>
      <c r="F517" s="181"/>
      <c r="G517" s="4"/>
      <c r="I517" s="190"/>
      <c r="J517" s="190"/>
      <c r="K517" s="4"/>
      <c r="R517" s="4"/>
    </row>
    <row r="518">
      <c r="A518" s="226"/>
      <c r="B518" s="188"/>
      <c r="C518" s="278"/>
      <c r="E518" s="181"/>
      <c r="F518" s="181"/>
      <c r="G518" s="4"/>
      <c r="I518" s="190"/>
      <c r="J518" s="190"/>
      <c r="K518" s="4"/>
      <c r="R518" s="4"/>
    </row>
    <row r="519">
      <c r="A519" s="226"/>
      <c r="B519" s="188"/>
      <c r="C519" s="278"/>
      <c r="E519" s="181"/>
      <c r="F519" s="181"/>
      <c r="G519" s="4"/>
      <c r="I519" s="190"/>
      <c r="J519" s="190"/>
      <c r="K519" s="4"/>
      <c r="R519" s="4"/>
    </row>
    <row r="520">
      <c r="A520" s="226"/>
      <c r="B520" s="188"/>
      <c r="C520" s="278"/>
      <c r="E520" s="181"/>
      <c r="F520" s="181"/>
      <c r="G520" s="4"/>
      <c r="I520" s="190"/>
      <c r="J520" s="190"/>
      <c r="K520" s="4"/>
      <c r="R520" s="4"/>
    </row>
    <row r="521">
      <c r="A521" s="226"/>
      <c r="B521" s="188"/>
      <c r="C521" s="278"/>
      <c r="E521" s="181"/>
      <c r="F521" s="181"/>
      <c r="G521" s="4"/>
      <c r="I521" s="190"/>
      <c r="J521" s="190"/>
      <c r="K521" s="4"/>
      <c r="R521" s="4"/>
    </row>
    <row r="522">
      <c r="A522" s="226"/>
      <c r="B522" s="188"/>
      <c r="C522" s="278"/>
      <c r="E522" s="181"/>
      <c r="F522" s="181"/>
      <c r="G522" s="4"/>
      <c r="I522" s="190"/>
      <c r="J522" s="190"/>
      <c r="K522" s="4"/>
      <c r="R522" s="4"/>
    </row>
    <row r="523">
      <c r="A523" s="226"/>
      <c r="B523" s="188"/>
      <c r="C523" s="278"/>
      <c r="E523" s="181"/>
      <c r="F523" s="181"/>
      <c r="G523" s="4"/>
      <c r="I523" s="190"/>
      <c r="J523" s="190"/>
      <c r="K523" s="4"/>
      <c r="R523" s="4"/>
    </row>
    <row r="524">
      <c r="A524" s="226"/>
      <c r="B524" s="188"/>
      <c r="C524" s="278"/>
      <c r="E524" s="181"/>
      <c r="F524" s="181"/>
      <c r="G524" s="4"/>
      <c r="I524" s="190"/>
      <c r="J524" s="190"/>
      <c r="K524" s="4"/>
      <c r="R524" s="4"/>
    </row>
    <row r="525">
      <c r="A525" s="226"/>
      <c r="B525" s="188"/>
      <c r="C525" s="278"/>
      <c r="E525" s="181"/>
      <c r="F525" s="181"/>
      <c r="G525" s="4"/>
      <c r="I525" s="190"/>
      <c r="J525" s="190"/>
      <c r="K525" s="4"/>
      <c r="R525" s="4"/>
    </row>
    <row r="526">
      <c r="A526" s="226"/>
      <c r="B526" s="188"/>
      <c r="C526" s="278"/>
      <c r="E526" s="181"/>
      <c r="F526" s="181"/>
      <c r="G526" s="4"/>
      <c r="I526" s="190"/>
      <c r="J526" s="190"/>
      <c r="K526" s="4"/>
      <c r="R526" s="4"/>
    </row>
    <row r="527">
      <c r="A527" s="226"/>
      <c r="B527" s="188"/>
      <c r="C527" s="278"/>
      <c r="E527" s="181"/>
      <c r="F527" s="181"/>
      <c r="G527" s="4"/>
      <c r="I527" s="190"/>
      <c r="J527" s="190"/>
      <c r="K527" s="4"/>
      <c r="R527" s="4"/>
    </row>
    <row r="528">
      <c r="A528" s="226"/>
      <c r="B528" s="188"/>
      <c r="C528" s="278"/>
      <c r="E528" s="181"/>
      <c r="F528" s="181"/>
      <c r="G528" s="4"/>
      <c r="I528" s="190"/>
      <c r="J528" s="190"/>
      <c r="K528" s="4"/>
      <c r="R528" s="4"/>
    </row>
    <row r="529">
      <c r="A529" s="226"/>
      <c r="B529" s="188"/>
      <c r="C529" s="278"/>
      <c r="E529" s="181"/>
      <c r="F529" s="181"/>
      <c r="G529" s="4"/>
      <c r="I529" s="190"/>
      <c r="J529" s="190"/>
      <c r="K529" s="4"/>
      <c r="R529" s="4"/>
    </row>
    <row r="530">
      <c r="A530" s="226"/>
      <c r="B530" s="188"/>
      <c r="C530" s="278"/>
      <c r="E530" s="181"/>
      <c r="F530" s="181"/>
      <c r="G530" s="4"/>
      <c r="I530" s="190"/>
      <c r="J530" s="190"/>
      <c r="K530" s="4"/>
      <c r="R530" s="4"/>
    </row>
    <row r="531">
      <c r="A531" s="226"/>
      <c r="B531" s="188"/>
      <c r="C531" s="278"/>
      <c r="E531" s="181"/>
      <c r="F531" s="181"/>
      <c r="G531" s="4"/>
      <c r="I531" s="190"/>
      <c r="J531" s="190"/>
      <c r="K531" s="4"/>
      <c r="R531" s="4"/>
    </row>
    <row r="532">
      <c r="A532" s="226"/>
      <c r="B532" s="188"/>
      <c r="C532" s="278"/>
      <c r="E532" s="181"/>
      <c r="F532" s="181"/>
      <c r="G532" s="4"/>
      <c r="I532" s="190"/>
      <c r="J532" s="190"/>
      <c r="K532" s="4"/>
      <c r="R532" s="4"/>
    </row>
    <row r="533">
      <c r="A533" s="226"/>
      <c r="B533" s="188"/>
      <c r="C533" s="278"/>
      <c r="E533" s="181"/>
      <c r="F533" s="181"/>
      <c r="G533" s="4"/>
      <c r="I533" s="190"/>
      <c r="J533" s="190"/>
      <c r="K533" s="4"/>
      <c r="R533" s="4"/>
    </row>
    <row r="534">
      <c r="A534" s="226"/>
      <c r="B534" s="188"/>
      <c r="C534" s="278"/>
      <c r="E534" s="181"/>
      <c r="F534" s="181"/>
      <c r="G534" s="4"/>
      <c r="I534" s="190"/>
      <c r="J534" s="190"/>
      <c r="K534" s="4"/>
      <c r="R534" s="4"/>
    </row>
    <row r="535">
      <c r="A535" s="226"/>
      <c r="B535" s="188"/>
      <c r="C535" s="278"/>
      <c r="E535" s="181"/>
      <c r="F535" s="181"/>
      <c r="G535" s="4"/>
      <c r="I535" s="190"/>
      <c r="J535" s="190"/>
      <c r="K535" s="4"/>
      <c r="R535" s="4"/>
    </row>
    <row r="536">
      <c r="A536" s="226"/>
      <c r="B536" s="188"/>
      <c r="C536" s="278"/>
      <c r="E536" s="181"/>
      <c r="F536" s="181"/>
      <c r="G536" s="4"/>
      <c r="I536" s="190"/>
      <c r="J536" s="190"/>
      <c r="K536" s="4"/>
      <c r="R536" s="4"/>
    </row>
    <row r="537">
      <c r="A537" s="226"/>
      <c r="B537" s="188"/>
      <c r="C537" s="278"/>
      <c r="E537" s="181"/>
      <c r="F537" s="181"/>
      <c r="G537" s="4"/>
      <c r="I537" s="190"/>
      <c r="J537" s="190"/>
      <c r="K537" s="4"/>
      <c r="R537" s="4"/>
    </row>
    <row r="538">
      <c r="A538" s="226"/>
      <c r="B538" s="188"/>
      <c r="C538" s="278"/>
      <c r="E538" s="181"/>
      <c r="F538" s="181"/>
      <c r="G538" s="4"/>
      <c r="I538" s="190"/>
      <c r="J538" s="190"/>
      <c r="K538" s="4"/>
      <c r="R538" s="4"/>
    </row>
    <row r="539">
      <c r="A539" s="226"/>
      <c r="B539" s="188"/>
      <c r="C539" s="278"/>
      <c r="E539" s="181"/>
      <c r="F539" s="181"/>
      <c r="G539" s="4"/>
      <c r="I539" s="190"/>
      <c r="J539" s="190"/>
      <c r="K539" s="4"/>
      <c r="R539" s="4"/>
    </row>
    <row r="540">
      <c r="A540" s="226"/>
      <c r="B540" s="188"/>
      <c r="C540" s="278"/>
      <c r="E540" s="181"/>
      <c r="F540" s="181"/>
      <c r="G540" s="4"/>
      <c r="I540" s="190"/>
      <c r="J540" s="190"/>
      <c r="K540" s="4"/>
      <c r="R540" s="4"/>
    </row>
    <row r="541">
      <c r="A541" s="226"/>
      <c r="B541" s="188"/>
      <c r="C541" s="278"/>
      <c r="E541" s="181"/>
      <c r="F541" s="181"/>
      <c r="G541" s="4"/>
      <c r="I541" s="190"/>
      <c r="J541" s="190"/>
      <c r="K541" s="4"/>
      <c r="R541" s="4"/>
    </row>
    <row r="542">
      <c r="A542" s="226"/>
      <c r="B542" s="188"/>
      <c r="C542" s="278"/>
      <c r="E542" s="181"/>
      <c r="F542" s="181"/>
      <c r="G542" s="4"/>
      <c r="I542" s="190"/>
      <c r="J542" s="190"/>
      <c r="K542" s="4"/>
      <c r="R542" s="4"/>
    </row>
    <row r="543">
      <c r="A543" s="226"/>
      <c r="B543" s="188"/>
      <c r="C543" s="278"/>
      <c r="E543" s="181"/>
      <c r="F543" s="181"/>
      <c r="G543" s="4"/>
      <c r="I543" s="190"/>
      <c r="J543" s="190"/>
      <c r="K543" s="4"/>
      <c r="R543" s="4"/>
    </row>
    <row r="544">
      <c r="A544" s="226"/>
      <c r="B544" s="188"/>
      <c r="C544" s="278"/>
      <c r="E544" s="181"/>
      <c r="F544" s="181"/>
      <c r="G544" s="4"/>
      <c r="I544" s="190"/>
      <c r="J544" s="190"/>
      <c r="K544" s="4"/>
      <c r="R544" s="4"/>
    </row>
    <row r="545">
      <c r="A545" s="226"/>
      <c r="B545" s="188"/>
      <c r="C545" s="278"/>
      <c r="E545" s="181"/>
      <c r="F545" s="181"/>
      <c r="G545" s="4"/>
      <c r="I545" s="190"/>
      <c r="J545" s="190"/>
      <c r="K545" s="4"/>
      <c r="R545" s="4"/>
    </row>
    <row r="546">
      <c r="A546" s="226"/>
      <c r="B546" s="188"/>
      <c r="C546" s="278"/>
      <c r="E546" s="181"/>
      <c r="F546" s="181"/>
      <c r="G546" s="4"/>
      <c r="I546" s="190"/>
      <c r="J546" s="190"/>
      <c r="K546" s="4"/>
      <c r="R546" s="4"/>
    </row>
    <row r="547">
      <c r="A547" s="226"/>
      <c r="B547" s="188"/>
      <c r="C547" s="278"/>
      <c r="E547" s="181"/>
      <c r="F547" s="181"/>
      <c r="G547" s="4"/>
      <c r="I547" s="190"/>
      <c r="J547" s="190"/>
      <c r="K547" s="4"/>
      <c r="R547" s="4"/>
    </row>
    <row r="548">
      <c r="A548" s="226"/>
      <c r="B548" s="188"/>
      <c r="C548" s="278"/>
      <c r="E548" s="181"/>
      <c r="F548" s="181"/>
      <c r="G548" s="4"/>
      <c r="I548" s="190"/>
      <c r="J548" s="190"/>
      <c r="K548" s="4"/>
      <c r="R548" s="4"/>
    </row>
    <row r="549">
      <c r="A549" s="226"/>
      <c r="B549" s="188"/>
      <c r="C549" s="278"/>
      <c r="E549" s="181"/>
      <c r="F549" s="181"/>
      <c r="G549" s="4"/>
      <c r="I549" s="190"/>
      <c r="J549" s="190"/>
      <c r="K549" s="4"/>
      <c r="R549" s="4"/>
    </row>
    <row r="550">
      <c r="A550" s="226"/>
      <c r="B550" s="188"/>
      <c r="C550" s="278"/>
      <c r="E550" s="181"/>
      <c r="F550" s="181"/>
      <c r="G550" s="4"/>
      <c r="I550" s="190"/>
      <c r="J550" s="190"/>
      <c r="K550" s="4"/>
      <c r="R550" s="4"/>
    </row>
    <row r="551">
      <c r="A551" s="226"/>
      <c r="B551" s="188"/>
      <c r="C551" s="278"/>
      <c r="E551" s="181"/>
      <c r="F551" s="181"/>
      <c r="G551" s="4"/>
      <c r="I551" s="190"/>
      <c r="J551" s="190"/>
      <c r="K551" s="4"/>
      <c r="R551" s="4"/>
    </row>
    <row r="552">
      <c r="A552" s="226"/>
      <c r="B552" s="188"/>
      <c r="C552" s="278"/>
      <c r="E552" s="181"/>
      <c r="F552" s="181"/>
      <c r="G552" s="4"/>
      <c r="I552" s="190"/>
      <c r="J552" s="190"/>
      <c r="K552" s="4"/>
      <c r="R552" s="4"/>
    </row>
    <row r="553">
      <c r="A553" s="226"/>
      <c r="B553" s="188"/>
      <c r="C553" s="278"/>
      <c r="E553" s="181"/>
      <c r="F553" s="181"/>
      <c r="G553" s="4"/>
      <c r="I553" s="190"/>
      <c r="J553" s="190"/>
      <c r="K553" s="4"/>
      <c r="R553" s="4"/>
    </row>
    <row r="554">
      <c r="A554" s="226"/>
      <c r="B554" s="188"/>
      <c r="C554" s="278"/>
      <c r="E554" s="181"/>
      <c r="F554" s="181"/>
      <c r="G554" s="4"/>
      <c r="I554" s="190"/>
      <c r="J554" s="190"/>
      <c r="K554" s="4"/>
      <c r="R554" s="4"/>
    </row>
    <row r="555">
      <c r="A555" s="226"/>
      <c r="B555" s="188"/>
      <c r="C555" s="278"/>
      <c r="E555" s="181"/>
      <c r="F555" s="181"/>
      <c r="G555" s="4"/>
      <c r="I555" s="190"/>
      <c r="J555" s="190"/>
      <c r="K555" s="4"/>
      <c r="R555" s="4"/>
    </row>
    <row r="556">
      <c r="A556" s="226"/>
      <c r="B556" s="188"/>
      <c r="C556" s="278"/>
      <c r="E556" s="181"/>
      <c r="F556" s="181"/>
      <c r="G556" s="4"/>
      <c r="I556" s="190"/>
      <c r="J556" s="190"/>
      <c r="K556" s="4"/>
      <c r="R556" s="4"/>
    </row>
    <row r="557">
      <c r="A557" s="226"/>
      <c r="B557" s="188"/>
      <c r="C557" s="278"/>
      <c r="E557" s="181"/>
      <c r="F557" s="181"/>
      <c r="G557" s="4"/>
      <c r="I557" s="190"/>
      <c r="J557" s="190"/>
      <c r="K557" s="4"/>
      <c r="R557" s="4"/>
    </row>
    <row r="558">
      <c r="A558" s="226"/>
      <c r="B558" s="188"/>
      <c r="C558" s="278"/>
      <c r="E558" s="181"/>
      <c r="F558" s="181"/>
      <c r="G558" s="4"/>
      <c r="I558" s="190"/>
      <c r="J558" s="190"/>
      <c r="K558" s="4"/>
      <c r="R558" s="4"/>
    </row>
    <row r="559">
      <c r="A559" s="226"/>
      <c r="B559" s="188"/>
      <c r="C559" s="278"/>
      <c r="E559" s="181"/>
      <c r="F559" s="181"/>
      <c r="G559" s="4"/>
      <c r="I559" s="190"/>
      <c r="J559" s="190"/>
      <c r="K559" s="4"/>
      <c r="R559" s="4"/>
    </row>
    <row r="560">
      <c r="A560" s="226"/>
      <c r="B560" s="188"/>
      <c r="C560" s="278"/>
      <c r="E560" s="181"/>
      <c r="F560" s="181"/>
      <c r="G560" s="4"/>
      <c r="I560" s="190"/>
      <c r="J560" s="190"/>
      <c r="K560" s="4"/>
      <c r="R560" s="4"/>
    </row>
    <row r="561">
      <c r="A561" s="226"/>
      <c r="B561" s="188"/>
      <c r="C561" s="278"/>
      <c r="E561" s="181"/>
      <c r="F561" s="181"/>
      <c r="G561" s="4"/>
      <c r="I561" s="190"/>
      <c r="J561" s="190"/>
      <c r="K561" s="4"/>
      <c r="R561" s="4"/>
    </row>
    <row r="562">
      <c r="A562" s="226"/>
      <c r="B562" s="188"/>
      <c r="C562" s="278"/>
      <c r="E562" s="181"/>
      <c r="F562" s="181"/>
      <c r="G562" s="4"/>
      <c r="I562" s="190"/>
      <c r="J562" s="190"/>
      <c r="K562" s="4"/>
      <c r="R562" s="4"/>
    </row>
    <row r="563">
      <c r="A563" s="226"/>
      <c r="B563" s="188"/>
      <c r="C563" s="278"/>
      <c r="E563" s="181"/>
      <c r="F563" s="181"/>
      <c r="G563" s="4"/>
      <c r="I563" s="190"/>
      <c r="J563" s="190"/>
      <c r="K563" s="4"/>
      <c r="R563" s="4"/>
    </row>
    <row r="564">
      <c r="A564" s="226"/>
      <c r="B564" s="188"/>
      <c r="C564" s="278"/>
      <c r="E564" s="181"/>
      <c r="F564" s="181"/>
      <c r="G564" s="4"/>
      <c r="I564" s="190"/>
      <c r="J564" s="190"/>
      <c r="K564" s="4"/>
      <c r="R564" s="4"/>
    </row>
    <row r="565">
      <c r="A565" s="226"/>
      <c r="B565" s="188"/>
      <c r="C565" s="278"/>
      <c r="E565" s="181"/>
      <c r="F565" s="181"/>
      <c r="G565" s="4"/>
      <c r="I565" s="190"/>
      <c r="J565" s="190"/>
      <c r="K565" s="4"/>
      <c r="R565" s="4"/>
    </row>
    <row r="566">
      <c r="A566" s="226"/>
      <c r="B566" s="188"/>
      <c r="C566" s="278"/>
      <c r="E566" s="181"/>
      <c r="F566" s="181"/>
      <c r="G566" s="4"/>
      <c r="I566" s="190"/>
      <c r="J566" s="190"/>
      <c r="K566" s="4"/>
      <c r="R566" s="4"/>
    </row>
    <row r="567">
      <c r="A567" s="226"/>
      <c r="B567" s="188"/>
      <c r="C567" s="278"/>
      <c r="E567" s="181"/>
      <c r="F567" s="181"/>
      <c r="G567" s="4"/>
      <c r="I567" s="190"/>
      <c r="J567" s="190"/>
      <c r="K567" s="4"/>
      <c r="R567" s="4"/>
    </row>
    <row r="568">
      <c r="A568" s="226"/>
      <c r="B568" s="188"/>
      <c r="C568" s="278"/>
      <c r="E568" s="181"/>
      <c r="F568" s="181"/>
      <c r="G568" s="4"/>
      <c r="I568" s="190"/>
      <c r="J568" s="190"/>
      <c r="K568" s="4"/>
      <c r="R568" s="4"/>
    </row>
    <row r="569">
      <c r="A569" s="226"/>
      <c r="B569" s="188"/>
      <c r="C569" s="278"/>
      <c r="E569" s="181"/>
      <c r="F569" s="181"/>
      <c r="G569" s="4"/>
      <c r="I569" s="190"/>
      <c r="J569" s="190"/>
      <c r="K569" s="4"/>
      <c r="R569" s="4"/>
    </row>
    <row r="570">
      <c r="A570" s="226"/>
      <c r="B570" s="188"/>
      <c r="C570" s="278"/>
      <c r="E570" s="181"/>
      <c r="F570" s="181"/>
      <c r="G570" s="4"/>
      <c r="I570" s="190"/>
      <c r="J570" s="190"/>
      <c r="K570" s="4"/>
      <c r="R570" s="4"/>
    </row>
    <row r="571">
      <c r="A571" s="226"/>
      <c r="B571" s="188"/>
      <c r="C571" s="278"/>
      <c r="E571" s="181"/>
      <c r="F571" s="181"/>
      <c r="G571" s="4"/>
      <c r="I571" s="190"/>
      <c r="J571" s="190"/>
      <c r="K571" s="4"/>
      <c r="R571" s="4"/>
    </row>
    <row r="572">
      <c r="A572" s="226"/>
      <c r="B572" s="188"/>
      <c r="C572" s="278"/>
      <c r="E572" s="181"/>
      <c r="F572" s="181"/>
      <c r="G572" s="4"/>
      <c r="I572" s="190"/>
      <c r="J572" s="190"/>
      <c r="K572" s="4"/>
      <c r="R572" s="4"/>
    </row>
    <row r="573">
      <c r="A573" s="226"/>
      <c r="B573" s="188"/>
      <c r="C573" s="278"/>
      <c r="E573" s="181"/>
      <c r="F573" s="181"/>
      <c r="G573" s="4"/>
      <c r="I573" s="190"/>
      <c r="J573" s="190"/>
      <c r="K573" s="4"/>
      <c r="R573" s="4"/>
    </row>
    <row r="574">
      <c r="A574" s="226"/>
      <c r="B574" s="188"/>
      <c r="C574" s="278"/>
      <c r="E574" s="181"/>
      <c r="F574" s="181"/>
      <c r="G574" s="4"/>
      <c r="I574" s="190"/>
      <c r="J574" s="190"/>
      <c r="K574" s="4"/>
      <c r="R574" s="4"/>
    </row>
    <row r="575">
      <c r="A575" s="226"/>
      <c r="B575" s="188"/>
      <c r="C575" s="278"/>
      <c r="E575" s="181"/>
      <c r="F575" s="181"/>
      <c r="G575" s="4"/>
      <c r="I575" s="190"/>
      <c r="J575" s="190"/>
      <c r="K575" s="4"/>
      <c r="R575" s="4"/>
    </row>
    <row r="576">
      <c r="A576" s="226"/>
      <c r="B576" s="188"/>
      <c r="C576" s="278"/>
      <c r="E576" s="181"/>
      <c r="F576" s="181"/>
      <c r="G576" s="4"/>
      <c r="I576" s="190"/>
      <c r="J576" s="190"/>
      <c r="K576" s="4"/>
      <c r="R576" s="4"/>
    </row>
    <row r="577">
      <c r="A577" s="226"/>
      <c r="B577" s="188"/>
      <c r="C577" s="278"/>
      <c r="E577" s="181"/>
      <c r="F577" s="181"/>
      <c r="G577" s="4"/>
      <c r="I577" s="190"/>
      <c r="J577" s="190"/>
      <c r="K577" s="4"/>
      <c r="R577" s="4"/>
    </row>
    <row r="578">
      <c r="A578" s="226"/>
      <c r="B578" s="188"/>
      <c r="C578" s="278"/>
      <c r="E578" s="181"/>
      <c r="F578" s="181"/>
      <c r="G578" s="4"/>
      <c r="I578" s="190"/>
      <c r="J578" s="190"/>
      <c r="K578" s="4"/>
      <c r="R578" s="4"/>
    </row>
    <row r="579">
      <c r="A579" s="226"/>
      <c r="B579" s="188"/>
      <c r="C579" s="278"/>
      <c r="E579" s="181"/>
      <c r="F579" s="181"/>
      <c r="G579" s="4"/>
      <c r="I579" s="190"/>
      <c r="J579" s="190"/>
      <c r="K579" s="4"/>
      <c r="R579" s="4"/>
    </row>
    <row r="580">
      <c r="A580" s="226"/>
      <c r="B580" s="188"/>
      <c r="C580" s="278"/>
      <c r="E580" s="181"/>
      <c r="F580" s="181"/>
      <c r="G580" s="4"/>
      <c r="I580" s="190"/>
      <c r="J580" s="190"/>
      <c r="K580" s="4"/>
      <c r="R580" s="4"/>
    </row>
    <row r="581">
      <c r="A581" s="226"/>
      <c r="B581" s="188"/>
      <c r="C581" s="278"/>
      <c r="E581" s="181"/>
      <c r="F581" s="181"/>
      <c r="G581" s="4"/>
      <c r="I581" s="190"/>
      <c r="J581" s="190"/>
      <c r="K581" s="4"/>
      <c r="R581" s="4"/>
    </row>
    <row r="582">
      <c r="A582" s="226"/>
      <c r="B582" s="188"/>
      <c r="C582" s="278"/>
      <c r="E582" s="181"/>
      <c r="F582" s="181"/>
      <c r="G582" s="4"/>
      <c r="I582" s="190"/>
      <c r="J582" s="190"/>
      <c r="K582" s="4"/>
      <c r="R582" s="4"/>
    </row>
    <row r="583">
      <c r="A583" s="226"/>
      <c r="B583" s="188"/>
      <c r="C583" s="278"/>
      <c r="E583" s="181"/>
      <c r="F583" s="181"/>
      <c r="G583" s="4"/>
      <c r="I583" s="190"/>
      <c r="J583" s="190"/>
      <c r="K583" s="4"/>
      <c r="R583" s="4"/>
    </row>
    <row r="584">
      <c r="A584" s="226"/>
      <c r="B584" s="188"/>
      <c r="C584" s="278"/>
      <c r="E584" s="181"/>
      <c r="F584" s="181"/>
      <c r="G584" s="4"/>
      <c r="I584" s="190"/>
      <c r="J584" s="190"/>
      <c r="K584" s="4"/>
      <c r="R584" s="4"/>
    </row>
    <row r="585">
      <c r="A585" s="226"/>
      <c r="B585" s="188"/>
      <c r="C585" s="278"/>
      <c r="E585" s="181"/>
      <c r="F585" s="181"/>
      <c r="G585" s="4"/>
      <c r="I585" s="190"/>
      <c r="J585" s="190"/>
      <c r="K585" s="4"/>
      <c r="R585" s="4"/>
    </row>
    <row r="586">
      <c r="A586" s="226"/>
      <c r="B586" s="188"/>
      <c r="C586" s="278"/>
      <c r="E586" s="181"/>
      <c r="F586" s="181"/>
      <c r="G586" s="4"/>
      <c r="I586" s="190"/>
      <c r="J586" s="190"/>
      <c r="K586" s="4"/>
      <c r="R586" s="4"/>
    </row>
    <row r="587">
      <c r="A587" s="226"/>
      <c r="B587" s="188"/>
      <c r="C587" s="278"/>
      <c r="E587" s="181"/>
      <c r="F587" s="181"/>
      <c r="G587" s="4"/>
      <c r="I587" s="190"/>
      <c r="J587" s="190"/>
      <c r="K587" s="4"/>
      <c r="R587" s="4"/>
    </row>
    <row r="588">
      <c r="A588" s="226"/>
      <c r="B588" s="188"/>
      <c r="C588" s="278"/>
      <c r="E588" s="181"/>
      <c r="F588" s="181"/>
      <c r="G588" s="4"/>
      <c r="I588" s="190"/>
      <c r="J588" s="190"/>
      <c r="K588" s="4"/>
      <c r="R588" s="4"/>
    </row>
    <row r="589">
      <c r="A589" s="226"/>
      <c r="B589" s="188"/>
      <c r="C589" s="278"/>
      <c r="E589" s="181"/>
      <c r="F589" s="181"/>
      <c r="G589" s="4"/>
      <c r="I589" s="190"/>
      <c r="J589" s="190"/>
      <c r="K589" s="4"/>
      <c r="R589" s="4"/>
    </row>
    <row r="590">
      <c r="A590" s="226"/>
      <c r="B590" s="188"/>
      <c r="C590" s="278"/>
      <c r="E590" s="181"/>
      <c r="F590" s="181"/>
      <c r="G590" s="4"/>
      <c r="I590" s="190"/>
      <c r="J590" s="190"/>
      <c r="K590" s="4"/>
      <c r="R590" s="4"/>
    </row>
    <row r="591">
      <c r="A591" s="226"/>
      <c r="B591" s="188"/>
      <c r="C591" s="278"/>
      <c r="E591" s="181"/>
      <c r="F591" s="181"/>
      <c r="G591" s="4"/>
      <c r="I591" s="190"/>
      <c r="J591" s="190"/>
      <c r="K591" s="4"/>
      <c r="R591" s="4"/>
    </row>
    <row r="592">
      <c r="A592" s="226"/>
      <c r="B592" s="188"/>
      <c r="C592" s="278"/>
      <c r="E592" s="181"/>
      <c r="F592" s="181"/>
      <c r="G592" s="4"/>
      <c r="I592" s="190"/>
      <c r="J592" s="190"/>
      <c r="K592" s="4"/>
      <c r="R592" s="4"/>
    </row>
    <row r="593">
      <c r="A593" s="226"/>
      <c r="B593" s="188"/>
      <c r="C593" s="278"/>
      <c r="E593" s="181"/>
      <c r="F593" s="181"/>
      <c r="G593" s="4"/>
      <c r="I593" s="190"/>
      <c r="J593" s="190"/>
      <c r="K593" s="4"/>
      <c r="R593" s="4"/>
    </row>
    <row r="594">
      <c r="A594" s="226"/>
      <c r="B594" s="188"/>
      <c r="C594" s="278"/>
      <c r="E594" s="181"/>
      <c r="F594" s="181"/>
      <c r="G594" s="4"/>
      <c r="I594" s="190"/>
      <c r="J594" s="190"/>
      <c r="K594" s="4"/>
      <c r="R594" s="4"/>
    </row>
    <row r="595">
      <c r="A595" s="226"/>
      <c r="B595" s="188"/>
      <c r="C595" s="278"/>
      <c r="E595" s="181"/>
      <c r="F595" s="181"/>
      <c r="G595" s="4"/>
      <c r="I595" s="190"/>
      <c r="J595" s="190"/>
      <c r="K595" s="4"/>
      <c r="R595" s="4"/>
    </row>
    <row r="596">
      <c r="A596" s="226"/>
      <c r="B596" s="188"/>
      <c r="C596" s="278"/>
      <c r="E596" s="181"/>
      <c r="F596" s="181"/>
      <c r="G596" s="4"/>
      <c r="I596" s="190"/>
      <c r="J596" s="190"/>
      <c r="K596" s="4"/>
      <c r="R596" s="4"/>
    </row>
    <row r="597">
      <c r="A597" s="226"/>
      <c r="B597" s="188"/>
      <c r="C597" s="278"/>
      <c r="E597" s="181"/>
      <c r="F597" s="181"/>
      <c r="G597" s="4"/>
      <c r="I597" s="190"/>
      <c r="J597" s="190"/>
      <c r="K597" s="4"/>
      <c r="R597" s="4"/>
    </row>
    <row r="598">
      <c r="A598" s="226"/>
      <c r="B598" s="188"/>
      <c r="C598" s="278"/>
      <c r="E598" s="181"/>
      <c r="F598" s="181"/>
      <c r="G598" s="4"/>
      <c r="I598" s="190"/>
      <c r="J598" s="190"/>
      <c r="K598" s="4"/>
      <c r="R598" s="4"/>
    </row>
    <row r="599">
      <c r="A599" s="226"/>
      <c r="B599" s="188"/>
      <c r="C599" s="278"/>
      <c r="E599" s="181"/>
      <c r="F599" s="181"/>
      <c r="G599" s="4"/>
      <c r="I599" s="190"/>
      <c r="J599" s="190"/>
      <c r="K599" s="4"/>
      <c r="R599" s="4"/>
    </row>
    <row r="600">
      <c r="A600" s="226"/>
      <c r="B600" s="188"/>
      <c r="C600" s="278"/>
      <c r="E600" s="181"/>
      <c r="F600" s="181"/>
      <c r="G600" s="4"/>
      <c r="I600" s="190"/>
      <c r="J600" s="190"/>
      <c r="K600" s="4"/>
      <c r="R600" s="4"/>
    </row>
    <row r="601">
      <c r="A601" s="226"/>
      <c r="B601" s="188"/>
      <c r="C601" s="278"/>
      <c r="E601" s="181"/>
      <c r="F601" s="181"/>
      <c r="G601" s="4"/>
      <c r="I601" s="190"/>
      <c r="J601" s="190"/>
      <c r="K601" s="4"/>
      <c r="R601" s="4"/>
    </row>
    <row r="602">
      <c r="A602" s="226"/>
      <c r="B602" s="188"/>
      <c r="C602" s="278"/>
      <c r="E602" s="181"/>
      <c r="F602" s="181"/>
      <c r="G602" s="4"/>
      <c r="I602" s="190"/>
      <c r="J602" s="190"/>
      <c r="K602" s="4"/>
      <c r="R602" s="4"/>
    </row>
    <row r="603">
      <c r="A603" s="226"/>
      <c r="B603" s="188"/>
      <c r="C603" s="278"/>
      <c r="E603" s="181"/>
      <c r="F603" s="181"/>
      <c r="G603" s="4"/>
      <c r="I603" s="190"/>
      <c r="J603" s="190"/>
      <c r="K603" s="4"/>
      <c r="R603" s="4"/>
    </row>
    <row r="604">
      <c r="A604" s="226"/>
      <c r="B604" s="188"/>
      <c r="C604" s="278"/>
      <c r="E604" s="181"/>
      <c r="F604" s="181"/>
      <c r="G604" s="4"/>
      <c r="I604" s="190"/>
      <c r="J604" s="190"/>
      <c r="K604" s="4"/>
      <c r="R604" s="4"/>
    </row>
    <row r="605">
      <c r="A605" s="226"/>
      <c r="B605" s="188"/>
      <c r="C605" s="278"/>
      <c r="E605" s="181"/>
      <c r="F605" s="181"/>
      <c r="G605" s="4"/>
      <c r="I605" s="190"/>
      <c r="J605" s="190"/>
      <c r="K605" s="4"/>
      <c r="R605" s="4"/>
    </row>
    <row r="606">
      <c r="A606" s="226"/>
      <c r="B606" s="188"/>
      <c r="C606" s="278"/>
      <c r="E606" s="181"/>
      <c r="F606" s="181"/>
      <c r="G606" s="4"/>
      <c r="I606" s="190"/>
      <c r="J606" s="190"/>
      <c r="K606" s="4"/>
      <c r="R606" s="4"/>
    </row>
    <row r="607">
      <c r="A607" s="226"/>
      <c r="B607" s="188"/>
      <c r="C607" s="278"/>
      <c r="E607" s="181"/>
      <c r="F607" s="181"/>
      <c r="G607" s="4"/>
      <c r="I607" s="190"/>
      <c r="J607" s="190"/>
      <c r="K607" s="4"/>
      <c r="R607" s="4"/>
    </row>
    <row r="608">
      <c r="A608" s="226"/>
      <c r="B608" s="188"/>
      <c r="C608" s="278"/>
      <c r="E608" s="181"/>
      <c r="F608" s="181"/>
      <c r="G608" s="4"/>
      <c r="I608" s="190"/>
      <c r="J608" s="190"/>
      <c r="K608" s="4"/>
      <c r="R608" s="4"/>
    </row>
    <row r="609">
      <c r="A609" s="226"/>
      <c r="B609" s="188"/>
      <c r="C609" s="278"/>
      <c r="E609" s="181"/>
      <c r="F609" s="181"/>
      <c r="G609" s="4"/>
      <c r="I609" s="190"/>
      <c r="J609" s="190"/>
      <c r="K609" s="4"/>
      <c r="R609" s="4"/>
    </row>
    <row r="610">
      <c r="A610" s="226"/>
      <c r="B610" s="188"/>
      <c r="C610" s="278"/>
      <c r="E610" s="181"/>
      <c r="F610" s="181"/>
      <c r="G610" s="4"/>
      <c r="I610" s="190"/>
      <c r="J610" s="190"/>
      <c r="K610" s="4"/>
      <c r="R610" s="4"/>
    </row>
    <row r="611">
      <c r="A611" s="226"/>
      <c r="B611" s="188"/>
      <c r="C611" s="278"/>
      <c r="E611" s="181"/>
      <c r="F611" s="181"/>
      <c r="G611" s="4"/>
      <c r="I611" s="190"/>
      <c r="J611" s="190"/>
      <c r="K611" s="4"/>
      <c r="R611" s="4"/>
    </row>
    <row r="612">
      <c r="A612" s="226"/>
      <c r="B612" s="188"/>
      <c r="C612" s="278"/>
      <c r="E612" s="181"/>
      <c r="F612" s="181"/>
      <c r="G612" s="4"/>
      <c r="I612" s="190"/>
      <c r="J612" s="190"/>
      <c r="K612" s="4"/>
      <c r="R612" s="4"/>
    </row>
    <row r="613">
      <c r="A613" s="226"/>
      <c r="B613" s="188"/>
      <c r="C613" s="278"/>
      <c r="E613" s="181"/>
      <c r="F613" s="181"/>
      <c r="G613" s="4"/>
      <c r="I613" s="190"/>
      <c r="J613" s="190"/>
      <c r="K613" s="4"/>
      <c r="R613" s="4"/>
    </row>
    <row r="614">
      <c r="A614" s="226"/>
      <c r="B614" s="188"/>
      <c r="C614" s="278"/>
      <c r="E614" s="181"/>
      <c r="F614" s="181"/>
      <c r="G614" s="4"/>
      <c r="I614" s="190"/>
      <c r="J614" s="190"/>
      <c r="K614" s="4"/>
      <c r="R614" s="4"/>
    </row>
    <row r="615">
      <c r="A615" s="226"/>
      <c r="B615" s="188"/>
      <c r="C615" s="278"/>
      <c r="E615" s="181"/>
      <c r="F615" s="181"/>
      <c r="G615" s="4"/>
      <c r="I615" s="190"/>
      <c r="J615" s="190"/>
      <c r="K615" s="4"/>
      <c r="R615" s="4"/>
    </row>
    <row r="616">
      <c r="A616" s="226"/>
      <c r="B616" s="188"/>
      <c r="C616" s="278"/>
      <c r="E616" s="181"/>
      <c r="F616" s="181"/>
      <c r="G616" s="4"/>
      <c r="I616" s="190"/>
      <c r="J616" s="190"/>
      <c r="K616" s="4"/>
      <c r="R616" s="4"/>
    </row>
    <row r="617">
      <c r="A617" s="226"/>
      <c r="B617" s="188"/>
      <c r="C617" s="278"/>
      <c r="E617" s="181"/>
      <c r="F617" s="181"/>
      <c r="G617" s="4"/>
      <c r="I617" s="190"/>
      <c r="J617" s="190"/>
      <c r="K617" s="4"/>
      <c r="R617" s="4"/>
    </row>
    <row r="618">
      <c r="A618" s="226"/>
      <c r="B618" s="188"/>
      <c r="C618" s="278"/>
      <c r="E618" s="181"/>
      <c r="F618" s="181"/>
      <c r="G618" s="4"/>
      <c r="I618" s="190"/>
      <c r="J618" s="190"/>
      <c r="K618" s="4"/>
      <c r="R618" s="4"/>
    </row>
    <row r="619">
      <c r="A619" s="226"/>
      <c r="B619" s="188"/>
      <c r="C619" s="278"/>
      <c r="E619" s="181"/>
      <c r="F619" s="181"/>
      <c r="G619" s="4"/>
      <c r="I619" s="190"/>
      <c r="J619" s="190"/>
      <c r="K619" s="4"/>
      <c r="R619" s="4"/>
    </row>
    <row r="620">
      <c r="A620" s="226"/>
      <c r="B620" s="188"/>
      <c r="C620" s="278"/>
      <c r="E620" s="181"/>
      <c r="F620" s="181"/>
      <c r="G620" s="4"/>
      <c r="I620" s="190"/>
      <c r="J620" s="190"/>
      <c r="K620" s="4"/>
      <c r="R620" s="4"/>
    </row>
    <row r="621">
      <c r="A621" s="226"/>
      <c r="B621" s="188"/>
      <c r="C621" s="278"/>
      <c r="E621" s="181"/>
      <c r="F621" s="181"/>
      <c r="G621" s="4"/>
      <c r="I621" s="190"/>
      <c r="J621" s="190"/>
      <c r="K621" s="4"/>
      <c r="R621" s="4"/>
    </row>
    <row r="622">
      <c r="A622" s="226"/>
      <c r="B622" s="188"/>
      <c r="C622" s="278"/>
      <c r="E622" s="181"/>
      <c r="F622" s="181"/>
      <c r="G622" s="4"/>
      <c r="I622" s="190"/>
      <c r="J622" s="190"/>
      <c r="K622" s="4"/>
      <c r="R622" s="4"/>
    </row>
    <row r="623">
      <c r="A623" s="226"/>
      <c r="B623" s="188"/>
      <c r="C623" s="278"/>
      <c r="E623" s="181"/>
      <c r="F623" s="181"/>
      <c r="G623" s="4"/>
      <c r="I623" s="190"/>
      <c r="J623" s="190"/>
      <c r="K623" s="4"/>
      <c r="R623" s="4"/>
    </row>
    <row r="624">
      <c r="A624" s="226"/>
      <c r="B624" s="188"/>
      <c r="C624" s="278"/>
      <c r="E624" s="181"/>
      <c r="F624" s="181"/>
      <c r="G624" s="4"/>
      <c r="I624" s="190"/>
      <c r="J624" s="190"/>
      <c r="K624" s="4"/>
      <c r="R624" s="4"/>
    </row>
    <row r="625">
      <c r="A625" s="226"/>
      <c r="B625" s="188"/>
      <c r="C625" s="278"/>
      <c r="E625" s="181"/>
      <c r="F625" s="181"/>
      <c r="G625" s="4"/>
      <c r="I625" s="190"/>
      <c r="J625" s="190"/>
      <c r="K625" s="4"/>
      <c r="R625" s="4"/>
    </row>
    <row r="626">
      <c r="A626" s="226"/>
      <c r="B626" s="188"/>
      <c r="C626" s="278"/>
      <c r="E626" s="181"/>
      <c r="F626" s="181"/>
      <c r="G626" s="4"/>
      <c r="I626" s="190"/>
      <c r="J626" s="190"/>
      <c r="K626" s="4"/>
      <c r="R626" s="4"/>
    </row>
    <row r="627">
      <c r="A627" s="226"/>
      <c r="B627" s="188"/>
      <c r="C627" s="278"/>
      <c r="E627" s="181"/>
      <c r="F627" s="181"/>
      <c r="G627" s="4"/>
      <c r="I627" s="190"/>
      <c r="J627" s="190"/>
      <c r="K627" s="4"/>
      <c r="R627" s="4"/>
    </row>
    <row r="628">
      <c r="A628" s="226"/>
      <c r="B628" s="188"/>
      <c r="C628" s="278"/>
      <c r="E628" s="181"/>
      <c r="F628" s="181"/>
      <c r="G628" s="4"/>
      <c r="I628" s="190"/>
      <c r="J628" s="190"/>
      <c r="K628" s="4"/>
      <c r="R628" s="4"/>
    </row>
    <row r="629">
      <c r="A629" s="226"/>
      <c r="B629" s="188"/>
      <c r="C629" s="278"/>
      <c r="E629" s="181"/>
      <c r="F629" s="181"/>
      <c r="G629" s="4"/>
      <c r="I629" s="190"/>
      <c r="J629" s="190"/>
      <c r="K629" s="4"/>
      <c r="R629" s="4"/>
    </row>
    <row r="630">
      <c r="A630" s="226"/>
      <c r="B630" s="188"/>
      <c r="C630" s="278"/>
      <c r="E630" s="181"/>
      <c r="F630" s="181"/>
      <c r="G630" s="4"/>
      <c r="I630" s="190"/>
      <c r="J630" s="190"/>
      <c r="K630" s="4"/>
      <c r="R630" s="4"/>
    </row>
    <row r="631">
      <c r="A631" s="226"/>
      <c r="B631" s="188"/>
      <c r="C631" s="278"/>
      <c r="E631" s="181"/>
      <c r="F631" s="181"/>
      <c r="G631" s="4"/>
      <c r="I631" s="190"/>
      <c r="J631" s="190"/>
      <c r="K631" s="4"/>
      <c r="R631" s="4"/>
    </row>
    <row r="632">
      <c r="A632" s="226"/>
      <c r="B632" s="188"/>
      <c r="C632" s="278"/>
      <c r="E632" s="181"/>
      <c r="F632" s="181"/>
      <c r="G632" s="4"/>
      <c r="I632" s="190"/>
      <c r="J632" s="190"/>
      <c r="K632" s="4"/>
      <c r="R632" s="4"/>
    </row>
    <row r="633">
      <c r="A633" s="226"/>
      <c r="B633" s="188"/>
      <c r="C633" s="278"/>
      <c r="E633" s="181"/>
      <c r="F633" s="181"/>
      <c r="G633" s="4"/>
      <c r="I633" s="190"/>
      <c r="J633" s="190"/>
      <c r="K633" s="4"/>
      <c r="R633" s="4"/>
    </row>
    <row r="634">
      <c r="A634" s="226"/>
      <c r="B634" s="188"/>
      <c r="C634" s="278"/>
      <c r="E634" s="181"/>
      <c r="F634" s="181"/>
      <c r="G634" s="4"/>
      <c r="I634" s="190"/>
      <c r="J634" s="190"/>
      <c r="K634" s="4"/>
      <c r="R634" s="4"/>
    </row>
    <row r="635">
      <c r="A635" s="226"/>
      <c r="B635" s="188"/>
      <c r="C635" s="278"/>
      <c r="E635" s="181"/>
      <c r="F635" s="181"/>
      <c r="G635" s="4"/>
      <c r="I635" s="190"/>
      <c r="J635" s="190"/>
      <c r="K635" s="4"/>
      <c r="R635" s="4"/>
    </row>
    <row r="636">
      <c r="A636" s="226"/>
      <c r="B636" s="188"/>
      <c r="C636" s="278"/>
      <c r="E636" s="181"/>
      <c r="F636" s="181"/>
      <c r="G636" s="4"/>
      <c r="I636" s="190"/>
      <c r="J636" s="190"/>
      <c r="K636" s="4"/>
      <c r="R636" s="4"/>
    </row>
    <row r="637">
      <c r="A637" s="226"/>
      <c r="B637" s="188"/>
      <c r="C637" s="278"/>
      <c r="E637" s="181"/>
      <c r="F637" s="181"/>
      <c r="G637" s="4"/>
      <c r="I637" s="190"/>
      <c r="J637" s="190"/>
      <c r="K637" s="4"/>
      <c r="R637" s="4"/>
    </row>
    <row r="638">
      <c r="A638" s="226"/>
      <c r="B638" s="188"/>
      <c r="C638" s="278"/>
      <c r="E638" s="181"/>
      <c r="F638" s="181"/>
      <c r="G638" s="4"/>
      <c r="I638" s="190"/>
      <c r="J638" s="190"/>
      <c r="K638" s="4"/>
      <c r="R638" s="4"/>
    </row>
    <row r="639">
      <c r="A639" s="226"/>
      <c r="B639" s="188"/>
      <c r="C639" s="278"/>
      <c r="E639" s="181"/>
      <c r="F639" s="181"/>
      <c r="G639" s="4"/>
      <c r="I639" s="190"/>
      <c r="J639" s="190"/>
      <c r="K639" s="4"/>
      <c r="R639" s="4"/>
    </row>
    <row r="640">
      <c r="A640" s="226"/>
      <c r="B640" s="188"/>
      <c r="C640" s="278"/>
      <c r="E640" s="181"/>
      <c r="F640" s="181"/>
      <c r="G640" s="4"/>
      <c r="I640" s="190"/>
      <c r="J640" s="190"/>
      <c r="K640" s="4"/>
      <c r="R640" s="4"/>
    </row>
    <row r="641">
      <c r="A641" s="226"/>
      <c r="B641" s="188"/>
      <c r="C641" s="278"/>
      <c r="E641" s="181"/>
      <c r="F641" s="181"/>
      <c r="G641" s="4"/>
      <c r="I641" s="190"/>
      <c r="J641" s="190"/>
      <c r="K641" s="4"/>
      <c r="R641" s="4"/>
    </row>
    <row r="642">
      <c r="A642" s="226"/>
      <c r="B642" s="188"/>
      <c r="C642" s="278"/>
      <c r="E642" s="181"/>
      <c r="F642" s="181"/>
      <c r="G642" s="4"/>
      <c r="I642" s="190"/>
      <c r="J642" s="190"/>
      <c r="K642" s="4"/>
      <c r="R642" s="4"/>
    </row>
    <row r="643">
      <c r="A643" s="226"/>
      <c r="B643" s="188"/>
      <c r="C643" s="278"/>
      <c r="E643" s="181"/>
      <c r="F643" s="181"/>
      <c r="G643" s="4"/>
      <c r="I643" s="190"/>
      <c r="J643" s="190"/>
      <c r="K643" s="4"/>
      <c r="R643" s="4"/>
    </row>
    <row r="644">
      <c r="A644" s="226"/>
      <c r="B644" s="188"/>
      <c r="C644" s="278"/>
      <c r="E644" s="181"/>
      <c r="F644" s="181"/>
      <c r="G644" s="4"/>
      <c r="I644" s="190"/>
      <c r="J644" s="190"/>
      <c r="K644" s="4"/>
      <c r="R644" s="4"/>
    </row>
    <row r="645">
      <c r="A645" s="226"/>
      <c r="B645" s="188"/>
      <c r="C645" s="278"/>
      <c r="E645" s="181"/>
      <c r="F645" s="181"/>
      <c r="G645" s="4"/>
      <c r="I645" s="190"/>
      <c r="J645" s="190"/>
      <c r="K645" s="4"/>
      <c r="R645" s="4"/>
    </row>
    <row r="646">
      <c r="A646" s="226"/>
      <c r="B646" s="188"/>
      <c r="C646" s="278"/>
      <c r="E646" s="181"/>
      <c r="F646" s="181"/>
      <c r="G646" s="4"/>
      <c r="I646" s="190"/>
      <c r="J646" s="190"/>
      <c r="K646" s="4"/>
      <c r="R646" s="4"/>
    </row>
    <row r="647">
      <c r="A647" s="226"/>
      <c r="B647" s="188"/>
      <c r="C647" s="278"/>
      <c r="E647" s="181"/>
      <c r="F647" s="181"/>
      <c r="G647" s="4"/>
      <c r="I647" s="190"/>
      <c r="J647" s="190"/>
      <c r="K647" s="4"/>
      <c r="R647" s="4"/>
    </row>
    <row r="648">
      <c r="A648" s="226"/>
      <c r="B648" s="188"/>
      <c r="C648" s="278"/>
      <c r="E648" s="181"/>
      <c r="F648" s="181"/>
      <c r="G648" s="4"/>
      <c r="I648" s="190"/>
      <c r="J648" s="190"/>
      <c r="K648" s="4"/>
      <c r="R648" s="4"/>
    </row>
    <row r="649">
      <c r="A649" s="226"/>
      <c r="B649" s="188"/>
      <c r="C649" s="278"/>
      <c r="E649" s="181"/>
      <c r="F649" s="181"/>
      <c r="G649" s="4"/>
      <c r="I649" s="190"/>
      <c r="J649" s="190"/>
      <c r="K649" s="4"/>
      <c r="R649" s="4"/>
    </row>
    <row r="650">
      <c r="A650" s="226"/>
      <c r="B650" s="188"/>
      <c r="C650" s="278"/>
      <c r="E650" s="181"/>
      <c r="F650" s="181"/>
      <c r="G650" s="4"/>
      <c r="I650" s="190"/>
      <c r="J650" s="190"/>
      <c r="K650" s="4"/>
      <c r="R650" s="4"/>
    </row>
    <row r="651">
      <c r="A651" s="226"/>
      <c r="B651" s="188"/>
      <c r="C651" s="278"/>
      <c r="E651" s="181"/>
      <c r="F651" s="181"/>
      <c r="G651" s="4"/>
      <c r="I651" s="190"/>
      <c r="J651" s="190"/>
      <c r="K651" s="4"/>
      <c r="R651" s="4"/>
    </row>
    <row r="652">
      <c r="A652" s="226"/>
      <c r="B652" s="188"/>
      <c r="C652" s="278"/>
      <c r="E652" s="181"/>
      <c r="F652" s="181"/>
      <c r="G652" s="4"/>
      <c r="I652" s="190"/>
      <c r="J652" s="190"/>
      <c r="K652" s="4"/>
      <c r="R652" s="4"/>
    </row>
    <row r="653">
      <c r="A653" s="226"/>
      <c r="B653" s="188"/>
      <c r="C653" s="278"/>
      <c r="E653" s="181"/>
      <c r="F653" s="181"/>
      <c r="G653" s="4"/>
      <c r="I653" s="190"/>
      <c r="J653" s="190"/>
      <c r="K653" s="4"/>
      <c r="R653" s="4"/>
    </row>
    <row r="654">
      <c r="A654" s="226"/>
      <c r="B654" s="188"/>
      <c r="C654" s="278"/>
      <c r="E654" s="181"/>
      <c r="F654" s="181"/>
      <c r="G654" s="4"/>
      <c r="I654" s="190"/>
      <c r="J654" s="190"/>
      <c r="K654" s="4"/>
      <c r="R654" s="4"/>
    </row>
    <row r="655">
      <c r="A655" s="226"/>
      <c r="B655" s="188"/>
      <c r="C655" s="278"/>
      <c r="E655" s="181"/>
      <c r="F655" s="181"/>
      <c r="G655" s="4"/>
      <c r="I655" s="190"/>
      <c r="J655" s="190"/>
      <c r="K655" s="4"/>
      <c r="R655" s="4"/>
    </row>
    <row r="656">
      <c r="A656" s="226"/>
      <c r="B656" s="188"/>
      <c r="C656" s="278"/>
      <c r="E656" s="181"/>
      <c r="F656" s="181"/>
      <c r="G656" s="4"/>
      <c r="I656" s="190"/>
      <c r="J656" s="190"/>
      <c r="K656" s="4"/>
      <c r="R656" s="4"/>
    </row>
    <row r="657">
      <c r="A657" s="226"/>
      <c r="B657" s="188"/>
      <c r="C657" s="278"/>
      <c r="E657" s="181"/>
      <c r="F657" s="181"/>
      <c r="G657" s="4"/>
      <c r="I657" s="190"/>
      <c r="J657" s="190"/>
      <c r="K657" s="4"/>
      <c r="R657" s="4"/>
    </row>
    <row r="658">
      <c r="A658" s="226"/>
      <c r="B658" s="188"/>
      <c r="C658" s="278"/>
      <c r="E658" s="181"/>
      <c r="F658" s="181"/>
      <c r="G658" s="4"/>
      <c r="I658" s="190"/>
      <c r="J658" s="190"/>
      <c r="K658" s="4"/>
      <c r="R658" s="4"/>
    </row>
    <row r="659">
      <c r="A659" s="226"/>
      <c r="B659" s="188"/>
      <c r="C659" s="278"/>
      <c r="E659" s="181"/>
      <c r="F659" s="181"/>
      <c r="G659" s="4"/>
      <c r="I659" s="190"/>
      <c r="J659" s="190"/>
      <c r="K659" s="4"/>
      <c r="R659" s="4"/>
    </row>
    <row r="660">
      <c r="A660" s="226"/>
      <c r="B660" s="188"/>
      <c r="C660" s="278"/>
      <c r="E660" s="181"/>
      <c r="F660" s="181"/>
      <c r="G660" s="4"/>
      <c r="I660" s="190"/>
      <c r="J660" s="190"/>
      <c r="K660" s="4"/>
      <c r="R660" s="4"/>
    </row>
    <row r="661">
      <c r="A661" s="226"/>
      <c r="B661" s="188"/>
      <c r="C661" s="278"/>
      <c r="E661" s="181"/>
      <c r="F661" s="181"/>
      <c r="G661" s="4"/>
      <c r="I661" s="190"/>
      <c r="J661" s="190"/>
      <c r="K661" s="4"/>
      <c r="R661" s="4"/>
    </row>
    <row r="662">
      <c r="A662" s="226"/>
      <c r="B662" s="188"/>
      <c r="C662" s="278"/>
      <c r="E662" s="181"/>
      <c r="F662" s="181"/>
      <c r="G662" s="4"/>
      <c r="I662" s="190"/>
      <c r="J662" s="190"/>
      <c r="K662" s="4"/>
      <c r="R662" s="4"/>
    </row>
    <row r="663">
      <c r="A663" s="226"/>
      <c r="B663" s="188"/>
      <c r="C663" s="278"/>
      <c r="E663" s="181"/>
      <c r="F663" s="181"/>
      <c r="G663" s="4"/>
      <c r="I663" s="190"/>
      <c r="J663" s="190"/>
      <c r="K663" s="4"/>
      <c r="R663" s="4"/>
    </row>
    <row r="664">
      <c r="A664" s="226"/>
      <c r="B664" s="188"/>
      <c r="C664" s="278"/>
      <c r="E664" s="181"/>
      <c r="F664" s="181"/>
      <c r="G664" s="4"/>
      <c r="I664" s="190"/>
      <c r="J664" s="190"/>
      <c r="K664" s="4"/>
      <c r="R664" s="4"/>
    </row>
    <row r="665">
      <c r="A665" s="226"/>
      <c r="B665" s="188"/>
      <c r="C665" s="278"/>
      <c r="E665" s="181"/>
      <c r="F665" s="181"/>
      <c r="G665" s="4"/>
      <c r="I665" s="190"/>
      <c r="J665" s="190"/>
      <c r="K665" s="4"/>
      <c r="R665" s="4"/>
    </row>
    <row r="666">
      <c r="A666" s="226"/>
      <c r="B666" s="188"/>
      <c r="C666" s="278"/>
      <c r="E666" s="181"/>
      <c r="F666" s="181"/>
      <c r="G666" s="4"/>
      <c r="I666" s="190"/>
      <c r="J666" s="190"/>
      <c r="K666" s="4"/>
      <c r="R666" s="4"/>
    </row>
    <row r="667">
      <c r="A667" s="226"/>
      <c r="B667" s="188"/>
      <c r="C667" s="278"/>
      <c r="E667" s="181"/>
      <c r="F667" s="181"/>
      <c r="G667" s="4"/>
      <c r="I667" s="190"/>
      <c r="J667" s="190"/>
      <c r="K667" s="4"/>
      <c r="R667" s="4"/>
    </row>
    <row r="668">
      <c r="A668" s="226"/>
      <c r="B668" s="188"/>
      <c r="C668" s="278"/>
      <c r="E668" s="181"/>
      <c r="F668" s="181"/>
      <c r="G668" s="4"/>
      <c r="I668" s="190"/>
      <c r="J668" s="190"/>
      <c r="K668" s="4"/>
      <c r="R668" s="4"/>
    </row>
    <row r="669">
      <c r="A669" s="226"/>
      <c r="B669" s="188"/>
      <c r="C669" s="278"/>
      <c r="E669" s="181"/>
      <c r="F669" s="181"/>
      <c r="G669" s="4"/>
      <c r="I669" s="190"/>
      <c r="J669" s="190"/>
      <c r="K669" s="4"/>
      <c r="R669" s="4"/>
    </row>
    <row r="670">
      <c r="A670" s="226"/>
      <c r="B670" s="188"/>
      <c r="C670" s="278"/>
      <c r="E670" s="181"/>
      <c r="F670" s="181"/>
      <c r="G670" s="4"/>
      <c r="I670" s="190"/>
      <c r="J670" s="190"/>
      <c r="K670" s="4"/>
      <c r="R670" s="4"/>
    </row>
    <row r="671">
      <c r="A671" s="226"/>
      <c r="B671" s="188"/>
      <c r="C671" s="278"/>
      <c r="E671" s="181"/>
      <c r="F671" s="181"/>
      <c r="G671" s="4"/>
      <c r="I671" s="190"/>
      <c r="J671" s="190"/>
      <c r="K671" s="4"/>
      <c r="R671" s="4"/>
    </row>
    <row r="672">
      <c r="A672" s="226"/>
      <c r="B672" s="188"/>
      <c r="C672" s="278"/>
      <c r="E672" s="181"/>
      <c r="F672" s="181"/>
      <c r="G672" s="4"/>
      <c r="I672" s="190"/>
      <c r="J672" s="190"/>
      <c r="K672" s="4"/>
      <c r="R672" s="4"/>
    </row>
    <row r="673">
      <c r="A673" s="226"/>
      <c r="B673" s="188"/>
      <c r="C673" s="278"/>
      <c r="E673" s="181"/>
      <c r="F673" s="181"/>
      <c r="G673" s="4"/>
      <c r="I673" s="190"/>
      <c r="J673" s="190"/>
      <c r="K673" s="4"/>
      <c r="R673" s="4"/>
    </row>
    <row r="674">
      <c r="A674" s="226"/>
      <c r="B674" s="188"/>
      <c r="C674" s="278"/>
      <c r="E674" s="181"/>
      <c r="F674" s="181"/>
      <c r="G674" s="4"/>
      <c r="I674" s="190"/>
      <c r="J674" s="190"/>
      <c r="K674" s="4"/>
      <c r="R674" s="4"/>
    </row>
    <row r="675">
      <c r="A675" s="226"/>
      <c r="B675" s="188"/>
      <c r="C675" s="278"/>
      <c r="E675" s="181"/>
      <c r="F675" s="181"/>
      <c r="G675" s="4"/>
      <c r="I675" s="190"/>
      <c r="J675" s="190"/>
      <c r="K675" s="4"/>
      <c r="R675" s="4"/>
    </row>
    <row r="676">
      <c r="A676" s="226"/>
      <c r="B676" s="188"/>
      <c r="C676" s="278"/>
      <c r="E676" s="181"/>
      <c r="F676" s="181"/>
      <c r="G676" s="4"/>
      <c r="I676" s="190"/>
      <c r="J676" s="190"/>
      <c r="K676" s="4"/>
      <c r="R676" s="4"/>
    </row>
    <row r="677">
      <c r="A677" s="226"/>
      <c r="B677" s="188"/>
      <c r="C677" s="278"/>
      <c r="E677" s="181"/>
      <c r="F677" s="181"/>
      <c r="G677" s="4"/>
      <c r="I677" s="190"/>
      <c r="J677" s="190"/>
      <c r="K677" s="4"/>
      <c r="R677" s="4"/>
    </row>
    <row r="678">
      <c r="A678" s="226"/>
      <c r="B678" s="188"/>
      <c r="C678" s="278"/>
      <c r="E678" s="181"/>
      <c r="F678" s="181"/>
      <c r="G678" s="4"/>
      <c r="I678" s="190"/>
      <c r="J678" s="190"/>
      <c r="K678" s="4"/>
      <c r="R678" s="4"/>
    </row>
    <row r="679">
      <c r="A679" s="226"/>
      <c r="B679" s="188"/>
      <c r="C679" s="278"/>
      <c r="E679" s="181"/>
      <c r="F679" s="181"/>
      <c r="G679" s="4"/>
      <c r="I679" s="190"/>
      <c r="J679" s="190"/>
      <c r="K679" s="4"/>
      <c r="R679" s="4"/>
    </row>
    <row r="680">
      <c r="A680" s="226"/>
      <c r="B680" s="188"/>
      <c r="C680" s="278"/>
      <c r="E680" s="181"/>
      <c r="F680" s="181"/>
      <c r="G680" s="4"/>
      <c r="I680" s="190"/>
      <c r="J680" s="190"/>
      <c r="K680" s="4"/>
      <c r="R680" s="4"/>
    </row>
    <row r="681">
      <c r="A681" s="226"/>
      <c r="B681" s="188"/>
      <c r="C681" s="278"/>
      <c r="E681" s="181"/>
      <c r="F681" s="181"/>
      <c r="G681" s="4"/>
      <c r="I681" s="190"/>
      <c r="J681" s="190"/>
      <c r="K681" s="4"/>
      <c r="R681" s="4"/>
    </row>
    <row r="682">
      <c r="A682" s="226"/>
      <c r="B682" s="188"/>
      <c r="C682" s="278"/>
      <c r="E682" s="181"/>
      <c r="F682" s="181"/>
      <c r="G682" s="4"/>
      <c r="I682" s="190"/>
      <c r="J682" s="190"/>
      <c r="K682" s="4"/>
      <c r="R682" s="4"/>
    </row>
    <row r="683">
      <c r="A683" s="226"/>
      <c r="B683" s="188"/>
      <c r="C683" s="278"/>
      <c r="E683" s="181"/>
      <c r="F683" s="181"/>
      <c r="G683" s="4"/>
      <c r="I683" s="190"/>
      <c r="J683" s="190"/>
      <c r="K683" s="4"/>
      <c r="R683" s="4"/>
    </row>
    <row r="684">
      <c r="A684" s="226"/>
      <c r="B684" s="188"/>
      <c r="C684" s="278"/>
      <c r="E684" s="181"/>
      <c r="F684" s="181"/>
      <c r="G684" s="4"/>
      <c r="I684" s="190"/>
      <c r="J684" s="190"/>
      <c r="K684" s="4"/>
      <c r="R684" s="4"/>
    </row>
    <row r="685">
      <c r="A685" s="226"/>
      <c r="B685" s="188"/>
      <c r="C685" s="278"/>
      <c r="E685" s="181"/>
      <c r="F685" s="181"/>
      <c r="G685" s="4"/>
      <c r="I685" s="190"/>
      <c r="J685" s="190"/>
      <c r="K685" s="4"/>
      <c r="R685" s="4"/>
    </row>
    <row r="686">
      <c r="A686" s="226"/>
      <c r="B686" s="188"/>
      <c r="C686" s="278"/>
      <c r="E686" s="181"/>
      <c r="F686" s="181"/>
      <c r="G686" s="4"/>
      <c r="I686" s="190"/>
      <c r="J686" s="190"/>
      <c r="K686" s="4"/>
      <c r="R686" s="4"/>
    </row>
    <row r="687">
      <c r="A687" s="226"/>
      <c r="B687" s="188"/>
      <c r="C687" s="278"/>
      <c r="E687" s="181"/>
      <c r="F687" s="181"/>
      <c r="G687" s="4"/>
      <c r="I687" s="190"/>
      <c r="J687" s="190"/>
      <c r="K687" s="4"/>
      <c r="R687" s="4"/>
    </row>
    <row r="688">
      <c r="A688" s="226"/>
      <c r="B688" s="188"/>
      <c r="C688" s="278"/>
      <c r="E688" s="181"/>
      <c r="F688" s="181"/>
      <c r="G688" s="4"/>
      <c r="I688" s="190"/>
      <c r="J688" s="190"/>
      <c r="K688" s="4"/>
      <c r="R688" s="4"/>
    </row>
    <row r="689">
      <c r="A689" s="226"/>
      <c r="B689" s="188"/>
      <c r="C689" s="278"/>
      <c r="E689" s="181"/>
      <c r="F689" s="181"/>
      <c r="G689" s="4"/>
      <c r="I689" s="190"/>
      <c r="J689" s="190"/>
      <c r="K689" s="4"/>
      <c r="R689" s="4"/>
    </row>
    <row r="690">
      <c r="A690" s="226"/>
      <c r="B690" s="188"/>
      <c r="C690" s="278"/>
      <c r="E690" s="181"/>
      <c r="F690" s="181"/>
      <c r="G690" s="4"/>
      <c r="I690" s="190"/>
      <c r="J690" s="190"/>
      <c r="K690" s="4"/>
      <c r="R690" s="4"/>
    </row>
    <row r="691">
      <c r="A691" s="226"/>
      <c r="B691" s="188"/>
      <c r="C691" s="278"/>
      <c r="E691" s="181"/>
      <c r="F691" s="181"/>
      <c r="G691" s="4"/>
      <c r="I691" s="190"/>
      <c r="J691" s="190"/>
      <c r="K691" s="4"/>
      <c r="R691" s="4"/>
    </row>
    <row r="692">
      <c r="A692" s="226"/>
      <c r="B692" s="188"/>
      <c r="C692" s="278"/>
      <c r="E692" s="181"/>
      <c r="F692" s="181"/>
      <c r="G692" s="4"/>
      <c r="I692" s="190"/>
      <c r="J692" s="190"/>
      <c r="K692" s="4"/>
      <c r="R692" s="4"/>
    </row>
    <row r="693">
      <c r="A693" s="226"/>
      <c r="B693" s="188"/>
      <c r="C693" s="278"/>
      <c r="E693" s="181"/>
      <c r="F693" s="181"/>
      <c r="G693" s="4"/>
      <c r="I693" s="190"/>
      <c r="J693" s="190"/>
      <c r="K693" s="4"/>
      <c r="R693" s="4"/>
    </row>
    <row r="694">
      <c r="A694" s="226"/>
      <c r="B694" s="188"/>
      <c r="C694" s="278"/>
      <c r="E694" s="181"/>
      <c r="F694" s="181"/>
      <c r="G694" s="4"/>
      <c r="I694" s="190"/>
      <c r="J694" s="190"/>
      <c r="K694" s="4"/>
      <c r="R694" s="4"/>
    </row>
    <row r="695">
      <c r="A695" s="226"/>
      <c r="B695" s="188"/>
      <c r="C695" s="278"/>
      <c r="E695" s="181"/>
      <c r="F695" s="181"/>
      <c r="G695" s="4"/>
      <c r="I695" s="190"/>
      <c r="J695" s="190"/>
      <c r="K695" s="4"/>
      <c r="R695" s="4"/>
    </row>
    <row r="696">
      <c r="A696" s="226"/>
      <c r="B696" s="188"/>
      <c r="C696" s="278"/>
      <c r="E696" s="181"/>
      <c r="F696" s="181"/>
      <c r="G696" s="4"/>
      <c r="I696" s="190"/>
      <c r="J696" s="190"/>
      <c r="K696" s="4"/>
      <c r="R696" s="4"/>
    </row>
    <row r="697">
      <c r="A697" s="226"/>
      <c r="B697" s="188"/>
      <c r="C697" s="278"/>
      <c r="E697" s="181"/>
      <c r="F697" s="181"/>
      <c r="G697" s="4"/>
      <c r="I697" s="190"/>
      <c r="J697" s="190"/>
      <c r="K697" s="4"/>
      <c r="R697" s="4"/>
    </row>
    <row r="698">
      <c r="A698" s="226"/>
      <c r="B698" s="188"/>
      <c r="C698" s="278"/>
      <c r="E698" s="181"/>
      <c r="F698" s="181"/>
      <c r="G698" s="4"/>
      <c r="I698" s="190"/>
      <c r="J698" s="190"/>
      <c r="K698" s="4"/>
      <c r="R698" s="4"/>
    </row>
    <row r="699">
      <c r="A699" s="226"/>
      <c r="B699" s="188"/>
      <c r="C699" s="278"/>
      <c r="E699" s="181"/>
      <c r="F699" s="181"/>
      <c r="G699" s="4"/>
      <c r="I699" s="190"/>
      <c r="J699" s="190"/>
      <c r="K699" s="4"/>
      <c r="R699" s="4"/>
    </row>
    <row r="700">
      <c r="A700" s="226"/>
      <c r="B700" s="188"/>
      <c r="C700" s="278"/>
      <c r="E700" s="181"/>
      <c r="F700" s="181"/>
      <c r="G700" s="4"/>
      <c r="I700" s="190"/>
      <c r="J700" s="190"/>
      <c r="K700" s="4"/>
      <c r="R700" s="4"/>
    </row>
    <row r="701">
      <c r="A701" s="226"/>
      <c r="B701" s="188"/>
      <c r="C701" s="278"/>
      <c r="E701" s="181"/>
      <c r="F701" s="181"/>
      <c r="G701" s="4"/>
      <c r="I701" s="190"/>
      <c r="J701" s="190"/>
      <c r="K701" s="4"/>
      <c r="R701" s="4"/>
    </row>
    <row r="702">
      <c r="A702" s="226"/>
      <c r="B702" s="188"/>
      <c r="C702" s="278"/>
      <c r="E702" s="181"/>
      <c r="F702" s="181"/>
      <c r="G702" s="4"/>
      <c r="I702" s="190"/>
      <c r="J702" s="190"/>
      <c r="K702" s="4"/>
      <c r="R702" s="4"/>
    </row>
    <row r="703">
      <c r="A703" s="226"/>
      <c r="B703" s="188"/>
      <c r="C703" s="278"/>
      <c r="E703" s="181"/>
      <c r="F703" s="181"/>
      <c r="G703" s="4"/>
      <c r="I703" s="190"/>
      <c r="J703" s="190"/>
      <c r="K703" s="4"/>
      <c r="R703" s="4"/>
    </row>
    <row r="704">
      <c r="A704" s="226"/>
      <c r="B704" s="188"/>
      <c r="C704" s="278"/>
      <c r="E704" s="181"/>
      <c r="F704" s="181"/>
      <c r="G704" s="4"/>
      <c r="I704" s="190"/>
      <c r="J704" s="190"/>
      <c r="K704" s="4"/>
      <c r="R704" s="4"/>
    </row>
    <row r="705">
      <c r="A705" s="226"/>
      <c r="B705" s="188"/>
      <c r="C705" s="278"/>
      <c r="E705" s="181"/>
      <c r="F705" s="181"/>
      <c r="G705" s="4"/>
      <c r="I705" s="190"/>
      <c r="J705" s="190"/>
      <c r="K705" s="4"/>
      <c r="R705" s="4"/>
    </row>
    <row r="706">
      <c r="A706" s="226"/>
      <c r="B706" s="188"/>
      <c r="C706" s="278"/>
      <c r="E706" s="181"/>
      <c r="F706" s="181"/>
      <c r="G706" s="4"/>
      <c r="I706" s="190"/>
      <c r="J706" s="190"/>
      <c r="K706" s="4"/>
      <c r="R706" s="4"/>
    </row>
    <row r="707">
      <c r="A707" s="226"/>
      <c r="B707" s="188"/>
      <c r="C707" s="278"/>
      <c r="E707" s="181"/>
      <c r="F707" s="181"/>
      <c r="G707" s="4"/>
      <c r="I707" s="190"/>
      <c r="J707" s="190"/>
      <c r="K707" s="4"/>
      <c r="R707" s="4"/>
    </row>
    <row r="708">
      <c r="A708" s="226"/>
      <c r="B708" s="188"/>
      <c r="C708" s="278"/>
      <c r="E708" s="181"/>
      <c r="F708" s="181"/>
      <c r="G708" s="4"/>
      <c r="I708" s="190"/>
      <c r="J708" s="190"/>
      <c r="K708" s="4"/>
      <c r="R708" s="4"/>
    </row>
    <row r="709">
      <c r="A709" s="226"/>
      <c r="B709" s="188"/>
      <c r="C709" s="278"/>
      <c r="E709" s="181"/>
      <c r="F709" s="181"/>
      <c r="G709" s="4"/>
      <c r="I709" s="190"/>
      <c r="J709" s="190"/>
      <c r="K709" s="4"/>
      <c r="R709" s="4"/>
    </row>
    <row r="710">
      <c r="A710" s="226"/>
      <c r="B710" s="188"/>
      <c r="C710" s="278"/>
      <c r="E710" s="181"/>
      <c r="F710" s="181"/>
      <c r="G710" s="4"/>
      <c r="I710" s="190"/>
      <c r="J710" s="190"/>
      <c r="K710" s="4"/>
      <c r="R710" s="4"/>
    </row>
    <row r="711">
      <c r="A711" s="226"/>
      <c r="B711" s="188"/>
      <c r="C711" s="278"/>
      <c r="E711" s="181"/>
      <c r="F711" s="181"/>
      <c r="G711" s="4"/>
      <c r="I711" s="190"/>
      <c r="J711" s="190"/>
      <c r="K711" s="4"/>
      <c r="R711" s="4"/>
    </row>
    <row r="712">
      <c r="A712" s="226"/>
      <c r="B712" s="188"/>
      <c r="C712" s="278"/>
      <c r="E712" s="181"/>
      <c r="F712" s="181"/>
      <c r="G712" s="4"/>
      <c r="I712" s="190"/>
      <c r="J712" s="190"/>
      <c r="K712" s="4"/>
      <c r="R712" s="4"/>
    </row>
    <row r="713">
      <c r="A713" s="226"/>
      <c r="B713" s="188"/>
      <c r="C713" s="278"/>
      <c r="E713" s="181"/>
      <c r="F713" s="181"/>
      <c r="G713" s="4"/>
      <c r="I713" s="190"/>
      <c r="J713" s="190"/>
      <c r="K713" s="4"/>
      <c r="R713" s="4"/>
    </row>
    <row r="714">
      <c r="A714" s="226"/>
      <c r="B714" s="188"/>
      <c r="C714" s="278"/>
      <c r="E714" s="181"/>
      <c r="F714" s="181"/>
      <c r="G714" s="4"/>
      <c r="I714" s="190"/>
      <c r="J714" s="190"/>
      <c r="K714" s="4"/>
      <c r="R714" s="4"/>
    </row>
    <row r="715">
      <c r="A715" s="226"/>
      <c r="B715" s="188"/>
      <c r="C715" s="278"/>
      <c r="E715" s="181"/>
      <c r="F715" s="181"/>
      <c r="G715" s="4"/>
      <c r="I715" s="190"/>
      <c r="J715" s="190"/>
      <c r="K715" s="4"/>
      <c r="R715" s="4"/>
    </row>
    <row r="716">
      <c r="A716" s="226"/>
      <c r="B716" s="188"/>
      <c r="C716" s="278"/>
      <c r="E716" s="181"/>
      <c r="F716" s="181"/>
      <c r="G716" s="4"/>
      <c r="I716" s="190"/>
      <c r="J716" s="190"/>
      <c r="K716" s="4"/>
      <c r="R716" s="4"/>
    </row>
    <row r="717">
      <c r="A717" s="226"/>
      <c r="B717" s="188"/>
      <c r="C717" s="278"/>
      <c r="E717" s="181"/>
      <c r="F717" s="181"/>
      <c r="G717" s="4"/>
      <c r="I717" s="190"/>
      <c r="J717" s="190"/>
      <c r="K717" s="4"/>
      <c r="R717" s="4"/>
    </row>
    <row r="718">
      <c r="A718" s="226"/>
      <c r="B718" s="188"/>
      <c r="C718" s="278"/>
      <c r="E718" s="181"/>
      <c r="F718" s="181"/>
      <c r="G718" s="4"/>
      <c r="I718" s="190"/>
      <c r="J718" s="190"/>
      <c r="K718" s="4"/>
      <c r="R718" s="4"/>
    </row>
    <row r="719">
      <c r="A719" s="226"/>
      <c r="B719" s="188"/>
      <c r="C719" s="278"/>
      <c r="E719" s="181"/>
      <c r="F719" s="181"/>
      <c r="G719" s="4"/>
      <c r="I719" s="190"/>
      <c r="J719" s="190"/>
      <c r="K719" s="4"/>
      <c r="R719" s="4"/>
    </row>
    <row r="720">
      <c r="A720" s="226"/>
      <c r="B720" s="188"/>
      <c r="C720" s="278"/>
      <c r="E720" s="181"/>
      <c r="F720" s="181"/>
      <c r="G720" s="4"/>
      <c r="I720" s="190"/>
      <c r="J720" s="190"/>
      <c r="K720" s="4"/>
      <c r="R720" s="4"/>
    </row>
    <row r="721">
      <c r="A721" s="226"/>
      <c r="B721" s="188"/>
      <c r="C721" s="278"/>
      <c r="E721" s="181"/>
      <c r="F721" s="181"/>
      <c r="G721" s="4"/>
      <c r="I721" s="190"/>
      <c r="J721" s="190"/>
      <c r="K721" s="4"/>
      <c r="R721" s="4"/>
    </row>
    <row r="722">
      <c r="A722" s="226"/>
      <c r="B722" s="188"/>
      <c r="C722" s="278"/>
      <c r="E722" s="181"/>
      <c r="F722" s="181"/>
      <c r="G722" s="4"/>
      <c r="I722" s="190"/>
      <c r="J722" s="190"/>
      <c r="K722" s="4"/>
      <c r="R722" s="4"/>
    </row>
    <row r="723">
      <c r="A723" s="226"/>
      <c r="B723" s="188"/>
      <c r="C723" s="278"/>
      <c r="E723" s="181"/>
      <c r="F723" s="181"/>
      <c r="G723" s="4"/>
      <c r="I723" s="190"/>
      <c r="J723" s="190"/>
      <c r="K723" s="4"/>
      <c r="R723" s="4"/>
    </row>
    <row r="724">
      <c r="A724" s="226"/>
      <c r="B724" s="188"/>
      <c r="C724" s="278"/>
      <c r="E724" s="181"/>
      <c r="F724" s="181"/>
      <c r="G724" s="4"/>
      <c r="I724" s="190"/>
      <c r="J724" s="190"/>
      <c r="K724" s="4"/>
      <c r="R724" s="4"/>
    </row>
    <row r="725">
      <c r="A725" s="226"/>
      <c r="B725" s="188"/>
      <c r="C725" s="278"/>
      <c r="E725" s="181"/>
      <c r="F725" s="181"/>
      <c r="G725" s="4"/>
      <c r="I725" s="190"/>
      <c r="J725" s="190"/>
      <c r="K725" s="4"/>
      <c r="R725" s="4"/>
    </row>
    <row r="726">
      <c r="A726" s="226"/>
      <c r="B726" s="188"/>
      <c r="C726" s="278"/>
      <c r="E726" s="181"/>
      <c r="F726" s="181"/>
      <c r="G726" s="4"/>
      <c r="I726" s="190"/>
      <c r="J726" s="190"/>
      <c r="K726" s="4"/>
      <c r="R726" s="4"/>
    </row>
    <row r="727">
      <c r="A727" s="226"/>
      <c r="B727" s="188"/>
      <c r="C727" s="278"/>
      <c r="E727" s="181"/>
      <c r="F727" s="181"/>
      <c r="G727" s="4"/>
      <c r="I727" s="190"/>
      <c r="J727" s="190"/>
      <c r="K727" s="4"/>
      <c r="R727" s="4"/>
    </row>
    <row r="728">
      <c r="A728" s="226"/>
      <c r="B728" s="188"/>
      <c r="C728" s="278"/>
      <c r="E728" s="181"/>
      <c r="F728" s="181"/>
      <c r="G728" s="4"/>
      <c r="I728" s="190"/>
      <c r="J728" s="190"/>
      <c r="K728" s="4"/>
      <c r="R728" s="4"/>
    </row>
    <row r="729">
      <c r="A729" s="226"/>
      <c r="B729" s="188"/>
      <c r="C729" s="278"/>
      <c r="E729" s="181"/>
      <c r="F729" s="181"/>
      <c r="G729" s="4"/>
      <c r="I729" s="190"/>
      <c r="J729" s="190"/>
      <c r="K729" s="4"/>
      <c r="R729" s="4"/>
    </row>
    <row r="730">
      <c r="A730" s="226"/>
      <c r="B730" s="188"/>
      <c r="C730" s="278"/>
      <c r="E730" s="181"/>
      <c r="F730" s="181"/>
      <c r="G730" s="4"/>
      <c r="I730" s="190"/>
      <c r="J730" s="190"/>
      <c r="K730" s="4"/>
      <c r="R730" s="4"/>
    </row>
    <row r="731">
      <c r="A731" s="226"/>
      <c r="B731" s="188"/>
      <c r="C731" s="278"/>
      <c r="E731" s="181"/>
      <c r="F731" s="181"/>
      <c r="G731" s="4"/>
      <c r="I731" s="190"/>
      <c r="J731" s="190"/>
      <c r="K731" s="4"/>
      <c r="R731" s="4"/>
    </row>
    <row r="732">
      <c r="A732" s="226"/>
      <c r="B732" s="188"/>
      <c r="C732" s="278"/>
      <c r="E732" s="181"/>
      <c r="F732" s="181"/>
      <c r="G732" s="4"/>
      <c r="I732" s="190"/>
      <c r="J732" s="190"/>
      <c r="K732" s="4"/>
      <c r="R732" s="4"/>
    </row>
    <row r="733">
      <c r="A733" s="226"/>
      <c r="B733" s="188"/>
      <c r="C733" s="278"/>
      <c r="E733" s="181"/>
      <c r="F733" s="181"/>
      <c r="G733" s="4"/>
      <c r="I733" s="190"/>
      <c r="J733" s="190"/>
      <c r="K733" s="4"/>
      <c r="R733" s="4"/>
    </row>
    <row r="734">
      <c r="A734" s="226"/>
      <c r="B734" s="188"/>
      <c r="C734" s="278"/>
      <c r="E734" s="181"/>
      <c r="F734" s="181"/>
      <c r="G734" s="4"/>
      <c r="I734" s="190"/>
      <c r="J734" s="190"/>
      <c r="K734" s="4"/>
      <c r="R734" s="4"/>
    </row>
    <row r="735">
      <c r="A735" s="226"/>
      <c r="B735" s="188"/>
      <c r="C735" s="278"/>
      <c r="E735" s="181"/>
      <c r="F735" s="181"/>
      <c r="G735" s="4"/>
      <c r="I735" s="190"/>
      <c r="J735" s="190"/>
      <c r="K735" s="4"/>
      <c r="R735" s="4"/>
    </row>
    <row r="736">
      <c r="A736" s="226"/>
      <c r="B736" s="188"/>
      <c r="C736" s="278"/>
      <c r="E736" s="181"/>
      <c r="F736" s="181"/>
      <c r="G736" s="4"/>
      <c r="I736" s="190"/>
      <c r="J736" s="190"/>
      <c r="K736" s="4"/>
      <c r="R736" s="4"/>
    </row>
    <row r="737">
      <c r="A737" s="226"/>
      <c r="B737" s="188"/>
      <c r="C737" s="278"/>
      <c r="E737" s="181"/>
      <c r="F737" s="181"/>
      <c r="G737" s="4"/>
      <c r="I737" s="190"/>
      <c r="J737" s="190"/>
      <c r="K737" s="4"/>
      <c r="R737" s="4"/>
    </row>
    <row r="738">
      <c r="A738" s="226"/>
      <c r="B738" s="188"/>
      <c r="C738" s="278"/>
      <c r="E738" s="181"/>
      <c r="F738" s="181"/>
      <c r="G738" s="4"/>
      <c r="I738" s="190"/>
      <c r="J738" s="190"/>
      <c r="K738" s="4"/>
      <c r="R738" s="4"/>
    </row>
    <row r="739">
      <c r="A739" s="226"/>
      <c r="B739" s="188"/>
      <c r="C739" s="278"/>
      <c r="E739" s="181"/>
      <c r="F739" s="181"/>
      <c r="G739" s="4"/>
      <c r="I739" s="190"/>
      <c r="J739" s="190"/>
      <c r="K739" s="4"/>
      <c r="R739" s="4"/>
    </row>
    <row r="740">
      <c r="A740" s="226"/>
      <c r="B740" s="188"/>
      <c r="C740" s="278"/>
      <c r="E740" s="181"/>
      <c r="F740" s="181"/>
      <c r="G740" s="4"/>
      <c r="I740" s="190"/>
      <c r="J740" s="190"/>
      <c r="K740" s="4"/>
      <c r="R740" s="4"/>
    </row>
    <row r="741">
      <c r="A741" s="226"/>
      <c r="B741" s="188"/>
      <c r="C741" s="278"/>
      <c r="E741" s="181"/>
      <c r="F741" s="181"/>
      <c r="G741" s="4"/>
      <c r="I741" s="190"/>
      <c r="J741" s="190"/>
      <c r="K741" s="4"/>
      <c r="R741" s="4"/>
    </row>
    <row r="742">
      <c r="A742" s="226"/>
      <c r="B742" s="188"/>
      <c r="C742" s="278"/>
      <c r="E742" s="181"/>
      <c r="F742" s="181"/>
      <c r="G742" s="4"/>
      <c r="I742" s="190"/>
      <c r="J742" s="190"/>
      <c r="K742" s="4"/>
      <c r="R742" s="4"/>
    </row>
    <row r="743">
      <c r="A743" s="226"/>
      <c r="B743" s="188"/>
      <c r="C743" s="278"/>
      <c r="E743" s="181"/>
      <c r="F743" s="181"/>
      <c r="G743" s="4"/>
      <c r="I743" s="190"/>
      <c r="J743" s="190"/>
      <c r="K743" s="4"/>
      <c r="R743" s="4"/>
    </row>
    <row r="744">
      <c r="A744" s="226"/>
      <c r="B744" s="188"/>
      <c r="C744" s="278"/>
      <c r="E744" s="181"/>
      <c r="F744" s="181"/>
      <c r="G744" s="4"/>
      <c r="I744" s="190"/>
      <c r="J744" s="190"/>
      <c r="K744" s="4"/>
      <c r="R744" s="4"/>
    </row>
    <row r="745">
      <c r="A745" s="226"/>
      <c r="B745" s="188"/>
      <c r="C745" s="278"/>
      <c r="E745" s="181"/>
      <c r="F745" s="181"/>
      <c r="G745" s="4"/>
      <c r="I745" s="190"/>
      <c r="J745" s="190"/>
      <c r="K745" s="4"/>
      <c r="R745" s="4"/>
    </row>
    <row r="746">
      <c r="A746" s="226"/>
      <c r="B746" s="188"/>
      <c r="C746" s="278"/>
      <c r="E746" s="181"/>
      <c r="F746" s="181"/>
      <c r="G746" s="4"/>
      <c r="I746" s="190"/>
      <c r="J746" s="190"/>
      <c r="K746" s="4"/>
      <c r="R746" s="4"/>
    </row>
    <row r="747">
      <c r="A747" s="226"/>
      <c r="B747" s="188"/>
      <c r="C747" s="278"/>
      <c r="E747" s="181"/>
      <c r="F747" s="181"/>
      <c r="G747" s="4"/>
      <c r="I747" s="190"/>
      <c r="J747" s="190"/>
      <c r="K747" s="4"/>
      <c r="R747" s="4"/>
    </row>
    <row r="748">
      <c r="A748" s="226"/>
      <c r="B748" s="188"/>
      <c r="C748" s="278"/>
      <c r="E748" s="181"/>
      <c r="F748" s="181"/>
      <c r="G748" s="4"/>
      <c r="I748" s="190"/>
      <c r="J748" s="190"/>
      <c r="K748" s="4"/>
      <c r="R748" s="4"/>
    </row>
    <row r="749">
      <c r="A749" s="226"/>
      <c r="B749" s="188"/>
      <c r="C749" s="278"/>
      <c r="E749" s="181"/>
      <c r="F749" s="181"/>
      <c r="G749" s="4"/>
      <c r="I749" s="190"/>
      <c r="J749" s="190"/>
      <c r="K749" s="4"/>
      <c r="R749" s="4"/>
    </row>
    <row r="750">
      <c r="A750" s="226"/>
      <c r="B750" s="188"/>
      <c r="C750" s="278"/>
      <c r="E750" s="181"/>
      <c r="F750" s="181"/>
      <c r="G750" s="4"/>
      <c r="I750" s="190"/>
      <c r="J750" s="190"/>
      <c r="K750" s="4"/>
      <c r="R750" s="4"/>
    </row>
    <row r="751">
      <c r="A751" s="226"/>
      <c r="B751" s="188"/>
      <c r="C751" s="278"/>
      <c r="E751" s="181"/>
      <c r="F751" s="181"/>
      <c r="G751" s="4"/>
      <c r="I751" s="190"/>
      <c r="J751" s="190"/>
      <c r="K751" s="4"/>
      <c r="R751" s="4"/>
    </row>
    <row r="752">
      <c r="A752" s="226"/>
      <c r="B752" s="188"/>
      <c r="C752" s="278"/>
      <c r="E752" s="181"/>
      <c r="F752" s="181"/>
      <c r="G752" s="4"/>
      <c r="I752" s="190"/>
      <c r="J752" s="190"/>
      <c r="K752" s="4"/>
      <c r="R752" s="4"/>
    </row>
    <row r="753">
      <c r="A753" s="226"/>
      <c r="B753" s="188"/>
      <c r="C753" s="278"/>
      <c r="E753" s="181"/>
      <c r="F753" s="181"/>
      <c r="G753" s="4"/>
      <c r="I753" s="190"/>
      <c r="J753" s="190"/>
      <c r="K753" s="4"/>
      <c r="R753" s="4"/>
    </row>
    <row r="754">
      <c r="A754" s="226"/>
      <c r="B754" s="188"/>
      <c r="C754" s="278"/>
      <c r="E754" s="181"/>
      <c r="F754" s="181"/>
      <c r="G754" s="4"/>
      <c r="I754" s="190"/>
      <c r="J754" s="190"/>
      <c r="K754" s="4"/>
      <c r="R754" s="4"/>
    </row>
    <row r="755">
      <c r="A755" s="226"/>
      <c r="B755" s="188"/>
      <c r="C755" s="278"/>
      <c r="E755" s="181"/>
      <c r="F755" s="181"/>
      <c r="G755" s="4"/>
      <c r="I755" s="190"/>
      <c r="J755" s="190"/>
      <c r="K755" s="4"/>
      <c r="R755" s="4"/>
    </row>
    <row r="756">
      <c r="A756" s="226"/>
      <c r="B756" s="188"/>
      <c r="C756" s="278"/>
      <c r="E756" s="181"/>
      <c r="F756" s="181"/>
      <c r="G756" s="4"/>
      <c r="I756" s="190"/>
      <c r="J756" s="190"/>
      <c r="K756" s="4"/>
      <c r="R756" s="4"/>
    </row>
    <row r="757">
      <c r="A757" s="226"/>
      <c r="B757" s="188"/>
      <c r="C757" s="278"/>
      <c r="E757" s="181"/>
      <c r="F757" s="181"/>
      <c r="G757" s="4"/>
      <c r="I757" s="190"/>
      <c r="J757" s="190"/>
      <c r="K757" s="4"/>
      <c r="R757" s="4"/>
    </row>
    <row r="758">
      <c r="A758" s="226"/>
      <c r="B758" s="188"/>
      <c r="C758" s="278"/>
      <c r="E758" s="181"/>
      <c r="F758" s="181"/>
      <c r="G758" s="4"/>
      <c r="I758" s="190"/>
      <c r="J758" s="190"/>
      <c r="K758" s="4"/>
      <c r="R758" s="4"/>
    </row>
    <row r="759">
      <c r="A759" s="226"/>
      <c r="B759" s="188"/>
      <c r="C759" s="278"/>
      <c r="E759" s="181"/>
      <c r="F759" s="181"/>
      <c r="G759" s="4"/>
      <c r="I759" s="190"/>
      <c r="J759" s="190"/>
      <c r="K759" s="4"/>
      <c r="R759" s="4"/>
    </row>
    <row r="760">
      <c r="A760" s="226"/>
      <c r="B760" s="188"/>
      <c r="C760" s="278"/>
      <c r="E760" s="181"/>
      <c r="F760" s="181"/>
      <c r="G760" s="4"/>
      <c r="I760" s="190"/>
      <c r="J760" s="190"/>
      <c r="K760" s="4"/>
      <c r="R760" s="4"/>
    </row>
    <row r="761">
      <c r="A761" s="226"/>
      <c r="B761" s="188"/>
      <c r="C761" s="278"/>
      <c r="E761" s="181"/>
      <c r="F761" s="181"/>
      <c r="G761" s="4"/>
      <c r="I761" s="190"/>
      <c r="J761" s="190"/>
      <c r="K761" s="4"/>
      <c r="R761" s="4"/>
    </row>
    <row r="762">
      <c r="A762" s="226"/>
      <c r="B762" s="188"/>
      <c r="C762" s="278"/>
      <c r="E762" s="181"/>
      <c r="F762" s="181"/>
      <c r="G762" s="4"/>
      <c r="I762" s="190"/>
      <c r="J762" s="190"/>
      <c r="K762" s="4"/>
      <c r="R762" s="4"/>
    </row>
    <row r="763">
      <c r="A763" s="226"/>
      <c r="B763" s="188"/>
      <c r="C763" s="278"/>
      <c r="E763" s="181"/>
      <c r="F763" s="181"/>
      <c r="G763" s="4"/>
      <c r="I763" s="190"/>
      <c r="J763" s="190"/>
      <c r="K763" s="4"/>
      <c r="R763" s="4"/>
    </row>
    <row r="764">
      <c r="A764" s="226"/>
      <c r="B764" s="188"/>
      <c r="C764" s="278"/>
      <c r="E764" s="181"/>
      <c r="F764" s="181"/>
      <c r="G764" s="4"/>
      <c r="I764" s="190"/>
      <c r="J764" s="190"/>
      <c r="K764" s="4"/>
      <c r="R764" s="4"/>
    </row>
    <row r="765">
      <c r="A765" s="226"/>
      <c r="B765" s="188"/>
      <c r="C765" s="278"/>
      <c r="E765" s="181"/>
      <c r="F765" s="181"/>
      <c r="G765" s="4"/>
      <c r="I765" s="190"/>
      <c r="J765" s="190"/>
      <c r="K765" s="4"/>
      <c r="R765" s="4"/>
    </row>
    <row r="766">
      <c r="A766" s="226"/>
      <c r="B766" s="188"/>
      <c r="C766" s="278"/>
      <c r="E766" s="181"/>
      <c r="F766" s="181"/>
      <c r="G766" s="4"/>
      <c r="I766" s="190"/>
      <c r="J766" s="190"/>
      <c r="K766" s="4"/>
      <c r="R766" s="4"/>
    </row>
    <row r="767">
      <c r="A767" s="226"/>
      <c r="B767" s="188"/>
      <c r="C767" s="278"/>
      <c r="E767" s="181"/>
      <c r="F767" s="181"/>
      <c r="G767" s="4"/>
      <c r="I767" s="190"/>
      <c r="J767" s="190"/>
      <c r="K767" s="4"/>
      <c r="R767" s="4"/>
    </row>
    <row r="768">
      <c r="A768" s="226"/>
      <c r="B768" s="188"/>
      <c r="C768" s="278"/>
      <c r="E768" s="181"/>
      <c r="F768" s="181"/>
      <c r="G768" s="4"/>
      <c r="I768" s="190"/>
      <c r="J768" s="190"/>
      <c r="K768" s="4"/>
      <c r="R768" s="4"/>
    </row>
    <row r="769">
      <c r="A769" s="226"/>
      <c r="B769" s="188"/>
      <c r="C769" s="278"/>
      <c r="E769" s="181"/>
      <c r="F769" s="181"/>
      <c r="G769" s="4"/>
      <c r="I769" s="190"/>
      <c r="J769" s="190"/>
      <c r="K769" s="4"/>
      <c r="R769" s="4"/>
    </row>
    <row r="770">
      <c r="A770" s="226"/>
      <c r="B770" s="188"/>
      <c r="C770" s="278"/>
      <c r="E770" s="181"/>
      <c r="F770" s="181"/>
      <c r="G770" s="4"/>
      <c r="I770" s="190"/>
      <c r="J770" s="190"/>
      <c r="K770" s="4"/>
      <c r="R770" s="4"/>
    </row>
    <row r="771">
      <c r="A771" s="226"/>
      <c r="B771" s="188"/>
      <c r="C771" s="278"/>
      <c r="E771" s="181"/>
      <c r="F771" s="181"/>
      <c r="G771" s="4"/>
      <c r="I771" s="190"/>
      <c r="J771" s="190"/>
      <c r="K771" s="4"/>
      <c r="R771" s="4"/>
    </row>
    <row r="772">
      <c r="A772" s="226"/>
      <c r="B772" s="188"/>
      <c r="C772" s="278"/>
      <c r="E772" s="181"/>
      <c r="F772" s="181"/>
      <c r="G772" s="4"/>
      <c r="I772" s="190"/>
      <c r="J772" s="190"/>
      <c r="K772" s="4"/>
      <c r="R772" s="4"/>
    </row>
    <row r="773">
      <c r="A773" s="226"/>
      <c r="B773" s="188"/>
      <c r="C773" s="278"/>
      <c r="E773" s="181"/>
      <c r="F773" s="181"/>
      <c r="G773" s="4"/>
      <c r="I773" s="190"/>
      <c r="J773" s="190"/>
      <c r="K773" s="4"/>
      <c r="R773" s="4"/>
    </row>
    <row r="774">
      <c r="A774" s="226"/>
      <c r="B774" s="188"/>
      <c r="C774" s="278"/>
      <c r="E774" s="181"/>
      <c r="F774" s="181"/>
      <c r="G774" s="4"/>
      <c r="I774" s="190"/>
      <c r="J774" s="190"/>
      <c r="K774" s="4"/>
      <c r="R774" s="4"/>
    </row>
    <row r="775">
      <c r="A775" s="226"/>
      <c r="B775" s="188"/>
      <c r="C775" s="278"/>
      <c r="E775" s="181"/>
      <c r="F775" s="181"/>
      <c r="G775" s="4"/>
      <c r="I775" s="190"/>
      <c r="J775" s="190"/>
      <c r="K775" s="4"/>
      <c r="R775" s="4"/>
    </row>
    <row r="776">
      <c r="A776" s="226"/>
      <c r="B776" s="188"/>
      <c r="C776" s="278"/>
      <c r="E776" s="181"/>
      <c r="F776" s="181"/>
      <c r="G776" s="4"/>
      <c r="I776" s="190"/>
      <c r="J776" s="190"/>
      <c r="K776" s="4"/>
      <c r="R776" s="4"/>
    </row>
    <row r="777">
      <c r="A777" s="226"/>
      <c r="B777" s="188"/>
      <c r="C777" s="278"/>
      <c r="E777" s="181"/>
      <c r="F777" s="181"/>
      <c r="G777" s="4"/>
      <c r="I777" s="190"/>
      <c r="J777" s="190"/>
      <c r="K777" s="4"/>
      <c r="R777" s="4"/>
    </row>
    <row r="778">
      <c r="A778" s="226"/>
      <c r="B778" s="188"/>
      <c r="C778" s="278"/>
      <c r="E778" s="181"/>
      <c r="F778" s="181"/>
      <c r="G778" s="4"/>
      <c r="I778" s="190"/>
      <c r="J778" s="190"/>
      <c r="K778" s="4"/>
      <c r="R778" s="4"/>
    </row>
    <row r="779">
      <c r="A779" s="226"/>
      <c r="B779" s="188"/>
      <c r="C779" s="278"/>
      <c r="E779" s="181"/>
      <c r="F779" s="181"/>
      <c r="G779" s="4"/>
      <c r="I779" s="190"/>
      <c r="J779" s="190"/>
      <c r="K779" s="4"/>
      <c r="R779" s="4"/>
    </row>
    <row r="780">
      <c r="A780" s="226"/>
      <c r="B780" s="188"/>
      <c r="C780" s="278"/>
      <c r="E780" s="181"/>
      <c r="F780" s="181"/>
      <c r="G780" s="4"/>
      <c r="I780" s="190"/>
      <c r="J780" s="190"/>
      <c r="K780" s="4"/>
      <c r="R780" s="4"/>
    </row>
    <row r="781">
      <c r="A781" s="226"/>
      <c r="B781" s="188"/>
      <c r="C781" s="278"/>
      <c r="E781" s="181"/>
      <c r="F781" s="181"/>
      <c r="G781" s="4"/>
      <c r="I781" s="190"/>
      <c r="J781" s="190"/>
      <c r="K781" s="4"/>
      <c r="R781" s="4"/>
    </row>
    <row r="782">
      <c r="A782" s="226"/>
      <c r="B782" s="188"/>
      <c r="C782" s="278"/>
      <c r="E782" s="181"/>
      <c r="F782" s="181"/>
      <c r="G782" s="4"/>
      <c r="I782" s="190"/>
      <c r="J782" s="190"/>
      <c r="K782" s="4"/>
      <c r="R782" s="4"/>
    </row>
    <row r="783">
      <c r="A783" s="226"/>
      <c r="B783" s="188"/>
      <c r="C783" s="278"/>
      <c r="E783" s="181"/>
      <c r="F783" s="181"/>
      <c r="G783" s="4"/>
      <c r="I783" s="190"/>
      <c r="J783" s="190"/>
      <c r="K783" s="4"/>
      <c r="R783" s="4"/>
    </row>
    <row r="784">
      <c r="A784" s="226"/>
      <c r="B784" s="188"/>
      <c r="C784" s="278"/>
      <c r="E784" s="181"/>
      <c r="F784" s="181"/>
      <c r="G784" s="4"/>
      <c r="I784" s="190"/>
      <c r="J784" s="190"/>
      <c r="K784" s="4"/>
      <c r="R784" s="4"/>
    </row>
    <row r="785">
      <c r="A785" s="226"/>
      <c r="B785" s="188"/>
      <c r="C785" s="278"/>
      <c r="E785" s="181"/>
      <c r="F785" s="181"/>
      <c r="G785" s="4"/>
      <c r="I785" s="190"/>
      <c r="J785" s="190"/>
      <c r="K785" s="4"/>
      <c r="R785" s="4"/>
    </row>
    <row r="786">
      <c r="A786" s="226"/>
      <c r="B786" s="188"/>
      <c r="C786" s="278"/>
      <c r="E786" s="181"/>
      <c r="F786" s="181"/>
      <c r="G786" s="4"/>
      <c r="I786" s="190"/>
      <c r="J786" s="190"/>
      <c r="K786" s="4"/>
      <c r="R786" s="4"/>
    </row>
    <row r="787">
      <c r="A787" s="226"/>
      <c r="B787" s="188"/>
      <c r="C787" s="278"/>
      <c r="E787" s="181"/>
      <c r="F787" s="181"/>
      <c r="G787" s="4"/>
      <c r="I787" s="190"/>
      <c r="J787" s="190"/>
      <c r="K787" s="4"/>
      <c r="R787" s="4"/>
    </row>
    <row r="788">
      <c r="A788" s="226"/>
      <c r="B788" s="188"/>
      <c r="C788" s="278"/>
      <c r="E788" s="181"/>
      <c r="F788" s="181"/>
      <c r="G788" s="4"/>
      <c r="I788" s="190"/>
      <c r="J788" s="190"/>
      <c r="K788" s="4"/>
      <c r="R788" s="4"/>
    </row>
    <row r="789">
      <c r="A789" s="226"/>
      <c r="B789" s="188"/>
      <c r="C789" s="278"/>
      <c r="E789" s="181"/>
      <c r="F789" s="181"/>
      <c r="G789" s="4"/>
      <c r="I789" s="190"/>
      <c r="J789" s="190"/>
      <c r="K789" s="4"/>
      <c r="R789" s="4"/>
    </row>
    <row r="790">
      <c r="A790" s="226"/>
      <c r="B790" s="188"/>
      <c r="C790" s="278"/>
      <c r="E790" s="181"/>
      <c r="F790" s="181"/>
      <c r="G790" s="4"/>
      <c r="I790" s="190"/>
      <c r="J790" s="190"/>
      <c r="K790" s="4"/>
      <c r="R790" s="4"/>
    </row>
    <row r="791">
      <c r="A791" s="226"/>
      <c r="B791" s="188"/>
      <c r="C791" s="278"/>
      <c r="E791" s="181"/>
      <c r="F791" s="181"/>
      <c r="G791" s="4"/>
      <c r="I791" s="190"/>
      <c r="J791" s="190"/>
      <c r="K791" s="4"/>
      <c r="R791" s="4"/>
    </row>
    <row r="792">
      <c r="A792" s="226"/>
      <c r="B792" s="188"/>
      <c r="C792" s="278"/>
      <c r="E792" s="181"/>
      <c r="F792" s="181"/>
      <c r="G792" s="4"/>
      <c r="I792" s="190"/>
      <c r="J792" s="190"/>
      <c r="K792" s="4"/>
      <c r="R792" s="4"/>
    </row>
    <row r="793">
      <c r="A793" s="226"/>
      <c r="B793" s="188"/>
      <c r="C793" s="278"/>
      <c r="E793" s="181"/>
      <c r="F793" s="181"/>
      <c r="G793" s="4"/>
      <c r="I793" s="190"/>
      <c r="J793" s="190"/>
      <c r="K793" s="4"/>
      <c r="R793" s="4"/>
    </row>
    <row r="794">
      <c r="A794" s="226"/>
      <c r="B794" s="188"/>
      <c r="C794" s="278"/>
      <c r="E794" s="181"/>
      <c r="F794" s="181"/>
      <c r="G794" s="4"/>
      <c r="I794" s="190"/>
      <c r="J794" s="190"/>
      <c r="K794" s="4"/>
      <c r="R794" s="4"/>
    </row>
    <row r="795">
      <c r="A795" s="226"/>
      <c r="B795" s="188"/>
      <c r="C795" s="278"/>
      <c r="E795" s="181"/>
      <c r="F795" s="181"/>
      <c r="G795" s="4"/>
      <c r="I795" s="190"/>
      <c r="J795" s="190"/>
      <c r="K795" s="4"/>
      <c r="R795" s="4"/>
    </row>
    <row r="796">
      <c r="A796" s="226"/>
      <c r="B796" s="188"/>
      <c r="C796" s="278"/>
      <c r="E796" s="181"/>
      <c r="F796" s="181"/>
      <c r="G796" s="4"/>
      <c r="I796" s="190"/>
      <c r="J796" s="190"/>
      <c r="K796" s="4"/>
      <c r="R796" s="4"/>
    </row>
    <row r="797">
      <c r="A797" s="226"/>
      <c r="B797" s="188"/>
      <c r="C797" s="278"/>
      <c r="E797" s="181"/>
      <c r="F797" s="181"/>
      <c r="G797" s="4"/>
      <c r="I797" s="190"/>
      <c r="J797" s="190"/>
      <c r="K797" s="4"/>
      <c r="R797" s="4"/>
    </row>
    <row r="798">
      <c r="A798" s="226"/>
      <c r="B798" s="188"/>
      <c r="C798" s="278"/>
      <c r="E798" s="181"/>
      <c r="F798" s="181"/>
      <c r="G798" s="4"/>
      <c r="I798" s="190"/>
      <c r="J798" s="190"/>
      <c r="K798" s="4"/>
      <c r="R798" s="4"/>
    </row>
    <row r="799">
      <c r="A799" s="226"/>
      <c r="B799" s="188"/>
      <c r="C799" s="278"/>
      <c r="E799" s="181"/>
      <c r="F799" s="181"/>
      <c r="G799" s="4"/>
      <c r="I799" s="190"/>
      <c r="J799" s="190"/>
      <c r="K799" s="4"/>
      <c r="R799" s="4"/>
    </row>
    <row r="800">
      <c r="A800" s="226"/>
      <c r="B800" s="188"/>
      <c r="C800" s="278"/>
      <c r="E800" s="181"/>
      <c r="F800" s="181"/>
      <c r="G800" s="4"/>
      <c r="I800" s="190"/>
      <c r="J800" s="190"/>
      <c r="K800" s="4"/>
      <c r="R800" s="4"/>
    </row>
    <row r="801">
      <c r="A801" s="226"/>
      <c r="B801" s="188"/>
      <c r="C801" s="278"/>
      <c r="E801" s="181"/>
      <c r="F801" s="181"/>
      <c r="G801" s="4"/>
      <c r="I801" s="190"/>
      <c r="J801" s="190"/>
      <c r="K801" s="4"/>
      <c r="R801" s="4"/>
    </row>
    <row r="802">
      <c r="A802" s="226"/>
      <c r="B802" s="188"/>
      <c r="C802" s="278"/>
      <c r="E802" s="181"/>
      <c r="F802" s="181"/>
      <c r="G802" s="4"/>
      <c r="I802" s="190"/>
      <c r="J802" s="190"/>
      <c r="K802" s="4"/>
      <c r="R802" s="4"/>
    </row>
    <row r="803">
      <c r="A803" s="226"/>
      <c r="B803" s="188"/>
      <c r="C803" s="278"/>
      <c r="E803" s="181"/>
      <c r="F803" s="181"/>
      <c r="G803" s="4"/>
      <c r="I803" s="190"/>
      <c r="J803" s="190"/>
      <c r="K803" s="4"/>
      <c r="R803" s="4"/>
    </row>
    <row r="804">
      <c r="A804" s="226"/>
      <c r="B804" s="188"/>
      <c r="C804" s="278"/>
      <c r="E804" s="181"/>
      <c r="F804" s="181"/>
      <c r="G804" s="4"/>
      <c r="I804" s="190"/>
      <c r="J804" s="190"/>
      <c r="K804" s="4"/>
      <c r="R804" s="4"/>
    </row>
    <row r="805">
      <c r="A805" s="226"/>
      <c r="B805" s="188"/>
      <c r="C805" s="278"/>
      <c r="E805" s="181"/>
      <c r="F805" s="181"/>
      <c r="G805" s="4"/>
      <c r="I805" s="190"/>
      <c r="J805" s="190"/>
      <c r="K805" s="4"/>
      <c r="R805" s="4"/>
    </row>
    <row r="806">
      <c r="A806" s="226"/>
      <c r="B806" s="188"/>
      <c r="C806" s="278"/>
      <c r="E806" s="181"/>
      <c r="F806" s="181"/>
      <c r="G806" s="4"/>
      <c r="I806" s="190"/>
      <c r="J806" s="190"/>
      <c r="K806" s="4"/>
      <c r="R806" s="4"/>
    </row>
    <row r="807">
      <c r="A807" s="226"/>
      <c r="B807" s="188"/>
      <c r="C807" s="278"/>
      <c r="E807" s="181"/>
      <c r="F807" s="181"/>
      <c r="G807" s="4"/>
      <c r="I807" s="190"/>
      <c r="J807" s="190"/>
      <c r="K807" s="4"/>
      <c r="R807" s="4"/>
    </row>
    <row r="808">
      <c r="A808" s="226"/>
      <c r="B808" s="188"/>
      <c r="C808" s="278"/>
      <c r="E808" s="181"/>
      <c r="F808" s="181"/>
      <c r="G808" s="4"/>
      <c r="I808" s="190"/>
      <c r="J808" s="190"/>
      <c r="K808" s="4"/>
      <c r="R808" s="4"/>
    </row>
    <row r="809">
      <c r="A809" s="226"/>
      <c r="B809" s="188"/>
      <c r="C809" s="278"/>
      <c r="E809" s="181"/>
      <c r="F809" s="181"/>
      <c r="G809" s="4"/>
      <c r="I809" s="190"/>
      <c r="J809" s="190"/>
      <c r="K809" s="4"/>
      <c r="R809" s="4"/>
    </row>
    <row r="810">
      <c r="A810" s="226"/>
      <c r="B810" s="188"/>
      <c r="C810" s="278"/>
      <c r="E810" s="181"/>
      <c r="F810" s="181"/>
      <c r="G810" s="4"/>
      <c r="I810" s="190"/>
      <c r="J810" s="190"/>
      <c r="K810" s="4"/>
      <c r="R810" s="4"/>
    </row>
    <row r="811">
      <c r="A811" s="226"/>
      <c r="B811" s="188"/>
      <c r="C811" s="278"/>
      <c r="E811" s="181"/>
      <c r="F811" s="181"/>
      <c r="G811" s="4"/>
      <c r="I811" s="190"/>
      <c r="J811" s="190"/>
      <c r="K811" s="4"/>
      <c r="R811" s="4"/>
    </row>
    <row r="812">
      <c r="A812" s="226"/>
      <c r="B812" s="188"/>
      <c r="C812" s="278"/>
      <c r="E812" s="181"/>
      <c r="F812" s="181"/>
      <c r="G812" s="4"/>
      <c r="I812" s="190"/>
      <c r="J812" s="190"/>
      <c r="K812" s="4"/>
      <c r="R812" s="4"/>
    </row>
    <row r="813">
      <c r="A813" s="226"/>
      <c r="B813" s="188"/>
      <c r="C813" s="278"/>
      <c r="E813" s="181"/>
      <c r="F813" s="181"/>
      <c r="G813" s="4"/>
      <c r="I813" s="190"/>
      <c r="J813" s="190"/>
      <c r="K813" s="4"/>
      <c r="R813" s="4"/>
    </row>
    <row r="814">
      <c r="A814" s="226"/>
      <c r="B814" s="188"/>
      <c r="C814" s="278"/>
      <c r="E814" s="181"/>
      <c r="F814" s="181"/>
      <c r="G814" s="4"/>
      <c r="I814" s="190"/>
      <c r="J814" s="190"/>
      <c r="K814" s="4"/>
      <c r="R814" s="4"/>
    </row>
    <row r="815">
      <c r="A815" s="226"/>
      <c r="B815" s="188"/>
      <c r="C815" s="278"/>
      <c r="E815" s="181"/>
      <c r="F815" s="181"/>
      <c r="G815" s="4"/>
      <c r="I815" s="190"/>
      <c r="J815" s="190"/>
      <c r="K815" s="4"/>
      <c r="R815" s="4"/>
    </row>
    <row r="816">
      <c r="A816" s="226"/>
      <c r="B816" s="188"/>
      <c r="C816" s="278"/>
      <c r="E816" s="181"/>
      <c r="F816" s="181"/>
      <c r="G816" s="4"/>
      <c r="I816" s="190"/>
      <c r="J816" s="190"/>
      <c r="K816" s="4"/>
      <c r="R816" s="4"/>
    </row>
    <row r="817">
      <c r="A817" s="226"/>
      <c r="B817" s="188"/>
      <c r="C817" s="278"/>
      <c r="E817" s="181"/>
      <c r="F817" s="181"/>
      <c r="G817" s="4"/>
      <c r="I817" s="190"/>
      <c r="J817" s="190"/>
      <c r="K817" s="4"/>
      <c r="R817" s="4"/>
    </row>
    <row r="818">
      <c r="A818" s="226"/>
      <c r="B818" s="188"/>
      <c r="C818" s="278"/>
      <c r="E818" s="181"/>
      <c r="F818" s="181"/>
      <c r="G818" s="4"/>
      <c r="I818" s="190"/>
      <c r="J818" s="190"/>
      <c r="K818" s="4"/>
      <c r="R818" s="4"/>
    </row>
    <row r="819">
      <c r="A819" s="226"/>
      <c r="B819" s="188"/>
      <c r="C819" s="278"/>
      <c r="E819" s="181"/>
      <c r="F819" s="181"/>
      <c r="G819" s="4"/>
      <c r="I819" s="190"/>
      <c r="J819" s="190"/>
      <c r="K819" s="4"/>
      <c r="R819" s="4"/>
    </row>
    <row r="820">
      <c r="A820" s="226"/>
      <c r="B820" s="188"/>
      <c r="C820" s="278"/>
      <c r="E820" s="181"/>
      <c r="F820" s="181"/>
      <c r="G820" s="4"/>
      <c r="I820" s="190"/>
      <c r="J820" s="190"/>
      <c r="K820" s="4"/>
      <c r="R820" s="4"/>
    </row>
    <row r="821">
      <c r="A821" s="226"/>
      <c r="B821" s="188"/>
      <c r="C821" s="278"/>
      <c r="E821" s="181"/>
      <c r="F821" s="181"/>
      <c r="G821" s="4"/>
      <c r="I821" s="190"/>
      <c r="J821" s="190"/>
      <c r="K821" s="4"/>
      <c r="R821" s="4"/>
    </row>
    <row r="822">
      <c r="A822" s="226"/>
      <c r="B822" s="188"/>
      <c r="C822" s="278"/>
      <c r="E822" s="181"/>
      <c r="F822" s="181"/>
      <c r="G822" s="4"/>
      <c r="I822" s="190"/>
      <c r="J822" s="190"/>
      <c r="K822" s="4"/>
      <c r="R822" s="4"/>
    </row>
    <row r="823">
      <c r="A823" s="226"/>
      <c r="B823" s="188"/>
      <c r="C823" s="278"/>
      <c r="E823" s="181"/>
      <c r="F823" s="181"/>
      <c r="G823" s="4"/>
      <c r="I823" s="190"/>
      <c r="J823" s="190"/>
      <c r="K823" s="4"/>
      <c r="R823" s="4"/>
    </row>
    <row r="824">
      <c r="A824" s="226"/>
      <c r="B824" s="188"/>
      <c r="C824" s="278"/>
      <c r="E824" s="181"/>
      <c r="F824" s="181"/>
      <c r="G824" s="4"/>
      <c r="I824" s="190"/>
      <c r="J824" s="190"/>
      <c r="K824" s="4"/>
      <c r="R824" s="4"/>
    </row>
    <row r="825">
      <c r="A825" s="226"/>
      <c r="B825" s="188"/>
      <c r="C825" s="278"/>
      <c r="E825" s="181"/>
      <c r="F825" s="181"/>
      <c r="G825" s="4"/>
      <c r="I825" s="190"/>
      <c r="J825" s="190"/>
      <c r="K825" s="4"/>
      <c r="R825" s="4"/>
    </row>
    <row r="826">
      <c r="A826" s="226"/>
      <c r="B826" s="188"/>
      <c r="C826" s="278"/>
      <c r="E826" s="181"/>
      <c r="F826" s="181"/>
      <c r="G826" s="4"/>
      <c r="I826" s="190"/>
      <c r="J826" s="190"/>
      <c r="K826" s="4"/>
      <c r="R826" s="4"/>
    </row>
    <row r="827">
      <c r="A827" s="226"/>
      <c r="B827" s="188"/>
      <c r="C827" s="278"/>
      <c r="E827" s="181"/>
      <c r="F827" s="181"/>
      <c r="G827" s="4"/>
      <c r="I827" s="190"/>
      <c r="J827" s="190"/>
      <c r="K827" s="4"/>
      <c r="R827" s="4"/>
    </row>
    <row r="828">
      <c r="A828" s="226"/>
      <c r="B828" s="188"/>
      <c r="C828" s="278"/>
      <c r="E828" s="181"/>
      <c r="F828" s="181"/>
      <c r="G828" s="4"/>
      <c r="I828" s="190"/>
      <c r="J828" s="190"/>
      <c r="K828" s="4"/>
      <c r="R828" s="4"/>
    </row>
    <row r="829">
      <c r="A829" s="226"/>
      <c r="B829" s="188"/>
      <c r="C829" s="278"/>
      <c r="E829" s="181"/>
      <c r="F829" s="181"/>
      <c r="G829" s="4"/>
      <c r="I829" s="190"/>
      <c r="J829" s="190"/>
      <c r="K829" s="4"/>
      <c r="R829" s="4"/>
    </row>
    <row r="830">
      <c r="A830" s="226"/>
      <c r="B830" s="188"/>
      <c r="C830" s="278"/>
      <c r="E830" s="181"/>
      <c r="F830" s="181"/>
      <c r="G830" s="4"/>
      <c r="I830" s="190"/>
      <c r="J830" s="190"/>
      <c r="K830" s="4"/>
      <c r="R830" s="4"/>
    </row>
    <row r="831">
      <c r="A831" s="226"/>
      <c r="B831" s="188"/>
      <c r="C831" s="278"/>
      <c r="E831" s="181"/>
      <c r="F831" s="181"/>
      <c r="G831" s="4"/>
      <c r="I831" s="190"/>
      <c r="J831" s="190"/>
      <c r="K831" s="4"/>
      <c r="R831" s="4"/>
    </row>
    <row r="832">
      <c r="A832" s="226"/>
      <c r="B832" s="188"/>
      <c r="C832" s="278"/>
      <c r="E832" s="181"/>
      <c r="F832" s="181"/>
      <c r="G832" s="4"/>
      <c r="I832" s="190"/>
      <c r="J832" s="190"/>
      <c r="K832" s="4"/>
      <c r="R832" s="4"/>
    </row>
    <row r="833">
      <c r="A833" s="226"/>
      <c r="B833" s="188"/>
      <c r="C833" s="278"/>
      <c r="E833" s="181"/>
      <c r="F833" s="181"/>
      <c r="G833" s="4"/>
      <c r="I833" s="190"/>
      <c r="J833" s="190"/>
      <c r="K833" s="4"/>
      <c r="R833" s="4"/>
    </row>
    <row r="834">
      <c r="A834" s="226"/>
      <c r="B834" s="188"/>
      <c r="C834" s="278"/>
      <c r="E834" s="181"/>
      <c r="F834" s="181"/>
      <c r="G834" s="4"/>
      <c r="I834" s="190"/>
      <c r="J834" s="190"/>
      <c r="K834" s="4"/>
      <c r="R834" s="4"/>
    </row>
    <row r="835">
      <c r="A835" s="226"/>
      <c r="B835" s="188"/>
      <c r="C835" s="278"/>
      <c r="E835" s="181"/>
      <c r="F835" s="181"/>
      <c r="G835" s="4"/>
      <c r="I835" s="190"/>
      <c r="J835" s="190"/>
      <c r="K835" s="4"/>
      <c r="R835" s="4"/>
    </row>
    <row r="836">
      <c r="A836" s="226"/>
      <c r="B836" s="188"/>
      <c r="C836" s="278"/>
      <c r="E836" s="181"/>
      <c r="F836" s="181"/>
      <c r="G836" s="4"/>
      <c r="I836" s="190"/>
      <c r="J836" s="190"/>
      <c r="K836" s="4"/>
      <c r="R836" s="4"/>
    </row>
    <row r="837">
      <c r="A837" s="226"/>
      <c r="B837" s="188"/>
      <c r="C837" s="278"/>
      <c r="E837" s="181"/>
      <c r="F837" s="181"/>
      <c r="G837" s="4"/>
      <c r="I837" s="190"/>
      <c r="J837" s="190"/>
      <c r="K837" s="4"/>
      <c r="R837" s="4"/>
    </row>
    <row r="838">
      <c r="A838" s="226"/>
      <c r="B838" s="188"/>
      <c r="C838" s="278"/>
      <c r="E838" s="181"/>
      <c r="F838" s="181"/>
      <c r="G838" s="4"/>
      <c r="I838" s="190"/>
      <c r="J838" s="190"/>
      <c r="K838" s="4"/>
      <c r="R838" s="4"/>
    </row>
    <row r="839">
      <c r="A839" s="226"/>
      <c r="B839" s="188"/>
      <c r="C839" s="278"/>
      <c r="E839" s="181"/>
      <c r="F839" s="181"/>
      <c r="G839" s="4"/>
      <c r="I839" s="190"/>
      <c r="J839" s="190"/>
      <c r="K839" s="4"/>
      <c r="R839" s="4"/>
    </row>
    <row r="840">
      <c r="A840" s="226"/>
      <c r="B840" s="188"/>
      <c r="C840" s="278"/>
      <c r="E840" s="181"/>
      <c r="F840" s="181"/>
      <c r="G840" s="4"/>
      <c r="I840" s="190"/>
      <c r="J840" s="190"/>
      <c r="K840" s="4"/>
      <c r="R840" s="4"/>
    </row>
    <row r="841">
      <c r="A841" s="226"/>
      <c r="B841" s="188"/>
      <c r="C841" s="278"/>
      <c r="E841" s="181"/>
      <c r="F841" s="181"/>
      <c r="G841" s="4"/>
      <c r="I841" s="190"/>
      <c r="J841" s="190"/>
      <c r="K841" s="4"/>
      <c r="R841" s="4"/>
    </row>
    <row r="842">
      <c r="A842" s="226"/>
      <c r="B842" s="188"/>
      <c r="C842" s="278"/>
      <c r="E842" s="181"/>
      <c r="F842" s="181"/>
      <c r="G842" s="4"/>
      <c r="I842" s="190"/>
      <c r="J842" s="190"/>
      <c r="K842" s="4"/>
      <c r="R842" s="4"/>
    </row>
    <row r="843">
      <c r="A843" s="226"/>
      <c r="B843" s="188"/>
      <c r="C843" s="278"/>
      <c r="E843" s="181"/>
      <c r="F843" s="181"/>
      <c r="G843" s="4"/>
      <c r="I843" s="190"/>
      <c r="J843" s="190"/>
      <c r="K843" s="4"/>
      <c r="R843" s="4"/>
    </row>
    <row r="844">
      <c r="A844" s="226"/>
      <c r="B844" s="188"/>
      <c r="C844" s="278"/>
      <c r="E844" s="181"/>
      <c r="F844" s="181"/>
      <c r="G844" s="4"/>
      <c r="I844" s="190"/>
      <c r="J844" s="190"/>
      <c r="K844" s="4"/>
      <c r="R844" s="4"/>
    </row>
    <row r="845">
      <c r="A845" s="226"/>
      <c r="B845" s="188"/>
      <c r="C845" s="278"/>
      <c r="E845" s="181"/>
      <c r="F845" s="181"/>
      <c r="G845" s="4"/>
      <c r="I845" s="190"/>
      <c r="J845" s="190"/>
      <c r="K845" s="4"/>
      <c r="R845" s="4"/>
    </row>
    <row r="846">
      <c r="A846" s="226"/>
      <c r="B846" s="188"/>
      <c r="C846" s="278"/>
      <c r="E846" s="181"/>
      <c r="F846" s="181"/>
      <c r="G846" s="4"/>
      <c r="I846" s="190"/>
      <c r="J846" s="190"/>
      <c r="K846" s="4"/>
      <c r="R846" s="4"/>
    </row>
    <row r="847">
      <c r="A847" s="226"/>
      <c r="B847" s="188"/>
      <c r="C847" s="278"/>
      <c r="E847" s="181"/>
      <c r="F847" s="181"/>
      <c r="G847" s="4"/>
      <c r="I847" s="190"/>
      <c r="J847" s="190"/>
      <c r="K847" s="4"/>
      <c r="R847" s="4"/>
    </row>
    <row r="848">
      <c r="A848" s="226"/>
      <c r="B848" s="188"/>
      <c r="C848" s="278"/>
      <c r="E848" s="181"/>
      <c r="F848" s="181"/>
      <c r="G848" s="4"/>
      <c r="I848" s="190"/>
      <c r="J848" s="190"/>
      <c r="K848" s="4"/>
      <c r="R848" s="4"/>
    </row>
    <row r="849">
      <c r="A849" s="226"/>
      <c r="B849" s="188"/>
      <c r="C849" s="278"/>
      <c r="E849" s="181"/>
      <c r="F849" s="181"/>
      <c r="G849" s="4"/>
      <c r="I849" s="190"/>
      <c r="J849" s="190"/>
      <c r="K849" s="4"/>
      <c r="R849" s="4"/>
    </row>
    <row r="850">
      <c r="A850" s="226"/>
      <c r="B850" s="188"/>
      <c r="C850" s="278"/>
      <c r="E850" s="181"/>
      <c r="F850" s="181"/>
      <c r="G850" s="4"/>
      <c r="I850" s="190"/>
      <c r="J850" s="190"/>
      <c r="K850" s="4"/>
      <c r="R850" s="4"/>
    </row>
    <row r="851">
      <c r="A851" s="226"/>
      <c r="B851" s="188"/>
      <c r="C851" s="278"/>
      <c r="E851" s="181"/>
      <c r="F851" s="181"/>
      <c r="G851" s="4"/>
      <c r="I851" s="190"/>
      <c r="J851" s="190"/>
      <c r="K851" s="4"/>
      <c r="R851" s="4"/>
    </row>
    <row r="852">
      <c r="A852" s="226"/>
      <c r="B852" s="188"/>
      <c r="C852" s="278"/>
      <c r="E852" s="181"/>
      <c r="F852" s="181"/>
      <c r="G852" s="4"/>
      <c r="I852" s="190"/>
      <c r="J852" s="190"/>
      <c r="K852" s="4"/>
      <c r="R852" s="4"/>
    </row>
    <row r="853">
      <c r="A853" s="226"/>
      <c r="B853" s="188"/>
      <c r="C853" s="278"/>
      <c r="E853" s="181"/>
      <c r="F853" s="181"/>
      <c r="G853" s="4"/>
      <c r="I853" s="190"/>
      <c r="J853" s="190"/>
      <c r="K853" s="4"/>
      <c r="R853" s="4"/>
    </row>
    <row r="854">
      <c r="A854" s="226"/>
      <c r="B854" s="188"/>
      <c r="C854" s="278"/>
      <c r="E854" s="181"/>
      <c r="F854" s="181"/>
      <c r="G854" s="4"/>
      <c r="I854" s="190"/>
      <c r="J854" s="190"/>
      <c r="K854" s="4"/>
      <c r="R854" s="4"/>
    </row>
    <row r="855">
      <c r="A855" s="226"/>
      <c r="B855" s="188"/>
      <c r="C855" s="278"/>
      <c r="E855" s="181"/>
      <c r="F855" s="181"/>
      <c r="G855" s="4"/>
      <c r="I855" s="190"/>
      <c r="J855" s="190"/>
      <c r="K855" s="4"/>
      <c r="R855" s="4"/>
    </row>
    <row r="856">
      <c r="A856" s="226"/>
      <c r="B856" s="188"/>
      <c r="C856" s="278"/>
      <c r="E856" s="181"/>
      <c r="F856" s="181"/>
      <c r="G856" s="4"/>
      <c r="I856" s="190"/>
      <c r="J856" s="190"/>
      <c r="K856" s="4"/>
      <c r="R856" s="4"/>
    </row>
    <row r="857">
      <c r="A857" s="226"/>
      <c r="B857" s="188"/>
      <c r="C857" s="278"/>
      <c r="E857" s="181"/>
      <c r="F857" s="181"/>
      <c r="G857" s="4"/>
      <c r="I857" s="190"/>
      <c r="J857" s="190"/>
      <c r="K857" s="4"/>
      <c r="R857" s="4"/>
    </row>
    <row r="858">
      <c r="A858" s="226"/>
      <c r="B858" s="188"/>
      <c r="C858" s="278"/>
      <c r="E858" s="181"/>
      <c r="F858" s="181"/>
      <c r="G858" s="4"/>
      <c r="I858" s="190"/>
      <c r="J858" s="190"/>
      <c r="K858" s="4"/>
      <c r="R858" s="4"/>
    </row>
    <row r="859">
      <c r="A859" s="226"/>
      <c r="B859" s="188"/>
      <c r="C859" s="278"/>
      <c r="E859" s="181"/>
      <c r="F859" s="181"/>
      <c r="G859" s="4"/>
      <c r="I859" s="190"/>
      <c r="J859" s="190"/>
      <c r="K859" s="4"/>
      <c r="R859" s="4"/>
    </row>
    <row r="860">
      <c r="A860" s="226"/>
      <c r="B860" s="188"/>
      <c r="C860" s="278"/>
      <c r="E860" s="181"/>
      <c r="F860" s="181"/>
      <c r="G860" s="4"/>
      <c r="I860" s="190"/>
      <c r="J860" s="190"/>
      <c r="K860" s="4"/>
      <c r="R860" s="4"/>
    </row>
    <row r="861">
      <c r="A861" s="226"/>
      <c r="B861" s="188"/>
      <c r="C861" s="278"/>
      <c r="E861" s="181"/>
      <c r="F861" s="181"/>
      <c r="G861" s="4"/>
      <c r="I861" s="190"/>
      <c r="J861" s="190"/>
      <c r="K861" s="4"/>
      <c r="R861" s="4"/>
    </row>
    <row r="862">
      <c r="A862" s="226"/>
      <c r="B862" s="188"/>
      <c r="C862" s="278"/>
      <c r="E862" s="181"/>
      <c r="F862" s="181"/>
      <c r="G862" s="4"/>
      <c r="I862" s="190"/>
      <c r="J862" s="190"/>
      <c r="K862" s="4"/>
      <c r="R862" s="4"/>
    </row>
    <row r="863">
      <c r="A863" s="226"/>
      <c r="B863" s="188"/>
      <c r="C863" s="278"/>
      <c r="E863" s="181"/>
      <c r="F863" s="181"/>
      <c r="G863" s="4"/>
      <c r="I863" s="190"/>
      <c r="J863" s="190"/>
      <c r="K863" s="4"/>
      <c r="R863" s="4"/>
    </row>
    <row r="864">
      <c r="A864" s="226"/>
      <c r="B864" s="188"/>
      <c r="C864" s="278"/>
      <c r="E864" s="181"/>
      <c r="F864" s="181"/>
      <c r="G864" s="4"/>
      <c r="I864" s="190"/>
      <c r="J864" s="190"/>
      <c r="K864" s="4"/>
      <c r="R864" s="4"/>
    </row>
    <row r="865">
      <c r="A865" s="226"/>
      <c r="B865" s="188"/>
      <c r="C865" s="278"/>
      <c r="E865" s="181"/>
      <c r="F865" s="181"/>
      <c r="G865" s="4"/>
      <c r="I865" s="190"/>
      <c r="J865" s="190"/>
      <c r="K865" s="4"/>
      <c r="R865" s="4"/>
    </row>
    <row r="866">
      <c r="A866" s="226"/>
      <c r="B866" s="188"/>
      <c r="C866" s="278"/>
      <c r="E866" s="181"/>
      <c r="F866" s="181"/>
      <c r="G866" s="4"/>
      <c r="I866" s="190"/>
      <c r="J866" s="190"/>
      <c r="K866" s="4"/>
      <c r="R866" s="4"/>
    </row>
    <row r="867">
      <c r="A867" s="226"/>
      <c r="B867" s="188"/>
      <c r="C867" s="278"/>
      <c r="E867" s="181"/>
      <c r="F867" s="181"/>
      <c r="G867" s="4"/>
      <c r="I867" s="190"/>
      <c r="J867" s="190"/>
      <c r="K867" s="4"/>
      <c r="R867" s="4"/>
    </row>
    <row r="868">
      <c r="A868" s="226"/>
      <c r="B868" s="188"/>
      <c r="C868" s="278"/>
      <c r="E868" s="181"/>
      <c r="F868" s="181"/>
      <c r="G868" s="4"/>
      <c r="I868" s="190"/>
      <c r="J868" s="190"/>
      <c r="K868" s="4"/>
      <c r="R868" s="4"/>
    </row>
    <row r="869">
      <c r="A869" s="226"/>
      <c r="B869" s="188"/>
      <c r="C869" s="278"/>
      <c r="E869" s="181"/>
      <c r="F869" s="181"/>
      <c r="G869" s="4"/>
      <c r="I869" s="190"/>
      <c r="J869" s="190"/>
      <c r="K869" s="4"/>
      <c r="R869" s="4"/>
    </row>
    <row r="870">
      <c r="A870" s="226"/>
      <c r="B870" s="188"/>
      <c r="C870" s="278"/>
      <c r="E870" s="181"/>
      <c r="F870" s="181"/>
      <c r="G870" s="4"/>
      <c r="I870" s="190"/>
      <c r="J870" s="190"/>
      <c r="K870" s="4"/>
      <c r="R870" s="4"/>
    </row>
    <row r="871">
      <c r="A871" s="226"/>
      <c r="B871" s="188"/>
      <c r="C871" s="278"/>
      <c r="E871" s="181"/>
      <c r="F871" s="181"/>
      <c r="G871" s="4"/>
      <c r="I871" s="190"/>
      <c r="J871" s="190"/>
      <c r="K871" s="4"/>
      <c r="R871" s="4"/>
    </row>
    <row r="872">
      <c r="A872" s="226"/>
      <c r="B872" s="188"/>
      <c r="C872" s="278"/>
      <c r="E872" s="181"/>
      <c r="F872" s="181"/>
      <c r="G872" s="4"/>
      <c r="I872" s="190"/>
      <c r="J872" s="190"/>
      <c r="K872" s="4"/>
      <c r="R872" s="4"/>
    </row>
    <row r="873">
      <c r="A873" s="226"/>
      <c r="B873" s="188"/>
      <c r="C873" s="278"/>
      <c r="E873" s="181"/>
      <c r="F873" s="181"/>
      <c r="G873" s="4"/>
      <c r="I873" s="190"/>
      <c r="J873" s="190"/>
      <c r="K873" s="4"/>
      <c r="R873" s="4"/>
    </row>
    <row r="874">
      <c r="A874" s="226"/>
      <c r="B874" s="188"/>
      <c r="C874" s="278"/>
      <c r="E874" s="181"/>
      <c r="F874" s="181"/>
      <c r="G874" s="4"/>
      <c r="I874" s="190"/>
      <c r="J874" s="190"/>
      <c r="K874" s="4"/>
      <c r="R874" s="4"/>
    </row>
    <row r="875">
      <c r="A875" s="226"/>
      <c r="B875" s="188"/>
      <c r="C875" s="278"/>
      <c r="E875" s="181"/>
      <c r="F875" s="181"/>
      <c r="G875" s="4"/>
      <c r="I875" s="190"/>
      <c r="J875" s="190"/>
      <c r="K875" s="4"/>
      <c r="R875" s="4"/>
    </row>
    <row r="876">
      <c r="A876" s="226"/>
      <c r="B876" s="188"/>
      <c r="C876" s="278"/>
      <c r="E876" s="181"/>
      <c r="F876" s="181"/>
      <c r="G876" s="4"/>
      <c r="I876" s="190"/>
      <c r="J876" s="190"/>
      <c r="K876" s="4"/>
      <c r="R876" s="4"/>
    </row>
    <row r="877">
      <c r="A877" s="226"/>
      <c r="B877" s="188"/>
      <c r="C877" s="278"/>
      <c r="E877" s="181"/>
      <c r="F877" s="181"/>
      <c r="G877" s="4"/>
      <c r="I877" s="190"/>
      <c r="J877" s="190"/>
      <c r="K877" s="4"/>
      <c r="R877" s="4"/>
    </row>
    <row r="878">
      <c r="A878" s="226"/>
      <c r="B878" s="188"/>
      <c r="C878" s="278"/>
      <c r="E878" s="181"/>
      <c r="F878" s="181"/>
      <c r="G878" s="4"/>
      <c r="I878" s="190"/>
      <c r="J878" s="190"/>
      <c r="K878" s="4"/>
      <c r="R878" s="4"/>
    </row>
    <row r="879">
      <c r="A879" s="226"/>
      <c r="B879" s="188"/>
      <c r="C879" s="278"/>
      <c r="E879" s="181"/>
      <c r="F879" s="181"/>
      <c r="G879" s="4"/>
      <c r="I879" s="190"/>
      <c r="J879" s="190"/>
      <c r="K879" s="4"/>
      <c r="R879" s="4"/>
    </row>
    <row r="880">
      <c r="A880" s="226"/>
      <c r="B880" s="188"/>
      <c r="C880" s="278"/>
      <c r="E880" s="181"/>
      <c r="F880" s="181"/>
      <c r="G880" s="4"/>
      <c r="I880" s="190"/>
      <c r="J880" s="190"/>
      <c r="K880" s="4"/>
      <c r="R880" s="4"/>
    </row>
    <row r="881">
      <c r="A881" s="226"/>
      <c r="B881" s="188"/>
      <c r="C881" s="278"/>
      <c r="E881" s="181"/>
      <c r="F881" s="181"/>
      <c r="G881" s="4"/>
      <c r="I881" s="190"/>
      <c r="J881" s="190"/>
      <c r="K881" s="4"/>
      <c r="R881" s="4"/>
    </row>
    <row r="882">
      <c r="A882" s="226"/>
      <c r="B882" s="188"/>
      <c r="C882" s="278"/>
      <c r="E882" s="181"/>
      <c r="F882" s="181"/>
      <c r="G882" s="4"/>
      <c r="I882" s="190"/>
      <c r="J882" s="190"/>
      <c r="K882" s="4"/>
      <c r="R882" s="4"/>
    </row>
    <row r="883">
      <c r="A883" s="226"/>
      <c r="B883" s="188"/>
      <c r="C883" s="278"/>
      <c r="E883" s="181"/>
      <c r="F883" s="181"/>
      <c r="G883" s="4"/>
      <c r="I883" s="190"/>
      <c r="J883" s="190"/>
      <c r="K883" s="4"/>
      <c r="R883" s="4"/>
    </row>
    <row r="884">
      <c r="A884" s="226"/>
      <c r="B884" s="188"/>
      <c r="C884" s="278"/>
      <c r="E884" s="181"/>
      <c r="F884" s="181"/>
      <c r="G884" s="4"/>
      <c r="I884" s="190"/>
      <c r="J884" s="190"/>
      <c r="K884" s="4"/>
      <c r="R884" s="4"/>
    </row>
    <row r="885">
      <c r="A885" s="226"/>
      <c r="B885" s="188"/>
      <c r="C885" s="278"/>
      <c r="E885" s="181"/>
      <c r="F885" s="181"/>
      <c r="G885" s="4"/>
      <c r="I885" s="190"/>
      <c r="J885" s="190"/>
      <c r="K885" s="4"/>
      <c r="R885" s="4"/>
    </row>
    <row r="886">
      <c r="A886" s="226"/>
      <c r="B886" s="188"/>
      <c r="C886" s="278"/>
      <c r="E886" s="181"/>
      <c r="F886" s="181"/>
      <c r="G886" s="4"/>
      <c r="I886" s="190"/>
      <c r="J886" s="190"/>
      <c r="K886" s="4"/>
      <c r="R886" s="4"/>
    </row>
    <row r="887">
      <c r="A887" s="226"/>
      <c r="B887" s="188"/>
      <c r="C887" s="278"/>
      <c r="E887" s="181"/>
      <c r="F887" s="181"/>
      <c r="G887" s="4"/>
      <c r="I887" s="190"/>
      <c r="J887" s="190"/>
      <c r="K887" s="4"/>
      <c r="R887" s="4"/>
    </row>
    <row r="888">
      <c r="A888" s="226"/>
      <c r="B888" s="188"/>
      <c r="C888" s="278"/>
      <c r="E888" s="181"/>
      <c r="F888" s="181"/>
      <c r="G888" s="4"/>
      <c r="I888" s="190"/>
      <c r="J888" s="190"/>
      <c r="K888" s="4"/>
      <c r="R888" s="4"/>
    </row>
    <row r="889">
      <c r="A889" s="226"/>
      <c r="B889" s="188"/>
      <c r="C889" s="278"/>
      <c r="E889" s="181"/>
      <c r="F889" s="181"/>
      <c r="G889" s="4"/>
      <c r="I889" s="190"/>
      <c r="J889" s="190"/>
      <c r="K889" s="4"/>
      <c r="R889" s="4"/>
    </row>
    <row r="890">
      <c r="A890" s="226"/>
      <c r="B890" s="188"/>
      <c r="C890" s="278"/>
      <c r="E890" s="181"/>
      <c r="F890" s="181"/>
      <c r="G890" s="4"/>
      <c r="I890" s="190"/>
      <c r="J890" s="190"/>
      <c r="K890" s="4"/>
      <c r="R890" s="4"/>
    </row>
    <row r="891">
      <c r="A891" s="226"/>
      <c r="B891" s="188"/>
      <c r="C891" s="278"/>
      <c r="E891" s="181"/>
      <c r="F891" s="181"/>
      <c r="G891" s="4"/>
      <c r="I891" s="190"/>
      <c r="J891" s="190"/>
      <c r="K891" s="4"/>
      <c r="R891" s="4"/>
    </row>
    <row r="892">
      <c r="A892" s="226"/>
      <c r="B892" s="188"/>
      <c r="C892" s="278"/>
      <c r="E892" s="181"/>
      <c r="F892" s="181"/>
      <c r="G892" s="4"/>
      <c r="I892" s="190"/>
      <c r="J892" s="190"/>
      <c r="K892" s="4"/>
      <c r="R892" s="4"/>
    </row>
    <row r="893">
      <c r="A893" s="226"/>
      <c r="B893" s="188"/>
      <c r="C893" s="278"/>
      <c r="E893" s="181"/>
      <c r="F893" s="181"/>
      <c r="G893" s="4"/>
      <c r="I893" s="190"/>
      <c r="J893" s="190"/>
      <c r="K893" s="4"/>
      <c r="R893" s="4"/>
    </row>
    <row r="894">
      <c r="A894" s="226"/>
      <c r="B894" s="188"/>
      <c r="C894" s="278"/>
      <c r="E894" s="181"/>
      <c r="F894" s="181"/>
      <c r="G894" s="4"/>
      <c r="I894" s="190"/>
      <c r="J894" s="190"/>
      <c r="K894" s="4"/>
      <c r="R894" s="4"/>
    </row>
    <row r="895">
      <c r="A895" s="226"/>
      <c r="B895" s="188"/>
      <c r="C895" s="278"/>
      <c r="E895" s="181"/>
      <c r="F895" s="181"/>
      <c r="G895" s="4"/>
      <c r="I895" s="190"/>
      <c r="J895" s="190"/>
      <c r="K895" s="4"/>
      <c r="R895" s="4"/>
    </row>
    <row r="896">
      <c r="A896" s="226"/>
      <c r="B896" s="188"/>
      <c r="C896" s="278"/>
      <c r="E896" s="181"/>
      <c r="F896" s="181"/>
      <c r="G896" s="4"/>
      <c r="I896" s="190"/>
      <c r="J896" s="190"/>
      <c r="K896" s="4"/>
      <c r="R896" s="4"/>
    </row>
    <row r="897">
      <c r="A897" s="226"/>
      <c r="B897" s="188"/>
      <c r="C897" s="278"/>
      <c r="E897" s="181"/>
      <c r="F897" s="181"/>
      <c r="G897" s="4"/>
      <c r="I897" s="190"/>
      <c r="J897" s="190"/>
      <c r="K897" s="4"/>
      <c r="R897" s="4"/>
    </row>
    <row r="898">
      <c r="A898" s="226"/>
      <c r="B898" s="188"/>
      <c r="C898" s="278"/>
      <c r="E898" s="181"/>
      <c r="F898" s="181"/>
      <c r="G898" s="4"/>
      <c r="I898" s="190"/>
      <c r="J898" s="190"/>
      <c r="K898" s="4"/>
      <c r="R898" s="4"/>
    </row>
    <row r="899">
      <c r="A899" s="226"/>
      <c r="B899" s="188"/>
      <c r="C899" s="278"/>
      <c r="E899" s="181"/>
      <c r="F899" s="181"/>
      <c r="G899" s="4"/>
      <c r="I899" s="190"/>
      <c r="J899" s="190"/>
      <c r="K899" s="4"/>
      <c r="R899" s="4"/>
    </row>
    <row r="900">
      <c r="A900" s="226"/>
      <c r="B900" s="188"/>
      <c r="C900" s="278"/>
      <c r="E900" s="181"/>
      <c r="F900" s="181"/>
      <c r="G900" s="4"/>
      <c r="I900" s="190"/>
      <c r="J900" s="190"/>
      <c r="K900" s="4"/>
      <c r="R900" s="4"/>
    </row>
    <row r="901">
      <c r="A901" s="226"/>
      <c r="B901" s="188"/>
      <c r="C901" s="278"/>
      <c r="E901" s="181"/>
      <c r="F901" s="181"/>
      <c r="G901" s="4"/>
      <c r="I901" s="190"/>
      <c r="J901" s="190"/>
      <c r="K901" s="4"/>
      <c r="R901" s="4"/>
    </row>
    <row r="902">
      <c r="A902" s="226"/>
      <c r="B902" s="188"/>
      <c r="C902" s="278"/>
      <c r="E902" s="181"/>
      <c r="F902" s="181"/>
      <c r="G902" s="4"/>
      <c r="I902" s="190"/>
      <c r="J902" s="190"/>
      <c r="K902" s="4"/>
      <c r="R902" s="4"/>
    </row>
    <row r="903">
      <c r="A903" s="226"/>
      <c r="B903" s="188"/>
      <c r="C903" s="278"/>
      <c r="E903" s="181"/>
      <c r="F903" s="181"/>
      <c r="G903" s="4"/>
      <c r="I903" s="190"/>
      <c r="J903" s="190"/>
      <c r="K903" s="4"/>
      <c r="R903" s="4"/>
    </row>
    <row r="904">
      <c r="A904" s="226"/>
      <c r="B904" s="188"/>
      <c r="C904" s="278"/>
      <c r="E904" s="181"/>
      <c r="F904" s="181"/>
      <c r="G904" s="4"/>
      <c r="I904" s="190"/>
      <c r="J904" s="190"/>
      <c r="K904" s="4"/>
      <c r="R904" s="4"/>
    </row>
    <row r="905">
      <c r="A905" s="226"/>
      <c r="B905" s="188"/>
      <c r="C905" s="278"/>
      <c r="E905" s="181"/>
      <c r="F905" s="181"/>
      <c r="G905" s="4"/>
      <c r="I905" s="190"/>
      <c r="J905" s="190"/>
      <c r="K905" s="4"/>
      <c r="R905" s="4"/>
    </row>
    <row r="906">
      <c r="A906" s="226"/>
      <c r="B906" s="188"/>
      <c r="C906" s="278"/>
      <c r="E906" s="181"/>
      <c r="F906" s="181"/>
      <c r="G906" s="4"/>
      <c r="I906" s="190"/>
      <c r="J906" s="190"/>
      <c r="K906" s="4"/>
      <c r="R906" s="4"/>
    </row>
    <row r="907">
      <c r="A907" s="226"/>
      <c r="B907" s="188"/>
      <c r="C907" s="278"/>
      <c r="E907" s="181"/>
      <c r="F907" s="181"/>
      <c r="G907" s="4"/>
      <c r="I907" s="190"/>
      <c r="J907" s="190"/>
      <c r="K907" s="4"/>
      <c r="R907" s="4"/>
    </row>
    <row r="908">
      <c r="A908" s="226"/>
      <c r="B908" s="188"/>
      <c r="C908" s="278"/>
      <c r="E908" s="181"/>
      <c r="F908" s="181"/>
      <c r="G908" s="4"/>
      <c r="I908" s="190"/>
      <c r="J908" s="190"/>
      <c r="K908" s="4"/>
      <c r="R908" s="4"/>
    </row>
    <row r="909">
      <c r="A909" s="226"/>
      <c r="B909" s="188"/>
      <c r="C909" s="278"/>
      <c r="E909" s="181"/>
      <c r="F909" s="181"/>
      <c r="G909" s="4"/>
      <c r="I909" s="190"/>
      <c r="J909" s="190"/>
      <c r="K909" s="4"/>
      <c r="R909" s="4"/>
    </row>
    <row r="910">
      <c r="A910" s="226"/>
      <c r="B910" s="188"/>
      <c r="C910" s="278"/>
      <c r="E910" s="181"/>
      <c r="F910" s="181"/>
      <c r="G910" s="4"/>
      <c r="I910" s="190"/>
      <c r="J910" s="190"/>
      <c r="K910" s="4"/>
      <c r="R910" s="4"/>
    </row>
    <row r="911">
      <c r="A911" s="226"/>
      <c r="B911" s="188"/>
      <c r="C911" s="278"/>
      <c r="E911" s="181"/>
      <c r="F911" s="181"/>
      <c r="G911" s="4"/>
      <c r="I911" s="190"/>
      <c r="J911" s="190"/>
      <c r="K911" s="4"/>
      <c r="R911" s="4"/>
    </row>
    <row r="912">
      <c r="A912" s="226"/>
      <c r="B912" s="188"/>
      <c r="C912" s="278"/>
      <c r="E912" s="181"/>
      <c r="F912" s="181"/>
      <c r="G912" s="4"/>
      <c r="I912" s="190"/>
      <c r="J912" s="190"/>
      <c r="K912" s="4"/>
      <c r="R912" s="4"/>
    </row>
    <row r="913">
      <c r="A913" s="226"/>
      <c r="B913" s="188"/>
      <c r="C913" s="278"/>
      <c r="E913" s="181"/>
      <c r="F913" s="181"/>
      <c r="G913" s="4"/>
      <c r="I913" s="190"/>
      <c r="J913" s="190"/>
      <c r="K913" s="4"/>
      <c r="R913" s="4"/>
    </row>
    <row r="914">
      <c r="A914" s="226"/>
      <c r="B914" s="188"/>
      <c r="C914" s="278"/>
      <c r="E914" s="181"/>
      <c r="F914" s="181"/>
      <c r="G914" s="4"/>
      <c r="I914" s="190"/>
      <c r="J914" s="190"/>
      <c r="K914" s="4"/>
      <c r="R914" s="4"/>
    </row>
    <row r="915">
      <c r="A915" s="226"/>
      <c r="B915" s="188"/>
      <c r="C915" s="278"/>
      <c r="E915" s="181"/>
      <c r="F915" s="181"/>
      <c r="G915" s="4"/>
      <c r="I915" s="190"/>
      <c r="J915" s="190"/>
      <c r="K915" s="4"/>
      <c r="R915" s="4"/>
    </row>
    <row r="916">
      <c r="A916" s="226"/>
      <c r="B916" s="188"/>
      <c r="C916" s="278"/>
      <c r="E916" s="181"/>
      <c r="F916" s="181"/>
      <c r="G916" s="4"/>
      <c r="I916" s="190"/>
      <c r="J916" s="190"/>
      <c r="K916" s="4"/>
      <c r="R916" s="4"/>
    </row>
    <row r="917">
      <c r="A917" s="226"/>
      <c r="B917" s="188"/>
      <c r="C917" s="278"/>
      <c r="E917" s="181"/>
      <c r="F917" s="181"/>
      <c r="G917" s="4"/>
      <c r="I917" s="190"/>
      <c r="J917" s="190"/>
      <c r="K917" s="4"/>
      <c r="R917" s="4"/>
    </row>
    <row r="918">
      <c r="A918" s="226"/>
      <c r="B918" s="188"/>
      <c r="C918" s="278"/>
      <c r="E918" s="181"/>
      <c r="F918" s="181"/>
      <c r="G918" s="4"/>
      <c r="I918" s="190"/>
      <c r="J918" s="190"/>
      <c r="K918" s="4"/>
      <c r="R918" s="4"/>
    </row>
    <row r="919">
      <c r="A919" s="226"/>
      <c r="B919" s="188"/>
      <c r="C919" s="278"/>
      <c r="E919" s="181"/>
      <c r="F919" s="181"/>
      <c r="G919" s="4"/>
      <c r="I919" s="190"/>
      <c r="J919" s="190"/>
      <c r="K919" s="4"/>
      <c r="R919" s="4"/>
    </row>
    <row r="920">
      <c r="A920" s="226"/>
      <c r="B920" s="188"/>
      <c r="C920" s="278"/>
      <c r="E920" s="181"/>
      <c r="F920" s="181"/>
      <c r="G920" s="4"/>
      <c r="I920" s="190"/>
      <c r="J920" s="190"/>
      <c r="K920" s="4"/>
      <c r="R920" s="4"/>
    </row>
    <row r="921">
      <c r="A921" s="226"/>
      <c r="B921" s="188"/>
      <c r="C921" s="278"/>
      <c r="E921" s="181"/>
      <c r="F921" s="181"/>
      <c r="G921" s="4"/>
      <c r="I921" s="190"/>
      <c r="J921" s="190"/>
      <c r="K921" s="4"/>
      <c r="R921" s="4"/>
    </row>
    <row r="922">
      <c r="A922" s="226"/>
      <c r="B922" s="188"/>
      <c r="C922" s="278"/>
      <c r="E922" s="181"/>
      <c r="F922" s="181"/>
      <c r="G922" s="4"/>
      <c r="I922" s="190"/>
      <c r="J922" s="190"/>
      <c r="K922" s="4"/>
      <c r="R922" s="4"/>
    </row>
    <row r="923">
      <c r="A923" s="226"/>
      <c r="B923" s="188"/>
      <c r="C923" s="278"/>
      <c r="E923" s="181"/>
      <c r="F923" s="181"/>
      <c r="G923" s="4"/>
      <c r="I923" s="190"/>
      <c r="J923" s="190"/>
      <c r="K923" s="4"/>
      <c r="R923" s="4"/>
    </row>
    <row r="924">
      <c r="A924" s="226"/>
      <c r="B924" s="188"/>
      <c r="C924" s="278"/>
      <c r="E924" s="181"/>
      <c r="F924" s="181"/>
      <c r="G924" s="4"/>
      <c r="I924" s="190"/>
      <c r="J924" s="190"/>
      <c r="K924" s="4"/>
      <c r="R924" s="4"/>
    </row>
    <row r="925">
      <c r="A925" s="226"/>
      <c r="B925" s="188"/>
      <c r="C925" s="278"/>
      <c r="E925" s="181"/>
      <c r="F925" s="181"/>
      <c r="G925" s="4"/>
      <c r="I925" s="190"/>
      <c r="J925" s="190"/>
      <c r="K925" s="4"/>
      <c r="R925" s="4"/>
    </row>
    <row r="926">
      <c r="A926" s="226"/>
      <c r="B926" s="188"/>
      <c r="C926" s="278"/>
      <c r="E926" s="181"/>
      <c r="F926" s="181"/>
      <c r="G926" s="4"/>
      <c r="I926" s="190"/>
      <c r="J926" s="190"/>
      <c r="K926" s="4"/>
      <c r="R926" s="4"/>
    </row>
    <row r="927">
      <c r="A927" s="226"/>
      <c r="B927" s="188"/>
      <c r="C927" s="278"/>
      <c r="E927" s="181"/>
      <c r="F927" s="181"/>
      <c r="G927" s="4"/>
      <c r="I927" s="190"/>
      <c r="J927" s="190"/>
      <c r="K927" s="4"/>
      <c r="R927" s="4"/>
    </row>
    <row r="928">
      <c r="A928" s="226"/>
      <c r="B928" s="188"/>
      <c r="C928" s="278"/>
      <c r="E928" s="181"/>
      <c r="F928" s="181"/>
      <c r="G928" s="4"/>
      <c r="I928" s="190"/>
      <c r="J928" s="190"/>
      <c r="K928" s="4"/>
      <c r="R928" s="4"/>
    </row>
    <row r="929">
      <c r="A929" s="226"/>
      <c r="B929" s="188"/>
      <c r="C929" s="278"/>
      <c r="E929" s="181"/>
      <c r="F929" s="181"/>
      <c r="G929" s="4"/>
      <c r="I929" s="190"/>
      <c r="J929" s="190"/>
      <c r="K929" s="4"/>
      <c r="R929" s="4"/>
    </row>
    <row r="930">
      <c r="A930" s="226"/>
      <c r="B930" s="188"/>
      <c r="C930" s="278"/>
      <c r="E930" s="181"/>
      <c r="F930" s="181"/>
      <c r="G930" s="4"/>
      <c r="I930" s="190"/>
      <c r="J930" s="190"/>
      <c r="K930" s="4"/>
      <c r="R930" s="4"/>
    </row>
    <row r="931">
      <c r="A931" s="226"/>
      <c r="B931" s="188"/>
      <c r="C931" s="278"/>
      <c r="E931" s="181"/>
      <c r="F931" s="181"/>
      <c r="G931" s="4"/>
      <c r="I931" s="190"/>
      <c r="J931" s="190"/>
      <c r="K931" s="4"/>
      <c r="R931" s="4"/>
    </row>
    <row r="932">
      <c r="A932" s="226"/>
      <c r="B932" s="188"/>
      <c r="C932" s="278"/>
      <c r="E932" s="181"/>
      <c r="F932" s="181"/>
      <c r="G932" s="4"/>
      <c r="I932" s="190"/>
      <c r="J932" s="190"/>
      <c r="K932" s="4"/>
      <c r="R932" s="4"/>
    </row>
    <row r="933">
      <c r="A933" s="226"/>
      <c r="B933" s="188"/>
      <c r="C933" s="278"/>
      <c r="E933" s="181"/>
      <c r="F933" s="181"/>
      <c r="G933" s="4"/>
      <c r="I933" s="190"/>
      <c r="J933" s="190"/>
      <c r="K933" s="4"/>
      <c r="R933" s="4"/>
    </row>
    <row r="934">
      <c r="A934" s="226"/>
      <c r="B934" s="188"/>
      <c r="C934" s="278"/>
      <c r="E934" s="181"/>
      <c r="F934" s="181"/>
      <c r="G934" s="4"/>
      <c r="I934" s="190"/>
      <c r="J934" s="190"/>
      <c r="K934" s="4"/>
      <c r="R934" s="4"/>
    </row>
    <row r="935">
      <c r="A935" s="226"/>
      <c r="B935" s="188"/>
      <c r="C935" s="278"/>
      <c r="E935" s="181"/>
      <c r="F935" s="181"/>
      <c r="G935" s="4"/>
      <c r="I935" s="190"/>
      <c r="J935" s="190"/>
      <c r="K935" s="4"/>
      <c r="R935" s="4"/>
    </row>
    <row r="936">
      <c r="A936" s="226"/>
      <c r="B936" s="188"/>
      <c r="C936" s="278"/>
      <c r="E936" s="181"/>
      <c r="F936" s="181"/>
      <c r="G936" s="4"/>
      <c r="I936" s="190"/>
      <c r="J936" s="190"/>
      <c r="K936" s="4"/>
      <c r="R936" s="4"/>
    </row>
    <row r="937">
      <c r="A937" s="226"/>
      <c r="B937" s="188"/>
      <c r="C937" s="278"/>
      <c r="E937" s="181"/>
      <c r="F937" s="181"/>
      <c r="G937" s="4"/>
      <c r="I937" s="190"/>
      <c r="J937" s="190"/>
      <c r="K937" s="4"/>
      <c r="R937" s="4"/>
    </row>
    <row r="938">
      <c r="A938" s="226"/>
      <c r="B938" s="188"/>
      <c r="C938" s="278"/>
      <c r="E938" s="181"/>
      <c r="F938" s="181"/>
      <c r="G938" s="4"/>
      <c r="I938" s="190"/>
      <c r="J938" s="190"/>
      <c r="K938" s="4"/>
      <c r="R938" s="4"/>
    </row>
    <row r="939">
      <c r="A939" s="226"/>
      <c r="B939" s="188"/>
      <c r="C939" s="278"/>
      <c r="E939" s="181"/>
      <c r="F939" s="181"/>
      <c r="G939" s="4"/>
      <c r="I939" s="190"/>
      <c r="J939" s="190"/>
      <c r="K939" s="4"/>
      <c r="R939" s="4"/>
    </row>
    <row r="940">
      <c r="A940" s="226"/>
      <c r="B940" s="188"/>
      <c r="C940" s="278"/>
      <c r="E940" s="181"/>
      <c r="F940" s="181"/>
      <c r="G940" s="4"/>
      <c r="I940" s="190"/>
      <c r="J940" s="190"/>
      <c r="K940" s="4"/>
      <c r="R940" s="4"/>
    </row>
    <row r="941">
      <c r="A941" s="226"/>
      <c r="B941" s="188"/>
      <c r="C941" s="278"/>
      <c r="E941" s="181"/>
      <c r="F941" s="181"/>
      <c r="G941" s="4"/>
      <c r="I941" s="190"/>
      <c r="J941" s="190"/>
      <c r="K941" s="4"/>
      <c r="R941" s="4"/>
    </row>
    <row r="942">
      <c r="A942" s="226"/>
      <c r="B942" s="188"/>
      <c r="C942" s="278"/>
      <c r="E942" s="181"/>
      <c r="F942" s="181"/>
      <c r="G942" s="4"/>
      <c r="I942" s="190"/>
      <c r="J942" s="190"/>
      <c r="K942" s="4"/>
      <c r="R942" s="4"/>
    </row>
    <row r="943">
      <c r="A943" s="226"/>
      <c r="B943" s="188"/>
      <c r="C943" s="278"/>
      <c r="E943" s="181"/>
      <c r="F943" s="181"/>
      <c r="G943" s="4"/>
      <c r="I943" s="190"/>
      <c r="J943" s="190"/>
      <c r="K943" s="4"/>
      <c r="R943" s="4"/>
    </row>
    <row r="944">
      <c r="A944" s="226"/>
      <c r="B944" s="188"/>
      <c r="C944" s="278"/>
      <c r="E944" s="181"/>
      <c r="F944" s="181"/>
      <c r="G944" s="4"/>
      <c r="I944" s="190"/>
      <c r="J944" s="190"/>
      <c r="K944" s="4"/>
      <c r="R944" s="4"/>
    </row>
    <row r="945">
      <c r="A945" s="226"/>
      <c r="B945" s="188"/>
      <c r="C945" s="278"/>
      <c r="E945" s="181"/>
      <c r="F945" s="181"/>
      <c r="G945" s="4"/>
      <c r="I945" s="190"/>
      <c r="J945" s="190"/>
      <c r="K945" s="4"/>
      <c r="R945" s="4"/>
    </row>
    <row r="946">
      <c r="A946" s="226"/>
      <c r="B946" s="188"/>
      <c r="C946" s="278"/>
      <c r="E946" s="181"/>
      <c r="F946" s="181"/>
      <c r="G946" s="4"/>
      <c r="I946" s="190"/>
      <c r="J946" s="190"/>
      <c r="K946" s="4"/>
      <c r="R946" s="4"/>
    </row>
    <row r="947">
      <c r="A947" s="226"/>
      <c r="B947" s="188"/>
      <c r="C947" s="278"/>
      <c r="E947" s="181"/>
      <c r="F947" s="181"/>
      <c r="G947" s="4"/>
      <c r="I947" s="190"/>
      <c r="J947" s="190"/>
      <c r="K947" s="4"/>
      <c r="R947" s="4"/>
    </row>
    <row r="948">
      <c r="A948" s="226"/>
      <c r="B948" s="188"/>
      <c r="C948" s="278"/>
      <c r="E948" s="181"/>
      <c r="F948" s="181"/>
      <c r="G948" s="4"/>
      <c r="I948" s="190"/>
      <c r="J948" s="190"/>
      <c r="K948" s="4"/>
      <c r="R948" s="4"/>
    </row>
    <row r="949">
      <c r="A949" s="226"/>
      <c r="B949" s="188"/>
      <c r="C949" s="278"/>
      <c r="E949" s="181"/>
      <c r="F949" s="181"/>
      <c r="G949" s="4"/>
      <c r="I949" s="190"/>
      <c r="J949" s="190"/>
      <c r="K949" s="4"/>
      <c r="R949" s="4"/>
    </row>
    <row r="950">
      <c r="A950" s="226"/>
      <c r="B950" s="188"/>
      <c r="C950" s="278"/>
      <c r="E950" s="181"/>
      <c r="F950" s="181"/>
      <c r="G950" s="4"/>
      <c r="I950" s="190"/>
      <c r="J950" s="190"/>
      <c r="K950" s="4"/>
      <c r="R950" s="4"/>
    </row>
    <row r="951">
      <c r="A951" s="226"/>
      <c r="B951" s="188"/>
      <c r="C951" s="278"/>
      <c r="E951" s="181"/>
      <c r="F951" s="181"/>
      <c r="G951" s="4"/>
      <c r="I951" s="190"/>
      <c r="J951" s="190"/>
      <c r="K951" s="4"/>
      <c r="R951" s="4"/>
    </row>
    <row r="952">
      <c r="A952" s="226"/>
      <c r="B952" s="188"/>
      <c r="C952" s="278"/>
      <c r="E952" s="181"/>
      <c r="F952" s="181"/>
      <c r="G952" s="4"/>
      <c r="I952" s="190"/>
      <c r="J952" s="190"/>
      <c r="K952" s="4"/>
      <c r="R952" s="4"/>
    </row>
    <row r="953">
      <c r="A953" s="226"/>
      <c r="B953" s="188"/>
      <c r="C953" s="278"/>
      <c r="E953" s="181"/>
      <c r="F953" s="181"/>
      <c r="G953" s="4"/>
      <c r="I953" s="190"/>
      <c r="J953" s="190"/>
      <c r="K953" s="4"/>
      <c r="R953" s="4"/>
    </row>
    <row r="954">
      <c r="A954" s="226"/>
      <c r="B954" s="188"/>
      <c r="C954" s="278"/>
      <c r="E954" s="181"/>
      <c r="F954" s="181"/>
      <c r="G954" s="4"/>
      <c r="I954" s="190"/>
      <c r="J954" s="190"/>
      <c r="K954" s="4"/>
      <c r="R954" s="4"/>
    </row>
    <row r="955">
      <c r="A955" s="226"/>
      <c r="B955" s="188"/>
      <c r="C955" s="278"/>
      <c r="E955" s="181"/>
      <c r="F955" s="181"/>
      <c r="G955" s="4"/>
      <c r="I955" s="190"/>
      <c r="J955" s="190"/>
      <c r="K955" s="4"/>
      <c r="R955" s="4"/>
    </row>
    <row r="956">
      <c r="A956" s="226"/>
      <c r="B956" s="188"/>
      <c r="C956" s="278"/>
      <c r="E956" s="181"/>
      <c r="F956" s="181"/>
      <c r="G956" s="4"/>
      <c r="I956" s="190"/>
      <c r="J956" s="190"/>
      <c r="K956" s="4"/>
      <c r="R956" s="4"/>
    </row>
    <row r="957">
      <c r="A957" s="226"/>
      <c r="B957" s="188"/>
      <c r="C957" s="278"/>
      <c r="E957" s="181"/>
      <c r="F957" s="181"/>
      <c r="G957" s="4"/>
      <c r="I957" s="190"/>
      <c r="J957" s="190"/>
      <c r="K957" s="4"/>
      <c r="R957" s="4"/>
    </row>
    <row r="958">
      <c r="A958" s="226"/>
      <c r="B958" s="188"/>
      <c r="C958" s="278"/>
      <c r="E958" s="181"/>
      <c r="F958" s="181"/>
      <c r="G958" s="4"/>
      <c r="I958" s="190"/>
      <c r="J958" s="190"/>
      <c r="K958" s="4"/>
      <c r="R958" s="4"/>
    </row>
    <row r="959">
      <c r="A959" s="226"/>
      <c r="B959" s="188"/>
      <c r="C959" s="278"/>
      <c r="E959" s="181"/>
      <c r="F959" s="181"/>
      <c r="G959" s="4"/>
      <c r="I959" s="190"/>
      <c r="J959" s="190"/>
      <c r="K959" s="4"/>
      <c r="R959" s="4"/>
    </row>
    <row r="960">
      <c r="A960" s="226"/>
      <c r="B960" s="188"/>
      <c r="C960" s="278"/>
      <c r="E960" s="181"/>
      <c r="F960" s="181"/>
      <c r="G960" s="4"/>
      <c r="I960" s="190"/>
      <c r="J960" s="190"/>
      <c r="K960" s="4"/>
      <c r="R960" s="4"/>
    </row>
    <row r="961">
      <c r="A961" s="226"/>
      <c r="B961" s="188"/>
      <c r="C961" s="278"/>
      <c r="E961" s="181"/>
      <c r="F961" s="181"/>
      <c r="G961" s="4"/>
      <c r="I961" s="190"/>
      <c r="J961" s="190"/>
      <c r="K961" s="4"/>
      <c r="R961" s="4"/>
    </row>
    <row r="962">
      <c r="A962" s="226"/>
      <c r="B962" s="188"/>
      <c r="C962" s="278"/>
      <c r="E962" s="181"/>
      <c r="F962" s="181"/>
      <c r="G962" s="4"/>
      <c r="I962" s="190"/>
      <c r="J962" s="190"/>
      <c r="K962" s="4"/>
      <c r="R962" s="4"/>
    </row>
    <row r="963">
      <c r="A963" s="226"/>
      <c r="B963" s="188"/>
      <c r="C963" s="278"/>
      <c r="E963" s="181"/>
      <c r="F963" s="181"/>
      <c r="G963" s="4"/>
      <c r="I963" s="190"/>
      <c r="J963" s="190"/>
      <c r="K963" s="4"/>
      <c r="R963" s="4"/>
    </row>
    <row r="964">
      <c r="A964" s="226"/>
      <c r="B964" s="188"/>
      <c r="C964" s="278"/>
      <c r="E964" s="181"/>
      <c r="F964" s="181"/>
      <c r="G964" s="4"/>
      <c r="I964" s="190"/>
      <c r="J964" s="190"/>
      <c r="K964" s="4"/>
      <c r="R964" s="4"/>
    </row>
    <row r="965">
      <c r="A965" s="226"/>
      <c r="B965" s="188"/>
      <c r="C965" s="278"/>
      <c r="E965" s="181"/>
      <c r="F965" s="181"/>
      <c r="G965" s="4"/>
      <c r="I965" s="190"/>
      <c r="J965" s="190"/>
      <c r="K965" s="4"/>
      <c r="R965" s="4"/>
    </row>
    <row r="966">
      <c r="A966" s="226"/>
      <c r="B966" s="188"/>
      <c r="C966" s="278"/>
      <c r="E966" s="181"/>
      <c r="F966" s="181"/>
      <c r="G966" s="4"/>
      <c r="I966" s="190"/>
      <c r="J966" s="190"/>
      <c r="K966" s="4"/>
      <c r="R966" s="4"/>
    </row>
    <row r="967">
      <c r="A967" s="226"/>
      <c r="B967" s="188"/>
      <c r="C967" s="278"/>
      <c r="E967" s="181"/>
      <c r="F967" s="181"/>
      <c r="G967" s="4"/>
      <c r="I967" s="190"/>
      <c r="J967" s="190"/>
      <c r="K967" s="4"/>
      <c r="R967" s="4"/>
    </row>
    <row r="968">
      <c r="A968" s="226"/>
      <c r="B968" s="188"/>
      <c r="C968" s="278"/>
      <c r="E968" s="181"/>
      <c r="F968" s="181"/>
      <c r="G968" s="4"/>
      <c r="I968" s="190"/>
      <c r="J968" s="190"/>
      <c r="K968" s="4"/>
      <c r="R968" s="4"/>
    </row>
    <row r="969">
      <c r="A969" s="226"/>
      <c r="B969" s="188"/>
      <c r="C969" s="278"/>
      <c r="E969" s="181"/>
      <c r="F969" s="181"/>
      <c r="G969" s="4"/>
      <c r="I969" s="190"/>
      <c r="J969" s="190"/>
      <c r="K969" s="4"/>
      <c r="R969" s="4"/>
    </row>
    <row r="970">
      <c r="A970" s="226"/>
      <c r="B970" s="188"/>
      <c r="C970" s="278"/>
      <c r="E970" s="181"/>
      <c r="F970" s="181"/>
      <c r="G970" s="4"/>
      <c r="I970" s="190"/>
      <c r="J970" s="190"/>
      <c r="K970" s="4"/>
      <c r="R970" s="4"/>
    </row>
    <row r="971">
      <c r="A971" s="226"/>
      <c r="B971" s="188"/>
      <c r="C971" s="278"/>
      <c r="E971" s="181"/>
      <c r="F971" s="181"/>
      <c r="G971" s="4"/>
      <c r="I971" s="190"/>
      <c r="J971" s="190"/>
      <c r="K971" s="4"/>
      <c r="R971" s="4"/>
    </row>
    <row r="972">
      <c r="A972" s="226"/>
      <c r="B972" s="188"/>
      <c r="C972" s="278"/>
      <c r="E972" s="181"/>
      <c r="F972" s="181"/>
      <c r="G972" s="4"/>
      <c r="I972" s="190"/>
      <c r="J972" s="190"/>
      <c r="K972" s="4"/>
      <c r="R972" s="4"/>
    </row>
    <row r="973">
      <c r="A973" s="226"/>
      <c r="B973" s="188"/>
      <c r="C973" s="278"/>
      <c r="E973" s="181"/>
      <c r="F973" s="181"/>
      <c r="G973" s="4"/>
      <c r="I973" s="190"/>
      <c r="J973" s="190"/>
      <c r="K973" s="4"/>
      <c r="R973" s="4"/>
    </row>
    <row r="974">
      <c r="A974" s="226"/>
      <c r="B974" s="188"/>
      <c r="C974" s="278"/>
      <c r="E974" s="181"/>
      <c r="F974" s="181"/>
      <c r="G974" s="4"/>
      <c r="I974" s="190"/>
      <c r="J974" s="190"/>
      <c r="K974" s="4"/>
      <c r="R974" s="4"/>
    </row>
    <row r="975">
      <c r="A975" s="226"/>
      <c r="B975" s="188"/>
      <c r="C975" s="278"/>
      <c r="E975" s="181"/>
      <c r="F975" s="181"/>
      <c r="G975" s="4"/>
      <c r="I975" s="190"/>
      <c r="J975" s="190"/>
      <c r="K975" s="4"/>
      <c r="R975" s="4"/>
    </row>
    <row r="976">
      <c r="A976" s="226"/>
      <c r="B976" s="188"/>
      <c r="C976" s="278"/>
      <c r="E976" s="181"/>
      <c r="F976" s="181"/>
      <c r="G976" s="4"/>
      <c r="I976" s="190"/>
      <c r="J976" s="190"/>
      <c r="K976" s="4"/>
      <c r="R976" s="4"/>
    </row>
    <row r="977">
      <c r="A977" s="226"/>
      <c r="B977" s="188"/>
      <c r="C977" s="278"/>
      <c r="E977" s="181"/>
      <c r="F977" s="181"/>
      <c r="G977" s="4"/>
      <c r="I977" s="190"/>
      <c r="J977" s="190"/>
      <c r="K977" s="4"/>
      <c r="R977" s="4"/>
    </row>
    <row r="978">
      <c r="A978" s="226"/>
      <c r="B978" s="188"/>
      <c r="C978" s="278"/>
      <c r="E978" s="181"/>
      <c r="F978" s="181"/>
      <c r="G978" s="4"/>
      <c r="I978" s="190"/>
      <c r="J978" s="190"/>
      <c r="K978" s="4"/>
      <c r="R978" s="4"/>
    </row>
    <row r="979">
      <c r="A979" s="226"/>
      <c r="B979" s="188"/>
      <c r="C979" s="278"/>
      <c r="E979" s="181"/>
      <c r="F979" s="181"/>
      <c r="G979" s="4"/>
      <c r="I979" s="190"/>
      <c r="J979" s="190"/>
      <c r="K979" s="4"/>
      <c r="R979" s="4"/>
    </row>
    <row r="980">
      <c r="A980" s="226"/>
      <c r="B980" s="188"/>
      <c r="C980" s="278"/>
      <c r="E980" s="181"/>
      <c r="F980" s="181"/>
      <c r="G980" s="4"/>
      <c r="I980" s="190"/>
      <c r="J980" s="190"/>
      <c r="K980" s="4"/>
      <c r="R980" s="4"/>
    </row>
    <row r="981">
      <c r="A981" s="226"/>
      <c r="B981" s="188"/>
      <c r="C981" s="278"/>
      <c r="E981" s="181"/>
      <c r="F981" s="181"/>
      <c r="G981" s="4"/>
      <c r="I981" s="190"/>
      <c r="J981" s="190"/>
      <c r="K981" s="4"/>
      <c r="R981" s="4"/>
    </row>
    <row r="982">
      <c r="A982" s="226"/>
      <c r="B982" s="188"/>
      <c r="C982" s="278"/>
      <c r="E982" s="181"/>
      <c r="F982" s="181"/>
      <c r="G982" s="4"/>
      <c r="I982" s="190"/>
      <c r="J982" s="190"/>
      <c r="K982" s="4"/>
      <c r="R982" s="4"/>
    </row>
    <row r="983">
      <c r="A983" s="226"/>
      <c r="B983" s="188"/>
      <c r="C983" s="278"/>
      <c r="E983" s="181"/>
      <c r="F983" s="181"/>
      <c r="G983" s="4"/>
      <c r="I983" s="190"/>
      <c r="J983" s="190"/>
      <c r="K983" s="4"/>
      <c r="R983" s="4"/>
    </row>
    <row r="984">
      <c r="A984" s="226"/>
      <c r="B984" s="188"/>
      <c r="C984" s="278"/>
      <c r="E984" s="181"/>
      <c r="F984" s="181"/>
      <c r="G984" s="4"/>
      <c r="I984" s="190"/>
      <c r="J984" s="190"/>
      <c r="K984" s="4"/>
      <c r="R984" s="4"/>
    </row>
    <row r="985">
      <c r="A985" s="226"/>
      <c r="B985" s="188"/>
      <c r="C985" s="278"/>
      <c r="E985" s="181"/>
      <c r="F985" s="181"/>
      <c r="G985" s="4"/>
      <c r="I985" s="190"/>
      <c r="J985" s="190"/>
      <c r="K985" s="4"/>
      <c r="R985" s="4"/>
    </row>
    <row r="986">
      <c r="A986" s="226"/>
      <c r="B986" s="188"/>
      <c r="C986" s="278"/>
      <c r="E986" s="181"/>
      <c r="F986" s="181"/>
      <c r="G986" s="4"/>
      <c r="I986" s="190"/>
      <c r="J986" s="190"/>
      <c r="K986" s="4"/>
      <c r="R986" s="4"/>
    </row>
    <row r="987">
      <c r="A987" s="226"/>
      <c r="B987" s="188"/>
      <c r="C987" s="278"/>
      <c r="E987" s="181"/>
      <c r="F987" s="181"/>
      <c r="G987" s="4"/>
      <c r="I987" s="190"/>
      <c r="J987" s="190"/>
      <c r="K987" s="4"/>
      <c r="R987" s="4"/>
    </row>
    <row r="988">
      <c r="A988" s="226"/>
      <c r="B988" s="188"/>
      <c r="C988" s="278"/>
      <c r="E988" s="181"/>
      <c r="F988" s="181"/>
      <c r="G988" s="4"/>
      <c r="I988" s="190"/>
      <c r="J988" s="190"/>
      <c r="K988" s="4"/>
      <c r="R988" s="4"/>
    </row>
    <row r="989">
      <c r="A989" s="226"/>
      <c r="B989" s="188"/>
      <c r="C989" s="278"/>
      <c r="E989" s="181"/>
      <c r="F989" s="181"/>
      <c r="G989" s="4"/>
      <c r="I989" s="190"/>
      <c r="J989" s="190"/>
      <c r="K989" s="4"/>
      <c r="R989" s="4"/>
    </row>
    <row r="990">
      <c r="A990" s="226"/>
      <c r="B990" s="188"/>
      <c r="C990" s="278"/>
      <c r="E990" s="181"/>
      <c r="F990" s="181"/>
      <c r="G990" s="4"/>
      <c r="I990" s="190"/>
      <c r="J990" s="190"/>
      <c r="K990" s="4"/>
      <c r="R990" s="4"/>
    </row>
    <row r="991">
      <c r="A991" s="226"/>
      <c r="B991" s="188"/>
      <c r="C991" s="278"/>
      <c r="E991" s="181"/>
      <c r="F991" s="181"/>
      <c r="G991" s="4"/>
      <c r="I991" s="190"/>
      <c r="J991" s="190"/>
      <c r="K991" s="4"/>
      <c r="R991" s="4"/>
    </row>
    <row r="992">
      <c r="A992" s="226"/>
      <c r="B992" s="188"/>
      <c r="C992" s="278"/>
      <c r="E992" s="181"/>
      <c r="F992" s="181"/>
      <c r="G992" s="4"/>
      <c r="I992" s="190"/>
      <c r="J992" s="190"/>
      <c r="K992" s="4"/>
      <c r="R992" s="4"/>
    </row>
    <row r="993">
      <c r="A993" s="226"/>
      <c r="B993" s="188"/>
      <c r="C993" s="278"/>
      <c r="E993" s="181"/>
      <c r="F993" s="181"/>
      <c r="G993" s="4"/>
      <c r="I993" s="190"/>
      <c r="J993" s="190"/>
      <c r="K993" s="4"/>
      <c r="R993" s="4"/>
    </row>
    <row r="994">
      <c r="A994" s="226"/>
      <c r="B994" s="188"/>
      <c r="C994" s="278"/>
      <c r="E994" s="181"/>
      <c r="F994" s="181"/>
      <c r="G994" s="4"/>
      <c r="I994" s="190"/>
      <c r="J994" s="190"/>
      <c r="K994" s="4"/>
      <c r="R994" s="4"/>
    </row>
    <row r="995">
      <c r="A995" s="226"/>
      <c r="B995" s="188"/>
      <c r="C995" s="278"/>
      <c r="E995" s="181"/>
      <c r="F995" s="181"/>
      <c r="G995" s="4"/>
      <c r="I995" s="190"/>
      <c r="J995" s="190"/>
      <c r="K995" s="4"/>
      <c r="R995" s="4"/>
    </row>
    <row r="996">
      <c r="A996" s="226"/>
      <c r="B996" s="188"/>
      <c r="C996" s="278"/>
      <c r="E996" s="181"/>
      <c r="F996" s="181"/>
      <c r="G996" s="4"/>
      <c r="I996" s="190"/>
      <c r="J996" s="190"/>
      <c r="K996" s="4"/>
      <c r="R996" s="4"/>
    </row>
    <row r="997">
      <c r="A997" s="226"/>
      <c r="B997" s="188"/>
      <c r="C997" s="278"/>
      <c r="E997" s="181"/>
      <c r="F997" s="181"/>
      <c r="G997" s="4"/>
      <c r="I997" s="190"/>
      <c r="J997" s="190"/>
      <c r="K997" s="4"/>
      <c r="R997" s="4"/>
    </row>
    <row r="998">
      <c r="A998" s="226"/>
      <c r="B998" s="188"/>
      <c r="C998" s="278"/>
      <c r="E998" s="181"/>
      <c r="F998" s="181"/>
      <c r="G998" s="4"/>
      <c r="I998" s="190"/>
      <c r="J998" s="190"/>
      <c r="K998" s="4"/>
      <c r="R998" s="4"/>
    </row>
    <row r="999">
      <c r="A999" s="226"/>
      <c r="B999" s="188"/>
      <c r="C999" s="278"/>
      <c r="E999" s="181"/>
      <c r="F999" s="181"/>
      <c r="G999" s="4"/>
      <c r="I999" s="190"/>
      <c r="J999" s="190"/>
      <c r="K999" s="4"/>
      <c r="R999" s="4"/>
    </row>
    <row r="1000">
      <c r="A1000" s="226"/>
      <c r="B1000" s="188"/>
      <c r="C1000" s="278"/>
      <c r="E1000" s="181"/>
      <c r="F1000" s="181"/>
      <c r="G1000" s="4"/>
      <c r="I1000" s="190"/>
      <c r="J1000" s="190"/>
      <c r="K1000" s="4"/>
      <c r="R1000" s="4"/>
    </row>
    <row r="1001">
      <c r="A1001" s="226"/>
      <c r="B1001" s="188"/>
      <c r="C1001" s="278"/>
      <c r="E1001" s="181"/>
      <c r="F1001" s="181"/>
      <c r="G1001" s="4"/>
      <c r="I1001" s="190"/>
      <c r="J1001" s="190"/>
      <c r="K1001" s="4"/>
      <c r="R1001" s="4"/>
    </row>
    <row r="1002">
      <c r="A1002" s="226"/>
      <c r="B1002" s="188"/>
      <c r="C1002" s="278"/>
      <c r="E1002" s="181"/>
      <c r="F1002" s="181"/>
      <c r="G1002" s="4"/>
      <c r="I1002" s="190"/>
      <c r="J1002" s="190"/>
      <c r="K1002" s="4"/>
      <c r="R1002" s="4"/>
    </row>
    <row r="1003">
      <c r="A1003" s="226"/>
      <c r="B1003" s="188"/>
      <c r="C1003" s="278"/>
      <c r="E1003" s="181"/>
      <c r="F1003" s="181"/>
      <c r="G1003" s="4"/>
      <c r="I1003" s="190"/>
      <c r="J1003" s="190"/>
      <c r="K1003" s="4"/>
      <c r="R1003" s="4"/>
    </row>
    <row r="1004">
      <c r="A1004" s="226"/>
      <c r="B1004" s="188"/>
      <c r="C1004" s="278"/>
      <c r="E1004" s="181"/>
      <c r="F1004" s="181"/>
      <c r="G1004" s="4"/>
      <c r="K1004" s="4"/>
      <c r="R1004" s="4"/>
    </row>
    <row r="1005">
      <c r="A1005" s="226"/>
      <c r="B1005" s="188"/>
      <c r="C1005" s="278"/>
      <c r="E1005" s="181"/>
      <c r="F1005" s="181"/>
      <c r="G1005" s="4"/>
      <c r="K1005" s="4"/>
      <c r="R1005" s="4"/>
    </row>
    <row r="1006">
      <c r="A1006" s="226"/>
      <c r="B1006" s="188"/>
      <c r="C1006" s="278"/>
      <c r="E1006" s="181"/>
      <c r="F1006" s="181"/>
      <c r="G1006" s="4"/>
      <c r="K1006" s="4"/>
      <c r="R1006" s="4"/>
    </row>
    <row r="1007">
      <c r="A1007" s="226"/>
      <c r="B1007" s="188"/>
      <c r="C1007" s="278"/>
      <c r="E1007" s="181"/>
      <c r="F1007" s="181"/>
      <c r="G1007" s="4"/>
      <c r="K1007" s="4"/>
      <c r="R1007" s="4"/>
    </row>
    <row r="1008">
      <c r="A1008" s="226"/>
      <c r="B1008" s="188"/>
      <c r="C1008" s="278"/>
      <c r="E1008" s="181"/>
      <c r="F1008" s="181"/>
      <c r="G1008" s="4"/>
      <c r="K1008" s="4"/>
      <c r="R1008" s="4"/>
    </row>
    <row r="1009">
      <c r="A1009" s="226"/>
      <c r="B1009" s="188"/>
      <c r="C1009" s="278"/>
      <c r="E1009" s="181"/>
      <c r="F1009" s="181"/>
      <c r="G1009" s="4"/>
      <c r="K1009" s="4"/>
      <c r="R1009" s="4"/>
    </row>
    <row r="1010">
      <c r="A1010" s="226"/>
      <c r="B1010" s="188"/>
      <c r="C1010" s="278"/>
      <c r="E1010" s="181"/>
      <c r="F1010" s="181"/>
      <c r="G1010" s="4"/>
      <c r="K1010" s="4"/>
      <c r="R1010" s="4"/>
    </row>
    <row r="1011">
      <c r="A1011" s="226"/>
      <c r="B1011" s="188"/>
      <c r="C1011" s="278"/>
      <c r="E1011" s="181"/>
      <c r="F1011" s="181"/>
      <c r="G1011" s="4"/>
      <c r="K1011" s="4"/>
      <c r="R1011" s="4"/>
    </row>
    <row r="1012">
      <c r="A1012" s="226"/>
      <c r="B1012" s="188"/>
      <c r="C1012" s="278"/>
      <c r="E1012" s="181"/>
      <c r="F1012" s="181"/>
      <c r="G1012" s="4"/>
      <c r="K1012" s="4"/>
      <c r="R1012" s="4"/>
    </row>
    <row r="1013">
      <c r="A1013" s="226"/>
      <c r="B1013" s="188"/>
      <c r="C1013" s="278"/>
      <c r="E1013" s="181"/>
      <c r="F1013" s="181"/>
      <c r="G1013" s="4"/>
      <c r="K1013" s="4"/>
      <c r="R1013" s="4"/>
    </row>
    <row r="1014">
      <c r="A1014" s="226"/>
      <c r="B1014" s="188"/>
      <c r="C1014" s="278"/>
      <c r="E1014" s="181"/>
      <c r="F1014" s="181"/>
      <c r="G1014" s="4"/>
      <c r="K1014" s="4"/>
      <c r="R1014" s="4"/>
    </row>
    <row r="1015">
      <c r="A1015" s="226"/>
      <c r="B1015" s="188"/>
      <c r="C1015" s="278"/>
      <c r="E1015" s="181"/>
      <c r="F1015" s="181"/>
      <c r="G1015" s="4"/>
      <c r="K1015" s="4"/>
      <c r="R1015" s="4"/>
    </row>
    <row r="1016">
      <c r="A1016" s="226"/>
      <c r="B1016" s="188"/>
      <c r="C1016" s="278"/>
      <c r="E1016" s="181"/>
      <c r="F1016" s="181"/>
      <c r="G1016" s="4"/>
      <c r="K1016" s="4"/>
      <c r="R1016" s="4"/>
    </row>
    <row r="1017">
      <c r="A1017" s="226"/>
      <c r="B1017" s="188"/>
      <c r="C1017" s="278"/>
      <c r="E1017" s="181"/>
      <c r="F1017" s="181"/>
      <c r="G1017" s="4"/>
      <c r="K1017" s="4"/>
      <c r="R1017" s="4"/>
    </row>
    <row r="1018">
      <c r="A1018" s="226"/>
      <c r="B1018" s="188"/>
      <c r="C1018" s="278"/>
      <c r="E1018" s="181"/>
      <c r="F1018" s="181"/>
      <c r="G1018" s="4"/>
      <c r="K1018" s="4"/>
      <c r="R1018" s="4"/>
    </row>
    <row r="1019">
      <c r="A1019" s="226"/>
      <c r="B1019" s="188"/>
      <c r="C1019" s="278"/>
      <c r="E1019" s="181"/>
      <c r="F1019" s="181"/>
      <c r="G1019" s="4"/>
      <c r="K1019" s="4"/>
      <c r="R1019" s="4"/>
    </row>
    <row r="1020">
      <c r="A1020" s="226"/>
      <c r="B1020" s="188"/>
      <c r="C1020" s="278"/>
      <c r="E1020" s="181"/>
      <c r="F1020" s="181"/>
      <c r="G1020" s="4"/>
      <c r="K1020" s="4"/>
      <c r="R1020" s="4"/>
    </row>
    <row r="1021">
      <c r="A1021" s="226"/>
      <c r="B1021" s="188"/>
      <c r="C1021" s="278"/>
      <c r="E1021" s="181"/>
      <c r="F1021" s="181"/>
      <c r="G1021" s="4"/>
      <c r="K1021" s="4"/>
      <c r="R1021" s="4"/>
    </row>
    <row r="1022">
      <c r="A1022" s="226"/>
      <c r="B1022" s="188"/>
      <c r="C1022" s="278"/>
      <c r="E1022" s="181"/>
      <c r="F1022" s="181"/>
      <c r="G1022" s="4"/>
      <c r="K1022" s="4"/>
      <c r="R1022" s="4"/>
    </row>
    <row r="1023">
      <c r="A1023" s="226"/>
      <c r="B1023" s="188"/>
      <c r="C1023" s="278"/>
      <c r="E1023" s="181"/>
      <c r="F1023" s="181"/>
      <c r="G1023" s="4"/>
      <c r="K1023" s="4"/>
      <c r="R1023" s="4"/>
    </row>
    <row r="1024">
      <c r="A1024" s="226"/>
      <c r="B1024" s="188"/>
      <c r="C1024" s="278"/>
      <c r="E1024" s="181"/>
      <c r="F1024" s="181"/>
      <c r="G1024" s="4"/>
      <c r="K1024" s="4"/>
      <c r="R1024" s="4"/>
    </row>
    <row r="1025">
      <c r="A1025" s="226"/>
      <c r="B1025" s="188"/>
      <c r="C1025" s="278"/>
      <c r="E1025" s="181"/>
      <c r="F1025" s="181"/>
      <c r="G1025" s="4"/>
      <c r="K1025" s="4"/>
      <c r="R1025" s="4"/>
    </row>
    <row r="1026">
      <c r="A1026" s="226"/>
      <c r="B1026" s="188"/>
      <c r="C1026" s="278"/>
      <c r="E1026" s="181"/>
      <c r="F1026" s="181"/>
      <c r="G1026" s="4"/>
      <c r="K1026" s="4"/>
      <c r="R1026" s="4"/>
    </row>
    <row r="1027">
      <c r="A1027" s="226"/>
      <c r="B1027" s="188"/>
      <c r="C1027" s="278"/>
      <c r="E1027" s="181"/>
      <c r="F1027" s="181"/>
      <c r="G1027" s="4"/>
      <c r="K1027" s="4"/>
      <c r="R1027" s="4"/>
    </row>
    <row r="1028">
      <c r="A1028" s="226"/>
      <c r="B1028" s="188"/>
      <c r="C1028" s="278"/>
      <c r="E1028" s="181"/>
      <c r="F1028" s="181"/>
      <c r="G1028" s="4"/>
      <c r="K1028" s="4"/>
      <c r="R1028" s="4"/>
    </row>
    <row r="1029">
      <c r="A1029" s="226"/>
      <c r="B1029" s="188"/>
      <c r="C1029" s="278"/>
      <c r="E1029" s="181"/>
      <c r="F1029" s="181"/>
      <c r="G1029" s="4"/>
      <c r="K1029" s="4"/>
      <c r="R1029" s="4"/>
    </row>
    <row r="1030">
      <c r="A1030" s="226"/>
      <c r="B1030" s="188"/>
      <c r="C1030" s="278"/>
      <c r="E1030" s="181"/>
      <c r="F1030" s="181"/>
      <c r="G1030" s="4"/>
      <c r="K1030" s="4"/>
      <c r="R1030" s="4"/>
    </row>
    <row r="1031">
      <c r="A1031" s="226"/>
      <c r="B1031" s="188"/>
      <c r="C1031" s="278"/>
      <c r="E1031" s="181"/>
      <c r="F1031" s="181"/>
      <c r="G1031" s="4"/>
      <c r="K1031" s="4"/>
      <c r="R1031" s="4"/>
    </row>
    <row r="1032">
      <c r="A1032" s="226"/>
      <c r="B1032" s="188"/>
      <c r="C1032" s="278"/>
      <c r="E1032" s="181"/>
      <c r="F1032" s="181"/>
      <c r="G1032" s="4"/>
      <c r="K1032" s="4"/>
      <c r="R1032" s="4"/>
    </row>
    <row r="1033">
      <c r="A1033" s="226"/>
      <c r="B1033" s="188"/>
      <c r="C1033" s="278"/>
      <c r="E1033" s="181"/>
      <c r="F1033" s="181"/>
      <c r="G1033" s="4"/>
      <c r="K1033" s="4"/>
      <c r="R1033" s="4"/>
    </row>
    <row r="1034">
      <c r="A1034" s="226"/>
      <c r="B1034" s="188"/>
      <c r="C1034" s="278"/>
      <c r="E1034" s="181"/>
      <c r="F1034" s="181"/>
      <c r="G1034" s="4"/>
      <c r="K1034" s="4"/>
      <c r="R1034" s="4"/>
    </row>
    <row r="1035">
      <c r="A1035" s="226"/>
      <c r="B1035" s="188"/>
      <c r="C1035" s="278"/>
      <c r="E1035" s="181"/>
      <c r="F1035" s="181"/>
      <c r="G1035" s="4"/>
      <c r="K1035" s="4"/>
      <c r="R1035" s="4"/>
    </row>
    <row r="1036">
      <c r="A1036" s="226"/>
      <c r="B1036" s="188"/>
      <c r="C1036" s="278"/>
      <c r="E1036" s="181"/>
      <c r="F1036" s="181"/>
      <c r="G1036" s="4"/>
      <c r="K1036" s="4"/>
      <c r="R1036" s="4"/>
    </row>
    <row r="1037">
      <c r="A1037" s="226"/>
      <c r="B1037" s="188"/>
      <c r="C1037" s="278"/>
      <c r="E1037" s="181"/>
      <c r="F1037" s="181"/>
      <c r="G1037" s="4"/>
      <c r="K1037" s="4"/>
      <c r="R1037" s="4"/>
    </row>
    <row r="1038">
      <c r="A1038" s="226"/>
      <c r="B1038" s="188"/>
      <c r="C1038" s="278"/>
      <c r="E1038" s="181"/>
      <c r="F1038" s="181"/>
      <c r="G1038" s="4"/>
      <c r="K1038" s="4"/>
      <c r="R1038" s="4"/>
    </row>
    <row r="1039">
      <c r="A1039" s="226"/>
      <c r="B1039" s="188"/>
      <c r="C1039" s="278"/>
      <c r="E1039" s="181"/>
      <c r="F1039" s="181"/>
      <c r="G1039" s="4"/>
      <c r="K1039" s="4"/>
      <c r="R1039" s="4"/>
    </row>
    <row r="1040">
      <c r="A1040" s="226"/>
      <c r="B1040" s="188"/>
      <c r="C1040" s="278"/>
      <c r="E1040" s="181"/>
      <c r="F1040" s="181"/>
      <c r="G1040" s="4"/>
      <c r="K1040" s="4"/>
      <c r="R1040" s="4"/>
    </row>
    <row r="1041">
      <c r="A1041" s="226"/>
      <c r="B1041" s="188"/>
      <c r="C1041" s="278"/>
      <c r="E1041" s="181"/>
      <c r="F1041" s="181"/>
      <c r="G1041" s="4"/>
      <c r="K1041" s="4"/>
      <c r="R1041" s="4"/>
    </row>
    <row r="1042">
      <c r="A1042" s="226"/>
      <c r="B1042" s="188"/>
      <c r="C1042" s="278"/>
      <c r="E1042" s="181"/>
      <c r="F1042" s="181"/>
      <c r="G1042" s="4"/>
      <c r="K1042" s="4"/>
      <c r="R1042" s="4"/>
    </row>
    <row r="1043">
      <c r="A1043" s="226"/>
      <c r="B1043" s="188"/>
      <c r="C1043" s="278"/>
      <c r="E1043" s="181"/>
      <c r="F1043" s="181"/>
      <c r="G1043" s="4"/>
      <c r="K1043" s="4"/>
      <c r="R1043" s="4"/>
    </row>
    <row r="1044">
      <c r="A1044" s="226"/>
      <c r="B1044" s="188"/>
      <c r="C1044" s="278"/>
      <c r="E1044" s="181"/>
      <c r="F1044" s="181"/>
      <c r="G1044" s="4"/>
      <c r="K1044" s="4"/>
      <c r="R1044" s="4"/>
    </row>
    <row r="1045">
      <c r="A1045" s="226"/>
      <c r="B1045" s="188"/>
      <c r="C1045" s="278"/>
      <c r="E1045" s="181"/>
      <c r="F1045" s="181"/>
      <c r="G1045" s="4"/>
      <c r="K1045" s="4"/>
      <c r="R1045" s="4"/>
    </row>
    <row r="1046">
      <c r="A1046" s="226"/>
      <c r="B1046" s="188"/>
      <c r="C1046" s="278"/>
      <c r="E1046" s="181"/>
      <c r="F1046" s="181"/>
      <c r="G1046" s="4"/>
      <c r="K1046" s="4"/>
      <c r="R1046" s="4"/>
    </row>
    <row r="1047">
      <c r="A1047" s="226"/>
      <c r="B1047" s="188"/>
      <c r="C1047" s="278"/>
      <c r="E1047" s="181"/>
      <c r="F1047" s="181"/>
      <c r="G1047" s="4"/>
      <c r="K1047" s="4"/>
      <c r="R1047" s="4"/>
    </row>
    <row r="1048">
      <c r="A1048" s="226"/>
      <c r="B1048" s="188"/>
      <c r="C1048" s="278"/>
      <c r="E1048" s="181"/>
      <c r="F1048" s="181"/>
      <c r="G1048" s="4"/>
      <c r="K1048" s="4"/>
      <c r="R1048" s="4"/>
    </row>
    <row r="1049">
      <c r="A1049" s="226"/>
      <c r="B1049" s="188"/>
      <c r="C1049" s="278"/>
      <c r="E1049" s="181"/>
      <c r="F1049" s="181"/>
      <c r="G1049" s="4"/>
      <c r="K1049" s="4"/>
      <c r="R1049" s="4"/>
    </row>
    <row r="1050">
      <c r="A1050" s="226"/>
      <c r="B1050" s="188"/>
      <c r="C1050" s="278"/>
      <c r="E1050" s="181"/>
      <c r="F1050" s="181"/>
      <c r="G1050" s="4"/>
      <c r="K1050" s="4"/>
      <c r="R1050" s="4"/>
    </row>
    <row r="1051">
      <c r="A1051" s="226"/>
      <c r="B1051" s="188"/>
      <c r="C1051" s="278"/>
      <c r="E1051" s="181"/>
      <c r="F1051" s="181"/>
      <c r="G1051" s="4"/>
      <c r="K1051" s="4"/>
      <c r="R1051" s="4"/>
    </row>
    <row r="1052">
      <c r="A1052" s="226"/>
      <c r="B1052" s="188"/>
      <c r="C1052" s="278"/>
      <c r="E1052" s="181"/>
      <c r="F1052" s="181"/>
      <c r="G1052" s="4"/>
      <c r="K1052" s="4"/>
      <c r="R1052" s="4"/>
    </row>
    <row r="1053">
      <c r="A1053" s="226"/>
      <c r="B1053" s="188"/>
      <c r="C1053" s="278"/>
      <c r="E1053" s="181"/>
      <c r="F1053" s="181"/>
      <c r="G1053" s="4"/>
      <c r="K1053" s="4"/>
      <c r="R1053" s="4"/>
    </row>
    <row r="1054">
      <c r="A1054" s="226"/>
      <c r="B1054" s="188"/>
      <c r="C1054" s="278"/>
      <c r="E1054" s="181"/>
      <c r="F1054" s="181"/>
      <c r="G1054" s="4"/>
      <c r="K1054" s="4"/>
      <c r="R1054" s="4"/>
    </row>
    <row r="1055">
      <c r="A1055" s="226"/>
      <c r="B1055" s="188"/>
      <c r="C1055" s="278"/>
      <c r="E1055" s="181"/>
      <c r="F1055" s="181"/>
      <c r="G1055" s="4"/>
      <c r="K1055" s="4"/>
      <c r="R1055" s="4"/>
    </row>
    <row r="1056">
      <c r="A1056" s="226"/>
      <c r="B1056" s="188"/>
      <c r="C1056" s="278"/>
      <c r="E1056" s="181"/>
      <c r="F1056" s="181"/>
      <c r="G1056" s="4"/>
      <c r="K1056" s="4"/>
      <c r="R1056" s="4"/>
    </row>
    <row r="1057">
      <c r="A1057" s="226"/>
      <c r="B1057" s="188"/>
      <c r="C1057" s="278"/>
      <c r="E1057" s="181"/>
      <c r="F1057" s="181"/>
      <c r="G1057" s="4"/>
      <c r="K1057" s="4"/>
      <c r="R1057" s="4"/>
    </row>
    <row r="1058">
      <c r="A1058" s="226"/>
      <c r="B1058" s="188"/>
      <c r="C1058" s="278"/>
      <c r="E1058" s="181"/>
      <c r="F1058" s="181"/>
      <c r="G1058" s="4"/>
      <c r="K1058" s="4"/>
      <c r="R1058" s="4"/>
    </row>
    <row r="1059">
      <c r="A1059" s="226"/>
      <c r="B1059" s="188"/>
      <c r="C1059" s="278"/>
      <c r="E1059" s="181"/>
      <c r="F1059" s="181"/>
      <c r="G1059" s="4"/>
      <c r="K1059" s="4"/>
      <c r="R1059" s="4"/>
    </row>
    <row r="1060">
      <c r="A1060" s="226"/>
      <c r="B1060" s="188"/>
      <c r="C1060" s="278"/>
      <c r="E1060" s="181"/>
      <c r="F1060" s="181"/>
      <c r="G1060" s="4"/>
      <c r="K1060" s="4"/>
      <c r="R1060" s="4"/>
    </row>
    <row r="1061">
      <c r="A1061" s="226"/>
      <c r="B1061" s="188"/>
      <c r="C1061" s="278"/>
      <c r="E1061" s="181"/>
      <c r="F1061" s="181"/>
      <c r="G1061" s="4"/>
      <c r="K1061" s="4"/>
      <c r="R1061" s="4"/>
    </row>
    <row r="1062">
      <c r="A1062" s="226"/>
      <c r="B1062" s="188"/>
      <c r="C1062" s="278"/>
      <c r="E1062" s="181"/>
      <c r="F1062" s="181"/>
      <c r="G1062" s="4"/>
      <c r="K1062" s="4"/>
      <c r="R1062" s="4"/>
    </row>
    <row r="1063">
      <c r="A1063" s="226"/>
      <c r="B1063" s="188"/>
      <c r="C1063" s="278"/>
      <c r="E1063" s="181"/>
      <c r="F1063" s="181"/>
      <c r="G1063" s="4"/>
      <c r="K1063" s="4"/>
      <c r="R1063" s="4"/>
    </row>
    <row r="1064">
      <c r="A1064" s="226"/>
      <c r="B1064" s="188"/>
      <c r="C1064" s="278"/>
      <c r="E1064" s="181"/>
      <c r="F1064" s="181"/>
      <c r="G1064" s="4"/>
      <c r="K1064" s="4"/>
      <c r="R1064" s="4"/>
    </row>
    <row r="1065">
      <c r="A1065" s="226"/>
      <c r="B1065" s="188"/>
      <c r="C1065" s="278"/>
      <c r="E1065" s="181"/>
      <c r="F1065" s="181"/>
      <c r="G1065" s="4"/>
      <c r="K1065" s="4"/>
      <c r="R1065" s="4"/>
    </row>
    <row r="1066">
      <c r="A1066" s="226"/>
      <c r="B1066" s="188"/>
      <c r="C1066" s="278"/>
      <c r="E1066" s="181"/>
      <c r="F1066" s="181"/>
      <c r="G1066" s="4"/>
      <c r="K1066" s="4"/>
      <c r="R1066" s="4"/>
    </row>
    <row r="1067">
      <c r="A1067" s="226"/>
      <c r="B1067" s="188"/>
      <c r="C1067" s="278"/>
      <c r="E1067" s="181"/>
      <c r="F1067" s="181"/>
      <c r="G1067" s="4"/>
      <c r="K1067" s="4"/>
      <c r="R1067" s="4"/>
    </row>
    <row r="1068">
      <c r="A1068" s="226"/>
      <c r="B1068" s="188"/>
      <c r="C1068" s="278"/>
      <c r="E1068" s="181"/>
      <c r="F1068" s="181"/>
      <c r="G1068" s="4"/>
      <c r="K1068" s="4"/>
      <c r="R1068" s="4"/>
    </row>
    <row r="1069">
      <c r="A1069" s="226"/>
      <c r="B1069" s="188"/>
      <c r="C1069" s="278"/>
      <c r="E1069" s="181"/>
      <c r="F1069" s="181"/>
      <c r="G1069" s="4"/>
      <c r="K1069" s="4"/>
      <c r="R1069" s="4"/>
    </row>
    <row r="1070">
      <c r="A1070" s="226"/>
      <c r="B1070" s="188"/>
      <c r="C1070" s="278"/>
      <c r="E1070" s="181"/>
      <c r="F1070" s="181"/>
      <c r="G1070" s="4"/>
      <c r="K1070" s="4"/>
      <c r="R1070" s="4"/>
    </row>
    <row r="1071">
      <c r="A1071" s="226"/>
      <c r="B1071" s="188"/>
      <c r="C1071" s="278"/>
      <c r="E1071" s="181"/>
      <c r="F1071" s="181"/>
      <c r="G1071" s="4"/>
      <c r="K1071" s="4"/>
      <c r="R1071" s="4"/>
    </row>
    <row r="1072">
      <c r="A1072" s="226"/>
      <c r="B1072" s="188"/>
      <c r="C1072" s="278"/>
      <c r="E1072" s="181"/>
      <c r="F1072" s="181"/>
      <c r="G1072" s="4"/>
      <c r="K1072" s="4"/>
      <c r="R1072" s="4"/>
    </row>
    <row r="1073">
      <c r="A1073" s="226"/>
      <c r="B1073" s="188"/>
      <c r="C1073" s="278"/>
      <c r="E1073" s="181"/>
      <c r="F1073" s="181"/>
      <c r="G1073" s="4"/>
      <c r="K1073" s="4"/>
      <c r="R1073" s="4"/>
    </row>
    <row r="1074">
      <c r="A1074" s="226"/>
      <c r="B1074" s="188"/>
      <c r="C1074" s="278"/>
      <c r="E1074" s="181"/>
      <c r="F1074" s="181"/>
      <c r="G1074" s="4"/>
      <c r="K1074" s="4"/>
      <c r="R1074" s="4"/>
    </row>
    <row r="1075">
      <c r="A1075" s="226"/>
      <c r="B1075" s="188"/>
      <c r="C1075" s="278"/>
      <c r="E1075" s="181"/>
      <c r="F1075" s="181"/>
      <c r="G1075" s="4"/>
      <c r="K1075" s="4"/>
      <c r="R1075" s="4"/>
    </row>
    <row r="1076">
      <c r="A1076" s="226"/>
      <c r="B1076" s="188"/>
      <c r="C1076" s="278"/>
      <c r="E1076" s="181"/>
      <c r="F1076" s="181"/>
      <c r="G1076" s="4"/>
      <c r="K1076" s="4"/>
      <c r="R1076" s="4"/>
    </row>
    <row r="1077">
      <c r="A1077" s="226"/>
      <c r="B1077" s="188"/>
      <c r="C1077" s="278"/>
      <c r="E1077" s="181"/>
      <c r="F1077" s="181"/>
      <c r="G1077" s="4"/>
      <c r="K1077" s="4"/>
      <c r="R1077" s="4"/>
    </row>
    <row r="1078">
      <c r="A1078" s="226"/>
      <c r="B1078" s="188"/>
      <c r="C1078" s="278"/>
      <c r="E1078" s="181"/>
      <c r="F1078" s="181"/>
      <c r="G1078" s="4"/>
      <c r="K1078" s="4"/>
      <c r="R1078" s="4"/>
    </row>
    <row r="1079">
      <c r="A1079" s="226"/>
      <c r="B1079" s="188"/>
      <c r="C1079" s="278"/>
      <c r="E1079" s="181"/>
      <c r="F1079" s="181"/>
      <c r="G1079" s="4"/>
      <c r="K1079" s="4"/>
      <c r="R1079" s="4"/>
    </row>
    <row r="1080">
      <c r="A1080" s="226"/>
      <c r="B1080" s="188"/>
      <c r="C1080" s="278"/>
      <c r="E1080" s="181"/>
      <c r="F1080" s="181"/>
      <c r="G1080" s="4"/>
      <c r="K1080" s="4"/>
      <c r="R1080" s="4"/>
    </row>
    <row r="1081">
      <c r="A1081" s="226"/>
      <c r="B1081" s="188"/>
      <c r="C1081" s="278"/>
      <c r="E1081" s="181"/>
      <c r="F1081" s="181"/>
      <c r="G1081" s="4"/>
      <c r="K1081" s="4"/>
      <c r="R1081" s="4"/>
    </row>
    <row r="1082">
      <c r="A1082" s="226"/>
      <c r="B1082" s="188"/>
      <c r="C1082" s="278"/>
      <c r="E1082" s="181"/>
      <c r="F1082" s="181"/>
      <c r="G1082" s="4"/>
      <c r="K1082" s="4"/>
      <c r="R1082" s="4"/>
    </row>
    <row r="1083">
      <c r="A1083" s="226"/>
      <c r="B1083" s="188"/>
      <c r="C1083" s="278"/>
      <c r="E1083" s="181"/>
      <c r="F1083" s="181"/>
      <c r="G1083" s="4"/>
      <c r="K1083" s="4"/>
      <c r="R1083" s="4"/>
    </row>
    <row r="1084">
      <c r="A1084" s="226"/>
      <c r="B1084" s="188"/>
      <c r="C1084" s="278"/>
      <c r="E1084" s="181"/>
      <c r="F1084" s="181"/>
      <c r="G1084" s="4"/>
      <c r="K1084" s="4"/>
      <c r="R1084" s="4"/>
    </row>
    <row r="1085">
      <c r="A1085" s="226"/>
      <c r="B1085" s="188"/>
      <c r="C1085" s="278"/>
      <c r="E1085" s="181"/>
      <c r="F1085" s="181"/>
      <c r="G1085" s="4"/>
      <c r="K1085" s="4"/>
      <c r="R1085" s="4"/>
    </row>
    <row r="1086">
      <c r="A1086" s="226"/>
      <c r="B1086" s="188"/>
      <c r="C1086" s="278"/>
      <c r="E1086" s="181"/>
      <c r="F1086" s="181"/>
      <c r="G1086" s="4"/>
      <c r="K1086" s="4"/>
      <c r="R1086" s="4"/>
    </row>
    <row r="1087">
      <c r="A1087" s="226"/>
      <c r="B1087" s="188"/>
      <c r="C1087" s="278"/>
      <c r="E1087" s="181"/>
      <c r="F1087" s="181"/>
      <c r="G1087" s="4"/>
      <c r="K1087" s="4"/>
      <c r="R1087" s="4"/>
    </row>
    <row r="1088">
      <c r="A1088" s="226"/>
      <c r="B1088" s="188"/>
      <c r="C1088" s="278"/>
      <c r="E1088" s="181"/>
      <c r="F1088" s="181"/>
      <c r="G1088" s="4"/>
      <c r="K1088" s="4"/>
      <c r="R1088" s="4"/>
    </row>
    <row r="1089">
      <c r="A1089" s="226"/>
      <c r="B1089" s="188"/>
      <c r="C1089" s="278"/>
      <c r="E1089" s="181"/>
      <c r="F1089" s="181"/>
      <c r="G1089" s="4"/>
      <c r="K1089" s="4"/>
      <c r="R1089" s="4"/>
    </row>
    <row r="1090">
      <c r="A1090" s="226"/>
      <c r="B1090" s="188"/>
      <c r="C1090" s="278"/>
      <c r="E1090" s="181"/>
      <c r="F1090" s="181"/>
      <c r="G1090" s="4"/>
      <c r="K1090" s="4"/>
      <c r="R1090" s="4"/>
    </row>
    <row r="1091">
      <c r="A1091" s="226"/>
      <c r="B1091" s="188"/>
      <c r="C1091" s="278"/>
      <c r="E1091" s="181"/>
      <c r="F1091" s="181"/>
      <c r="G1091" s="4"/>
      <c r="K1091" s="4"/>
      <c r="R1091" s="4"/>
    </row>
    <row r="1092">
      <c r="A1092" s="226"/>
      <c r="B1092" s="188"/>
      <c r="C1092" s="278"/>
      <c r="E1092" s="181"/>
      <c r="F1092" s="181"/>
      <c r="G1092" s="4"/>
      <c r="K1092" s="4"/>
      <c r="R1092" s="4"/>
    </row>
    <row r="1093">
      <c r="A1093" s="226"/>
      <c r="B1093" s="188"/>
      <c r="C1093" s="278"/>
      <c r="E1093" s="181"/>
      <c r="F1093" s="181"/>
      <c r="G1093" s="4"/>
      <c r="K1093" s="4"/>
      <c r="R1093" s="4"/>
    </row>
    <row r="1094">
      <c r="A1094" s="226"/>
      <c r="B1094" s="188"/>
      <c r="C1094" s="278"/>
      <c r="E1094" s="181"/>
      <c r="F1094" s="181"/>
      <c r="G1094" s="4"/>
      <c r="K1094" s="4"/>
      <c r="R1094" s="4"/>
    </row>
    <row r="1095">
      <c r="A1095" s="226"/>
      <c r="B1095" s="188"/>
      <c r="C1095" s="278"/>
      <c r="E1095" s="181"/>
      <c r="F1095" s="181"/>
      <c r="G1095" s="4"/>
      <c r="K1095" s="4"/>
      <c r="R1095" s="4"/>
    </row>
    <row r="1096">
      <c r="A1096" s="226"/>
      <c r="B1096" s="188"/>
      <c r="C1096" s="278"/>
      <c r="E1096" s="181"/>
      <c r="F1096" s="181"/>
      <c r="G1096" s="4"/>
      <c r="K1096" s="4"/>
      <c r="R1096" s="4"/>
    </row>
    <row r="1097">
      <c r="A1097" s="226"/>
      <c r="B1097" s="188"/>
      <c r="C1097" s="278"/>
      <c r="E1097" s="181"/>
      <c r="F1097" s="181"/>
      <c r="G1097" s="4"/>
      <c r="K1097" s="4"/>
      <c r="R1097" s="4"/>
    </row>
    <row r="1098">
      <c r="A1098" s="226"/>
      <c r="B1098" s="188"/>
      <c r="C1098" s="278"/>
      <c r="E1098" s="181"/>
      <c r="F1098" s="181"/>
      <c r="G1098" s="4"/>
      <c r="K1098" s="4"/>
      <c r="R1098" s="4"/>
    </row>
    <row r="1099">
      <c r="A1099" s="226"/>
      <c r="B1099" s="188"/>
      <c r="C1099" s="278"/>
      <c r="E1099" s="181"/>
      <c r="F1099" s="181"/>
      <c r="G1099" s="4"/>
      <c r="K1099" s="4"/>
      <c r="R1099" s="4"/>
    </row>
    <row r="1100">
      <c r="A1100" s="226"/>
      <c r="B1100" s="188"/>
      <c r="C1100" s="278"/>
      <c r="E1100" s="181"/>
      <c r="F1100" s="181"/>
      <c r="G1100" s="4"/>
      <c r="K1100" s="4"/>
      <c r="R1100" s="4"/>
    </row>
    <row r="1101">
      <c r="A1101" s="226"/>
      <c r="B1101" s="188"/>
      <c r="C1101" s="278"/>
      <c r="E1101" s="181"/>
      <c r="F1101" s="181"/>
      <c r="G1101" s="4"/>
      <c r="K1101" s="4"/>
      <c r="R1101" s="4"/>
    </row>
    <row r="1102">
      <c r="A1102" s="226"/>
      <c r="B1102" s="188"/>
      <c r="C1102" s="278"/>
      <c r="E1102" s="181"/>
      <c r="F1102" s="181"/>
      <c r="G1102" s="4"/>
      <c r="K1102" s="4"/>
      <c r="R1102" s="4"/>
    </row>
  </sheetData>
  <mergeCells count="62">
    <mergeCell ref="A67:B67"/>
    <mergeCell ref="A70:B70"/>
    <mergeCell ref="A71:B71"/>
    <mergeCell ref="I73:J73"/>
    <mergeCell ref="I78:J78"/>
    <mergeCell ref="E84:F84"/>
    <mergeCell ref="I87:J87"/>
    <mergeCell ref="A88:B88"/>
    <mergeCell ref="A89:B89"/>
    <mergeCell ref="I92:J92"/>
    <mergeCell ref="I94:J94"/>
    <mergeCell ref="A97:B97"/>
    <mergeCell ref="I97:J97"/>
    <mergeCell ref="A98:B98"/>
    <mergeCell ref="I6:J6"/>
    <mergeCell ref="I7:J7"/>
    <mergeCell ref="I19:J19"/>
    <mergeCell ref="E1:F1"/>
    <mergeCell ref="I1:J1"/>
    <mergeCell ref="A2:B3"/>
    <mergeCell ref="E2:F3"/>
    <mergeCell ref="I2:J3"/>
    <mergeCell ref="A4:B4"/>
    <mergeCell ref="E6:F6"/>
    <mergeCell ref="A11:B11"/>
    <mergeCell ref="I11:J11"/>
    <mergeCell ref="A12:B12"/>
    <mergeCell ref="E13:F13"/>
    <mergeCell ref="A15:B15"/>
    <mergeCell ref="A16:B16"/>
    <mergeCell ref="E22:F22"/>
    <mergeCell ref="A27:B27"/>
    <mergeCell ref="A28:B28"/>
    <mergeCell ref="E28:F28"/>
    <mergeCell ref="I29:J29"/>
    <mergeCell ref="A34:B34"/>
    <mergeCell ref="I39:J39"/>
    <mergeCell ref="E44:F44"/>
    <mergeCell ref="A38:B38"/>
    <mergeCell ref="A50:B50"/>
    <mergeCell ref="E50:F50"/>
    <mergeCell ref="A51:B51"/>
    <mergeCell ref="I51:J51"/>
    <mergeCell ref="A54:B54"/>
    <mergeCell ref="A55:B55"/>
    <mergeCell ref="E56:F56"/>
    <mergeCell ref="E60:F60"/>
    <mergeCell ref="A61:B61"/>
    <mergeCell ref="A62:B62"/>
    <mergeCell ref="I62:J62"/>
    <mergeCell ref="A66:B66"/>
    <mergeCell ref="E66:F66"/>
    <mergeCell ref="E122:F122"/>
    <mergeCell ref="E123:F123"/>
    <mergeCell ref="E125:F125"/>
    <mergeCell ref="A100:B100"/>
    <mergeCell ref="A101:B101"/>
    <mergeCell ref="I101:J101"/>
    <mergeCell ref="E114:F114"/>
    <mergeCell ref="E115:F115"/>
    <mergeCell ref="E116:F116"/>
    <mergeCell ref="E117:F117"/>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75"/>
    <col customWidth="1" min="3" max="3" width="30.0"/>
    <col customWidth="1" min="4" max="4" width="45.13"/>
    <col customWidth="1" min="5" max="5" width="46.13"/>
  </cols>
  <sheetData>
    <row r="1">
      <c r="A1" s="233" t="str">
        <f>IFERROR(__xludf.DUMMYFUNCTION("IMPORTRANGE(""https://docs.google.com/spreadsheets/d/1h4OvmGWLzhUf2A9xk8uOmeVQgrKV1Xug42n9LH77Avw/edit?gid=0#gid=0"",""PRF - SISC!A:E"")")," ")</f>
        <v> </v>
      </c>
      <c r="B1" s="233"/>
      <c r="C1" s="233"/>
      <c r="D1" s="233"/>
      <c r="E1" s="233"/>
    </row>
    <row r="2" hidden="1">
      <c r="A2" s="233"/>
      <c r="B2" s="233"/>
      <c r="C2" s="233"/>
      <c r="D2" s="233"/>
      <c r="E2" s="233"/>
    </row>
    <row r="3">
      <c r="A3" s="310" t="str">
        <f>IFERROR(__xludf.DUMMYFUNCTION("""COMPUTED_VALUE""")," PRF NO.")</f>
        <v> PRF NO.</v>
      </c>
      <c r="B3" s="310" t="str">
        <f>IFERROR(__xludf.DUMMYFUNCTION("""COMPUTED_VALUE"""),"REQUISITIONER")</f>
        <v>REQUISITIONER</v>
      </c>
      <c r="C3" s="310" t="str">
        <f>IFERROR(__xludf.DUMMYFUNCTION("""COMPUTED_VALUE"""),"DEPARTMENT")</f>
        <v>DEPARTMENT</v>
      </c>
      <c r="D3" s="233" t="str">
        <f>IFERROR(__xludf.DUMMYFUNCTION("""COMPUTED_VALUE"""),"ITEM DESCRIPTION")</f>
        <v>ITEM DESCRIPTION</v>
      </c>
      <c r="E3" s="233" t="str">
        <f>IFERROR(__xludf.DUMMYFUNCTION("""COMPUTED_VALUE"""),"PURPOSE ")</f>
        <v>PURPOSE </v>
      </c>
    </row>
    <row r="4">
      <c r="A4" s="234">
        <f>IFERROR(__xludf.DUMMYFUNCTION("""COMPUTED_VALUE"""),104837.0)</f>
        <v>104837</v>
      </c>
      <c r="B4" s="235" t="str">
        <f>IFERROR(__xludf.DUMMYFUNCTION("""COMPUTED_VALUE"""),"Choy Jamias")</f>
        <v>Choy Jamias</v>
      </c>
      <c r="C4" s="235" t="str">
        <f>IFERROR(__xludf.DUMMYFUNCTION("""COMPUTED_VALUE"""),"STUDENT AFFAIRS COLLEGE")</f>
        <v>STUDENT AFFAIRS COLLEGE</v>
      </c>
      <c r="D4" s="196" t="str">
        <f>IFERROR(__xludf.DUMMYFUNCTION("""COMPUTED_VALUE"""),"REGULAR MEDAL (LOGO) WITH PURPLE RIBBON 25 PCS")</f>
        <v>REGULAR MEDAL (LOGO) WITH PURPLE RIBBON 25 PCS</v>
      </c>
      <c r="E4" s="196" t="str">
        <f>IFERROR(__xludf.DUMMYFUNCTION("""COMPUTED_VALUE"""),"ADDITIONAL  MEDALS FOR RECOGNITION")</f>
        <v>ADDITIONAL  MEDALS FOR RECOGNITION</v>
      </c>
    </row>
    <row r="5">
      <c r="A5" s="234">
        <f>IFERROR(__xludf.DUMMYFUNCTION("""COMPUTED_VALUE"""),104838.0)</f>
        <v>104838</v>
      </c>
      <c r="B5" s="235" t="str">
        <f>IFERROR(__xludf.DUMMYFUNCTION("""COMPUTED_VALUE"""),"Jessabel C. Ariscon Leah Buhay")</f>
        <v>Jessabel C. Ariscon Leah Buhay</v>
      </c>
      <c r="C5" s="235" t="str">
        <f>IFERROR(__xludf.DUMMYFUNCTION("""COMPUTED_VALUE"""),"PURCHASING")</f>
        <v>PURCHASING</v>
      </c>
      <c r="D5" s="196" t="str">
        <f>IFERROR(__xludf.DUMMYFUNCTION("""COMPUTED_VALUE"""),"2100 PCS BOARD PAPER 90 GSM A4, 2100 LAMINATING FILM A4 (216MM X 303 MM, 125 MIC)")</f>
        <v>2100 PCS BOARD PAPER 90 GSM A4, 2100 LAMINATING FILM A4 (216MM X 303 MM, 125 MIC)</v>
      </c>
      <c r="E5" s="196" t="str">
        <f>IFERROR(__xludf.DUMMYFUNCTION("""COMPUTED_VALUE"""),"REPLACEMENT OF 5 CHAIRS AND  1 NEW MOBILE PEDASTAL")</f>
        <v>REPLACEMENT OF 5 CHAIRS AND  1 NEW MOBILE PEDASTAL</v>
      </c>
    </row>
    <row r="6">
      <c r="A6" s="234">
        <f>IFERROR(__xludf.DUMMYFUNCTION("""COMPUTED_VALUE"""),104839.0)</f>
        <v>104839</v>
      </c>
      <c r="B6" s="235" t="str">
        <f>IFERROR(__xludf.DUMMYFUNCTION("""COMPUTED_VALUE"""),"Annabel Vasquez")</f>
        <v>Annabel Vasquez</v>
      </c>
      <c r="C6" s="235" t="str">
        <f>IFERROR(__xludf.DUMMYFUNCTION("""COMPUTED_VALUE"""),"DISCIPLINE BED")</f>
        <v>DISCIPLINE BED</v>
      </c>
      <c r="D6" s="196" t="str">
        <f>IFERROR(__xludf.DUMMYFUNCTION("""COMPUTED_VALUE"""),"2100 PCS BOARD PAPER 90 GSM A4, 2100 LAMINATING FILM A4 (216MM X 303 MM, 125 MIC")</f>
        <v>2100 PCS BOARD PAPER 90 GSM A4, 2100 LAMINATING FILM A4 (216MM X 303 MM, 125 MIC</v>
      </c>
      <c r="E6" s="196" t="str">
        <f>IFERROR(__xludf.DUMMYFUNCTION("""COMPUTED_VALUE"""),"MATERIALS NEEDED FOR THE PRINTING OF FETCHER'S PASS")</f>
        <v>MATERIALS NEEDED FOR THE PRINTING OF FETCHER'S PASS</v>
      </c>
      <c r="H6" s="237"/>
    </row>
    <row r="7">
      <c r="A7" s="234" t="str">
        <f>IFERROR(__xludf.DUMMYFUNCTION("""COMPUTED_VALUE"""),"104840 - TRANSFERRED TO SGEN PRF NUMBER")</f>
        <v>104840 - TRANSFERRED TO SGEN PRF NUMBER</v>
      </c>
      <c r="B7" s="235"/>
      <c r="C7" s="235" t="str">
        <f>IFERROR(__xludf.DUMMYFUNCTION("""COMPUTED_VALUE"""),"LEARNING VILLAGE")</f>
        <v>LEARNING VILLAGE</v>
      </c>
      <c r="D7" s="196" t="str">
        <f>IFERROR(__xludf.DUMMYFUNCTION("""COMPUTED_VALUE"""),"1 PAPER CUTTER BOARD, 1 LAMINATING MACHINE, 3 BROCHURE STAND AND HOLDER, 6 STORAGE BOX")</f>
        <v>1 PAPER CUTTER BOARD, 1 LAMINATING MACHINE, 3 BROCHURE STAND AND HOLDER, 6 STORAGE BOX</v>
      </c>
      <c r="E7" s="196" t="str">
        <f>IFERROR(__xludf.DUMMYFUNCTION("""COMPUTED_VALUE"""),"SUPPLIES IN LEARNING VILLAGE ")</f>
        <v>SUPPLIES IN LEARNING VILLAGE </v>
      </c>
    </row>
    <row r="8">
      <c r="A8" s="234" t="str">
        <f>IFERROR(__xludf.DUMMYFUNCTION("""COMPUTED_VALUE"""),"104841-  TRANSFERRED TO SGEN PRF NUMBER")</f>
        <v>104841-  TRANSFERRED TO SGEN PRF NUMBER</v>
      </c>
      <c r="B8" s="235" t="str">
        <f>IFERROR(__xludf.DUMMYFUNCTION("""COMPUTED_VALUE"""),"Geraldine Medina")</f>
        <v>Geraldine Medina</v>
      </c>
      <c r="C8" s="235" t="str">
        <f>IFERROR(__xludf.DUMMYFUNCTION("""COMPUTED_VALUE"""),"LEARNING VILLAGE")</f>
        <v>LEARNING VILLAGE</v>
      </c>
      <c r="D8" s="196" t="str">
        <f>IFERROR(__xludf.DUMMYFUNCTION("""COMPUTED_VALUE"""),"3 ARCH PARTY BACK DROP, 1 ELECTRIC AIR BALLOON PUMP, 4 BALLON STAND")</f>
        <v>3 ARCH PARTY BACK DROP, 1 ELECTRIC AIR BALLOON PUMP, 4 BALLON STAND</v>
      </c>
      <c r="E8" s="196" t="str">
        <f>IFERROR(__xludf.DUMMYFUNCTION("""COMPUTED_VALUE"""),"FOR BIRTHDAY AND OTHER EVENTS AND FOR RENTALS")</f>
        <v>FOR BIRTHDAY AND OTHER EVENTS AND FOR RENTALS</v>
      </c>
    </row>
    <row r="9">
      <c r="A9" s="234">
        <f>IFERROR(__xludf.DUMMYFUNCTION("""COMPUTED_VALUE"""),104842.0)</f>
        <v>104842</v>
      </c>
      <c r="B9" s="235" t="str">
        <f>IFERROR(__xludf.DUMMYFUNCTION("""COMPUTED_VALUE"""),"Lyka J. Peralta")</f>
        <v>Lyka J. Peralta</v>
      </c>
      <c r="C9" s="235" t="str">
        <f>IFERROR(__xludf.DUMMYFUNCTION("""COMPUTED_VALUE"""),"AMD")</f>
        <v>AMD</v>
      </c>
      <c r="D9" s="196" t="str">
        <f>IFERROR(__xludf.DUMMYFUNCTION("""COMPUTED_VALUE"""),"250 REAMS PAPER COPY LASER SUB. 20 LONG WHITE, 600 REAMS PAPER COPY LASER SUB. 20 SHORT WHITE,  80 REAMS PAPER COPY LASER SUB. 20 A4 WHITE")</f>
        <v>250 REAMS PAPER COPY LASER SUB. 20 LONG WHITE, 600 REAMS PAPER COPY LASER SUB. 20 SHORT WHITE,  80 REAMS PAPER COPY LASER SUB. 20 A4 WHITE</v>
      </c>
      <c r="E9" s="196" t="str">
        <f>IFERROR(__xludf.DUMMYFUNCTION("""COMPUTED_VALUE"""),"OSSUP STOCK REPLENISHMENT")</f>
        <v>OSSUP STOCK REPLENISHMENT</v>
      </c>
    </row>
    <row r="10">
      <c r="A10" s="234">
        <f>IFERROR(__xludf.DUMMYFUNCTION("""COMPUTED_VALUE"""),104843.0)</f>
        <v>104843</v>
      </c>
      <c r="B10" s="235" t="str">
        <f>IFERROR(__xludf.DUMMYFUNCTION("""COMPUTED_VALUE"""),"Sammie Raiz")</f>
        <v>Sammie Raiz</v>
      </c>
      <c r="C10" s="235" t="str">
        <f>IFERROR(__xludf.DUMMYFUNCTION("""COMPUTED_VALUE"""),"MIS/ICT")</f>
        <v>MIS/ICT</v>
      </c>
      <c r="D10" s="196" t="str">
        <f>IFERROR(__xludf.DUMMYFUNCTION("""COMPUTED_VALUE"""),"2 ROLLS HDP5000 YMCK, 500 ")</f>
        <v>2 ROLLS HDP5000 YMCK, 500 </v>
      </c>
      <c r="E10" s="196" t="str">
        <f>IFERROR(__xludf.DUMMYFUNCTION("""COMPUTED_VALUE"""),"ID FILM FOR PRINTING OF ID DELIVERED BY THE SUPLIER DURING THE CORRECTIVE MAINTENANCE OF THE PRINTER ALREADY CONSUMED")</f>
        <v>ID FILM FOR PRINTING OF ID DELIVERED BY THE SUPLIER DURING THE CORRECTIVE MAINTENANCE OF THE PRINTER ALREADY CONSUMED</v>
      </c>
    </row>
    <row r="11">
      <c r="A11" s="234">
        <f>IFERROR(__xludf.DUMMYFUNCTION("""COMPUTED_VALUE"""),104844.0)</f>
        <v>104844</v>
      </c>
      <c r="B11" s="235" t="str">
        <f>IFERROR(__xludf.DUMMYFUNCTION("""COMPUTED_VALUE"""),"Sheree Espinosa")</f>
        <v>Sheree Espinosa</v>
      </c>
      <c r="C11" s="235" t="str">
        <f>IFERROR(__xludf.DUMMYFUNCTION("""COMPUTED_VALUE"""),"ADMIN - LUX")</f>
        <v>ADMIN - LUX</v>
      </c>
      <c r="D11" s="196" t="str">
        <f>IFERROR(__xludf.DUMMYFUNCTION("""COMPUTED_VALUE"""),"15PCS. 3MM THK SILVERWOON RECON WOOD VEENER BOARD ")</f>
        <v>15PCS. 3MM THK SILVERWOON RECON WOOD VEENER BOARD </v>
      </c>
      <c r="E11" s="196" t="str">
        <f>IFERROR(__xludf.DUMMYFUNCTION("""COMPUTED_VALUE"""),"FOR TROPHY CABINET AND WALL ACCENT OF PR AND ACCOUNTING OFFICE")</f>
        <v>FOR TROPHY CABINET AND WALL ACCENT OF PR AND ACCOUNTING OFFICE</v>
      </c>
    </row>
    <row r="12">
      <c r="A12" s="234">
        <f>IFERROR(__xludf.DUMMYFUNCTION("""COMPUTED_VALUE"""),104845.0)</f>
        <v>104845</v>
      </c>
      <c r="B12" s="235" t="str">
        <f>IFERROR(__xludf.DUMMYFUNCTION("""COMPUTED_VALUE"""),"Sheree Espinosa")</f>
        <v>Sheree Espinosa</v>
      </c>
      <c r="C12" s="235" t="str">
        <f>IFERROR(__xludf.DUMMYFUNCTION("""COMPUTED_VALUE"""),"ADMIN - LUX")</f>
        <v>ADMIN - LUX</v>
      </c>
      <c r="D12" s="196" t="str">
        <f>IFERROR(__xludf.DUMMYFUNCTION("""COMPUTED_VALUE"""),"TEACHER'S TABLE (REORDER) SUPPLIER ELLETECH")</f>
        <v>TEACHER'S TABLE (REORDER) SUPPLIER ELLETECH</v>
      </c>
      <c r="E12" s="196" t="str">
        <f>IFERROR(__xludf.DUMMYFUNCTION("""COMPUTED_VALUE"""),"FOR NEW VOLT CLASSROOMS, LUX CAMPUS")</f>
        <v>FOR NEW VOLT CLASSROOMS, LUX CAMPUS</v>
      </c>
    </row>
    <row r="13">
      <c r="A13" s="234">
        <f>IFERROR(__xludf.DUMMYFUNCTION("""COMPUTED_VALUE"""),104846.0)</f>
        <v>104846</v>
      </c>
      <c r="B13" s="235" t="str">
        <f>IFERROR(__xludf.DUMMYFUNCTION("""COMPUTED_VALUE"""),"Alfa De Leon")</f>
        <v>Alfa De Leon</v>
      </c>
      <c r="C13" s="235" t="str">
        <f>IFERROR(__xludf.DUMMYFUNCTION("""COMPUTED_VALUE"""),"ADMIN - MUNICH")</f>
        <v>ADMIN - MUNICH</v>
      </c>
      <c r="D13" s="196" t="str">
        <f>IFERROR(__xludf.DUMMYFUNCTION("""COMPUTED_VALUE"""),"5 ROLLS RUBBER MATTING (COIN) RED OR BLACK ")</f>
        <v>5 ROLLS RUBBER MATTING (COIN) RED OR BLACK </v>
      </c>
      <c r="E13" s="196" t="str">
        <f>IFERROR(__xludf.DUMMYFUNCTION("""COMPUTED_VALUE"""),"REPLACEMENT OF BROKEN/OLD RUBBER MATTING IN THE RAMP AREA IN MUNICH")</f>
        <v>REPLACEMENT OF BROKEN/OLD RUBBER MATTING IN THE RAMP AREA IN MUNICH</v>
      </c>
    </row>
    <row r="14">
      <c r="A14" s="234">
        <f>IFERROR(__xludf.DUMMYFUNCTION("""COMPUTED_VALUE"""),104847.0)</f>
        <v>104847</v>
      </c>
      <c r="B14" s="235" t="str">
        <f>IFERROR(__xludf.DUMMYFUNCTION("""COMPUTED_VALUE"""),"Raquelyn Nunez")</f>
        <v>Raquelyn Nunez</v>
      </c>
      <c r="C14" s="235" t="str">
        <f>IFERROR(__xludf.DUMMYFUNCTION("""COMPUTED_VALUE"""),"ADMIN")</f>
        <v>ADMIN</v>
      </c>
      <c r="D14" s="196" t="str">
        <f>IFERROR(__xludf.DUMMYFUNCTION("""COMPUTED_VALUE"""),"4 PCS DOUBLE MATTRESS BED (SINGLE OR CUSTOMIZED)")</f>
        <v>4 PCS DOUBLE MATTRESS BED (SINGLE OR CUSTOMIZED)</v>
      </c>
      <c r="E14" s="196" t="str">
        <f>IFERROR(__xludf.DUMMYFUNCTION("""COMPUTED_VALUE"""),"REPLACEMENT OF DOUBLE DECK BED TO SINGLE BED IN NARRA HOUSE (MANAGEMENT HOUSE)")</f>
        <v>REPLACEMENT OF DOUBLE DECK BED TO SINGLE BED IN NARRA HOUSE (MANAGEMENT HOUSE)</v>
      </c>
    </row>
    <row r="15">
      <c r="A15" s="234">
        <f>IFERROR(__xludf.DUMMYFUNCTION("""COMPUTED_VALUE"""),104848.0)</f>
        <v>104848</v>
      </c>
      <c r="B15" s="235" t="str">
        <f>IFERROR(__xludf.DUMMYFUNCTION("""COMPUTED_VALUE"""),"Paul Araña")</f>
        <v>Paul Araña</v>
      </c>
      <c r="C15" s="235" t="str">
        <f>IFERROR(__xludf.DUMMYFUNCTION("""COMPUTED_VALUE"""),"MIS/ICT")</f>
        <v>MIS/ICT</v>
      </c>
      <c r="D15" s="196" t="str">
        <f>IFERROR(__xludf.DUMMYFUNCTION("""COMPUTED_VALUE"""),"BEELINK MINI PC 3 PCS
TCL LED 55PG35 55 INCHES 3 PCS ")</f>
        <v>BEELINK MINI PC 3 PCS
TCL LED 55PG35 55 INCHES 3 PCS </v>
      </c>
      <c r="E15" s="196" t="str">
        <f>IFERROR(__xludf.DUMMYFUNCTION("""COMPUTED_VALUE"""),"DIGITALIZATION OF ANNOUNCEMENT PER CAMPUS ")</f>
        <v>DIGITALIZATION OF ANNOUNCEMENT PER CAMPUS </v>
      </c>
    </row>
    <row r="16">
      <c r="A16" s="234">
        <f>IFERROR(__xludf.DUMMYFUNCTION("""COMPUTED_VALUE"""),104849.0)</f>
        <v>104849</v>
      </c>
      <c r="B16" s="235" t="str">
        <f>IFERROR(__xludf.DUMMYFUNCTION("""COMPUTED_VALUE"""),"Paul Araña")</f>
        <v>Paul Araña</v>
      </c>
      <c r="C16" s="235" t="str">
        <f>IFERROR(__xludf.DUMMYFUNCTION("""COMPUTED_VALUE"""),"MIS/ICT")</f>
        <v>MIS/ICT</v>
      </c>
      <c r="D16" s="196" t="str">
        <f>IFERROR(__xludf.DUMMYFUNCTION("""COMPUTED_VALUE"""),"2X2 VIDEO WALL CONTROLLER 1 PC.
TCL LED TV 55 INCH 4 PCS ")</f>
        <v>2X2 VIDEO WALL CONTROLLER 1 PC.
TCL LED TV 55 INCH 4 PCS </v>
      </c>
      <c r="E16" s="196" t="str">
        <f>IFERROR(__xludf.DUMMYFUNCTION("""COMPUTED_VALUE"""),"FOR COLLEGE WALKWAY")</f>
        <v>FOR COLLEGE WALKWAY</v>
      </c>
    </row>
    <row r="17">
      <c r="A17" s="234">
        <f>IFERROR(__xludf.DUMMYFUNCTION("""COMPUTED_VALUE"""),104850.0)</f>
        <v>104850</v>
      </c>
      <c r="B17" s="235" t="str">
        <f>IFERROR(__xludf.DUMMYFUNCTION("""COMPUTED_VALUE"""),"Paul Araña")</f>
        <v>Paul Araña</v>
      </c>
      <c r="C17" s="235" t="str">
        <f>IFERROR(__xludf.DUMMYFUNCTION("""COMPUTED_VALUE"""),"MIS/ICT")</f>
        <v>MIS/ICT</v>
      </c>
      <c r="D17" s="196" t="str">
        <f>IFERROR(__xludf.DUMMYFUNCTION("""COMPUTED_VALUE"""),"MEGABOX (STORAGE BOX 58L) 4 PCS
LABELER- CASIO KL120 LABEL PRINTER 1 PC")</f>
        <v>MEGABOX (STORAGE BOX 58L) 4 PCS
LABELER- CASIO KL120 LABEL PRINTER 1 PC</v>
      </c>
      <c r="E17" s="196" t="str">
        <f>IFERROR(__xludf.DUMMYFUNCTION("""COMPUTED_VALUE"""),"EQUIPMENTS AND ORGANIZERS FOR MIS USE")</f>
        <v>EQUIPMENTS AND ORGANIZERS FOR MIS USE</v>
      </c>
    </row>
    <row r="18">
      <c r="A18" s="234">
        <f>IFERROR(__xludf.DUMMYFUNCTION("""COMPUTED_VALUE"""),104851.0)</f>
        <v>104851</v>
      </c>
      <c r="B18" s="235" t="str">
        <f>IFERROR(__xludf.DUMMYFUNCTION("""COMPUTED_VALUE"""),"Paul Araña")</f>
        <v>Paul Araña</v>
      </c>
      <c r="C18" s="235" t="str">
        <f>IFERROR(__xludf.DUMMYFUNCTION("""COMPUTED_VALUE"""),"MIS/ICT")</f>
        <v>MIS/ICT</v>
      </c>
      <c r="D18" s="196" t="str">
        <f>IFERROR(__xludf.DUMMYFUNCTION("""COMPUTED_VALUE"""),"HDMI EXTENDER (LAN TO HDMI) 3 PCS. 
WIRELESS HDMI 2 PCS. 
AUDIO INTERFACE (BEHRINGED)")</f>
        <v>HDMI EXTENDER (LAN TO HDMI) 3 PCS. 
WIRELESS HDMI 2 PCS. 
AUDIO INTERFACE (BEHRINGED)</v>
      </c>
      <c r="E18" s="196" t="str">
        <f>IFERROR(__xludf.DUMMYFUNCTION("""COMPUTED_VALUE"""),"ADDTL EQUIPMENT FOR AV TECH")</f>
        <v>ADDTL EQUIPMENT FOR AV TECH</v>
      </c>
    </row>
    <row r="19">
      <c r="A19" s="234">
        <f>IFERROR(__xludf.DUMMYFUNCTION("""COMPUTED_VALUE"""),104852.0)</f>
        <v>104852</v>
      </c>
      <c r="B19" s="235" t="str">
        <f>IFERROR(__xludf.DUMMYFUNCTION("""COMPUTED_VALUE"""),"Alfa De Leon")</f>
        <v>Alfa De Leon</v>
      </c>
      <c r="C19" s="235" t="str">
        <f>IFERROR(__xludf.DUMMYFUNCTION("""COMPUTED_VALUE"""),"ADMIN - MUNICH")</f>
        <v>ADMIN - MUNICH</v>
      </c>
      <c r="D19" s="196" t="str">
        <f>IFERROR(__xludf.DUMMYFUNCTION("""COMPUTED_VALUE"""),"HEAVY DUTY FLAGS:
CANADA 2, CHINA 2, INDIA 2, JAPAN 2, RUSSIA 2
LIBERIA 2, NETHERLANDS 2, PAKISTAN 2
KOREA 2, UK 2, US 2, PHIL 2, SISC 2
AUSTRALIA, BANGLADESH, EGYPT 1 EACH
GERMANY,. HONGKONG, INDONESIA 1 EACH
IRELAND, ITALY, LONDON 1EACH
NIGERIA, SRI LAN"&amp;"KA, SWITZERLAND 1 EACH
THAILAND 1 EACH")</f>
        <v>HEAVY DUTY FLAGS:
CANADA 2, CHINA 2, INDIA 2, JAPAN 2, RUSSIA 2
LIBERIA 2, NETHERLANDS 2, PAKISTAN 2
KOREA 2, UK 2, US 2, PHIL 2, SISC 2
AUSTRALIA, BANGLADESH, EGYPT 1 EACH
GERMANY,. HONGKONG, INDONESIA 1 EACH
IRELAND, ITALY, LONDON 1EACH
NIGERIA, SRI LANKA, SWITZERLAND 1 EACH
THAILAND 1 EACH</v>
      </c>
      <c r="E19" s="196" t="str">
        <f>IFERROR(__xludf.DUMMYFUNCTION("""COMPUTED_VALUE"""),"INTERNATIONAL FLAGS MAINTENANCE ")</f>
        <v>INTERNATIONAL FLAGS MAINTENANCE </v>
      </c>
    </row>
    <row r="20">
      <c r="A20" s="234">
        <f>IFERROR(__xludf.DUMMYFUNCTION("""COMPUTED_VALUE"""),104853.0)</f>
        <v>104853</v>
      </c>
      <c r="B20" s="235" t="str">
        <f>IFERROR(__xludf.DUMMYFUNCTION("""COMPUTED_VALUE"""),"Jomel Butial")</f>
        <v>Jomel Butial</v>
      </c>
      <c r="C20" s="235" t="str">
        <f>IFERROR(__xludf.DUMMYFUNCTION("""COMPUTED_VALUE"""),"PR &amp; MARKETING")</f>
        <v>PR &amp; MARKETING</v>
      </c>
      <c r="D20" s="196" t="str">
        <f>IFERROR(__xludf.DUMMYFUNCTION("""COMPUTED_VALUE"""),"PULL UP TARP BANNER (COLLEGE PROGRAMS) 3x6.5ft 1
PULL UP BANNER (GRADUATE PROGRAMS) 3x6.5ft 1")</f>
        <v>PULL UP TARP BANNER (COLLEGE PROGRAMS) 3x6.5ft 1
PULL UP BANNER (GRADUATE PROGRAMS) 3x6.5ft 1</v>
      </c>
      <c r="E20" s="196" t="str">
        <f>IFERROR(__xludf.DUMMYFUNCTION("""COMPUTED_VALUE"""),"MARKETING")</f>
        <v>MARKETING</v>
      </c>
    </row>
    <row r="21">
      <c r="A21" s="234">
        <f>IFERROR(__xludf.DUMMYFUNCTION("""COMPUTED_VALUE"""),104854.0)</f>
        <v>104854</v>
      </c>
      <c r="B21" s="235" t="str">
        <f>IFERROR(__xludf.DUMMYFUNCTION("""COMPUTED_VALUE"""),"Ruel Par")</f>
        <v>Ruel Par</v>
      </c>
      <c r="C21" s="235" t="str">
        <f>IFERROR(__xludf.DUMMYFUNCTION("""COMPUTED_VALUE"""),"ENGINEERING")</f>
        <v>ENGINEERING</v>
      </c>
      <c r="D21" s="196" t="str">
        <f>IFERROR(__xludf.DUMMYFUNCTION("""COMPUTED_VALUE"""),"4.0 HP Ceiling Cassette inverter 1 unit")</f>
        <v>4.0 HP Ceiling Cassette inverter 1 unit</v>
      </c>
      <c r="E21" s="196" t="str">
        <f>IFERROR(__xludf.DUMMYFUNCTION("""COMPUTED_VALUE"""),"ACU replacement at viewing hall")</f>
        <v>ACU replacement at viewing hall</v>
      </c>
    </row>
    <row r="22">
      <c r="A22" s="234">
        <f>IFERROR(__xludf.DUMMYFUNCTION("""COMPUTED_VALUE"""),104855.0)</f>
        <v>104855</v>
      </c>
      <c r="B22" s="235" t="str">
        <f>IFERROR(__xludf.DUMMYFUNCTION("""COMPUTED_VALUE"""),"Sheree Espinosa")</f>
        <v>Sheree Espinosa</v>
      </c>
      <c r="C22" s="235" t="str">
        <f>IFERROR(__xludf.DUMMYFUNCTION("""COMPUTED_VALUE"""),"ADMIN")</f>
        <v>ADMIN</v>
      </c>
      <c r="D22" s="196" t="str">
        <f>IFERROR(__xludf.DUMMYFUNCTION("""COMPUTED_VALUE"""),"TABLES 30
CHAIRS 30")</f>
        <v>TABLES 30
CHAIRS 30</v>
      </c>
      <c r="E22" s="196" t="str">
        <f>IFERROR(__xludf.DUMMYFUNCTION("""COMPUTED_VALUE"""),"ADDITIONAL TABLES AND CHAIRS FOR SHS AY 24-25")</f>
        <v>ADDITIONAL TABLES AND CHAIRS FOR SHS AY 24-25</v>
      </c>
    </row>
    <row r="23">
      <c r="A23" s="234">
        <f>IFERROR(__xludf.DUMMYFUNCTION("""COMPUTED_VALUE"""),104856.0)</f>
        <v>104856</v>
      </c>
      <c r="B23" s="235" t="str">
        <f>IFERROR(__xludf.DUMMYFUNCTION("""COMPUTED_VALUE"""),"Kristen Gabutero")</f>
        <v>Kristen Gabutero</v>
      </c>
      <c r="C23" s="235" t="str">
        <f>IFERROR(__xludf.DUMMYFUNCTION("""COMPUTED_VALUE"""),"AB COMM/MMA")</f>
        <v>AB COMM/MMA</v>
      </c>
      <c r="D23" s="196" t="str">
        <f>IFERROR(__xludf.DUMMYFUNCTION("""COMPUTED_VALUE"""),"GENTLEPRINCE SALADIN 4 DRAWER VERTICAL CABINET OFFICE FILING CABINET 1")</f>
        <v>GENTLEPRINCE SALADIN 4 DRAWER VERTICAL CABINET OFFICE FILING CABINET 1</v>
      </c>
      <c r="E23" s="196" t="str">
        <f>IFERROR(__xludf.DUMMYFUNCTION("""COMPUTED_VALUE"""),"ORGANIZED FILING OF COMMA STUDENT DOCUMENTS")</f>
        <v>ORGANIZED FILING OF COMMA STUDENT DOCUMENTS</v>
      </c>
    </row>
    <row r="24">
      <c r="A24" s="234">
        <f>IFERROR(__xludf.DUMMYFUNCTION("""COMPUTED_VALUE"""),104857.0)</f>
        <v>104857</v>
      </c>
      <c r="B24" s="235" t="str">
        <f>IFERROR(__xludf.DUMMYFUNCTION("""COMPUTED_VALUE"""),"Elmie Laudiato")</f>
        <v>Elmie Laudiato</v>
      </c>
      <c r="C24" s="235" t="str">
        <f>IFERROR(__xludf.DUMMYFUNCTION("""COMPUTED_VALUE"""),"HRMD")</f>
        <v>HRMD</v>
      </c>
      <c r="D24" s="196" t="str">
        <f>IFERROR(__xludf.DUMMYFUNCTION("""COMPUTED_VALUE"""),"FEMALE BASIC ED FACULTY:
BLOUSE LONG SLEEVES
VEST
SKIRT
LONG SKIRT
PANTS
COAT
BLOUSE SHORT SLEEVES")</f>
        <v>FEMALE BASIC ED FACULTY:
BLOUSE LONG SLEEVES
VEST
SKIRT
LONG SKIRT
PANTS
COAT
BLOUSE SHORT SLEEVES</v>
      </c>
      <c r="E24" s="196" t="str">
        <f>IFERROR(__xludf.DUMMYFUNCTION("""COMPUTED_VALUE"""),"UNIFORM FOR AY 2024-2025 ( FEMALE BASIC ED LUX)")</f>
        <v>UNIFORM FOR AY 2024-2025 ( FEMALE BASIC ED LUX)</v>
      </c>
    </row>
    <row r="25">
      <c r="A25" s="234">
        <f>IFERROR(__xludf.DUMMYFUNCTION("""COMPUTED_VALUE"""),104858.0)</f>
        <v>104858</v>
      </c>
      <c r="B25" s="235" t="str">
        <f>IFERROR(__xludf.DUMMYFUNCTION("""COMPUTED_VALUE"""),"Elmie Laudiato")</f>
        <v>Elmie Laudiato</v>
      </c>
      <c r="C25" s="235" t="str">
        <f>IFERROR(__xludf.DUMMYFUNCTION("""COMPUTED_VALUE"""),"HRMD")</f>
        <v>HRMD</v>
      </c>
      <c r="D25" s="196" t="str">
        <f>IFERROR(__xludf.DUMMYFUNCTION("""COMPUTED_VALUE"""),"NTE FEMALE UNIFORM 65
-SLACKS
-SKIRT
-BLOUSE
-BLAZER")</f>
        <v>NTE FEMALE UNIFORM 65
-SLACKS
-SKIRT
-BLOUSE
-BLAZER</v>
      </c>
      <c r="E25" s="196" t="str">
        <f>IFERROR(__xludf.DUMMYFUNCTION("""COMPUTED_VALUE"""),"EMPLOYEE UNIFORM SUPPLIER AY 24-25")</f>
        <v>EMPLOYEE UNIFORM SUPPLIER AY 24-25</v>
      </c>
    </row>
    <row r="26">
      <c r="A26" s="234">
        <f>IFERROR(__xludf.DUMMYFUNCTION("""COMPUTED_VALUE"""),104859.0)</f>
        <v>104859</v>
      </c>
      <c r="B26" s="235" t="str">
        <f>IFERROR(__xludf.DUMMYFUNCTION("""COMPUTED_VALUE"""),"Elmie Laudiato")</f>
        <v>Elmie Laudiato</v>
      </c>
      <c r="C26" s="235" t="str">
        <f>IFERROR(__xludf.DUMMYFUNCTION("""COMPUTED_VALUE"""),"HRMD")</f>
        <v>HRMD</v>
      </c>
      <c r="D26" s="196" t="str">
        <f>IFERROR(__xludf.DUMMYFUNCTION("""COMPUTED_VALUE"""),"NTE MALE UNIFORM 48
-SLACK
-POLO
-COAT")</f>
        <v>NTE MALE UNIFORM 48
-SLACK
-POLO
-COAT</v>
      </c>
      <c r="E26" s="196" t="str">
        <f>IFERROR(__xludf.DUMMYFUNCTION("""COMPUTED_VALUE"""),"EMPLOYEE UNIFORM SUPPLIER AY 24-25")</f>
        <v>EMPLOYEE UNIFORM SUPPLIER AY 24-25</v>
      </c>
    </row>
    <row r="27">
      <c r="A27" s="234">
        <f>IFERROR(__xludf.DUMMYFUNCTION("""COMPUTED_VALUE"""),104860.0)</f>
        <v>104860</v>
      </c>
      <c r="B27" s="235" t="str">
        <f>IFERROR(__xludf.DUMMYFUNCTION("""COMPUTED_VALUE"""),"Elmie Laudiato")</f>
        <v>Elmie Laudiato</v>
      </c>
      <c r="C27" s="235" t="str">
        <f>IFERROR(__xludf.DUMMYFUNCTION("""COMPUTED_VALUE"""),"HRMD")</f>
        <v>HRMD</v>
      </c>
      <c r="D27" s="196" t="str">
        <f>IFERROR(__xludf.DUMMYFUNCTION("""COMPUTED_VALUE"""),"COLLEGE FEMALE UNIFORM 11
SLACKS
SKIRT
BLOUSE
BLAZER")</f>
        <v>COLLEGE FEMALE UNIFORM 11
SLACKS
SKIRT
BLOUSE
BLAZER</v>
      </c>
      <c r="E27" s="196" t="str">
        <f>IFERROR(__xludf.DUMMYFUNCTION("""COMPUTED_VALUE"""),"EMPLOYEE UNIFORM SUPPLIER AY 24-25")</f>
        <v>EMPLOYEE UNIFORM SUPPLIER AY 24-25</v>
      </c>
    </row>
    <row r="28">
      <c r="A28" s="234" t="str">
        <f>IFERROR(__xludf.DUMMYFUNCTION("""COMPUTED_VALUE"""),"104861- CANCELLED")</f>
        <v>104861- CANCELLED</v>
      </c>
      <c r="B28" s="235" t="str">
        <f>IFERROR(__xludf.DUMMYFUNCTION("""COMPUTED_VALUE"""),"Elmie Laudiato")</f>
        <v>Elmie Laudiato</v>
      </c>
      <c r="C28" s="235" t="str">
        <f>IFERROR(__xludf.DUMMYFUNCTION("""COMPUTED_VALUE"""),"HRMD")</f>
        <v>HRMD</v>
      </c>
      <c r="D28" s="196" t="str">
        <f>IFERROR(__xludf.DUMMYFUNCTION("""COMPUTED_VALUE"""),"COLLEGE MALE UNIFORM 6
SLACKS
POLO
COAT")</f>
        <v>COLLEGE MALE UNIFORM 6
SLACKS
POLO
COAT</v>
      </c>
      <c r="E28" s="196" t="str">
        <f>IFERROR(__xludf.DUMMYFUNCTION("""COMPUTED_VALUE"""),"EMPLOYEE UNIFORM SUPPLIER AY 24-25")</f>
        <v>EMPLOYEE UNIFORM SUPPLIER AY 24-25</v>
      </c>
    </row>
    <row r="29">
      <c r="A29" s="234">
        <f>IFERROR(__xludf.DUMMYFUNCTION("""COMPUTED_VALUE"""),104862.0)</f>
        <v>104862</v>
      </c>
      <c r="B29" s="235" t="str">
        <f>IFERROR(__xludf.DUMMYFUNCTION("""COMPUTED_VALUE"""),"Elmie Laudiato")</f>
        <v>Elmie Laudiato</v>
      </c>
      <c r="C29" s="235" t="str">
        <f>IFERROR(__xludf.DUMMYFUNCTION("""COMPUTED_VALUE"""),"HRMD")</f>
        <v>HRMD</v>
      </c>
      <c r="D29" s="196" t="str">
        <f>IFERROR(__xludf.DUMMYFUNCTION("""COMPUTED_VALUE"""),"BED MALE UNIFORM 44
-SLACKS
-POLO
-COAT")</f>
        <v>BED MALE UNIFORM 44
-SLACKS
-POLO
-COAT</v>
      </c>
      <c r="E29" s="196" t="str">
        <f>IFERROR(__xludf.DUMMYFUNCTION("""COMPUTED_VALUE"""),"EMPLOYEE UNIFORM SUPPLIER AY 24-25")</f>
        <v>EMPLOYEE UNIFORM SUPPLIER AY 24-25</v>
      </c>
    </row>
    <row r="30">
      <c r="A30" s="234">
        <f>IFERROR(__xludf.DUMMYFUNCTION("""COMPUTED_VALUE"""),104863.0)</f>
        <v>104863</v>
      </c>
      <c r="B30" s="235" t="str">
        <f>IFERROR(__xludf.DUMMYFUNCTION("""COMPUTED_VALUE"""),"Elmie Laudiato")</f>
        <v>Elmie Laudiato</v>
      </c>
      <c r="C30" s="235" t="str">
        <f>IFERROR(__xludf.DUMMYFUNCTION("""COMPUTED_VALUE"""),"HRMD")</f>
        <v>HRMD</v>
      </c>
      <c r="D30" s="196" t="str">
        <f>IFERROR(__xludf.DUMMYFUNCTION("""COMPUTED_VALUE"""),"MANAGEMENT FEMALE UNIFORM 17
SLACKS
SKIRT
BLOUSE
BLAZER")</f>
        <v>MANAGEMENT FEMALE UNIFORM 17
SLACKS
SKIRT
BLOUSE
BLAZER</v>
      </c>
      <c r="E30" s="196" t="str">
        <f>IFERROR(__xludf.DUMMYFUNCTION("""COMPUTED_VALUE"""),"EMPLOYEE UNIFORM SUPPLIER AY 24-25")</f>
        <v>EMPLOYEE UNIFORM SUPPLIER AY 24-25</v>
      </c>
    </row>
    <row r="31">
      <c r="A31" s="234">
        <f>IFERROR(__xludf.DUMMYFUNCTION("""COMPUTED_VALUE"""),104864.0)</f>
        <v>104864</v>
      </c>
      <c r="B31" s="235" t="str">
        <f>IFERROR(__xludf.DUMMYFUNCTION("""COMPUTED_VALUE"""),"Arnel Montablan")</f>
        <v>Arnel Montablan</v>
      </c>
      <c r="C31" s="235" t="str">
        <f>IFERROR(__xludf.DUMMYFUNCTION("""COMPUTED_VALUE"""),"FOUNDER SCHOLAR")</f>
        <v>FOUNDER SCHOLAR</v>
      </c>
      <c r="D31" s="196" t="str">
        <f>IFERROR(__xludf.DUMMYFUNCTION("""COMPUTED_VALUE"""),"PILLOWS (HEAVENLY SOFT 8
SETS OF BEDDINGS HAPPY FAMILY   (2 SHEETS, 2 PILLOWS) 12")</f>
        <v>PILLOWS (HEAVENLY SOFT 8
SETS OF BEDDINGS HAPPY FAMILY   (2 SHEETS, 2 PILLOWS) 12</v>
      </c>
      <c r="E31" s="196" t="str">
        <f>IFERROR(__xludf.DUMMYFUNCTION("""COMPUTED_VALUE"""),"SUPPLIES FOR NEW SCHOLARS AND RESERVE")</f>
        <v>SUPPLIES FOR NEW SCHOLARS AND RESERVE</v>
      </c>
    </row>
    <row r="32">
      <c r="A32" s="234">
        <f>IFERROR(__xludf.DUMMYFUNCTION("""COMPUTED_VALUE"""),104865.0)</f>
        <v>104865</v>
      </c>
      <c r="B32" s="235" t="str">
        <f>IFERROR(__xludf.DUMMYFUNCTION("""COMPUTED_VALUE"""),"Alfa De Leon")</f>
        <v>Alfa De Leon</v>
      </c>
      <c r="C32" s="235" t="str">
        <f>IFERROR(__xludf.DUMMYFUNCTION("""COMPUTED_VALUE"""),"ADMIN - MUNICH")</f>
        <v>ADMIN - MUNICH</v>
      </c>
      <c r="D32" s="196" t="str">
        <f>IFERROR(__xludf.DUMMYFUNCTION("""COMPUTED_VALUE"""),"1 PC TOWER FAN ")</f>
        <v>1 PC TOWER FAN </v>
      </c>
      <c r="E32" s="196" t="str">
        <f>IFERROR(__xludf.DUMMYFUNCTION("""COMPUTED_VALUE"""),"FOR ASSISTANT DP OFFICE ")</f>
        <v>FOR ASSISTANT DP OFFICE </v>
      </c>
    </row>
    <row r="33">
      <c r="A33" s="234">
        <f>IFERROR(__xludf.DUMMYFUNCTION("""COMPUTED_VALUE"""),104866.0)</f>
        <v>104866</v>
      </c>
      <c r="B33" s="235" t="str">
        <f>IFERROR(__xludf.DUMMYFUNCTION("""COMPUTED_VALUE"""),"Arnel Montablan")</f>
        <v>Arnel Montablan</v>
      </c>
      <c r="C33" s="235" t="str">
        <f>IFERROR(__xludf.DUMMYFUNCTION("""COMPUTED_VALUE"""),"FOUNDER SCHOLAR")</f>
        <v>FOUNDER SCHOLAR</v>
      </c>
      <c r="D33" s="196" t="str">
        <f>IFERROR(__xludf.DUMMYFUNCTION("""COMPUTED_VALUE"""),"1PC IRONING BOARD")</f>
        <v>1PC IRONING BOARD</v>
      </c>
      <c r="E33" s="196" t="str">
        <f>IFERROR(__xludf.DUMMYFUNCTION("""COMPUTED_VALUE"""),"FOR SCHOLAR'S DORMITORY- YOKOHAMA BOYS")</f>
        <v>FOR SCHOLAR'S DORMITORY- YOKOHAMA BOYS</v>
      </c>
    </row>
    <row r="34">
      <c r="A34" s="234">
        <f>IFERROR(__xludf.DUMMYFUNCTION("""COMPUTED_VALUE"""),104867.0)</f>
        <v>104867</v>
      </c>
      <c r="B34" s="235" t="str">
        <f>IFERROR(__xludf.DUMMYFUNCTION("""COMPUTED_VALUE"""),"Paul Araña")</f>
        <v>Paul Araña</v>
      </c>
      <c r="C34" s="235" t="str">
        <f>IFERROR(__xludf.DUMMYFUNCTION("""COMPUTED_VALUE"""),"AV/MIS")</f>
        <v>AV/MIS</v>
      </c>
      <c r="D34" s="196" t="str">
        <f>IFERROR(__xludf.DUMMYFUNCTION("""COMPUTED_VALUE"""),"CLONED CORE I5 PCs (REORDER: PRF 104789) 5
EPSON IB X51 XGA 3 LCD PROJECTOR (REORDER: PRF 104787) 5
VIEWSONIC VA1903H 18.5"" 60HZ VGA/HDMI MONITORS (PRF: 104789) 9
65 INCH TCL UHD 65P635 SMART ANDROID TV 1
55 INCH TCL UHD 55P7IB SMART ANDROID TV 4
LOGITEC"&amp;"H C270 HD WEB CAM 5
MAONO AUBM10 CONFERENCE MIC 5
UGREEN HDMI CABLE 2.0 10M 6
ACTIVE USB 2.0/3.0 EXTENDER 15M 6")</f>
        <v>CLONED CORE I5 PCs (REORDER: PRF 104789) 5
EPSON IB X51 XGA 3 LCD PROJECTOR (REORDER: PRF 104787) 5
VIEWSONIC VA1903H 18.5" 60HZ VGA/HDMI MONITORS (PRF: 104789) 9
65 INCH TCL UHD 65P635 SMART ANDROID TV 1
55 INCH TCL UHD 55P7IB SMART ANDROID TV 4
LOGITECH C270 HD WEB CAM 5
MAONO AUBM10 CONFERENCE MIC 5
UGREEN HDMI CABLE 2.0 10M 6
ACTIVE USB 2.0/3.0 EXTENDER 15M 6</v>
      </c>
      <c r="E34" s="196" t="str">
        <f>IFERROR(__xludf.DUMMYFUNCTION("""COMPUTED_VALUE"""),"FOR NEW CLASSROOM IN COLLEGE AND MUNICH")</f>
        <v>FOR NEW CLASSROOM IN COLLEGE AND MUNICH</v>
      </c>
    </row>
    <row r="35">
      <c r="A35" s="234">
        <f>IFERROR(__xludf.DUMMYFUNCTION("""COMPUTED_VALUE"""),104868.0)</f>
        <v>104868</v>
      </c>
      <c r="B35" s="235" t="str">
        <f>IFERROR(__xludf.DUMMYFUNCTION("""COMPUTED_VALUE"""),"Alfa De Leon")</f>
        <v>Alfa De Leon</v>
      </c>
      <c r="C35" s="235" t="str">
        <f>IFERROR(__xludf.DUMMYFUNCTION("""COMPUTED_VALUE"""),"LANDSCAPING")</f>
        <v>LANDSCAPING</v>
      </c>
      <c r="D35" s="196" t="str">
        <f>IFERROR(__xludf.DUMMYFUNCTION("""COMPUTED_VALUE"""),"POTHOS 300
EUGENIA 30
SELLBUM 50
SNOW OF THE MOUNTAIN 20
TOBACCO 30
MAKI PLANTS 10
KAMUNING 5")</f>
        <v>POTHOS 300
EUGENIA 30
SELLBUM 50
SNOW OF THE MOUNTAIN 20
TOBACCO 30
MAKI PLANTS 10
KAMUNING 5</v>
      </c>
      <c r="E35" s="196" t="str">
        <f>IFERROR(__xludf.DUMMYFUNCTION("""COMPUTED_VALUE"""),"MUNICH CORNER PLANT BOXES AND BACKGATE LANDSCAPE IMPROVEMENT")</f>
        <v>MUNICH CORNER PLANT BOXES AND BACKGATE LANDSCAPE IMPROVEMENT</v>
      </c>
    </row>
    <row r="36">
      <c r="A36" s="234">
        <f>IFERROR(__xludf.DUMMYFUNCTION("""COMPUTED_VALUE"""),104869.0)</f>
        <v>104869</v>
      </c>
      <c r="B36" s="235" t="str">
        <f>IFERROR(__xludf.DUMMYFUNCTION("""COMPUTED_VALUE"""),"Alfa De Leon")</f>
        <v>Alfa De Leon</v>
      </c>
      <c r="C36" s="235" t="str">
        <f>IFERROR(__xludf.DUMMYFUNCTION("""COMPUTED_VALUE"""),"LANDSCAPING")</f>
        <v>LANDSCAPING</v>
      </c>
      <c r="D36" s="196" t="str">
        <f>IFERROR(__xludf.DUMMYFUNCTION("""COMPUTED_VALUE"""),"HELICONIA 500
FORGET ME NOT 100")</f>
        <v>HELICONIA 500
FORGET ME NOT 100</v>
      </c>
      <c r="E36" s="196" t="str">
        <f>IFERROR(__xludf.DUMMYFUNCTION("""COMPUTED_VALUE"""),"MONARCH PARK MAINTENANCE (PLANTS) ")</f>
        <v>MONARCH PARK MAINTENANCE (PLANTS) </v>
      </c>
    </row>
    <row r="37">
      <c r="A37" s="234">
        <f>IFERROR(__xludf.DUMMYFUNCTION("""COMPUTED_VALUE"""),104870.0)</f>
        <v>104870</v>
      </c>
      <c r="B37" s="235" t="str">
        <f>IFERROR(__xludf.DUMMYFUNCTION("""COMPUTED_VALUE"""),"Alfa De Leon")</f>
        <v>Alfa De Leon</v>
      </c>
      <c r="C37" s="235" t="str">
        <f>IFERROR(__xludf.DUMMYFUNCTION("""COMPUTED_VALUE"""),"LANDSCAPING")</f>
        <v>LANDSCAPING</v>
      </c>
      <c r="D37" s="196" t="str">
        <f>IFERROR(__xludf.DUMMYFUNCTION("""COMPUTED_VALUE"""),"GARDEN SOIL 30")</f>
        <v>GARDEN SOIL 30</v>
      </c>
      <c r="E37" s="196" t="str">
        <f>IFERROR(__xludf.DUMMYFUNCTION("""COMPUTED_VALUE"""),"LANDSCAPING MUNICH BEAUTIFICATION")</f>
        <v>LANDSCAPING MUNICH BEAUTIFICATION</v>
      </c>
    </row>
    <row r="38">
      <c r="A38" s="234">
        <f>IFERROR(__xludf.DUMMYFUNCTION("""COMPUTED_VALUE"""),104871.0)</f>
        <v>104871</v>
      </c>
      <c r="B38" s="235" t="str">
        <f>IFERROR(__xludf.DUMMYFUNCTION("""COMPUTED_VALUE"""),"Alfa De Leon")</f>
        <v>Alfa De Leon</v>
      </c>
      <c r="C38" s="235" t="str">
        <f>IFERROR(__xludf.DUMMYFUNCTION("""COMPUTED_VALUE"""),"LANDSCAPING")</f>
        <v>LANDSCAPING</v>
      </c>
      <c r="D38" s="196" t="str">
        <f>IFERROR(__xludf.DUMMYFUNCTION("""COMPUTED_VALUE"""),"DURANTA 100
FORGET ME NOT 15")</f>
        <v>DURANTA 100
FORGET ME NOT 15</v>
      </c>
      <c r="E38" s="196" t="str">
        <f>IFERROR(__xludf.DUMMYFUNCTION("""COMPUTED_VALUE"""),"MUNICH ROTONDA MAINTENANCE (PLANTS)")</f>
        <v>MUNICH ROTONDA MAINTENANCE (PLANTS)</v>
      </c>
    </row>
    <row r="39">
      <c r="A39" s="234">
        <f>IFERROR(__xludf.DUMMYFUNCTION("""COMPUTED_VALUE"""),104872.0)</f>
        <v>104872</v>
      </c>
      <c r="B39" s="235" t="str">
        <f>IFERROR(__xludf.DUMMYFUNCTION("""COMPUTED_VALUE"""),"Ruel Par")</f>
        <v>Ruel Par</v>
      </c>
      <c r="C39" s="235" t="str">
        <f>IFERROR(__xludf.DUMMYFUNCTION("""COMPUTED_VALUE"""),"ENGINEERING")</f>
        <v>ENGINEERING</v>
      </c>
      <c r="D39" s="196" t="str">
        <f>IFERROR(__xludf.DUMMYFUNCTION("""COMPUTED_VALUE"""),"HEAVY DUTY CIRCULAR SAW 1
190MM (1400W)
BOSCH")</f>
        <v>HEAVY DUTY CIRCULAR SAW 1
190MM (1400W)
BOSCH</v>
      </c>
      <c r="E39" s="196" t="str">
        <f>IFERROR(__xludf.DUMMYFUNCTION("""COMPUTED_VALUE"""),"CARPENTRY TOOL")</f>
        <v>CARPENTRY TOOL</v>
      </c>
    </row>
    <row r="40">
      <c r="A40" s="234">
        <f>IFERROR(__xludf.DUMMYFUNCTION("""COMPUTED_VALUE"""),104873.0)</f>
        <v>104873</v>
      </c>
      <c r="B40" s="235" t="str">
        <f>IFERROR(__xludf.DUMMYFUNCTION("""COMPUTED_VALUE"""),"Leah Buhay")</f>
        <v>Leah Buhay</v>
      </c>
      <c r="C40" s="235" t="str">
        <f>IFERROR(__xludf.DUMMYFUNCTION("""COMPUTED_VALUE"""),"CEM OFFICE")</f>
        <v>CEM OFFICE</v>
      </c>
      <c r="D40" s="196" t="str">
        <f>IFERROR(__xludf.DUMMYFUNCTION("""COMPUTED_VALUE"""),"2 UNITS  CANON PIXMA 67070 WIRELESS ALL IN ONE W/ FAX, 1 UNIT HP OFFCIEJET 200 MOBILE WIRELESS PRINTER ")</f>
        <v>2 UNITS  CANON PIXMA 67070 WIRELESS ALL IN ONE W/ FAX, 1 UNIT HP OFFCIEJET 200 MOBILE WIRELESS PRINTER </v>
      </c>
      <c r="E40" s="196" t="str">
        <f>IFERROR(__xludf.DUMMYFUNCTION("""COMPUTED_VALUE"""),"PRINTER FOR DR. GENE LEDESMA LAUREL ")</f>
        <v>PRINTER FOR DR. GENE LEDESMA LAUREL </v>
      </c>
    </row>
    <row r="41">
      <c r="A41" s="234">
        <f>IFERROR(__xludf.DUMMYFUNCTION("""COMPUTED_VALUE"""),104874.0)</f>
        <v>104874</v>
      </c>
      <c r="B41" s="235" t="str">
        <f>IFERROR(__xludf.DUMMYFUNCTION("""COMPUTED_VALUE"""),"Clea Z. Lomiwes")</f>
        <v>Clea Z. Lomiwes</v>
      </c>
      <c r="C41" s="235" t="str">
        <f>IFERROR(__xludf.DUMMYFUNCTION("""COMPUTED_VALUE"""),"LIBRARY BASIC ED")</f>
        <v>LIBRARY BASIC ED</v>
      </c>
      <c r="D41" s="196" t="str">
        <f>IFERROR(__xludf.DUMMYFUNCTION("""COMPUTED_VALUE"""),"1 TRODAT ORIGINAL PRINTY 4.0 (4915)")</f>
        <v>1 TRODAT ORIGINAL PRINTY 4.0 (4915)</v>
      </c>
      <c r="E41" s="196" t="str">
        <f>IFERROR(__xludf.DUMMYFUNCTION("""COMPUTED_VALUE"""),"LIBRARY SUPPLY (PROPERTY STAMP)")</f>
        <v>LIBRARY SUPPLY (PROPERTY STAMP)</v>
      </c>
    </row>
    <row r="42">
      <c r="A42" s="234">
        <f>IFERROR(__xludf.DUMMYFUNCTION("""COMPUTED_VALUE"""),104875.0)</f>
        <v>104875</v>
      </c>
      <c r="B42" s="235" t="str">
        <f>IFERROR(__xludf.DUMMYFUNCTION("""COMPUTED_VALUE"""),"Lorraine Almazan")</f>
        <v>Lorraine Almazan</v>
      </c>
      <c r="C42" s="235" t="str">
        <f>IFERROR(__xludf.DUMMYFUNCTION("""COMPUTED_VALUE"""),"MIS/ICT")</f>
        <v>MIS/ICT</v>
      </c>
      <c r="D42" s="196" t="str">
        <f>IFERROR(__xludf.DUMMYFUNCTION("""COMPUTED_VALUE"""),"ACER CB314-P700 CHROMEBOOK- SILVER")</f>
        <v>ACER CB314-P700 CHROMEBOOK- SILVER</v>
      </c>
      <c r="E42" s="196" t="str">
        <f>IFERROR(__xludf.DUMMYFUNCTION("""COMPUTED_VALUE"""),"ADDITIONAL/ MOBILE LAB FOR LUX AND MUNICH")</f>
        <v>ADDITIONAL/ MOBILE LAB FOR LUX AND MUNICH</v>
      </c>
    </row>
    <row r="43">
      <c r="A43" s="234">
        <f>IFERROR(__xludf.DUMMYFUNCTION("""COMPUTED_VALUE"""),104876.0)</f>
        <v>104876</v>
      </c>
      <c r="B43" s="235" t="str">
        <f>IFERROR(__xludf.DUMMYFUNCTION("""COMPUTED_VALUE"""),"Ruel Par")</f>
        <v>Ruel Par</v>
      </c>
      <c r="C43" s="235" t="str">
        <f>IFERROR(__xludf.DUMMYFUNCTION("""COMPUTED_VALUE"""),"ENGINEERING")</f>
        <v>ENGINEERING</v>
      </c>
      <c r="D43" s="196" t="str">
        <f>IFERROR(__xludf.DUMMYFUNCTION("""COMPUTED_VALUE"""),"1 HEAVY DUTY CIRCULAR SAW 190MM (1400W BOSCH)")</f>
        <v>1 HEAVY DUTY CIRCULAR SAW 190MM (1400W BOSCH)</v>
      </c>
      <c r="E43" s="196" t="str">
        <f>IFERROR(__xludf.DUMMYFUNCTION("""COMPUTED_VALUE"""),"CARPENTRY TOOLS ")</f>
        <v>CARPENTRY TOOLS </v>
      </c>
    </row>
    <row r="44">
      <c r="A44" s="234">
        <f>IFERROR(__xludf.DUMMYFUNCTION("""COMPUTED_VALUE"""),104877.0)</f>
        <v>104877</v>
      </c>
      <c r="B44" s="235" t="str">
        <f>IFERROR(__xludf.DUMMYFUNCTION("""COMPUTED_VALUE"""),"Marc Vincent S. Vitto")</f>
        <v>Marc Vincent S. Vitto</v>
      </c>
      <c r="C44" s="235" t="str">
        <f>IFERROR(__xludf.DUMMYFUNCTION("""COMPUTED_VALUE"""),"PR &amp; MARKETING")</f>
        <v>PR &amp; MARKETING</v>
      </c>
      <c r="D44" s="196" t="str">
        <f>IFERROR(__xludf.DUMMYFUNCTION("""COMPUTED_VALUE"""),"20000 pcs. SISC GENERIC FLYERS ")</f>
        <v>20000 pcs. SISC GENERIC FLYERS </v>
      </c>
      <c r="E44" s="196" t="str">
        <f>IFERROR(__xludf.DUMMYFUNCTION("""COMPUTED_VALUE"""),"FOR MARKETING ")</f>
        <v>FOR MARKETING </v>
      </c>
    </row>
    <row r="45">
      <c r="A45" s="234">
        <f>IFERROR(__xludf.DUMMYFUNCTION("""COMPUTED_VALUE"""),104878.0)</f>
        <v>104878</v>
      </c>
      <c r="B45" s="235" t="str">
        <f>IFERROR(__xludf.DUMMYFUNCTION("""COMPUTED_VALUE"""),"Sameya Garcia")</f>
        <v>Sameya Garcia</v>
      </c>
      <c r="C45" s="235" t="str">
        <f>IFERROR(__xludf.DUMMYFUNCTION("""COMPUTED_VALUE"""),"ADMIN")</f>
        <v>ADMIN</v>
      </c>
      <c r="D45" s="196" t="str">
        <f>IFERROR(__xludf.DUMMYFUNCTION("""COMPUTED_VALUE"""),"2 PCS. TRODAT ( CARLITO D. DELA VEGA AND RACHEL JANE V. PAMATI-AN) ")</f>
        <v>2 PCS. TRODAT ( CARLITO D. DELA VEGA AND RACHEL JANE V. PAMATI-AN) </v>
      </c>
      <c r="E45" s="196" t="str">
        <f>IFERROR(__xludf.DUMMYFUNCTION("""COMPUTED_VALUE"""),"FOR OFFICE USE ")</f>
        <v>FOR OFFICE USE </v>
      </c>
    </row>
    <row r="46">
      <c r="A46" s="234">
        <f>IFERROR(__xludf.DUMMYFUNCTION("""COMPUTED_VALUE"""),104879.0)</f>
        <v>104879</v>
      </c>
      <c r="B46" s="235" t="str">
        <f>IFERROR(__xludf.DUMMYFUNCTION("""COMPUTED_VALUE"""),"Precious Daluz")</f>
        <v>Precious Daluz</v>
      </c>
      <c r="C46" s="235" t="str">
        <f>IFERROR(__xludf.DUMMYFUNCTION("""COMPUTED_VALUE"""),"SPECIAL SUBJECTS")</f>
        <v>SPECIAL SUBJECTS</v>
      </c>
      <c r="D46" s="196" t="str">
        <f>IFERROR(__xludf.DUMMYFUNCTION("""COMPUTED_VALUE"""),"ART MATERIALS AND EQUIPMENT 1 LOT")</f>
        <v>ART MATERIALS AND EQUIPMENT 1 LOT</v>
      </c>
      <c r="E46" s="196" t="str">
        <f>IFERROR(__xludf.DUMMYFUNCTION("""COMPUTED_VALUE"""),"FOR ART CLASSES")</f>
        <v>FOR ART CLASSES</v>
      </c>
    </row>
    <row r="47">
      <c r="A47" s="234">
        <f>IFERROR(__xludf.DUMMYFUNCTION("""COMPUTED_VALUE"""),104880.0)</f>
        <v>104880</v>
      </c>
      <c r="B47" s="235" t="str">
        <f>IFERROR(__xludf.DUMMYFUNCTION("""COMPUTED_VALUE"""),"Precious Daluz")</f>
        <v>Precious Daluz</v>
      </c>
      <c r="C47" s="235" t="str">
        <f>IFERROR(__xludf.DUMMYFUNCTION("""COMPUTED_VALUE"""),"SPECIAL SUBJECTS")</f>
        <v>SPECIAL SUBJECTS</v>
      </c>
      <c r="D47" s="196" t="str">
        <f>IFERROR(__xludf.DUMMYFUNCTION("""COMPUTED_VALUE"""),"PE MATERIALS AND EQUIPMENT 1 LOT")</f>
        <v>PE MATERIALS AND EQUIPMENT 1 LOT</v>
      </c>
      <c r="E47" s="196" t="str">
        <f>IFERROR(__xludf.DUMMYFUNCTION("""COMPUTED_VALUE"""),"FOR PE CLASSES")</f>
        <v>FOR PE CLASSES</v>
      </c>
    </row>
    <row r="48">
      <c r="A48" s="234">
        <f>IFERROR(__xludf.DUMMYFUNCTION("""COMPUTED_VALUE"""),104881.0)</f>
        <v>104881</v>
      </c>
      <c r="B48" s="235" t="str">
        <f>IFERROR(__xludf.DUMMYFUNCTION("""COMPUTED_VALUE"""),"Precious Daluz")</f>
        <v>Precious Daluz</v>
      </c>
      <c r="C48" s="235" t="str">
        <f>IFERROR(__xludf.DUMMYFUNCTION("""COMPUTED_VALUE"""),"SPECIAL SUBJECTS")</f>
        <v>SPECIAL SUBJECTS</v>
      </c>
      <c r="D48" s="196" t="str">
        <f>IFERROR(__xludf.DUMMYFUNCTION("""COMPUTED_VALUE"""),"HE ROOM UTENSILS AND EQUIPMENT 1LOT")</f>
        <v>HE ROOM UTENSILS AND EQUIPMENT 1LOT</v>
      </c>
      <c r="E48" s="196" t="str">
        <f>IFERROR(__xludf.DUMMYFUNCTION("""COMPUTED_VALUE"""),"FOR SPECIAL SUBJECT CLASSES")</f>
        <v>FOR SPECIAL SUBJECT CLASSES</v>
      </c>
    </row>
    <row r="49">
      <c r="A49" s="234">
        <f>IFERROR(__xludf.DUMMYFUNCTION("""COMPUTED_VALUE"""),104882.0)</f>
        <v>104882</v>
      </c>
      <c r="B49" s="235" t="str">
        <f>IFERROR(__xludf.DUMMYFUNCTION("""COMPUTED_VALUE"""),"Precious Daluz")</f>
        <v>Precious Daluz</v>
      </c>
      <c r="C49" s="235" t="str">
        <f>IFERROR(__xludf.DUMMYFUNCTION("""COMPUTED_VALUE"""),"SPECIAL SUBJECTS")</f>
        <v>SPECIAL SUBJECTS</v>
      </c>
      <c r="D49" s="196" t="str">
        <f>IFERROR(__xludf.DUMMYFUNCTION("""COMPUTED_VALUE"""),"BAND ROOM EQUIPMENT 1 LOT")</f>
        <v>BAND ROOM EQUIPMENT 1 LOT</v>
      </c>
      <c r="E49" s="196" t="str">
        <f>IFERROR(__xludf.DUMMYFUNCTION("""COMPUTED_VALUE"""),"FOR MUSIC CLASSES")</f>
        <v>FOR MUSIC CLASSES</v>
      </c>
    </row>
    <row r="50">
      <c r="A50" s="234">
        <f>IFERROR(__xludf.DUMMYFUNCTION("""COMPUTED_VALUE"""),104883.0)</f>
        <v>104883</v>
      </c>
      <c r="B50" s="235" t="str">
        <f>IFERROR(__xludf.DUMMYFUNCTION("""COMPUTED_VALUE"""),"Alfa De Leon")</f>
        <v>Alfa De Leon</v>
      </c>
      <c r="C50" s="235" t="str">
        <f>IFERROR(__xludf.DUMMYFUNCTION("""COMPUTED_VALUE"""),"ADMIN - MUNICH")</f>
        <v>ADMIN - MUNICH</v>
      </c>
      <c r="D50" s="196" t="str">
        <f>IFERROR(__xludf.DUMMYFUNCTION("""COMPUTED_VALUE"""),"6 POTS B
3 POTS S
6 GREEN  POTS")</f>
        <v>6 POTS B
3 POTS S
6 GREEN  POTS</v>
      </c>
      <c r="E50" s="196" t="str">
        <f>IFERROR(__xludf.DUMMYFUNCTION("""COMPUTED_VALUE"""),"PR OFFICE AND PRESIDENT'S OFFICE PLANTS ")</f>
        <v>PR OFFICE AND PRESIDENT'S OFFICE PLANTS </v>
      </c>
    </row>
    <row r="51">
      <c r="A51" s="234">
        <f>IFERROR(__xludf.DUMMYFUNCTION("""COMPUTED_VALUE"""),104884.0)</f>
        <v>104884</v>
      </c>
      <c r="B51" s="235" t="str">
        <f>IFERROR(__xludf.DUMMYFUNCTION("""COMPUTED_VALUE"""),"Alfa De Leon")</f>
        <v>Alfa De Leon</v>
      </c>
      <c r="C51" s="235" t="str">
        <f>IFERROR(__xludf.DUMMYFUNCTION("""COMPUTED_VALUE"""),"ADMIN - MUNICH")</f>
        <v>ADMIN - MUNICH</v>
      </c>
      <c r="D51" s="196" t="str">
        <f>IFERROR(__xludf.DUMMYFUNCTION("""COMPUTED_VALUE"""),"1 EACH 
STAIR NOSSING BRONZE
STAIR NOSING GOLD
TILE TRIM
SA 10 BRUSHED RED CARPET")</f>
        <v>1 EACH 
STAIR NOSSING BRONZE
STAIR NOSING GOLD
TILE TRIM
SA 10 BRUSHED RED CARPET</v>
      </c>
      <c r="E51" s="196" t="str">
        <f>IFERROR(__xludf.DUMMYFUNCTION("""COMPUTED_VALUE"""),"NOSING FOR THE GRASS TURF IMPROVEMENT ")</f>
        <v>NOSING FOR THE GRASS TURF IMPROVEMENT </v>
      </c>
    </row>
    <row r="52">
      <c r="A52" s="234">
        <f>IFERROR(__xludf.DUMMYFUNCTION("""COMPUTED_VALUE"""),104885.0)</f>
        <v>104885</v>
      </c>
      <c r="B52" s="235" t="str">
        <f>IFERROR(__xludf.DUMMYFUNCTION("""COMPUTED_VALUE"""),"Alfa De Leon")</f>
        <v>Alfa De Leon</v>
      </c>
      <c r="C52" s="235" t="str">
        <f>IFERROR(__xludf.DUMMYFUNCTION("""COMPUTED_VALUE"""),"ADMIN - MUNICH")</f>
        <v>ADMIN - MUNICH</v>
      </c>
      <c r="D52" s="196" t="str">
        <f>IFERROR(__xludf.DUMMYFUNCTION("""COMPUTED_VALUE"""),"10 MELALONI, 12 EYELET, 3 RUBBER TREE")</f>
        <v>10 MELALONI, 12 EYELET, 3 RUBBER TREE</v>
      </c>
      <c r="E52" s="196" t="str">
        <f>IFERROR(__xludf.DUMMYFUNCTION("""COMPUTED_VALUE"""),"PR OFFICE PLANTS AND PRESIDENTS OFFICE PLANTS ")</f>
        <v>PR OFFICE PLANTS AND PRESIDENTS OFFICE PLANTS </v>
      </c>
    </row>
    <row r="53">
      <c r="A53" s="234">
        <f>IFERROR(__xludf.DUMMYFUNCTION("""COMPUTED_VALUE"""),104886.0)</f>
        <v>104886</v>
      </c>
      <c r="B53" s="235" t="str">
        <f>IFERROR(__xludf.DUMMYFUNCTION("""COMPUTED_VALUE"""),"Alfa De Leon")</f>
        <v>Alfa De Leon</v>
      </c>
      <c r="C53" s="235" t="str">
        <f>IFERROR(__xludf.DUMMYFUNCTION("""COMPUTED_VALUE"""),"ADMIN - MUNICH")</f>
        <v>ADMIN - MUNICH</v>
      </c>
      <c r="D53" s="196" t="str">
        <f>IFERROR(__xludf.DUMMYFUNCTION("""COMPUTED_VALUE"""),"2 PCS RADIO HANDHELD CIGNUS V85 PRO (REORDER)")</f>
        <v>2 PCS RADIO HANDHELD CIGNUS V85 PRO (REORDER)</v>
      </c>
      <c r="E53" s="196" t="str">
        <f>IFERROR(__xludf.DUMMYFUNCTION("""COMPUTED_VALUE"""),"ADDITIONAL RADIO")</f>
        <v>ADDITIONAL RADIO</v>
      </c>
    </row>
    <row r="54">
      <c r="A54" s="234">
        <f>IFERROR(__xludf.DUMMYFUNCTION("""COMPUTED_VALUE"""),104887.0)</f>
        <v>104887</v>
      </c>
      <c r="B54" s="235" t="str">
        <f>IFERROR(__xludf.DUMMYFUNCTION("""COMPUTED_VALUE"""),"Jesuit Christian Galicia")</f>
        <v>Jesuit Christian Galicia</v>
      </c>
      <c r="C54" s="235" t="str">
        <f>IFERROR(__xludf.DUMMYFUNCTION("""COMPUTED_VALUE"""),"AMD")</f>
        <v>AMD</v>
      </c>
      <c r="D54" s="196" t="str">
        <f>IFERROR(__xludf.DUMMYFUNCTION("""COMPUTED_VALUE"""),"35 PCS LAVATORY FAUCET (CRESTON LONG)
5 PCS PADLOCK (YALE)")</f>
        <v>35 PCS LAVATORY FAUCET (CRESTON LONG)
5 PCS PADLOCK (YALE)</v>
      </c>
      <c r="E54" s="196" t="str">
        <f>IFERROR(__xludf.DUMMYFUNCTION("""COMPUTED_VALUE"""),"ENGR WAREHOUSE STOCK REPLENISHMENT ")</f>
        <v>ENGR WAREHOUSE STOCK REPLENISHMENT </v>
      </c>
    </row>
    <row r="55">
      <c r="A55" s="234">
        <f>IFERROR(__xludf.DUMMYFUNCTION("""COMPUTED_VALUE"""),104888.0)</f>
        <v>104888</v>
      </c>
      <c r="B55" s="235" t="str">
        <f>IFERROR(__xludf.DUMMYFUNCTION("""COMPUTED_VALUE"""),"Jessa S. Pacuri")</f>
        <v>Jessa S. Pacuri</v>
      </c>
      <c r="C55" s="235" t="str">
        <f>IFERROR(__xludf.DUMMYFUNCTION("""COMPUTED_VALUE"""),"REGISTRATION")</f>
        <v>REGISTRATION</v>
      </c>
      <c r="D55" s="196" t="str">
        <f>IFERROR(__xludf.DUMMYFUNCTION("""COMPUTED_VALUE"""),"500 pcs BROWN ENVELOPE LONG COLLEGE ")</f>
        <v>500 pcs BROWN ENVELOPE LONG COLLEGE </v>
      </c>
      <c r="E55" s="196" t="str">
        <f>IFERROR(__xludf.DUMMYFUNCTION("""COMPUTED_VALUE"""),"FOR FILING OF 201 OF STUDENTS ")</f>
        <v>FOR FILING OF 201 OF STUDENTS </v>
      </c>
    </row>
    <row r="56">
      <c r="A56" s="234">
        <f>IFERROR(__xludf.DUMMYFUNCTION("""COMPUTED_VALUE"""),104889.0)</f>
        <v>104889</v>
      </c>
      <c r="B56" s="235" t="str">
        <f>IFERROR(__xludf.DUMMYFUNCTION("""COMPUTED_VALUE"""),"Dominador Jimbo D. Caraan IV")</f>
        <v>Dominador Jimbo D. Caraan IV</v>
      </c>
      <c r="C56" s="235" t="str">
        <f>IFERROR(__xludf.DUMMYFUNCTION("""COMPUTED_VALUE"""),"SPECIAL SUBJECTS")</f>
        <v>SPECIAL SUBJECTS</v>
      </c>
      <c r="D56" s="196" t="str">
        <f>IFERROR(__xludf.DUMMYFUNCTION("""COMPUTED_VALUE"""),"GUITAR HOLDER WALL MOUNT 25")</f>
        <v>GUITAR HOLDER WALL MOUNT 25</v>
      </c>
      <c r="E56" s="196" t="str">
        <f>IFERROR(__xludf.DUMMYFUNCTION("""COMPUTED_VALUE"""),"FOR GUITAR STORAGE")</f>
        <v>FOR GUITAR STORAGE</v>
      </c>
    </row>
    <row r="57">
      <c r="A57" s="234">
        <f>IFERROR(__xludf.DUMMYFUNCTION("""COMPUTED_VALUE"""),104890.0)</f>
        <v>104890</v>
      </c>
      <c r="B57" s="235" t="str">
        <f>IFERROR(__xludf.DUMMYFUNCTION("""COMPUTED_VALUE"""),"Anna Maria Villarruz")</f>
        <v>Anna Maria Villarruz</v>
      </c>
      <c r="C57" s="235" t="str">
        <f>IFERROR(__xludf.DUMMYFUNCTION("""COMPUTED_VALUE"""),"STUDENT AFFAIRS COLLEGE")</f>
        <v>STUDENT AFFAIRS COLLEGE</v>
      </c>
      <c r="D57" s="196" t="str">
        <f>IFERROR(__xludf.DUMMYFUNCTION("""COMPUTED_VALUE"""),"1 PC. PQA BACKDROP 5.5M X 2.5 M")</f>
        <v>1 PC. PQA BACKDROP 5.5M X 2.5 M</v>
      </c>
      <c r="E57" s="196" t="str">
        <f>IFERROR(__xludf.DUMMYFUNCTION("""COMPUTED_VALUE"""),"FOR PQA RECONFERNMENT ")</f>
        <v>FOR PQA RECONFERNMENT </v>
      </c>
    </row>
    <row r="58">
      <c r="A58" s="234">
        <f>IFERROR(__xludf.DUMMYFUNCTION("""COMPUTED_VALUE"""),104891.0)</f>
        <v>104891</v>
      </c>
      <c r="B58" s="235" t="str">
        <f>IFERROR(__xludf.DUMMYFUNCTION("""COMPUTED_VALUE"""),"Jesuit Christian Galicia")</f>
        <v>Jesuit Christian Galicia</v>
      </c>
      <c r="C58" s="235" t="str">
        <f>IFERROR(__xludf.DUMMYFUNCTION("""COMPUTED_VALUE"""),"AMD")</f>
        <v>AMD</v>
      </c>
      <c r="D58" s="196" t="str">
        <f>IFERROR(__xludf.DUMMYFUNCTION("""COMPUTED_VALUE"""),"BELDEN CAT6 LAN CABLE BLUE 3")</f>
        <v>BELDEN CAT6 LAN CABLE BLUE 3</v>
      </c>
      <c r="E58" s="196" t="str">
        <f>IFERROR(__xludf.DUMMYFUNCTION("""COMPUTED_VALUE"""),"MIS WAREHOUSE STOCK REPLENISHMENT")</f>
        <v>MIS WAREHOUSE STOCK REPLENISHMENT</v>
      </c>
    </row>
    <row r="59">
      <c r="A59" s="234">
        <f>IFERROR(__xludf.DUMMYFUNCTION("""COMPUTED_VALUE"""),104892.0)</f>
        <v>104892</v>
      </c>
      <c r="B59" s="235" t="str">
        <f>IFERROR(__xludf.DUMMYFUNCTION("""COMPUTED_VALUE"""),"Rod Custodio")</f>
        <v>Rod Custodio</v>
      </c>
      <c r="C59" s="235" t="str">
        <f>IFERROR(__xludf.DUMMYFUNCTION("""COMPUTED_VALUE"""),"AMD")</f>
        <v>AMD</v>
      </c>
      <c r="D59" s="196" t="str">
        <f>IFERROR(__xludf.DUMMYFUNCTION("""COMPUTED_VALUE"""),"MOP HANDLE, 4FT, YELLOY 15PCS
MOP HANDLE, 4FT, RED 15PCS
MOP HANDLE, 4FT, GREEN 20PCS
MOP HANDLE, 4FT,  BLUE 15PCS")</f>
        <v>MOP HANDLE, 4FT, YELLOY 15PCS
MOP HANDLE, 4FT, RED 15PCS
MOP HANDLE, 4FT, GREEN 20PCS
MOP HANDLE, 4FT,  BLUE 15PCS</v>
      </c>
      <c r="E59" s="196" t="str">
        <f>IFERROR(__xludf.DUMMYFUNCTION("""COMPUTED_VALUE"""),"HOUSE KEEPING MATERIALS STOCK REPLENISHMENT")</f>
        <v>HOUSE KEEPING MATERIALS STOCK REPLENISHMENT</v>
      </c>
    </row>
    <row r="60">
      <c r="A60" s="234">
        <f>IFERROR(__xludf.DUMMYFUNCTION("""COMPUTED_VALUE"""),104893.0)</f>
        <v>104893</v>
      </c>
      <c r="B60" s="235" t="str">
        <f>IFERROR(__xludf.DUMMYFUNCTION("""COMPUTED_VALUE"""),"Camille B. Gabriel")</f>
        <v>Camille B. Gabriel</v>
      </c>
      <c r="C60" s="235" t="str">
        <f>IFERROR(__xludf.DUMMYFUNCTION("""COMPUTED_VALUE"""),"HRMD")</f>
        <v>HRMD</v>
      </c>
      <c r="D60" s="196" t="str">
        <f>IFERROR(__xludf.DUMMYFUNCTION("""COMPUTED_VALUE"""),"FLOWER WREATH 1")</f>
        <v>FLOWER WREATH 1</v>
      </c>
      <c r="E60" s="196" t="str">
        <f>IFERROR(__xludf.DUMMYFUNCTION("""COMPUTED_VALUE"""),"FLOWER WREATH FOR THE DEMISE MOTHER OF KLEVEN PARPAN")</f>
        <v>FLOWER WREATH FOR THE DEMISE MOTHER OF KLEVEN PARPAN</v>
      </c>
    </row>
    <row r="61">
      <c r="A61" s="234">
        <f>IFERROR(__xludf.DUMMYFUNCTION("""COMPUTED_VALUE"""),104894.0)</f>
        <v>104894</v>
      </c>
      <c r="B61" s="235" t="str">
        <f>IFERROR(__xludf.DUMMYFUNCTION("""COMPUTED_VALUE"""),"Rod Custodio")</f>
        <v>Rod Custodio</v>
      </c>
      <c r="C61" s="235" t="str">
        <f>IFERROR(__xludf.DUMMYFUNCTION("""COMPUTED_VALUE"""),"AMD")</f>
        <v>AMD</v>
      </c>
      <c r="D61" s="196" t="str">
        <f>IFERROR(__xludf.DUMMYFUNCTION("""COMPUTED_VALUE"""),"20 PCS. RAIN BOOTS, 25 PCS RAIN COAT 1 -PC")</f>
        <v>20 PCS. RAIN BOOTS, 25 PCS RAIN COAT 1 -PC</v>
      </c>
      <c r="E61" s="196" t="str">
        <f>IFERROR(__xludf.DUMMYFUNCTION("""COMPUTED_VALUE"""),"HOUSEKEEPING MATERIALS STOCK REPLENISHMENT ")</f>
        <v>HOUSEKEEPING MATERIALS STOCK REPLENISHMENT </v>
      </c>
    </row>
    <row r="62">
      <c r="A62" s="234">
        <f>IFERROR(__xludf.DUMMYFUNCTION("""COMPUTED_VALUE"""),104895.0)</f>
        <v>104895</v>
      </c>
      <c r="B62" s="235" t="str">
        <f>IFERROR(__xludf.DUMMYFUNCTION("""COMPUTED_VALUE"""),"Southville - Marvin Marasigan")</f>
        <v>Southville - Marvin Marasigan</v>
      </c>
      <c r="C62" s="235" t="str">
        <f>IFERROR(__xludf.DUMMYFUNCTION("""COMPUTED_VALUE"""),"PR &amp; MARKETING")</f>
        <v>PR &amp; MARKETING</v>
      </c>
      <c r="D62" s="196" t="str">
        <f>IFERROR(__xludf.DUMMYFUNCTION("""COMPUTED_VALUE"""),"PQA BACKDROP W/ SEAMING AND EYELET ALL OVER (PER 1 FOOT) 7FT X 7 FT W/ 1.5 FT ALLOWANCE THICKNESS: 13")</f>
        <v>PQA BACKDROP W/ SEAMING AND EYELET ALL OVER (PER 1 FOOT) 7FT X 7 FT W/ 1.5 FT ALLOWANCE THICKNESS: 13</v>
      </c>
      <c r="E62" s="196" t="str">
        <f>IFERROR(__xludf.DUMMYFUNCTION("""COMPUTED_VALUE"""),"PQA PHOTOBOOTH")</f>
        <v>PQA PHOTOBOOTH</v>
      </c>
    </row>
    <row r="63">
      <c r="A63" s="234">
        <f>IFERROR(__xludf.DUMMYFUNCTION("""COMPUTED_VALUE"""),104896.0)</f>
        <v>104896</v>
      </c>
      <c r="B63" s="235" t="str">
        <f>IFERROR(__xludf.DUMMYFUNCTION("""COMPUTED_VALUE"""),"Lyka J. Peralta")</f>
        <v>Lyka J. Peralta</v>
      </c>
      <c r="C63" s="235" t="str">
        <f>IFERROR(__xludf.DUMMYFUNCTION("""COMPUTED_VALUE"""),"AMD")</f>
        <v>AMD</v>
      </c>
      <c r="D63" s="196" t="str">
        <f>IFERROR(__xludf.DUMMYFUNCTION("""COMPUTED_VALUE"""),"1000 PCS ENVELOPE EXPANDING PLASTIC SHORT ")</f>
        <v>1000 PCS ENVELOPE EXPANDING PLASTIC SHORT </v>
      </c>
      <c r="E63" s="196" t="str">
        <f>IFERROR(__xludf.DUMMYFUNCTION("""COMPUTED_VALUE"""),"OSSUP STOCK REPLENISHMENT ")</f>
        <v>OSSUP STOCK REPLENISHMENT </v>
      </c>
    </row>
    <row r="64">
      <c r="A64" s="234">
        <f>IFERROR(__xludf.DUMMYFUNCTION("""COMPUTED_VALUE"""),104897.0)</f>
        <v>104897</v>
      </c>
      <c r="B64" s="235" t="str">
        <f>IFERROR(__xludf.DUMMYFUNCTION("""COMPUTED_VALUE"""),"Lyka J. Peralta")</f>
        <v>Lyka J. Peralta</v>
      </c>
      <c r="C64" s="235" t="str">
        <f>IFERROR(__xludf.DUMMYFUNCTION("""COMPUTED_VALUE"""),"AMD")</f>
        <v>AMD</v>
      </c>
      <c r="D64" s="196" t="str">
        <f>IFERROR(__xludf.DUMMYFUNCTION("""COMPUTED_VALUE"""),"RIBBON, PURPLE 1 INCH 5 ROLLS")</f>
        <v>RIBBON, PURPLE 1 INCH 5 ROLLS</v>
      </c>
      <c r="E64" s="196" t="str">
        <f>IFERROR(__xludf.DUMMYFUNCTION("""COMPUTED_VALUE"""),"TOKEN- STOCK REPLENISHMENT")</f>
        <v>TOKEN- STOCK REPLENISHMENT</v>
      </c>
    </row>
    <row r="65">
      <c r="A65" s="234">
        <f>IFERROR(__xludf.DUMMYFUNCTION("""COMPUTED_VALUE"""),104898.0)</f>
        <v>104898</v>
      </c>
      <c r="B65" s="235" t="str">
        <f>IFERROR(__xludf.DUMMYFUNCTION("""COMPUTED_VALUE"""),"OWIE PAR")</f>
        <v>OWIE PAR</v>
      </c>
      <c r="C65" s="235" t="str">
        <f>IFERROR(__xludf.DUMMYFUNCTION("""COMPUTED_VALUE"""),"AMD")</f>
        <v>AMD</v>
      </c>
      <c r="D65" s="196" t="str">
        <f>IFERROR(__xludf.DUMMYFUNCTION("""COMPUTED_VALUE"""),"2.5HP SPLIT OUTDOOR UNITS R-32 REF DAIKEN 2 UNITS.
1.0 HP WALL MOUNTED INDOOR UNIT DAIKEN  4 UNITS")</f>
        <v>2.5HP SPLIT OUTDOOR UNITS R-32 REF DAIKEN 2 UNITS.
1.0 HP WALL MOUNTED INDOOR UNIT DAIKEN  4 UNITS</v>
      </c>
      <c r="E65" s="196" t="str">
        <f>IFERROR(__xludf.DUMMYFUNCTION("""COMPUTED_VALUE"""),"ADDITIONAL ACU FOR 4 CUBICLES VOLT ROOM")</f>
        <v>ADDITIONAL ACU FOR 4 CUBICLES VOLT ROOM</v>
      </c>
    </row>
    <row r="66">
      <c r="A66" s="234">
        <f>IFERROR(__xludf.DUMMYFUNCTION("""COMPUTED_VALUE"""),104899.0)</f>
        <v>104899</v>
      </c>
      <c r="B66" s="235" t="str">
        <f>IFERROR(__xludf.DUMMYFUNCTION("""COMPUTED_VALUE"""),"Jesuit Christian Galicia")</f>
        <v>Jesuit Christian Galicia</v>
      </c>
      <c r="C66" s="235" t="str">
        <f>IFERROR(__xludf.DUMMYFUNCTION("""COMPUTED_VALUE"""),"AMD")</f>
        <v>AMD</v>
      </c>
      <c r="D66" s="196" t="str">
        <f>IFERROR(__xludf.DUMMYFUNCTION("""COMPUTED_VALUE"""),"ELECTRICAL TAPE (ARMAK) 50PCS")</f>
        <v>ELECTRICAL TAPE (ARMAK) 50PCS</v>
      </c>
      <c r="E66" s="196" t="str">
        <f>IFERROR(__xludf.DUMMYFUNCTION("""COMPUTED_VALUE"""),"ENGINEERING WAREHOUSE STOCK REPLENISHMENT")</f>
        <v>ENGINEERING WAREHOUSE STOCK REPLENISHMENT</v>
      </c>
    </row>
    <row r="67">
      <c r="A67" s="234">
        <f>IFERROR(__xludf.DUMMYFUNCTION("""COMPUTED_VALUE"""),104900.0)</f>
        <v>104900</v>
      </c>
      <c r="B67" s="235" t="str">
        <f>IFERROR(__xludf.DUMMYFUNCTION("""COMPUTED_VALUE"""),"Geraldine Medina")</f>
        <v>Geraldine Medina</v>
      </c>
      <c r="C67" s="235" t="str">
        <f>IFERROR(__xludf.DUMMYFUNCTION("""COMPUTED_VALUE"""),"LEARNING VILLAGE")</f>
        <v>LEARNING VILLAGE</v>
      </c>
      <c r="D67" s="196" t="str">
        <f>IFERROR(__xludf.DUMMYFUNCTION("""COMPUTED_VALUE"""),"BIG REVERSIBLE FOAM- FLOORING 10
TABLE IN LV 3
CHAIRS IN LV 12
SPIN MOP AND BUCKET 1
TODDLER SAFETY PLAYPEN 1
DATE STAMP AND STAMP PAD WITH INK 1")</f>
        <v>BIG REVERSIBLE FOAM- FLOORING 10
TABLE IN LV 3
CHAIRS IN LV 12
SPIN MOP AND BUCKET 1
TODDLER SAFETY PLAYPEN 1
DATE STAMP AND STAMP PAD WITH INK 1</v>
      </c>
      <c r="E67" s="196" t="str">
        <f>IFERROR(__xludf.DUMMYFUNCTION("""COMPUTED_VALUE"""),"FOR LEARNING VILLAGE CLASS")</f>
        <v>FOR LEARNING VILLAGE CLASS</v>
      </c>
    </row>
    <row r="68">
      <c r="A68" s="234">
        <f>IFERROR(__xludf.DUMMYFUNCTION("""COMPUTED_VALUE"""),104901.0)</f>
        <v>104901</v>
      </c>
      <c r="B68" s="235" t="str">
        <f>IFERROR(__xludf.DUMMYFUNCTION("""COMPUTED_VALUE"""),"NHYSSA ADAOAG ")</f>
        <v>NHYSSA ADAOAG </v>
      </c>
      <c r="C68" s="235" t="str">
        <f>IFERROR(__xludf.DUMMYFUNCTION("""COMPUTED_VALUE"""),"AUDIT")</f>
        <v>AUDIT</v>
      </c>
      <c r="D68" s="196" t="str">
        <f>IFERROR(__xludf.DUMMYFUNCTION("""COMPUTED_VALUE"""),"CCTV CAMERA C200 1080P RESOLUTION 1080P HIGH RESOLUTION SD CARD 64GB/128GB 21PCS")</f>
        <v>CCTV CAMERA C200 1080P RESOLUTION 1080P HIGH RESOLUTION SD CARD 64GB/128GB 21PCS</v>
      </c>
      <c r="E68" s="196" t="str">
        <f>IFERROR(__xludf.DUMMYFUNCTION("""COMPUTED_VALUE"""),"CCTV MONITORING OF AUDIT ACROSS SGEN FOR ACCOUNTING AND MATERIALS")</f>
        <v>CCTV MONITORING OF AUDIT ACROSS SGEN FOR ACCOUNTING AND MATERIALS</v>
      </c>
    </row>
    <row r="69">
      <c r="A69" s="234">
        <f>IFERROR(__xludf.DUMMYFUNCTION("""COMPUTED_VALUE"""),104902.0)</f>
        <v>104902</v>
      </c>
      <c r="B69" s="235" t="str">
        <f>IFERROR(__xludf.DUMMYFUNCTION("""COMPUTED_VALUE"""),"Paul Araña")</f>
        <v>Paul Araña</v>
      </c>
      <c r="C69" s="235" t="str">
        <f>IFERROR(__xludf.DUMMYFUNCTION("""COMPUTED_VALUE"""),"AV/MIS")</f>
        <v>AV/MIS</v>
      </c>
      <c r="D69" s="196" t="str">
        <f>IFERROR(__xludf.DUMMYFUNCTION("""COMPUTED_VALUE"""),"UTILITY BOX 5
LIIGHT SWITCH 5
VGA CABLE 10 METERS 10
BOATON THHN / THWN WIRES (#12) 1 BOX")</f>
        <v>UTILITY BOX 5
LIIGHT SWITCH 5
VGA CABLE 10 METERS 10
BOATON THHN / THWN WIRES (#12) 1 BOX</v>
      </c>
      <c r="E69" s="196" t="str">
        <f>IFERROR(__xludf.DUMMYFUNCTION("""COMPUTED_VALUE"""),"FOR E CLASSROOM PROJECTOR SET UP")</f>
        <v>FOR E CLASSROOM PROJECTOR SET UP</v>
      </c>
    </row>
    <row r="70">
      <c r="A70" s="234">
        <f>IFERROR(__xludf.DUMMYFUNCTION("""COMPUTED_VALUE"""),104903.0)</f>
        <v>104903</v>
      </c>
      <c r="B70" s="235" t="str">
        <f>IFERROR(__xludf.DUMMYFUNCTION("""COMPUTED_VALUE"""),"Jora G. Casis")</f>
        <v>Jora G. Casis</v>
      </c>
      <c r="C70" s="235" t="str">
        <f>IFERROR(__xludf.DUMMYFUNCTION("""COMPUTED_VALUE"""),"COLLEGE BUSINESS")</f>
        <v>COLLEGE BUSINESS</v>
      </c>
      <c r="D70" s="196" t="str">
        <f>IFERROR(__xludf.DUMMYFUNCTION("""COMPUTED_VALUE"""),"BUSINESS CARD
-DR. MANABAT 500
-MS. BACULAO
-MS. CASIS
-MR. BUGATAN")</f>
        <v>BUSINESS CARD
-DR. MANABAT 500
-MS. BACULAO
-MS. CASIS
-MR. BUGATAN</v>
      </c>
      <c r="E70" s="196" t="str">
        <f>IFERROR(__xludf.DUMMYFUNCTION("""COMPUTED_VALUE"""),"FOR BUSINESS/ CALLING CARD")</f>
        <v>FOR BUSINESS/ CALLING CARD</v>
      </c>
    </row>
    <row r="71">
      <c r="A71" s="234">
        <f>IFERROR(__xludf.DUMMYFUNCTION("""COMPUTED_VALUE"""),104904.0)</f>
        <v>104904</v>
      </c>
      <c r="B71" s="235" t="str">
        <f>IFERROR(__xludf.DUMMYFUNCTION("""COMPUTED_VALUE"""),"Anna Maria Villarruz")</f>
        <v>Anna Maria Villarruz</v>
      </c>
      <c r="C71" s="235" t="str">
        <f>IFERROR(__xludf.DUMMYFUNCTION("""COMPUTED_VALUE"""),"STUDENT AFFAIRS COLLEGE")</f>
        <v>STUDENT AFFAIRS COLLEGE</v>
      </c>
      <c r="D71" s="196" t="str">
        <f>IFERROR(__xludf.DUMMYFUNCTION("""COMPUTED_VALUE"""),"FLOWER STANDEES 2
BOUQUETS 4")</f>
        <v>FLOWER STANDEES 2
BOUQUETS 4</v>
      </c>
      <c r="E71" s="196" t="str">
        <f>IFERROR(__xludf.DUMMYFUNCTION("""COMPUTED_VALUE"""),"PQA RENACTMENT")</f>
        <v>PQA RENACTMENT</v>
      </c>
    </row>
    <row r="72">
      <c r="A72" s="234">
        <f>IFERROR(__xludf.DUMMYFUNCTION("""COMPUTED_VALUE"""),104905.0)</f>
        <v>104905</v>
      </c>
      <c r="B72" s="235" t="str">
        <f>IFERROR(__xludf.DUMMYFUNCTION("""COMPUTED_VALUE"""),"Marc Vincent S. Vitto")</f>
        <v>Marc Vincent S. Vitto</v>
      </c>
      <c r="C72" s="235" t="str">
        <f>IFERROR(__xludf.DUMMYFUNCTION("""COMPUTED_VALUE"""),"PR &amp; MARKETING")</f>
        <v>PR &amp; MARKETING</v>
      </c>
      <c r="D72" s="196" t="str">
        <f>IFERROR(__xludf.DUMMYFUNCTION("""COMPUTED_VALUE"""),"SISC PULL UP BANNER
1. SISC CONTACT BANNER 3
2. FLEX PROGRAMS 3
3. COLLEGE PROGRAMS 3
SIZE: ALL
3FT x 6.5FT")</f>
        <v>SISC PULL UP BANNER
1. SISC CONTACT BANNER 3
2. FLEX PROGRAMS 3
3. COLLEGE PROGRAMS 3
SIZE: ALL
3FT x 6.5FT</v>
      </c>
      <c r="E72" s="196" t="str">
        <f>IFERROR(__xludf.DUMMYFUNCTION("""COMPUTED_VALUE"""),"MARKETING")</f>
        <v>MARKETING</v>
      </c>
    </row>
    <row r="73">
      <c r="A73" s="234">
        <f>IFERROR(__xludf.DUMMYFUNCTION("""COMPUTED_VALUE"""),104906.0)</f>
        <v>104906</v>
      </c>
      <c r="B73" s="235" t="str">
        <f>IFERROR(__xludf.DUMMYFUNCTION("""COMPUTED_VALUE"""),"Lyka J. Peralta")</f>
        <v>Lyka J. Peralta</v>
      </c>
      <c r="C73" s="235" t="str">
        <f>IFERROR(__xludf.DUMMYFUNCTION("""COMPUTED_VALUE"""),"AMD")</f>
        <v>AMD</v>
      </c>
      <c r="D73" s="196" t="str">
        <f>IFERROR(__xludf.DUMMYFUNCTION("""COMPUTED_VALUE"""),"PAPER, SISC LETTER HEAD COLORED A4 8.27x11.69in 2500 PCS")</f>
        <v>PAPER, SISC LETTER HEAD COLORED A4 8.27x11.69in 2500 PCS</v>
      </c>
      <c r="E73" s="196" t="str">
        <f>IFERROR(__xludf.DUMMYFUNCTION("""COMPUTED_VALUE"""),"OSSUP- STOCK REPLENISHMENT")</f>
        <v>OSSUP- STOCK REPLENISHMENT</v>
      </c>
    </row>
    <row r="74">
      <c r="A74" s="234">
        <f>IFERROR(__xludf.DUMMYFUNCTION("""COMPUTED_VALUE"""),104907.0)</f>
        <v>104907</v>
      </c>
      <c r="B74" s="235" t="str">
        <f>IFERROR(__xludf.DUMMYFUNCTION("""COMPUTED_VALUE"""),"Rod Custodio")</f>
        <v>Rod Custodio</v>
      </c>
      <c r="C74" s="235" t="str">
        <f>IFERROR(__xludf.DUMMYFUNCTION("""COMPUTED_VALUE"""),"AMD")</f>
        <v>AMD</v>
      </c>
      <c r="D74" s="196" t="str">
        <f>IFERROR(__xludf.DUMMYFUNCTION("""COMPUTED_VALUE"""),"MICROFIBER TOWEL, YELLOW,  400")</f>
        <v>MICROFIBER TOWEL, YELLOW,  400</v>
      </c>
      <c r="E74" s="196" t="str">
        <f>IFERROR(__xludf.DUMMYFUNCTION("""COMPUTED_VALUE"""),"HOUSEKEEPING MATERIALS STOCK REPLENISHMENT ")</f>
        <v>HOUSEKEEPING MATERIALS STOCK REPLENISHMENT </v>
      </c>
    </row>
    <row r="75">
      <c r="A75" s="234">
        <f>IFERROR(__xludf.DUMMYFUNCTION("""COMPUTED_VALUE"""),104908.0)</f>
        <v>104908</v>
      </c>
      <c r="B75" s="235" t="str">
        <f>IFERROR(__xludf.DUMMYFUNCTION("""COMPUTED_VALUE"""),"Rod Custodio")</f>
        <v>Rod Custodio</v>
      </c>
      <c r="C75" s="235" t="str">
        <f>IFERROR(__xludf.DUMMYFUNCTION("""COMPUTED_VALUE"""),"AMD")</f>
        <v>AMD</v>
      </c>
      <c r="D75" s="196" t="str">
        <f>IFERROR(__xludf.DUMMYFUNCTION("""COMPUTED_VALUE"""),"STRIPPER PAD, RED (3M) 10PCS
STRIPPER PAD, BLACK (3M) 20PCS")</f>
        <v>STRIPPER PAD, RED (3M) 10PCS
STRIPPER PAD, BLACK (3M) 20PCS</v>
      </c>
      <c r="E75" s="196" t="str">
        <f>IFERROR(__xludf.DUMMYFUNCTION("""COMPUTED_VALUE"""),"HOUSEKEEPING MATERIALS STOCK REPLENISHMENT ")</f>
        <v>HOUSEKEEPING MATERIALS STOCK REPLENISHMENT </v>
      </c>
    </row>
    <row r="76">
      <c r="A76" s="234">
        <f>IFERROR(__xludf.DUMMYFUNCTION("""COMPUTED_VALUE"""),104909.0)</f>
        <v>104909</v>
      </c>
      <c r="B76" s="235" t="str">
        <f>IFERROR(__xludf.DUMMYFUNCTION("""COMPUTED_VALUE"""),"Ronald Verde")</f>
        <v>Ronald Verde</v>
      </c>
      <c r="C76" s="235" t="str">
        <f>IFERROR(__xludf.DUMMYFUNCTION("""COMPUTED_VALUE"""),"ADMIN - LUX")</f>
        <v>ADMIN - LUX</v>
      </c>
      <c r="D76" s="196" t="str">
        <f>IFERROR(__xludf.DUMMYFUNCTION("""COMPUTED_VALUE"""),"20 PCS TUBULAR 1X1, 2 KGS TIE WIRE #16")</f>
        <v>20 PCS TUBULAR 1X1, 2 KGS TIE WIRE #16</v>
      </c>
      <c r="E76" s="196" t="str">
        <f>IFERROR(__xludf.DUMMYFUNCTION("""COMPUTED_VALUE"""),"SUPPORT FOR TARPS CAME FROM SPLASH ISLAND")</f>
        <v>SUPPORT FOR TARPS CAME FROM SPLASH ISLAND</v>
      </c>
    </row>
    <row r="77">
      <c r="A77" s="234">
        <f>IFERROR(__xludf.DUMMYFUNCTION("""COMPUTED_VALUE"""),104910.0)</f>
        <v>104910</v>
      </c>
      <c r="B77" s="235" t="str">
        <f>IFERROR(__xludf.DUMMYFUNCTION("""COMPUTED_VALUE"""),"Sheree Espinosa")</f>
        <v>Sheree Espinosa</v>
      </c>
      <c r="C77" s="235" t="str">
        <f>IFERROR(__xludf.DUMMYFUNCTION("""COMPUTED_VALUE"""),"ADMIN - LUX")</f>
        <v>ADMIN - LUX</v>
      </c>
      <c r="D77" s="196" t="str">
        <f>IFERROR(__xludf.DUMMYFUNCTION("""COMPUTED_VALUE"""),"5 PCS. HANDHELD RADIO (RE-ORDER)")</f>
        <v>5 PCS. HANDHELD RADIO (RE-ORDER)</v>
      </c>
      <c r="E77" s="196" t="str">
        <f>IFERROR(__xludf.DUMMYFUNCTION("""COMPUTED_VALUE"""),"FOR LUX, TROPICAL AND COLLEGE CAMPUSES- HOUSEKEEPING AND GUARD")</f>
        <v>FOR LUX, TROPICAL AND COLLEGE CAMPUSES- HOUSEKEEPING AND GUARD</v>
      </c>
    </row>
    <row r="78">
      <c r="A78" s="234">
        <f>IFERROR(__xludf.DUMMYFUNCTION("""COMPUTED_VALUE"""),104911.0)</f>
        <v>104911</v>
      </c>
      <c r="B78" s="235" t="str">
        <f>IFERROR(__xludf.DUMMYFUNCTION("""COMPUTED_VALUE"""),"Sheree Espinosa")</f>
        <v>Sheree Espinosa</v>
      </c>
      <c r="C78" s="235" t="str">
        <f>IFERROR(__xludf.DUMMYFUNCTION("""COMPUTED_VALUE"""),"ADMIN - LUX")</f>
        <v>ADMIN - LUX</v>
      </c>
      <c r="D78" s="196" t="str">
        <f>IFERROR(__xludf.DUMMYFUNCTION("""COMPUTED_VALUE"""),"15 PCS SWIVEL CHAIRS ")</f>
        <v>15 PCS SWIVEL CHAIRS </v>
      </c>
      <c r="E78" s="196" t="str">
        <f>IFERROR(__xludf.DUMMYFUNCTION("""COMPUTED_VALUE"""),"FOR K12 NEW FACULTY MEMBERS ")</f>
        <v>FOR K12 NEW FACULTY MEMBERS </v>
      </c>
    </row>
    <row r="79">
      <c r="A79" s="234">
        <f>IFERROR(__xludf.DUMMYFUNCTION("""COMPUTED_VALUE"""),104912.0)</f>
        <v>104912</v>
      </c>
      <c r="B79" s="235" t="str">
        <f>IFERROR(__xludf.DUMMYFUNCTION("""COMPUTED_VALUE"""),"Camille B. Gabriel")</f>
        <v>Camille B. Gabriel</v>
      </c>
      <c r="C79" s="235" t="str">
        <f>IFERROR(__xludf.DUMMYFUNCTION("""COMPUTED_VALUE"""),"HRMD")</f>
        <v>HRMD</v>
      </c>
      <c r="D79" s="196" t="str">
        <f>IFERROR(__xludf.DUMMYFUNCTION("""COMPUTED_VALUE"""),"FLOWER WREATH ")</f>
        <v>FLOWER WREATH </v>
      </c>
      <c r="E79" s="196" t="str">
        <f>IFERROR(__xludf.DUMMYFUNCTION("""COMPUTED_VALUE"""),"FLOWER WREATH FOR THE DEMISED FATHER OF MS. MELANIE MENDOZA")</f>
        <v>FLOWER WREATH FOR THE DEMISED FATHER OF MS. MELANIE MENDOZA</v>
      </c>
    </row>
    <row r="80">
      <c r="A80" s="234">
        <f>IFERROR(__xludf.DUMMYFUNCTION("""COMPUTED_VALUE"""),104913.0)</f>
        <v>104913</v>
      </c>
      <c r="B80" s="235" t="str">
        <f>IFERROR(__xludf.DUMMYFUNCTION("""COMPUTED_VALUE"""),"Renz Blanca")</f>
        <v>Renz Blanca</v>
      </c>
      <c r="C80" s="235" t="str">
        <f>IFERROR(__xludf.DUMMYFUNCTION("""COMPUTED_VALUE"""),"MEDICAL")</f>
        <v>MEDICAL</v>
      </c>
      <c r="D80" s="196" t="str">
        <f>IFERROR(__xludf.DUMMYFUNCTION("""COMPUTED_VALUE"""),"1 SCOREBOARD 96.10 X 183 CM ")</f>
        <v>1 SCOREBOARD 96.10 X 183 CM </v>
      </c>
      <c r="E80" s="196" t="str">
        <f>IFERROR(__xludf.DUMMYFUNCTION("""COMPUTED_VALUE"""),"SCOREBOARD UPDATE AND REPLACEMENT ")</f>
        <v>SCOREBOARD UPDATE AND REPLACEMENT </v>
      </c>
    </row>
    <row r="81">
      <c r="A81" s="234">
        <f>IFERROR(__xludf.DUMMYFUNCTION("""COMPUTED_VALUE"""),104914.0)</f>
        <v>104914</v>
      </c>
      <c r="B81" s="235" t="str">
        <f>IFERROR(__xludf.DUMMYFUNCTION("""COMPUTED_VALUE"""),"Sary Escurel")</f>
        <v>Sary Escurel</v>
      </c>
      <c r="C81" s="235" t="str">
        <f>IFERROR(__xludf.DUMMYFUNCTION("""COMPUTED_VALUE"""),"K12")</f>
        <v>K12</v>
      </c>
      <c r="D81" s="196" t="str">
        <f>IFERROR(__xludf.DUMMYFUNCTION("""COMPUTED_VALUE"""),"100 PCS. (OR 1 BOX) CALLING CARD FOR MENELEO DE MESA")</f>
        <v>100 PCS. (OR 1 BOX) CALLING CARD FOR MENELEO DE MESA</v>
      </c>
      <c r="E81" s="196" t="str">
        <f>IFERROR(__xludf.DUMMYFUNCTION("""COMPUTED_VALUE"""),"FOR COMMUNICATION USE/ CONNECTION")</f>
        <v>FOR COMMUNICATION USE/ CONNECTION</v>
      </c>
    </row>
    <row r="82">
      <c r="A82" s="234">
        <f>IFERROR(__xludf.DUMMYFUNCTION("""COMPUTED_VALUE"""),104915.0)</f>
        <v>104915</v>
      </c>
      <c r="B82" s="235" t="str">
        <f>IFERROR(__xludf.DUMMYFUNCTION("""COMPUTED_VALUE"""),"Alfa De Leon")</f>
        <v>Alfa De Leon</v>
      </c>
      <c r="C82" s="235" t="str">
        <f>IFERROR(__xludf.DUMMYFUNCTION("""COMPUTED_VALUE"""),"LANDSCAPING")</f>
        <v>LANDSCAPING</v>
      </c>
      <c r="D82" s="196" t="str">
        <f>IFERROR(__xludf.DUMMYFUNCTION("""COMPUTED_VALUE"""),"2 PCS SPRAYER")</f>
        <v>2 PCS SPRAYER</v>
      </c>
      <c r="E82" s="196" t="str">
        <f>IFERROR(__xludf.DUMMYFUNCTION("""COMPUTED_VALUE"""),"PLANTS MAINTENANCE (FERTILIZER) SPRAYER ")</f>
        <v>PLANTS MAINTENANCE (FERTILIZER) SPRAYER </v>
      </c>
    </row>
    <row r="83">
      <c r="A83" s="234">
        <f>IFERROR(__xludf.DUMMYFUNCTION("""COMPUTED_VALUE"""),104916.0)</f>
        <v>104916</v>
      </c>
      <c r="B83" s="235" t="str">
        <f>IFERROR(__xludf.DUMMYFUNCTION("""COMPUTED_VALUE"""),"Jocelyn Tizon")</f>
        <v>Jocelyn Tizon</v>
      </c>
      <c r="C83" s="235" t="str">
        <f>IFERROR(__xludf.DUMMYFUNCTION("""COMPUTED_VALUE"""),"PRESIDENT'S OFFICE")</f>
        <v>PRESIDENT'S OFFICE</v>
      </c>
      <c r="D83" s="196" t="str">
        <f>IFERROR(__xludf.DUMMYFUNCTION("""COMPUTED_VALUE"""),"FUNERAL HEART 1 PC")</f>
        <v>FUNERAL HEART 1 PC</v>
      </c>
      <c r="E83" s="196" t="str">
        <f>IFERROR(__xludf.DUMMYFUNCTION("""COMPUTED_VALUE"""),"FUNERAL HEART FOR DR. GERALDINE TRIA")</f>
        <v>FUNERAL HEART FOR DR. GERALDINE TRIA</v>
      </c>
    </row>
    <row r="84">
      <c r="A84" s="234">
        <f>IFERROR(__xludf.DUMMYFUNCTION("""COMPUTED_VALUE"""),104917.0)</f>
        <v>104917</v>
      </c>
      <c r="B84" s="235" t="str">
        <f>IFERROR(__xludf.DUMMYFUNCTION("""COMPUTED_VALUE"""),"Edgar Rebellon")</f>
        <v>Edgar Rebellon</v>
      </c>
      <c r="C84" s="235"/>
      <c r="D84" s="196" t="str">
        <f>IFERROR(__xludf.DUMMYFUNCTION("""COMPUTED_VALUE"""),"3 PCS TRASH BIN FOR CAFETERIA ")</f>
        <v>3 PCS TRASH BIN FOR CAFETERIA </v>
      </c>
      <c r="E84" s="196"/>
    </row>
    <row r="85">
      <c r="A85" s="234">
        <f>IFERROR(__xludf.DUMMYFUNCTION("""COMPUTED_VALUE"""),104918.0)</f>
        <v>104918</v>
      </c>
      <c r="B85" s="235" t="str">
        <f>IFERROR(__xludf.DUMMYFUNCTION("""COMPUTED_VALUE"""),"Jesuit Christian Galicia")</f>
        <v>Jesuit Christian Galicia</v>
      </c>
      <c r="C85" s="235" t="str">
        <f>IFERROR(__xludf.DUMMYFUNCTION("""COMPUTED_VALUE"""),"AMD")</f>
        <v>AMD</v>
      </c>
      <c r="D85" s="196" t="str">
        <f>IFERROR(__xludf.DUMMYFUNCTION("""COMPUTED_VALUE"""),"EAGLE HEAVY DUTY IRON PUNCHER 9618N 1PC
EAGLE HEAVY DUTY THREE HOLE PUNCHER 997 1PC
EAGLE PUNCHER 1 HOLE 9201P")</f>
        <v>EAGLE HEAVY DUTY IRON PUNCHER 9618N 1PC
EAGLE HEAVY DUTY THREE HOLE PUNCHER 997 1PC
EAGLE PUNCHER 1 HOLE 9201P</v>
      </c>
      <c r="E85" s="196" t="str">
        <f>IFERROR(__xludf.DUMMYFUNCTION("""COMPUTED_VALUE"""),"ASSET  MANAGEMENT ADDITIONAL OFFICE EQUIPMENT")</f>
        <v>ASSET  MANAGEMENT ADDITIONAL OFFICE EQUIPMENT</v>
      </c>
    </row>
    <row r="86">
      <c r="A86" s="234">
        <f>IFERROR(__xludf.DUMMYFUNCTION("""COMPUTED_VALUE"""),104919.0)</f>
        <v>104919</v>
      </c>
      <c r="B86" s="235" t="str">
        <f>IFERROR(__xludf.DUMMYFUNCTION("""COMPUTED_VALUE"""),"Alfa De Leon")</f>
        <v>Alfa De Leon</v>
      </c>
      <c r="C86" s="235" t="str">
        <f>IFERROR(__xludf.DUMMYFUNCTION("""COMPUTED_VALUE"""),"ADMIN - MUNICH")</f>
        <v>ADMIN - MUNICH</v>
      </c>
      <c r="D86" s="196" t="str">
        <f>IFERROR(__xludf.DUMMYFUNCTION("""COMPUTED_VALUE"""),"9 PCS. POLYBOX  DRAWER TYPE")</f>
        <v>9 PCS. POLYBOX  DRAWER TYPE</v>
      </c>
      <c r="E86" s="196" t="str">
        <f>IFERROR(__xludf.DUMMYFUNCTION("""COMPUTED_VALUE"""),"FOR NEW TEACHERS IN GRADE 3-6 FACULTY")</f>
        <v>FOR NEW TEACHERS IN GRADE 3-6 FACULTY</v>
      </c>
    </row>
    <row r="87">
      <c r="A87" s="234">
        <f>IFERROR(__xludf.DUMMYFUNCTION("""COMPUTED_VALUE"""),104920.0)</f>
        <v>104920</v>
      </c>
      <c r="B87" s="235" t="str">
        <f>IFERROR(__xludf.DUMMYFUNCTION("""COMPUTED_VALUE"""),"Alfa De Leon")</f>
        <v>Alfa De Leon</v>
      </c>
      <c r="C87" s="235" t="str">
        <f>IFERROR(__xludf.DUMMYFUNCTION("""COMPUTED_VALUE"""),"ADMIN - MUNICH")</f>
        <v>ADMIN - MUNICH</v>
      </c>
      <c r="D87" s="196" t="str">
        <f>IFERROR(__xludf.DUMMYFUNCTION("""COMPUTED_VALUE"""),"50 SACKS GARDEN SOIL ")</f>
        <v>50 SACKS GARDEN SOIL </v>
      </c>
      <c r="E87" s="196" t="str">
        <f>IFERROR(__xludf.DUMMYFUNCTION("""COMPUTED_VALUE"""),"IMPROVEMENT IN THE QUADRANGLE PROJECT")</f>
        <v>IMPROVEMENT IN THE QUADRANGLE PROJECT</v>
      </c>
    </row>
    <row r="88">
      <c r="A88" s="234">
        <f>IFERROR(__xludf.DUMMYFUNCTION("""COMPUTED_VALUE"""),104921.0)</f>
        <v>104921</v>
      </c>
      <c r="B88" s="235" t="str">
        <f>IFERROR(__xludf.DUMMYFUNCTION("""COMPUTED_VALUE"""),"Ruel Par")</f>
        <v>Ruel Par</v>
      </c>
      <c r="C88" s="235" t="str">
        <f>IFERROR(__xludf.DUMMYFUNCTION("""COMPUTED_VALUE"""),"ENGINEERING")</f>
        <v>ENGINEERING</v>
      </c>
      <c r="D88" s="196" t="str">
        <f>IFERROR(__xludf.DUMMYFUNCTION("""COMPUTED_VALUE"""),"2.0 HP WALL MOUNTED TYPE INVERTER (PANASONIC) 
NOTE: NO EXISTING UNIT INSTALLED ")</f>
        <v>2.0 HP WALL MOUNTED TYPE INVERTER (PANASONIC) 
NOTE: NO EXISTING UNIT INSTALLED </v>
      </c>
      <c r="E88" s="196" t="str">
        <f>IFERROR(__xludf.DUMMYFUNCTION("""COMPUTED_VALUE"""),"FOR STAR CA\MPUS HE ROOM ")</f>
        <v>FOR STAR CA\MPUS HE ROOM </v>
      </c>
    </row>
    <row r="89">
      <c r="A89" s="234">
        <f>IFERROR(__xludf.DUMMYFUNCTION("""COMPUTED_VALUE"""),104922.0)</f>
        <v>104922</v>
      </c>
      <c r="B89" s="235" t="str">
        <f>IFERROR(__xludf.DUMMYFUNCTION("""COMPUTED_VALUE"""),"Rachel Jane V. Pamati-an")</f>
        <v>Rachel Jane V. Pamati-an</v>
      </c>
      <c r="C89" s="235" t="str">
        <f>IFERROR(__xludf.DUMMYFUNCTION("""COMPUTED_VALUE"""),"ADMIN STAR")</f>
        <v>ADMIN STAR</v>
      </c>
      <c r="D89" s="196" t="str">
        <f>IFERROR(__xludf.DUMMYFUNCTION("""COMPUTED_VALUE"""),"FURADAN 1
UREA 1
COMPLETE 1")</f>
        <v>FURADAN 1
UREA 1
COMPLETE 1</v>
      </c>
      <c r="E89" s="196" t="str">
        <f>IFERROR(__xludf.DUMMYFUNCTION("""COMPUTED_VALUE"""),"FOR LANDSCAPE/ PLANTS MAINTENANCE")</f>
        <v>FOR LANDSCAPE/ PLANTS MAINTENANCE</v>
      </c>
    </row>
    <row r="90">
      <c r="A90" s="234">
        <f>IFERROR(__xludf.DUMMYFUNCTION("""COMPUTED_VALUE"""),104923.0)</f>
        <v>104923</v>
      </c>
      <c r="B90" s="235" t="str">
        <f>IFERROR(__xludf.DUMMYFUNCTION("""COMPUTED_VALUE"""),"Clea Z. Lomiwes")</f>
        <v>Clea Z. Lomiwes</v>
      </c>
      <c r="C90" s="235" t="str">
        <f>IFERROR(__xludf.DUMMYFUNCTION("""COMPUTED_VALUE"""),"LIBRARY BASIC ED")</f>
        <v>LIBRARY BASIC ED</v>
      </c>
      <c r="D90" s="196" t="str">
        <f>IFERROR(__xludf.DUMMYFUNCTION("""COMPUTED_VALUE"""),"TRODAT PRINTING 4924 1PC")</f>
        <v>TRODAT PRINTING 4924 1PC</v>
      </c>
      <c r="E90" s="196" t="str">
        <f>IFERROR(__xludf.DUMMYFUNCTION("""COMPUTED_VALUE"""),"LIBRARY SUPPLY")</f>
        <v>LIBRARY SUPPLY</v>
      </c>
    </row>
    <row r="91">
      <c r="A91" s="234">
        <f>IFERROR(__xludf.DUMMYFUNCTION("""COMPUTED_VALUE"""),104924.0)</f>
        <v>104924</v>
      </c>
      <c r="B91" s="235" t="str">
        <f>IFERROR(__xludf.DUMMYFUNCTION("""COMPUTED_VALUE"""),"Ronald Verde")</f>
        <v>Ronald Verde</v>
      </c>
      <c r="C91" s="235" t="str">
        <f>IFERROR(__xludf.DUMMYFUNCTION("""COMPUTED_VALUE"""),"ADMIN")</f>
        <v>ADMIN</v>
      </c>
      <c r="D91" s="196" t="str">
        <f>IFERROR(__xludf.DUMMYFUNCTION("""COMPUTED_VALUE"""),"LAND CITE (GARDEN LIGHT) MODEL: GL-SPT01-GU10
LANDI CITE (BULB) 4 WATTS WARM WHITE LED GU10.500+1013 WW
SUPPLIER WILCON")</f>
        <v>LAND CITE (GARDEN LIGHT) MODEL: GL-SPT01-GU10
LANDI CITE (BULB) 4 WATTS WARM WHITE LED GU10.500+1013 WW
SUPPLIER WILCON</v>
      </c>
      <c r="E91" s="196" t="str">
        <f>IFERROR(__xludf.DUMMYFUNCTION("""COMPUTED_VALUE"""),"FOCUS LIGHT FOR MANARCHS PARK")</f>
        <v>FOCUS LIGHT FOR MANARCHS PARK</v>
      </c>
    </row>
    <row r="92">
      <c r="A92" s="234">
        <f>IFERROR(__xludf.DUMMYFUNCTION("""COMPUTED_VALUE"""),104925.0)</f>
        <v>104925</v>
      </c>
      <c r="B92" s="235" t="str">
        <f>IFERROR(__xludf.DUMMYFUNCTION("""COMPUTED_VALUE"""),"Carlito Dela Vega")</f>
        <v>Carlito Dela Vega</v>
      </c>
      <c r="C92" s="235" t="str">
        <f>IFERROR(__xludf.DUMMYFUNCTION("""COMPUTED_VALUE"""),"SECURITY")</f>
        <v>SECURITY</v>
      </c>
      <c r="D92" s="196" t="str">
        <f>IFERROR(__xludf.DUMMYFUNCTION("""COMPUTED_VALUE"""),"CELL BATTERY LR 44 36 PCS")</f>
        <v>CELL BATTERY LR 44 36 PCS</v>
      </c>
      <c r="E92" s="196" t="str">
        <f>IFERROR(__xludf.DUMMYFUNCTION("""COMPUTED_VALUE"""),"EMERGENCY EXIT MANUAL ALARM")</f>
        <v>EMERGENCY EXIT MANUAL ALARM</v>
      </c>
    </row>
    <row r="93">
      <c r="A93" s="234">
        <f>IFERROR(__xludf.DUMMYFUNCTION("""COMPUTED_VALUE"""),104926.0)</f>
        <v>104926</v>
      </c>
      <c r="B93" s="235" t="str">
        <f>IFERROR(__xludf.DUMMYFUNCTION("""COMPUTED_VALUE"""),"Rachel Jane V. Pamati-an Sheree Espinosa")</f>
        <v>Rachel Jane V. Pamati-an Sheree Espinosa</v>
      </c>
      <c r="C93" s="235" t="str">
        <f>IFERROR(__xludf.DUMMYFUNCTION("""COMPUTED_VALUE"""),"ADMIN - STAR")</f>
        <v>ADMIN - STAR</v>
      </c>
      <c r="D93" s="196" t="str">
        <f>IFERROR(__xludf.DUMMYFUNCTION("""COMPUTED_VALUE"""),"VICTOR FLOOR POLISHER")</f>
        <v>VICTOR FLOOR POLISHER</v>
      </c>
      <c r="E93" s="196" t="str">
        <f>IFERROR(__xludf.DUMMYFUNCTION("""COMPUTED_VALUE"""),"REPLACEMENT OF FLOOR POLISHER")</f>
        <v>REPLACEMENT OF FLOOR POLISHER</v>
      </c>
    </row>
    <row r="94">
      <c r="A94" s="234">
        <f>IFERROR(__xludf.DUMMYFUNCTION("""COMPUTED_VALUE"""),104927.0)</f>
        <v>104927</v>
      </c>
      <c r="B94" s="235" t="str">
        <f>IFERROR(__xludf.DUMMYFUNCTION("""COMPUTED_VALUE"""),"Melissa Odoño")</f>
        <v>Melissa Odoño</v>
      </c>
      <c r="C94" s="235" t="str">
        <f>IFERROR(__xludf.DUMMYFUNCTION("""COMPUTED_VALUE"""),"LIBRARY BASIC ED")</f>
        <v>LIBRARY BASIC ED</v>
      </c>
      <c r="D94" s="196" t="str">
        <f>IFERROR(__xludf.DUMMYFUNCTION("""COMPUTED_VALUE"""),"2 PCS《Chinese Textbook》(1)					
2 PCS《Chinese Textbook》Practice Book (1)					
2 PCS《Chinese Textbook》Writing Book (1)					
2 PCS《Chinese Textbook》Lesson Plan* (1)					
2 PCS《Chinese Textbook》(2)					
2 PCS《Chinese Textbook》Practice Book (2)					
2 P"&amp;"CS《Chinese Textbook》Writing Book (2)					
2 PCS《Chinese Textbook》Lesson Plan* (2)					
2 PCSChinese Textbook - Teachers Manual 1					
2 PCSChinese Textbook - Teachers Manual 2					
2 PCS.《Chinese Textbook》(3)                                        
2 P"&amp;"CS.《Chinese Textbook》Practice Book (3)                                        
2 PCS.《Chinese Textbook》Writing Book (3)                                        
2 PCS.《Chinese Textbook》Lesson Plan* (3)                                        
2 PCS.《Chinese"&amp;" Textbook》(4)                                        
2 PCS.《Chinese Textbook》Practice Book (4)                                        
2 PCS.《Chinese Textbook》Writing Book (4)                                        
2 PCS.《Chinese Textbook》Lesson Plan* ("&amp;"4)                                        
2 PCS.《Chinese Textbook》Teacher Manual (3)                                        
2 PCS.《Chinese Textbook》Teacher Manual (4)                                        
")</f>
        <v>2 PCS《Chinese Textbook》(1)					
2 PCS《Chinese Textbook》Practice Book (1)					
2 PCS《Chinese Textbook》Writing Book (1)					
2 PCS《Chinese Textbook》Lesson Plan* (1)					
2 PCS《Chinese Textbook》(2)					
2 PCS《Chinese Textbook》Practice Book (2)					
2 PCS《Chinese Textbook》Writing Book (2)					
2 PCS《Chinese Textbook》Lesson Plan* (2)					
2 PCSChinese Textbook - Teachers Manual 1					
2 PCSChinese Textbook - Teachers Manual 2					
2 PCS.《Chinese Textbook》(3)                                        
2 PCS.《Chinese Textbook》Practice Book (3)                                        
2 PCS.《Chinese Textbook》Writing Book (3)                                        
2 PCS.《Chinese Textbook》Lesson Plan* (3)                                        
2 PCS.《Chinese Textbook》(4)                                        
2 PCS.《Chinese Textbook》Practice Book (4)                                        
2 PCS.《Chinese Textbook》Writing Book (4)                                        
2 PCS.《Chinese Textbook》Lesson Plan* (4)                                        
2 PCS.《Chinese Textbook》Teacher Manual (3)                                        
2 PCS.《Chinese Textbook》Teacher Manual (4)                                        
</v>
      </c>
      <c r="E94" s="196" t="str">
        <f>IFERROR(__xludf.DUMMYFUNCTION("""COMPUTED_VALUE"""),"FOR FACULTY USE/ LIBRARY'S COPY")</f>
        <v>FOR FACULTY USE/ LIBRARY'S COPY</v>
      </c>
    </row>
    <row r="95">
      <c r="A95" s="234">
        <f>IFERROR(__xludf.DUMMYFUNCTION("""COMPUTED_VALUE"""),104928.0)</f>
        <v>104928</v>
      </c>
      <c r="B95" s="235" t="str">
        <f>IFERROR(__xludf.DUMMYFUNCTION("""COMPUTED_VALUE"""),"Ruel Par")</f>
        <v>Ruel Par</v>
      </c>
      <c r="C95" s="235" t="str">
        <f>IFERROR(__xludf.DUMMYFUNCTION("""COMPUTED_VALUE"""),"ENGINEERING")</f>
        <v>ENGINEERING</v>
      </c>
      <c r="D95" s="196" t="str">
        <f>IFERROR(__xludf.DUMMYFUNCTION("""COMPUTED_VALUE"""),"1 UNIT 6.0 HP INVERTER CEILING CASSETTE, 1 UNIT 2.5 HP CEILING CASSETTE INVERTER  ")</f>
        <v>1 UNIT 6.0 HP INVERTER CEILING CASSETTE, 1 UNIT 2.5 HP CEILING CASSETTE INVERTER  </v>
      </c>
      <c r="E95" s="196" t="str">
        <f>IFERROR(__xludf.DUMMYFUNCTION("""COMPUTED_VALUE"""),"REPLACEMENT OF ACU FOR HE ROOM AND DEPUTY PRINCIPAL'S OFFICE")</f>
        <v>REPLACEMENT OF ACU FOR HE ROOM AND DEPUTY PRINCIPAL'S OFFICE</v>
      </c>
    </row>
    <row r="96">
      <c r="A96" s="234">
        <f>IFERROR(__xludf.DUMMYFUNCTION("""COMPUTED_VALUE"""),104929.0)</f>
        <v>104929</v>
      </c>
      <c r="B96" s="235" t="str">
        <f>IFERROR(__xludf.DUMMYFUNCTION("""COMPUTED_VALUE"""),"Jhoy Ilao")</f>
        <v>Jhoy Ilao</v>
      </c>
      <c r="C96" s="235" t="str">
        <f>IFERROR(__xludf.DUMMYFUNCTION("""COMPUTED_VALUE"""),"CEM OFFICE")</f>
        <v>CEM OFFICE</v>
      </c>
      <c r="D96" s="196" t="str">
        <f>IFERROR(__xludf.DUMMYFUNCTION("""COMPUTED_VALUE"""),"SMALL SIZE LETTER PAD (W/ DIFFERENT COLORS) 30 PADS X100 PAGES
BIG SIZE LETTER HEAD (W/ DIFFERENT COLORS) 30 PADS X 100 PAGES ")</f>
        <v>SMALL SIZE LETTER PAD (W/ DIFFERENT COLORS) 30 PADS X100 PAGES
BIG SIZE LETTER HEAD (W/ DIFFERENT COLORS) 30 PADS X 100 PAGES </v>
      </c>
      <c r="E96" s="196" t="str">
        <f>IFERROR(__xludf.DUMMYFUNCTION("""COMPUTED_VALUE"""),"FOR GLL NOTEPAD")</f>
        <v>FOR GLL NOTEPAD</v>
      </c>
    </row>
    <row r="97">
      <c r="A97" s="234">
        <f>IFERROR(__xludf.DUMMYFUNCTION("""COMPUTED_VALUE"""),104930.0)</f>
        <v>104930</v>
      </c>
      <c r="B97" s="235" t="str">
        <f>IFERROR(__xludf.DUMMYFUNCTION("""COMPUTED_VALUE"""),"Jesuit Christian Galicia")</f>
        <v>Jesuit Christian Galicia</v>
      </c>
      <c r="C97" s="235" t="str">
        <f>IFERROR(__xludf.DUMMYFUNCTION("""COMPUTED_VALUE"""),"ASSET MANAGEMENT")</f>
        <v>ASSET MANAGEMENT</v>
      </c>
      <c r="D97" s="196" t="str">
        <f>IFERROR(__xludf.DUMMYFUNCTION("""COMPUTED_VALUE"""),"OMNI 12 INCHES EXHAUST FAN WALL MOUNTED 2PCS")</f>
        <v>OMNI 12 INCHES EXHAUST FAN WALL MOUNTED 2PCS</v>
      </c>
      <c r="E97" s="196" t="str">
        <f>IFERROR(__xludf.DUMMYFUNCTION("""COMPUTED_VALUE"""),"FOR IMPROVENT VENTILATION OF 2ND FLOOR OLD MATMAN")</f>
        <v>FOR IMPROVENT VENTILATION OF 2ND FLOOR OLD MATMAN</v>
      </c>
    </row>
    <row r="98">
      <c r="A98" s="234">
        <f>IFERROR(__xludf.DUMMYFUNCTION("""COMPUTED_VALUE"""),104931.0)</f>
        <v>104931</v>
      </c>
      <c r="B98" s="235" t="str">
        <f>IFERROR(__xludf.DUMMYFUNCTION("""COMPUTED_VALUE"""),"Mark M. Pabustan")</f>
        <v>Mark M. Pabustan</v>
      </c>
      <c r="C98" s="235" t="str">
        <f>IFERROR(__xludf.DUMMYFUNCTION("""COMPUTED_VALUE"""),"ROBOTICS")</f>
        <v>ROBOTICS</v>
      </c>
      <c r="D98" s="196" t="str">
        <f>IFERROR(__xludf.DUMMYFUNCTION("""COMPUTED_VALUE"""),"1SET VEX IQ RAPID RELAY KIT, 4 SETS VEX IQ COMPETITON KIT (2ND GEN), 10 PACKS RUBBER SHAFT COLLAR (VEX IQ), 1 UNIT BAMBU LAB PIS COMPBO US 3D PRINTER. 1 UNIT CREALITY FILAMENT DRY BOX VER. 2")</f>
        <v>1SET VEX IQ RAPID RELAY KIT, 4 SETS VEX IQ COMPETITON KIT (2ND GEN), 10 PACKS RUBBER SHAFT COLLAR (VEX IQ), 1 UNIT BAMBU LAB PIS COMPBO US 3D PRINTER. 1 UNIT CREALITY FILAMENT DRY BOX VER. 2</v>
      </c>
      <c r="E98" s="196" t="str">
        <f>IFERROR(__xludf.DUMMYFUNCTION("""COMPUTED_VALUE"""),"FOR COMPETITION AND FOR REPLENISHMENT")</f>
        <v>FOR COMPETITION AND FOR REPLENISHMENT</v>
      </c>
    </row>
    <row r="99">
      <c r="A99" s="234">
        <f>IFERROR(__xludf.DUMMYFUNCTION("""COMPUTED_VALUE"""),104932.0)</f>
        <v>104932</v>
      </c>
      <c r="B99" s="235" t="str">
        <f>IFERROR(__xludf.DUMMYFUNCTION("""COMPUTED_VALUE"""),"Arnel Montablan")</f>
        <v>Arnel Montablan</v>
      </c>
      <c r="C99" s="235" t="str">
        <f>IFERROR(__xludf.DUMMYFUNCTION("""COMPUTED_VALUE"""),"FOUNDER SCHOLARSHIP")</f>
        <v>FOUNDER SCHOLARSHIP</v>
      </c>
      <c r="D99" s="196" t="str">
        <f>IFERROR(__xludf.DUMMYFUNCTION("""COMPUTED_VALUE""")," IRONING BOARD (1PC) FLAT IRON (2PCS)")</f>
        <v> IRONING BOARD (1PC) FLAT IRON (2PCS)</v>
      </c>
      <c r="E99" s="196" t="str">
        <f>IFERROR(__xludf.DUMMYFUNCTION("""COMPUTED_VALUE"""),"TO REPLACE THE DAMAGED ORNONING BOARD AND IRON OF LAUREL'S DORM")</f>
        <v>TO REPLACE THE DAMAGED ORNONING BOARD AND IRON OF LAUREL'S DORM</v>
      </c>
    </row>
    <row r="100">
      <c r="A100" s="234">
        <f>IFERROR(__xludf.DUMMYFUNCTION("""COMPUTED_VALUE"""),104933.0)</f>
        <v>104933</v>
      </c>
      <c r="B100" s="235" t="str">
        <f>IFERROR(__xludf.DUMMYFUNCTION("""COMPUTED_VALUE"""),"Lyka J. Peralta")</f>
        <v>Lyka J. Peralta</v>
      </c>
      <c r="C100" s="235" t="str">
        <f>IFERROR(__xludf.DUMMYFUNCTION("""COMPUTED_VALUE"""),"AMD")</f>
        <v>AMD</v>
      </c>
      <c r="D100" s="196" t="str">
        <f>IFERROR(__xludf.DUMMYFUNCTION("""COMPUTED_VALUE"""),"30 PACKS (50pcs per pack),  PLASTIC, CLEAR OPP SELF ADHESIVE WITH RESEALABLE TAPE 5X7")</f>
        <v>30 PACKS (50pcs per pack),  PLASTIC, CLEAR OPP SELF ADHESIVE WITH RESEALABLE TAPE 5X7</v>
      </c>
      <c r="E100" s="196" t="str">
        <f>IFERROR(__xludf.DUMMYFUNCTION("""COMPUTED_VALUE"""),"OSSUP STOCK REPLENISHMENT /PACKAGING OF ID FOR ENROLMENT)")</f>
        <v>OSSUP STOCK REPLENISHMENT /PACKAGING OF ID FOR ENROLMENT)</v>
      </c>
    </row>
    <row r="101">
      <c r="A101" s="234">
        <f>IFERROR(__xludf.DUMMYFUNCTION("""COMPUTED_VALUE"""),104934.0)</f>
        <v>104934</v>
      </c>
      <c r="B101" s="235" t="str">
        <f>IFERROR(__xludf.DUMMYFUNCTION("""COMPUTED_VALUE"""),"Johny Quiqui")</f>
        <v>Johny Quiqui</v>
      </c>
      <c r="C101" s="235" t="str">
        <f>IFERROR(__xludf.DUMMYFUNCTION("""COMPUTED_VALUE"""),"ABU")</f>
        <v>ABU</v>
      </c>
      <c r="D101" s="196" t="str">
        <f>IFERROR(__xludf.DUMMYFUNCTION("""COMPUTED_VALUE"""),"G4, TOWPEP JOURNAL QTY. 50")</f>
        <v>G4, TOWPEP JOURNAL QTY. 50</v>
      </c>
      <c r="E101" s="196" t="str">
        <f>IFERROR(__xludf.DUMMYFUNCTION("""COMPUTED_VALUE"""),"FOR SALE (ADDITIONAL BUFFER STOCKS)")</f>
        <v>FOR SALE (ADDITIONAL BUFFER STOCKS)</v>
      </c>
    </row>
    <row r="102">
      <c r="A102" s="234">
        <f>IFERROR(__xludf.DUMMYFUNCTION("""COMPUTED_VALUE"""),104935.0)</f>
        <v>104935</v>
      </c>
      <c r="B102" s="235" t="str">
        <f>IFERROR(__xludf.DUMMYFUNCTION("""COMPUTED_VALUE"""),"Edgar Rebellon")</f>
        <v>Edgar Rebellon</v>
      </c>
      <c r="C102" s="235" t="str">
        <f>IFERROR(__xludf.DUMMYFUNCTION("""COMPUTED_VALUE"""),"ABU")</f>
        <v>ABU</v>
      </c>
      <c r="D102" s="196" t="str">
        <f>IFERROR(__xludf.DUMMYFUNCTION("""COMPUTED_VALUE"""),"POTTER CYLINDRICAL CERAMIC LOOKING WITH CATCH PLATE
15 PCS. BLACK
15 PCS. WHITE ")</f>
        <v>POTTER CYLINDRICAL CERAMIC LOOKING WITH CATCH PLATE
15 PCS. BLACK
15 PCS. WHITE </v>
      </c>
      <c r="E102" s="196" t="str">
        <f>IFERROR(__xludf.DUMMYFUNCTION("""COMPUTED_VALUE"""),"CAFETERIA IMPROVEMENT FOR AY 2024-2025")</f>
        <v>CAFETERIA IMPROVEMENT FOR AY 2024-2025</v>
      </c>
    </row>
    <row r="103">
      <c r="A103" s="234">
        <f>IFERROR(__xludf.DUMMYFUNCTION("""COMPUTED_VALUE"""),104936.0)</f>
        <v>104936</v>
      </c>
      <c r="B103" s="235" t="str">
        <f>IFERROR(__xludf.DUMMYFUNCTION("""COMPUTED_VALUE"""),"Arnel Montablan")</f>
        <v>Arnel Montablan</v>
      </c>
      <c r="C103" s="235" t="str">
        <f>IFERROR(__xludf.DUMMYFUNCTION("""COMPUTED_VALUE"""),"FOUNDER SCHOLAR")</f>
        <v>FOUNDER SCHOLAR</v>
      </c>
      <c r="D103" s="196" t="str">
        <f>IFERROR(__xludf.DUMMYFUNCTION("""COMPUTED_VALUE"""),"SINGLE BED MATTRESS (NORMAL SIGLE BED SIZE) 1PC
SINGLE FOAM WITH COVER SIZE: 178CM x 71CM x 8CM 1PC")</f>
        <v>SINGLE BED MATTRESS (NORMAL SIGLE BED SIZE) 1PC
SINGLE FOAM WITH COVER SIZE: 178CM x 71CM x 8CM 1PC</v>
      </c>
      <c r="E103" s="196" t="str">
        <f>IFERROR(__xludf.DUMMYFUNCTION("""COMPUTED_VALUE"""),"FOR REPLACE OF  OLD BED FOAMS AND COVER")</f>
        <v>FOR REPLACE OF  OLD BED FOAMS AND COVER</v>
      </c>
    </row>
    <row r="104">
      <c r="A104" s="234">
        <f>IFERROR(__xludf.DUMMYFUNCTION("""COMPUTED_VALUE"""),104937.0)</f>
        <v>104937</v>
      </c>
      <c r="B104" s="235" t="str">
        <f>IFERROR(__xludf.DUMMYFUNCTION("""COMPUTED_VALUE"""),"Lyka J. Peralta")</f>
        <v>Lyka J. Peralta</v>
      </c>
      <c r="C104" s="235" t="str">
        <f>IFERROR(__xludf.DUMMYFUNCTION("""COMPUTED_VALUE"""),"AMD")</f>
        <v>AMD</v>
      </c>
      <c r="D104" s="196" t="str">
        <f>IFERROR(__xludf.DUMMYFUNCTION("""COMPUTED_VALUE"""),"BOARD, VELLUM (SHORT)")</f>
        <v>BOARD, VELLUM (SHORT)</v>
      </c>
      <c r="E104" s="196" t="str">
        <f>IFERROR(__xludf.DUMMYFUNCTION("""COMPUTED_VALUE"""),"OSSUP - STOCK REPLENISHMENT ")</f>
        <v>OSSUP - STOCK REPLENISHMENT </v>
      </c>
    </row>
    <row r="105">
      <c r="A105" s="234">
        <f>IFERROR(__xludf.DUMMYFUNCTION("""COMPUTED_VALUE"""),104938.0)</f>
        <v>104938</v>
      </c>
      <c r="B105" s="235" t="str">
        <f>IFERROR(__xludf.DUMMYFUNCTION("""COMPUTED_VALUE"""),"Edgar Rebellon")</f>
        <v>Edgar Rebellon</v>
      </c>
      <c r="C105" s="235" t="str">
        <f>IFERROR(__xludf.DUMMYFUNCTION("""COMPUTED_VALUE"""),"AMD")</f>
        <v>AMD</v>
      </c>
      <c r="D105" s="196" t="str">
        <f>IFERROR(__xludf.DUMMYFUNCTION("""COMPUTED_VALUE"""),"INDOOR PLANTS FOR CAFETERIA (1 LOT)")</f>
        <v>INDOOR PLANTS FOR CAFETERIA (1 LOT)</v>
      </c>
      <c r="E105" s="196" t="str">
        <f>IFERROR(__xludf.DUMMYFUNCTION("""COMPUTED_VALUE"""),"IMPROVEMENT OF THE CAFETERIA FOR AY 2024-2025")</f>
        <v>IMPROVEMENT OF THE CAFETERIA FOR AY 2024-2025</v>
      </c>
    </row>
    <row r="106">
      <c r="A106" s="234">
        <f>IFERROR(__xludf.DUMMYFUNCTION("""COMPUTED_VALUE"""),104939.0)</f>
        <v>104939</v>
      </c>
      <c r="B106" s="235" t="str">
        <f>IFERROR(__xludf.DUMMYFUNCTION("""COMPUTED_VALUE"""),"Edgar Rebellon")</f>
        <v>Edgar Rebellon</v>
      </c>
      <c r="C106" s="235" t="str">
        <f>IFERROR(__xludf.DUMMYFUNCTION("""COMPUTED_VALUE"""),"AMD")</f>
        <v>AMD</v>
      </c>
      <c r="D106" s="196" t="str">
        <f>IFERROR(__xludf.DUMMYFUNCTION("""COMPUTED_VALUE"""),"3 PCS TRASHBIN")</f>
        <v>3 PCS TRASHBIN</v>
      </c>
      <c r="E106" s="196" t="str">
        <f>IFERROR(__xludf.DUMMYFUNCTION("""COMPUTED_VALUE"""),"FOR CAFETERIA PROPER SANITATION")</f>
        <v>FOR CAFETERIA PROPER SANITATION</v>
      </c>
    </row>
    <row r="107">
      <c r="A107" s="234">
        <f>IFERROR(__xludf.DUMMYFUNCTION("""COMPUTED_VALUE"""),104940.0)</f>
        <v>104940</v>
      </c>
      <c r="B107" s="235" t="str">
        <f>IFERROR(__xludf.DUMMYFUNCTION("""COMPUTED_VALUE"""),"Sunny Patron")</f>
        <v>Sunny Patron</v>
      </c>
      <c r="C107" s="235" t="str">
        <f>IFERROR(__xludf.DUMMYFUNCTION("""COMPUTED_VALUE"""),"K12")</f>
        <v>K12</v>
      </c>
      <c r="D107" s="196" t="str">
        <f>IFERROR(__xludf.DUMMYFUNCTION("""COMPUTED_VALUE"""),"1 PC. 3 DRAWER STEEL CABINET BLACK MOBILE PEDESTAL- CANCELLED, will use the drawer coming from Kumpares")</f>
        <v>1 PC. 3 DRAWER STEEL CABINET BLACK MOBILE PEDESTAL- CANCELLED, will use the drawer coming from Kumpares</v>
      </c>
      <c r="E107" s="196" t="str">
        <f>IFERROR(__xludf.DUMMYFUNCTION("""COMPUTED_VALUE"""),"STORAGE AT THE FACULTY ROOM VEHICLE")</f>
        <v>STORAGE AT THE FACULTY ROOM VEHICLE</v>
      </c>
    </row>
    <row r="108">
      <c r="A108" s="234">
        <f>IFERROR(__xludf.DUMMYFUNCTION("""COMPUTED_VALUE"""),104941.0)</f>
        <v>104941</v>
      </c>
      <c r="B108" s="235" t="str">
        <f>IFERROR(__xludf.DUMMYFUNCTION("""COMPUTED_VALUE"""),"Geraldine Medina")</f>
        <v>Geraldine Medina</v>
      </c>
      <c r="C108" s="235" t="str">
        <f>IFERROR(__xludf.DUMMYFUNCTION("""COMPUTED_VALUE"""),"LEARNING VILLAGE")</f>
        <v>LEARNING VILLAGE</v>
      </c>
      <c r="D108" s="196" t="str">
        <f>IFERROR(__xludf.DUMMYFUNCTION("""COMPUTED_VALUE"""),"1 SOFA, 1 MINI SOFA, 3 SETS ARTIFICIAL FLOWERS")</f>
        <v>1 SOFA, 1 MINI SOFA, 3 SETS ARTIFICIAL FLOWERS</v>
      </c>
      <c r="E108" s="196" t="str">
        <f>IFERROR(__xludf.DUMMYFUNCTION("""COMPUTED_VALUE"""),"FOR DECORATIONS IN LV")</f>
        <v>FOR DECORATIONS IN LV</v>
      </c>
    </row>
    <row r="109">
      <c r="A109" s="234">
        <f>IFERROR(__xludf.DUMMYFUNCTION("""COMPUTED_VALUE"""),104942.0)</f>
        <v>104942</v>
      </c>
      <c r="B109" s="235" t="str">
        <f>IFERROR(__xludf.DUMMYFUNCTION("""COMPUTED_VALUE"""),"Rodrigo Custodio Jr.")</f>
        <v>Rodrigo Custodio Jr.</v>
      </c>
      <c r="C109" s="235" t="str">
        <f>IFERROR(__xludf.DUMMYFUNCTION("""COMPUTED_VALUE"""),"AMD")</f>
        <v>AMD</v>
      </c>
      <c r="D109" s="196" t="str">
        <f>IFERROR(__xludf.DUMMYFUNCTION("""COMPUTED_VALUE"""),"Scrubbing Pad, Big (scotch brite) 300pcs")</f>
        <v>Scrubbing Pad, Big (scotch brite) 300pcs</v>
      </c>
      <c r="E109" s="196" t="str">
        <f>IFERROR(__xludf.DUMMYFUNCTION("""COMPUTED_VALUE"""),"Housekeeping Materials - Stock Replenishment")</f>
        <v>Housekeeping Materials - Stock Replenishment</v>
      </c>
    </row>
    <row r="110">
      <c r="A110" s="234">
        <f>IFERROR(__xludf.DUMMYFUNCTION("""COMPUTED_VALUE"""),104943.0)</f>
        <v>104943</v>
      </c>
      <c r="B110" s="235" t="str">
        <f>IFERROR(__xludf.DUMMYFUNCTION("""COMPUTED_VALUE"""),"Ronaldo Verde")</f>
        <v>Ronaldo Verde</v>
      </c>
      <c r="C110" s="235" t="str">
        <f>IFERROR(__xludf.DUMMYFUNCTION("""COMPUTED_VALUE"""),"Admin")</f>
        <v>Admin</v>
      </c>
      <c r="D110" s="196" t="str">
        <f>IFERROR(__xludf.DUMMYFUNCTION("""COMPUTED_VALUE"""),"Yokohama Tires 195R15C for SISC vans (NKY8008) 2PCS 
ZJR972  2PCS")</f>
        <v>Yokohama Tires 195R15C for SISC vans (NKY8008) 2PCS 
ZJR972  2PCS</v>
      </c>
      <c r="E110" s="196" t="str">
        <f>IFERROR(__xludf.DUMMYFUNCTION("""COMPUTED_VALUE"""),"Preventing Maintenance of Vehicles")</f>
        <v>Preventing Maintenance of Vehicles</v>
      </c>
    </row>
    <row r="111">
      <c r="A111" s="234">
        <f>IFERROR(__xludf.DUMMYFUNCTION("""COMPUTED_VALUE"""),104944.0)</f>
        <v>104944</v>
      </c>
      <c r="B111" s="235" t="str">
        <f>IFERROR(__xludf.DUMMYFUNCTION("""COMPUTED_VALUE"""),"Sheree Espinosa")</f>
        <v>Sheree Espinosa</v>
      </c>
      <c r="C111" s="235" t="str">
        <f>IFERROR(__xludf.DUMMYFUNCTION("""COMPUTED_VALUE"""),"Admin")</f>
        <v>Admin</v>
      </c>
      <c r="D111" s="196" t="str">
        <f>IFERROR(__xludf.DUMMYFUNCTION("""COMPUTED_VALUE""")," Homogenous white tiles 270 pcs CODE: JBC-B9Q")</f>
        <v> Homogenous white tiles 270 pcs CODE: JBC-B9Q</v>
      </c>
      <c r="E111" s="196" t="str">
        <f>IFERROR(__xludf.DUMMYFUNCTION("""COMPUTED_VALUE"""),"5f college flooring ")</f>
        <v>5f college flooring </v>
      </c>
    </row>
    <row r="112">
      <c r="A112" s="234">
        <f>IFERROR(__xludf.DUMMYFUNCTION("""COMPUTED_VALUE"""),104945.0)</f>
        <v>104945</v>
      </c>
      <c r="B112" s="235" t="str">
        <f>IFERROR(__xludf.DUMMYFUNCTION("""COMPUTED_VALUE"""),"Jayven Poblete")</f>
        <v>Jayven Poblete</v>
      </c>
      <c r="C112" s="235" t="str">
        <f>IFERROR(__xludf.DUMMYFUNCTION("""COMPUTED_VALUE"""),"PR &amp; MARKETING")</f>
        <v>PR &amp; MARKETING</v>
      </c>
      <c r="D112" s="196" t="str">
        <f>IFERROR(__xludf.DUMMYFUNCTION("""COMPUTED_VALUE"""),"Walkie talkie with earpiece")</f>
        <v>Walkie talkie with earpiece</v>
      </c>
      <c r="E112" s="196" t="str">
        <f>IFERROR(__xludf.DUMMYFUNCTION("""COMPUTED_VALUE"""),"Events")</f>
        <v>Events</v>
      </c>
    </row>
    <row r="113">
      <c r="A113" s="234">
        <f>IFERROR(__xludf.DUMMYFUNCTION("""COMPUTED_VALUE"""),104946.0)</f>
        <v>104946</v>
      </c>
      <c r="B113" s="235" t="str">
        <f>IFERROR(__xludf.DUMMYFUNCTION("""COMPUTED_VALUE"""),"Rodrigo Custodio Jr.")</f>
        <v>Rodrigo Custodio Jr.</v>
      </c>
      <c r="C113" s="235" t="str">
        <f>IFERROR(__xludf.DUMMYFUNCTION("""COMPUTED_VALUE"""),"AMD")</f>
        <v>AMD</v>
      </c>
      <c r="D113" s="196" t="str">
        <f>IFERROR(__xludf.DUMMYFUNCTION("""COMPUTED_VALUE"""),"FEATHER DUSTER CODE: DUST-GEN-10-0001 20PCS")</f>
        <v>FEATHER DUSTER CODE: DUST-GEN-10-0001 20PCS</v>
      </c>
      <c r="E113" s="196" t="str">
        <f>IFERROR(__xludf.DUMMYFUNCTION("""COMPUTED_VALUE"""),"HOUSEKEEPING MATERIALS - STOCK REPLENISHMENT")</f>
        <v>HOUSEKEEPING MATERIALS - STOCK REPLENISHMENT</v>
      </c>
    </row>
    <row r="114">
      <c r="A114" s="234">
        <f>IFERROR(__xludf.DUMMYFUNCTION("""COMPUTED_VALUE"""),104947.0)</f>
        <v>104947</v>
      </c>
      <c r="B114" s="235" t="str">
        <f>IFERROR(__xludf.DUMMYFUNCTION("""COMPUTED_VALUE"""),"Sharjan Gatchalian")</f>
        <v>Sharjan Gatchalian</v>
      </c>
      <c r="C114" s="235" t="str">
        <f>IFERROR(__xludf.DUMMYFUNCTION("""COMPUTED_VALUE"""),"MIS/ICT")</f>
        <v>MIS/ICT</v>
      </c>
      <c r="D114" s="196" t="str">
        <f>IFERROR(__xludf.DUMMYFUNCTION("""COMPUTED_VALUE"""),"AMP IO JACK KEYSTONE CAT 6 80PCS
AMP 1 GANG RJ45 FACE PLATE 25PCS
AMP 2 RJ45 FACE PLATE 25PCS 
AMP RJ45 FACE PLATE CONNECTOR CATS5E OR 6
*FACEPLATE MUST COMPATIBLE TO 10 JACK, THANKS!")</f>
        <v>AMP IO JACK KEYSTONE CAT 6 80PCS
AMP 1 GANG RJ45 FACE PLATE 25PCS
AMP 2 RJ45 FACE PLATE 25PCS 
AMP RJ45 FACE PLATE CONNECTOR CATS5E OR 6
*FACEPLATE MUST COMPATIBLE TO 10 JACK, THANKS!</v>
      </c>
      <c r="E114" s="196" t="str">
        <f>IFERROR(__xludf.DUMMYFUNCTION("""COMPUTED_VALUE"""),"FOR STOCKS")</f>
        <v>FOR STOCKS</v>
      </c>
    </row>
    <row r="115">
      <c r="A115" s="234">
        <f>IFERROR(__xludf.DUMMYFUNCTION("""COMPUTED_VALUE"""),104948.0)</f>
        <v>104948</v>
      </c>
      <c r="B115" s="235" t="str">
        <f>IFERROR(__xludf.DUMMYFUNCTION("""COMPUTED_VALUE"""),"Lyka J. Peralta")</f>
        <v>Lyka J. Peralta</v>
      </c>
      <c r="C115" s="235" t="str">
        <f>IFERROR(__xludf.DUMMYFUNCTION("""COMPUTED_VALUE"""),"AMD")</f>
        <v>AMD</v>
      </c>
      <c r="D115" s="196" t="str">
        <f>IFERROR(__xludf.DUMMYFUNCTION("""COMPUTED_VALUE"""),"COCKBOARD - 2X3 (1/4T)MMMM W/O FRAME CODE: BOAR-GEN-10-0007 40PCS")</f>
        <v>COCKBOARD - 2X3 (1/4T)MMMM W/O FRAME CODE: BOAR-GEN-10-0007 40PCS</v>
      </c>
      <c r="E115" s="196" t="str">
        <f>IFERROR(__xludf.DUMMYFUNCTION("""COMPUTED_VALUE"""),"OSSUP - STOCK REPLENISHMENT ")</f>
        <v>OSSUP - STOCK REPLENISHMENT </v>
      </c>
    </row>
    <row r="116">
      <c r="A116" s="234">
        <f>IFERROR(__xludf.DUMMYFUNCTION("""COMPUTED_VALUE"""),104949.0)</f>
        <v>104949</v>
      </c>
      <c r="B116" s="235" t="str">
        <f>IFERROR(__xludf.DUMMYFUNCTION("""COMPUTED_VALUE"""),"Lyka J. Peralta")</f>
        <v>Lyka J. Peralta</v>
      </c>
      <c r="C116" s="235" t="str">
        <f>IFERROR(__xludf.DUMMYFUNCTION("""COMPUTED_VALUE"""),"AMD")</f>
        <v>AMD</v>
      </c>
      <c r="D116" s="196" t="str">
        <f>IFERROR(__xludf.DUMMYFUNCTION("""COMPUTED_VALUE"""),"CLIP, ID-ALLIGATOR PLASTIC CODE: CLIP-ALL-10-0001 500PCS")</f>
        <v>CLIP, ID-ALLIGATOR PLASTIC CODE: CLIP-ALL-10-0001 500PCS</v>
      </c>
      <c r="E116" s="196" t="str">
        <f>IFERROR(__xludf.DUMMYFUNCTION("""COMPUTED_VALUE"""),"OSSUP - STOCK REPLENISHMENT ")</f>
        <v>OSSUP - STOCK REPLENISHMENT </v>
      </c>
    </row>
    <row r="117">
      <c r="A117" s="234">
        <f>IFERROR(__xludf.DUMMYFUNCTION("""COMPUTED_VALUE"""),104950.0)</f>
        <v>104950</v>
      </c>
      <c r="B117" s="235" t="str">
        <f>IFERROR(__xludf.DUMMYFUNCTION("""COMPUTED_VALUE"""),"Rodrigo Custodio Jr.")</f>
        <v>Rodrigo Custodio Jr.</v>
      </c>
      <c r="C117" s="235" t="str">
        <f>IFERROR(__xludf.DUMMYFUNCTION("""COMPUTED_VALUE"""),"AMD")</f>
        <v>AMD</v>
      </c>
      <c r="D117" s="196" t="str">
        <f>IFERROR(__xludf.DUMMYFUNCTION("""COMPUTED_VALUE"""),"TOPLUSTER HIGH GRADE LIQUID WAX (RIVCHEM) CODE: WAXX-RIV-10-0002 60GALS")</f>
        <v>TOPLUSTER HIGH GRADE LIQUID WAX (RIVCHEM) CODE: WAXX-RIV-10-0002 60GALS</v>
      </c>
      <c r="E117" s="196" t="str">
        <f>IFERROR(__xludf.DUMMYFUNCTION("""COMPUTED_VALUE"""),"HOUSEKEEPING MATERIALS - STOCK REPLENISHMENT")</f>
        <v>HOUSEKEEPING MATERIALS - STOCK REPLENISHMENT</v>
      </c>
    </row>
    <row r="118">
      <c r="A118" s="234">
        <f>IFERROR(__xludf.DUMMYFUNCTION("""COMPUTED_VALUE"""),104951.0)</f>
        <v>104951</v>
      </c>
      <c r="B118" s="235" t="str">
        <f>IFERROR(__xludf.DUMMYFUNCTION("""COMPUTED_VALUE"""),"Sheree Espinosa")</f>
        <v>Sheree Espinosa</v>
      </c>
      <c r="C118" s="235" t="str">
        <f>IFERROR(__xludf.DUMMYFUNCTION("""COMPUTED_VALUE"""),"ADMIN")</f>
        <v>ADMIN</v>
      </c>
      <c r="D118" s="196" t="str">
        <f>IFERROR(__xludf.DUMMYFUNCTION("""COMPUTED_VALUE"""),"WATER DISPENSER 3PCS.")</f>
        <v>WATER DISPENSER 3PCS.</v>
      </c>
      <c r="E118" s="196" t="str">
        <f>IFERROR(__xludf.DUMMYFUNCTION("""COMPUTED_VALUE"""),"REPLACEMENT OF BROKEN WATER DISPENSER")</f>
        <v>REPLACEMENT OF BROKEN WATER DISPENSER</v>
      </c>
    </row>
    <row r="119">
      <c r="A119" s="234">
        <f>IFERROR(__xludf.DUMMYFUNCTION("""COMPUTED_VALUE"""),104952.0)</f>
        <v>104952</v>
      </c>
      <c r="B119" s="235" t="str">
        <f>IFERROR(__xludf.DUMMYFUNCTION("""COMPUTED_VALUE""")," Ronaldo Verde/Sheree Espinosa")</f>
        <v> Ronaldo Verde/Sheree Espinosa</v>
      </c>
      <c r="C119" s="235" t="str">
        <f>IFERROR(__xludf.DUMMYFUNCTION("""COMPUTED_VALUE"""),"ADMIN")</f>
        <v>ADMIN</v>
      </c>
      <c r="D119" s="196" t="str">
        <f>IFERROR(__xludf.DUMMYFUNCTION("""COMPUTED_VALUE"""),"FLEXIBOND (DAVIES BRAND) 10 GALLONS
BABY RULER 2PCS
PAINT BRUSH 2PCS")</f>
        <v>FLEXIBOND (DAVIES BRAND) 10 GALLONS
BABY RULER 2PCS
PAINT BRUSH 2PCS</v>
      </c>
      <c r="E119" s="196" t="str">
        <f>IFERROR(__xludf.DUMMYFUNCTION("""COMPUTED_VALUE"""),"MAINTENANCE OF CONCRETE GUTTER (COLLEGE BUILDING) (TO PREVENT WATER LEAKS")</f>
        <v>MAINTENANCE OF CONCRETE GUTTER (COLLEGE BUILDING) (TO PREVENT WATER LEAKS</v>
      </c>
    </row>
    <row r="120">
      <c r="A120" s="234">
        <f>IFERROR(__xludf.DUMMYFUNCTION("""COMPUTED_VALUE"""),104953.0)</f>
        <v>104953</v>
      </c>
      <c r="B120" s="235" t="str">
        <f>IFERROR(__xludf.DUMMYFUNCTION("""COMPUTED_VALUE"""),"Owie Par")</f>
        <v>Owie Par</v>
      </c>
      <c r="C120" s="235" t="str">
        <f>IFERROR(__xludf.DUMMYFUNCTION("""COMPUTED_VALUE"""),"ENGINEERING")</f>
        <v>ENGINEERING</v>
      </c>
      <c r="D120" s="196" t="str">
        <f>IFERROR(__xludf.DUMMYFUNCTION("""COMPUTED_VALUE"""),"3.0 HP CEILING CASSETTE TYPE INVERTER 2 UNITS 
NOTE: NO EXISTING UNITS INSTALLED")</f>
        <v>3.0 HP CEILING CASSETTE TYPE INVERTER 2 UNITS 
NOTE: NO EXISTING UNITS INSTALLED</v>
      </c>
      <c r="E120" s="196" t="str">
        <f>IFERROR(__xludf.DUMMYFUNCTION("""COMPUTED_VALUE"""),"FOR COLLEGE LOBBY (GROUND FLOOR) COLLEGE BUILDING")</f>
        <v>FOR COLLEGE LOBBY (GROUND FLOOR) COLLEGE BUILDING</v>
      </c>
    </row>
    <row r="121">
      <c r="A121" s="234">
        <f>IFERROR(__xludf.DUMMYFUNCTION("""COMPUTED_VALUE"""),104954.0)</f>
        <v>104954</v>
      </c>
      <c r="B121" s="235" t="str">
        <f>IFERROR(__xludf.DUMMYFUNCTION("""COMPUTED_VALUE"""),"Ronaldo Verde/Sheree Espinosa")</f>
        <v>Ronaldo Verde/Sheree Espinosa</v>
      </c>
      <c r="C121" s="235" t="str">
        <f>IFERROR(__xludf.DUMMYFUNCTION("""COMPUTED_VALUE"""),"ADMIN")</f>
        <v>ADMIN</v>
      </c>
      <c r="D121" s="196" t="str">
        <f>IFERROR(__xludf.DUMMYFUNCTION("""COMPUTED_VALUE"""),"RUBBERIZED PAINT (BEIGE) 10 GALLONS SEE ATTACHED SAMPLE 
SUPPLIER: WILCON
BABY RULLER 2PCS
PAINT BRUSH #2 2PCS")</f>
        <v>RUBBERIZED PAINT (BEIGE) 10 GALLONS SEE ATTACHED SAMPLE 
SUPPLIER: WILCON
BABY RULLER 2PCS
PAINT BRUSH #2 2PCS</v>
      </c>
      <c r="E121" s="196" t="str">
        <f>IFERROR(__xludf.DUMMYFUNCTION("""COMPUTED_VALUE"""),"STAIR CASES REPAINTING (LUX CENTERZONE)")</f>
        <v>STAIR CASES REPAINTING (LUX CENTERZONE)</v>
      </c>
    </row>
    <row r="122">
      <c r="A122" s="234">
        <f>IFERROR(__xludf.DUMMYFUNCTION("""COMPUTED_VALUE"""),104955.0)</f>
        <v>104955</v>
      </c>
      <c r="B122" s="235" t="str">
        <f>IFERROR(__xludf.DUMMYFUNCTION("""COMPUTED_VALUE"""),"Elydia Reyes")</f>
        <v>Elydia Reyes</v>
      </c>
      <c r="C122" s="235" t="str">
        <f>IFERROR(__xludf.DUMMYFUNCTION("""COMPUTED_VALUE"""),"PR &amp; MARKETING")</f>
        <v>PR &amp; MARKETING</v>
      </c>
      <c r="D122" s="196" t="str">
        <f>IFERROR(__xludf.DUMMYFUNCTION("""COMPUTED_VALUE"""),"CONGRATULATORY TARP PSYCHOLOGY ALUMNI 100% PASSING RATE 
W-20FT
H-10FT")</f>
        <v>CONGRATULATORY TARP PSYCHOLOGY ALUMNI 100% PASSING RATE 
W-20FT
H-10FT</v>
      </c>
      <c r="E122" s="196" t="str">
        <f>IFERROR(__xludf.DUMMYFUNCTION("""COMPUTED_VALUE"""),"MARKETING")</f>
        <v>MARKETING</v>
      </c>
    </row>
    <row r="123">
      <c r="A123" s="234">
        <f>IFERROR(__xludf.DUMMYFUNCTION("""COMPUTED_VALUE"""),104956.0)</f>
        <v>104956</v>
      </c>
      <c r="B123" s="235" t="str">
        <f>IFERROR(__xludf.DUMMYFUNCTION("""COMPUTED_VALUE"""),"Lyka J. Peralta")</f>
        <v>Lyka J. Peralta</v>
      </c>
      <c r="C123" s="235" t="str">
        <f>IFERROR(__xludf.DUMMYFUNCTION("""COMPUTED_VALUE"""),"AMD")</f>
        <v>AMD</v>
      </c>
      <c r="D123" s="196" t="str">
        <f>IFERROR(__xludf.DUMMYFUNCTION("""COMPUTED_VALUE"""),"TUMBLER, SISC, VACUUM FLASK BLACK 300PCS. CODE: TUMB-SIS-10-0001
TUMBLER, SISC, VACUUM FLASK WHITE 250PCS CODE: TUMB-SIS-10-0003
TUMBLER, SISC, VACUUM FLASK BLUE 300PCS CODE: TUMB-SIS-10-0004
TUMBLER, SISC, VACUUM FLASK RED 300PCS CODE: TUMB-SIS-10-0005  "&amp;"
TUMBLER, SISC VACUUM FLASK GRAY 150PCS CODE: TUMB-SIS-10-0007
TUMBLER, SISC, VACUUM FLASK SILVER 250PCS CODE: TUMB-SIS-10-0007
TUMBLER, SISC, VACUUM FLASK GREEN 150PCS CODE: TUMB-SIS-0008")</f>
        <v>TUMBLER, SISC, VACUUM FLASK BLACK 300PCS. CODE: TUMB-SIS-10-0001
TUMBLER, SISC, VACUUM FLASK WHITE 250PCS CODE: TUMB-SIS-10-0003
TUMBLER, SISC, VACUUM FLASK BLUE 300PCS CODE: TUMB-SIS-10-0004
TUMBLER, SISC, VACUUM FLASK RED 300PCS CODE: TUMB-SIS-10-0005  
TUMBLER, SISC VACUUM FLASK GRAY 150PCS CODE: TUMB-SIS-10-0007
TUMBLER, SISC, VACUUM FLASK SILVER 250PCS CODE: TUMB-SIS-10-0007
TUMBLER, SISC, VACUUM FLASK GREEN 150PCS CODE: TUMB-SIS-0008</v>
      </c>
      <c r="E123" s="196" t="str">
        <f>IFERROR(__xludf.DUMMYFUNCTION("""COMPUTED_VALUE"""),"TOKEN - STOCK REPLENISHMENT")</f>
        <v>TOKEN - STOCK REPLENISHMENT</v>
      </c>
    </row>
    <row r="124">
      <c r="A124" s="234">
        <f>IFERROR(__xludf.DUMMYFUNCTION("""COMPUTED_VALUE"""),104957.0)</f>
        <v>104957</v>
      </c>
      <c r="B124" s="235" t="str">
        <f>IFERROR(__xludf.DUMMYFUNCTION("""COMPUTED_VALUE"""),"Sheree Espinosa")</f>
        <v>Sheree Espinosa</v>
      </c>
      <c r="C124" s="235" t="str">
        <f>IFERROR(__xludf.DUMMYFUNCTION("""COMPUTED_VALUE"""),"ADMIN")</f>
        <v>ADMIN</v>
      </c>
      <c r="D124" s="196" t="str">
        <f>IFERROR(__xludf.DUMMYFUNCTION("""COMPUTED_VALUE"""),"LINOLEUM FLOORING")</f>
        <v>LINOLEUM FLOORING</v>
      </c>
      <c r="E124" s="196" t="str">
        <f>IFERROR(__xludf.DUMMYFUNCTION("""COMPUTED_VALUE"""),"FOR FLOORING COVER IN TROPICAL GYM")</f>
        <v>FOR FLOORING COVER IN TROPICAL GYM</v>
      </c>
    </row>
    <row r="125">
      <c r="A125" s="234">
        <f>IFERROR(__xludf.DUMMYFUNCTION("""COMPUTED_VALUE"""),104958.0)</f>
        <v>104958</v>
      </c>
      <c r="B125" s="235" t="str">
        <f>IFERROR(__xludf.DUMMYFUNCTION("""COMPUTED_VALUE"""),"Jayven Poblete")</f>
        <v>Jayven Poblete</v>
      </c>
      <c r="C125" s="235" t="str">
        <f>IFERROR(__xludf.DUMMYFUNCTION("""COMPUTED_VALUE"""),"PR")</f>
        <v>PR</v>
      </c>
      <c r="D125" s="196" t="str">
        <f>IFERROR(__xludf.DUMMYFUNCTION("""COMPUTED_VALUE"""),"CALLING CARD
JAYVEN 5 BOXES
HAZEL 1 BOX")</f>
        <v>CALLING CARD
JAYVEN 5 BOXES
HAZEL 1 BOX</v>
      </c>
      <c r="E125" s="196" t="str">
        <f>IFERROR(__xludf.DUMMYFUNCTION("""COMPUTED_VALUE"""),"MARKETING/PRMOTIONAL")</f>
        <v>MARKETING/PRMOTIONAL</v>
      </c>
    </row>
    <row r="126">
      <c r="A126" s="234">
        <f>IFERROR(__xludf.DUMMYFUNCTION("""COMPUTED_VALUE"""),104959.0)</f>
        <v>104959</v>
      </c>
      <c r="B126" s="235" t="str">
        <f>IFERROR(__xludf.DUMMYFUNCTION("""COMPUTED_VALUE"""),"Arnel Montablan")</f>
        <v>Arnel Montablan</v>
      </c>
      <c r="C126" s="235" t="str">
        <f>IFERROR(__xludf.DUMMYFUNCTION("""COMPUTED_VALUE"""),"Founder Scholar")</f>
        <v>Founder Scholar</v>
      </c>
      <c r="D126" s="196" t="str">
        <f>IFERROR(__xludf.DUMMYFUNCTION("""COMPUTED_VALUE"""),"WALL MOUNTED EXHAUST FAN 12 INCHES 5")</f>
        <v>WALL MOUNTED EXHAUST FAN 12 INCHES 5</v>
      </c>
      <c r="E126" s="196" t="str">
        <f>IFERROR(__xludf.DUMMYFUNCTION("""COMPUTED_VALUE"""),"INSTALLATION OF EXHAUST FAN AT GIRLS DORM YOKOHAMA")</f>
        <v>INSTALLATION OF EXHAUST FAN AT GIRLS DORM YOKOHAMA</v>
      </c>
    </row>
    <row r="127">
      <c r="A127" s="234">
        <f>IFERROR(__xludf.DUMMYFUNCTION("""COMPUTED_VALUE"""),104960.0)</f>
        <v>104960</v>
      </c>
      <c r="B127" s="235" t="str">
        <f>IFERROR(__xludf.DUMMYFUNCTION("""COMPUTED_VALUE"""),"Ruel Par")</f>
        <v>Ruel Par</v>
      </c>
      <c r="C127" s="235" t="str">
        <f>IFERROR(__xludf.DUMMYFUNCTION("""COMPUTED_VALUE"""),"ENGINEERING")</f>
        <v>ENGINEERING</v>
      </c>
      <c r="D127" s="196" t="str">
        <f>IFERROR(__xludf.DUMMYFUNCTION("""COMPUTED_VALUE"""),"1UNIT HP CEILING CASSETTE INVERTER PANASONIC ")</f>
        <v>1UNIT HP CEILING CASSETTE INVERTER PANASONIC </v>
      </c>
      <c r="E127" s="196" t="str">
        <f>IFERROR(__xludf.DUMMYFUNCTION("""COMPUTED_VALUE"""),"FOR COLLEGE 4TH FLOOR HALLWAY")</f>
        <v>FOR COLLEGE 4TH FLOOR HALLWAY</v>
      </c>
    </row>
    <row r="128">
      <c r="A128" s="234">
        <f>IFERROR(__xludf.DUMMYFUNCTION("""COMPUTED_VALUE"""),104961.0)</f>
        <v>104961</v>
      </c>
      <c r="B128" s="235" t="str">
        <f>IFERROR(__xludf.DUMMYFUNCTION("""COMPUTED_VALUE"""),"Rachel Jane V. Pamati-an")</f>
        <v>Rachel Jane V. Pamati-an</v>
      </c>
      <c r="C128" s="235" t="str">
        <f>IFERROR(__xludf.DUMMYFUNCTION("""COMPUTED_VALUE"""),"ADMIN - STAR")</f>
        <v>ADMIN - STAR</v>
      </c>
      <c r="D128" s="196" t="str">
        <f>IFERROR(__xludf.DUMMYFUNCTION("""COMPUTED_VALUE"""),"HIGIENECO PREMIUM ODOR COUNTERACTANT ANTI BACTERIAL FRAGRANCE SPRAY")</f>
        <v>HIGIENECO PREMIUM ODOR COUNTERACTANT ANTI BACTERIAL FRAGRANCE SPRAY</v>
      </c>
      <c r="E128" s="196"/>
    </row>
    <row r="129">
      <c r="A129" s="234">
        <f>IFERROR(__xludf.DUMMYFUNCTION("""COMPUTED_VALUE"""),104962.0)</f>
        <v>104962</v>
      </c>
      <c r="B129" s="235" t="str">
        <f>IFERROR(__xludf.DUMMYFUNCTION("""COMPUTED_VALUE"""),"MARIE CURIE ORIEL")</f>
        <v>MARIE CURIE ORIEL</v>
      </c>
      <c r="C129" s="235" t="str">
        <f>IFERROR(__xludf.DUMMYFUNCTION("""COMPUTED_VALUE"""),"MEDICAL")</f>
        <v>MEDICAL</v>
      </c>
      <c r="D129" s="196" t="str">
        <f>IFERROR(__xludf.DUMMYFUNCTION("""COMPUTED_VALUE"""),"TARPAULIN SCOREBOARD 50"" x 30"" 1")</f>
        <v>TARPAULIN SCOREBOARD 50" x 30" 1</v>
      </c>
      <c r="E129" s="196" t="str">
        <f>IFERROR(__xludf.DUMMYFUNCTION("""COMPUTED_VALUE"""),"TO REPLACE CURRENT SCOREBOARD/ UPGRADE FROM CARTOLINA SCOREBOARD")</f>
        <v>TO REPLACE CURRENT SCOREBOARD/ UPGRADE FROM CARTOLINA SCOREBOARD</v>
      </c>
    </row>
    <row r="130">
      <c r="A130" s="234">
        <f>IFERROR(__xludf.DUMMYFUNCTION("""COMPUTED_VALUE"""),104963.0)</f>
        <v>104963</v>
      </c>
      <c r="B130" s="235" t="str">
        <f>IFERROR(__xludf.DUMMYFUNCTION("""COMPUTED_VALUE"""),"JOSSA MARIE GALLANOSA")</f>
        <v>JOSSA MARIE GALLANOSA</v>
      </c>
      <c r="C130" s="235" t="str">
        <f>IFERROR(__xludf.DUMMYFUNCTION("""COMPUTED_VALUE"""),"CEM OFFICE")</f>
        <v>CEM OFFICE</v>
      </c>
      <c r="D130" s="196" t="str">
        <f>IFERROR(__xludf.DUMMYFUNCTION("""COMPUTED_VALUE"""),"HAIER M53 TABLET 30")</f>
        <v>HAIER M53 TABLET 30</v>
      </c>
      <c r="E130" s="196" t="str">
        <f>IFERROR(__xludf.DUMMYFUNCTION("""COMPUTED_VALUE"""),"GIAN- SGEN READING PROGRAM- ADDITIONAL TABLET")</f>
        <v>GIAN- SGEN READING PROGRAM- ADDITIONAL TABLET</v>
      </c>
    </row>
    <row r="131">
      <c r="A131" s="234">
        <f>IFERROR(__xludf.DUMMYFUNCTION("""COMPUTED_VALUE"""),104964.0)</f>
        <v>104964</v>
      </c>
      <c r="B131" s="235" t="str">
        <f>IFERROR(__xludf.DUMMYFUNCTION("""COMPUTED_VALUE"""),"ELMIE LAUDIATO")</f>
        <v>ELMIE LAUDIATO</v>
      </c>
      <c r="C131" s="235" t="str">
        <f>IFERROR(__xludf.DUMMYFUNCTION("""COMPUTED_VALUE"""),"HRMD")</f>
        <v>HRMD</v>
      </c>
      <c r="D131" s="196" t="str">
        <f>IFERROR(__xludf.DUMMYFUNCTION("""COMPUTED_VALUE"""),"SISC TYPE B UNIFORM 400 pcs")</f>
        <v>SISC TYPE B UNIFORM 400 pcs</v>
      </c>
      <c r="E131" s="196" t="str">
        <f>IFERROR(__xludf.DUMMYFUNCTION("""COMPUTED_VALUE"""),"SISC TYPE B UNIFORM AY 23-24")</f>
        <v>SISC TYPE B UNIFORM AY 23-24</v>
      </c>
    </row>
    <row r="132">
      <c r="A132" s="234">
        <f>IFERROR(__xludf.DUMMYFUNCTION("""COMPUTED_VALUE"""),104965.0)</f>
        <v>104965</v>
      </c>
      <c r="B132" s="235" t="str">
        <f>IFERROR(__xludf.DUMMYFUNCTION("""COMPUTED_VALUE"""),"ALFA DE LEON")</f>
        <v>ALFA DE LEON</v>
      </c>
      <c r="C132" s="235" t="str">
        <f>IFERROR(__xludf.DUMMYFUNCTION("""COMPUTED_VALUE"""),"ADMIN - MUNICH")</f>
        <v>ADMIN - MUNICH</v>
      </c>
      <c r="D132" s="196" t="str">
        <f>IFERROR(__xludf.DUMMYFUNCTION("""COMPUTED_VALUE"""),"GREEN LIRIO 15")</f>
        <v>GREEN LIRIO 15</v>
      </c>
      <c r="E132" s="196" t="str">
        <f>IFERROR(__xludf.DUMMYFUNCTION("""COMPUTED_VALUE"""),"MUNICH LANDSCAPING")</f>
        <v>MUNICH LANDSCAPING</v>
      </c>
    </row>
    <row r="133">
      <c r="A133" s="234">
        <f>IFERROR(__xludf.DUMMYFUNCTION("""COMPUTED_VALUE"""),104966.0)</f>
        <v>104966</v>
      </c>
      <c r="B133" s="235" t="str">
        <f>IFERROR(__xludf.DUMMYFUNCTION("""COMPUTED_VALUE"""),"SHEREE ESPINOSA")</f>
        <v>SHEREE ESPINOSA</v>
      </c>
      <c r="C133" s="235" t="str">
        <f>IFERROR(__xludf.DUMMYFUNCTION("""COMPUTED_VALUE"""),"ADMIN")</f>
        <v>ADMIN</v>
      </c>
      <c r="D133" s="196" t="str">
        <f>IFERROR(__xludf.DUMMYFUNCTION("""COMPUTED_VALUE"""),"CORK BOARD 4FT x 8FT 4 PCS")</f>
        <v>CORK BOARD 4FT x 8FT 4 PCS</v>
      </c>
      <c r="E133" s="196" t="str">
        <f>IFERROR(__xludf.DUMMYFUNCTION("""COMPUTED_VALUE"""),"FOR LUX CLASSROOMS BULLETIN BOARD")</f>
        <v>FOR LUX CLASSROOMS BULLETIN BOARD</v>
      </c>
    </row>
    <row r="134">
      <c r="A134" s="234">
        <f>IFERROR(__xludf.DUMMYFUNCTION("""COMPUTED_VALUE"""),104967.0)</f>
        <v>104967</v>
      </c>
      <c r="B134" s="235" t="str">
        <f>IFERROR(__xludf.DUMMYFUNCTION("""COMPUTED_VALUE"""),"SHEREE ESPINOSA")</f>
        <v>SHEREE ESPINOSA</v>
      </c>
      <c r="C134" s="235" t="str">
        <f>IFERROR(__xludf.DUMMYFUNCTION("""COMPUTED_VALUE"""),"ADMIN")</f>
        <v>ADMIN</v>
      </c>
      <c r="D134" s="196" t="str">
        <f>IFERROR(__xludf.DUMMYFUNCTION("""COMPUTED_VALUE"""),"TARPAULIN 
3.90 x 10FT H
4.30 FOLD 1.0M 10FT HEIGHT")</f>
        <v>TARPAULIN 
3.90 x 10FT H
4.30 FOLD 1.0M 10FT HEIGHT</v>
      </c>
      <c r="E134" s="196" t="str">
        <f>IFERROR(__xludf.DUMMYFUNCTION("""COMPUTED_VALUE"""),"FOR COLLEGE WALK WAY BOARD UP")</f>
        <v>FOR COLLEGE WALK WAY BOARD UP</v>
      </c>
    </row>
    <row r="135">
      <c r="A135" s="234">
        <f>IFERROR(__xludf.DUMMYFUNCTION("""COMPUTED_VALUE"""),104968.0)</f>
        <v>104968</v>
      </c>
      <c r="B135" s="235" t="str">
        <f>IFERROR(__xludf.DUMMYFUNCTION("""COMPUTED_VALUE"""),"SHEREE ESPINOSA")</f>
        <v>SHEREE ESPINOSA</v>
      </c>
      <c r="C135" s="235" t="str">
        <f>IFERROR(__xludf.DUMMYFUNCTION("""COMPUTED_VALUE"""),"ADMIN")</f>
        <v>ADMIN</v>
      </c>
      <c r="D135" s="196" t="str">
        <f>IFERROR(__xludf.DUMMYFUNCTION("""COMPUTED_VALUE"""),"ETIC WHITE NATURALE TILE  RM21203 - 2400 PCS")</f>
        <v>ETIC WHITE NATURALE TILE  RM21203 - 2400 PCS</v>
      </c>
      <c r="E135" s="196" t="str">
        <f>IFERROR(__xludf.DUMMYFUNCTION("""COMPUTED_VALUE"""),"FOR 5F COLLEGE")</f>
        <v>FOR 5F COLLEGE</v>
      </c>
    </row>
    <row r="136">
      <c r="A136" s="234">
        <f>IFERROR(__xludf.DUMMYFUNCTION("""COMPUTED_VALUE"""),104969.0)</f>
        <v>104969</v>
      </c>
      <c r="B136" s="235" t="str">
        <f>IFERROR(__xludf.DUMMYFUNCTION("""COMPUTED_VALUE"""),"OWIE PAR ")</f>
        <v>OWIE PAR </v>
      </c>
      <c r="C136" s="235" t="str">
        <f>IFERROR(__xludf.DUMMYFUNCTION("""COMPUTED_VALUE"""),"ENGINEERING")</f>
        <v>ENGINEERING</v>
      </c>
      <c r="D136" s="196" t="str">
        <f>IFERROR(__xludf.DUMMYFUNCTION("""COMPUTED_VALUE"""),"ALUMINUM LADDER A-LADDER
4FT 1SET
8FT 1 SET")</f>
        <v>ALUMINUM LADDER A-LADDER
4FT 1SET
8FT 1 SET</v>
      </c>
      <c r="E136" s="196" t="str">
        <f>IFERROR(__xludf.DUMMYFUNCTION("""COMPUTED_VALUE"""),"FOR ENG'S USE")</f>
        <v>FOR ENG'S USE</v>
      </c>
    </row>
    <row r="137">
      <c r="A137" s="234">
        <f>IFERROR(__xludf.DUMMYFUNCTION("""COMPUTED_VALUE"""),104970.0)</f>
        <v>104970</v>
      </c>
      <c r="B137" s="235" t="str">
        <f>IFERROR(__xludf.DUMMYFUNCTION("""COMPUTED_VALUE"""),"RONALD VERDE")</f>
        <v>RONALD VERDE</v>
      </c>
      <c r="C137" s="235" t="str">
        <f>IFERROR(__xludf.DUMMYFUNCTION("""COMPUTED_VALUE"""),"TRANSPORTATION")</f>
        <v>TRANSPORTATION</v>
      </c>
      <c r="D137" s="196" t="str">
        <f>IFERROR(__xludf.DUMMYFUNCTION("""COMPUTED_VALUE"""),"5 BIG STURDY UMBRELLAS FOR SISC VEHICLES ")</f>
        <v>5 BIG STURDY UMBRELLAS FOR SISC VEHICLES </v>
      </c>
      <c r="E137" s="196" t="str">
        <f>IFERROR(__xludf.DUMMYFUNCTION("""COMPUTED_VALUE"""),"FOR THE VANS AND VEHICLES ")</f>
        <v>FOR THE VANS AND VEHICLES </v>
      </c>
    </row>
    <row r="138">
      <c r="A138" s="234">
        <f>IFERROR(__xludf.DUMMYFUNCTION("""COMPUTED_VALUE"""),104971.0)</f>
        <v>104971</v>
      </c>
      <c r="B138" s="235" t="str">
        <f>IFERROR(__xludf.DUMMYFUNCTION("""COMPUTED_VALUE"""),"SHEREE ESPINOSA ")</f>
        <v>SHEREE ESPINOSA </v>
      </c>
      <c r="C138" s="235" t="str">
        <f>IFERROR(__xludf.DUMMYFUNCTION("""COMPUTED_VALUE"""),"ADMIN")</f>
        <v>ADMIN</v>
      </c>
      <c r="D138" s="196" t="str">
        <f>IFERROR(__xludf.DUMMYFUNCTION("""COMPUTED_VALUE"""),"4 PCS SMART TOP SMOOTH IN WALNUT
4 PCS BOURBON ")</f>
        <v>4 PCS SMART TOP SMOOTH IN WALNUT
4 PCS BOURBON </v>
      </c>
      <c r="E138" s="196" t="str">
        <f>IFERROR(__xludf.DUMMYFUNCTION("""COMPUTED_VALUE"""),"FOR COLLEGE WALKWAY ")</f>
        <v>FOR COLLEGE WALKWAY </v>
      </c>
    </row>
    <row r="139">
      <c r="A139" s="234">
        <f>IFERROR(__xludf.DUMMYFUNCTION("""COMPUTED_VALUE"""),104972.0)</f>
        <v>104972</v>
      </c>
      <c r="B139" s="235" t="str">
        <f>IFERROR(__xludf.DUMMYFUNCTION("""COMPUTED_VALUE"""),"MARC VINCENT VITTO")</f>
        <v>MARC VINCENT VITTO</v>
      </c>
      <c r="C139" s="235" t="str">
        <f>IFERROR(__xludf.DUMMYFUNCTION("""COMPUTED_VALUE"""),"PR &amp; MARKETING")</f>
        <v>PR &amp; MARKETING</v>
      </c>
      <c r="D139" s="196" t="str">
        <f>IFERROR(__xludf.DUMMYFUNCTION("""COMPUTED_VALUE"""),"PULL UP BANNER FOR COLLEGE SIZE: W- 3FT X H- 6.5 FT")</f>
        <v>PULL UP BANNER FOR COLLEGE SIZE: W- 3FT X H- 6.5 FT</v>
      </c>
      <c r="E139" s="196" t="str">
        <f>IFERROR(__xludf.DUMMYFUNCTION("""COMPUTED_VALUE"""),"FOR MARKETING ")</f>
        <v>FOR MARKETING </v>
      </c>
    </row>
    <row r="140">
      <c r="A140" s="234">
        <f>IFERROR(__xludf.DUMMYFUNCTION("""COMPUTED_VALUE"""),104973.0)</f>
        <v>104973</v>
      </c>
      <c r="B140" s="235" t="str">
        <f>IFERROR(__xludf.DUMMYFUNCTION("""COMPUTED_VALUE"""),"SHEREE ESPINOSA ")</f>
        <v>SHEREE ESPINOSA </v>
      </c>
      <c r="C140" s="235" t="str">
        <f>IFERROR(__xludf.DUMMYFUNCTION("""COMPUTED_VALUE"""),"ADMIN")</f>
        <v>ADMIN</v>
      </c>
      <c r="D140" s="196" t="str">
        <f>IFERROR(__xludf.DUMMYFUNCTION("""COMPUTED_VALUE"""),"3 PCS.  TOLIX BARSTOOL WITH BACKREST ")</f>
        <v>3 PCS.  TOLIX BARSTOOL WITH BACKREST </v>
      </c>
      <c r="E140" s="196" t="str">
        <f>IFERROR(__xludf.DUMMYFUNCTION("""COMPUTED_VALUE"""),"FOR COLLEGE WALKWAY")</f>
        <v>FOR COLLEGE WALKWAY</v>
      </c>
    </row>
    <row r="141">
      <c r="A141" s="234">
        <f>IFERROR(__xludf.DUMMYFUNCTION("""COMPUTED_VALUE"""),104974.0)</f>
        <v>104974</v>
      </c>
      <c r="B141" s="235" t="str">
        <f>IFERROR(__xludf.DUMMYFUNCTION("""COMPUTED_VALUE"""),"SHEREE ESPINOSA ")</f>
        <v>SHEREE ESPINOSA </v>
      </c>
      <c r="C141" s="235" t="str">
        <f>IFERROR(__xludf.DUMMYFUNCTION("""COMPUTED_VALUE"""),"ADMIN")</f>
        <v>ADMIN</v>
      </c>
      <c r="D141" s="196" t="str">
        <f>IFERROR(__xludf.DUMMYFUNCTION("""COMPUTED_VALUE"""),"16 pcs. OUTDOOR CHAIR FOR COLLEGE WALKWAY")</f>
        <v>16 pcs. OUTDOOR CHAIR FOR COLLEGE WALKWAY</v>
      </c>
      <c r="E141" s="196" t="str">
        <f>IFERROR(__xludf.DUMMYFUNCTION("""COMPUTED_VALUE"""),"FOR COLLEGE WALKWAY")</f>
        <v>FOR COLLEGE WALKWAY</v>
      </c>
    </row>
    <row r="142">
      <c r="A142" s="234">
        <f>IFERROR(__xludf.DUMMYFUNCTION("""COMPUTED_VALUE"""),104975.0)</f>
        <v>104975</v>
      </c>
      <c r="B142" s="235" t="str">
        <f>IFERROR(__xludf.DUMMYFUNCTION("""COMPUTED_VALUE"""),"SHEREE ESPINOSA ")</f>
        <v>SHEREE ESPINOSA </v>
      </c>
      <c r="C142" s="235" t="str">
        <f>IFERROR(__xludf.DUMMYFUNCTION("""COMPUTED_VALUE"""),"ADMIN")</f>
        <v>ADMIN</v>
      </c>
      <c r="D142" s="196" t="str">
        <f>IFERROR(__xludf.DUMMYFUNCTION("""COMPUTED_VALUE"""),"3 PCS OUTDOOR BAR CHAIR ")</f>
        <v>3 PCS OUTDOOR BAR CHAIR </v>
      </c>
      <c r="E142" s="196" t="str">
        <f>IFERROR(__xludf.DUMMYFUNCTION("""COMPUTED_VALUE"""),"FOR COLLEGE WALKWAY")</f>
        <v>FOR COLLEGE WALKWAY</v>
      </c>
    </row>
    <row r="143">
      <c r="A143" s="234">
        <f>IFERROR(__xludf.DUMMYFUNCTION("""COMPUTED_VALUE"""),104976.0)</f>
        <v>104976</v>
      </c>
      <c r="B143" s="235" t="str">
        <f>IFERROR(__xludf.DUMMYFUNCTION("""COMPUTED_VALUE"""),"LYKA PERALTA")</f>
        <v>LYKA PERALTA</v>
      </c>
      <c r="C143" s="235" t="str">
        <f>IFERROR(__xludf.DUMMYFUNCTION("""COMPUTED_VALUE"""),"AMD")</f>
        <v>AMD</v>
      </c>
      <c r="D143" s="196" t="str">
        <f>IFERROR(__xludf.DUMMYFUNCTION("""COMPUTED_VALUE"""),"2000 PCS, ENVELOPE, EXPANDING PLASTIC- LONG, ADVENTURER")</f>
        <v>2000 PCS, ENVELOPE, EXPANDING PLASTIC- LONG, ADVENTURER</v>
      </c>
      <c r="E143" s="196" t="str">
        <f>IFERROR(__xludf.DUMMYFUNCTION("""COMPUTED_VALUE"""),"OSSUP STOCK REPLENISHMENT")</f>
        <v>OSSUP STOCK REPLENISHMENT</v>
      </c>
    </row>
    <row r="144">
      <c r="A144" s="234">
        <f>IFERROR(__xludf.DUMMYFUNCTION("""COMPUTED_VALUE"""),104977.0)</f>
        <v>104977</v>
      </c>
      <c r="B144" s="235" t="str">
        <f>IFERROR(__xludf.DUMMYFUNCTION("""COMPUTED_VALUE"""),"LYKA PERALTA")</f>
        <v>LYKA PERALTA</v>
      </c>
      <c r="C144" s="235" t="str">
        <f>IFERROR(__xludf.DUMMYFUNCTION("""COMPUTED_VALUE"""),"AMD")</f>
        <v>AMD</v>
      </c>
      <c r="D144" s="196" t="str">
        <f>IFERROR(__xludf.DUMMYFUNCTION("""COMPUTED_VALUE"""),"3000 PCS., ENVELOPE BROWN LONG")</f>
        <v>3000 PCS., ENVELOPE BROWN LONG</v>
      </c>
      <c r="E144" s="196" t="str">
        <f>IFERROR(__xludf.DUMMYFUNCTION("""COMPUTED_VALUE"""),"OSSUP STOCK REPLENISHMENT")</f>
        <v>OSSUP STOCK REPLENISHMENT</v>
      </c>
    </row>
    <row r="145">
      <c r="A145" s="234">
        <f>IFERROR(__xludf.DUMMYFUNCTION("""COMPUTED_VALUE"""),104978.0)</f>
        <v>104978</v>
      </c>
      <c r="B145" s="235" t="str">
        <f>IFERROR(__xludf.DUMMYFUNCTION("""COMPUTED_VALUE"""),"CLEA LOMIWES")</f>
        <v>CLEA LOMIWES</v>
      </c>
      <c r="C145" s="235" t="str">
        <f>IFERROR(__xludf.DUMMYFUNCTION("""COMPUTED_VALUE"""),"LIBRARY BASIC ED")</f>
        <v>LIBRARY BASIC ED</v>
      </c>
      <c r="D145" s="196" t="str">
        <f>IFERROR(__xludf.DUMMYFUNCTION("""COMPUTED_VALUE"""),"300 PCS ID ALIGATOR CLIP")</f>
        <v>300 PCS ID ALIGATOR CLIP</v>
      </c>
      <c r="E145" s="196" t="str">
        <f>IFERROR(__xludf.DUMMYFUNCTION("""COMPUTED_VALUE"""),"USE FOR BAGGAGE COUNTER AND SECURITY PURPOSES ")</f>
        <v>USE FOR BAGGAGE COUNTER AND SECURITY PURPOSES </v>
      </c>
    </row>
    <row r="146">
      <c r="A146" s="234">
        <f>IFERROR(__xludf.DUMMYFUNCTION("""COMPUTED_VALUE"""),104979.0)</f>
        <v>104979</v>
      </c>
      <c r="B146" s="235" t="str">
        <f>IFERROR(__xludf.DUMMYFUNCTION("""COMPUTED_VALUE"""),"RODRIGO CUSTODIO")</f>
        <v>RODRIGO CUSTODIO</v>
      </c>
      <c r="C146" s="235" t="str">
        <f>IFERROR(__xludf.DUMMYFUNCTION("""COMPUTED_VALUE"""),"AMD")</f>
        <v>AMD</v>
      </c>
      <c r="D146" s="196" t="str">
        <f>IFERROR(__xludf.DUMMYFUNCTION("""COMPUTED_VALUE"""),"90 PCS.  SOFT BROOMS ")</f>
        <v>90 PCS.  SOFT BROOMS </v>
      </c>
      <c r="E146" s="196" t="str">
        <f>IFERROR(__xludf.DUMMYFUNCTION("""COMPUTED_VALUE"""),"HOUSEKEEPING MATERIALS STOCK REPLENISHMENT ")</f>
        <v>HOUSEKEEPING MATERIALS STOCK REPLENISHMENT </v>
      </c>
    </row>
    <row r="147">
      <c r="A147" s="234">
        <f>IFERROR(__xludf.DUMMYFUNCTION("""COMPUTED_VALUE"""),104980.0)</f>
        <v>104980</v>
      </c>
      <c r="B147" s="235" t="str">
        <f>IFERROR(__xludf.DUMMYFUNCTION("""COMPUTED_VALUE"""),"RODRIGO CUSTODIO")</f>
        <v>RODRIGO CUSTODIO</v>
      </c>
      <c r="C147" s="235" t="str">
        <f>IFERROR(__xludf.DUMMYFUNCTION("""COMPUTED_VALUE"""),"AMD")</f>
        <v>AMD</v>
      </c>
      <c r="D147" s="196" t="str">
        <f>IFERROR(__xludf.DUMMYFUNCTION("""COMPUTED_VALUE"""),"28 GLS GLOW FURNITURE CLEANER AND POLISH (RIVCHEM)")</f>
        <v>28 GLS GLOW FURNITURE CLEANER AND POLISH (RIVCHEM)</v>
      </c>
      <c r="E147" s="196" t="str">
        <f>IFERROR(__xludf.DUMMYFUNCTION("""COMPUTED_VALUE"""),"HOUSEKEEPING MATERIALS STOCK REPLENISHMENT ")</f>
        <v>HOUSEKEEPING MATERIALS STOCK REPLENISHMENT </v>
      </c>
    </row>
    <row r="148">
      <c r="A148" s="234">
        <f>IFERROR(__xludf.DUMMYFUNCTION("""COMPUTED_VALUE"""),104981.0)</f>
        <v>104981</v>
      </c>
      <c r="B148" s="235" t="str">
        <f>IFERROR(__xludf.DUMMYFUNCTION("""COMPUTED_VALUE"""),"RODRIGO CUSTODIO")</f>
        <v>RODRIGO CUSTODIO</v>
      </c>
      <c r="C148" s="235" t="str">
        <f>IFERROR(__xludf.DUMMYFUNCTION("""COMPUTED_VALUE"""),"AMD")</f>
        <v>AMD</v>
      </c>
      <c r="D148" s="196" t="str">
        <f>IFERROR(__xludf.DUMMYFUNCTION("""COMPUTED_VALUE"""),"140 GALS HANDSOAP ANTIBACTERIAL  (YELLOW)")</f>
        <v>140 GALS HANDSOAP ANTIBACTERIAL  (YELLOW)</v>
      </c>
      <c r="E148" s="196" t="str">
        <f>IFERROR(__xludf.DUMMYFUNCTION("""COMPUTED_VALUE"""),"HOUSEKEEPING MATERIALS STOCK REPLENISHMENT ")</f>
        <v>HOUSEKEEPING MATERIALS STOCK REPLENISHMENT </v>
      </c>
    </row>
    <row r="149">
      <c r="A149" s="234">
        <f>IFERROR(__xludf.DUMMYFUNCTION("""COMPUTED_VALUE"""),104982.0)</f>
        <v>104982</v>
      </c>
      <c r="B149" s="235" t="str">
        <f>IFERROR(__xludf.DUMMYFUNCTION("""COMPUTED_VALUE"""),"RODRIGO CUSTODIO")</f>
        <v>RODRIGO CUSTODIO</v>
      </c>
      <c r="C149" s="235" t="str">
        <f>IFERROR(__xludf.DUMMYFUNCTION("""COMPUTED_VALUE"""),"AMD")</f>
        <v>AMD</v>
      </c>
      <c r="D149" s="196" t="str">
        <f>IFERROR(__xludf.DUMMYFUNCTION("""COMPUTED_VALUE"""),"130 PCS. RUBBER CHAMOIS ")</f>
        <v>130 PCS. RUBBER CHAMOIS </v>
      </c>
      <c r="E149" s="196" t="str">
        <f>IFERROR(__xludf.DUMMYFUNCTION("""COMPUTED_VALUE"""),"HOUSEKEEPING MATERIALS STOCK REPLENISHMENT ")</f>
        <v>HOUSEKEEPING MATERIALS STOCK REPLENISHMENT </v>
      </c>
    </row>
    <row r="150">
      <c r="A150" s="234">
        <f>IFERROR(__xludf.DUMMYFUNCTION("""COMPUTED_VALUE"""),104983.0)</f>
        <v>104983</v>
      </c>
      <c r="B150" s="235" t="str">
        <f>IFERROR(__xludf.DUMMYFUNCTION("""COMPUTED_VALUE"""),"RODRIGO CUSTODIO")</f>
        <v>RODRIGO CUSTODIO</v>
      </c>
      <c r="C150" s="235" t="str">
        <f>IFERROR(__xludf.DUMMYFUNCTION("""COMPUTED_VALUE"""),"AMD")</f>
        <v>AMD</v>
      </c>
      <c r="D150" s="196" t="str">
        <f>IFERROR(__xludf.DUMMYFUNCTION("""COMPUTED_VALUE"""),"SPOTLESS HOUSEHOLD CLEANING PASTE ")</f>
        <v>SPOTLESS HOUSEHOLD CLEANING PASTE </v>
      </c>
      <c r="E150" s="196" t="str">
        <f>IFERROR(__xludf.DUMMYFUNCTION("""COMPUTED_VALUE"""),"HOUSEKEEPING MATERIALS STOCK REPLENISHMENT ")</f>
        <v>HOUSEKEEPING MATERIALS STOCK REPLENISHMENT </v>
      </c>
    </row>
    <row r="151">
      <c r="A151" s="234">
        <f>IFERROR(__xludf.DUMMYFUNCTION("""COMPUTED_VALUE"""),104984.0)</f>
        <v>104984</v>
      </c>
      <c r="B151" s="235" t="str">
        <f>IFERROR(__xludf.DUMMYFUNCTION("""COMPUTED_VALUE"""),"RODRIGO CUSTODIO")</f>
        <v>RODRIGO CUSTODIO</v>
      </c>
      <c r="C151" s="235" t="str">
        <f>IFERROR(__xludf.DUMMYFUNCTION("""COMPUTED_VALUE"""),"AMD")</f>
        <v>AMD</v>
      </c>
      <c r="D151" s="196" t="str">
        <f>IFERROR(__xludf.DUMMYFUNCTION("""COMPUTED_VALUE"""),"STATE SHARK ")</f>
        <v>STATE SHARK </v>
      </c>
      <c r="E151" s="196" t="str">
        <f>IFERROR(__xludf.DUMMYFUNCTION("""COMPUTED_VALUE"""),"HOUSEKEEPING MATERIALS STOCK REPLENISHMENT ")</f>
        <v>HOUSEKEEPING MATERIALS STOCK REPLENISHMENT </v>
      </c>
    </row>
    <row r="152">
      <c r="A152" s="234">
        <f>IFERROR(__xludf.DUMMYFUNCTION("""COMPUTED_VALUE"""),104985.0)</f>
        <v>104985</v>
      </c>
      <c r="B152" s="235" t="str">
        <f>IFERROR(__xludf.DUMMYFUNCTION("""COMPUTED_VALUE"""),"LYKA PERALTA ")</f>
        <v>LYKA PERALTA </v>
      </c>
      <c r="C152" s="235" t="str">
        <f>IFERROR(__xludf.DUMMYFUNCTION("""COMPUTED_VALUE"""),"AMD")</f>
        <v>AMD</v>
      </c>
      <c r="D152" s="196" t="str">
        <f>IFERROR(__xludf.DUMMYFUNCTION("""COMPUTED_VALUE"""),"500 PCS. FOLDER FORTUNE WHITE SHORT")</f>
        <v>500 PCS. FOLDER FORTUNE WHITE SHORT</v>
      </c>
      <c r="E152" s="196" t="str">
        <f>IFERROR(__xludf.DUMMYFUNCTION("""COMPUTED_VALUE"""),"OSSUP STOCK REPLENISHMENT")</f>
        <v>OSSUP STOCK REPLENISHMENT</v>
      </c>
    </row>
    <row r="153">
      <c r="A153" s="234">
        <f>IFERROR(__xludf.DUMMYFUNCTION("""COMPUTED_VALUE"""),104986.0)</f>
        <v>104986</v>
      </c>
      <c r="B153" s="235" t="str">
        <f>IFERROR(__xludf.DUMMYFUNCTION("""COMPUTED_VALUE"""),"CAMILLE GABRIEL ")</f>
        <v>CAMILLE GABRIEL </v>
      </c>
      <c r="C153" s="235" t="str">
        <f>IFERROR(__xludf.DUMMYFUNCTION("""COMPUTED_VALUE"""),"HRMD")</f>
        <v>HRMD</v>
      </c>
      <c r="D153" s="196" t="str">
        <f>IFERROR(__xludf.DUMMYFUNCTION("""COMPUTED_VALUE"""),"FLOWER WREATH ")</f>
        <v>FLOWER WREATH </v>
      </c>
      <c r="E153" s="196" t="str">
        <f>IFERROR(__xludf.DUMMYFUNCTION("""COMPUTED_VALUE"""),"FOR THE MOTHER OF MS. JUDY ARGUELLES")</f>
        <v>FOR THE MOTHER OF MS. JUDY ARGUELLES</v>
      </c>
    </row>
    <row r="154">
      <c r="A154" s="234">
        <f>IFERROR(__xludf.DUMMYFUNCTION("""COMPUTED_VALUE"""),104987.0)</f>
        <v>104987</v>
      </c>
      <c r="B154" s="235" t="str">
        <f>IFERROR(__xludf.DUMMYFUNCTION("""COMPUTED_VALUE"""),"RODRIGO CUSTODIO ")</f>
        <v>RODRIGO CUSTODIO </v>
      </c>
      <c r="C154" s="235" t="str">
        <f>IFERROR(__xludf.DUMMYFUNCTION("""COMPUTED_VALUE"""),"AMD")</f>
        <v>AMD</v>
      </c>
      <c r="D154" s="196" t="str">
        <f>IFERROR(__xludf.DUMMYFUNCTION("""COMPUTED_VALUE"""),"40 PCS TOILET BOWL BRUSH WITH HOLDER ")</f>
        <v>40 PCS TOILET BOWL BRUSH WITH HOLDER </v>
      </c>
      <c r="E154" s="196" t="str">
        <f>IFERROR(__xludf.DUMMYFUNCTION("""COMPUTED_VALUE"""),"HOUSEKEEPING MATERIALS REPLENISHMENT")</f>
        <v>HOUSEKEEPING MATERIALS REPLENISHMENT</v>
      </c>
    </row>
    <row r="155">
      <c r="A155" s="234">
        <f>IFERROR(__xludf.DUMMYFUNCTION("""COMPUTED_VALUE"""),104988.0)</f>
        <v>104988</v>
      </c>
      <c r="B155" s="235" t="str">
        <f>IFERROR(__xludf.DUMMYFUNCTION("""COMPUTED_VALUE"""),"LYKA PERALTA")</f>
        <v>LYKA PERALTA</v>
      </c>
      <c r="C155" s="235" t="str">
        <f>IFERROR(__xludf.DUMMYFUNCTION("""COMPUTED_VALUE"""),"AMD")</f>
        <v>AMD</v>
      </c>
      <c r="D155" s="196" t="str">
        <f>IFERROR(__xludf.DUMMYFUNCTION("""COMPUTED_VALUE"""),"50 PCS. STAPLER, MAX HD-50 (USE WITH #35 STAPLE WIRE) W/ STAPLE WIRE REMOVER")</f>
        <v>50 PCS. STAPLER, MAX HD-50 (USE WITH #35 STAPLE WIRE) W/ STAPLE WIRE REMOVER</v>
      </c>
      <c r="E155" s="196" t="str">
        <f>IFERROR(__xludf.DUMMYFUNCTION("""COMPUTED_VALUE"""),"OSSUP STOCK REPLENISHMENT")</f>
        <v>OSSUP STOCK REPLENISHMENT</v>
      </c>
    </row>
    <row r="156">
      <c r="A156" s="234">
        <f>IFERROR(__xludf.DUMMYFUNCTION("""COMPUTED_VALUE"""),104989.0)</f>
        <v>104989</v>
      </c>
      <c r="B156" s="235" t="str">
        <f>IFERROR(__xludf.DUMMYFUNCTION("""COMPUTED_VALUE"""),"LYKA PERALTA")</f>
        <v>LYKA PERALTA</v>
      </c>
      <c r="C156" s="235" t="str">
        <f>IFERROR(__xludf.DUMMYFUNCTION("""COMPUTED_VALUE"""),"AMD")</f>
        <v>AMD</v>
      </c>
      <c r="D156" s="196" t="str">
        <f>IFERROR(__xludf.DUMMYFUNCTION("""COMPUTED_VALUE"""),"70 CLIP BINDER JOY 2""")</f>
        <v>70 CLIP BINDER JOY 2"</v>
      </c>
      <c r="E156" s="196" t="str">
        <f>IFERROR(__xludf.DUMMYFUNCTION("""COMPUTED_VALUE"""),"OSSUP STOCK REPLENISHMENT")</f>
        <v>OSSUP STOCK REPLENISHMENT</v>
      </c>
    </row>
    <row r="157">
      <c r="A157" s="234">
        <f>IFERROR(__xludf.DUMMYFUNCTION("""COMPUTED_VALUE"""),104990.0)</f>
        <v>104990</v>
      </c>
      <c r="B157" s="235" t="str">
        <f>IFERROR(__xludf.DUMMYFUNCTION("""COMPUTED_VALUE"""),"GERALDINE MEDINA")</f>
        <v>GERALDINE MEDINA</v>
      </c>
      <c r="C157" s="235" t="str">
        <f>IFERROR(__xludf.DUMMYFUNCTION("""COMPUTED_VALUE"""),"LEARNING VILLAGE")</f>
        <v>LEARNING VILLAGE</v>
      </c>
      <c r="D157" s="196" t="str">
        <f>IFERROR(__xludf.DUMMYFUNCTION("""COMPUTED_VALUE"""),"1 PC TARPAULIN NEAR FRONT GATE, 1 PC. TARPAULINE NEAR BACK GATE, 1 PARKING AREA")</f>
        <v>1 PC TARPAULIN NEAR FRONT GATE, 1 PC. TARPAULINE NEAR BACK GATE, 1 PARKING AREA</v>
      </c>
      <c r="E157" s="196" t="str">
        <f>IFERROR(__xludf.DUMMYFUNCTION("""COMPUTED_VALUE"""),"FOR MARKETING OF LV")</f>
        <v>FOR MARKETING OF LV</v>
      </c>
    </row>
    <row r="158">
      <c r="A158" s="234">
        <f>IFERROR(__xludf.DUMMYFUNCTION("""COMPUTED_VALUE"""),104991.0)</f>
        <v>104991</v>
      </c>
      <c r="B158" s="235" t="str">
        <f>IFERROR(__xludf.DUMMYFUNCTION("""COMPUTED_VALUE"""),"MELISSA ODOÑO")</f>
        <v>MELISSA ODOÑO</v>
      </c>
      <c r="C158" s="235" t="str">
        <f>IFERROR(__xludf.DUMMYFUNCTION("""COMPUTED_VALUE"""),"LIBRARY MUNICH")</f>
        <v>LIBRARY MUNICH</v>
      </c>
      <c r="D158" s="196" t="str">
        <f>IFERROR(__xludf.DUMMYFUNCTION("""COMPUTED_VALUE"""),"BOOKS ON FINANCIAL LITERACY 1 LOT")</f>
        <v>BOOKS ON FINANCIAL LITERACY 1 LOT</v>
      </c>
      <c r="E158" s="196" t="str">
        <f>IFERROR(__xludf.DUMMYFUNCTION("""COMPUTED_VALUE"""),"FOR FACULTY USE/ LIB COPY")</f>
        <v>FOR FACULTY USE/ LIB COPY</v>
      </c>
    </row>
    <row r="159">
      <c r="A159" s="234">
        <f>IFERROR(__xludf.DUMMYFUNCTION("""COMPUTED_VALUE"""),104992.0)</f>
        <v>104992</v>
      </c>
      <c r="B159" s="235" t="str">
        <f>IFERROR(__xludf.DUMMYFUNCTION("""COMPUTED_VALUE"""),"ALFA DE LEON")</f>
        <v>ALFA DE LEON</v>
      </c>
      <c r="C159" s="235" t="str">
        <f>IFERROR(__xludf.DUMMYFUNCTION("""COMPUTED_VALUE"""),"MUNICH")</f>
        <v>MUNICH</v>
      </c>
      <c r="D159" s="196" t="str">
        <f>IFERROR(__xludf.DUMMYFUNCTION("""COMPUTED_VALUE"""),"3 PLUG  + OUTLET
2 SEAT COVER
4 GARDEN HOSE CONNECTORS
2 OUTLET COVER
1 EDGE PROTECTOR")</f>
        <v>3 PLUG  + OUTLET
2 SEAT COVER
4 GARDEN HOSE CONNECTORS
2 OUTLET COVER
1 EDGE PROTECTOR</v>
      </c>
      <c r="E159" s="196" t="str">
        <f>IFERROR(__xludf.DUMMYFUNCTION("""COMPUTED_VALUE"""),"REPAIR + MAINTENANCE")</f>
        <v>REPAIR + MAINTENANCE</v>
      </c>
    </row>
    <row r="160">
      <c r="A160" s="234">
        <f>IFERROR(__xludf.DUMMYFUNCTION("""COMPUTED_VALUE"""),104993.0)</f>
        <v>104993</v>
      </c>
      <c r="B160" s="235" t="str">
        <f>IFERROR(__xludf.DUMMYFUNCTION("""COMPUTED_VALUE"""),"MELISSA ODOÑO")</f>
        <v>MELISSA ODOÑO</v>
      </c>
      <c r="C160" s="235" t="str">
        <f>IFERROR(__xludf.DUMMYFUNCTION("""COMPUTED_VALUE"""),"LIBRARY MUNICH")</f>
        <v>LIBRARY MUNICH</v>
      </c>
      <c r="D160" s="196" t="str">
        <f>IFERROR(__xludf.DUMMYFUNCTION("""COMPUTED_VALUE"""),"BERENSTAIN BEARS: WE LOVE OUR DAD!  (8X8)
BERENSTAIN BEARS: WE LOVE OUR MOM!  (8X8)
BERENSTAIN BEARS: WHEN I GROW UP 
BIG BEAR HUG (BB)
BIG SHARK, LITTLE SHARK, BABY SHARK
BRAINS ON! PRESENTS...MEET MY MICRO-PETS!(HC)
BREATHE LIKE A BEAR MINDFULNESS"&amp;" CARDS
BRILLIANT BABY FIGHTS GERMS (BB)
""BUBBLECAT: BUBBLECAT GROWS A GARDEN	(PB)""
CAILLOU GOES TO SCHOOL (CLUBHOUSE) PB
CAILLOU: THE JUNGLE EXPLORER (CLUBHOUSE) PB
CHICKEN SOUP FOR THE SOUL BABIES: SAY THANK YOU BUT WHY? (BB)
CLICK, CLACK, MOO (B"&amp;"B)
DANIEL TIGER'S NEIGHBORHOOD: DANIEL GOES TO SCHOOL
DON'T LET THE PIGEON DRIVE THE BUS! (CALDECOTT)
EARN IT!
EAT TOGETHER  (BB)
ELINOR WONDERS WHY: THE MYSTERY OF THE ZIGZAG PLANT (PB)
FIELD DAY! (STEP INTO READING, LEVEL 1) (PB)
FIND SPOT AT THE"&amp;" LIBRARY (BB)
GAME DAY: BREAKAWAY (RTR, LEVEL2)
GOOD DOG SCHOOL
GROWING VEGETABLE SOUP (PB)
GRUMPY MONKEY TOO MANY BUGS
HAPPY EASTER FROM THE CRAYONS
HAPPY EASTER, LITTLE CRITTER (BB)
HOW DOES MONEY WORK? (STORYBOTS)
JAZZ THE VET (LADYBIRD READERS"&amp;", LEVEL 8) (ELT GRADED READER) PB
JUST GO TO BED (HC)
LET'S BRUSH OUR TEETH!
LITTLE CRITTER: I'M SORRY (PB)
LITTLE CRITTER: JUST A RAINY DAY (PB)
LITTLE RAINDROP (BIG BOOK)
LOVE STINKS! (STEP INTO READING) (PB)
MAGIC MAT (BIG BOOK)
MOIRA'S BIRTHDA"&amp;"Y
MOM'S BEST PLAYDOUGH ACTIVITIES (FARM ANIMALS) PB
MOM'S BEST PLAYDOUGH ACTIVITIES (WILD ANIMALS) PB
NIGHT BEFORE SECOND GRADE, THE
NOT-A-BOX CITY
PETE THE CAT AND THE SUPERCOOL SCIENCE FAIR
PETE THE CAT FOR CLASS PRESIDENT!
PETE THE CAT: ROCKING "&amp;"FIELD DAY (I CAN READ, LEVEL 1)
PETE THE CAT: SCAREDY CAT!
READY TO READ: IF YOU LOVE ROBOTS, YOU COULD BE...
ROBOTICS FOR BABIES (BB)
SECOND GRADE, HERE I COME! (PB)
SOCIAL-EMOTIONAL LEARNING FOR AUTISTIC KIDS: FUN ACTIVITIES TO MANAGE BIG FEELINGS "&amp;"AND MAKE FRIENDS (FOR AGES 5-10) (PB)
SUMMER THINGS TO MAKE AND DO (PB)
THIS MAKES ME ANXIOUS: FIRST DAY OF SCHOOL
TIME FOR SCHOOL, LITTLE BLUE TRUCK BIG BOOK
TIME FOR THE VET, SNOOPY! (READY TO READ, LEVEL 2) (PB) 
VERY HUNGRY CATERPILLAR LET'S PLAY"&amp;" ALL DAY, THE
WALK ON THE WILD SIDE (PB)
WHAT IS IT? (HIGHCHAIR U)
WORLD OF ERIC CARLE: WHERE IS THE SUN? (READY-TO-READ, READY-TO-GO!) (PB)")</f>
        <v>BERENSTAIN BEARS: WE LOVE OUR DAD!  (8X8)
BERENSTAIN BEARS: WE LOVE OUR MOM!  (8X8)
BERENSTAIN BEARS: WHEN I GROW UP 
BIG BEAR HUG (BB)
BIG SHARK, LITTLE SHARK, BABY SHARK
BRAINS ON! PRESENTS...MEET MY MICRO-PETS!(HC)
BREATHE LIKE A BEAR MINDFULNESS CARDS
BRILLIANT BABY FIGHTS GERMS (BB)
"BUBBLECAT: BUBBLECAT GROWS A GARDEN	(PB)"
CAILLOU GOES TO SCHOOL (CLUBHOUSE) PB
CAILLOU: THE JUNGLE EXPLORER (CLUBHOUSE) PB
CHICKEN SOUP FOR THE SOUL BABIES: SAY THANK YOU BUT WHY? (BB)
CLICK, CLACK, MOO (BB)
DANIEL TIGER'S NEIGHBORHOOD: DANIEL GOES TO SCHOOL
DON'T LET THE PIGEON DRIVE THE BUS! (CALDECOTT)
EARN IT!
EAT TOGETHER  (BB)
ELINOR WONDERS WHY: THE MYSTERY OF THE ZIGZAG PLANT (PB)
FIELD DAY! (STEP INTO READING, LEVEL 1) (PB)
FIND SPOT AT THE LIBRARY (BB)
GAME DAY: BREAKAWAY (RTR, LEVEL2)
GOOD DOG SCHOOL
GROWING VEGETABLE SOUP (PB)
GRUMPY MONKEY TOO MANY BUGS
HAPPY EASTER FROM THE CRAYONS
HAPPY EASTER, LITTLE CRITTER (BB)
HOW DOES MONEY WORK? (STORYBOTS)
JAZZ THE VET (LADYBIRD READERS, LEVEL 8) (ELT GRADED READER) PB
JUST GO TO BED (HC)
LET'S BRUSH OUR TEETH!
LITTLE CRITTER: I'M SORRY (PB)
LITTLE CRITTER: JUST A RAINY DAY (PB)
LITTLE RAINDROP (BIG BOOK)
LOVE STINKS! (STEP INTO READING) (PB)
MAGIC MAT (BIG BOOK)
MOIRA'S BIRTHDAY
MOM'S BEST PLAYDOUGH ACTIVITIES (FARM ANIMALS) PB
MOM'S BEST PLAYDOUGH ACTIVITIES (WILD ANIMALS) PB
NIGHT BEFORE SECOND GRADE, THE
NOT-A-BOX CITY
PETE THE CAT AND THE SUPERCOOL SCIENCE FAIR
PETE THE CAT FOR CLASS PRESIDENT!
PETE THE CAT: ROCKING FIELD DAY (I CAN READ, LEVEL 1)
PETE THE CAT: SCAREDY CAT!
READY TO READ: IF YOU LOVE ROBOTS, YOU COULD BE...
ROBOTICS FOR BABIES (BB)
SECOND GRADE, HERE I COME! (PB)
SOCIAL-EMOTIONAL LEARNING FOR AUTISTIC KIDS: FUN ACTIVITIES TO MANAGE BIG FEELINGS AND MAKE FRIENDS (FOR AGES 5-10) (PB)
SUMMER THINGS TO MAKE AND DO (PB)
THIS MAKES ME ANXIOUS: FIRST DAY OF SCHOOL
TIME FOR SCHOOL, LITTLE BLUE TRUCK BIG BOOK
TIME FOR THE VET, SNOOPY! (READY TO READ, LEVEL 2) (PB) 
VERY HUNGRY CATERPILLAR LET'S PLAY ALL DAY, THE
WALK ON THE WILD SIDE (PB)
WHAT IS IT? (HIGHCHAIR U)
WORLD OF ERIC CARLE: WHERE IS THE SUN? (READY-TO-READ, READY-TO-GO!) (PB)</v>
      </c>
      <c r="E160" s="196" t="str">
        <f>IFERROR(__xludf.DUMMYFUNCTION("""COMPUTED_VALUE"""),"FOR STUDENTS/ FACULTY USE/ LIBRARY'S COPY")</f>
        <v>FOR STUDENTS/ FACULTY USE/ LIBRARY'S COPY</v>
      </c>
    </row>
    <row r="161">
      <c r="A161" s="234">
        <f>IFERROR(__xludf.DUMMYFUNCTION("""COMPUTED_VALUE"""),104994.0)</f>
        <v>104994</v>
      </c>
      <c r="B161" s="235" t="str">
        <f>IFERROR(__xludf.DUMMYFUNCTION("""COMPUTED_VALUE"""),"LYKA PERALTA")</f>
        <v>LYKA PERALTA</v>
      </c>
      <c r="C161" s="235"/>
      <c r="D161" s="196" t="str">
        <f>IFERROR(__xludf.DUMMYFUNCTION("""COMPUTED_VALUE"""),"750 PCS. BALLPEN, PANDA BLACK")</f>
        <v>750 PCS. BALLPEN, PANDA BLACK</v>
      </c>
      <c r="E161" s="196" t="str">
        <f>IFERROR(__xludf.DUMMYFUNCTION("""COMPUTED_VALUE"""),"OSSUP STOCK REPLENISHMENT")</f>
        <v>OSSUP STOCK REPLENISHMENT</v>
      </c>
    </row>
    <row r="162">
      <c r="A162" s="234">
        <f>IFERROR(__xludf.DUMMYFUNCTION("""COMPUTED_VALUE"""),104995.0)</f>
        <v>104995</v>
      </c>
      <c r="B162" s="235" t="str">
        <f>IFERROR(__xludf.DUMMYFUNCTION("""COMPUTED_VALUE"""),"LYKA PERALTA")</f>
        <v>LYKA PERALTA</v>
      </c>
      <c r="C162" s="235"/>
      <c r="D162" s="196" t="str">
        <f>IFERROR(__xludf.DUMMYFUNCTION("""COMPUTED_VALUE"""),"2 BOXES PEN, SIGN - PILOT BX - V5 PURPLE")</f>
        <v>2 BOXES PEN, SIGN - PILOT BX - V5 PURPLE</v>
      </c>
      <c r="E162" s="196" t="str">
        <f>IFERROR(__xludf.DUMMYFUNCTION("""COMPUTED_VALUE"""),"OSSUP STOCK REPLENISHMENT")</f>
        <v>OSSUP STOCK REPLENISHMENT</v>
      </c>
    </row>
    <row r="163">
      <c r="A163" s="234">
        <f>IFERROR(__xludf.DUMMYFUNCTION("""COMPUTED_VALUE"""),104996.0)</f>
        <v>104996</v>
      </c>
      <c r="B163" s="235" t="str">
        <f>IFERROR(__xludf.DUMMYFUNCTION("""COMPUTED_VALUE"""),"SAMEYA BANTA")</f>
        <v>SAMEYA BANTA</v>
      </c>
      <c r="C163" s="235"/>
      <c r="D163" s="196" t="str">
        <f>IFERROR(__xludf.DUMMYFUNCTION("""COMPUTED_VALUE"""),"5000 PCS. STICKER PAPER GLOSSY A4 100S")</f>
        <v>5000 PCS. STICKER PAPER GLOSSY A4 100S</v>
      </c>
      <c r="E163" s="196" t="str">
        <f>IFERROR(__xludf.DUMMYFUNCTION("""COMPUTED_VALUE"""),"FOR E,ERGENCY HEAD COVER (OLD YEAR BOOK) - FOR ALL BUILDINGS FOR CLASSROOMS, LABS, AND OFFICES")</f>
        <v>FOR E,ERGENCY HEAD COVER (OLD YEAR BOOK) - FOR ALL BUILDINGS FOR CLASSROOMS, LABS, AND OFFICES</v>
      </c>
    </row>
    <row r="164">
      <c r="A164" s="234">
        <f>IFERROR(__xludf.DUMMYFUNCTION("""COMPUTED_VALUE"""),104997.0)</f>
        <v>104997</v>
      </c>
      <c r="B164" s="235" t="str">
        <f>IFERROR(__xludf.DUMMYFUNCTION("""COMPUTED_VALUE"""),"ALFA DE LEON")</f>
        <v>ALFA DE LEON</v>
      </c>
      <c r="C164" s="235"/>
      <c r="D164" s="196" t="str">
        <f>IFERROR(__xludf.DUMMYFUNCTION("""COMPUTED_VALUE"""),"1PC. GASKET MAKER
1 SET GROUNDING ROD 8FT
1 ROLL THHN#12")</f>
        <v>1PC. GASKET MAKER
1 SET GROUNDING ROD 8FT
1 ROLL THHN#12</v>
      </c>
      <c r="E164" s="196" t="str">
        <f>IFERROR(__xludf.DUMMYFUNCTION("""COMPUTED_VALUE"""),"REPAIR OF LIGHTS RELOCATION SWITCHES")</f>
        <v>REPAIR OF LIGHTS RELOCATION SWITCHES</v>
      </c>
    </row>
    <row r="165">
      <c r="A165" s="234">
        <f>IFERROR(__xludf.DUMMYFUNCTION("""COMPUTED_VALUE"""),104998.0)</f>
        <v>104998</v>
      </c>
      <c r="B165" s="235" t="str">
        <f>IFERROR(__xludf.DUMMYFUNCTION("""COMPUTED_VALUE"""),"MELISSA ODOÑ")</f>
        <v>MELISSA ODOÑ</v>
      </c>
      <c r="C165" s="235" t="str">
        <f>IFERROR(__xludf.DUMMYFUNCTION("""COMPUTED_VALUE"""),"LIBRARY MUNICH")</f>
        <v>LIBRARY MUNICH</v>
      </c>
      <c r="D165" s="196" t="str">
        <f>IFERROR(__xludf.DUMMYFUNCTION("""COMPUTED_VALUE"""),"BBC EARTH: BIG AND SMALL (LADYBIRD READERS, LEVEL 2) (ELT GRADED READER) PB
BIG BAD BASH (LADYBIRD READERS, LEVEL 11) (ELT GRADED READER) PB
BIG FISH, THE (LADYBIRD READERS, LEVEL 12) (ELT GRADED READER) PB
DASH AND THUD (LADYBIRD READERS, LEVEL 10) (ELT "&amp;"GRADED READER)
FUN RUN, THE (LADYBIRD READERS, LEVEL 6) (ELT GRADED READER) PB
GRACE'S CHINESE NEW YEAR (STEP INTO READING, LEVEL 2) (PB)
HOW TO ROCK A SNOW DAY (STEP INTO READING, LEVEL 2) (PB)
LADYBIRD READERS LEVEL 01:PETER RABBIT AND THE RADISH ROBBER"&amp;" (PB)
LADYBIRD READERS LEVEL 02: PETER RABBIT: GOES TO THE TREEHOUSE (PB)
MISTY THE CLOUD: THE THING ABOUT SPRING (STEP INTO READING, LEVEL 2) (PB) 
100 MISTAKES THAT CHANGED HISTORY: BACKFIRES AND BLUNDERS THAT COLLAPSED EMPIRES, CRASHED ECONOMIES, AND "&amp;"ALTERED THE COURSE OF OUR WORLD (PB)
100 THINGS TO KNOW ABOUT SPORT (HC)
""AROUND THE WORLD IN 80
FESTIVALS""
FOOTBALL (DK EYEWITNESS) (PB)
HISTORY OF JAPAN: MANGA EDITION (PB)
I WANT TO BE SPAGHETTI! (HC)
ILLUSTRATED HISTORY OF THE PHILIPPINES, AN (PB)
I"&amp;"NVENTIONS IN 30 SECONDS (PB)
KID'S GUIDE TO CHESS
KOBE WAY: THE ICONIC MOMENTS AND MANEUVERS THAT MADE HIM A LEGEND (HC)
LIFT-THE-FLAP QUESTIONS AND ANSWERS ABOUT GROWING UP  
LITTLE EXPLORERS: OUTER SPACE (HC)
PETE THE CAT: SCAREDY CAT!
POCAHONTAS (LA"&amp;"DYBIRD READERS, LEVEL 2) (ELT GRADED READER) PB
TIME FOR THE VET, SNOOPY! (READY TO READ, LEVEL 2) (PB) 
VICK THE VET (LADYBIRD READERS, LEVEL 9) (ELT GRADED STARTER)")</f>
        <v>BBC EARTH: BIG AND SMALL (LADYBIRD READERS, LEVEL 2) (ELT GRADED READER) PB
BIG BAD BASH (LADYBIRD READERS, LEVEL 11) (ELT GRADED READER) PB
BIG FISH, THE (LADYBIRD READERS, LEVEL 12) (ELT GRADED READER) PB
DASH AND THUD (LADYBIRD READERS, LEVEL 10) (ELT GRADED READER)
FUN RUN, THE (LADYBIRD READERS, LEVEL 6) (ELT GRADED READER) PB
GRACE'S CHINESE NEW YEAR (STEP INTO READING, LEVEL 2) (PB)
HOW TO ROCK A SNOW DAY (STEP INTO READING, LEVEL 2) (PB)
LADYBIRD READERS LEVEL 01:PETER RABBIT AND THE RADISH ROBBER (PB)
LADYBIRD READERS LEVEL 02: PETER RABBIT: GOES TO THE TREEHOUSE (PB)
MISTY THE CLOUD: THE THING ABOUT SPRING (STEP INTO READING, LEVEL 2) (PB) 
100 MISTAKES THAT CHANGED HISTORY: BACKFIRES AND BLUNDERS THAT COLLAPSED EMPIRES, CRASHED ECONOMIES, AND ALTERED THE COURSE OF OUR WORLD (PB)
100 THINGS TO KNOW ABOUT SPORT (HC)
"AROUND THE WORLD IN 80
FESTIVALS"
FOOTBALL (DK EYEWITNESS) (PB)
HISTORY OF JAPAN: MANGA EDITION (PB)
I WANT TO BE SPAGHETTI! (HC)
ILLUSTRATED HISTORY OF THE PHILIPPINES, AN (PB)
INVENTIONS IN 30 SECONDS (PB)
KID'S GUIDE TO CHESS
KOBE WAY: THE ICONIC MOMENTS AND MANEUVERS THAT MADE HIM A LEGEND (HC)
LIFT-THE-FLAP QUESTIONS AND ANSWERS ABOUT GROWING UP  
LITTLE EXPLORERS: OUTER SPACE (HC)
PETE THE CAT: SCAREDY CAT!
POCAHONTAS (LADYBIRD READERS, LEVEL 2) (ELT GRADED READER) PB
TIME FOR THE VET, SNOOPY! (READY TO READ, LEVEL 2) (PB) 
VICK THE VET (LADYBIRD READERS, LEVEL 9) (ELT GRADED STARTER)</v>
      </c>
      <c r="E165" s="196" t="str">
        <f>IFERROR(__xludf.DUMMYFUNCTION("""COMPUTED_VALUE"""),"FOR STUDENTS/ FACULTY USE AND LIBRARY'S COPY")</f>
        <v>FOR STUDENTS/ FACULTY USE AND LIBRARY'S COPY</v>
      </c>
    </row>
    <row r="166">
      <c r="A166" s="234">
        <f>IFERROR(__xludf.DUMMYFUNCTION("""COMPUTED_VALUE"""),104999.0)</f>
        <v>104999</v>
      </c>
      <c r="B166" s="235" t="str">
        <f>IFERROR(__xludf.DUMMYFUNCTION("""COMPUTED_VALUE"""),"RODRIGO CUSTODIO")</f>
        <v>RODRIGO CUSTODIO</v>
      </c>
      <c r="C166" s="235" t="str">
        <f>IFERROR(__xludf.DUMMYFUNCTION("""COMPUTED_VALUE"""),"AMD")</f>
        <v>AMD</v>
      </c>
      <c r="D166" s="196" t="str">
        <f>IFERROR(__xludf.DUMMYFUNCTION("""COMPUTED_VALUE"""),"100 PACKS TRASH BAG SMALL (18X18) CLEAR
110 PACKS TRASH BAGS XXL (37""X40"") CLEAR
40 GALS STRIPPOL SUPER FLOOR WAX STRIPPER (RIVCHEM)
200 PACKS CHLORINE, 1KG PER PACK
90 PCS MOP HEAD")</f>
        <v>100 PACKS TRASH BAG SMALL (18X18) CLEAR
110 PACKS TRASH BAGS XXL (37"X40") CLEAR
40 GALS STRIPPOL SUPER FLOOR WAX STRIPPER (RIVCHEM)
200 PACKS CHLORINE, 1KG PER PACK
90 PCS MOP HEAD</v>
      </c>
      <c r="E166" s="196" t="str">
        <f>IFERROR(__xludf.DUMMYFUNCTION("""COMPUTED_VALUE"""),"HOUSE KEEPING MATERIALS - STOCK REPLENISHMENT")</f>
        <v>HOUSE KEEPING MATERIALS - STOCK REPLENISHMENT</v>
      </c>
    </row>
    <row r="167">
      <c r="A167" s="234">
        <f>IFERROR(__xludf.DUMMYFUNCTION("""COMPUTED_VALUE"""),105000.0)</f>
        <v>105000</v>
      </c>
      <c r="B167" s="235" t="str">
        <f>IFERROR(__xludf.DUMMYFUNCTION("""COMPUTED_VALUE"""),"RODRIGO CUSTODIO")</f>
        <v>RODRIGO CUSTODIO</v>
      </c>
      <c r="C167" s="235" t="str">
        <f>IFERROR(__xludf.DUMMYFUNCTION("""COMPUTED_VALUE"""),"AMD")</f>
        <v>AMD</v>
      </c>
      <c r="D167" s="196" t="str">
        <f>IFERROR(__xludf.DUMMYFUNCTION("""COMPUTED_VALUE"""),"40 PCS FALCON WATERLESS URINAL CARTRIDGE")</f>
        <v>40 PCS FALCON WATERLESS URINAL CARTRIDGE</v>
      </c>
      <c r="E167" s="196" t="str">
        <f>IFERROR(__xludf.DUMMYFUNCTION("""COMPUTED_VALUE"""),"HOUSE KEEPING MATERIALS - STOCK REPLENISHMENT")</f>
        <v>HOUSE KEEPING MATERIALS - STOCK REPLENISHMENT</v>
      </c>
    </row>
    <row r="168">
      <c r="A168" s="234">
        <f>IFERROR(__xludf.DUMMYFUNCTION("""COMPUTED_VALUE"""),105001.0)</f>
        <v>105001</v>
      </c>
      <c r="B168" s="235" t="str">
        <f>IFERROR(__xludf.DUMMYFUNCTION("""COMPUTED_VALUE"""),"RODRIGO CUSTODIO")</f>
        <v>RODRIGO CUSTODIO</v>
      </c>
      <c r="C168" s="235" t="str">
        <f>IFERROR(__xludf.DUMMYFUNCTION("""COMPUTED_VALUE"""),"AMD")</f>
        <v>AMD</v>
      </c>
      <c r="D168" s="196" t="str">
        <f>IFERROR(__xludf.DUMMYFUNCTION("""COMPUTED_VALUE"""),"80 PCS STICK BROOM")</f>
        <v>80 PCS STICK BROOM</v>
      </c>
      <c r="E168" s="196" t="str">
        <f>IFERROR(__xludf.DUMMYFUNCTION("""COMPUTED_VALUE"""),"HOUSE KEEPING MATERIALS - STOCK REPLENISHMENT")</f>
        <v>HOUSE KEEPING MATERIALS - STOCK REPLENISHMENT</v>
      </c>
    </row>
    <row r="169">
      <c r="A169" s="234">
        <f>IFERROR(__xludf.DUMMYFUNCTION("""COMPUTED_VALUE"""),105002.0)</f>
        <v>105002</v>
      </c>
      <c r="B169" s="235" t="str">
        <f>IFERROR(__xludf.DUMMYFUNCTION("""COMPUTED_VALUE"""),"RODRIGO CUSTODIO")</f>
        <v>RODRIGO CUSTODIO</v>
      </c>
      <c r="C169" s="235" t="str">
        <f>IFERROR(__xludf.DUMMYFUNCTION("""COMPUTED_VALUE"""),"AMD")</f>
        <v>AMD</v>
      </c>
      <c r="D169" s="196" t="str">
        <f>IFERROR(__xludf.DUMMYFUNCTION("""COMPUTED_VALUE"""),"100 PAIRS RUBBER GLOVES")</f>
        <v>100 PAIRS RUBBER GLOVES</v>
      </c>
      <c r="E169" s="196" t="str">
        <f>IFERROR(__xludf.DUMMYFUNCTION("""COMPUTED_VALUE"""),"HOUSE KEEPING MATERIALS - STOCK REPLENISHMENT")</f>
        <v>HOUSE KEEPING MATERIALS - STOCK REPLENISHMENT</v>
      </c>
    </row>
    <row r="170">
      <c r="A170" s="234">
        <f>IFERROR(__xludf.DUMMYFUNCTION("""COMPUTED_VALUE"""),105003.0)</f>
        <v>105003</v>
      </c>
      <c r="B170" s="235" t="str">
        <f>IFERROR(__xludf.DUMMYFUNCTION("""COMPUTED_VALUE"""),"RODRIGO CUSTODIO")</f>
        <v>RODRIGO CUSTODIO</v>
      </c>
      <c r="C170" s="235" t="str">
        <f>IFERROR(__xludf.DUMMYFUNCTION("""COMPUTED_VALUE"""),"AMD")</f>
        <v>AMD</v>
      </c>
      <c r="D170" s="196" t="str">
        <f>IFERROR(__xludf.DUMMYFUNCTION("""COMPUTED_VALUE"""),"45 PCS DUST PAN")</f>
        <v>45 PCS DUST PAN</v>
      </c>
      <c r="E170" s="196" t="str">
        <f>IFERROR(__xludf.DUMMYFUNCTION("""COMPUTED_VALUE"""),"HOUSE KEEPING MATERIALS - STOCK REPLENISHMENT")</f>
        <v>HOUSE KEEPING MATERIALS - STOCK REPLENISHMENT</v>
      </c>
    </row>
    <row r="171">
      <c r="A171" s="234">
        <f>IFERROR(__xludf.DUMMYFUNCTION("""COMPUTED_VALUE"""),105004.0)</f>
        <v>105004</v>
      </c>
      <c r="B171" s="235" t="str">
        <f>IFERROR(__xludf.DUMMYFUNCTION("""COMPUTED_VALUE"""),"RODRIGO CUSTODIO")</f>
        <v>RODRIGO CUSTODIO</v>
      </c>
      <c r="C171" s="235" t="str">
        <f>IFERROR(__xludf.DUMMYFUNCTION("""COMPUTED_VALUE"""),"AMD")</f>
        <v>AMD</v>
      </c>
      <c r="D171" s="196" t="str">
        <f>IFERROR(__xludf.DUMMYFUNCTION("""COMPUTED_VALUE"""),"90 PCS  RINSE TECH HERITAGE MODEL- CREAM")</f>
        <v>90 PCS  RINSE TECH HERITAGE MODEL- CREAM</v>
      </c>
      <c r="E171" s="196" t="str">
        <f>IFERROR(__xludf.DUMMYFUNCTION("""COMPUTED_VALUE"""),"HOUSE KEEPING MATERIALS - STOCK REPLENISHMENT")</f>
        <v>HOUSE KEEPING MATERIALS - STOCK REPLENISHMENT</v>
      </c>
    </row>
    <row r="172">
      <c r="A172" s="234">
        <f>IFERROR(__xludf.DUMMYFUNCTION("""COMPUTED_VALUE"""),105005.0)</f>
        <v>105005</v>
      </c>
      <c r="B172" s="235" t="str">
        <f>IFERROR(__xludf.DUMMYFUNCTION("""COMPUTED_VALUE"""),"RODRIGO CUSTODIO")</f>
        <v>RODRIGO CUSTODIO</v>
      </c>
      <c r="C172" s="235" t="str">
        <f>IFERROR(__xludf.DUMMYFUNCTION("""COMPUTED_VALUE"""),"AMD")</f>
        <v>AMD</v>
      </c>
      <c r="D172" s="196" t="str">
        <f>IFERROR(__xludf.DUMMYFUNCTION("""COMPUTED_VALUE"""),"15 PCS PEST- OFF RAT CATCHER GLUE BOARD ")</f>
        <v>15 PCS PEST- OFF RAT CATCHER GLUE BOARD </v>
      </c>
      <c r="E172" s="196" t="str">
        <f>IFERROR(__xludf.DUMMYFUNCTION("""COMPUTED_VALUE"""),"HOUSE KEEPING MATERIALS - STOCK REPLENISHMENT")</f>
        <v>HOUSE KEEPING MATERIALS - STOCK REPLENISHMENT</v>
      </c>
    </row>
    <row r="173">
      <c r="A173" s="234">
        <f>IFERROR(__xludf.DUMMYFUNCTION("""COMPUTED_VALUE"""),105006.0)</f>
        <v>105006</v>
      </c>
      <c r="B173" s="235" t="str">
        <f>IFERROR(__xludf.DUMMYFUNCTION("""COMPUTED_VALUE"""),"OWIE PAR")</f>
        <v>OWIE PAR</v>
      </c>
      <c r="C173" s="235"/>
      <c r="D173" s="196" t="str">
        <f>IFERROR(__xludf.DUMMYFUNCTION("""COMPUTED_VALUE"""),"5 UNITS 6.0 HP CEILING  CONCEALED DUCTED TAPE
1 UNIT 6.0 CEILING CASSETTE
1 UNIT 5.0 HP CEILING CASSETTE 
2 UNITS  4.0 HP CEILING CASSETTE 
2 UNITS 3.0 HP CEILING CASSETTE 
1 UNIT 2.5 HP CEILING CASSETTE
1 UNIT 2.0 CEILING CASSETTE")</f>
        <v>5 UNITS 6.0 HP CEILING  CONCEALED DUCTED TAPE
1 UNIT 6.0 CEILING CASSETTE
1 UNIT 5.0 HP CEILING CASSETTE 
2 UNITS  4.0 HP CEILING CASSETTE 
2 UNITS 3.0 HP CEILING CASSETTE 
1 UNIT 2.5 HP CEILING CASSETTE
1 UNIT 2.0 CEILING CASSETTE</v>
      </c>
      <c r="E173" s="196" t="str">
        <f>IFERROR(__xludf.DUMMYFUNCTION("""COMPUTED_VALUE"""),"AC UNITS FOR SOUTHVILLE MONARCHS HUB")</f>
        <v>AC UNITS FOR SOUTHVILLE MONARCHS HUB</v>
      </c>
    </row>
    <row r="174">
      <c r="A174" s="234">
        <f>IFERROR(__xludf.DUMMYFUNCTION("""COMPUTED_VALUE"""),105007.0)</f>
        <v>105007</v>
      </c>
      <c r="B174" s="235" t="str">
        <f>IFERROR(__xludf.DUMMYFUNCTION("""COMPUTED_VALUE"""),"MELISSA NAVAL ODOÑO / CARLA VILLANUEVA")</f>
        <v>MELISSA NAVAL ODOÑO / CARLA VILLANUEVA</v>
      </c>
      <c r="C174" s="235" t="str">
        <f>IFERROR(__xludf.DUMMYFUNCTION("""COMPUTED_VALUE"""),"LIBRARY MUNICH")</f>
        <v>LIBRARY MUNICH</v>
      </c>
      <c r="D174" s="196" t="str">
        <f>IFERROR(__xludf.DUMMYFUNCTION("""COMPUTED_VALUE"""),"30 DAYS TO A MORE POWERFUL VOCABULARY 2ND EDITION: 700 WORDS YOU NEED TO TRANSFORM YOUR CAREER AND YOUR LIFE PB
BOOK OF ICHIGO ICHIE: THE ART OF MAKING THE MOST OF EVERY MOMENT, THE JAPANESE WAY (HC)
DK ENGLISH FOR EVERYONE BUSINESS ENGLISH LEVEL 2 COURSE"&amp;" BOOK: A VISUAL SELF STUDY GUIDE TO ENGLISH FOR THE WORKPLACE
ENGLISH FOR EVERYONE BUSINESS ENGLISH PRACTICE BOOK LEVEL 1: A COMPLETE SELF-STUDY PROGRAMME PB
ENGLISH FOR EVERYONE COURSE BOOK LEVEL 2 BEGINNER: A COMPLETE SELF-STUDY PROGRAMME (DK ENGLISH FO"&amp;"R EVERYONE) PB
ENGLISH FOR EVERYONE ENGLISH GRAMMAR GUIDE: A COMPREHENSIVE VISUAL REFERENCE FLEXIBOUND
ENGLISH FOR EVERYONE PRACTICE BOOK LEVEL 2 BEGINNER: A COMPLETE SELF-STUDY PROGRAMME (DK ENGLISH FOR EVERYONE) PB
ENGLISH FOR EVERYONE TEACHER'S GUIDE F"&amp;"LEXIBOUND
GREAT INVENTIONS (LADYBIRD READERS, LEVEL 6) (ELT GRADED READER) PB
HOW TO TRAIN YOUR DRAGON: THE COMPLETE SERIES: PAPERBACK GIFT SET
IKIGAI JOURNEY: A PRACTICAL GUIDE TO FINDING HAPPINESS AND PURPOSE THE JAPANESE WAY HC
IKIGAI: THE JAPANESE SEC"&amp;"RET TO A LONG AND HAPPY LIFE (HC)
INFOGRAPHIC GUIDE TO GRAMMAR: A VISUAL REFERENCE FOR EVERYTHING YOU NEED TO KNOW (PB)
LADYBIRD READERS LEVEL 01: CARS (PB)
LADYBIRD READERS LEVEL 03: JACK AND THE BEANSTALK (PB)
LADYBIRD READERS LEVEL 03: RAPUNZEL (PB)
L"&amp;"ADYBIRD READERS LEVEL 04: THE LITTLE MERMAID (PB)
LADYBIRD READERS LEVEL 05: TREASURE ISLAND (PB)
LITTLE PRINCE DELUXE POP-UP BOOK, THE (HC)
PETER PAN (LADYBIRD READERS, LEVEL 5) (ELT GRADED READER) PB
POCAHONTAS (LADYBIRD READERS, LEVEL 2) (ELT GRADED RE"&amp;"ADER) PB
SLEEPING BEAUTY (LADYBIRD READERS LEVEL 4) (ELT GRADED READER) PB
PERCY JACKSON'S GREEK GODS (HC)
THOMAS THE TANK ENGINE : THOMAS AND THE GIANT PANDAS (LADYBIRD READERS, LEVEL BEGINNER) (ELT GRADED READER) PB
THOMAS THE TANK ENGINE : THOMAS AND "&amp;"THE DRAGON (LADYBIRD READERS, LEVEL BEGINNER) (ELT GRADED READER) PB
THOMAS THE TANK ENGINE : REBECCA AND FRIENDS (LADYBIRD READERS, LEVEL BEGINNER) (ELT GRADED READER) PB
THOMAS THE TANK ENGINE: THOMAS AND THE WATER WHEEL (LADYBIRD READERS, LEVEL BEGINNE"&amp;"R) (ELT GRADED READER)
THOMAS THE TANK ENGINE: THOMAS AND THE MONKEYS (LADYBIRD READERS, LEVEL BEGINNER) (ELT GRADED READER) PB")</f>
        <v>30 DAYS TO A MORE POWERFUL VOCABULARY 2ND EDITION: 700 WORDS YOU NEED TO TRANSFORM YOUR CAREER AND YOUR LIFE PB
BOOK OF ICHIGO ICHIE: THE ART OF MAKING THE MOST OF EVERY MOMENT, THE JAPANESE WAY (HC)
DK ENGLISH FOR EVERYONE BUSINESS ENGLISH LEVEL 2 COURSE BOOK: A VISUAL SELF STUDY GUIDE TO ENGLISH FOR THE WORKPLACE
ENGLISH FOR EVERYONE BUSINESS ENGLISH PRACTICE BOOK LEVEL 1: A COMPLETE SELF-STUDY PROGRAMME PB
ENGLISH FOR EVERYONE COURSE BOOK LEVEL 2 BEGINNER: A COMPLETE SELF-STUDY PROGRAMME (DK ENGLISH FOR EVERYONE) PB
ENGLISH FOR EVERYONE ENGLISH GRAMMAR GUIDE: A COMPREHENSIVE VISUAL REFERENCE FLEXIBOUND
ENGLISH FOR EVERYONE PRACTICE BOOK LEVEL 2 BEGINNER: A COMPLETE SELF-STUDY PROGRAMME (DK ENGLISH FOR EVERYONE) PB
ENGLISH FOR EVERYONE TEACHER'S GUIDE FLEXIBOUND
GREAT INVENTIONS (LADYBIRD READERS, LEVEL 6) (ELT GRADED READER) PB
HOW TO TRAIN YOUR DRAGON: THE COMPLETE SERIES: PAPERBACK GIFT SET
IKIGAI JOURNEY: A PRACTICAL GUIDE TO FINDING HAPPINESS AND PURPOSE THE JAPANESE WAY HC
IKIGAI: THE JAPANESE SECRET TO A LONG AND HAPPY LIFE (HC)
INFOGRAPHIC GUIDE TO GRAMMAR: A VISUAL REFERENCE FOR EVERYTHING YOU NEED TO KNOW (PB)
LADYBIRD READERS LEVEL 01: CARS (PB)
LADYBIRD READERS LEVEL 03: JACK AND THE BEANSTALK (PB)
LADYBIRD READERS LEVEL 03: RAPUNZEL (PB)
LADYBIRD READERS LEVEL 04: THE LITTLE MERMAID (PB)
LADYBIRD READERS LEVEL 05: TREASURE ISLAND (PB)
LITTLE PRINCE DELUXE POP-UP BOOK, THE (HC)
PETER PAN (LADYBIRD READERS, LEVEL 5) (ELT GRADED READER) PB
POCAHONTAS (LADYBIRD READERS, LEVEL 2) (ELT GRADED READER) PB
SLEEPING BEAUTY (LADYBIRD READERS LEVEL 4) (ELT GRADED READER) PB
PERCY JACKSON'S GREEK GODS (HC)
THOMAS THE TANK ENGINE : THOMAS AND THE GIANT PANDAS (LADYBIRD READERS, LEVEL BEGINNER) (ELT GRADED READER) PB
THOMAS THE TANK ENGINE : THOMAS AND THE DRAGON (LADYBIRD READERS, LEVEL BEGINNER) (ELT GRADED READER) PB
THOMAS THE TANK ENGINE : REBECCA AND FRIENDS (LADYBIRD READERS, LEVEL BEGINNER) (ELT GRADED READER) PB
THOMAS THE TANK ENGINE: THOMAS AND THE WATER WHEEL (LADYBIRD READERS, LEVEL BEGINNER) (ELT GRADED READER)
THOMAS THE TANK ENGINE: THOMAS AND THE MONKEYS (LADYBIRD READERS, LEVEL BEGINNER) (ELT GRADED READER) PB</v>
      </c>
      <c r="E174" s="196"/>
    </row>
    <row r="175">
      <c r="A175" s="234">
        <f>IFERROR(__xludf.DUMMYFUNCTION("""COMPUTED_VALUE"""),105008.0)</f>
        <v>105008</v>
      </c>
      <c r="B175" s="235" t="str">
        <f>IFERROR(__xludf.DUMMYFUNCTION("""COMPUTED_VALUE"""),"MELISSA ODOÑO/ CARLA VILLANUEVA")</f>
        <v>MELISSA ODOÑO/ CARLA VILLANUEVA</v>
      </c>
      <c r="C175" s="235" t="str">
        <f>IFERROR(__xludf.DUMMYFUNCTION("""COMPUTED_VALUE"""),"LIBRARY MUNICH")</f>
        <v>LIBRARY MUNICH</v>
      </c>
      <c r="D175" s="196" t="str">
        <f>IFERROR(__xludf.DUMMYFUNCTION("""COMPUTED_VALUE"""),"50 ECONOMICS CLASSICS PB
50 SUCCESS CLASSICS: YOUR SHORTCUT TO THE MOST IMPORTANT IDEAS ON MOTIVATION, ACHIEVEMENT, AND PROSPERITY, 2ND EDITION PB
BOOK OF ICHIGO ICHIE: THE ART OF MAKING THE MOST OF EVERY MOMENT, THE JAPANESE WAY HC
FRANK HERBERT'S DUNE S"&amp;"AGA 3-BOOK BOXED SET: DUNE, DUNE MESSIAH, AND CHILDREN OF DUNE (MM)
GIRL WHO DRANK THE MOON, THE (NEWBERY MEDAL 2017) (PB)
HOW TO STOP WORRYING AND START LIVING (PB)
HOW TO TURN DOWN A BILLION DOLLARS: THE SNAPCHAT STORY HC
I USED TO HAVE A PLAN: BUT LIFE"&amp;" HAD OTHER IDEAS (HC)
IKIGAI: THE JAPANESE SECRET TO A LONG AND HAPPY LIFE (HC)
INSURGENCY: HOW REPUBLICANS LOST THEIR PARTY AND GOT EVERYTHING THEY EVER WANTED (HC)
KAIZEN: THE JAPANESE METHOD FOR TRANSFORMING HABITS, ONE SMALL STEP AT A TIME (HC)
KOKOLO"&amp;"GY: THE GAME OF SELF-DISCOVERY (PB)
QUICK AND EASY WAY TO EFFECTIVE SPEAKING (MM)
SPARKED: DISCOVER YOUR UNIQUE IMPRINT FOR WORK THAT MAKES YOU COME ALIVE HC
SURROUNDED BY IDIOTS: THE FOUR TYPES OF HUMAN BEHAVIOR AND HOW TO EFFECTIVELY COMMUNICATE WITH E"&amp;"ACH IN BUSINESS (AND IN LIFE) (EXP PB)
TALKING TO STRANGERS: WHAT WE SHOULD KNOW ABOUT THE PEOPLE WE DON?T KNOW (EXP MM)
THANKS FOR THE FEEDBACK: THE SCIENCE AND ART OF RECEIVING FEEDBACK WELL (PB)
THINK AND GROW RICH (MM)
THINK AND GROW RICH HC
THINK LIK"&amp;"E A MONK: TRAIN YOUR MIND FOR PEACE AND PURPOSE EVERY DAY (EXP PB)
WEALTH MONEY CAN'T BUY: THE 8 HIDDEN HABITS TO LIVE YOUR RICHEST LIFE (EXP) TPB
WHAT WENT WRONG WITH CAPITALISM HC
WIN EVERY ARGUMENT: THE ART OF DEBATING, PERSUADING AND PUBLIC SPEAKING P"&amp;"B
1984 NINETEEN EIGHTY-FOUR (ALMA EVERGREENS)
AND THEN THERE WERE NONE (MM)
ANIMAL FARM (ALMA EVERGREENS)
AT MIDNIGHT : 15 BELOVED FAIRY TALES REIMAGINED (HC)
COUNT OF MONTE CRISTO, THE (WORD CLOUD CLASSICS)
CRIME AND PUNISHMENT (WORD CLOUD CLASSICS"&amp;")
DIVINE COMEDY, THE (LEATHERBOUND CLASSICS)
EDGAR ALLAN POE: COLLECTED WORKS (CANTERBURY CLASSICS)
FAKING REALITY
FINDING CHIKA: A LITTLE GIRL, AN EARTHQUAKE, AND THE MAKING OF A FAMILY (EXP MM)
FIVE PEOPLE YOU MEET IN HEAVEN, THE (EXP MM)
FRANKENS"&amp;"TEIN (ALMA EVERGREENS) (PB)
JANE EYRE (ALMA EVERGREENS) (PB)
LITTLE WOMEN (SIGNET CLASSICS)
MAGIC STRINGS OF FRANKIE PRESTO (EXP MM)
MIDNIGHT LIBRARY: A NOVEL (PB)
ONE OF US IS LYING
PERCY JACKSON AND THE OLYMPIANS 06: THE CHALICE OF THE GODS (IE)
"&amp;"PRIDE AND PREJUDICE (ALMA EVERGREENS) (PB)
SENSE AND SENSIBILITY (ALMA CLASSICS EVERGREENS)
SHAKESPEARE HIS LIFE AND WORKS (HC)
SIX OF CROWS (HC)
SKIN OF THE SEA (HC)
STRANGE CASE OF DR JEKYLL AND MR HYDE AND OTHER STORIES (ALMA EVERGREENS) PB
STRAN"&amp;"GER IN THE LIFEBOAT (EXP MM)
TALES OF HORROR (ALMA EVERGREENS) (PB)
TO KILL A MOCKINGBIRD (PB)
TO THE LIGHTHOUSE (ALMA EVERGREENS) (PB)
TUESDAYS WITH MORRIE (EXP MM)
WUTHERING HEIGHTS (ALMA EVERGREENS) (PB)
")</f>
        <v>50 ECONOMICS CLASSICS PB
50 SUCCESS CLASSICS: YOUR SHORTCUT TO THE MOST IMPORTANT IDEAS ON MOTIVATION, ACHIEVEMENT, AND PROSPERITY, 2ND EDITION PB
BOOK OF ICHIGO ICHIE: THE ART OF MAKING THE MOST OF EVERY MOMENT, THE JAPANESE WAY HC
FRANK HERBERT'S DUNE SAGA 3-BOOK BOXED SET: DUNE, DUNE MESSIAH, AND CHILDREN OF DUNE (MM)
GIRL WHO DRANK THE MOON, THE (NEWBERY MEDAL 2017) (PB)
HOW TO STOP WORRYING AND START LIVING (PB)
HOW TO TURN DOWN A BILLION DOLLARS: THE SNAPCHAT STORY HC
I USED TO HAVE A PLAN: BUT LIFE HAD OTHER IDEAS (HC)
IKIGAI: THE JAPANESE SECRET TO A LONG AND HAPPY LIFE (HC)
INSURGENCY: HOW REPUBLICANS LOST THEIR PARTY AND GOT EVERYTHING THEY EVER WANTED (HC)
KAIZEN: THE JAPANESE METHOD FOR TRANSFORMING HABITS, ONE SMALL STEP AT A TIME (HC)
KOKOLOGY: THE GAME OF SELF-DISCOVERY (PB)
QUICK AND EASY WAY TO EFFECTIVE SPEAKING (MM)
SPARKED: DISCOVER YOUR UNIQUE IMPRINT FOR WORK THAT MAKES YOU COME ALIVE HC
SURROUNDED BY IDIOTS: THE FOUR TYPES OF HUMAN BEHAVIOR AND HOW TO EFFECTIVELY COMMUNICATE WITH EACH IN BUSINESS (AND IN LIFE) (EXP PB)
TALKING TO STRANGERS: WHAT WE SHOULD KNOW ABOUT THE PEOPLE WE DON?T KNOW (EXP MM)
THANKS FOR THE FEEDBACK: THE SCIENCE AND ART OF RECEIVING FEEDBACK WELL (PB)
THINK AND GROW RICH (MM)
THINK AND GROW RICH HC
THINK LIKE A MONK: TRAIN YOUR MIND FOR PEACE AND PURPOSE EVERY DAY (EXP PB)
WEALTH MONEY CAN'T BUY: THE 8 HIDDEN HABITS TO LIVE YOUR RICHEST LIFE (EXP) TPB
WHAT WENT WRONG WITH CAPITALISM HC
WIN EVERY ARGUMENT: THE ART OF DEBATING, PERSUADING AND PUBLIC SPEAKING PB
1984 NINETEEN EIGHTY-FOUR (ALMA EVERGREENS)
AND THEN THERE WERE NONE (MM)
ANIMAL FARM (ALMA EVERGREENS)
AT MIDNIGHT : 15 BELOVED FAIRY TALES REIMAGINED (HC)
COUNT OF MONTE CRISTO, THE (WORD CLOUD CLASSICS)
CRIME AND PUNISHMENT (WORD CLOUD CLASSICS)
DIVINE COMEDY, THE (LEATHERBOUND CLASSICS)
EDGAR ALLAN POE: COLLECTED WORKS (CANTERBURY CLASSICS)
FAKING REALITY
FINDING CHIKA: A LITTLE GIRL, AN EARTHQUAKE, AND THE MAKING OF A FAMILY (EXP MM)
FIVE PEOPLE YOU MEET IN HEAVEN, THE (EXP MM)
FRANKENSTEIN (ALMA EVERGREENS) (PB)
JANE EYRE (ALMA EVERGREENS) (PB)
LITTLE WOMEN (SIGNET CLASSICS)
MAGIC STRINGS OF FRANKIE PRESTO (EXP MM)
MIDNIGHT LIBRARY: A NOVEL (PB)
ONE OF US IS LYING
PERCY JACKSON AND THE OLYMPIANS 06: THE CHALICE OF THE GODS (IE)
PRIDE AND PREJUDICE (ALMA EVERGREENS) (PB)
SENSE AND SENSIBILITY (ALMA CLASSICS EVERGREENS)
SHAKESPEARE HIS LIFE AND WORKS (HC)
SIX OF CROWS (HC)
SKIN OF THE SEA (HC)
STRANGE CASE OF DR JEKYLL AND MR HYDE AND OTHER STORIES (ALMA EVERGREENS) PB
STRANGER IN THE LIFEBOAT (EXP MM)
TALES OF HORROR (ALMA EVERGREENS) (PB)
TO KILL A MOCKINGBIRD (PB)
TO THE LIGHTHOUSE (ALMA EVERGREENS) (PB)
TUESDAYS WITH MORRIE (EXP MM)
WUTHERING HEIGHTS (ALMA EVERGREENS) (PB)
</v>
      </c>
      <c r="E175" s="196" t="str">
        <f>IFERROR(__xludf.DUMMYFUNCTION("""COMPUTED_VALUE"""),"FOR STUDENTS/ FACULTY USE / LIBRARY USE")</f>
        <v>FOR STUDENTS/ FACULTY USE / LIBRARY USE</v>
      </c>
    </row>
    <row r="176">
      <c r="A176" s="234">
        <f>IFERROR(__xludf.DUMMYFUNCTION("""COMPUTED_VALUE"""),105009.0)</f>
        <v>105009</v>
      </c>
      <c r="B176" s="235" t="str">
        <f>IFERROR(__xludf.DUMMYFUNCTION("""COMPUTED_VALUE"""),"MELISSA ODOÑO")</f>
        <v>MELISSA ODOÑO</v>
      </c>
      <c r="C176" s="235" t="str">
        <f>IFERROR(__xludf.DUMMYFUNCTION("""COMPUTED_VALUE"""),"LIBRARY MUNICH")</f>
        <v>LIBRARY MUNICH</v>
      </c>
      <c r="D176" s="196"/>
      <c r="E176" s="196" t="str">
        <f>IFERROR(__xludf.DUMMYFUNCTION("""COMPUTED_VALUE"""),"FOR STUDENTS/ FACULTY AND LIBRARY COPY")</f>
        <v>FOR STUDENTS/ FACULTY AND LIBRARY COPY</v>
      </c>
    </row>
    <row r="177">
      <c r="A177" s="234">
        <f>IFERROR(__xludf.DUMMYFUNCTION("""COMPUTED_VALUE"""),105010.0)</f>
        <v>105010</v>
      </c>
      <c r="B177" s="235" t="str">
        <f>IFERROR(__xludf.DUMMYFUNCTION("""COMPUTED_VALUE"""),"OWIE PAR ")</f>
        <v>OWIE PAR </v>
      </c>
      <c r="C177" s="235" t="str">
        <f>IFERROR(__xludf.DUMMYFUNCTION("""COMPUTED_VALUE"""),"ENGINEERING")</f>
        <v>ENGINEERING</v>
      </c>
      <c r="D177" s="196" t="str">
        <f>IFERROR(__xludf.DUMMYFUNCTION("""COMPUTED_VALUE"""),"4 PAILS AIRCON COIL CLEANER")</f>
        <v>4 PAILS AIRCON COIL CLEANER</v>
      </c>
      <c r="E177" s="196" t="str">
        <f>IFERROR(__xludf.DUMMYFUNCTION("""COMPUTED_VALUE"""),"FOR ENGINEERING USE")</f>
        <v>FOR ENGINEERING USE</v>
      </c>
    </row>
    <row r="178">
      <c r="A178" s="234">
        <f>IFERROR(__xludf.DUMMYFUNCTION("""COMPUTED_VALUE"""),105011.0)</f>
        <v>105011</v>
      </c>
      <c r="B178" s="235" t="str">
        <f>IFERROR(__xludf.DUMMYFUNCTION("""COMPUTED_VALUE"""),"OWIE PAR ")</f>
        <v>OWIE PAR </v>
      </c>
      <c r="C178" s="235" t="str">
        <f>IFERROR(__xludf.DUMMYFUNCTION("""COMPUTED_VALUE"""),"ENGINEERING")</f>
        <v>ENGINEERING</v>
      </c>
      <c r="D178" s="196" t="str">
        <f>IFERROR(__xludf.DUMMYFUNCTION("""COMPUTED_VALUE"""),"2 BOXES PENETRATING OIL AND CLEANER FLUID")</f>
        <v>2 BOXES PENETRATING OIL AND CLEANER FLUID</v>
      </c>
      <c r="E178" s="196" t="str">
        <f>IFERROR(__xludf.DUMMYFUNCTION("""COMPUTED_VALUE"""),"FOR ENGINEERING USE FOR BEARING, DOOR KNOB AND OTHERS")</f>
        <v>FOR ENGINEERING USE FOR BEARING, DOOR KNOB AND OTHERS</v>
      </c>
    </row>
    <row r="179">
      <c r="A179" s="234">
        <f>IFERROR(__xludf.DUMMYFUNCTION("""COMPUTED_VALUE"""),105012.0)</f>
        <v>105012</v>
      </c>
      <c r="B179" s="235" t="str">
        <f>IFERROR(__xludf.DUMMYFUNCTION("""COMPUTED_VALUE"""),"OWIE PAR ")</f>
        <v>OWIE PAR </v>
      </c>
      <c r="C179" s="235" t="str">
        <f>IFERROR(__xludf.DUMMYFUNCTION("""COMPUTED_VALUE"""),"ENGINEERING")</f>
        <v>ENGINEERING</v>
      </c>
      <c r="D179" s="196" t="str">
        <f>IFERROR(__xludf.DUMMYFUNCTION("""COMPUTED_VALUE"""),"2 UNITS 3.0 HP CEILING CASSETTE INVERTER PANASONIC 
1 UNIT 2.5 HP WALL MOUNTED INVERTER PANASONIC ")</f>
        <v>2 UNITS 3.0 HP CEILING CASSETTE INVERTER PANASONIC 
1 UNIT 2.5 HP WALL MOUNTED INVERTER PANASONIC </v>
      </c>
      <c r="E179" s="196" t="str">
        <f>IFERROR(__xludf.DUMMYFUNCTION("""COMPUTED_VALUE"""),"FOR LUX ROOM 301, K-12 FACULTY ACU #3 AND PR OFFICE")</f>
        <v>FOR LUX ROOM 301, K-12 FACULTY ACU #3 AND PR OFFICE</v>
      </c>
    </row>
    <row r="180">
      <c r="A180" s="234">
        <f>IFERROR(__xludf.DUMMYFUNCTION("""COMPUTED_VALUE"""),105013.0)</f>
        <v>105013</v>
      </c>
      <c r="B180" s="235" t="str">
        <f>IFERROR(__xludf.DUMMYFUNCTION("""COMPUTED_VALUE"""),"MELISSA NAVAL ODOÑO / CARLA VILLANUEVA")</f>
        <v>MELISSA NAVAL ODOÑO / CARLA VILLANUEVA</v>
      </c>
      <c r="C180" s="235" t="str">
        <f>IFERROR(__xludf.DUMMYFUNCTION("""COMPUTED_VALUE"""),"I.B.")</f>
        <v>I.B.</v>
      </c>
      <c r="D180" s="196" t="str">
        <f>IFERROR(__xludf.DUMMYFUNCTION("""COMPUTED_VALUE"""),"BOOKS:
1 SPANISH AB INITIO FOR IB DIPLOMA 
1 A-Z  SPANISH AB 
1 SPANISH AB INITIO GRAMMAR AND SKILLS 
1 IB ENGLISH A : LITERATURE COURSE COMPASION")</f>
        <v>BOOKS:
1 SPANISH AB INITIO FOR IB DIPLOMA 
1 A-Z  SPANISH AB 
1 SPANISH AB INITIO GRAMMAR AND SKILLS 
1 IB ENGLISH A : LITERATURE COURSE COMPASION</v>
      </c>
      <c r="E180" s="196" t="str">
        <f>IFERROR(__xludf.DUMMYFUNCTION("""COMPUTED_VALUE"""),"FOR FACULTY")</f>
        <v>FOR FACULTY</v>
      </c>
    </row>
    <row r="181">
      <c r="A181" s="234">
        <f>IFERROR(__xludf.DUMMYFUNCTION("""COMPUTED_VALUE"""),105014.0)</f>
        <v>105014</v>
      </c>
      <c r="B181" s="235" t="str">
        <f>IFERROR(__xludf.DUMMYFUNCTION("""COMPUTED_VALUE"""),"MELISSA NAVAL ODOÑO / CARLA VILLANUEVA")</f>
        <v>MELISSA NAVAL ODOÑO / CARLA VILLANUEVA</v>
      </c>
      <c r="C181" s="235"/>
      <c r="D181" s="196" t="str">
        <f>IFERROR(__xludf.DUMMYFUNCTION("""COMPUTED_VALUE"""),"BOOKS
1 UNBROKEN 
1 MANAGEMENT CASES
1 EMERGING INNOVATION ")</f>
        <v>BOOKS
1 UNBROKEN 
1 MANAGEMENT CASES
1 EMERGING INNOVATION </v>
      </c>
      <c r="E181" s="196" t="str">
        <f>IFERROR(__xludf.DUMMYFUNCTION("""COMPUTED_VALUE"""),"FOR FACULTY")</f>
        <v>FOR FACULTY</v>
      </c>
    </row>
    <row r="182">
      <c r="A182" s="234">
        <f>IFERROR(__xludf.DUMMYFUNCTION("""COMPUTED_VALUE"""),105015.0)</f>
        <v>105015</v>
      </c>
      <c r="B182" s="235" t="str">
        <f>IFERROR(__xludf.DUMMYFUNCTION("""COMPUTED_VALUE"""),"MELISSA NAVAL ODOÑO / CARLA VILLANUEVA")</f>
        <v>MELISSA NAVAL ODOÑO / CARLA VILLANUEVA</v>
      </c>
      <c r="C182" s="235"/>
      <c r="D182" s="196" t="str">
        <f>IFERROR(__xludf.DUMMYFUNCTION("""COMPUTED_VALUE"""),"1 UNBROKEN 
1 MANAGEMENT CASES
 1 EMERGING INNOVATION")</f>
        <v>1 UNBROKEN 
1 MANAGEMENT CASES
 1 EMERGING INNOVATION</v>
      </c>
      <c r="E182" s="196" t="str">
        <f>IFERROR(__xludf.DUMMYFUNCTION("""COMPUTED_VALUE"""),"FOR FACULTY")</f>
        <v>FOR FACULTY</v>
      </c>
    </row>
    <row r="183">
      <c r="A183" s="234">
        <f>IFERROR(__xludf.DUMMYFUNCTION("""COMPUTED_VALUE"""),105016.0)</f>
        <v>105016</v>
      </c>
      <c r="B183" s="235" t="str">
        <f>IFERROR(__xludf.DUMMYFUNCTION("""COMPUTED_VALUE"""),"JAIREL MARVIN MARASIGAN ")</f>
        <v>JAIREL MARVIN MARASIGAN </v>
      </c>
      <c r="C183" s="235"/>
      <c r="D183" s="196" t="str">
        <f>IFERROR(__xludf.DUMMYFUNCTION("""COMPUTED_VALUE"""),"1 SANDISK EXTREME PRO 128 GB 200MB/S
2 SANDISK EXTREME PRO 128 GB  95 MB/S 
1 SET CAMERA BASIC MAINTENANCE SET")</f>
        <v>1 SANDISK EXTREME PRO 128 GB 200MB/S
2 SANDISK EXTREME PRO 128 GB  95 MB/S 
1 SET CAMERA BASIC MAINTENANCE SET</v>
      </c>
      <c r="E183" s="196" t="str">
        <f>IFERROR(__xludf.DUMMYFUNCTION("""COMPUTED_VALUE"""),"FOR CONTENT TEAM USE")</f>
        <v>FOR CONTENT TEAM USE</v>
      </c>
    </row>
    <row r="184">
      <c r="A184" s="234">
        <f>IFERROR(__xludf.DUMMYFUNCTION("""COMPUTED_VALUE"""),105017.0)</f>
        <v>105017</v>
      </c>
      <c r="B184" s="235" t="str">
        <f>IFERROR(__xludf.DUMMYFUNCTION("""COMPUTED_VALUE"""),"MARVIN MARASIGAN ")</f>
        <v>MARVIN MARASIGAN </v>
      </c>
      <c r="C184" s="235" t="str">
        <f>IFERROR(__xludf.DUMMYFUNCTION("""COMPUTED_VALUE"""),"PR &amp; MARKETING")</f>
        <v>PR &amp; MARKETING</v>
      </c>
      <c r="D184" s="196" t="str">
        <f>IFERROR(__xludf.DUMMYFUNCTION("""COMPUTED_VALUE"""),"1 PC CAMERA LENS CAP 
-CANON 
- NIKON
CAMERA CANON SPARE BATTERY
1 LP- EI 7
1 PC EF/EF-5 TORF MOUNT ADAPTOR 
1PC TAMRON SP 17- 50MM F/2.8 XR FOR CANON 
1 PC BENRON TSLO8SN00 SLIM CARBON ")</f>
        <v>1 PC CAMERA LENS CAP 
-CANON 
- NIKON
CAMERA CANON SPARE BATTERY
1 LP- EI 7
1 PC EF/EF-5 TORF MOUNT ADAPTOR 
1PC TAMRON SP 17- 50MM F/2.8 XR FOR CANON 
1 PC BENRON TSLO8SN00 SLIM CARBON </v>
      </c>
      <c r="E184" s="196" t="str">
        <f>IFERROR(__xludf.DUMMYFUNCTION("""COMPUTED_VALUE"""),"FOR CAMERA EQUIPMENT")</f>
        <v>FOR CAMERA EQUIPMENT</v>
      </c>
    </row>
    <row r="185">
      <c r="A185" s="234">
        <f>IFERROR(__xludf.DUMMYFUNCTION("""COMPUTED_VALUE"""),105018.0)</f>
        <v>105018</v>
      </c>
      <c r="B185" s="235" t="str">
        <f>IFERROR(__xludf.DUMMYFUNCTION("""COMPUTED_VALUE"""),"MELISSA ODOÑO")</f>
        <v>MELISSA ODOÑO</v>
      </c>
      <c r="C185" s="235" t="str">
        <f>IFERROR(__xludf.DUMMYFUNCTION("""COMPUTED_VALUE"""),"LIBRARY MUNICH")</f>
        <v>LIBRARY MUNICH</v>
      </c>
      <c r="D185" s="196" t="str">
        <f>IFERROR(__xludf.DUMMYFUNCTION("""COMPUTED_VALUE"""),"Mindfulness Workbook for Kids: 60+ Activities to Focus, Stay Calm, and Make Good Choices (Health and Wellness Workbooks for Kids) Paperback – September 1, 2020					
Social Skills Activities for Kids: 50 Fun Exercises for Making Friends, Talking and Liste"&amp;"ning, and Understanding Social Rules Paperback – March 26, 2019					
Investing for Kids: How to Save, Invest, and Grow Money Paperback – December 15, 2020					
Kid Start-Up: How YOU Can Become an Entrepreneur Paperback – Illustrated, August 14, 2018				"&amp;"	
How to Turn $100 into $1,000,000: Newly Minted 2nd Edition Paperback – April 23, 2024					
Finance 101 for Kids: Money Lessons Children Cannot Afford to Miss Paperback – April 12, 2016					
The Children's Book of Heroes Hardcover – October 6, 1997			"&amp;"		
Secret Millionaires Club: Warren Buffett's 26 Secrets to Success in the Business of Life Hardcover – August 19, 2013					
Rich Dad's Escape from the Rat Race: How To Become A Rich Kid By Following Rich Dad's Advice Paperback – January 22, 2013					")</f>
        <v>Mindfulness Workbook for Kids: 60+ Activities to Focus, Stay Calm, and Make Good Choices (Health and Wellness Workbooks for Kids) Paperback – September 1, 2020					
Social Skills Activities for Kids: 50 Fun Exercises for Making Friends, Talking and Listening, and Understanding Social Rules Paperback – March 26, 2019					
Investing for Kids: How to Save, Invest, and Grow Money Paperback – December 15, 2020					
Kid Start-Up: How YOU Can Become an Entrepreneur Paperback – Illustrated, August 14, 2018					
How to Turn $100 into $1,000,000: Newly Minted 2nd Edition Paperback – April 23, 2024					
Finance 101 for Kids: Money Lessons Children Cannot Afford to Miss Paperback – April 12, 2016					
The Children's Book of Heroes Hardcover – October 6, 1997					
Secret Millionaires Club: Warren Buffett's 26 Secrets to Success in the Business of Life Hardcover – August 19, 2013					
Rich Dad's Escape from the Rat Race: How To Become A Rich Kid By Following Rich Dad's Advice Paperback – January 22, 2013					</v>
      </c>
      <c r="E185" s="196" t="str">
        <f>IFERROR(__xludf.DUMMYFUNCTION("""COMPUTED_VALUE"""),"FOR FACULTY USE/ LIBRARY'S COPY")</f>
        <v>FOR FACULTY USE/ LIBRARY'S COPY</v>
      </c>
    </row>
    <row r="186">
      <c r="A186" s="234">
        <f>IFERROR(__xludf.DUMMYFUNCTION("""COMPUTED_VALUE"""),105019.0)</f>
        <v>105019</v>
      </c>
      <c r="B186" s="235" t="str">
        <f>IFERROR(__xludf.DUMMYFUNCTION("""COMPUTED_VALUE"""),"RACHEL JANE PAMATI-AN")</f>
        <v>RACHEL JANE PAMATI-AN</v>
      </c>
      <c r="C186" s="235" t="str">
        <f>IFERROR(__xludf.DUMMYFUNCTION("""COMPUTED_VALUE"""),"ADMIN - STAR")</f>
        <v>ADMIN - STAR</v>
      </c>
      <c r="D186" s="196" t="str">
        <f>IFERROR(__xludf.DUMMYFUNCTION("""COMPUTED_VALUE"""),"1 KILO GRAM BORAL 
1 LITER PAINT
 (SEE ATTACHED FILE FOR REFERENCE OF COLOR PAINT)")</f>
        <v>1 KILO GRAM BORAL 
1 LITER PAINT
 (SEE ATTACHED FILE FOR REFERENCE OF COLOR PAINT)</v>
      </c>
      <c r="E186" s="196" t="str">
        <f>IFERROR(__xludf.DUMMYFUNCTION("""COMPUTED_VALUE"""),"MATERIALS FOR REPAIR OF LV TREES")</f>
        <v>MATERIALS FOR REPAIR OF LV TREES</v>
      </c>
    </row>
    <row r="187">
      <c r="A187" s="234">
        <f>IFERROR(__xludf.DUMMYFUNCTION("""COMPUTED_VALUE"""),105020.0)</f>
        <v>105020</v>
      </c>
      <c r="B187" s="235" t="str">
        <f>IFERROR(__xludf.DUMMYFUNCTION("""COMPUTED_VALUE"""),"RODRIGO CUSTODIO")</f>
        <v>RODRIGO CUSTODIO</v>
      </c>
      <c r="C187" s="235" t="str">
        <f>IFERROR(__xludf.DUMMYFUNCTION("""COMPUTED_VALUE"""),"AMD")</f>
        <v>AMD</v>
      </c>
      <c r="D187" s="196" t="str">
        <f>IFERROR(__xludf.DUMMYFUNCTION("""COMPUTED_VALUE"""),"20PCS FABRIC CONDITIONER (DOWNY)")</f>
        <v>20PCS FABRIC CONDITIONER (DOWNY)</v>
      </c>
      <c r="E187" s="196" t="str">
        <f>IFERROR(__xludf.DUMMYFUNCTION("""COMPUTED_VALUE"""),"HOUSEKEEPING MATERIALS- STOCK REPLENISHMENT")</f>
        <v>HOUSEKEEPING MATERIALS- STOCK REPLENISHMENT</v>
      </c>
    </row>
    <row r="188">
      <c r="A188" s="234">
        <f>IFERROR(__xludf.DUMMYFUNCTION("""COMPUTED_VALUE"""),105021.0)</f>
        <v>105021</v>
      </c>
      <c r="B188" s="235" t="str">
        <f>IFERROR(__xludf.DUMMYFUNCTION("""COMPUTED_VALUE"""),"RODRIGO CUSTODIO")</f>
        <v>RODRIGO CUSTODIO</v>
      </c>
      <c r="C188" s="235" t="str">
        <f>IFERROR(__xludf.DUMMYFUNCTION("""COMPUTED_VALUE"""),"AMD")</f>
        <v>AMD</v>
      </c>
      <c r="D188" s="196" t="str">
        <f>IFERROR(__xludf.DUMMYFUNCTION("""COMPUTED_VALUE"""),"60 GALS SWEET SUNSATION")</f>
        <v>60 GALS SWEET SUNSATION</v>
      </c>
      <c r="E188" s="196" t="str">
        <f>IFERROR(__xludf.DUMMYFUNCTION("""COMPUTED_VALUE"""),"HOUSEKEEPING MATERIALS- STOCK REPLENISHMENT")</f>
        <v>HOUSEKEEPING MATERIALS- STOCK REPLENISHMENT</v>
      </c>
    </row>
    <row r="189">
      <c r="A189" s="234">
        <f>IFERROR(__xludf.DUMMYFUNCTION("""COMPUTED_VALUE"""),105022.0)</f>
        <v>105022</v>
      </c>
      <c r="B189" s="235" t="str">
        <f>IFERROR(__xludf.DUMMYFUNCTION("""COMPUTED_VALUE"""),"PAMELA MORALES/MC CAYAS/JANNICA MENDOZA")</f>
        <v>PAMELA MORALES/MC CAYAS/JANNICA MENDOZA</v>
      </c>
      <c r="C189" s="235" t="str">
        <f>IFERROR(__xludf.DUMMYFUNCTION("""COMPUTED_VALUE"""),"ENGLISH BED")</f>
        <v>ENGLISH BED</v>
      </c>
      <c r="D189" s="196" t="str">
        <f>IFERROR(__xludf.DUMMYFUNCTION("""COMPUTED_VALUE"""),"3 MODULAR ORGANIZER FD-S11")</f>
        <v>3 MODULAR ORGANIZER FD-S11</v>
      </c>
      <c r="E189" s="196" t="str">
        <f>IFERROR(__xludf.DUMMYFUNCTION("""COMPUTED_VALUE"""),"DOCUMENTS/FILES STORAGE ")</f>
        <v>DOCUMENTS/FILES STORAGE </v>
      </c>
    </row>
    <row r="190">
      <c r="A190" s="234">
        <f>IFERROR(__xludf.DUMMYFUNCTION("""COMPUTED_VALUE"""),105023.0)</f>
        <v>105023</v>
      </c>
      <c r="B190" s="235" t="str">
        <f>IFERROR(__xludf.DUMMYFUNCTION("""COMPUTED_VALUE"""),"LYKA PERALTA")</f>
        <v>LYKA PERALTA</v>
      </c>
      <c r="C190" s="235" t="str">
        <f>IFERROR(__xludf.DUMMYFUNCTION("""COMPUTED_VALUE"""),"AMD")</f>
        <v>AMD</v>
      </c>
      <c r="D190" s="196" t="str">
        <f>IFERROR(__xludf.DUMMYFUNCTION("""COMPUTED_VALUE"""),"30 PADS PAD PAPER YELLOW (PER PAD)")</f>
        <v>30 PADS PAD PAPER YELLOW (PER PAD)</v>
      </c>
      <c r="E190" s="196" t="str">
        <f>IFERROR(__xludf.DUMMYFUNCTION("""COMPUTED_VALUE"""),"OSSUP- STOCK REPLELISHMENT")</f>
        <v>OSSUP- STOCK REPLELISHMENT</v>
      </c>
    </row>
    <row r="191">
      <c r="A191" s="234">
        <f>IFERROR(__xludf.DUMMYFUNCTION("""COMPUTED_VALUE"""),105024.0)</f>
        <v>105024</v>
      </c>
      <c r="B191" s="235" t="str">
        <f>IFERROR(__xludf.DUMMYFUNCTION("""COMPUTED_VALUE"""),"MARK VINCENT S. VITTO")</f>
        <v>MARK VINCENT S. VITTO</v>
      </c>
      <c r="C191" s="235" t="str">
        <f>IFERROR(__xludf.DUMMYFUNCTION("""COMPUTED_VALUE"""),"PR &amp; MARKETING")</f>
        <v>PR &amp; MARKETING</v>
      </c>
      <c r="D191" s="196" t="str">
        <f>IFERROR(__xludf.DUMMYFUNCTION("""COMPUTED_VALUE"""),"45PCS (3 PCS EACH 3X15) LAMP POST (ALL 3X9FT) 
-MMA               -NURSING
-ADMISSION    -MARKETING 
-ACCOUNTANCY   -IT
-ELEM EDUC         -PSYCH
-COM                    -REM
-ENTREP               -GRAD PROG 
-COM ENGR.        -TOURISM 
-FM  ")</f>
        <v>45PCS (3 PCS EACH 3X15) LAMP POST (ALL 3X9FT) 
-MMA               -NURSING
-ADMISSION    -MARKETING 
-ACCOUNTANCY   -IT
-ELEM EDUC         -PSYCH
-COM                    -REM
-ENTREP               -GRAD PROG 
-COM ENGR.        -TOURISM 
-FM  </v>
      </c>
      <c r="E191" s="196" t="str">
        <f>IFERROR(__xludf.DUMMYFUNCTION("""COMPUTED_VALUE"""),"MARKETING ADVERTISEMENT ")</f>
        <v>MARKETING ADVERTISEMENT </v>
      </c>
    </row>
    <row r="192">
      <c r="A192" s="234">
        <f>IFERROR(__xludf.DUMMYFUNCTION("""COMPUTED_VALUE"""),105025.0)</f>
        <v>105025</v>
      </c>
      <c r="B192" s="235" t="str">
        <f>IFERROR(__xludf.DUMMYFUNCTION("""COMPUTED_VALUE"""),"Jomel Butial")</f>
        <v>Jomel Butial</v>
      </c>
      <c r="C192" s="235" t="str">
        <f>IFERROR(__xludf.DUMMYFUNCTION("""COMPUTED_VALUE"""),"PR &amp; MARKETING")</f>
        <v>PR &amp; MARKETING</v>
      </c>
      <c r="D192" s="196" t="str">
        <f>IFERROR(__xludf.DUMMYFUNCTION("""COMPUTED_VALUE"""),"SOUTHVILLE T-SHIRT
-100PCS WHITE (MEDIUM)
-100 PCS PURPLE (MEDIUM)")</f>
        <v>SOUTHVILLE T-SHIRT
-100PCS WHITE (MEDIUM)
-100 PCS PURPLE (MEDIUM)</v>
      </c>
      <c r="E192" s="196" t="str">
        <f>IFERROR(__xludf.DUMMYFUNCTION("""COMPUTED_VALUE"""),"FOR SCHOOL PRESENTATION GIVE AWAYS")</f>
        <v>FOR SCHOOL PRESENTATION GIVE AWAYS</v>
      </c>
    </row>
    <row r="193">
      <c r="A193" s="234">
        <f>IFERROR(__xludf.DUMMYFUNCTION("""COMPUTED_VALUE"""),105026.0)</f>
        <v>105026</v>
      </c>
      <c r="B193" s="235" t="str">
        <f>IFERROR(__xludf.DUMMYFUNCTION("""COMPUTED_VALUE"""),"OWIE PAR ")</f>
        <v>OWIE PAR </v>
      </c>
      <c r="C193" s="235" t="str">
        <f>IFERROR(__xludf.DUMMYFUNCTION("""COMPUTED_VALUE"""),"ADMIN")</f>
        <v>ADMIN</v>
      </c>
      <c r="D193" s="196" t="str">
        <f>IFERROR(__xludf.DUMMYFUNCTION("""COMPUTED_VALUE"""),"3 UNIT STANDARD ORBIT FKN 16""")</f>
        <v>3 UNIT STANDARD ORBIT FKN 16"</v>
      </c>
      <c r="E193" s="196" t="str">
        <f>IFERROR(__xludf.DUMMYFUNCTION("""COMPUTED_VALUE"""),"REPLACEMENT OF BROKEN/BUSTED  ORBIT ")</f>
        <v>REPLACEMENT OF BROKEN/BUSTED  ORBIT </v>
      </c>
    </row>
    <row r="194">
      <c r="A194" s="234">
        <f>IFERROR(__xludf.DUMMYFUNCTION("""COMPUTED_VALUE"""),105027.0)</f>
        <v>105027</v>
      </c>
      <c r="B194" s="235" t="str">
        <f>IFERROR(__xludf.DUMMYFUNCTION("""COMPUTED_VALUE"""),"ALFA DE LEON ")</f>
        <v>ALFA DE LEON </v>
      </c>
      <c r="C194" s="235" t="str">
        <f>IFERROR(__xludf.DUMMYFUNCTION("""COMPUTED_VALUE"""),"LANDSCAPING")</f>
        <v>LANDSCAPING</v>
      </c>
      <c r="D194" s="196" t="str">
        <f>IFERROR(__xludf.DUMMYFUNCTION("""COMPUTED_VALUE"""),"1 RUBBER TREE")</f>
        <v>1 RUBBER TREE</v>
      </c>
      <c r="E194" s="196" t="str">
        <f>IFERROR(__xludf.DUMMYFUNCTION("""COMPUTED_VALUE"""),"REPLACEMENT OF GIFT FOR MAM SIONY AGUILAR")</f>
        <v>REPLACEMENT OF GIFT FOR MAM SIONY AGUILAR</v>
      </c>
    </row>
    <row r="195">
      <c r="A195" s="234">
        <f>IFERROR(__xludf.DUMMYFUNCTION("""COMPUTED_VALUE"""),105028.0)</f>
        <v>105028</v>
      </c>
      <c r="B195" s="235" t="str">
        <f>IFERROR(__xludf.DUMMYFUNCTION("""COMPUTED_VALUE"""),"MARC VINCENT VITTO")</f>
        <v>MARC VINCENT VITTO</v>
      </c>
      <c r="C195" s="235" t="str">
        <f>IFERROR(__xludf.DUMMYFUNCTION("""COMPUTED_VALUE"""),"PR &amp; MARKETING")</f>
        <v>PR &amp; MARKETING</v>
      </c>
      <c r="D195" s="196" t="str">
        <f>IFERROR(__xludf.DUMMYFUNCTION("""COMPUTED_VALUE"""),"SPARKTACULAR BANNER/TARP
1. LOCATION: MCDO FRONT 16.83 FT X 6.41 FT. 13 OZ. 
2.LOCATION : TROPICAL 13FT X 6.5 FT, THICKNESS 13 OZ WITH SEAMING AND EYELET ALL OVER")</f>
        <v>SPARKTACULAR BANNER/TARP
1. LOCATION: MCDO FRONT 16.83 FT X 6.41 FT. 13 OZ. 
2.LOCATION : TROPICAL 13FT X 6.5 FT, THICKNESS 13 OZ WITH SEAMING AND EYELET ALL OVER</v>
      </c>
      <c r="E195" s="196" t="str">
        <f>IFERROR(__xludf.DUMMYFUNCTION("""COMPUTED_VALUE"""),"MARKETING/ ADVERTISEMENT")</f>
        <v>MARKETING/ ADVERTISEMENT</v>
      </c>
    </row>
    <row r="196">
      <c r="A196" s="234">
        <f>IFERROR(__xludf.DUMMYFUNCTION("""COMPUTED_VALUE"""),105029.0)</f>
        <v>105029</v>
      </c>
      <c r="B196" s="235" t="str">
        <f>IFERROR(__xludf.DUMMYFUNCTION("""COMPUTED_VALUE"""),"RICO LLANDLAR ")</f>
        <v>RICO LLANDLAR </v>
      </c>
      <c r="C196" s="235" t="str">
        <f>IFERROR(__xludf.DUMMYFUNCTION("""COMPUTED_VALUE"""),"MIS/ICT")</f>
        <v>MIS/ICT</v>
      </c>
      <c r="D196" s="196" t="str">
        <f>IFERROR(__xludf.DUMMYFUNCTION("""COMPUTED_VALUE"""),"4 CHROMEBOOK CHARGING STATION ")</f>
        <v>4 CHROMEBOOK CHARGING STATION </v>
      </c>
      <c r="E196" s="196" t="str">
        <f>IFERROR(__xludf.DUMMYFUNCTION("""COMPUTED_VALUE"""),"CHARGING STATION OF CHROMEBOOKS ")</f>
        <v>CHARGING STATION OF CHROMEBOOKS </v>
      </c>
    </row>
    <row r="197">
      <c r="A197" s="234">
        <f>IFERROR(__xludf.DUMMYFUNCTION("""COMPUTED_VALUE"""),105030.0)</f>
        <v>105030</v>
      </c>
      <c r="B197" s="235" t="str">
        <f>IFERROR(__xludf.DUMMYFUNCTION("""COMPUTED_VALUE"""),"SHEREE ESPINOSA")</f>
        <v>SHEREE ESPINOSA</v>
      </c>
      <c r="C197" s="235" t="str">
        <f>IFERROR(__xludf.DUMMYFUNCTION("""COMPUTED_VALUE"""),"HOUSEKEEPING")</f>
        <v>HOUSEKEEPING</v>
      </c>
      <c r="D197" s="196" t="str">
        <f>IFERROR(__xludf.DUMMYFUNCTION("""COMPUTED_VALUE"""),"HIGIENECO AIR FRESHENER REFILL LAVANDER 6 PCS. BAMBOO 6 PCS. SPLASH WATER 6 PCS.")</f>
        <v>HIGIENECO AIR FRESHENER REFILL LAVANDER 6 PCS. BAMBOO 6 PCS. SPLASH WATER 6 PCS.</v>
      </c>
      <c r="E197" s="196" t="str">
        <f>IFERROR(__xludf.DUMMYFUNCTION("""COMPUTED_VALUE"""),"AIR FRESHENER REFILL OF RESTROOMS")</f>
        <v>AIR FRESHENER REFILL OF RESTROOMS</v>
      </c>
    </row>
    <row r="198">
      <c r="A198" s="234">
        <f>IFERROR(__xludf.DUMMYFUNCTION("""COMPUTED_VALUE"""),105031.0)</f>
        <v>105031</v>
      </c>
      <c r="B198" s="235" t="str">
        <f>IFERROR(__xludf.DUMMYFUNCTION("""COMPUTED_VALUE"""),"SHEREE ESPINOSA")</f>
        <v>SHEREE ESPINOSA</v>
      </c>
      <c r="C198" s="235" t="str">
        <f>IFERROR(__xludf.DUMMYFUNCTION("""COMPUTED_VALUE"""),"HOUSEKEEPING")</f>
        <v>HOUSEKEEPING</v>
      </c>
      <c r="D198" s="196" t="str">
        <f>IFERROR(__xludf.DUMMYFUNCTION("""COMPUTED_VALUE"""),"HIGIENECO AIR FRESHENER REFILL LAVANDER 7 PCS. BAMBOO 7 PCS. SPLASH WATER 7 PCS.")</f>
        <v>HIGIENECO AIR FRESHENER REFILL LAVANDER 7 PCS. BAMBOO 7 PCS. SPLASH WATER 7 PCS.</v>
      </c>
      <c r="E198" s="196" t="str">
        <f>IFERROR(__xludf.DUMMYFUNCTION("""COMPUTED_VALUE"""),"AIR FRESHENER REFILL OF RESTROOMS")</f>
        <v>AIR FRESHENER REFILL OF RESTROOMS</v>
      </c>
    </row>
    <row r="199">
      <c r="A199" s="234">
        <f>IFERROR(__xludf.DUMMYFUNCTION("""COMPUTED_VALUE"""),105032.0)</f>
        <v>105032</v>
      </c>
      <c r="B199" s="235" t="str">
        <f>IFERROR(__xludf.DUMMYFUNCTION("""COMPUTED_VALUE"""),"Jesuit Christian Galicia")</f>
        <v>Jesuit Christian Galicia</v>
      </c>
      <c r="C199" s="235" t="str">
        <f>IFERROR(__xludf.DUMMYFUNCTION("""COMPUTED_VALUE"""),"ASSET MANAGEMENT")</f>
        <v>ASSET MANAGEMENT</v>
      </c>
      <c r="D199" s="196" t="str">
        <f>IFERROR(__xludf.DUMMYFUNCTION("""COMPUTED_VALUE"""),"30 PCS. TP LINK 150MBPS WIRELESS N NANO USB ADAPTER
20 PCS. HDMI TO VGA CONVERTER ")</f>
        <v>30 PCS. TP LINK 150MBPS WIRELESS N NANO USB ADAPTER
20 PCS. HDMI TO VGA CONVERTER </v>
      </c>
      <c r="E199" s="196" t="str">
        <f>IFERROR(__xludf.DUMMYFUNCTION("""COMPUTED_VALUE"""),"MIS WAREHOUSE STOCK REPLENISHMENT")</f>
        <v>MIS WAREHOUSE STOCK REPLENISHMENT</v>
      </c>
    </row>
    <row r="200">
      <c r="A200" s="234">
        <f>IFERROR(__xludf.DUMMYFUNCTION("""COMPUTED_VALUE"""),105033.0)</f>
        <v>105033</v>
      </c>
      <c r="B200" s="235" t="str">
        <f>IFERROR(__xludf.DUMMYFUNCTION("""COMPUTED_VALUE"""),"Jesuit Christian Galicia")</f>
        <v>Jesuit Christian Galicia</v>
      </c>
      <c r="C200" s="235" t="str">
        <f>IFERROR(__xludf.DUMMYFUNCTION("""COMPUTED_VALUE"""),"AMD")</f>
        <v>AMD</v>
      </c>
      <c r="D200" s="196" t="str">
        <f>IFERROR(__xludf.DUMMYFUNCTION("""COMPUTED_VALUE"""),"5 PANASONIC WIRED TELEPHONE 
5 PANASONIC WIRELESS TELEPHONE (SINGLE UNIT)
5 PANASONIC WIRELESS DOUBLE 2IN1 ")</f>
        <v>5 PANASONIC WIRED TELEPHONE 
5 PANASONIC WIRELESS TELEPHONE (SINGLE UNIT)
5 PANASONIC WIRELESS DOUBLE 2IN1 </v>
      </c>
      <c r="E200" s="196" t="str">
        <f>IFERROR(__xludf.DUMMYFUNCTION("""COMPUTED_VALUE"""),"NEW ITEM IN MIS WAREHOUSE")</f>
        <v>NEW ITEM IN MIS WAREHOUSE</v>
      </c>
    </row>
    <row r="201">
      <c r="A201" s="234">
        <f>IFERROR(__xludf.DUMMYFUNCTION("""COMPUTED_VALUE"""),105034.0)</f>
        <v>105034</v>
      </c>
      <c r="B201" s="235" t="str">
        <f>IFERROR(__xludf.DUMMYFUNCTION("""COMPUTED_VALUE"""),"SHEREE ESPINOSA")</f>
        <v>SHEREE ESPINOSA</v>
      </c>
      <c r="C201" s="235" t="str">
        <f>IFERROR(__xludf.DUMMYFUNCTION("""COMPUTED_VALUE"""),"ADMIN")</f>
        <v>ADMIN</v>
      </c>
      <c r="D201" s="196" t="str">
        <f>IFERROR(__xludf.DUMMYFUNCTION("""COMPUTED_VALUE"""),"160 SACKS ADHESIVE (FOR SUBWAY TILES AND SOME CLADDING)
7 TIN  SKIM COAT (WHITE)
120 PCS GROUT (CLADDING &amp; SUBWAY TILES) ")</f>
        <v>160 SACKS ADHESIVE (FOR SUBWAY TILES AND SOME CLADDING)
7 TIN  SKIM COAT (WHITE)
120 PCS GROUT (CLADDING &amp; SUBWAY TILES) </v>
      </c>
      <c r="E201" s="196" t="str">
        <f>IFERROR(__xludf.DUMMYFUNCTION("""COMPUTED_VALUE"""),"FOR COLLEGE WALKWAY- MATERIALS NEEDED FOR THE STONE CLADDING AND SUBWAY TILE")</f>
        <v>FOR COLLEGE WALKWAY- MATERIALS NEEDED FOR THE STONE CLADDING AND SUBWAY TILE</v>
      </c>
    </row>
    <row r="202">
      <c r="A202" s="234">
        <f>IFERROR(__xludf.DUMMYFUNCTION("""COMPUTED_VALUE"""),105035.0)</f>
        <v>105035</v>
      </c>
      <c r="B202" s="235" t="str">
        <f>IFERROR(__xludf.DUMMYFUNCTION("""COMPUTED_VALUE"""),"SHERY LYNNE/ JENNY FONTE ")</f>
        <v>SHERY LYNNE/ JENNY FONTE </v>
      </c>
      <c r="C202" s="235" t="str">
        <f>IFERROR(__xludf.DUMMYFUNCTION("""COMPUTED_VALUE"""),"ADMIN - MUNICH")</f>
        <v>ADMIN - MUNICH</v>
      </c>
      <c r="D202" s="196" t="str">
        <f>IFERROR(__xludf.DUMMYFUNCTION("""COMPUTED_VALUE"""),"300 PCS (MUNICH) SLIM STACKABLE DURABLE CHAIRS (DIFFERENT COLORS)
150 PCS (STAR)  SLIM STACKABLE DURABLE CHAIRS (DIFFERENT COLORS)")</f>
        <v>300 PCS (MUNICH) SLIM STACKABLE DURABLE CHAIRS (DIFFERENT COLORS)
150 PCS (STAR)  SLIM STACKABLE DURABLE CHAIRS (DIFFERENT COLORS)</v>
      </c>
      <c r="E202" s="196" t="str">
        <f>IFERROR(__xludf.DUMMYFUNCTION("""COMPUTED_VALUE"""),"CHAIRS FOR STUDENTS DURING ASSEMBLY AS PER GLL")</f>
        <v>CHAIRS FOR STUDENTS DURING ASSEMBLY AS PER GLL</v>
      </c>
    </row>
    <row r="203">
      <c r="A203" s="234">
        <f>IFERROR(__xludf.DUMMYFUNCTION("""COMPUTED_VALUE"""),105036.0)</f>
        <v>105036</v>
      </c>
      <c r="B203" s="235" t="str">
        <f>IFERROR(__xludf.DUMMYFUNCTION("""COMPUTED_VALUE"""),"LYKA PERALTA")</f>
        <v>LYKA PERALTA</v>
      </c>
      <c r="C203" s="235" t="str">
        <f>IFERROR(__xludf.DUMMYFUNCTION("""COMPUTED_VALUE"""),"AMD")</f>
        <v>AMD</v>
      </c>
      <c r="D203" s="196" t="str">
        <f>IFERROR(__xludf.DUMMYFUNCTION("""COMPUTED_VALUE"""),"1000 PCS LANYARD K2-IB SISC PRINT WITH ID PRO LANDSCAPE (NEW LOGO) 20 CM")</f>
        <v>1000 PCS LANYARD K2-IB SISC PRINT WITH ID PRO LANDSCAPE (NEW LOGO) 20 CM</v>
      </c>
      <c r="E203" s="196" t="str">
        <f>IFERROR(__xludf.DUMMYFUNCTION("""COMPUTED_VALUE"""),"OSSUP- STOCK REPLELISHMENT")</f>
        <v>OSSUP- STOCK REPLELISHMENT</v>
      </c>
    </row>
    <row r="204">
      <c r="A204" s="234">
        <f>IFERROR(__xludf.DUMMYFUNCTION("""COMPUTED_VALUE"""),105037.0)</f>
        <v>105037</v>
      </c>
      <c r="B204" s="235" t="str">
        <f>IFERROR(__xludf.DUMMYFUNCTION("""COMPUTED_VALUE"""),"LYKA PERALTA ")</f>
        <v>LYKA PERALTA </v>
      </c>
      <c r="C204" s="235" t="str">
        <f>IFERROR(__xludf.DUMMYFUNCTION("""COMPUTED_VALUE"""),"AMD")</f>
        <v>AMD</v>
      </c>
      <c r="D204" s="196" t="str">
        <f>IFERROR(__xludf.DUMMYFUNCTION("""COMPUTED_VALUE"""),"50 PCS TOWEL BENCH PURPLE SMALL
50 PCS TOWEL BENCH GRAY SMALL
50 PCS POUCH BENCH BEIGE
25 PCS POUCH BENCH BLACK")</f>
        <v>50 PCS TOWEL BENCH PURPLE SMALL
50 PCS TOWEL BENCH GRAY SMALL
50 PCS POUCH BENCH BEIGE
25 PCS POUCH BENCH BLACK</v>
      </c>
      <c r="E204" s="196" t="str">
        <f>IFERROR(__xludf.DUMMYFUNCTION("""COMPUTED_VALUE"""),"ADDITIONAL TOKEN SUPPLIES FOR INTERNATIONAL ENGAGEMENT OF THE PRESIDENT ")</f>
        <v>ADDITIONAL TOKEN SUPPLIES FOR INTERNATIONAL ENGAGEMENT OF THE PRESIDENT </v>
      </c>
    </row>
    <row r="205">
      <c r="A205" s="234">
        <f>IFERROR(__xludf.DUMMYFUNCTION("""COMPUTED_VALUE"""),105038.0)</f>
        <v>105038</v>
      </c>
      <c r="B205" s="235" t="str">
        <f>IFERROR(__xludf.DUMMYFUNCTION("""COMPUTED_VALUE"""),"RODRIGO CUSTODIO")</f>
        <v>RODRIGO CUSTODIO</v>
      </c>
      <c r="C205" s="235" t="str">
        <f>IFERROR(__xludf.DUMMYFUNCTION("""COMPUTED_VALUE"""),"AMD")</f>
        <v>AMD</v>
      </c>
      <c r="D205" s="196" t="str">
        <f>IFERROR(__xludf.DUMMYFUNCTION("""COMPUTED_VALUE"""),"400 PCS. MICROFIBER TOWEL BLUE
400 PCS. MICROFIBER TOWEL PINK")</f>
        <v>400 PCS. MICROFIBER TOWEL BLUE
400 PCS. MICROFIBER TOWEL PINK</v>
      </c>
      <c r="E205" s="196" t="str">
        <f>IFERROR(__xludf.DUMMYFUNCTION("""COMPUTED_VALUE"""),"HOUSEKEEPING MATERIALS- STOCK REPLENISHMENT")</f>
        <v>HOUSEKEEPING MATERIALS- STOCK REPLENISHMENT</v>
      </c>
    </row>
    <row r="206">
      <c r="A206" s="234">
        <f>IFERROR(__xludf.DUMMYFUNCTION("""COMPUTED_VALUE"""),105039.0)</f>
        <v>105039</v>
      </c>
      <c r="B206" s="235" t="str">
        <f>IFERROR(__xludf.DUMMYFUNCTION("""COMPUTED_VALUE"""),"RODRIGO CUSTODIO")</f>
        <v>RODRIGO CUSTODIO</v>
      </c>
      <c r="C206" s="235" t="str">
        <f>IFERROR(__xludf.DUMMYFUNCTION("""COMPUTED_VALUE"""),"AMD")</f>
        <v>AMD</v>
      </c>
      <c r="D206" s="196" t="str">
        <f>IFERROR(__xludf.DUMMYFUNCTION("""COMPUTED_VALUE"""),"180 PCS. SPRAY GUN")</f>
        <v>180 PCS. SPRAY GUN</v>
      </c>
      <c r="E206" s="196" t="str">
        <f>IFERROR(__xludf.DUMMYFUNCTION("""COMPUTED_VALUE"""),"HOUSEKEEPING MATERIALS- STOCK REPLENISHMENT")</f>
        <v>HOUSEKEEPING MATERIALS- STOCK REPLENISHMENT</v>
      </c>
    </row>
    <row r="207">
      <c r="A207" s="234">
        <f>IFERROR(__xludf.DUMMYFUNCTION("""COMPUTED_VALUE"""),105040.0)</f>
        <v>105040</v>
      </c>
      <c r="B207" s="235" t="str">
        <f>IFERROR(__xludf.DUMMYFUNCTION("""COMPUTED_VALUE"""),"MARIA PATRICIA BELLEZA")</f>
        <v>MARIA PATRICIA BELLEZA</v>
      </c>
      <c r="C207" s="235" t="str">
        <f>IFERROR(__xludf.DUMMYFUNCTION("""COMPUTED_VALUE"""),"AMD")</f>
        <v>AMD</v>
      </c>
      <c r="D207" s="196" t="str">
        <f>IFERROR(__xludf.DUMMYFUNCTION("""COMPUTED_VALUE"""),"2 PCS FUNERAL FLOWER")</f>
        <v>2 PCS FUNERAL FLOWER</v>
      </c>
      <c r="E207" s="196" t="str">
        <f>IFERROR(__xludf.DUMMYFUNCTION("""COMPUTED_VALUE"""),"FOR THE DEATH OF ONE OF SISC ALUMNI")</f>
        <v>FOR THE DEATH OF ONE OF SISC ALUMNI</v>
      </c>
    </row>
    <row r="208">
      <c r="A208" s="234">
        <f>IFERROR(__xludf.DUMMYFUNCTION("""COMPUTED_VALUE"""),105041.0)</f>
        <v>105041</v>
      </c>
      <c r="B208" s="235" t="str">
        <f>IFERROR(__xludf.DUMMYFUNCTION("""COMPUTED_VALUE"""),"Sary Escurel")</f>
        <v>Sary Escurel</v>
      </c>
      <c r="C208" s="235" t="str">
        <f>IFERROR(__xludf.DUMMYFUNCTION("""COMPUTED_VALUE"""),"K12")</f>
        <v>K12</v>
      </c>
      <c r="D208" s="196" t="str">
        <f>IFERROR(__xludf.DUMMYFUNCTION("""COMPUTED_VALUE"""),"CALLING CARD 
1- MS. PAT BELLEZA
1- MS. ANNABEL VASQUEZ")</f>
        <v>CALLING CARD 
1- MS. PAT BELLEZA
1- MS. ANNABEL VASQUEZ</v>
      </c>
      <c r="E208" s="196" t="str">
        <f>IFERROR(__xludf.DUMMYFUNCTION("""COMPUTED_VALUE"""),"USE FOR COMMUNICATION")</f>
        <v>USE FOR COMMUNICATION</v>
      </c>
    </row>
    <row r="209">
      <c r="A209" s="234">
        <f>IFERROR(__xludf.DUMMYFUNCTION("""COMPUTED_VALUE"""),105042.0)</f>
        <v>105042</v>
      </c>
      <c r="B209" s="235" t="str">
        <f>IFERROR(__xludf.DUMMYFUNCTION("""COMPUTED_VALUE"""),"MARK VINCENT S. VITTO")</f>
        <v>MARK VINCENT S. VITTO</v>
      </c>
      <c r="C209" s="235" t="str">
        <f>IFERROR(__xludf.DUMMYFUNCTION("""COMPUTED_VALUE"""),"PR &amp; MARKETING")</f>
        <v>PR &amp; MARKETING</v>
      </c>
      <c r="D209" s="196" t="str">
        <f>IFERROR(__xludf.DUMMYFUNCTION("""COMPUTED_VALUE"""),"LEARNING VILLAGE TARPS (3) 
SIZES= W=3FT X H=6.5FT
THICKNESS 18oz
1 LEARNING THROUGH PLAY, DISCOVERY, &amp; CREATIVITY 
1 EMPOWERING MINDS THROUGH EXECUTIVE FUNCTIONS
1 SPARKLING LOVE FOR READING")</f>
        <v>LEARNING VILLAGE TARPS (3) 
SIZES= W=3FT X H=6.5FT
THICKNESS 18oz
1 LEARNING THROUGH PLAY, DISCOVERY, &amp; CREATIVITY 
1 EMPOWERING MINDS THROUGH EXECUTIVE FUNCTIONS
1 SPARKLING LOVE FOR READING</v>
      </c>
      <c r="E209" s="196" t="str">
        <f>IFERROR(__xludf.DUMMYFUNCTION("""COMPUTED_VALUE"""),"MARKETING")</f>
        <v>MARKETING</v>
      </c>
    </row>
    <row r="210">
      <c r="A210" s="234">
        <f>IFERROR(__xludf.DUMMYFUNCTION("""COMPUTED_VALUE"""),105043.0)</f>
        <v>105043</v>
      </c>
      <c r="B210" s="235" t="str">
        <f>IFERROR(__xludf.DUMMYFUNCTION("""COMPUTED_VALUE"""),"KARLA PELONIA")</f>
        <v>KARLA PELONIA</v>
      </c>
      <c r="C210" s="235" t="str">
        <f>IFERROR(__xludf.DUMMYFUNCTION("""COMPUTED_VALUE"""),"SPECIAL SUBJECTS")</f>
        <v>SPECIAL SUBJECTS</v>
      </c>
      <c r="D210" s="196" t="str">
        <f>IFERROR(__xludf.DUMMYFUNCTION("""COMPUTED_VALUE"""),"3 BIG INFLATABLE BALL
5 PLASTIC HULAHOOP 
5 DODGE BALL
100 LONG BALLOON GREEN
100 LONG BALLOON BLUE
100 LONG BALLOON PURPLE
100 LONG BALLOON RED 
5 ECOBAG (LARGE)")</f>
        <v>3 BIG INFLATABLE BALL
5 PLASTIC HULAHOOP 
5 DODGE BALL
100 LONG BALLOON GREEN
100 LONG BALLOON BLUE
100 LONG BALLOON PURPLE
100 LONG BALLOON RED 
5 ECOBAG (LARGE)</v>
      </c>
      <c r="E210" s="196" t="str">
        <f>IFERROR(__xludf.DUMMYFUNCTION("""COMPUTED_VALUE"""),"FOR INTRAMURALS")</f>
        <v>FOR INTRAMURALS</v>
      </c>
    </row>
    <row r="211">
      <c r="A211" s="234">
        <f>IFERROR(__xludf.DUMMYFUNCTION("""COMPUTED_VALUE"""),105044.0)</f>
        <v>105044</v>
      </c>
      <c r="B211" s="235" t="str">
        <f>IFERROR(__xludf.DUMMYFUNCTION("""COMPUTED_VALUE"""),"MELISSA NAVAL ODOÑO / CARLA VILLANUEVA")</f>
        <v>MELISSA NAVAL ODOÑO / CARLA VILLANUEVA</v>
      </c>
      <c r="C211" s="235" t="str">
        <f>IFERROR(__xludf.DUMMYFUNCTION("""COMPUTED_VALUE"""),"LIBRARY COLLEGE")</f>
        <v>LIBRARY COLLEGE</v>
      </c>
      <c r="D211" s="196" t="str">
        <f>IFERROR(__xludf.DUMMYFUNCTION("""COMPUTED_VALUE"""),"1 CRITICAL CARE NURSING JOURNAL 
1 AMERICAN JOURNAL OF NURSING 
1 JOURNAL OF NURSING ADMINISTRATION")</f>
        <v>1 CRITICAL CARE NURSING JOURNAL 
1 AMERICAN JOURNAL OF NURSING 
1 JOURNAL OF NURSING ADMINISTRATION</v>
      </c>
      <c r="E211" s="196" t="str">
        <f>IFERROR(__xludf.DUMMYFUNCTION("""COMPUTED_VALUE"""),"FOR PACUCOA REQUIREMENTS")</f>
        <v>FOR PACUCOA REQUIREMENTS</v>
      </c>
    </row>
    <row r="212">
      <c r="A212" s="234">
        <f>IFERROR(__xludf.DUMMYFUNCTION("""COMPUTED_VALUE"""),105045.0)</f>
        <v>105045</v>
      </c>
      <c r="B212" s="235" t="str">
        <f>IFERROR(__xludf.DUMMYFUNCTION("""COMPUTED_VALUE"""),"OWIE PAR")</f>
        <v>OWIE PAR</v>
      </c>
      <c r="C212" s="235" t="str">
        <f>IFERROR(__xludf.DUMMYFUNCTION("""COMPUTED_VALUE"""),"ENGINEERING")</f>
        <v>ENGINEERING</v>
      </c>
      <c r="D212" s="196" t="str">
        <f>IFERROR(__xludf.DUMMYFUNCTION("""COMPUTED_VALUE"""),"6PCS HALLOGEN LED LIGHTS")</f>
        <v>6PCS HALLOGEN LED LIGHTS</v>
      </c>
      <c r="E212" s="196" t="str">
        <f>IFERROR(__xludf.DUMMYFUNCTION("""COMPUTED_VALUE"""),"FOR STUFFSHOP")</f>
        <v>FOR STUFFSHOP</v>
      </c>
    </row>
    <row r="213">
      <c r="A213" s="234">
        <f>IFERROR(__xludf.DUMMYFUNCTION("""COMPUTED_VALUE"""),105046.0)</f>
        <v>105046</v>
      </c>
      <c r="B213" s="235" t="str">
        <f>IFERROR(__xludf.DUMMYFUNCTION("""COMPUTED_VALUE"""),"SHEREEE ESPINOSA")</f>
        <v>SHEREEE ESPINOSA</v>
      </c>
      <c r="C213" s="235" t="str">
        <f>IFERROR(__xludf.DUMMYFUNCTION("""COMPUTED_VALUE"""),"ADMIN - LUX")</f>
        <v>ADMIN - LUX</v>
      </c>
      <c r="D213" s="196" t="str">
        <f>IFERROR(__xludf.DUMMYFUNCTION("""COMPUTED_VALUE"""),"VEX IQ POSTER 
PRINT ON SINTRA BOARD
9 PCS 1ST GENERATION (SIZE 60CM X 85 CM )
6 PCS 2ND GENERATION (SIZE 60CM X 85 CM )
4 PCS IQ COMPETITION KIT (SIZE 60CM X 85 CM )")</f>
        <v>VEX IQ POSTER 
PRINT ON SINTRA BOARD
9 PCS 1ST GENERATION (SIZE 60CM X 85 CM )
6 PCS 2ND GENERATION (SIZE 60CM X 85 CM )
4 PCS IQ COMPETITION KIT (SIZE 60CM X 85 CM )</v>
      </c>
      <c r="E213" s="196" t="str">
        <f>IFERROR(__xludf.DUMMYFUNCTION("""COMPUTED_VALUE"""),"FOR ROBOTICS LAB LUX CAMPUS")</f>
        <v>FOR ROBOTICS LAB LUX CAMPUS</v>
      </c>
    </row>
    <row r="214">
      <c r="A214" s="234">
        <f>IFERROR(__xludf.DUMMYFUNCTION("""COMPUTED_VALUE"""),105047.0)</f>
        <v>105047</v>
      </c>
      <c r="B214" s="235" t="str">
        <f>IFERROR(__xludf.DUMMYFUNCTION("""COMPUTED_VALUE"""),"RORY MANSBRIDGE")</f>
        <v>RORY MANSBRIDGE</v>
      </c>
      <c r="C214" s="235" t="str">
        <f>IFERROR(__xludf.DUMMYFUNCTION("""COMPUTED_VALUE"""),"ATHLETICS")</f>
        <v>ATHLETICS</v>
      </c>
      <c r="D214" s="196" t="str">
        <f>IFERROR(__xludf.DUMMYFUNCTION("""COMPUTED_VALUE"""),"128 PURPLE
84 WHITE")</f>
        <v>128 PURPLE
84 WHITE</v>
      </c>
      <c r="E214" s="196" t="str">
        <f>IFERROR(__xludf.DUMMYFUNCTION("""COMPUTED_VALUE"""),"VARSITY UNIFORM")</f>
        <v>VARSITY UNIFORM</v>
      </c>
    </row>
    <row r="215">
      <c r="A215" s="234">
        <f>IFERROR(__xludf.DUMMYFUNCTION("""COMPUTED_VALUE"""),105048.0)</f>
        <v>105048</v>
      </c>
      <c r="B215" s="235" t="str">
        <f>IFERROR(__xludf.DUMMYFUNCTION("""COMPUTED_VALUE"""),"RONALDO D. VERDE")</f>
        <v>RONALDO D. VERDE</v>
      </c>
      <c r="C215" s="235" t="str">
        <f>IFERROR(__xludf.DUMMYFUNCTION("""COMPUTED_VALUE"""),"ADMIN - LUX")</f>
        <v>ADMIN - LUX</v>
      </c>
      <c r="D215" s="196" t="str">
        <f>IFERROR(__xludf.DUMMYFUNCTION("""COMPUTED_VALUE"""),"10 TIN FLAT LATEX (BOYSEN)
2 TIN QDE WHITE (BOYSEN) 
2 GAL PAINT THINNER (ANY BRAND )
5 PCS PAINT BRUSH #2
5 PCS PAINT BRUSH #7
5 METERS SANDING PAPER #100
5 KGS RAGS 
3 LITERS POLITUFF W/ HARDENER 
3 GALLON EMMISION 
2 GALLON VULCASEAL
5 QNT SOLVENT")</f>
        <v>10 TIN FLAT LATEX (BOYSEN)
2 TIN QDE WHITE (BOYSEN) 
2 GAL PAINT THINNER (ANY BRAND )
5 PCS PAINT BRUSH #2
5 PCS PAINT BRUSH #7
5 METERS SANDING PAPER #100
5 KGS RAGS 
3 LITERS POLITUFF W/ HARDENER 
3 GALLON EMMISION 
2 GALLON VULCASEAL
5 QNT SOLVENT</v>
      </c>
      <c r="E215" s="196" t="str">
        <f>IFERROR(__xludf.DUMMYFUNCTION("""COMPUTED_VALUE"""),"BUILDING PREVENTIVE MAINTENANCE &amp; ADDITIONAL")</f>
        <v>BUILDING PREVENTIVE MAINTENANCE &amp; ADDITIONAL</v>
      </c>
    </row>
    <row r="216">
      <c r="A216" s="234">
        <f>IFERROR(__xludf.DUMMYFUNCTION("""COMPUTED_VALUE"""),105049.0)</f>
        <v>105049</v>
      </c>
      <c r="B216" s="235" t="str">
        <f>IFERROR(__xludf.DUMMYFUNCTION("""COMPUTED_VALUE"""),"MARC VINCENT VITTO")</f>
        <v>MARC VINCENT VITTO</v>
      </c>
      <c r="C216" s="235" t="str">
        <f>IFERROR(__xludf.DUMMYFUNCTION("""COMPUTED_VALUE"""),"PR &amp; MARKETING")</f>
        <v>PR &amp; MARKETING</v>
      </c>
      <c r="D216" s="196" t="str">
        <f>IFERROR(__xludf.DUMMYFUNCTION("""COMPUTED_VALUE"""),"PQA TARPAULIN (2)
SIZE 
1. W=  12FT X H= 6FT (1)
2. W=628CM X H= 198 CM (1) 
W/ SEAMING &amp; EYELET ALL OVER ")</f>
        <v>PQA TARPAULIN (2)
SIZE 
1. W=  12FT X H= 6FT (1)
2. W=628CM X H= 198 CM (1) 
W/ SEAMING &amp; EYELET ALL OVER </v>
      </c>
      <c r="E216" s="196" t="str">
        <f>IFERROR(__xludf.DUMMYFUNCTION("""COMPUTED_VALUE"""),"MARKETING")</f>
        <v>MARKETING</v>
      </c>
    </row>
    <row r="217">
      <c r="A217" s="234">
        <f>IFERROR(__xludf.DUMMYFUNCTION("""COMPUTED_VALUE"""),105050.0)</f>
        <v>105050</v>
      </c>
      <c r="B217" s="235" t="str">
        <f>IFERROR(__xludf.DUMMYFUNCTION("""COMPUTED_VALUE"""),"K GABUTERO")</f>
        <v>K GABUTERO</v>
      </c>
      <c r="C217" s="235" t="str">
        <f>IFERROR(__xludf.DUMMYFUNCTION("""COMPUTED_VALUE"""),"AB COMM/MMA")</f>
        <v>AB COMM/MMA</v>
      </c>
      <c r="D217" s="196" t="str">
        <f>IFERROR(__xludf.DUMMYFUNCTION("""COMPUTED_VALUE"""),"1 LOT GODOX SK 40011-D 
STUDIO FLASH MONOLIGHT 
(5 LIGHT KIT ) ")</f>
        <v>1 LOT GODOX SK 40011-D 
STUDIO FLASH MONOLIGHT 
(5 LIGHT KIT ) </v>
      </c>
      <c r="E217" s="196" t="str">
        <f>IFERROR(__xludf.DUMMYFUNCTION("""COMPUTED_VALUE"""),"REPLACEMENT OF OBSOLETE STROBE LIGHTS FOR STUDIO PHOTOGRAPHY TO BE NEED IN CLASS")</f>
        <v>REPLACEMENT OF OBSOLETE STROBE LIGHTS FOR STUDIO PHOTOGRAPHY TO BE NEED IN CLASS</v>
      </c>
    </row>
    <row r="218">
      <c r="A218" s="234">
        <f>IFERROR(__xludf.DUMMYFUNCTION("""COMPUTED_VALUE"""),105051.0)</f>
        <v>105051</v>
      </c>
      <c r="B218" s="235" t="str">
        <f>IFERROR(__xludf.DUMMYFUNCTION("""COMPUTED_VALUE"""),"RONALDO VERDE ")</f>
        <v>RONALDO VERDE </v>
      </c>
      <c r="C218" s="235" t="str">
        <f>IFERROR(__xludf.DUMMYFUNCTION("""COMPUTED_VALUE"""),"ADMIN")</f>
        <v>ADMIN</v>
      </c>
      <c r="D218" s="196" t="str">
        <f>IFERROR(__xludf.DUMMYFUNCTION("""COMPUTED_VALUE"""),"2 ROLLS FLAT CORD #16, FLAT CORD #18, OUTLET 3 GANG  50 PCS. ")</f>
        <v>2 ROLLS FLAT CORD #16, FLAT CORD #18, OUTLET 3 GANG  50 PCS. </v>
      </c>
      <c r="E218" s="196" t="str">
        <f>IFERROR(__xludf.DUMMYFUNCTION("""COMPUTED_VALUE"""),"FOR  MIS CHROME LABORATORIES")</f>
        <v>FOR  MIS CHROME LABORATORIES</v>
      </c>
    </row>
    <row r="219">
      <c r="A219" s="234">
        <f>IFERROR(__xludf.DUMMYFUNCTION("""COMPUTED_VALUE"""),105052.0)</f>
        <v>105052</v>
      </c>
      <c r="B219" s="235" t="str">
        <f>IFERROR(__xludf.DUMMYFUNCTION("""COMPUTED_VALUE"""),"Ruel Par")</f>
        <v>Ruel Par</v>
      </c>
      <c r="C219" s="235" t="str">
        <f>IFERROR(__xludf.DUMMYFUNCTION("""COMPUTED_VALUE"""),"ADMIN")</f>
        <v>ADMIN</v>
      </c>
      <c r="D219" s="196" t="str">
        <f>IFERROR(__xludf.DUMMYFUNCTION("""COMPUTED_VALUE"""),"1 SET 5.0 HP CEILING CASETTE 
2 SETS 4.0 HP CEILING CASETTE 
6 SETS 3.0 HP CEILING CASETTE 
2 SETS 2.0 HP CEILING CASETTE ")</f>
        <v>1 SET 5.0 HP CEILING CASETTE 
2 SETS 4.0 HP CEILING CASETTE 
6 SETS 3.0 HP CEILING CASETTE 
2 SETS 2.0 HP CEILING CASETTE </v>
      </c>
      <c r="E219" s="196" t="str">
        <f>IFERROR(__xludf.DUMMYFUNCTION("""COMPUTED_VALUE"""),"TO BE INSTALLED IN 5TH FLOOR COLLEGE")</f>
        <v>TO BE INSTALLED IN 5TH FLOOR COLLEGE</v>
      </c>
    </row>
    <row r="220">
      <c r="A220" s="234">
        <f>IFERROR(__xludf.DUMMYFUNCTION("""COMPUTED_VALUE"""),105053.0)</f>
        <v>105053</v>
      </c>
      <c r="B220" s="235" t="str">
        <f>IFERROR(__xludf.DUMMYFUNCTION("""COMPUTED_VALUE"""),"ALFA DE LEON ")</f>
        <v>ALFA DE LEON </v>
      </c>
      <c r="C220" s="235" t="str">
        <f>IFERROR(__xludf.DUMMYFUNCTION("""COMPUTED_VALUE"""),"ADMIN - MUNICH")</f>
        <v>ADMIN - MUNICH</v>
      </c>
      <c r="D220" s="196" t="str">
        <f>IFERROR(__xludf.DUMMYFUNCTION("""COMPUTED_VALUE"""),"2 IWATA")</f>
        <v>2 IWATA</v>
      </c>
      <c r="E220" s="196" t="str">
        <f>IFERROR(__xludf.DUMMYFUNCTION("""COMPUTED_VALUE"""),"REPLACEMENT OF BROKEN FAN ")</f>
        <v>REPLACEMENT OF BROKEN FAN </v>
      </c>
    </row>
    <row r="221">
      <c r="A221" s="234">
        <f>IFERROR(__xludf.DUMMYFUNCTION("""COMPUTED_VALUE"""),105054.0)</f>
        <v>105054</v>
      </c>
      <c r="B221" s="235" t="str">
        <f>IFERROR(__xludf.DUMMYFUNCTION("""COMPUTED_VALUE"""),"ALFA DE LEON ")</f>
        <v>ALFA DE LEON </v>
      </c>
      <c r="C221" s="235" t="str">
        <f>IFERROR(__xludf.DUMMYFUNCTION("""COMPUTED_VALUE"""),"LANDSCAPING")</f>
        <v>LANDSCAPING</v>
      </c>
      <c r="D221" s="196" t="str">
        <f>IFERROR(__xludf.DUMMYFUNCTION("""COMPUTED_VALUE"""),"1 ROLL GARDEN HOSE 100 RATS")</f>
        <v>1 ROLL GARDEN HOSE 100 RATS</v>
      </c>
      <c r="E221" s="196" t="str">
        <f>IFERROR(__xludf.DUMMYFUNCTION("""COMPUTED_VALUE"""),"REPLACEMENT OF OLD/ROTTEN GARDEN HOSE")</f>
        <v>REPLACEMENT OF OLD/ROTTEN GARDEN HOSE</v>
      </c>
    </row>
    <row r="222">
      <c r="A222" s="234">
        <f>IFERROR(__xludf.DUMMYFUNCTION("""COMPUTED_VALUE"""),105055.0)</f>
        <v>105055</v>
      </c>
      <c r="B222" s="235" t="str">
        <f>IFERROR(__xludf.DUMMYFUNCTION("""COMPUTED_VALUE"""),"ALFA DE LEON")</f>
        <v>ALFA DE LEON</v>
      </c>
      <c r="C222" s="235" t="str">
        <f>IFERROR(__xludf.DUMMYFUNCTION("""COMPUTED_VALUE"""),"LANDSCAPING")</f>
        <v>LANDSCAPING</v>
      </c>
      <c r="D222" s="196" t="str">
        <f>IFERROR(__xludf.DUMMYFUNCTION("""COMPUTED_VALUE"""),"  ")</f>
        <v>  </v>
      </c>
      <c r="E222" s="196" t="str">
        <f>IFERROR(__xludf.DUMMYFUNCTION("""COMPUTED_VALUE"""),"GREEN WALL PLANTS REPAIR AND GROUND COVER FOR EW TREES")</f>
        <v>GREEN WALL PLANTS REPAIR AND GROUND COVER FOR EW TREES</v>
      </c>
    </row>
    <row r="223">
      <c r="A223" s="234">
        <f>IFERROR(__xludf.DUMMYFUNCTION("""COMPUTED_VALUE"""),105056.0)</f>
        <v>105056</v>
      </c>
      <c r="B223" s="235" t="str">
        <f>IFERROR(__xludf.DUMMYFUNCTION("""COMPUTED_VALUE"""),"ALFA DE LEON")</f>
        <v>ALFA DE LEON</v>
      </c>
      <c r="C223" s="235" t="str">
        <f>IFERROR(__xludf.DUMMYFUNCTION("""COMPUTED_VALUE"""),"LANDSCAPING")</f>
        <v>LANDSCAPING</v>
      </c>
      <c r="D223" s="196" t="str">
        <f>IFERROR(__xludf.DUMMYFUNCTION("""COMPUTED_VALUE"""),"50 SELLOUM 
50 SILVER  PANDAKAKI 
50 DURANTA")</f>
        <v>50 SELLOUM 
50 SILVER  PANDAKAKI 
50 DURANTA</v>
      </c>
      <c r="E223" s="196" t="str">
        <f>IFERROR(__xludf.DUMMYFUNCTION("""COMPUTED_VALUE"""),"MONARCH PARK PLANT BOXES")</f>
        <v>MONARCH PARK PLANT BOXES</v>
      </c>
    </row>
    <row r="224">
      <c r="A224" s="234">
        <f>IFERROR(__xludf.DUMMYFUNCTION("""COMPUTED_VALUE"""),105057.0)</f>
        <v>105057</v>
      </c>
      <c r="B224" s="235" t="str">
        <f>IFERROR(__xludf.DUMMYFUNCTION("""COMPUTED_VALUE"""),"LYKA PERALTA")</f>
        <v>LYKA PERALTA</v>
      </c>
      <c r="C224" s="235" t="str">
        <f>IFERROR(__xludf.DUMMYFUNCTION("""COMPUTED_VALUE"""),"AMD")</f>
        <v>AMD</v>
      </c>
      <c r="D224" s="196" t="str">
        <f>IFERROR(__xludf.DUMMYFUNCTION("""COMPUTED_VALUE"""),"2 REAMS PAPER COPY-FORTUNE SUB 24 SHORT BLUE 
2 REAMS PAPER COPY-FORTUNE SUB 24 LONG BLUE ")</f>
        <v>2 REAMS PAPER COPY-FORTUNE SUB 24 SHORT BLUE 
2 REAMS PAPER COPY-FORTUNE SUB 24 LONG BLUE </v>
      </c>
      <c r="E224" s="196" t="str">
        <f>IFERROR(__xludf.DUMMYFUNCTION("""COMPUTED_VALUE"""),"OSSUP- STOCK REPLELISHMENT")</f>
        <v>OSSUP- STOCK REPLELISHMENT</v>
      </c>
    </row>
    <row r="225">
      <c r="A225" s="234">
        <f>IFERROR(__xludf.DUMMYFUNCTION("""COMPUTED_VALUE"""),105058.0)</f>
        <v>105058</v>
      </c>
      <c r="B225" s="235" t="str">
        <f>IFERROR(__xludf.DUMMYFUNCTION("""COMPUTED_VALUE"""),"Paul Araña")</f>
        <v>Paul Araña</v>
      </c>
      <c r="C225" s="235" t="str">
        <f>IFERROR(__xludf.DUMMYFUNCTION("""COMPUTED_VALUE"""),"MIS ")</f>
        <v>MIS </v>
      </c>
      <c r="D225" s="196" t="str">
        <f>IFERROR(__xludf.DUMMYFUNCTION("""COMPUTED_VALUE"""),"4 CABLE COMPUTER LAPTOP SECURITY NOTEBOOK
60 MOLDING")</f>
        <v>4 CABLE COMPUTER LAPTOP SECURITY NOTEBOOK
60 MOLDING</v>
      </c>
      <c r="E225" s="196" t="str">
        <f>IFERROR(__xludf.DUMMYFUNCTION("""COMPUTED_VALUE"""),"FOR FRONTLINE / FOR E CLASSROOMS ")</f>
        <v>FOR FRONTLINE / FOR E CLASSROOMS </v>
      </c>
    </row>
    <row r="226">
      <c r="A226" s="234">
        <f>IFERROR(__xludf.DUMMYFUNCTION("""COMPUTED_VALUE"""),105059.0)</f>
        <v>105059</v>
      </c>
      <c r="B226" s="235" t="str">
        <f>IFERROR(__xludf.DUMMYFUNCTION("""COMPUTED_VALUE"""),"JEREMIAH TIROL")</f>
        <v>JEREMIAH TIROL</v>
      </c>
      <c r="C226" s="235" t="str">
        <f>IFERROR(__xludf.DUMMYFUNCTION("""COMPUTED_VALUE"""),"SCIENCE LAB COLLEGE")</f>
        <v>SCIENCE LAB COLLEGE</v>
      </c>
      <c r="D226" s="196" t="str">
        <f>IFERROR(__xludf.DUMMYFUNCTION("""COMPUTED_VALUE"""),"2 PCS BLACK (PLASTIC) TRASH BINS WITH PEDAL (SMALL SIZE) 
2 PCS GREEN
2 PCS YELLOW 
2 PCS RED 
1 PC FEEDING PUMP(ANY BRAND) 
1PC STADIOMETER WITH WEIGHING SCALE (ANYBRAND OR DETECTO) 
2 PCS ALUMINUM CART 3 LAYERS 
4 PCS BEDSIDE TABLE")</f>
        <v>2 PCS BLACK (PLASTIC) TRASH BINS WITH PEDAL (SMALL SIZE) 
2 PCS GREEN
2 PCS YELLOW 
2 PCS RED 
1 PC FEEDING PUMP(ANY BRAND) 
1PC STADIOMETER WITH WEIGHING SCALE (ANYBRAND OR DETECTO) 
2 PCS ALUMINUM CART 3 LAYERS 
4 PCS BEDSIDE TABLE</v>
      </c>
      <c r="E226" s="196" t="str">
        <f>IFERROR(__xludf.DUMMYFUNCTION("""COMPUTED_VALUE"""),"FOR LABORATORY USE")</f>
        <v>FOR LABORATORY USE</v>
      </c>
    </row>
    <row r="227">
      <c r="A227" s="234">
        <f>IFERROR(__xludf.DUMMYFUNCTION("""COMPUTED_VALUE"""),105060.0)</f>
        <v>105060</v>
      </c>
      <c r="B227" s="235" t="str">
        <f>IFERROR(__xludf.DUMMYFUNCTION("""COMPUTED_VALUE"""),"Paul Araña")</f>
        <v>Paul Araña</v>
      </c>
      <c r="C227" s="235" t="str">
        <f>IFERROR(__xludf.DUMMYFUNCTION("""COMPUTED_VALUE"""),"MIS")</f>
        <v>MIS</v>
      </c>
      <c r="D227" s="196" t="str">
        <f>IFERROR(__xludf.DUMMYFUNCTION("""COMPUTED_VALUE"""),"8 EPSON EB X 51")</f>
        <v>8 EPSON EB X 51</v>
      </c>
      <c r="E227" s="196" t="str">
        <f>IFERROR(__xludf.DUMMYFUNCTION("""COMPUTED_VALUE"""),"FOR REPLACEMENT OF PROJECTORS IN CLASSROOMS AND LABORATORIES ")</f>
        <v>FOR REPLACEMENT OF PROJECTORS IN CLASSROOMS AND LABORATORIES </v>
      </c>
    </row>
    <row r="228">
      <c r="A228" s="234">
        <f>IFERROR(__xludf.DUMMYFUNCTION("""COMPUTED_VALUE"""),105061.0)</f>
        <v>105061</v>
      </c>
      <c r="B228" s="235" t="str">
        <f>IFERROR(__xludf.DUMMYFUNCTION("""COMPUTED_VALUE"""),"Paul Araña")</f>
        <v>Paul Araña</v>
      </c>
      <c r="C228" s="235" t="str">
        <f>IFERROR(__xludf.DUMMYFUNCTION("""COMPUTED_VALUE"""),"MIS ")</f>
        <v>MIS </v>
      </c>
      <c r="D228" s="196" t="str">
        <f>IFERROR(__xludf.DUMMYFUNCTION("""COMPUTED_VALUE"""),"4 ACER LAPTOP ")</f>
        <v>4 ACER LAPTOP </v>
      </c>
      <c r="E228" s="196" t="str">
        <f>IFERROR(__xludf.DUMMYFUNCTION("""COMPUTED_VALUE"""),"FOR REPLACEMENT OF COMPUTERS FRONTLINE")</f>
        <v>FOR REPLACEMENT OF COMPUTERS FRONTLINE</v>
      </c>
    </row>
    <row r="229">
      <c r="A229" s="234">
        <f>IFERROR(__xludf.DUMMYFUNCTION("""COMPUTED_VALUE"""),105062.0)</f>
        <v>105062</v>
      </c>
      <c r="B229" s="235" t="str">
        <f>IFERROR(__xludf.DUMMYFUNCTION("""COMPUTED_VALUE"""),"SHEREE ESPINOSA ")</f>
        <v>SHEREE ESPINOSA </v>
      </c>
      <c r="C229" s="235" t="str">
        <f>IFERROR(__xludf.DUMMYFUNCTION("""COMPUTED_VALUE"""),"ADMIN")</f>
        <v>ADMIN</v>
      </c>
      <c r="D229" s="196" t="str">
        <f>IFERROR(__xludf.DUMMYFUNCTION("""COMPUTED_VALUE"""),"28 PCS PAR20 10W - 220 V-60HZ (GARDEN SPIKE LIGHT MODEL:ZEAT)
1 BOX ELECTRONIC WIRE #14")</f>
        <v>28 PCS PAR20 10W - 220 V-60HZ (GARDEN SPIKE LIGHT MODEL:ZEAT)
1 BOX ELECTRONIC WIRE #14</v>
      </c>
      <c r="E229" s="196" t="str">
        <f>IFERROR(__xludf.DUMMYFUNCTION("""COMPUTED_VALUE"""),"FOR COLLEGE WALKWAY PLANT BOXES ")</f>
        <v>FOR COLLEGE WALKWAY PLANT BOXES </v>
      </c>
    </row>
    <row r="230">
      <c r="A230" s="234">
        <f>IFERROR(__xludf.DUMMYFUNCTION("""COMPUTED_VALUE"""),105063.0)</f>
        <v>105063</v>
      </c>
      <c r="B230" s="235"/>
      <c r="C230" s="235"/>
      <c r="D230" s="196"/>
      <c r="E230" s="196"/>
    </row>
    <row r="231">
      <c r="A231" s="234">
        <f>IFERROR(__xludf.DUMMYFUNCTION("""COMPUTED_VALUE"""),105064.0)</f>
        <v>105064</v>
      </c>
      <c r="B231" s="235" t="str">
        <f>IFERROR(__xludf.DUMMYFUNCTION("""COMPUTED_VALUE"""),"RODRIGO CUSTODIO")</f>
        <v>RODRIGO CUSTODIO</v>
      </c>
      <c r="C231" s="235" t="str">
        <f>IFERROR(__xludf.DUMMYFUNCTION("""COMPUTED_VALUE"""),"AMD")</f>
        <v>AMD</v>
      </c>
      <c r="D231" s="196" t="str">
        <f>IFERROR(__xludf.DUMMYFUNCTION("""COMPUTED_VALUE"""),"85 PACKS TRASH BAG LARGE (26"" X 32"") CLEAR")</f>
        <v>85 PACKS TRASH BAG LARGE (26" X 32") CLEAR</v>
      </c>
      <c r="E231" s="196" t="str">
        <f>IFERROR(__xludf.DUMMYFUNCTION("""COMPUTED_VALUE"""),"HOUSEKEEPING MATERIALS- STOCK REPLENISHMENT")</f>
        <v>HOUSEKEEPING MATERIALS- STOCK REPLENISHMENT</v>
      </c>
    </row>
    <row r="232">
      <c r="A232" s="234">
        <f>IFERROR(__xludf.DUMMYFUNCTION("""COMPUTED_VALUE"""),105065.0)</f>
        <v>105065</v>
      </c>
      <c r="B232" s="235" t="str">
        <f>IFERROR(__xludf.DUMMYFUNCTION("""COMPUTED_VALUE"""),"ALFA DE LEON ")</f>
        <v>ALFA DE LEON </v>
      </c>
      <c r="C232" s="235" t="str">
        <f>IFERROR(__xludf.DUMMYFUNCTION("""COMPUTED_VALUE"""),"ADMIN - MUNICH")</f>
        <v>ADMIN - MUNICH</v>
      </c>
      <c r="D232" s="196" t="str">
        <f>IFERROR(__xludf.DUMMYFUNCTION("""COMPUTED_VALUE"""),"3 IWATA")</f>
        <v>3 IWATA</v>
      </c>
      <c r="E232" s="196" t="str">
        <f>IFERROR(__xludf.DUMMYFUNCTION("""COMPUTED_VALUE"""),"ADDITIONAL IWATA FAN FOR 3/F HALLWAY")</f>
        <v>ADDITIONAL IWATA FAN FOR 3/F HALLWAY</v>
      </c>
    </row>
    <row r="233">
      <c r="A233" s="234">
        <f>IFERROR(__xludf.DUMMYFUNCTION("""COMPUTED_VALUE"""),105066.0)</f>
        <v>105066</v>
      </c>
      <c r="B233" s="235" t="str">
        <f>IFERROR(__xludf.DUMMYFUNCTION("""COMPUTED_VALUE"""),"RONALDO D VERDE")</f>
        <v>RONALDO D VERDE</v>
      </c>
      <c r="C233" s="235" t="str">
        <f>IFERROR(__xludf.DUMMYFUNCTION("""COMPUTED_VALUE"""),"ADMIN")</f>
        <v>ADMIN</v>
      </c>
      <c r="D233" s="196" t="str">
        <f>IFERROR(__xludf.DUMMYFUNCTION("""COMPUTED_VALUE"""),"2 UNITS ORBIT FAN (STANDARD) 16""")</f>
        <v>2 UNITS ORBIT FAN (STANDARD) 16"</v>
      </c>
      <c r="E233" s="196" t="str">
        <f>IFERROR(__xludf.DUMMYFUNCTION("""COMPUTED_VALUE"""),"REPLACEMENT OF IREPAIRABLE ORBIT FANS (LUX BUILDING)")</f>
        <v>REPLACEMENT OF IREPAIRABLE ORBIT FANS (LUX BUILDING)</v>
      </c>
    </row>
    <row r="234">
      <c r="A234" s="234">
        <f>IFERROR(__xludf.DUMMYFUNCTION("""COMPUTED_VALUE"""),105067.0)</f>
        <v>105067</v>
      </c>
      <c r="B234" s="235" t="str">
        <f>IFERROR(__xludf.DUMMYFUNCTION("""COMPUTED_VALUE"""),"ALFA DE LEON ")</f>
        <v>ALFA DE LEON </v>
      </c>
      <c r="C234" s="235" t="str">
        <f>IFERROR(__xludf.DUMMYFUNCTION("""COMPUTED_VALUE"""),"LANDSCAPING")</f>
        <v>LANDSCAPING</v>
      </c>
      <c r="D234" s="196" t="str">
        <f>IFERROR(__xludf.DUMMYFUNCTION("""COMPUTED_VALUE"""),"3 SPRINKLER ")</f>
        <v>3 SPRINKLER </v>
      </c>
      <c r="E234" s="196" t="str">
        <f>IFERROR(__xludf.DUMMYFUNCTION("""COMPUTED_VALUE"""),"SPRINKLER FOR SOCCERFIELD &amp; TROPICAL")</f>
        <v>SPRINKLER FOR SOCCERFIELD &amp; TROPICAL</v>
      </c>
    </row>
    <row r="235">
      <c r="A235" s="234">
        <f>IFERROR(__xludf.DUMMYFUNCTION("""COMPUTED_VALUE"""),105068.0)</f>
        <v>105068</v>
      </c>
      <c r="B235" s="235" t="str">
        <f>IFERROR(__xludf.DUMMYFUNCTION("""COMPUTED_VALUE"""),"ALFA DE LEON")</f>
        <v>ALFA DE LEON</v>
      </c>
      <c r="C235" s="235" t="str">
        <f>IFERROR(__xludf.DUMMYFUNCTION("""COMPUTED_VALUE"""),"LANDSCAPING")</f>
        <v>LANDSCAPING</v>
      </c>
      <c r="D235" s="196" t="str">
        <f>IFERROR(__xludf.DUMMYFUNCTION("""COMPUTED_VALUE"""),"2 SPRAYER")</f>
        <v>2 SPRAYER</v>
      </c>
      <c r="E235" s="196" t="str">
        <f>IFERROR(__xludf.DUMMYFUNCTION("""COMPUTED_VALUE"""),"FOR SPRAYING THE FERTILIZER")</f>
        <v>FOR SPRAYING THE FERTILIZER</v>
      </c>
    </row>
    <row r="236">
      <c r="A236" s="234">
        <f>IFERROR(__xludf.DUMMYFUNCTION("""COMPUTED_VALUE"""),105069.0)</f>
        <v>105069</v>
      </c>
      <c r="B236" s="235" t="str">
        <f>IFERROR(__xludf.DUMMYFUNCTION("""COMPUTED_VALUE"""),"ALFA DE LEON")</f>
        <v>ALFA DE LEON</v>
      </c>
      <c r="C236" s="235" t="str">
        <f>IFERROR(__xludf.DUMMYFUNCTION("""COMPUTED_VALUE"""),"ADMIN - LUX")</f>
        <v>ADMIN - LUX</v>
      </c>
      <c r="D236" s="196" t="str">
        <f>IFERROR(__xludf.DUMMYFUNCTION("""COMPUTED_VALUE"""),"1 TROLLEY CART")</f>
        <v>1 TROLLEY CART</v>
      </c>
      <c r="E236" s="196" t="str">
        <f>IFERROR(__xludf.DUMMYFUNCTION("""COMPUTED_VALUE"""),"REPLACEMENT O BROKEN TROLLEY ")</f>
        <v>REPLACEMENT O BROKEN TROLLEY </v>
      </c>
    </row>
    <row r="237">
      <c r="A237" s="234">
        <f>IFERROR(__xludf.DUMMYFUNCTION("""COMPUTED_VALUE"""),105070.0)</f>
        <v>105070</v>
      </c>
      <c r="B237" s="235" t="str">
        <f>IFERROR(__xludf.DUMMYFUNCTION("""COMPUTED_VALUE"""),"OWIE PAR")</f>
        <v>OWIE PAR</v>
      </c>
      <c r="C237" s="235" t="str">
        <f>IFERROR(__xludf.DUMMYFUNCTION("""COMPUTED_VALUE"""),"ENGINEERING")</f>
        <v>ENGINEERING</v>
      </c>
      <c r="D237" s="196" t="str">
        <f>IFERROR(__xludf.DUMMYFUNCTION("""COMPUTED_VALUE"""),"5PCS PARKING LIGHTS 50 WATT DAY LIGHT ")</f>
        <v>5PCS PARKING LIGHTS 50 WATT DAY LIGHT </v>
      </c>
      <c r="E237" s="196" t="str">
        <f>IFERROR(__xludf.DUMMYFUNCTION("""COMPUTED_VALUE"""),"REPLACEMENT FOR BIG TARPAULIN LIGHT ")</f>
        <v>REPLACEMENT FOR BIG TARPAULIN LIGHT </v>
      </c>
    </row>
    <row r="238">
      <c r="A238" s="234">
        <f>IFERROR(__xludf.DUMMYFUNCTION("""COMPUTED_VALUE"""),105071.0)</f>
        <v>105071</v>
      </c>
      <c r="B238" s="235" t="str">
        <f>IFERROR(__xludf.DUMMYFUNCTION("""COMPUTED_VALUE"""),"SAMEYA GARCIA")</f>
        <v>SAMEYA GARCIA</v>
      </c>
      <c r="C238" s="235" t="str">
        <f>IFERROR(__xludf.DUMMYFUNCTION("""COMPUTED_VALUE"""),"ADMIN")</f>
        <v>ADMIN</v>
      </c>
      <c r="D238" s="196" t="str">
        <f>IFERROR(__xludf.DUMMYFUNCTION("""COMPUTED_VALUE"""),"1PC SLIDING CUTTER A3 SIZE")</f>
        <v>1PC SLIDING CUTTER A3 SIZE</v>
      </c>
      <c r="E238" s="196" t="str">
        <f>IFERROR(__xludf.DUMMYFUNCTION("""COMPUTED_VALUE"""),"FOR REPLACEMENT OF DEFECTIVE SLIDING CUTTER")</f>
        <v>FOR REPLACEMENT OF DEFECTIVE SLIDING CUTTER</v>
      </c>
    </row>
    <row r="239">
      <c r="A239" s="234">
        <f>IFERROR(__xludf.DUMMYFUNCTION("""COMPUTED_VALUE"""),105072.0)</f>
        <v>105072</v>
      </c>
      <c r="B239" s="235" t="str">
        <f>IFERROR(__xludf.DUMMYFUNCTION("""COMPUTED_VALUE"""),"OWIE PAR")</f>
        <v>OWIE PAR</v>
      </c>
      <c r="C239" s="235" t="str">
        <f>IFERROR(__xludf.DUMMYFUNCTION("""COMPUTED_VALUE"""),"ENGINEERING")</f>
        <v>ENGINEERING</v>
      </c>
      <c r="D239" s="196" t="str">
        <f>IFERROR(__xludf.DUMMYFUNCTION("""COMPUTED_VALUE"""),"5PCS FLOOD LIGHT 50 W DAY LIGHT")</f>
        <v>5PCS FLOOD LIGHT 50 W DAY LIGHT</v>
      </c>
      <c r="E239" s="196" t="str">
        <f>IFERROR(__xludf.DUMMYFUNCTION("""COMPUTED_VALUE"""),"REPLACEMENT FOR SOCCER FIELD LIGHTS ")</f>
        <v>REPLACEMENT FOR SOCCER FIELD LIGHTS </v>
      </c>
    </row>
    <row r="240">
      <c r="A240" s="234">
        <f>IFERROR(__xludf.DUMMYFUNCTION("""COMPUTED_VALUE"""),105073.0)</f>
        <v>105073</v>
      </c>
      <c r="B240" s="235" t="str">
        <f>IFERROR(__xludf.DUMMYFUNCTION("""COMPUTED_VALUE"""),"LUCILLE BEYER")</f>
        <v>LUCILLE BEYER</v>
      </c>
      <c r="C240" s="235" t="str">
        <f>IFERROR(__xludf.DUMMYFUNCTION("""COMPUTED_VALUE"""),"MEDICAL")</f>
        <v>MEDICAL</v>
      </c>
      <c r="D240" s="196" t="str">
        <f>IFERROR(__xludf.DUMMYFUNCTION("""COMPUTED_VALUE"""),"10 PCS 1 1/2 MUELLER ATHLETIC TAPE 
10 PCS MUELLER PRO WRAP TAPE
10 PCS MUELLER KINESIOLOGY TAPE
5PCS SALONPAS PAIN RELIEF SPRAY
5PCS OMEGA PAIN RELIEF SPRAY
5PCS EACH SIZES ELASTIC BANDAGES WITH VELCRO (2INCHES 3 INCHES 4 INCHES)
50 PCS HYDRITE
30 PCS BI"&amp;"OGESIC
30 PCS DIATABS 
30 PCS ADVIL
30 PCS MEFENAMIC ACID
20 PCS NEOZEP
20 PCS TUSERAN
20 PCS SOLMUX
20 PCS KREMIL S
20 PCS CETERIZINE 
20 PCS DIZITAB/BONAMIBE
10 PCS CATAPRES")</f>
        <v>10 PCS 1 1/2 MUELLER ATHLETIC TAPE 
10 PCS MUELLER PRO WRAP TAPE
10 PCS MUELLER KINESIOLOGY TAPE
5PCS SALONPAS PAIN RELIEF SPRAY
5PCS OMEGA PAIN RELIEF SPRAY
5PCS EACH SIZES ELASTIC BANDAGES WITH VELCRO (2INCHES 3 INCHES 4 INCHES)
50 PCS HYDRITE
30 PCS BIOGESIC
30 PCS DIATABS 
30 PCS ADVIL
30 PCS MEFENAMIC ACID
20 PCS NEOZEP
20 PCS TUSERAN
20 PCS SOLMUX
20 PCS KREMIL S
20 PCS CETERIZINE 
20 PCS DIZITAB/BONAMIBE
10 PCS CATAPRES</v>
      </c>
      <c r="E240" s="196" t="str">
        <f>IFERROR(__xludf.DUMMYFUNCTION("""COMPUTED_VALUE"""),"FOR USE ON OCT16-20 FOR ISAC SEASON ")</f>
        <v>FOR USE ON OCT16-20 FOR ISAC SEASON </v>
      </c>
    </row>
    <row r="241">
      <c r="A241" s="234">
        <f>IFERROR(__xludf.DUMMYFUNCTION("""COMPUTED_VALUE"""),105074.0)</f>
        <v>105074</v>
      </c>
      <c r="B241" s="235" t="str">
        <f>IFERROR(__xludf.DUMMYFUNCTION("""COMPUTED_VALUE"""),"OWIE PAR")</f>
        <v>OWIE PAR</v>
      </c>
      <c r="C241" s="235" t="str">
        <f>IFERROR(__xludf.DUMMYFUNCTION("""COMPUTED_VALUE"""),"ENGINEERING")</f>
        <v>ENGINEERING</v>
      </c>
      <c r="D241" s="196" t="str">
        <f>IFERROR(__xludf.DUMMYFUNCTION("""COMPUTED_VALUE"""),"6 PCS PVC FEMALE ADAPTOR#2
14PCS PPR MALE ADAPTOR #2
7PCS PPR ELBOW #2
4PCS PPR TEE #2
4PCS BRASS BALL VALVE #2 (KITZ)
1CAN SOLVENTCEMENT 400CC NELTEX
5ROLLS TEPLON TAPE")</f>
        <v>6 PCS PVC FEMALE ADAPTOR#2
14PCS PPR MALE ADAPTOR #2
7PCS PPR ELBOW #2
4PCS PPR TEE #2
4PCS BRASS BALL VALVE #2 (KITZ)
1CAN SOLVENTCEMENT 400CC NELTEX
5ROLLS TEPLON TAPE</v>
      </c>
      <c r="E241" s="196" t="str">
        <f>IFERROR(__xludf.DUMMYFUNCTION("""COMPUTED_VALUE"""),"REPLACEMENT OF GATE VAVES AT MONARCH FOUNTAN")</f>
        <v>REPLACEMENT OF GATE VAVES AT MONARCH FOUNTAN</v>
      </c>
    </row>
    <row r="242">
      <c r="A242" s="234">
        <f>IFERROR(__xludf.DUMMYFUNCTION("""COMPUTED_VALUE"""),105075.0)</f>
        <v>105075</v>
      </c>
      <c r="B242" s="235" t="str">
        <f>IFERROR(__xludf.DUMMYFUNCTION("""COMPUTED_VALUE"""),"SHEREE ESPINOSA ")</f>
        <v>SHEREE ESPINOSA </v>
      </c>
      <c r="C242" s="235" t="str">
        <f>IFERROR(__xludf.DUMMYFUNCTION("""COMPUTED_VALUE"""),"ADMIN")</f>
        <v>ADMIN</v>
      </c>
      <c r="D242" s="196" t="str">
        <f>IFERROR(__xludf.DUMMYFUNCTION("""COMPUTED_VALUE"""),"1PC PODIUM")</f>
        <v>1PC PODIUM</v>
      </c>
      <c r="E242" s="196" t="str">
        <f>IFERROR(__xludf.DUMMYFUNCTION("""COMPUTED_VALUE"""),"USE FOR THE EVENTS IN TROPICAL CAMPUS")</f>
        <v>USE FOR THE EVENTS IN TROPICAL CAMPUS</v>
      </c>
    </row>
    <row r="243">
      <c r="A243" s="234">
        <f>IFERROR(__xludf.DUMMYFUNCTION("""COMPUTED_VALUE"""),105076.0)</f>
        <v>105076</v>
      </c>
      <c r="B243" s="235" t="str">
        <f>IFERROR(__xludf.DUMMYFUNCTION("""COMPUTED_VALUE"""),"ALFA DE LEON  ")</f>
        <v>ALFA DE LEON  </v>
      </c>
      <c r="C243" s="235" t="str">
        <f>IFERROR(__xludf.DUMMYFUNCTION("""COMPUTED_VALUE"""),"ADMIN - MUNICH")</f>
        <v>ADMIN - MUNICH</v>
      </c>
      <c r="D243" s="196" t="str">
        <f>IFERROR(__xludf.DUMMYFUNCTION("""COMPUTED_VALUE"""),"2 RADIO CIGNUS V85 PRO ")</f>
        <v>2 RADIO CIGNUS V85 PRO </v>
      </c>
      <c r="E243" s="196" t="str">
        <f>IFERROR(__xludf.DUMMYFUNCTION("""COMPUTED_VALUE"""),"REPLACEMENT OF BROKEN")</f>
        <v>REPLACEMENT OF BROKEN</v>
      </c>
    </row>
    <row r="244">
      <c r="A244" s="234">
        <f>IFERROR(__xludf.DUMMYFUNCTION("""COMPUTED_VALUE"""),105077.0)</f>
        <v>105077</v>
      </c>
      <c r="B244" s="235" t="str">
        <f>IFERROR(__xludf.DUMMYFUNCTION("""COMPUTED_VALUE"""),"ELMIE LAUDIATO")</f>
        <v>ELMIE LAUDIATO</v>
      </c>
      <c r="C244" s="235" t="str">
        <f>IFERROR(__xludf.DUMMYFUNCTION("""COMPUTED_VALUE"""),"HRMD")</f>
        <v>HRMD</v>
      </c>
      <c r="D244" s="196" t="str">
        <f>IFERROR(__xludf.DUMMYFUNCTION("""COMPUTED_VALUE"""),"390 PCS. PUREFOOFDS FIESTA HAM ")</f>
        <v>390 PCS. PUREFOOFDS FIESTA HAM </v>
      </c>
      <c r="E244" s="196" t="str">
        <f>IFERROR(__xludf.DUMMYFUNCTION("""COMPUTED_VALUE"""),"CHRISTMAS DOOR PRIZE FOR SISC EE'S 2024")</f>
        <v>CHRISTMAS DOOR PRIZE FOR SISC EE'S 2024</v>
      </c>
    </row>
    <row r="245">
      <c r="A245" s="234">
        <f>IFERROR(__xludf.DUMMYFUNCTION("""COMPUTED_VALUE"""),105078.0)</f>
        <v>105078</v>
      </c>
      <c r="B245" s="235" t="str">
        <f>IFERROR(__xludf.DUMMYFUNCTION("""COMPUTED_VALUE"""),"JESUIT CHRISTIAN GALICIA")</f>
        <v>JESUIT CHRISTIAN GALICIA</v>
      </c>
      <c r="C245" s="235" t="str">
        <f>IFERROR(__xludf.DUMMYFUNCTION("""COMPUTED_VALUE"""),"AMD")</f>
        <v>AMD</v>
      </c>
      <c r="D245" s="196" t="str">
        <f>IFERROR(__xludf.DUMMYFUNCTION("""COMPUTED_VALUE"""),"1 ROLL QUAFF LAMINATING ROLL 250 MICRONS 12X50M
1 ROLL QAFF LAMINATING ROLL 125 MICRONS 12X100M
2 PACKS QUAFF LAMINATING FILM 125 MICRONS 
2 PACKS  QUAFF LAMINATING FILM 250 MICRONS")</f>
        <v>1 ROLL QUAFF LAMINATING ROLL 250 MICRONS 12X50M
1 ROLL QAFF LAMINATING ROLL 125 MICRONS 12X100M
2 PACKS QUAFF LAMINATING FILM 125 MICRONS 
2 PACKS  QUAFF LAMINATING FILM 250 MICRONS</v>
      </c>
      <c r="E245" s="196" t="str">
        <f>IFERROR(__xludf.DUMMYFUNCTION("""COMPUTED_VALUE"""),"USE FOR LAMINATING MACHINE")</f>
        <v>USE FOR LAMINATING MACHINE</v>
      </c>
    </row>
    <row r="246">
      <c r="A246" s="234">
        <f>IFERROR(__xludf.DUMMYFUNCTION("""COMPUTED_VALUE"""),105079.0)</f>
        <v>105079</v>
      </c>
      <c r="B246" s="235" t="str">
        <f>IFERROR(__xludf.DUMMYFUNCTION("""COMPUTED_VALUE"""),"MARC VINCENT VITTO ")</f>
        <v>MARC VINCENT VITTO </v>
      </c>
      <c r="C246" s="235" t="str">
        <f>IFERROR(__xludf.DUMMYFUNCTION("""COMPUTED_VALUE"""),"PR &amp; MARKETING")</f>
        <v>PR &amp; MARKETING</v>
      </c>
      <c r="D246" s="196" t="str">
        <f>IFERROR(__xludf.DUMMYFUNCTION("""COMPUTED_VALUE"""),"SOUTHVILLE ALUMNI TARPAULIN 
1. NAME: SAYSON LANCE
SIZE W= 184IN X H= 77IN
THICKNESS 18OZ W/ EYELET ALL COVER
2. NAME JESSICA LEE
SIZE: W= 2.5FT X H= 6FT
THICKNESS 18 OZ
EYELET ON 4 CORNERS")</f>
        <v>SOUTHVILLE ALUMNI TARPAULIN 
1. NAME: SAYSON LANCE
SIZE W= 184IN X H= 77IN
THICKNESS 18OZ W/ EYELET ALL COVER
2. NAME JESSICA LEE
SIZE: W= 2.5FT X H= 6FT
THICKNESS 18 OZ
EYELET ON 4 CORNERS</v>
      </c>
      <c r="E246" s="196" t="str">
        <f>IFERROR(__xludf.DUMMYFUNCTION("""COMPUTED_VALUE"""),"MARKETING")</f>
        <v>MARKETING</v>
      </c>
    </row>
    <row r="247">
      <c r="A247" s="234">
        <f>IFERROR(__xludf.DUMMYFUNCTION("""COMPUTED_VALUE"""),105080.0)</f>
        <v>105080</v>
      </c>
      <c r="B247" s="235" t="str">
        <f>IFERROR(__xludf.DUMMYFUNCTION("""COMPUTED_VALUE"""),"CHRISTIAN LUCAS")</f>
        <v>CHRISTIAN LUCAS</v>
      </c>
      <c r="C247" s="235" t="str">
        <f>IFERROR(__xludf.DUMMYFUNCTION("""COMPUTED_VALUE"""),"MIS/ICT")</f>
        <v>MIS/ICT</v>
      </c>
      <c r="D247" s="196" t="str">
        <f>IFERROR(__xludf.DUMMYFUNCTION("""COMPUTED_VALUE"""),"1 8 PORT GIGABIT DESKTOP 
1 SWITCH TL-SG108")</f>
        <v>1 8 PORT GIGABIT DESKTOP 
1 SWITCH TL-SG108</v>
      </c>
      <c r="E247" s="196" t="str">
        <f>IFERROR(__xludf.DUMMYFUNCTION("""COMPUTED_VALUE"""),"FOR ADDITIONAL COMPUTERS AT MUNICH LAB")</f>
        <v>FOR ADDITIONAL COMPUTERS AT MUNICH LAB</v>
      </c>
    </row>
    <row r="248">
      <c r="A248" s="234">
        <f>IFERROR(__xludf.DUMMYFUNCTION("""COMPUTED_VALUE"""),105081.0)</f>
        <v>105081</v>
      </c>
      <c r="B248" s="235" t="str">
        <f>IFERROR(__xludf.DUMMYFUNCTION("""COMPUTED_VALUE"""),"RACHEL JANE PAMATI-AN ")</f>
        <v>RACHEL JANE PAMATI-AN </v>
      </c>
      <c r="C248" s="235" t="str">
        <f>IFERROR(__xludf.DUMMYFUNCTION("""COMPUTED_VALUE"""),"ADMIN - STAR")</f>
        <v>ADMIN - STAR</v>
      </c>
      <c r="D248" s="196" t="str">
        <f>IFERROR(__xludf.DUMMYFUNCTION("""COMPUTED_VALUE"""),"L= 2988CM W=99CM
L= 924CM W= 139CM
L= 435 CM W= 116 CM
L=509 CM W=200CM 
THICKNESS= 45MM")</f>
        <v>L= 2988CM W=99CM
L= 924CM W= 139CM
L= 435 CM W= 116 CM
L=509 CM W=200CM 
THICKNESS= 45MM</v>
      </c>
      <c r="E248" s="196" t="str">
        <f>IFERROR(__xludf.DUMMYFUNCTION("""COMPUTED_VALUE"""),"ARTIFICIAL GRASS TURF TO COVER WIRINGS/CABLES")</f>
        <v>ARTIFICIAL GRASS TURF TO COVER WIRINGS/CABLES</v>
      </c>
    </row>
    <row r="249">
      <c r="A249" s="234">
        <f>IFERROR(__xludf.DUMMYFUNCTION("""COMPUTED_VALUE"""),105082.0)</f>
        <v>105082</v>
      </c>
      <c r="B249" s="235" t="str">
        <f>IFERROR(__xludf.DUMMYFUNCTION("""COMPUTED_VALUE"""),"RACHEL JANE PAMATI-AN ")</f>
        <v>RACHEL JANE PAMATI-AN </v>
      </c>
      <c r="C249" s="235" t="str">
        <f>IFERROR(__xludf.DUMMYFUNCTION("""COMPUTED_VALUE"""),"ADMIN - STAR")</f>
        <v>ADMIN - STAR</v>
      </c>
      <c r="D249" s="196" t="str">
        <f>IFERROR(__xludf.DUMMYFUNCTION("""COMPUTED_VALUE"""),"5 DARK GREEN CERAMIC POTS")</f>
        <v>5 DARK GREEN CERAMIC POTS</v>
      </c>
      <c r="E249" s="196" t="str">
        <f>IFERROR(__xludf.DUMMYFUNCTION("""COMPUTED_VALUE"""),"CERAMIC POTS FOR BEAUTIFICATION OF STAR CAMPUS FOR YOUNG MONARCHS BLESSINF OCT 1 2024")</f>
        <v>CERAMIC POTS FOR BEAUTIFICATION OF STAR CAMPUS FOR YOUNG MONARCHS BLESSINF OCT 1 2024</v>
      </c>
    </row>
    <row r="250">
      <c r="A250" s="234">
        <f>IFERROR(__xludf.DUMMYFUNCTION("""COMPUTED_VALUE"""),105083.0)</f>
        <v>105083</v>
      </c>
      <c r="B250" s="235" t="str">
        <f>IFERROR(__xludf.DUMMYFUNCTION("""COMPUTED_VALUE"""),"OWIE PAR")</f>
        <v>OWIE PAR</v>
      </c>
      <c r="C250" s="235" t="str">
        <f>IFERROR(__xludf.DUMMYFUNCTION("""COMPUTED_VALUE"""),"ENGINEERING")</f>
        <v>ENGINEERING</v>
      </c>
      <c r="D250" s="196" t="str">
        <f>IFERROR(__xludf.DUMMYFUNCTION("""COMPUTED_VALUE"""),"1GAL DAVIS WATER PROOFING
1BAG CEMENT 
2PCS PAINT BRUSH #3
2LENGTH PIANO HINGES W SCREW
8PCS CATCHES
100PCS TECH SCREW #1 METAL
2PCS TECH SCREW ADAPTOR
1QUART EPOXY PRIMER (GRAY SPHERD)
1PC PAINTBRUSH #2
1 PC DIAMOND CUTTER #4 ")</f>
        <v>1GAL DAVIS WATER PROOFING
1BAG CEMENT 
2PCS PAINT BRUSH #3
2LENGTH PIANO HINGES W SCREW
8PCS CATCHES
100PCS TECH SCREW #1 METAL
2PCS TECH SCREW ADAPTOR
1QUART EPOXY PRIMER (GRAY SPHERD)
1PC PAINTBRUSH #2
1 PC DIAMOND CUTTER #4 </v>
      </c>
      <c r="E250" s="196" t="str">
        <f>IFERROR(__xludf.DUMMYFUNCTION("""COMPUTED_VALUE"""),"FOR STAR CAMPUS REPAIR ")</f>
        <v>FOR STAR CAMPUS REPAIR </v>
      </c>
    </row>
    <row r="251">
      <c r="A251" s="234">
        <f>IFERROR(__xludf.DUMMYFUNCTION("""COMPUTED_VALUE"""),105084.0)</f>
        <v>105084</v>
      </c>
      <c r="B251" s="235" t="str">
        <f>IFERROR(__xludf.DUMMYFUNCTION("""COMPUTED_VALUE"""),"RACHEL JANE PAMATI-AN ")</f>
        <v>RACHEL JANE PAMATI-AN </v>
      </c>
      <c r="C251" s="235" t="str">
        <f>IFERROR(__xludf.DUMMYFUNCTION("""COMPUTED_VALUE"""),"ADMIN - STAR")</f>
        <v>ADMIN - STAR</v>
      </c>
      <c r="D251" s="196" t="str">
        <f>IFERROR(__xludf.DUMMYFUNCTION("""COMPUTED_VALUE"""),"20PCS PLASTIC POTS 
SIZE
L=35CM W= 45CM
RUBBER POTS (GREEN) LARGE")</f>
        <v>20PCS PLASTIC POTS 
SIZE
L=35CM W= 45CM
RUBBER POTS (GREEN) LARGE</v>
      </c>
      <c r="E251" s="196" t="str">
        <f>IFERROR(__xludf.DUMMYFUNCTION("""COMPUTED_VALUE"""),"POTS OF PLANTS FOR BEAUTIFICATION")</f>
        <v>POTS OF PLANTS FOR BEAUTIFICATION</v>
      </c>
    </row>
    <row r="252">
      <c r="A252" s="234">
        <f>IFERROR(__xludf.DUMMYFUNCTION("""COMPUTED_VALUE"""),105085.0)</f>
        <v>105085</v>
      </c>
      <c r="B252" s="235" t="str">
        <f>IFERROR(__xludf.DUMMYFUNCTION("""COMPUTED_VALUE"""),"RACHEL JANE PAMATI-AN ")</f>
        <v>RACHEL JANE PAMATI-AN </v>
      </c>
      <c r="C252" s="235" t="str">
        <f>IFERROR(__xludf.DUMMYFUNCTION("""COMPUTED_VALUE"""),"ADMIN - STAR")</f>
        <v>ADMIN - STAR</v>
      </c>
      <c r="D252" s="196" t="str">
        <f>IFERROR(__xludf.DUMMYFUNCTION("""COMPUTED_VALUE"""),"25 POTS (DARK GREEN / RED) LARGE
10 POTS (DARK GREEN / RED) EXTRA LARGE")</f>
        <v>25 POTS (DARK GREEN / RED) LARGE
10 POTS (DARK GREEN / RED) EXTRA LARGE</v>
      </c>
      <c r="E252" s="196" t="str">
        <f>IFERROR(__xludf.DUMMYFUNCTION("""COMPUTED_VALUE"""),"NEW POTS FOR PLANTS BEAUTIFICATION")</f>
        <v>NEW POTS FOR PLANTS BEAUTIFICATION</v>
      </c>
    </row>
    <row r="253">
      <c r="A253" s="234">
        <f>IFERROR(__xludf.DUMMYFUNCTION("""COMPUTED_VALUE"""),105086.0)</f>
        <v>105086</v>
      </c>
      <c r="B253" s="235" t="str">
        <f>IFERROR(__xludf.DUMMYFUNCTION("""COMPUTED_VALUE"""),"RACHEL JANE PAMATI-AN ")</f>
        <v>RACHEL JANE PAMATI-AN </v>
      </c>
      <c r="C253" s="235" t="str">
        <f>IFERROR(__xludf.DUMMYFUNCTION("""COMPUTED_VALUE"""),"ADMIN - STAR")</f>
        <v>ADMIN - STAR</v>
      </c>
      <c r="D253" s="196" t="str">
        <f>IFERROR(__xludf.DUMMYFUNCTION("""COMPUTED_VALUE"""),"300 PCS THUNBERGIA PLANT 
2 SACKS KUSOT ")</f>
        <v>300 PCS THUNBERGIA PLANT 
2 SACKS KUSOT </v>
      </c>
      <c r="E253" s="196" t="str">
        <f>IFERROR(__xludf.DUMMYFUNCTION("""COMPUTED_VALUE"""),"THUNBERGIA PLANT TO PUT AT THE FENCE FOR BEAUTIFICATION &amp; KUSOT FOR PLANTS")</f>
        <v>THUNBERGIA PLANT TO PUT AT THE FENCE FOR BEAUTIFICATION &amp; KUSOT FOR PLANTS</v>
      </c>
    </row>
    <row r="254">
      <c r="A254" s="234">
        <f>IFERROR(__xludf.DUMMYFUNCTION("""COMPUTED_VALUE"""),105087.0)</f>
        <v>105087</v>
      </c>
      <c r="B254" s="235" t="str">
        <f>IFERROR(__xludf.DUMMYFUNCTION("""COMPUTED_VALUE"""),"RACHEL JANE PAMATI-AN ")</f>
        <v>RACHEL JANE PAMATI-AN </v>
      </c>
      <c r="C254" s="235" t="str">
        <f>IFERROR(__xludf.DUMMYFUNCTION("""COMPUTED_VALUE"""),"ADMIN - STAR")</f>
        <v>ADMIN - STAR</v>
      </c>
      <c r="D254" s="196" t="str">
        <f>IFERROR(__xludf.DUMMYFUNCTION("""COMPUTED_VALUE"""),"300 PCS HANGING PLANTS (SINGLE) 
PEBBLES = SIZE 1 INCH
COLOR = RED&amp;WHITE 
2 SACKS EACH COLOR")</f>
        <v>300 PCS HANGING PLANTS (SINGLE) 
PEBBLES = SIZE 1 INCH
COLOR = RED&amp;WHITE 
2 SACKS EACH COLOR</v>
      </c>
      <c r="E254" s="196" t="str">
        <f>IFERROR(__xludf.DUMMYFUNCTION("""COMPUTED_VALUE"""),"HANGING POTS FOR THUNBERGIA PLANT &amp; PEBBLES FOR PLANTBOX")</f>
        <v>HANGING POTS FOR THUNBERGIA PLANT &amp; PEBBLES FOR PLANTBOX</v>
      </c>
    </row>
    <row r="255">
      <c r="A255" s="234">
        <f>IFERROR(__xludf.DUMMYFUNCTION("""COMPUTED_VALUE"""),105088.0)</f>
        <v>105088</v>
      </c>
      <c r="B255" s="235" t="str">
        <f>IFERROR(__xludf.DUMMYFUNCTION("""COMPUTED_VALUE"""),"JEREMIAH TIROL")</f>
        <v>JEREMIAH TIROL</v>
      </c>
      <c r="C255" s="235" t="str">
        <f>IFERROR(__xludf.DUMMYFUNCTION("""COMPUTED_VALUE"""),"SCIENCE LAB COLLEGE")</f>
        <v>SCIENCE LAB COLLEGE</v>
      </c>
      <c r="D255" s="196" t="str">
        <f>IFERROR(__xludf.DUMMYFUNCTION("""COMPUTED_VALUE"""),"6PCS BELT STANCHION ")</f>
        <v>6PCS BELT STANCHION </v>
      </c>
      <c r="E255" s="196" t="str">
        <f>IFERROR(__xludf.DUMMYFUNCTION("""COMPUTED_VALUE"""),"FOR THE SAFETY OF NURSING EQUIPMENTS ")</f>
        <v>FOR THE SAFETY OF NURSING EQUIPMENTS </v>
      </c>
    </row>
    <row r="256">
      <c r="A256" s="234">
        <f>IFERROR(__xludf.DUMMYFUNCTION("""COMPUTED_VALUE"""),105089.0)</f>
        <v>105089</v>
      </c>
      <c r="B256" s="235" t="str">
        <f>IFERROR(__xludf.DUMMYFUNCTION("""COMPUTED_VALUE"""),"SHERYL LYNNE MANALO")</f>
        <v>SHERYL LYNNE MANALO</v>
      </c>
      <c r="C256" s="235" t="str">
        <f>IFERROR(__xludf.DUMMYFUNCTION("""COMPUTED_VALUE"""),"ADMIN - MUNICH")</f>
        <v>ADMIN - MUNICH</v>
      </c>
      <c r="D256" s="196" t="str">
        <f>IFERROR(__xludf.DUMMYFUNCTION("""COMPUTED_VALUE"""),"1 MUSICAL INSTRUMENT (PIANO)")</f>
        <v>1 MUSICAL INSTRUMENT (PIANO)</v>
      </c>
      <c r="E256" s="196" t="str">
        <f>IFERROR(__xludf.DUMMYFUNCTION("""COMPUTED_VALUE"""),"FOR MUSIC CLASSES &amp;CHORAL CLUB ")</f>
        <v>FOR MUSIC CLASSES &amp;CHORAL CLUB </v>
      </c>
    </row>
    <row r="257">
      <c r="A257" s="234">
        <f>IFERROR(__xludf.DUMMYFUNCTION("""COMPUTED_VALUE"""),105090.0)</f>
        <v>105090</v>
      </c>
      <c r="B257" s="235" t="str">
        <f>IFERROR(__xludf.DUMMYFUNCTION("""COMPUTED_VALUE"""),"MARC VINCENT VITTO ")</f>
        <v>MARC VINCENT VITTO </v>
      </c>
      <c r="C257" s="235" t="str">
        <f>IFERROR(__xludf.DUMMYFUNCTION("""COMPUTED_VALUE"""),"PR &amp; MARKETING")</f>
        <v>PR &amp; MARKETING</v>
      </c>
      <c r="D257" s="196" t="str">
        <f>IFERROR(__xludf.DUMMYFUNCTION("""COMPUTED_VALUE"""),"1 ICONS OF CHANGE 
SIZE 8 X 8 FT (1 FT ALLOWANCE ) THICKNESS 13OZ W/ SEAMING EYELET ALL OVER ")</f>
        <v>1 ICONS OF CHANGE 
SIZE 8 X 8 FT (1 FT ALLOWANCE ) THICKNESS 13OZ W/ SEAMING EYELET ALL OVER </v>
      </c>
      <c r="E257" s="196" t="str">
        <f>IFERROR(__xludf.DUMMYFUNCTION("""COMPUTED_VALUE"""),"MARKETING")</f>
        <v>MARKETING</v>
      </c>
    </row>
    <row r="258">
      <c r="A258" s="234">
        <f>IFERROR(__xludf.DUMMYFUNCTION("""COMPUTED_VALUE"""),105091.0)</f>
        <v>105091</v>
      </c>
      <c r="B258" s="235" t="str">
        <f>IFERROR(__xludf.DUMMYFUNCTION("""COMPUTED_VALUE"""),"KIMBERLY DU")</f>
        <v>KIMBERLY DU</v>
      </c>
      <c r="C258" s="235" t="str">
        <f>IFERROR(__xludf.DUMMYFUNCTION("""COMPUTED_VALUE"""),"LIBRARY COLLEGE")</f>
        <v>LIBRARY COLLEGE</v>
      </c>
      <c r="D258" s="196" t="str">
        <f>IFERROR(__xludf.DUMMYFUNCTION("""COMPUTED_VALUE"""),"3000 BOOKCARD 
3000 BOOK POCKET ")</f>
        <v>3000 BOOKCARD 
3000 BOOK POCKET </v>
      </c>
      <c r="E258" s="196" t="str">
        <f>IFERROR(__xludf.DUMMYFUNCTION("""COMPUTED_VALUE"""),"FOR NEWLY ACQUIRED BOOKS IN COLLEGE LIBRARY")</f>
        <v>FOR NEWLY ACQUIRED BOOKS IN COLLEGE LIBRARY</v>
      </c>
    </row>
    <row r="259">
      <c r="A259" s="234">
        <f>IFERROR(__xludf.DUMMYFUNCTION("""COMPUTED_VALUE"""),105092.0)</f>
        <v>105092</v>
      </c>
      <c r="B259" s="235" t="str">
        <f>IFERROR(__xludf.DUMMYFUNCTION("""COMPUTED_VALUE"""),"JENNIFER FONTE / RACHEL JANE PAMATI - AN")</f>
        <v>JENNIFER FONTE / RACHEL JANE PAMATI - AN</v>
      </c>
      <c r="C259" s="235" t="str">
        <f>IFERROR(__xludf.DUMMYFUNCTION("""COMPUTED_VALUE"""),"ADMIN - STAR")</f>
        <v>ADMIN - STAR</v>
      </c>
      <c r="D259" s="196" t="str">
        <f>IFERROR(__xludf.DUMMYFUNCTION("""COMPUTED_VALUE"""),"1 SMART TV (70 INCH) AT QUADRANGLE ")</f>
        <v>1 SMART TV (70 INCH) AT QUADRANGLE </v>
      </c>
      <c r="E259" s="196" t="str">
        <f>IFERROR(__xludf.DUMMYFUNCTION("""COMPUTED_VALUE"""),"PRESENTATION OF SCHOOLWIDE ACTIVITIES &amp; TO WELCOME GUESTS / REVIVE HR CHANNEL AT QUADRANGLE ")</f>
        <v>PRESENTATION OF SCHOOLWIDE ACTIVITIES &amp; TO WELCOME GUESTS / REVIVE HR CHANNEL AT QUADRANGLE </v>
      </c>
    </row>
    <row r="260">
      <c r="A260" s="234">
        <f>IFERROR(__xludf.DUMMYFUNCTION("""COMPUTED_VALUE"""),105093.0)</f>
        <v>105093</v>
      </c>
      <c r="B260" s="235" t="str">
        <f>IFERROR(__xludf.DUMMYFUNCTION("""COMPUTED_VALUE"""),"LYKA PERALTA ")</f>
        <v>LYKA PERALTA </v>
      </c>
      <c r="C260" s="235" t="str">
        <f>IFERROR(__xludf.DUMMYFUNCTION("""COMPUTED_VALUE"""),"AMD")</f>
        <v>AMD</v>
      </c>
      <c r="D260" s="196" t="str">
        <f>IFERROR(__xludf.DUMMYFUNCTION("""COMPUTED_VALUE"""),"4 BOXES BOX OF PAPER, CONTINOUS - 11 X 9.5 4PLY")</f>
        <v>4 BOXES BOX OF PAPER, CONTINOUS - 11 X 9.5 4PLY</v>
      </c>
      <c r="E260" s="196" t="str">
        <f>IFERROR(__xludf.DUMMYFUNCTION("""COMPUTED_VALUE"""),"OSSUP - STOCK REPLENISHMENT ")</f>
        <v>OSSUP - STOCK REPLENISHMENT </v>
      </c>
    </row>
    <row r="261">
      <c r="A261" s="234">
        <f>IFERROR(__xludf.DUMMYFUNCTION("""COMPUTED_VALUE"""),105094.0)</f>
        <v>105094</v>
      </c>
      <c r="B261" s="235" t="str">
        <f>IFERROR(__xludf.DUMMYFUNCTION("""COMPUTED_VALUE"""),"SHEREE ESPINOSA ")</f>
        <v>SHEREE ESPINOSA </v>
      </c>
      <c r="C261" s="235" t="str">
        <f>IFERROR(__xludf.DUMMYFUNCTION("""COMPUTED_VALUE"""),"ADMIN")</f>
        <v>ADMIN</v>
      </c>
      <c r="D261" s="196" t="str">
        <f>IFERROR(__xludf.DUMMYFUNCTION("""COMPUTED_VALUE"""),"CLASSROOM CHAIRS 
28 RM 1
49 RM 2
40 RM 4 
40 RM 5
16 SPED ")</f>
        <v>CLASSROOM CHAIRS 
28 RM 1
49 RM 2
40 RM 4 
40 RM 5
16 SPED </v>
      </c>
      <c r="E261" s="196" t="str">
        <f>IFERROR(__xludf.DUMMYFUNCTION("""COMPUTED_VALUE"""),"FOR 5F NEW CLASSROOM COLLEGE")</f>
        <v>FOR 5F NEW CLASSROOM COLLEGE</v>
      </c>
    </row>
    <row r="262">
      <c r="A262" s="234">
        <f>IFERROR(__xludf.DUMMYFUNCTION("""COMPUTED_VALUE"""),105095.0)</f>
        <v>105095</v>
      </c>
      <c r="B262" s="235" t="str">
        <f>IFERROR(__xludf.DUMMYFUNCTION("""COMPUTED_VALUE"""),"SHEREE ESPINOSA ")</f>
        <v>SHEREE ESPINOSA </v>
      </c>
      <c r="C262" s="235" t="str">
        <f>IFERROR(__xludf.DUMMYFUNCTION("""COMPUTED_VALUE"""),"ADMIN")</f>
        <v>ADMIN</v>
      </c>
      <c r="D262" s="196" t="str">
        <f>IFERROR(__xludf.DUMMYFUNCTION("""COMPUTED_VALUE"""),"10 CANS SEALER ENHANCER ")</f>
        <v>10 CANS SEALER ENHANCER </v>
      </c>
      <c r="E262" s="196" t="str">
        <f>IFERROR(__xludf.DUMMYFUNCTION("""COMPUTED_VALUE"""),"FOR COLLEGE WALKWAY STONE CLADDING")</f>
        <v>FOR COLLEGE WALKWAY STONE CLADDING</v>
      </c>
    </row>
    <row r="263">
      <c r="A263" s="234">
        <f>IFERROR(__xludf.DUMMYFUNCTION("""COMPUTED_VALUE"""),105096.0)</f>
        <v>105096</v>
      </c>
      <c r="B263" s="235" t="str">
        <f>IFERROR(__xludf.DUMMYFUNCTION("""COMPUTED_VALUE"""),"SHEREE ESPINOSA ")</f>
        <v>SHEREE ESPINOSA </v>
      </c>
      <c r="C263" s="235" t="str">
        <f>IFERROR(__xludf.DUMMYFUNCTION("""COMPUTED_VALUE"""),"ADMIN")</f>
        <v>ADMIN</v>
      </c>
      <c r="D263" s="196" t="str">
        <f>IFERROR(__xludf.DUMMYFUNCTION("""COMPUTED_VALUE"""),"250 BAGS ADHESIVE
250 BAGS CEMENT 
1250 SACKS BINISTAY
20 BAGS GROUT 2KL PER BAG
10 PCS SEALER 100G PER PC
3 PCS PLYWOOD HARDIFLEX 1/2 X 4 X 8
2PCS BOY  TUFF 
1GAL QDE WHITE ")</f>
        <v>250 BAGS ADHESIVE
250 BAGS CEMENT 
1250 SACKS BINISTAY
20 BAGS GROUT 2KL PER BAG
10 PCS SEALER 100G PER PC
3 PCS PLYWOOD HARDIFLEX 1/2 X 4 X 8
2PCS BOY  TUFF 
1GAL QDE WHITE </v>
      </c>
      <c r="E263" s="196" t="str">
        <f>IFERROR(__xludf.DUMMYFUNCTION("""COMPUTED_VALUE"""),"FOR 5F COLLEGE FLOORING ")</f>
        <v>FOR 5F COLLEGE FLOORING </v>
      </c>
    </row>
    <row r="264">
      <c r="A264" s="234">
        <f>IFERROR(__xludf.DUMMYFUNCTION("""COMPUTED_VALUE"""),105097.0)</f>
        <v>105097</v>
      </c>
      <c r="B264" s="235" t="str">
        <f>IFERROR(__xludf.DUMMYFUNCTION("""COMPUTED_VALUE"""),"RACHEL JANE PAMATI-AN ")</f>
        <v>RACHEL JANE PAMATI-AN </v>
      </c>
      <c r="C264" s="235" t="str">
        <f>IFERROR(__xludf.DUMMYFUNCTION("""COMPUTED_VALUE"""),"ADMIN - STAR")</f>
        <v>ADMIN - STAR</v>
      </c>
      <c r="D264" s="196" t="str">
        <f>IFERROR(__xludf.DUMMYFUNCTION("""COMPUTED_VALUE"""),"1 WASHING MACHINE WITH DRYER ")</f>
        <v>1 WASHING MACHINE WITH DRYER </v>
      </c>
      <c r="E264" s="196" t="str">
        <f>IFERROR(__xludf.DUMMYFUNCTION("""COMPUTED_VALUE"""),"TOPLOAD WASHING MACHINE WITH DRYER FOR WASHING OF TABLE CLOTHES SEAT COVER AND LEARNING VILLAGE COSTUMES ")</f>
        <v>TOPLOAD WASHING MACHINE WITH DRYER FOR WASHING OF TABLE CLOTHES SEAT COVER AND LEARNING VILLAGE COSTUMES </v>
      </c>
    </row>
    <row r="265">
      <c r="A265" s="234">
        <f>IFERROR(__xludf.DUMMYFUNCTION("""COMPUTED_VALUE"""),105098.0)</f>
        <v>105098</v>
      </c>
      <c r="B265" s="235" t="str">
        <f>IFERROR(__xludf.DUMMYFUNCTION("""COMPUTED_VALUE"""),"RACHEL JANE PAMATI-AN ")</f>
        <v>RACHEL JANE PAMATI-AN </v>
      </c>
      <c r="C265" s="235" t="str">
        <f>IFERROR(__xludf.DUMMYFUNCTION("""COMPUTED_VALUE"""),"ADMIN - STAR")</f>
        <v>ADMIN - STAR</v>
      </c>
      <c r="D265" s="196" t="str">
        <f>IFERROR(__xludf.DUMMYFUNCTION("""COMPUTED_VALUE"""),"15 STAINLESS STEEL SLIDE DOOR LOCK")</f>
        <v>15 STAINLESS STEEL SLIDE DOOR LOCK</v>
      </c>
      <c r="E265" s="196" t="str">
        <f>IFERROR(__xludf.DUMMYFUNCTION("""COMPUTED_VALUE"""),"FOR SAFETY OF STUDENTS THE STAINLESS SYEEL SLIDE DOOR LOCK FOR CLASSROOM ")</f>
        <v>FOR SAFETY OF STUDENTS THE STAINLESS SYEEL SLIDE DOOR LOCK FOR CLASSROOM </v>
      </c>
    </row>
    <row r="266">
      <c r="A266" s="234">
        <f>IFERROR(__xludf.DUMMYFUNCTION("""COMPUTED_VALUE"""),105099.0)</f>
        <v>105099</v>
      </c>
      <c r="B266" s="235" t="str">
        <f>IFERROR(__xludf.DUMMYFUNCTION("""COMPUTED_VALUE"""),"RACHEL JANE PAMATI-AN ")</f>
        <v>RACHEL JANE PAMATI-AN </v>
      </c>
      <c r="C266" s="235" t="str">
        <f>IFERROR(__xludf.DUMMYFUNCTION("""COMPUTED_VALUE"""),"ADMIN - STAR")</f>
        <v>ADMIN - STAR</v>
      </c>
      <c r="D266" s="196" t="str">
        <f>IFERROR(__xludf.DUMMYFUNCTION("""COMPUTED_VALUE"""),"120 PCS ROUND RUBBER FOOTING ")</f>
        <v>120 PCS ROUND RUBBER FOOTING </v>
      </c>
      <c r="E266" s="196" t="str">
        <f>IFERROR(__xludf.DUMMYFUNCTION("""COMPUTED_VALUE"""),"FLOOR PROTECTOR NON SLIP")</f>
        <v>FLOOR PROTECTOR NON SLIP</v>
      </c>
    </row>
    <row r="267">
      <c r="A267" s="234">
        <f>IFERROR(__xludf.DUMMYFUNCTION("""COMPUTED_VALUE"""),105100.0)</f>
        <v>105100</v>
      </c>
      <c r="B267" s="235" t="str">
        <f>IFERROR(__xludf.DUMMYFUNCTION("""COMPUTED_VALUE"""),"CHARLES LEBECO DONOR")</f>
        <v>CHARLES LEBECO DONOR</v>
      </c>
      <c r="C267" s="235" t="str">
        <f>IFERROR(__xludf.DUMMYFUNCTION("""COMPUTED_VALUE"""),"AMD")</f>
        <v>AMD</v>
      </c>
      <c r="D267" s="196" t="str">
        <f>IFERROR(__xludf.DUMMYFUNCTION("""COMPUTED_VALUE"""),"1 PC 8 DIGITS ROLLER STAMP WITH LETTERS AND SYMBOLS")</f>
        <v>1 PC 8 DIGITS ROLLER STAMP WITH LETTERS AND SYMBOLS</v>
      </c>
      <c r="E267" s="196" t="str">
        <f>IFERROR(__xludf.DUMMYFUNCTION("""COMPUTED_VALUE"""),"FOR OFFICE USE PRF/SRF NUMBERING STAMP")</f>
        <v>FOR OFFICE USE PRF/SRF NUMBERING STAMP</v>
      </c>
    </row>
    <row r="268">
      <c r="A268" s="234">
        <f>IFERROR(__xludf.DUMMYFUNCTION("""COMPUTED_VALUE"""),105101.0)</f>
        <v>105101</v>
      </c>
      <c r="B268" s="235" t="str">
        <f>IFERROR(__xludf.DUMMYFUNCTION("""COMPUTED_VALUE"""),"ALFA DE LEON ")</f>
        <v>ALFA DE LEON </v>
      </c>
      <c r="C268" s="235" t="str">
        <f>IFERROR(__xludf.DUMMYFUNCTION("""COMPUTED_VALUE"""),"ADMIN - MUNICH")</f>
        <v>ADMIN - MUNICH</v>
      </c>
      <c r="D268" s="196" t="str">
        <f>IFERROR(__xludf.DUMMYFUNCTION("""COMPUTED_VALUE"""),"50 TOBACCO
140 SELLOUM
60 PICARRA 
120 SCHEFFERA 
120 PHOTOS 
1600 GOLDEN PEANUT ")</f>
        <v>50 TOBACCO
140 SELLOUM
60 PICARRA 
120 SCHEFFERA 
120 PHOTOS 
1600 GOLDEN PEANUT </v>
      </c>
      <c r="E268" s="196" t="str">
        <f>IFERROR(__xludf.DUMMYFUNCTION("""COMPUTED_VALUE"""),"CAMPUS BEAUTIFICATION OUTDOOR LANDSCAPING ")</f>
        <v>CAMPUS BEAUTIFICATION OUTDOOR LANDSCAPING </v>
      </c>
    </row>
    <row r="269">
      <c r="A269" s="234">
        <f>IFERROR(__xludf.DUMMYFUNCTION("""COMPUTED_VALUE"""),105102.0)</f>
        <v>105102</v>
      </c>
      <c r="B269" s="235" t="str">
        <f>IFERROR(__xludf.DUMMYFUNCTION("""COMPUTED_VALUE"""),"ALFA DE LEON ")</f>
        <v>ALFA DE LEON </v>
      </c>
      <c r="C269" s="235" t="str">
        <f>IFERROR(__xludf.DUMMYFUNCTION("""COMPUTED_VALUE"""),"ADMIN - MUNICH")</f>
        <v>ADMIN - MUNICH</v>
      </c>
      <c r="D269" s="196" t="str">
        <f>IFERROR(__xludf.DUMMYFUNCTION("""COMPUTED_VALUE"""),"3 GARDEN SOIL ")</f>
        <v>3 GARDEN SOIL </v>
      </c>
      <c r="E269" s="196" t="str">
        <f>IFERROR(__xludf.DUMMYFUNCTION("""COMPUTED_VALUE"""),"OUTDOOR PLAYGROUND LANDSCAPING ")</f>
        <v>OUTDOOR PLAYGROUND LANDSCAPING </v>
      </c>
    </row>
    <row r="270">
      <c r="A270" s="234">
        <f>IFERROR(__xludf.DUMMYFUNCTION("""COMPUTED_VALUE"""),105103.0)</f>
        <v>105103</v>
      </c>
      <c r="B270" s="235" t="str">
        <f>IFERROR(__xludf.DUMMYFUNCTION("""COMPUTED_VALUE"""),"RACHEL JANE PAMATI-AN ")</f>
        <v>RACHEL JANE PAMATI-AN </v>
      </c>
      <c r="C270" s="235" t="str">
        <f>IFERROR(__xludf.DUMMYFUNCTION("""COMPUTED_VALUE"""),"ADMIN - STAR")</f>
        <v>ADMIN - STAR</v>
      </c>
      <c r="D270" s="196" t="str">
        <f>IFERROR(__xludf.DUMMYFUNCTION("""COMPUTED_VALUE"""),"10 PCS BOSTON FERN FOR FRONTGATE PLANTBOX ")</f>
        <v>10 PCS BOSTON FERN FOR FRONTGATE PLANTBOX </v>
      </c>
      <c r="E270" s="196" t="str">
        <f>IFERROR(__xludf.DUMMYFUNCTION("""COMPUTED_VALUE"""),"FOR PLANTBOX BEAUTIFICATION ")</f>
        <v>FOR PLANTBOX BEAUTIFICATION </v>
      </c>
    </row>
    <row r="271">
      <c r="A271" s="234">
        <f>IFERROR(__xludf.DUMMYFUNCTION("""COMPUTED_VALUE"""),105104.0)</f>
        <v>105104</v>
      </c>
      <c r="B271" s="235" t="str">
        <f>IFERROR(__xludf.DUMMYFUNCTION("""COMPUTED_VALUE"""),"OWIE PAR")</f>
        <v>OWIE PAR</v>
      </c>
      <c r="C271" s="235" t="str">
        <f>IFERROR(__xludf.DUMMYFUNCTION("""COMPUTED_VALUE"""),"ENGINEERING")</f>
        <v>ENGINEERING</v>
      </c>
      <c r="D271" s="196" t="str">
        <f>IFERROR(__xludf.DUMMYFUNCTION("""COMPUTED_VALUE"""),"1 UNIT CEILING TYPE EXHAUST FAN 12 X 12 ")</f>
        <v>1 UNIT CEILING TYPE EXHAUST FAN 12 X 12 </v>
      </c>
      <c r="E271" s="196" t="str">
        <f>IFERROR(__xludf.DUMMYFUNCTION("""COMPUTED_VALUE"""),"FOR LUX MMA STORAGE AREA ")</f>
        <v>FOR LUX MMA STORAGE AREA </v>
      </c>
    </row>
    <row r="272">
      <c r="A272" s="234">
        <f>IFERROR(__xludf.DUMMYFUNCTION("""COMPUTED_VALUE"""),105105.0)</f>
        <v>105105</v>
      </c>
      <c r="B272" s="235" t="str">
        <f>IFERROR(__xludf.DUMMYFUNCTION("""COMPUTED_VALUE"""),"OWIE PAR")</f>
        <v>OWIE PAR</v>
      </c>
      <c r="C272" s="235" t="str">
        <f>IFERROR(__xludf.DUMMYFUNCTION("""COMPUTED_VALUE"""),"ADMIN")</f>
        <v>ADMIN</v>
      </c>
      <c r="D272" s="196" t="str">
        <f>IFERROR(__xludf.DUMMYFUNCTION("""COMPUTED_VALUE"""),"4PCS 15 WATTS LED LIGHT (DAYLIGHT) ")</f>
        <v>4PCS 15 WATTS LED LIGHT (DAYLIGHT) </v>
      </c>
      <c r="E272" s="196" t="str">
        <f>IFERROR(__xludf.DUMMYFUNCTION("""COMPUTED_VALUE"""),"ADDITIONAL LIGHT FOR LUX WEST WING HALLWAY ")</f>
        <v>ADDITIONAL LIGHT FOR LUX WEST WING HALLWAY </v>
      </c>
    </row>
    <row r="273">
      <c r="A273" s="234">
        <f>IFERROR(__xludf.DUMMYFUNCTION("""COMPUTED_VALUE"""),105106.0)</f>
        <v>105106</v>
      </c>
      <c r="B273" s="235" t="str">
        <f>IFERROR(__xludf.DUMMYFUNCTION("""COMPUTED_VALUE"""),"RONALDO D VERDE ")</f>
        <v>RONALDO D VERDE </v>
      </c>
      <c r="C273" s="235" t="str">
        <f>IFERROR(__xludf.DUMMYFUNCTION("""COMPUTED_VALUE"""),"ADMIN")</f>
        <v>ADMIN</v>
      </c>
      <c r="D273" s="196" t="str">
        <f>IFERROR(__xludf.DUMMYFUNCTION("""COMPUTED_VALUE"""),"GE CIRCUIT BREAKERS 
2PCS 20 A
2 PCS 30 A
2PCS 40 A
2PCS 60 A")</f>
        <v>GE CIRCUIT BREAKERS 
2PCS 20 A
2 PCS 30 A
2PCS 40 A
2PCS 60 A</v>
      </c>
      <c r="E273" s="196" t="str">
        <f>IFERROR(__xludf.DUMMYFUNCTION("""COMPUTED_VALUE"""),"CIRCUIT BREAKERS FOR LUX COLLEGE TROPICAL ")</f>
        <v>CIRCUIT BREAKERS FOR LUX COLLEGE TROPICAL </v>
      </c>
    </row>
    <row r="274">
      <c r="A274" s="234">
        <f>IFERROR(__xludf.DUMMYFUNCTION("""COMPUTED_VALUE"""),105107.0)</f>
        <v>105107</v>
      </c>
      <c r="B274" s="235" t="str">
        <f>IFERROR(__xludf.DUMMYFUNCTION("""COMPUTED_VALUE"""),"RUEL C. PAR")</f>
        <v>RUEL C. PAR</v>
      </c>
      <c r="C274" s="235" t="str">
        <f>IFERROR(__xludf.DUMMYFUNCTION("""COMPUTED_VALUE"""),"ENGINEERING")</f>
        <v>ENGINEERING</v>
      </c>
      <c r="D274" s="196" t="str">
        <f>IFERROR(__xludf.DUMMYFUNCTION("""COMPUTED_VALUE"""),"64 PCS EMERGENCY LIGHT 
19 PCS EXIT SIGNAGE W/LIGHT ")</f>
        <v>64 PCS EMERGENCY LIGHT 
19 PCS EXIT SIGNAGE W/LIGHT </v>
      </c>
      <c r="E274" s="196" t="str">
        <f>IFERROR(__xludf.DUMMYFUNCTION("""COMPUTED_VALUE"""),"LUX,COL, TROPICAL BLDG.")</f>
        <v>LUX,COL, TROPICAL BLDG.</v>
      </c>
    </row>
    <row r="275">
      <c r="A275" s="234">
        <f>IFERROR(__xludf.DUMMYFUNCTION("""COMPUTED_VALUE"""),105108.0)</f>
        <v>105108</v>
      </c>
      <c r="B275" s="235" t="str">
        <f>IFERROR(__xludf.DUMMYFUNCTION("""COMPUTED_VALUE"""),"ANGELICA LAGDAMEO/JEREMIAH TIROL")</f>
        <v>ANGELICA LAGDAMEO/JEREMIAH TIROL</v>
      </c>
      <c r="C275" s="235" t="str">
        <f>IFERROR(__xludf.DUMMYFUNCTION("""COMPUTED_VALUE"""),"SCIENCE LAB COLLEGE")</f>
        <v>SCIENCE LAB COLLEGE</v>
      </c>
      <c r="D275" s="196" t="str">
        <f>IFERROR(__xludf.DUMMYFUNCTION("""COMPUTED_VALUE"""),"TABLETOP AUTOCLAVE (BIOBASE) 
TABLETOP INCUBATOR/DRYING OVER(BIOBASE)
ELECTRIC DOUBLE BURNER STOVE (TABLE TOP HOT PLATE )")</f>
        <v>TABLETOP AUTOCLAVE (BIOBASE) 
TABLETOP INCUBATOR/DRYING OVER(BIOBASE)
ELECTRIC DOUBLE BURNER STOVE (TABLE TOP HOT PLATE )</v>
      </c>
      <c r="E275" s="196" t="str">
        <f>IFERROR(__xludf.DUMMYFUNCTION("""COMPUTED_VALUE"""),"PACUCOA REQUIREMENTS ")</f>
        <v>PACUCOA REQUIREMENTS </v>
      </c>
    </row>
    <row r="276">
      <c r="A276" s="234">
        <f>IFERROR(__xludf.DUMMYFUNCTION("""COMPUTED_VALUE"""),105109.0)</f>
        <v>105109</v>
      </c>
      <c r="B276" s="235" t="str">
        <f>IFERROR(__xludf.DUMMYFUNCTION("""COMPUTED_VALUE"""),"VIOLETA ALDUCENTE")</f>
        <v>VIOLETA ALDUCENTE</v>
      </c>
      <c r="C276" s="235" t="str">
        <f>IFERROR(__xludf.DUMMYFUNCTION("""COMPUTED_VALUE"""),"I.B.")</f>
        <v>I.B.</v>
      </c>
      <c r="D276" s="196" t="str">
        <f>IFERROR(__xludf.DUMMYFUNCTION("""COMPUTED_VALUE"""),"20 PCS WIRELOOF (FOR FLAME TEST ) NICHROME WIRE 
10 PCS SPOT LATE (4X3)
3PCS ALCOHOL METER
5PCS THERMOMETER (W/-°C GRADUATION)
")</f>
        <v>20 PCS WIRELOOF (FOR FLAME TEST ) NICHROME WIRE 
10 PCS SPOT LATE (4X3)
3PCS ALCOHOL METER
5PCS THERMOMETER (W/-°C GRADUATION)
</v>
      </c>
      <c r="E276" s="196" t="str">
        <f>IFERROR(__xludf.DUMMYFUNCTION("""COMPUTED_VALUE"""),"LAB &amp; IA EXPERIMENTS")</f>
        <v>LAB &amp; IA EXPERIMENTS</v>
      </c>
    </row>
    <row r="277">
      <c r="A277" s="234">
        <f>IFERROR(__xludf.DUMMYFUNCTION("""COMPUTED_VALUE"""),105110.0)</f>
        <v>105110</v>
      </c>
      <c r="B277" s="235" t="str">
        <f>IFERROR(__xludf.DUMMYFUNCTION("""COMPUTED_VALUE"""),"VIOLETA ALDUCENTE")</f>
        <v>VIOLETA ALDUCENTE</v>
      </c>
      <c r="C277" s="235" t="str">
        <f>IFERROR(__xludf.DUMMYFUNCTION("""COMPUTED_VALUE"""),"I.B.")</f>
        <v>I.B.</v>
      </c>
      <c r="D277" s="196" t="str">
        <f>IFERROR(__xludf.DUMMYFUNCTION("""COMPUTED_VALUE"""),"1K POTASSIUM IODIDE
IK ZINC OXIDE 
1K BORAX 
1L DICHLOROMETHANE
1L AMMONIUM HYDOXIDE (NH4OH)
1L ERIOCHROME BLACK T
1L PHOSPHATE BUTTER 
IK LICL
1K KCL
1K CACL2")</f>
        <v>1K POTASSIUM IODIDE
IK ZINC OXIDE 
1K BORAX 
1L DICHLOROMETHANE
1L AMMONIUM HYDOXIDE (NH4OH)
1L ERIOCHROME BLACK T
1L PHOSPHATE BUTTER 
IK LICL
1K KCL
1K CACL2</v>
      </c>
      <c r="E277" s="196" t="str">
        <f>IFERROR(__xludf.DUMMYFUNCTION("""COMPUTED_VALUE"""),"LAB EXPERIMENTS &amp;IA ACTIVITIES ")</f>
        <v>LAB EXPERIMENTS &amp;IA ACTIVITIES </v>
      </c>
    </row>
    <row r="278">
      <c r="A278" s="234">
        <f>IFERROR(__xludf.DUMMYFUNCTION("""COMPUTED_VALUE"""),105111.0)</f>
        <v>105111</v>
      </c>
      <c r="B278" s="235" t="str">
        <f>IFERROR(__xludf.DUMMYFUNCTION("""COMPUTED_VALUE"""),"OWIE PAR")</f>
        <v>OWIE PAR</v>
      </c>
      <c r="C278" s="235" t="str">
        <f>IFERROR(__xludf.DUMMYFUNCTION("""COMPUTED_VALUE"""),"ENGINEERING")</f>
        <v>ENGINEERING</v>
      </c>
      <c r="D278" s="196" t="str">
        <f>IFERROR(__xludf.DUMMYFUNCTION("""COMPUTED_VALUE"""),"24 UNIT ORBIT FAN 3D")</f>
        <v>24 UNIT ORBIT FAN 3D</v>
      </c>
      <c r="E278" s="196" t="str">
        <f>IFERROR(__xludf.DUMMYFUNCTION("""COMPUTED_VALUE"""),"FOR ROOM 405 LUX")</f>
        <v>FOR ROOM 405 LUX</v>
      </c>
    </row>
    <row r="279">
      <c r="A279" s="234">
        <f>IFERROR(__xludf.DUMMYFUNCTION("""COMPUTED_VALUE"""),105112.0)</f>
        <v>105112</v>
      </c>
      <c r="B279" s="235" t="str">
        <f>IFERROR(__xludf.DUMMYFUNCTION("""COMPUTED_VALUE"""),"LYKA PERALTA ")</f>
        <v>LYKA PERALTA </v>
      </c>
      <c r="C279" s="235" t="str">
        <f>IFERROR(__xludf.DUMMYFUNCTION("""COMPUTED_VALUE"""),"AMD")</f>
        <v>AMD</v>
      </c>
      <c r="D279" s="196" t="str">
        <f>IFERROR(__xludf.DUMMYFUNCTION("""COMPUTED_VALUE"""),"1 ROLLS 100 METERS PLASTIC COVER GAUGE 4 48'W (PER METER)")</f>
        <v>1 ROLLS 100 METERS PLASTIC COVER GAUGE 4 48'W (PER METER)</v>
      </c>
      <c r="E279" s="196" t="str">
        <f>IFERROR(__xludf.DUMMYFUNCTION("""COMPUTED_VALUE"""),"OSSUP - STOCK REPLENISHMENT ")</f>
        <v>OSSUP - STOCK REPLENISHMENT </v>
      </c>
    </row>
    <row r="280">
      <c r="A280" s="234">
        <f>IFERROR(__xludf.DUMMYFUNCTION("""COMPUTED_VALUE"""),105113.0)</f>
        <v>105113</v>
      </c>
      <c r="B280" s="235" t="str">
        <f>IFERROR(__xludf.DUMMYFUNCTION("""COMPUTED_VALUE"""),"CAMILLE GABRIEL ")</f>
        <v>CAMILLE GABRIEL </v>
      </c>
      <c r="C280" s="235" t="str">
        <f>IFERROR(__xludf.DUMMYFUNCTION("""COMPUTED_VALUE"""),"HRMD")</f>
        <v>HRMD</v>
      </c>
      <c r="D280" s="196" t="str">
        <f>IFERROR(__xludf.DUMMYFUNCTION("""COMPUTED_VALUE"""),"FLOWER WREATH ")</f>
        <v>FLOWER WREATH </v>
      </c>
      <c r="E280" s="196" t="str">
        <f>IFERROR(__xludf.DUMMYFUNCTION("""COMPUTED_VALUE"""),"FLOWER WREATH FOR THE DEMISE SISTER OF MS. CHARINA SUPERSALES ")</f>
        <v>FLOWER WREATH FOR THE DEMISE SISTER OF MS. CHARINA SUPERSALES </v>
      </c>
    </row>
    <row r="281">
      <c r="A281" s="234">
        <f>IFERROR(__xludf.DUMMYFUNCTION("""COMPUTED_VALUE"""),105114.0)</f>
        <v>105114</v>
      </c>
      <c r="B281" s="235" t="str">
        <f>IFERROR(__xludf.DUMMYFUNCTION("""COMPUTED_VALUE"""),"ARNEL MONTABLAN ")</f>
        <v>ARNEL MONTABLAN </v>
      </c>
      <c r="C281" s="235" t="str">
        <f>IFERROR(__xludf.DUMMYFUNCTION("""COMPUTED_VALUE"""),"SCHOLARSHIP")</f>
        <v>SCHOLARSHIP</v>
      </c>
      <c r="D281" s="196" t="str">
        <f>IFERROR(__xludf.DUMMYFUNCTION("""COMPUTED_VALUE"""),"13 ACER ASPIRE 3 A315-510-33C0 I3 LAPTOP")</f>
        <v>13 ACER ASPIRE 3 A315-510-33C0 I3 LAPTOP</v>
      </c>
      <c r="E281" s="196" t="str">
        <f>IFERROR(__xludf.DUMMYFUNCTION("""COMPUTED_VALUE"""),"SCHOLARS LAPTOP LOAN ")</f>
        <v>SCHOLARS LAPTOP LOAN </v>
      </c>
    </row>
    <row r="282">
      <c r="A282" s="234">
        <f>IFERROR(__xludf.DUMMYFUNCTION("""COMPUTED_VALUE"""),105115.0)</f>
        <v>105115</v>
      </c>
      <c r="B282" s="235" t="str">
        <f>IFERROR(__xludf.DUMMYFUNCTION("""COMPUTED_VALUE"""),"LYKA PERALTA ")</f>
        <v>LYKA PERALTA </v>
      </c>
      <c r="C282" s="235" t="str">
        <f>IFERROR(__xludf.DUMMYFUNCTION("""COMPUTED_VALUE"""),"AMD")</f>
        <v>AMD</v>
      </c>
      <c r="D282" s="196" t="str">
        <f>IFERROR(__xludf.DUMMYFUNCTION("""COMPUTED_VALUE"""),"2000 PCS FOLDER PRESSBOARD GREEN LONG ")</f>
        <v>2000 PCS FOLDER PRESSBOARD GREEN LONG </v>
      </c>
      <c r="E282" s="196" t="str">
        <f>IFERROR(__xludf.DUMMYFUNCTION("""COMPUTED_VALUE"""),"OSSUP - STOCK REPLENISHMENT ")</f>
        <v>OSSUP - STOCK REPLENISHMENT </v>
      </c>
    </row>
    <row r="283">
      <c r="A283" s="234">
        <f>IFERROR(__xludf.DUMMYFUNCTION("""COMPUTED_VALUE"""),105116.0)</f>
        <v>105116</v>
      </c>
      <c r="B283" s="235" t="str">
        <f>IFERROR(__xludf.DUMMYFUNCTION("""COMPUTED_VALUE"""),"LYKA PERALTA ")</f>
        <v>LYKA PERALTA </v>
      </c>
      <c r="C283" s="235" t="str">
        <f>IFERROR(__xludf.DUMMYFUNCTION("""COMPUTED_VALUE"""),"AMD")</f>
        <v>AMD</v>
      </c>
      <c r="D283" s="196" t="str">
        <f>IFERROR(__xludf.DUMMYFUNCTION("""COMPUTED_VALUE"""),"1000PCS ENVELOPE BROWN SHORT ")</f>
        <v>1000PCS ENVELOPE BROWN SHORT </v>
      </c>
      <c r="E283" s="196" t="str">
        <f>IFERROR(__xludf.DUMMYFUNCTION("""COMPUTED_VALUE"""),"OSSUP - STOCK REPLENISHMENT ")</f>
        <v>OSSUP - STOCK REPLENISHMENT </v>
      </c>
    </row>
    <row r="284">
      <c r="A284" s="234">
        <f>IFERROR(__xludf.DUMMYFUNCTION("""COMPUTED_VALUE"""),105117.0)</f>
        <v>105117</v>
      </c>
      <c r="B284" s="235" t="str">
        <f>IFERROR(__xludf.DUMMYFUNCTION("""COMPUTED_VALUE"""),"LYKA PERALTA ")</f>
        <v>LYKA PERALTA </v>
      </c>
      <c r="C284" s="235" t="str">
        <f>IFERROR(__xludf.DUMMYFUNCTION("""COMPUTED_VALUE"""),"AMD")</f>
        <v>AMD</v>
      </c>
      <c r="D284" s="196" t="str">
        <f>IFERROR(__xludf.DUMMYFUNCTION("""COMPUTED_VALUE"""),"2BOXES INSTANT ID FOR LAMINATING POLARIS")</f>
        <v>2BOXES INSTANT ID FOR LAMINATING POLARIS</v>
      </c>
      <c r="E284" s="196" t="str">
        <f>IFERROR(__xludf.DUMMYFUNCTION("""COMPUTED_VALUE"""),"OSSUP - STOCK REPLENISHMENT ")</f>
        <v>OSSUP - STOCK REPLENISHMENT </v>
      </c>
    </row>
    <row r="285">
      <c r="A285" s="234">
        <f>IFERROR(__xludf.DUMMYFUNCTION("""COMPUTED_VALUE"""),105118.0)</f>
        <v>105118</v>
      </c>
      <c r="B285" s="235" t="str">
        <f>IFERROR(__xludf.DUMMYFUNCTION("""COMPUTED_VALUE"""),"LYKA PERALTA ")</f>
        <v>LYKA PERALTA </v>
      </c>
      <c r="C285" s="235" t="str">
        <f>IFERROR(__xludf.DUMMYFUNCTION("""COMPUTED_VALUE"""),"AMD")</f>
        <v>AMD</v>
      </c>
      <c r="D285" s="196" t="str">
        <f>IFERROR(__xludf.DUMMYFUNCTION("""COMPUTED_VALUE"""),"15 PCS RECORD BOOK,300 PAGES")</f>
        <v>15 PCS RECORD BOOK,300 PAGES</v>
      </c>
      <c r="E285" s="196" t="str">
        <f>IFERROR(__xludf.DUMMYFUNCTION("""COMPUTED_VALUE"""),"OSSUP - STOCK REPLENISHMENT ")</f>
        <v>OSSUP - STOCK REPLENISHMENT </v>
      </c>
    </row>
    <row r="286">
      <c r="A286" s="234">
        <f>IFERROR(__xludf.DUMMYFUNCTION("""COMPUTED_VALUE"""),105119.0)</f>
        <v>105119</v>
      </c>
      <c r="B286" s="235" t="str">
        <f>IFERROR(__xludf.DUMMYFUNCTION("""COMPUTED_VALUE"""),"ELYDIA REYES")</f>
        <v>ELYDIA REYES</v>
      </c>
      <c r="C286" s="235" t="str">
        <f>IFERROR(__xludf.DUMMYFUNCTION("""COMPUTED_VALUE"""),"PR &amp; MARKETING")</f>
        <v>PR &amp; MARKETING</v>
      </c>
      <c r="D286" s="196" t="str">
        <f>IFERROR(__xludf.DUMMYFUNCTION("""COMPUTED_VALUE"""),"1 22"" 6GB + 128 GB HUNTECH SMART MOBILE TV")</f>
        <v>1 22" 6GB + 128 GB HUNTECH SMART MOBILE TV</v>
      </c>
      <c r="E286" s="196" t="str">
        <f>IFERROR(__xludf.DUMMYFUNCTION("""COMPUTED_VALUE"""),"FOR SCHOOL PRESENTATION/ FAIR")</f>
        <v>FOR SCHOOL PRESENTATION/ FAIR</v>
      </c>
    </row>
    <row r="287">
      <c r="A287" s="234">
        <f>IFERROR(__xludf.DUMMYFUNCTION("""COMPUTED_VALUE"""),105120.0)</f>
        <v>105120</v>
      </c>
      <c r="B287" s="235" t="str">
        <f>IFERROR(__xludf.DUMMYFUNCTION("""COMPUTED_VALUE"""),"LYKA PERALTA ")</f>
        <v>LYKA PERALTA </v>
      </c>
      <c r="C287" s="235" t="str">
        <f>IFERROR(__xludf.DUMMYFUNCTION("""COMPUTED_VALUE"""),"AMD")</f>
        <v>AMD</v>
      </c>
      <c r="D287" s="196" t="str">
        <f>IFERROR(__xludf.DUMMYFUNCTION("""COMPUTED_VALUE"""),"288 ROLLS TISSUE, ROLL BATH 2PLU (SANICARE)")</f>
        <v>288 ROLLS TISSUE, ROLL BATH 2PLU (SANICARE)</v>
      </c>
      <c r="E287" s="196" t="str">
        <f>IFERROR(__xludf.DUMMYFUNCTION("""COMPUTED_VALUE"""),"OSSUP - STOCK REPLENISHMENT ")</f>
        <v>OSSUP - STOCK REPLENISHMENT </v>
      </c>
    </row>
    <row r="288">
      <c r="A288" s="234">
        <f>IFERROR(__xludf.DUMMYFUNCTION("""COMPUTED_VALUE"""),105121.0)</f>
        <v>105121</v>
      </c>
      <c r="B288" s="235" t="str">
        <f>IFERROR(__xludf.DUMMYFUNCTION("""COMPUTED_VALUE"""),"LYKA PERALTA ")</f>
        <v>LYKA PERALTA </v>
      </c>
      <c r="C288" s="235" t="str">
        <f>IFERROR(__xludf.DUMMYFUNCTION("""COMPUTED_VALUE"""),"AMD")</f>
        <v>AMD</v>
      </c>
      <c r="D288" s="196" t="str">
        <f>IFERROR(__xludf.DUMMYFUNCTION("""COMPUTED_VALUE"""),"50 PCS FRAME CERTIFICATE ORDINARY - BROWN 8.5 X 11")</f>
        <v>50 PCS FRAME CERTIFICATE ORDINARY - BROWN 8.5 X 11</v>
      </c>
      <c r="E288" s="196" t="str">
        <f>IFERROR(__xludf.DUMMYFUNCTION("""COMPUTED_VALUE"""),"OSSUP - STOCK REPLENISHMENT ")</f>
        <v>OSSUP - STOCK REPLENISHMENT </v>
      </c>
    </row>
    <row r="289">
      <c r="A289" s="234">
        <f>IFERROR(__xludf.DUMMYFUNCTION("""COMPUTED_VALUE"""),105122.0)</f>
        <v>105122</v>
      </c>
      <c r="B289" s="235" t="str">
        <f>IFERROR(__xludf.DUMMYFUNCTION("""COMPUTED_VALUE"""),"BELEN MANDIN")</f>
        <v>BELEN MANDIN</v>
      </c>
      <c r="C289" s="235" t="str">
        <f>IFERROR(__xludf.DUMMYFUNCTION("""COMPUTED_VALUE"""),"CAPS COLLEGE")</f>
        <v>CAPS COLLEGE</v>
      </c>
      <c r="D289" s="196" t="str">
        <f>IFERROR(__xludf.DUMMYFUNCTION("""COMPUTED_VALUE"""),"1 SET TV STAND")</f>
        <v>1 SET TV STAND</v>
      </c>
      <c r="E289" s="196" t="str">
        <f>IFERROR(__xludf.DUMMYFUNCTION("""COMPUTED_VALUE"""),"FOR COLLEGE TESTING AND IC AND CAPS COLLEGE MEETING")</f>
        <v>FOR COLLEGE TESTING AND IC AND CAPS COLLEGE MEETING</v>
      </c>
    </row>
    <row r="290">
      <c r="A290" s="234">
        <f>IFERROR(__xludf.DUMMYFUNCTION("""COMPUTED_VALUE"""),105123.0)</f>
        <v>105123</v>
      </c>
      <c r="B290" s="235" t="str">
        <f>IFERROR(__xludf.DUMMYFUNCTION("""COMPUTED_VALUE"""),"OWIE PAR")</f>
        <v>OWIE PAR</v>
      </c>
      <c r="C290" s="235" t="str">
        <f>IFERROR(__xludf.DUMMYFUNCTION("""COMPUTED_VALUE"""),"ADMIN")</f>
        <v>ADMIN</v>
      </c>
      <c r="D290" s="196" t="str">
        <f>IFERROR(__xludf.DUMMYFUNCTION("""COMPUTED_VALUE"""),"5SETS TOILET BOWL 
REPLACEMENT OF OLD WATER CLOSET &amp; NOT FUNTIONING WELL.")</f>
        <v>5SETS TOILET BOWL 
REPLACEMENT OF OLD WATER CLOSET &amp; NOT FUNTIONING WELL.</v>
      </c>
      <c r="E290" s="196" t="str">
        <f>IFERROR(__xludf.DUMMYFUNCTION("""COMPUTED_VALUE"""),"GROUND FLOOR COLLEGE - REPLACEMENT OF OLD H2O CLOSET - NOT FUNCTIONING WELL.")</f>
        <v>GROUND FLOOR COLLEGE - REPLACEMENT OF OLD H2O CLOSET - NOT FUNCTIONING WELL.</v>
      </c>
    </row>
    <row r="291">
      <c r="A291" s="234">
        <f>IFERROR(__xludf.DUMMYFUNCTION("""COMPUTED_VALUE"""),105124.0)</f>
        <v>105124</v>
      </c>
      <c r="B291" s="235" t="str">
        <f>IFERROR(__xludf.DUMMYFUNCTION("""COMPUTED_VALUE"""),"ANN DELA ISLA ")</f>
        <v>ANN DELA ISLA </v>
      </c>
      <c r="C291" s="235" t="str">
        <f>IFERROR(__xludf.DUMMYFUNCTION("""COMPUTED_VALUE"""),"IB")</f>
        <v>IB</v>
      </c>
      <c r="D291" s="196" t="str">
        <f>IFERROR(__xludf.DUMMYFUNCTION("""COMPUTED_VALUE"""),"1 SCREEN FOR CLASSROOM
1 ROLL BLINDS")</f>
        <v>1 SCREEN FOR CLASSROOM
1 ROLL BLINDS</v>
      </c>
      <c r="E291" s="196" t="str">
        <f>IFERROR(__xludf.DUMMYFUNCTION("""COMPUTED_VALUE"""),"FOR CLASSROOM USE ")</f>
        <v>FOR CLASSROOM USE </v>
      </c>
    </row>
    <row r="292">
      <c r="A292" s="234">
        <f>IFERROR(__xludf.DUMMYFUNCTION("""COMPUTED_VALUE"""),105125.0)</f>
        <v>105125</v>
      </c>
      <c r="B292" s="235" t="str">
        <f>IFERROR(__xludf.DUMMYFUNCTION("""COMPUTED_VALUE"""),"LUCILLE BEYER")</f>
        <v>LUCILLE BEYER</v>
      </c>
      <c r="C292" s="235" t="str">
        <f>IFERROR(__xludf.DUMMYFUNCTION("""COMPUTED_VALUE"""),"CLINIC LUX")</f>
        <v>CLINIC LUX</v>
      </c>
      <c r="D292" s="196" t="str">
        <f>IFERROR(__xludf.DUMMYFUNCTION("""COMPUTED_VALUE"""),"CLINIC MEDS+SUPPLIES FOR MONTH OF OCTOBER+NOVEMBER FOR 3 CLINICS 
*SEE ATTACHED*")</f>
        <v>CLINIC MEDS+SUPPLIES FOR MONTH OF OCTOBER+NOVEMBER FOR 3 CLINICS 
*SEE ATTACHED*</v>
      </c>
      <c r="E292" s="196" t="str">
        <f>IFERROR(__xludf.DUMMYFUNCTION("""COMPUTED_VALUE"""),"REPLENISHMENT OF CLINIC MEDS AND SUPPLIES FOR MONTH OF OCT AND NOV FOR 3 CLINICS")</f>
        <v>REPLENISHMENT OF CLINIC MEDS AND SUPPLIES FOR MONTH OF OCT AND NOV FOR 3 CLINICS</v>
      </c>
    </row>
    <row r="293">
      <c r="A293" s="234">
        <f>IFERROR(__xludf.DUMMYFUNCTION("""COMPUTED_VALUE"""),105126.0)</f>
        <v>105126</v>
      </c>
      <c r="B293" s="235" t="str">
        <f>IFERROR(__xludf.DUMMYFUNCTION("""COMPUTED_VALUE"""),"LUCILLE BEYER")</f>
        <v>LUCILLE BEYER</v>
      </c>
      <c r="C293" s="235" t="str">
        <f>IFERROR(__xludf.DUMMYFUNCTION("""COMPUTED_VALUE"""),"CLINIC LUX")</f>
        <v>CLINIC LUX</v>
      </c>
      <c r="D293" s="196" t="str">
        <f>IFERROR(__xludf.DUMMYFUNCTION("""COMPUTED_VALUE"""),"8 SETS / COLOR SINGLE FITTED BEDSHIT 
SINGLE FLAT SHEET 
PILLOW CASES 
COLORS: LIGHT BROWN, LAVENDER ")</f>
        <v>8 SETS / COLOR SINGLE FITTED BEDSHIT 
SINGLE FLAT SHEET 
PILLOW CASES 
COLORS: LIGHT BROWN, LAVENDER </v>
      </c>
      <c r="E293" s="196" t="str">
        <f>IFERROR(__xludf.DUMMYFUNCTION("""COMPUTED_VALUE"""),"NEW LINENS/BEDDINGS FOR LUX CLINIC OLD LINENS ARE EITHER W/ STAINS OR W/ DISCOLORATION AND HOLES ")</f>
        <v>NEW LINENS/BEDDINGS FOR LUX CLINIC OLD LINENS ARE EITHER W/ STAINS OR W/ DISCOLORATION AND HOLES </v>
      </c>
    </row>
    <row r="294">
      <c r="A294" s="234">
        <f>IFERROR(__xludf.DUMMYFUNCTION("""COMPUTED_VALUE"""),105127.0)</f>
        <v>105127</v>
      </c>
      <c r="B294" s="235" t="str">
        <f>IFERROR(__xludf.DUMMYFUNCTION("""COMPUTED_VALUE"""),"MARIE CURIE ORIEL ")</f>
        <v>MARIE CURIE ORIEL </v>
      </c>
      <c r="C294" s="235" t="str">
        <f>IFERROR(__xludf.DUMMYFUNCTION("""COMPUTED_VALUE"""),"MEDICAL")</f>
        <v>MEDICAL</v>
      </c>
      <c r="D294" s="196" t="str">
        <f>IFERROR(__xludf.DUMMYFUNCTION("""COMPUTED_VALUE"""),"2PCS SINGLE FITTED BEDSHEET 
2 PCS SINGLE FLAT SHEET BLANKET 
4 PCS PILLOW CASES 
4 PANELS CURTAIN (65""-LENGTH) 
*COLORS: PLAIN/ MINIMAL DESIGN 
BLUE/ GREEN / YELLOW")</f>
        <v>2PCS SINGLE FITTED BEDSHEET 
2 PCS SINGLE FLAT SHEET BLANKET 
4 PCS PILLOW CASES 
4 PANELS CURTAIN (65"-LENGTH) 
*COLORS: PLAIN/ MINIMAL DESIGN 
BLUE/ GREEN / YELLOW</v>
      </c>
      <c r="E294" s="196" t="str">
        <f>IFERROR(__xludf.DUMMYFUNCTION("""COMPUTED_VALUE"""),"LINENS/ BEDDINGS FOR STAR CAMPUS CLINIC ")</f>
        <v>LINENS/ BEDDINGS FOR STAR CAMPUS CLINIC </v>
      </c>
    </row>
    <row r="295">
      <c r="A295" s="234">
        <f>IFERROR(__xludf.DUMMYFUNCTION("""COMPUTED_VALUE"""),105128.0)</f>
        <v>105128</v>
      </c>
      <c r="B295" s="235" t="str">
        <f>IFERROR(__xludf.DUMMYFUNCTION("""COMPUTED_VALUE"""),"PRECIOUS DALUZ ")</f>
        <v>PRECIOUS DALUZ </v>
      </c>
      <c r="C295" s="235" t="str">
        <f>IFERROR(__xludf.DUMMYFUNCTION("""COMPUTED_VALUE"""),"SPECIAL SUBJECTS")</f>
        <v>SPECIAL SUBJECTS</v>
      </c>
      <c r="D295" s="196" t="str">
        <f>IFERROR(__xludf.DUMMYFUNCTION("""COMPUTED_VALUE"""),"177 UTILITY BASKET
177 PEEKABOO LAMPSHADE
177 3 LAYER ORGANIZER 
177 HEAVY DUTY EXTENSION CORD (3METER)
")</f>
        <v>177 UTILITY BASKET
177 PEEKABOO LAMPSHADE
177 3 LAYER ORGANIZER 
177 HEAVY DUTY EXTENSION CORD (3METER)
</v>
      </c>
      <c r="E295" s="196" t="str">
        <f>IFERROR(__xludf.DUMMYFUNCTION("""COMPUTED_VALUE"""),"MATERIALS FOR TECH ARTS ")</f>
        <v>MATERIALS FOR TECH ARTS </v>
      </c>
    </row>
    <row r="296">
      <c r="A296" s="234">
        <f>IFERROR(__xludf.DUMMYFUNCTION("""COMPUTED_VALUE"""),105129.0)</f>
        <v>105129</v>
      </c>
      <c r="B296" s="235" t="str">
        <f>IFERROR(__xludf.DUMMYFUNCTION("""COMPUTED_VALUE"""),"RACHEL JANE PAMATI-AN ")</f>
        <v>RACHEL JANE PAMATI-AN </v>
      </c>
      <c r="C296" s="235" t="str">
        <f>IFERROR(__xludf.DUMMYFUNCTION("""COMPUTED_VALUE"""),"ADMIN - STAR")</f>
        <v>ADMIN - STAR</v>
      </c>
      <c r="D296" s="196" t="str">
        <f>IFERROR(__xludf.DUMMYFUNCTION("""COMPUTED_VALUE"""),"28 PCS 8 WATTS LED WARM WHITE BULBS FOR QUADRANGLE ")</f>
        <v>28 PCS 8 WATTS LED WARM WHITE BULBS FOR QUADRANGLE </v>
      </c>
      <c r="E296" s="196" t="str">
        <f>IFERROR(__xludf.DUMMYFUNCTION("""COMPUTED_VALUE"""),"WARM WHITE BULBS NEED TO CHANGE ")</f>
        <v>WARM WHITE BULBS NEED TO CHANGE </v>
      </c>
    </row>
    <row r="297">
      <c r="A297" s="234">
        <f>IFERROR(__xludf.DUMMYFUNCTION("""COMPUTED_VALUE"""),105130.0)</f>
        <v>105130</v>
      </c>
      <c r="B297" s="235" t="str">
        <f>IFERROR(__xludf.DUMMYFUNCTION("""COMPUTED_VALUE"""),"CARLITO DELA VEGA ")</f>
        <v>CARLITO DELA VEGA </v>
      </c>
      <c r="C297" s="235" t="str">
        <f>IFERROR(__xludf.DUMMYFUNCTION("""COMPUTED_VALUE"""),"SECURITY")</f>
        <v>SECURITY</v>
      </c>
      <c r="D297" s="196" t="str">
        <f>IFERROR(__xludf.DUMMYFUNCTION("""COMPUTED_VALUE"""),"10 ROLLS CAUTION TAPE 
")</f>
        <v>10 ROLLS CAUTION TAPE 
</v>
      </c>
      <c r="E297" s="196" t="str">
        <f>IFERROR(__xludf.DUMMYFUNCTION("""COMPUTED_VALUE"""),"SAFETY EMERGENCY USE ")</f>
        <v>SAFETY EMERGENCY USE </v>
      </c>
    </row>
    <row r="298">
      <c r="A298" s="234">
        <f>IFERROR(__xludf.DUMMYFUNCTION("""COMPUTED_VALUE"""),105131.0)</f>
        <v>105131</v>
      </c>
      <c r="B298" s="235" t="str">
        <f>IFERROR(__xludf.DUMMYFUNCTION("""COMPUTED_VALUE"""),"RACHEL JANE PAMATI-AN ")</f>
        <v>RACHEL JANE PAMATI-AN </v>
      </c>
      <c r="C298" s="235" t="str">
        <f>IFERROR(__xludf.DUMMYFUNCTION("""COMPUTED_VALUE"""),"ADMIN - STAR")</f>
        <v>ADMIN - STAR</v>
      </c>
      <c r="D298" s="196" t="str">
        <f>IFERROR(__xludf.DUMMYFUNCTION("""COMPUTED_VALUE"""),"10P[CS 10 PCS ACRYLIC HOLDER FOR RESTROOM CHECKLIST 
SIZE: SHORT BONDPAPER")</f>
        <v>10P[CS 10 PCS ACRYLIC HOLDER FOR RESTROOM CHECKLIST 
SIZE: SHORT BONDPAPER</v>
      </c>
      <c r="E298" s="196" t="str">
        <f>IFERROR(__xludf.DUMMYFUNCTION("""COMPUTED_VALUE"""),"ACRYLIC HOLDER FOR RESTROOM CHECKLIST ")</f>
        <v>ACRYLIC HOLDER FOR RESTROOM CHECKLIST </v>
      </c>
    </row>
    <row r="299">
      <c r="A299" s="234">
        <f>IFERROR(__xludf.DUMMYFUNCTION("""COMPUTED_VALUE"""),105132.0)</f>
        <v>105132</v>
      </c>
      <c r="B299" s="235" t="str">
        <f>IFERROR(__xludf.DUMMYFUNCTION("""COMPUTED_VALUE"""),"RACHEL JANE PAMATI-AN ")</f>
        <v>RACHEL JANE PAMATI-AN </v>
      </c>
      <c r="C299" s="235" t="str">
        <f>IFERROR(__xludf.DUMMYFUNCTION("""COMPUTED_VALUE"""),"ADMIN - STAR")</f>
        <v>ADMIN - STAR</v>
      </c>
      <c r="D299" s="196" t="str">
        <f>IFERROR(__xludf.DUMMYFUNCTION("""COMPUTED_VALUE"""),"3 ILLUMINATED EXIT SIGN ")</f>
        <v>3 ILLUMINATED EXIT SIGN </v>
      </c>
      <c r="E299" s="196" t="str">
        <f>IFERROR(__xludf.DUMMYFUNCTION("""COMPUTED_VALUE"""),"FOR COMPLIANCE OF BFP REQUIREMENT ")</f>
        <v>FOR COMPLIANCE OF BFP REQUIREMENT </v>
      </c>
    </row>
    <row r="300">
      <c r="A300" s="234">
        <f>IFERROR(__xludf.DUMMYFUNCTION("""COMPUTED_VALUE"""),105133.0)</f>
        <v>105133</v>
      </c>
      <c r="B300" s="235"/>
      <c r="C300" s="235" t="str">
        <f>IFERROR(__xludf.DUMMYFUNCTION("""COMPUTED_VALUE"""),"ADMIN - STAR")</f>
        <v>ADMIN - STAR</v>
      </c>
      <c r="D300" s="196"/>
      <c r="E300" s="196"/>
    </row>
    <row r="301">
      <c r="A301" s="234">
        <f>IFERROR(__xludf.DUMMYFUNCTION("""COMPUTED_VALUE"""),105134.0)</f>
        <v>105134</v>
      </c>
      <c r="B301" s="235" t="str">
        <f>IFERROR(__xludf.DUMMYFUNCTION("""COMPUTED_VALUE"""),"RACHEL JANE PAMATI-AN ")</f>
        <v>RACHEL JANE PAMATI-AN </v>
      </c>
      <c r="C301" s="235" t="str">
        <f>IFERROR(__xludf.DUMMYFUNCTION("""COMPUTED_VALUE"""),"ADMIN - STAR")</f>
        <v>ADMIN - STAR</v>
      </c>
      <c r="D301" s="196" t="str">
        <f>IFERROR(__xludf.DUMMYFUNCTION("""COMPUTED_VALUE"""),"4 EMERGENCY LIGHTS ")</f>
        <v>4 EMERGENCY LIGHTS </v>
      </c>
      <c r="E301" s="196" t="str">
        <f>IFERROR(__xludf.DUMMYFUNCTION("""COMPUTED_VALUE"""),"EMERGENCY LIGHTS FOR COMPLIANCE OF BFP REQUIREMENT ")</f>
        <v>EMERGENCY LIGHTS FOR COMPLIANCE OF BFP REQUIREMENT </v>
      </c>
    </row>
    <row r="302">
      <c r="A302" s="234">
        <f>IFERROR(__xludf.DUMMYFUNCTION("""COMPUTED_VALUE"""),105135.0)</f>
        <v>105135</v>
      </c>
      <c r="B302" s="235" t="str">
        <f>IFERROR(__xludf.DUMMYFUNCTION("""COMPUTED_VALUE"""),"ALFA DE LEON ")</f>
        <v>ALFA DE LEON </v>
      </c>
      <c r="C302" s="235" t="str">
        <f>IFERROR(__xludf.DUMMYFUNCTION("""COMPUTED_VALUE"""),"ADMIN - MUNICH")</f>
        <v>ADMIN - MUNICH</v>
      </c>
      <c r="D302" s="196" t="str">
        <f>IFERROR(__xludf.DUMMYFUNCTION("""COMPUTED_VALUE"""),"10 POTS XXXL
15 POTS XL ")</f>
        <v>10 POTS XXXL
15 POTS XL </v>
      </c>
      <c r="E302" s="196" t="str">
        <f>IFERROR(__xludf.DUMMYFUNCTION("""COMPUTED_VALUE"""),"RE-POTTING OF GROWN UP PLANTS AND PLANTING OF SOME PROPAGATED PLANTS PALSER ")</f>
        <v>RE-POTTING OF GROWN UP PLANTS AND PLANTING OF SOME PROPAGATED PLANTS PALSER </v>
      </c>
    </row>
    <row r="303">
      <c r="A303" s="234">
        <f>IFERROR(__xludf.DUMMYFUNCTION("""COMPUTED_VALUE"""),105136.0)</f>
        <v>105136</v>
      </c>
      <c r="B303" s="235" t="str">
        <f>IFERROR(__xludf.DUMMYFUNCTION("""COMPUTED_VALUE"""),"ALFA DE LEON")</f>
        <v>ALFA DE LEON</v>
      </c>
      <c r="C303" s="235" t="str">
        <f>IFERROR(__xludf.DUMMYFUNCTION("""COMPUTED_VALUE"""),"ADMIN - MUNICH")</f>
        <v>ADMIN - MUNICH</v>
      </c>
      <c r="D303" s="196" t="str">
        <f>IFERROR(__xludf.DUMMYFUNCTION("""COMPUTED_VALUE"""),"1 WATER DISPENSER ")</f>
        <v>1 WATER DISPENSER </v>
      </c>
      <c r="E303" s="196" t="str">
        <f>IFERROR(__xludf.DUMMYFUNCTION("""COMPUTED_VALUE"""),"REPLACEMENT OF BROKEN WATER DISPENSER ")</f>
        <v>REPLACEMENT OF BROKEN WATER DISPENSER </v>
      </c>
    </row>
    <row r="304">
      <c r="A304" s="234">
        <f>IFERROR(__xludf.DUMMYFUNCTION("""COMPUTED_VALUE"""),105137.0)</f>
        <v>105137</v>
      </c>
      <c r="B304" s="235" t="str">
        <f>IFERROR(__xludf.DUMMYFUNCTION("""COMPUTED_VALUE"""),"RODRIGO CUSTODIO")</f>
        <v>RODRIGO CUSTODIO</v>
      </c>
      <c r="C304" s="235" t="str">
        <f>IFERROR(__xludf.DUMMYFUNCTION("""COMPUTED_VALUE"""),"AMD")</f>
        <v>AMD</v>
      </c>
      <c r="D304" s="196" t="str">
        <f>IFERROR(__xludf.DUMMYFUNCTION("""COMPUTED_VALUE"""),"20 PCS TOILET RUBBER PUMP BLACK ")</f>
        <v>20 PCS TOILET RUBBER PUMP BLACK </v>
      </c>
      <c r="E304" s="196" t="str">
        <f>IFERROR(__xludf.DUMMYFUNCTION("""COMPUTED_VALUE"""),"HOUSEKEEPING MATERIALS- STOCK REPLENISHMENT")</f>
        <v>HOUSEKEEPING MATERIALS- STOCK REPLENISHMENT</v>
      </c>
    </row>
    <row r="305">
      <c r="A305" s="234">
        <f>IFERROR(__xludf.DUMMYFUNCTION("""COMPUTED_VALUE"""),105138.0)</f>
        <v>105138</v>
      </c>
      <c r="B305" s="235" t="str">
        <f>IFERROR(__xludf.DUMMYFUNCTION("""COMPUTED_VALUE"""),"ALFA DE LEON ")</f>
        <v>ALFA DE LEON </v>
      </c>
      <c r="C305" s="235" t="str">
        <f>IFERROR(__xludf.DUMMYFUNCTION("""COMPUTED_VALUE"""),"ADMIN - MUNICH")</f>
        <v>ADMIN - MUNICH</v>
      </c>
      <c r="D305" s="196" t="str">
        <f>IFERROR(__xludf.DUMMYFUNCTION("""COMPUTED_VALUE"""),"1 PODIUM ")</f>
        <v>1 PODIUM </v>
      </c>
      <c r="E305" s="196" t="str">
        <f>IFERROR(__xludf.DUMMYFUNCTION("""COMPUTED_VALUE"""),"TO BE REPLACED IN MUNICH MINI THEATER")</f>
        <v>TO BE REPLACED IN MUNICH MINI THEATER</v>
      </c>
    </row>
    <row r="306">
      <c r="A306" s="234">
        <f>IFERROR(__xludf.DUMMYFUNCTION("""COMPUTED_VALUE"""),105139.0)</f>
        <v>105139</v>
      </c>
      <c r="B306" s="235" t="str">
        <f>IFERROR(__xludf.DUMMYFUNCTION("""COMPUTED_VALUE"""),"MELISSA NAVAL-ODONO ")</f>
        <v>MELISSA NAVAL-ODONO </v>
      </c>
      <c r="C306" s="235" t="str">
        <f>IFERROR(__xludf.DUMMYFUNCTION("""COMPUTED_VALUE"""),"K12")</f>
        <v>K12</v>
      </c>
      <c r="D306" s="196" t="str">
        <f>IFERROR(__xludf.DUMMYFUNCTION("""COMPUTED_VALUE"""),"13 FICTION BOOK SERIES TITLES ")</f>
        <v>13 FICTION BOOK SERIES TITLES </v>
      </c>
      <c r="E306" s="196" t="str">
        <f>IFERROR(__xludf.DUMMYFUNCTION("""COMPUTED_VALUE"""),"FOR LIBRARIES COPY/ STUDENTS USE ")</f>
        <v>FOR LIBRARIES COPY/ STUDENTS USE </v>
      </c>
    </row>
    <row r="307">
      <c r="A307" s="234">
        <f>IFERROR(__xludf.DUMMYFUNCTION("""COMPUTED_VALUE"""),105140.0)</f>
        <v>105140</v>
      </c>
      <c r="B307" s="235" t="str">
        <f>IFERROR(__xludf.DUMMYFUNCTION("""COMPUTED_VALUE"""),"RODRIGO CUSTODIO")</f>
        <v>RODRIGO CUSTODIO</v>
      </c>
      <c r="C307" s="235" t="str">
        <f>IFERROR(__xludf.DUMMYFUNCTION("""COMPUTED_VALUE"""),"AMD")</f>
        <v>AMD</v>
      </c>
      <c r="D307" s="196" t="str">
        <f>IFERROR(__xludf.DUMMYFUNCTION("""COMPUTED_VALUE"""),"SOUTHVILLE INTERNARTIONAL SCHOOL AND COLLEGES PROPERTY STICKER 
1ROLL/3000 STICKERS PROPERTY NO. 72011-75010
1 ROLL/3000 STICKERS PROPERTY NO. 75011-78010")</f>
        <v>SOUTHVILLE INTERNARTIONAL SCHOOL AND COLLEGES PROPERTY STICKER 
1ROLL/3000 STICKERS PROPERTY NO. 72011-75010
1 ROLL/3000 STICKERS PROPERTY NO. 75011-78010</v>
      </c>
      <c r="E307" s="196" t="str">
        <f>IFERROR(__xludf.DUMMYFUNCTION("""COMPUTED_VALUE"""),"HOUSEKEEPING MATERIALS- STOCK REPLENISHMENT")</f>
        <v>HOUSEKEEPING MATERIALS- STOCK REPLENISHMENT</v>
      </c>
    </row>
    <row r="308">
      <c r="A308" s="234">
        <f>IFERROR(__xludf.DUMMYFUNCTION("""COMPUTED_VALUE"""),105141.0)</f>
        <v>105141</v>
      </c>
      <c r="B308" s="235" t="str">
        <f>IFERROR(__xludf.DUMMYFUNCTION("""COMPUTED_VALUE"""),"RORY MANSBRIDGE")</f>
        <v>RORY MANSBRIDGE</v>
      </c>
      <c r="C308" s="235" t="str">
        <f>IFERROR(__xludf.DUMMYFUNCTION("""COMPUTED_VALUE"""),"ATHLETICS")</f>
        <v>ATHLETICS</v>
      </c>
      <c r="D308" s="196" t="str">
        <f>IFERROR(__xludf.DUMMYFUNCTION("""COMPUTED_VALUE"""),"8 DESIGN 1 
8 DESIGN 2 
*FOR PAYMENT*
8 DESIGN 3
8 DESIGN 4
*FOR FREE*")</f>
        <v>8 DESIGN 1 
8 DESIGN 2 
*FOR PAYMENT*
8 DESIGN 3
8 DESIGN 4
*FOR FREE*</v>
      </c>
      <c r="E308" s="196" t="str">
        <f>IFERROR(__xludf.DUMMYFUNCTION("""COMPUTED_VALUE"""),"COACHING UNIFORMS")</f>
        <v>COACHING UNIFORMS</v>
      </c>
    </row>
    <row r="309">
      <c r="A309" s="234">
        <f>IFERROR(__xludf.DUMMYFUNCTION("""COMPUTED_VALUE"""),105142.0)</f>
        <v>105142</v>
      </c>
      <c r="B309" s="235" t="str">
        <f>IFERROR(__xludf.DUMMYFUNCTION("""COMPUTED_VALUE"""),"RORY MANSBRIDGE")</f>
        <v>RORY MANSBRIDGE</v>
      </c>
      <c r="C309" s="235" t="str">
        <f>IFERROR(__xludf.DUMMYFUNCTION("""COMPUTED_VALUE"""),"ATHLETICS")</f>
        <v>ATHLETICS</v>
      </c>
      <c r="D309" s="196" t="str">
        <f>IFERROR(__xludf.DUMMYFUNCTION("""COMPUTED_VALUE"""),"20 ATHLETICS SHIRT
10 ATHLETICS SHIRT ")</f>
        <v>20 ATHLETICS SHIRT
10 ATHLETICS SHIRT </v>
      </c>
      <c r="E309" s="196" t="str">
        <f>IFERROR(__xludf.DUMMYFUNCTION("""COMPUTED_VALUE"""),"TRADING SHIRTS ")</f>
        <v>TRADING SHIRTS </v>
      </c>
    </row>
    <row r="310">
      <c r="A310" s="234">
        <f>IFERROR(__xludf.DUMMYFUNCTION("""COMPUTED_VALUE"""),105143.0)</f>
        <v>105143</v>
      </c>
      <c r="B310" s="235" t="str">
        <f>IFERROR(__xludf.DUMMYFUNCTION("""COMPUTED_VALUE"""),"SHEREE ESPINOSA ")</f>
        <v>SHEREE ESPINOSA </v>
      </c>
      <c r="C310" s="235" t="str">
        <f>IFERROR(__xludf.DUMMYFUNCTION("""COMPUTED_VALUE"""),"ADMIN")</f>
        <v>ADMIN</v>
      </c>
      <c r="D310" s="196" t="str">
        <f>IFERROR(__xludf.DUMMYFUNCTION("""COMPUTED_VALUE"""),"1PC DEAN'S DESK 
1 PC CHAIRPERSON'S DESK ")</f>
        <v>1PC DEAN'S DESK 
1 PC CHAIRPERSON'S DESK </v>
      </c>
      <c r="E310" s="196" t="str">
        <f>IFERROR(__xludf.DUMMYFUNCTION("""COMPUTED_VALUE"""),"5F COLLEGE NEW DEAN AND CHAIRPERSON OFFICE ")</f>
        <v>5F COLLEGE NEW DEAN AND CHAIRPERSON OFFICE </v>
      </c>
    </row>
    <row r="311">
      <c r="A311" s="234">
        <f>IFERROR(__xludf.DUMMYFUNCTION("""COMPUTED_VALUE"""),105144.0)</f>
        <v>105144</v>
      </c>
      <c r="B311" s="235" t="str">
        <f>IFERROR(__xludf.DUMMYFUNCTION("""COMPUTED_VALUE"""),"SHEREE ESPINOSA ")</f>
        <v>SHEREE ESPINOSA </v>
      </c>
      <c r="C311" s="235" t="str">
        <f>IFERROR(__xludf.DUMMYFUNCTION("""COMPUTED_VALUE"""),"ADMIN")</f>
        <v>ADMIN</v>
      </c>
      <c r="D311" s="196" t="str">
        <f>IFERROR(__xludf.DUMMYFUNCTION("""COMPUTED_VALUE"""),"6PCS TEACHER'S TABLE")</f>
        <v>6PCS TEACHER'S TABLE</v>
      </c>
      <c r="E311" s="196" t="str">
        <f>IFERROR(__xludf.DUMMYFUNCTION("""COMPUTED_VALUE"""),"5F COLLEGE NEW CLASSROOMS ")</f>
        <v>5F COLLEGE NEW CLASSROOMS </v>
      </c>
    </row>
    <row r="312">
      <c r="A312" s="234">
        <f>IFERROR(__xludf.DUMMYFUNCTION("""COMPUTED_VALUE"""),105145.0)</f>
        <v>105145</v>
      </c>
      <c r="B312" s="235" t="str">
        <f>IFERROR(__xludf.DUMMYFUNCTION("""COMPUTED_VALUE"""),"SHEREE ESPINOSA ")</f>
        <v>SHEREE ESPINOSA </v>
      </c>
      <c r="C312" s="235" t="str">
        <f>IFERROR(__xludf.DUMMYFUNCTION("""COMPUTED_VALUE"""),"ADMIN")</f>
        <v>ADMIN</v>
      </c>
      <c r="D312" s="196" t="str">
        <f>IFERROR(__xludf.DUMMYFUNCTION("""COMPUTED_VALUE"""),"6PCS TEACHER'S CHAIR (WMC 07)
15 FACULTY AND STAFF CHAIRS (WMC 07)
3 PCS FLEX CHAIRS (WMC07)
13 PCS CONFERENCE CHAIR(WMC 06)
2 PCS EXECUTIVE CHAIRS (WMC05) 
")</f>
        <v>6PCS TEACHER'S CHAIR (WMC 07)
15 FACULTY AND STAFF CHAIRS (WMC 07)
3 PCS FLEX CHAIRS (WMC07)
13 PCS CONFERENCE CHAIR(WMC 06)
2 PCS EXECUTIVE CHAIRS (WMC05) 
</v>
      </c>
      <c r="E312" s="196" t="str">
        <f>IFERROR(__xludf.DUMMYFUNCTION("""COMPUTED_VALUE"""),"5F COLLEGE NEW CLASSROOMS, OFFICES, FACULTY AND CONSULTATION ROOM ")</f>
        <v>5F COLLEGE NEW CLASSROOMS, OFFICES, FACULTY AND CONSULTATION ROOM </v>
      </c>
    </row>
    <row r="313">
      <c r="A313" s="234">
        <f>IFERROR(__xludf.DUMMYFUNCTION("""COMPUTED_VALUE"""),105146.0)</f>
        <v>105146</v>
      </c>
      <c r="B313" s="235" t="str">
        <f>IFERROR(__xludf.DUMMYFUNCTION("""COMPUTED_VALUE"""),"SHEREE ESPINOSA ")</f>
        <v>SHEREE ESPINOSA </v>
      </c>
      <c r="C313" s="235" t="str">
        <f>IFERROR(__xludf.DUMMYFUNCTION("""COMPUTED_VALUE"""),"ADMIN")</f>
        <v>ADMIN</v>
      </c>
      <c r="D313" s="196" t="str">
        <f>IFERROR(__xludf.DUMMYFUNCTION("""COMPUTED_VALUE"""),"2 PCS VISITOR'S CHAIR")</f>
        <v>2 PCS VISITOR'S CHAIR</v>
      </c>
      <c r="E313" s="196" t="str">
        <f>IFERROR(__xludf.DUMMYFUNCTION("""COMPUTED_VALUE"""),"5F COLLEGE NEW CONSULTATION ROOM AND DEAN'S OFFICE")</f>
        <v>5F COLLEGE NEW CONSULTATION ROOM AND DEAN'S OFFICE</v>
      </c>
    </row>
    <row r="314">
      <c r="A314" s="234">
        <f>IFERROR(__xludf.DUMMYFUNCTION("""COMPUTED_VALUE"""),105147.0)</f>
        <v>105147</v>
      </c>
      <c r="B314" s="235" t="str">
        <f>IFERROR(__xludf.DUMMYFUNCTION("""COMPUTED_VALUE"""),"SHEREE ESPINOSA ")</f>
        <v>SHEREE ESPINOSA </v>
      </c>
      <c r="C314" s="235" t="str">
        <f>IFERROR(__xludf.DUMMYFUNCTION("""COMPUTED_VALUE"""),"ADMIN")</f>
        <v>ADMIN</v>
      </c>
      <c r="D314" s="196" t="str">
        <f>IFERROR(__xludf.DUMMYFUNCTION("""COMPUTED_VALUE"""),"3 PCS MARINE PLYWOOD #3/4 X 4' X 8'
50 PCS BLOCK SCREW METAL #1 1/2")</f>
        <v>3 PCS MARINE PLYWOOD #3/4 X 4' X 8'
50 PCS BLOCK SCREW METAL #1 1/2</v>
      </c>
      <c r="E314" s="196" t="str">
        <f>IFERROR(__xludf.DUMMYFUNCTION("""COMPUTED_VALUE"""),"REPLACEMENT OF 2F CARPENTRY FLOORING ")</f>
        <v>REPLACEMENT OF 2F CARPENTRY FLOORING </v>
      </c>
    </row>
    <row r="315">
      <c r="A315" s="234">
        <f>IFERROR(__xludf.DUMMYFUNCTION("""COMPUTED_VALUE"""),105148.0)</f>
        <v>105148</v>
      </c>
      <c r="B315" s="235" t="str">
        <f>IFERROR(__xludf.DUMMYFUNCTION("""COMPUTED_VALUE"""),"LORRAINE ALMAZAN ")</f>
        <v>LORRAINE ALMAZAN </v>
      </c>
      <c r="C315" s="235" t="str">
        <f>IFERROR(__xludf.DUMMYFUNCTION("""COMPUTED_VALUE"""),"MIS/ICT")</f>
        <v>MIS/ICT</v>
      </c>
      <c r="D315" s="196" t="str">
        <f>IFERROR(__xludf.DUMMYFUNCTION("""COMPUTED_VALUE"""),"1 55 INCHES SMART TV - 55PF113")</f>
        <v>1 55 INCHES SMART TV - 55PF113</v>
      </c>
      <c r="E315" s="196" t="str">
        <f>IFERROR(__xludf.DUMMYFUNCTION("""COMPUTED_VALUE"""),"REPLACEMENT OF THE DAMAGED TV FROM THE TECH ARTS ROOM LAST AUG 23 2024")</f>
        <v>REPLACEMENT OF THE DAMAGED TV FROM THE TECH ARTS ROOM LAST AUG 23 2024</v>
      </c>
    </row>
    <row r="316">
      <c r="A316" s="234">
        <f>IFERROR(__xludf.DUMMYFUNCTION("""COMPUTED_VALUE"""),105149.0)</f>
        <v>105149</v>
      </c>
      <c r="B316" s="235" t="str">
        <f>IFERROR(__xludf.DUMMYFUNCTION("""COMPUTED_VALUE"""),"THALEAH BALON ")</f>
        <v>THALEAH BALON </v>
      </c>
      <c r="C316" s="235" t="str">
        <f>IFERROR(__xludf.DUMMYFUNCTION("""COMPUTED_VALUE"""),"FINANCE &amp; ACCOUNTING")</f>
        <v>FINANCE &amp; ACCOUNTING</v>
      </c>
      <c r="D316" s="196" t="str">
        <f>IFERROR(__xludf.DUMMYFUNCTION("""COMPUTED_VALUE"""),"50 MAGAZINE BOX 
-HORIZONTAL
-BLACK
-SIZE LEGAL")</f>
        <v>50 MAGAZINE BOX 
-HORIZONTAL
-BLACK
-SIZE LEGAL</v>
      </c>
      <c r="E316" s="196" t="str">
        <f>IFERROR(__xludf.DUMMYFUNCTION("""COMPUTED_VALUE"""),"FOR FILING DOCUMENT")</f>
        <v>FOR FILING DOCUMENT</v>
      </c>
    </row>
    <row r="317">
      <c r="A317" s="234">
        <f>IFERROR(__xludf.DUMMYFUNCTION("""COMPUTED_VALUE"""),105150.0)</f>
        <v>105150</v>
      </c>
      <c r="B317" s="235" t="str">
        <f>IFERROR(__xludf.DUMMYFUNCTION("""COMPUTED_VALUE"""),"JESUIT CHRISTIAN GALICIA ")</f>
        <v>JESUIT CHRISTIAN GALICIA </v>
      </c>
      <c r="C317" s="235" t="str">
        <f>IFERROR(__xludf.DUMMYFUNCTION("""COMPUTED_VALUE"""),"AMD")</f>
        <v>AMD</v>
      </c>
      <c r="D317" s="196" t="str">
        <f>IFERROR(__xludf.DUMMYFUNCTION("""COMPUTED_VALUE"""),"200 PCS KEY TAGS (PURPLE)
200 PCS KEY TAGS (RED)
200 PCS KEY TAGS (YELLOW) 
200 PCS KEY TAGS (WHITE)
200 PCS KEY TAGS (BLUE) ")</f>
        <v>200 PCS KEY TAGS (PURPLE)
200 PCS KEY TAGS (RED)
200 PCS KEY TAGS (YELLOW) 
200 PCS KEY TAGS (WHITE)
200 PCS KEY TAGS (BLUE) </v>
      </c>
      <c r="E317" s="196" t="str">
        <f>IFERROR(__xludf.DUMMYFUNCTION("""COMPUTED_VALUE"""),"ORGANIZE MASTER KEYS USING COLOR-CODED TAGS FOR BETTER IDENTIFICATION AND EFFICIENCY ")</f>
        <v>ORGANIZE MASTER KEYS USING COLOR-CODED TAGS FOR BETTER IDENTIFICATION AND EFFICIENCY </v>
      </c>
    </row>
    <row r="318">
      <c r="A318" s="234">
        <f>IFERROR(__xludf.DUMMYFUNCTION("""COMPUTED_VALUE"""),105151.0)</f>
        <v>105151</v>
      </c>
      <c r="B318" s="235" t="str">
        <f>IFERROR(__xludf.DUMMYFUNCTION("""COMPUTED_VALUE"""),"JESUIT CHRISTIAN GALICIA ")</f>
        <v>JESUIT CHRISTIAN GALICIA </v>
      </c>
      <c r="C318" s="235" t="str">
        <f>IFERROR(__xludf.DUMMYFUNCTION("""COMPUTED_VALUE"""),"AMD")</f>
        <v>AMD</v>
      </c>
      <c r="D318" s="196" t="str">
        <f>IFERROR(__xludf.DUMMYFUNCTION("""COMPUTED_VALUE"""),"10PCS G5, EQ-ACT 5 JOURNEYING INTO ME REVISE EDITION 
20 PCS G9, EQ-ACT THE JOY OF BEING ME REVISE EDITION 
10 PCS G12, EQ-ACT 12 SOARING HIGH 
G9, TOWPEP JOURNAL 
G5, TOWPEP JOURNAL 
G6, TOWPEP JOURNAL ")</f>
        <v>10PCS G5, EQ-ACT 5 JOURNEYING INTO ME REVISE EDITION 
20 PCS G9, EQ-ACT THE JOY OF BEING ME REVISE EDITION 
10 PCS G12, EQ-ACT 12 SOARING HIGH 
G9, TOWPEP JOURNAL 
G5, TOWPEP JOURNAL 
G6, TOWPEP JOURNAL </v>
      </c>
      <c r="E318" s="196" t="str">
        <f>IFERROR(__xludf.DUMMYFUNCTION("""COMPUTED_VALUE"""),"SSHOP BOOKS WAREHOUSE STOCK REPLENISHMENT")</f>
        <v>SSHOP BOOKS WAREHOUSE STOCK REPLENISHMENT</v>
      </c>
    </row>
    <row r="319">
      <c r="A319" s="234">
        <f>IFERROR(__xludf.DUMMYFUNCTION("""COMPUTED_VALUE"""),105152.0)</f>
        <v>105152</v>
      </c>
      <c r="B319" s="235" t="str">
        <f>IFERROR(__xludf.DUMMYFUNCTION("""COMPUTED_VALUE"""),"CHAY JAMIAS ")</f>
        <v>CHAY JAMIAS </v>
      </c>
      <c r="C319" s="235" t="str">
        <f>IFERROR(__xludf.DUMMYFUNCTION("""COMPUTED_VALUE"""),"GAIN")</f>
        <v>GAIN</v>
      </c>
      <c r="D319" s="196" t="str">
        <f>IFERROR(__xludf.DUMMYFUNCTION("""COMPUTED_VALUE"""),"150 LONG PLASTIC ENVELOPE (NOT EXPANDED)")</f>
        <v>150 LONG PLASTIC ENVELOPE (NOT EXPANDED)</v>
      </c>
      <c r="E319" s="196" t="str">
        <f>IFERROR(__xludf.DUMMYFUNCTION("""COMPUTED_VALUE"""),"FOR THE POSITION PAPER TO BE SUBMITTED TO DIFF. OFFICES")</f>
        <v>FOR THE POSITION PAPER TO BE SUBMITTED TO DIFF. OFFICES</v>
      </c>
    </row>
    <row r="320">
      <c r="A320" s="234">
        <f>IFERROR(__xludf.DUMMYFUNCTION("""COMPUTED_VALUE"""),105153.0)</f>
        <v>105153</v>
      </c>
      <c r="B320" s="235" t="str">
        <f>IFERROR(__xludf.DUMMYFUNCTION("""COMPUTED_VALUE"""),"JESUIT CHRISTIAN GALICIA ")</f>
        <v>JESUIT CHRISTIAN GALICIA </v>
      </c>
      <c r="C320" s="235" t="str">
        <f>IFERROR(__xludf.DUMMYFUNCTION("""COMPUTED_VALUE"""),"AMD")</f>
        <v>AMD</v>
      </c>
      <c r="D320" s="196" t="str">
        <f>IFERROR(__xludf.DUMMYFUNCTION("""COMPUTED_VALUE"""),"3PCS SWIVEL CHAIR (SAME WITH PURCHASING)")</f>
        <v>3PCS SWIVEL CHAIR (SAME WITH PURCHASING)</v>
      </c>
      <c r="E320" s="196" t="str">
        <f>IFERROR(__xludf.DUMMYFUNCTION("""COMPUTED_VALUE"""),"REPLACEMENT FOR OLD SWIVEL CHAIR FOR AMD AND ABU")</f>
        <v>REPLACEMENT FOR OLD SWIVEL CHAIR FOR AMD AND ABU</v>
      </c>
    </row>
    <row r="321">
      <c r="A321" s="234">
        <f>IFERROR(__xludf.DUMMYFUNCTION("""COMPUTED_VALUE"""),105154.0)</f>
        <v>105154</v>
      </c>
      <c r="B321" s="235" t="str">
        <f>IFERROR(__xludf.DUMMYFUNCTION("""COMPUTED_VALUE"""),"MELISSA NAVAL-ODONO ")</f>
        <v>MELISSA NAVAL-ODONO </v>
      </c>
      <c r="C321" s="235" t="str">
        <f>IFERROR(__xludf.DUMMYFUNCTION("""COMPUTED_VALUE"""),"LIBRARY COLLEGE")</f>
        <v>LIBRARY COLLEGE</v>
      </c>
      <c r="D321" s="196" t="str">
        <f>IFERROR(__xludf.DUMMYFUNCTION("""COMPUTED_VALUE"""),"1LOT BS PSYCHOLOGY MAP JOURNALS ")</f>
        <v>1LOT BS PSYCHOLOGY MAP JOURNALS </v>
      </c>
      <c r="E321" s="196" t="str">
        <f>IFERROR(__xludf.DUMMYFUNCTION("""COMPUTED_VALUE"""),"FOR PACUCOA COMPLIANCE ")</f>
        <v>FOR PACUCOA COMPLIANCE </v>
      </c>
    </row>
    <row r="322">
      <c r="A322" s="234">
        <f>IFERROR(__xludf.DUMMYFUNCTION("""COMPUTED_VALUE"""),105155.0)</f>
        <v>105155</v>
      </c>
      <c r="B322" s="235" t="str">
        <f>IFERROR(__xludf.DUMMYFUNCTION("""COMPUTED_VALUE"""),"MELISSA NAVAL-ODONO ")</f>
        <v>MELISSA NAVAL-ODONO </v>
      </c>
      <c r="C322" s="235" t="str">
        <f>IFERROR(__xludf.DUMMYFUNCTION("""COMPUTED_VALUE"""),"LIBRARY COLLEGE")</f>
        <v>LIBRARY COLLEGE</v>
      </c>
      <c r="D322" s="196" t="str">
        <f>IFERROR(__xludf.DUMMYFUNCTION("""COMPUTED_VALUE"""),"1 BEHAVIORAL RESEARCH IN ACCOUNTING (AAA) JOURNAL 
1 JOURNAL OF INTERNATIONAL ACCOUNTING RESEARCH JOURNAL ")</f>
        <v>1 BEHAVIORAL RESEARCH IN ACCOUNTING (AAA) JOURNAL 
1 JOURNAL OF INTERNATIONAL ACCOUNTING RESEARCH JOURNAL </v>
      </c>
      <c r="E322" s="196" t="str">
        <f>IFERROR(__xludf.DUMMYFUNCTION("""COMPUTED_VALUE"""),"FOR PACUCOA REQUIREMENTS / LIBRARIES COPY ")</f>
        <v>FOR PACUCOA REQUIREMENTS / LIBRARIES COPY </v>
      </c>
    </row>
    <row r="323">
      <c r="A323" s="234">
        <f>IFERROR(__xludf.DUMMYFUNCTION("""COMPUTED_VALUE"""),105156.0)</f>
        <v>105156</v>
      </c>
      <c r="B323" s="235" t="str">
        <f>IFERROR(__xludf.DUMMYFUNCTION("""COMPUTED_VALUE"""),"MELISSA NAVAL-ODONO ")</f>
        <v>MELISSA NAVAL-ODONO </v>
      </c>
      <c r="C323" s="235" t="str">
        <f>IFERROR(__xludf.DUMMYFUNCTION("""COMPUTED_VALUE"""),"LIBRARY COLLEGE")</f>
        <v>LIBRARY COLLEGE</v>
      </c>
      <c r="D323" s="196" t="str">
        <f>IFERROR(__xludf.DUMMYFUNCTION("""COMPUTED_VALUE"""),"1 REAL ESTATE ACCOUNTING 5TH ED
1 APPLIED QUANTITATIVE ANALYSIS FOR REAL ESTATE
1 REAL ESTATE MARKETING ")</f>
        <v>1 REAL ESTATE ACCOUNTING 5TH ED
1 APPLIED QUANTITATIVE ANALYSIS FOR REAL ESTATE
1 REAL ESTATE MARKETING </v>
      </c>
      <c r="E323" s="196" t="str">
        <f>IFERROR(__xludf.DUMMYFUNCTION("""COMPUTED_VALUE"""),"FOR FACULTY USE/ LIBRARIES COPY")</f>
        <v>FOR FACULTY USE/ LIBRARIES COPY</v>
      </c>
    </row>
    <row r="324">
      <c r="A324" s="234">
        <f>IFERROR(__xludf.DUMMYFUNCTION("""COMPUTED_VALUE"""),105157.0)</f>
        <v>105157</v>
      </c>
      <c r="B324" s="235" t="str">
        <f>IFERROR(__xludf.DUMMYFUNCTION("""COMPUTED_VALUE"""),"MELISSA NAVAL-ODONO ")</f>
        <v>MELISSA NAVAL-ODONO </v>
      </c>
      <c r="C324" s="235" t="str">
        <f>IFERROR(__xludf.DUMMYFUNCTION("""COMPUTED_VALUE"""),"LIBRARY COLLEGE")</f>
        <v>LIBRARY COLLEGE</v>
      </c>
      <c r="D324" s="196" t="str">
        <f>IFERROR(__xludf.DUMMYFUNCTION("""COMPUTED_VALUE"""),"11 BSA BOOKS")</f>
        <v>11 BSA BOOKS</v>
      </c>
      <c r="E324" s="196" t="str">
        <f>IFERROR(__xludf.DUMMYFUNCTION("""COMPUTED_VALUE"""),"FOR PACUCOA REQUIREMENTS STUDENTS/FACULTY USE")</f>
        <v>FOR PACUCOA REQUIREMENTS STUDENTS/FACULTY USE</v>
      </c>
    </row>
    <row r="325">
      <c r="A325" s="234">
        <f>IFERROR(__xludf.DUMMYFUNCTION("""COMPUTED_VALUE"""),105158.0)</f>
        <v>105158</v>
      </c>
      <c r="B325" s="235" t="str">
        <f>IFERROR(__xludf.DUMMYFUNCTION("""COMPUTED_VALUE"""),"MELISSA NAVAL-ODONO ")</f>
        <v>MELISSA NAVAL-ODONO </v>
      </c>
      <c r="C325" s="235" t="str">
        <f>IFERROR(__xludf.DUMMYFUNCTION("""COMPUTED_VALUE"""),"LIBRARY COLLEGE")</f>
        <v>LIBRARY COLLEGE</v>
      </c>
      <c r="D325" s="196" t="str">
        <f>IFERROR(__xludf.DUMMYFUNCTION("""COMPUTED_VALUE"""),"7 TOURISM BOOKS 
5 BSA
1 BSBA JOURNAL")</f>
        <v>7 TOURISM BOOKS 
5 BSA
1 BSBA JOURNAL</v>
      </c>
      <c r="E325" s="196" t="str">
        <f>IFERROR(__xludf.DUMMYFUNCTION("""COMPUTED_VALUE"""),"FOR PACUCOA REQUIREMENTS STUDENTS/FACULTY USE")</f>
        <v>FOR PACUCOA REQUIREMENTS STUDENTS/FACULTY USE</v>
      </c>
    </row>
    <row r="326">
      <c r="A326" s="234">
        <f>IFERROR(__xludf.DUMMYFUNCTION("""COMPUTED_VALUE"""),105159.0)</f>
        <v>105159</v>
      </c>
      <c r="B326" s="235" t="str">
        <f>IFERROR(__xludf.DUMMYFUNCTION("""COMPUTED_VALUE"""),"MELISSA NAVAL-ODONO ")</f>
        <v>MELISSA NAVAL-ODONO </v>
      </c>
      <c r="C326" s="235" t="str">
        <f>IFERROR(__xludf.DUMMYFUNCTION("""COMPUTED_VALUE"""),"LIBRARY COLLEGE")</f>
        <v>LIBRARY COLLEGE</v>
      </c>
      <c r="D326" s="196" t="str">
        <f>IFERROR(__xludf.DUMMYFUNCTION("""COMPUTED_VALUE"""),"4 GEN ED JOURNALS")</f>
        <v>4 GEN ED JOURNALS</v>
      </c>
      <c r="E326" s="196" t="str">
        <f>IFERROR(__xludf.DUMMYFUNCTION("""COMPUTED_VALUE"""),"FOR PACUCOA COMPLIANCE STUDENTS/ FACULTY USE")</f>
        <v>FOR PACUCOA COMPLIANCE STUDENTS/ FACULTY USE</v>
      </c>
    </row>
    <row r="327">
      <c r="A327" s="234">
        <f>IFERROR(__xludf.DUMMYFUNCTION("""COMPUTED_VALUE"""),105160.0)</f>
        <v>105160</v>
      </c>
      <c r="B327" s="235" t="str">
        <f>IFERROR(__xludf.DUMMYFUNCTION("""COMPUTED_VALUE"""),"JESUIT CHRISTIAN GALICIA ")</f>
        <v>JESUIT CHRISTIAN GALICIA </v>
      </c>
      <c r="C327" s="235" t="str">
        <f>IFERROR(__xludf.DUMMYFUNCTION("""COMPUTED_VALUE"""),"AMD")</f>
        <v>AMD</v>
      </c>
      <c r="D327" s="196" t="str">
        <f>IFERROR(__xludf.DUMMYFUNCTION("""COMPUTED_VALUE"""),"50 PCS DOORKNOB (GATEMAN)")</f>
        <v>50 PCS DOORKNOB (GATEMAN)</v>
      </c>
      <c r="E327" s="196" t="str">
        <f>IFERROR(__xludf.DUMMYFUNCTION("""COMPUTED_VALUE"""),"ENGR WAREHOUSE STOCK REPLENISHMENT")</f>
        <v>ENGR WAREHOUSE STOCK REPLENISHMENT</v>
      </c>
    </row>
    <row r="328">
      <c r="A328" s="234">
        <f>IFERROR(__xludf.DUMMYFUNCTION("""COMPUTED_VALUE"""),105161.0)</f>
        <v>105161</v>
      </c>
      <c r="B328" s="235" t="str">
        <f>IFERROR(__xludf.DUMMYFUNCTION("""COMPUTED_VALUE"""),"MARC VINCENT S. VITTO ")</f>
        <v>MARC VINCENT S. VITTO </v>
      </c>
      <c r="C328" s="235" t="str">
        <f>IFERROR(__xludf.DUMMYFUNCTION("""COMPUTED_VALUE"""),"PR &amp; MARKETING")</f>
        <v>PR &amp; MARKETING</v>
      </c>
      <c r="D328" s="196" t="str">
        <f>IFERROR(__xludf.DUMMYFUNCTION("""COMPUTED_VALUE"""),"1 AUTONOMOUS STATUS TARP 
SIZE W= 54FT X H= 13FT
THICKNESS= 24OZ
1 PQA LEVEL 3 TARP
SIZE W= 20FT H= 10FT 
THICKNESS: 24OZ 
W/SEAMING &amp;EYELET ALL OVER")</f>
        <v>1 AUTONOMOUS STATUS TARP 
SIZE W= 54FT X H= 13FT
THICKNESS= 24OZ
1 PQA LEVEL 3 TARP
SIZE W= 20FT H= 10FT 
THICKNESS: 24OZ 
W/SEAMING &amp;EYELET ALL OVER</v>
      </c>
      <c r="E328" s="196" t="str">
        <f>IFERROR(__xludf.DUMMYFUNCTION("""COMPUTED_VALUE"""),"MARKETING ")</f>
        <v>MARKETING </v>
      </c>
    </row>
    <row r="329">
      <c r="A329" s="234">
        <f>IFERROR(__xludf.DUMMYFUNCTION("""COMPUTED_VALUE"""),105162.0)</f>
        <v>105162</v>
      </c>
      <c r="B329" s="235" t="str">
        <f>IFERROR(__xludf.DUMMYFUNCTION("""COMPUTED_VALUE"""),"LYKA PERALTA")</f>
        <v>LYKA PERALTA</v>
      </c>
      <c r="C329" s="235" t="str">
        <f>IFERROR(__xludf.DUMMYFUNCTION("""COMPUTED_VALUE"""),"AMD")</f>
        <v>AMD</v>
      </c>
      <c r="D329" s="196" t="str">
        <f>IFERROR(__xludf.DUMMYFUNCTION("""COMPUTED_VALUE"""),"200 PCS PAPER, MANILA 37X45")</f>
        <v>200 PCS PAPER, MANILA 37X45</v>
      </c>
      <c r="E329" s="196" t="str">
        <f>IFERROR(__xludf.DUMMYFUNCTION("""COMPUTED_VALUE"""),"OSSUP STOCK REPLENISHMENT ")</f>
        <v>OSSUP STOCK REPLENISHMENT </v>
      </c>
    </row>
    <row r="330">
      <c r="A330" s="234">
        <f>IFERROR(__xludf.DUMMYFUNCTION("""COMPUTED_VALUE"""),105163.0)</f>
        <v>105163</v>
      </c>
      <c r="B330" s="235" t="str">
        <f>IFERROR(__xludf.DUMMYFUNCTION("""COMPUTED_VALUE"""),"LYKA PERALTA")</f>
        <v>LYKA PERALTA</v>
      </c>
      <c r="C330" s="235" t="str">
        <f>IFERROR(__xludf.DUMMYFUNCTION("""COMPUTED_VALUE"""),"AMD")</f>
        <v>AMD</v>
      </c>
      <c r="D330" s="196" t="str">
        <f>IFERROR(__xludf.DUMMYFUNCTION("""COMPUTED_VALUE"""),"500 PCS. TAPE 3M MASKING TAPE BIG, (1"")")</f>
        <v>500 PCS. TAPE 3M MASKING TAPE BIG, (1")</v>
      </c>
      <c r="E330" s="196" t="str">
        <f>IFERROR(__xludf.DUMMYFUNCTION("""COMPUTED_VALUE"""),"OSSUP STOCK REPLENISHMENT ")</f>
        <v>OSSUP STOCK REPLENISHMENT </v>
      </c>
    </row>
    <row r="331">
      <c r="A331" s="234">
        <f>IFERROR(__xludf.DUMMYFUNCTION("""COMPUTED_VALUE"""),105164.0)</f>
        <v>105164</v>
      </c>
      <c r="B331" s="235" t="str">
        <f>IFERROR(__xludf.DUMMYFUNCTION("""COMPUTED_VALUE"""),"RONALDO VERDE")</f>
        <v>RONALDO VERDE</v>
      </c>
      <c r="C331" s="235" t="str">
        <f>IFERROR(__xludf.DUMMYFUNCTION("""COMPUTED_VALUE"""),"ADMIN - LUX")</f>
        <v>ADMIN - LUX</v>
      </c>
      <c r="D331" s="196" t="str">
        <f>IFERROR(__xludf.DUMMYFUNCTION("""COMPUTED_VALUE"""),"2 PCS WALL MOUNTED EXHAUST FAN 12"" FOR MALE CR, 1 PC. CEILING MOUNTED EXHAUST FAN 12"" FOR FEMALE CR")</f>
        <v>2 PCS WALL MOUNTED EXHAUST FAN 12" FOR MALE CR, 1 PC. CEILING MOUNTED EXHAUST FAN 12" FOR FEMALE CR</v>
      </c>
      <c r="E331" s="196" t="str">
        <f>IFERROR(__xludf.DUMMYFUNCTION("""COMPUTED_VALUE"""),"EXHAUST FAN OF COLLEGE LIBRARY CR (MALE AND FEMALE)")</f>
        <v>EXHAUST FAN OF COLLEGE LIBRARY CR (MALE AND FEMALE)</v>
      </c>
    </row>
    <row r="332">
      <c r="A332" s="234">
        <f>IFERROR(__xludf.DUMMYFUNCTION("""COMPUTED_VALUE"""),105165.0)</f>
        <v>105165</v>
      </c>
      <c r="B332" s="235" t="str">
        <f>IFERROR(__xludf.DUMMYFUNCTION("""COMPUTED_VALUE"""),"RACHEL JANE PAMATI-AN ")</f>
        <v>RACHEL JANE PAMATI-AN </v>
      </c>
      <c r="C332" s="235" t="str">
        <f>IFERROR(__xludf.DUMMYFUNCTION("""COMPUTED_VALUE"""),"ADMIN - STAR")</f>
        <v>ADMIN - STAR</v>
      </c>
      <c r="D332" s="196" t="str">
        <f>IFERROR(__xludf.DUMMYFUNCTION("""COMPUTED_VALUE"""),"4 SETS FLOURESCENT LIGHTS FIXTURE LED 8WATTS
SIZE BULB= 600 MM
12 SETS FLOURESCENT LIGHTS FIXTURE LED 16 WATTS
SIZE BULB = 1200 MM")</f>
        <v>4 SETS FLOURESCENT LIGHTS FIXTURE LED 8WATTS
SIZE BULB= 600 MM
12 SETS FLOURESCENT LIGHTS FIXTURE LED 16 WATTS
SIZE BULB = 1200 MM</v>
      </c>
      <c r="E332" s="196" t="str">
        <f>IFERROR(__xludf.DUMMYFUNCTION("""COMPUTED_VALUE"""),"REPLACEMENT OF OLD BALLAST TYPE")</f>
        <v>REPLACEMENT OF OLD BALLAST TYPE</v>
      </c>
    </row>
    <row r="333">
      <c r="A333" s="234">
        <f>IFERROR(__xludf.DUMMYFUNCTION("""COMPUTED_VALUE"""),105166.0)</f>
        <v>105166</v>
      </c>
      <c r="B333" s="235" t="str">
        <f>IFERROR(__xludf.DUMMYFUNCTION("""COMPUTED_VALUE"""),"RACHEL JANE PAMATI-AN ")</f>
        <v>RACHEL JANE PAMATI-AN </v>
      </c>
      <c r="C333" s="235" t="str">
        <f>IFERROR(__xludf.DUMMYFUNCTION("""COMPUTED_VALUE"""),"ADMIN - STAR")</f>
        <v>ADMIN - STAR</v>
      </c>
      <c r="D333" s="196" t="str">
        <f>IFERROR(__xludf.DUMMYFUNCTION("""COMPUTED_VALUE"""),"1 20 METERS STRIP LIGHTS FOR LV CR / RESTROOMS (WARM WHITE)")</f>
        <v>1 20 METERS STRIP LIGHTS FOR LV CR / RESTROOMS (WARM WHITE)</v>
      </c>
      <c r="E333" s="196" t="str">
        <f>IFERROR(__xludf.DUMMYFUNCTION("""COMPUTED_VALUE"""),"STRIP LIGHS FOR LV CR /  RESTROOMS")</f>
        <v>STRIP LIGHS FOR LV CR /  RESTROOMS</v>
      </c>
    </row>
    <row r="334">
      <c r="A334" s="234">
        <f>IFERROR(__xludf.DUMMYFUNCTION("""COMPUTED_VALUE"""),105167.0)</f>
        <v>105167</v>
      </c>
      <c r="B334" s="235" t="str">
        <f>IFERROR(__xludf.DUMMYFUNCTION("""COMPUTED_VALUE"""),"RACHEL JANE PAMATI-AN ")</f>
        <v>RACHEL JANE PAMATI-AN </v>
      </c>
      <c r="C334" s="235" t="str">
        <f>IFERROR(__xludf.DUMMYFUNCTION("""COMPUTED_VALUE"""),"ADMIN - STAR")</f>
        <v>ADMIN - STAR</v>
      </c>
      <c r="D334" s="196" t="str">
        <f>IFERROR(__xludf.DUMMYFUNCTION("""COMPUTED_VALUE"""),"1 DIFFUSER SIZE= 122.5CM X 62 CM (2ND FLOOR)
1 DIFFUSER SIZE= 122 CM X 61CM (ACTIVITY CENTER)
16 DIFFUSER SIZE= 121.5CM X 57.5CM (QUADRANGLE)
2 DIFFUSER SIZE= 112CM X 57CM (QUADRANGLE) 
2 DIFFUSER SIZE= 109CM X 57CM (QUADRANGLE)")</f>
        <v>1 DIFFUSER SIZE= 122.5CM X 62 CM (2ND FLOOR)
1 DIFFUSER SIZE= 122 CM X 61CM (ACTIVITY CENTER)
16 DIFFUSER SIZE= 121.5CM X 57.5CM (QUADRANGLE)
2 DIFFUSER SIZE= 112CM X 57CM (QUADRANGLE) 
2 DIFFUSER SIZE= 109CM X 57CM (QUADRANGLE)</v>
      </c>
      <c r="E334" s="196" t="str">
        <f>IFERROR(__xludf.DUMMYFUNCTION("""COMPUTED_VALUE"""),"REPLACEMENT OF BROKEN DIFFUSERS AT QUADRANGLE, HALLWAYS, ACTIVITY CENTER")</f>
        <v>REPLACEMENT OF BROKEN DIFFUSERS AT QUADRANGLE, HALLWAYS, ACTIVITY CENTER</v>
      </c>
    </row>
    <row r="335">
      <c r="A335" s="234">
        <f>IFERROR(__xludf.DUMMYFUNCTION("""COMPUTED_VALUE"""),105168.0)</f>
        <v>105168</v>
      </c>
      <c r="B335" s="235" t="str">
        <f>IFERROR(__xludf.DUMMYFUNCTION("""COMPUTED_VALUE"""),"PAUL ARANA")</f>
        <v>PAUL ARANA</v>
      </c>
      <c r="C335" s="235" t="str">
        <f>IFERROR(__xludf.DUMMYFUNCTION("""COMPUTED_VALUE"""),"MIS/ICT")</f>
        <v>MIS/ICT</v>
      </c>
      <c r="D335" s="196" t="str">
        <f>IFERROR(__xludf.DUMMYFUNCTION("""COMPUTED_VALUE"""),"20 PROJECTOR SCREEN (60 X 60)")</f>
        <v>20 PROJECTOR SCREEN (60 X 60)</v>
      </c>
      <c r="E335" s="196" t="str">
        <f>IFERROR(__xludf.DUMMYFUNCTION("""COMPUTED_VALUE"""),"FOR REPLACEMENT OF PROJECTOR SCREEN IN E - CLASSROOM ")</f>
        <v>FOR REPLACEMENT OF PROJECTOR SCREEN IN E - CLASSROOM </v>
      </c>
    </row>
    <row r="336">
      <c r="A336" s="234">
        <f>IFERROR(__xludf.DUMMYFUNCTION("""COMPUTED_VALUE"""),105169.0)</f>
        <v>105169</v>
      </c>
      <c r="B336" s="235" t="str">
        <f>IFERROR(__xludf.DUMMYFUNCTION("""COMPUTED_VALUE"""),"OWIE PAR ")</f>
        <v>OWIE PAR </v>
      </c>
      <c r="C336" s="235" t="str">
        <f>IFERROR(__xludf.DUMMYFUNCTION("""COMPUTED_VALUE"""),"ENGINEERING")</f>
        <v>ENGINEERING</v>
      </c>
      <c r="D336" s="196" t="str">
        <f>IFERROR(__xludf.DUMMYFUNCTION("""COMPUTED_VALUE"""),"2.5 HP WALL MOUNTED INVERTER AC")</f>
        <v>2.5 HP WALL MOUNTED INVERTER AC</v>
      </c>
      <c r="E336" s="196" t="str">
        <f>IFERROR(__xludf.DUMMYFUNCTION("""COMPUTED_VALUE"""),"REPLACEMENT OF STOCK UP COMPRESSOR ACU MUNICH ROOM 107")</f>
        <v>REPLACEMENT OF STOCK UP COMPRESSOR ACU MUNICH ROOM 107</v>
      </c>
    </row>
    <row r="337">
      <c r="A337" s="234">
        <f>IFERROR(__xludf.DUMMYFUNCTION("""COMPUTED_VALUE"""),105170.0)</f>
        <v>105170</v>
      </c>
      <c r="B337" s="235" t="str">
        <f>IFERROR(__xludf.DUMMYFUNCTION("""COMPUTED_VALUE"""),"ALFA DE LEON")</f>
        <v>ALFA DE LEON</v>
      </c>
      <c r="C337" s="235" t="str">
        <f>IFERROR(__xludf.DUMMYFUNCTION("""COMPUTED_VALUE"""),"ADMIN - MUNICH")</f>
        <v>ADMIN - MUNICH</v>
      </c>
      <c r="D337" s="196" t="str">
        <f>IFERROR(__xludf.DUMMYFUNCTION("""COMPUTED_VALUE"""),"1 WATER DISPENSER")</f>
        <v>1 WATER DISPENSER</v>
      </c>
      <c r="E337" s="196" t="str">
        <f>IFERROR(__xludf.DUMMYFUNCTION("""COMPUTED_VALUE"""),"REPLACEMENT OF 3F FACULTY WATER DISPENSER ")</f>
        <v>REPLACEMENT OF 3F FACULTY WATER DISPENSER </v>
      </c>
    </row>
    <row r="338">
      <c r="A338" s="234">
        <f>IFERROR(__xludf.DUMMYFUNCTION("""COMPUTED_VALUE"""),105171.0)</f>
        <v>105171</v>
      </c>
      <c r="B338" s="235" t="str">
        <f>IFERROR(__xludf.DUMMYFUNCTION("""COMPUTED_VALUE"""),"OWIE PAR ")</f>
        <v>OWIE PAR </v>
      </c>
      <c r="C338" s="235" t="str">
        <f>IFERROR(__xludf.DUMMYFUNCTION("""COMPUTED_VALUE"""),"ENGINEERING")</f>
        <v>ENGINEERING</v>
      </c>
      <c r="D338" s="196" t="str">
        <f>IFERROR(__xludf.DUMMYFUNCTION("""COMPUTED_VALUE"""),"2 UNITS 2.5 HP WALL MOUNTED INVERTER ACU 
1 UNIT 1.5 HP WALL MOUNTED INVERTER ACU ")</f>
        <v>2 UNITS 2.5 HP WALL MOUNTED INVERTER ACU 
1 UNIT 1.5 HP WALL MOUNTED INVERTER ACU </v>
      </c>
      <c r="E338" s="196" t="str">
        <f>IFERROR(__xludf.DUMMYFUNCTION("""COMPUTED_VALUE"""),"REPLACEMENT OLD UNITS FOR COLLEGE LIBRARY THESIS SECTION AND TECHNICAL SECTION ")</f>
        <v>REPLACEMENT OLD UNITS FOR COLLEGE LIBRARY THESIS SECTION AND TECHNICAL SECTION </v>
      </c>
    </row>
    <row r="339">
      <c r="A339" s="234">
        <f>IFERROR(__xludf.DUMMYFUNCTION("""COMPUTED_VALUE"""),105172.0)</f>
        <v>105172</v>
      </c>
      <c r="B339" s="235" t="str">
        <f>IFERROR(__xludf.DUMMYFUNCTION("""COMPUTED_VALUE"""),"ABIGAIL VALIENTE/EDGAR REBELLON")</f>
        <v>ABIGAIL VALIENTE/EDGAR REBELLON</v>
      </c>
      <c r="C339" s="235" t="str">
        <f>IFERROR(__xludf.DUMMYFUNCTION("""COMPUTED_VALUE"""),"Business and Financial Literacy")</f>
        <v>Business and Financial Literacy</v>
      </c>
      <c r="D339" s="196" t="str">
        <f>IFERROR(__xludf.DUMMYFUNCTION("""COMPUTED_VALUE"""),"ACCOUNTING MODULE FOR GRADE 8 (COLOR PRINT AND RINGBIND) 120 PCS.")</f>
        <v>ACCOUNTING MODULE FOR GRADE 8 (COLOR PRINT AND RINGBIND) 120 PCS.</v>
      </c>
      <c r="E339" s="196" t="str">
        <f>IFERROR(__xludf.DUMMYFUNCTION("""COMPUTED_VALUE"""),"ADDTL LEARNING MATERIALS FOR GRADE 8")</f>
        <v>ADDTL LEARNING MATERIALS FOR GRADE 8</v>
      </c>
    </row>
    <row r="340">
      <c r="A340" s="234">
        <f>IFERROR(__xludf.DUMMYFUNCTION("""COMPUTED_VALUE"""),105173.0)</f>
        <v>105173</v>
      </c>
      <c r="B340" s="235" t="str">
        <f>IFERROR(__xludf.DUMMYFUNCTION("""COMPUTED_VALUE"""),"ANN DELA ISLA")</f>
        <v>ANN DELA ISLA</v>
      </c>
      <c r="C340" s="235" t="str">
        <f>IFERROR(__xludf.DUMMYFUNCTION("""COMPUTED_VALUE"""),"I.B.")</f>
        <v>I.B.</v>
      </c>
      <c r="D340" s="196" t="str">
        <f>IFERROR(__xludf.DUMMYFUNCTION("""COMPUTED_VALUE"""),"14 PIG'S HEART - FRESH AND INTACT W/O MAJOR CUTS")</f>
        <v>14 PIG'S HEART - FRESH AND INTACT W/O MAJOR CUTS</v>
      </c>
      <c r="E340" s="196" t="str">
        <f>IFERROR(__xludf.DUMMYFUNCTION("""COMPUTED_VALUE"""),"FOR BIOLOGY EXPERIMENT")</f>
        <v>FOR BIOLOGY EXPERIMENT</v>
      </c>
    </row>
    <row r="341">
      <c r="A341" s="234">
        <f>IFERROR(__xludf.DUMMYFUNCTION("""COMPUTED_VALUE"""),105174.0)</f>
        <v>105174</v>
      </c>
      <c r="B341" s="235" t="str">
        <f>IFERROR(__xludf.DUMMYFUNCTION("""COMPUTED_VALUE"""),"JC CAMPIT")</f>
        <v>JC CAMPIT</v>
      </c>
      <c r="C341" s="235" t="str">
        <f>IFERROR(__xludf.DUMMYFUNCTION("""COMPUTED_VALUE"""),"ABU")</f>
        <v>ABU</v>
      </c>
      <c r="D341" s="196" t="str">
        <f>IFERROR(__xludf.DUMMYFUNCTION("""COMPUTED_VALUE"""),"CYY1 PET CARD 50 SHEETS")</f>
        <v>CYY1 PET CARD 50 SHEETS</v>
      </c>
      <c r="E341" s="196" t="str">
        <f>IFERROR(__xludf.DUMMYFUNCTION("""COMPUTED_VALUE"""),"PRINTING OF CONCESSIONAIRES TEMPORARY ACCESS ID")</f>
        <v>PRINTING OF CONCESSIONAIRES TEMPORARY ACCESS ID</v>
      </c>
    </row>
    <row r="342">
      <c r="A342" s="234">
        <f>IFERROR(__xludf.DUMMYFUNCTION("""COMPUTED_VALUE"""),105175.0)</f>
        <v>105175</v>
      </c>
      <c r="B342" s="235" t="str">
        <f>IFERROR(__xludf.DUMMYFUNCTION("""COMPUTED_VALUE"""),"JC CAMPIT ")</f>
        <v>JC CAMPIT </v>
      </c>
      <c r="C342" s="235" t="str">
        <f>IFERROR(__xludf.DUMMYFUNCTION("""COMPUTED_VALUE"""),"ABU")</f>
        <v>ABU</v>
      </c>
      <c r="D342" s="196" t="str">
        <f>IFERROR(__xludf.DUMMYFUNCTION("""COMPUTED_VALUE"""),"2 IWATA TORNADO FAN ")</f>
        <v>2 IWATA TORNADO FAN </v>
      </c>
      <c r="E342" s="196" t="str">
        <f>IFERROR(__xludf.DUMMYFUNCTION("""COMPUTED_VALUE"""),"ADDITIONAL VENTILATION IN FOODCOURT")</f>
        <v>ADDITIONAL VENTILATION IN FOODCOURT</v>
      </c>
    </row>
    <row r="343">
      <c r="A343" s="234">
        <f>IFERROR(__xludf.DUMMYFUNCTION("""COMPUTED_VALUE"""),105176.0)</f>
        <v>105176</v>
      </c>
      <c r="B343" s="235" t="str">
        <f>IFERROR(__xludf.DUMMYFUNCTION("""COMPUTED_VALUE"""),"LYKA PERALTA")</f>
        <v>LYKA PERALTA</v>
      </c>
      <c r="C343" s="235" t="str">
        <f>IFERROR(__xludf.DUMMYFUNCTION("""COMPUTED_VALUE"""),"AMD")</f>
        <v>AMD</v>
      </c>
      <c r="D343" s="196" t="str">
        <f>IFERROR(__xludf.DUMMYFUNCTION("""COMPUTED_VALUE"""),"30 PCS INK, WHIITEBOARD - PILOT BLUE")</f>
        <v>30 PCS INK, WHIITEBOARD - PILOT BLUE</v>
      </c>
      <c r="E343" s="196" t="str">
        <f>IFERROR(__xludf.DUMMYFUNCTION("""COMPUTED_VALUE"""),"OSSUP STOCK REPLENISHMENT ")</f>
        <v>OSSUP STOCK REPLENISHMENT </v>
      </c>
    </row>
    <row r="344">
      <c r="A344" s="234">
        <f>IFERROR(__xludf.DUMMYFUNCTION("""COMPUTED_VALUE"""),105177.0)</f>
        <v>105177</v>
      </c>
      <c r="B344" s="235" t="str">
        <f>IFERROR(__xludf.DUMMYFUNCTION("""COMPUTED_VALUE"""),"LYKA PERALTA")</f>
        <v>LYKA PERALTA</v>
      </c>
      <c r="C344" s="235" t="str">
        <f>IFERROR(__xludf.DUMMYFUNCTION("""COMPUTED_VALUE"""),"AMD")</f>
        <v>AMD</v>
      </c>
      <c r="D344" s="196" t="str">
        <f>IFERROR(__xludf.DUMMYFUNCTION("""COMPUTED_VALUE"""),"50 BOXES CLIP, PAPER (50GMS/BOX), PRINCE VINYL COATED SMALL")</f>
        <v>50 BOXES CLIP, PAPER (50GMS/BOX), PRINCE VINYL COATED SMALL</v>
      </c>
      <c r="E344" s="196" t="str">
        <f>IFERROR(__xludf.DUMMYFUNCTION("""COMPUTED_VALUE"""),"OSSUP STOCK REPLENISHMENT ")</f>
        <v>OSSUP STOCK REPLENISHMENT </v>
      </c>
    </row>
    <row r="345">
      <c r="A345" s="234">
        <f>IFERROR(__xludf.DUMMYFUNCTION("""COMPUTED_VALUE"""),105178.0)</f>
        <v>105178</v>
      </c>
      <c r="B345" s="235" t="str">
        <f>IFERROR(__xludf.DUMMYFUNCTION("""COMPUTED_VALUE"""),"JOHN PAUL SAWALI")</f>
        <v>JOHN PAUL SAWALI</v>
      </c>
      <c r="C345" s="235" t="str">
        <f>IFERROR(__xludf.DUMMYFUNCTION("""COMPUTED_VALUE"""),"FINANCE &amp; ACCOUNTING")</f>
        <v>FINANCE &amp; ACCOUNTING</v>
      </c>
      <c r="D345" s="196" t="str">
        <f>IFERROR(__xludf.DUMMYFUNCTION("""COMPUTED_VALUE"""),"40 PADS EXAMINATION PERMIT FOR COLLEGE (100 SHEETS PER PAD)")</f>
        <v>40 PADS EXAMINATION PERMIT FOR COLLEGE (100 SHEETS PER PAD)</v>
      </c>
      <c r="E345" s="196" t="str">
        <f>IFERROR(__xludf.DUMMYFUNCTION("""COMPUTED_VALUE"""),"FOR EXAMINATION OF COLLEGE STUDENTS ")</f>
        <v>FOR EXAMINATION OF COLLEGE STUDENTS </v>
      </c>
    </row>
    <row r="346">
      <c r="A346" s="234">
        <f>IFERROR(__xludf.DUMMYFUNCTION("""COMPUTED_VALUE"""),105179.0)</f>
        <v>105179</v>
      </c>
      <c r="B346" s="235" t="str">
        <f>IFERROR(__xludf.DUMMYFUNCTION("""COMPUTED_VALUE"""),"PAUL ARANA")</f>
        <v>PAUL ARANA</v>
      </c>
      <c r="C346" s="235" t="str">
        <f>IFERROR(__xludf.DUMMYFUNCTION("""COMPUTED_VALUE"""),"MIS/ICT")</f>
        <v>MIS/ICT</v>
      </c>
      <c r="D346" s="196" t="str">
        <f>IFERROR(__xludf.DUMMYFUNCTION("""COMPUTED_VALUE"""),"2 USB HUB 
6 MEGA BOX")</f>
        <v>2 USB HUB 
6 MEGA BOX</v>
      </c>
      <c r="E346" s="196" t="str">
        <f>IFERROR(__xludf.DUMMYFUNCTION("""COMPUTED_VALUE"""),"ADDITIONAL STORAGE BOX FOR PRIPHERALS AND USB FOR FILE SERVER BACK UP")</f>
        <v>ADDITIONAL STORAGE BOX FOR PRIPHERALS AND USB FOR FILE SERVER BACK UP</v>
      </c>
    </row>
    <row r="347">
      <c r="A347" s="234">
        <f>IFERROR(__xludf.DUMMYFUNCTION("""COMPUTED_VALUE"""),105180.0)</f>
        <v>105180</v>
      </c>
      <c r="B347" s="235" t="str">
        <f>IFERROR(__xludf.DUMMYFUNCTION("""COMPUTED_VALUE"""),"PAUL ARANA")</f>
        <v>PAUL ARANA</v>
      </c>
      <c r="C347" s="235" t="str">
        <f>IFERROR(__xludf.DUMMYFUNCTION("""COMPUTED_VALUE"""),"MIS/ICT")</f>
        <v>MIS/ICT</v>
      </c>
      <c r="D347" s="196" t="str">
        <f>IFERROR(__xludf.DUMMYFUNCTION("""COMPUTED_VALUE"""),"20 VGA 15 PINS PORT")</f>
        <v>20 VGA 15 PINS PORT</v>
      </c>
      <c r="E347" s="196" t="str">
        <f>IFERROR(__xludf.DUMMYFUNCTION("""COMPUTED_VALUE"""),"FOR REPLACEMENT OF BROKEN VGA PORT IN E-CLASSROOMS")</f>
        <v>FOR REPLACEMENT OF BROKEN VGA PORT IN E-CLASSROOMS</v>
      </c>
    </row>
    <row r="348">
      <c r="A348" s="234">
        <f>IFERROR(__xludf.DUMMYFUNCTION("""COMPUTED_VALUE"""),105181.0)</f>
        <v>105181</v>
      </c>
      <c r="B348" s="235" t="str">
        <f>IFERROR(__xludf.DUMMYFUNCTION("""COMPUTED_VALUE"""),"PAUL ARANA")</f>
        <v>PAUL ARANA</v>
      </c>
      <c r="C348" s="235" t="str">
        <f>IFERROR(__xludf.DUMMYFUNCTION("""COMPUTED_VALUE"""),"MIS/ICT")</f>
        <v>MIS/ICT</v>
      </c>
      <c r="D348" s="196" t="str">
        <f>IFERROR(__xludf.DUMMYFUNCTION("""COMPUTED_VALUE"""),"3 PROJECTOR SCREEN ")</f>
        <v>3 PROJECTOR SCREEN </v>
      </c>
      <c r="E348" s="196" t="str">
        <f>IFERROR(__xludf.DUMMYFUNCTION("""COMPUTED_VALUE"""),"FOR ADDITIONAL PROJECTOR SCREEN IN E-CLASSROOM 5TH FLR COLLEGE")</f>
        <v>FOR ADDITIONAL PROJECTOR SCREEN IN E-CLASSROOM 5TH FLR COLLEGE</v>
      </c>
    </row>
    <row r="349">
      <c r="A349" s="234">
        <f>IFERROR(__xludf.DUMMYFUNCTION("""COMPUTED_VALUE"""),105182.0)</f>
        <v>105182</v>
      </c>
      <c r="B349" s="235" t="str">
        <f>IFERROR(__xludf.DUMMYFUNCTION("""COMPUTED_VALUE"""),"NESSIE LUMBREZ ")</f>
        <v>NESSIE LUMBREZ </v>
      </c>
      <c r="C349" s="235" t="str">
        <f>IFERROR(__xludf.DUMMYFUNCTION("""COMPUTED_VALUE"""),"K12 &amp; IB")</f>
        <v>K12 &amp; IB</v>
      </c>
      <c r="D349" s="196" t="str">
        <f>IFERROR(__xludf.DUMMYFUNCTION("""COMPUTED_VALUE"""),"YEARBOOK PICTURES FOR:
68 SK  68 STUDENTS 
119 6TH GRADE  119 STUDENTS 
173 12TH GRADE  173 STUDENTS 
21 IB 2  21 STUDENTS ")</f>
        <v>YEARBOOK PICTURES FOR:
68 SK  68 STUDENTS 
119 6TH GRADE  119 STUDENTS 
173 12TH GRADE  173 STUDENTS 
21 IB 2  21 STUDENTS </v>
      </c>
      <c r="E349" s="196" t="str">
        <f>IFERROR(__xludf.DUMMYFUNCTION("""COMPUTED_VALUE"""),"YEARBOOK &amp; GRADUATION PICTURES FOR A.Y 24-25")</f>
        <v>YEARBOOK &amp; GRADUATION PICTURES FOR A.Y 24-25</v>
      </c>
    </row>
    <row r="350">
      <c r="A350" s="234">
        <f>IFERROR(__xludf.DUMMYFUNCTION("""COMPUTED_VALUE"""),105183.0)</f>
        <v>105183</v>
      </c>
      <c r="B350" s="235" t="str">
        <f>IFERROR(__xludf.DUMMYFUNCTION("""COMPUTED_VALUE"""),"VIOLETA REVOLTAR ")</f>
        <v>VIOLETA REVOLTAR </v>
      </c>
      <c r="C350" s="235" t="str">
        <f>IFERROR(__xludf.DUMMYFUNCTION("""COMPUTED_VALUE"""),"CEM OFFICE")</f>
        <v>CEM OFFICE</v>
      </c>
      <c r="D350" s="196" t="str">
        <f>IFERROR(__xludf.DUMMYFUNCTION("""COMPUTED_VALUE"""),"17 SGEN VHRONICLES 22-23")</f>
        <v>17 SGEN VHRONICLES 22-23</v>
      </c>
      <c r="E350" s="196" t="str">
        <f>IFERROR(__xludf.DUMMYFUNCTION("""COMPUTED_VALUE"""),"BOOKBINDING OF CHRONICLES 22-23")</f>
        <v>BOOKBINDING OF CHRONICLES 22-23</v>
      </c>
    </row>
    <row r="351">
      <c r="A351" s="234">
        <f>IFERROR(__xludf.DUMMYFUNCTION("""COMPUTED_VALUE"""),105184.0)</f>
        <v>105184</v>
      </c>
      <c r="B351" s="235" t="str">
        <f>IFERROR(__xludf.DUMMYFUNCTION("""COMPUTED_VALUE"""),"JESUIT CHRISTIAN GALICIA ")</f>
        <v>JESUIT CHRISTIAN GALICIA </v>
      </c>
      <c r="C351" s="235" t="str">
        <f>IFERROR(__xludf.DUMMYFUNCTION("""COMPUTED_VALUE"""),"AMD")</f>
        <v>AMD</v>
      </c>
      <c r="D351" s="196" t="str">
        <f>IFERROR(__xludf.DUMMYFUNCTION("""COMPUTED_VALUE"""),"10 PCS DOOR CLOSER (YALE 85KG)
30 PCS FAUCET TANSO
30 PCS GOOSE NECK FAUCET (CRESTON)
10 PCS WD40 MULTI PURPOSE LUBRICANT 382 ML")</f>
        <v>10 PCS DOOR CLOSER (YALE 85KG)
30 PCS FAUCET TANSO
30 PCS GOOSE NECK FAUCET (CRESTON)
10 PCS WD40 MULTI PURPOSE LUBRICANT 382 ML</v>
      </c>
      <c r="E351" s="196" t="str">
        <f>IFERROR(__xludf.DUMMYFUNCTION("""COMPUTED_VALUE"""),"ENGINEERING WAREHOUSE STOCK REPLENISHMENT")</f>
        <v>ENGINEERING WAREHOUSE STOCK REPLENISHMENT</v>
      </c>
    </row>
    <row r="352">
      <c r="A352" s="234">
        <f>IFERROR(__xludf.DUMMYFUNCTION("""COMPUTED_VALUE"""),105185.0)</f>
        <v>105185</v>
      </c>
      <c r="B352" s="235" t="str">
        <f>IFERROR(__xludf.DUMMYFUNCTION("""COMPUTED_VALUE"""),"ANNABEL VASQUEZ")</f>
        <v>ANNABEL VASQUEZ</v>
      </c>
      <c r="C352" s="235" t="str">
        <f>IFERROR(__xludf.DUMMYFUNCTION("""COMPUTED_VALUE"""),"DISCIPLINE OFFICE")</f>
        <v>DISCIPLINE OFFICE</v>
      </c>
      <c r="D352" s="196" t="str">
        <f>IFERROR(__xludf.DUMMYFUNCTION("""COMPUTED_VALUE"""),"500 K12 STUDENT HANDBOOK A.Y. 24 25")</f>
        <v>500 K12 STUDENT HANDBOOK A.Y. 24 25</v>
      </c>
      <c r="E352" s="196" t="str">
        <f>IFERROR(__xludf.DUMMYFUNCTION("""COMPUTED_VALUE"""),"ADDITIONAL HANDBOOK FOR STUDENTS A.Y 24-25")</f>
        <v>ADDITIONAL HANDBOOK FOR STUDENTS A.Y 24-25</v>
      </c>
    </row>
    <row r="353">
      <c r="A353" s="234">
        <f>IFERROR(__xludf.DUMMYFUNCTION("""COMPUTED_VALUE"""),105186.0)</f>
        <v>105186</v>
      </c>
      <c r="B353" s="235" t="str">
        <f>IFERROR(__xludf.DUMMYFUNCTION("""COMPUTED_VALUE"""),"OWIE PAR ")</f>
        <v>OWIE PAR </v>
      </c>
      <c r="C353" s="235" t="str">
        <f>IFERROR(__xludf.DUMMYFUNCTION("""COMPUTED_VALUE"""),"ENGINEERING")</f>
        <v>ENGINEERING</v>
      </c>
      <c r="D353" s="196" t="str">
        <f>IFERROR(__xludf.DUMMYFUNCTION("""COMPUTED_VALUE"""),"350 PCS NIPA
3 KGS COMMON NAILS #2
3 KGS COMMON NAILS# 1 1/2")</f>
        <v>350 PCS NIPA
3 KGS COMMON NAILS #2
3 KGS COMMON NAILS# 1 1/2</v>
      </c>
      <c r="E353" s="196" t="str">
        <f>IFERROR(__xludf.DUMMYFUNCTION("""COMPUTED_VALUE"""),"FOR ACT FARM REPAIR OF MANGYAN KUBO J")</f>
        <v>FOR ACT FARM REPAIR OF MANGYAN KUBO J</v>
      </c>
    </row>
    <row r="354">
      <c r="A354" s="234">
        <f>IFERROR(__xludf.DUMMYFUNCTION("""COMPUTED_VALUE"""),105187.0)</f>
        <v>105187</v>
      </c>
      <c r="B354" s="235" t="str">
        <f>IFERROR(__xludf.DUMMYFUNCTION("""COMPUTED_VALUE"""),"ANN DELA ISLA")</f>
        <v>ANN DELA ISLA</v>
      </c>
      <c r="C354" s="235" t="str">
        <f>IFERROR(__xludf.DUMMYFUNCTION("""COMPUTED_VALUE"""),"I.B.")</f>
        <v>I.B.</v>
      </c>
      <c r="D354" s="196" t="str">
        <f>IFERROR(__xludf.DUMMYFUNCTION("""COMPUTED_VALUE"""),"IB LABORATORY MATERIALS - PLEASE SEE NEXT PAGE ")</f>
        <v>IB LABORATORY MATERIALS - PLEASE SEE NEXT PAGE </v>
      </c>
      <c r="E354" s="196" t="str">
        <f>IFERROR(__xludf.DUMMYFUNCTION("""COMPUTED_VALUE"""),"FOR IA RESEARCH OF THE STUDENTS")</f>
        <v>FOR IA RESEARCH OF THE STUDENTS</v>
      </c>
    </row>
    <row r="355">
      <c r="A355" s="234">
        <f>IFERROR(__xludf.DUMMYFUNCTION("""COMPUTED_VALUE"""),105188.0)</f>
        <v>105188</v>
      </c>
      <c r="B355" s="235" t="str">
        <f>IFERROR(__xludf.DUMMYFUNCTION("""COMPUTED_VALUE"""),"RONALDO VERDE")</f>
        <v>RONALDO VERDE</v>
      </c>
      <c r="C355" s="235" t="str">
        <f>IFERROR(__xludf.DUMMYFUNCTION("""COMPUTED_VALUE"""),"ADMIN")</f>
        <v>ADMIN</v>
      </c>
      <c r="D355" s="196" t="str">
        <f>IFERROR(__xludf.DUMMYFUNCTION("""COMPUTED_VALUE"""),"12 TINS ROOF GUARD BEIGE 
5 GALONS PAINT THINNER 
5PCS PAINT BRUSH #5")</f>
        <v>12 TINS ROOF GUARD BEIGE 
5 GALONS PAINT THINNER 
5PCS PAINT BRUSH #5</v>
      </c>
      <c r="E355" s="196" t="str">
        <f>IFERROR(__xludf.DUMMYFUNCTION("""COMPUTED_VALUE"""),"MATERIALS FOR TROPICAL ROOFING REPAINTING ")</f>
        <v>MATERIALS FOR TROPICAL ROOFING REPAINTING </v>
      </c>
    </row>
    <row r="356">
      <c r="A356" s="234">
        <f>IFERROR(__xludf.DUMMYFUNCTION("""COMPUTED_VALUE"""),105189.0)</f>
        <v>105189</v>
      </c>
      <c r="B356" s="235" t="str">
        <f>IFERROR(__xludf.DUMMYFUNCTION("""COMPUTED_VALUE"""),"ALFA DE LEON ")</f>
        <v>ALFA DE LEON </v>
      </c>
      <c r="C356" s="235" t="str">
        <f>IFERROR(__xludf.DUMMYFUNCTION("""COMPUTED_VALUE"""),"ADMIN - MUNICH")</f>
        <v>ADMIN - MUNICH</v>
      </c>
      <c r="D356" s="196" t="str">
        <f>IFERROR(__xludf.DUMMYFUNCTION("""COMPUTED_VALUE"""),"3 ROLLS FLAT CORD ")</f>
        <v>3 ROLLS FLAT CORD </v>
      </c>
      <c r="E356" s="196" t="str">
        <f>IFERROR(__xludf.DUMMYFUNCTION("""COMPUTED_VALUE"""),"CHRISTMAS DECOR CONNECTION ")</f>
        <v>CHRISTMAS DECOR CONNECTION </v>
      </c>
    </row>
    <row r="357">
      <c r="A357" s="234">
        <f>IFERROR(__xludf.DUMMYFUNCTION("""COMPUTED_VALUE"""),105190.0)</f>
        <v>105190</v>
      </c>
      <c r="B357" s="235" t="str">
        <f>IFERROR(__xludf.DUMMYFUNCTION("""COMPUTED_VALUE"""),"RODRIGO CUSTODIO")</f>
        <v>RODRIGO CUSTODIO</v>
      </c>
      <c r="C357" s="235" t="str">
        <f>IFERROR(__xludf.DUMMYFUNCTION("""COMPUTED_VALUE"""),"AMD")</f>
        <v>AMD</v>
      </c>
      <c r="D357" s="196" t="str">
        <f>IFERROR(__xludf.DUMMYFUNCTION("""COMPUTED_VALUE"""),"10 GALS DRAIN MAINTAINER AND DEODORIZER (STATE) D-STOY")</f>
        <v>10 GALS DRAIN MAINTAINER AND DEODORIZER (STATE) D-STOY</v>
      </c>
      <c r="E357" s="196" t="str">
        <f>IFERROR(__xludf.DUMMYFUNCTION("""COMPUTED_VALUE"""),"HOUSEKEEPING MATERIALS- STOCK REPLENISHMENT")</f>
        <v>HOUSEKEEPING MATERIALS- STOCK REPLENISHMENT</v>
      </c>
    </row>
    <row r="358">
      <c r="A358" s="234">
        <f>IFERROR(__xludf.DUMMYFUNCTION("""COMPUTED_VALUE"""),105191.0)</f>
        <v>105191</v>
      </c>
      <c r="B358" s="235" t="str">
        <f>IFERROR(__xludf.DUMMYFUNCTION("""COMPUTED_VALUE"""),"RODRIGO CUSTODIO")</f>
        <v>RODRIGO CUSTODIO</v>
      </c>
      <c r="C358" s="235" t="str">
        <f>IFERROR(__xludf.DUMMYFUNCTION("""COMPUTED_VALUE"""),"AMD")</f>
        <v>AMD</v>
      </c>
      <c r="D358" s="196" t="str">
        <f>IFERROR(__xludf.DUMMYFUNCTION("""COMPUTED_VALUE"""),"20 GALS ODOR MASCANT (WISE CHOICE)- PLEASANT ")</f>
        <v>20 GALS ODOR MASCANT (WISE CHOICE)- PLEASANT </v>
      </c>
      <c r="E358" s="196" t="str">
        <f>IFERROR(__xludf.DUMMYFUNCTION("""COMPUTED_VALUE"""),"HOUSEKEEPING MATERIALS- STOCK REPLENISHMENT")</f>
        <v>HOUSEKEEPING MATERIALS- STOCK REPLENISHMENT</v>
      </c>
    </row>
    <row r="359">
      <c r="A359" s="234">
        <f>IFERROR(__xludf.DUMMYFUNCTION("""COMPUTED_VALUE"""),105192.0)</f>
        <v>105192</v>
      </c>
      <c r="B359" s="235" t="str">
        <f>IFERROR(__xludf.DUMMYFUNCTION("""COMPUTED_VALUE"""),"JESUIT CHRISTIAN GALICIA ")</f>
        <v>JESUIT CHRISTIAN GALICIA </v>
      </c>
      <c r="C359" s="235" t="str">
        <f>IFERROR(__xludf.DUMMYFUNCTION("""COMPUTED_VALUE"""),"AMD")</f>
        <v>AMD</v>
      </c>
      <c r="D359" s="196" t="str">
        <f>IFERROR(__xludf.DUMMYFUNCTION("""COMPUTED_VALUE"""),"20 PCS HDMI CABLE 5M (UGREEN)
10 PCS HDMI CABLE 10M (UGREEN)
15PCS HDMI VIDEO SPLITTER (VENTION 1IN4OUT)
40 PCS A4TECH WEBCAM (PK-925H FULL HD)
2PCS VIEWSONIC MONITOR (VA1903A)
20 PCS KINGSTON SOLID STATE DRIVE 512GB ")</f>
        <v>20 PCS HDMI CABLE 5M (UGREEN)
10 PCS HDMI CABLE 10M (UGREEN)
15PCS HDMI VIDEO SPLITTER (VENTION 1IN4OUT)
40 PCS A4TECH WEBCAM (PK-925H FULL HD)
2PCS VIEWSONIC MONITOR (VA1903A)
20 PCS KINGSTON SOLID STATE DRIVE 512GB </v>
      </c>
      <c r="E359" s="196" t="str">
        <f>IFERROR(__xludf.DUMMYFUNCTION("""COMPUTED_VALUE"""),"MIS WAREHOUSE STOCK REPLENISHMENT ")</f>
        <v>MIS WAREHOUSE STOCK REPLENISHMENT </v>
      </c>
    </row>
    <row r="360">
      <c r="A360" s="234">
        <f>IFERROR(__xludf.DUMMYFUNCTION("""COMPUTED_VALUE"""),105193.0)</f>
        <v>105193</v>
      </c>
      <c r="B360" s="235" t="str">
        <f>IFERROR(__xludf.DUMMYFUNCTION("""COMPUTED_VALUE"""),"JESUIT CHRISTIAN GALICIA ")</f>
        <v>JESUIT CHRISTIAN GALICIA </v>
      </c>
      <c r="C360" s="235" t="str">
        <f>IFERROR(__xludf.DUMMYFUNCTION("""COMPUTED_VALUE"""),"AMD")</f>
        <v>AMD</v>
      </c>
      <c r="D360" s="196" t="str">
        <f>IFERROR(__xludf.DUMMYFUNCTION("""COMPUTED_VALUE"""),"6 PCS EDIFIER SPEAKER ( X100B)
5 PCS POWER SUPPLY TRUE RATED 750 WATTS(INPLAY GS750)
10 PCS EXTENSION CORD 5 METERS (OMNI 6GANG)")</f>
        <v>6 PCS EDIFIER SPEAKER ( X100B)
5 PCS POWER SUPPLY TRUE RATED 750 WATTS(INPLAY GS750)
10 PCS EXTENSION CORD 5 METERS (OMNI 6GANG)</v>
      </c>
      <c r="E360" s="196" t="str">
        <f>IFERROR(__xludf.DUMMYFUNCTION("""COMPUTED_VALUE"""),"MIS WAREHOUSE STOCK REPLENISHMENT ")</f>
        <v>MIS WAREHOUSE STOCK REPLENISHMENT </v>
      </c>
    </row>
    <row r="361">
      <c r="A361" s="234">
        <f>IFERROR(__xludf.DUMMYFUNCTION("""COMPUTED_VALUE"""),105194.0)</f>
        <v>105194</v>
      </c>
      <c r="B361" s="235" t="str">
        <f>IFERROR(__xludf.DUMMYFUNCTION("""COMPUTED_VALUE"""),"JC CAMPIT")</f>
        <v>JC CAMPIT</v>
      </c>
      <c r="C361" s="235" t="str">
        <f>IFERROR(__xludf.DUMMYFUNCTION("""COMPUTED_VALUE"""),"ABU")</f>
        <v>ABU</v>
      </c>
      <c r="D361" s="196" t="str">
        <f>IFERROR(__xludf.DUMMYFUNCTION("""COMPUTED_VALUE"""),"TAPO C200 CCTV WITH 128GB MEMORY CARD")</f>
        <v>TAPO C200 CCTV WITH 128GB MEMORY CARD</v>
      </c>
      <c r="E361" s="196" t="str">
        <f>IFERROR(__xludf.DUMMYFUNCTION("""COMPUTED_VALUE"""),"MONITORING OF CONCESSIONAIRES")</f>
        <v>MONITORING OF CONCESSIONAIRES</v>
      </c>
    </row>
    <row r="362">
      <c r="A362" s="234">
        <f>IFERROR(__xludf.DUMMYFUNCTION("""COMPUTED_VALUE"""),105195.0)</f>
        <v>105195</v>
      </c>
      <c r="B362" s="235" t="str">
        <f>IFERROR(__xludf.DUMMYFUNCTION("""COMPUTED_VALUE"""),"LYKA PERALTA")</f>
        <v>LYKA PERALTA</v>
      </c>
      <c r="C362" s="235" t="str">
        <f>IFERROR(__xludf.DUMMYFUNCTION("""COMPUTED_VALUE"""),"AMD")</f>
        <v>AMD</v>
      </c>
      <c r="D362" s="196" t="str">
        <f>IFERROR(__xludf.DUMMYFUNCTION("""COMPUTED_VALUE"""),"200PCS CARTOLINA NEON PURPLE
200 PCS CARTOLINA NEON BROWN
200 PCS ENVELOPE UNEXPANDED PLASTIC LONG ADVENTURER ")</f>
        <v>200PCS CARTOLINA NEON PURPLE
200 PCS CARTOLINA NEON BROWN
200 PCS ENVELOPE UNEXPANDED PLASTIC LONG ADVENTURER </v>
      </c>
      <c r="E362" s="196" t="str">
        <f>IFERROR(__xludf.DUMMYFUNCTION("""COMPUTED_VALUE"""),"OSSUP STOCK REPLENISHMENT ")</f>
        <v>OSSUP STOCK REPLENISHMENT </v>
      </c>
    </row>
    <row r="363">
      <c r="A363" s="234">
        <f>IFERROR(__xludf.DUMMYFUNCTION("""COMPUTED_VALUE"""),105196.0)</f>
        <v>105196</v>
      </c>
      <c r="B363" s="235" t="str">
        <f>IFERROR(__xludf.DUMMYFUNCTION("""COMPUTED_VALUE"""),"PAUL ARANA")</f>
        <v>PAUL ARANA</v>
      </c>
      <c r="C363" s="235" t="str">
        <f>IFERROR(__xludf.DUMMYFUNCTION("""COMPUTED_VALUE"""),"MIS/ICT")</f>
        <v>MIS/ICT</v>
      </c>
      <c r="D363" s="196" t="str">
        <f>IFERROR(__xludf.DUMMYFUNCTION("""COMPUTED_VALUE"""),"2 RFC SPEAKER 
2 SPEAKER BRACKET 
1 6 CHANNEL BLUETOOTH MIXER ")</f>
        <v>2 RFC SPEAKER 
2 SPEAKER BRACKET 
1 6 CHANNEL BLUETOOTH MIXER </v>
      </c>
      <c r="E363" s="196" t="str">
        <f>IFERROR(__xludf.DUMMYFUNCTION("""COMPUTED_VALUE"""),"COLLEGE WALKWAY SOUND SYSTEM SETUP")</f>
        <v>COLLEGE WALKWAY SOUND SYSTEM SETUP</v>
      </c>
    </row>
    <row r="364">
      <c r="A364" s="234">
        <f>IFERROR(__xludf.DUMMYFUNCTION("""COMPUTED_VALUE"""),105197.0)</f>
        <v>105197</v>
      </c>
      <c r="B364" s="235" t="str">
        <f>IFERROR(__xludf.DUMMYFUNCTION("""COMPUTED_VALUE"""),"ALFA DE LEON")</f>
        <v>ALFA DE LEON</v>
      </c>
      <c r="C364" s="235" t="str">
        <f>IFERROR(__xludf.DUMMYFUNCTION("""COMPUTED_VALUE"""),"ADMIN - MUNICH")</f>
        <v>ADMIN - MUNICH</v>
      </c>
      <c r="D364" s="196" t="str">
        <f>IFERROR(__xludf.DUMMYFUNCTION("""COMPUTED_VALUE"""),"2 RAT TRAP 
3 TRASH CAN
2 SINK COVER 
1 MICE CATCHER
1 MICE CATCHER 
1 MINI MOUSE TRAP ")</f>
        <v>2 RAT TRAP 
3 TRASH CAN
2 SINK COVER 
1 MICE CATCHER
1 MICE CATCHER 
1 MINI MOUSE TRAP </v>
      </c>
      <c r="E364" s="196" t="str">
        <f>IFERROR(__xludf.DUMMYFUNCTION("""COMPUTED_VALUE"""),"ELIMINATE RATS IN CLASSROOMS FACULTY CLINIC TRASH CAN")</f>
        <v>ELIMINATE RATS IN CLASSROOMS FACULTY CLINIC TRASH CAN</v>
      </c>
    </row>
    <row r="365">
      <c r="A365" s="234">
        <f>IFERROR(__xludf.DUMMYFUNCTION("""COMPUTED_VALUE"""),105198.0)</f>
        <v>105198</v>
      </c>
      <c r="B365" s="235" t="str">
        <f>IFERROR(__xludf.DUMMYFUNCTION("""COMPUTED_VALUE"""),"ALFA DE LEON")</f>
        <v>ALFA DE LEON</v>
      </c>
      <c r="C365" s="235" t="str">
        <f>IFERROR(__xludf.DUMMYFUNCTION("""COMPUTED_VALUE"""),"COLLEGE DIRECTOR")</f>
        <v>COLLEGE DIRECTOR</v>
      </c>
      <c r="D365" s="196" t="str">
        <f>IFERROR(__xludf.DUMMYFUNCTION("""COMPUTED_VALUE"""),"40 SELLOUM
76 RHAPIS")</f>
        <v>40 SELLOUM
76 RHAPIS</v>
      </c>
      <c r="E365" s="196" t="str">
        <f>IFERROR(__xludf.DUMMYFUNCTION("""COMPUTED_VALUE"""),"NEW PLANT BOXES COLLEGE WALLKWAY")</f>
        <v>NEW PLANT BOXES COLLEGE WALLKWAY</v>
      </c>
    </row>
    <row r="366">
      <c r="A366" s="234">
        <f>IFERROR(__xludf.DUMMYFUNCTION("""COMPUTED_VALUE"""),105199.0)</f>
        <v>105199</v>
      </c>
      <c r="B366" s="235" t="str">
        <f>IFERROR(__xludf.DUMMYFUNCTION("""COMPUTED_VALUE"""),"ALFA DE LEON")</f>
        <v>ALFA DE LEON</v>
      </c>
      <c r="C366" s="235" t="str">
        <f>IFERROR(__xludf.DUMMYFUNCTION("""COMPUTED_VALUE"""),"COLLEGE DIRECTOR")</f>
        <v>COLLEGE DIRECTOR</v>
      </c>
      <c r="D366" s="196" t="str">
        <f>IFERROR(__xludf.DUMMYFUNCTION("""COMPUTED_VALUE"""),"1 TRUCK GARDEN SOIL")</f>
        <v>1 TRUCK GARDEN SOIL</v>
      </c>
      <c r="E366" s="196" t="str">
        <f>IFERROR(__xludf.DUMMYFUNCTION("""COMPUTED_VALUE"""),"NEW PLANT BOXES COLLEGE WALLKWAY")</f>
        <v>NEW PLANT BOXES COLLEGE WALLKWAY</v>
      </c>
    </row>
    <row r="367">
      <c r="A367" s="234">
        <f>IFERROR(__xludf.DUMMYFUNCTION("""COMPUTED_VALUE"""),105200.0)</f>
        <v>105200</v>
      </c>
      <c r="B367" s="235" t="str">
        <f>IFERROR(__xludf.DUMMYFUNCTION("""COMPUTED_VALUE"""),"SAMEYA GARCIA")</f>
        <v>SAMEYA GARCIA</v>
      </c>
      <c r="C367" s="235" t="str">
        <f>IFERROR(__xludf.DUMMYFUNCTION("""COMPUTED_VALUE"""),"ADMIN")</f>
        <v>ADMIN</v>
      </c>
      <c r="D367" s="196" t="str">
        <f>IFERROR(__xludf.DUMMYFUNCTION("""COMPUTED_VALUE"""),"173 TOKENS 
17 PRIZES
*VARIOUS IKEA ITEMS ")</f>
        <v>173 TOKENS 
17 PRIZES
*VARIOUS IKEA ITEMS </v>
      </c>
      <c r="E367" s="196" t="str">
        <f>IFERROR(__xludf.DUMMYFUNCTION("""COMPUTED_VALUE"""),"TEACHERS' DAY ")</f>
        <v>TEACHERS' DAY </v>
      </c>
    </row>
    <row r="368">
      <c r="A368" s="234">
        <f>IFERROR(__xludf.DUMMYFUNCTION("""COMPUTED_VALUE"""),105201.0)</f>
        <v>105201</v>
      </c>
      <c r="B368" s="235" t="str">
        <f>IFERROR(__xludf.DUMMYFUNCTION("""COMPUTED_VALUE"""),"OWIE PAR ")</f>
        <v>OWIE PAR </v>
      </c>
      <c r="C368" s="235" t="str">
        <f>IFERROR(__xludf.DUMMYFUNCTION("""COMPUTED_VALUE"""),"ENGINEERING")</f>
        <v>ENGINEERING</v>
      </c>
      <c r="D368" s="196" t="str">
        <f>IFERROR(__xludf.DUMMYFUNCTION("""COMPUTED_VALUE"""),"30 PCS DUPLEX OUTLET
2 PCS HEAVY DUTY MALE PLUG 
20 METERS FLAT CORD #16 
4PCS RUBBER CASTER #2")</f>
        <v>30 PCS DUPLEX OUTLET
2 PCS HEAVY DUTY MALE PLUG 
20 METERS FLAT CORD #16 
4PCS RUBBER CASTER #2</v>
      </c>
      <c r="E368" s="196" t="str">
        <f>IFERROR(__xludf.DUMMYFUNCTION("""COMPUTED_VALUE"""),"FOR TABLET CHARGING CABINET AS PER REQUESTED BY MS VYE")</f>
        <v>FOR TABLET CHARGING CABINET AS PER REQUESTED BY MS VYE</v>
      </c>
    </row>
    <row r="369">
      <c r="A369" s="234">
        <f>IFERROR(__xludf.DUMMYFUNCTION("""COMPUTED_VALUE"""),105202.0)</f>
        <v>105202</v>
      </c>
      <c r="B369" s="235" t="str">
        <f>IFERROR(__xludf.DUMMYFUNCTION("""COMPUTED_VALUE"""),"OWIE PAR ")</f>
        <v>OWIE PAR </v>
      </c>
      <c r="C369" s="235" t="str">
        <f>IFERROR(__xludf.DUMMYFUNCTION("""COMPUTED_VALUE"""),"ENGINEERING")</f>
        <v>ENGINEERING</v>
      </c>
      <c r="D369" s="196" t="str">
        <f>IFERROR(__xludf.DUMMYFUNCTION("""COMPUTED_VALUE"""),"2 UNITS ORBIT #16 3D")</f>
        <v>2 UNITS ORBIT #16 3D</v>
      </c>
      <c r="E369" s="196" t="str">
        <f>IFERROR(__xludf.DUMMYFUNCTION("""COMPUTED_VALUE"""),"FOR LUX RM 411 AND 410")</f>
        <v>FOR LUX RM 411 AND 410</v>
      </c>
    </row>
    <row r="370">
      <c r="A370" s="234">
        <f>IFERROR(__xludf.DUMMYFUNCTION("""COMPUTED_VALUE"""),105203.0)</f>
        <v>105203</v>
      </c>
      <c r="B370" s="235"/>
      <c r="C370" s="235" t="str">
        <f>IFERROR(__xludf.DUMMYFUNCTION("""COMPUTED_VALUE"""),"PR &amp; MARKETING")</f>
        <v>PR &amp; MARKETING</v>
      </c>
      <c r="D370" s="196" t="str">
        <f>IFERROR(__xludf.DUMMYFUNCTION("""COMPUTED_VALUE"""),"1000 SOUTHVILLE FOLDER(RECORDER)")</f>
        <v>1000 SOUTHVILLE FOLDER(RECORDER)</v>
      </c>
      <c r="E370" s="196" t="str">
        <f>IFERROR(__xludf.DUMMYFUNCTION("""COMPUTED_VALUE"""),"OFFICE / EVENT USE FOR PROMOTIONAL PURPOSES")</f>
        <v>OFFICE / EVENT USE FOR PROMOTIONAL PURPOSES</v>
      </c>
    </row>
    <row r="371">
      <c r="A371" s="234">
        <f>IFERROR(__xludf.DUMMYFUNCTION("""COMPUTED_VALUE"""),105204.0)</f>
        <v>105204</v>
      </c>
      <c r="B371" s="235" t="str">
        <f>IFERROR(__xludf.DUMMYFUNCTION("""COMPUTED_VALUE"""),"CARLITO DELA VEGA")</f>
        <v>CARLITO DELA VEGA</v>
      </c>
      <c r="C371" s="235" t="str">
        <f>IFERROR(__xludf.DUMMYFUNCTION("""COMPUTED_VALUE"""),"SECURITY")</f>
        <v>SECURITY</v>
      </c>
      <c r="D371" s="196" t="str">
        <f>IFERROR(__xludf.DUMMYFUNCTION("""COMPUTED_VALUE"""),"TRAFFIC CONE RUBBERIZED 18 INCHES")</f>
        <v>TRAFFIC CONE RUBBERIZED 18 INCHES</v>
      </c>
      <c r="E371" s="196" t="str">
        <f>IFERROR(__xludf.DUMMYFUNCTION("""COMPUTED_VALUE"""),"TRAFFIC MANAGEMENT ALONG TROPICAL AVE, YOKOHAMA ST., LIMA ST., AND PARKINGS")</f>
        <v>TRAFFIC MANAGEMENT ALONG TROPICAL AVE, YOKOHAMA ST., LIMA ST., AND PARKINGS</v>
      </c>
    </row>
    <row r="372">
      <c r="A372" s="234">
        <f>IFERROR(__xludf.DUMMYFUNCTION("""COMPUTED_VALUE"""),105205.0)</f>
        <v>105205</v>
      </c>
      <c r="B372" s="235" t="str">
        <f>IFERROR(__xludf.DUMMYFUNCTION("""COMPUTED_VALUE"""),"CLEA LOMIWES")</f>
        <v>CLEA LOMIWES</v>
      </c>
      <c r="C372" s="235" t="str">
        <f>IFERROR(__xludf.DUMMYFUNCTION("""COMPUTED_VALUE"""),"LIBRARY BASED ED")</f>
        <v>LIBRARY BASED ED</v>
      </c>
      <c r="D372" s="196" t="str">
        <f>IFERROR(__xludf.DUMMYFUNCTION("""COMPUTED_VALUE"""),"BOOK POCKET, BOOK CARD")</f>
        <v>BOOK POCKET, BOOK CARD</v>
      </c>
      <c r="E372" s="196" t="str">
        <f>IFERROR(__xludf.DUMMYFUNCTION("""COMPUTED_VALUE"""),"FOR NEWLY ACQUIRED BOOKS")</f>
        <v>FOR NEWLY ACQUIRED BOOKS</v>
      </c>
    </row>
    <row r="373">
      <c r="A373" s="234">
        <f>IFERROR(__xludf.DUMMYFUNCTION("""COMPUTED_VALUE"""),105206.0)</f>
        <v>105206</v>
      </c>
      <c r="B373" s="235" t="str">
        <f>IFERROR(__xludf.DUMMYFUNCTION("""COMPUTED_VALUE"""),"RODRIGO CUSTODIO")</f>
        <v>RODRIGO CUSTODIO</v>
      </c>
      <c r="C373" s="235" t="str">
        <f>IFERROR(__xludf.DUMMYFUNCTION("""COMPUTED_VALUE"""),"AMD")</f>
        <v>AMD</v>
      </c>
      <c r="D373" s="196" t="str">
        <f>IFERROR(__xludf.DUMMYFUNCTION("""COMPUTED_VALUE"""),"10GALS FLOOR FINISH (STATE) MIGHTY SPARKLE DIAMOND 25")</f>
        <v>10GALS FLOOR FINISH (STATE) MIGHTY SPARKLE DIAMOND 25</v>
      </c>
      <c r="E373" s="196" t="str">
        <f>IFERROR(__xludf.DUMMYFUNCTION("""COMPUTED_VALUE"""),"HOUSEKEEPING MATERIALS- STOCK REPLENISHMENT")</f>
        <v>HOUSEKEEPING MATERIALS- STOCK REPLENISHMENT</v>
      </c>
    </row>
    <row r="374">
      <c r="A374" s="234">
        <f>IFERROR(__xludf.DUMMYFUNCTION("""COMPUTED_VALUE"""),105207.0)</f>
        <v>105207</v>
      </c>
      <c r="B374" s="235" t="str">
        <f>IFERROR(__xludf.DUMMYFUNCTION("""COMPUTED_VALUE"""),"SHEREE ESPINOSA ")</f>
        <v>SHEREE ESPINOSA </v>
      </c>
      <c r="C374" s="235" t="str">
        <f>IFERROR(__xludf.DUMMYFUNCTION("""COMPUTED_VALUE"""),"ADMIN - LUX")</f>
        <v>ADMIN - LUX</v>
      </c>
      <c r="D374" s="196" t="str">
        <f>IFERROR(__xludf.DUMMYFUNCTION("""COMPUTED_VALUE"""),"50 CHRISTMAS LIGHTS
20 CURTAIN LIGHTS 
6 CHRISTMAS BALLS RED GOLD SILVER 
8 FLOWERS LEAVES")</f>
        <v>50 CHRISTMAS LIGHTS
20 CURTAIN LIGHTS 
6 CHRISTMAS BALLS RED GOLD SILVER 
8 FLOWERS LEAVES</v>
      </c>
      <c r="E374" s="196" t="str">
        <f>IFERROR(__xludf.DUMMYFUNCTION("""COMPUTED_VALUE"""),"CHRISTMAS DECORS ")</f>
        <v>CHRISTMAS DECORS </v>
      </c>
    </row>
    <row r="375">
      <c r="A375" s="234">
        <f>IFERROR(__xludf.DUMMYFUNCTION("""COMPUTED_VALUE"""),105208.0)</f>
        <v>105208</v>
      </c>
      <c r="B375" s="235" t="str">
        <f>IFERROR(__xludf.DUMMYFUNCTION("""COMPUTED_VALUE"""),"SHEREE ESPINOSA ")</f>
        <v>SHEREE ESPINOSA </v>
      </c>
      <c r="C375" s="235" t="str">
        <f>IFERROR(__xludf.DUMMYFUNCTION("""COMPUTED_VALUE"""),"ADMIN - LUX")</f>
        <v>ADMIN - LUX</v>
      </c>
      <c r="D375" s="196" t="str">
        <f>IFERROR(__xludf.DUMMYFUNCTION("""COMPUTED_VALUE"""),"20 CHRISTMAS CAPIZ BALLS 
10 CHRISTMAS CAPIZ OCTAGON ")</f>
        <v>20 CHRISTMAS CAPIZ BALLS 
10 CHRISTMAS CAPIZ OCTAGON </v>
      </c>
      <c r="E375" s="196" t="str">
        <f>IFERROR(__xludf.DUMMYFUNCTION("""COMPUTED_VALUE"""),"MONARCH PARK LUX PARKING CHRISTMAS DECORS ")</f>
        <v>MONARCH PARK LUX PARKING CHRISTMAS DECORS </v>
      </c>
    </row>
    <row r="376">
      <c r="A376" s="234">
        <f>IFERROR(__xludf.DUMMYFUNCTION("""COMPUTED_VALUE"""),105209.0)</f>
        <v>105209</v>
      </c>
      <c r="B376" s="235" t="str">
        <f>IFERROR(__xludf.DUMMYFUNCTION("""COMPUTED_VALUE"""),"ALFA DE LEON ")</f>
        <v>ALFA DE LEON </v>
      </c>
      <c r="C376" s="235" t="str">
        <f>IFERROR(__xludf.DUMMYFUNCTION("""COMPUTED_VALUE"""),"ADMIN - MUNICH")</f>
        <v>ADMIN - MUNICH</v>
      </c>
      <c r="D376" s="196" t="str">
        <f>IFERROR(__xludf.DUMMYFUNCTION("""COMPUTED_VALUE"""),"20 CHRISTMAS LIGHTS 
10 CURTAIN LIGHTS 
6 CHRISTMAS CAPIZ BALLS ")</f>
        <v>20 CHRISTMAS LIGHTS 
10 CURTAIN LIGHTS 
6 CHRISTMAS CAPIZ BALLS </v>
      </c>
      <c r="E376" s="196" t="str">
        <f>IFERROR(__xludf.DUMMYFUNCTION("""COMPUTED_VALUE"""),"CHRISTMAS DECORS (WAITING AREA PARKING &amp; MUNICH ")</f>
        <v>CHRISTMAS DECORS (WAITING AREA PARKING &amp; MUNICH </v>
      </c>
    </row>
    <row r="377">
      <c r="A377" s="234">
        <f>IFERROR(__xludf.DUMMYFUNCTION("""COMPUTED_VALUE"""),105210.0)</f>
        <v>105210</v>
      </c>
      <c r="B377" s="235" t="str">
        <f>IFERROR(__xludf.DUMMYFUNCTION("""COMPUTED_VALUE"""),"SHEREE ESPINOSA ")</f>
        <v>SHEREE ESPINOSA </v>
      </c>
      <c r="C377" s="235" t="str">
        <f>IFERROR(__xludf.DUMMYFUNCTION("""COMPUTED_VALUE"""),"ADMIN - LUX")</f>
        <v>ADMIN - LUX</v>
      </c>
      <c r="D377" s="196" t="str">
        <f>IFERROR(__xludf.DUMMYFUNCTION("""COMPUTED_VALUE"""),"18 ROLLS LINOLEUM FLOORING 640 SQM")</f>
        <v>18 ROLLS LINOLEUM FLOORING 640 SQM</v>
      </c>
      <c r="E377" s="196" t="str">
        <f>IFERROR(__xludf.DUMMYFUNCTION("""COMPUTED_VALUE"""),"REPLACEMENT ON LUX HALL FLOORING - EXISTING LEINOLEUM IN LUX HALL IS ALREADY ACCIDENT PRONE DUE TO WEAR AND TEAR")</f>
        <v>REPLACEMENT ON LUX HALL FLOORING - EXISTING LEINOLEUM IN LUX HALL IS ALREADY ACCIDENT PRONE DUE TO WEAR AND TEAR</v>
      </c>
    </row>
    <row r="378">
      <c r="A378" s="234">
        <f>IFERROR(__xludf.DUMMYFUNCTION("""COMPUTED_VALUE"""),105211.0)</f>
        <v>105211</v>
      </c>
      <c r="B378" s="235" t="str">
        <f>IFERROR(__xludf.DUMMYFUNCTION("""COMPUTED_VALUE"""),"JAYVEN POBLETE")</f>
        <v>JAYVEN POBLETE</v>
      </c>
      <c r="C378" s="235" t="str">
        <f>IFERROR(__xludf.DUMMYFUNCTION("""COMPUTED_VALUE"""),"PR &amp; MARKETING")</f>
        <v>PR &amp; MARKETING</v>
      </c>
      <c r="D378" s="196" t="str">
        <f>IFERROR(__xludf.DUMMYFUNCTION("""COMPUTED_VALUE"""),"BUTTON BADGE MAKER MACHINE WITH 3 DIFFERENT SIZE MOLDS")</f>
        <v>BUTTON BADGE MAKER MACHINE WITH 3 DIFFERENT SIZE MOLDS</v>
      </c>
      <c r="E378" s="196" t="str">
        <f>IFERROR(__xludf.DUMMYFUNCTION("""COMPUTED_VALUE"""),"FOR SCHOOL PRESENTATION GIVEAWAY")</f>
        <v>FOR SCHOOL PRESENTATION GIVEAWAY</v>
      </c>
    </row>
    <row r="379">
      <c r="A379" s="234">
        <f>IFERROR(__xludf.DUMMYFUNCTION("""COMPUTED_VALUE"""),105212.0)</f>
        <v>105212</v>
      </c>
      <c r="B379" s="235" t="str">
        <f>IFERROR(__xludf.DUMMYFUNCTION("""COMPUTED_VALUE"""),"OWIE PAR/RONALD VERDE ")</f>
        <v>OWIE PAR/RONALD VERDE </v>
      </c>
      <c r="C379" s="235" t="str">
        <f>IFERROR(__xludf.DUMMYFUNCTION("""COMPUTED_VALUE"""),"ENGINEERING")</f>
        <v>ENGINEERING</v>
      </c>
      <c r="D379" s="196" t="str">
        <f>IFERROR(__xludf.DUMMYFUNCTION("""COMPUTED_VALUE"""),"1 SET INDUSTRIAL LPG REGULATOR LOW PREASURE ")</f>
        <v>1 SET INDUSTRIAL LPG REGULATOR LOW PREASURE </v>
      </c>
      <c r="E379" s="196" t="str">
        <f>IFERROR(__xludf.DUMMYFUNCTION("""COMPUTED_VALUE"""),"FOR IB LAB TROPICAL ")</f>
        <v>FOR IB LAB TROPICAL </v>
      </c>
    </row>
    <row r="380">
      <c r="A380" s="234">
        <f>IFERROR(__xludf.DUMMYFUNCTION("""COMPUTED_VALUE"""),105213.0)</f>
        <v>105213</v>
      </c>
      <c r="B380" s="235" t="str">
        <f>IFERROR(__xludf.DUMMYFUNCTION("""COMPUTED_VALUE"""),"RACHEL JANE PAMATI AN ")</f>
        <v>RACHEL JANE PAMATI AN </v>
      </c>
      <c r="C380" s="235" t="str">
        <f>IFERROR(__xludf.DUMMYFUNCTION("""COMPUTED_VALUE"""),"ADMIN - STAR")</f>
        <v>ADMIN - STAR</v>
      </c>
      <c r="D380" s="196" t="str">
        <f>IFERROR(__xludf.DUMMYFUNCTION("""COMPUTED_VALUE"""),"2 GARDEN SHOVEL 
1 KARATE INSECTICIDE (1,000 ML)")</f>
        <v>2 GARDEN SHOVEL 
1 KARATE INSECTICIDE (1,000 ML)</v>
      </c>
      <c r="E380" s="196" t="str">
        <f>IFERROR(__xludf.DUMMYFUNCTION("""COMPUTED_VALUE"""),"FOR GARDENING AT STAR CAMPUS ")</f>
        <v>FOR GARDENING AT STAR CAMPUS </v>
      </c>
    </row>
    <row r="381">
      <c r="A381" s="234">
        <f>IFERROR(__xludf.DUMMYFUNCTION("""COMPUTED_VALUE"""),105214.0)</f>
        <v>105214</v>
      </c>
      <c r="B381" s="235" t="str">
        <f>IFERROR(__xludf.DUMMYFUNCTION("""COMPUTED_VALUE"""),"OWIE PAR/RONALD VERDE ")</f>
        <v>OWIE PAR/RONALD VERDE </v>
      </c>
      <c r="C381" s="235" t="str">
        <f>IFERROR(__xludf.DUMMYFUNCTION("""COMPUTED_VALUE"""),"ADMIN")</f>
        <v>ADMIN</v>
      </c>
      <c r="D381" s="196" t="str">
        <f>IFERROR(__xludf.DUMMYFUNCTION("""COMPUTED_VALUE"""),"2 UNIT ORBIT FAN 16""")</f>
        <v>2 UNIT ORBIT FAN 16"</v>
      </c>
      <c r="E381" s="196" t="str">
        <f>IFERROR(__xludf.DUMMYFUNCTION("""COMPUTED_VALUE"""),"ORBIT FANS FOR LUX FOODCOURT &amp;CAFETERIA (NOT WORKING &amp; OLD UNITS)")</f>
        <v>ORBIT FANS FOR LUX FOODCOURT &amp;CAFETERIA (NOT WORKING &amp; OLD UNITS)</v>
      </c>
    </row>
    <row r="382">
      <c r="A382" s="234">
        <f>IFERROR(__xludf.DUMMYFUNCTION("""COMPUTED_VALUE"""),105215.0)</f>
        <v>105215</v>
      </c>
      <c r="B382" s="235" t="str">
        <f>IFERROR(__xludf.DUMMYFUNCTION("""COMPUTED_VALUE"""),"MARC VITTO ")</f>
        <v>MARC VITTO </v>
      </c>
      <c r="C382" s="235" t="str">
        <f>IFERROR(__xludf.DUMMYFUNCTION("""COMPUTED_VALUE"""),"PR &amp; MARKETING")</f>
        <v>PR &amp; MARKETING</v>
      </c>
      <c r="D382" s="196" t="str">
        <f>IFERROR(__xludf.DUMMYFUNCTION("""COMPUTED_VALUE"""),"1 SOUTHVILLE YOUTH  FEST 2024 TARP 
SIZE W= 247IN X H=78IN 
THICKNESS:13OZ
FOR COLLEGE WALL 
SIZE: W=2.5FT X H=6FT 
THICKNESS:13OZ
FOR XSTAND 
W/SEAMING AND EYELET ALL OVER ")</f>
        <v>1 SOUTHVILLE YOUTH  FEST 2024 TARP 
SIZE W= 247IN X H=78IN 
THICKNESS:13OZ
FOR COLLEGE WALL 
SIZE: W=2.5FT X H=6FT 
THICKNESS:13OZ
FOR XSTAND 
W/SEAMING AND EYELET ALL OVER </v>
      </c>
      <c r="E382" s="196" t="str">
        <f>IFERROR(__xludf.DUMMYFUNCTION("""COMPUTED_VALUE"""),"MARKETING ")</f>
        <v>MARKETING </v>
      </c>
    </row>
    <row r="383">
      <c r="A383" s="234">
        <f>IFERROR(__xludf.DUMMYFUNCTION("""COMPUTED_VALUE"""),105216.0)</f>
        <v>105216</v>
      </c>
      <c r="B383" s="235" t="str">
        <f>IFERROR(__xludf.DUMMYFUNCTION("""COMPUTED_VALUE"""),"KAYREEN CARIO")</f>
        <v>KAYREEN CARIO</v>
      </c>
      <c r="C383" s="235" t="str">
        <f>IFERROR(__xludf.DUMMYFUNCTION("""COMPUTED_VALUE"""),"PR &amp; MARKETING")</f>
        <v>PR &amp; MARKETING</v>
      </c>
      <c r="D383" s="196" t="str">
        <f>IFERROR(__xludf.DUMMYFUNCTION("""COMPUTED_VALUE"""),"2 ACRYLIC BROCHURE HOLDER (A5) 
3TIER
2 ACRYLIC BROCHURE HOLDER (A4) 
3TIER
2 ACRYLIC BROCHURE HOLDER (A6)
3TIER")</f>
        <v>2 ACRYLIC BROCHURE HOLDER (A5) 
3TIER
2 ACRYLIC BROCHURE HOLDER (A4) 
3TIER
2 ACRYLIC BROCHURE HOLDER (A6)
3TIER</v>
      </c>
      <c r="E383" s="196" t="str">
        <f>IFERROR(__xludf.DUMMYFUNCTION("""COMPUTED_VALUE"""),"FOR SCHOOL PRESENTATION AND MARKETING EUPATS USE ")</f>
        <v>FOR SCHOOL PRESENTATION AND MARKETING EUPATS USE </v>
      </c>
    </row>
    <row r="384">
      <c r="A384" s="234">
        <f>IFERROR(__xludf.DUMMYFUNCTION("""COMPUTED_VALUE"""),105217.0)</f>
        <v>105217</v>
      </c>
      <c r="B384" s="235" t="str">
        <f>IFERROR(__xludf.DUMMYFUNCTION("""COMPUTED_VALUE"""),"LYKA PERALTA")</f>
        <v>LYKA PERALTA</v>
      </c>
      <c r="C384" s="235" t="str">
        <f>IFERROR(__xludf.DUMMYFUNCTION("""COMPUTED_VALUE"""),"AMD")</f>
        <v>AMD</v>
      </c>
      <c r="D384" s="196" t="str">
        <f>IFERROR(__xludf.DUMMYFUNCTION("""COMPUTED_VALUE"""),"1000 PCS BATTERY ENERGIZER SIZE AA")</f>
        <v>1000 PCS BATTERY ENERGIZER SIZE AA</v>
      </c>
      <c r="E384" s="196" t="str">
        <f>IFERROR(__xludf.DUMMYFUNCTION("""COMPUTED_VALUE"""),"OSSUP STOCK REPLENISHMENT ")</f>
        <v>OSSUP STOCK REPLENISHMENT </v>
      </c>
    </row>
    <row r="385">
      <c r="A385" s="234">
        <f>IFERROR(__xludf.DUMMYFUNCTION("""COMPUTED_VALUE"""),105218.0)</f>
        <v>105218</v>
      </c>
      <c r="B385" s="235" t="str">
        <f>IFERROR(__xludf.DUMMYFUNCTION("""COMPUTED_VALUE"""),"SHEREE ESPINOSA ")</f>
        <v>SHEREE ESPINOSA </v>
      </c>
      <c r="C385" s="235" t="str">
        <f>IFERROR(__xludf.DUMMYFUNCTION("""COMPUTED_VALUE"""),"ADMIN")</f>
        <v>ADMIN</v>
      </c>
      <c r="D385" s="196" t="str">
        <f>IFERROR(__xludf.DUMMYFUNCTION("""COMPUTED_VALUE"""),"8PCS VELLNICE LED BUTTON 
DIRECTIONAL SPOTLIGHT 3W WARM WHITE 3000K W/ELECTRONIC DRIVER SATIN ALUMINUM FINISHED
2 PCS BLUV LED STRIPLIGHT SMD 2835 24V 12W/M 300 K CRI90 WARM WHITE (21.90 METERS APPROX)")</f>
        <v>8PCS VELLNICE LED BUTTON 
DIRECTIONAL SPOTLIGHT 3W WARM WHITE 3000K W/ELECTRONIC DRIVER SATIN ALUMINUM FINISHED
2 PCS BLUV LED STRIPLIGHT SMD 2835 24V 12W/M 300 K CRI90 WARM WHITE (21.90 METERS APPROX)</v>
      </c>
      <c r="E385" s="196" t="str">
        <f>IFERROR(__xludf.DUMMYFUNCTION("""COMPUTED_VALUE"""),"COLLEGE 5F LIGHTS ACCREDATION OFFICE FOR 5F LOBBY")</f>
        <v>COLLEGE 5F LIGHTS ACCREDATION OFFICE FOR 5F LOBBY</v>
      </c>
    </row>
    <row r="386">
      <c r="A386" s="234">
        <f>IFERROR(__xludf.DUMMYFUNCTION("""COMPUTED_VALUE"""),105219.0)</f>
        <v>105219</v>
      </c>
      <c r="B386" s="235" t="str">
        <f>IFERROR(__xludf.DUMMYFUNCTION("""COMPUTED_VALUE"""),"ALFA DE LEON ")</f>
        <v>ALFA DE LEON </v>
      </c>
      <c r="C386" s="235" t="str">
        <f>IFERROR(__xludf.DUMMYFUNCTION("""COMPUTED_VALUE"""),"LANDSCAPING")</f>
        <v>LANDSCAPING</v>
      </c>
      <c r="D386" s="196" t="str">
        <f>IFERROR(__xludf.DUMMYFUNCTION("""COMPUTED_VALUE"""),"30 EUGENIA ")</f>
        <v>30 EUGENIA </v>
      </c>
      <c r="E386" s="196" t="str">
        <f>IFERROR(__xludf.DUMMYFUNCTION("""COMPUTED_VALUE"""),"MONACH PARK MAINTENANCE OF PLANTS ")</f>
        <v>MONACH PARK MAINTENANCE OF PLANTS </v>
      </c>
    </row>
    <row r="387">
      <c r="A387" s="234">
        <f>IFERROR(__xludf.DUMMYFUNCTION("""COMPUTED_VALUE"""),105220.0)</f>
        <v>105220</v>
      </c>
      <c r="B387" s="235" t="str">
        <f>IFERROR(__xludf.DUMMYFUNCTION("""COMPUTED_VALUE"""),"MELISSA NAVAL ODONO")</f>
        <v>MELISSA NAVAL ODONO</v>
      </c>
      <c r="C387" s="235" t="str">
        <f>IFERROR(__xludf.DUMMYFUNCTION("""COMPUTED_VALUE"""),"LIBRARY STAR")</f>
        <v>LIBRARY STAR</v>
      </c>
      <c r="D387" s="196" t="str">
        <f>IFERROR(__xludf.DUMMYFUNCTION("""COMPUTED_VALUE"""),"USB FLASHDRIVE 64 GB ")</f>
        <v>USB FLASHDRIVE 64 GB </v>
      </c>
      <c r="E387" s="196" t="str">
        <f>IFERROR(__xludf.DUMMYFUNCTION("""COMPUTED_VALUE"""),"FOR LIBRARY USE")</f>
        <v>FOR LIBRARY USE</v>
      </c>
    </row>
    <row r="388">
      <c r="A388" s="234">
        <f>IFERROR(__xludf.DUMMYFUNCTION("""COMPUTED_VALUE"""),105221.0)</f>
        <v>105221</v>
      </c>
      <c r="B388" s="235" t="str">
        <f>IFERROR(__xludf.DUMMYFUNCTION("""COMPUTED_VALUE"""),"RACHEL JANE PAMATI AN ")</f>
        <v>RACHEL JANE PAMATI AN </v>
      </c>
      <c r="C388" s="235" t="str">
        <f>IFERROR(__xludf.DUMMYFUNCTION("""COMPUTED_VALUE"""),"ADMIN - STAR")</f>
        <v>ADMIN - STAR</v>
      </c>
      <c r="D388" s="196" t="str">
        <f>IFERROR(__xludf.DUMMYFUNCTION("""COMPUTED_VALUE"""),"1 PRESSURE WASHER W/SPRAYER ")</f>
        <v>1 PRESSURE WASHER W/SPRAYER </v>
      </c>
      <c r="E388" s="196" t="str">
        <f>IFERROR(__xludf.DUMMYFUNCTION("""COMPUTED_VALUE"""),"PRESSURE WASHER FOR CLEANING MAINTENANCE OF EPDM AT QUADRANGLE ")</f>
        <v>PRESSURE WASHER FOR CLEANING MAINTENANCE OF EPDM AT QUADRANGLE </v>
      </c>
    </row>
    <row r="389">
      <c r="A389" s="234">
        <f>IFERROR(__xludf.DUMMYFUNCTION("""COMPUTED_VALUE"""),105222.0)</f>
        <v>105222</v>
      </c>
      <c r="B389" s="235" t="str">
        <f>IFERROR(__xludf.DUMMYFUNCTION("""COMPUTED_VALUE"""),"SAMEYA GARCIA ")</f>
        <v>SAMEYA GARCIA </v>
      </c>
      <c r="C389" s="235" t="str">
        <f>IFERROR(__xludf.DUMMYFUNCTION("""COMPUTED_VALUE"""),"ADMIN")</f>
        <v>ADMIN</v>
      </c>
      <c r="D389" s="196" t="str">
        <f>IFERROR(__xludf.DUMMYFUNCTION("""COMPUTED_VALUE"""),"55 SANTA FIGURINES 
209 IKEA LUNCH BAGS 
209 IKEA FOOD CONTAINER W/ LIDS 
209 BLACK GIFT BOXES (10""X 10"")
55 BLACK GIFTS BOXES (VARIOUS SIZES DEPENDING ON THE SIZE OF THE FIGURINES )
15M PURPLE SATIN RIBBONS (1INCH) (15 METERS)")</f>
        <v>55 SANTA FIGURINES 
209 IKEA LUNCH BAGS 
209 IKEA FOOD CONTAINER W/ LIDS 
209 BLACK GIFT BOXES (10"X 10")
55 BLACK GIFTS BOXES (VARIOUS SIZES DEPENDING ON THE SIZE OF THE FIGURINES )
15M PURPLE SATIN RIBBONS (1INCH) (15 METERS)</v>
      </c>
      <c r="E389" s="196" t="str">
        <f>IFERROR(__xludf.DUMMYFUNCTION("""COMPUTED_VALUE"""),"ADMIN CHRISTMAS GIVEAWAYS ")</f>
        <v>ADMIN CHRISTMAS GIVEAWAYS </v>
      </c>
    </row>
    <row r="390">
      <c r="A390" s="234">
        <f>IFERROR(__xludf.DUMMYFUNCTION("""COMPUTED_VALUE"""),105223.0)</f>
        <v>105223</v>
      </c>
      <c r="B390" s="235" t="str">
        <f>IFERROR(__xludf.DUMMYFUNCTION("""COMPUTED_VALUE"""),"SAMEYA GARCIA ")</f>
        <v>SAMEYA GARCIA </v>
      </c>
      <c r="C390" s="235" t="str">
        <f>IFERROR(__xludf.DUMMYFUNCTION("""COMPUTED_VALUE"""),"ADMIN")</f>
        <v>ADMIN</v>
      </c>
      <c r="D390" s="196" t="str">
        <f>IFERROR(__xludf.DUMMYFUNCTION("""COMPUTED_VALUE"""),"106 CHRISTMAS FOOD PACK @ 300.00 EACH")</f>
        <v>106 CHRISTMAS FOOD PACK @ 300.00 EACH</v>
      </c>
      <c r="E390" s="196" t="str">
        <f>IFERROR(__xludf.DUMMYFUNCTION("""COMPUTED_VALUE"""),"ADMIN CHRISTMAS GIVEAWAYS ")</f>
        <v>ADMIN CHRISTMAS GIVEAWAYS </v>
      </c>
    </row>
    <row r="391">
      <c r="A391" s="234">
        <f>IFERROR(__xludf.DUMMYFUNCTION("""COMPUTED_VALUE"""),105224.0)</f>
        <v>105224</v>
      </c>
      <c r="B391" s="235" t="str">
        <f>IFERROR(__xludf.DUMMYFUNCTION("""COMPUTED_VALUE"""),"RACHEL JANE PAMATI AN ")</f>
        <v>RACHEL JANE PAMATI AN </v>
      </c>
      <c r="C391" s="235" t="str">
        <f>IFERROR(__xludf.DUMMYFUNCTION("""COMPUTED_VALUE"""),"ADMIN - STAR")</f>
        <v>ADMIN - STAR</v>
      </c>
      <c r="D391" s="196" t="str">
        <f>IFERROR(__xludf.DUMMYFUNCTION("""COMPUTED_VALUE"""),"10 CURTAIN LIGHTS LED (WARM WHITE )")</f>
        <v>10 CURTAIN LIGHTS LED (WARM WHITE )</v>
      </c>
      <c r="E391" s="196" t="str">
        <f>IFERROR(__xludf.DUMMYFUNCTION("""COMPUTED_VALUE"""),"CURTAINS LIGHTS FOR CHRISTMAS DECORATION FRONT GATE ")</f>
        <v>CURTAINS LIGHTS FOR CHRISTMAS DECORATION FRONT GATE </v>
      </c>
    </row>
    <row r="392">
      <c r="A392" s="234">
        <f>IFERROR(__xludf.DUMMYFUNCTION("""COMPUTED_VALUE"""),105225.0)</f>
        <v>105225</v>
      </c>
      <c r="B392" s="235" t="str">
        <f>IFERROR(__xludf.DUMMYFUNCTION("""COMPUTED_VALUE"""),"ALFA DE LEON ")</f>
        <v>ALFA DE LEON </v>
      </c>
      <c r="C392" s="235" t="str">
        <f>IFERROR(__xludf.DUMMYFUNCTION("""COMPUTED_VALUE"""),"ADMIN - MUNICH")</f>
        <v>ADMIN - MUNICH</v>
      </c>
      <c r="D392" s="196" t="str">
        <f>IFERROR(__xludf.DUMMYFUNCTION("""COMPUTED_VALUE"""),"1 ORBIT FAN")</f>
        <v>1 ORBIT FAN</v>
      </c>
      <c r="E392" s="196" t="str">
        <f>IFERROR(__xludf.DUMMYFUNCTION("""COMPUTED_VALUE"""),"CLASSROOM 203 REPLACEMENT OF BROKEN FAN ")</f>
        <v>CLASSROOM 203 REPLACEMENT OF BROKEN FAN </v>
      </c>
    </row>
    <row r="393">
      <c r="A393" s="234">
        <f>IFERROR(__xludf.DUMMYFUNCTION("""COMPUTED_VALUE"""),105226.0)</f>
        <v>105226</v>
      </c>
      <c r="B393" s="235" t="str">
        <f>IFERROR(__xludf.DUMMYFUNCTION("""COMPUTED_VALUE"""),"ALFA DE LEON ")</f>
        <v>ALFA DE LEON </v>
      </c>
      <c r="C393" s="235" t="str">
        <f>IFERROR(__xludf.DUMMYFUNCTION("""COMPUTED_VALUE"""),"ADMIN - MUNICH")</f>
        <v>ADMIN - MUNICH</v>
      </c>
      <c r="D393" s="196" t="str">
        <f>IFERROR(__xludf.DUMMYFUNCTION("""COMPUTED_VALUE"""),"2 SEAT COVER ")</f>
        <v>2 SEAT COVER </v>
      </c>
      <c r="E393" s="196" t="str">
        <f>IFERROR(__xludf.DUMMYFUNCTION("""COMPUTED_VALUE"""),"RESTROOM 1/F EW FEMALE ")</f>
        <v>RESTROOM 1/F EW FEMALE </v>
      </c>
    </row>
    <row r="394">
      <c r="A394" s="234">
        <f>IFERROR(__xludf.DUMMYFUNCTION("""COMPUTED_VALUE"""),105227.0)</f>
        <v>105227</v>
      </c>
      <c r="B394" s="235" t="str">
        <f>IFERROR(__xludf.DUMMYFUNCTION("""COMPUTED_VALUE"""),"SHEREE ESPINOSA ")</f>
        <v>SHEREE ESPINOSA </v>
      </c>
      <c r="C394" s="235" t="str">
        <f>IFERROR(__xludf.DUMMYFUNCTION("""COMPUTED_VALUE"""),"ADMIN")</f>
        <v>ADMIN</v>
      </c>
      <c r="D394" s="196" t="str">
        <f>IFERROR(__xludf.DUMMYFUNCTION("""COMPUTED_VALUE"""),"10PCS OMNI I-WAY SWITCH (3 GANG SIZE) IN IVORY PLATE 16A (DESIGNER SERIES) DP3-S213
14PCS PANASONIC FLOOR OUTLET WITH GROUNDING 
4PCS PANASONIC DU5983LT9 POP UP FLOOR OUTLET DUPLEX GROUNDING DUPLEX UNIVERSAL WITH SAFETY SHUTTER W/ OUTLET BOX AND BOX PROTE"&amp;"CTOR - 250V 16A ")</f>
        <v>10PCS OMNI I-WAY SWITCH (3 GANG SIZE) IN IVORY PLATE 16A (DESIGNER SERIES) DP3-S213
14PCS PANASONIC FLOOR OUTLET WITH GROUNDING 
4PCS PANASONIC DU5983LT9 POP UP FLOOR OUTLET DUPLEX GROUNDING DUPLEX UNIVERSAL WITH SAFETY SHUTTER W/ OUTLET BOX AND BOX PROTECTOR - 250V 16A </v>
      </c>
      <c r="E394" s="196" t="str">
        <f>IFERROR(__xludf.DUMMYFUNCTION("""COMPUTED_VALUE"""),"5F COLLEGE OUTLET AND SWITCHES SCHEDULE")</f>
        <v>5F COLLEGE OUTLET AND SWITCHES SCHEDULE</v>
      </c>
    </row>
    <row r="395">
      <c r="A395" s="234">
        <f>IFERROR(__xludf.DUMMYFUNCTION("""COMPUTED_VALUE"""),105228.0)</f>
        <v>105228</v>
      </c>
      <c r="B395" s="235" t="str">
        <f>IFERROR(__xludf.DUMMYFUNCTION("""COMPUTED_VALUE"""),"SHEREE ESPINOSA ")</f>
        <v>SHEREE ESPINOSA </v>
      </c>
      <c r="C395" s="235" t="str">
        <f>IFERROR(__xludf.DUMMYFUNCTION("""COMPUTED_VALUE"""),"ADMIN")</f>
        <v>ADMIN</v>
      </c>
      <c r="D395" s="196" t="str">
        <f>IFERROR(__xludf.DUMMYFUNCTION("""COMPUTED_VALUE"""),"11 PCS OMNI 1 GANG PLATE IN IVORY (DESIGNER SERIES)DWP 110 
11 PCS TELEPHONE OUTLET 4-PINSIN IVORY (DESIGNER SERIES) DWP 302
6PCS FAULT IN IVORY PLATE 20A (DESIGNER SERIES) D6FCI-201 PK")</f>
        <v>11 PCS OMNI 1 GANG PLATE IN IVORY (DESIGNER SERIES)DWP 110 
11 PCS TELEPHONE OUTLET 4-PINSIN IVORY (DESIGNER SERIES) DWP 302
6PCS FAULT IN IVORY PLATE 20A (DESIGNER SERIES) D6FCI-201 PK</v>
      </c>
      <c r="E395" s="196" t="str">
        <f>IFERROR(__xludf.DUMMYFUNCTION("""COMPUTED_VALUE"""),"5F COLLEGE OUTLET AND SWITCHES SCHEDULE ")</f>
        <v>5F COLLEGE OUTLET AND SWITCHES SCHEDULE </v>
      </c>
    </row>
    <row r="396">
      <c r="A396" s="234">
        <f>IFERROR(__xludf.DUMMYFUNCTION("""COMPUTED_VALUE"""),105229.0)</f>
        <v>105229</v>
      </c>
      <c r="B396" s="235" t="str">
        <f>IFERROR(__xludf.DUMMYFUNCTION("""COMPUTED_VALUE"""),"SHEREE ESPINOSA ")</f>
        <v>SHEREE ESPINOSA </v>
      </c>
      <c r="C396" s="235" t="str">
        <f>IFERROR(__xludf.DUMMYFUNCTION("""COMPUTED_VALUE"""),"ADMIN")</f>
        <v>ADMIN</v>
      </c>
      <c r="D396" s="196" t="str">
        <f>IFERROR(__xludf.DUMMYFUNCTION("""COMPUTED_VALUE"""),"14PCS OMNI 3PCS 1 WAY SWITCH IN IVORY PLATE 16A (DESIGNER SERIES) DP3-3213
14PCS OMNI 2PCS 1 WAY SWITCH (MEDIUM SIZE) IN IVORY PLATE 16A (DESIGNER SERIES) DP3 5313 
19 PCS OMNI 2 GANG USB SWITCH IN IVORY PLATE 5V 2.1 A (DESIGNER SERIES ) DP1 USB 
63 PCS O"&amp;"MNI DUPLEX UNIVERSAL OUTLET WITH GROUND IN IVORY PLATE 16A (DESIGNER SERIES) DP3 WU-402")</f>
        <v>14PCS OMNI 3PCS 1 WAY SWITCH IN IVORY PLATE 16A (DESIGNER SERIES) DP3-3213
14PCS OMNI 2PCS 1 WAY SWITCH (MEDIUM SIZE) IN IVORY PLATE 16A (DESIGNER SERIES) DP3 5313 
19 PCS OMNI 2 GANG USB SWITCH IN IVORY PLATE 5V 2.1 A (DESIGNER SERIES ) DP1 USB 
63 PCS OMNI DUPLEX UNIVERSAL OUTLET WITH GROUND IN IVORY PLATE 16A (DESIGNER SERIES) DP3 WU-402</v>
      </c>
      <c r="E396" s="196" t="str">
        <f>IFERROR(__xludf.DUMMYFUNCTION("""COMPUTED_VALUE"""),"5F COLLEGE OUTLET AND SWITCHES SCHEDULE ")</f>
        <v>5F COLLEGE OUTLET AND SWITCHES SCHEDULE </v>
      </c>
    </row>
    <row r="397">
      <c r="A397" s="234">
        <f>IFERROR(__xludf.DUMMYFUNCTION("""COMPUTED_VALUE"""),105230.0)</f>
        <v>105230</v>
      </c>
      <c r="B397" s="235" t="str">
        <f>IFERROR(__xludf.DUMMYFUNCTION("""COMPUTED_VALUE"""),"SHEREE ESPINOSA ")</f>
        <v>SHEREE ESPINOSA </v>
      </c>
      <c r="C397" s="235" t="str">
        <f>IFERROR(__xludf.DUMMYFUNCTION("""COMPUTED_VALUE"""),"ADMIN")</f>
        <v>ADMIN</v>
      </c>
      <c r="D397" s="196" t="str">
        <f>IFERROR(__xludf.DUMMYFUNCTION("""COMPUTED_VALUE"""),"35PCS VIRO RF1011 ROUND FIXED RECESSED LED DOWNLIGHT W/VIRO M23000K 60D WARM WHITE ON/OFF LED DRIVER 
265PCS VIRO T-GRID ASO6-N13-9M840 AROSA 600MM BASIC TGRID FLEX LIGHTING SYSTEM 13W 90 DEG. BEAM ANGLE 48V 1280LM 4000K COOLWHITE
20PCS EPO UFO CEILING MO"&amp;"UNTED EMERGENCY LIGHT 3W HEAVY DUTYWITH SELF TEST FEATURE LITHIUM ION BATTERY DAYLIGHT ")</f>
        <v>35PCS VIRO RF1011 ROUND FIXED RECESSED LED DOWNLIGHT W/VIRO M23000K 60D WARM WHITE ON/OFF LED DRIVER 
265PCS VIRO T-GRID ASO6-N13-9M840 AROSA 600MM BASIC TGRID FLEX LIGHTING SYSTEM 13W 90 DEG. BEAM ANGLE 48V 1280LM 4000K COOLWHITE
20PCS EPO UFO CEILING MOUNTED EMERGENCY LIGHT 3W HEAVY DUTYWITH SELF TEST FEATURE LITHIUM ION BATTERY DAYLIGHT </v>
      </c>
      <c r="E397" s="196" t="str">
        <f>IFERROR(__xludf.DUMMYFUNCTION("""COMPUTED_VALUE"""),"COLLEGE 5F LIGHTS-ELEVATOR LOBBY CLASSROOM 1-5 SPED ACCRE FLEX FACULTY DEANS OFFICE CONSULTATION ROOM")</f>
        <v>COLLEGE 5F LIGHTS-ELEVATOR LOBBY CLASSROOM 1-5 SPED ACCRE FLEX FACULTY DEANS OFFICE CONSULTATION ROOM</v>
      </c>
    </row>
    <row r="398">
      <c r="A398" s="234">
        <f>IFERROR(__xludf.DUMMYFUNCTION("""COMPUTED_VALUE"""),105231.0)</f>
        <v>105231</v>
      </c>
      <c r="B398" s="235" t="str">
        <f>IFERROR(__xludf.DUMMYFUNCTION("""COMPUTED_VALUE"""),"SHEREE ESPINOSA ")</f>
        <v>SHEREE ESPINOSA </v>
      </c>
      <c r="C398" s="235" t="str">
        <f>IFERROR(__xludf.DUMMYFUNCTION("""COMPUTED_VALUE"""),"ADMIN")</f>
        <v>ADMIN</v>
      </c>
      <c r="D398" s="196" t="str">
        <f>IFERROR(__xludf.DUMMYFUNCTION("""COMPUTED_VALUE"""),"60PCS TERRAZO
REORDER:
70 BAGS ADHESIVE
40 BAGS CEMENT
250 BAGS BINISTAY
10 LT SEALER")</f>
        <v>60PCS TERRAZO
REORDER:
70 BAGS ADHESIVE
40 BAGS CEMENT
250 BAGS BINISTAY
10 LT SEALER</v>
      </c>
      <c r="E398" s="196" t="str">
        <f>IFERROR(__xludf.DUMMYFUNCTION("""COMPUTED_VALUE"""),"COLLEGE WALKWAY ADDITIONAL DUE TO REVISE DESIGN ")</f>
        <v>COLLEGE WALKWAY ADDITIONAL DUE TO REVISE DESIGN </v>
      </c>
    </row>
    <row r="399">
      <c r="A399" s="234">
        <f>IFERROR(__xludf.DUMMYFUNCTION("""COMPUTED_VALUE"""),105232.0)</f>
        <v>105232</v>
      </c>
      <c r="B399" s="235" t="str">
        <f>IFERROR(__xludf.DUMMYFUNCTION("""COMPUTED_VALUE"""),"LYKA PERALTA")</f>
        <v>LYKA PERALTA</v>
      </c>
      <c r="C399" s="235" t="str">
        <f>IFERROR(__xludf.DUMMYFUNCTION("""COMPUTED_VALUE"""),"AMD")</f>
        <v>AMD</v>
      </c>
      <c r="D399" s="196" t="str">
        <f>IFERROR(__xludf.DUMMYFUNCTION("""COMPUTED_VALUE"""),"3 REAMS PAPER FORTUNE GROUNDWOVE MIMEO LONG (500PCS)")</f>
        <v>3 REAMS PAPER FORTUNE GROUNDWOVE MIMEO LONG (500PCS)</v>
      </c>
      <c r="E399" s="196" t="str">
        <f>IFERROR(__xludf.DUMMYFUNCTION("""COMPUTED_VALUE"""),"OSSUP STOCK REPLENISHMENT ")</f>
        <v>OSSUP STOCK REPLENISHMENT </v>
      </c>
    </row>
    <row r="400">
      <c r="A400" s="234">
        <f>IFERROR(__xludf.DUMMYFUNCTION("""COMPUTED_VALUE"""),105233.0)</f>
        <v>105233</v>
      </c>
      <c r="B400" s="235" t="str">
        <f>IFERROR(__xludf.DUMMYFUNCTION("""COMPUTED_VALUE"""),"LYKA PERALTA")</f>
        <v>LYKA PERALTA</v>
      </c>
      <c r="C400" s="235" t="str">
        <f>IFERROR(__xludf.DUMMYFUNCTION("""COMPUTED_VALUE"""),"AMD")</f>
        <v>AMD</v>
      </c>
      <c r="D400" s="196" t="str">
        <f>IFERROR(__xludf.DUMMYFUNCTION("""COMPUTED_VALUE"""),"15PCS RIBBON CARTRIDGE EPSON LX310 SO15632 ")</f>
        <v>15PCS RIBBON CARTRIDGE EPSON LX310 SO15632 </v>
      </c>
      <c r="E400" s="196" t="str">
        <f>IFERROR(__xludf.DUMMYFUNCTION("""COMPUTED_VALUE"""),"OSSUP STOCK REPLENISHMENT ")</f>
        <v>OSSUP STOCK REPLENISHMENT </v>
      </c>
    </row>
    <row r="401">
      <c r="A401" s="234">
        <f>IFERROR(__xludf.DUMMYFUNCTION("""COMPUTED_VALUE"""),105234.0)</f>
        <v>105234</v>
      </c>
      <c r="B401" s="235" t="str">
        <f>IFERROR(__xludf.DUMMYFUNCTION("""COMPUTED_VALUE"""),"LYKA PERALTA")</f>
        <v>LYKA PERALTA</v>
      </c>
      <c r="C401" s="235" t="str">
        <f>IFERROR(__xludf.DUMMYFUNCTION("""COMPUTED_VALUE"""),"AMD")</f>
        <v>AMD</v>
      </c>
      <c r="D401" s="196" t="str">
        <f>IFERROR(__xludf.DUMMYFUNCTION("""COMPUTED_VALUE"""),"10PCS CUTTER, HANDY BIG L300 GRP")</f>
        <v>10PCS CUTTER, HANDY BIG L300 GRP</v>
      </c>
      <c r="E401" s="196" t="str">
        <f>IFERROR(__xludf.DUMMYFUNCTION("""COMPUTED_VALUE"""),"OSSUP STOCK REPLENISHMENT ")</f>
        <v>OSSUP STOCK REPLENISHMENT </v>
      </c>
    </row>
    <row r="402">
      <c r="A402" s="234">
        <f>IFERROR(__xludf.DUMMYFUNCTION("""COMPUTED_VALUE"""),105235.0)</f>
        <v>105235</v>
      </c>
      <c r="B402" s="235" t="str">
        <f>IFERROR(__xludf.DUMMYFUNCTION("""COMPUTED_VALUE"""),"LYKA PERALTA")</f>
        <v>LYKA PERALTA</v>
      </c>
      <c r="C402" s="235" t="str">
        <f>IFERROR(__xludf.DUMMYFUNCTION("""COMPUTED_VALUE"""),"AMD")</f>
        <v>AMD</v>
      </c>
      <c r="D402" s="196" t="str">
        <f>IFERROR(__xludf.DUMMYFUNCTION("""COMPUTED_VALUE"""),"100 BOXES CLIP BINDER JOY 3/4 ")</f>
        <v>100 BOXES CLIP BINDER JOY 3/4 </v>
      </c>
      <c r="E402" s="196" t="str">
        <f>IFERROR(__xludf.DUMMYFUNCTION("""COMPUTED_VALUE"""),"OSSUP STOCK REPLENISHMENT ")</f>
        <v>OSSUP STOCK REPLENISHMENT </v>
      </c>
    </row>
    <row r="403">
      <c r="A403" s="234">
        <f>IFERROR(__xludf.DUMMYFUNCTION("""COMPUTED_VALUE"""),105236.0)</f>
        <v>105236</v>
      </c>
      <c r="B403" s="235" t="str">
        <f>IFERROR(__xludf.DUMMYFUNCTION("""COMPUTED_VALUE"""),"LYKA PERALTA")</f>
        <v>LYKA PERALTA</v>
      </c>
      <c r="C403" s="235" t="str">
        <f>IFERROR(__xludf.DUMMYFUNCTION("""COMPUTED_VALUE"""),"AMD")</f>
        <v>AMD</v>
      </c>
      <c r="D403" s="196" t="str">
        <f>IFERROR(__xludf.DUMMYFUNCTION("""COMPUTED_VALUE"""),"60 PCS PENCIL MONGOL REGULAR NO. 1 (OSSUP)")</f>
        <v>60 PCS PENCIL MONGOL REGULAR NO. 1 (OSSUP)</v>
      </c>
      <c r="E403" s="196" t="str">
        <f>IFERROR(__xludf.DUMMYFUNCTION("""COMPUTED_VALUE"""),"OSSUP STOCK REPLENISHMENT ")</f>
        <v>OSSUP STOCK REPLENISHMENT </v>
      </c>
    </row>
    <row r="404">
      <c r="A404" s="234">
        <f>IFERROR(__xludf.DUMMYFUNCTION("""COMPUTED_VALUE"""),105237.0)</f>
        <v>105237</v>
      </c>
      <c r="B404" s="235" t="str">
        <f>IFERROR(__xludf.DUMMYFUNCTION("""COMPUTED_VALUE"""),"LYKA PERALTA")</f>
        <v>LYKA PERALTA</v>
      </c>
      <c r="C404" s="235" t="str">
        <f>IFERROR(__xludf.DUMMYFUNCTION("""COMPUTED_VALUE"""),"AMD")</f>
        <v>AMD</v>
      </c>
      <c r="D404" s="196" t="str">
        <f>IFERROR(__xludf.DUMMYFUNCTION("""COMPUTED_VALUE"""),"70PCS CLEARBOOK REFILLER LONG 3 HOLES
300PCS CLEARBOOK REFILLER SHORT 3 HOLES")</f>
        <v>70PCS CLEARBOOK REFILLER LONG 3 HOLES
300PCS CLEARBOOK REFILLER SHORT 3 HOLES</v>
      </c>
      <c r="E404" s="196" t="str">
        <f>IFERROR(__xludf.DUMMYFUNCTION("""COMPUTED_VALUE"""),"OSSUP STOCK REPLENISHMENT ")</f>
        <v>OSSUP STOCK REPLENISHMENT </v>
      </c>
    </row>
    <row r="405">
      <c r="A405" s="234">
        <f>IFERROR(__xludf.DUMMYFUNCTION("""COMPUTED_VALUE"""),105238.0)</f>
        <v>105238</v>
      </c>
      <c r="B405" s="235" t="str">
        <f>IFERROR(__xludf.DUMMYFUNCTION("""COMPUTED_VALUE"""),"ALFA DE LEON ")</f>
        <v>ALFA DE LEON </v>
      </c>
      <c r="C405" s="235" t="str">
        <f>IFERROR(__xludf.DUMMYFUNCTION("""COMPUTED_VALUE"""),"ADMIN - MUNICH")</f>
        <v>ADMIN - MUNICH</v>
      </c>
      <c r="D405" s="196" t="str">
        <f>IFERROR(__xludf.DUMMYFUNCTION("""COMPUTED_VALUE"""),"300 PCS. BULBS CAPIZ PAROL")</f>
        <v>300 PCS. BULBS CAPIZ PAROL</v>
      </c>
      <c r="E405" s="196" t="str">
        <f>IFERROR(__xludf.DUMMYFUNCTION("""COMPUTED_VALUE"""),"REPLACEMENT OF BUSTED BULB FOR ALL THE CAPIZ THAT ARE NOT WORKING")</f>
        <v>REPLACEMENT OF BUSTED BULB FOR ALL THE CAPIZ THAT ARE NOT WORKING</v>
      </c>
    </row>
    <row r="406">
      <c r="A406" s="234">
        <f>IFERROR(__xludf.DUMMYFUNCTION("""COMPUTED_VALUE"""),105239.0)</f>
        <v>105239</v>
      </c>
      <c r="B406" s="235" t="str">
        <f>IFERROR(__xludf.DUMMYFUNCTION("""COMPUTED_VALUE"""),"SHEREE ESPINOSA ")</f>
        <v>SHEREE ESPINOSA </v>
      </c>
      <c r="C406" s="235" t="str">
        <f>IFERROR(__xludf.DUMMYFUNCTION("""COMPUTED_VALUE"""),"ADMIN - LUX")</f>
        <v>ADMIN - LUX</v>
      </c>
      <c r="D406" s="196" t="str">
        <f>IFERROR(__xludf.DUMMYFUNCTION("""COMPUTED_VALUE"""),"30 BOXES TILES (60X60)
750 BAGS BINISTAY (151 KL./BAG)
2 PCS. WHITE QUARTZ 4X8
20 BAGS CEMENT
20 BAGS ADHESIVE")</f>
        <v>30 BOXES TILES (60X60)
750 BAGS BINISTAY (151 KL./BAG)
2 PCS. WHITE QUARTZ 4X8
20 BAGS CEMENT
20 BAGS ADHESIVE</v>
      </c>
      <c r="E406" s="196" t="str">
        <f>IFERROR(__xludf.DUMMYFUNCTION("""COMPUTED_VALUE"""),"5F COLLEGE - ADDITIONAL TILES ON THE ACTUAL MEASUREMENT")</f>
        <v>5F COLLEGE - ADDITIONAL TILES ON THE ACTUAL MEASUREMENT</v>
      </c>
    </row>
    <row r="407">
      <c r="A407" s="234">
        <f>IFERROR(__xludf.DUMMYFUNCTION("""COMPUTED_VALUE"""),105240.0)</f>
        <v>105240</v>
      </c>
      <c r="B407" s="235" t="str">
        <f>IFERROR(__xludf.DUMMYFUNCTION("""COMPUTED_VALUE"""),"OWIE PAR ")</f>
        <v>OWIE PAR </v>
      </c>
      <c r="C407" s="235" t="str">
        <f>IFERROR(__xludf.DUMMYFUNCTION("""COMPUTED_VALUE"""),"ENGINEERING")</f>
        <v>ENGINEERING</v>
      </c>
      <c r="D407" s="196" t="str">
        <f>IFERROR(__xludf.DUMMYFUNCTION("""COMPUTED_VALUE"""),"2 PCS. STREET LIGHT L.E.D 80 W")</f>
        <v>2 PCS. STREET LIGHT L.E.D 80 W</v>
      </c>
      <c r="E407" s="196" t="str">
        <f>IFERROR(__xludf.DUMMYFUNCTION("""COMPUTED_VALUE"""),"FOR LUX PARKING")</f>
        <v>FOR LUX PARKING</v>
      </c>
    </row>
    <row r="408">
      <c r="A408" s="234">
        <f>IFERROR(__xludf.DUMMYFUNCTION("""COMPUTED_VALUE"""),105241.0)</f>
        <v>105241</v>
      </c>
      <c r="B408" s="235" t="str">
        <f>IFERROR(__xludf.DUMMYFUNCTION("""COMPUTED_VALUE"""),"JENNY FONTE/SHERYL MANALO")</f>
        <v>JENNY FONTE/SHERYL MANALO</v>
      </c>
      <c r="C408" s="235" t="str">
        <f>IFERROR(__xludf.DUMMYFUNCTION("""COMPUTED_VALUE"""),"MIUNICH ")</f>
        <v>MIUNICH </v>
      </c>
      <c r="D408" s="196" t="str">
        <f>IFERROR(__xludf.DUMMYFUNCTION("""COMPUTED_VALUE"""),"INFLATABLE PLAY BOUNCE")</f>
        <v>INFLATABLE PLAY BOUNCE</v>
      </c>
      <c r="E408" s="196" t="str">
        <f>IFERROR(__xludf.DUMMYFUNCTION("""COMPUTED_VALUE"""),"TO BE USED DURING EVENTS INSTEAD OF RENTING ")</f>
        <v>TO BE USED DURING EVENTS INSTEAD OF RENTING </v>
      </c>
    </row>
    <row r="409">
      <c r="A409" s="234">
        <f>IFERROR(__xludf.DUMMYFUNCTION("""COMPUTED_VALUE"""),105242.0)</f>
        <v>105242</v>
      </c>
      <c r="B409" s="235" t="str">
        <f>IFERROR(__xludf.DUMMYFUNCTION("""COMPUTED_VALUE"""),"NHYSSA ADAOAG")</f>
        <v>NHYSSA ADAOAG</v>
      </c>
      <c r="C409" s="235" t="str">
        <f>IFERROR(__xludf.DUMMYFUNCTION("""COMPUTED_VALUE"""),"AUDIT")</f>
        <v>AUDIT</v>
      </c>
      <c r="D409" s="196" t="str">
        <f>IFERROR(__xludf.DUMMYFUNCTION("""COMPUTED_VALUE"""),"8 PCS. 2 GANG OUTLET (SURFACE TYPE)
1 ROLL FLATCORD #18
8 PCS. PVC UTILITY BOX
3 PCS. MOOLDONGS 1/2 (PLASTIC)")</f>
        <v>8 PCS. 2 GANG OUTLET (SURFACE TYPE)
1 ROLL FLATCORD #18
8 PCS. PVC UTILITY BOX
3 PCS. MOOLDONGS 1/2 (PLASTIC)</v>
      </c>
      <c r="E409" s="196" t="str">
        <f>IFERROR(__xludf.DUMMYFUNCTION("""COMPUTED_VALUE"""),"MATERIALS FOR AUDIT CCTV INSTALLATION")</f>
        <v>MATERIALS FOR AUDIT CCTV INSTALLATION</v>
      </c>
    </row>
    <row r="410">
      <c r="A410" s="234">
        <f>IFERROR(__xludf.DUMMYFUNCTION("""COMPUTED_VALUE"""),105243.0)</f>
        <v>105243</v>
      </c>
      <c r="B410" s="235" t="str">
        <f>IFERROR(__xludf.DUMMYFUNCTION("""COMPUTED_VALUE"""),"RODRIGO CUSTODIO")</f>
        <v>RODRIGO CUSTODIO</v>
      </c>
      <c r="C410" s="235" t="str">
        <f>IFERROR(__xludf.DUMMYFUNCTION("""COMPUTED_VALUE"""),"AMD")</f>
        <v>AMD</v>
      </c>
      <c r="D410" s="196" t="str">
        <f>IFERROR(__xludf.DUMMYFUNCTION("""COMPUTED_VALUE"""),"900PCS TISSUE JUMBO ROLL, 200METERS")</f>
        <v>900PCS TISSUE JUMBO ROLL, 200METERS</v>
      </c>
      <c r="E410" s="196" t="str">
        <f>IFERROR(__xludf.DUMMYFUNCTION("""COMPUTED_VALUE"""),"HOUSEKEEPING MATERIALS- STOCK REPLENISHMENT")</f>
        <v>HOUSEKEEPING MATERIALS- STOCK REPLENISHMENT</v>
      </c>
    </row>
    <row r="411">
      <c r="A411" s="234">
        <f>IFERROR(__xludf.DUMMYFUNCTION("""COMPUTED_VALUE"""),105244.0)</f>
        <v>105244</v>
      </c>
      <c r="B411" s="235" t="str">
        <f>IFERROR(__xludf.DUMMYFUNCTION("""COMPUTED_VALUE"""),"MELISSA NAVAL ODONO")</f>
        <v>MELISSA NAVAL ODONO</v>
      </c>
      <c r="C411" s="235" t="str">
        <f>IFERROR(__xludf.DUMMYFUNCTION("""COMPUTED_VALUE"""),"LIBRARY COLLEGE")</f>
        <v>LIBRARY COLLEGE</v>
      </c>
      <c r="D411" s="196" t="str">
        <f>IFERROR(__xludf.DUMMYFUNCTION("""COMPUTED_VALUE"""),"10 BSA BOOKS
Accounting Information  System pb.pb				
Basics Of Accounting pb.				
Contemporary Issues In Finance and Insolvency Law Volume 1 pb. pb				
Corporate Financial Accounting				
Financial Accounting pb. pb				
Financial Management and Accou"&amp;"nting in the Public Sector pb. 3e. pb				
Investment Banks, Hedge Funds and Private Equity hb.4e.hb                                				
ISE Accounting What The Numbers Mean pb.13ed.pb.				
ISE Advanced Financial Accounting pb.13ed.pb.				
ISE Analysis"&amp;" for Financial Management pb.13ed.pb.				")</f>
        <v>10 BSA BOOKS
Accounting Information  System pb.pb				
Basics Of Accounting pb.				
Contemporary Issues In Finance and Insolvency Law Volume 1 pb. pb				
Corporate Financial Accounting				
Financial Accounting pb. pb				
Financial Management and Accounting in the Public Sector pb. 3e. pb				
Investment Banks, Hedge Funds and Private Equity hb.4e.hb                                				
ISE Accounting What The Numbers Mean pb.13ed.pb.				
ISE Advanced Financial Accounting pb.13ed.pb.				
ISE Analysis for Financial Management pb.13ed.pb.				</v>
      </c>
      <c r="E411" s="196" t="str">
        <f>IFERROR(__xludf.DUMMYFUNCTION("""COMPUTED_VALUE"""),"FOR PACUCOA COMPLIANCE ")</f>
        <v>FOR PACUCOA COMPLIANCE </v>
      </c>
    </row>
    <row r="412">
      <c r="A412" s="234">
        <f>IFERROR(__xludf.DUMMYFUNCTION("""COMPUTED_VALUE"""),105245.0)</f>
        <v>105245</v>
      </c>
      <c r="B412" s="235" t="str">
        <f>IFERROR(__xludf.DUMMYFUNCTION("""COMPUTED_VALUE"""),"MELISSA NAVAL ODONO")</f>
        <v>MELISSA NAVAL ODONO</v>
      </c>
      <c r="C412" s="235" t="str">
        <f>IFERROR(__xludf.DUMMYFUNCTION("""COMPUTED_VALUE"""),"LIBRARY COLLEGE")</f>
        <v>LIBRARY COLLEGE</v>
      </c>
      <c r="D412" s="196" t="str">
        <f>IFERROR(__xludf.DUMMYFUNCTION("""COMPUTED_VALUE"""),"10 BSA BOOKS
ISE College Accounting A Contemporary Approach  pb.6ed.pb.				
ISE Consolidated Financial Statement Singapore pb.4ed.pb.				
ISE Essentials of Corporate Finance 11ed.pb.				
ISE Ethical Obligations and Decission Making in Accounting Text a"&amp;"nd Cases.pb. 6ed.pb.				
ISE Finance Applications &amp; Theory  6ed.pb.				
ISE Financial Accounting 11ed.pb.				
ISE Foundations of Financial Management pb.18ed.pb.				
ISE Fundamentals  Managerial Accounting Concepts pb.10ed.pb.				
ISE Fundamentals  o"&amp;"f Corporate Finance pb.11ed.pb.				
ISE Fundamentals  of Cost Accounting pb.7ed.pb.				")</f>
        <v>10 BSA BOOKS
ISE College Accounting A Contemporary Approach  pb.6ed.pb.				
ISE Consolidated Financial Statement Singapore pb.4ed.pb.				
ISE Essentials of Corporate Finance 11ed.pb.				
ISE Ethical Obligations and Decission Making in Accounting Text and Cases.pb. 6ed.pb.				
ISE Finance Applications &amp; Theory  6ed.pb.				
ISE Financial Accounting 11ed.pb.				
ISE Foundations of Financial Management pb.18ed.pb.				
ISE Fundamentals  Managerial Accounting Concepts pb.10ed.pb.				
ISE Fundamentals  of Corporate Finance pb.11ed.pb.				
ISE Fundamentals  of Cost Accounting pb.7ed.pb.				</v>
      </c>
      <c r="E412" s="196" t="str">
        <f>IFERROR(__xludf.DUMMYFUNCTION("""COMPUTED_VALUE"""),"FOR PACUCOA COMPLIANCE")</f>
        <v>FOR PACUCOA COMPLIANCE</v>
      </c>
    </row>
    <row r="413">
      <c r="A413" s="234">
        <f>IFERROR(__xludf.DUMMYFUNCTION("""COMPUTED_VALUE"""),105246.0)</f>
        <v>105246</v>
      </c>
      <c r="B413" s="235" t="str">
        <f>IFERROR(__xludf.DUMMYFUNCTION("""COMPUTED_VALUE"""),"MELISSA NAVAL ODONO")</f>
        <v>MELISSA NAVAL ODONO</v>
      </c>
      <c r="C413" s="235" t="str">
        <f>IFERROR(__xludf.DUMMYFUNCTION("""COMPUTED_VALUE"""),"LIBRARY COLLEGE")</f>
        <v>LIBRARY COLLEGE</v>
      </c>
      <c r="D413" s="196" t="str">
        <f>IFERROR(__xludf.DUMMYFUNCTION("""COMPUTED_VALUE"""),"9 BSA BOOKS
ISE Intermediate Accounting pb.11ed.pb.				
ISE Managerial Accounting  for Managers pb.6ed.pb.				
ISE Managerial Accounting  pb.5ed.pb.				
Managerial Accounting  hb.hb.				
Managerial Accounting  16ed.hb				
Public Financial Management "&amp;"and Internal Control pb.pb.				
Responsible Finance and Accounting Performance and Profit for Better Business Society and Planet hb.hb.				
Responsible Investment An Insider's Account of What's Working. What's Not and Where Next. pb.pb.				
Sustainable"&amp;" Finance and Investments.hb				")</f>
        <v>9 BSA BOOKS
ISE Intermediate Accounting pb.11ed.pb.				
ISE Managerial Accounting  for Managers pb.6ed.pb.				
ISE Managerial Accounting  pb.5ed.pb.				
Managerial Accounting  hb.hb.				
Managerial Accounting  16ed.hb				
Public Financial Management and Internal Control pb.pb.				
Responsible Finance and Accounting Performance and Profit for Better Business Society and Planet hb.hb.				
Responsible Investment An Insider's Account of What's Working. What's Not and Where Next. pb.pb.				
Sustainable Finance and Investments.hb				</v>
      </c>
      <c r="E413" s="196" t="str">
        <f>IFERROR(__xludf.DUMMYFUNCTION("""COMPUTED_VALUE"""),"FOR PACUCOA COMPLIANCE ")</f>
        <v>FOR PACUCOA COMPLIANCE </v>
      </c>
    </row>
    <row r="414">
      <c r="A414" s="234">
        <f>IFERROR(__xludf.DUMMYFUNCTION("""COMPUTED_VALUE"""),105247.0)</f>
        <v>105247</v>
      </c>
      <c r="B414" s="235" t="str">
        <f>IFERROR(__xludf.DUMMYFUNCTION("""COMPUTED_VALUE"""),"MELISSA NAVAL ODONO")</f>
        <v>MELISSA NAVAL ODONO</v>
      </c>
      <c r="C414" s="235" t="str">
        <f>IFERROR(__xludf.DUMMYFUNCTION("""COMPUTED_VALUE"""),"LIBRARY COLLEGE")</f>
        <v>LIBRARY COLLEGE</v>
      </c>
      <c r="D414" s="196" t="str">
        <f>IFERROR(__xludf.DUMMYFUNCTION("""COMPUTED_VALUE"""),"10 BSA BOOKS
Accounting 2024 12th				
Accounting 4 Financial 2022, PB				
Auditing Basic 2024				
Auditing 12/e 2022				
Auditing Theory &amp; Practice, 2023,PB				
Banking Resilience  &amp; Global Financial Stability 2024 				
Banking Resilience, 2024 HB		"&amp;"		
College Accounting Chapters 1-27, 2025,24e, HB				
CPA Exam  for Dummies 2024				
Financial &amp; Managerial Accounting 2023				")</f>
        <v>10 BSA BOOKS
Accounting 2024 12th				
Accounting 4 Financial 2022, PB				
Auditing Basic 2024				
Auditing 12/e 2022				
Auditing Theory &amp; Practice, 2023,PB				
Banking Resilience  &amp; Global Financial Stability 2024 				
Banking Resilience, 2024 HB				
College Accounting Chapters 1-27, 2025,24e, HB				
CPA Exam  for Dummies 2024				
Financial &amp; Managerial Accounting 2023				</v>
      </c>
      <c r="E414" s="196" t="str">
        <f>IFERROR(__xludf.DUMMYFUNCTION("""COMPUTED_VALUE"""),"FOR PACUCOA COMPLIANCE ")</f>
        <v>FOR PACUCOA COMPLIANCE </v>
      </c>
    </row>
    <row r="415">
      <c r="A415" s="234">
        <f>IFERROR(__xludf.DUMMYFUNCTION("""COMPUTED_VALUE"""),105248.0)</f>
        <v>105248</v>
      </c>
      <c r="B415" s="235" t="str">
        <f>IFERROR(__xludf.DUMMYFUNCTION("""COMPUTED_VALUE"""),"MELISSA NAVAL ODONO")</f>
        <v>MELISSA NAVAL ODONO</v>
      </c>
      <c r="C415" s="235" t="str">
        <f>IFERROR(__xludf.DUMMYFUNCTION("""COMPUTED_VALUE"""),"LIBRARY COLLEGE")</f>
        <v>LIBRARY COLLEGE</v>
      </c>
      <c r="D415" s="196" t="str">
        <f>IFERROR(__xludf.DUMMYFUNCTION("""COMPUTED_VALUE"""),"10 BSA BOOKS 
Global Corporate Finance: A Focused Approach, 2024 4e,pb				
Intermediate Accounting: Reporting and Analysis, 2024,4e HB				
International Accounting 2024				
Introduction to Managerial  Accounting 2025, PB				
Managerial  Accounting 13/"&amp;"e 2023				
Managerial  Accounting, 9th ed 2024				
Personal Finance: Tax Update, 2021,13e, HB				
Quickbooks Online for Accounting 2025 8ed.PB				
The Audit Process 8/e 2024				
Wiley GAAP 2024, 2024, PB				")</f>
        <v>10 BSA BOOKS 
Global Corporate Finance: A Focused Approach, 2024 4e,pb				
Intermediate Accounting: Reporting and Analysis, 2024,4e HB				
International Accounting 2024				
Introduction to Managerial  Accounting 2025, PB				
Managerial  Accounting 13/e 2023				
Managerial  Accounting, 9th ed 2024				
Personal Finance: Tax Update, 2021,13e, HB				
Quickbooks Online for Accounting 2025 8ed.PB				
The Audit Process 8/e 2024				
Wiley GAAP 2024, 2024, PB				</v>
      </c>
      <c r="E415" s="196" t="str">
        <f>IFERROR(__xludf.DUMMYFUNCTION("""COMPUTED_VALUE"""),"FOR PACUCOA COMPLIANCE ")</f>
        <v>FOR PACUCOA COMPLIANCE </v>
      </c>
    </row>
    <row r="416">
      <c r="A416" s="234">
        <f>IFERROR(__xludf.DUMMYFUNCTION("""COMPUTED_VALUE"""),105249.0)</f>
        <v>105249</v>
      </c>
      <c r="B416" s="235" t="str">
        <f>IFERROR(__xludf.DUMMYFUNCTION("""COMPUTED_VALUE"""),"MELISSA NAVAL ODONO")</f>
        <v>MELISSA NAVAL ODONO</v>
      </c>
      <c r="C416" s="235" t="str">
        <f>IFERROR(__xludf.DUMMYFUNCTION("""COMPUTED_VALUE"""),"LIBRARY COLLEGE")</f>
        <v>LIBRARY COLLEGE</v>
      </c>
      <c r="D416" s="196" t="str">
        <f>IFERROR(__xludf.DUMMYFUNCTION("""COMPUTED_VALUE"""),"10 BSA BOOKS 
Financial Accounting for Managerial 2024                                
Financial Accounting, 2024,12e, PB                                
Financial Accounting: The Cornerstone of Business Decission-Making 2025,6e, PB                      "&amp;"          
Financial Management: Partner in Driving Performance and Value, 2024, HB                                
Financial Markets &amp; Institutions, 2025, 14e PB                                
FinTech Research &amp; Applications 2023                        "&amp;"        
Focus On Personal Finance. 2024, PB                                
Foresinc : Accounting &amp; Fraud Examination 3e 2024                                
Fundamentals  of Corporate Finance, 2024, PB                                
Fundamentals  of Fi"&amp;"nancial Accounting, 2025,8e, PB                                ")</f>
        <v>10 BSA BOOKS 
Financial Accounting for Managerial 2024                                
Financial Accounting, 2024,12e, PB                                
Financial Accounting: The Cornerstone of Business Decission-Making 2025,6e, PB                                
Financial Management: Partner in Driving Performance and Value, 2024, HB                                
Financial Markets &amp; Institutions, 2025, 14e PB                                
FinTech Research &amp; Applications 2023                                
Focus On Personal Finance. 2024, PB                                
Foresinc : Accounting &amp; Fraud Examination 3e 2024                                
Fundamentals  of Corporate Finance, 2024, PB                                
Fundamentals  of Financial Accounting, 2025,8e, PB                                </v>
      </c>
      <c r="E416" s="196" t="str">
        <f>IFERROR(__xludf.DUMMYFUNCTION("""COMPUTED_VALUE"""),"FOR PACUCOA COMPLIANCE ")</f>
        <v>FOR PACUCOA COMPLIANCE </v>
      </c>
    </row>
    <row r="417">
      <c r="A417" s="234">
        <f>IFERROR(__xludf.DUMMYFUNCTION("""COMPUTED_VALUE"""),105250.0)</f>
        <v>105250</v>
      </c>
      <c r="B417" s="235" t="str">
        <f>IFERROR(__xludf.DUMMYFUNCTION("""COMPUTED_VALUE"""),"OWIE PAR ")</f>
        <v>OWIE PAR </v>
      </c>
      <c r="C417" s="235" t="str">
        <f>IFERROR(__xludf.DUMMYFUNCTION("""COMPUTED_VALUE"""),"ENGINEERING")</f>
        <v>ENGINEERING</v>
      </c>
      <c r="D417" s="196" t="str">
        <f>IFERROR(__xludf.DUMMYFUNCTION("""COMPUTED_VALUE"""),"1 ROLL THHN#12 PD
1ROLL FLEXIBLE PIPE 1/2 75 METERS ")</f>
        <v>1 ROLL THHN#12 PD
1ROLL FLEXIBLE PIPE 1/2 75 METERS </v>
      </c>
      <c r="E417" s="196" t="str">
        <f>IFERROR(__xludf.DUMMYFUNCTION("""COMPUTED_VALUE"""),"FOR MUNICH PLAYGROUND REWIRING OF POWER OUTLET ")</f>
        <v>FOR MUNICH PLAYGROUND REWIRING OF POWER OUTLET </v>
      </c>
    </row>
    <row r="418">
      <c r="A418" s="234">
        <f>IFERROR(__xludf.DUMMYFUNCTION("""COMPUTED_VALUE"""),105251.0)</f>
        <v>105251</v>
      </c>
      <c r="B418" s="235" t="str">
        <f>IFERROR(__xludf.DUMMYFUNCTION("""COMPUTED_VALUE"""),"SHEREE ESPINOSA ")</f>
        <v>SHEREE ESPINOSA </v>
      </c>
      <c r="C418" s="235" t="str">
        <f>IFERROR(__xludf.DUMMYFUNCTION("""COMPUTED_VALUE"""),"ADMIN")</f>
        <v>ADMIN</v>
      </c>
      <c r="D418" s="196" t="str">
        <f>IFERROR(__xludf.DUMMYFUNCTION("""COMPUTED_VALUE"""),"80 PCS SUBWAY TILE ")</f>
        <v>80 PCS SUBWAY TILE </v>
      </c>
      <c r="E418" s="196" t="str">
        <f>IFERROR(__xludf.DUMMYFUNCTION("""COMPUTED_VALUE"""),"COLLEGE WALKWAY ADDITIONAL WALL DESIGN TILES BASED ON THE ACTUAL MEASUREMENT ")</f>
        <v>COLLEGE WALKWAY ADDITIONAL WALL DESIGN TILES BASED ON THE ACTUAL MEASUREMENT </v>
      </c>
    </row>
    <row r="419">
      <c r="A419" s="234">
        <f>IFERROR(__xludf.DUMMYFUNCTION("""COMPUTED_VALUE"""),105252.0)</f>
        <v>105252</v>
      </c>
      <c r="B419" s="235" t="str">
        <f>IFERROR(__xludf.DUMMYFUNCTION("""COMPUTED_VALUE"""),"OWIE PAR")</f>
        <v>OWIE PAR</v>
      </c>
      <c r="C419" s="235" t="str">
        <f>IFERROR(__xludf.DUMMYFUNCTION("""COMPUTED_VALUE"""),"ENGINEERING")</f>
        <v>ENGINEERING</v>
      </c>
      <c r="D419" s="196" t="str">
        <f>IFERROR(__xludf.DUMMYFUNCTION("""COMPUTED_VALUE"""),"1 ROLL THHN #12 PO, 1 ROLL FLEXIBLE PIPE 1/2 75 METER ")</f>
        <v>1 ROLL THHN #12 PO, 1 ROLL FLEXIBLE PIPE 1/2 75 METER </v>
      </c>
      <c r="E419" s="196" t="str">
        <f>IFERROR(__xludf.DUMMYFUNCTION("""COMPUTED_VALUE"""),"FOR MUNICH PLAYGROPUND REWIRING OF POWER OUTLET")</f>
        <v>FOR MUNICH PLAYGROPUND REWIRING OF POWER OUTLET</v>
      </c>
    </row>
    <row r="420">
      <c r="A420" s="234">
        <f>IFERROR(__xludf.DUMMYFUNCTION("""COMPUTED_VALUE"""),105253.0)</f>
        <v>105253</v>
      </c>
      <c r="B420" s="235" t="str">
        <f>IFERROR(__xludf.DUMMYFUNCTION("""COMPUTED_VALUE"""),"MELISSA NAVAL ODOÑO/ DR. ARIS IGNACIO")</f>
        <v>MELISSA NAVAL ODOÑO/ DR. ARIS IGNACIO</v>
      </c>
      <c r="C420" s="235" t="str">
        <f>IFERROR(__xludf.DUMMYFUNCTION("""COMPUTED_VALUE"""),"LIBRARY COLLEGE")</f>
        <v>LIBRARY COLLEGE</v>
      </c>
      <c r="D420" s="196" t="str">
        <f>IFERROR(__xludf.DUMMYFUNCTION("""COMPUTED_VALUE"""),"Embedded System, 2024 2e, PB					
Grid Computing Tecnhiques and Applications 					
Guide to Computer Forensics and Investigations					
Handbook of Software Fault..					
How to become a data analyst 					
Illustrated Handbook of Classic Operating Syst"&amp;"em 					
Information Management: Strategies for Gaining aCompetitive...					
Machine Learning Applications from Computer Vision to Robotics					
Object Oriented Software Engineering					
Object-Oriented Analysis and Design for Information System					
"&amp;"
Symmetric Cryptography 1: Design and Security Proofs					")</f>
        <v>Embedded System, 2024 2e, PB					
Grid Computing Tecnhiques and Applications 					
Guide to Computer Forensics and Investigations					
Handbook of Software Fault..					
How to become a data analyst 					
Illustrated Handbook of Classic Operating System 					
Information Management: Strategies for Gaining aCompetitive...					
Machine Learning Applications from Computer Vision to Robotics					
Object Oriented Software Engineering					
Object-Oriented Analysis and Design for Information System					
Symmetric Cryptography 1: Design and Security Proofs					</v>
      </c>
      <c r="E420" s="196" t="str">
        <f>IFERROR(__xludf.DUMMYFUNCTION("""COMPUTED_VALUE"""),"FOR PACUCOA COMPLIANCE - LEVEL 1 (BSIT), LEVEL 4 (MIT)")</f>
        <v>FOR PACUCOA COMPLIANCE - LEVEL 1 (BSIT), LEVEL 4 (MIT)</v>
      </c>
    </row>
    <row r="421">
      <c r="A421" s="234">
        <f>IFERROR(__xludf.DUMMYFUNCTION("""COMPUTED_VALUE"""),105254.0)</f>
        <v>105254</v>
      </c>
      <c r="B421" s="235" t="str">
        <f>IFERROR(__xludf.DUMMYFUNCTION("""COMPUTED_VALUE"""),"OWIE PAR ")</f>
        <v>OWIE PAR </v>
      </c>
      <c r="C421" s="235" t="str">
        <f>IFERROR(__xludf.DUMMYFUNCTION("""COMPUTED_VALUE"""),"ENGINEERING")</f>
        <v>ENGINEERING</v>
      </c>
      <c r="D421" s="196" t="str">
        <f>IFERROR(__xludf.DUMMYFUNCTION("""COMPUTED_VALUE"""),"1 UNIT 3.0 HP WALL MOUNTED ACU")</f>
        <v>1 UNIT 3.0 HP WALL MOUNTED ACU</v>
      </c>
      <c r="E421" s="196" t="str">
        <f>IFERROR(__xludf.DUMMYFUNCTION("""COMPUTED_VALUE"""),"REPLACEMENT OF STOCK COMPRESSOR FOR LUX RM 406 ")</f>
        <v>REPLACEMENT OF STOCK COMPRESSOR FOR LUX RM 406 </v>
      </c>
    </row>
    <row r="422">
      <c r="A422" s="234">
        <f>IFERROR(__xludf.DUMMYFUNCTION("""COMPUTED_VALUE"""),105255.0)</f>
        <v>105255</v>
      </c>
      <c r="B422" s="235" t="str">
        <f>IFERROR(__xludf.DUMMYFUNCTION("""COMPUTED_VALUE"""),"OWIE PAR ")</f>
        <v>OWIE PAR </v>
      </c>
      <c r="C422" s="235" t="str">
        <f>IFERROR(__xludf.DUMMYFUNCTION("""COMPUTED_VALUE"""),"ENGINEERING")</f>
        <v>ENGINEERING</v>
      </c>
      <c r="D422" s="196" t="str">
        <f>IFERROR(__xludf.DUMMYFUNCTION("""COMPUTED_VALUE"""),"2PCS DOWN LIGHTS LED MODEL 59526 (PHILIPS)")</f>
        <v>2PCS DOWN LIGHTS LED MODEL 59526 (PHILIPS)</v>
      </c>
      <c r="E422" s="196" t="str">
        <f>IFERROR(__xludf.DUMMYFUNCTION("""COMPUTED_VALUE"""),"FOR LUX HALL GIRL CR")</f>
        <v>FOR LUX HALL GIRL CR</v>
      </c>
    </row>
    <row r="423">
      <c r="A423" s="234">
        <f>IFERROR(__xludf.DUMMYFUNCTION("""COMPUTED_VALUE"""),105256.0)</f>
        <v>105256</v>
      </c>
      <c r="B423" s="235" t="str">
        <f>IFERROR(__xludf.DUMMYFUNCTION("""COMPUTED_VALUE"""),"CARLITO DELA VEGA ")</f>
        <v>CARLITO DELA VEGA </v>
      </c>
      <c r="C423" s="235" t="str">
        <f>IFERROR(__xludf.DUMMYFUNCTION("""COMPUTED_VALUE"""),"SECURITY")</f>
        <v>SECURITY</v>
      </c>
      <c r="D423" s="196" t="str">
        <f>IFERROR(__xludf.DUMMYFUNCTION("""COMPUTED_VALUE"""),"20 PCS MOPULDING WHITE 1"" X 12"" ")</f>
        <v>20 PCS MOPULDING WHITE 1" X 12" </v>
      </c>
      <c r="E423" s="196" t="str">
        <f>IFERROR(__xludf.DUMMYFUNCTION("""COMPUTED_VALUE"""),"MUNICH CCTV WIRING")</f>
        <v>MUNICH CCTV WIRING</v>
      </c>
    </row>
    <row r="424">
      <c r="A424" s="234">
        <f>IFERROR(__xludf.DUMMYFUNCTION("""COMPUTED_VALUE"""),105257.0)</f>
        <v>105257</v>
      </c>
      <c r="B424" s="235" t="str">
        <f>IFERROR(__xludf.DUMMYFUNCTION("""COMPUTED_VALUE"""),"JESUIT CHRISTIAN GALICIA")</f>
        <v>JESUIT CHRISTIAN GALICIA</v>
      </c>
      <c r="C424" s="235" t="str">
        <f>IFERROR(__xludf.DUMMYFUNCTION("""COMPUTED_VALUE"""),"AMD")</f>
        <v>AMD</v>
      </c>
      <c r="D424" s="196" t="str">
        <f>IFERROR(__xludf.DUMMYFUNCTION("""COMPUTED_VALUE"""),"200 PCS LED BULB 8W DAYLIGHT - PHILIPS")</f>
        <v>200 PCS LED BULB 8W DAYLIGHT - PHILIPS</v>
      </c>
      <c r="E424" s="196" t="str">
        <f>IFERROR(__xludf.DUMMYFUNCTION("""COMPUTED_VALUE"""),"ENGINEERING WAREHOUSE STOCK REPLENISHMENT ")</f>
        <v>ENGINEERING WAREHOUSE STOCK REPLENISHMENT </v>
      </c>
    </row>
    <row r="425">
      <c r="A425" s="234">
        <f>IFERROR(__xludf.DUMMYFUNCTION("""COMPUTED_VALUE"""),105258.0)</f>
        <v>105258</v>
      </c>
      <c r="B425" s="235" t="str">
        <f>IFERROR(__xludf.DUMMYFUNCTION("""COMPUTED_VALUE"""),"LYKA PERALTA")</f>
        <v>LYKA PERALTA</v>
      </c>
      <c r="C425" s="235" t="str">
        <f>IFERROR(__xludf.DUMMYFUNCTION("""COMPUTED_VALUE"""),"AMD")</f>
        <v>AMD</v>
      </c>
      <c r="D425" s="196" t="str">
        <f>IFERROR(__xludf.DUMMYFUNCTION("""COMPUTED_VALUE"""),"400 PCS TAPE SCOTCH 3M(1"")
150 PCS TAPE DOUBLE SIDED TAPE W/O FOAM 
100 PCS TAPE PACKAGING TAPE (2"")")</f>
        <v>400 PCS TAPE SCOTCH 3M(1")
150 PCS TAPE DOUBLE SIDED TAPE W/O FOAM 
100 PCS TAPE PACKAGING TAPE (2")</v>
      </c>
      <c r="E425" s="196" t="str">
        <f>IFERROR(__xludf.DUMMYFUNCTION("""COMPUTED_VALUE"""),"OSSUP STOCK REPLENISHMENT ")</f>
        <v>OSSUP STOCK REPLENISHMENT </v>
      </c>
    </row>
    <row r="426">
      <c r="A426" s="234">
        <f>IFERROR(__xludf.DUMMYFUNCTION("""COMPUTED_VALUE"""),105259.0)</f>
        <v>105259</v>
      </c>
      <c r="B426" s="235" t="str">
        <f>IFERROR(__xludf.DUMMYFUNCTION("""COMPUTED_VALUE"""),"MELISSA ODOÑO/ DR. ARIS IGNACIO")</f>
        <v>MELISSA ODOÑO/ DR. ARIS IGNACIO</v>
      </c>
      <c r="C426" s="235" t="str">
        <f>IFERROR(__xludf.DUMMYFUNCTION("""COMPUTED_VALUE"""),"LIBRARY COLLEGE")</f>
        <v>LIBRARY COLLEGE</v>
      </c>
      <c r="D426" s="196" t="str">
        <f>IFERROR(__xludf.DUMMYFUNCTION("""COMPUTED_VALUE"""),"3GE Collection on com Sci: System Engineering Of Software -Enabled systems 2024 HB					
Applying Artificia Intelligence Oin Cybersecurity analytics &amp; cyber Threat Detection					
CompTIA A+: guide to IT Technical Suppoet 2023 11e HB					
Concurrent, Par"&amp;"alllel &amp; Distributed Computing 2023, HB					
Convergence: Artificial Intelligence and Quantum computing 2023 HB 					
Cybersecurity Guide to Governance, Risk and Complianc, 2024 HB					
Data Science Fundamentals with R, Python and Open Date, 2024 HB			"&amp;"		
Data Vuisualization: Exploring and Explaoining with DAta, 2025 PB 					
Embedded A Software System Testing, HB					
Embedded System Worl Class Designs 2024 HB					")</f>
        <v>3GE Collection on com Sci: System Engineering Of Software -Enabled systems 2024 HB					
Applying Artificia Intelligence Oin Cybersecurity analytics &amp; cyber Threat Detection					
CompTIA A+: guide to IT Technical Suppoet 2023 11e HB					
Concurrent, Paralllel &amp; Distributed Computing 2023, HB					
Convergence: Artificial Intelligence and Quantum computing 2023 HB 					
Cybersecurity Guide to Governance, Risk and Complianc, 2024 HB					
Data Science Fundamentals with R, Python and Open Date, 2024 HB					
Data Vuisualization: Exploring and Explaoining with DAta, 2025 PB 					
Embedded A Software System Testing, HB					
Embedded System Worl Class Designs 2024 HB					</v>
      </c>
      <c r="E426" s="196" t="str">
        <f>IFERROR(__xludf.DUMMYFUNCTION("""COMPUTED_VALUE"""),"PACUCUOA  COMPLIANCE LEVEL 1 (MIT) LEVEL 4 (BSIT)")</f>
        <v>PACUCUOA  COMPLIANCE LEVEL 1 (MIT) LEVEL 4 (BSIT)</v>
      </c>
    </row>
    <row r="427">
      <c r="A427" s="234">
        <f>IFERROR(__xludf.DUMMYFUNCTION("""COMPUTED_VALUE"""),105260.0)</f>
        <v>105260</v>
      </c>
      <c r="B427" s="235" t="str">
        <f>IFERROR(__xludf.DUMMYFUNCTION("""COMPUTED_VALUE"""),"OWIE PAR")</f>
        <v>OWIE PAR</v>
      </c>
      <c r="C427" s="235" t="str">
        <f>IFERROR(__xludf.DUMMYFUNCTION("""COMPUTED_VALUE"""),"ENGINEERING")</f>
        <v>ENGINEERING</v>
      </c>
      <c r="D427" s="196" t="str">
        <f>IFERROR(__xludf.DUMMYFUNCTION("""COMPUTED_VALUE"""),"2X2X8 SXS KD 10 PCS., PLYWOOD 1/4 X 4 X 8 2 PCS., ACRYLIC CLEAR 3MM X 100 CM X 220 CM, HINGES 1X2 2 PAIRS ")</f>
        <v>2X2X8 SXS KD 10 PCS., PLYWOOD 1/4 X 4 X 8 2 PCS., ACRYLIC CLEAR 3MM X 100 CM X 220 CM, HINGES 1X2 2 PAIRS </v>
      </c>
      <c r="E427" s="196" t="str">
        <f>IFERROR(__xludf.DUMMYFUNCTION("""COMPUTED_VALUE"""),"FOR FABRICATION OF MASCOT OF MASCOT CAGE AS PER REQUEST OF PR DEPT.")</f>
        <v>FOR FABRICATION OF MASCOT OF MASCOT CAGE AS PER REQUEST OF PR DEPT.</v>
      </c>
    </row>
    <row r="428">
      <c r="A428" s="234">
        <f>IFERROR(__xludf.DUMMYFUNCTION("""COMPUTED_VALUE"""),105261.0)</f>
        <v>105261</v>
      </c>
      <c r="B428" s="235" t="str">
        <f>IFERROR(__xludf.DUMMYFUNCTION("""COMPUTED_VALUE"""),"MELISSA ODOÑO/ KEI GABUTERO")</f>
        <v>MELISSA ODOÑO/ KEI GABUTERO</v>
      </c>
      <c r="C428" s="235" t="str">
        <f>IFERROR(__xludf.DUMMYFUNCTION("""COMPUTED_VALUE"""),"LIBRARY COLLEGE")</f>
        <v>LIBRARY COLLEGE</v>
      </c>
      <c r="D428" s="196" t="str">
        <f>IFERROR(__xludf.DUMMYFUNCTION("""COMPUTED_VALUE"""),"Alternative &amp; Activist New Media, 2023 PB					
Becoming Rhetorical, 2024, 2e, PB					
Global Media dialogues, Industry, Politics, and culture, 2024 PB					
Imperfect Art of Making News, The 2024 HB					
Introduction to Mass Communication Media Literac"&amp;"y and Culture, 2024 PB					
Management of Electronic and Digital Media, 2024 PB					
Mass Communications and Media Studies: An Introduction 2024 PB					
Media now: Undestanding Media, culture and Technology, 2025 11e, PB					
Media of Mass Communicati"&amp;"on 2024, PB					
Media Publicity and Coverage, 2024, HB					")</f>
        <v>Alternative &amp; Activist New Media, 2023 PB					
Becoming Rhetorical, 2024, 2e, PB					
Global Media dialogues, Industry, Politics, and culture, 2024 PB					
Imperfect Art of Making News, The 2024 HB					
Introduction to Mass Communication Media Literacy and Culture, 2024 PB					
Management of Electronic and Digital Media, 2024 PB					
Mass Communications and Media Studies: An Introduction 2024 PB					
Media now: Undestanding Media, culture and Technology, 2025 11e, PB					
Media of Mass Communication 2024, PB					
Media Publicity and Coverage, 2024, HB					</v>
      </c>
      <c r="E428" s="196" t="str">
        <f>IFERROR(__xludf.DUMMYFUNCTION("""COMPUTED_VALUE"""),"FOR PACUCUOA COMPLIANCE LEVEL 1")</f>
        <v>FOR PACUCUOA COMPLIANCE LEVEL 1</v>
      </c>
    </row>
    <row r="429">
      <c r="A429" s="234">
        <f>IFERROR(__xludf.DUMMYFUNCTION("""COMPUTED_VALUE"""),105262.0)</f>
        <v>105262</v>
      </c>
      <c r="B429" s="235" t="str">
        <f>IFERROR(__xludf.DUMMYFUNCTION("""COMPUTED_VALUE"""),"MELISSA ODOÑO/ KEI GABUTERO")</f>
        <v>MELISSA ODOÑO/ KEI GABUTERO</v>
      </c>
      <c r="C429" s="235" t="str">
        <f>IFERROR(__xludf.DUMMYFUNCTION("""COMPUTED_VALUE"""),"LIBRARY COLLEGE")</f>
        <v>LIBRARY COLLEGE</v>
      </c>
      <c r="D429" s="196" t="str">
        <f>IFERROR(__xludf.DUMMYFUNCTION("""COMPUTED_VALUE"""),"Media Technologies and Posthuman Intimacy 2023, PB					
Media, Economy and Society: A Critical Introduction, 2024, PB					
Modern Electronic Media and Broadcasting, 2024, PB					
Recognition in the Age Of Social Media, 2024, PB					
Researching Digita"&amp;"l Media and Society, 2024, PB					
Social Dynamics of Mass Communication, 2024, HB					
Strategic Management in the Media, 2024 3e, PB					
Strategic Socia Media From Marketing to Social Change, 2024 2e, PB					
Synergy of Music and Image in Audiovisu"&amp;"al Culture, The 2024, PB					
Technology and Digital Media, 2024, PB					")</f>
        <v>Media Technologies and Posthuman Intimacy 2023, PB					
Media, Economy and Society: A Critical Introduction, 2024, PB					
Modern Electronic Media and Broadcasting, 2024, PB					
Recognition in the Age Of Social Media, 2024, PB					
Researching Digital Media and Society, 2024, PB					
Social Dynamics of Mass Communication, 2024, HB					
Strategic Management in the Media, 2024 3e, PB					
Strategic Socia Media From Marketing to Social Change, 2024 2e, PB					
Synergy of Music and Image in Audiovisual Culture, The 2024, PB					
Technology and Digital Media, 2024, PB					</v>
      </c>
      <c r="E429" s="196" t="str">
        <f>IFERROR(__xludf.DUMMYFUNCTION("""COMPUTED_VALUE"""),"FOR PACUCUOA COMPLIANCE LEVEL 1")</f>
        <v>FOR PACUCUOA COMPLIANCE LEVEL 1</v>
      </c>
    </row>
    <row r="430">
      <c r="A430" s="234">
        <f>IFERROR(__xludf.DUMMYFUNCTION("""COMPUTED_VALUE"""),105263.0)</f>
        <v>105263</v>
      </c>
      <c r="B430" s="235" t="str">
        <f>IFERROR(__xludf.DUMMYFUNCTION("""COMPUTED_VALUE"""),"RACHEL JANE PAMATI AN ")</f>
        <v>RACHEL JANE PAMATI AN </v>
      </c>
      <c r="C430" s="235" t="str">
        <f>IFERROR(__xludf.DUMMYFUNCTION("""COMPUTED_VALUE"""),"ADMIN - STAR")</f>
        <v>ADMIN - STAR</v>
      </c>
      <c r="D430" s="196" t="str">
        <f>IFERROR(__xludf.DUMMYFUNCTION("""COMPUTED_VALUE"""),"1 ROLL FLAT CORD ")</f>
        <v>1 ROLL FLAT CORD </v>
      </c>
      <c r="E430" s="196" t="str">
        <f>IFERROR(__xludf.DUMMYFUNCTION("""COMPUTED_VALUE"""),"FOR EVENT PURPOSES OF STAR CAMPUS")</f>
        <v>FOR EVENT PURPOSES OF STAR CAMPUS</v>
      </c>
    </row>
    <row r="431">
      <c r="A431" s="234">
        <f>IFERROR(__xludf.DUMMYFUNCTION("""COMPUTED_VALUE"""),105264.0)</f>
        <v>105264</v>
      </c>
      <c r="B431" s="235" t="str">
        <f>IFERROR(__xludf.DUMMYFUNCTION("""COMPUTED_VALUE"""),"MELISSA ODOÑO/ KEI GABUTERO")</f>
        <v>MELISSA ODOÑO/ KEI GABUTERO</v>
      </c>
      <c r="C431" s="235" t="str">
        <f>IFERROR(__xludf.DUMMYFUNCTION("""COMPUTED_VALUE"""),"LIBRARY COLLEGE")</f>
        <v>LIBRARY COLLEGE</v>
      </c>
      <c r="D431" s="196" t="str">
        <f>IFERROR(__xludf.DUMMYFUNCTION("""COMPUTED_VALUE"""),"Your Career in the Media &amp; Creative Industries, 2024, PB					
Architural Graphics, 2024, 7e, PB					
Art, Observation, and An anthropology of Illustration, 2024, PB					
Giving typde Meaning: Context and Craft in Typography, 2024, PB					
Illustration"&amp;": a Theorical and Contextual Pderspective, 2024, 3e, PB					
Information Design Unbound, 2024, PB					
Interior Design visual Presentation, 2024, 6e, PB					
Mixed Forms of Visual Culture					
Reportage Drawing: Vision and Experience, 2024, PB					
U"&amp;"ltimate Beginners's guide to Photography, The 2023, PB					")</f>
        <v>Your Career in the Media &amp; Creative Industries, 2024, PB					
Architural Graphics, 2024, 7e, PB					
Art, Observation, and An anthropology of Illustration, 2024, PB					
Giving typde Meaning: Context and Craft in Typography, 2024, PB					
Illustration: a Theorical and Contextual Pderspective, 2024, 3e, PB					
Information Design Unbound, 2024, PB					
Interior Design visual Presentation, 2024, 6e, PB					
Mixed Forms of Visual Culture					
Reportage Drawing: Vision and Experience, 2024, PB					
Ultimate Beginners's guide to Photography, The 2023, PB					</v>
      </c>
      <c r="E431" s="196" t="str">
        <f>IFERROR(__xludf.DUMMYFUNCTION("""COMPUTED_VALUE"""),"FOR PACUCUOA COMPLIANCE LEVEL 1")</f>
        <v>FOR PACUCUOA COMPLIANCE LEVEL 1</v>
      </c>
    </row>
    <row r="432">
      <c r="A432" s="234">
        <f>IFERROR(__xludf.DUMMYFUNCTION("""COMPUTED_VALUE"""),105265.0)</f>
        <v>105265</v>
      </c>
      <c r="B432" s="235" t="str">
        <f>IFERROR(__xludf.DUMMYFUNCTION("""COMPUTED_VALUE"""),"RIZIELENE BALUTE ")</f>
        <v>RIZIELENE BALUTE </v>
      </c>
      <c r="C432" s="235" t="str">
        <f>IFERROR(__xludf.DUMMYFUNCTION("""COMPUTED_VALUE"""),"FINANCE &amp; ACCOUNTING")</f>
        <v>FINANCE &amp; ACCOUNTING</v>
      </c>
      <c r="D432" s="196" t="str">
        <f>IFERROR(__xludf.DUMMYFUNCTION("""COMPUTED_VALUE"""),"1 UNIT PRINTER COLORED - BROTHER")</f>
        <v>1 UNIT PRINTER COLORED - BROTHER</v>
      </c>
      <c r="E432" s="196" t="str">
        <f>IFERROR(__xludf.DUMMYFUNCTION("""COMPUTED_VALUE"""),"NEW COLORED PRINTER WITH SCANNER. OLD UNIT WILL BE RETURNED TO INKONVERT ")</f>
        <v>NEW COLORED PRINTER WITH SCANNER. OLD UNIT WILL BE RETURNED TO INKONVERT </v>
      </c>
    </row>
    <row r="433">
      <c r="A433" s="234">
        <f>IFERROR(__xludf.DUMMYFUNCTION("""COMPUTED_VALUE"""),105266.0)</f>
        <v>105266</v>
      </c>
      <c r="B433" s="235" t="str">
        <f>IFERROR(__xludf.DUMMYFUNCTION("""COMPUTED_VALUE"""),"JESUIT CHRISTIAN GALICIA")</f>
        <v>JESUIT CHRISTIAN GALICIA</v>
      </c>
      <c r="C433" s="235" t="str">
        <f>IFERROR(__xludf.DUMMYFUNCTION("""COMPUTED_VALUE"""),"AMD")</f>
        <v>AMD</v>
      </c>
      <c r="D433" s="196" t="str">
        <f>IFERROR(__xludf.DUMMYFUNCTION("""COMPUTED_VALUE"""),"HEAVY DUTY FLAGS
2PCS. THAILAND, VIETNAM
4PCS. ETHIOPIA, VENEZUELA, BRAZIL, PARAGUAY
3PCS. SPAIN, FRANCE, NORWAY
3PCS. CANADA, RUSSIA, ALBANIA
2PCS. SOUTH KOREA, UKRAINE")</f>
        <v>HEAVY DUTY FLAGS
2PCS. THAILAND, VIETNAM
4PCS. ETHIOPIA, VENEZUELA, BRAZIL, PARAGUAY
3PCS. SPAIN, FRANCE, NORWAY
3PCS. CANADA, RUSSIA, ALBANIA
2PCS. SOUTH KOREA, UKRAINE</v>
      </c>
      <c r="E433" s="196" t="str">
        <f>IFERROR(__xludf.DUMMYFUNCTION("""COMPUTED_VALUE"""),"ADDITIONAL AND REPLACEMENT OF OLD FLAGS")</f>
        <v>ADDITIONAL AND REPLACEMENT OF OLD FLAGS</v>
      </c>
    </row>
    <row r="434">
      <c r="A434" s="234">
        <f>IFERROR(__xludf.DUMMYFUNCTION("""COMPUTED_VALUE"""),105267.0)</f>
        <v>105267</v>
      </c>
      <c r="B434" s="235" t="str">
        <f>IFERROR(__xludf.DUMMYFUNCTION("""COMPUTED_VALUE"""),"SHEREE ESPINOSA ")</f>
        <v>SHEREE ESPINOSA </v>
      </c>
      <c r="C434" s="235" t="str">
        <f>IFERROR(__xludf.DUMMYFUNCTION("""COMPUTED_VALUE"""),"ADMIN")</f>
        <v>ADMIN</v>
      </c>
      <c r="D434" s="196" t="str">
        <f>IFERROR(__xludf.DUMMYFUNCTION("""COMPUTED_VALUE"""),"5 PCS. 1/2 PLYWOOD 1/2 X 4 X 8
10 PCS. METAL PARRING 0.8 X 5 METERS
10 LITERS SEALANT/VULCASEAL
500 BAGS BINISTAY
5 PCS. DIAMOND DISK (SUPER THIN)
5 PCS. PLYWOOD 3/4 X 4 X 8
")</f>
        <v>5 PCS. 1/2 PLYWOOD 1/2 X 4 X 8
10 PCS. METAL PARRING 0.8 X 5 METERS
10 LITERS SEALANT/VULCASEAL
500 BAGS BINISTAY
5 PCS. DIAMOND DISK (SUPER THIN)
5 PCS. PLYWOOD 3/4 X 4 X 8
</v>
      </c>
      <c r="E434" s="196" t="str">
        <f>IFERROR(__xludf.DUMMYFUNCTION("""COMPUTED_VALUE"""),"ADDTL MATERAILS (OSM) FOR 5F COLLEGE")</f>
        <v>ADDTL MATERAILS (OSM) FOR 5F COLLEGE</v>
      </c>
    </row>
    <row r="435">
      <c r="A435" s="234">
        <f>IFERROR(__xludf.DUMMYFUNCTION("""COMPUTED_VALUE"""),105268.0)</f>
        <v>105268</v>
      </c>
      <c r="B435" s="235" t="str">
        <f>IFERROR(__xludf.DUMMYFUNCTION("""COMPUTED_VALUE"""),"NESSIE LUMBRES ")</f>
        <v>NESSIE LUMBRES </v>
      </c>
      <c r="C435" s="235" t="str">
        <f>IFERROR(__xludf.DUMMYFUNCTION("""COMPUTED_VALUE"""),"DP'S OFFICE")</f>
        <v>DP'S OFFICE</v>
      </c>
      <c r="D435" s="196" t="str">
        <f>IFERROR(__xludf.DUMMYFUNCTION("""COMPUTED_VALUE"""),"4 PCS MIST FANS (INDUSTRIAL)")</f>
        <v>4 PCS MIST FANS (INDUSTRIAL)</v>
      </c>
      <c r="E435" s="196" t="str">
        <f>IFERROR(__xludf.DUMMYFUNCTION("""COMPUTED_VALUE"""),"TO REDUCE HEAT AT THE MONARCHS PARK AND LUX GROUNDS ")</f>
        <v>TO REDUCE HEAT AT THE MONARCHS PARK AND LUX GROUNDS </v>
      </c>
    </row>
    <row r="436">
      <c r="A436" s="234">
        <f>IFERROR(__xludf.DUMMYFUNCTION("""COMPUTED_VALUE"""),105269.0)</f>
        <v>105269</v>
      </c>
      <c r="B436" s="235" t="str">
        <f>IFERROR(__xludf.DUMMYFUNCTION("""COMPUTED_VALUE"""),"ALFA DE LEON")</f>
        <v>ALFA DE LEON</v>
      </c>
      <c r="C436" s="235" t="str">
        <f>IFERROR(__xludf.DUMMYFUNCTION("""COMPUTED_VALUE"""),"ADMIN - MUNICH")</f>
        <v>ADMIN - MUNICH</v>
      </c>
      <c r="D436" s="196" t="str">
        <f>IFERROR(__xludf.DUMMYFUNCTION("""COMPUTED_VALUE"""),"2 STEEL MATTING
2 ANGLE BAR 1 1/2 
1KL WELDING ROD
20 ARTIFICIAL GRASS GREEN PLANT
250 ARTIFICIAL DIFFERENT PLANTS")</f>
        <v>2 STEEL MATTING
2 ANGLE BAR 1 1/2 
1KL WELDING ROD
20 ARTIFICIAL GRASS GREEN PLANT
250 ARTIFICIAL DIFFERENT PLANTS</v>
      </c>
      <c r="E436" s="196" t="str">
        <f>IFERROR(__xludf.DUMMYFUNCTION("""COMPUTED_VALUE"""),"CARES CAFE WALL DESIGN IMPROVEMENT, GREEN WALL")</f>
        <v>CARES CAFE WALL DESIGN IMPROVEMENT, GREEN WALL</v>
      </c>
    </row>
    <row r="437">
      <c r="A437" s="234">
        <f>IFERROR(__xludf.DUMMYFUNCTION("""COMPUTED_VALUE"""),105270.0)</f>
        <v>105270</v>
      </c>
      <c r="B437" s="235" t="str">
        <f>IFERROR(__xludf.DUMMYFUNCTION("""COMPUTED_VALUE"""),"LYKA PERALTA")</f>
        <v>LYKA PERALTA</v>
      </c>
      <c r="C437" s="235" t="str">
        <f>IFERROR(__xludf.DUMMYFUNCTION("""COMPUTED_VALUE"""),"AMD")</f>
        <v>AMD</v>
      </c>
      <c r="D437" s="196" t="str">
        <f>IFERROR(__xludf.DUMMYFUNCTION("""COMPUTED_VALUE"""),"40 PCS FRAME CERTIFICATE GALSS 11X14")</f>
        <v>40 PCS FRAME CERTIFICATE GALSS 11X14</v>
      </c>
      <c r="E437" s="196" t="str">
        <f>IFERROR(__xludf.DUMMYFUNCTION("""COMPUTED_VALUE"""),"OSSUP STOCK REPLENISHMENT ")</f>
        <v>OSSUP STOCK REPLENISHMENT </v>
      </c>
    </row>
    <row r="438">
      <c r="A438" s="234">
        <f>IFERROR(__xludf.DUMMYFUNCTION("""COMPUTED_VALUE"""),105271.0)</f>
        <v>105271</v>
      </c>
      <c r="B438" s="235" t="str">
        <f>IFERROR(__xludf.DUMMYFUNCTION("""COMPUTED_VALUE"""),"ARNEL MONTABLAN")</f>
        <v>ARNEL MONTABLAN</v>
      </c>
      <c r="C438" s="235" t="str">
        <f>IFERROR(__xludf.DUMMYFUNCTION("""COMPUTED_VALUE"""),"FOUNDER SCHOLARS")</f>
        <v>FOUNDER SCHOLARS</v>
      </c>
      <c r="D438" s="196" t="str">
        <f>IFERROR(__xludf.DUMMYFUNCTION("""COMPUTED_VALUE"""),"GAS STOVE 2 BURNER")</f>
        <v>GAS STOVE 2 BURNER</v>
      </c>
      <c r="E438" s="196" t="str">
        <f>IFERROR(__xludf.DUMMYFUNCTION("""COMPUTED_VALUE"""),"FOR DORMITORY USE (LAUREL'S DORM)")</f>
        <v>FOR DORMITORY USE (LAUREL'S DORM)</v>
      </c>
    </row>
    <row r="439">
      <c r="A439" s="234">
        <f>IFERROR(__xludf.DUMMYFUNCTION("""COMPUTED_VALUE"""),105272.0)</f>
        <v>105272</v>
      </c>
      <c r="B439" s="235" t="str">
        <f>IFERROR(__xludf.DUMMYFUNCTION("""COMPUTED_VALUE"""),"RACHEL JANE PAMATI AN ")</f>
        <v>RACHEL JANE PAMATI AN </v>
      </c>
      <c r="C439" s="235" t="str">
        <f>IFERROR(__xludf.DUMMYFUNCTION("""COMPUTED_VALUE"""),"ADMIN - STAR")</f>
        <v>ADMIN - STAR</v>
      </c>
      <c r="D439" s="196" t="str">
        <f>IFERROR(__xludf.DUMMYFUNCTION("""COMPUTED_VALUE"""),"BRANDNEW SOFA FOR LEARNING VILLAGE ")</f>
        <v>BRANDNEW SOFA FOR LEARNING VILLAGE </v>
      </c>
      <c r="E439" s="196" t="str">
        <f>IFERROR(__xludf.DUMMYFUNCTION("""COMPUTED_VALUE"""),"BRANDNEW SOFA FOR LEARNING VILLAGE")</f>
        <v>BRANDNEW SOFA FOR LEARNING VILLAGE</v>
      </c>
    </row>
    <row r="440">
      <c r="A440" s="234">
        <f>IFERROR(__xludf.DUMMYFUNCTION("""COMPUTED_VALUE"""),105273.0)</f>
        <v>105273</v>
      </c>
      <c r="B440" s="235" t="str">
        <f>IFERROR(__xludf.DUMMYFUNCTION("""COMPUTED_VALUE"""),"RODRIGO CUSTODIO")</f>
        <v>RODRIGO CUSTODIO</v>
      </c>
      <c r="C440" s="235" t="str">
        <f>IFERROR(__xludf.DUMMYFUNCTION("""COMPUTED_VALUE"""),"AMD")</f>
        <v>AMD</v>
      </c>
      <c r="D440" s="196" t="str">
        <f>IFERROR(__xludf.DUMMYFUNCTION("""COMPUTED_VALUE"""),"72 TOILET BOWL CLEANER - BOWL CARE (RIV CHEM)
144 SCENTED BAYGON PROTECTOR MULTI INSECT KILLER 500 ML, CAN 
84 ZIM GLASS CLEANER, 500 ML ")</f>
        <v>72 TOILET BOWL CLEANER - BOWL CARE (RIV CHEM)
144 SCENTED BAYGON PROTECTOR MULTI INSECT KILLER 500 ML, CAN 
84 ZIM GLASS CLEANER, 500 ML </v>
      </c>
      <c r="E440" s="196" t="str">
        <f>IFERROR(__xludf.DUMMYFUNCTION("""COMPUTED_VALUE"""),"HOUSEKEEPING MATERIALS- STOCK REPLENISHMENT")</f>
        <v>HOUSEKEEPING MATERIALS- STOCK REPLENISHMENT</v>
      </c>
    </row>
    <row r="441">
      <c r="A441" s="234">
        <f>IFERROR(__xludf.DUMMYFUNCTION("""COMPUTED_VALUE"""),105274.0)</f>
        <v>105274</v>
      </c>
      <c r="B441" s="235" t="str">
        <f>IFERROR(__xludf.DUMMYFUNCTION("""COMPUTED_VALUE"""),"ALFA DE LEON")</f>
        <v>ALFA DE LEON</v>
      </c>
      <c r="C441" s="235" t="str">
        <f>IFERROR(__xludf.DUMMYFUNCTION("""COMPUTED_VALUE"""),"ADMIN")</f>
        <v>ADMIN</v>
      </c>
      <c r="D441" s="196" t="str">
        <f>IFERROR(__xludf.DUMMYFUNCTION("""COMPUTED_VALUE"""),"RIBBON RED AND GOLD
FLOWER RED AND GOLD
BALLS SMALL AND BIG 
TWIGS 
FLOWERS ")</f>
        <v>RIBBON RED AND GOLD
FLOWER RED AND GOLD
BALLS SMALL AND BIG 
TWIGS 
FLOWERS </v>
      </c>
      <c r="E441" s="196" t="str">
        <f>IFERROR(__xludf.DUMMYFUNCTION("""COMPUTED_VALUE"""),"ADDITIONAL CHRISTMAS DECORS MUNICH CAMPUS ")</f>
        <v>ADDITIONAL CHRISTMAS DECORS MUNICH CAMPUS </v>
      </c>
    </row>
    <row r="442">
      <c r="A442" s="234">
        <f>IFERROR(__xludf.DUMMYFUNCTION("""COMPUTED_VALUE"""),105275.0)</f>
        <v>105275</v>
      </c>
      <c r="B442" s="235" t="str">
        <f>IFERROR(__xludf.DUMMYFUNCTION("""COMPUTED_VALUE"""),"RACHEL JANE PAMATI AN ")</f>
        <v>RACHEL JANE PAMATI AN </v>
      </c>
      <c r="C442" s="235" t="str">
        <f>IFERROR(__xludf.DUMMYFUNCTION("""COMPUTED_VALUE"""),"ADMIN - STAR")</f>
        <v>ADMIN - STAR</v>
      </c>
      <c r="D442" s="196" t="str">
        <f>IFERROR(__xludf.DUMMYFUNCTION("""COMPUTED_VALUE"""),"2 SANTA CLAUS DECOR 
60 BOXES LIGHTS LED (WARMWHITE)
30PCS CHRISTMAS GARLAND / SWAY ")</f>
        <v>2 SANTA CLAUS DECOR 
60 BOXES LIGHTS LED (WARMWHITE)
30PCS CHRISTMAS GARLAND / SWAY </v>
      </c>
      <c r="E442" s="196" t="str">
        <f>IFERROR(__xludf.DUMMYFUNCTION("""COMPUTED_VALUE"""),"CHRISTMAS DECORS FOR STAR CAMPUS")</f>
        <v>CHRISTMAS DECORS FOR STAR CAMPUS</v>
      </c>
    </row>
    <row r="443">
      <c r="A443" s="234">
        <f>IFERROR(__xludf.DUMMYFUNCTION("""COMPUTED_VALUE"""),105276.0)</f>
        <v>105276</v>
      </c>
      <c r="B443" s="235" t="str">
        <f>IFERROR(__xludf.DUMMYFUNCTION("""COMPUTED_VALUE"""),"RACHEL JANE PAMATI AN ")</f>
        <v>RACHEL JANE PAMATI AN </v>
      </c>
      <c r="C443" s="235" t="str">
        <f>IFERROR(__xludf.DUMMYFUNCTION("""COMPUTED_VALUE"""),"ADMIN - STAR")</f>
        <v>ADMIN - STAR</v>
      </c>
      <c r="D443" s="196" t="str">
        <f>IFERROR(__xludf.DUMMYFUNCTION("""COMPUTED_VALUE"""),"1 RUBBERSIZE CHRISTMAS TREE (8FEET)")</f>
        <v>1 RUBBERSIZE CHRISTMAS TREE (8FEET)</v>
      </c>
      <c r="E443" s="196" t="str">
        <f>IFERROR(__xludf.DUMMYFUNCTION("""COMPUTED_VALUE"""),"NEW CHRISTMAS TREE FOR STAR CAMPUS QUADRANGLE ")</f>
        <v>NEW CHRISTMAS TREE FOR STAR CAMPUS QUADRANGLE </v>
      </c>
    </row>
    <row r="444">
      <c r="A444" s="234">
        <f>IFERROR(__xludf.DUMMYFUNCTION("""COMPUTED_VALUE"""),105277.0)</f>
        <v>105277</v>
      </c>
      <c r="B444" s="235" t="str">
        <f>IFERROR(__xludf.DUMMYFUNCTION("""COMPUTED_VALUE"""),"RACHEL JANE PAMATI AN ")</f>
        <v>RACHEL JANE PAMATI AN </v>
      </c>
      <c r="C444" s="235" t="str">
        <f>IFERROR(__xludf.DUMMYFUNCTION("""COMPUTED_VALUE"""),"ADMIN - STAR")</f>
        <v>ADMIN - STAR</v>
      </c>
      <c r="D444" s="196" t="str">
        <f>IFERROR(__xludf.DUMMYFUNCTION("""COMPUTED_VALUE"""),"3 DOZEN EACH FLOWERS (RED AND GOLD)
6 DOZEN EACH COLOR TWIGS (RED AND GOLD)
8 ROLLS EACH COLOR RIBBON (RED AND GOLD)
2 TUBES EACH COLOR CHRISTMAS BALLS (RED AND GOLD) 4CM/ MEDIUM SIZE 
2 CHRISTMAS TREE FOOT COVER SIZE 90CM
3 ROLLS METALIC TWIST TIE (RED/G"&amp;"OLD)
10 PCS EACH COLOR METALLIC FOIL (RED AND GOLD)")</f>
        <v>3 DOZEN EACH FLOWERS (RED AND GOLD)
6 DOZEN EACH COLOR TWIGS (RED AND GOLD)
8 ROLLS EACH COLOR RIBBON (RED AND GOLD)
2 TUBES EACH COLOR CHRISTMAS BALLS (RED AND GOLD) 4CM/ MEDIUM SIZE 
2 CHRISTMAS TREE FOOT COVER SIZE 90CM
3 ROLLS METALIC TWIST TIE (RED/GOLD)
10 PCS EACH COLOR METALLIC FOIL (RED AND GOLD)</v>
      </c>
      <c r="E444" s="196" t="str">
        <f>IFERROR(__xludf.DUMMYFUNCTION("""COMPUTED_VALUE"""),"CHRISTMAS DECORS FOR STAR CAMPUS ")</f>
        <v>CHRISTMAS DECORS FOR STAR CAMPUS </v>
      </c>
    </row>
    <row r="445">
      <c r="A445" s="234">
        <f>IFERROR(__xludf.DUMMYFUNCTION("""COMPUTED_VALUE"""),105278.0)</f>
        <v>105278</v>
      </c>
      <c r="B445" s="235" t="str">
        <f>IFERROR(__xludf.DUMMYFUNCTION("""COMPUTED_VALUE"""),"SHEREE ESPINOSA ")</f>
        <v>SHEREE ESPINOSA </v>
      </c>
      <c r="C445" s="235" t="str">
        <f>IFERROR(__xludf.DUMMYFUNCTION("""COMPUTED_VALUE"""),"ADMIN")</f>
        <v>ADMIN</v>
      </c>
      <c r="D445" s="196" t="str">
        <f>IFERROR(__xludf.DUMMYFUNCTION("""COMPUTED_VALUE"""),"10 PCS CAPIZ PAROL ")</f>
        <v>10 PCS CAPIZ PAROL </v>
      </c>
      <c r="E445" s="196" t="str">
        <f>IFERROR(__xludf.DUMMYFUNCTION("""COMPUTED_VALUE"""),"FOR LUX, COLLEGE &amp; TROPICAL CAMPUS ")</f>
        <v>FOR LUX, COLLEGE &amp; TROPICAL CAMPUS </v>
      </c>
    </row>
    <row r="446">
      <c r="A446" s="234">
        <f>IFERROR(__xludf.DUMMYFUNCTION("""COMPUTED_VALUE"""),105279.0)</f>
        <v>105279</v>
      </c>
      <c r="B446" s="235" t="str">
        <f>IFERROR(__xludf.DUMMYFUNCTION("""COMPUTED_VALUE"""),"SHEREE ESPINOSA ")</f>
        <v>SHEREE ESPINOSA </v>
      </c>
      <c r="C446" s="235" t="str">
        <f>IFERROR(__xludf.DUMMYFUNCTION("""COMPUTED_VALUE"""),"ADMIN")</f>
        <v>ADMIN</v>
      </c>
      <c r="D446" s="196" t="str">
        <f>IFERROR(__xludf.DUMMYFUNCTION("""COMPUTED_VALUE"""),"50 PCS TWIGS BIG (GOLD AND RED)
50 BOXES BALSS MEDIUM  50 BIG 
4 DOZEN FLOWERS (BIG &amp;MEDIUM)
4 DOZENS LEAVES 
20 ROLLS/COLOR RIBBON RED AND GOLD 
1 DOZEND/ COLOR TWIGS (CHRISTMAS TOP) GOLD AND RED 
1 PC STAR 
60 PCS CHRISTMAS LIGHTS (CHRISTMAS TREE)")</f>
        <v>50 PCS TWIGS BIG (GOLD AND RED)
50 BOXES BALSS MEDIUM  50 BIG 
4 DOZEN FLOWERS (BIG &amp;MEDIUM)
4 DOZENS LEAVES 
20 ROLLS/COLOR RIBBON RED AND GOLD 
1 DOZEND/ COLOR TWIGS (CHRISTMAS TOP) GOLD AND RED 
1 PC STAR 
60 PCS CHRISTMAS LIGHTS (CHRISTMAS TREE)</v>
      </c>
      <c r="E446" s="196" t="str">
        <f>IFERROR(__xludf.DUMMYFUNCTION("""COMPUTED_VALUE"""),"CHRISTMAS DECORS FOR COLLEGE WALKWAY ")</f>
        <v>CHRISTMAS DECORS FOR COLLEGE WALKWAY </v>
      </c>
    </row>
    <row r="447">
      <c r="A447" s="234">
        <f>IFERROR(__xludf.DUMMYFUNCTION("""COMPUTED_VALUE"""),105280.0)</f>
        <v>105280</v>
      </c>
      <c r="B447" s="235" t="str">
        <f>IFERROR(__xludf.DUMMYFUNCTION("""COMPUTED_VALUE"""),"KIMBERLY DU ")</f>
        <v>KIMBERLY DU </v>
      </c>
      <c r="C447" s="235" t="str">
        <f>IFERROR(__xludf.DUMMYFUNCTION("""COMPUTED_VALUE"""),"LIBRARY COLLEGE")</f>
        <v>LIBRARY COLLEGE</v>
      </c>
      <c r="D447" s="196" t="str">
        <f>IFERROR(__xludf.DUMMYFUNCTION("""COMPUTED_VALUE"""),"40 ACRYCLIC SIGNAGE FOR QR ")</f>
        <v>40 ACRYCLIC SIGNAGE FOR QR </v>
      </c>
      <c r="E447" s="196" t="str">
        <f>IFERROR(__xludf.DUMMYFUNCTION("""COMPUTED_VALUE"""),"ALLOWING EASY ACCES TO LIBRARY SERVICES &amp; ENHANCING USER CONVINIENCE ")</f>
        <v>ALLOWING EASY ACCES TO LIBRARY SERVICES &amp; ENHANCING USER CONVINIENCE </v>
      </c>
    </row>
    <row r="448">
      <c r="A448" s="234">
        <f>IFERROR(__xludf.DUMMYFUNCTION("""COMPUTED_VALUE"""),105281.0)</f>
        <v>105281</v>
      </c>
      <c r="B448" s="235" t="str">
        <f>IFERROR(__xludf.DUMMYFUNCTION("""COMPUTED_VALUE"""),"ALFA DE LEON")</f>
        <v>ALFA DE LEON</v>
      </c>
      <c r="C448" s="235" t="str">
        <f>IFERROR(__xludf.DUMMYFUNCTION("""COMPUTED_VALUE"""),"ADMIN - MUNICH")</f>
        <v>ADMIN - MUNICH</v>
      </c>
      <c r="D448" s="196" t="str">
        <f>IFERROR(__xludf.DUMMYFUNCTION("""COMPUTED_VALUE"""),"CAPIZ PAROL 5 PCS. TALA")</f>
        <v>CAPIZ PAROL 5 PCS. TALA</v>
      </c>
      <c r="E448" s="196" t="str">
        <f>IFERROR(__xludf.DUMMYFUNCTION("""COMPUTED_VALUE"""),"CHRISTMAS DECOR THIRD FLOOR ")</f>
        <v>CHRISTMAS DECOR THIRD FLOOR </v>
      </c>
    </row>
    <row r="449">
      <c r="A449" s="234">
        <f>IFERROR(__xludf.DUMMYFUNCTION("""COMPUTED_VALUE"""),105282.0)</f>
        <v>105282</v>
      </c>
      <c r="B449" s="235" t="str">
        <f>IFERROR(__xludf.DUMMYFUNCTION("""COMPUTED_VALUE"""),"RACHEL JANE PAMATI-AN")</f>
        <v>RACHEL JANE PAMATI-AN</v>
      </c>
      <c r="C449" s="235" t="str">
        <f>IFERROR(__xludf.DUMMYFUNCTION("""COMPUTED_VALUE"""),"ADMIN - STAR")</f>
        <v>ADMIN - STAR</v>
      </c>
      <c r="D449" s="196" t="str">
        <f>IFERROR(__xludf.DUMMYFUNCTION("""COMPUTED_VALUE"""),"CAPIZ PAROL TALA (42 INCHES) 3 PCS. 
PAROL STAR (42 INCHES) 2 PCS. ")</f>
        <v>CAPIZ PAROL TALA (42 INCHES) 3 PCS. 
PAROL STAR (42 INCHES) 2 PCS. </v>
      </c>
      <c r="E449" s="196" t="str">
        <f>IFERROR(__xludf.DUMMYFUNCTION("""COMPUTED_VALUE"""),"CHRISTMAS DECOR FRONT GATE ")</f>
        <v>CHRISTMAS DECOR FRONT GATE </v>
      </c>
    </row>
    <row r="450">
      <c r="A450" s="234">
        <f>IFERROR(__xludf.DUMMYFUNCTION("""COMPUTED_VALUE"""),105283.0)</f>
        <v>105283</v>
      </c>
      <c r="B450" s="235" t="str">
        <f>IFERROR(__xludf.DUMMYFUNCTION("""COMPUTED_VALUE"""),"ALFA DE LEON")</f>
        <v>ALFA DE LEON</v>
      </c>
      <c r="C450" s="235" t="str">
        <f>IFERROR(__xludf.DUMMYFUNCTION("""COMPUTED_VALUE"""),"ADMIN - MUNICH")</f>
        <v>ADMIN - MUNICH</v>
      </c>
      <c r="D450" s="196" t="str">
        <f>IFERROR(__xludf.DUMMYFUNCTION("""COMPUTED_VALUE"""),"7 ORBIT FANS 16"" GRAY COLOR")</f>
        <v>7 ORBIT FANS 16" GRAY COLOR</v>
      </c>
      <c r="E450" s="196" t="str">
        <f>IFERROR(__xludf.DUMMYFUNCTION("""COMPUTED_VALUE"""),"REQUEST FOR THE NEW VOLT CLASSROOMS- RM. 211,212,313,314,315,316,310")</f>
        <v>REQUEST FOR THE NEW VOLT CLASSROOMS- RM. 211,212,313,314,315,316,310</v>
      </c>
    </row>
    <row r="451">
      <c r="A451" s="234">
        <f>IFERROR(__xludf.DUMMYFUNCTION("""COMPUTED_VALUE"""),105284.0)</f>
        <v>105284</v>
      </c>
      <c r="B451" s="235" t="str">
        <f>IFERROR(__xludf.DUMMYFUNCTION("""COMPUTED_VALUE"""),"ALFA DE LEON")</f>
        <v>ALFA DE LEON</v>
      </c>
      <c r="C451" s="235" t="str">
        <f>IFERROR(__xludf.DUMMYFUNCTION("""COMPUTED_VALUE"""),"ADMIN - MUNICH")</f>
        <v>ADMIN - MUNICH</v>
      </c>
      <c r="D451" s="196" t="str">
        <f>IFERROR(__xludf.DUMMYFUNCTION("""COMPUTED_VALUE"""),"3 SWIVEL CHAIRS - REGULAR CHAIRS MESS BACK REST FABRIC NYLON BASE")</f>
        <v>3 SWIVEL CHAIRS - REGULAR CHAIRS MESS BACK REST FABRIC NYLON BASE</v>
      </c>
      <c r="E451" s="196" t="str">
        <f>IFERROR(__xludf.DUMMYFUNCTION("""COMPUTED_VALUE"""),"CHAIRS FOR NEW TEACHERS G/F FACULTY")</f>
        <v>CHAIRS FOR NEW TEACHERS G/F FACULTY</v>
      </c>
    </row>
    <row r="452">
      <c r="A452" s="234">
        <f>IFERROR(__xludf.DUMMYFUNCTION("""COMPUTED_VALUE"""),105285.0)</f>
        <v>105285</v>
      </c>
      <c r="B452" s="235" t="str">
        <f>IFERROR(__xludf.DUMMYFUNCTION("""COMPUTED_VALUE"""),"SHEILA MASAIT")</f>
        <v>SHEILA MASAIT</v>
      </c>
      <c r="C452" s="235" t="str">
        <f>IFERROR(__xludf.DUMMYFUNCTION("""COMPUTED_VALUE"""),"PR &amp; MARKETING")</f>
        <v>PR &amp; MARKETING</v>
      </c>
      <c r="D452" s="196" t="str">
        <f>IFERROR(__xludf.DUMMYFUNCTION("""COMPUTED_VALUE"""),"SOUTHVILLE FLYERS 
8.5X5.5 INCHES 
MATRIAL:C26 180 
BACK TO BACK PRINT 
FULL COLOR 
4KINDS")</f>
        <v>SOUTHVILLE FLYERS 
8.5X5.5 INCHES 
MATRIAL:C26 180 
BACK TO BACK PRINT 
FULL COLOR 
4KINDS</v>
      </c>
      <c r="E452" s="196" t="str">
        <f>IFERROR(__xludf.DUMMYFUNCTION("""COMPUTED_VALUE"""),"MARKETING ")</f>
        <v>MARKETING </v>
      </c>
    </row>
    <row r="453">
      <c r="A453" s="234">
        <f>IFERROR(__xludf.DUMMYFUNCTION("""COMPUTED_VALUE"""),105286.0)</f>
        <v>105286</v>
      </c>
      <c r="B453" s="235" t="str">
        <f>IFERROR(__xludf.DUMMYFUNCTION("""COMPUTED_VALUE"""),"MARC VITTO ")</f>
        <v>MARC VITTO </v>
      </c>
      <c r="C453" s="235" t="str">
        <f>IFERROR(__xludf.DUMMYFUNCTION("""COMPUTED_VALUE"""),"PR &amp; MARKETING")</f>
        <v>PR &amp; MARKETING</v>
      </c>
      <c r="D453" s="196" t="str">
        <f>IFERROR(__xludf.DUMMYFUNCTION("""COMPUTED_VALUE"""),"1PC SHEREEN AHMED TARP
SIZE: 184 X 77 IN 
THICKNESS 18 OZ ")</f>
        <v>1PC SHEREEN AHMED TARP
SIZE: 184 X 77 IN 
THICKNESS 18 OZ </v>
      </c>
      <c r="E453" s="196" t="str">
        <f>IFERROR(__xludf.DUMMYFUNCTION("""COMPUTED_VALUE"""),"MARKETING ")</f>
        <v>MARKETING </v>
      </c>
    </row>
    <row r="454">
      <c r="A454" s="234">
        <f>IFERROR(__xludf.DUMMYFUNCTION("""COMPUTED_VALUE"""),105287.0)</f>
        <v>105287</v>
      </c>
      <c r="B454" s="235" t="str">
        <f>IFERROR(__xludf.DUMMYFUNCTION("""COMPUTED_VALUE"""),"OWIE PAR")</f>
        <v>OWIE PAR</v>
      </c>
      <c r="C454" s="235" t="str">
        <f>IFERROR(__xludf.DUMMYFUNCTION("""COMPUTED_VALUE"""),"ENGINEERING")</f>
        <v>ENGINEERING</v>
      </c>
      <c r="D454" s="196" t="str">
        <f>IFERROR(__xludf.DUMMYFUNCTION("""COMPUTED_VALUE"""),"1 UNIT PRESSURE TANK 315 GAL G#12")</f>
        <v>1 UNIT PRESSURE TANK 315 GAL G#12</v>
      </c>
      <c r="E454" s="196" t="str">
        <f>IFERROR(__xludf.DUMMYFUNCTION("""COMPUTED_VALUE"""),"FOR MUNICH CAMPUS REPLACEMENT OF DAMAGED TANK ")</f>
        <v>FOR MUNICH CAMPUS REPLACEMENT OF DAMAGED TANK </v>
      </c>
    </row>
    <row r="455">
      <c r="A455" s="234">
        <f>IFERROR(__xludf.DUMMYFUNCTION("""COMPUTED_VALUE"""),105288.0)</f>
        <v>105288</v>
      </c>
      <c r="B455" s="235" t="str">
        <f>IFERROR(__xludf.DUMMYFUNCTION("""COMPUTED_VALUE"""),"ALFA DE LEON ")</f>
        <v>ALFA DE LEON </v>
      </c>
      <c r="C455" s="235" t="str">
        <f>IFERROR(__xludf.DUMMYFUNCTION("""COMPUTED_VALUE"""),"ADMIN - MUNICH")</f>
        <v>ADMIN - MUNICH</v>
      </c>
      <c r="D455" s="196" t="str">
        <f>IFERROR(__xludf.DUMMYFUNCTION("""COMPUTED_VALUE"""),"1 AMCO BOX 
8 MOLDING 3/4 
2 SACHETS NO MORE NAILS MEDIUM PACK 
80METERS FLAT CORE #16 
13 PCS WIDE SERIES OUTLET 2 GANG OMNI ")</f>
        <v>1 AMCO BOX 
8 MOLDING 3/4 
2 SACHETS NO MORE NAILS MEDIUM PACK 
80METERS FLAT CORE #16 
13 PCS WIDE SERIES OUTLET 2 GANG OMNI </v>
      </c>
      <c r="E455" s="196" t="str">
        <f>IFERROR(__xludf.DUMMYFUNCTION("""COMPUTED_VALUE"""),"ELECTRICAL WIRING FOR PS FACULTY NEW SET UP OF TABLES")</f>
        <v>ELECTRICAL WIRING FOR PS FACULTY NEW SET UP OF TABLES</v>
      </c>
    </row>
    <row r="456">
      <c r="A456" s="234">
        <f>IFERROR(__xludf.DUMMYFUNCTION("""COMPUTED_VALUE"""),105289.0)</f>
        <v>105289</v>
      </c>
      <c r="B456" s="235" t="str">
        <f>IFERROR(__xludf.DUMMYFUNCTION("""COMPUTED_VALUE"""),"ALFA DE LEON ")</f>
        <v>ALFA DE LEON </v>
      </c>
      <c r="C456" s="235" t="str">
        <f>IFERROR(__xludf.DUMMYFUNCTION("""COMPUTED_VALUE"""),"ADMIN - MUNICH")</f>
        <v>ADMIN - MUNICH</v>
      </c>
      <c r="D456" s="196" t="str">
        <f>IFERROR(__xludf.DUMMYFUNCTION("""COMPUTED_VALUE"""),"10 CHRISTMAS LIGHTS ")</f>
        <v>10 CHRISTMAS LIGHTS </v>
      </c>
      <c r="E456" s="196" t="str">
        <f>IFERROR(__xludf.DUMMYFUNCTION("""COMPUTED_VALUE"""),"CHRISTMAS LIGHT FRONT GATE ")</f>
        <v>CHRISTMAS LIGHT FRONT GATE </v>
      </c>
    </row>
    <row r="457">
      <c r="A457" s="234">
        <f>IFERROR(__xludf.DUMMYFUNCTION("""COMPUTED_VALUE"""),105290.0)</f>
        <v>105290</v>
      </c>
      <c r="B457" s="235" t="str">
        <f>IFERROR(__xludf.DUMMYFUNCTION("""COMPUTED_VALUE"""),"ALFA DE LEON ")</f>
        <v>ALFA DE LEON </v>
      </c>
      <c r="C457" s="235" t="str">
        <f>IFERROR(__xludf.DUMMYFUNCTION("""COMPUTED_VALUE"""),"LANDSCAPING")</f>
        <v>LANDSCAPING</v>
      </c>
      <c r="D457" s="196" t="str">
        <f>IFERROR(__xludf.DUMMYFUNCTION("""COMPUTED_VALUE"""),"10 KUSOT 
10 IPA 
35 MTRS SCREEN PLASTIC (BLACK/GREEN)")</f>
        <v>10 KUSOT 
10 IPA 
35 MTRS SCREEN PLASTIC (BLACK/GREEN)</v>
      </c>
      <c r="E457" s="196" t="str">
        <f>IFERROR(__xludf.DUMMYFUNCTION("""COMPUTED_VALUE"""),"COLLEGE WALKWAY PLANT BOX ")</f>
        <v>COLLEGE WALKWAY PLANT BOX </v>
      </c>
    </row>
    <row r="458">
      <c r="A458" s="234">
        <f>IFERROR(__xludf.DUMMYFUNCTION("""COMPUTED_VALUE"""),105291.0)</f>
        <v>105291</v>
      </c>
      <c r="B458" s="235" t="str">
        <f>IFERROR(__xludf.DUMMYFUNCTION("""COMPUTED_VALUE"""),"RODRIGO CUSTODIO")</f>
        <v>RODRIGO CUSTODIO</v>
      </c>
      <c r="C458" s="235" t="str">
        <f>IFERROR(__xludf.DUMMYFUNCTION("""COMPUTED_VALUE"""),"AMD")</f>
        <v>AMD</v>
      </c>
      <c r="D458" s="196" t="str">
        <f>IFERROR(__xludf.DUMMYFUNCTION("""COMPUTED_VALUE"""),"90PCS MR MUSCLE SUPER TOILET BOWL CLEANER 500ML ")</f>
        <v>90PCS MR MUSCLE SUPER TOILET BOWL CLEANER 500ML </v>
      </c>
      <c r="E458" s="196" t="str">
        <f>IFERROR(__xludf.DUMMYFUNCTION("""COMPUTED_VALUE"""),"HOUSEKEEPING MATERIALS- STOCK REPLENISHMENT")</f>
        <v>HOUSEKEEPING MATERIALS- STOCK REPLENISHMENT</v>
      </c>
    </row>
    <row r="459">
      <c r="A459" s="234">
        <f>IFERROR(__xludf.DUMMYFUNCTION("""COMPUTED_VALUE"""),105292.0)</f>
        <v>105292</v>
      </c>
      <c r="B459" s="235" t="str">
        <f>IFERROR(__xludf.DUMMYFUNCTION("""COMPUTED_VALUE"""),"MELISSA ODOÑO")</f>
        <v>MELISSA ODOÑO</v>
      </c>
      <c r="C459" s="235" t="str">
        <f>IFERROR(__xludf.DUMMYFUNCTION("""COMPUTED_VALUE"""),"LIBRARY MUNICH")</f>
        <v>LIBRARY MUNICH</v>
      </c>
      <c r="D459" s="196" t="str">
        <f>IFERROR(__xludf.DUMMYFUNCTION("""COMPUTED_VALUE"""),"2000 BOOK CARDS 
2000 BOOK POCKETS ")</f>
        <v>2000 BOOK CARDS 
2000 BOOK POCKETS </v>
      </c>
      <c r="E459" s="196" t="str">
        <f>IFERROR(__xludf.DUMMYFUNCTION("""COMPUTED_VALUE"""),"FOR LIBRARY USE ")</f>
        <v>FOR LIBRARY USE </v>
      </c>
    </row>
    <row r="460">
      <c r="A460" s="234">
        <f>IFERROR(__xludf.DUMMYFUNCTION("""COMPUTED_VALUE"""),105293.0)</f>
        <v>105293</v>
      </c>
      <c r="B460" s="235" t="str">
        <f>IFERROR(__xludf.DUMMYFUNCTION("""COMPUTED_VALUE"""),"SHEREE ESPINOSA ")</f>
        <v>SHEREE ESPINOSA </v>
      </c>
      <c r="C460" s="235" t="str">
        <f>IFERROR(__xludf.DUMMYFUNCTION("""COMPUTED_VALUE"""),"ADMIN")</f>
        <v>ADMIN</v>
      </c>
      <c r="D460" s="196" t="str">
        <f>IFERROR(__xludf.DUMMYFUNCTION("""COMPUTED_VALUE"""),"1PC SANTA BIG 5FT 
1 ROLL GRASS TURF (300MM)
1PC CHRISTMAS TREE 10FT 
100 BOXES CHRISTMAS LIGHTS (WALL)
1PC CHRISTMASS TREE FOOT COVER ")</f>
        <v>1PC SANTA BIG 5FT 
1 ROLL GRASS TURF (300MM)
1PC CHRISTMAS TREE 10FT 
100 BOXES CHRISTMAS LIGHTS (WALL)
1PC CHRISTMASS TREE FOOT COVER </v>
      </c>
      <c r="E460" s="196" t="str">
        <f>IFERROR(__xludf.DUMMYFUNCTION("""COMPUTED_VALUE"""),"CHRISTMAS DECORS FOR COLLEGE WALKWAY ")</f>
        <v>CHRISTMAS DECORS FOR COLLEGE WALKWAY </v>
      </c>
    </row>
    <row r="461">
      <c r="A461" s="234">
        <f>IFERROR(__xludf.DUMMYFUNCTION("""COMPUTED_VALUE"""),105294.0)</f>
        <v>105294</v>
      </c>
      <c r="B461" s="235" t="str">
        <f>IFERROR(__xludf.DUMMYFUNCTION("""COMPUTED_VALUE"""),"SHEREE ESPINOSA ")</f>
        <v>SHEREE ESPINOSA </v>
      </c>
      <c r="C461" s="235" t="str">
        <f>IFERROR(__xludf.DUMMYFUNCTION("""COMPUTED_VALUE"""),"ADMIN")</f>
        <v>ADMIN</v>
      </c>
      <c r="D461" s="196" t="str">
        <f>IFERROR(__xludf.DUMMYFUNCTION("""COMPUTED_VALUE"""),"2PCS ROPE (AS NET FOR GOAL RAISE)
50 MTRS ROPE ")</f>
        <v>2PCS ROPE (AS NET FOR GOAL RAISE)
50 MTRS ROPE </v>
      </c>
      <c r="E461" s="196" t="str">
        <f>IFERROR(__xludf.DUMMYFUNCTION("""COMPUTED_VALUE"""),"FOR SOCCER FIELD AND MUNICH PARKING SIDE ")</f>
        <v>FOR SOCCER FIELD AND MUNICH PARKING SIDE </v>
      </c>
    </row>
    <row r="462">
      <c r="A462" s="234">
        <f>IFERROR(__xludf.DUMMYFUNCTION("""COMPUTED_VALUE"""),105295.0)</f>
        <v>105295</v>
      </c>
      <c r="B462" s="235" t="str">
        <f>IFERROR(__xludf.DUMMYFUNCTION("""COMPUTED_VALUE"""),"RODRIGO CUSTODIO")</f>
        <v>RODRIGO CUSTODIO</v>
      </c>
      <c r="C462" s="235" t="str">
        <f>IFERROR(__xludf.DUMMYFUNCTION("""COMPUTED_VALUE"""),"AMD")</f>
        <v>AMD</v>
      </c>
      <c r="D462" s="196" t="str">
        <f>IFERROR(__xludf.DUMMYFUNCTION("""COMPUTED_VALUE"""),"15PCS PEST OFF RAT CATCHER GLUE BOARD 
450 PACKS ALL PURPOSE POWDER 800 GRAMS PER PACK CHAMPION ")</f>
        <v>15PCS PEST OFF RAT CATCHER GLUE BOARD 
450 PACKS ALL PURPOSE POWDER 800 GRAMS PER PACK CHAMPION </v>
      </c>
      <c r="E462" s="196" t="str">
        <f>IFERROR(__xludf.DUMMYFUNCTION("""COMPUTED_VALUE"""),"HOUSEKEEPING MATERIALS- STOCK REPLENISHMENT")</f>
        <v>HOUSEKEEPING MATERIALS- STOCK REPLENISHMENT</v>
      </c>
    </row>
    <row r="463">
      <c r="A463" s="234">
        <f>IFERROR(__xludf.DUMMYFUNCTION("""COMPUTED_VALUE"""),105296.0)</f>
        <v>105296</v>
      </c>
      <c r="B463" s="235" t="str">
        <f>IFERROR(__xludf.DUMMYFUNCTION("""COMPUTED_VALUE"""),"SHEREE ESPINOSA ")</f>
        <v>SHEREE ESPINOSA </v>
      </c>
      <c r="C463" s="235" t="str">
        <f>IFERROR(__xludf.DUMMYFUNCTION("""COMPUTED_VALUE"""),"PRESIDENT'S OFFICE")</f>
        <v>PRESIDENT'S OFFICE</v>
      </c>
      <c r="D463" s="196" t="str">
        <f>IFERROR(__xludf.DUMMYFUNCTION("""COMPUTED_VALUE"""),"CHRISTMAS LIGHTS BLUE- 3 BOX
CHRISTMAS LIGHTS GREEN - 4 BOX
CHRISTMAS TREE TOP STAR - 1 PC
CAPIZ LANTERN 10-12"" 1 PC. ")</f>
        <v>CHRISTMAS LIGHTS BLUE- 3 BOX
CHRISTMAS LIGHTS GREEN - 4 BOX
CHRISTMAS TREE TOP STAR - 1 PC
CAPIZ LANTERN 10-12" 1 PC. </v>
      </c>
      <c r="E463" s="196" t="str">
        <f>IFERROR(__xludf.DUMMYFUNCTION("""COMPUTED_VALUE"""),"CHRISTMAS DESIGN FOR CEM")</f>
        <v>CHRISTMAS DESIGN FOR CEM</v>
      </c>
    </row>
    <row r="464">
      <c r="A464" s="234">
        <f>IFERROR(__xludf.DUMMYFUNCTION("""COMPUTED_VALUE"""),105297.0)</f>
        <v>105297</v>
      </c>
      <c r="B464" s="235" t="str">
        <f>IFERROR(__xludf.DUMMYFUNCTION("""COMPUTED_VALUE"""),"OWIE PAR ")</f>
        <v>OWIE PAR </v>
      </c>
      <c r="C464" s="235" t="str">
        <f>IFERROR(__xludf.DUMMYFUNCTION("""COMPUTED_VALUE"""),"ENGINEERING")</f>
        <v>ENGINEERING</v>
      </c>
      <c r="D464" s="196" t="str">
        <f>IFERROR(__xludf.DUMMYFUNCTION("""COMPUTED_VALUE"""),"10 SETS 9 WATTS WARM WHITE 
2PCS DECORATED LIGHT WARM WHITE ")</f>
        <v>10 SETS 9 WATTS WARM WHITE 
2PCS DECORATED LIGHT WARM WHITE </v>
      </c>
      <c r="E464" s="196" t="str">
        <f>IFERROR(__xludf.DUMMYFUNCTION("""COMPUTED_VALUE"""),"FOR CEM OFFICE AND LOBBY ")</f>
        <v>FOR CEM OFFICE AND LOBBY </v>
      </c>
    </row>
    <row r="465">
      <c r="A465" s="234">
        <f>IFERROR(__xludf.DUMMYFUNCTION("""COMPUTED_VALUE"""),105298.0)</f>
        <v>105298</v>
      </c>
      <c r="B465" s="235" t="str">
        <f>IFERROR(__xludf.DUMMYFUNCTION("""COMPUTED_VALUE"""),"SHEREE ESPINOSA ")</f>
        <v>SHEREE ESPINOSA </v>
      </c>
      <c r="C465" s="235" t="str">
        <f>IFERROR(__xludf.DUMMYFUNCTION("""COMPUTED_VALUE"""),"ADMIN")</f>
        <v>ADMIN</v>
      </c>
      <c r="D465" s="196" t="str">
        <f>IFERROR(__xludf.DUMMYFUNCTION("""COMPUTED_VALUE"""),"2 PCS WHITE QUARTZ 300CM X 140 CM 
4 GALS SEALER ")</f>
        <v>2 PCS WHITE QUARTZ 300CM X 140 CM 
4 GALS SEALER </v>
      </c>
      <c r="E465" s="196" t="str">
        <f>IFERROR(__xludf.DUMMYFUNCTION("""COMPUTED_VALUE"""),"OSM 5TH FLOOR COLLEGE ")</f>
        <v>OSM 5TH FLOOR COLLEGE </v>
      </c>
    </row>
    <row r="466">
      <c r="A466" s="234">
        <f>IFERROR(__xludf.DUMMYFUNCTION("""COMPUTED_VALUE"""),105299.0)</f>
        <v>105299</v>
      </c>
      <c r="B466" s="235" t="str">
        <f>IFERROR(__xludf.DUMMYFUNCTION("""COMPUTED_VALUE"""),"ALFA DE LEON")</f>
        <v>ALFA DE LEON</v>
      </c>
      <c r="C466" s="235" t="str">
        <f>IFERROR(__xludf.DUMMYFUNCTION("""COMPUTED_VALUE"""),"ADMIN - MUNICH")</f>
        <v>ADMIN - MUNICH</v>
      </c>
      <c r="D466" s="196" t="str">
        <f>IFERROR(__xludf.DUMMYFUNCTION("""COMPUTED_VALUE"""),"1 ORBIT FAN ")</f>
        <v>1 ORBIT FAN </v>
      </c>
      <c r="E466" s="196" t="str">
        <f>IFERROR(__xludf.DUMMYFUNCTION("""COMPUTED_VALUE"""),"G/F LOBBY ORBIT FAN BROKEN (NEED REPLACEMENT)")</f>
        <v>G/F LOBBY ORBIT FAN BROKEN (NEED REPLACEMENT)</v>
      </c>
    </row>
    <row r="467">
      <c r="A467" s="234">
        <f>IFERROR(__xludf.DUMMYFUNCTION("""COMPUTED_VALUE"""),105300.0)</f>
        <v>105300</v>
      </c>
      <c r="B467" s="235" t="str">
        <f>IFERROR(__xludf.DUMMYFUNCTION("""COMPUTED_VALUE"""),"ALFA DE LEON ")</f>
        <v>ALFA DE LEON </v>
      </c>
      <c r="C467" s="235" t="str">
        <f>IFERROR(__xludf.DUMMYFUNCTION("""COMPUTED_VALUE"""),"ADMIN - MUNICH")</f>
        <v>ADMIN - MUNICH</v>
      </c>
      <c r="D467" s="196" t="str">
        <f>IFERROR(__xludf.DUMMYFUNCTION("""COMPUTED_VALUE"""),"1 EXHAUST FAN 16""")</f>
        <v>1 EXHAUST FAN 16"</v>
      </c>
      <c r="E467" s="196" t="str">
        <f>IFERROR(__xludf.DUMMYFUNCTION("""COMPUTED_VALUE"""),"REPLACEMENT EW CR BOYS ")</f>
        <v>REPLACEMENT EW CR BOYS </v>
      </c>
    </row>
    <row r="468">
      <c r="A468" s="234">
        <f>IFERROR(__xludf.DUMMYFUNCTION("""COMPUTED_VALUE"""),105301.0)</f>
        <v>105301</v>
      </c>
      <c r="B468" s="235" t="str">
        <f>IFERROR(__xludf.DUMMYFUNCTION("""COMPUTED_VALUE"""),"OWIE PAR")</f>
        <v>OWIE PAR</v>
      </c>
      <c r="C468" s="235"/>
      <c r="D468" s="196" t="str">
        <f>IFERROR(__xludf.DUMMYFUNCTION("""COMPUTED_VALUE"""),"I UNIT EXHAUST FAN #12 CEILING TYPE 
1 SET GLASS DOOR LOCK ")</f>
        <v>I UNIT EXHAUST FAN #12 CEILING TYPE 
1 SET GLASS DOOR LOCK </v>
      </c>
      <c r="E468" s="196" t="str">
        <f>IFERROR(__xludf.DUMMYFUNCTION("""COMPUTED_VALUE"""),"FOR MONARCH PARK C.R &amp; K12 FACULTY ")</f>
        <v>FOR MONARCH PARK C.R &amp; K12 FACULTY </v>
      </c>
    </row>
    <row r="469">
      <c r="A469" s="234">
        <f>IFERROR(__xludf.DUMMYFUNCTION("""COMPUTED_VALUE"""),105302.0)</f>
        <v>105302</v>
      </c>
      <c r="B469" s="235" t="str">
        <f>IFERROR(__xludf.DUMMYFUNCTION("""COMPUTED_VALUE"""),"LYKA PERALTA")</f>
        <v>LYKA PERALTA</v>
      </c>
      <c r="C469" s="235" t="str">
        <f>IFERROR(__xludf.DUMMYFUNCTION("""COMPUTED_VALUE"""),"AMD")</f>
        <v>AMD</v>
      </c>
      <c r="D469" s="196" t="str">
        <f>IFERROR(__xludf.DUMMYFUNCTION("""COMPUTED_VALUE"""),"3 PCS 8 DIGITS ROLLER STAMP WITH LETTERS AND SYMBOLS")</f>
        <v>3 PCS 8 DIGITS ROLLER STAMP WITH LETTERS AND SYMBOLS</v>
      </c>
      <c r="E469" s="196" t="str">
        <f>IFERROR(__xludf.DUMMYFUNCTION("""COMPUTED_VALUE"""),"OSSUP STOCK REPLENISHMENT ")</f>
        <v>OSSUP STOCK REPLENISHMENT </v>
      </c>
    </row>
    <row r="470">
      <c r="A470" s="234">
        <f>IFERROR(__xludf.DUMMYFUNCTION("""COMPUTED_VALUE"""),105303.0)</f>
        <v>105303</v>
      </c>
      <c r="B470" s="235" t="str">
        <f>IFERROR(__xludf.DUMMYFUNCTION("""COMPUTED_VALUE"""),"LYKA PERALTA")</f>
        <v>LYKA PERALTA</v>
      </c>
      <c r="C470" s="235" t="str">
        <f>IFERROR(__xludf.DUMMYFUNCTION("""COMPUTED_VALUE"""),"AMD")</f>
        <v>AMD</v>
      </c>
      <c r="D470" s="196" t="str">
        <f>IFERROR(__xludf.DUMMYFUNCTION("""COMPUTED_VALUE"""),"100 PACKS BOARD VELLUM (A4 SIZE) (10 PCS PER PACK)")</f>
        <v>100 PACKS BOARD VELLUM (A4 SIZE) (10 PCS PER PACK)</v>
      </c>
      <c r="E470" s="196" t="str">
        <f>IFERROR(__xludf.DUMMYFUNCTION("""COMPUTED_VALUE"""),"OSSUP STOCK REPLENISHMENT ")</f>
        <v>OSSUP STOCK REPLENISHMENT </v>
      </c>
    </row>
    <row r="471">
      <c r="A471" s="234">
        <f>IFERROR(__xludf.DUMMYFUNCTION("""COMPUTED_VALUE"""),105304.0)</f>
        <v>105304</v>
      </c>
      <c r="B471" s="235" t="str">
        <f>IFERROR(__xludf.DUMMYFUNCTION("""COMPUTED_VALUE"""),"LYKA PERALTA")</f>
        <v>LYKA PERALTA</v>
      </c>
      <c r="C471" s="235" t="str">
        <f>IFERROR(__xludf.DUMMYFUNCTION("""COMPUTED_VALUE"""),"AMD")</f>
        <v>AMD</v>
      </c>
      <c r="D471" s="196" t="str">
        <f>IFERROR(__xludf.DUMMYFUNCTION("""COMPUTED_VALUE"""),"1PC GUN TACKER HEAVY DUTY ARROW T50 ")</f>
        <v>1PC GUN TACKER HEAVY DUTY ARROW T50 </v>
      </c>
      <c r="E471" s="196" t="str">
        <f>IFERROR(__xludf.DUMMYFUNCTION("""COMPUTED_VALUE"""),"OSSUP STOCK REPLENISHMENT ")</f>
        <v>OSSUP STOCK REPLENISHMENT </v>
      </c>
    </row>
    <row r="472">
      <c r="A472" s="234">
        <f>IFERROR(__xludf.DUMMYFUNCTION("""COMPUTED_VALUE"""),105305.0)</f>
        <v>105305</v>
      </c>
      <c r="B472" s="235" t="str">
        <f>IFERROR(__xludf.DUMMYFUNCTION("""COMPUTED_VALUE"""),"LYKA PERALTA")</f>
        <v>LYKA PERALTA</v>
      </c>
      <c r="C472" s="235" t="str">
        <f>IFERROR(__xludf.DUMMYFUNCTION("""COMPUTED_VALUE"""),"AMD")</f>
        <v>AMD</v>
      </c>
      <c r="D472" s="196" t="str">
        <f>IFERROR(__xludf.DUMMYFUNCTION("""COMPUTED_VALUE"""),"100 BOXES CLIP BINDER JOY 1 1/2"" (12 PCS PER BOX)")</f>
        <v>100 BOXES CLIP BINDER JOY 1 1/2" (12 PCS PER BOX)</v>
      </c>
      <c r="E472" s="196" t="str">
        <f>IFERROR(__xludf.DUMMYFUNCTION("""COMPUTED_VALUE"""),"OSSUP STOCK REPLENISHMENT ")</f>
        <v>OSSUP STOCK REPLENISHMENT </v>
      </c>
    </row>
    <row r="473">
      <c r="A473" s="234">
        <f>IFERROR(__xludf.DUMMYFUNCTION("""COMPUTED_VALUE"""),105306.0)</f>
        <v>105306</v>
      </c>
      <c r="B473" s="235" t="str">
        <f>IFERROR(__xludf.DUMMYFUNCTION("""COMPUTED_VALUE"""),"LYKA PERALTA")</f>
        <v>LYKA PERALTA</v>
      </c>
      <c r="C473" s="235" t="str">
        <f>IFERROR(__xludf.DUMMYFUNCTION("""COMPUTED_VALUE"""),"AMD")</f>
        <v>AMD</v>
      </c>
      <c r="D473" s="196" t="str">
        <f>IFERROR(__xludf.DUMMYFUNCTION("""COMPUTED_VALUE"""),"20 PACKS STICKER PAPER GLOSSY LETTER SIZE FSI (10 PCS PER PACK) ")</f>
        <v>20 PACKS STICKER PAPER GLOSSY LETTER SIZE FSI (10 PCS PER PACK) </v>
      </c>
      <c r="E473" s="196" t="str">
        <f>IFERROR(__xludf.DUMMYFUNCTION("""COMPUTED_VALUE"""),"OSSUP STOCK REPLENISHMENT ")</f>
        <v>OSSUP STOCK REPLENISHMENT </v>
      </c>
    </row>
    <row r="474">
      <c r="A474" s="234">
        <f>IFERROR(__xludf.DUMMYFUNCTION("""COMPUTED_VALUE"""),105307.0)</f>
        <v>105307</v>
      </c>
      <c r="B474" s="235" t="str">
        <f>IFERROR(__xludf.DUMMYFUNCTION("""COMPUTED_VALUE"""),"MARC VINCENT VITTO")</f>
        <v>MARC VINCENT VITTO</v>
      </c>
      <c r="C474" s="235" t="str">
        <f>IFERROR(__xludf.DUMMYFUNCTION("""COMPUTED_VALUE"""),"PR &amp; MARKETING")</f>
        <v>PR &amp; MARKETING</v>
      </c>
      <c r="D474" s="196" t="str">
        <f>IFERROR(__xludf.DUMMYFUNCTION("""COMPUTED_VALUE"""),"PSYCHOLOGY ALUMNI PASSING RATE TARP
SIZE: 20FT X 10 FT 
THICKNESS:20 OZ WITH EYELET ALL OVER AND SEAMING")</f>
        <v>PSYCHOLOGY ALUMNI PASSING RATE TARP
SIZE: 20FT X 10 FT 
THICKNESS:20 OZ WITH EYELET ALL OVER AND SEAMING</v>
      </c>
      <c r="E474" s="196" t="str">
        <f>IFERROR(__xludf.DUMMYFUNCTION("""COMPUTED_VALUE"""),"MARKETING")</f>
        <v>MARKETING</v>
      </c>
    </row>
    <row r="475">
      <c r="A475" s="234">
        <f>IFERROR(__xludf.DUMMYFUNCTION("""COMPUTED_VALUE"""),105308.0)</f>
        <v>105308</v>
      </c>
      <c r="B475" s="235" t="str">
        <f>IFERROR(__xludf.DUMMYFUNCTION("""COMPUTED_VALUE"""),"OWIE PAR")</f>
        <v>OWIE PAR</v>
      </c>
      <c r="C475" s="235" t="str">
        <f>IFERROR(__xludf.DUMMYFUNCTION("""COMPUTED_VALUE"""),"ENGINEERING")</f>
        <v>ENGINEERING</v>
      </c>
      <c r="D475" s="196" t="str">
        <f>IFERROR(__xludf.DUMMYFUNCTION("""COMPUTED_VALUE"""),"GREASE BE GONE, 3 PAILS")</f>
        <v>GREASE BE GONE, 3 PAILS</v>
      </c>
      <c r="E475" s="196" t="str">
        <f>IFERROR(__xludf.DUMMYFUNCTION("""COMPUTED_VALUE"""),"FOR GREASE TRAP")</f>
        <v>FOR GREASE TRAP</v>
      </c>
    </row>
    <row r="476">
      <c r="A476" s="234">
        <f>IFERROR(__xludf.DUMMYFUNCTION("""COMPUTED_VALUE"""),105309.0)</f>
        <v>105309</v>
      </c>
      <c r="B476" s="235" t="str">
        <f>IFERROR(__xludf.DUMMYFUNCTION("""COMPUTED_VALUE"""),"NESSIE LUMBRES")</f>
        <v>NESSIE LUMBRES</v>
      </c>
      <c r="C476" s="235" t="str">
        <f>IFERROR(__xludf.DUMMYFUNCTION("""COMPUTED_VALUE"""),"DP'S OFFICE")</f>
        <v>DP'S OFFICE</v>
      </c>
      <c r="D476" s="196" t="str">
        <f>IFERROR(__xludf.DUMMYFUNCTION("""COMPUTED_VALUE"""),"TRODAT ( NESSIE A. LUMBRES)")</f>
        <v>TRODAT ( NESSIE A. LUMBRES)</v>
      </c>
      <c r="E476" s="196" t="str">
        <f>IFERROR(__xludf.DUMMYFUNCTION("""COMPUTED_VALUE"""),"REPLACEMENT OF BROKEN TRODAT")</f>
        <v>REPLACEMENT OF BROKEN TRODAT</v>
      </c>
    </row>
    <row r="477">
      <c r="A477" s="234">
        <f>IFERROR(__xludf.DUMMYFUNCTION("""COMPUTED_VALUE"""),105310.0)</f>
        <v>105310</v>
      </c>
      <c r="B477" s="235" t="str">
        <f>IFERROR(__xludf.DUMMYFUNCTION("""COMPUTED_VALUE"""),"LYKA PERALTA")</f>
        <v>LYKA PERALTA</v>
      </c>
      <c r="C477" s="235" t="str">
        <f>IFERROR(__xludf.DUMMYFUNCTION("""COMPUTED_VALUE"""),"AMD")</f>
        <v>AMD</v>
      </c>
      <c r="D477" s="196" t="str">
        <f>IFERROR(__xludf.DUMMYFUNCTION("""COMPUTED_VALUE"""),"ILLUSTRATION BOARD BLK/WH 1 WHOLE")</f>
        <v>ILLUSTRATION BOARD BLK/WH 1 WHOLE</v>
      </c>
      <c r="E477" s="196" t="str">
        <f>IFERROR(__xludf.DUMMYFUNCTION("""COMPUTED_VALUE"""),"OSSUP- NEW ITEM FOR STOCKS ")</f>
        <v>OSSUP- NEW ITEM FOR STOCKS </v>
      </c>
    </row>
    <row r="478">
      <c r="A478" s="234">
        <f>IFERROR(__xludf.DUMMYFUNCTION("""COMPUTED_VALUE"""),105311.0)</f>
        <v>105311</v>
      </c>
      <c r="B478" s="235" t="str">
        <f>IFERROR(__xludf.DUMMYFUNCTION("""COMPUTED_VALUE"""),"LYKA PERALTA")</f>
        <v>LYKA PERALTA</v>
      </c>
      <c r="C478" s="235" t="str">
        <f>IFERROR(__xludf.DUMMYFUNCTION("""COMPUTED_VALUE"""),"AMD")</f>
        <v>AMD</v>
      </c>
      <c r="D478" s="196" t="str">
        <f>IFERROR(__xludf.DUMMYFUNCTION("""COMPUTED_VALUE"""),"PLASTIC FOLDER LONG, L-TYPE SEALED ")</f>
        <v>PLASTIC FOLDER LONG, L-TYPE SEALED </v>
      </c>
      <c r="E478" s="196" t="str">
        <f>IFERROR(__xludf.DUMMYFUNCTION("""COMPUTED_VALUE"""),"OSSUP- NEW ITEM FOR STOCKS ")</f>
        <v>OSSUP- NEW ITEM FOR STOCKS </v>
      </c>
    </row>
    <row r="479">
      <c r="A479" s="234">
        <f>IFERROR(__xludf.DUMMYFUNCTION("""COMPUTED_VALUE"""),105312.0)</f>
        <v>105312</v>
      </c>
      <c r="B479" s="235" t="str">
        <f>IFERROR(__xludf.DUMMYFUNCTION("""COMPUTED_VALUE"""),"JORDAN JORDAN")</f>
        <v>JORDAN JORDAN</v>
      </c>
      <c r="C479" s="235" t="str">
        <f>IFERROR(__xludf.DUMMYFUNCTION("""COMPUTED_VALUE"""),"ADMIN")</f>
        <v>ADMIN</v>
      </c>
      <c r="D479" s="196" t="str">
        <f>IFERROR(__xludf.DUMMYFUNCTION("""COMPUTED_VALUE"""),"40 PCS. VINYL TILES (MIMICRI BRAND) 6""X36""X3.0MM EMBOSSED ASH GRAY
2 GALS. ALL PURPOSE WATERBASE ADHESIVE")</f>
        <v>40 PCS. VINYL TILES (MIMICRI BRAND) 6"X36"X3.0MM EMBOSSED ASH GRAY
2 GALS. ALL PURPOSE WATERBASE ADHESIVE</v>
      </c>
      <c r="E479" s="196" t="str">
        <f>IFERROR(__xludf.DUMMYFUNCTION("""COMPUTED_VALUE"""),"LUX ELEVATOR VINYL TILES AND COLLEGE CAMPUS ELEVATOR")</f>
        <v>LUX ELEVATOR VINYL TILES AND COLLEGE CAMPUS ELEVATOR</v>
      </c>
    </row>
    <row r="480">
      <c r="A480" s="234">
        <f>IFERROR(__xludf.DUMMYFUNCTION("""COMPUTED_VALUE"""),105313.0)</f>
        <v>105313</v>
      </c>
      <c r="B480" s="235" t="str">
        <f>IFERROR(__xludf.DUMMYFUNCTION("""COMPUTED_VALUE"""),"LYKA PERALTA ")</f>
        <v>LYKA PERALTA </v>
      </c>
      <c r="C480" s="235" t="str">
        <f>IFERROR(__xludf.DUMMYFUNCTION("""COMPUTED_VALUE"""),"AMD")</f>
        <v>AMD</v>
      </c>
      <c r="D480" s="196" t="str">
        <f>IFERROR(__xludf.DUMMYFUNCTION("""COMPUTED_VALUE"""),"500 PCS SISC MEMO PAD 20 LVS (8.5""X5.5)
500 PCS SISC MEMO PAD 20 LVS (5""X4"") ")</f>
        <v>500 PCS SISC MEMO PAD 20 LVS (8.5"X5.5)
500 PCS SISC MEMO PAD 20 LVS (5"X4") </v>
      </c>
      <c r="E480" s="196" t="str">
        <f>IFERROR(__xludf.DUMMYFUNCTION("""COMPUTED_VALUE"""),"OSSUP- NEW ITEM FOR STOCKS ")</f>
        <v>OSSUP- NEW ITEM FOR STOCKS </v>
      </c>
    </row>
    <row r="481">
      <c r="A481" s="234">
        <f>IFERROR(__xludf.DUMMYFUNCTION("""COMPUTED_VALUE"""),105314.0)</f>
        <v>105314</v>
      </c>
      <c r="B481" s="235" t="str">
        <f>IFERROR(__xludf.DUMMYFUNCTION("""COMPUTED_VALUE"""),"LYKA PERALTA ")</f>
        <v>LYKA PERALTA </v>
      </c>
      <c r="C481" s="235" t="str">
        <f>IFERROR(__xludf.DUMMYFUNCTION("""COMPUTED_VALUE"""),"AMD")</f>
        <v>AMD</v>
      </c>
      <c r="D481" s="196" t="str">
        <f>IFERROR(__xludf.DUMMYFUNCTION("""COMPUTED_VALUE"""),"20 PCS. TONER, CARTRIDGE CF213A MAGENTA")</f>
        <v>20 PCS. TONER, CARTRIDGE CF213A MAGENTA</v>
      </c>
      <c r="E481" s="196" t="str">
        <f>IFERROR(__xludf.DUMMYFUNCTION("""COMPUTED_VALUE"""),"STOCK REPLENISHMENT")</f>
        <v>STOCK REPLENISHMENT</v>
      </c>
    </row>
    <row r="482">
      <c r="A482" s="234">
        <f>IFERROR(__xludf.DUMMYFUNCTION("""COMPUTED_VALUE"""),105315.0)</f>
        <v>105315</v>
      </c>
      <c r="B482" s="235" t="str">
        <f>IFERROR(__xludf.DUMMYFUNCTION("""COMPUTED_VALUE"""),"LYKA PERALTA / CHRISTIAN GALICIA")</f>
        <v>LYKA PERALTA / CHRISTIAN GALICIA</v>
      </c>
      <c r="C482" s="235" t="str">
        <f>IFERROR(__xludf.DUMMYFUNCTION("""COMPUTED_VALUE"""),"AMD")</f>
        <v>AMD</v>
      </c>
      <c r="D482" s="196" t="str">
        <f>IFERROR(__xludf.DUMMYFUNCTION("""COMPUTED_VALUE"""),"5 PCS. FLASHDRIVE USB 64GB, SANDISK")</f>
        <v>5 PCS. FLASHDRIVE USB 64GB, SANDISK</v>
      </c>
      <c r="E482" s="196" t="str">
        <f>IFERROR(__xludf.DUMMYFUNCTION("""COMPUTED_VALUE"""),"OSSUP- NEW ITEM FOR STOCKS ")</f>
        <v>OSSUP- NEW ITEM FOR STOCKS </v>
      </c>
    </row>
    <row r="483">
      <c r="A483" s="234">
        <f>IFERROR(__xludf.DUMMYFUNCTION("""COMPUTED_VALUE"""),105316.0)</f>
        <v>105316</v>
      </c>
      <c r="B483" s="235" t="str">
        <f>IFERROR(__xludf.DUMMYFUNCTION("""COMPUTED_VALUE"""),"MELISSA NAVAL-ODOÑO")</f>
        <v>MELISSA NAVAL-ODOÑO</v>
      </c>
      <c r="C483" s="235" t="str">
        <f>IFERROR(__xludf.DUMMYFUNCTION("""COMPUTED_VALUE"""),"LIBRARY COLLEGE")</f>
        <v>LIBRARY COLLEGE</v>
      </c>
      <c r="D483" s="196" t="str">
        <f>IFERROR(__xludf.DUMMYFUNCTION("""COMPUTED_VALUE"""),"Cute Hand Lettering for Journal Planners and More					
Drawing For Dummies A Wiley Brand					
Introduction to Natural Hazards and Disasters					
Lighting Design Basics					
Photography for Architects Effective Use Of Images in your Architectural  Prac"&amp;"tice 					
Small Signal Audio Design					
Technology for Teaching and Learning					
The Ethics Toolkit A Compendium Of Ethical Concepts and Methods					
The Rhtyhm Image Music Videos and New Audiovisual Form					
Educational Psychology					")</f>
        <v>Cute Hand Lettering for Journal Planners and More					
Drawing For Dummies A Wiley Brand					
Introduction to Natural Hazards and Disasters					
Lighting Design Basics					
Photography for Architects Effective Use Of Images in your Architectural  Practice 					
Small Signal Audio Design					
Technology for Teaching and Learning					
The Ethics Toolkit A Compendium Of Ethical Concepts and Methods					
The Rhtyhm Image Music Videos and New Audiovisual Form					
Educational Psychology					</v>
      </c>
      <c r="E483" s="196" t="str">
        <f>IFERROR(__xludf.DUMMYFUNCTION("""COMPUTED_VALUE"""),"FOR PACUCUOA")</f>
        <v>FOR PACUCUOA</v>
      </c>
    </row>
    <row r="484">
      <c r="A484" s="234">
        <f>IFERROR(__xludf.DUMMYFUNCTION("""COMPUTED_VALUE"""),105317.0)</f>
        <v>105317</v>
      </c>
      <c r="B484" s="235" t="str">
        <f>IFERROR(__xludf.DUMMYFUNCTION("""COMPUTED_VALUE"""),"MELISSA ODOÑO/ DR. ASTRID M. DELEON")</f>
        <v>MELISSA ODOÑO/ DR. ASTRID M. DELEON</v>
      </c>
      <c r="C484" s="235" t="str">
        <f>IFERROR(__xludf.DUMMYFUNCTION("""COMPUTED_VALUE"""),"LIBRARY COLLEGE")</f>
        <v>LIBRARY COLLEGE</v>
      </c>
      <c r="D484" s="196" t="str">
        <f>IFERROR(__xludf.DUMMYFUNCTION("""COMPUTED_VALUE"""),"PHIL EDUCATIONAL LAW 2024
CODE OF ETHICS FOR PROFESSIONAL TEACHERS 2023")</f>
        <v>PHIL EDUCATIONAL LAW 2024
CODE OF ETHICS FOR PROFESSIONAL TEACHERS 2023</v>
      </c>
      <c r="E484" s="196" t="str">
        <f>IFERROR(__xludf.DUMMYFUNCTION("""COMPUTED_VALUE"""),"FOR LIBRARY'S COPY/ FACULTY ")</f>
        <v>FOR LIBRARY'S COPY/ FACULTY </v>
      </c>
    </row>
    <row r="485">
      <c r="A485" s="234">
        <f>IFERROR(__xludf.DUMMYFUNCTION("""COMPUTED_VALUE"""),105318.0)</f>
        <v>105318</v>
      </c>
      <c r="B485" s="235" t="str">
        <f>IFERROR(__xludf.DUMMYFUNCTION("""COMPUTED_VALUE"""),"MELISSA ODOÑO/ DR. AVIC SUAREZ")</f>
        <v>MELISSA ODOÑO/ DR. AVIC SUAREZ</v>
      </c>
      <c r="C485" s="235" t="str">
        <f>IFERROR(__xludf.DUMMYFUNCTION("""COMPUTED_VALUE"""),"LIBRARY BASIC ED")</f>
        <v>LIBRARY BASIC ED</v>
      </c>
      <c r="D485" s="196" t="str">
        <f>IFERROR(__xludf.DUMMYFUNCTION("""COMPUTED_VALUE"""),"PHILIPPINE EDUCATION LAW 2024")</f>
        <v>PHILIPPINE EDUCATION LAW 2024</v>
      </c>
      <c r="E485" s="196" t="str">
        <f>IFERROR(__xludf.DUMMYFUNCTION("""COMPUTED_VALUE"""),"FOR LIBRARY'S COPY/ FACULTY ")</f>
        <v>FOR LIBRARY'S COPY/ FACULTY </v>
      </c>
    </row>
    <row r="486">
      <c r="A486" s="234">
        <f>IFERROR(__xludf.DUMMYFUNCTION("""COMPUTED_VALUE"""),105319.0)</f>
        <v>105319</v>
      </c>
      <c r="B486" s="235" t="str">
        <f>IFERROR(__xludf.DUMMYFUNCTION("""COMPUTED_VALUE"""),"MELISSA ODOÑO/ DR. AVIC SUAREZ")</f>
        <v>MELISSA ODOÑO/ DR. AVIC SUAREZ</v>
      </c>
      <c r="C486" s="235" t="str">
        <f>IFERROR(__xludf.DUMMYFUNCTION("""COMPUTED_VALUE"""),"LIBRARY BASIC ED")</f>
        <v>LIBRARY BASIC ED</v>
      </c>
      <c r="D486" s="196" t="str">
        <f>IFERROR(__xludf.DUMMYFUNCTION("""COMPUTED_VALUE"""),"PHILIPPINE EDUCATION LAW 2024
CODE OF ETHICS FOR PROFESSIONAL TEACHERS 2023")</f>
        <v>PHILIPPINE EDUCATION LAW 2024
CODE OF ETHICS FOR PROFESSIONAL TEACHERS 2023</v>
      </c>
      <c r="E486" s="196" t="str">
        <f>IFERROR(__xludf.DUMMYFUNCTION("""COMPUTED_VALUE"""),"FOR FACULTY, STAFF, MANAGEMENT USE - LIBARARY COPY")</f>
        <v>FOR FACULTY, STAFF, MANAGEMENT USE - LIBARARY COPY</v>
      </c>
    </row>
    <row r="487">
      <c r="A487" s="234">
        <f>IFERROR(__xludf.DUMMYFUNCTION("""COMPUTED_VALUE"""),105320.0)</f>
        <v>105320</v>
      </c>
      <c r="B487" s="235" t="str">
        <f>IFERROR(__xludf.DUMMYFUNCTION("""COMPUTED_VALUE"""),"MARC VITTO")</f>
        <v>MARC VITTO</v>
      </c>
      <c r="C487" s="235" t="str">
        <f>IFERROR(__xludf.DUMMYFUNCTION("""COMPUTED_VALUE"""),"PR &amp; MARKETING")</f>
        <v>PR &amp; MARKETING</v>
      </c>
      <c r="D487" s="196" t="str">
        <f>IFERROR(__xludf.DUMMYFUNCTION("""COMPUTED_VALUE"""),"2ND SEM ADMISSION TARP, THICKNESS: 18 OZ
WITH SEAMING AND EYELET ALL OVER
247 X 78 INCHES 1 PC. 
156 X 78 INCHES 1 PC. ")</f>
        <v>2ND SEM ADMISSION TARP, THICKNESS: 18 OZ
WITH SEAMING AND EYELET ALL OVER
247 X 78 INCHES 1 PC. 
156 X 78 INCHES 1 PC. </v>
      </c>
      <c r="E487" s="196" t="str">
        <f>IFERROR(__xludf.DUMMYFUNCTION("""COMPUTED_VALUE"""),"FOR MARKETING")</f>
        <v>FOR MARKETING</v>
      </c>
    </row>
    <row r="488">
      <c r="A488" s="234">
        <f>IFERROR(__xludf.DUMMYFUNCTION("""COMPUTED_VALUE"""),105321.0)</f>
        <v>105321</v>
      </c>
      <c r="B488" s="235" t="str">
        <f>IFERROR(__xludf.DUMMYFUNCTION("""COMPUTED_VALUE"""),"LYKA PERALTA")</f>
        <v>LYKA PERALTA</v>
      </c>
      <c r="C488" s="235" t="str">
        <f>IFERROR(__xludf.DUMMYFUNCTION("""COMPUTED_VALUE"""),"AMD")</f>
        <v>AMD</v>
      </c>
      <c r="D488" s="196" t="str">
        <f>IFERROR(__xludf.DUMMYFUNCTION("""COMPUTED_VALUE"""),"5PCS RECORD BOOK 500 PAGES")</f>
        <v>5PCS RECORD BOOK 500 PAGES</v>
      </c>
      <c r="E488" s="196" t="str">
        <f>IFERROR(__xludf.DUMMYFUNCTION("""COMPUTED_VALUE"""),"OSSUP STOCK REPLENISHMENT")</f>
        <v>OSSUP STOCK REPLENISHMENT</v>
      </c>
    </row>
    <row r="489">
      <c r="A489" s="234">
        <f>IFERROR(__xludf.DUMMYFUNCTION("""COMPUTED_VALUE"""),105322.0)</f>
        <v>105322</v>
      </c>
      <c r="B489" s="235" t="str">
        <f>IFERROR(__xludf.DUMMYFUNCTION("""COMPUTED_VALUE"""),"LYKA PERALTA")</f>
        <v>LYKA PERALTA</v>
      </c>
      <c r="C489" s="235" t="str">
        <f>IFERROR(__xludf.DUMMYFUNCTION("""COMPUTED_VALUE"""),"AMD")</f>
        <v>AMD</v>
      </c>
      <c r="D489" s="196" t="str">
        <f>IFERROR(__xludf.DUMMYFUNCTION("""COMPUTED_VALUE"""),"3PCS BOX OF PAPER CONTINOUS 11X9.5 4PLY")</f>
        <v>3PCS BOX OF PAPER CONTINOUS 11X9.5 4PLY</v>
      </c>
      <c r="E489" s="196" t="str">
        <f>IFERROR(__xludf.DUMMYFUNCTION("""COMPUTED_VALUE"""),"OSSUP STOCK REPLENISHMENT")</f>
        <v>OSSUP STOCK REPLENISHMENT</v>
      </c>
    </row>
    <row r="490">
      <c r="A490" s="234">
        <f>IFERROR(__xludf.DUMMYFUNCTION("""COMPUTED_VALUE"""),105323.0)</f>
        <v>105323</v>
      </c>
      <c r="B490" s="235" t="str">
        <f>IFERROR(__xludf.DUMMYFUNCTION("""COMPUTED_VALUE"""),"LYKA PERALTA")</f>
        <v>LYKA PERALTA</v>
      </c>
      <c r="C490" s="235" t="str">
        <f>IFERROR(__xludf.DUMMYFUNCTION("""COMPUTED_VALUE"""),"AMD")</f>
        <v>AMD</v>
      </c>
      <c r="D490" s="196" t="str">
        <f>IFERROR(__xludf.DUMMYFUNCTION("""COMPUTED_VALUE"""),"300 PACKS BOARD VELLUM SHORT")</f>
        <v>300 PACKS BOARD VELLUM SHORT</v>
      </c>
      <c r="E490" s="196" t="str">
        <f>IFERROR(__xludf.DUMMYFUNCTION("""COMPUTED_VALUE"""),"OSSUP STOCK REPLENISHMENT")</f>
        <v>OSSUP STOCK REPLENISHMENT</v>
      </c>
    </row>
    <row r="491">
      <c r="A491" s="234">
        <f>IFERROR(__xludf.DUMMYFUNCTION("""COMPUTED_VALUE"""),105324.0)</f>
        <v>105324</v>
      </c>
      <c r="B491" s="235" t="str">
        <f>IFERROR(__xludf.DUMMYFUNCTION("""COMPUTED_VALUE"""),"LYKA PERALTA")</f>
        <v>LYKA PERALTA</v>
      </c>
      <c r="C491" s="235" t="str">
        <f>IFERROR(__xludf.DUMMYFUNCTION("""COMPUTED_VALUE"""),"AMD")</f>
        <v>AMD</v>
      </c>
      <c r="D491" s="196" t="str">
        <f>IFERROR(__xludf.DUMMYFUNCTION("""COMPUTED_VALUE"""),"1000 PCS FOLDER FORTUNE WHITE LONG
500 PCS FOLDER FORTUNE WHITE SHORT")</f>
        <v>1000 PCS FOLDER FORTUNE WHITE LONG
500 PCS FOLDER FORTUNE WHITE SHORT</v>
      </c>
      <c r="E491" s="196" t="str">
        <f>IFERROR(__xludf.DUMMYFUNCTION("""COMPUTED_VALUE"""),"OSSUP STOCK REPLENISHMENT")</f>
        <v>OSSUP STOCK REPLENISHMENT</v>
      </c>
    </row>
    <row r="492">
      <c r="A492" s="234">
        <f>IFERROR(__xludf.DUMMYFUNCTION("""COMPUTED_VALUE"""),105325.0)</f>
        <v>105325</v>
      </c>
      <c r="B492" s="235" t="str">
        <f>IFERROR(__xludf.DUMMYFUNCTION("""COMPUTED_VALUE"""),"RODRIGO CUSTODIO")</f>
        <v>RODRIGO CUSTODIO</v>
      </c>
      <c r="C492" s="235" t="str">
        <f>IFERROR(__xludf.DUMMYFUNCTION("""COMPUTED_VALUE"""),"AMD")</f>
        <v>AMD</v>
      </c>
      <c r="D492" s="196" t="str">
        <f>IFERROR(__xludf.DUMMYFUNCTION("""COMPUTED_VALUE"""),"144 GALS HAND SOAP ANTIBACTERIAL (YELLOW)")</f>
        <v>144 GALS HAND SOAP ANTIBACTERIAL (YELLOW)</v>
      </c>
      <c r="E492" s="196" t="str">
        <f>IFERROR(__xludf.DUMMYFUNCTION("""COMPUTED_VALUE"""),"HOUSEKEEPING MATERIALS STOCK REPLENISHMENT")</f>
        <v>HOUSEKEEPING MATERIALS STOCK REPLENISHMENT</v>
      </c>
    </row>
    <row r="493">
      <c r="A493" s="234">
        <f>IFERROR(__xludf.DUMMYFUNCTION("""COMPUTED_VALUE"""),105326.0)</f>
        <v>105326</v>
      </c>
      <c r="B493" s="235" t="str">
        <f>IFERROR(__xludf.DUMMYFUNCTION("""COMPUTED_VALUE"""),"OWIE PAR ")</f>
        <v>OWIE PAR </v>
      </c>
      <c r="C493" s="235" t="str">
        <f>IFERROR(__xludf.DUMMYFUNCTION("""COMPUTED_VALUE"""),"ENGINEERING")</f>
        <v>ENGINEERING</v>
      </c>
      <c r="D493" s="196" t="str">
        <f>IFERROR(__xludf.DUMMYFUNCTION("""COMPUTED_VALUE"""),"1 UNIT 3.0 HP CEILING CASSETTE TYPE INVERTER")</f>
        <v>1 UNIT 3.0 HP CEILING CASSETTE TYPE INVERTER</v>
      </c>
      <c r="E493" s="196" t="str">
        <f>IFERROR(__xludf.DUMMYFUNCTION("""COMPUTED_VALUE"""),"FOR CEM REPLACEMENT/ IMPROVEMENT OF VENTILATION SYSTEM LOBBY AREA")</f>
        <v>FOR CEM REPLACEMENT/ IMPROVEMENT OF VENTILATION SYSTEM LOBBY AREA</v>
      </c>
    </row>
    <row r="494">
      <c r="A494" s="234">
        <f>IFERROR(__xludf.DUMMYFUNCTION("""COMPUTED_VALUE"""),105327.0)</f>
        <v>105327</v>
      </c>
      <c r="B494" s="235" t="str">
        <f>IFERROR(__xludf.DUMMYFUNCTION("""COMPUTED_VALUE"""),"RODRIGO CUSTODIO")</f>
        <v>RODRIGO CUSTODIO</v>
      </c>
      <c r="C494" s="235" t="str">
        <f>IFERROR(__xludf.DUMMYFUNCTION("""COMPUTED_VALUE"""),"AMD")</f>
        <v>AMD</v>
      </c>
      <c r="D494" s="196" t="str">
        <f>IFERROR(__xludf.DUMMYFUNCTION("""COMPUTED_VALUE"""),"200 PACKS CHLORINE 1KG PER PACK")</f>
        <v>200 PACKS CHLORINE 1KG PER PACK</v>
      </c>
      <c r="E494" s="196" t="str">
        <f>IFERROR(__xludf.DUMMYFUNCTION("""COMPUTED_VALUE"""),"HOUSEKEEPING MATERIALS STOCK REPLENISHMENT")</f>
        <v>HOUSEKEEPING MATERIALS STOCK REPLENISHMENT</v>
      </c>
    </row>
    <row r="495">
      <c r="A495" s="234">
        <f>IFERROR(__xludf.DUMMYFUNCTION("""COMPUTED_VALUE"""),105328.0)</f>
        <v>105328</v>
      </c>
      <c r="B495" s="235" t="str">
        <f>IFERROR(__xludf.DUMMYFUNCTION("""COMPUTED_VALUE"""),"JESUIT CHRISTIAN GALICIA")</f>
        <v>JESUIT CHRISTIAN GALICIA</v>
      </c>
      <c r="C495" s="235" t="str">
        <f>IFERROR(__xludf.DUMMYFUNCTION("""COMPUTED_VALUE"""),"AMD")</f>
        <v>AMD</v>
      </c>
      <c r="D495" s="196" t="str">
        <f>IFERROR(__xludf.DUMMYFUNCTION("""COMPUTED_VALUE"""),"20 PCS EZ LABELER (12 MM)
20PCS KINGSTON SOLID STATE DRIVE 240GB
20 PCS HDMI VIDEO SPLITTER")</f>
        <v>20 PCS EZ LABELER (12 MM)
20PCS KINGSTON SOLID STATE DRIVE 240GB
20 PCS HDMI VIDEO SPLITTER</v>
      </c>
      <c r="E495" s="196" t="str">
        <f>IFERROR(__xludf.DUMMYFUNCTION("""COMPUTED_VALUE"""),"MIS WAREHOUSE STOCK REPLENISHMENT")</f>
        <v>MIS WAREHOUSE STOCK REPLENISHMENT</v>
      </c>
    </row>
    <row r="496">
      <c r="A496" s="234">
        <f>IFERROR(__xludf.DUMMYFUNCTION("""COMPUTED_VALUE"""),105329.0)</f>
        <v>105329</v>
      </c>
      <c r="B496" s="235" t="str">
        <f>IFERROR(__xludf.DUMMYFUNCTION("""COMPUTED_VALUE"""),"JESUIT CHRISTIAN GALICIA")</f>
        <v>JESUIT CHRISTIAN GALICIA</v>
      </c>
      <c r="C496" s="235" t="str">
        <f>IFERROR(__xludf.DUMMYFUNCTION("""COMPUTED_VALUE"""),"AMD")</f>
        <v>AMD</v>
      </c>
      <c r="D496" s="196" t="str">
        <f>IFERROR(__xludf.DUMMYFUNCTION("""COMPUTED_VALUE"""),"1PC AUTOMATIC NUMBERING TRODAT ( 7 DIGITS )")</f>
        <v>1PC AUTOMATIC NUMBERING TRODAT ( 7 DIGITS )</v>
      </c>
      <c r="E496" s="196" t="str">
        <f>IFERROR(__xludf.DUMMYFUNCTION("""COMPUTED_VALUE"""),"FACILITATE EASY NUMBERING OF DRF (AMD OFFICE USE)")</f>
        <v>FACILITATE EASY NUMBERING OF DRF (AMD OFFICE USE)</v>
      </c>
    </row>
    <row r="497">
      <c r="A497" s="234">
        <f>IFERROR(__xludf.DUMMYFUNCTION("""COMPUTED_VALUE"""),105330.0)</f>
        <v>105330</v>
      </c>
      <c r="B497" s="235" t="str">
        <f>IFERROR(__xludf.DUMMYFUNCTION("""COMPUTED_VALUE"""),"SHEREE ESPINOSA ")</f>
        <v>SHEREE ESPINOSA </v>
      </c>
      <c r="C497" s="235" t="str">
        <f>IFERROR(__xludf.DUMMYFUNCTION("""COMPUTED_VALUE"""),"ADMIN")</f>
        <v>ADMIN</v>
      </c>
      <c r="D497" s="196" t="str">
        <f>IFERROR(__xludf.DUMMYFUNCTION("""COMPUTED_VALUE"""),"9 PCS ASSORTED APPLIANCES")</f>
        <v>9 PCS ASSORTED APPLIANCES</v>
      </c>
      <c r="E497" s="196" t="str">
        <f>IFERROR(__xludf.DUMMYFUNCTION("""COMPUTED_VALUE"""),"TOKENS FROM SISC TO LGU OFFICERS FOR CHRISTMAS PARTY RAFFLE")</f>
        <v>TOKENS FROM SISC TO LGU OFFICERS FOR CHRISTMAS PARTY RAFFLE</v>
      </c>
    </row>
    <row r="498">
      <c r="A498" s="234">
        <f>IFERROR(__xludf.DUMMYFUNCTION("""COMPUTED_VALUE"""),105331.0)</f>
        <v>105331</v>
      </c>
      <c r="B498" s="235" t="str">
        <f>IFERROR(__xludf.DUMMYFUNCTION("""COMPUTED_VALUE"""),"RUEL PAR/ RONALD VERDE")</f>
        <v>RUEL PAR/ RONALD VERDE</v>
      </c>
      <c r="C498" s="235" t="str">
        <f>IFERROR(__xludf.DUMMYFUNCTION("""COMPUTED_VALUE"""),"ADMIN")</f>
        <v>ADMIN</v>
      </c>
      <c r="D498" s="196" t="str">
        <f>IFERROR(__xludf.DUMMYFUNCTION("""COMPUTED_VALUE"""),"1LOT SUPPLIES FOR WATER STATION")</f>
        <v>1LOT SUPPLIES FOR WATER STATION</v>
      </c>
      <c r="E498" s="196" t="str">
        <f>IFERROR(__xludf.DUMMYFUNCTION("""COMPUTED_VALUE"""),"SUPPLIES OF WATER STATION ")</f>
        <v>SUPPLIES OF WATER STATION </v>
      </c>
    </row>
    <row r="499">
      <c r="A499" s="234">
        <f>IFERROR(__xludf.DUMMYFUNCTION("""COMPUTED_VALUE"""),105332.0)</f>
        <v>105332</v>
      </c>
      <c r="B499" s="235" t="str">
        <f>IFERROR(__xludf.DUMMYFUNCTION("""COMPUTED_VALUE"""),"CARLITO DELA VEGA")</f>
        <v>CARLITO DELA VEGA</v>
      </c>
      <c r="C499" s="235" t="str">
        <f>IFERROR(__xludf.DUMMYFUNCTION("""COMPUTED_VALUE"""),"SECURITY")</f>
        <v>SECURITY</v>
      </c>
      <c r="D499" s="196" t="str">
        <f>IFERROR(__xludf.DUMMYFUNCTION("""COMPUTED_VALUE"""),"1 UNIT TABLET HONOR PAD X8A, 4GB RAMM/128GB W/ KEYBOARD")</f>
        <v>1 UNIT TABLET HONOR PAD X8A, 4GB RAMM/128GB W/ KEYBOARD</v>
      </c>
      <c r="E499" s="196" t="str">
        <f>IFERROR(__xludf.DUMMYFUNCTION("""COMPUTED_VALUE"""),"CCTV QUICK REVIEW/FASTEST WAY IN REVIEWING FOOTAGES")</f>
        <v>CCTV QUICK REVIEW/FASTEST WAY IN REVIEWING FOOTAGES</v>
      </c>
    </row>
    <row r="500">
      <c r="A500" s="234">
        <f>IFERROR(__xludf.DUMMYFUNCTION("""COMPUTED_VALUE"""),105333.0)</f>
        <v>105333</v>
      </c>
      <c r="B500" s="235" t="str">
        <f>IFERROR(__xludf.DUMMYFUNCTION("""COMPUTED_VALUE"""),"SHEREE ESPINOSA ")</f>
        <v>SHEREE ESPINOSA </v>
      </c>
      <c r="C500" s="235" t="str">
        <f>IFERROR(__xludf.DUMMYFUNCTION("""COMPUTED_VALUE"""),"ADMIN")</f>
        <v>ADMIN</v>
      </c>
      <c r="D500" s="196" t="str">
        <f>IFERROR(__xludf.DUMMYFUNCTION("""COMPUTED_VALUE"""),"1ROLL ARTIFICIAL GRASS TURF 25M X 2M (30MM)")</f>
        <v>1ROLL ARTIFICIAL GRASS TURF 25M X 2M (30MM)</v>
      </c>
      <c r="E500" s="196" t="str">
        <f>IFERROR(__xludf.DUMMYFUNCTION("""COMPUTED_VALUE"""),"PART OF THE CHRISTMAS DECOR")</f>
        <v>PART OF THE CHRISTMAS DECOR</v>
      </c>
    </row>
    <row r="501">
      <c r="A501" s="234">
        <f>IFERROR(__xludf.DUMMYFUNCTION("""COMPUTED_VALUE"""),105334.0)</f>
        <v>105334</v>
      </c>
      <c r="B501" s="235" t="str">
        <f>IFERROR(__xludf.DUMMYFUNCTION("""COMPUTED_VALUE"""),"EDGAR REBELLON")</f>
        <v>EDGAR REBELLON</v>
      </c>
      <c r="C501" s="235" t="str">
        <f>IFERROR(__xludf.DUMMYFUNCTION("""COMPUTED_VALUE"""),"AMD")</f>
        <v>AMD</v>
      </c>
      <c r="D501" s="196" t="str">
        <f>IFERROR(__xludf.DUMMYFUNCTION("""COMPUTED_VALUE"""),"6 PCS. PENDANT LAMP BLACK 38 CM (15"")
6 LED BULB WARM WHITE E27 806 LUMEN")</f>
        <v>6 PCS. PENDANT LAMP BLACK 38 CM (15")
6 LED BULB WARM WHITE E27 806 LUMEN</v>
      </c>
      <c r="E501" s="196" t="str">
        <f>IFERROR(__xludf.DUMMYFUNCTION("""COMPUTED_VALUE"""),"CAFETERIA MESS HALL IMPROVEMENT")</f>
        <v>CAFETERIA MESS HALL IMPROVEMENT</v>
      </c>
    </row>
    <row r="502">
      <c r="A502" s="234">
        <f>IFERROR(__xludf.DUMMYFUNCTION("""COMPUTED_VALUE"""),105335.0)</f>
        <v>105335</v>
      </c>
      <c r="B502" s="235" t="str">
        <f>IFERROR(__xludf.DUMMYFUNCTION("""COMPUTED_VALUE"""),"RODRIGO CUSTODIO")</f>
        <v>RODRIGO CUSTODIO</v>
      </c>
      <c r="C502" s="235" t="str">
        <f>IFERROR(__xludf.DUMMYFUNCTION("""COMPUTED_VALUE"""),"AMD")</f>
        <v>AMD</v>
      </c>
      <c r="D502" s="196" t="str">
        <f>IFERROR(__xludf.DUMMYFUNCTION("""COMPUTED_VALUE"""),"10 GALS FLOOR FINISH (STATE) MIGHTY SPARKLE DIAMOND 25 1 U.S GAL ")</f>
        <v>10 GALS FLOOR FINISH (STATE) MIGHTY SPARKLE DIAMOND 25 1 U.S GAL </v>
      </c>
      <c r="E502" s="196" t="str">
        <f>IFERROR(__xludf.DUMMYFUNCTION("""COMPUTED_VALUE"""),"HOUSEKEEPING MATERIALS STOCK REPLENISHMENT")</f>
        <v>HOUSEKEEPING MATERIALS STOCK REPLENISHMENT</v>
      </c>
    </row>
    <row r="503">
      <c r="A503" s="234">
        <f>IFERROR(__xludf.DUMMYFUNCTION("""COMPUTED_VALUE"""),105336.0)</f>
        <v>105336</v>
      </c>
      <c r="B503" s="235" t="str">
        <f>IFERROR(__xludf.DUMMYFUNCTION("""COMPUTED_VALUE"""),"RODRIGO CUSTODIO")</f>
        <v>RODRIGO CUSTODIO</v>
      </c>
      <c r="C503" s="235" t="str">
        <f>IFERROR(__xludf.DUMMYFUNCTION("""COMPUTED_VALUE"""),"AMD")</f>
        <v>AMD</v>
      </c>
      <c r="D503" s="196" t="str">
        <f>IFERROR(__xludf.DUMMYFUNCTION("""COMPUTED_VALUE"""),"15 MOP HANDLE 4FT YELLOW
13 MOP HANDLE 4FT RED
19 MOP HANDLE 4FT GREEN 
14 MOP HANDLE 4FT BLUE 
2 DUST MOP HANDLE &amp; FRAME WITH MOP HEAD #30")</f>
        <v>15 MOP HANDLE 4FT YELLOW
13 MOP HANDLE 4FT RED
19 MOP HANDLE 4FT GREEN 
14 MOP HANDLE 4FT BLUE 
2 DUST MOP HANDLE &amp; FRAME WITH MOP HEAD #30</v>
      </c>
      <c r="E503" s="196" t="str">
        <f>IFERROR(__xludf.DUMMYFUNCTION("""COMPUTED_VALUE"""),"HOUSEKEEPING MATERIALS STOCK REPLENISHMENT")</f>
        <v>HOUSEKEEPING MATERIALS STOCK REPLENISHMENT</v>
      </c>
    </row>
    <row r="504">
      <c r="A504" s="234">
        <f>IFERROR(__xludf.DUMMYFUNCTION("""COMPUTED_VALUE"""),105337.0)</f>
        <v>105337</v>
      </c>
      <c r="B504" s="235" t="str">
        <f>IFERROR(__xludf.DUMMYFUNCTION("""COMPUTED_VALUE"""),"MARK M PABUSTAN")</f>
        <v>MARK M PABUSTAN</v>
      </c>
      <c r="C504" s="235" t="str">
        <f>IFERROR(__xludf.DUMMYFUNCTION("""COMPUTED_VALUE"""),"ROBOTICS")</f>
        <v>ROBOTICS</v>
      </c>
      <c r="D504" s="196" t="str">
        <f>IFERROR(__xludf.DUMMYFUNCTION("""COMPUTED_VALUE"""),"2 PCS EACH COLOR ESUN PLA+ FILAMENT 1.75MM PLA PLUS 1KG SPOOL FOR 3D PRINTER (PURPLE, GREEN, WHITE, BLACK, GRAY, RED, PINK, BLUE, BROWN, GOLD, SILVER, ORANGE) 
2PCS PLATO PCAFC 170 WISHFUL CLAMP SHEAR SIDE CUTTER")</f>
        <v>2 PCS EACH COLOR ESUN PLA+ FILAMENT 1.75MM PLA PLUS 1KG SPOOL FOR 3D PRINTER (PURPLE, GREEN, WHITE, BLACK, GRAY, RED, PINK, BLUE, BROWN, GOLD, SILVER, ORANGE) 
2PCS PLATO PCAFC 170 WISHFUL CLAMP SHEAR SIDE CUTTER</v>
      </c>
      <c r="E504" s="196" t="str">
        <f>IFERROR(__xludf.DUMMYFUNCTION("""COMPUTED_VALUE"""),"FOR REPLENISHMENT")</f>
        <v>FOR REPLENISHMENT</v>
      </c>
    </row>
    <row r="505">
      <c r="A505" s="234">
        <f>IFERROR(__xludf.DUMMYFUNCTION("""COMPUTED_VALUE"""),105338.0)</f>
        <v>105338</v>
      </c>
      <c r="B505" s="235" t="str">
        <f>IFERROR(__xludf.DUMMYFUNCTION("""COMPUTED_VALUE"""),"CHANAN PHOEBE CHUA ")</f>
        <v>CHANAN PHOEBE CHUA </v>
      </c>
      <c r="C505" s="235" t="str">
        <f>IFERROR(__xludf.DUMMYFUNCTION("""COMPUTED_VALUE"""),"PR &amp; MARKETING")</f>
        <v>PR &amp; MARKETING</v>
      </c>
      <c r="D505" s="196" t="str">
        <f>IFERROR(__xludf.DUMMYFUNCTION("""COMPUTED_VALUE"""),"1 FREEPLAY 260CM X 144 CM 
1 BIRTHDAY 201CM X 108CM 
1 SGEN LEARNINGB VILLAGE TARP 305CM 197CM ")</f>
        <v>1 FREEPLAY 260CM X 144 CM 
1 BIRTHDAY 201CM X 108CM 
1 SGEN LEARNINGB VILLAGE TARP 305CM 197CM </v>
      </c>
      <c r="E505" s="196" t="str">
        <f>IFERROR(__xludf.DUMMYFUNCTION("""COMPUTED_VALUE"""),"MARKETING TARPAULIN IN LV ")</f>
        <v>MARKETING TARPAULIN IN LV </v>
      </c>
    </row>
    <row r="506">
      <c r="A506" s="234">
        <f>IFERROR(__xludf.DUMMYFUNCTION("""COMPUTED_VALUE"""),105339.0)</f>
        <v>105339</v>
      </c>
      <c r="B506" s="235" t="str">
        <f>IFERROR(__xludf.DUMMYFUNCTION("""COMPUTED_VALUE"""),"JOY ILAO ")</f>
        <v>JOY ILAO </v>
      </c>
      <c r="C506" s="235" t="str">
        <f>IFERROR(__xludf.DUMMYFUNCTION("""COMPUTED_VALUE"""),"CEM OFFICE")</f>
        <v>CEM OFFICE</v>
      </c>
      <c r="D506" s="196" t="str">
        <f>IFERROR(__xludf.DUMMYFUNCTION("""COMPUTED_VALUE"""),"6 G70 BLACK INK 
4 G70 CYAN INK 
4 G70 MAGENTA INK 
4 G70 YELLOW INK ")</f>
        <v>6 G70 BLACK INK 
4 G70 CYAN INK 
4 G70 MAGENTA INK 
4 G70 YELLOW INK </v>
      </c>
      <c r="E506" s="196" t="str">
        <f>IFERROR(__xludf.DUMMYFUNCTION("""COMPUTED_VALUE"""),"GLL'S INK PRINTER")</f>
        <v>GLL'S INK PRINTER</v>
      </c>
    </row>
    <row r="507">
      <c r="A507" s="234">
        <f>IFERROR(__xludf.DUMMYFUNCTION("""COMPUTED_VALUE"""),105340.0)</f>
        <v>105340</v>
      </c>
      <c r="B507" s="235" t="str">
        <f>IFERROR(__xludf.DUMMYFUNCTION("""COMPUTED_VALUE"""),"RODRIGO CUSTODIO")</f>
        <v>RODRIGO CUSTODIO</v>
      </c>
      <c r="C507" s="235" t="str">
        <f>IFERROR(__xludf.DUMMYFUNCTION("""COMPUTED_VALUE"""),"AMD")</f>
        <v>AMD</v>
      </c>
      <c r="D507" s="196" t="str">
        <f>IFERROR(__xludf.DUMMYFUNCTION("""COMPUTED_VALUE"""),"84 BAYGON WATERBASED MULTI INSECT KILLER 500 ML BOTTLE ")</f>
        <v>84 BAYGON WATERBASED MULTI INSECT KILLER 500 ML BOTTLE </v>
      </c>
      <c r="E507" s="196" t="str">
        <f>IFERROR(__xludf.DUMMYFUNCTION("""COMPUTED_VALUE"""),"HOUSEKEEPING MATERIALS STOCK REPLENISHMENT")</f>
        <v>HOUSEKEEPING MATERIALS STOCK REPLENISHMENT</v>
      </c>
    </row>
    <row r="508">
      <c r="A508" s="234">
        <f>IFERROR(__xludf.DUMMYFUNCTION("""COMPUTED_VALUE"""),105341.0)</f>
        <v>105341</v>
      </c>
      <c r="B508" s="235" t="str">
        <f>IFERROR(__xludf.DUMMYFUNCTION("""COMPUTED_VALUE"""),"JESUIT CHRISTIAN GALICIA")</f>
        <v>JESUIT CHRISTIAN GALICIA</v>
      </c>
      <c r="C508" s="235" t="str">
        <f>IFERROR(__xludf.DUMMYFUNCTION("""COMPUTED_VALUE"""),"AMD")</f>
        <v>AMD</v>
      </c>
      <c r="D508" s="196" t="str">
        <f>IFERROR(__xludf.DUMMYFUNCTION("""COMPUTED_VALUE"""),"40PCS UNIVERSAL ADAPTOR OMNI ")</f>
        <v>40PCS UNIVERSAL ADAPTOR OMNI </v>
      </c>
      <c r="E508" s="196" t="str">
        <f>IFERROR(__xludf.DUMMYFUNCTION("""COMPUTED_VALUE"""),"ENGR WAREHOUSE STOCK REPLENISHMENT")</f>
        <v>ENGR WAREHOUSE STOCK REPLENISHMENT</v>
      </c>
    </row>
    <row r="509">
      <c r="A509" s="234">
        <f>IFERROR(__xludf.DUMMYFUNCTION("""COMPUTED_VALUE"""),105342.0)</f>
        <v>105342</v>
      </c>
      <c r="B509" s="235" t="str">
        <f>IFERROR(__xludf.DUMMYFUNCTION("""COMPUTED_VALUE"""),"JC CAMPIT")</f>
        <v>JC CAMPIT</v>
      </c>
      <c r="C509" s="235" t="str">
        <f>IFERROR(__xludf.DUMMYFUNCTION("""COMPUTED_VALUE"""),"ABU")</f>
        <v>ABU</v>
      </c>
      <c r="D509" s="196" t="str">
        <f>IFERROR(__xludf.DUMMYFUNCTION("""COMPUTED_VALUE"""),"1 ROLL FLATCORD #18
7 PCS UTILITY BOX PVC
7PCS MOULDINGS 1/2 
7PCS 1 GANG OUTLETS ")</f>
        <v>1 ROLL FLATCORD #18
7 PCS UTILITY BOX PVC
7PCS MOULDINGS 1/2 
7PCS 1 GANG OUTLETS </v>
      </c>
      <c r="E509" s="196" t="str">
        <f>IFERROR(__xludf.DUMMYFUNCTION("""COMPUTED_VALUE"""),"INSTALLATION OF CCTV")</f>
        <v>INSTALLATION OF CCTV</v>
      </c>
    </row>
    <row r="510">
      <c r="A510" s="234">
        <f>IFERROR(__xludf.DUMMYFUNCTION("""COMPUTED_VALUE"""),105343.0)</f>
        <v>105343</v>
      </c>
      <c r="B510" s="235" t="str">
        <f>IFERROR(__xludf.DUMMYFUNCTION("""COMPUTED_VALUE"""),"ALFA DE LEON")</f>
        <v>ALFA DE LEON</v>
      </c>
      <c r="C510" s="235" t="str">
        <f>IFERROR(__xludf.DUMMYFUNCTION("""COMPUTED_VALUE"""),"ADMIN - MUNICH")</f>
        <v>ADMIN - MUNICH</v>
      </c>
      <c r="D510" s="196" t="str">
        <f>IFERROR(__xludf.DUMMYFUNCTION("""COMPUTED_VALUE"""),"1 BOX THHN #12 
3PCS ELECTRICAL TAPE 
50PCS BLACK SCREW #2
10 PCS AMCO BOX 
4PCS PIN LIGHT 
")</f>
        <v>1 BOX THHN #12 
3PCS ELECTRICAL TAPE 
50PCS BLACK SCREW #2
10 PCS AMCO BOX 
4PCS PIN LIGHT 
</v>
      </c>
      <c r="E510" s="196" t="str">
        <f>IFERROR(__xludf.DUMMYFUNCTION("""COMPUTED_VALUE"""),"ELECTRICAL WIRING FOR ORBIT INSTALLATION 211,212,313,314,315,316,310 ADDTL SOCKET IN THE HALLWAYS 
")</f>
        <v>ELECTRICAL WIRING FOR ORBIT INSTALLATION 211,212,313,314,315,316,310 ADDTL SOCKET IN THE HALLWAYS 
</v>
      </c>
    </row>
    <row r="511">
      <c r="A511" s="234">
        <f>IFERROR(__xludf.DUMMYFUNCTION("""COMPUTED_VALUE"""),105344.0)</f>
        <v>105344</v>
      </c>
      <c r="B511" s="235" t="str">
        <f>IFERROR(__xludf.DUMMYFUNCTION("""COMPUTED_VALUE"""),"OWIE PAR")</f>
        <v>OWIE PAR</v>
      </c>
      <c r="C511" s="235" t="str">
        <f>IFERROR(__xludf.DUMMYFUNCTION("""COMPUTED_VALUE"""),"ENGINEERING")</f>
        <v>ENGINEERING</v>
      </c>
      <c r="D511" s="196" t="str">
        <f>IFERROR(__xludf.DUMMYFUNCTION("""COMPUTED_VALUE"""),"1 UNIT CEILING CASSETTE TYPE 6.0 HP INVERTER  
3UNITS CEILING CASSETTE TYPE 2.5 HP INVERTER ")</f>
        <v>1 UNIT CEILING CASSETTE TYPE 6.0 HP INVERTER  
3UNITS CEILING CASSETTE TYPE 2.5 HP INVERTER </v>
      </c>
      <c r="E511" s="196" t="str">
        <f>IFERROR(__xludf.DUMMYFUNCTION("""COMPUTED_VALUE"""),"FOR TROPICAL BLDG. BRIC 2, PURCHASING DEPT, TOURISM LAB, AND COLLEGE DIRECTOR OFFICE ")</f>
        <v>FOR TROPICAL BLDG. BRIC 2, PURCHASING DEPT, TOURISM LAB, AND COLLEGE DIRECTOR OFFICE </v>
      </c>
    </row>
    <row r="512">
      <c r="A512" s="234">
        <f>IFERROR(__xludf.DUMMYFUNCTION("""COMPUTED_VALUE"""),105345.0)</f>
        <v>105345</v>
      </c>
      <c r="B512" s="235" t="str">
        <f>IFERROR(__xludf.DUMMYFUNCTION("""COMPUTED_VALUE"""),"BEA DELA CRUZ")</f>
        <v>BEA DELA CRUZ</v>
      </c>
      <c r="C512" s="235" t="str">
        <f>IFERROR(__xludf.DUMMYFUNCTION("""COMPUTED_VALUE"""),"CAPS BASIC ED")</f>
        <v>CAPS BASIC ED</v>
      </c>
      <c r="D512" s="196" t="str">
        <f>IFERROR(__xludf.DUMMYFUNCTION("""COMPUTED_VALUE"""),"1 AIR TRACK TUMBLING MAT")</f>
        <v>1 AIR TRACK TUMBLING MAT</v>
      </c>
      <c r="E512" s="196" t="str">
        <f>IFERROR(__xludf.DUMMYFUNCTION("""COMPUTED_VALUE"""),"SOUTHVILLE CHEER VARSITY GYMNASTICS APPARATUS ")</f>
        <v>SOUTHVILLE CHEER VARSITY GYMNASTICS APPARATUS </v>
      </c>
    </row>
    <row r="513">
      <c r="A513" s="234">
        <f>IFERROR(__xludf.DUMMYFUNCTION("""COMPUTED_VALUE"""),105346.0)</f>
        <v>105346</v>
      </c>
      <c r="B513" s="235" t="str">
        <f>IFERROR(__xludf.DUMMYFUNCTION("""COMPUTED_VALUE"""),"CHARLES DONOR ")</f>
        <v>CHARLES DONOR </v>
      </c>
      <c r="C513" s="235" t="str">
        <f>IFERROR(__xludf.DUMMYFUNCTION("""COMPUTED_VALUE"""),"AMD")</f>
        <v>AMD</v>
      </c>
      <c r="D513" s="196" t="str">
        <f>IFERROR(__xludf.DUMMYFUNCTION("""COMPUTED_VALUE"""),"6 SISC SHS TOGA GOWN 2 XS 
4 SISC SHS TOGA GOWN SMALL 
23 SISC SHS CAP 
14 SISC SHS STOLE ")</f>
        <v>6 SISC SHS TOGA GOWN 2 XS 
4 SISC SHS TOGA GOWN SMALL 
23 SISC SHS CAP 
14 SISC SHS STOLE </v>
      </c>
      <c r="E513" s="196" t="str">
        <f>IFERROR(__xludf.DUMMYFUNCTION("""COMPUTED_VALUE"""),"TOGA FOR GRADUATION  AY 23-24")</f>
        <v>TOGA FOR GRADUATION  AY 23-24</v>
      </c>
    </row>
    <row r="514">
      <c r="A514" s="234">
        <f>IFERROR(__xludf.DUMMYFUNCTION("""COMPUTED_VALUE"""),105347.0)</f>
        <v>105347</v>
      </c>
      <c r="B514" s="235" t="str">
        <f>IFERROR(__xludf.DUMMYFUNCTION("""COMPUTED_VALUE"""),"MARK M PABUSTAN")</f>
        <v>MARK M PABUSTAN</v>
      </c>
      <c r="C514" s="235" t="str">
        <f>IFERROR(__xludf.DUMMYFUNCTION("""COMPUTED_VALUE"""),"ROBOTICS")</f>
        <v>ROBOTICS</v>
      </c>
      <c r="D514" s="196" t="str">
        <f>IFERROR(__xludf.DUMMYFUNCTION("""COMPUTED_VALUE"""),"I VEX IQ PNEUMATICS KIT")</f>
        <v>I VEX IQ PNEUMATICS KIT</v>
      </c>
      <c r="E514" s="196" t="str">
        <f>IFERROR(__xludf.DUMMYFUNCTION("""COMPUTED_VALUE"""),"FOR UPCOMING TOURNAMENT")</f>
        <v>FOR UPCOMING TOURNAMENT</v>
      </c>
    </row>
    <row r="515">
      <c r="A515" s="234">
        <f>IFERROR(__xludf.DUMMYFUNCTION("""COMPUTED_VALUE"""),105348.0)</f>
        <v>105348</v>
      </c>
      <c r="B515" s="235" t="str">
        <f>IFERROR(__xludf.DUMMYFUNCTION("""COMPUTED_VALUE"""),"CHARLES DONOR ")</f>
        <v>CHARLES DONOR </v>
      </c>
      <c r="C515" s="235" t="str">
        <f>IFERROR(__xludf.DUMMYFUNCTION("""COMPUTED_VALUE"""),"AMD")</f>
        <v>AMD</v>
      </c>
      <c r="D515" s="196" t="str">
        <f>IFERROR(__xludf.DUMMYFUNCTION("""COMPUTED_VALUE"""),"5 IB TOGA GOWN XS ")</f>
        <v>5 IB TOGA GOWN XS </v>
      </c>
      <c r="E515" s="196" t="str">
        <f>IFERROR(__xludf.DUMMYFUNCTION("""COMPUTED_VALUE"""),"IB TOGA GRADUATION ")</f>
        <v>IB TOGA GRADUATION </v>
      </c>
    </row>
    <row r="516">
      <c r="A516" s="234">
        <f>IFERROR(__xludf.DUMMYFUNCTION("""COMPUTED_VALUE"""),105349.0)</f>
        <v>105349</v>
      </c>
      <c r="B516" s="235" t="str">
        <f>IFERROR(__xludf.DUMMYFUNCTION("""COMPUTED_VALUE"""),"CHARLES DONOR ")</f>
        <v>CHARLES DONOR </v>
      </c>
      <c r="C516" s="235" t="str">
        <f>IFERROR(__xludf.DUMMYFUNCTION("""COMPUTED_VALUE"""),"AMD")</f>
        <v>AMD</v>
      </c>
      <c r="D516" s="196" t="str">
        <f>IFERROR(__xludf.DUMMYFUNCTION("""COMPUTED_VALUE"""),"Faculty Hood, Masteral Hood MIT, Masteral Gown MIT 4 XL, Masteral Gown MIT 4 Small, Masteral Gown MIT 4 XS/M/L, Undergrad Toga Gown, Cap Peach Tassel Long, Cap Peach Tassel Short")</f>
        <v>Faculty Hood, Masteral Hood MIT, Masteral Gown MIT 4 XL, Masteral Gown MIT 4 Small, Masteral Gown MIT 4 XS/M/L, Undergrad Toga Gown, Cap Peach Tassel Long, Cap Peach Tassel Short</v>
      </c>
      <c r="E516" s="196" t="str">
        <f>IFERROR(__xludf.DUMMYFUNCTION("""COMPUTED_VALUE"""),"TOGA FOR  GRADUATION AY 23-24 ")</f>
        <v>TOGA FOR  GRADUATION AY 23-24 </v>
      </c>
    </row>
    <row r="517">
      <c r="A517" s="234">
        <f>IFERROR(__xludf.DUMMYFUNCTION("""COMPUTED_VALUE"""),105350.0)</f>
        <v>105350</v>
      </c>
      <c r="B517" s="235" t="str">
        <f>IFERROR(__xludf.DUMMYFUNCTION("""COMPUTED_VALUE"""),"SHEREE ESPINOSA ")</f>
        <v>SHEREE ESPINOSA </v>
      </c>
      <c r="C517" s="235" t="str">
        <f>IFERROR(__xludf.DUMMYFUNCTION("""COMPUTED_VALUE"""),"ADMIN")</f>
        <v>ADMIN</v>
      </c>
      <c r="D517" s="196" t="str">
        <f>IFERROR(__xludf.DUMMYFUNCTION("""COMPUTED_VALUE"""),"46 PCS MEANWELL ELG 48V 100W
7 PCS MEANWELL ELG 48V 150W
1PC ETO CAM 6 ROUND RECESSED  
FIXED LED MOONLIGHT 
20W 300K/4000K/6000K 3CCT WITH ON/OFF LED DRIVER ")</f>
        <v>46 PCS MEANWELL ELG 48V 100W
7 PCS MEANWELL ELG 48V 150W
1PC ETO CAM 6 ROUND RECESSED  
FIXED LED MOONLIGHT 
20W 300K/4000K/6000K 3CCT WITH ON/OFF LED DRIVER </v>
      </c>
      <c r="E517" s="196" t="str">
        <f>IFERROR(__xludf.DUMMYFUNCTION("""COMPUTED_VALUE"""),"FOR 5F COLLEGE LIGHTING FIXTURES")</f>
        <v>FOR 5F COLLEGE LIGHTING FIXTURES</v>
      </c>
    </row>
    <row r="518">
      <c r="A518" s="234">
        <f>IFERROR(__xludf.DUMMYFUNCTION("""COMPUTED_VALUE"""),105351.0)</f>
        <v>105351</v>
      </c>
      <c r="B518" s="235" t="str">
        <f>IFERROR(__xludf.DUMMYFUNCTION("""COMPUTED_VALUE"""),"SHEREE ESPINOSA ")</f>
        <v>SHEREE ESPINOSA </v>
      </c>
      <c r="C518" s="235" t="str">
        <f>IFERROR(__xludf.DUMMYFUNCTION("""COMPUTED_VALUE"""),"ADMIN")</f>
        <v>ADMIN</v>
      </c>
      <c r="D518" s="196" t="str">
        <f>IFERROR(__xludf.DUMMYFUNCTION("""COMPUTED_VALUE"""),"10 PCS FORMICA (4X8) 
50 METERS PLASTIC EDGING BLACK #2""
2 GAL RUGBY")</f>
        <v>10 PCS FORMICA (4X8) 
50 METERS PLASTIC EDGING BLACK #2"
2 GAL RUGBY</v>
      </c>
      <c r="E518" s="196" t="str">
        <f>IFERROR(__xludf.DUMMYFUNCTION("""COMPUTED_VALUE"""),"FOR IB TABLES REPAIR")</f>
        <v>FOR IB TABLES REPAIR</v>
      </c>
    </row>
    <row r="519">
      <c r="A519" s="234">
        <f>IFERROR(__xludf.DUMMYFUNCTION("""COMPUTED_VALUE"""),105352.0)</f>
        <v>105352</v>
      </c>
      <c r="B519" s="235" t="str">
        <f>IFERROR(__xludf.DUMMYFUNCTION("""COMPUTED_VALUE"""),"LYKA PERALTA")</f>
        <v>LYKA PERALTA</v>
      </c>
      <c r="C519" s="235" t="str">
        <f>IFERROR(__xludf.DUMMYFUNCTION("""COMPUTED_VALUE"""),"AMD")</f>
        <v>AMD</v>
      </c>
      <c r="D519" s="196" t="str">
        <f>IFERROR(__xludf.DUMMYFUNCTION("""COMPUTED_VALUE"""),"20 PCS TONER CARTRIDGE CF211A CYAN 
20 PCS TONER CARTRIDGE CF212A YELLOW")</f>
        <v>20 PCS TONER CARTRIDGE CF211A CYAN 
20 PCS TONER CARTRIDGE CF212A YELLOW</v>
      </c>
      <c r="E519" s="196" t="str">
        <f>IFERROR(__xludf.DUMMYFUNCTION("""COMPUTED_VALUE"""),"OSSUP STOCK REPLENISHMENT ")</f>
        <v>OSSUP STOCK REPLENISHMENT </v>
      </c>
    </row>
    <row r="520">
      <c r="A520" s="234">
        <f>IFERROR(__xludf.DUMMYFUNCTION("""COMPUTED_VALUE"""),105353.0)</f>
        <v>105353</v>
      </c>
      <c r="B520" s="235" t="str">
        <f>IFERROR(__xludf.DUMMYFUNCTION("""COMPUTED_VALUE"""),"LYKA PERALTA")</f>
        <v>LYKA PERALTA</v>
      </c>
      <c r="C520" s="235" t="str">
        <f>IFERROR(__xludf.DUMMYFUNCTION("""COMPUTED_VALUE"""),"AMD")</f>
        <v>AMD</v>
      </c>
      <c r="D520" s="196" t="str">
        <f>IFERROR(__xludf.DUMMYFUNCTION("""COMPUTED_VALUE"""),"50 PCS TONER CARTRIDGE INKONVERT 85A")</f>
        <v>50 PCS TONER CARTRIDGE INKONVERT 85A</v>
      </c>
      <c r="E520" s="196" t="str">
        <f>IFERROR(__xludf.DUMMYFUNCTION("""COMPUTED_VALUE"""),"OSSUP STOCK REPLENISHMENT")</f>
        <v>OSSUP STOCK REPLENISHMENT</v>
      </c>
    </row>
    <row r="521">
      <c r="A521" s="234">
        <f>IFERROR(__xludf.DUMMYFUNCTION("""COMPUTED_VALUE"""),105354.0)</f>
        <v>105354</v>
      </c>
      <c r="B521" s="235" t="str">
        <f>IFERROR(__xludf.DUMMYFUNCTION("""COMPUTED_VALUE"""),"ANN DELA ISLA")</f>
        <v>ANN DELA ISLA</v>
      </c>
      <c r="C521" s="235" t="str">
        <f>IFERROR(__xludf.DUMMYFUNCTION("""COMPUTED_VALUE"""),"IB")</f>
        <v>IB</v>
      </c>
      <c r="D521" s="196" t="str">
        <f>IFERROR(__xludf.DUMMYFUNCTION("""COMPUTED_VALUE"""),"1LOT LABORATORY MATERIALS ")</f>
        <v>1LOT LABORATORY MATERIALS </v>
      </c>
      <c r="E521" s="196" t="str">
        <f>IFERROR(__xludf.DUMMYFUNCTION("""COMPUTED_VALUE"""),"FOR IA RESEARCH OF THE STUDENTS")</f>
        <v>FOR IA RESEARCH OF THE STUDENTS</v>
      </c>
    </row>
    <row r="522">
      <c r="A522" s="234">
        <f>IFERROR(__xludf.DUMMYFUNCTION("""COMPUTED_VALUE"""),105355.0)</f>
        <v>105355</v>
      </c>
      <c r="B522" s="235" t="str">
        <f>IFERROR(__xludf.DUMMYFUNCTION("""COMPUTED_VALUE"""),"JOSSA GALLANOSA")</f>
        <v>JOSSA GALLANOSA</v>
      </c>
      <c r="C522" s="235" t="str">
        <f>IFERROR(__xludf.DUMMYFUNCTION("""COMPUTED_VALUE"""),"CEM OFFICE")</f>
        <v>CEM OFFICE</v>
      </c>
      <c r="D522" s="196" t="str">
        <f>IFERROR(__xludf.DUMMYFUNCTION("""COMPUTED_VALUE"""),"10 BASKET ORGANIZER (FOR CEM'S DOCS &amp;THINGS)")</f>
        <v>10 BASKET ORGANIZER (FOR CEM'S DOCS &amp;THINGS)</v>
      </c>
      <c r="E522" s="196" t="str">
        <f>IFERROR(__xludf.DUMMYFUNCTION("""COMPUTED_VALUE"""),"FOR STORING DOCUMENTS AND VARIUS STUFFS OF GAIN")</f>
        <v>FOR STORING DOCUMENTS AND VARIUS STUFFS OF GAIN</v>
      </c>
    </row>
    <row r="523">
      <c r="A523" s="234">
        <f>IFERROR(__xludf.DUMMYFUNCTION("""COMPUTED_VALUE"""),105356.0)</f>
        <v>105356</v>
      </c>
      <c r="B523" s="235" t="str">
        <f>IFERROR(__xludf.DUMMYFUNCTION("""COMPUTED_VALUE"""),"LORRAINE ALMAZAN")</f>
        <v>LORRAINE ALMAZAN</v>
      </c>
      <c r="C523" s="235" t="str">
        <f>IFERROR(__xludf.DUMMYFUNCTION("""COMPUTED_VALUE"""),"MIS/ICT")</f>
        <v>MIS/ICT</v>
      </c>
      <c r="D523" s="196" t="str">
        <f>IFERROR(__xludf.DUMMYFUNCTION("""COMPUTED_VALUE"""),"40 UNITS, ACER VERITON X47106 DESKTOP COMPUTER WITH ACER KEYBOARD, MOUSE AND MONITOR")</f>
        <v>40 UNITS, ACER VERITON X47106 DESKTOP COMPUTER WITH ACER KEYBOARD, MOUSE AND MONITOR</v>
      </c>
      <c r="E523" s="196" t="str">
        <f>IFERROR(__xludf.DUMMYFUNCTION("""COMPUTED_VALUE"""),"NEW COMPUTER LABORATORY/DIGITAL LAB FOR CITE AT THE LOWER GROUND COLLEGE BLDG")</f>
        <v>NEW COMPUTER LABORATORY/DIGITAL LAB FOR CITE AT THE LOWER GROUND COLLEGE BLDG</v>
      </c>
    </row>
    <row r="524">
      <c r="A524" s="234">
        <f>IFERROR(__xludf.DUMMYFUNCTION("""COMPUTED_VALUE"""),105357.0)</f>
        <v>105357</v>
      </c>
      <c r="B524" s="235" t="str">
        <f>IFERROR(__xludf.DUMMYFUNCTION("""COMPUTED_VALUE"""),"LORRAINE ALMAZAN")</f>
        <v>LORRAINE ALMAZAN</v>
      </c>
      <c r="C524" s="235" t="str">
        <f>IFERROR(__xludf.DUMMYFUNCTION("""COMPUTED_VALUE"""),"MIS/ICT")</f>
        <v>MIS/ICT</v>
      </c>
      <c r="D524" s="196" t="str">
        <f>IFERROR(__xludf.DUMMYFUNCTION("""COMPUTED_VALUE"""),"1 CLONED CORE I5 SYSTEM UNIT, 
1 MERI WALL SCREEN MANUAL PULL, 
1 EB-X51 XGA 3 LCD PROJECTOR
1 EDIFIER X100 SPEAKER
2 VA1903H-2 19"" MONITOR VIEWSONIC
3 TCL UHD 55P71B SMART ANDROID TV
1 MAONA AU-BM10 CONFERENCE MIC
1 VENTION 10M HDMI CABLE
1 ACTIVE USB 2"&amp;".0 EXTENSION CABLE 
2 LOGITECH C270 HD WEB CAM
1 VENTION VGA CABLE 15m")</f>
        <v>1 CLONED CORE I5 SYSTEM UNIT, 
1 MERI WALL SCREEN MANUAL PULL, 
1 EB-X51 XGA 3 LCD PROJECTOR
1 EDIFIER X100 SPEAKER
2 VA1903H-2 19" MONITOR VIEWSONIC
3 TCL UHD 55P71B SMART ANDROID TV
1 MAONA AU-BM10 CONFERENCE MIC
1 VENTION 10M HDMI CABLE
1 ACTIVE USB 2.0 EXTENSION CABLE 
2 LOGITECH C270 HD WEB CAM
1 VENTION VGA CABLE 15m</v>
      </c>
      <c r="E524" s="196" t="str">
        <f>IFERROR(__xludf.DUMMYFUNCTION("""COMPUTED_VALUE"""),"NEW COMPUTER LABORATORY/DIGITAL LAB FOR CITE AT THE LG COLLEGE BUILDING")</f>
        <v>NEW COMPUTER LABORATORY/DIGITAL LAB FOR CITE AT THE LG COLLEGE BUILDING</v>
      </c>
    </row>
    <row r="525">
      <c r="A525" s="234">
        <f>IFERROR(__xludf.DUMMYFUNCTION("""COMPUTED_VALUE"""),105358.0)</f>
        <v>105358</v>
      </c>
      <c r="B525" s="235" t="str">
        <f>IFERROR(__xludf.DUMMYFUNCTION("""COMPUTED_VALUE"""),"LORRAINE ALMAZAN")</f>
        <v>LORRAINE ALMAZAN</v>
      </c>
      <c r="C525" s="235" t="str">
        <f>IFERROR(__xludf.DUMMYFUNCTION("""COMPUTED_VALUE"""),"MIS/ICT")</f>
        <v>MIS/ICT</v>
      </c>
      <c r="D525" s="196" t="str">
        <f>IFERROR(__xludf.DUMMYFUNCTION("""COMPUTED_VALUE"""),"10 AUDIO VISUAL GUIDELINES - A3 SINTRA BOARD (11.7""X 11.5"") 3 MM
140 E-CLASSROOM GUIDELINES - A3 SINTRA BOARD(11.7"" X 16.5"") 3MM
COMPUTER LABORATORY POLICY- A3 SINTRA BOARD (11.7""X16.5"") 3MM")</f>
        <v>10 AUDIO VISUAL GUIDELINES - A3 SINTRA BOARD (11.7"X 11.5") 3 MM
140 E-CLASSROOM GUIDELINES - A3 SINTRA BOARD(11.7" X 16.5") 3MM
COMPUTER LABORATORY POLICY- A3 SINTRA BOARD (11.7"X16.5") 3MM</v>
      </c>
      <c r="E525" s="196" t="str">
        <f>IFERROR(__xludf.DUMMYFUNCTION("""COMPUTED_VALUE"""),"POSTING OF GUIDELINES/POLICIES IN THE LABS, E-CLASSROOMS AND EVENT AREAS")</f>
        <v>POSTING OF GUIDELINES/POLICIES IN THE LABS, E-CLASSROOMS AND EVENT AREAS</v>
      </c>
    </row>
    <row r="526">
      <c r="A526" s="234">
        <f>IFERROR(__xludf.DUMMYFUNCTION("""COMPUTED_VALUE"""),105359.0)</f>
        <v>105359</v>
      </c>
      <c r="B526" s="235" t="str">
        <f>IFERROR(__xludf.DUMMYFUNCTION("""COMPUTED_VALUE"""),"RUEL PAR/ RONALD VERDE")</f>
        <v>RUEL PAR/ RONALD VERDE</v>
      </c>
      <c r="C526" s="235" t="str">
        <f>IFERROR(__xludf.DUMMYFUNCTION("""COMPUTED_VALUE"""),"ADMIN")</f>
        <v>ADMIN</v>
      </c>
      <c r="D526" s="196" t="str">
        <f>IFERROR(__xludf.DUMMYFUNCTION("""COMPUTED_VALUE"""),"5PCS FORMICA 
1GAL RUGBY")</f>
        <v>5PCS FORMICA 
1GAL RUGBY</v>
      </c>
      <c r="E526" s="196" t="str">
        <f>IFERROR(__xludf.DUMMYFUNCTION("""COMPUTED_VALUE"""),"FOR MMA DRAWING TABLE ")</f>
        <v>FOR MMA DRAWING TABLE </v>
      </c>
    </row>
    <row r="527">
      <c r="A527" s="234">
        <f>IFERROR(__xludf.DUMMYFUNCTION("""COMPUTED_VALUE"""),105360.0)</f>
        <v>105360</v>
      </c>
      <c r="B527" s="235" t="str">
        <f>IFERROR(__xludf.DUMMYFUNCTION("""COMPUTED_VALUE"""),"RUEL PAR/ RONALD VERDE")</f>
        <v>RUEL PAR/ RONALD VERDE</v>
      </c>
      <c r="C527" s="235" t="str">
        <f>IFERROR(__xludf.DUMMYFUNCTION("""COMPUTED_VALUE"""),"ADMIN")</f>
        <v>ADMIN</v>
      </c>
      <c r="D527" s="196" t="str">
        <f>IFERROR(__xludf.DUMMYFUNCTION("""COMPUTED_VALUE"""),"100PCS VYNIL TILES 30X30
2GAL RUGBY ")</f>
        <v>100PCS VYNIL TILES 30X30
2GAL RUGBY </v>
      </c>
      <c r="E527" s="196" t="str">
        <f>IFERROR(__xludf.DUMMYFUNCTION("""COMPUTED_VALUE"""),"FOR LUX CLASSROOM FLAT FORMS")</f>
        <v>FOR LUX CLASSROOM FLAT FORMS</v>
      </c>
    </row>
    <row r="528">
      <c r="A528" s="234">
        <f>IFERROR(__xludf.DUMMYFUNCTION("""COMPUTED_VALUE"""),105361.0)</f>
        <v>105361</v>
      </c>
      <c r="B528" s="235" t="str">
        <f>IFERROR(__xludf.DUMMYFUNCTION("""COMPUTED_VALUE"""),"MARC VINCENT VITTO")</f>
        <v>MARC VINCENT VITTO</v>
      </c>
      <c r="C528" s="235" t="str">
        <f>IFERROR(__xludf.DUMMYFUNCTION("""COMPUTED_VALUE"""),"PR &amp; MARKETING")</f>
        <v>PR &amp; MARKETING</v>
      </c>
      <c r="D528" s="196" t="str">
        <f>IFERROR(__xludf.DUMMYFUNCTION("""COMPUTED_VALUE"""),"5 SOUTHVILLE APPLIED HE STAND 
SIZE H=5FTX W=2FT 
THICKNESS 13OZ")</f>
        <v>5 SOUTHVILLE APPLIED HE STAND 
SIZE H=5FTX W=2FT 
THICKNESS 13OZ</v>
      </c>
      <c r="E528" s="196" t="str">
        <f>IFERROR(__xludf.DUMMYFUNCTION("""COMPUTED_VALUE"""),"MARKETING ADVERTISEMENT")</f>
        <v>MARKETING ADVERTISEMENT</v>
      </c>
    </row>
    <row r="529">
      <c r="A529" s="234">
        <f>IFERROR(__xludf.DUMMYFUNCTION("""COMPUTED_VALUE"""),105362.0)</f>
        <v>105362</v>
      </c>
      <c r="B529" s="235" t="str">
        <f>IFERROR(__xludf.DUMMYFUNCTION("""COMPUTED_VALUE"""),"MARC VINCENT VITTO")</f>
        <v>MARC VINCENT VITTO</v>
      </c>
      <c r="C529" s="235" t="str">
        <f>IFERROR(__xludf.DUMMYFUNCTION("""COMPUTED_VALUE"""),"PR &amp; MARKETING")</f>
        <v>PR &amp; MARKETING</v>
      </c>
      <c r="D529" s="196" t="str">
        <f>IFERROR(__xludf.DUMMYFUNCTION("""COMPUTED_VALUE"""),"SOUTHVILLE APPLIED HE TARPS DETAILS
1 TROPICAL PARKING TARPS 
78FTX13FT 20OZ
1 STAR CAMPUS 
24FTX10FT 18OZ 
1 GATCHALIAN 
10FTX10FT 18OZ
1 NEAR TROPICAL PALMS 
368CMX430CM 
W/ SEAMING AND EYELET ALL OVER ")</f>
        <v>SOUTHVILLE APPLIED HE TARPS DETAILS
1 TROPICAL PARKING TARPS 
78FTX13FT 20OZ
1 STAR CAMPUS 
24FTX10FT 18OZ 
1 GATCHALIAN 
10FTX10FT 18OZ
1 NEAR TROPICAL PALMS 
368CMX430CM 
W/ SEAMING AND EYELET ALL OVER </v>
      </c>
      <c r="E529" s="196" t="str">
        <f>IFERROR(__xludf.DUMMYFUNCTION("""COMPUTED_VALUE"""),"MARKETING ADVERTISEMENT")</f>
        <v>MARKETING ADVERTISEMENT</v>
      </c>
    </row>
    <row r="530">
      <c r="A530" s="234">
        <f>IFERROR(__xludf.DUMMYFUNCTION("""COMPUTED_VALUE"""),105363.0)</f>
        <v>105363</v>
      </c>
      <c r="B530" s="235" t="str">
        <f>IFERROR(__xludf.DUMMYFUNCTION("""COMPUTED_VALUE"""),"ALFA DE LEON ")</f>
        <v>ALFA DE LEON </v>
      </c>
      <c r="C530" s="235" t="str">
        <f>IFERROR(__xludf.DUMMYFUNCTION("""COMPUTED_VALUE"""),"ADMIN")</f>
        <v>ADMIN</v>
      </c>
      <c r="D530" s="196" t="str">
        <f>IFERROR(__xludf.DUMMYFUNCTION("""COMPUTED_VALUE"""),"3 CHINA FLAG HEAVY DUTY 
1 INDIA FLAG HEAVY DUTY
1 UK FLAG HEAVY DUTY")</f>
        <v>3 CHINA FLAG HEAVY DUTY 
1 INDIA FLAG HEAVY DUTY
1 UK FLAG HEAVY DUTY</v>
      </c>
      <c r="E530" s="196" t="str">
        <f>IFERROR(__xludf.DUMMYFUNCTION("""COMPUTED_VALUE"""),"INTERNAATIONAL FLAG LUX, MUNIC")</f>
        <v>INTERNAATIONAL FLAG LUX, MUNIC</v>
      </c>
    </row>
    <row r="531">
      <c r="A531" s="234">
        <f>IFERROR(__xludf.DUMMYFUNCTION("""COMPUTED_VALUE"""),105364.0)</f>
        <v>105364</v>
      </c>
      <c r="B531" s="235" t="str">
        <f>IFERROR(__xludf.DUMMYFUNCTION("""COMPUTED_VALUE"""),"OWIW PAR ")</f>
        <v>OWIW PAR </v>
      </c>
      <c r="C531" s="235" t="str">
        <f>IFERROR(__xludf.DUMMYFUNCTION("""COMPUTED_VALUE"""),"ENGINEERING")</f>
        <v>ENGINEERING</v>
      </c>
      <c r="D531" s="196" t="str">
        <f>IFERROR(__xludf.DUMMYFUNCTION("""COMPUTED_VALUE"""),"1ROLL THHW #14
8PCS JUNCTION BOX DEEP TYPE 
2PCS UTILITY DE4EP TYPE
1SET WIDE SIRIES SWITCH 2GANG
8PCS PVC RECEPTACLE 4X4 
8PCS LED BULB 9W")</f>
        <v>1ROLL THHW #14
8PCS JUNCTION BOX DEEP TYPE 
2PCS UTILITY DE4EP TYPE
1SET WIDE SIRIES SWITCH 2GANG
8PCS PVC RECEPTACLE 4X4 
8PCS LED BULB 9W</v>
      </c>
      <c r="E531" s="196" t="str">
        <f>IFERROR(__xludf.DUMMYFUNCTION("""COMPUTED_VALUE"""),"BACK OF LUX HALL LIGHTING SYSTEM INSTALLATION")</f>
        <v>BACK OF LUX HALL LIGHTING SYSTEM INSTALLATION</v>
      </c>
    </row>
    <row r="532">
      <c r="A532" s="234">
        <f>IFERROR(__xludf.DUMMYFUNCTION("""COMPUTED_VALUE"""),105365.0)</f>
        <v>105365</v>
      </c>
      <c r="B532" s="235" t="str">
        <f>IFERROR(__xludf.DUMMYFUNCTION("""COMPUTED_VALUE"""),"OWIE PAR")</f>
        <v>OWIE PAR</v>
      </c>
      <c r="C532" s="235" t="str">
        <f>IFERROR(__xludf.DUMMYFUNCTION("""COMPUTED_VALUE"""),"ENGINEERING")</f>
        <v>ENGINEERING</v>
      </c>
      <c r="D532" s="196" t="str">
        <f>IFERROR(__xludf.DUMMYFUNCTION("""COMPUTED_VALUE"""),"20 LENGTHS ALUMINUM STAIR NOSING ")</f>
        <v>20 LENGTHS ALUMINUM STAIR NOSING </v>
      </c>
      <c r="E532" s="196" t="str">
        <f>IFERROR(__xludf.DUMMYFUNCTION("""COMPUTED_VALUE"""),"FOR COLLEGE AND LUX")</f>
        <v>FOR COLLEGE AND LUX</v>
      </c>
    </row>
    <row r="533">
      <c r="A533" s="234">
        <f>IFERROR(__xludf.DUMMYFUNCTION("""COMPUTED_VALUE"""),105366.0)</f>
        <v>105366</v>
      </c>
      <c r="B533" s="235" t="str">
        <f>IFERROR(__xludf.DUMMYFUNCTION("""COMPUTED_VALUE"""),"MELISSA NAVAL ODONO")</f>
        <v>MELISSA NAVAL ODONO</v>
      </c>
      <c r="C533" s="235" t="str">
        <f>IFERROR(__xludf.DUMMYFUNCTION("""COMPUTED_VALUE"""),"K12 LIBRARY")</f>
        <v>K12 LIBRARY</v>
      </c>
      <c r="D533" s="196" t="str">
        <f>IFERROR(__xludf.DUMMYFUNCTION("""COMPUTED_VALUE"""),"1 MANUAL SERIES: CREATIVE EDUCATION FOR CHILDREN
1 TEACHERS MANUAL ON SPECIALIZED WORKSHOPS FOR CHILDREN 
1 BITAW MANUAL
1 AWARENESS OF LIGHT")</f>
        <v>1 MANUAL SERIES: CREATIVE EDUCATION FOR CHILDREN
1 TEACHERS MANUAL ON SPECIALIZED WORKSHOPS FOR CHILDREN 
1 BITAW MANUAL
1 AWARENESS OF LIGHT</v>
      </c>
      <c r="E533" s="196" t="str">
        <f>IFERROR(__xludf.DUMMYFUNCTION("""COMPUTED_VALUE"""),"FOR LIBRARY'S COPY")</f>
        <v>FOR LIBRARY'S COPY</v>
      </c>
    </row>
    <row r="534">
      <c r="A534" s="234">
        <f>IFERROR(__xludf.DUMMYFUNCTION("""COMPUTED_VALUE"""),105367.0)</f>
        <v>105367</v>
      </c>
      <c r="B534" s="235" t="str">
        <f>IFERROR(__xludf.DUMMYFUNCTION("""COMPUTED_VALUE"""),"MELISSA NAVAL ODONO")</f>
        <v>MELISSA NAVAL ODONO</v>
      </c>
      <c r="C534" s="235" t="str">
        <f>IFERROR(__xludf.DUMMYFUNCTION("""COMPUTED_VALUE"""),"LIBRARY COLLEGE")</f>
        <v>LIBRARY COLLEGE</v>
      </c>
      <c r="D534" s="196" t="str">
        <f>IFERROR(__xludf.DUMMYFUNCTION("""COMPUTED_VALUE"""),"1 FUNDAMENTAL OF NURSING VOLUME 2
1 INTRODUCTION TO GENERAL, ORGANIC, AND BIOCHEMISTRY TWELFTH EDITION
1 INTRODUCTION: DIAGNOSTIC MICROBIOLOGY FOR THE LABORATORY SCIENCE 
1 LEADERSHIP ROLES AND MANAGEMENT FUNCTIONS IN NURSING TENTH EDITION 
2 MATERNAL AND"&amp;" CHILD HEALTH NURSING CARE OF THE CHILDBEARING &amp; CHILDREARING FAMILY 9TH EDITION VOLUME 1
2 MATERNAL AND CHILD HEALTH NURSING CARE OF THE CHILDBEARING &amp; CHILDREARING FAMILY 9TH EDITION VOLUME 2
1 NURSING IN TODAY'S WPRLD TRENDS ISSUE AND MANAGEMENT
1 OLDE"&amp;"R PEOPLE NURSING
1 THEORETICAL BASIS FOR NURSING 6TH EDITION
1 BATES' NURSING GUIDE TO PHYSICAL EXAMINATION AND HISTORY TAKING
1 DISASTER AND MENTAL HEALTH
1 KOZIER &amp; ERBS FUNDAMENTAL OF NURSING + MYLAB NURSINF NURSING WITH PEARSON ETEXT FOR KOZIER &amp; ERBS"&amp;" FUNDAMENTALS OF NURSING (STRICTLY SET)
2 MATERNAL CHILD HEALTH NURSING CARE OF THE CHILDBEARING AND CHILDREARING FAMILY (TWO VOLUME SET) + STUDY GUIDE TO ACCOMPANY 2 MATERNAL CHILD HEALTH NURSING CARE OF THE CHILDBEARING AND CHILDREARING FAMILY (SET)
1 N"&amp;"URSING 2025 2026 DRUG HANDBOOK 
1 NURSING THEORIES IN PRACTICE RESEARCH AND EDUCATION 
1 PSYCHIATRIC MENTAL HEALTH NURSING
1 THE CODE OF ETHICS FOR NURSES
1 WONGS NURSING CARE OF INFANTS AND CHILDREN (2 VOLUME SET) 
1 FUNDAMENTAL OF NURSING VOLUME 1
")</f>
        <v>1 FUNDAMENTAL OF NURSING VOLUME 2
1 INTRODUCTION TO GENERAL, ORGANIC, AND BIOCHEMISTRY TWELFTH EDITION
1 INTRODUCTION: DIAGNOSTIC MICROBIOLOGY FOR THE LABORATORY SCIENCE 
1 LEADERSHIP ROLES AND MANAGEMENT FUNCTIONS IN NURSING TENTH EDITION 
2 MATERNAL AND CHILD HEALTH NURSING CARE OF THE CHILDBEARING &amp; CHILDREARING FAMILY 9TH EDITION VOLUME 1
2 MATERNAL AND CHILD HEALTH NURSING CARE OF THE CHILDBEARING &amp; CHILDREARING FAMILY 9TH EDITION VOLUME 2
1 NURSING IN TODAY'S WPRLD TRENDS ISSUE AND MANAGEMENT
1 OLDER PEOPLE NURSING
1 THEORETICAL BASIS FOR NURSING 6TH EDITION
1 BATES' NURSING GUIDE TO PHYSICAL EXAMINATION AND HISTORY TAKING
1 DISASTER AND MENTAL HEALTH
1 KOZIER &amp; ERBS FUNDAMENTAL OF NURSING + MYLAB NURSINF NURSING WITH PEARSON ETEXT FOR KOZIER &amp; ERBS FUNDAMENTALS OF NURSING (STRICTLY SET)
2 MATERNAL CHILD HEALTH NURSING CARE OF THE CHILDBEARING AND CHILDREARING FAMILY (TWO VOLUME SET) + STUDY GUIDE TO ACCOMPANY 2 MATERNAL CHILD HEALTH NURSING CARE OF THE CHILDBEARING AND CHILDREARING FAMILY (SET)
1 NURSING 2025 2026 DRUG HANDBOOK 
1 NURSING THEORIES IN PRACTICE RESEARCH AND EDUCATION 
1 PSYCHIATRIC MENTAL HEALTH NURSING
1 THE CODE OF ETHICS FOR NURSES
1 WONGS NURSING CARE OF INFANTS AND CHILDREN (2 VOLUME SET) 
1 FUNDAMENTAL OF NURSING VOLUME 1
</v>
      </c>
      <c r="E534" s="196" t="str">
        <f>IFERROR(__xludf.DUMMYFUNCTION("""COMPUTED_VALUE"""),"FOR PACUCOA REQUIREMENT")</f>
        <v>FOR PACUCOA REQUIREMENT</v>
      </c>
    </row>
    <row r="535">
      <c r="A535" s="234">
        <f>IFERROR(__xludf.DUMMYFUNCTION("""COMPUTED_VALUE"""),105368.0)</f>
        <v>105368</v>
      </c>
      <c r="B535" s="235" t="str">
        <f>IFERROR(__xludf.DUMMYFUNCTION("""COMPUTED_VALUE"""),"JESUIT CHRISTIAN GALICIA")</f>
        <v>JESUIT CHRISTIAN GALICIA</v>
      </c>
      <c r="C535" s="235" t="str">
        <f>IFERROR(__xludf.DUMMYFUNCTION("""COMPUTED_VALUE"""),"AMD")</f>
        <v>AMD</v>
      </c>
      <c r="D535" s="196" t="str">
        <f>IFERROR(__xludf.DUMMYFUNCTION("""COMPUTED_VALUE"""),"350 PCS LED TUBE 16W DAYLIGHT PHILIPS 
30 PCS FLEXIBLE HOSE 1/2X1/2 
70PCS MALEPLUG HEAVY DUTY EAGLE RUBBER")</f>
        <v>350 PCS LED TUBE 16W DAYLIGHT PHILIPS 
30 PCS FLEXIBLE HOSE 1/2X1/2 
70PCS MALEPLUG HEAVY DUTY EAGLE RUBBER</v>
      </c>
      <c r="E535" s="196" t="str">
        <f>IFERROR(__xludf.DUMMYFUNCTION("""COMPUTED_VALUE"""),"ENGR WAREHOUSE STOCK REPLENISHMENT")</f>
        <v>ENGR WAREHOUSE STOCK REPLENISHMENT</v>
      </c>
    </row>
    <row r="536">
      <c r="A536" s="234">
        <f>IFERROR(__xludf.DUMMYFUNCTION("""COMPUTED_VALUE"""),105369.0)</f>
        <v>105369</v>
      </c>
      <c r="B536" s="235" t="str">
        <f>IFERROR(__xludf.DUMMYFUNCTION("""COMPUTED_VALUE"""),"CAMILLE GABRIEL ")</f>
        <v>CAMILLE GABRIEL </v>
      </c>
      <c r="C536" s="235" t="str">
        <f>IFERROR(__xludf.DUMMYFUNCTION("""COMPUTED_VALUE"""),"HRMD")</f>
        <v>HRMD</v>
      </c>
      <c r="D536" s="196" t="str">
        <f>IFERROR(__xludf.DUMMYFUNCTION("""COMPUTED_VALUE"""),"FLOWER WREATH ")</f>
        <v>FLOWER WREATH </v>
      </c>
      <c r="E536" s="196" t="str">
        <f>IFERROR(__xludf.DUMMYFUNCTION("""COMPUTED_VALUE"""),"FLOWER WREATH FOR THE DEMISE OF MS. THELMA BADON'S BROTHER ")</f>
        <v>FLOWER WREATH FOR THE DEMISE OF MS. THELMA BADON'S BROTHER </v>
      </c>
    </row>
    <row r="537">
      <c r="A537" s="234">
        <f>IFERROR(__xludf.DUMMYFUNCTION("""COMPUTED_VALUE"""),105370.0)</f>
        <v>105370</v>
      </c>
      <c r="B537" s="235" t="str">
        <f>IFERROR(__xludf.DUMMYFUNCTION("""COMPUTED_VALUE"""),"SHEREE ESPINOSA ")</f>
        <v>SHEREE ESPINOSA </v>
      </c>
      <c r="C537" s="235" t="str">
        <f>IFERROR(__xludf.DUMMYFUNCTION("""COMPUTED_VALUE"""),"ADMIN")</f>
        <v>ADMIN</v>
      </c>
      <c r="D537" s="196" t="str">
        <f>IFERROR(__xludf.DUMMYFUNCTION("""COMPUTED_VALUE"""),"20 BOXES TERRAZO TILES ")</f>
        <v>20 BOXES TERRAZO TILES </v>
      </c>
      <c r="E537" s="196" t="str">
        <f>IFERROR(__xludf.DUMMYFUNCTION("""COMPUTED_VALUE"""),"FOR COLLEGE WALKWAY ")</f>
        <v>FOR COLLEGE WALKWAY </v>
      </c>
    </row>
    <row r="538">
      <c r="A538" s="234">
        <f>IFERROR(__xludf.DUMMYFUNCTION("""COMPUTED_VALUE"""),105371.0)</f>
        <v>105371</v>
      </c>
      <c r="B538" s="235" t="str">
        <f>IFERROR(__xludf.DUMMYFUNCTION("""COMPUTED_VALUE"""),"SAMEYA GARCIA ")</f>
        <v>SAMEYA GARCIA </v>
      </c>
      <c r="C538" s="235" t="str">
        <f>IFERROR(__xludf.DUMMYFUNCTION("""COMPUTED_VALUE"""),"ADMIN")</f>
        <v>ADMIN</v>
      </c>
      <c r="D538" s="196" t="str">
        <f>IFERROR(__xludf.DUMMYFUNCTION("""COMPUTED_VALUE"""),"APPLIANCE- ASAHI AIR FRYER")</f>
        <v>APPLIANCE- ASAHI AIR FRYER</v>
      </c>
      <c r="E538" s="196" t="str">
        <f>IFERROR(__xludf.DUMMYFUNCTION("""COMPUTED_VALUE"""),"DOOR PRICE FOR BFHAI")</f>
        <v>DOOR PRICE FOR BFHAI</v>
      </c>
    </row>
    <row r="539">
      <c r="A539" s="234">
        <f>IFERROR(__xludf.DUMMYFUNCTION("""COMPUTED_VALUE"""),105372.0)</f>
        <v>105372</v>
      </c>
      <c r="B539" s="235" t="str">
        <f>IFERROR(__xludf.DUMMYFUNCTION("""COMPUTED_VALUE"""),"ANGELICA LAGDAMEO/JEREMIAH TIROL")</f>
        <v>ANGELICA LAGDAMEO/JEREMIAH TIROL</v>
      </c>
      <c r="C539" s="235" t="str">
        <f>IFERROR(__xludf.DUMMYFUNCTION("""COMPUTED_VALUE"""),"SCIENCE LAB COLLEGE")</f>
        <v>SCIENCE LAB COLLEGE</v>
      </c>
      <c r="D539" s="196" t="str">
        <f>IFERROR(__xludf.DUMMYFUNCTION("""COMPUTED_VALUE"""),"5L ETHYL ALCOHOL
5L ISOPROPYL ALCOHOL
1L BENEDICTS REAGENT 
1L PHENOLPTHALEIN INDICATOR 
6SETS BLOOD TYPING KIT (ANTI A, ANTI B, ANTI RH)
2L CARBOL FUENSIN
2L ACETO CARMINE 
3L METHANOL
1L LUCAS REAGENT")</f>
        <v>5L ETHYL ALCOHOL
5L ISOPROPYL ALCOHOL
1L BENEDICTS REAGENT 
1L PHENOLPTHALEIN INDICATOR 
6SETS BLOOD TYPING KIT (ANTI A, ANTI B, ANTI RH)
2L CARBOL FUENSIN
2L ACETO CARMINE 
3L METHANOL
1L LUCAS REAGENT</v>
      </c>
      <c r="E539" s="196" t="str">
        <f>IFERROR(__xludf.DUMMYFUNCTION("""COMPUTED_VALUE"""),"REPLENISHMENT OF MATERIALS")</f>
        <v>REPLENISHMENT OF MATERIALS</v>
      </c>
    </row>
    <row r="540">
      <c r="A540" s="234">
        <f>IFERROR(__xludf.DUMMYFUNCTION("""COMPUTED_VALUE"""),105373.0)</f>
        <v>105373</v>
      </c>
      <c r="B540" s="235" t="str">
        <f>IFERROR(__xludf.DUMMYFUNCTION("""COMPUTED_VALUE"""),"ANGELICA LAGDAMEO/JEREMIAH TIROL")</f>
        <v>ANGELICA LAGDAMEO/JEREMIAH TIROL</v>
      </c>
      <c r="C540" s="235" t="str">
        <f>IFERROR(__xludf.DUMMYFUNCTION("""COMPUTED_VALUE"""),"SCIENCE LAB COLLEGE")</f>
        <v>SCIENCE LAB COLLEGE</v>
      </c>
      <c r="D540" s="196" t="str">
        <f>IFERROR(__xludf.DUMMYFUNCTION("""COMPUTED_VALUE"""),"1L PARAFFINO OIL 
4 BOTTLES URINE TEST STRIPS 
5 YARDS ALCOHOL LAMP WICKS 
20PCS INOCULATING LOOP (METAL)
20PCS INOCULATING NEEDLE (METAL)
15PCS STIRING ROD
10PCS GAS STOVE LIGHTER (REFILLABLE)
500G POTASSIUM HYDROXIDE 
4BOTTLES FOOD COLORING ANY COLOR
10"&amp;"L DENATURED ALCOHOL")</f>
        <v>1L PARAFFINO OIL 
4 BOTTLES URINE TEST STRIPS 
5 YARDS ALCOHOL LAMP WICKS 
20PCS INOCULATING LOOP (METAL)
20PCS INOCULATING NEEDLE (METAL)
15PCS STIRING ROD
10PCS GAS STOVE LIGHTER (REFILLABLE)
500G POTASSIUM HYDROXIDE 
4BOTTLES FOOD COLORING ANY COLOR
10L DENATURED ALCOHOL</v>
      </c>
      <c r="E540" s="196" t="str">
        <f>IFERROR(__xludf.DUMMYFUNCTION("""COMPUTED_VALUE"""),"REPLENISHMENT OF MATERIALS")</f>
        <v>REPLENISHMENT OF MATERIALS</v>
      </c>
    </row>
    <row r="541">
      <c r="A541" s="234">
        <f>IFERROR(__xludf.DUMMYFUNCTION("""COMPUTED_VALUE"""),105374.0)</f>
        <v>105374</v>
      </c>
      <c r="B541" s="235" t="str">
        <f>IFERROR(__xludf.DUMMYFUNCTION("""COMPUTED_VALUE"""),"ALFA DE LEON ")</f>
        <v>ALFA DE LEON </v>
      </c>
      <c r="C541" s="235" t="str">
        <f>IFERROR(__xludf.DUMMYFUNCTION("""COMPUTED_VALUE"""),"ADMIN - MUNICH")</f>
        <v>ADMIN - MUNICH</v>
      </c>
      <c r="D541" s="196" t="str">
        <f>IFERROR(__xludf.DUMMYFUNCTION("""COMPUTED_VALUE"""),"TRASHBIN W/CVER W/ PEDAL FOR THE FF:
1 2/F WW FEMALE 
3 2/F EW FEMALE 
1 2/F EW MALE
1 3/F EW FEMALE 
2 3/F WW FEMALE
1 3/F WW MALE 
2 HALLWAY")</f>
        <v>TRASHBIN W/CVER W/ PEDAL FOR THE FF:
1 2/F WW FEMALE 
3 2/F EW FEMALE 
1 2/F EW MALE
1 3/F EW FEMALE 
2 3/F WW FEMALE
1 3/F WW MALE 
2 HALLWAY</v>
      </c>
      <c r="E541" s="196" t="str">
        <f>IFERROR(__xludf.DUMMYFUNCTION("""COMPUTED_VALUE"""),"TRASHBIN (CR) REPLACEMENT OF BROKEN BINS ")</f>
        <v>TRASHBIN (CR) REPLACEMENT OF BROKEN BINS </v>
      </c>
    </row>
    <row r="542">
      <c r="A542" s="234">
        <f>IFERROR(__xludf.DUMMYFUNCTION("""COMPUTED_VALUE"""),105375.0)</f>
        <v>105375</v>
      </c>
      <c r="B542" s="235" t="str">
        <f>IFERROR(__xludf.DUMMYFUNCTION("""COMPUTED_VALUE"""),"JESUIT CHRISTIAN GALICIA")</f>
        <v>JESUIT CHRISTIAN GALICIA</v>
      </c>
      <c r="C542" s="235" t="str">
        <f>IFERROR(__xludf.DUMMYFUNCTION("""COMPUTED_VALUE"""),"AMD")</f>
        <v>AMD</v>
      </c>
      <c r="D542" s="196" t="str">
        <f>IFERROR(__xludf.DUMMYFUNCTION("""COMPUTED_VALUE"""),"50PCS OMNI  EXTENSION 2 GANG OUTLET 
20PCS PANASONIC WALL SWITCH 2 GANG WITH PLATE 
20PCS PANASONIC WALL SWITCH 1 GANG WITH PLATE")</f>
        <v>50PCS OMNI  EXTENSION 2 GANG OUTLET 
20PCS PANASONIC WALL SWITCH 2 GANG WITH PLATE 
20PCS PANASONIC WALL SWITCH 1 GANG WITH PLATE</v>
      </c>
      <c r="E542" s="196" t="str">
        <f>IFERROR(__xludf.DUMMYFUNCTION("""COMPUTED_VALUE"""),"NEW ITEM STOCKS TO BE ADDED TO ENGR WAREHOUSE ")</f>
        <v>NEW ITEM STOCKS TO BE ADDED TO ENGR WAREHOUSE </v>
      </c>
    </row>
    <row r="543">
      <c r="A543" s="234">
        <f>IFERROR(__xludf.DUMMYFUNCTION("""COMPUTED_VALUE"""),105376.0)</f>
        <v>105376</v>
      </c>
      <c r="B543" s="235" t="str">
        <f>IFERROR(__xludf.DUMMYFUNCTION("""COMPUTED_VALUE"""),"JESUIT CHRISTIAN GALICIA")</f>
        <v>JESUIT CHRISTIAN GALICIA</v>
      </c>
      <c r="C543" s="235" t="str">
        <f>IFERROR(__xludf.DUMMYFUNCTION("""COMPUTED_VALUE"""),"AMD")</f>
        <v>AMD</v>
      </c>
      <c r="D543" s="196" t="str">
        <f>IFERROR(__xludf.DUMMYFUNCTION("""COMPUTED_VALUE"""),"15PCS TOILET SEAT COVER 17"" ROUND WHITE ")</f>
        <v>15PCS TOILET SEAT COVER 17" ROUND WHITE </v>
      </c>
      <c r="E543" s="196" t="str">
        <f>IFERROR(__xludf.DUMMYFUNCTION("""COMPUTED_VALUE"""),"NEW ITEM STOCKS TO BE ADDED TO ENGR WAREHOUSE ")</f>
        <v>NEW ITEM STOCKS TO BE ADDED TO ENGR WAREHOUSE </v>
      </c>
    </row>
    <row r="544">
      <c r="A544" s="234">
        <f>IFERROR(__xludf.DUMMYFUNCTION("""COMPUTED_VALUE"""),105377.0)</f>
        <v>105377</v>
      </c>
      <c r="B544" s="235" t="str">
        <f>IFERROR(__xludf.DUMMYFUNCTION("""COMPUTED_VALUE"""),"JESUIT CHRISTIAN GALICIA")</f>
        <v>JESUIT CHRISTIAN GALICIA</v>
      </c>
      <c r="C544" s="235" t="str">
        <f>IFERROR(__xludf.DUMMYFUNCTION("""COMPUTED_VALUE"""),"AMD")</f>
        <v>AMD</v>
      </c>
      <c r="D544" s="196" t="str">
        <f>IFERROR(__xludf.DUMMYFUNCTION("""COMPUTED_VALUE"""),"1PC  NITROGEN TANK (21-23KG)")</f>
        <v>1PC  NITROGEN TANK (21-23KG)</v>
      </c>
      <c r="E544" s="196" t="str">
        <f>IFERROR(__xludf.DUMMYFUNCTION("""COMPUTED_VALUE"""),"NEW ITEM STOCKS TO BE ADDED TO ENGR WAREHOUSE ")</f>
        <v>NEW ITEM STOCKS TO BE ADDED TO ENGR WAREHOUSE </v>
      </c>
    </row>
    <row r="545">
      <c r="A545" s="234">
        <f>IFERROR(__xludf.DUMMYFUNCTION("""COMPUTED_VALUE"""),105378.0)</f>
        <v>105378</v>
      </c>
      <c r="B545" s="235" t="str">
        <f>IFERROR(__xludf.DUMMYFUNCTION("""COMPUTED_VALUE"""),"JESUIT CHRISTIAN GALICIA")</f>
        <v>JESUIT CHRISTIAN GALICIA</v>
      </c>
      <c r="C545" s="235" t="str">
        <f>IFERROR(__xludf.DUMMYFUNCTION("""COMPUTED_VALUE"""),"AMD")</f>
        <v>AMD</v>
      </c>
      <c r="D545" s="196" t="str">
        <f>IFERROR(__xludf.DUMMYFUNCTION("""COMPUTED_VALUE"""),"5PCS BOSTIK SUPER VULCASEAL SEALANT 500ML 
20PCS PAINT BRUSH #2
1ROLL FLAT CORD EXTENSION  WIRE #16 
1 ROLL FLAT CORD EXTENSION WIRE #18 
5PCS BOSTIK PREMIUM RUGBY 750ML ")</f>
        <v>5PCS BOSTIK SUPER VULCASEAL SEALANT 500ML 
20PCS PAINT BRUSH #2
1ROLL FLAT CORD EXTENSION  WIRE #16 
1 ROLL FLAT CORD EXTENSION WIRE #18 
5PCS BOSTIK PREMIUM RUGBY 750ML </v>
      </c>
      <c r="E545" s="196" t="str">
        <f>IFERROR(__xludf.DUMMYFUNCTION("""COMPUTED_VALUE"""),"NEW ITEM STOCKS TO BE ADDED TO ENGR WAREHOUSE ")</f>
        <v>NEW ITEM STOCKS TO BE ADDED TO ENGR WAREHOUSE </v>
      </c>
    </row>
    <row r="546">
      <c r="A546" s="234">
        <f>IFERROR(__xludf.DUMMYFUNCTION("""COMPUTED_VALUE"""),105379.0)</f>
        <v>105379</v>
      </c>
      <c r="B546" s="235" t="str">
        <f>IFERROR(__xludf.DUMMYFUNCTION("""COMPUTED_VALUE"""),"JESUIT CHRISTIAN GALICIA")</f>
        <v>JESUIT CHRISTIAN GALICIA</v>
      </c>
      <c r="C546" s="235" t="str">
        <f>IFERROR(__xludf.DUMMYFUNCTION("""COMPUTED_VALUE"""),"AMD")</f>
        <v>AMD</v>
      </c>
      <c r="D546" s="196" t="str">
        <f>IFERROR(__xludf.DUMMYFUNCTION("""COMPUTED_VALUE"""),"5PCS CRC CONTACT CLEANER 500ML ")</f>
        <v>5PCS CRC CONTACT CLEANER 500ML </v>
      </c>
      <c r="E546" s="196" t="str">
        <f>IFERROR(__xludf.DUMMYFUNCTION("""COMPUTED_VALUE"""),"NEW ITEM STOCKS TO BE ADDED TO ENGR WAREHOUSE ")</f>
        <v>NEW ITEM STOCKS TO BE ADDED TO ENGR WAREHOUSE </v>
      </c>
    </row>
    <row r="547">
      <c r="A547" s="234">
        <f>IFERROR(__xludf.DUMMYFUNCTION("""COMPUTED_VALUE"""),105380.0)</f>
        <v>105380</v>
      </c>
      <c r="B547" s="235" t="str">
        <f>IFERROR(__xludf.DUMMYFUNCTION("""COMPUTED_VALUE"""),"MICHAEL GRAVAMEN ")</f>
        <v>MICHAEL GRAVAMEN </v>
      </c>
      <c r="C547" s="235" t="str">
        <f>IFERROR(__xludf.DUMMYFUNCTION("""COMPUTED_VALUE"""),"ROBOTICS")</f>
        <v>ROBOTICS</v>
      </c>
      <c r="D547" s="196" t="str">
        <f>IFERROR(__xludf.DUMMYFUNCTION("""COMPUTED_VALUE"""),"5 LAPTOP")</f>
        <v>5 LAPTOP</v>
      </c>
      <c r="E547" s="196" t="str">
        <f>IFERROR(__xludf.DUMMYFUNCTION("""COMPUTED_VALUE"""),"ROBOTICS COMPETITIONS/EVENTS/ROBOICS CLASSES/TRAING LAPTOPS (2 TEAMS FOR SHS, 2 TEAMS FOR HS, 1 TEAM FOR GRADE SCHOOL")</f>
        <v>ROBOTICS COMPETITIONS/EVENTS/ROBOICS CLASSES/TRAING LAPTOPS (2 TEAMS FOR SHS, 2 TEAMS FOR HS, 1 TEAM FOR GRADE SCHOOL</v>
      </c>
    </row>
    <row r="548">
      <c r="A548" s="234">
        <f>IFERROR(__xludf.DUMMYFUNCTION("""COMPUTED_VALUE"""),105381.0)</f>
        <v>105381</v>
      </c>
      <c r="B548" s="235" t="str">
        <f>IFERROR(__xludf.DUMMYFUNCTION("""COMPUTED_VALUE"""),"ALFA DE LEON ")</f>
        <v>ALFA DE LEON </v>
      </c>
      <c r="C548" s="235" t="str">
        <f>IFERROR(__xludf.DUMMYFUNCTION("""COMPUTED_VALUE"""),"ADMIN - MUNICH")</f>
        <v>ADMIN - MUNICH</v>
      </c>
      <c r="D548" s="196" t="str">
        <f>IFERROR(__xludf.DUMMYFUNCTION("""COMPUTED_VALUE"""),"2 PORTABLE FOOTBALL GOAL
2 PORTABLE/ADJUSTABLE BASKETBALL HOOP 
6 WOODEN BENCHES 
20 GYM MATS")</f>
        <v>2 PORTABLE FOOTBALL GOAL
2 PORTABLE/ADJUSTABLE BASKETBALL HOOP 
6 WOODEN BENCHES 
20 GYM MATS</v>
      </c>
      <c r="E548" s="196" t="str">
        <f>IFERROR(__xludf.DUMMYFUNCTION("""COMPUTED_VALUE"""),"MUNICH RECREATIONAL OR PLAYFIELD AREA")</f>
        <v>MUNICH RECREATIONAL OR PLAYFIELD AREA</v>
      </c>
    </row>
    <row r="549">
      <c r="A549" s="234">
        <f>IFERROR(__xludf.DUMMYFUNCTION("""COMPUTED_VALUE"""),105382.0)</f>
        <v>105382</v>
      </c>
      <c r="B549" s="235" t="str">
        <f>IFERROR(__xludf.DUMMYFUNCTION("""COMPUTED_VALUE"""),"JASTINE JANE DELIOLA")</f>
        <v>JASTINE JANE DELIOLA</v>
      </c>
      <c r="C549" s="235" t="str">
        <f>IFERROR(__xludf.DUMMYFUNCTION("""COMPUTED_VALUE"""),"FINANCE &amp; ACCOUNTING")</f>
        <v>FINANCE &amp; ACCOUNTING</v>
      </c>
      <c r="D549" s="196" t="str">
        <f>IFERROR(__xludf.DUMMYFUNCTION("""COMPUTED_VALUE"""),"10 BOXES CHECK VOUCHER FOR ERF (2PLY)")</f>
        <v>10 BOXES CHECK VOUCHER FOR ERF (2PLY)</v>
      </c>
      <c r="E549" s="196" t="str">
        <f>IFERROR(__xludf.DUMMYFUNCTION("""COMPUTED_VALUE"""),"FOR ERF CHECK PREPARATION")</f>
        <v>FOR ERF CHECK PREPARATION</v>
      </c>
    </row>
    <row r="550">
      <c r="A550" s="234">
        <f>IFERROR(__xludf.DUMMYFUNCTION("""COMPUTED_VALUE"""),105383.0)</f>
        <v>105383</v>
      </c>
      <c r="B550" s="235" t="str">
        <f>IFERROR(__xludf.DUMMYFUNCTION("""COMPUTED_VALUE"""),"LUCILLE BEYER")</f>
        <v>LUCILLE BEYER</v>
      </c>
      <c r="C550" s="235" t="str">
        <f>IFERROR(__xludf.DUMMYFUNCTION("""COMPUTED_VALUE"""),"MEDICAL")</f>
        <v>MEDICAL</v>
      </c>
      <c r="D550" s="196" t="str">
        <f>IFERROR(__xludf.DUMMYFUNCTION("""COMPUTED_VALUE"""),"MONTHLY MEDICAL REPLENISHMENTS SUPPLIES (SEE ATTACHMENTS FOR LIST)")</f>
        <v>MONTHLY MEDICAL REPLENISHMENTS SUPPLIES (SEE ATTACHMENTS FOR LIST)</v>
      </c>
      <c r="E550" s="196" t="str">
        <f>IFERROR(__xludf.DUMMYFUNCTION("""COMPUTED_VALUE"""),"REPLENISHMENT OF CLINIC MEDS FOR 3 CLINICS FOR THE MONTH OF DECEMBER AND JANUARY")</f>
        <v>REPLENISHMENT OF CLINIC MEDS FOR 3 CLINICS FOR THE MONTH OF DECEMBER AND JANUARY</v>
      </c>
    </row>
    <row r="551">
      <c r="A551" s="234">
        <f>IFERROR(__xludf.DUMMYFUNCTION("""COMPUTED_VALUE"""),105384.0)</f>
        <v>105384</v>
      </c>
      <c r="B551" s="235" t="str">
        <f>IFERROR(__xludf.DUMMYFUNCTION("""COMPUTED_VALUE"""),"OWIE PAR ")</f>
        <v>OWIE PAR </v>
      </c>
      <c r="C551" s="235" t="str">
        <f>IFERROR(__xludf.DUMMYFUNCTION("""COMPUTED_VALUE"""),"ENGINEERING")</f>
        <v>ENGINEERING</v>
      </c>
      <c r="D551" s="196" t="str">
        <f>IFERROR(__xludf.DUMMYFUNCTION("""COMPUTED_VALUE"""),"2PCS ANGLE BAR 1 1/2 X 3/16
2PCS SQUARE BAR 10MM
1KG WELDING ROD
1LITER EPOXY PRIMER (GRAY) SPHERO
1PC PAINT BRUSH #2 
1BOTTLE LACQUER THINNER")</f>
        <v>2PCS ANGLE BAR 1 1/2 X 3/16
2PCS SQUARE BAR 10MM
1KG WELDING ROD
1LITER EPOXY PRIMER (GRAY) SPHERO
1PC PAINT BRUSH #2 
1BOTTLE LACQUER THINNER</v>
      </c>
      <c r="E551" s="196" t="str">
        <f>IFERROR(__xludf.DUMMYFUNCTION("""COMPUTED_VALUE"""),"FOR INSTALLATION OF TARPAULINE STRUCTURE IN FRONT OF TROPICAL BLDG.")</f>
        <v>FOR INSTALLATION OF TARPAULINE STRUCTURE IN FRONT OF TROPICAL BLDG.</v>
      </c>
    </row>
    <row r="552">
      <c r="A552" s="234">
        <f>IFERROR(__xludf.DUMMYFUNCTION("""COMPUTED_VALUE"""),105385.0)</f>
        <v>105385</v>
      </c>
      <c r="B552" s="235" t="str">
        <f>IFERROR(__xludf.DUMMYFUNCTION("""COMPUTED_VALUE"""),"JHON PAUL SAWALI")</f>
        <v>JHON PAUL SAWALI</v>
      </c>
      <c r="C552" s="235" t="str">
        <f>IFERROR(__xludf.DUMMYFUNCTION("""COMPUTED_VALUE"""),"FINANCE &amp; ACCOUNTING")</f>
        <v>FINANCE &amp; ACCOUNTING</v>
      </c>
      <c r="D552" s="196" t="str">
        <f>IFERROR(__xludf.DUMMYFUNCTION("""COMPUTED_VALUE"""),"TRODAT NAME:
1 THALEAH BALON
1 ANGELIE MADANLOG 
1 JHON PAUL SAWALI
1 JASTINE JANE DELIOLA
1 JOVIT MANTALA")</f>
        <v>TRODAT NAME:
1 THALEAH BALON
1 ANGELIE MADANLOG 
1 JHON PAUL SAWALI
1 JASTINE JANE DELIOLA
1 JOVIT MANTALA</v>
      </c>
      <c r="E552" s="196" t="str">
        <f>IFERROR(__xludf.DUMMYFUNCTION("""COMPUTED_VALUE"""),"OFFICE USE")</f>
        <v>OFFICE USE</v>
      </c>
    </row>
    <row r="553">
      <c r="A553" s="234">
        <f>IFERROR(__xludf.DUMMYFUNCTION("""COMPUTED_VALUE"""),105386.0)</f>
        <v>105386</v>
      </c>
      <c r="B553" s="235" t="str">
        <f>IFERROR(__xludf.DUMMYFUNCTION("""COMPUTED_VALUE"""),"ALFA DE LEON")</f>
        <v>ALFA DE LEON</v>
      </c>
      <c r="C553" s="235" t="str">
        <f>IFERROR(__xludf.DUMMYFUNCTION("""COMPUTED_VALUE"""),"LANDSCAPING")</f>
        <v>LANDSCAPING</v>
      </c>
      <c r="D553" s="196" t="str">
        <f>IFERROR(__xludf.DUMMYFUNCTION("""COMPUTED_VALUE"""),"50 PCS. SILVER PANDAKAKI")</f>
        <v>50 PCS. SILVER PANDAKAKI</v>
      </c>
      <c r="E553" s="196" t="str">
        <f>IFERROR(__xludf.DUMMYFUNCTION("""COMPUTED_VALUE"""),"FOR MONARCH PARK")</f>
        <v>FOR MONARCH PARK</v>
      </c>
    </row>
    <row r="554">
      <c r="A554" s="234">
        <f>IFERROR(__xludf.DUMMYFUNCTION("""COMPUTED_VALUE"""),105387.0)</f>
        <v>105387</v>
      </c>
      <c r="B554" s="235" t="str">
        <f>IFERROR(__xludf.DUMMYFUNCTION("""COMPUTED_VALUE"""),"RONALD VERDE ")</f>
        <v>RONALD VERDE </v>
      </c>
      <c r="C554" s="235" t="str">
        <f>IFERROR(__xludf.DUMMYFUNCTION("""COMPUTED_VALUE"""),"ADMIN")</f>
        <v>ADMIN</v>
      </c>
      <c r="D554" s="196" t="str">
        <f>IFERROR(__xludf.DUMMYFUNCTION("""COMPUTED_VALUE"""),"3 SETS SL508 MM CARTRIDGE 150PSI")</f>
        <v>3 SETS SL508 MM CARTRIDGE 150PSI</v>
      </c>
      <c r="E554" s="196" t="str">
        <f>IFERROR(__xludf.DUMMYFUNCTION("""COMPUTED_VALUE"""),"WATER STATION PREVENTIVE MAINTENANCE ")</f>
        <v>WATER STATION PREVENTIVE MAINTENANCE </v>
      </c>
    </row>
    <row r="555">
      <c r="A555" s="234">
        <f>IFERROR(__xludf.DUMMYFUNCTION("""COMPUTED_VALUE"""),105388.0)</f>
        <v>105388</v>
      </c>
      <c r="B555" s="235" t="str">
        <f>IFERROR(__xludf.DUMMYFUNCTION("""COMPUTED_VALUE"""),"ALFA DE LEON")</f>
        <v>ALFA DE LEON</v>
      </c>
      <c r="C555" s="235" t="str">
        <f>IFERROR(__xludf.DUMMYFUNCTION("""COMPUTED_VALUE"""),"LANDSCAPING")</f>
        <v>LANDSCAPING</v>
      </c>
      <c r="D555" s="196" t="str">
        <f>IFERROR(__xludf.DUMMYFUNCTION("""COMPUTED_VALUE"""),"4 PCS. GARDEN SHOVEL ")</f>
        <v>4 PCS. GARDEN SHOVEL </v>
      </c>
      <c r="E555" s="196" t="str">
        <f>IFERROR(__xludf.DUMMYFUNCTION("""COMPUTED_VALUE"""),"REPLACEMENT OF BROKEN GARDEN  SHOVEL ")</f>
        <v>REPLACEMENT OF BROKEN GARDEN  SHOVEL </v>
      </c>
    </row>
    <row r="556">
      <c r="A556" s="234">
        <f>IFERROR(__xludf.DUMMYFUNCTION("""COMPUTED_VALUE"""),105389.0)</f>
        <v>105389</v>
      </c>
      <c r="B556" s="235" t="str">
        <f>IFERROR(__xludf.DUMMYFUNCTION("""COMPUTED_VALUE"""),"MARC VINCENT VITO")</f>
        <v>MARC VINCENT VITO</v>
      </c>
      <c r="C556" s="235" t="str">
        <f>IFERROR(__xludf.DUMMYFUNCTION("""COMPUTED_VALUE"""),"PR &amp; MARKETING")</f>
        <v>PR &amp; MARKETING</v>
      </c>
      <c r="D556" s="196" t="str">
        <f>IFERROR(__xludf.DUMMYFUNCTION("""COMPUTED_VALUE"""),"1 COLLEGE HALLWAY TARPUALIN SIZE W: 848 CM , H: 310 CM THICKNESS 13 OZ")</f>
        <v>1 COLLEGE HALLWAY TARPUALIN SIZE W: 848 CM , H: 310 CM THICKNESS 13 OZ</v>
      </c>
      <c r="E556" s="196" t="str">
        <f>IFERROR(__xludf.DUMMYFUNCTION("""COMPUTED_VALUE"""),"FOR MARKETING")</f>
        <v>FOR MARKETING</v>
      </c>
    </row>
    <row r="557">
      <c r="A557" s="234">
        <f>IFERROR(__xludf.DUMMYFUNCTION("""COMPUTED_VALUE"""),105390.0)</f>
        <v>105390</v>
      </c>
      <c r="B557" s="235" t="str">
        <f>IFERROR(__xludf.DUMMYFUNCTION("""COMPUTED_VALUE"""),"JESUIT CHRISTIAN GALICIA")</f>
        <v>JESUIT CHRISTIAN GALICIA</v>
      </c>
      <c r="C557" s="235" t="str">
        <f>IFERROR(__xludf.DUMMYFUNCTION("""COMPUTED_VALUE"""),"AMD")</f>
        <v>AMD</v>
      </c>
      <c r="D557" s="196" t="str">
        <f>IFERROR(__xludf.DUMMYFUNCTION("""COMPUTED_VALUE"""),"20 PCS. DRAWER LOCK (YALE), 20 PCS. LAVATORY FAUCET (CRESTON SHORT)")</f>
        <v>20 PCS. DRAWER LOCK (YALE), 20 PCS. LAVATORY FAUCET (CRESTON SHORT)</v>
      </c>
      <c r="E557" s="196" t="str">
        <f>IFERROR(__xludf.DUMMYFUNCTION("""COMPUTED_VALUE"""),"ENGR WAREHOUSE STOCK REPLENISHMENT ")</f>
        <v>ENGR WAREHOUSE STOCK REPLENISHMENT </v>
      </c>
    </row>
    <row r="558">
      <c r="A558" s="234">
        <f>IFERROR(__xludf.DUMMYFUNCTION("""COMPUTED_VALUE"""),105391.0)</f>
        <v>105391</v>
      </c>
      <c r="B558" s="235" t="str">
        <f>IFERROR(__xludf.DUMMYFUNCTION("""COMPUTED_VALUE"""),"JOSSA GALLANOSA")</f>
        <v>JOSSA GALLANOSA</v>
      </c>
      <c r="C558" s="235" t="str">
        <f>IFERROR(__xludf.DUMMYFUNCTION("""COMPUTED_VALUE"""),"CEM OFFICE")</f>
        <v>CEM OFFICE</v>
      </c>
      <c r="D558" s="196" t="str">
        <f>IFERROR(__xludf.DUMMYFUNCTION("""COMPUTED_VALUE"""),"10 PCS. REDMI A3 CELLPONE")</f>
        <v>10 PCS. REDMI A3 CELLPONE</v>
      </c>
      <c r="E558" s="196" t="str">
        <f>IFERROR(__xludf.DUMMYFUNCTION("""COMPUTED_VALUE"""),"READING PROGRAM INCENTIVES ")</f>
        <v>READING PROGRAM INCENTIVES </v>
      </c>
    </row>
    <row r="559">
      <c r="A559" s="234" t="str">
        <f>IFERROR(__xludf.DUMMYFUNCTION("""COMPUTED_VALUE"""),"105392 - transfered to SRF")</f>
        <v>105392 - transfered to SRF</v>
      </c>
      <c r="B559" s="235" t="str">
        <f>IFERROR(__xludf.DUMMYFUNCTION("""COMPUTED_VALUE"""),"MARVIN MARASIGAN ")</f>
        <v>MARVIN MARASIGAN </v>
      </c>
      <c r="C559" s="235" t="str">
        <f>IFERROR(__xludf.DUMMYFUNCTION("""COMPUTED_VALUE"""),"PR &amp; MARKETING")</f>
        <v>PR &amp; MARKETING</v>
      </c>
      <c r="D559" s="196" t="str">
        <f>IFERROR(__xludf.DUMMYFUNCTION("""COMPUTED_VALUE"""),"1UNIT BILLBOARD RENTAL AT AGUINALDO HIGHWAY BACOOR CITY (MAIN ROAD)")</f>
        <v>1UNIT BILLBOARD RENTAL AT AGUINALDO HIGHWAY BACOOR CITY (MAIN ROAD)</v>
      </c>
      <c r="E559" s="196" t="str">
        <f>IFERROR(__xludf.DUMMYFUNCTION("""COMPUTED_VALUE"""),"FOR APPLIED HE PROMOTION ")</f>
        <v>FOR APPLIED HE PROMOTION </v>
      </c>
    </row>
    <row r="560">
      <c r="A560" s="234">
        <f>IFERROR(__xludf.DUMMYFUNCTION("""COMPUTED_VALUE"""),105393.0)</f>
        <v>105393</v>
      </c>
      <c r="B560" s="235" t="str">
        <f>IFERROR(__xludf.DUMMYFUNCTION("""COMPUTED_VALUE"""),"MARC VINCENT VITTO")</f>
        <v>MARC VINCENT VITTO</v>
      </c>
      <c r="C560" s="235" t="str">
        <f>IFERROR(__xludf.DUMMYFUNCTION("""COMPUTED_VALUE"""),"PR &amp; MARKETING")</f>
        <v>PR &amp; MARKETING</v>
      </c>
      <c r="D560" s="196" t="str">
        <f>IFERROR(__xludf.DUMMYFUNCTION("""COMPUTED_VALUE"""),"2 MUNICH OPEN HOUSE TARP 
DETAILS:
SIZE W= 184 INCHES X H= 77 INCHES
THICKNESS 13OZ
ADD SEAMING AND EYELET ALL OVER ")</f>
        <v>2 MUNICH OPEN HOUSE TARP 
DETAILS:
SIZE W= 184 INCHES X H= 77 INCHES
THICKNESS 13OZ
ADD SEAMING AND EYELET ALL OVER </v>
      </c>
      <c r="E560" s="196" t="str">
        <f>IFERROR(__xludf.DUMMYFUNCTION("""COMPUTED_VALUE"""),"MARKETING")</f>
        <v>MARKETING</v>
      </c>
    </row>
    <row r="561">
      <c r="A561" s="234">
        <f>IFERROR(__xludf.DUMMYFUNCTION("""COMPUTED_VALUE"""),105394.0)</f>
        <v>105394</v>
      </c>
      <c r="B561" s="235" t="str">
        <f>IFERROR(__xludf.DUMMYFUNCTION("""COMPUTED_VALUE"""),"ALFA DE LEON")</f>
        <v>ALFA DE LEON</v>
      </c>
      <c r="C561" s="235" t="str">
        <f>IFERROR(__xludf.DUMMYFUNCTION("""COMPUTED_VALUE"""),"LANDSCAPING")</f>
        <v>LANDSCAPING</v>
      </c>
      <c r="D561" s="196" t="str">
        <f>IFERROR(__xludf.DUMMYFUNCTION("""COMPUTED_VALUE"""),"1 STANLEY CHAINSAW 18"" 2 STROKE")</f>
        <v>1 STANLEY CHAINSAW 18" 2 STROKE</v>
      </c>
      <c r="E561" s="196" t="str">
        <f>IFERROR(__xludf.DUMMYFUNCTION("""COMPUTED_VALUE"""),"REPLACEMENT OF CHAINSAW (BROKEN)")</f>
        <v>REPLACEMENT OF CHAINSAW (BROKEN)</v>
      </c>
    </row>
    <row r="562">
      <c r="A562" s="234">
        <f>IFERROR(__xludf.DUMMYFUNCTION("""COMPUTED_VALUE"""),105395.0)</f>
        <v>105395</v>
      </c>
      <c r="B562" s="235"/>
      <c r="C562" s="235"/>
      <c r="D562" s="196"/>
      <c r="E562" s="196"/>
    </row>
    <row r="563">
      <c r="A563" s="234">
        <f>IFERROR(__xludf.DUMMYFUNCTION("""COMPUTED_VALUE"""),105396.0)</f>
        <v>105396</v>
      </c>
      <c r="B563" s="235" t="str">
        <f>IFERROR(__xludf.DUMMYFUNCTION("""COMPUTED_VALUE"""),"LYKA PERALTA")</f>
        <v>LYKA PERALTA</v>
      </c>
      <c r="C563" s="235" t="str">
        <f>IFERROR(__xludf.DUMMYFUNCTION("""COMPUTED_VALUE"""),"AMD")</f>
        <v>AMD</v>
      </c>
      <c r="D563" s="196" t="str">
        <f>IFERROR(__xludf.DUMMYFUNCTION("""COMPUTED_VALUE"""),"100PCS BATTERY ENERGIZER C")</f>
        <v>100PCS BATTERY ENERGIZER C</v>
      </c>
      <c r="E563" s="196" t="str">
        <f>IFERROR(__xludf.DUMMYFUNCTION("""COMPUTED_VALUE"""),"OSSUP STOCK REPLENISHMENT")</f>
        <v>OSSUP STOCK REPLENISHMENT</v>
      </c>
    </row>
    <row r="564">
      <c r="A564" s="234">
        <f>IFERROR(__xludf.DUMMYFUNCTION("""COMPUTED_VALUE"""),105397.0)</f>
        <v>105397</v>
      </c>
      <c r="B564" s="235" t="str">
        <f>IFERROR(__xludf.DUMMYFUNCTION("""COMPUTED_VALUE"""),"SHEREE ESPINOSA ")</f>
        <v>SHEREE ESPINOSA </v>
      </c>
      <c r="C564" s="235" t="str">
        <f>IFERROR(__xludf.DUMMYFUNCTION("""COMPUTED_VALUE"""),"ADMIN")</f>
        <v>ADMIN</v>
      </c>
      <c r="D564" s="196" t="str">
        <f>IFERROR(__xludf.DUMMYFUNCTION("""COMPUTED_VALUE"""),"3PCS EMPERADOR LIGHTS MARBLE")</f>
        <v>3PCS EMPERADOR LIGHTS MARBLE</v>
      </c>
      <c r="E564" s="196" t="str">
        <f>IFERROR(__xludf.DUMMYFUNCTION("""COMPUTED_VALUE"""),"ADDITIONAL FOR COLLEGE WALKWAY FLOORING")</f>
        <v>ADDITIONAL FOR COLLEGE WALKWAY FLOORING</v>
      </c>
    </row>
    <row r="565">
      <c r="A565" s="234">
        <f>IFERROR(__xludf.DUMMYFUNCTION("""COMPUTED_VALUE"""),105398.0)</f>
        <v>105398</v>
      </c>
      <c r="B565" s="235" t="str">
        <f>IFERROR(__xludf.DUMMYFUNCTION("""COMPUTED_VALUE"""),"ELMIE LAUDIATO")</f>
        <v>ELMIE LAUDIATO</v>
      </c>
      <c r="C565" s="235" t="str">
        <f>IFERROR(__xludf.DUMMYFUNCTION("""COMPUTED_VALUE"""),"HRMD")</f>
        <v>HRMD</v>
      </c>
      <c r="D565" s="196" t="str">
        <f>IFERROR(__xludf.DUMMYFUNCTION("""COMPUTED_VALUE"""),"27 AIDS AND MAINTENANCE 
15 NURSES
25 PR UNIFORM FEMALE 
9 PR UNIFORM MALE 
14 PRE SCHOOL 
5 NTE FEMALE")</f>
        <v>27 AIDS AND MAINTENANCE 
15 NURSES
25 PR UNIFORM FEMALE 
9 PR UNIFORM MALE 
14 PRE SCHOOL 
5 NTE FEMALE</v>
      </c>
      <c r="E565" s="196" t="str">
        <f>IFERROR(__xludf.DUMMYFUNCTION("""COMPUTED_VALUE"""),"AY 2024-2025 UNIFORM")</f>
        <v>AY 2024-2025 UNIFORM</v>
      </c>
    </row>
    <row r="566">
      <c r="A566" s="234">
        <f>IFERROR(__xludf.DUMMYFUNCTION("""COMPUTED_VALUE"""),105399.0)</f>
        <v>105399</v>
      </c>
      <c r="B566" s="235" t="str">
        <f>IFERROR(__xludf.DUMMYFUNCTION("""COMPUTED_VALUE"""),"ELYDIA REYES")</f>
        <v>ELYDIA REYES</v>
      </c>
      <c r="C566" s="235" t="str">
        <f>IFERROR(__xludf.DUMMYFUNCTION("""COMPUTED_VALUE"""),"PR &amp; MARKETING")</f>
        <v>PR &amp; MARKETING</v>
      </c>
      <c r="D566" s="196" t="str">
        <f>IFERROR(__xludf.DUMMYFUNCTION("""COMPUTED_VALUE"""),"4 PCS 20 INCHES PURPLE LUGGAGE ")</f>
        <v>4 PCS 20 INCHES PURPLE LUGGAGE </v>
      </c>
      <c r="E566" s="196" t="str">
        <f>IFERROR(__xludf.DUMMYFUNCTION("""COMPUTED_VALUE"""),"SCHOOL PRESENTATION &amp; EXHIBIT LUGGAGE")</f>
        <v>SCHOOL PRESENTATION &amp; EXHIBIT LUGGAGE</v>
      </c>
    </row>
    <row r="567">
      <c r="A567" s="234">
        <f>IFERROR(__xludf.DUMMYFUNCTION("""COMPUTED_VALUE"""),105400.0)</f>
        <v>105400</v>
      </c>
      <c r="B567" s="235" t="str">
        <f>IFERROR(__xludf.DUMMYFUNCTION("""COMPUTED_VALUE"""),"LYKA PERALTA")</f>
        <v>LYKA PERALTA</v>
      </c>
      <c r="C567" s="235" t="str">
        <f>IFERROR(__xludf.DUMMYFUNCTION("""COMPUTED_VALUE"""),"AMD")</f>
        <v>AMD</v>
      </c>
      <c r="D567" s="196" t="str">
        <f>IFERROR(__xludf.DUMMYFUNCTION("""COMPUTED_VALUE"""),"10 ROLLS RIBBON PURPLE 1 INCH ")</f>
        <v>10 ROLLS RIBBON PURPLE 1 INCH </v>
      </c>
      <c r="E567" s="196" t="str">
        <f>IFERROR(__xludf.DUMMYFUNCTION("""COMPUTED_VALUE"""),"TOKEN STOCK REPLENISHMENT")</f>
        <v>TOKEN STOCK REPLENISHMENT</v>
      </c>
    </row>
    <row r="568">
      <c r="A568" s="234">
        <f>IFERROR(__xludf.DUMMYFUNCTION("""COMPUTED_VALUE"""),105401.0)</f>
        <v>105401</v>
      </c>
      <c r="B568" s="235" t="str">
        <f>IFERROR(__xludf.DUMMYFUNCTION("""COMPUTED_VALUE"""),"RODRIGO CUSTODIO")</f>
        <v>RODRIGO CUSTODIO</v>
      </c>
      <c r="C568" s="235" t="str">
        <f>IFERROR(__xludf.DUMMYFUNCTION("""COMPUTED_VALUE"""),"AMD")</f>
        <v>AMD</v>
      </c>
      <c r="D568" s="196" t="str">
        <f>IFERROR(__xludf.DUMMYFUNCTION("""COMPUTED_VALUE"""),"11 GALS DRAIN MAINTAINER AND DEODORIZER (STATE) D-STROY")</f>
        <v>11 GALS DRAIN MAINTAINER AND DEODORIZER (STATE) D-STROY</v>
      </c>
      <c r="E568" s="196" t="str">
        <f>IFERROR(__xludf.DUMMYFUNCTION("""COMPUTED_VALUE"""),"HSKPG WAREHOUSE  STOCK REPLENISHMENT")</f>
        <v>HSKPG WAREHOUSE  STOCK REPLENISHMENT</v>
      </c>
    </row>
    <row r="569">
      <c r="A569" s="234">
        <f>IFERROR(__xludf.DUMMYFUNCTION("""COMPUTED_VALUE"""),105402.0)</f>
        <v>105402</v>
      </c>
      <c r="B569" s="235"/>
      <c r="C569" s="235" t="str">
        <f>IFERROR(__xludf.DUMMYFUNCTION("""COMPUTED_VALUE"""),"PR &amp; MARKETING")</f>
        <v>PR &amp; MARKETING</v>
      </c>
      <c r="D569" s="196" t="str">
        <f>IFERROR(__xludf.DUMMYFUNCTION("""COMPUTED_VALUE"""),"Flipped TV on Stand, Samsung/LG/TLC, Diagonal size: 55, Type: 60 hz E-Led, Resolution: 3840x2160 landscape, 2160 x 3840 portrait, color: black")</f>
        <v>Flipped TV on Stand, Samsung/LG/TLC, Diagonal size: 55, Type: 60 hz E-Led, Resolution: 3840x2160 landscape, 2160 x 3840 portrait, color: black</v>
      </c>
      <c r="E569" s="196" t="str">
        <f>IFERROR(__xludf.DUMMYFUNCTION("""COMPUTED_VALUE"""),"Marketing for PR, STAR, Munich, Tropical, College Area. ")</f>
        <v>Marketing for PR, STAR, Munich, Tropical, College Area. </v>
      </c>
    </row>
    <row r="570">
      <c r="A570" s="234">
        <f>IFERROR(__xludf.DUMMYFUNCTION("""COMPUTED_VALUE"""),105403.0)</f>
        <v>105403</v>
      </c>
      <c r="B570" s="235" t="str">
        <f>IFERROR(__xludf.DUMMYFUNCTION("""COMPUTED_VALUE"""),"Sheree Espinosa / Jordan Jordan")</f>
        <v>Sheree Espinosa / Jordan Jordan</v>
      </c>
      <c r="C570" s="235" t="str">
        <f>IFERROR(__xludf.DUMMYFUNCTION("""COMPUTED_VALUE"""),"Admin")</f>
        <v>Admin</v>
      </c>
      <c r="D570" s="196" t="str">
        <f>IFERROR(__xludf.DUMMYFUNCTION("""COMPUTED_VALUE"""),"Terazzo Beige Matte (reorder)")</f>
        <v>Terazzo Beige Matte (reorder)</v>
      </c>
      <c r="E570" s="196" t="str">
        <f>IFERROR(__xludf.DUMMYFUNCTION("""COMPUTED_VALUE"""),"Renovation of Interior Lobby for college")</f>
        <v>Renovation of Interior Lobby for college</v>
      </c>
    </row>
    <row r="571">
      <c r="A571" s="234">
        <f>IFERROR(__xludf.DUMMYFUNCTION("""COMPUTED_VALUE"""),105404.0)</f>
        <v>105404</v>
      </c>
      <c r="B571" s="235" t="str">
        <f>IFERROR(__xludf.DUMMYFUNCTION("""COMPUTED_VALUE"""),"LYKA PERALTA")</f>
        <v>LYKA PERALTA</v>
      </c>
      <c r="C571" s="235" t="str">
        <f>IFERROR(__xludf.DUMMYFUNCTION("""COMPUTED_VALUE"""),"AMD")</f>
        <v>AMD</v>
      </c>
      <c r="D571" s="196" t="str">
        <f>IFERROR(__xludf.DUMMYFUNCTION("""COMPUTED_VALUE"""),"3000 PCS ENVELOPE SISC LETTER COLORED W/O WINDOW")</f>
        <v>3000 PCS ENVELOPE SISC LETTER COLORED W/O WINDOW</v>
      </c>
      <c r="E571" s="196" t="str">
        <f>IFERROR(__xludf.DUMMYFUNCTION("""COMPUTED_VALUE"""),"OSSUP STOCK REPLENISHMENT")</f>
        <v>OSSUP STOCK REPLENISHMENT</v>
      </c>
    </row>
    <row r="572">
      <c r="A572" s="234">
        <f>IFERROR(__xludf.DUMMYFUNCTION("""COMPUTED_VALUE"""),105405.0)</f>
        <v>105405</v>
      </c>
      <c r="B572" s="235" t="str">
        <f>IFERROR(__xludf.DUMMYFUNCTION("""COMPUTED_VALUE"""),"JESUIT CHRISTIAN GALICIA")</f>
        <v>JESUIT CHRISTIAN GALICIA</v>
      </c>
      <c r="C572" s="235" t="str">
        <f>IFERROR(__xludf.DUMMYFUNCTION("""COMPUTED_VALUE"""),"AMD")</f>
        <v>AMD</v>
      </c>
      <c r="D572" s="196" t="str">
        <f>IFERROR(__xludf.DUMMYFUNCTION("""COMPUTED_VALUE"""),"5PC PANASONIC WIRED TELEPHONE
5PCS PANASONIC WIRELESS TELEPHONE SINGLE UNIT 
5PCS PANASONIC WIRELESS TELEPHONE 2IN1 ")</f>
        <v>5PC PANASONIC WIRED TELEPHONE
5PCS PANASONIC WIRELESS TELEPHONE SINGLE UNIT 
5PCS PANASONIC WIRELESS TELEPHONE 2IN1 </v>
      </c>
      <c r="E572" s="196" t="str">
        <f>IFERROR(__xludf.DUMMYFUNCTION("""COMPUTED_VALUE"""),"MIS WAREHOUSE STOCK REPLENISHMENT")</f>
        <v>MIS WAREHOUSE STOCK REPLENISHMENT</v>
      </c>
    </row>
    <row r="573">
      <c r="A573" s="234">
        <f>IFERROR(__xludf.DUMMYFUNCTION("""COMPUTED_VALUE"""),105406.0)</f>
        <v>105406</v>
      </c>
      <c r="B573" s="235" t="str">
        <f>IFERROR(__xludf.DUMMYFUNCTION("""COMPUTED_VALUE"""),"DABERETH SALIBIO")</f>
        <v>DABERETH SALIBIO</v>
      </c>
      <c r="C573" s="235" t="str">
        <f>IFERROR(__xludf.DUMMYFUNCTION("""COMPUTED_VALUE"""),"I.B.")</f>
        <v>I.B.</v>
      </c>
      <c r="D573" s="196" t="str">
        <f>IFERROR(__xludf.DUMMYFUNCTION("""COMPUTED_VALUE"""),"MATERIALS FOR IB HALLWAY AND COMMON ROOM (PLEASE SEE ATTACHED)")</f>
        <v>MATERIALS FOR IB HALLWAY AND COMMON ROOM (PLEASE SEE ATTACHED)</v>
      </c>
      <c r="E573" s="196" t="str">
        <f>IFERROR(__xludf.DUMMYFUNCTION("""COMPUTED_VALUE"""),"IB HALLWAY AND COMMON ROOM ENHANCEMENT")</f>
        <v>IB HALLWAY AND COMMON ROOM ENHANCEMENT</v>
      </c>
    </row>
    <row r="574">
      <c r="A574" s="234">
        <f>IFERROR(__xludf.DUMMYFUNCTION("""COMPUTED_VALUE"""),105407.0)</f>
        <v>105407</v>
      </c>
      <c r="B574" s="235" t="str">
        <f>IFERROR(__xludf.DUMMYFUNCTION("""COMPUTED_VALUE"""),"LYKA PERALTA")</f>
        <v>LYKA PERALTA</v>
      </c>
      <c r="C574" s="235" t="str">
        <f>IFERROR(__xludf.DUMMYFUNCTION("""COMPUTED_VALUE"""),"AMD")</f>
        <v>AMD</v>
      </c>
      <c r="D574" s="196" t="str">
        <f>IFERROR(__xludf.DUMMYFUNCTION("""COMPUTED_VALUE"""),"150 PCS DUCT TAPE - optima tape brand or 3M scotch")</f>
        <v>150 PCS DUCT TAPE - optima tape brand or 3M scotch</v>
      </c>
      <c r="E574" s="196" t="str">
        <f>IFERROR(__xludf.DUMMYFUNCTION("""COMPUTED_VALUE"""),"OSSUP STOCK REPLENISHMENT")</f>
        <v>OSSUP STOCK REPLENISHMENT</v>
      </c>
    </row>
    <row r="575">
      <c r="A575" s="234">
        <f>IFERROR(__xludf.DUMMYFUNCTION("""COMPUTED_VALUE"""),105408.0)</f>
        <v>105408</v>
      </c>
      <c r="B575" s="235" t="str">
        <f>IFERROR(__xludf.DUMMYFUNCTION("""COMPUTED_VALUE"""),"LYKA PERALTA")</f>
        <v>LYKA PERALTA</v>
      </c>
      <c r="C575" s="235" t="str">
        <f>IFERROR(__xludf.DUMMYFUNCTION("""COMPUTED_VALUE"""),"AMD")</f>
        <v>AMD</v>
      </c>
      <c r="D575" s="196" t="str">
        <f>IFERROR(__xludf.DUMMYFUNCTION("""COMPUTED_VALUE"""),"200 REAMS PAPER COPY LASER SUB. 20 LONG WHITE")</f>
        <v>200 REAMS PAPER COPY LASER SUB. 20 LONG WHITE</v>
      </c>
      <c r="E575" s="196" t="str">
        <f>IFERROR(__xludf.DUMMYFUNCTION("""COMPUTED_VALUE"""),"OSSUP STOCK REPLENISHMENT")</f>
        <v>OSSUP STOCK REPLENISHMENT</v>
      </c>
    </row>
    <row r="576">
      <c r="A576" s="234">
        <f>IFERROR(__xludf.DUMMYFUNCTION("""COMPUTED_VALUE"""),105409.0)</f>
        <v>105409</v>
      </c>
      <c r="B576" s="235" t="str">
        <f>IFERROR(__xludf.DUMMYFUNCTION("""COMPUTED_VALUE"""),"JAYVEN POBLETE ")</f>
        <v>JAYVEN POBLETE </v>
      </c>
      <c r="C576" s="235" t="str">
        <f>IFERROR(__xludf.DUMMYFUNCTION("""COMPUTED_VALUE"""),"PR &amp; MARKETING")</f>
        <v>PR &amp; MARKETING</v>
      </c>
      <c r="D576" s="196" t="str">
        <f>IFERROR(__xludf.DUMMYFUNCTION("""COMPUTED_VALUE"""),"5 PULL UP BANNERS ")</f>
        <v>5 PULL UP BANNERS </v>
      </c>
      <c r="E576" s="196" t="str">
        <f>IFERROR(__xludf.DUMMYFUNCTION("""COMPUTED_VALUE"""),"MARKETING MIDDLE EAST")</f>
        <v>MARKETING MIDDLE EAST</v>
      </c>
    </row>
    <row r="577">
      <c r="A577" s="234">
        <f>IFERROR(__xludf.DUMMYFUNCTION("""COMPUTED_VALUE"""),105410.0)</f>
        <v>105410</v>
      </c>
      <c r="B577" s="235" t="str">
        <f>IFERROR(__xludf.DUMMYFUNCTION("""COMPUTED_VALUE"""),"ADOR MARINDA")</f>
        <v>ADOR MARINDA</v>
      </c>
      <c r="C577" s="235" t="str">
        <f>IFERROR(__xludf.DUMMYFUNCTION("""COMPUTED_VALUE"""),"MIS/ICT")</f>
        <v>MIS/ICT</v>
      </c>
      <c r="D577" s="196" t="str">
        <f>IFERROR(__xludf.DUMMYFUNCTION("""COMPUTED_VALUE"""),"5 V380 PRO 12V 1.5A UPS")</f>
        <v>5 V380 PRO 12V 1.5A UPS</v>
      </c>
      <c r="E577" s="196" t="str">
        <f>IFERROR(__xludf.DUMMYFUNCTION("""COMPUTED_VALUE"""),"UPS FOR BIOMETRICS")</f>
        <v>UPS FOR BIOMETRICS</v>
      </c>
    </row>
    <row r="578">
      <c r="A578" s="234">
        <f>IFERROR(__xludf.DUMMYFUNCTION("""COMPUTED_VALUE"""),105411.0)</f>
        <v>105411</v>
      </c>
      <c r="B578" s="235" t="str">
        <f>IFERROR(__xludf.DUMMYFUNCTION("""COMPUTED_VALUE"""),"OWIE PAR")</f>
        <v>OWIE PAR</v>
      </c>
      <c r="C578" s="235" t="str">
        <f>IFERROR(__xludf.DUMMYFUNCTION("""COMPUTED_VALUE"""),"ENGINEERING")</f>
        <v>ENGINEERING</v>
      </c>
      <c r="D578" s="196" t="str">
        <f>IFERROR(__xludf.DUMMYFUNCTION("""COMPUTED_VALUE"""),"1 UNIT AIR COMPRESSOR 1 HP
1SET SPRAY GUN W/ HOSE")</f>
        <v>1 UNIT AIR COMPRESSOR 1 HP
1SET SPRAY GUN W/ HOSE</v>
      </c>
      <c r="E578" s="196" t="str">
        <f>IFERROR(__xludf.DUMMYFUNCTION("""COMPUTED_VALUE"""),"ENGINEERING USE")</f>
        <v>ENGINEERING USE</v>
      </c>
    </row>
    <row r="579">
      <c r="A579" s="234">
        <f>IFERROR(__xludf.DUMMYFUNCTION("""COMPUTED_VALUE"""),105412.0)</f>
        <v>105412</v>
      </c>
      <c r="B579" s="235" t="str">
        <f>IFERROR(__xludf.DUMMYFUNCTION("""COMPUTED_VALUE"""),"RONALDO VERDE")</f>
        <v>RONALDO VERDE</v>
      </c>
      <c r="C579" s="235" t="str">
        <f>IFERROR(__xludf.DUMMYFUNCTION("""COMPUTED_VALUE"""),"AMD")</f>
        <v>AMD</v>
      </c>
      <c r="D579" s="196" t="str">
        <f>IFERROR(__xludf.DUMMYFUNCTION("""COMPUTED_VALUE"""),"REPLACEMENT OF 4PCS WORN OUT TIRES FOR SISC CAR (AKA7833)
4 205/45ZR17
4 PITO
4 TIN661")</f>
        <v>REPLACEMENT OF 4PCS WORN OUT TIRES FOR SISC CAR (AKA7833)
4 205/45ZR17
4 PITO
4 TIN661</v>
      </c>
      <c r="E579" s="196" t="str">
        <f>IFERROR(__xludf.DUMMYFUNCTION("""COMPUTED_VALUE"""),"PREVENTIVE MAINTENANCE OF SISC CAR (AKA7833)")</f>
        <v>PREVENTIVE MAINTENANCE OF SISC CAR (AKA7833)</v>
      </c>
    </row>
    <row r="580">
      <c r="A580" s="234">
        <f>IFERROR(__xludf.DUMMYFUNCTION("""COMPUTED_VALUE"""),105413.0)</f>
        <v>105413</v>
      </c>
      <c r="B580" s="235" t="str">
        <f>IFERROR(__xludf.DUMMYFUNCTION("""COMPUTED_VALUE"""),"FELESE ANGELINE C. FAMADOR ")</f>
        <v>FELESE ANGELINE C. FAMADOR </v>
      </c>
      <c r="C580" s="235" t="str">
        <f>IFERROR(__xludf.DUMMYFUNCTION("""COMPUTED_VALUE"""),"MEDICAL")</f>
        <v>MEDICAL</v>
      </c>
      <c r="D580" s="196" t="str">
        <f>IFERROR(__xludf.DUMMYFUNCTION("""COMPUTED_VALUE"""),"5 ATHLETIC TAPE 
5 PRO WRAP TAPE
15 KINESIOLOGY TAPE
4 OMEGA LINEMENT 
4 OMEGA PAIN RELIEF SPRAY
7 SALONPASS PAIN RELIEF SPRAY 
4 SALON PASS PATCH 
20 HYDRITE 
15 ARM SLING (5SMALL 5 MEDIUM 5 LARGE)
20 STREPSILS
20 BIOGESIC
20 ADVIL
20 ALAXAN
20 NEOSEP
20"&amp;" TUSERAN
20 SOLMUX
20 CETERIZINE 
20 MEFENAMIC")</f>
        <v>5 ATHLETIC TAPE 
5 PRO WRAP TAPE
15 KINESIOLOGY TAPE
4 OMEGA LINEMENT 
4 OMEGA PAIN RELIEF SPRAY
7 SALONPASS PAIN RELIEF SPRAY 
4 SALON PASS PATCH 
20 HYDRITE 
15 ARM SLING (5SMALL 5 MEDIUM 5 LARGE)
20 STREPSILS
20 BIOGESIC
20 ADVIL
20 ALAXAN
20 NEOSEP
20 TUSERAN
20 SOLMUX
20 CETERIZINE 
20 MEFENAMIC</v>
      </c>
      <c r="E580" s="196" t="str">
        <f>IFERROR(__xludf.DUMMYFUNCTION("""COMPUTED_VALUE"""),"ISAC SEASON 2 AT BRITISH SCHOOL MANILA (JAN 22-26 2025)")</f>
        <v>ISAC SEASON 2 AT BRITISH SCHOOL MANILA (JAN 22-26 2025)</v>
      </c>
    </row>
    <row r="581">
      <c r="A581" s="234">
        <f>IFERROR(__xludf.DUMMYFUNCTION("""COMPUTED_VALUE"""),105414.0)</f>
        <v>105414</v>
      </c>
      <c r="B581" s="235" t="str">
        <f>IFERROR(__xludf.DUMMYFUNCTION("""COMPUTED_VALUE"""),"PAUL ARANA")</f>
        <v>PAUL ARANA</v>
      </c>
      <c r="C581" s="235" t="str">
        <f>IFERROR(__xludf.DUMMYFUNCTION("""COMPUTED_VALUE"""),"MIS/ICT")</f>
        <v>MIS/ICT</v>
      </c>
      <c r="D581" s="196" t="str">
        <f>IFERROR(__xludf.DUMMYFUNCTION("""COMPUTED_VALUE"""),"2 MSI THIN GF63 12UCX-868PH INTEL CORE I5-12450H RTX 2050 4GB ")</f>
        <v>2 MSI THIN GF63 12UCX-868PH INTEL CORE I5-12450H RTX 2050 4GB </v>
      </c>
      <c r="E581" s="196" t="str">
        <f>IFERROR(__xludf.DUMMYFUNCTION("""COMPUTED_VALUE"""),"ID PRINTING UNIT FOR STORAGE EDITING TO BE USED DURING EVENTS IN MONARCHS GYM|TROPICAL")</f>
        <v>ID PRINTING UNIT FOR STORAGE EDITING TO BE USED DURING EVENTS IN MONARCHS GYM|TROPICAL</v>
      </c>
    </row>
    <row r="582">
      <c r="A582" s="234">
        <f>IFERROR(__xludf.DUMMYFUNCTION("""COMPUTED_VALUE"""),105415.0)</f>
        <v>105415</v>
      </c>
      <c r="B582" s="235" t="str">
        <f>IFERROR(__xludf.DUMMYFUNCTION("""COMPUTED_VALUE"""),"ADOR MARINDA")</f>
        <v>ADOR MARINDA</v>
      </c>
      <c r="C582" s="235" t="str">
        <f>IFERROR(__xludf.DUMMYFUNCTION("""COMPUTED_VALUE"""),"MIS/ICT")</f>
        <v>MIS/ICT</v>
      </c>
      <c r="D582" s="196" t="str">
        <f>IFERROR(__xludf.DUMMYFUNCTION("""COMPUTED_VALUE"""),"3 DELL T40JJ 3.7V 1.8WH 500MAH LITHIUM ION BATTERY FOR DELL PERC")</f>
        <v>3 DELL T40JJ 3.7V 1.8WH 500MAH LITHIUM ION BATTERY FOR DELL PERC</v>
      </c>
      <c r="E582" s="196" t="str">
        <f>IFERROR(__xludf.DUMMYFUNCTION("""COMPUTED_VALUE"""),"BATTERY REPLACEMENT OF STOCK PER SERVERS")</f>
        <v>BATTERY REPLACEMENT OF STOCK PER SERVERS</v>
      </c>
    </row>
    <row r="583">
      <c r="A583" s="234">
        <f>IFERROR(__xludf.DUMMYFUNCTION("""COMPUTED_VALUE"""),105416.0)</f>
        <v>105416</v>
      </c>
      <c r="B583" s="235" t="str">
        <f>IFERROR(__xludf.DUMMYFUNCTION("""COMPUTED_VALUE"""),"MARC VINCENT VITTO")</f>
        <v>MARC VINCENT VITTO</v>
      </c>
      <c r="C583" s="235" t="str">
        <f>IFERROR(__xludf.DUMMYFUNCTION("""COMPUTED_VALUE"""),"PR &amp; MARKETING")</f>
        <v>PR &amp; MARKETING</v>
      </c>
      <c r="D583" s="196" t="str">
        <f>IFERROR(__xludf.DUMMYFUNCTION("""COMPUTED_VALUE"""),"1 SOUTHVILLE NURSING TARP 98% PR 
SIZE: W=20FT X H 10FT THICKNESS 18 OZ W/SEAMING &amp;EYELET ALL OVER ")</f>
        <v>1 SOUTHVILLE NURSING TARP 98% PR 
SIZE: W=20FT X H 10FT THICKNESS 18 OZ W/SEAMING &amp;EYELET ALL OVER </v>
      </c>
      <c r="E583" s="196" t="str">
        <f>IFERROR(__xludf.DUMMYFUNCTION("""COMPUTED_VALUE"""),"MARKETING")</f>
        <v>MARKETING</v>
      </c>
    </row>
    <row r="584">
      <c r="A584" s="234">
        <f>IFERROR(__xludf.DUMMYFUNCTION("""COMPUTED_VALUE"""),105417.0)</f>
        <v>105417</v>
      </c>
      <c r="B584" s="235" t="str">
        <f>IFERROR(__xludf.DUMMYFUNCTION("""COMPUTED_VALUE"""),"MARC VINCENT VITTO")</f>
        <v>MARC VINCENT VITTO</v>
      </c>
      <c r="C584" s="235" t="str">
        <f>IFERROR(__xludf.DUMMYFUNCTION("""COMPUTED_VALUE"""),"PR &amp; MARKETING")</f>
        <v>PR &amp; MARKETING</v>
      </c>
      <c r="D584" s="196" t="str">
        <f>IFERROR(__xludf.DUMMYFUNCTION("""COMPUTED_VALUE"""),"1 BOX EACH PR &amp; MARKETING CALLING CARDS
ELYDIA REYES
MARVIN MARASIGAN
ELLA CARAMOAN
DEXTER BODOSO 
ANA DE GUZMAN
PETER AGADA")</f>
        <v>1 BOX EACH PR &amp; MARKETING CALLING CARDS
ELYDIA REYES
MARVIN MARASIGAN
ELLA CARAMOAN
DEXTER BODOSO 
ANA DE GUZMAN
PETER AGADA</v>
      </c>
      <c r="E584" s="196" t="str">
        <f>IFERROR(__xludf.DUMMYFUNCTION("""COMPUTED_VALUE"""),"NETWORKING / PARTNERSHIP")</f>
        <v>NETWORKING / PARTNERSHIP</v>
      </c>
    </row>
    <row r="585">
      <c r="A585" s="234">
        <f>IFERROR(__xludf.DUMMYFUNCTION("""COMPUTED_VALUE"""),105418.0)</f>
        <v>105418</v>
      </c>
      <c r="B585" s="235" t="str">
        <f>IFERROR(__xludf.DUMMYFUNCTION("""COMPUTED_VALUE"""),"JESUIT CHRISTIAN GALICIA")</f>
        <v>JESUIT CHRISTIAN GALICIA</v>
      </c>
      <c r="C585" s="235" t="str">
        <f>IFERROR(__xludf.DUMMYFUNCTION("""COMPUTED_VALUE"""),"AMD")</f>
        <v>AMD</v>
      </c>
      <c r="D585" s="196" t="str">
        <f>IFERROR(__xludf.DUMMYFUNCTION("""COMPUTED_VALUE"""),"10 PACKS RJ45 CONNECTOR (UGREEN 50 PCS PER PACK) 
20 PCS HDMI TO VGA CONVERTER")</f>
        <v>10 PACKS RJ45 CONNECTOR (UGREEN 50 PCS PER PACK) 
20 PCS HDMI TO VGA CONVERTER</v>
      </c>
      <c r="E585" s="196" t="str">
        <f>IFERROR(__xludf.DUMMYFUNCTION("""COMPUTED_VALUE"""),"MIS WAREHOUSE STOCK REPLENISHMENT")</f>
        <v>MIS WAREHOUSE STOCK REPLENISHMENT</v>
      </c>
    </row>
    <row r="586">
      <c r="A586" s="234">
        <f>IFERROR(__xludf.DUMMYFUNCTION("""COMPUTED_VALUE"""),105419.0)</f>
        <v>105419</v>
      </c>
      <c r="B586" s="235" t="str">
        <f>IFERROR(__xludf.DUMMYFUNCTION("""COMPUTED_VALUE"""),"CAMILLE GABRIEL")</f>
        <v>CAMILLE GABRIEL</v>
      </c>
      <c r="C586" s="235" t="str">
        <f>IFERROR(__xludf.DUMMYFUNCTION("""COMPUTED_VALUE"""),"HRMD")</f>
        <v>HRMD</v>
      </c>
      <c r="D586" s="196" t="str">
        <f>IFERROR(__xludf.DUMMYFUNCTION("""COMPUTED_VALUE"""),"FLOWER WREATH (2,500)
LA FUNERARIA PAZ SUCAT MANILA MEMORIAL PARK AND CREMATORY MABINI ROOM 1ST FLOOR")</f>
        <v>FLOWER WREATH (2,500)
LA FUNERARIA PAZ SUCAT MANILA MEMORIAL PARK AND CREMATORY MABINI ROOM 1ST FLOOR</v>
      </c>
      <c r="E586" s="196" t="str">
        <f>IFERROR(__xludf.DUMMYFUNCTION("""COMPUTED_VALUE"""),"FLOWER WREATH FOR THE DEMISE SPOUSE OF MS THELMA BADON")</f>
        <v>FLOWER WREATH FOR THE DEMISE SPOUSE OF MS THELMA BADON</v>
      </c>
    </row>
    <row r="587">
      <c r="A587" s="234">
        <f>IFERROR(__xludf.DUMMYFUNCTION("""COMPUTED_VALUE"""),105420.0)</f>
        <v>105420</v>
      </c>
      <c r="B587" s="235" t="str">
        <f>IFERROR(__xludf.DUMMYFUNCTION("""COMPUTED_VALUE"""),"ELYDIA REYES ")</f>
        <v>ELYDIA REYES </v>
      </c>
      <c r="C587" s="235" t="str">
        <f>IFERROR(__xludf.DUMMYFUNCTION("""COMPUTED_VALUE"""),"PR &amp; MARKETING")</f>
        <v>PR &amp; MARKETING</v>
      </c>
      <c r="D587" s="196" t="str">
        <f>IFERROR(__xludf.DUMMYFUNCTION("""COMPUTED_VALUE"""),"20 PHILIPPINE JEEPNEY")</f>
        <v>20 PHILIPPINE JEEPNEY</v>
      </c>
      <c r="E587" s="196" t="str">
        <f>IFERROR(__xludf.DUMMYFUNCTION("""COMPUTED_VALUE"""),"MIDDLE EAST TOKEDNS FOR SCHOOL OFFICIALS / MARKETING")</f>
        <v>MIDDLE EAST TOKEDNS FOR SCHOOL OFFICIALS / MARKETING</v>
      </c>
    </row>
    <row r="588">
      <c r="A588" s="234">
        <f>IFERROR(__xludf.DUMMYFUNCTION("""COMPUTED_VALUE"""),105421.0)</f>
        <v>105421</v>
      </c>
      <c r="B588" s="235" t="str">
        <f>IFERROR(__xludf.DUMMYFUNCTION("""COMPUTED_VALUE"""),"RODRIGO CUSTODIO")</f>
        <v>RODRIGO CUSTODIO</v>
      </c>
      <c r="C588" s="235" t="str">
        <f>IFERROR(__xludf.DUMMYFUNCTION("""COMPUTED_VALUE"""),"AMD")</f>
        <v>AMD</v>
      </c>
      <c r="D588" s="196" t="str">
        <f>IFERROR(__xludf.DUMMYFUNCTION("""COMPUTED_VALUE"""),"60 BOTTLES HIGIENECO PREMIUM ODOR COUNTERACTANT ANTI BACTERIAL SPRAY 3000 SHOTS 280 ML
6PCS SQUEEGEE W/ EXTENDABLE HANDLE 
5PCS FLOOR SQUEEGEE")</f>
        <v>60 BOTTLES HIGIENECO PREMIUM ODOR COUNTERACTANT ANTI BACTERIAL SPRAY 3000 SHOTS 280 ML
6PCS SQUEEGEE W/ EXTENDABLE HANDLE 
5PCS FLOOR SQUEEGEE</v>
      </c>
      <c r="E588" s="196" t="str">
        <f>IFERROR(__xludf.DUMMYFUNCTION("""COMPUTED_VALUE"""),"HOUSEKEEPING MATERIALS STOCK REPLENISHMENT")</f>
        <v>HOUSEKEEPING MATERIALS STOCK REPLENISHMENT</v>
      </c>
    </row>
    <row r="589">
      <c r="A589" s="234">
        <f>IFERROR(__xludf.DUMMYFUNCTION("""COMPUTED_VALUE"""),105422.0)</f>
        <v>105422</v>
      </c>
      <c r="B589" s="235" t="str">
        <f>IFERROR(__xludf.DUMMYFUNCTION("""COMPUTED_VALUE"""),"LYKA PERALTA")</f>
        <v>LYKA PERALTA</v>
      </c>
      <c r="C589" s="235" t="str">
        <f>IFERROR(__xludf.DUMMYFUNCTION("""COMPUTED_VALUE"""),"AMD")</f>
        <v>AMD</v>
      </c>
      <c r="D589" s="196" t="str">
        <f>IFERROR(__xludf.DUMMYFUNCTION("""COMPUTED_VALUE"""),"30 PCS PLATE HAPAO ROUND W/LEAVES
30PCS STAND DISPLAY WOODEN BRACKET")</f>
        <v>30 PCS PLATE HAPAO ROUND W/LEAVES
30PCS STAND DISPLAY WOODEN BRACKET</v>
      </c>
      <c r="E589" s="196" t="str">
        <f>IFERROR(__xludf.DUMMYFUNCTION("""COMPUTED_VALUE"""),"TOKEN STOCK REPLENISHMENT")</f>
        <v>TOKEN STOCK REPLENISHMENT</v>
      </c>
    </row>
    <row r="590">
      <c r="A590" s="234">
        <f>IFERROR(__xludf.DUMMYFUNCTION("""COMPUTED_VALUE"""),105423.0)</f>
        <v>105423</v>
      </c>
      <c r="B590" s="235" t="str">
        <f>IFERROR(__xludf.DUMMYFUNCTION("""COMPUTED_VALUE"""),"RACHEL JANE PAMATIAN ")</f>
        <v>RACHEL JANE PAMATIAN </v>
      </c>
      <c r="C590" s="235" t="str">
        <f>IFERROR(__xludf.DUMMYFUNCTION("""COMPUTED_VALUE"""),"ADMIN - STAR")</f>
        <v>ADMIN - STAR</v>
      </c>
      <c r="D590" s="196" t="str">
        <f>IFERROR(__xludf.DUMMYFUNCTION("""COMPUTED_VALUE"""),"1 SKIZ GOAL 12X6
10PCS FOOTBALL SIZE 
10 PCS VOLLEYBALL V 200
10 PCS BASKETBALL SIZE 6")</f>
        <v>1 SKIZ GOAL 12X6
10PCS FOOTBALL SIZE 
10 PCS VOLLEYBALL V 200
10 PCS BASKETBALL SIZE 6</v>
      </c>
      <c r="E590" s="196" t="str">
        <f>IFERROR(__xludf.DUMMYFUNCTION("""COMPUTED_VALUE"""),"NEW SPORTS EQUIPMENT FOR STAR CAMPUS ")</f>
        <v>NEW SPORTS EQUIPMENT FOR STAR CAMPUS </v>
      </c>
    </row>
    <row r="591">
      <c r="A591" s="234">
        <f>IFERROR(__xludf.DUMMYFUNCTION("""COMPUTED_VALUE"""),105424.0)</f>
        <v>105424</v>
      </c>
      <c r="B591" s="235" t="str">
        <f>IFERROR(__xludf.DUMMYFUNCTION("""COMPUTED_VALUE"""),"Sheree Espinosa ")</f>
        <v>Sheree Espinosa </v>
      </c>
      <c r="C591" s="235" t="str">
        <f>IFERROR(__xludf.DUMMYFUNCTION("""COMPUTED_VALUE"""),"ADMIN")</f>
        <v>ADMIN</v>
      </c>
      <c r="D591" s="196" t="str">
        <f>IFERROR(__xludf.DUMMYFUNCTION("""COMPUTED_VALUE"""),"7 PCS CERAMIC  WATER CLOSET
5PCS CERAMIC UNDERMOUNT LAVATORY
5PCS BASIN METERING FAUCET
7PCS SPRAY 
4 PCS URINAL
2 PCS AUTOMATIC HAND DRYER
4 PCS AUTOMATIC SOAP DISPENSER
7 PCS TISSUE HOLDER
7 PCS ROBE HOOK 
5PCS FLOOR DRAIN ")</f>
        <v>7 PCS CERAMIC  WATER CLOSET
5PCS CERAMIC UNDERMOUNT LAVATORY
5PCS BASIN METERING FAUCET
7PCS SPRAY 
4 PCS URINAL
2 PCS AUTOMATIC HAND DRYER
4 PCS AUTOMATIC SOAP DISPENSER
7 PCS TISSUE HOLDER
7 PCS ROBE HOOK 
5PCS FLOOR DRAIN </v>
      </c>
      <c r="E591" s="196" t="str">
        <f>IFERROR(__xludf.DUMMYFUNCTION("""COMPUTED_VALUE"""),"TOILET FIXTURES FOR 5F FEMALE &amp; MALE CRS AND DEAN'S OFFICE ")</f>
        <v>TOILET FIXTURES FOR 5F FEMALE &amp; MALE CRS AND DEAN'S OFFICE </v>
      </c>
    </row>
    <row r="592">
      <c r="A592" s="234">
        <f>IFERROR(__xludf.DUMMYFUNCTION("""COMPUTED_VALUE"""),105425.0)</f>
        <v>105425</v>
      </c>
      <c r="B592" s="235" t="str">
        <f>IFERROR(__xludf.DUMMYFUNCTION("""COMPUTED_VALUE"""),"MARC VINCENT VITTO")</f>
        <v>MARC VINCENT VITTO</v>
      </c>
      <c r="C592" s="235" t="str">
        <f>IFERROR(__xludf.DUMMYFUNCTION("""COMPUTED_VALUE"""),"PR &amp; MARKETING")</f>
        <v>PR &amp; MARKETING</v>
      </c>
      <c r="D592" s="196" t="str">
        <f>IFERROR(__xludf.DUMMYFUNCTION("""COMPUTED_VALUE"""),"SOUTHVILLE SUMMERFEST Y3 TARPS 
1 BEAT THE HEAT 1 (SIZE: 206 IN X 77 IN)
1 BEAT THE HEAT 2 (SIZE: 13FT X 6.5 FT)
2 BEAT THE HEAT X STAND (SIZE: 2FTX 5FT) 
THICNESS (ALL) 13OZ W/ SEAMING AND EYELET ALL OVER")</f>
        <v>SOUTHVILLE SUMMERFEST Y3 TARPS 
1 BEAT THE HEAT 1 (SIZE: 206 IN X 77 IN)
1 BEAT THE HEAT 2 (SIZE: 13FT X 6.5 FT)
2 BEAT THE HEAT X STAND (SIZE: 2FTX 5FT) 
THICNESS (ALL) 13OZ W/ SEAMING AND EYELET ALL OVER</v>
      </c>
      <c r="E592" s="196" t="str">
        <f>IFERROR(__xludf.DUMMYFUNCTION("""COMPUTED_VALUE"""),"MARKETING")</f>
        <v>MARKETING</v>
      </c>
    </row>
    <row r="593">
      <c r="A593" s="234">
        <f>IFERROR(__xludf.DUMMYFUNCTION("""COMPUTED_VALUE"""),105426.0)</f>
        <v>105426</v>
      </c>
      <c r="B593" s="235" t="str">
        <f>IFERROR(__xludf.DUMMYFUNCTION("""COMPUTED_VALUE"""),"MARC VINCENT VITTO")</f>
        <v>MARC VINCENT VITTO</v>
      </c>
      <c r="C593" s="235" t="str">
        <f>IFERROR(__xludf.DUMMYFUNCTION("""COMPUTED_VALUE"""),"PR &amp; MARKETING")</f>
        <v>PR &amp; MARKETING</v>
      </c>
      <c r="D593" s="196" t="str">
        <f>IFERROR(__xludf.DUMMYFUNCTION("""COMPUTED_VALUE"""),"1 APPLIED HE TARP (BACOOR) 
SIZE: W= 50FT X H= 50FT THICKNESS: 18OZ W/ SEAMING AND EYELET ALL OVER")</f>
        <v>1 APPLIED HE TARP (BACOOR) 
SIZE: W= 50FT X H= 50FT THICKNESS: 18OZ W/ SEAMING AND EYELET ALL OVER</v>
      </c>
      <c r="E593" s="196" t="str">
        <f>IFERROR(__xludf.DUMMYFUNCTION("""COMPUTED_VALUE"""),"MARKETING")</f>
        <v>MARKETING</v>
      </c>
    </row>
    <row r="594">
      <c r="A594" s="234">
        <f>IFERROR(__xludf.DUMMYFUNCTION("""COMPUTED_VALUE"""),105427.0)</f>
        <v>105427</v>
      </c>
      <c r="B594" s="235" t="str">
        <f>IFERROR(__xludf.DUMMYFUNCTION("""COMPUTED_VALUE"""),"MARC VINCENT VITTO")</f>
        <v>MARC VINCENT VITTO</v>
      </c>
      <c r="C594" s="235" t="str">
        <f>IFERROR(__xludf.DUMMYFUNCTION("""COMPUTED_VALUE"""),"PR &amp; MARKETING")</f>
        <v>PR &amp; MARKETING</v>
      </c>
      <c r="D594" s="196" t="str">
        <f>IFERROR(__xludf.DUMMYFUNCTION("""COMPUTED_VALUE"""),"1 NSTP WELCOME TARP 
SIZE: W= 13FT X H= 6.5 FT THICK= 13OZ W/ SEAMING AND EYELET ALL OVER")</f>
        <v>1 NSTP WELCOME TARP 
SIZE: W= 13FT X H= 6.5 FT THICK= 13OZ W/ SEAMING AND EYELET ALL OVER</v>
      </c>
      <c r="E594" s="196" t="str">
        <f>IFERROR(__xludf.DUMMYFUNCTION("""COMPUTED_VALUE"""),"MARKETING")</f>
        <v>MARKETING</v>
      </c>
    </row>
    <row r="595">
      <c r="A595" s="234">
        <f>IFERROR(__xludf.DUMMYFUNCTION("""COMPUTED_VALUE"""),105428.0)</f>
        <v>105428</v>
      </c>
      <c r="B595" s="235" t="str">
        <f>IFERROR(__xludf.DUMMYFUNCTION("""COMPUTED_VALUE"""),"JEREMIAH TIROL")</f>
        <v>JEREMIAH TIROL</v>
      </c>
      <c r="C595" s="235" t="str">
        <f>IFERROR(__xludf.DUMMYFUNCTION("""COMPUTED_VALUE"""),"SCIENCE LAB COLLEGE")</f>
        <v>SCIENCE LAB COLLEGE</v>
      </c>
      <c r="D595" s="196" t="str">
        <f>IFERROR(__xludf.DUMMYFUNCTION("""COMPUTED_VALUE"""),"-1 BOX 4X4 STERILE GAUZE PADS (ANY BRAND)
-5 PCS TAPE MEASURE 
-1PC THERMOSCAN
-2 PC PEN LIGHT 
-2PCS 5% DEXTROSE IN 0.9% SODIUM CHLORIDE (500ML)
-2PCS 5% DEXTROSE IN 0.9% SODIUM CHLORIDE (1000ML)
-2PCS 9% DEXTROSE IN SODIUM CHLORIDE SOLUTION FOR IRRIGATI"&amp;"ON (500 ML AND 1000ML)
-1 PACK DISPOSABLE UNDERPADS
- 1PACK PARA TULLE (STERILLE) DRESSING FOR WOUNDS 
-1PACK NEXCARE ""TEGADERM"" ABSOLUTE WATERPROOF
-1PACK SUTURE NEEDLES (STAINLESS STEEL)
-2PCS ASEPTO IRRIGATION SYRINGE US BRAND
-5 PCS TOURNIQUET BLUE "&amp;"
-2PCS EACH FOLEY CATHETER FR 14,16,18
-2PCS URINE BAG US BRAND
-5PCS 60MM SKIN BARRIER FLANGE AND TWO PIECE OPEN POUCH WITH FILLER AND VELCO CLOSURE
-5PCS OSTOMY BAG CLIP AND ADHESIVE WAFER
-5PCS STOMA MEASURING GUIDE
-1PC NEBULIZER MACHINERY 
-24PCS DEM"&amp;"O DOSE CLEAR (AMPULE 1M) (WAFER FOR INJECTIONS)
-1PC DUODENAL TUBE
-6PCS HYDROGEN PEROXIDE 60ML
-5PCS EACH I.V CANNULA GAUGE #20,22,24,26,18
-5PCS EACHNEBULIZING KIT WITH MASK (ADULT) (PEDIA) + NEBULE 
-10 PCS EACH SIZES NEEDLES #27,24,23,22,20,19,18,30
-"&amp;"2PCS ENEMA BAG WITH TUBING US BRAND
-1PC FINGER TIP OXIMETER OR PULSE OXIMETER 
-5PC EACH SSCALP VEIN SET #25,23
-5PCS PERCUSSION REFLEX HAMMER
-3PCS EACH SUCTION CATHETER #16,14,12,5
-3PCS EACH NELATHON CATHETER FR .12 .14.16
-3PCS CANNULA (NASAL OXYGEN)"&amp;" PEDIA 
-3PCS EACH OXYGEN MASK ADULT AND PEDIA 
-2PCS ANTI EMBOLIS STOCKINS (THIGH'HIGH) US BRAND 
-1PC STERILLIUM EURO DISPENSERS 
-1PC STERILLIUM (DEPENDS ON STERILLIUM DISPENSER) DISINFECTANT
-10PCS SURGICAL SCRUB BRUSH WITH CHLOREXIDINE SOLUTION
-2PCS"&amp;" ADULT DIAPER 
-2PCS STERILE WATER FOR INJECTION (1000ML) PARENTERAL
-10PCS LATEX PENROSE TUBING
-4PCS BELT STANCHION")</f>
        <v>-1 BOX 4X4 STERILE GAUZE PADS (ANY BRAND)
-5 PCS TAPE MEASURE 
-1PC THERMOSCAN
-2 PC PEN LIGHT 
-2PCS 5% DEXTROSE IN 0.9% SODIUM CHLORIDE (500ML)
-2PCS 5% DEXTROSE IN 0.9% SODIUM CHLORIDE (1000ML)
-2PCS 9% DEXTROSE IN SODIUM CHLORIDE SOLUTION FOR IRRIGATION (500 ML AND 1000ML)
-1 PACK DISPOSABLE UNDERPADS
- 1PACK PARA TULLE (STERILLE) DRESSING FOR WOUNDS 
-1PACK NEXCARE "TEGADERM" ABSOLUTE WATERPROOF
-1PACK SUTURE NEEDLES (STAINLESS STEEL)
-2PCS ASEPTO IRRIGATION SYRINGE US BRAND
-5 PCS TOURNIQUET BLUE 
-2PCS EACH FOLEY CATHETER FR 14,16,18
-2PCS URINE BAG US BRAND
-5PCS 60MM SKIN BARRIER FLANGE AND TWO PIECE OPEN POUCH WITH FILLER AND VELCO CLOSURE
-5PCS OSTOMY BAG CLIP AND ADHESIVE WAFER
-5PCS STOMA MEASURING GUIDE
-1PC NEBULIZER MACHINERY 
-24PCS DEMO DOSE CLEAR (AMPULE 1M) (WAFER FOR INJECTIONS)
-1PC DUODENAL TUBE
-6PCS HYDROGEN PEROXIDE 60ML
-5PCS EACH I.V CANNULA GAUGE #20,22,24,26,18
-5PCS EACHNEBULIZING KIT WITH MASK (ADULT) (PEDIA) + NEBULE 
-10 PCS EACH SIZES NEEDLES #27,24,23,22,20,19,18,30
-2PCS ENEMA BAG WITH TUBING US BRAND
-1PC FINGER TIP OXIMETER OR PULSE OXIMETER 
-5PC EACH SSCALP VEIN SET #25,23
-5PCS PERCUSSION REFLEX HAMMER
-3PCS EACH SUCTION CATHETER #16,14,12,5
-3PCS EACH NELATHON CATHETER FR .12 .14.16
-3PCS CANNULA (NASAL OXYGEN) PEDIA 
-3PCS EACH OXYGEN MASK ADULT AND PEDIA 
-2PCS ANTI EMBOLIS STOCKINS (THIGH'HIGH) US BRAND 
-1PC STERILLIUM EURO DISPENSERS 
-1PC STERILLIUM (DEPENDS ON STERILLIUM DISPENSER) DISINFECTANT
-10PCS SURGICAL SCRUB BRUSH WITH CHLOREXIDINE SOLUTION
-2PCS ADULT DIAPER 
-2PCS STERILE WATER FOR INJECTION (1000ML) PARENTERAL
-10PCS LATEX PENROSE TUBING
-4PCS BELT STANCHION</v>
      </c>
      <c r="E595" s="196" t="str">
        <f>IFERROR(__xludf.DUMMYFUNCTION("""COMPUTED_VALUE"""),"FOR REPLENISHMENT OF MATERIALS")</f>
        <v>FOR REPLENISHMENT OF MATERIALS</v>
      </c>
    </row>
    <row r="596">
      <c r="A596" s="234">
        <f>IFERROR(__xludf.DUMMYFUNCTION("""COMPUTED_VALUE"""),105429.0)</f>
        <v>105429</v>
      </c>
      <c r="B596" s="235" t="str">
        <f>IFERROR(__xludf.DUMMYFUNCTION("""COMPUTED_VALUE"""),"RODRIGO CUSTODIO")</f>
        <v>RODRIGO CUSTODIO</v>
      </c>
      <c r="C596" s="235" t="str">
        <f>IFERROR(__xludf.DUMMYFUNCTION("""COMPUTED_VALUE"""),"AMD")</f>
        <v>AMD</v>
      </c>
      <c r="D596" s="196" t="str">
        <f>IFERROR(__xludf.DUMMYFUNCTION("""COMPUTED_VALUE"""),"900 PCS TISSUE JUMBO ROLL 200 METERS")</f>
        <v>900 PCS TISSUE JUMBO ROLL 200 METERS</v>
      </c>
      <c r="E596" s="196" t="str">
        <f>IFERROR(__xludf.DUMMYFUNCTION("""COMPUTED_VALUE"""),"HOUSEKEEPING MATERIALS STOCK REPLENISHMENT")</f>
        <v>HOUSEKEEPING MATERIALS STOCK REPLENISHMENT</v>
      </c>
    </row>
    <row r="597">
      <c r="A597" s="234">
        <f>IFERROR(__xludf.DUMMYFUNCTION("""COMPUTED_VALUE"""),105430.0)</f>
        <v>105430</v>
      </c>
      <c r="B597" s="235" t="str">
        <f>IFERROR(__xludf.DUMMYFUNCTION("""COMPUTED_VALUE"""),"LYKA PERALTA")</f>
        <v>LYKA PERALTA</v>
      </c>
      <c r="C597" s="235" t="str">
        <f>IFERROR(__xludf.DUMMYFUNCTION("""COMPUTED_VALUE"""),"AMD")</f>
        <v>AMD</v>
      </c>
      <c r="D597" s="196" t="str">
        <f>IFERROR(__xludf.DUMMYFUNCTION("""COMPUTED_VALUE"""),"300PCS MARKER WHITEBOARD PILOT BLACK
300 PCS PEN SIGN PILOT BX V5BLACK")</f>
        <v>300PCS MARKER WHITEBOARD PILOT BLACK
300 PCS PEN SIGN PILOT BX V5BLACK</v>
      </c>
      <c r="E597" s="196" t="str">
        <f>IFERROR(__xludf.DUMMYFUNCTION("""COMPUTED_VALUE"""),"OSSUP STOCK REPLENISHMENT")</f>
        <v>OSSUP STOCK REPLENISHMENT</v>
      </c>
    </row>
    <row r="598">
      <c r="A598" s="234">
        <f>IFERROR(__xludf.DUMMYFUNCTION("""COMPUTED_VALUE"""),105431.0)</f>
        <v>105431</v>
      </c>
      <c r="B598" s="235" t="str">
        <f>IFERROR(__xludf.DUMMYFUNCTION("""COMPUTED_VALUE"""),"OWIE PAR")</f>
        <v>OWIE PAR</v>
      </c>
      <c r="C598" s="235" t="str">
        <f>IFERROR(__xludf.DUMMYFUNCTION("""COMPUTED_VALUE"""),"ENGINEERING")</f>
        <v>ENGINEERING</v>
      </c>
      <c r="D598" s="196" t="str">
        <f>IFERROR(__xludf.DUMMYFUNCTION("""COMPUTED_VALUE"""),"2UNIT 4.0 HP CEILING CASSETTE TYPE INVERTER ")</f>
        <v>2UNIT 4.0 HP CEILING CASSETTE TYPE INVERTER </v>
      </c>
      <c r="E598" s="196" t="str">
        <f>IFERROR(__xludf.DUMMYFUNCTION("""COMPUTED_VALUE"""),"FOR COLLEGE BASEMENT COMLAB")</f>
        <v>FOR COLLEGE BASEMENT COMLAB</v>
      </c>
    </row>
    <row r="599">
      <c r="A599" s="234">
        <f>IFERROR(__xludf.DUMMYFUNCTION("""COMPUTED_VALUE"""),105432.0)</f>
        <v>105432</v>
      </c>
      <c r="B599" s="235" t="str">
        <f>IFERROR(__xludf.DUMMYFUNCTION("""COMPUTED_VALUE"""),"RACHEL JANE PAMATIAN ")</f>
        <v>RACHEL JANE PAMATIAN </v>
      </c>
      <c r="C599" s="235" t="str">
        <f>IFERROR(__xludf.DUMMYFUNCTION("""COMPUTED_VALUE"""),"ADMIN - STAR")</f>
        <v>ADMIN - STAR</v>
      </c>
      <c r="D599" s="196" t="str">
        <f>IFERROR(__xludf.DUMMYFUNCTION("""COMPUTED_VALUE"""),"4 FLOOR ELECTRICFAN ")</f>
        <v>4 FLOOR ELECTRICFAN </v>
      </c>
      <c r="E599" s="196" t="str">
        <f>IFERROR(__xludf.DUMMYFUNCTION("""COMPUTED_VALUE"""),"FOR QUADRANGLE (EVENTS USE)")</f>
        <v>FOR QUADRANGLE (EVENTS USE)</v>
      </c>
    </row>
    <row r="600">
      <c r="A600" s="234">
        <f>IFERROR(__xludf.DUMMYFUNCTION("""COMPUTED_VALUE"""),105433.0)</f>
        <v>105433</v>
      </c>
      <c r="B600" s="235" t="str">
        <f>IFERROR(__xludf.DUMMYFUNCTION("""COMPUTED_VALUE"""),"RONALDO VERDE")</f>
        <v>RONALDO VERDE</v>
      </c>
      <c r="C600" s="235" t="str">
        <f>IFERROR(__xludf.DUMMYFUNCTION("""COMPUTED_VALUE"""),"ADMIN")</f>
        <v>ADMIN</v>
      </c>
      <c r="D600" s="196" t="str">
        <f>IFERROR(__xludf.DUMMYFUNCTION("""COMPUTED_VALUE"""),"40PCS LED LIGHTS 50 WATTS
150 METERS ROYAL CORD 3 PHASE #16
20 PCS TABULAR 1X1 
1 BOX WELDING ROD
10 PCS BOLT NUTS 1/4X2")</f>
        <v>40PCS LED LIGHTS 50 WATTS
150 METERS ROYAL CORD 3 PHASE #16
20 PCS TABULAR 1X1 
1 BOX WELDING ROD
10 PCS BOLT NUTS 1/4X2</v>
      </c>
      <c r="E600" s="196" t="str">
        <f>IFERROR(__xludf.DUMMYFUNCTION("""COMPUTED_VALUE"""),"LIGHTS FOR TARPAULINS ALONG TROPICAL AVE.")</f>
        <v>LIGHTS FOR TARPAULINS ALONG TROPICAL AVE.</v>
      </c>
    </row>
    <row r="601">
      <c r="A601" s="234">
        <f>IFERROR(__xludf.DUMMYFUNCTION("""COMPUTED_VALUE"""),105434.0)</f>
        <v>105434</v>
      </c>
      <c r="B601" s="235" t="str">
        <f>IFERROR(__xludf.DUMMYFUNCTION("""COMPUTED_VALUE"""),"ALFA DE LEON")</f>
        <v>ALFA DE LEON</v>
      </c>
      <c r="C601" s="235" t="str">
        <f>IFERROR(__xludf.DUMMYFUNCTION("""COMPUTED_VALUE"""),"ADMIN - MUNICH")</f>
        <v>ADMIN - MUNICH</v>
      </c>
      <c r="D601" s="196" t="str">
        <f>IFERROR(__xludf.DUMMYFUNCTION("""COMPUTED_VALUE"""),"35 SMALL POTS PLATES 
4 CERAMIC POTS ")</f>
        <v>35 SMALL POTS PLATES 
4 CERAMIC POTS </v>
      </c>
      <c r="E601" s="196" t="str">
        <f>IFERROR(__xludf.DUMMYFUNCTION("""COMPUTED_VALUE"""),"PLATES FOR RESTROOM VASES (PLANTS) ")</f>
        <v>PLATES FOR RESTROOM VASES (PLANTS) </v>
      </c>
    </row>
    <row r="602">
      <c r="A602" s="234">
        <f>IFERROR(__xludf.DUMMYFUNCTION("""COMPUTED_VALUE"""),105435.0)</f>
        <v>105435</v>
      </c>
      <c r="B602" s="235" t="str">
        <f>IFERROR(__xludf.DUMMYFUNCTION("""COMPUTED_VALUE"""),"MARC VINCENT VITTO")</f>
        <v>MARC VINCENT VITTO</v>
      </c>
      <c r="C602" s="235" t="str">
        <f>IFERROR(__xludf.DUMMYFUNCTION("""COMPUTED_VALUE"""),"PR &amp; MARKETING")</f>
        <v>PR &amp; MARKETING</v>
      </c>
      <c r="D602" s="196" t="str">
        <f>IFERROR(__xludf.DUMMYFUNCTION("""COMPUTED_VALUE"""),"APPLIED HE INTERNAL TARP
1 COLLEGE AREA SIZE: W= 430C,X H= 368CM
1 GATCHALIAN SIZE: W=10FT X H= 10FT 
1 STAR CAMPUS SIZE:W=24FT X H=10FT
1 TROPICAL PALMS SIZE: W 78FT  X H= 13 FT
THICKNESS ALL = 18OZ W/SEAMING &amp;EYELET ALL OVER")</f>
        <v>APPLIED HE INTERNAL TARP
1 COLLEGE AREA SIZE: W= 430C,X H= 368CM
1 GATCHALIAN SIZE: W=10FT X H= 10FT 
1 STAR CAMPUS SIZE:W=24FT X H=10FT
1 TROPICAL PALMS SIZE: W 78FT  X H= 13 FT
THICKNESS ALL = 18OZ W/SEAMING &amp;EYELET ALL OVER</v>
      </c>
      <c r="E602" s="196" t="str">
        <f>IFERROR(__xludf.DUMMYFUNCTION("""COMPUTED_VALUE"""),"MARKETING")</f>
        <v>MARKETING</v>
      </c>
    </row>
    <row r="603">
      <c r="A603" s="234">
        <f>IFERROR(__xludf.DUMMYFUNCTION("""COMPUTED_VALUE"""),105436.0)</f>
        <v>105436</v>
      </c>
      <c r="B603" s="235" t="str">
        <f>IFERROR(__xludf.DUMMYFUNCTION("""COMPUTED_VALUE"""),"ANGELIE MADANLOG ")</f>
        <v>ANGELIE MADANLOG </v>
      </c>
      <c r="C603" s="235" t="str">
        <f>IFERROR(__xludf.DUMMYFUNCTION("""COMPUTED_VALUE"""),"FINANCE &amp; ACCOUNTING")</f>
        <v>FINANCE &amp; ACCOUNTING</v>
      </c>
      <c r="D603" s="196" t="str">
        <f>IFERROR(__xludf.DUMMYFUNCTION("""COMPUTED_VALUE"""),"500 PCS FOR BASIC ED EXAM PERMIT
20 PCS FOR IB")</f>
        <v>500 PCS FOR BASIC ED EXAM PERMIT
20 PCS FOR IB</v>
      </c>
      <c r="E603" s="196" t="str">
        <f>IFERROR(__xludf.DUMMYFUNCTION("""COMPUTED_VALUE"""),"BED SECOND TERM EXAM AY 2024-2025")</f>
        <v>BED SECOND TERM EXAM AY 2024-2025</v>
      </c>
    </row>
    <row r="604">
      <c r="A604" s="234">
        <f>IFERROR(__xludf.DUMMYFUNCTION("""COMPUTED_VALUE"""),105437.0)</f>
        <v>105437</v>
      </c>
      <c r="B604" s="235" t="str">
        <f>IFERROR(__xludf.DUMMYFUNCTION("""COMPUTED_VALUE"""),"JESUIT CHRISTIAN GALICIA")</f>
        <v>JESUIT CHRISTIAN GALICIA</v>
      </c>
      <c r="C604" s="235" t="str">
        <f>IFERROR(__xludf.DUMMYFUNCTION("""COMPUTED_VALUE"""),"AMD")</f>
        <v>AMD</v>
      </c>
      <c r="D604" s="196" t="str">
        <f>IFERROR(__xludf.DUMMYFUNCTION("""COMPUTED_VALUE"""),"100 PCS HEADSET RAPOO H101 WITH NOISE REDUCTION MIC")</f>
        <v>100 PCS HEADSET RAPOO H101 WITH NOISE REDUCTION MIC</v>
      </c>
      <c r="E604" s="196" t="str">
        <f>IFERROR(__xludf.DUMMYFUNCTION("""COMPUTED_VALUE"""),"MIS WAREHOUSE STOCK REPLENISHMENT")</f>
        <v>MIS WAREHOUSE STOCK REPLENISHMENT</v>
      </c>
    </row>
    <row r="605">
      <c r="A605" s="234">
        <f>IFERROR(__xludf.DUMMYFUNCTION("""COMPUTED_VALUE"""),105438.0)</f>
        <v>105438</v>
      </c>
      <c r="B605" s="235" t="str">
        <f>IFERROR(__xludf.DUMMYFUNCTION("""COMPUTED_VALUE"""),"JESUIT CHRISTIAN GALICIA")</f>
        <v>JESUIT CHRISTIAN GALICIA</v>
      </c>
      <c r="C605" s="235" t="str">
        <f>IFERROR(__xludf.DUMMYFUNCTION("""COMPUTED_VALUE"""),"AMD")</f>
        <v>AMD</v>
      </c>
      <c r="D605" s="196" t="str">
        <f>IFERROR(__xludf.DUMMYFUNCTION("""COMPUTED_VALUE"""),"3PCS FREON R22")</f>
        <v>3PCS FREON R22</v>
      </c>
      <c r="E605" s="196" t="str">
        <f>IFERROR(__xludf.DUMMYFUNCTION("""COMPUTED_VALUE"""),"ENGR WAREHOUSE STOCK REPLENISHMENT")</f>
        <v>ENGR WAREHOUSE STOCK REPLENISHMENT</v>
      </c>
    </row>
    <row r="606">
      <c r="A606" s="234">
        <f>IFERROR(__xludf.DUMMYFUNCTION("""COMPUTED_VALUE"""),105439.0)</f>
        <v>105439</v>
      </c>
      <c r="B606" s="235" t="str">
        <f>IFERROR(__xludf.DUMMYFUNCTION("""COMPUTED_VALUE"""),"RODRIGO CUSTODIO")</f>
        <v>RODRIGO CUSTODIO</v>
      </c>
      <c r="C606" s="235" t="str">
        <f>IFERROR(__xludf.DUMMYFUNCTION("""COMPUTED_VALUE"""),"AMD")</f>
        <v>AMD</v>
      </c>
      <c r="D606" s="196" t="str">
        <f>IFERROR(__xludf.DUMMYFUNCTION("""COMPUTED_VALUE"""),"30 PCS SQUEEGEE W/ EXTENDABLE HANDLE , MR. CLEAN
30 PCS. FLOOR SQUEEGEE, 3M")</f>
        <v>30 PCS SQUEEGEE W/ EXTENDABLE HANDLE , MR. CLEAN
30 PCS. FLOOR SQUEEGEE, 3M</v>
      </c>
      <c r="E606" s="196" t="str">
        <f>IFERROR(__xludf.DUMMYFUNCTION("""COMPUTED_VALUE"""),"HOUSEKEEPING NEW ITEMS BASED ON THE APPROVED EVALUATION/RECOMMENDATION")</f>
        <v>HOUSEKEEPING NEW ITEMS BASED ON THE APPROVED EVALUATION/RECOMMENDATION</v>
      </c>
    </row>
    <row r="607">
      <c r="A607" s="234">
        <f>IFERROR(__xludf.DUMMYFUNCTION("""COMPUTED_VALUE"""),105440.0)</f>
        <v>105440</v>
      </c>
      <c r="B607" s="235" t="str">
        <f>IFERROR(__xludf.DUMMYFUNCTION("""COMPUTED_VALUE"""),"JASTINE JANE DELIOLA")</f>
        <v>JASTINE JANE DELIOLA</v>
      </c>
      <c r="C607" s="235" t="str">
        <f>IFERROR(__xludf.DUMMYFUNCTION("""COMPUTED_VALUE"""),"FINANCE &amp; ACCOUNTING")</f>
        <v>FINANCE &amp; ACCOUNTING</v>
      </c>
      <c r="D607" s="196" t="str">
        <f>IFERROR(__xludf.DUMMYFUNCTION("""COMPUTED_VALUE"""),"1 SMART TV TCL 32 INCH ")</f>
        <v>1 SMART TV TCL 32 INCH </v>
      </c>
      <c r="E607" s="196" t="str">
        <f>IFERROR(__xludf.DUMMYFUNCTION("""COMPUTED_VALUE"""),"FOR BULLETIN BOARD IN THE HALLWAY ")</f>
        <v>FOR BULLETIN BOARD IN THE HALLWAY </v>
      </c>
    </row>
    <row r="608">
      <c r="A608" s="234">
        <f>IFERROR(__xludf.DUMMYFUNCTION("""COMPUTED_VALUE"""),105441.0)</f>
        <v>105441</v>
      </c>
      <c r="B608" s="235" t="str">
        <f>IFERROR(__xludf.DUMMYFUNCTION("""COMPUTED_VALUE"""),"LYKA PERALTA")</f>
        <v>LYKA PERALTA</v>
      </c>
      <c r="C608" s="235" t="str">
        <f>IFERROR(__xludf.DUMMYFUNCTION("""COMPUTED_VALUE"""),"AMD")</f>
        <v>AMD</v>
      </c>
      <c r="D608" s="196" t="str">
        <f>IFERROR(__xludf.DUMMYFUNCTION("""COMPUTED_VALUE"""),"50 PCS POUCH FOR ADAPTOR SMALL")</f>
        <v>50 PCS POUCH FOR ADAPTOR SMALL</v>
      </c>
      <c r="E608" s="196" t="str">
        <f>IFERROR(__xludf.DUMMYFUNCTION("""COMPUTED_VALUE"""),"TOKEN NEW STOCK")</f>
        <v>TOKEN NEW STOCK</v>
      </c>
    </row>
    <row r="609">
      <c r="A609" s="234">
        <f>IFERROR(__xludf.DUMMYFUNCTION("""COMPUTED_VALUE"""),105442.0)</f>
        <v>105442</v>
      </c>
      <c r="B609" s="235" t="str">
        <f>IFERROR(__xludf.DUMMYFUNCTION("""COMPUTED_VALUE"""),"RACHEL JANE PAMATIAN ")</f>
        <v>RACHEL JANE PAMATIAN </v>
      </c>
      <c r="C609" s="235" t="str">
        <f>IFERROR(__xludf.DUMMYFUNCTION("""COMPUTED_VALUE"""),"ADMIN - STAR")</f>
        <v>ADMIN - STAR</v>
      </c>
      <c r="D609" s="196" t="str">
        <f>IFERROR(__xludf.DUMMYFUNCTION("""COMPUTED_VALUE"""),"4 ELECTRIC MOSQUITO SWATTER")</f>
        <v>4 ELECTRIC MOSQUITO SWATTER</v>
      </c>
      <c r="E609" s="196" t="str">
        <f>IFERROR(__xludf.DUMMYFUNCTION("""COMPUTED_VALUE"""),"FOR QUADRANGLE &amp; CLASSROOM")</f>
        <v>FOR QUADRANGLE &amp; CLASSROOM</v>
      </c>
    </row>
    <row r="610">
      <c r="A610" s="234">
        <f>IFERROR(__xludf.DUMMYFUNCTION("""COMPUTED_VALUE"""),105443.0)</f>
        <v>105443</v>
      </c>
      <c r="B610" s="235" t="str">
        <f>IFERROR(__xludf.DUMMYFUNCTION("""COMPUTED_VALUE"""),"SHEREE ESPINOSA")</f>
        <v>SHEREE ESPINOSA</v>
      </c>
      <c r="C610" s="235" t="str">
        <f>IFERROR(__xludf.DUMMYFUNCTION("""COMPUTED_VALUE"""),"ADMIN - LUX")</f>
        <v>ADMIN - LUX</v>
      </c>
      <c r="D610" s="196" t="str">
        <f>IFERROR(__xludf.DUMMYFUNCTION("""COMPUTED_VALUE"""),"100 PCS ARM CHAIRS RIGHT HANDED GREEN")</f>
        <v>100 PCS ARM CHAIRS RIGHT HANDED GREEN</v>
      </c>
      <c r="E610" s="196" t="str">
        <f>IFERROR(__xludf.DUMMYFUNCTION("""COMPUTED_VALUE"""),"ADDITIONAL CLASSROOM CHAIRS FOR MPHT ")</f>
        <v>ADDITIONAL CLASSROOM CHAIRS FOR MPHT </v>
      </c>
    </row>
    <row r="611">
      <c r="A611" s="234">
        <f>IFERROR(__xludf.DUMMYFUNCTION("""COMPUTED_VALUE"""),105444.0)</f>
        <v>105444</v>
      </c>
      <c r="B611" s="235" t="str">
        <f>IFERROR(__xludf.DUMMYFUNCTION("""COMPUTED_VALUE"""),"ALFA DE LEON")</f>
        <v>ALFA DE LEON</v>
      </c>
      <c r="C611" s="235" t="str">
        <f>IFERROR(__xludf.DUMMYFUNCTION("""COMPUTED_VALUE"""),"ADMIN - MUNICH")</f>
        <v>ADMIN - MUNICH</v>
      </c>
      <c r="D611" s="196" t="str">
        <f>IFERROR(__xludf.DUMMYFUNCTION("""COMPUTED_VALUE"""),"3 FORMICH
1GAL RUGBY ")</f>
        <v>3 FORMICH
1GAL RUGBY </v>
      </c>
      <c r="E611" s="196" t="str">
        <f>IFERROR(__xludf.DUMMYFUNCTION("""COMPUTED_VALUE"""),"REPAIR OF WAITING AREA STOP SIDE DOOR")</f>
        <v>REPAIR OF WAITING AREA STOP SIDE DOOR</v>
      </c>
    </row>
    <row r="612">
      <c r="A612" s="234">
        <f>IFERROR(__xludf.DUMMYFUNCTION("""COMPUTED_VALUE"""),105445.0)</f>
        <v>105445</v>
      </c>
      <c r="B612" s="235" t="str">
        <f>IFERROR(__xludf.DUMMYFUNCTION("""COMPUTED_VALUE"""),"JESUIT CHRISTIAN GALICIA")</f>
        <v>JESUIT CHRISTIAN GALICIA</v>
      </c>
      <c r="C612" s="235" t="str">
        <f>IFERROR(__xludf.DUMMYFUNCTION("""COMPUTED_VALUE"""),"AMD")</f>
        <v>AMD</v>
      </c>
      <c r="D612" s="196" t="str">
        <f>IFERROR(__xludf.DUMMYFUNCTION("""COMPUTED_VALUE"""),"50 PCS UGREEN MOUSE PAD 
10 PCS WIFI CARD PCI-E TP LINK ")</f>
        <v>50 PCS UGREEN MOUSE PAD 
10 PCS WIFI CARD PCI-E TP LINK </v>
      </c>
      <c r="E612" s="196" t="str">
        <f>IFERROR(__xludf.DUMMYFUNCTION("""COMPUTED_VALUE"""),"MIS WAREHOUSE STOCK REPLENISHMENT")</f>
        <v>MIS WAREHOUSE STOCK REPLENISHMENT</v>
      </c>
    </row>
    <row r="613">
      <c r="A613" s="234">
        <f>IFERROR(__xludf.DUMMYFUNCTION("""COMPUTED_VALUE"""),105446.0)</f>
        <v>105446</v>
      </c>
      <c r="B613" s="235" t="str">
        <f>IFERROR(__xludf.DUMMYFUNCTION("""COMPUTED_VALUE"""),"MARVIN MARASIGAN ")</f>
        <v>MARVIN MARASIGAN </v>
      </c>
      <c r="C613" s="235" t="str">
        <f>IFERROR(__xludf.DUMMYFUNCTION("""COMPUTED_VALUE"""),"PR &amp; MARKETING")</f>
        <v>PR &amp; MARKETING</v>
      </c>
      <c r="D613" s="196" t="str">
        <f>IFERROR(__xludf.DUMMYFUNCTION("""COMPUTED_VALUE"""),"1 TARP PRINTING SERVICES 30X35 FT ")</f>
        <v>1 TARP PRINTING SERVICES 30X35 FT </v>
      </c>
      <c r="E613" s="196" t="str">
        <f>IFERROR(__xludf.DUMMYFUNCTION("""COMPUTED_VALUE"""),"PRINTING OF BILLBOARD MATERIAL")</f>
        <v>PRINTING OF BILLBOARD MATERIAL</v>
      </c>
    </row>
    <row r="614">
      <c r="A614" s="234">
        <f>IFERROR(__xludf.DUMMYFUNCTION("""COMPUTED_VALUE"""),105447.0)</f>
        <v>105447</v>
      </c>
      <c r="B614" s="235" t="str">
        <f>IFERROR(__xludf.DUMMYFUNCTION("""COMPUTED_VALUE"""),"OWIE PAR")</f>
        <v>OWIE PAR</v>
      </c>
      <c r="C614" s="235" t="str">
        <f>IFERROR(__xludf.DUMMYFUNCTION("""COMPUTED_VALUE"""),"ENGINEERING")</f>
        <v>ENGINEERING</v>
      </c>
      <c r="D614" s="196" t="str">
        <f>IFERROR(__xludf.DUMMYFUNCTION("""COMPUTED_VALUE"""),"15 UNITS CEILING TYPE EXHAUST FAN 12X12")</f>
        <v>15 UNITS CEILING TYPE EXHAUST FAN 12X12</v>
      </c>
      <c r="E614" s="196" t="str">
        <f>IFERROR(__xludf.DUMMYFUNCTION("""COMPUTED_VALUE"""),"FOR CRS TROPICAL 3RD,4TH,2ND FLR, LUX GRD FLOOR 2ND, 4TH F")</f>
        <v>FOR CRS TROPICAL 3RD,4TH,2ND FLR, LUX GRD FLOOR 2ND, 4TH F</v>
      </c>
    </row>
    <row r="615">
      <c r="A615" s="234">
        <f>IFERROR(__xludf.DUMMYFUNCTION("""COMPUTED_VALUE"""),105448.0)</f>
        <v>105448</v>
      </c>
      <c r="B615" s="235" t="str">
        <f>IFERROR(__xludf.DUMMYFUNCTION("""COMPUTED_VALUE"""),"NHYSSA ADAOAG/ATTY FIEL EVIDENTE")</f>
        <v>NHYSSA ADAOAG/ATTY FIEL EVIDENTE</v>
      </c>
      <c r="C615" s="235" t="str">
        <f>IFERROR(__xludf.DUMMYFUNCTION("""COMPUTED_VALUE"""),"AUDIT")</f>
        <v>AUDIT</v>
      </c>
      <c r="D615" s="196" t="str">
        <f>IFERROR(__xludf.DUMMYFUNCTION("""COMPUTED_VALUE"""),"1PC FILING CABINET 40 LATERAL
3PCS SWIVEL CHAIRS 
1 PC EXECUTIVE CHAIR
1PC DCP-T820DW BROTHER COLORED PRINTER 
3PCS OFFICE TABLE W=24 L= 47.3 H= 26.8")</f>
        <v>1PC FILING CABINET 40 LATERAL
3PCS SWIVEL CHAIRS 
1 PC EXECUTIVE CHAIR
1PC DCP-T820DW BROTHER COLORED PRINTER 
3PCS OFFICE TABLE W=24 L= 47.3 H= 26.8</v>
      </c>
      <c r="E615" s="196" t="str">
        <f>IFERROR(__xludf.DUMMYFUNCTION("""COMPUTED_VALUE"""),"OFFICE FURNITURES / EQUIPMENT FOR NEW OFFICE ")</f>
        <v>OFFICE FURNITURES / EQUIPMENT FOR NEW OFFICE </v>
      </c>
    </row>
    <row r="616">
      <c r="A616" s="234">
        <f>IFERROR(__xludf.DUMMYFUNCTION("""COMPUTED_VALUE"""),105449.0)</f>
        <v>105449</v>
      </c>
      <c r="B616" s="235" t="str">
        <f>IFERROR(__xludf.DUMMYFUNCTION("""COMPUTED_VALUE"""),"SHEREE ESPINOSA")</f>
        <v>SHEREE ESPINOSA</v>
      </c>
      <c r="C616" s="235" t="str">
        <f>IFERROR(__xludf.DUMMYFUNCTION("""COMPUTED_VALUE"""),"ADMIN")</f>
        <v>ADMIN</v>
      </c>
      <c r="D616" s="196" t="str">
        <f>IFERROR(__xludf.DUMMYFUNCTION("""COMPUTED_VALUE"""),"15 PCS EXHAUST FAN 12""")</f>
        <v>15 PCS EXHAUST FAN 12"</v>
      </c>
      <c r="E616" s="196" t="str">
        <f>IFERROR(__xludf.DUMMYFUNCTION("""COMPUTED_VALUE"""),"FOR TROPICAL AND LUX CRS")</f>
        <v>FOR TROPICAL AND LUX CRS</v>
      </c>
    </row>
    <row r="617">
      <c r="A617" s="234">
        <f>IFERROR(__xludf.DUMMYFUNCTION("""COMPUTED_VALUE"""),105450.0)</f>
        <v>105450</v>
      </c>
      <c r="B617" s="235" t="str">
        <f>IFERROR(__xludf.DUMMYFUNCTION("""COMPUTED_VALUE"""),"JOHN CARLO CAMPIT ")</f>
        <v>JOHN CARLO CAMPIT </v>
      </c>
      <c r="C617" s="235" t="str">
        <f>IFERROR(__xludf.DUMMYFUNCTION("""COMPUTED_VALUE"""),"ABU")</f>
        <v>ABU</v>
      </c>
      <c r="D617" s="196" t="str">
        <f>IFERROR(__xludf.DUMMYFUNCTION("""COMPUTED_VALUE"""),"1 STANDARD 16"" WALL FAN METAL BLADE ")</f>
        <v>1 STANDARD 16" WALL FAN METAL BLADE </v>
      </c>
      <c r="E617" s="196" t="str">
        <f>IFERROR(__xludf.DUMMYFUNCTION("""COMPUTED_VALUE"""),"ADDITIONAL ELECTRIC FAN TO LESSEN THE HEAT IN MS. LUDY'S AREA")</f>
        <v>ADDITIONAL ELECTRIC FAN TO LESSEN THE HEAT IN MS. LUDY'S AREA</v>
      </c>
    </row>
    <row r="618">
      <c r="A618" s="234">
        <f>IFERROR(__xludf.DUMMYFUNCTION("""COMPUTED_VALUE"""),105451.0)</f>
        <v>105451</v>
      </c>
      <c r="B618" s="235" t="str">
        <f>IFERROR(__xludf.DUMMYFUNCTION("""COMPUTED_VALUE"""),"RODRIGO CUSTODIO")</f>
        <v>RODRIGO CUSTODIO</v>
      </c>
      <c r="C618" s="235" t="str">
        <f>IFERROR(__xludf.DUMMYFUNCTION("""COMPUTED_VALUE"""),"AMD")</f>
        <v>AMD</v>
      </c>
      <c r="D618" s="196" t="str">
        <f>IFERROR(__xludf.DUMMYFUNCTION("""COMPUTED_VALUE"""),"90 PCS. , RINSE TECH HERITAGE MODEL CREAM ")</f>
        <v>90 PCS. , RINSE TECH HERITAGE MODEL CREAM </v>
      </c>
      <c r="E618" s="196" t="str">
        <f>IFERROR(__xludf.DUMMYFUNCTION("""COMPUTED_VALUE"""),"HOUSEKEEPING  MATERIALS - STOCK REPLENISHMENT")</f>
        <v>HOUSEKEEPING  MATERIALS - STOCK REPLENISHMENT</v>
      </c>
    </row>
    <row r="619">
      <c r="A619" s="234">
        <f>IFERROR(__xludf.DUMMYFUNCTION("""COMPUTED_VALUE"""),105452.0)</f>
        <v>105452</v>
      </c>
      <c r="B619" s="235" t="str">
        <f>IFERROR(__xludf.DUMMYFUNCTION("""COMPUTED_VALUE"""),"RONALDO D. VERDE")</f>
        <v>RONALDO D. VERDE</v>
      </c>
      <c r="C619" s="235" t="str">
        <f>IFERROR(__xludf.DUMMYFUNCTION("""COMPUTED_VALUE"""),"AMD")</f>
        <v>AMD</v>
      </c>
      <c r="D619" s="196" t="str">
        <f>IFERROR(__xludf.DUMMYFUNCTION("""COMPUTED_VALUE"""),"10 GALS. RUBBERIZE PAINT (TILE RED), 10 BOTTLES REDUCER EPOXY")</f>
        <v>10 GALS. RUBBERIZE PAINT (TILE RED), 10 BOTTLES REDUCER EPOXY</v>
      </c>
      <c r="E619" s="196" t="str">
        <f>IFERROR(__xludf.DUMMYFUNCTION("""COMPUTED_VALUE"""),"FOR TROPICAL GYM ")</f>
        <v>FOR TROPICAL GYM </v>
      </c>
    </row>
    <row r="620">
      <c r="A620" s="234">
        <f>IFERROR(__xludf.DUMMYFUNCTION("""COMPUTED_VALUE"""),105453.0)</f>
        <v>105453</v>
      </c>
      <c r="B620" s="235" t="str">
        <f>IFERROR(__xludf.DUMMYFUNCTION("""COMPUTED_VALUE"""),"MARK VINCENT VITTO")</f>
        <v>MARK VINCENT VITTO</v>
      </c>
      <c r="C620" s="235" t="str">
        <f>IFERROR(__xludf.DUMMYFUNCTION("""COMPUTED_VALUE"""),"PR &amp; MARKETING")</f>
        <v>PR &amp; MARKETING</v>
      </c>
      <c r="D620" s="196" t="str">
        <f>IFERROR(__xludf.DUMMYFUNCTION("""COMPUTED_VALUE"""),"ACCREDITATION BANNER 
1 APPLIED HE LUX (2FT X 6FT) 180Z
1 AUTONOMOUS LUX (2FT X 6FT ) 18 OZ
1 PQA LUX (2FT X 6FT) 18OZ
1 APPLIED HE TROPICAL (3FT X 8FT) 18 OZ 
1 AUTONOMOUS TROPICAL (3FT X 8FT) 18OZ
1 PQA TROPICAL (3FT X 8FT) 18OZ 
ADD SEAMING AND EYELET "&amp;"ALL OVER ")</f>
        <v>ACCREDITATION BANNER 
1 APPLIED HE LUX (2FT X 6FT) 180Z
1 AUTONOMOUS LUX (2FT X 6FT ) 18 OZ
1 PQA LUX (2FT X 6FT) 18OZ
1 APPLIED HE TROPICAL (3FT X 8FT) 18 OZ 
1 AUTONOMOUS TROPICAL (3FT X 8FT) 18OZ
1 PQA TROPICAL (3FT X 8FT) 18OZ 
ADD SEAMING AND EYELET ALL OVER </v>
      </c>
      <c r="E620" s="196" t="str">
        <f>IFERROR(__xludf.DUMMYFUNCTION("""COMPUTED_VALUE"""),"MARKETING ")</f>
        <v>MARKETING </v>
      </c>
    </row>
    <row r="621">
      <c r="A621" s="234">
        <f>IFERROR(__xludf.DUMMYFUNCTION("""COMPUTED_VALUE"""),105454.0)</f>
        <v>105454</v>
      </c>
      <c r="B621" s="235" t="str">
        <f>IFERROR(__xludf.DUMMYFUNCTION("""COMPUTED_VALUE"""),"JORDAN JORDAN")</f>
        <v>JORDAN JORDAN</v>
      </c>
      <c r="C621" s="235" t="str">
        <f>IFERROR(__xludf.DUMMYFUNCTION("""COMPUTED_VALUE"""),"ENGINEERING")</f>
        <v>ENGINEERING</v>
      </c>
      <c r="D621" s="196" t="str">
        <f>IFERROR(__xludf.DUMMYFUNCTION("""COMPUTED_VALUE"""),"6PCS FULL BODY HARNSS
2 PAIRS ELECTRICAL RUBBER GLOVES 12 KV
10 PCS SAFETY GLASSES 
50 PCS SAFETY MASK 3M 8000 SERIES")</f>
        <v>6PCS FULL BODY HARNSS
2 PAIRS ELECTRICAL RUBBER GLOVES 12 KV
10 PCS SAFETY GLASSES 
50 PCS SAFETY MASK 3M 8000 SERIES</v>
      </c>
      <c r="E621" s="196" t="str">
        <f>IFERROR(__xludf.DUMMYFUNCTION("""COMPUTED_VALUE"""),"ADMIN/ENGR SAFETY DURING  ACU REPAIRS)")</f>
        <v>ADMIN/ENGR SAFETY DURING  ACU REPAIRS)</v>
      </c>
    </row>
    <row r="622">
      <c r="A622" s="234">
        <f>IFERROR(__xludf.DUMMYFUNCTION("""COMPUTED_VALUE"""),105455.0)</f>
        <v>105455</v>
      </c>
      <c r="B622" s="235" t="str">
        <f>IFERROR(__xludf.DUMMYFUNCTION("""COMPUTED_VALUE"""),"RODRIGO CUSTODIO")</f>
        <v>RODRIGO CUSTODIO</v>
      </c>
      <c r="C622" s="235" t="str">
        <f>IFERROR(__xludf.DUMMYFUNCTION("""COMPUTED_VALUE"""),"AMD")</f>
        <v>AMD</v>
      </c>
      <c r="D622" s="196" t="str">
        <f>IFERROR(__xludf.DUMMYFUNCTION("""COMPUTED_VALUE"""),"10 GALS FLOOR FINISH (STATE) MIGHTY SPARKLE DIAMOND 25 1 U.S GAL")</f>
        <v>10 GALS FLOOR FINISH (STATE) MIGHTY SPARKLE DIAMOND 25 1 U.S GAL</v>
      </c>
      <c r="E622" s="196" t="str">
        <f>IFERROR(__xludf.DUMMYFUNCTION("""COMPUTED_VALUE"""),"HOUSEKEEPING MATERIALS STOCK REPLENISHMENT")</f>
        <v>HOUSEKEEPING MATERIALS STOCK REPLENISHMENT</v>
      </c>
    </row>
    <row r="623">
      <c r="A623" s="234">
        <f>IFERROR(__xludf.DUMMYFUNCTION("""COMPUTED_VALUE"""),105456.0)</f>
        <v>105456</v>
      </c>
      <c r="B623" s="235" t="str">
        <f>IFERROR(__xludf.DUMMYFUNCTION("""COMPUTED_VALUE"""),"JESUIT CHRISTIAN GALICIA")</f>
        <v>JESUIT CHRISTIAN GALICIA</v>
      </c>
      <c r="C623" s="235" t="str">
        <f>IFERROR(__xludf.DUMMYFUNCTION("""COMPUTED_VALUE"""),"AMD")</f>
        <v>AMD</v>
      </c>
      <c r="D623" s="196" t="str">
        <f>IFERROR(__xludf.DUMMYFUNCTION("""COMPUTED_VALUE"""),"10 PCS DOOR CLOSER YALE (Y1249R 80 KG CAPACITY)")</f>
        <v>10 PCS DOOR CLOSER YALE (Y1249R 80 KG CAPACITY)</v>
      </c>
      <c r="E623" s="196" t="str">
        <f>IFERROR(__xludf.DUMMYFUNCTION("""COMPUTED_VALUE"""),"ENGR WAREHOUSE STOCK REPLENISHMENT")</f>
        <v>ENGR WAREHOUSE STOCK REPLENISHMENT</v>
      </c>
    </row>
    <row r="624">
      <c r="A624" s="234">
        <f>IFERROR(__xludf.DUMMYFUNCTION("""COMPUTED_VALUE"""),105457.0)</f>
        <v>105457</v>
      </c>
      <c r="B624" s="235" t="str">
        <f>IFERROR(__xludf.DUMMYFUNCTION("""COMPUTED_VALUE"""),"LUCILLE BEYER")</f>
        <v>LUCILLE BEYER</v>
      </c>
      <c r="C624" s="235" t="str">
        <f>IFERROR(__xludf.DUMMYFUNCTION("""COMPUTED_VALUE"""),"MEDICAL")</f>
        <v>MEDICAL</v>
      </c>
      <c r="D624" s="196" t="str">
        <f>IFERROR(__xludf.DUMMYFUNCTION("""COMPUTED_VALUE"""),"CLINIC MEDICINES AND SUPPLIES ")</f>
        <v>CLINIC MEDICINES AND SUPPLIES </v>
      </c>
      <c r="E624" s="196" t="str">
        <f>IFERROR(__xludf.DUMMYFUNCTION("""COMPUTED_VALUE"""),"REPLENISHMENT FOR FEBRUARY AND MARCH")</f>
        <v>REPLENISHMENT FOR FEBRUARY AND MARCH</v>
      </c>
    </row>
    <row r="625">
      <c r="A625" s="234">
        <f>IFERROR(__xludf.DUMMYFUNCTION("""COMPUTED_VALUE"""),105458.0)</f>
        <v>105458</v>
      </c>
      <c r="B625" s="235" t="str">
        <f>IFERROR(__xludf.DUMMYFUNCTION("""COMPUTED_VALUE"""),"MARK VINCENT VITTO")</f>
        <v>MARK VINCENT VITTO</v>
      </c>
      <c r="C625" s="235" t="str">
        <f>IFERROR(__xludf.DUMMYFUNCTION("""COMPUTED_VALUE"""),"PR &amp; MARKETING")</f>
        <v>PR &amp; MARKETING</v>
      </c>
      <c r="D625" s="196" t="str">
        <f>IFERROR(__xludf.DUMMYFUNCTION("""COMPUTED_VALUE"""),"1 RE-ORDER OF 
-TAMRON SP 17-50MM F/2.8 XR FOR CANON")</f>
        <v>1 RE-ORDER OF 
-TAMRON SP 17-50MM F/2.8 XR FOR CANON</v>
      </c>
      <c r="E625" s="196" t="str">
        <f>IFERROR(__xludf.DUMMYFUNCTION("""COMPUTED_VALUE"""),"FOR CAMERA EQUIPMENT")</f>
        <v>FOR CAMERA EQUIPMENT</v>
      </c>
    </row>
    <row r="626">
      <c r="A626" s="234">
        <f>IFERROR(__xludf.DUMMYFUNCTION("""COMPUTED_VALUE"""),105459.0)</f>
        <v>105459</v>
      </c>
      <c r="B626" s="235" t="str">
        <f>IFERROR(__xludf.DUMMYFUNCTION("""COMPUTED_VALUE"""),"LYKA PERALTA")</f>
        <v>LYKA PERALTA</v>
      </c>
      <c r="C626" s="235" t="str">
        <f>IFERROR(__xludf.DUMMYFUNCTION("""COMPUTED_VALUE"""),"AMD")</f>
        <v>AMD</v>
      </c>
      <c r="D626" s="196" t="str">
        <f>IFERROR(__xludf.DUMMYFUNCTION("""COMPUTED_VALUE"""),"500 PCS SISC PIN ")</f>
        <v>500 PCS SISC PIN </v>
      </c>
      <c r="E626" s="196" t="str">
        <f>IFERROR(__xludf.DUMMYFUNCTION("""COMPUTED_VALUE"""),"TOKEN STOCK REPLENISHMENT")</f>
        <v>TOKEN STOCK REPLENISHMENT</v>
      </c>
    </row>
    <row r="627">
      <c r="A627" s="234">
        <f>IFERROR(__xludf.DUMMYFUNCTION("""COMPUTED_VALUE"""),105460.0)</f>
        <v>105460</v>
      </c>
      <c r="B627" s="235" t="str">
        <f>IFERROR(__xludf.DUMMYFUNCTION("""COMPUTED_VALUE"""),"LYKA PERALTA")</f>
        <v>LYKA PERALTA</v>
      </c>
      <c r="C627" s="235" t="str">
        <f>IFERROR(__xludf.DUMMYFUNCTION("""COMPUTED_VALUE"""),"AMD")</f>
        <v>AMD</v>
      </c>
      <c r="D627" s="196" t="str">
        <f>IFERROR(__xludf.DUMMYFUNCTION("""COMPUTED_VALUE"""),"30 PCS POUCH BENCH BEIGE
30 PCS POUCH BENCH BLACK")</f>
        <v>30 PCS POUCH BENCH BEIGE
30 PCS POUCH BENCH BLACK</v>
      </c>
      <c r="E627" s="196" t="str">
        <f>IFERROR(__xludf.DUMMYFUNCTION("""COMPUTED_VALUE"""),"TOKEN STOCK REPLENISHMENT")</f>
        <v>TOKEN STOCK REPLENISHMENT</v>
      </c>
    </row>
    <row r="628">
      <c r="A628" s="234">
        <f>IFERROR(__xludf.DUMMYFUNCTION("""COMPUTED_VALUE"""),105461.0)</f>
        <v>105461</v>
      </c>
      <c r="B628" s="235" t="str">
        <f>IFERROR(__xludf.DUMMYFUNCTION("""COMPUTED_VALUE"""),"LYKA PERALTA")</f>
        <v>LYKA PERALTA</v>
      </c>
      <c r="C628" s="235" t="str">
        <f>IFERROR(__xludf.DUMMYFUNCTION("""COMPUTED_VALUE"""),"AMD")</f>
        <v>AMD</v>
      </c>
      <c r="D628" s="196" t="str">
        <f>IFERROR(__xludf.DUMMYFUNCTION("""COMPUTED_VALUE"""),"2 PCS PUNCHER PAPER HD 1 HOLE
2 PCS PUNCHER PAPER HD 3 HOLES (ADJUSTABLE)")</f>
        <v>2 PCS PUNCHER PAPER HD 1 HOLE
2 PCS PUNCHER PAPER HD 3 HOLES (ADJUSTABLE)</v>
      </c>
      <c r="E628" s="196" t="str">
        <f>IFERROR(__xludf.DUMMYFUNCTION("""COMPUTED_VALUE"""),"OSSUP NEW STOCKS")</f>
        <v>OSSUP NEW STOCKS</v>
      </c>
    </row>
    <row r="629">
      <c r="A629" s="234">
        <f>IFERROR(__xludf.DUMMYFUNCTION("""COMPUTED_VALUE"""),105462.0)</f>
        <v>105462</v>
      </c>
      <c r="B629" s="235" t="str">
        <f>IFERROR(__xludf.DUMMYFUNCTION("""COMPUTED_VALUE"""),"ALFA DE LEON")</f>
        <v>ALFA DE LEON</v>
      </c>
      <c r="C629" s="235" t="str">
        <f>IFERROR(__xludf.DUMMYFUNCTION("""COMPUTED_VALUE"""),"ADMIN - MUNICH")</f>
        <v>ADMIN - MUNICH</v>
      </c>
      <c r="D629" s="196" t="str">
        <f>IFERROR(__xludf.DUMMYFUNCTION("""COMPUTED_VALUE"""),"3 38W UV LIGHT STERIDIZATION LAMP W/OZONE REMOTE CONTROL")</f>
        <v>3 38W UV LIGHT STERIDIZATION LAMP W/OZONE REMOTE CONTROL</v>
      </c>
      <c r="E629" s="196" t="str">
        <f>IFERROR(__xludf.DUMMYFUNCTION("""COMPUTED_VALUE"""),"DISINFECTION FOR CLASSROOM")</f>
        <v>DISINFECTION FOR CLASSROOM</v>
      </c>
    </row>
    <row r="630">
      <c r="A630" s="234">
        <f>IFERROR(__xludf.DUMMYFUNCTION("""COMPUTED_VALUE"""),105463.0)</f>
        <v>105463</v>
      </c>
      <c r="B630" s="235" t="str">
        <f>IFERROR(__xludf.DUMMYFUNCTION("""COMPUTED_VALUE"""),"ALFA DE LEON")</f>
        <v>ALFA DE LEON</v>
      </c>
      <c r="C630" s="235" t="str">
        <f>IFERROR(__xludf.DUMMYFUNCTION("""COMPUTED_VALUE"""),"LANDSCAPING")</f>
        <v>LANDSCAPING</v>
      </c>
      <c r="D630" s="196" t="str">
        <f>IFERROR(__xludf.DUMMYFUNCTION("""COMPUTED_VALUE"""),"35 EUGENIA")</f>
        <v>35 EUGENIA</v>
      </c>
      <c r="E630" s="196" t="str">
        <f>IFERROR(__xludf.DUMMYFUNCTION("""COMPUTED_VALUE"""),"PLANT BOX FLAG POLE AREA PLANTS NEEDS IMPROVEMENT")</f>
        <v>PLANT BOX FLAG POLE AREA PLANTS NEEDS IMPROVEMENT</v>
      </c>
    </row>
    <row r="631">
      <c r="A631" s="234">
        <f>IFERROR(__xludf.DUMMYFUNCTION("""COMPUTED_VALUE"""),105464.0)</f>
        <v>105464</v>
      </c>
      <c r="B631" s="235" t="str">
        <f>IFERROR(__xludf.DUMMYFUNCTION("""COMPUTED_VALUE"""),"ALFA DE LEON")</f>
        <v>ALFA DE LEON</v>
      </c>
      <c r="C631" s="235" t="str">
        <f>IFERROR(__xludf.DUMMYFUNCTION("""COMPUTED_VALUE"""),"LANDSCAPING")</f>
        <v>LANDSCAPING</v>
      </c>
      <c r="D631" s="196" t="str">
        <f>IFERROR(__xludf.DUMMYFUNCTION("""COMPUTED_VALUE"""),"60 ACHLEFFING
340 SNAKE PLANT (YELLOW ESPADA)
140 RHAPIS")</f>
        <v>60 ACHLEFFING
340 SNAKE PLANT (YELLOW ESPADA)
140 RHAPIS</v>
      </c>
      <c r="E631" s="196" t="str">
        <f>IFERROR(__xludf.DUMMYFUNCTION("""COMPUTED_VALUE"""),"PLANT BOX INFRONT OOF CLINIC NEEDS REHABILITATION")</f>
        <v>PLANT BOX INFRONT OOF CLINIC NEEDS REHABILITATION</v>
      </c>
    </row>
    <row r="632">
      <c r="A632" s="234">
        <f>IFERROR(__xludf.DUMMYFUNCTION("""COMPUTED_VALUE"""),105465.0)</f>
        <v>105465</v>
      </c>
      <c r="B632" s="235" t="str">
        <f>IFERROR(__xludf.DUMMYFUNCTION("""COMPUTED_VALUE"""),"ALFA DE LEON")</f>
        <v>ALFA DE LEON</v>
      </c>
      <c r="C632" s="235" t="str">
        <f>IFERROR(__xludf.DUMMYFUNCTION("""COMPUTED_VALUE"""),"LANDSCAPING")</f>
        <v>LANDSCAPING</v>
      </c>
      <c r="D632" s="196" t="str">
        <f>IFERROR(__xludf.DUMMYFUNCTION("""COMPUTED_VALUE"""),"12 MARIOM
12 EYELET
12 RED SAYAM ")</f>
        <v>12 MARIOM
12 EYELET
12 RED SAYAM </v>
      </c>
      <c r="E632" s="196" t="str">
        <f>IFERROR(__xludf.DUMMYFUNCTION("""COMPUTED_VALUE"""),"TROPICAL 5F PLANTS SUBSTITUTE ")</f>
        <v>TROPICAL 5F PLANTS SUBSTITUTE </v>
      </c>
    </row>
    <row r="633">
      <c r="A633" s="234">
        <f>IFERROR(__xludf.DUMMYFUNCTION("""COMPUTED_VALUE"""),105466.0)</f>
        <v>105466</v>
      </c>
      <c r="B633" s="235" t="str">
        <f>IFERROR(__xludf.DUMMYFUNCTION("""COMPUTED_VALUE"""),"ALFA DE LEON")</f>
        <v>ALFA DE LEON</v>
      </c>
      <c r="C633" s="235" t="str">
        <f>IFERROR(__xludf.DUMMYFUNCTION("""COMPUTED_VALUE"""),"LANDSCAPING")</f>
        <v>LANDSCAPING</v>
      </c>
      <c r="D633" s="196" t="str">
        <f>IFERROR(__xludf.DUMMYFUNCTION("""COMPUTED_VALUE"""),"300 BASTON FERN
80 BEACH LILY
300 PICARRA
300 ORLANDO")</f>
        <v>300 BASTON FERN
80 BEACH LILY
300 PICARRA
300 ORLANDO</v>
      </c>
      <c r="E633" s="196" t="str">
        <f>IFERROR(__xludf.DUMMYFUNCTION("""COMPUTED_VALUE"""),"GREEN WALL PLANTS MAINTENANCE ")</f>
        <v>GREEN WALL PLANTS MAINTENANCE </v>
      </c>
    </row>
    <row r="634">
      <c r="A634" s="234">
        <f>IFERROR(__xludf.DUMMYFUNCTION("""COMPUTED_VALUE"""),105467.0)</f>
        <v>105467</v>
      </c>
      <c r="B634" s="235" t="str">
        <f>IFERROR(__xludf.DUMMYFUNCTION("""COMPUTED_VALUE"""),"ALFA DE LEON")</f>
        <v>ALFA DE LEON</v>
      </c>
      <c r="C634" s="235" t="str">
        <f>IFERROR(__xludf.DUMMYFUNCTION("""COMPUTED_VALUE"""),"LANDSCAPING")</f>
        <v>LANDSCAPING</v>
      </c>
      <c r="D634" s="196" t="str">
        <f>IFERROR(__xludf.DUMMYFUNCTION("""COMPUTED_VALUE"""),"25 SACKS FURADAY (50 KILOS)")</f>
        <v>25 SACKS FURADAY (50 KILOS)</v>
      </c>
      <c r="E634" s="196" t="str">
        <f>IFERROR(__xludf.DUMMYFUNCTION("""COMPUTED_VALUE"""),"PLANTS MAINTENANCE")</f>
        <v>PLANTS MAINTENANCE</v>
      </c>
    </row>
    <row r="635">
      <c r="A635" s="234">
        <f>IFERROR(__xludf.DUMMYFUNCTION("""COMPUTED_VALUE"""),105468.0)</f>
        <v>105468</v>
      </c>
      <c r="B635" s="235" t="str">
        <f>IFERROR(__xludf.DUMMYFUNCTION("""COMPUTED_VALUE"""),"MARC VINCENT VITTO")</f>
        <v>MARC VINCENT VITTO</v>
      </c>
      <c r="C635" s="235" t="str">
        <f>IFERROR(__xludf.DUMMYFUNCTION("""COMPUTED_VALUE"""),"PR &amp; MARKETING")</f>
        <v>PR &amp; MARKETING</v>
      </c>
      <c r="D635" s="196" t="str">
        <f>IFERROR(__xludf.DUMMYFUNCTION("""COMPUTED_VALUE"""),"15,000 PCS SISC GENERIC FLYER 24-25 SIZE: W= 5.5 IN X H= 8.5 IN
PAPER &amp; THICKNESS: SAME AS PREVIOUS GENERIC FLYERS ")</f>
        <v>15,000 PCS SISC GENERIC FLYER 24-25 SIZE: W= 5.5 IN X H= 8.5 IN
PAPER &amp; THICKNESS: SAME AS PREVIOUS GENERIC FLYERS </v>
      </c>
      <c r="E635" s="196" t="str">
        <f>IFERROR(__xludf.DUMMYFUNCTION("""COMPUTED_VALUE"""),"MARKETING")</f>
        <v>MARKETING</v>
      </c>
    </row>
    <row r="636">
      <c r="A636" s="234">
        <f>IFERROR(__xludf.DUMMYFUNCTION("""COMPUTED_VALUE"""),105469.0)</f>
        <v>105469</v>
      </c>
      <c r="B636" s="235" t="str">
        <f>IFERROR(__xludf.DUMMYFUNCTION("""COMPUTED_VALUE"""),"RUSSEL FUENTES")</f>
        <v>RUSSEL FUENTES</v>
      </c>
      <c r="C636" s="235" t="str">
        <f>IFERROR(__xludf.DUMMYFUNCTION("""COMPUTED_VALUE"""),"REGISTRATION")</f>
        <v>REGISTRATION</v>
      </c>
      <c r="D636" s="196" t="str">
        <f>IFERROR(__xludf.DUMMYFUNCTION("""COMPUTED_VALUE"""),"3 REAMS PER COLOR LEGAL PHIL CATALINA PAPER (YELLOW, GREEN, GRAY, ORANGE, BLUE, PURPLE,)")</f>
        <v>3 REAMS PER COLOR LEGAL PHIL CATALINA PAPER (YELLOW, GREEN, GRAY, ORANGE, BLUE, PURPLE,)</v>
      </c>
      <c r="E636" s="196" t="str">
        <f>IFERROR(__xludf.DUMMYFUNCTION("""COMPUTED_VALUE"""),"FOR ENROLLMENT")</f>
        <v>FOR ENROLLMENT</v>
      </c>
    </row>
    <row r="637">
      <c r="A637" s="234">
        <f>IFERROR(__xludf.DUMMYFUNCTION("""COMPUTED_VALUE"""),105470.0)</f>
        <v>105470</v>
      </c>
      <c r="B637" s="235" t="str">
        <f>IFERROR(__xludf.DUMMYFUNCTION("""COMPUTED_VALUE"""),"LYKA PERALTA")</f>
        <v>LYKA PERALTA</v>
      </c>
      <c r="C637" s="235" t="str">
        <f>IFERROR(__xludf.DUMMYFUNCTION("""COMPUTED_VALUE"""),"AMD")</f>
        <v>AMD</v>
      </c>
      <c r="D637" s="196" t="str">
        <f>IFERROR(__xludf.DUMMYFUNCTION("""COMPUTED_VALUE"""),"100 BOXES CLIP PAPER BIG
50 BOXES CLIP PAPER SMALL
1 REAM PAPER COPY-FORTUNE SUB .24 LONG YELLOW
20 PADS PAD PAPER YELLOW")</f>
        <v>100 BOXES CLIP PAPER BIG
50 BOXES CLIP PAPER SMALL
1 REAM PAPER COPY-FORTUNE SUB .24 LONG YELLOW
20 PADS PAD PAPER YELLOW</v>
      </c>
      <c r="E637" s="196" t="str">
        <f>IFERROR(__xludf.DUMMYFUNCTION("""COMPUTED_VALUE"""),"OSSUP STOCK REPLENISHMENT")</f>
        <v>OSSUP STOCK REPLENISHMENT</v>
      </c>
    </row>
    <row r="638">
      <c r="A638" s="234">
        <f>IFERROR(__xludf.DUMMYFUNCTION("""COMPUTED_VALUE"""),105471.0)</f>
        <v>105471</v>
      </c>
      <c r="B638" s="235" t="str">
        <f>IFERROR(__xludf.DUMMYFUNCTION("""COMPUTED_VALUE"""),"SAMEYA GARCIA")</f>
        <v>SAMEYA GARCIA</v>
      </c>
      <c r="C638" s="235" t="str">
        <f>IFERROR(__xludf.DUMMYFUNCTION("""COMPUTED_VALUE"""),"ADMIN")</f>
        <v>ADMIN</v>
      </c>
      <c r="D638" s="196" t="str">
        <f>IFERROR(__xludf.DUMMYFUNCTION("""COMPUTED_VALUE"""),"2 ACRYLIC FRAME W/ BOLTS A3 W/ 1INCH ALLOWANCE EACH SIDE ")</f>
        <v>2 ACRYLIC FRAME W/ BOLTS A3 W/ 1INCH ALLOWANCE EACH SIDE </v>
      </c>
      <c r="E638" s="196" t="str">
        <f>IFERROR(__xludf.DUMMYFUNCTION("""COMPUTED_VALUE"""),"FOR COLLEGE ELEVATOR")</f>
        <v>FOR COLLEGE ELEVATOR</v>
      </c>
    </row>
    <row r="639">
      <c r="A639" s="234">
        <f>IFERROR(__xludf.DUMMYFUNCTION("""COMPUTED_VALUE"""),105472.0)</f>
        <v>105472</v>
      </c>
      <c r="B639" s="235" t="str">
        <f>IFERROR(__xludf.DUMMYFUNCTION("""COMPUTED_VALUE"""),"ALFA DE LEON")</f>
        <v>ALFA DE LEON</v>
      </c>
      <c r="C639" s="235" t="str">
        <f>IFERROR(__xludf.DUMMYFUNCTION("""COMPUTED_VALUE"""),"ADMIN")</f>
        <v>ADMIN</v>
      </c>
      <c r="D639" s="196" t="str">
        <f>IFERROR(__xludf.DUMMYFUNCTION("""COMPUTED_VALUE"""),"HEAVY DUTY FLAGS 3X5
4 EACH CANADA, CHINA, INDIA, JAPAN, LIBERIA, NETHERLANDS, PAKISTAN, KOREA, UK, USA, PHILIPPINES, SOUTHVILLE
2 EACH AUSTRALIA, BANGLADESH, EGYPT, GERMANY, HONGKONG, INDONESIA, IRELAND, ITALY, JORDAN, NIGERA, RUSSIA, SRI LANKA, SWITZERL"&amp;"AND, THAILAND")</f>
        <v>HEAVY DUTY FLAGS 3X5
4 EACH CANADA, CHINA, INDIA, JAPAN, LIBERIA, NETHERLANDS, PAKISTAN, KOREA, UK, USA, PHILIPPINES, SOUTHVILLE
2 EACH AUSTRALIA, BANGLADESH, EGYPT, GERMANY, HONGKONG, INDONESIA, IRELAND, ITALY, JORDAN, NIGERA, RUSSIA, SRI LANKA, SWITZERLAND, THAILAND</v>
      </c>
      <c r="E639" s="196" t="str">
        <f>IFERROR(__xludf.DUMMYFUNCTION("""COMPUTED_VALUE"""),"INTERNATIONAL FLAGS")</f>
        <v>INTERNATIONAL FLAGS</v>
      </c>
    </row>
    <row r="640">
      <c r="A640" s="234">
        <f>IFERROR(__xludf.DUMMYFUNCTION("""COMPUTED_VALUE"""),105473.0)</f>
        <v>105473</v>
      </c>
      <c r="B640" s="235" t="str">
        <f>IFERROR(__xludf.DUMMYFUNCTION("""COMPUTED_VALUE"""),"ALFA DE LEON")</f>
        <v>ALFA DE LEON</v>
      </c>
      <c r="C640" s="235" t="str">
        <f>IFERROR(__xludf.DUMMYFUNCTION("""COMPUTED_VALUE"""),"ADMIN")</f>
        <v>ADMIN</v>
      </c>
      <c r="D640" s="196" t="str">
        <f>IFERROR(__xludf.DUMMYFUNCTION("""COMPUTED_VALUE"""),"MEGA BOX 15SL")</f>
        <v>MEGA BOX 15SL</v>
      </c>
      <c r="E640" s="196" t="str">
        <f>IFERROR(__xludf.DUMMYFUNCTION("""COMPUTED_VALUE"""),"FLAGS STORAGE")</f>
        <v>FLAGS STORAGE</v>
      </c>
    </row>
    <row r="641">
      <c r="A641" s="234">
        <f>IFERROR(__xludf.DUMMYFUNCTION("""COMPUTED_VALUE"""),105474.0)</f>
        <v>105474</v>
      </c>
      <c r="B641" s="235" t="str">
        <f>IFERROR(__xludf.DUMMYFUNCTION("""COMPUTED_VALUE"""),"SHEREE ESPINOSA")</f>
        <v>SHEREE ESPINOSA</v>
      </c>
      <c r="C641" s="235" t="str">
        <f>IFERROR(__xludf.DUMMYFUNCTION("""COMPUTED_VALUE"""),"ADMIN")</f>
        <v>ADMIN</v>
      </c>
      <c r="D641" s="196" t="str">
        <f>IFERROR(__xludf.DUMMYFUNCTION("""COMPUTED_VALUE"""),"7PCS MEGA BOX 15SL WHITE ")</f>
        <v>7PCS MEGA BOX 15SL WHITE </v>
      </c>
      <c r="E641" s="196" t="str">
        <f>IFERROR(__xludf.DUMMYFUNCTION("""COMPUTED_VALUE"""),"STORAGE FOR CHRISTMAS DECORS")</f>
        <v>STORAGE FOR CHRISTMAS DECORS</v>
      </c>
    </row>
    <row r="642">
      <c r="A642" s="234">
        <f>IFERROR(__xludf.DUMMYFUNCTION("""COMPUTED_VALUE"""),105475.0)</f>
        <v>105475</v>
      </c>
      <c r="B642" s="235" t="str">
        <f>IFERROR(__xludf.DUMMYFUNCTION("""COMPUTED_VALUE"""),"SHEREE ESPINOSA")</f>
        <v>SHEREE ESPINOSA</v>
      </c>
      <c r="C642" s="235" t="str">
        <f>IFERROR(__xludf.DUMMYFUNCTION("""COMPUTED_VALUE"""),"ADMIN")</f>
        <v>ADMIN</v>
      </c>
      <c r="D642" s="196" t="str">
        <f>IFERROR(__xludf.DUMMYFUNCTION("""COMPUTED_VALUE"""),"9 PCS UV LIGHT STERILIZATION LAMP (3 PCS/ FLOOR)")</f>
        <v>9 PCS UV LIGHT STERILIZATION LAMP (3 PCS/ FLOOR)</v>
      </c>
      <c r="E642" s="196" t="str">
        <f>IFERROR(__xludf.DUMMYFUNCTION("""COMPUTED_VALUE"""),"FOR CLASSROOMS DISINFECTION (LUX CAMPUS)")</f>
        <v>FOR CLASSROOMS DISINFECTION (LUX CAMPUS)</v>
      </c>
    </row>
    <row r="643">
      <c r="A643" s="234">
        <f>IFERROR(__xludf.DUMMYFUNCTION("""COMPUTED_VALUE"""),105476.0)</f>
        <v>105476</v>
      </c>
      <c r="B643" s="235" t="str">
        <f>IFERROR(__xludf.DUMMYFUNCTION("""COMPUTED_VALUE"""),"RACHEL JANE PAMATIAN ")</f>
        <v>RACHEL JANE PAMATIAN </v>
      </c>
      <c r="C643" s="235" t="str">
        <f>IFERROR(__xludf.DUMMYFUNCTION("""COMPUTED_VALUE"""),"ADMIN - STAR")</f>
        <v>ADMIN - STAR</v>
      </c>
      <c r="D643" s="196" t="str">
        <f>IFERROR(__xludf.DUMMYFUNCTION("""COMPUTED_VALUE"""),"1 SACK KUSOT")</f>
        <v>1 SACK KUSOT</v>
      </c>
      <c r="E643" s="196" t="str">
        <f>IFERROR(__xludf.DUMMYFUNCTION("""COMPUTED_VALUE"""),"KUSOT FOR PLANTBOX AT FRONTGATE")</f>
        <v>KUSOT FOR PLANTBOX AT FRONTGATE</v>
      </c>
    </row>
    <row r="644">
      <c r="A644" s="234">
        <f>IFERROR(__xludf.DUMMYFUNCTION("""COMPUTED_VALUE"""),105477.0)</f>
        <v>105477</v>
      </c>
      <c r="B644" s="235" t="str">
        <f>IFERROR(__xludf.DUMMYFUNCTION("""COMPUTED_VALUE"""),"SHEREE ESPINOSA")</f>
        <v>SHEREE ESPINOSA</v>
      </c>
      <c r="C644" s="235" t="str">
        <f>IFERROR(__xludf.DUMMYFUNCTION("""COMPUTED_VALUE"""),"ADMIN")</f>
        <v>ADMIN</v>
      </c>
      <c r="D644" s="196" t="str">
        <f>IFERROR(__xludf.DUMMYFUNCTION("""COMPUTED_VALUE"""),"17PCS FACULTY TABLES")</f>
        <v>17PCS FACULTY TABLES</v>
      </c>
      <c r="E644" s="196" t="str">
        <f>IFERROR(__xludf.DUMMYFUNCTION("""COMPUTED_VALUE"""),"FOR NEW FACULTY, FLEX &amp; RESEARCH OFFICE 5F COLLEGE")</f>
        <v>FOR NEW FACULTY, FLEX &amp; RESEARCH OFFICE 5F COLLEGE</v>
      </c>
    </row>
    <row r="645">
      <c r="A645" s="234">
        <f>IFERROR(__xludf.DUMMYFUNCTION("""COMPUTED_VALUE"""),105478.0)</f>
        <v>105478</v>
      </c>
      <c r="B645" s="235" t="str">
        <f>IFERROR(__xludf.DUMMYFUNCTION("""COMPUTED_VALUE"""),"ALFA DE LEON")</f>
        <v>ALFA DE LEON</v>
      </c>
      <c r="C645" s="235" t="str">
        <f>IFERROR(__xludf.DUMMYFUNCTION("""COMPUTED_VALUE"""),"ADMIN - MUNICH")</f>
        <v>ADMIN - MUNICH</v>
      </c>
      <c r="D645" s="196" t="str">
        <f>IFERROR(__xludf.DUMMYFUNCTION("""COMPUTED_VALUE"""),"1 EXHAUST FAN ""12")</f>
        <v>1 EXHAUST FAN "12</v>
      </c>
      <c r="E645" s="196" t="str">
        <f>IFERROR(__xludf.DUMMYFUNCTION("""COMPUTED_VALUE"""),"BROKEN ESHAUST FAN IN 3F EW CR MALE")</f>
        <v>BROKEN ESHAUST FAN IN 3F EW CR MALE</v>
      </c>
    </row>
    <row r="646">
      <c r="A646" s="234">
        <f>IFERROR(__xludf.DUMMYFUNCTION("""COMPUTED_VALUE"""),105479.0)</f>
        <v>105479</v>
      </c>
      <c r="B646" s="235" t="str">
        <f>IFERROR(__xludf.DUMMYFUNCTION("""COMPUTED_VALUE"""),"ALFA DE LEON")</f>
        <v>ALFA DE LEON</v>
      </c>
      <c r="C646" s="235" t="str">
        <f>IFERROR(__xludf.DUMMYFUNCTION("""COMPUTED_VALUE"""),"ADMIN - MUNICH")</f>
        <v>ADMIN - MUNICH</v>
      </c>
      <c r="D646" s="196" t="str">
        <f>IFERROR(__xludf.DUMMYFUNCTION("""COMPUTED_VALUE"""),"2 PCS LAVATORY FAUCET
1 PC FAUCET
1 ADAPTOR
3 DOOR BOLT ")</f>
        <v>2 PCS LAVATORY FAUCET
1 PC FAUCET
1 ADAPTOR
3 DOOR BOLT </v>
      </c>
      <c r="E646" s="196" t="str">
        <f>IFERROR(__xludf.DUMMYFUNCTION("""COMPUTED_VALUE"""),"REPLACEMENT OF BROKEN FAUCET IN RM 103 +CAFETERIA + RESTROOM STORAGE 2/F EW CR ")</f>
        <v>REPLACEMENT OF BROKEN FAUCET IN RM 103 +CAFETERIA + RESTROOM STORAGE 2/F EW CR </v>
      </c>
    </row>
    <row r="647">
      <c r="A647" s="234">
        <f>IFERROR(__xludf.DUMMYFUNCTION("""COMPUTED_VALUE"""),105480.0)</f>
        <v>105480</v>
      </c>
      <c r="B647" s="235" t="str">
        <f>IFERROR(__xludf.DUMMYFUNCTION("""COMPUTED_VALUE"""),"ALFA DE LEON")</f>
        <v>ALFA DE LEON</v>
      </c>
      <c r="C647" s="235" t="str">
        <f>IFERROR(__xludf.DUMMYFUNCTION("""COMPUTED_VALUE"""),"ADMIN - MUNICH")</f>
        <v>ADMIN - MUNICH</v>
      </c>
      <c r="D647" s="196" t="str">
        <f>IFERROR(__xludf.DUMMYFUNCTION("""COMPUTED_VALUE"""),"2 PCS FAUCET CONNECTOR 1/2
2PCS GREEN TWIST TIE
1PC HOSE CONNECTOR 1/2
1 PC HOSE CONNECTOR 1/2
1 PRUNNING SCISSORS")</f>
        <v>2 PCS FAUCET CONNECTOR 1/2
2PCS GREEN TWIST TIE
1PC HOSE CONNECTOR 1/2
1 PC HOSE CONNECTOR 1/2
1 PRUNNING SCISSORS</v>
      </c>
      <c r="E647" s="196" t="str">
        <f>IFERROR(__xludf.DUMMYFUNCTION("""COMPUTED_VALUE"""),"HOSE + FAUCET CONNECTOR GREENWALL")</f>
        <v>HOSE + FAUCET CONNECTOR GREENWALL</v>
      </c>
    </row>
    <row r="648">
      <c r="A648" s="234">
        <f>IFERROR(__xludf.DUMMYFUNCTION("""COMPUTED_VALUE"""),105481.0)</f>
        <v>105481</v>
      </c>
      <c r="B648" s="235" t="str">
        <f>IFERROR(__xludf.DUMMYFUNCTION("""COMPUTED_VALUE"""),"RODRIGO CUSTODIO")</f>
        <v>RODRIGO CUSTODIO</v>
      </c>
      <c r="C648" s="235" t="str">
        <f>IFERROR(__xludf.DUMMYFUNCTION("""COMPUTED_VALUE"""),"AMD")</f>
        <v>AMD</v>
      </c>
      <c r="D648" s="196" t="str">
        <f>IFERROR(__xludf.DUMMYFUNCTION("""COMPUTED_VALUE"""),"126 PCS TRASH BAG MEDIUM (22"" X 24"") CLEAR
126 PCS TRASH BAG XL (36"" X 40"") / (30"" X 37"") CLEAR
123 PCS TRASH BAG XXL (37"" X 40"") CLEAR
20 DEL FABRIC SOFTENER 1000 ML 
48 ARIEL WASHING DETERGENT POWDER 2.465KG
105 MOP HEAD")</f>
        <v>126 PCS TRASH BAG MEDIUM (22" X 24") CLEAR
126 PCS TRASH BAG XL (36" X 40") / (30" X 37") CLEAR
123 PCS TRASH BAG XXL (37" X 40") CLEAR
20 DEL FABRIC SOFTENER 1000 ML 
48 ARIEL WASHING DETERGENT POWDER 2.465KG
105 MOP HEAD</v>
      </c>
      <c r="E648" s="196" t="str">
        <f>IFERROR(__xludf.DUMMYFUNCTION("""COMPUTED_VALUE"""),"HOUSEKEEPING MATERIALS STOCK REPLENISHMENT")</f>
        <v>HOUSEKEEPING MATERIALS STOCK REPLENISHMENT</v>
      </c>
    </row>
    <row r="649">
      <c r="A649" s="234">
        <f>IFERROR(__xludf.DUMMYFUNCTION("""COMPUTED_VALUE"""),105482.0)</f>
        <v>105482</v>
      </c>
      <c r="B649" s="235" t="str">
        <f>IFERROR(__xludf.DUMMYFUNCTION("""COMPUTED_VALUE"""),"ELMIE LAUDIATO-  transferred to 105667
CANCELLED")</f>
        <v>ELMIE LAUDIATO-  transferred to 105667
CANCELLED</v>
      </c>
      <c r="C649" s="235" t="str">
        <f>IFERROR(__xludf.DUMMYFUNCTION("""COMPUTED_VALUE"""),"HRMD")</f>
        <v>HRMD</v>
      </c>
      <c r="D649" s="196" t="str">
        <f>IFERROR(__xludf.DUMMYFUNCTION("""COMPUTED_VALUE"""),"140 PCS NTE MALE &amp; FEMALE UNIFORM 
140 BED MALE&amp; FEMALE UNIFORM
15 COLLEGE MALE &amp; FEMALE UNIFORM 
29 MANAGEMENT MALE &amp; FEMALE")</f>
        <v>140 PCS NTE MALE &amp; FEMALE UNIFORM 
140 BED MALE&amp; FEMALE UNIFORM
15 COLLEGE MALE &amp; FEMALE UNIFORM 
29 MANAGEMENT MALE &amp; FEMALE</v>
      </c>
      <c r="E649" s="196" t="str">
        <f>IFERROR(__xludf.DUMMYFUNCTION("""COMPUTED_VALUE"""),"EMPLOYEE UNIFORM SUPPLIER AY 2025-2026 ")</f>
        <v>EMPLOYEE UNIFORM SUPPLIER AY 2025-2026 </v>
      </c>
    </row>
    <row r="650">
      <c r="A650" s="234">
        <f>IFERROR(__xludf.DUMMYFUNCTION("""COMPUTED_VALUE"""),105483.0)</f>
        <v>105483</v>
      </c>
      <c r="B650" s="235" t="str">
        <f>IFERROR(__xludf.DUMMYFUNCTION("""COMPUTED_VALUE"""),"ALFA DE LEON")</f>
        <v>ALFA DE LEON</v>
      </c>
      <c r="C650" s="235" t="str">
        <f>IFERROR(__xludf.DUMMYFUNCTION("""COMPUTED_VALUE"""),"ADMIN - MUNICH")</f>
        <v>ADMIN - MUNICH</v>
      </c>
      <c r="D650" s="196" t="str">
        <f>IFERROR(__xludf.DUMMYFUNCTION("""COMPUTED_VALUE"""),"3PCS TOILET BOWL")</f>
        <v>3PCS TOILET BOWL</v>
      </c>
      <c r="E650" s="196" t="str">
        <f>IFERROR(__xludf.DUMMYFUNCTION("""COMPUTED_VALUE"""),"3/F RESTROOM WW BROKEN")</f>
        <v>3/F RESTROOM WW BROKEN</v>
      </c>
    </row>
    <row r="651">
      <c r="A651" s="234">
        <f>IFERROR(__xludf.DUMMYFUNCTION("""COMPUTED_VALUE"""),105484.0)</f>
        <v>105484</v>
      </c>
      <c r="B651" s="235" t="str">
        <f>IFERROR(__xludf.DUMMYFUNCTION("""COMPUTED_VALUE"""),"ALFA DE LEON")</f>
        <v>ALFA DE LEON</v>
      </c>
      <c r="C651" s="235" t="str">
        <f>IFERROR(__xludf.DUMMYFUNCTION("""COMPUTED_VALUE"""),"LANDSCAPING")</f>
        <v>LANDSCAPING</v>
      </c>
      <c r="D651" s="196" t="str">
        <f>IFERROR(__xludf.DUMMYFUNCTION("""COMPUTED_VALUE"""),"30 SMALL POTS BLACK (PLASTIC)
25 POTS PLASTIC BLACK")</f>
        <v>30 SMALL POTS BLACK (PLASTIC)
25 POTS PLASTIC BLACK</v>
      </c>
      <c r="E651" s="196" t="str">
        <f>IFERROR(__xludf.DUMMYFUNCTION("""COMPUTED_VALUE"""),"POTS FOR TROPICAL PLANTS 5/F")</f>
        <v>POTS FOR TROPICAL PLANTS 5/F</v>
      </c>
    </row>
    <row r="652">
      <c r="A652" s="234">
        <f>IFERROR(__xludf.DUMMYFUNCTION("""COMPUTED_VALUE"""),105485.0)</f>
        <v>105485</v>
      </c>
      <c r="B652" s="235" t="str">
        <f>IFERROR(__xludf.DUMMYFUNCTION("""COMPUTED_VALUE"""),"MARC VINCENT VITTO")</f>
        <v>MARC VINCENT VITTO</v>
      </c>
      <c r="C652" s="235" t="str">
        <f>IFERROR(__xludf.DUMMYFUNCTION("""COMPUTED_VALUE"""),"PR &amp; MARKETING")</f>
        <v>PR &amp; MARKETING</v>
      </c>
      <c r="D652" s="196" t="str">
        <f>IFERROR(__xludf.DUMMYFUNCTION("""COMPUTED_VALUE"""),"TROPICAL SIGNAGE TARP 
SIZE: 110 IN X 110 IN THICNESS: 18OZ ")</f>
        <v>TROPICAL SIGNAGE TARP 
SIZE: 110 IN X 110 IN THICNESS: 18OZ </v>
      </c>
      <c r="E652" s="196" t="str">
        <f>IFERROR(__xludf.DUMMYFUNCTION("""COMPUTED_VALUE"""),"MARKETING")</f>
        <v>MARKETING</v>
      </c>
    </row>
    <row r="653">
      <c r="A653" s="234">
        <f>IFERROR(__xludf.DUMMYFUNCTION("""COMPUTED_VALUE"""),105486.0)</f>
        <v>105486</v>
      </c>
      <c r="B653" s="235" t="str">
        <f>IFERROR(__xludf.DUMMYFUNCTION("""COMPUTED_VALUE"""),"ELYDIA REYES ")</f>
        <v>ELYDIA REYES </v>
      </c>
      <c r="C653" s="235" t="str">
        <f>IFERROR(__xludf.DUMMYFUNCTION("""COMPUTED_VALUE"""),"PR &amp; MARKETING")</f>
        <v>PR &amp; MARKETING</v>
      </c>
      <c r="D653" s="196" t="str">
        <f>IFERROR(__xludf.DUMMYFUNCTION("""COMPUTED_VALUE"""),"1 VOLLEYBALL GIRLS CONGRATULATORY TARP (184 X 77 IN)
1 VOLLEYBALL BOYS CONGRATULATORY TARP (184 X 77 IN)
")</f>
        <v>1 VOLLEYBALL GIRLS CONGRATULATORY TARP (184 X 77 IN)
1 VOLLEYBALL BOYS CONGRATULATORY TARP (184 X 77 IN)
</v>
      </c>
      <c r="E653" s="196" t="str">
        <f>IFERROR(__xludf.DUMMYFUNCTION("""COMPUTED_VALUE"""),"MARKETING PURPOSES")</f>
        <v>MARKETING PURPOSES</v>
      </c>
    </row>
    <row r="654">
      <c r="A654" s="234">
        <f>IFERROR(__xludf.DUMMYFUNCTION("""COMPUTED_VALUE"""),105487.0)</f>
        <v>105487</v>
      </c>
      <c r="B654" s="235" t="str">
        <f>IFERROR(__xludf.DUMMYFUNCTION("""COMPUTED_VALUE"""),"OWIE PAR")</f>
        <v>OWIE PAR</v>
      </c>
      <c r="C654" s="235" t="str">
        <f>IFERROR(__xludf.DUMMYFUNCTION("""COMPUTED_VALUE"""),"ENGINEERING")</f>
        <v>ENGINEERING</v>
      </c>
      <c r="D654" s="196" t="str">
        <f>IFERROR(__xludf.DUMMYFUNCTION("""COMPUTED_VALUE"""),"1UNIT 3.O PANASONIC WALL MOUNTED TYPE ACU INVERTER")</f>
        <v>1UNIT 3.O PANASONIC WALL MOUNTED TYPE ACU INVERTER</v>
      </c>
      <c r="E654" s="196" t="str">
        <f>IFERROR(__xludf.DUMMYFUNCTION("""COMPUTED_VALUE"""),"REPLACEMENT OF BUSTED UNIT LUX ROOM 411")</f>
        <v>REPLACEMENT OF BUSTED UNIT LUX ROOM 411</v>
      </c>
    </row>
    <row r="655">
      <c r="A655" s="234">
        <f>IFERROR(__xludf.DUMMYFUNCTION("""COMPUTED_VALUE"""),105488.0)</f>
        <v>105488</v>
      </c>
      <c r="B655" s="235" t="str">
        <f>IFERROR(__xludf.DUMMYFUNCTION("""COMPUTED_VALUE"""),"MARC VINCENT VITTO")</f>
        <v>MARC VINCENT VITTO</v>
      </c>
      <c r="C655" s="235" t="str">
        <f>IFERROR(__xludf.DUMMYFUNCTION("""COMPUTED_VALUE"""),"PR &amp; MARKETING")</f>
        <v>PR &amp; MARKETING</v>
      </c>
      <c r="D655" s="196" t="str">
        <f>IFERROR(__xludf.DUMMYFUNCTION("""COMPUTED_VALUE"""),"1 BOX - DR. JERRY'S CALLING CARD")</f>
        <v>1 BOX - DR. JERRY'S CALLING CARD</v>
      </c>
      <c r="E655" s="196" t="str">
        <f>IFERROR(__xludf.DUMMYFUNCTION("""COMPUTED_VALUE"""),"MARKETING")</f>
        <v>MARKETING</v>
      </c>
    </row>
    <row r="656">
      <c r="A656" s="234">
        <f>IFERROR(__xludf.DUMMYFUNCTION("""COMPUTED_VALUE"""),105489.0)</f>
        <v>105489</v>
      </c>
      <c r="B656" s="235" t="str">
        <f>IFERROR(__xludf.DUMMYFUNCTION("""COMPUTED_VALUE"""),"LORRAINE ALMAZAN ")</f>
        <v>LORRAINE ALMAZAN </v>
      </c>
      <c r="C656" s="235" t="str">
        <f>IFERROR(__xludf.DUMMYFUNCTION("""COMPUTED_VALUE"""),"MIS/ICT")</f>
        <v>MIS/ICT</v>
      </c>
      <c r="D656" s="196" t="str">
        <f>IFERROR(__xludf.DUMMYFUNCTION("""COMPUTED_VALUE"""),"55 INCH TCL UHD55P71B SMART ANDROID TV")</f>
        <v>55 INCH TCL UHD55P71B SMART ANDROID TV</v>
      </c>
      <c r="E656" s="196" t="str">
        <f>IFERROR(__xludf.DUMMYFUNCTION("""COMPUTED_VALUE"""),"REPLACEMENT OF THE TV FOR ANNOUNCEMENTS DEPLOYED TO THE NEW E-CLASSROOMS ON THE 5TH FLOOR OF COLLEGE BUILDING. ")</f>
        <v>REPLACEMENT OF THE TV FOR ANNOUNCEMENTS DEPLOYED TO THE NEW E-CLASSROOMS ON THE 5TH FLOOR OF COLLEGE BUILDING. </v>
      </c>
    </row>
    <row r="657">
      <c r="A657" s="234">
        <f>IFERROR(__xludf.DUMMYFUNCTION("""COMPUTED_VALUE"""),105490.0)</f>
        <v>105490</v>
      </c>
      <c r="B657" s="235" t="str">
        <f>IFERROR(__xludf.DUMMYFUNCTION("""COMPUTED_VALUE"""),"MARC VINCENT VITTO")</f>
        <v>MARC VINCENT VITTO</v>
      </c>
      <c r="C657" s="235" t="str">
        <f>IFERROR(__xludf.DUMMYFUNCTION("""COMPUTED_VALUE"""),"PR &amp; MARKETING")</f>
        <v>PR &amp; MARKETING</v>
      </c>
      <c r="D657" s="196" t="str">
        <f>IFERROR(__xludf.DUMMYFUNCTION("""COMPUTED_VALUE"""),"REORDER OF VOLLEYBALL ISHC 
1 EACH
BOYS AND GIRLS VOLLEYBALL CONGRATULATORY TARP 
SIZE: W= 184 IN X H= 77 IN THICK=13OZ")</f>
        <v>REORDER OF VOLLEYBALL ISHC 
1 EACH
BOYS AND GIRLS VOLLEYBALL CONGRATULATORY TARP 
SIZE: W= 184 IN X H= 77 IN THICK=13OZ</v>
      </c>
      <c r="E657" s="196" t="str">
        <f>IFERROR(__xludf.DUMMYFUNCTION("""COMPUTED_VALUE"""),"MARKETING")</f>
        <v>MARKETING</v>
      </c>
    </row>
    <row r="658">
      <c r="A658" s="234">
        <f>IFERROR(__xludf.DUMMYFUNCTION("""COMPUTED_VALUE"""),105491.0)</f>
        <v>105491</v>
      </c>
      <c r="B658" s="235" t="str">
        <f>IFERROR(__xludf.DUMMYFUNCTION("""COMPUTED_VALUE"""),"MELISSA NAVAL ODONO")</f>
        <v>MELISSA NAVAL ODONO</v>
      </c>
      <c r="C658" s="235" t="str">
        <f>IFERROR(__xludf.DUMMYFUNCTION("""COMPUTED_VALUE"""),"K 12/ BED LUX LIBRARY")</f>
        <v>K 12/ BED LUX LIBRARY</v>
      </c>
      <c r="D658" s="196" t="str">
        <f>IFERROR(__xludf.DUMMYFUNCTION("""COMPUTED_VALUE"""),"1 IB LANG LITERATURE 
1 IB PREP  ENG LITERATURE 
1 IB PREP BIOLOGY 
1 IB PREP CHEMISTRY 
1 IB PREP PHYSICS
1 ENG LITERATURE FOR THE IB DIPLOMA: HODDER EDUCATION GROUP ")</f>
        <v>1 IB LANG LITERATURE 
1 IB PREP  ENG LITERATURE 
1 IB PREP BIOLOGY 
1 IB PREP CHEMISTRY 
1 IB PREP PHYSICS
1 ENG LITERATURE FOR THE IB DIPLOMA: HODDER EDUCATION GROUP </v>
      </c>
      <c r="E658" s="196" t="str">
        <f>IFERROR(__xludf.DUMMYFUNCTION("""COMPUTED_VALUE"""),"FOR FACULTY USE/ LIBRARY COPY")</f>
        <v>FOR FACULTY USE/ LIBRARY COPY</v>
      </c>
    </row>
    <row r="659">
      <c r="A659" s="234">
        <f>IFERROR(__xludf.DUMMYFUNCTION("""COMPUTED_VALUE"""),105492.0)</f>
        <v>105492</v>
      </c>
      <c r="B659" s="235" t="str">
        <f>IFERROR(__xludf.DUMMYFUNCTION("""COMPUTED_VALUE"""),"ALFA DE LEON")</f>
        <v>ALFA DE LEON</v>
      </c>
      <c r="C659" s="235" t="str">
        <f>IFERROR(__xludf.DUMMYFUNCTION("""COMPUTED_VALUE"""),"ADMIN - MUNICH")</f>
        <v>ADMIN - MUNICH</v>
      </c>
      <c r="D659" s="196" t="str">
        <f>IFERROR(__xludf.DUMMYFUNCTION("""COMPUTED_VALUE"""),"50 ROUND CAP FOR 5 GALLONS ROUND WATER CONTAINER")</f>
        <v>50 ROUND CAP FOR 5 GALLONS ROUND WATER CONTAINER</v>
      </c>
      <c r="E659" s="196" t="str">
        <f>IFERROR(__xludf.DUMMYFUNCTION("""COMPUTED_VALUE"""),"TO PREVENT LEAK + CLEAN WATER")</f>
        <v>TO PREVENT LEAK + CLEAN WATER</v>
      </c>
    </row>
    <row r="660">
      <c r="A660" s="234">
        <f>IFERROR(__xludf.DUMMYFUNCTION("""COMPUTED_VALUE"""),105493.0)</f>
        <v>105493</v>
      </c>
      <c r="B660" s="235" t="str">
        <f>IFERROR(__xludf.DUMMYFUNCTION("""COMPUTED_VALUE"""),"ALFA DE LEON")</f>
        <v>ALFA DE LEON</v>
      </c>
      <c r="C660" s="235" t="str">
        <f>IFERROR(__xludf.DUMMYFUNCTION("""COMPUTED_VALUE"""),"LANDSCAPING")</f>
        <v>LANDSCAPING</v>
      </c>
      <c r="D660" s="196" t="str">
        <f>IFERROR(__xludf.DUMMYFUNCTION("""COMPUTED_VALUE"""),"20 TOBACCO PLANTS 
40 RED SAYAM
40 SPATTY RHYLUM")</f>
        <v>20 TOBACCO PLANTS 
40 RED SAYAM
40 SPATTY RHYLUM</v>
      </c>
      <c r="E660" s="196" t="str">
        <f>IFERROR(__xludf.DUMMYFUNCTION("""COMPUTED_VALUE"""),"REHABILITATION OF LUX HALL SIDE PLANT BOX ")</f>
        <v>REHABILITATION OF LUX HALL SIDE PLANT BOX </v>
      </c>
    </row>
    <row r="661">
      <c r="A661" s="234">
        <f>IFERROR(__xludf.DUMMYFUNCTION("""COMPUTED_VALUE"""),105494.0)</f>
        <v>105494</v>
      </c>
      <c r="B661" s="235" t="str">
        <f>IFERROR(__xludf.DUMMYFUNCTION("""COMPUTED_VALUE"""),"MICHAEL GRAVAMEN")</f>
        <v>MICHAEL GRAVAMEN</v>
      </c>
      <c r="C661" s="235" t="str">
        <f>IFERROR(__xludf.DUMMYFUNCTION("""COMPUTED_VALUE"""),"DP'S OFFICE")</f>
        <v>DP'S OFFICE</v>
      </c>
      <c r="D661" s="196" t="str">
        <f>IFERROR(__xludf.DUMMYFUNCTION("""COMPUTED_VALUE"""),"1 CANON PIXMA 63010 PRINTER ")</f>
        <v>1 CANON PIXMA 63010 PRINTER </v>
      </c>
      <c r="E661" s="196"/>
    </row>
    <row r="662">
      <c r="A662" s="234">
        <f>IFERROR(__xludf.DUMMYFUNCTION("""COMPUTED_VALUE"""),105495.0)</f>
        <v>105495</v>
      </c>
      <c r="B662" s="235" t="str">
        <f>IFERROR(__xludf.DUMMYFUNCTION("""COMPUTED_VALUE"""),"LORRAINE ALMAZAN ")</f>
        <v>LORRAINE ALMAZAN </v>
      </c>
      <c r="C662" s="235" t="str">
        <f>IFERROR(__xludf.DUMMYFUNCTION("""COMPUTED_VALUE"""),"MIS/ICT")</f>
        <v>MIS/ICT</v>
      </c>
      <c r="D662" s="196" t="str">
        <f>IFERROR(__xludf.DUMMYFUNCTION("""COMPUTED_VALUE"""),"MONARCHS HUB AUDIO SYSTEM
-SPEAKERS
-MIXER
-SUBWOOFER
-MICROPHONES
-LAPEL
-SPOT LIGHT
-PAR LED LIGHTS 
-TIGER TOUCH POWERFULL TITAN SYSTEM 
-INSTALLATION SERVICES")</f>
        <v>MONARCHS HUB AUDIO SYSTEM
-SPEAKERS
-MIXER
-SUBWOOFER
-MICROPHONES
-LAPEL
-SPOT LIGHT
-PAR LED LIGHTS 
-TIGER TOUCH POWERFULL TITAN SYSTEM 
-INSTALLATION SERVICES</v>
      </c>
      <c r="E662" s="196" t="str">
        <f>IFERROR(__xludf.DUMMYFUNCTION("""COMPUTED_VALUE"""),"MONARCHS HUB BIG HALL CONSTRUCTION")</f>
        <v>MONARCHS HUB BIG HALL CONSTRUCTION</v>
      </c>
    </row>
    <row r="663">
      <c r="A663" s="234">
        <f>IFERROR(__xludf.DUMMYFUNCTION("""COMPUTED_VALUE"""),105496.0)</f>
        <v>105496</v>
      </c>
      <c r="B663" s="235" t="str">
        <f>IFERROR(__xludf.DUMMYFUNCTION("""COMPUTED_VALUE"""),"JOHN CARLO CAMPIT ")</f>
        <v>JOHN CARLO CAMPIT </v>
      </c>
      <c r="C663" s="235" t="str">
        <f>IFERROR(__xludf.DUMMYFUNCTION("""COMPUTED_VALUE"""),"ABU")</f>
        <v>ABU</v>
      </c>
      <c r="D663" s="196" t="str">
        <f>IFERROR(__xludf.DUMMYFUNCTION("""COMPUTED_VALUE"""),"1 GE 1-210 KWH METER DIGITAL ")</f>
        <v>1 GE 1-210 KWH METER DIGITAL </v>
      </c>
      <c r="E663" s="196" t="str">
        <f>IFERROR(__xludf.DUMMYFUNCTION("""COMPUTED_VALUE"""),"REPLACEMENT OF BROKEN/DAMAGE OF PAPPA G ELECTRIC SUB METER")</f>
        <v>REPLACEMENT OF BROKEN/DAMAGE OF PAPPA G ELECTRIC SUB METER</v>
      </c>
    </row>
    <row r="664">
      <c r="A664" s="234">
        <f>IFERROR(__xludf.DUMMYFUNCTION("""COMPUTED_VALUE"""),105497.0)</f>
        <v>105497</v>
      </c>
      <c r="B664" s="235" t="str">
        <f>IFERROR(__xludf.DUMMYFUNCTION("""COMPUTED_VALUE"""),"ALFA DE LEON")</f>
        <v>ALFA DE LEON</v>
      </c>
      <c r="C664" s="235" t="str">
        <f>IFERROR(__xludf.DUMMYFUNCTION("""COMPUTED_VALUE"""),"LANDSCAPING")</f>
        <v>LANDSCAPING</v>
      </c>
      <c r="D664" s="196" t="str">
        <f>IFERROR(__xludf.DUMMYFUNCTION("""COMPUTED_VALUE"""),"30 SNOW WHITE 
30 EYELET
3-0 PHOTOS (FAKE)
30 ASST PLANTS (FAKE)
120 WHITE PLASTIC POTS SMALL
60 WHITE CERAMIC POTS SMALL ")</f>
        <v>30 SNOW WHITE 
30 EYELET
3-0 PHOTOS (FAKE)
30 ASST PLANTS (FAKE)
120 WHITE PLASTIC POTS SMALL
60 WHITE CERAMIC POTS SMALL </v>
      </c>
      <c r="E664" s="196" t="str">
        <f>IFERROR(__xludf.DUMMYFUNCTION("""COMPUTED_VALUE"""),"COLLEGE LOBBY CABINET/ SHELVES")</f>
        <v>COLLEGE LOBBY CABINET/ SHELVES</v>
      </c>
    </row>
    <row r="665">
      <c r="A665" s="234">
        <f>IFERROR(__xludf.DUMMYFUNCTION("""COMPUTED_VALUE"""),105498.0)</f>
        <v>105498</v>
      </c>
      <c r="B665" s="235" t="str">
        <f>IFERROR(__xludf.DUMMYFUNCTION("""COMPUTED_VALUE"""),"SAMEYA GARCIA")</f>
        <v>SAMEYA GARCIA</v>
      </c>
      <c r="C665" s="235" t="str">
        <f>IFERROR(__xludf.DUMMYFUNCTION("""COMPUTED_VALUE"""),"ADMIN")</f>
        <v>ADMIN</v>
      </c>
      <c r="D665" s="196" t="str">
        <f>IFERROR(__xludf.DUMMYFUNCTION("""COMPUTED_VALUE"""),"BUSINESS CARD FOR:
ENGR. JORDAN C JORDAN
SGEN FACILITIES, BUILDINGS AND GROUNDS MANAGER
CONTACT NO. 09524856394
EMAIL : jordan_jordan@southville.edu.ph")</f>
        <v>BUSINESS CARD FOR:
ENGR. JORDAN C JORDAN
SGEN FACILITIES, BUILDINGS AND GROUNDS MANAGER
CONTACT NO. 09524856394
EMAIL : jordan_jordan@southville.edu.ph</v>
      </c>
      <c r="E665" s="196" t="str">
        <f>IFERROR(__xludf.DUMMYFUNCTION("""COMPUTED_VALUE"""),"FOR OFFICIAL USE")</f>
        <v>FOR OFFICIAL USE</v>
      </c>
    </row>
    <row r="666">
      <c r="A666" s="234">
        <f>IFERROR(__xludf.DUMMYFUNCTION("""COMPUTED_VALUE"""),105499.0)</f>
        <v>105499</v>
      </c>
      <c r="B666" s="235" t="str">
        <f>IFERROR(__xludf.DUMMYFUNCTION("""COMPUTED_VALUE"""),"JENNY FONTE/ PAT BELLEZA")</f>
        <v>JENNY FONTE/ PAT BELLEZA</v>
      </c>
      <c r="C666" s="235" t="str">
        <f>IFERROR(__xludf.DUMMYFUNCTION("""COMPUTED_VALUE"""),"ADMIN - STAR")</f>
        <v>ADMIN - STAR</v>
      </c>
      <c r="D666" s="196" t="str">
        <f>IFERROR(__xludf.DUMMYFUNCTION("""COMPUTED_VALUE"""),"4 SETS BADMINTON NET SET
20 PCS BADMINTON RACKET
20 TUBES BADMINTON SHUTTLECOCK
20 SETS CHESS SET (PORTABLE +FOLDABLE) 50X50 CM (TOURNAMENT SIZE)")</f>
        <v>4 SETS BADMINTON NET SET
20 PCS BADMINTON RACKET
20 TUBES BADMINTON SHUTTLECOCK
20 SETS CHESS SET (PORTABLE +FOLDABLE) 50X50 CM (TOURNAMENT SIZE)</v>
      </c>
      <c r="E666" s="196" t="str">
        <f>IFERROR(__xludf.DUMMYFUNCTION("""COMPUTED_VALUE"""),"EQUIPMENT FOR INTEREST CLUB (BADMINTON CHESS)")</f>
        <v>EQUIPMENT FOR INTEREST CLUB (BADMINTON CHESS)</v>
      </c>
    </row>
    <row r="667">
      <c r="A667" s="234">
        <f>IFERROR(__xludf.DUMMYFUNCTION("""COMPUTED_VALUE"""),105500.0)</f>
        <v>105500</v>
      </c>
      <c r="B667" s="235" t="str">
        <f>IFERROR(__xludf.DUMMYFUNCTION("""COMPUTED_VALUE"""),"OWIE PAR")</f>
        <v>OWIE PAR</v>
      </c>
      <c r="C667" s="235" t="str">
        <f>IFERROR(__xludf.DUMMYFUNCTION("""COMPUTED_VALUE"""),"ENGINEERING")</f>
        <v>ENGINEERING</v>
      </c>
      <c r="D667" s="196" t="str">
        <f>IFERROR(__xludf.DUMMYFUNCTION("""COMPUTED_VALUE"""),"1 UNIT DECORATED FAUCET ")</f>
        <v>1 UNIT DECORATED FAUCET </v>
      </c>
      <c r="E667" s="196" t="str">
        <f>IFERROR(__xludf.DUMMYFUNCTION("""COMPUTED_VALUE"""),"FOR LOUNGE CEM OFFICE")</f>
        <v>FOR LOUNGE CEM OFFICE</v>
      </c>
    </row>
    <row r="668">
      <c r="A668" s="234">
        <f>IFERROR(__xludf.DUMMYFUNCTION("""COMPUTED_VALUE"""),105501.0)</f>
        <v>105501</v>
      </c>
      <c r="B668" s="235" t="str">
        <f>IFERROR(__xludf.DUMMYFUNCTION("""COMPUTED_VALUE"""),"SHERYL MANALO/ ALFA DE LEON")</f>
        <v>SHERYL MANALO/ ALFA DE LEON</v>
      </c>
      <c r="C668" s="235" t="str">
        <f>IFERROR(__xludf.DUMMYFUNCTION("""COMPUTED_VALUE"""),"ADMIN - MUNICH")</f>
        <v>ADMIN - MUNICH</v>
      </c>
      <c r="D668" s="196" t="str">
        <f>IFERROR(__xludf.DUMMYFUNCTION("""COMPUTED_VALUE"""),"-1 PC 3 SEATER SOFA W/SIDE + CENTER TABLE
-4 VAES
-1 LAMP
-1 TELEVISION
-2 SHELVES/CABINETS
-1 DINING TABLE W/ 4 CHAIRS
-1 TABLE COUNTER
-3 HIGH CHAIRS
-1 CEILING LAMP
-1 REFRIGERATOE
-1 BED
-1 MATRESS
-2 PILLOW
-2 EACH BED COVERS + PILLOW CASES
-1 SHELVE"&amp;" 
- 1 SIDE TABLE")</f>
        <v>-1 PC 3 SEATER SOFA W/SIDE + CENTER TABLE
-4 VAES
-1 LAMP
-1 TELEVISION
-2 SHELVES/CABINETS
-1 DINING TABLE W/ 4 CHAIRS
-1 TABLE COUNTER
-3 HIGH CHAIRS
-1 CEILING LAMP
-1 REFRIGERATOE
-1 BED
-1 MATRESS
-2 PILLOW
-2 EACH BED COVERS + PILLOW CASES
-1 SHELVE 
- 1 SIDE TABLE</v>
      </c>
      <c r="E668" s="196" t="str">
        <f>IFERROR(__xludf.DUMMYFUNCTION("""COMPUTED_VALUE"""),"HE ROOM")</f>
        <v>HE ROOM</v>
      </c>
    </row>
    <row r="669">
      <c r="A669" s="234">
        <f>IFERROR(__xludf.DUMMYFUNCTION("""COMPUTED_VALUE"""),105502.0)</f>
        <v>105502</v>
      </c>
      <c r="B669" s="235" t="str">
        <f>IFERROR(__xludf.DUMMYFUNCTION("""COMPUTED_VALUE"""),"CLEA LOMIWES")</f>
        <v>CLEA LOMIWES</v>
      </c>
      <c r="C669" s="235" t="str">
        <f>IFERROR(__xludf.DUMMYFUNCTION("""COMPUTED_VALUE"""),"LIBRARY BASIC ED")</f>
        <v>LIBRARY BASIC ED</v>
      </c>
      <c r="D669" s="196" t="str">
        <f>IFERROR(__xludf.DUMMYFUNCTION("""COMPUTED_VALUE"""),"1 TRODAT PRINTY 4913")</f>
        <v>1 TRODAT PRINTY 4913</v>
      </c>
      <c r="E669" s="196" t="str">
        <f>IFERROR(__xludf.DUMMYFUNCTION("""COMPUTED_VALUE"""),"LIBRARY PROPERTY STAMP")</f>
        <v>LIBRARY PROPERTY STAMP</v>
      </c>
    </row>
    <row r="670">
      <c r="A670" s="234">
        <f>IFERROR(__xludf.DUMMYFUNCTION("""COMPUTED_VALUE"""),105503.0)</f>
        <v>105503</v>
      </c>
      <c r="B670" s="235" t="str">
        <f>IFERROR(__xludf.DUMMYFUNCTION("""COMPUTED_VALUE"""),"ELYDIA REYES ")</f>
        <v>ELYDIA REYES </v>
      </c>
      <c r="C670" s="235" t="str">
        <f>IFERROR(__xludf.DUMMYFUNCTION("""COMPUTED_VALUE"""),"PR &amp; MARKETING")</f>
        <v>PR &amp; MARKETING</v>
      </c>
      <c r="D670" s="196" t="str">
        <f>IFERROR(__xludf.DUMMYFUNCTION("""COMPUTED_VALUE"""),"ISAC FOOTBALL TARP 1 PC. 184"" X 77 """)</f>
        <v>ISAC FOOTBALL TARP 1 PC. 184" X 77 "</v>
      </c>
      <c r="E670" s="196" t="str">
        <f>IFERROR(__xludf.DUMMYFUNCTION("""COMPUTED_VALUE"""),"FOR MARKETING PURPOSES ")</f>
        <v>FOR MARKETING PURPOSES </v>
      </c>
    </row>
    <row r="671">
      <c r="A671" s="234">
        <f>IFERROR(__xludf.DUMMYFUNCTION("""COMPUTED_VALUE"""),105504.0)</f>
        <v>105504</v>
      </c>
      <c r="B671" s="235" t="str">
        <f>IFERROR(__xludf.DUMMYFUNCTION("""COMPUTED_VALUE"""),"MELISSA NAVAL ODONO")</f>
        <v>MELISSA NAVAL ODONO</v>
      </c>
      <c r="C671" s="235" t="str">
        <f>IFERROR(__xludf.DUMMYFUNCTION("""COMPUTED_VALUE"""),"LIBRARY COLLEGE")</f>
        <v>LIBRARY COLLEGE</v>
      </c>
      <c r="D671" s="196" t="str">
        <f>IFERROR(__xludf.DUMMYFUNCTION("""COMPUTED_VALUE"""),"10 REAL ESTATE BOOKS:
1 Q&amp;A ON HOMEOWNERS' ASSOCIATION, FEDERATION, AND CONFEDERATION
1 Q&amp;A ON HOUSING AND LAND USE FOR SUBDIVISION &amp; CONDOMINIUM BUYERS AND REAL ESTATE PRACTITIONERS
1 REAL ESTATE ANF HOMEOWNERSHI: LAWS, RULES AND REGULATIONS
1 REAL ESTAT"&amp;"E APPRAISAL REVIEW QUIZZER
1 REAL ESTATE EXAM REVIEWER: BROKERAGE PRACTICE
1 REAL ESTATE EXAM REVIEWER: LEGAL ASPECTS OF REAL ESTATE SALES 
1 REAL ESTATE LAWS: FOCUS ON THE PHIL.
1 REAL ESTATE PRACTICE IN THE PHIL.
1 THE REAL ESTATE SERVICE ACT OF THE PHI"&amp;"L.
1 THE PRACTICE OF REAL ESTATE IN THE PHIL.")</f>
        <v>10 REAL ESTATE BOOKS:
1 Q&amp;A ON HOMEOWNERS' ASSOCIATION, FEDERATION, AND CONFEDERATION
1 Q&amp;A ON HOUSING AND LAND USE FOR SUBDIVISION &amp; CONDOMINIUM BUYERS AND REAL ESTATE PRACTITIONERS
1 REAL ESTATE ANF HOMEOWNERSHI: LAWS, RULES AND REGULATIONS
1 REAL ESTATE APPRAISAL REVIEW QUIZZER
1 REAL ESTATE EXAM REVIEWER: BROKERAGE PRACTICE
1 REAL ESTATE EXAM REVIEWER: LEGAL ASPECTS OF REAL ESTATE SALES 
1 REAL ESTATE LAWS: FOCUS ON THE PHIL.
1 REAL ESTATE PRACTICE IN THE PHIL.
1 THE REAL ESTATE SERVICE ACT OF THE PHIL.
1 THE PRACTICE OF REAL ESTATE IN THE PHIL.</v>
      </c>
      <c r="E671" s="196" t="str">
        <f>IFERROR(__xludf.DUMMYFUNCTION("""COMPUTED_VALUE"""),"FOR LIBRARYS COPY")</f>
        <v>FOR LIBRARYS COPY</v>
      </c>
    </row>
    <row r="672">
      <c r="A672" s="234">
        <f>IFERROR(__xludf.DUMMYFUNCTION("""COMPUTED_VALUE"""),105505.0)</f>
        <v>105505</v>
      </c>
      <c r="B672" s="235" t="str">
        <f>IFERROR(__xludf.DUMMYFUNCTION("""COMPUTED_VALUE"""),"ANN VILLARUZ")</f>
        <v>ANN VILLARUZ</v>
      </c>
      <c r="C672" s="235" t="str">
        <f>IFERROR(__xludf.DUMMYFUNCTION("""COMPUTED_VALUE"""),"COLLEGE ")</f>
        <v>COLLEGE </v>
      </c>
      <c r="D672" s="196" t="str">
        <f>IFERROR(__xludf.DUMMYFUNCTION("""COMPUTED_VALUE"""),"1 BOX SISC CALLING CARD  (CANCELLED)")</f>
        <v>1 BOX SISC CALLING CARD  (CANCELLED)</v>
      </c>
      <c r="E672" s="196" t="str">
        <f>IFERROR(__xludf.DUMMYFUNCTION("""COMPUTED_VALUE"""),"FOR BUSINESS")</f>
        <v>FOR BUSINESS</v>
      </c>
    </row>
    <row r="673">
      <c r="A673" s="234">
        <f>IFERROR(__xludf.DUMMYFUNCTION("""COMPUTED_VALUE"""),105506.0)</f>
        <v>105506</v>
      </c>
      <c r="B673" s="235" t="str">
        <f>IFERROR(__xludf.DUMMYFUNCTION("""COMPUTED_VALUE"""),"RODRIGO CUSTODIO")</f>
        <v>RODRIGO CUSTODIO</v>
      </c>
      <c r="C673" s="235" t="str">
        <f>IFERROR(__xludf.DUMMYFUNCTION("""COMPUTED_VALUE"""),"AMD")</f>
        <v>AMD</v>
      </c>
      <c r="D673" s="196" t="str">
        <f>IFERROR(__xludf.DUMMYFUNCTION("""COMPUTED_VALUE"""),"72 GALS TOILET BOWL CLEANER - BOWL CARE (RIV CHEM)")</f>
        <v>72 GALS TOILET BOWL CLEANER - BOWL CARE (RIV CHEM)</v>
      </c>
      <c r="E673" s="196" t="str">
        <f>IFERROR(__xludf.DUMMYFUNCTION("""COMPUTED_VALUE"""),"HOUSEKEEPING MATERIALS STOCK REPLENISHMENT")</f>
        <v>HOUSEKEEPING MATERIALS STOCK REPLENISHMENT</v>
      </c>
    </row>
    <row r="674">
      <c r="A674" s="234">
        <f>IFERROR(__xludf.DUMMYFUNCTION("""COMPUTED_VALUE"""),105507.0)</f>
        <v>105507</v>
      </c>
      <c r="B674" s="235" t="str">
        <f>IFERROR(__xludf.DUMMYFUNCTION("""COMPUTED_VALUE"""),"MARIE CURIE C ORIEL")</f>
        <v>MARIE CURIE C ORIEL</v>
      </c>
      <c r="C674" s="235" t="str">
        <f>IFERROR(__xludf.DUMMYFUNCTION("""COMPUTED_VALUE"""),"MEDICAL")</f>
        <v>MEDICAL</v>
      </c>
      <c r="D674" s="196" t="str">
        <f>IFERROR(__xludf.DUMMYFUNCTION("""COMPUTED_VALUE"""),"2PCS INFRARED THERMOMETER
3 BOXES FACEMASK (SURGICAL)")</f>
        <v>2PCS INFRARED THERMOMETER
3 BOXES FACEMASK (SURGICAL)</v>
      </c>
      <c r="E674" s="196" t="str">
        <f>IFERROR(__xludf.DUMMYFUNCTION("""COMPUTED_VALUE"""),"FOR TEMPERATURE CHECK UPON ARRIVALL AT SCHOOL FOR GUARDS")</f>
        <v>FOR TEMPERATURE CHECK UPON ARRIVALL AT SCHOOL FOR GUARDS</v>
      </c>
    </row>
    <row r="675">
      <c r="A675" s="234">
        <f>IFERROR(__xludf.DUMMYFUNCTION("""COMPUTED_VALUE"""),105508.0)</f>
        <v>105508</v>
      </c>
      <c r="B675" s="235" t="str">
        <f>IFERROR(__xludf.DUMMYFUNCTION("""COMPUTED_VALUE"""),"RONALDO VERDE")</f>
        <v>RONALDO VERDE</v>
      </c>
      <c r="C675" s="235" t="str">
        <f>IFERROR(__xludf.DUMMYFUNCTION("""COMPUTED_VALUE"""),"ADMIN")</f>
        <v>ADMIN</v>
      </c>
      <c r="D675" s="196" t="str">
        <f>IFERROR(__xludf.DUMMYFUNCTION("""COMPUTED_VALUE"""),"2TIN FLAT WALL ENAMEL WHITE
2TIN QDE WHITE 
2GAL LAQUER THINNER 
2TIN CHOCOLATE BROWN ")</f>
        <v>2TIN FLAT WALL ENAMEL WHITE
2TIN QDE WHITE 
2GAL LAQUER THINNER 
2TIN CHOCOLATE BROWN </v>
      </c>
      <c r="E675" s="196" t="str">
        <f>IFERROR(__xludf.DUMMYFUNCTION("""COMPUTED_VALUE"""),"FOR FOOD COURT WALKWAY CEILING/ STEEL FENCE &amp;GATE")</f>
        <v>FOR FOOD COURT WALKWAY CEILING/ STEEL FENCE &amp;GATE</v>
      </c>
    </row>
    <row r="676">
      <c r="A676" s="234">
        <f>IFERROR(__xludf.DUMMYFUNCTION("""COMPUTED_VALUE"""),105509.0)</f>
        <v>105509</v>
      </c>
      <c r="B676" s="235" t="str">
        <f>IFERROR(__xludf.DUMMYFUNCTION("""COMPUTED_VALUE"""),"JESUIT CHRISTIAN GALICIA")</f>
        <v>JESUIT CHRISTIAN GALICIA</v>
      </c>
      <c r="C676" s="235" t="str">
        <f>IFERROR(__xludf.DUMMYFUNCTION("""COMPUTED_VALUE"""),"AMD")</f>
        <v>AMD</v>
      </c>
      <c r="D676" s="196" t="str">
        <f>IFERROR(__xludf.DUMMYFUNCTION("""COMPUTED_VALUE"""),"100 PCS ELECTRICAL TAPE 3M
40PCS TEFLON TAPE")</f>
        <v>100 PCS ELECTRICAL TAPE 3M
40PCS TEFLON TAPE</v>
      </c>
      <c r="E676" s="196" t="str">
        <f>IFERROR(__xludf.DUMMYFUNCTION("""COMPUTED_VALUE"""),"ENGR WAREHOUSE STOCK REPLENISHMENT")</f>
        <v>ENGR WAREHOUSE STOCK REPLENISHMENT</v>
      </c>
    </row>
    <row r="677">
      <c r="A677" s="234">
        <f>IFERROR(__xludf.DUMMYFUNCTION("""COMPUTED_VALUE"""),105510.0)</f>
        <v>105510</v>
      </c>
      <c r="B677" s="235" t="str">
        <f>IFERROR(__xludf.DUMMYFUNCTION("""COMPUTED_VALUE"""),"MARC VINCENT VITTO ")</f>
        <v>MARC VINCENT VITTO </v>
      </c>
      <c r="C677" s="235" t="str">
        <f>IFERROR(__xludf.DUMMYFUNCTION("""COMPUTED_VALUE"""),"PR &amp; MARKETING")</f>
        <v>PR &amp; MARKETING</v>
      </c>
      <c r="D677" s="196" t="str">
        <f>IFERROR(__xludf.DUMMYFUNCTION("""COMPUTED_VALUE"""),"2000 PCS SOUTHVILLE INDUSTRIAL ENGINEERING FLYER 
SIZE: W=5.5 INCHES X H: 8.5 IN, THICKNESS AND PAPER: SAME AS THE SISC GENERIC FLYER ")</f>
        <v>2000 PCS SOUTHVILLE INDUSTRIAL ENGINEERING FLYER 
SIZE: W=5.5 INCHES X H: 8.5 IN, THICKNESS AND PAPER: SAME AS THE SISC GENERIC FLYER </v>
      </c>
      <c r="E677" s="196" t="str">
        <f>IFERROR(__xludf.DUMMYFUNCTION("""COMPUTED_VALUE"""),"FOR MARKETING ")</f>
        <v>FOR MARKETING </v>
      </c>
    </row>
    <row r="678">
      <c r="A678" s="234">
        <f>IFERROR(__xludf.DUMMYFUNCTION("""COMPUTED_VALUE"""),105511.0)</f>
        <v>105511</v>
      </c>
      <c r="B678" s="235" t="str">
        <f>IFERROR(__xludf.DUMMYFUNCTION("""COMPUTED_VALUE"""),"LYKA PERALTA")</f>
        <v>LYKA PERALTA</v>
      </c>
      <c r="C678" s="235" t="str">
        <f>IFERROR(__xludf.DUMMYFUNCTION("""COMPUTED_VALUE"""),"AMD")</f>
        <v>AMD</v>
      </c>
      <c r="D678" s="196" t="str">
        <f>IFERROR(__xludf.DUMMYFUNCTION("""COMPUTED_VALUE"""),"200PCS DONG A MY GEL BLACK 0.5
3,000 ENVELOPE BROWN LONG 
5 REAMS PAPER FORTUNE GROUNDWOVE MIMEO SHORT (500PCS)
20PCS CUTTER HANDY BIG L300 GRP
5 PCS SHARPENER PENCIL CARL ANGEL 5")</f>
        <v>200PCS DONG A MY GEL BLACK 0.5
3,000 ENVELOPE BROWN LONG 
5 REAMS PAPER FORTUNE GROUNDWOVE MIMEO SHORT (500PCS)
20PCS CUTTER HANDY BIG L300 GRP
5 PCS SHARPENER PENCIL CARL ANGEL 5</v>
      </c>
      <c r="E678" s="196" t="str">
        <f>IFERROR(__xludf.DUMMYFUNCTION("""COMPUTED_VALUE"""),"OSSUP STOCK REPLENISHMENT")</f>
        <v>OSSUP STOCK REPLENISHMENT</v>
      </c>
    </row>
    <row r="679">
      <c r="A679" s="234">
        <f>IFERROR(__xludf.DUMMYFUNCTION("""COMPUTED_VALUE"""),105512.0)</f>
        <v>105512</v>
      </c>
      <c r="B679" s="235" t="str">
        <f>IFERROR(__xludf.DUMMYFUNCTION("""COMPUTED_VALUE"""),"LYKA PERALTA")</f>
        <v>LYKA PERALTA</v>
      </c>
      <c r="C679" s="235" t="str">
        <f>IFERROR(__xludf.DUMMYFUNCTION("""COMPUTED_VALUE"""),"AMD")</f>
        <v>AMD</v>
      </c>
      <c r="D679" s="196" t="str">
        <f>IFERROR(__xludf.DUMMYFUNCTION("""COMPUTED_VALUE"""),"3000 PAPER SISC LETTERHEAD COLORED A4 (8.27X11.69IN) NEW LAY OUT ")</f>
        <v>3000 PAPER SISC LETTERHEAD COLORED A4 (8.27X11.69IN) NEW LAY OUT </v>
      </c>
      <c r="E679" s="196" t="str">
        <f>IFERROR(__xludf.DUMMYFUNCTION("""COMPUTED_VALUE"""),"OSSUP STOCK REPLENISHMENT")</f>
        <v>OSSUP STOCK REPLENISHMENT</v>
      </c>
    </row>
    <row r="680">
      <c r="A680" s="234">
        <f>IFERROR(__xludf.DUMMYFUNCTION("""COMPUTED_VALUE"""),105513.0)</f>
        <v>105513</v>
      </c>
      <c r="B680" s="235" t="str">
        <f>IFERROR(__xludf.DUMMYFUNCTION("""COMPUTED_VALUE"""),"LYKA PERALTA")</f>
        <v>LYKA PERALTA</v>
      </c>
      <c r="C680" s="235" t="str">
        <f>IFERROR(__xludf.DUMMYFUNCTION("""COMPUTED_VALUE"""),"AMD")</f>
        <v>AMD</v>
      </c>
      <c r="D680" s="196" t="str">
        <f>IFERROR(__xludf.DUMMYFUNCTION("""COMPUTED_VALUE"""),"20 ROLLS RIBBON PURPLE 1 INCH")</f>
        <v>20 ROLLS RIBBON PURPLE 1 INCH</v>
      </c>
      <c r="E680" s="196" t="str">
        <f>IFERROR(__xludf.DUMMYFUNCTION("""COMPUTED_VALUE"""),"TOKEN STOCK REPLENISHMENT")</f>
        <v>TOKEN STOCK REPLENISHMENT</v>
      </c>
    </row>
    <row r="681">
      <c r="A681" s="234">
        <f>IFERROR(__xludf.DUMMYFUNCTION("""COMPUTED_VALUE"""),105514.0)</f>
        <v>105514</v>
      </c>
      <c r="B681" s="235" t="str">
        <f>IFERROR(__xludf.DUMMYFUNCTION("""COMPUTED_VALUE"""),"LYKA PERALTA")</f>
        <v>LYKA PERALTA</v>
      </c>
      <c r="C681" s="235" t="str">
        <f>IFERROR(__xludf.DUMMYFUNCTION("""COMPUTED_VALUE"""),"AMD")</f>
        <v>AMD</v>
      </c>
      <c r="D681" s="196" t="str">
        <f>IFERROR(__xludf.DUMMYFUNCTION("""COMPUTED_VALUE"""),"10 PCS 8 DIGITS ROLLER STAMP WITH LETTERS AND SYMBOLS (SMALL SIZE OF LETTERS &amp;SYMBOL)")</f>
        <v>10 PCS 8 DIGITS ROLLER STAMP WITH LETTERS AND SYMBOLS (SMALL SIZE OF LETTERS &amp;SYMBOL)</v>
      </c>
      <c r="E681" s="196" t="str">
        <f>IFERROR(__xludf.DUMMYFUNCTION("""COMPUTED_VALUE"""),"OSSUP STOCK REPLENISHMENT")</f>
        <v>OSSUP STOCK REPLENISHMENT</v>
      </c>
    </row>
    <row r="682">
      <c r="A682" s="234">
        <f>IFERROR(__xludf.DUMMYFUNCTION("""COMPUTED_VALUE"""),105515.0)</f>
        <v>105515</v>
      </c>
      <c r="B682" s="235" t="str">
        <f>IFERROR(__xludf.DUMMYFUNCTION("""COMPUTED_VALUE"""),"JESUIT CHRISTIAN GALICIA")</f>
        <v>JESUIT CHRISTIAN GALICIA</v>
      </c>
      <c r="C682" s="235" t="str">
        <f>IFERROR(__xludf.DUMMYFUNCTION("""COMPUTED_VALUE"""),"AMD")</f>
        <v>AMD</v>
      </c>
      <c r="D682" s="196" t="str">
        <f>IFERROR(__xludf.DUMMYFUNCTION("""COMPUTED_VALUE"""),"30 PACKS CABLE TIE 200MM (100 PCS PER PACK)
22 PCS VGA SPLITTER2 WAY IN 2 WAY OUT")</f>
        <v>30 PACKS CABLE TIE 200MM (100 PCS PER PACK)
22 PCS VGA SPLITTER2 WAY IN 2 WAY OUT</v>
      </c>
      <c r="E682" s="196" t="str">
        <f>IFERROR(__xludf.DUMMYFUNCTION("""COMPUTED_VALUE"""),"MIS WAREHOUSE STOCK REPLENISHMENT")</f>
        <v>MIS WAREHOUSE STOCK REPLENISHMENT</v>
      </c>
    </row>
    <row r="683">
      <c r="A683" s="234">
        <f>IFERROR(__xludf.DUMMYFUNCTION("""COMPUTED_VALUE"""),105516.0)</f>
        <v>105516</v>
      </c>
      <c r="B683" s="235" t="str">
        <f>IFERROR(__xludf.DUMMYFUNCTION("""COMPUTED_VALUE"""),"ALFA DE LEON")</f>
        <v>ALFA DE LEON</v>
      </c>
      <c r="C683" s="235" t="str">
        <f>IFERROR(__xludf.DUMMYFUNCTION("""COMPUTED_VALUE"""),"ADMIN - MUNICH")</f>
        <v>ADMIN - MUNICH</v>
      </c>
      <c r="D683" s="196" t="str">
        <f>IFERROR(__xludf.DUMMYFUNCTION("""COMPUTED_VALUE"""),"1 SISC LOGO W/ MUNICH NAME 
LOGO SIZE: 32.5 CM WIDTH 44.5CM HEIGHT MUNICH FONT SIZE: 7.5")</f>
        <v>1 SISC LOGO W/ MUNICH NAME 
LOGO SIZE: 32.5 CM WIDTH 44.5CM HEIGHT MUNICH FONT SIZE: 7.5</v>
      </c>
      <c r="E683" s="196" t="str">
        <f>IFERROR(__xludf.DUMMYFUNCTION("""COMPUTED_VALUE"""),"MUNICH SIGNAGE")</f>
        <v>MUNICH SIGNAGE</v>
      </c>
    </row>
    <row r="684">
      <c r="A684" s="234">
        <f>IFERROR(__xludf.DUMMYFUNCTION("""COMPUTED_VALUE"""),105517.0)</f>
        <v>105517</v>
      </c>
      <c r="B684" s="235" t="str">
        <f>IFERROR(__xludf.DUMMYFUNCTION("""COMPUTED_VALUE"""),"ARNEL MONTABLAN")</f>
        <v>ARNEL MONTABLAN</v>
      </c>
      <c r="C684" s="235" t="str">
        <f>IFERROR(__xludf.DUMMYFUNCTION("""COMPUTED_VALUE"""),"FOUNDER SCHOLARS")</f>
        <v>FOUNDER SCHOLARS</v>
      </c>
      <c r="D684" s="196" t="str">
        <f>IFERROR(__xludf.DUMMYFUNCTION("""COMPUTED_VALUE"""),"-80 PCS ADVIL
-4 BOTTLES AGUA OXINADA
-4 BOTTLES BIG BACTIDOL
-4 BOXES BAND AID
-4 BOTTLES BETADINE
-200PCS  BIOGESIC
-100 PCS CETIRIZINE
-4 BAGS COTTON BALLS
-80 PCS DIATABS 
-80 PCS KREMIL-S
-100 PCS MEFENAMIC
-200 PCS NEOZEP
-200 PCS SOLMUX
4 PCS VICKS"&amp;"/RUB  OINTMENT BIG
-3 BOXES FACE MASK")</f>
        <v>-80 PCS ADVIL
-4 BOTTLES AGUA OXINADA
-4 BOTTLES BIG BACTIDOL
-4 BOXES BAND AID
-4 BOTTLES BETADINE
-200PCS  BIOGESIC
-100 PCS CETIRIZINE
-4 BAGS COTTON BALLS
-80 PCS DIATABS 
-80 PCS KREMIL-S
-100 PCS MEFENAMIC
-200 PCS NEOZEP
-200 PCS SOLMUX
4 PCS VICKS/RUB  OINTMENT BIG
-3 BOXES FACE MASK</v>
      </c>
      <c r="E684" s="196" t="str">
        <f>IFERROR(__xludf.DUMMYFUNCTION("""COMPUTED_VALUE"""),"REPLENISH MEDICAL KIT")</f>
        <v>REPLENISH MEDICAL KIT</v>
      </c>
    </row>
    <row r="685">
      <c r="A685" s="234">
        <f>IFERROR(__xludf.DUMMYFUNCTION("""COMPUTED_VALUE"""),105518.0)</f>
        <v>105518</v>
      </c>
      <c r="B685" s="235" t="str">
        <f>IFERROR(__xludf.DUMMYFUNCTION("""COMPUTED_VALUE"""),"JHOY ILAO")</f>
        <v>JHOY ILAO</v>
      </c>
      <c r="C685" s="235" t="str">
        <f>IFERROR(__xludf.DUMMYFUNCTION("""COMPUTED_VALUE"""),"ALUMNI")</f>
        <v>ALUMNI</v>
      </c>
      <c r="D685" s="196" t="str">
        <f>IFERROR(__xludf.DUMMYFUNCTION("""COMPUTED_VALUE"""),"1 BUTTON BADGE MAKER")</f>
        <v>1 BUTTON BADGE MAKER</v>
      </c>
      <c r="E685" s="196" t="str">
        <f>IFERROR(__xludf.DUMMYFUNCTION("""COMPUTED_VALUE"""),"FOR ALUMNI ACTIVITIES AND VISITS")</f>
        <v>FOR ALUMNI ACTIVITIES AND VISITS</v>
      </c>
    </row>
    <row r="686">
      <c r="A686" s="234">
        <f>IFERROR(__xludf.DUMMYFUNCTION("""COMPUTED_VALUE"""),105519.0)</f>
        <v>105519</v>
      </c>
      <c r="B686" s="235" t="str">
        <f>IFERROR(__xludf.DUMMYFUNCTION("""COMPUTED_VALUE"""),"LYKA PERALTA")</f>
        <v>LYKA PERALTA</v>
      </c>
      <c r="C686" s="235" t="str">
        <f>IFERROR(__xludf.DUMMYFUNCTION("""COMPUTED_VALUE"""),"AMD")</f>
        <v>AMD</v>
      </c>
      <c r="D686" s="196" t="str">
        <f>IFERROR(__xludf.DUMMYFUNCTION("""COMPUTED_VALUE"""),"1,000 PCS BATTERY ENERGIZER SIZE AA")</f>
        <v>1,000 PCS BATTERY ENERGIZER SIZE AA</v>
      </c>
      <c r="E686" s="196" t="str">
        <f>IFERROR(__xludf.DUMMYFUNCTION("""COMPUTED_VALUE"""),"OSSUP STOCK REPLENISHMENT")</f>
        <v>OSSUP STOCK REPLENISHMENT</v>
      </c>
    </row>
    <row r="687">
      <c r="A687" s="234">
        <f>IFERROR(__xludf.DUMMYFUNCTION("""COMPUTED_VALUE"""),105520.0)</f>
        <v>105520</v>
      </c>
      <c r="B687" s="235" t="str">
        <f>IFERROR(__xludf.DUMMYFUNCTION("""COMPUTED_VALUE"""),"PAUL ARANA")</f>
        <v>PAUL ARANA</v>
      </c>
      <c r="C687" s="235" t="str">
        <f>IFERROR(__xludf.DUMMYFUNCTION("""COMPUTED_VALUE"""),"MIS/ICT")</f>
        <v>MIS/ICT</v>
      </c>
      <c r="D687" s="196" t="str">
        <f>IFERROR(__xludf.DUMMYFUNCTION("""COMPUTED_VALUE"""),"48 8GB RAM DDR4-2133 MHZ
24 KINGSTON SSD 256 GB")</f>
        <v>48 8GB RAM DDR4-2133 MHZ
24 KINGSTON SSD 256 GB</v>
      </c>
      <c r="E687" s="196" t="str">
        <f>IFERROR(__xludf.DUMMYFUNCTION("""COMPUTED_VALUE"""),"FOR COLLEGE COMPLAB 3 COMPUTER UPGRADE")</f>
        <v>FOR COLLEGE COMPLAB 3 COMPUTER UPGRADE</v>
      </c>
    </row>
    <row r="688">
      <c r="A688" s="234">
        <f>IFERROR(__xludf.DUMMYFUNCTION("""COMPUTED_VALUE"""),105521.0)</f>
        <v>105521</v>
      </c>
      <c r="B688" s="235" t="str">
        <f>IFERROR(__xludf.DUMMYFUNCTION("""COMPUTED_VALUE"""),"MELISSA NAVAL ODONO")</f>
        <v>MELISSA NAVAL ODONO</v>
      </c>
      <c r="C688" s="235" t="str">
        <f>IFERROR(__xludf.DUMMYFUNCTION("""COMPUTED_VALUE"""),"LIBRARY COLLEGE")</f>
        <v>LIBRARY COLLEGE</v>
      </c>
      <c r="D688" s="196" t="str">
        <f>IFERROR(__xludf.DUMMYFUNCTION("""COMPUTED_VALUE"""),"-3PCS BUSINESS PLAN PREPARATION
-2 PCS ADMINISTRATIVE MANAGEMENT
-3PCS ADVANCED HUMAN BEHAVIOR ORGANIZATION WITH ETHICS
-3PCS ADVANCED HUMAN RESOURCE MANAGEMENT FOR PRIVATE AND GOVERNMENT INSTITUTIONS
-3PCS ADVANCED LOCAL GOVERNMENT AND REGIONAL ADMINISTR"&amp;"ATION DEVELOPMENT 
-3PCS ADVANCED MANAGERIAL ECONOMICS AND PUBLIC POLICY
-3PCS ADVANCED MARKETING MANAGEMENT 
-3PCS ADVANCED ORGANIZATION MANAGEMENT 
-3PCS ADVANCED PUBLIC FISCAL MANAGEMENT FINANCE AND ACCOUNTABILITY
-3PCS ADVANCED THEORY AND PRACTICE IN "&amp;"PUBLIC ADMINISTRATION")</f>
        <v>-3PCS BUSINESS PLAN PREPARATION
-2 PCS ADMINISTRATIVE MANAGEMENT
-3PCS ADVANCED HUMAN BEHAVIOR ORGANIZATION WITH ETHICS
-3PCS ADVANCED HUMAN RESOURCE MANAGEMENT FOR PRIVATE AND GOVERNMENT INSTITUTIONS
-3PCS ADVANCED LOCAL GOVERNMENT AND REGIONAL ADMINISTRATION DEVELOPMENT 
-3PCS ADVANCED MANAGERIAL ECONOMICS AND PUBLIC POLICY
-3PCS ADVANCED MARKETING MANAGEMENT 
-3PCS ADVANCED ORGANIZATION MANAGEMENT 
-3PCS ADVANCED PUBLIC FISCAL MANAGEMENT FINANCE AND ACCOUNTABILITY
-3PCS ADVANCED THEORY AND PRACTICE IN PUBLIC ADMINISTRATION</v>
      </c>
      <c r="E688" s="196" t="str">
        <f>IFERROR(__xludf.DUMMYFUNCTION("""COMPUTED_VALUE"""),"FOR PACUCOA COMPLIANCE")</f>
        <v>FOR PACUCOA COMPLIANCE</v>
      </c>
    </row>
    <row r="689">
      <c r="A689" s="234">
        <f>IFERROR(__xludf.DUMMYFUNCTION("""COMPUTED_VALUE"""),105522.0)</f>
        <v>105522</v>
      </c>
      <c r="B689" s="235" t="str">
        <f>IFERROR(__xludf.DUMMYFUNCTION("""COMPUTED_VALUE"""),"MELISSA NAVAL ODONO")</f>
        <v>MELISSA NAVAL ODONO</v>
      </c>
      <c r="C689" s="235" t="str">
        <f>IFERROR(__xludf.DUMMYFUNCTION("""COMPUTED_VALUE"""),"LIBRARY COLLEGE")</f>
        <v>LIBRARY COLLEGE</v>
      </c>
      <c r="D689" s="196" t="str">
        <f>IFERROR(__xludf.DUMMYFUNCTION("""COMPUTED_VALUE"""),"-3PCS ADVANCED PRODUCTION AND OPERATIONS MANAGEMENT 
-3PCS ADVANCED STRATEGIC MANAGEMENT
-3PCS BANKING AND FINANCIAL INSTITUTIONS
-3PCS BASIC FINANCIAL MANAGEMENT 
-3PCS BASIC FINANCIAL MANAGEMENT IN THE PHIL. SETTING
-3PCS BUSINESS MATHEMATICS
-3PCS BUSI"&amp;"NESS PRINCIPLE AND MERCHANDISING ACCOUNTING
-3PCS CAPITAL MARKETS 
-3CS CONTEMPORARY TRENDS IN PUBLIC ADMINISTRATION
-3PCS CORPORATE SOCIAL RESPONSIBILITY")</f>
        <v>-3PCS ADVANCED PRODUCTION AND OPERATIONS MANAGEMENT 
-3PCS ADVANCED STRATEGIC MANAGEMENT
-3PCS BANKING AND FINANCIAL INSTITUTIONS
-3PCS BASIC FINANCIAL MANAGEMENT 
-3PCS BASIC FINANCIAL MANAGEMENT IN THE PHIL. SETTING
-3PCS BUSINESS MATHEMATICS
-3PCS BUSINESS PRINCIPLE AND MERCHANDISING ACCOUNTING
-3PCS CAPITAL MARKETS 
-3CS CONTEMPORARY TRENDS IN PUBLIC ADMINISTRATION
-3PCS CORPORATE SOCIAL RESPONSIBILITY</v>
      </c>
      <c r="E689" s="196" t="str">
        <f>IFERROR(__xludf.DUMMYFUNCTION("""COMPUTED_VALUE"""),"FOR PACUCOA COMPLIANCE")</f>
        <v>FOR PACUCOA COMPLIANCE</v>
      </c>
    </row>
    <row r="690">
      <c r="A690" s="234">
        <f>IFERROR(__xludf.DUMMYFUNCTION("""COMPUTED_VALUE"""),105523.0)</f>
        <v>105523</v>
      </c>
      <c r="B690" s="235" t="str">
        <f>IFERROR(__xludf.DUMMYFUNCTION("""COMPUTED_VALUE"""),"MELISSA NAVAL ODONO")</f>
        <v>MELISSA NAVAL ODONO</v>
      </c>
      <c r="C690" s="235" t="str">
        <f>IFERROR(__xludf.DUMMYFUNCTION("""COMPUTED_VALUE"""),"LIBRARY COLLEGE")</f>
        <v>LIBRARY COLLEGE</v>
      </c>
      <c r="D690" s="196" t="str">
        <f>IFERROR(__xludf.DUMMYFUNCTION("""COMPUTED_VALUE"""),"-3PCS CREDIT &amp; COLLECTION 
-3PCS DATA ANALYTICS &amp;BUSINESS INTELLIGENCE
-3PCS E-GOVERNANCE FOR DEVELOPMENT ADMINISTRATION
-3CS ENTREPRENEURAL BEHAVIOR GROWTH MINDSET AND FIXED MINDSET 
-3PCS ENTREPRENEURAL MANAGEMENT 
-3PCS ENTREPRENEURAL MIND 
-3PCS ENTRE"&amp;"PRENEURAL MINDSET 
-3PCS ENTREPRENEURSHIP 
-3PCS ENTREPRENEURSHIP 2022 EDITION")</f>
        <v>-3PCS CREDIT &amp; COLLECTION 
-3PCS DATA ANALYTICS &amp;BUSINESS INTELLIGENCE
-3PCS E-GOVERNANCE FOR DEVELOPMENT ADMINISTRATION
-3CS ENTREPRENEURAL BEHAVIOR GROWTH MINDSET AND FIXED MINDSET 
-3PCS ENTREPRENEURAL MANAGEMENT 
-3PCS ENTREPRENEURAL MIND 
-3PCS ENTREPRENEURAL MINDSET 
-3PCS ENTREPRENEURSHIP 
-3PCS ENTREPRENEURSHIP 2022 EDITION</v>
      </c>
      <c r="E690" s="196" t="str">
        <f>IFERROR(__xludf.DUMMYFUNCTION("""COMPUTED_VALUE"""),"FOR PACUCOA COMPLIANCE")</f>
        <v>FOR PACUCOA COMPLIANCE</v>
      </c>
    </row>
    <row r="691">
      <c r="A691" s="234">
        <f>IFERROR(__xludf.DUMMYFUNCTION("""COMPUTED_VALUE"""),105524.0)</f>
        <v>105524</v>
      </c>
      <c r="B691" s="235" t="str">
        <f>IFERROR(__xludf.DUMMYFUNCTION("""COMPUTED_VALUE"""),"MELISSA NAVAL ODONO")</f>
        <v>MELISSA NAVAL ODONO</v>
      </c>
      <c r="C691" s="235" t="str">
        <f>IFERROR(__xludf.DUMMYFUNCTION("""COMPUTED_VALUE"""),"LIBRARY COLLEGE")</f>
        <v>LIBRARY COLLEGE</v>
      </c>
      <c r="D691" s="196" t="str">
        <f>IFERROR(__xludf.DUMMYFUNCTION("""COMPUTED_VALUE"""),"-3PCS ESSENTIALS IN LAW ON OBLIGATION AND CONTRACT (FOR ABM STUDENTS)
-3PCS ESSENTIALS OF ADMINISTRATIVE OFFICE MANAGEMENT 
-3PCS ESSENTIALS OF ORGANIZATIONAL COMMUNICATION
-3PCS ESSENTIALS OF RISK MANAGEMENT
-3CS FACILITIES PLANNING &amp; MANAGEMENT, 2E
-3PC"&amp;" FACT CHECK:21ST CENTURY TECHNICAL COMMUNICATION 
-3PCS FINANCIAL ANALYSIS AND REPORTING 
-3PCS FINANCIAL MANAGEMENT 
-3PCS FINANCIAL MARKETS 
-3PCS FOUNDATIONS OF OPERATIONS MANAGEMENT: A PRACTICAL GUIDE FOR HIGHER LEARNING")</f>
        <v>-3PCS ESSENTIALS IN LAW ON OBLIGATION AND CONTRACT (FOR ABM STUDENTS)
-3PCS ESSENTIALS OF ADMINISTRATIVE OFFICE MANAGEMENT 
-3PCS ESSENTIALS OF ORGANIZATIONAL COMMUNICATION
-3PCS ESSENTIALS OF RISK MANAGEMENT
-3CS FACILITIES PLANNING &amp; MANAGEMENT, 2E
-3PC FACT CHECK:21ST CENTURY TECHNICAL COMMUNICATION 
-3PCS FINANCIAL ANALYSIS AND REPORTING 
-3PCS FINANCIAL MANAGEMENT 
-3PCS FINANCIAL MARKETS 
-3PCS FOUNDATIONS OF OPERATIONS MANAGEMENT: A PRACTICAL GUIDE FOR HIGHER LEARNING</v>
      </c>
      <c r="E691" s="196" t="str">
        <f>IFERROR(__xludf.DUMMYFUNCTION("""COMPUTED_VALUE"""),"FOR PACUCOA COMPLIANCE")</f>
        <v>FOR PACUCOA COMPLIANCE</v>
      </c>
    </row>
    <row r="692">
      <c r="A692" s="234">
        <f>IFERROR(__xludf.DUMMYFUNCTION("""COMPUTED_VALUE"""),105525.0)</f>
        <v>105525</v>
      </c>
      <c r="B692" s="235" t="str">
        <f>IFERROR(__xludf.DUMMYFUNCTION("""COMPUTED_VALUE"""),"MELISSA NAVAL ODONO")</f>
        <v>MELISSA NAVAL ODONO</v>
      </c>
      <c r="C692" s="235" t="str">
        <f>IFERROR(__xludf.DUMMYFUNCTION("""COMPUTED_VALUE"""),"LIBRARY COLLEGE")</f>
        <v>LIBRARY COLLEGE</v>
      </c>
      <c r="D692" s="196" t="str">
        <f>IFERROR(__xludf.DUMMYFUNCTION("""COMPUTED_VALUE"""),"-3PCS FUNDAMENTAL OF ACCOUNTING VOLUME I: SERVICE AND MERCHANDISE 
-3PCS FUNDAMENTALS OF ACCOUNTING VOLUME II: PARTNERSHIP AND CORPORATION
-3PCS FUNDAMENTAL OF BUSINESS ANALYTICS 
-3PCS FUNDAMENTALS OF MANAGEMENT
-3PCS FUN DAMENTALS OF PERFORMANCE MANAGEM"&amp;"ENT 
-3PCS HUMAN RESOURCE DEVELOPMENT
-3PCS HUMAN RESOURCE MANAGEMENT 
-3PCS HUMAN RESOURCE MANAGEMENT, 2E
-3PCS INCOME AND BUSINESS TAXATION
-3PCS INTELLIGENT LEADERSHIP RESILIENCE")</f>
        <v>-3PCS FUNDAMENTAL OF ACCOUNTING VOLUME I: SERVICE AND MERCHANDISE 
-3PCS FUNDAMENTALS OF ACCOUNTING VOLUME II: PARTNERSHIP AND CORPORATION
-3PCS FUNDAMENTAL OF BUSINESS ANALYTICS 
-3PCS FUNDAMENTALS OF MANAGEMENT
-3PCS FUN DAMENTALS OF PERFORMANCE MANAGEMENT 
-3PCS HUMAN RESOURCE DEVELOPMENT
-3PCS HUMAN RESOURCE MANAGEMENT 
-3PCS HUMAN RESOURCE MANAGEMENT, 2E
-3PCS INCOME AND BUSINESS TAXATION
-3PCS INTELLIGENT LEADERSHIP RESILIENCE</v>
      </c>
      <c r="E692" s="196" t="str">
        <f>IFERROR(__xludf.DUMMYFUNCTION("""COMPUTED_VALUE"""),"FOR PACUCOA COMPLIANCE")</f>
        <v>FOR PACUCOA COMPLIANCE</v>
      </c>
    </row>
    <row r="693">
      <c r="A693" s="234">
        <f>IFERROR(__xludf.DUMMYFUNCTION("""COMPUTED_VALUE"""),105526.0)</f>
        <v>105526</v>
      </c>
      <c r="B693" s="235" t="str">
        <f>IFERROR(__xludf.DUMMYFUNCTION("""COMPUTED_VALUE"""),"MELISSA NAVAL ODONO")</f>
        <v>MELISSA NAVAL ODONO</v>
      </c>
      <c r="C693" s="235" t="str">
        <f>IFERROR(__xludf.DUMMYFUNCTION("""COMPUTED_VALUE"""),"LIBRARY COLLEGE")</f>
        <v>LIBRARY COLLEGE</v>
      </c>
      <c r="D693" s="196" t="str">
        <f>IFERROR(__xludf.DUMMYFUNCTION("""COMPUTED_VALUE"""),"-3PCS INTERNATIONAL BUSINESS TRADE 
-3PCS INTERNET MARKETING
-3PCS INTRODUCTION TO CONSUMER BEHAVIOR
-3PCS INTRODUCTION TO PROJECT MANAGEMENT
-3PCS INVENTORY MANAGEMENT AND CONTRO 2E
-3PCS LABOR LAWS AND SOCIAL LEGISLATIONS 2E
-3PCS LABOR RELATIONS MANAGE"&amp;"MENT AND NEGOTIATIONS 2E
-3PCS MACROECONOMICS
-3PCS MASTERING PRICING AND COSTING: STRATEGIES FOR PROFITABLE BUSINESS GROWTH
-3PCS MICROECONOMICS NUMERICAL AND COMPUTATIONAL APPROACH")</f>
        <v>-3PCS INTERNATIONAL BUSINESS TRADE 
-3PCS INTERNET MARKETING
-3PCS INTRODUCTION TO CONSUMER BEHAVIOR
-3PCS INTRODUCTION TO PROJECT MANAGEMENT
-3PCS INVENTORY MANAGEMENT AND CONTRO 2E
-3PCS LABOR LAWS AND SOCIAL LEGISLATIONS 2E
-3PCS LABOR RELATIONS MANAGEMENT AND NEGOTIATIONS 2E
-3PCS MACROECONOMICS
-3PCS MASTERING PRICING AND COSTING: STRATEGIES FOR PROFITABLE BUSINESS GROWTH
-3PCS MICROECONOMICS NUMERICAL AND COMPUTATIONAL APPROACH</v>
      </c>
      <c r="E693" s="196" t="str">
        <f>IFERROR(__xludf.DUMMYFUNCTION("""COMPUTED_VALUE"""),"FOR PACUCOA COMPLIANCE")</f>
        <v>FOR PACUCOA COMPLIANCE</v>
      </c>
    </row>
    <row r="694">
      <c r="A694" s="234">
        <f>IFERROR(__xludf.DUMMYFUNCTION("""COMPUTED_VALUE"""),105527.0)</f>
        <v>105527</v>
      </c>
      <c r="B694" s="235" t="str">
        <f>IFERROR(__xludf.DUMMYFUNCTION("""COMPUTED_VALUE"""),"MELISSA NAVAL ODONO")</f>
        <v>MELISSA NAVAL ODONO</v>
      </c>
      <c r="C694" s="235" t="str">
        <f>IFERROR(__xludf.DUMMYFUNCTION("""COMPUTED_VALUE"""),"LIBRARY COLLEGE")</f>
        <v>LIBRARY COLLEGE</v>
      </c>
      <c r="D694" s="196" t="str">
        <f>IFERROR(__xludf.DUMMYFUNCTION("""COMPUTED_VALUE"""),"-3PCS MICROECONOMICS PRICE THEORY REVISED EDITION
-3PCS MICROECONOMICS THEORIES AND APPLICATIONS 2E
-3PCS NAVIGATING THE LANDSCAPE OF MARKETING RESEARCH
-3PCS ORGANIZATION DEVELOPMENT 2E
-3PCS PRICING STRATEGY 
-3PCS PRINCIPLES TOTAL QUALITY MANAGEMENT 
-"&amp;"3PCS PRODUCTION MANAGEMENT 
-3PCS PRODUCTIVITY AND QUALITY MANAGEMENT 2E
-3PCS PROFESSIONAL DEVELOPMENT A GUIDE TO CAREER SUCCESS
-3PCS PROFESSIONAL DEVELOPMENT AND APPLIED ETHICS")</f>
        <v>-3PCS MICROECONOMICS PRICE THEORY REVISED EDITION
-3PCS MICROECONOMICS THEORIES AND APPLICATIONS 2E
-3PCS NAVIGATING THE LANDSCAPE OF MARKETING RESEARCH
-3PCS ORGANIZATION DEVELOPMENT 2E
-3PCS PRICING STRATEGY 
-3PCS PRINCIPLES TOTAL QUALITY MANAGEMENT 
-3PCS PRODUCTION MANAGEMENT 
-3PCS PRODUCTIVITY AND QUALITY MANAGEMENT 2E
-3PCS PROFESSIONAL DEVELOPMENT A GUIDE TO CAREER SUCCESS
-3PCS PROFESSIONAL DEVELOPMENT AND APPLIED ETHICS</v>
      </c>
      <c r="E694" s="196" t="str">
        <f>IFERROR(__xludf.DUMMYFUNCTION("""COMPUTED_VALUE"""),"FOR PACUCOA COMPLIANCE")</f>
        <v>FOR PACUCOA COMPLIANCE</v>
      </c>
    </row>
    <row r="695">
      <c r="A695" s="234">
        <f>IFERROR(__xludf.DUMMYFUNCTION("""COMPUTED_VALUE"""),105528.0)</f>
        <v>105528</v>
      </c>
      <c r="B695" s="235" t="str">
        <f>IFERROR(__xludf.DUMMYFUNCTION("""COMPUTED_VALUE"""),"MELISSA NAVAL ODONO")</f>
        <v>MELISSA NAVAL ODONO</v>
      </c>
      <c r="C695" s="235" t="str">
        <f>IFERROR(__xludf.DUMMYFUNCTION("""COMPUTED_VALUE"""),"LIBRARY COLLEGE")</f>
        <v>LIBRARY COLLEGE</v>
      </c>
      <c r="D695" s="196" t="str">
        <f>IFERROR(__xludf.DUMMYFUNCTION("""COMPUTED_VALUE"""),"-3PCS PROFESSIONAL SALESMANSHIP 
-3PCS PSYCHOLOGICAL STATISTICS 
-3PCS RECRUITMENT AND SELECTION
-3PCS RETAIL AND WHOLESALE ENTERPRISES 
-3PCS SAFETY MANAGEMENT 
-3PCS STATISTICAL ANALYSIS FOR BUSINESS
-3PCS STATISTICS FOR BUSINESS AND MANAGEMENT 
-3PCS S"&amp;"TRATEGIC BUSINESS ANALYSIS WITH MANAGEMENT 
-3PCS STRATEGIC MANAGEMENT 
-3CS STRATEGIC MANAGEMENT ESSENTIALS (TOOLS TECHNIQUE AND BEST PRACTICES)")</f>
        <v>-3PCS PROFESSIONAL SALESMANSHIP 
-3PCS PSYCHOLOGICAL STATISTICS 
-3PCS RECRUITMENT AND SELECTION
-3PCS RETAIL AND WHOLESALE ENTERPRISES 
-3PCS SAFETY MANAGEMENT 
-3PCS STATISTICAL ANALYSIS FOR BUSINESS
-3PCS STATISTICS FOR BUSINESS AND MANAGEMENT 
-3PCS STRATEGIC BUSINESS ANALYSIS WITH MANAGEMENT 
-3PCS STRATEGIC MANAGEMENT 
-3CS STRATEGIC MANAGEMENT ESSENTIALS (TOOLS TECHNIQUE AND BEST PRACTICES)</v>
      </c>
      <c r="E695" s="196" t="str">
        <f>IFERROR(__xludf.DUMMYFUNCTION("""COMPUTED_VALUE"""),"FOR PACUCOA COMPLIANCE")</f>
        <v>FOR PACUCOA COMPLIANCE</v>
      </c>
    </row>
    <row r="696">
      <c r="A696" s="234">
        <f>IFERROR(__xludf.DUMMYFUNCTION("""COMPUTED_VALUE"""),105529.0)</f>
        <v>105529</v>
      </c>
      <c r="B696" s="235" t="str">
        <f>IFERROR(__xludf.DUMMYFUNCTION("""COMPUTED_VALUE"""),"MELISSA NAVAL ODONO")</f>
        <v>MELISSA NAVAL ODONO</v>
      </c>
      <c r="C696" s="235" t="str">
        <f>IFERROR(__xludf.DUMMYFUNCTION("""COMPUTED_VALUE"""),"LIBRARY COLLEGE")</f>
        <v>LIBRARY COLLEGE</v>
      </c>
      <c r="D696" s="196" t="str">
        <f>IFERROR(__xludf.DUMMYFUNCTION("""COMPUTED_VALUE"""),"-3PCS STRATEGIC MARKETING MANAGEMENT 
-3PCS STRATEGIC MANAGEMENT: SIMPLIFIED MOVES FOR ROOKIES
-3PCS STRATEGIC OPERATIONS MANAGEMENT 2E
-3PCS SYNERGIZING E-COMMERCE SOCIAL MEDIA AND DROOP SHIPPING 
-3PCS TEXTBOOK IN AUDITING PRACTICE 2021 EDITION 
-3PCS T"&amp;"EXTBOOK IN BUSINESS FINANCE 3E
-3PCS THE ENTREPRENEUR 
-3PCS THE EVOLVING LANDSCAPE OF STRATEGIC MANAGEMENT AND LEADERSHIP
-3PCS TOTAL QUALITY MANAGEMENT 2E
-3CS TRAINING AND DEVELOPMENT 2E")</f>
        <v>-3PCS STRATEGIC MARKETING MANAGEMENT 
-3PCS STRATEGIC MANAGEMENT: SIMPLIFIED MOVES FOR ROOKIES
-3PCS STRATEGIC OPERATIONS MANAGEMENT 2E
-3PCS SYNERGIZING E-COMMERCE SOCIAL MEDIA AND DROOP SHIPPING 
-3PCS TEXTBOOK IN AUDITING PRACTICE 2021 EDITION 
-3PCS TEXTBOOK IN BUSINESS FINANCE 3E
-3PCS THE ENTREPRENEUR 
-3PCS THE EVOLVING LANDSCAPE OF STRATEGIC MANAGEMENT AND LEADERSHIP
-3PCS TOTAL QUALITY MANAGEMENT 2E
-3CS TRAINING AND DEVELOPMENT 2E</v>
      </c>
      <c r="E696" s="196" t="str">
        <f>IFERROR(__xludf.DUMMYFUNCTION("""COMPUTED_VALUE"""),"FOR PACUCOA COMPLIANCE")</f>
        <v>FOR PACUCOA COMPLIANCE</v>
      </c>
    </row>
    <row r="697">
      <c r="A697" s="234">
        <f>IFERROR(__xludf.DUMMYFUNCTION("""COMPUTED_VALUE"""),105530.0)</f>
        <v>105530</v>
      </c>
      <c r="B697" s="235" t="str">
        <f>IFERROR(__xludf.DUMMYFUNCTION("""COMPUTED_VALUE"""),"MELISSA NAVAL ODONO")</f>
        <v>MELISSA NAVAL ODONO</v>
      </c>
      <c r="C697" s="235" t="str">
        <f>IFERROR(__xludf.DUMMYFUNCTION("""COMPUTED_VALUE"""),"LIBRARY COLLEGE")</f>
        <v>LIBRARY COLLEGE</v>
      </c>
      <c r="D697" s="196" t="str">
        <f>IFERROR(__xludf.DUMMYFUNCTION("""COMPUTED_VALUE"""),"-3PCS UNDERSTANDING MARKETING RESEARCH 
-3PCS EMPOWERMENT TECHNOLOGIES
-3PCS EMPOWERMENT TECHNOLOGIES")</f>
        <v>-3PCS UNDERSTANDING MARKETING RESEARCH 
-3PCS EMPOWERMENT TECHNOLOGIES
-3PCS EMPOWERMENT TECHNOLOGIES</v>
      </c>
      <c r="E697" s="196" t="str">
        <f>IFERROR(__xludf.DUMMYFUNCTION("""COMPUTED_VALUE"""),"FOR PACUCOA COMPLIANCE")</f>
        <v>FOR PACUCOA COMPLIANCE</v>
      </c>
    </row>
    <row r="698">
      <c r="A698" s="234">
        <f>IFERROR(__xludf.DUMMYFUNCTION("""COMPUTED_VALUE"""),105531.0)</f>
        <v>105531</v>
      </c>
      <c r="B698" s="235" t="str">
        <f>IFERROR(__xludf.DUMMYFUNCTION("""COMPUTED_VALUE"""),"OWIE PAR")</f>
        <v>OWIE PAR</v>
      </c>
      <c r="C698" s="235" t="str">
        <f>IFERROR(__xludf.DUMMYFUNCTION("""COMPUTED_VALUE"""),"ENGINEERING")</f>
        <v>ENGINEERING</v>
      </c>
      <c r="D698" s="196" t="str">
        <f>IFERROR(__xludf.DUMMYFUNCTION("""COMPUTED_VALUE"""),"3PCS CEILING ORBIT FAN #18""")</f>
        <v>3PCS CEILING ORBIT FAN #18"</v>
      </c>
      <c r="E698" s="196" t="str">
        <f>IFERROR(__xludf.DUMMYFUNCTION("""COMPUTED_VALUE"""),"FOR COL, NSK, BSL")</f>
        <v>FOR COL, NSK, BSL</v>
      </c>
    </row>
    <row r="699">
      <c r="A699" s="234">
        <f>IFERROR(__xludf.DUMMYFUNCTION("""COMPUTED_VALUE"""),105532.0)</f>
        <v>105532</v>
      </c>
      <c r="B699" s="235" t="str">
        <f>IFERROR(__xludf.DUMMYFUNCTION("""COMPUTED_VALUE"""),"OWIE PAR")</f>
        <v>OWIE PAR</v>
      </c>
      <c r="C699" s="235" t="str">
        <f>IFERROR(__xludf.DUMMYFUNCTION("""COMPUTED_VALUE"""),"ENGINEERING")</f>
        <v>ENGINEERING</v>
      </c>
      <c r="D699" s="196" t="str">
        <f>IFERROR(__xludf.DUMMYFUNCTION("""COMPUTED_VALUE"""),"1UNIT 2.5 WALL MOUNTED TYPE ACU")</f>
        <v>1UNIT 2.5 WALL MOUNTED TYPE ACU</v>
      </c>
      <c r="E699" s="196" t="str">
        <f>IFERROR(__xludf.DUMMYFUNCTION("""COMPUTED_VALUE"""),"FOR AMD REPLACEMENT OF OLD UNIT")</f>
        <v>FOR AMD REPLACEMENT OF OLD UNIT</v>
      </c>
    </row>
    <row r="700">
      <c r="A700" s="234">
        <f>IFERROR(__xludf.DUMMYFUNCTION("""COMPUTED_VALUE"""),105533.0)</f>
        <v>105533</v>
      </c>
      <c r="B700" s="235" t="str">
        <f>IFERROR(__xludf.DUMMYFUNCTION("""COMPUTED_VALUE"""),"SHEREE ESPINOSA")</f>
        <v>SHEREE ESPINOSA</v>
      </c>
      <c r="C700" s="235" t="str">
        <f>IFERROR(__xludf.DUMMYFUNCTION("""COMPUTED_VALUE"""),"ADMIN")</f>
        <v>ADMIN</v>
      </c>
      <c r="D700" s="196" t="str">
        <f>IFERROR(__xludf.DUMMYFUNCTION("""COMPUTED_VALUE"""),"10PCS LED 6 INCHES RECESSED CIRCULAR DOWNLIGHT 15 W-WARM WHITE (OMNI BRAND)
10 PCS FIREFLY BASIC SERIES LED INTEGRATED DOWNLIGHT TRI-COLOR EDL 222203TC 
1 ROLL ROYAL CORD #18")</f>
        <v>10PCS LED 6 INCHES RECESSED CIRCULAR DOWNLIGHT 15 W-WARM WHITE (OMNI BRAND)
10 PCS FIREFLY BASIC SERIES LED INTEGRATED DOWNLIGHT TRI-COLOR EDL 222203TC 
1 ROLL ROYAL CORD #18</v>
      </c>
      <c r="E700" s="196" t="str">
        <f>IFERROR(__xludf.DUMMYFUNCTION("""COMPUTED_VALUE"""),"FOR TROPHY CABINET LIGHTINGS")</f>
        <v>FOR TROPHY CABINET LIGHTINGS</v>
      </c>
    </row>
    <row r="701">
      <c r="A701" s="234">
        <f>IFERROR(__xludf.DUMMYFUNCTION("""COMPUTED_VALUE"""),105534.0)</f>
        <v>105534</v>
      </c>
      <c r="B701" s="235" t="str">
        <f>IFERROR(__xludf.DUMMYFUNCTION("""COMPUTED_VALUE"""),"ARNEL MONTABLAN")</f>
        <v>ARNEL MONTABLAN</v>
      </c>
      <c r="C701" s="235" t="str">
        <f>IFERROR(__xludf.DUMMYFUNCTION("""COMPUTED_VALUE"""),"FOUNDER SCHOLARS")</f>
        <v>FOUNDER SCHOLARS</v>
      </c>
      <c r="D701" s="196" t="str">
        <f>IFERROR(__xludf.DUMMYFUNCTION("""COMPUTED_VALUE"""),"1 ANALOG CLOCK
1 BED FOAM (LACKING)
4 BIG TRASHBIN 
2 BIG WATER BASIN
4 BROOM STICKS 
5 STANDARD ALUMINUM COOKING PAN
4 DOOR STOPPER 
2 FLAT IRON
1 FLOOR COTTON MOP
1 IRONING BOARD
2 LONG BRUSHES 
1 MIRROR 
4 SOFA FOAM
4 SOFT BROOM
2 STAND FAN 
5 HAND BRU"&amp;"SH")</f>
        <v>1 ANALOG CLOCK
1 BED FOAM (LACKING)
4 BIG TRASHBIN 
2 BIG WATER BASIN
4 BROOM STICKS 
5 STANDARD ALUMINUM COOKING PAN
4 DOOR STOPPER 
2 FLAT IRON
1 FLOOR COTTON MOP
1 IRONING BOARD
2 LONG BRUSHES 
1 MIRROR 
4 SOFA FOAM
4 SOFT BROOM
2 STAND FAN 
5 HAND BRUSH</v>
      </c>
      <c r="E701" s="196" t="str">
        <f>IFERROR(__xludf.DUMMYFUNCTION("""COMPUTED_VALUE"""),"FOR HOUSE MATERIALS")</f>
        <v>FOR HOUSE MATERIALS</v>
      </c>
    </row>
    <row r="702">
      <c r="A702" s="234">
        <f>IFERROR(__xludf.DUMMYFUNCTION("""COMPUTED_VALUE"""),105535.0)</f>
        <v>105535</v>
      </c>
      <c r="B702" s="235" t="str">
        <f>IFERROR(__xludf.DUMMYFUNCTION("""COMPUTED_VALUE"""),"RODRIGO CUSTODIO")</f>
        <v>RODRIGO CUSTODIO</v>
      </c>
      <c r="C702" s="235" t="str">
        <f>IFERROR(__xludf.DUMMYFUNCTION("""COMPUTED_VALUE"""),"AMD")</f>
        <v>AMD</v>
      </c>
      <c r="D702" s="196" t="str">
        <f>IFERROR(__xludf.DUMMYFUNCTION("""COMPUTED_VALUE"""),"120 CANS SCENTED BAYGON PROTECTOR MULTI INSECT KILLER 500 ML CAN
80 PACKS TRASH BAG SMALL (18"" X 18"")
200 PACKS CHLORINE 1KG PER PACK")</f>
        <v>120 CANS SCENTED BAYGON PROTECTOR MULTI INSECT KILLER 500 ML CAN
80 PACKS TRASH BAG SMALL (18" X 18")
200 PACKS CHLORINE 1KG PER PACK</v>
      </c>
      <c r="E702" s="196" t="str">
        <f>IFERROR(__xludf.DUMMYFUNCTION("""COMPUTED_VALUE"""),"HOUSEKEEPING MATERIALS STOCK REPLENISHMENT")</f>
        <v>HOUSEKEEPING MATERIALS STOCK REPLENISHMENT</v>
      </c>
    </row>
    <row r="703">
      <c r="A703" s="234">
        <f>IFERROR(__xludf.DUMMYFUNCTION("""COMPUTED_VALUE"""),105536.0)</f>
        <v>105536</v>
      </c>
      <c r="B703" s="235" t="str">
        <f>IFERROR(__xludf.DUMMYFUNCTION("""COMPUTED_VALUE"""),"ANGELO PARAZ")</f>
        <v>ANGELO PARAZ</v>
      </c>
      <c r="C703" s="235" t="str">
        <f>IFERROR(__xludf.DUMMYFUNCTION("""COMPUTED_VALUE"""),"SCIENCE LAB BASIC ED.")</f>
        <v>SCIENCE LAB BASIC ED.</v>
      </c>
      <c r="D703" s="196" t="str">
        <f>IFERROR(__xludf.DUMMYFUNCTION("""COMPUTED_VALUE"""),"-50L DISTILLED WATER 
-5L VINEGAR 
-2L BLEACH 
-3L HYDROGEN PEROXIDE 30%
-5L ETHYL ALCOHOL 90-95%
-3L GLYCEROL/GLYCERINE 
-500 ML METHYLYN BLUE
-20 BOTTLES LIQUID HAND SOAP 
-1L BIURET SOLUTION 
-5L DENATURED ALCOHOL
-2 KG SODIUM CHLORIDE SOLID
-2KG SUGAR"&amp;" 
-1KG BOROX/ SODIUM BORATE 
-1KG POTASSIUM CHLORIDE (POWDER, USD GRADE)
-3 ROLLS MAGNESIUM RIBBON (1FT)
1KG ZINC CHLORIDE 
-3KG BAKING SODA
-20 BOXES 3 LAYER MASK DISPOSABLE 
-20 BOXES NITRILE GLOVES POWDER FREE
-20 PACKS INTERFOLDED PAPER TOWEL
-3L DISH"&amp;"WASHING LIQUID 
-10 BOTTLES ETHYL ALCOHOL 70% 500ML 
SCALPEL BLADES")</f>
        <v>-50L DISTILLED WATER 
-5L VINEGAR 
-2L BLEACH 
-3L HYDROGEN PEROXIDE 30%
-5L ETHYL ALCOHOL 90-95%
-3L GLYCEROL/GLYCERINE 
-500 ML METHYLYN BLUE
-20 BOTTLES LIQUID HAND SOAP 
-1L BIURET SOLUTION 
-5L DENATURED ALCOHOL
-2 KG SODIUM CHLORIDE SOLID
-2KG SUGAR 
-1KG BOROX/ SODIUM BORATE 
-1KG POTASSIUM CHLORIDE (POWDER, USD GRADE)
-3 ROLLS MAGNESIUM RIBBON (1FT)
1KG ZINC CHLORIDE 
-3KG BAKING SODA
-20 BOXES 3 LAYER MASK DISPOSABLE 
-20 BOXES NITRILE GLOVES POWDER FREE
-20 PACKS INTERFOLDED PAPER TOWEL
-3L DISHWASHING LIQUID 
-10 BOTTLES ETHYL ALCOHOL 70% 500ML 
SCALPEL BLADES</v>
      </c>
      <c r="E703" s="196" t="str">
        <f>IFERROR(__xludf.DUMMYFUNCTION("""COMPUTED_VALUE"""),"FOR REPLENISHMENT OF CHEMICALS IN CHEM LAB ")</f>
        <v>FOR REPLENISHMENT OF CHEMICALS IN CHEM LAB </v>
      </c>
    </row>
    <row r="704">
      <c r="A704" s="234">
        <f>IFERROR(__xludf.DUMMYFUNCTION("""COMPUTED_VALUE"""),105537.0)</f>
        <v>105537</v>
      </c>
      <c r="B704" s="235" t="str">
        <f>IFERROR(__xludf.DUMMYFUNCTION("""COMPUTED_VALUE"""),"JESUIT CHRISTIAN GALICIA")</f>
        <v>JESUIT CHRISTIAN GALICIA</v>
      </c>
      <c r="C704" s="235" t="str">
        <f>IFERROR(__xludf.DUMMYFUNCTION("""COMPUTED_VALUE"""),"AMD")</f>
        <v>AMD</v>
      </c>
      <c r="D704" s="196" t="str">
        <f>IFERROR(__xludf.DUMMYFUNCTION("""COMPUTED_VALUE"""),"40PCS DOOR KNOB (YALE CYLINDRICAL YLHCA5127)")</f>
        <v>40PCS DOOR KNOB (YALE CYLINDRICAL YLHCA5127)</v>
      </c>
      <c r="E704" s="196" t="str">
        <f>IFERROR(__xludf.DUMMYFUNCTION("""COMPUTED_VALUE"""),"ENGR WAREHOUSE STOCK REPLENISHMENT")</f>
        <v>ENGR WAREHOUSE STOCK REPLENISHMENT</v>
      </c>
    </row>
    <row r="705">
      <c r="A705" s="234">
        <f>IFERROR(__xludf.DUMMYFUNCTION("""COMPUTED_VALUE"""),105538.0)</f>
        <v>105538</v>
      </c>
      <c r="B705" s="235" t="str">
        <f>IFERROR(__xludf.DUMMYFUNCTION("""COMPUTED_VALUE"""),"JESUIT CHRISTIAN GALICIA")</f>
        <v>JESUIT CHRISTIAN GALICIA</v>
      </c>
      <c r="C705" s="235" t="str">
        <f>IFERROR(__xludf.DUMMYFUNCTION("""COMPUTED_VALUE"""),"AMD")</f>
        <v>AMD</v>
      </c>
      <c r="D705" s="196" t="str">
        <f>IFERROR(__xludf.DUMMYFUNCTION("""COMPUTED_VALUE"""),"10 PCS EDIFIER SPEAKER X100B")</f>
        <v>10 PCS EDIFIER SPEAKER X100B</v>
      </c>
      <c r="E705" s="196" t="str">
        <f>IFERROR(__xludf.DUMMYFUNCTION("""COMPUTED_VALUE"""),"MIS WAREHOUSE STOCK REPLENISHMENT")</f>
        <v>MIS WAREHOUSE STOCK REPLENISHMENT</v>
      </c>
    </row>
    <row r="706">
      <c r="A706" s="234">
        <f>IFERROR(__xludf.DUMMYFUNCTION("""COMPUTED_VALUE"""),105539.0)</f>
        <v>105539</v>
      </c>
      <c r="B706" s="235" t="str">
        <f>IFERROR(__xludf.DUMMYFUNCTION("""COMPUTED_VALUE"""),"RODRIGO CUSTODIO")</f>
        <v>RODRIGO CUSTODIO</v>
      </c>
      <c r="C706" s="235" t="str">
        <f>IFERROR(__xludf.DUMMYFUNCTION("""COMPUTED_VALUE"""),"AMD")</f>
        <v>AMD</v>
      </c>
      <c r="D706" s="196" t="str">
        <f>IFERROR(__xludf.DUMMYFUNCTION("""COMPUTED_VALUE"""),"DRAIN MAINTAINER AND DEODORIZER (STATE) D-STROY 1 U.S. GAL ")</f>
        <v>DRAIN MAINTAINER AND DEODORIZER (STATE) D-STROY 1 U.S. GAL </v>
      </c>
      <c r="E706" s="196" t="str">
        <f>IFERROR(__xludf.DUMMYFUNCTION("""COMPUTED_VALUE"""),"HOUSEKEEPING MATERIALS- STOCK REPLENISHMENT")</f>
        <v>HOUSEKEEPING MATERIALS- STOCK REPLENISHMENT</v>
      </c>
    </row>
    <row r="707">
      <c r="A707" s="234">
        <f>IFERROR(__xludf.DUMMYFUNCTION("""COMPUTED_VALUE"""),105540.0)</f>
        <v>105540</v>
      </c>
      <c r="B707" s="235" t="str">
        <f>IFERROR(__xludf.DUMMYFUNCTION("""COMPUTED_VALUE"""),"OWIE PAR")</f>
        <v>OWIE PAR</v>
      </c>
      <c r="C707" s="235" t="str">
        <f>IFERROR(__xludf.DUMMYFUNCTION("""COMPUTED_VALUE"""),"ENGINEERING")</f>
        <v>ENGINEERING</v>
      </c>
      <c r="D707" s="196"/>
      <c r="E707" s="196"/>
    </row>
    <row r="708">
      <c r="A708" s="234">
        <f>IFERROR(__xludf.DUMMYFUNCTION("""COMPUTED_VALUE"""),105541.0)</f>
        <v>105541</v>
      </c>
      <c r="B708" s="235" t="str">
        <f>IFERROR(__xludf.DUMMYFUNCTION("""COMPUTED_VALUE"""),"LYKA PERALTA")</f>
        <v>LYKA PERALTA</v>
      </c>
      <c r="C708" s="235" t="str">
        <f>IFERROR(__xludf.DUMMYFUNCTION("""COMPUTED_VALUE"""),"AMD")</f>
        <v>AMD</v>
      </c>
      <c r="D708" s="196" t="str">
        <f>IFERROR(__xludf.DUMMYFUNCTION("""COMPUTED_VALUE"""),"1,011 PCS LANYARD K12-IB, SISC PRINT WITH ID PRO LANDSCAPE (NEW LOGO) 20 CM")</f>
        <v>1,011 PCS LANYARD K12-IB, SISC PRINT WITH ID PRO LANDSCAPE (NEW LOGO) 20 CM</v>
      </c>
      <c r="E708" s="196" t="str">
        <f>IFERROR(__xludf.DUMMYFUNCTION("""COMPUTED_VALUE"""),"REPLENISHMENT FOR AY 25-26")</f>
        <v>REPLENISHMENT FOR AY 25-26</v>
      </c>
    </row>
    <row r="709">
      <c r="A709" s="234">
        <f>IFERROR(__xludf.DUMMYFUNCTION("""COMPUTED_VALUE"""),105542.0)</f>
        <v>105542</v>
      </c>
      <c r="B709" s="235" t="str">
        <f>IFERROR(__xludf.DUMMYFUNCTION("""COMPUTED_VALUE"""),"ANGELIE MADANLOG ")</f>
        <v>ANGELIE MADANLOG </v>
      </c>
      <c r="C709" s="235" t="str">
        <f>IFERROR(__xludf.DUMMYFUNCTION("""COMPUTED_VALUE"""),"FINANCE &amp; ACCOUNTING")</f>
        <v>FINANCE &amp; ACCOUNTING</v>
      </c>
      <c r="D709" s="196" t="str">
        <f>IFERROR(__xludf.DUMMYFUNCTION("""COMPUTED_VALUE"""),"500 PCS EXAM PERMIT")</f>
        <v>500 PCS EXAM PERMIT</v>
      </c>
      <c r="E709" s="196" t="str">
        <f>IFERROR(__xludf.DUMMYFUNCTION("""COMPUTED_VALUE"""),"FOR EXAM PERMIT")</f>
        <v>FOR EXAM PERMIT</v>
      </c>
    </row>
    <row r="710">
      <c r="A710" s="234">
        <f>IFERROR(__xludf.DUMMYFUNCTION("""COMPUTED_VALUE"""),105543.0)</f>
        <v>105543</v>
      </c>
      <c r="B710" s="235" t="str">
        <f>IFERROR(__xludf.DUMMYFUNCTION("""COMPUTED_VALUE"""),"JESSABEL ARISCON")</f>
        <v>JESSABEL ARISCON</v>
      </c>
      <c r="C710" s="235" t="str">
        <f>IFERROR(__xludf.DUMMYFUNCTION("""COMPUTED_VALUE"""),"PURCHASING")</f>
        <v>PURCHASING</v>
      </c>
      <c r="D710" s="196" t="str">
        <f>IFERROR(__xludf.DUMMYFUNCTION("""COMPUTED_VALUE"""),"1 MEGABOX STORAGE 155L")</f>
        <v>1 MEGABOX STORAGE 155L</v>
      </c>
      <c r="E710" s="196" t="str">
        <f>IFERROR(__xludf.DUMMYFUNCTION("""COMPUTED_VALUE"""),"FOR STORAGE OF DOCUMENTS")</f>
        <v>FOR STORAGE OF DOCUMENTS</v>
      </c>
    </row>
    <row r="711">
      <c r="A711" s="234">
        <f>IFERROR(__xludf.DUMMYFUNCTION("""COMPUTED_VALUE"""),105544.0)</f>
        <v>105544</v>
      </c>
      <c r="B711" s="235" t="str">
        <f>IFERROR(__xludf.DUMMYFUNCTION("""COMPUTED_VALUE"""),"JESSABEL ARISCON")</f>
        <v>JESSABEL ARISCON</v>
      </c>
      <c r="C711" s="235" t="str">
        <f>IFERROR(__xludf.DUMMYFUNCTION("""COMPUTED_VALUE"""),"PURCHASING")</f>
        <v>PURCHASING</v>
      </c>
      <c r="D711" s="196" t="str">
        <f>IFERROR(__xludf.DUMMYFUNCTION("""COMPUTED_VALUE"""),"1PC VAULT")</f>
        <v>1PC VAULT</v>
      </c>
      <c r="E711" s="196" t="str">
        <f>IFERROR(__xludf.DUMMYFUNCTION("""COMPUTED_VALUE"""),"FOR OFFICE USE")</f>
        <v>FOR OFFICE USE</v>
      </c>
    </row>
    <row r="712">
      <c r="A712" s="234">
        <f>IFERROR(__xludf.DUMMYFUNCTION("""COMPUTED_VALUE"""),105545.0)</f>
        <v>105545</v>
      </c>
      <c r="B712" s="235" t="str">
        <f>IFERROR(__xludf.DUMMYFUNCTION("""COMPUTED_VALUE"""),"ALFA DE LEON")</f>
        <v>ALFA DE LEON</v>
      </c>
      <c r="C712" s="235" t="str">
        <f>IFERROR(__xludf.DUMMYFUNCTION("""COMPUTED_VALUE"""),"ADMIN - MUNICH")</f>
        <v>ADMIN - MUNICH</v>
      </c>
      <c r="D712" s="196" t="str">
        <f>IFERROR(__xludf.DUMMYFUNCTION("""COMPUTED_VALUE"""),"4 WATER SPRINKLER")</f>
        <v>4 WATER SPRINKLER</v>
      </c>
      <c r="E712" s="196" t="str">
        <f>IFERROR(__xludf.DUMMYFUNCTION("""COMPUTED_VALUE"""),"BROKEN SPRINKLER ")</f>
        <v>BROKEN SPRINKLER </v>
      </c>
    </row>
    <row r="713">
      <c r="A713" s="234">
        <f>IFERROR(__xludf.DUMMYFUNCTION("""COMPUTED_VALUE"""),105546.0)</f>
        <v>105546</v>
      </c>
      <c r="B713" s="235" t="str">
        <f>IFERROR(__xludf.DUMMYFUNCTION("""COMPUTED_VALUE"""),"ALLISTINE PEREZ")</f>
        <v>ALLISTINE PEREZ</v>
      </c>
      <c r="C713" s="235" t="str">
        <f>IFERROR(__xludf.DUMMYFUNCTION("""COMPUTED_VALUE"""),"REGISTRATION")</f>
        <v>REGISTRATION</v>
      </c>
      <c r="D713" s="196" t="str">
        <f>IFERROR(__xludf.DUMMYFUNCTION("""COMPUTED_VALUE"""),"-1500 PCS GS REPORT CARD
-1500 PCS JHS REPORT CARD PAPER
-1000 PCS SHS REPORT CARD PAPER
-200 PCS IB REPORT CARD PAPER
-800 PCS BASIC ED DIPLOMA HOLDER 
-200 PCS COLLEGE DIPLOMA HOLDER 
-10 REAMS BASIC ED TOR PAPER
-1800 PCS REPORT CARD HOLDER 
-500 PCS C"&amp;"OLLEGE STUDENT JACKET 
-2000 PCS SISC BIG ENVELOPE")</f>
        <v>-1500 PCS GS REPORT CARD
-1500 PCS JHS REPORT CARD PAPER
-1000 PCS SHS REPORT CARD PAPER
-200 PCS IB REPORT CARD PAPER
-800 PCS BASIC ED DIPLOMA HOLDER 
-200 PCS COLLEGE DIPLOMA HOLDER 
-10 REAMS BASIC ED TOR PAPER
-1800 PCS REPORT CARD HOLDER 
-500 PCS COLLEGE STUDENT JACKET 
-2000 PCS SISC BIG ENVELOPE</v>
      </c>
      <c r="E713" s="196" t="str">
        <f>IFERROR(__xludf.DUMMYFUNCTION("""COMPUTED_VALUE"""),"FOR CREDENTIAL RELEASING T3 PTC GRADUATION PREPARATION FILING OF 201")</f>
        <v>FOR CREDENTIAL RELEASING T3 PTC GRADUATION PREPARATION FILING OF 201</v>
      </c>
    </row>
    <row r="714">
      <c r="A714" s="234">
        <f>IFERROR(__xludf.DUMMYFUNCTION("""COMPUTED_VALUE"""),105547.0)</f>
        <v>105547</v>
      </c>
      <c r="B714" s="235" t="str">
        <f>IFERROR(__xludf.DUMMYFUNCTION("""COMPUTED_VALUE"""),"SHEREE ESPINOSA ")</f>
        <v>SHEREE ESPINOSA </v>
      </c>
      <c r="C714" s="235" t="str">
        <f>IFERROR(__xludf.DUMMYFUNCTION("""COMPUTED_VALUE"""),"ADMIN")</f>
        <v>ADMIN</v>
      </c>
      <c r="D714" s="196" t="str">
        <f>IFERROR(__xludf.DUMMYFUNCTION("""COMPUTED_VALUE"""),"40 PCS. SWIVEL CHAIRS ")</f>
        <v>40 PCS. SWIVEL CHAIRS </v>
      </c>
      <c r="E714" s="196" t="str">
        <f>IFERROR(__xludf.DUMMYFUNCTION("""COMPUTED_VALUE"""),"FOR 5F NEW OFFICES/ CLASSROOMS AND OSA ")</f>
        <v>FOR 5F NEW OFFICES/ CLASSROOMS AND OSA </v>
      </c>
    </row>
    <row r="715">
      <c r="A715" s="234">
        <f>IFERROR(__xludf.DUMMYFUNCTION("""COMPUTED_VALUE"""),105548.0)</f>
        <v>105548</v>
      </c>
      <c r="B715" s="235" t="str">
        <f>IFERROR(__xludf.DUMMYFUNCTION("""COMPUTED_VALUE"""),"LYKA PERALTA")</f>
        <v>LYKA PERALTA</v>
      </c>
      <c r="C715" s="235" t="str">
        <f>IFERROR(__xludf.DUMMYFUNCTION("""COMPUTED_VALUE"""),"AMD")</f>
        <v>AMD</v>
      </c>
      <c r="D715" s="196" t="str">
        <f>IFERROR(__xludf.DUMMYFUNCTION("""COMPUTED_VALUE"""),"200 PCS CORRECTION TAPE, JOY, 30 PCS PUSH PINS 30'S ")</f>
        <v>200 PCS CORRECTION TAPE, JOY, 30 PCS PUSH PINS 30'S </v>
      </c>
      <c r="E715" s="196" t="str">
        <f>IFERROR(__xludf.DUMMYFUNCTION("""COMPUTED_VALUE"""),"OSSUP STOCK REPLENISHMENT ")</f>
        <v>OSSUP STOCK REPLENISHMENT </v>
      </c>
    </row>
    <row r="716">
      <c r="A716" s="234">
        <f>IFERROR(__xludf.DUMMYFUNCTION("""COMPUTED_VALUE"""),105549.0)</f>
        <v>105549</v>
      </c>
      <c r="B716" s="235" t="str">
        <f>IFERROR(__xludf.DUMMYFUNCTION("""COMPUTED_VALUE"""),"LYKA PERALTA")</f>
        <v>LYKA PERALTA</v>
      </c>
      <c r="C716" s="235" t="str">
        <f>IFERROR(__xludf.DUMMYFUNCTION("""COMPUTED_VALUE"""),"AMD")</f>
        <v>AMD</v>
      </c>
      <c r="D716" s="196" t="str">
        <f>IFERROR(__xludf.DUMMYFUNCTION("""COMPUTED_VALUE"""),"125 PCS FRAME CERTIFICATE ORDINARY- BROWN 8.5 X 11")</f>
        <v>125 PCS FRAME CERTIFICATE ORDINARY- BROWN 8.5 X 11</v>
      </c>
      <c r="E716" s="196" t="str">
        <f>IFERROR(__xludf.DUMMYFUNCTION("""COMPUTED_VALUE"""),"OSSUP STOCK REPLENISHMENT ")</f>
        <v>OSSUP STOCK REPLENISHMENT </v>
      </c>
    </row>
    <row r="717">
      <c r="A717" s="234">
        <f>IFERROR(__xludf.DUMMYFUNCTION("""COMPUTED_VALUE"""),105550.0)</f>
        <v>105550</v>
      </c>
      <c r="B717" s="235" t="str">
        <f>IFERROR(__xludf.DUMMYFUNCTION("""COMPUTED_VALUE"""),"JESUIT CHRISTIAN GALICIA")</f>
        <v>JESUIT CHRISTIAN GALICIA</v>
      </c>
      <c r="C717" s="235" t="str">
        <f>IFERROR(__xludf.DUMMYFUNCTION("""COMPUTED_VALUE"""),"AMD")</f>
        <v>AMD</v>
      </c>
      <c r="D717" s="196" t="str">
        <f>IFERROR(__xludf.DUMMYFUNCTION("""COMPUTED_VALUE"""),"15 PCS  FILL VALVE (MECO UNIVERSAL ADJUSTABLE S107)")</f>
        <v>15 PCS  FILL VALVE (MECO UNIVERSAL ADJUSTABLE S107)</v>
      </c>
      <c r="E717" s="196" t="str">
        <f>IFERROR(__xludf.DUMMYFUNCTION("""COMPUTED_VALUE"""),"ENGR STOCK REPLENISHMENT")</f>
        <v>ENGR STOCK REPLENISHMENT</v>
      </c>
    </row>
    <row r="718">
      <c r="A718" s="234">
        <f>IFERROR(__xludf.DUMMYFUNCTION("""COMPUTED_VALUE"""),105551.0)</f>
        <v>105551</v>
      </c>
      <c r="B718" s="235" t="str">
        <f>IFERROR(__xludf.DUMMYFUNCTION("""COMPUTED_VALUE"""),"JESUIT CHRISTIAN GALICIA")</f>
        <v>JESUIT CHRISTIAN GALICIA</v>
      </c>
      <c r="C718" s="235" t="str">
        <f>IFERROR(__xludf.DUMMYFUNCTION("""COMPUTED_VALUE"""),"AMD")</f>
        <v>AMD</v>
      </c>
      <c r="D718" s="196" t="str">
        <f>IFERROR(__xludf.DUMMYFUNCTION("""COMPUTED_VALUE"""),"90 PCS. AVR POWER LOGIC ")</f>
        <v>90 PCS. AVR POWER LOGIC </v>
      </c>
      <c r="E718" s="196" t="str">
        <f>IFERROR(__xludf.DUMMYFUNCTION("""COMPUTED_VALUE"""),"MIS WAREHOUSE STOCK REPLENISHMENT")</f>
        <v>MIS WAREHOUSE STOCK REPLENISHMENT</v>
      </c>
    </row>
    <row r="719">
      <c r="A719" s="234">
        <f>IFERROR(__xludf.DUMMYFUNCTION("""COMPUTED_VALUE"""),105552.0)</f>
        <v>105552</v>
      </c>
      <c r="B719" s="235" t="str">
        <f>IFERROR(__xludf.DUMMYFUNCTION("""COMPUTED_VALUE"""),"ALFA DE LEON")</f>
        <v>ALFA DE LEON</v>
      </c>
      <c r="C719" s="235" t="str">
        <f>IFERROR(__xludf.DUMMYFUNCTION("""COMPUTED_VALUE"""),"ADMIN - MUNICH")</f>
        <v>ADMIN - MUNICH</v>
      </c>
      <c r="D719" s="196" t="str">
        <f>IFERROR(__xludf.DUMMYFUNCTION("""COMPUTED_VALUE"""),"FLOOR FAN (SEE ATTACHED SPECS) , 6 PCS. ")</f>
        <v>FLOOR FAN (SEE ATTACHED SPECS) , 6 PCS. </v>
      </c>
      <c r="E719" s="196" t="str">
        <f>IFERROR(__xludf.DUMMYFUNCTION("""COMPUTED_VALUE"""),"GF, 2F,3F ")</f>
        <v>GF, 2F,3F </v>
      </c>
    </row>
    <row r="720">
      <c r="A720" s="234">
        <f>IFERROR(__xludf.DUMMYFUNCTION("""COMPUTED_VALUE"""),105553.0)</f>
        <v>105553</v>
      </c>
      <c r="B720" s="235" t="str">
        <f>IFERROR(__xludf.DUMMYFUNCTION("""COMPUTED_VALUE"""),"SHEREE ESPINOSA ")</f>
        <v>SHEREE ESPINOSA </v>
      </c>
      <c r="C720" s="235" t="str">
        <f>IFERROR(__xludf.DUMMYFUNCTION("""COMPUTED_VALUE"""),"ADMIN")</f>
        <v>ADMIN</v>
      </c>
      <c r="D720" s="196" t="str">
        <f>IFERROR(__xludf.DUMMYFUNCTION("""COMPUTED_VALUE"""),"2 PCS HEAVY DUTY TILE ADHESIVE, 4 PCS CUTTING DISC, 4 GALS SEALER ")</f>
        <v>2 PCS HEAVY DUTY TILE ADHESIVE, 4 PCS CUTTING DISC, 4 GALS SEALER </v>
      </c>
      <c r="E720" s="196" t="str">
        <f>IFERROR(__xludf.DUMMYFUNCTION("""COMPUTED_VALUE"""),"FOR COLLEGE WALKWAY- ADDTL INSTALLATION OF STONE FOR CLADDING ( COLLEGE WAQLL OF FAME AND COLLEGE GATE POST)")</f>
        <v>FOR COLLEGE WALKWAY- ADDTL INSTALLATION OF STONE FOR CLADDING ( COLLEGE WAQLL OF FAME AND COLLEGE GATE POST)</v>
      </c>
    </row>
    <row r="721">
      <c r="A721" s="234">
        <f>IFERROR(__xludf.DUMMYFUNCTION("""COMPUTED_VALUE"""),105554.0)</f>
        <v>105554</v>
      </c>
      <c r="B721" s="235" t="str">
        <f>IFERROR(__xludf.DUMMYFUNCTION("""COMPUTED_VALUE"""),"ALFA DE LEON")</f>
        <v>ALFA DE LEON</v>
      </c>
      <c r="C721" s="235" t="str">
        <f>IFERROR(__xludf.DUMMYFUNCTION("""COMPUTED_VALUE"""),"ADMIN - MUNICH")</f>
        <v>ADMIN - MUNICH</v>
      </c>
      <c r="D721" s="196" t="str">
        <f>IFERROR(__xludf.DUMMYFUNCTION("""COMPUTED_VALUE"""),"2 PCS OVERHEAD DOOR CLOSER ")</f>
        <v>2 PCS OVERHEAD DOOR CLOSER </v>
      </c>
      <c r="E721" s="196" t="str">
        <f>IFERROR(__xludf.DUMMYFUNCTION("""COMPUTED_VALUE"""),"REPAIR OF GLASSDOOR FOR OUTDOOR PLAYGROUND STORAGE AREA")</f>
        <v>REPAIR OF GLASSDOOR FOR OUTDOOR PLAYGROUND STORAGE AREA</v>
      </c>
    </row>
    <row r="722">
      <c r="A722" s="234">
        <f>IFERROR(__xludf.DUMMYFUNCTION("""COMPUTED_VALUE"""),105555.0)</f>
        <v>105555</v>
      </c>
      <c r="B722" s="235" t="str">
        <f>IFERROR(__xludf.DUMMYFUNCTION("""COMPUTED_VALUE"""),"RACHEL PAMATIAN")</f>
        <v>RACHEL PAMATIAN</v>
      </c>
      <c r="C722" s="235" t="str">
        <f>IFERROR(__xludf.DUMMYFUNCTION("""COMPUTED_VALUE"""),"ADMIN - STAR")</f>
        <v>ADMIN - STAR</v>
      </c>
      <c r="D722" s="196" t="str">
        <f>IFERROR(__xludf.DUMMYFUNCTION("""COMPUTED_VALUE"""),"LED FLOODLIGHT 50 WATTS (DAYLIGHT) IP65 SIZE 2.2 X 175 X 47.5 MM
INPUT VOLTAGE 180-265 VAC")</f>
        <v>LED FLOODLIGHT 50 WATTS (DAYLIGHT) IP65 SIZE 2.2 X 175 X 47.5 MM
INPUT VOLTAGE 180-265 VAC</v>
      </c>
      <c r="E722" s="196" t="str">
        <f>IFERROR(__xludf.DUMMYFUNCTION("""COMPUTED_VALUE"""),"LED FLOODLIGHT FOR LV ROOF TARP, ANNES AND LV SIDE APRKING")</f>
        <v>LED FLOODLIGHT FOR LV ROOF TARP, ANNES AND LV SIDE APRKING</v>
      </c>
    </row>
    <row r="723">
      <c r="A723" s="234">
        <f>IFERROR(__xludf.DUMMYFUNCTION("""COMPUTED_VALUE"""),105556.0)</f>
        <v>105556</v>
      </c>
      <c r="B723" s="235" t="str">
        <f>IFERROR(__xludf.DUMMYFUNCTION("""COMPUTED_VALUE"""),"SHEREE ESPINOSA")</f>
        <v>SHEREE ESPINOSA</v>
      </c>
      <c r="C723" s="235" t="str">
        <f>IFERROR(__xludf.DUMMYFUNCTION("""COMPUTED_VALUE"""),"ADMIN")</f>
        <v>ADMIN</v>
      </c>
      <c r="D723" s="196" t="str">
        <f>IFERROR(__xludf.DUMMYFUNCTION("""COMPUTED_VALUE"""),"5 BOXES ACOUSTIC BOARD EACH
-LUX
-TROPICAL
-COLLEGE
-MUNICH
-STAR")</f>
        <v>5 BOXES ACOUSTIC BOARD EACH
-LUX
-TROPICAL
-COLLEGE
-MUNICH
-STAR</v>
      </c>
      <c r="E723" s="196" t="str">
        <f>IFERROR(__xludf.DUMMYFUNCTION("""COMPUTED_VALUE"""),"REPLACEMENT AND STOCK FOR ALL CAMPUSES")</f>
        <v>REPLACEMENT AND STOCK FOR ALL CAMPUSES</v>
      </c>
    </row>
    <row r="724">
      <c r="A724" s="234">
        <f>IFERROR(__xludf.DUMMYFUNCTION("""COMPUTED_VALUE"""),105557.0)</f>
        <v>105557</v>
      </c>
      <c r="B724" s="235" t="str">
        <f>IFERROR(__xludf.DUMMYFUNCTION("""COMPUTED_VALUE"""),"SHEREE ESPINOSA")</f>
        <v>SHEREE ESPINOSA</v>
      </c>
      <c r="C724" s="235" t="str">
        <f>IFERROR(__xludf.DUMMYFUNCTION("""COMPUTED_VALUE"""),"ADMIN")</f>
        <v>ADMIN</v>
      </c>
      <c r="D724" s="196" t="str">
        <f>IFERROR(__xludf.DUMMYFUNCTION("""COMPUTED_VALUE"""),"WATER DISPENSER ")</f>
        <v>WATER DISPENSER </v>
      </c>
      <c r="E724" s="196" t="str">
        <f>IFERROR(__xludf.DUMMYFUNCTION("""COMPUTED_VALUE"""),"FOR 5F COLLEGE ACCREDITATION OFFICE/FACULTY")</f>
        <v>FOR 5F COLLEGE ACCREDITATION OFFICE/FACULTY</v>
      </c>
    </row>
    <row r="725">
      <c r="A725" s="234">
        <f>IFERROR(__xludf.DUMMYFUNCTION("""COMPUTED_VALUE"""),105558.0)</f>
        <v>105558</v>
      </c>
      <c r="B725" s="235" t="str">
        <f>IFERROR(__xludf.DUMMYFUNCTION("""COMPUTED_VALUE"""),"OWIE PAR")</f>
        <v>OWIE PAR</v>
      </c>
      <c r="C725" s="235" t="str">
        <f>IFERROR(__xludf.DUMMYFUNCTION("""COMPUTED_VALUE"""),"ENGINEERING")</f>
        <v>ENGINEERING</v>
      </c>
      <c r="D725" s="196" t="str">
        <f>IFERROR(__xludf.DUMMYFUNCTION("""COMPUTED_VALUE"""),"4PCS CIRCUIT BREAKER 60 AMP 3 POLE BOLT ON G.E")</f>
        <v>4PCS CIRCUIT BREAKER 60 AMP 3 POLE BOLT ON G.E</v>
      </c>
      <c r="E725" s="196" t="str">
        <f>IFERROR(__xludf.DUMMYFUNCTION("""COMPUTED_VALUE"""),"FOR COLLEGE CAFETERIA ACU")</f>
        <v>FOR COLLEGE CAFETERIA ACU</v>
      </c>
    </row>
    <row r="726">
      <c r="A726" s="234">
        <f>IFERROR(__xludf.DUMMYFUNCTION("""COMPUTED_VALUE"""),105559.0)</f>
        <v>105559</v>
      </c>
      <c r="B726" s="235" t="str">
        <f>IFERROR(__xludf.DUMMYFUNCTION("""COMPUTED_VALUE"""),"KIM DEXTER BODOSO")</f>
        <v>KIM DEXTER BODOSO</v>
      </c>
      <c r="C726" s="235" t="str">
        <f>IFERROR(__xludf.DUMMYFUNCTION("""COMPUTED_VALUE"""),"PR &amp; MARKETING")</f>
        <v>PR &amp; MARKETING</v>
      </c>
      <c r="D726" s="196" t="str">
        <f>IFERROR(__xludf.DUMMYFUNCTION("""COMPUTED_VALUE"""),"1 WOOD PAPER CUTTER A3 SIZE")</f>
        <v>1 WOOD PAPER CUTTER A3 SIZE</v>
      </c>
      <c r="E726" s="196" t="str">
        <f>IFERROR(__xludf.DUMMYFUNCTION("""COMPUTED_VALUE"""),"FOR OFFICE USE OPEN HOUSE AND OTHER EVENTS")</f>
        <v>FOR OFFICE USE OPEN HOUSE AND OTHER EVENTS</v>
      </c>
    </row>
    <row r="727">
      <c r="A727" s="234">
        <f>IFERROR(__xludf.DUMMYFUNCTION("""COMPUTED_VALUE"""),105560.0)</f>
        <v>105560</v>
      </c>
      <c r="B727" s="235" t="str">
        <f>IFERROR(__xludf.DUMMYFUNCTION("""COMPUTED_VALUE"""),"LYKA PERALTA")</f>
        <v>LYKA PERALTA</v>
      </c>
      <c r="C727" s="235" t="str">
        <f>IFERROR(__xludf.DUMMYFUNCTION("""COMPUTED_VALUE"""),"AMD")</f>
        <v>AMD</v>
      </c>
      <c r="D727" s="196" t="str">
        <f>IFERROR(__xludf.DUMMYFUNCTION("""COMPUTED_VALUE"""),"70 PCS TONER CARTRIDGE INKONVERT TN660 FOR BROTHER HL L2300D")</f>
        <v>70 PCS TONER CARTRIDGE INKONVERT TN660 FOR BROTHER HL L2300D</v>
      </c>
      <c r="E727" s="196" t="str">
        <f>IFERROR(__xludf.DUMMYFUNCTION("""COMPUTED_VALUE"""),"OSSUP STOCK REPLENISHMENT ")</f>
        <v>OSSUP STOCK REPLENISHMENT </v>
      </c>
    </row>
    <row r="728">
      <c r="A728" s="234">
        <f>IFERROR(__xludf.DUMMYFUNCTION("""COMPUTED_VALUE"""),105561.0)</f>
        <v>105561</v>
      </c>
      <c r="B728" s="235" t="str">
        <f>IFERROR(__xludf.DUMMYFUNCTION("""COMPUTED_VALUE"""),"LYKA PERALTA")</f>
        <v>LYKA PERALTA</v>
      </c>
      <c r="C728" s="235" t="str">
        <f>IFERROR(__xludf.DUMMYFUNCTION("""COMPUTED_VALUE"""),"AMD")</f>
        <v>AMD</v>
      </c>
      <c r="D728" s="196" t="str">
        <f>IFERROR(__xludf.DUMMYFUNCTION("""COMPUTED_VALUE"""),"200 PCS BATTERY ENERGIZER SIZE AA
900 PCS BATTERY KODAK XTRALIFE ALKALINE SIZE AA / 36PCS PER PACK (MIS SUGGESTION)
180 PCS BATTERY KODAK XTRALIFE ALKALINE SIZE AAA / 36PCS PER PACK (MIS SUGGESTION)")</f>
        <v>200 PCS BATTERY ENERGIZER SIZE AA
900 PCS BATTERY KODAK XTRALIFE ALKALINE SIZE AA / 36PCS PER PACK (MIS SUGGESTION)
180 PCS BATTERY KODAK XTRALIFE ALKALINE SIZE AAA / 36PCS PER PACK (MIS SUGGESTION)</v>
      </c>
      <c r="E728" s="196" t="str">
        <f>IFERROR(__xludf.DUMMYFUNCTION("""COMPUTED_VALUE"""),"OSSUP STOCK REPLENISHMENT ")</f>
        <v>OSSUP STOCK REPLENISHMENT </v>
      </c>
    </row>
    <row r="729">
      <c r="A729" s="234">
        <f>IFERROR(__xludf.DUMMYFUNCTION("""COMPUTED_VALUE"""),105562.0)</f>
        <v>105562</v>
      </c>
      <c r="B729" s="235" t="str">
        <f>IFERROR(__xludf.DUMMYFUNCTION("""COMPUTED_VALUE"""),"JOSSA GALLANOSA ")</f>
        <v>JOSSA GALLANOSA </v>
      </c>
      <c r="C729" s="235" t="str">
        <f>IFERROR(__xludf.DUMMYFUNCTION("""COMPUTED_VALUE"""),"DCO/ISO")</f>
        <v>DCO/ISO</v>
      </c>
      <c r="D729" s="196" t="str">
        <f>IFERROR(__xludf.DUMMYFUNCTION("""COMPUTED_VALUE"""),"73 PCS ISO IQA SHIRT FOR AUDITORS (BATCH 1)")</f>
        <v>73 PCS ISO IQA SHIRT FOR AUDITORS (BATCH 1)</v>
      </c>
      <c r="E729" s="196" t="str">
        <f>IFERROR(__xludf.DUMMYFUNCTION("""COMPUTED_VALUE"""),"IQA 2025")</f>
        <v>IQA 2025</v>
      </c>
    </row>
    <row r="730">
      <c r="A730" s="234">
        <f>IFERROR(__xludf.DUMMYFUNCTION("""COMPUTED_VALUE"""),105563.0)</f>
        <v>105563</v>
      </c>
      <c r="B730" s="235" t="str">
        <f>IFERROR(__xludf.DUMMYFUNCTION("""COMPUTED_VALUE"""),"SHEREE ESPINOSA")</f>
        <v>SHEREE ESPINOSA</v>
      </c>
      <c r="C730" s="235" t="str">
        <f>IFERROR(__xludf.DUMMYFUNCTION("""COMPUTED_VALUE"""),"ADMIN")</f>
        <v>ADMIN</v>
      </c>
      <c r="D730" s="196" t="str">
        <f>IFERROR(__xludf.DUMMYFUNCTION("""COMPUTED_VALUE"""),"1 PC TABLE W/ DRAWER 
1 PC TABLE W/O DRAWER")</f>
        <v>1 PC TABLE W/ DRAWER 
1 PC TABLE W/O DRAWER</v>
      </c>
      <c r="E730" s="196" t="str">
        <f>IFERROR(__xludf.DUMMYFUNCTION("""COMPUTED_VALUE"""),"SAMPLE TABLE FOR 5F COLLEGE")</f>
        <v>SAMPLE TABLE FOR 5F COLLEGE</v>
      </c>
    </row>
    <row r="731">
      <c r="A731" s="234">
        <f>IFERROR(__xludf.DUMMYFUNCTION("""COMPUTED_VALUE"""),105564.0)</f>
        <v>105564</v>
      </c>
      <c r="B731" s="235" t="str">
        <f>IFERROR(__xludf.DUMMYFUNCTION("""COMPUTED_VALUE"""),"MARC VINCENT VITTO")</f>
        <v>MARC VINCENT VITTO</v>
      </c>
      <c r="C731" s="235" t="str">
        <f>IFERROR(__xludf.DUMMYFUNCTION("""COMPUTED_VALUE"""),"PR &amp; MARKETING")</f>
        <v>PR &amp; MARKETING</v>
      </c>
      <c r="D731" s="196" t="str">
        <f>IFERROR(__xludf.DUMMYFUNCTION("""COMPUTED_VALUE"""),"3PCS SD CARDS SANDISK EXTREME PRO 128GB 200MB/S")</f>
        <v>3PCS SD CARDS SANDISK EXTREME PRO 128GB 200MB/S</v>
      </c>
      <c r="E731" s="196" t="str">
        <f>IFERROR(__xludf.DUMMYFUNCTION("""COMPUTED_VALUE"""),"FOR TRANSFERRING FILE AND FOR THE  CAMERA")</f>
        <v>FOR TRANSFERRING FILE AND FOR THE  CAMERA</v>
      </c>
    </row>
    <row r="732">
      <c r="A732" s="234">
        <f>IFERROR(__xludf.DUMMYFUNCTION("""COMPUTED_VALUE"""),105565.0)</f>
        <v>105565</v>
      </c>
      <c r="B732" s="235" t="str">
        <f>IFERROR(__xludf.DUMMYFUNCTION("""COMPUTED_VALUE"""),"LYKA PERALTA")</f>
        <v>LYKA PERALTA</v>
      </c>
      <c r="C732" s="235" t="str">
        <f>IFERROR(__xludf.DUMMYFUNCTION("""COMPUTED_VALUE"""),"AMD")</f>
        <v>AMD</v>
      </c>
      <c r="D732" s="196" t="str">
        <f>IFERROR(__xludf.DUMMYFUNCTION("""COMPUTED_VALUE"""),"-662 PCS TUMBLER SISC VACCUM FLASK BLACK
-497 PCS TUMBLER SISC VACCUM FLASK WHITE
-331 PCS TUMBLER SISC VACCUM FLASK GREEN
-1,665 PCS TUMBLER SISC VACCUM FLASK PURPLE
-165 PCS TUMBLER SISC VACCUM FLASK  PINK")</f>
        <v>-662 PCS TUMBLER SISC VACCUM FLASK BLACK
-497 PCS TUMBLER SISC VACCUM FLASK WHITE
-331 PCS TUMBLER SISC VACCUM FLASK GREEN
-1,665 PCS TUMBLER SISC VACCUM FLASK PURPLE
-165 PCS TUMBLER SISC VACCUM FLASK  PINK</v>
      </c>
      <c r="E732" s="196" t="str">
        <f>IFERROR(__xludf.DUMMYFUNCTION("""COMPUTED_VALUE"""),"TOKEN STOCK REPLENISHMENT ")</f>
        <v>TOKEN STOCK REPLENISHMENT </v>
      </c>
    </row>
    <row r="733">
      <c r="A733" s="234">
        <f>IFERROR(__xludf.DUMMYFUNCTION("""COMPUTED_VALUE"""),105566.0)</f>
        <v>105566</v>
      </c>
      <c r="B733" s="235" t="str">
        <f>IFERROR(__xludf.DUMMYFUNCTION("""COMPUTED_VALUE"""),"PAUL ARANA")</f>
        <v>PAUL ARANA</v>
      </c>
      <c r="C733" s="235" t="str">
        <f>IFERROR(__xludf.DUMMYFUNCTION("""COMPUTED_VALUE"""),"MIS/ICT")</f>
        <v>MIS/ICT</v>
      </c>
      <c r="D733" s="196" t="str">
        <f>IFERROR(__xludf.DUMMYFUNCTION("""COMPUTED_VALUE"""),"2PCS UGREEN HDMI SPLITTER (1 IN 4 OUT)")</f>
        <v>2PCS UGREEN HDMI SPLITTER (1 IN 4 OUT)</v>
      </c>
      <c r="E733" s="196" t="str">
        <f>IFERROR(__xludf.DUMMYFUNCTION("""COMPUTED_VALUE"""),"FOR E-CLASSROOM EXTENDED DISPLAY- FOR PERMANENT RESOLUTION  TO THE 2ND MONITOR DISPLAY CONCERNS IN THE E-CLASSROOMS ")</f>
        <v>FOR E-CLASSROOM EXTENDED DISPLAY- FOR PERMANENT RESOLUTION  TO THE 2ND MONITOR DISPLAY CONCERNS IN THE E-CLASSROOMS </v>
      </c>
    </row>
    <row r="734">
      <c r="A734" s="234">
        <f>IFERROR(__xludf.DUMMYFUNCTION("""COMPUTED_VALUE"""),105567.0)</f>
        <v>105567</v>
      </c>
      <c r="B734" s="235" t="str">
        <f>IFERROR(__xludf.DUMMYFUNCTION("""COMPUTED_VALUE"""),"SHARJAN GATCHALIAN")</f>
        <v>SHARJAN GATCHALIAN</v>
      </c>
      <c r="C734" s="235" t="str">
        <f>IFERROR(__xludf.DUMMYFUNCTION("""COMPUTED_VALUE"""),"MIS/ICT")</f>
        <v>MIS/ICT</v>
      </c>
      <c r="D734" s="196" t="str">
        <f>IFERROR(__xludf.DUMMYFUNCTION("""COMPUTED_VALUE"""),"3PCS UBIQUITY U7 PRO ACCESS POINT ")</f>
        <v>3PCS UBIQUITY U7 PRO ACCESS POINT </v>
      </c>
      <c r="E734" s="196" t="str">
        <f>IFERROR(__xludf.DUMMYFUNCTION("""COMPUTED_VALUE"""),"ACCESS POINT SERVICE UNITS ")</f>
        <v>ACCESS POINT SERVICE UNITS </v>
      </c>
    </row>
    <row r="735">
      <c r="A735" s="234">
        <f>IFERROR(__xludf.DUMMYFUNCTION("""COMPUTED_VALUE"""),105568.0)</f>
        <v>105568</v>
      </c>
      <c r="B735" s="235" t="str">
        <f>IFERROR(__xludf.DUMMYFUNCTION("""COMPUTED_VALUE"""),"SHARJAN GATCHALIAN")</f>
        <v>SHARJAN GATCHALIAN</v>
      </c>
      <c r="C735" s="235" t="str">
        <f>IFERROR(__xludf.DUMMYFUNCTION("""COMPUTED_VALUE"""),"MIS/ICT")</f>
        <v>MIS/ICT</v>
      </c>
      <c r="D735" s="196" t="str">
        <f>IFERROR(__xludf.DUMMYFUNCTION("""COMPUTED_VALUE"""),"1  ASUS VIVOBOOK 14 X1404VA-NK766WSM I5-1334U / 16GB DDR4 / 512 GB NVME / UHD / 14""")</f>
        <v>1  ASUS VIVOBOOK 14 X1404VA-NK766WSM I5-1334U / 16GB DDR4 / 512 GB NVME / UHD / 14"</v>
      </c>
      <c r="E735" s="196" t="str">
        <f>IFERROR(__xludf.DUMMYFUNCTION("""COMPUTED_VALUE"""),"SGEN NETWORK ADMINISTRATOR LAPTOP")</f>
        <v>SGEN NETWORK ADMINISTRATOR LAPTOP</v>
      </c>
    </row>
    <row r="736">
      <c r="A736" s="234">
        <f>IFERROR(__xludf.DUMMYFUNCTION("""COMPUTED_VALUE"""),105569.0)</f>
        <v>105569</v>
      </c>
      <c r="B736" s="235" t="str">
        <f>IFERROR(__xludf.DUMMYFUNCTION("""COMPUTED_VALUE"""),"CHRISTIAN LUCAS")</f>
        <v>CHRISTIAN LUCAS</v>
      </c>
      <c r="C736" s="235" t="str">
        <f>IFERROR(__xludf.DUMMYFUNCTION("""COMPUTED_VALUE"""),"MIS MUNICH")</f>
        <v>MIS MUNICH</v>
      </c>
      <c r="D736" s="196" t="str">
        <f>IFERROR(__xludf.DUMMYFUNCTION("""COMPUTED_VALUE"""),"6 PCS KEVLER  DUAL CHANNEL W-MIC 
1PC PRESONUS AIRIZ Z-WAY ACTIVE SOUND")</f>
        <v>6 PCS KEVLER  DUAL CHANNEL W-MIC 
1PC PRESONUS AIRIZ Z-WAY ACTIVE SOUND</v>
      </c>
      <c r="E736" s="196" t="str">
        <f>IFERROR(__xludf.DUMMYFUNCTION("""COMPUTED_VALUE"""),"ADDITIONAL SETUP FOR STAR &amp; MUNICH CAMPUS")</f>
        <v>ADDITIONAL SETUP FOR STAR &amp; MUNICH CAMPUS</v>
      </c>
    </row>
    <row r="737">
      <c r="A737" s="234">
        <f>IFERROR(__xludf.DUMMYFUNCTION("""COMPUTED_VALUE"""),105570.0)</f>
        <v>105570</v>
      </c>
      <c r="B737" s="235" t="str">
        <f>IFERROR(__xludf.DUMMYFUNCTION("""COMPUTED_VALUE"""),"TRISHA YVOHRE FABULAR")</f>
        <v>TRISHA YVOHRE FABULAR</v>
      </c>
      <c r="C737" s="235" t="str">
        <f>IFERROR(__xludf.DUMMYFUNCTION("""COMPUTED_VALUE"""),"SPECIAL SUBJECTS")</f>
        <v>SPECIAL SUBJECTS</v>
      </c>
      <c r="D737" s="196" t="str">
        <f>IFERROR(__xludf.DUMMYFUNCTION("""COMPUTED_VALUE"""),"2 PCS GTO BADMINTON NET NYLON ")</f>
        <v>2 PCS GTO BADMINTON NET NYLON </v>
      </c>
      <c r="E737" s="196" t="str">
        <f>IFERROR(__xludf.DUMMYFUNCTION("""COMPUTED_VALUE"""),"PE SHS GRADE 11 (BADMINTON)")</f>
        <v>PE SHS GRADE 11 (BADMINTON)</v>
      </c>
    </row>
    <row r="738">
      <c r="A738" s="234">
        <f>IFERROR(__xludf.DUMMYFUNCTION("""COMPUTED_VALUE"""),105571.0)</f>
        <v>105571</v>
      </c>
      <c r="B738" s="235" t="str">
        <f>IFERROR(__xludf.DUMMYFUNCTION("""COMPUTED_VALUE"""),"SHEREE ESPINOSA ")</f>
        <v>SHEREE ESPINOSA </v>
      </c>
      <c r="C738" s="235" t="str">
        <f>IFERROR(__xludf.DUMMYFUNCTION("""COMPUTED_VALUE"""),"ADMIN")</f>
        <v>ADMIN</v>
      </c>
      <c r="D738" s="196" t="str">
        <f>IFERROR(__xludf.DUMMYFUNCTION("""COMPUTED_VALUE"""),"15 PCS 2 GANG CONVENIENCE OUTLET
4PCS LED PANNEL LIGHT 60X60
5 SETS P TRAP DRAIN PIPE 
5PCS BLANK PLATE (COVER)
12 PCS ANGLE VALVE (TWO WAY)")</f>
        <v>15 PCS 2 GANG CONVENIENCE OUTLET
4PCS LED PANNEL LIGHT 60X60
5 SETS P TRAP DRAIN PIPE 
5PCS BLANK PLATE (COVER)
12 PCS ANGLE VALVE (TWO WAY)</v>
      </c>
      <c r="E738" s="196" t="str">
        <f>IFERROR(__xludf.DUMMYFUNCTION("""COMPUTED_VALUE"""),"FOR 5F COLLEGE CRS CLASSROOMS &amp; OFFICE")</f>
        <v>FOR 5F COLLEGE CRS CLASSROOMS &amp; OFFICE</v>
      </c>
    </row>
    <row r="739">
      <c r="A739" s="234">
        <f>IFERROR(__xludf.DUMMYFUNCTION("""COMPUTED_VALUE"""),105572.0)</f>
        <v>105572</v>
      </c>
      <c r="B739" s="235" t="str">
        <f>IFERROR(__xludf.DUMMYFUNCTION("""COMPUTED_VALUE"""),"RODRIGO CUSTODIO")</f>
        <v>RODRIGO CUSTODIO</v>
      </c>
      <c r="C739" s="235" t="str">
        <f>IFERROR(__xludf.DUMMYFUNCTION("""COMPUTED_VALUE"""),"AMD")</f>
        <v>AMD</v>
      </c>
      <c r="D739" s="196" t="str">
        <f>IFERROR(__xludf.DUMMYFUNCTION("""COMPUTED_VALUE"""),"20 PCS FEATHER DUST")</f>
        <v>20 PCS FEATHER DUST</v>
      </c>
      <c r="E739" s="196" t="str">
        <f>IFERROR(__xludf.DUMMYFUNCTION("""COMPUTED_VALUE"""),"HOUSEKEEPING MATERIALS STOCK REPLENISHMENT")</f>
        <v>HOUSEKEEPING MATERIALS STOCK REPLENISHMENT</v>
      </c>
    </row>
    <row r="740">
      <c r="A740" s="234">
        <f>IFERROR(__xludf.DUMMYFUNCTION("""COMPUTED_VALUE"""),105573.0)</f>
        <v>105573</v>
      </c>
      <c r="B740" s="235" t="str">
        <f>IFERROR(__xludf.DUMMYFUNCTION("""COMPUTED_VALUE"""),"MARC VINCENT VITTO")</f>
        <v>MARC VINCENT VITTO</v>
      </c>
      <c r="C740" s="235" t="str">
        <f>IFERROR(__xludf.DUMMYFUNCTION("""COMPUTED_VALUE"""),"PR &amp; MARKETING")</f>
        <v>PR &amp; MARKETING</v>
      </c>
      <c r="D740" s="196" t="str">
        <f>IFERROR(__xludf.DUMMYFUNCTION("""COMPUTED_VALUE"""),"1 STAR CAMPUS OPEN HOUSE 2025 TARP W=305CM X H=197CM 
THICKNESS= 18 OZ ADD SEAMING AND EYELET ALL OVER")</f>
        <v>1 STAR CAMPUS OPEN HOUSE 2025 TARP W=305CM X H=197CM 
THICKNESS= 18 OZ ADD SEAMING AND EYELET ALL OVER</v>
      </c>
      <c r="E740" s="196" t="str">
        <f>IFERROR(__xludf.DUMMYFUNCTION("""COMPUTED_VALUE"""),"MARKETING AND ENROLLMENT")</f>
        <v>MARKETING AND ENROLLMENT</v>
      </c>
    </row>
    <row r="741">
      <c r="A741" s="234">
        <f>IFERROR(__xludf.DUMMYFUNCTION("""COMPUTED_VALUE"""),105574.0)</f>
        <v>105574</v>
      </c>
      <c r="B741" s="235" t="str">
        <f>IFERROR(__xludf.DUMMYFUNCTION("""COMPUTED_VALUE"""),"RONALD D. VERDE")</f>
        <v>RONALD D. VERDE</v>
      </c>
      <c r="C741" s="235" t="str">
        <f>IFERROR(__xludf.DUMMYFUNCTION("""COMPUTED_VALUE"""),"ADMIN")</f>
        <v>ADMIN</v>
      </c>
      <c r="D741" s="196" t="str">
        <f>IFERROR(__xludf.DUMMYFUNCTION("""COMPUTED_VALUE"""),"2PCS WHEEL BORROW ")</f>
        <v>2PCS WHEEL BORROW </v>
      </c>
      <c r="E741" s="196" t="str">
        <f>IFERROR(__xludf.DUMMYFUNCTION("""COMPUTED_VALUE"""),"FOR ENGINEERING USE")</f>
        <v>FOR ENGINEERING USE</v>
      </c>
    </row>
    <row r="742">
      <c r="A742" s="234">
        <f>IFERROR(__xludf.DUMMYFUNCTION("""COMPUTED_VALUE"""),105575.0)</f>
        <v>105575</v>
      </c>
      <c r="B742" s="235" t="str">
        <f>IFERROR(__xludf.DUMMYFUNCTION("""COMPUTED_VALUE"""),"SHEREE ESPINOSA")</f>
        <v>SHEREE ESPINOSA</v>
      </c>
      <c r="C742" s="235" t="str">
        <f>IFERROR(__xludf.DUMMYFUNCTION("""COMPUTED_VALUE"""),"ADMIN")</f>
        <v>ADMIN</v>
      </c>
      <c r="D742" s="196" t="str">
        <f>IFERROR(__xludf.DUMMYFUNCTION("""COMPUTED_VALUE"""),"1 PCS EACH POTS
-3FT
-KAWA 16""
-2FT 
PLANTS 
-2PCS TRAVELLERS PLANT 5FT
-15PCS SNAKE PLANT YELLOW 3FT
-3PCS RUBBER TREE 2FT")</f>
        <v>1 PCS EACH POTS
-3FT
-KAWA 16"
-2FT 
PLANTS 
-2PCS TRAVELLERS PLANT 5FT
-15PCS SNAKE PLANT YELLOW 3FT
-3PCS RUBBER TREE 2FT</v>
      </c>
      <c r="E742" s="196" t="str">
        <f>IFERROR(__xludf.DUMMYFUNCTION("""COMPUTED_VALUE"""),"FOR 5F COLLEGE ELEVATOR ENTRANCE")</f>
        <v>FOR 5F COLLEGE ELEVATOR ENTRANCE</v>
      </c>
    </row>
    <row r="743">
      <c r="A743" s="234">
        <f>IFERROR(__xludf.DUMMYFUNCTION("""COMPUTED_VALUE"""),105576.0)</f>
        <v>105576</v>
      </c>
      <c r="B743" s="235" t="str">
        <f>IFERROR(__xludf.DUMMYFUNCTION("""COMPUTED_VALUE"""),"KIM DEXTER BODOSO")</f>
        <v>KIM DEXTER BODOSO</v>
      </c>
      <c r="C743" s="235" t="str">
        <f>IFERROR(__xludf.DUMMYFUNCTION("""COMPUTED_VALUE"""),"PR &amp; MARKETING")</f>
        <v>PR &amp; MARKETING</v>
      </c>
      <c r="D743" s="196" t="str">
        <f>IFERROR(__xludf.DUMMYFUNCTION("""COMPUTED_VALUE"""),"2PCS HEAVY DUTY FOLDING TABLE 4FT (120 CM) PORTABLE FOLDING TABLE HEIGHT CAN BE ADJUSTED FOLD IN HALF TABLE WHITE
1PC TROLLY PUSH CART HAND TRUCK STEEL HEAVY DUTY TROLLY CART CAPACITY 1000KG FOLDING WATER CART XL SIZE BLUE")</f>
        <v>2PCS HEAVY DUTY FOLDING TABLE 4FT (120 CM) PORTABLE FOLDING TABLE HEIGHT CAN BE ADJUSTED FOLD IN HALF TABLE WHITE
1PC TROLLY PUSH CART HAND TRUCK STEEL HEAVY DUTY TROLLY CART CAPACITY 1000KG FOLDING WATER CART XL SIZE BLUE</v>
      </c>
      <c r="E743" s="196" t="str">
        <f>IFERROR(__xludf.DUMMYFUNCTION("""COMPUTED_VALUE"""),"SCHOOL PRESENTATION / FAIR EVENTS EXHIBITS")</f>
        <v>SCHOOL PRESENTATION / FAIR EVENTS EXHIBITS</v>
      </c>
    </row>
    <row r="744">
      <c r="A744" s="234">
        <f>IFERROR(__xludf.DUMMYFUNCTION("""COMPUTED_VALUE"""),105577.0)</f>
        <v>105577</v>
      </c>
      <c r="B744" s="235" t="str">
        <f>IFERROR(__xludf.DUMMYFUNCTION("""COMPUTED_VALUE"""),"MARC VINCENT VITTO")</f>
        <v>MARC VINCENT VITTO</v>
      </c>
      <c r="C744" s="235" t="str">
        <f>IFERROR(__xludf.DUMMYFUNCTION("""COMPUTED_VALUE"""),"PR &amp; MARKETING")</f>
        <v>PR &amp; MARKETING</v>
      </c>
      <c r="D744" s="196" t="str">
        <f>IFERROR(__xludf.DUMMYFUNCTION("""COMPUTED_VALUE"""),"1PC OPENING OF CLASS AY 25-26 SIZE W=206 IN X H=77IN THICKNESS 18 OZ
ADD SEAMING AND EYELET ALL OVER")</f>
        <v>1PC OPENING OF CLASS AY 25-26 SIZE W=206 IN X H=77IN THICKNESS 18 OZ
ADD SEAMING AND EYELET ALL OVER</v>
      </c>
      <c r="E744" s="196" t="str">
        <f>IFERROR(__xludf.DUMMYFUNCTION("""COMPUTED_VALUE"""),"MARKETING ")</f>
        <v>MARKETING </v>
      </c>
    </row>
    <row r="745">
      <c r="A745" s="234">
        <f>IFERROR(__xludf.DUMMYFUNCTION("""COMPUTED_VALUE"""),105578.0)</f>
        <v>105578</v>
      </c>
      <c r="B745" s="235" t="str">
        <f>IFERROR(__xludf.DUMMYFUNCTION("""COMPUTED_VALUE"""),"ALFA DE LEON")</f>
        <v>ALFA DE LEON</v>
      </c>
      <c r="C745" s="235" t="str">
        <f>IFERROR(__xludf.DUMMYFUNCTION("""COMPUTED_VALUE"""),"ADMIN - MUNICH")</f>
        <v>ADMIN - MUNICH</v>
      </c>
      <c r="D745" s="196" t="str">
        <f>IFERROR(__xludf.DUMMYFUNCTION("""COMPUTED_VALUE"""),"3PCS POURDONE IODINE BETADINE 25ML
3PCS HYDROGEN PEROXIDE 500ML
3PCS COTTON BALLS 
3PCS BAND AID ADHESIVE BANDAGE 
3PCS COTTON BUDS PLASTIC STEMS 72'S")</f>
        <v>3PCS POURDONE IODINE BETADINE 25ML
3PCS HYDROGEN PEROXIDE 500ML
3PCS COTTON BALLS 
3PCS BAND AID ADHESIVE BANDAGE 
3PCS COTTON BUDS PLASTIC STEMS 72'S</v>
      </c>
      <c r="E745" s="196" t="str">
        <f>IFERROR(__xludf.DUMMYFUNCTION("""COMPUTED_VALUE"""),"MEDICINE CABINET IN  COMPLAB SCI LAB +ROBOTICS LAB 5 STAR AUDIT FINDINGS")</f>
        <v>MEDICINE CABINET IN  COMPLAB SCI LAB +ROBOTICS LAB 5 STAR AUDIT FINDINGS</v>
      </c>
    </row>
    <row r="746">
      <c r="A746" s="234">
        <f>IFERROR(__xludf.DUMMYFUNCTION("""COMPUTED_VALUE"""),105579.0)</f>
        <v>105579</v>
      </c>
      <c r="B746" s="235" t="str">
        <f>IFERROR(__xludf.DUMMYFUNCTION("""COMPUTED_VALUE"""),"RENE ALIGONERO")</f>
        <v>RENE ALIGONERO</v>
      </c>
      <c r="C746" s="235" t="str">
        <f>IFERROR(__xludf.DUMMYFUNCTION("""COMPUTED_VALUE"""),"TOURISM")</f>
        <v>TOURISM</v>
      </c>
      <c r="D746" s="196" t="str">
        <f>IFERROR(__xludf.DUMMYFUNCTION("""COMPUTED_VALUE"""),"5PCS FILE HOLDER/DIVIDER BOX")</f>
        <v>5PCS FILE HOLDER/DIVIDER BOX</v>
      </c>
      <c r="E746" s="196" t="str">
        <f>IFERROR(__xludf.DUMMYFUNCTION("""COMPUTED_VALUE"""),"FOR 201 FILING")</f>
        <v>FOR 201 FILING</v>
      </c>
    </row>
    <row r="747">
      <c r="A747" s="234">
        <f>IFERROR(__xludf.DUMMYFUNCTION("""COMPUTED_VALUE"""),105580.0)</f>
        <v>105580</v>
      </c>
      <c r="B747" s="235" t="str">
        <f>IFERROR(__xludf.DUMMYFUNCTION("""COMPUTED_VALUE"""),"KIM DEXTER BODOSO")</f>
        <v>KIM DEXTER BODOSO</v>
      </c>
      <c r="C747" s="235" t="str">
        <f>IFERROR(__xludf.DUMMYFUNCTION("""COMPUTED_VALUE"""),"PR &amp; MARKETING")</f>
        <v>PR &amp; MARKETING</v>
      </c>
      <c r="D747" s="196" t="str">
        <f>IFERROR(__xludf.DUMMYFUNCTION("""COMPUTED_VALUE"""),"1PC THINKBOOK 14 GEN 7 (14"" INTEL)")</f>
        <v>1PC THINKBOOK 14 GEN 7 (14" INTEL)</v>
      </c>
      <c r="E747" s="196" t="str">
        <f>IFERROR(__xludf.DUMMYFUNCTION("""COMPUTED_VALUE"""),"MARKETING")</f>
        <v>MARKETING</v>
      </c>
    </row>
    <row r="748">
      <c r="A748" s="234">
        <f>IFERROR(__xludf.DUMMYFUNCTION("""COMPUTED_VALUE"""),105581.0)</f>
        <v>105581</v>
      </c>
      <c r="B748" s="235" t="str">
        <f>IFERROR(__xludf.DUMMYFUNCTION("""COMPUTED_VALUE"""),"ALFA DE LEON")</f>
        <v>ALFA DE LEON</v>
      </c>
      <c r="C748" s="235" t="str">
        <f>IFERROR(__xludf.DUMMYFUNCTION("""COMPUTED_VALUE"""),"ADMIN - MUNICH")</f>
        <v>ADMIN - MUNICH</v>
      </c>
      <c r="D748" s="196" t="str">
        <f>IFERROR(__xludf.DUMMYFUNCTION("""COMPUTED_VALUE"""),"1 ROLL ARTIFICIAL GRASS TURF 
2/F 4.55M X 2.97 8.18M X 2.97 4.58M X 2.97
3/F 4.65M X 3.10 8.20M X 3.10 4.58M X 3.10")</f>
        <v>1 ROLL ARTIFICIAL GRASS TURF 
2/F 4.55M X 2.97 8.18M X 2.97 4.58M X 2.97
3/F 4.65M X 3.10 8.20M X 3.10 4.58M X 3.10</v>
      </c>
      <c r="E748" s="196" t="str">
        <f>IFERROR(__xludf.DUMMYFUNCTION("""COMPUTED_VALUE"""),"REPAIR AND MAINTENANCE 2/F + 3/F ARTIFICIAL GRASS TURF")</f>
        <v>REPAIR AND MAINTENANCE 2/F + 3/F ARTIFICIAL GRASS TURF</v>
      </c>
    </row>
    <row r="749">
      <c r="A749" s="234">
        <f>IFERROR(__xludf.DUMMYFUNCTION("""COMPUTED_VALUE"""),105582.0)</f>
        <v>105582</v>
      </c>
      <c r="B749" s="235" t="str">
        <f>IFERROR(__xludf.DUMMYFUNCTION("""COMPUTED_VALUE"""),"OWIE PAR")</f>
        <v>OWIE PAR</v>
      </c>
      <c r="C749" s="235" t="str">
        <f>IFERROR(__xludf.DUMMYFUNCTION("""COMPUTED_VALUE"""),"ENGINEERING")</f>
        <v>ENGINEERING</v>
      </c>
      <c r="D749" s="196" t="str">
        <f>IFERROR(__xludf.DUMMYFUNCTION("""COMPUTED_VALUE"""),"-1 TIN SEMI GLOSS LATEX (WHITE)
-1QUARTS ACRICOLOR HANZA YELLOW
-1 QUARTS ACRICOLOR RAWSHIENNA
-8PCS PLYWOOD 1/4 X 4 X 8
1 BOX REVIT 3/16 X 3/4
-1,000 PCS BLACK SCREW 1/2 (METAL) 
-1PC 1X1X8 S4S KD
-3PCS SHOWER KNOB
-1BOX THHN #14")</f>
        <v>-1 TIN SEMI GLOSS LATEX (WHITE)
-1QUARTS ACRICOLOR HANZA YELLOW
-1 QUARTS ACRICOLOR RAWSHIENNA
-8PCS PLYWOOD 1/4 X 4 X 8
1 BOX REVIT 3/16 X 3/4
-1,000 PCS BLACK SCREW 1/2 (METAL) 
-1PC 1X1X8 S4S KD
-3PCS SHOWER KNOB
-1BOX THHN #14</v>
      </c>
      <c r="E749" s="196" t="str">
        <f>IFERROR(__xludf.DUMMYFUNCTION("""COMPUTED_VALUE"""),"FOR STAR CAMPUS REPAIRS")</f>
        <v>FOR STAR CAMPUS REPAIRS</v>
      </c>
    </row>
    <row r="750">
      <c r="A750" s="234">
        <f>IFERROR(__xludf.DUMMYFUNCTION("""COMPUTED_VALUE"""),105583.0)</f>
        <v>105583</v>
      </c>
      <c r="B750" s="235" t="str">
        <f>IFERROR(__xludf.DUMMYFUNCTION("""COMPUTED_VALUE"""),"OWIE PAR ")</f>
        <v>OWIE PAR </v>
      </c>
      <c r="C750" s="235" t="str">
        <f>IFERROR(__xludf.DUMMYFUNCTION("""COMPUTED_VALUE"""),"ENGINEERING")</f>
        <v>ENGINEERING</v>
      </c>
      <c r="D750" s="196" t="str">
        <f>IFERROR(__xludf.DUMMYFUNCTION("""COMPUTED_VALUE"""),"1 UNIT 2.0 HP WALL MOUNTED TYPE INVERTER PANASONIC
1 UNIT 4.0HO CEILING CASSETTE TYPE INVERTER PANASONIC")</f>
        <v>1 UNIT 2.0 HP WALL MOUNTED TYPE INVERTER PANASONIC
1 UNIT 4.0HO CEILING CASSETTE TYPE INVERTER PANASONIC</v>
      </c>
      <c r="E750" s="196" t="str">
        <f>IFERROR(__xludf.DUMMYFUNCTION("""COMPUTED_VALUE"""),"FOR COLLEGE RM 401 AND 402 ")</f>
        <v>FOR COLLEGE RM 401 AND 402 </v>
      </c>
    </row>
    <row r="751">
      <c r="A751" s="234">
        <f>IFERROR(__xludf.DUMMYFUNCTION("""COMPUTED_VALUE"""),105584.0)</f>
        <v>105584</v>
      </c>
      <c r="B751" s="235" t="str">
        <f>IFERROR(__xludf.DUMMYFUNCTION("""COMPUTED_VALUE"""),"OWIE PAR")</f>
        <v>OWIE PAR</v>
      </c>
      <c r="C751" s="235" t="str">
        <f>IFERROR(__xludf.DUMMYFUNCTION("""COMPUTED_VALUE"""),"ENGINEERING")</f>
        <v>ENGINEERING</v>
      </c>
      <c r="D751" s="196" t="str">
        <f>IFERROR(__xludf.DUMMYFUNCTION("""COMPUTED_VALUE"""),"1 UNIT 2.0 HP WALL MOUNTED TYPE INVERTER PANASONIC")</f>
        <v>1 UNIT 2.0 HP WALL MOUNTED TYPE INVERTER PANASONIC</v>
      </c>
      <c r="E751" s="196" t="str">
        <f>IFERROR(__xludf.DUMMYFUNCTION("""COMPUTED_VALUE"""),"FOR DR. JO RESIDENT")</f>
        <v>FOR DR. JO RESIDENT</v>
      </c>
    </row>
    <row r="752">
      <c r="A752" s="234">
        <f>IFERROR(__xludf.DUMMYFUNCTION("""COMPUTED_VALUE"""),105585.0)</f>
        <v>105585</v>
      </c>
      <c r="B752" s="235" t="str">
        <f>IFERROR(__xludf.DUMMYFUNCTION("""COMPUTED_VALUE"""),"OWIE PAR")</f>
        <v>OWIE PAR</v>
      </c>
      <c r="C752" s="235" t="str">
        <f>IFERROR(__xludf.DUMMYFUNCTION("""COMPUTED_VALUE"""),"ENGINEERING")</f>
        <v>ENGINEERING</v>
      </c>
      <c r="D752" s="196" t="str">
        <f>IFERROR(__xludf.DUMMYFUNCTION("""COMPUTED_VALUE"""),"2 UNITS 3.0 HP WALL MOUNTED TYPE INVERTER PANASONIC")</f>
        <v>2 UNITS 3.0 HP WALL MOUNTED TYPE INVERTER PANASONIC</v>
      </c>
      <c r="E752" s="196" t="str">
        <f>IFERROR(__xludf.DUMMYFUNCTION("""COMPUTED_VALUE"""),"FOR LUX RM 215 AND 407")</f>
        <v>FOR LUX RM 215 AND 407</v>
      </c>
    </row>
    <row r="753">
      <c r="A753" s="234">
        <f>IFERROR(__xludf.DUMMYFUNCTION("""COMPUTED_VALUE"""),105586.0)</f>
        <v>105586</v>
      </c>
      <c r="B753" s="235" t="str">
        <f>IFERROR(__xludf.DUMMYFUNCTION("""COMPUTED_VALUE"""),"SHEREE ESPINOSA")</f>
        <v>SHEREE ESPINOSA</v>
      </c>
      <c r="C753" s="235" t="str">
        <f>IFERROR(__xludf.DUMMYFUNCTION("""COMPUTED_VALUE"""),"ADMIN - LUX")</f>
        <v>ADMIN - LUX</v>
      </c>
      <c r="D753" s="196" t="str">
        <f>IFERROR(__xludf.DUMMYFUNCTION("""COMPUTED_VALUE"""),"3PCS URINAL (WATER LESS)")</f>
        <v>3PCS URINAL (WATER LESS)</v>
      </c>
      <c r="E753" s="196" t="str">
        <f>IFERROR(__xludf.DUMMYFUNCTION("""COMPUTED_VALUE"""),"REPLACEMENT OF URINAL IN 4F TROPICAL BLDG")</f>
        <v>REPLACEMENT OF URINAL IN 4F TROPICAL BLDG</v>
      </c>
    </row>
    <row r="754">
      <c r="A754" s="234">
        <f>IFERROR(__xludf.DUMMYFUNCTION("""COMPUTED_VALUE"""),105587.0)</f>
        <v>105587</v>
      </c>
      <c r="B754" s="235" t="str">
        <f>IFERROR(__xludf.DUMMYFUNCTION("""COMPUTED_VALUE"""),"ALFA DE LEON")</f>
        <v>ALFA DE LEON</v>
      </c>
      <c r="C754" s="235" t="str">
        <f>IFERROR(__xludf.DUMMYFUNCTION("""COMPUTED_VALUE"""),"ADMIN - MUNICH")</f>
        <v>ADMIN - MUNICH</v>
      </c>
      <c r="D754" s="196" t="str">
        <f>IFERROR(__xludf.DUMMYFUNCTION("""COMPUTED_VALUE"""),"40 PCS HANGING POTS BLACK")</f>
        <v>40 PCS HANGING POTS BLACK</v>
      </c>
      <c r="E754" s="196" t="str">
        <f>IFERROR(__xludf.DUMMYFUNCTION("""COMPUTED_VALUE"""),"BEAUTIFICATION (GARDEN)")</f>
        <v>BEAUTIFICATION (GARDEN)</v>
      </c>
    </row>
    <row r="755">
      <c r="A755" s="234">
        <f>IFERROR(__xludf.DUMMYFUNCTION("""COMPUTED_VALUE"""),105588.0)</f>
        <v>105588</v>
      </c>
      <c r="B755" s="235" t="str">
        <f>IFERROR(__xludf.DUMMYFUNCTION("""COMPUTED_VALUE"""),"MARC VINCENT VITTO")</f>
        <v>MARC VINCENT VITTO</v>
      </c>
      <c r="C755" s="235" t="str">
        <f>IFERROR(__xludf.DUMMYFUNCTION("""COMPUTED_VALUE"""),"PR &amp; MARKETING")</f>
        <v>PR &amp; MARKETING</v>
      </c>
      <c r="D755" s="196" t="str">
        <f>IFERROR(__xludf.DUMMYFUNCTION("""COMPUTED_VALUE"""),"2 PCS AISAC 2025 WELCOME BANNER SIZE W= 13FT X H= 6.5FT THICKNESS 13 OZ 
ADD EYELET ALLOVER &amp; SEAMING ")</f>
        <v>2 PCS AISAC 2025 WELCOME BANNER SIZE W= 13FT X H= 6.5FT THICKNESS 13 OZ 
ADD EYELET ALLOVER &amp; SEAMING </v>
      </c>
      <c r="E755" s="196" t="str">
        <f>IFERROR(__xludf.DUMMYFUNCTION("""COMPUTED_VALUE"""),"AISAC 2025")</f>
        <v>AISAC 2025</v>
      </c>
    </row>
    <row r="756">
      <c r="A756" s="234">
        <f>IFERROR(__xludf.DUMMYFUNCTION("""COMPUTED_VALUE"""),105589.0)</f>
        <v>105589</v>
      </c>
      <c r="B756" s="235" t="str">
        <f>IFERROR(__xludf.DUMMYFUNCTION("""COMPUTED_VALUE"""),"SHEREE ESPINOSA")</f>
        <v>SHEREE ESPINOSA</v>
      </c>
      <c r="C756" s="235" t="str">
        <f>IFERROR(__xludf.DUMMYFUNCTION("""COMPUTED_VALUE"""),"ADMIN")</f>
        <v>ADMIN</v>
      </c>
      <c r="D756" s="196" t="str">
        <f>IFERROR(__xludf.DUMMYFUNCTION("""COMPUTED_VALUE"""),"-5 PCS FXI CERAMIC WATER CLOSET
-5 PCS FX2 CERAMIC UNDERMOUNT LAVATORY 
-5 PCS FX3 BASIN METERING FAUCET 
-5 PCS FX4 SPRAY BIDET 
-3 PCS FX5 FALCON URINAL
-3 PCS ACC1 AUTOMATIC SOAP DISPENSER 
-5 PCS ACC2 TOILET PAPER HOLDER 
-5 PCS ACC3 ROBE HOOK
-2 PCS "&amp;"APP1 AUTOMATIC HAND DRYER")</f>
        <v>-5 PCS FXI CERAMIC WATER CLOSET
-5 PCS FX2 CERAMIC UNDERMOUNT LAVATORY 
-5 PCS FX3 BASIN METERING FAUCET 
-5 PCS FX4 SPRAY BIDET 
-3 PCS FX5 FALCON URINAL
-3 PCS ACC1 AUTOMATIC SOAP DISPENSER 
-5 PCS ACC2 TOILET PAPER HOLDER 
-5 PCS ACC3 ROBE HOOK
-2 PCS APP1 AUTOMATIC HAND DRYER</v>
      </c>
      <c r="E756" s="196" t="str">
        <f>IFERROR(__xludf.DUMMYFUNCTION("""COMPUTED_VALUE"""),"TOILET FIXTURES FOR MONARCHS HUB")</f>
        <v>TOILET FIXTURES FOR MONARCHS HUB</v>
      </c>
    </row>
    <row r="757">
      <c r="A757" s="234">
        <f>IFERROR(__xludf.DUMMYFUNCTION("""COMPUTED_VALUE"""),105590.0)</f>
        <v>105590</v>
      </c>
      <c r="B757" s="235" t="str">
        <f>IFERROR(__xludf.DUMMYFUNCTION("""COMPUTED_VALUE"""),"RODRIGO CUSTODIO")</f>
        <v>RODRIGO CUSTODIO</v>
      </c>
      <c r="C757" s="235" t="str">
        <f>IFERROR(__xludf.DUMMYFUNCTION("""COMPUTED_VALUE"""),"AMD")</f>
        <v>AMD</v>
      </c>
      <c r="D757" s="196" t="str">
        <f>IFERROR(__xludf.DUMMYFUNCTION("""COMPUTED_VALUE"""),"10 GALS FLOOR FINISH (STATE) MIGHTY SPARKLE DIAMOND 25 1 US GAL")</f>
        <v>10 GALS FLOOR FINISH (STATE) MIGHTY SPARKLE DIAMOND 25 1 US GAL</v>
      </c>
      <c r="E757" s="196" t="str">
        <f>IFERROR(__xludf.DUMMYFUNCTION("""COMPUTED_VALUE"""),"HOUSEKEEPING MATERIALS STOCK REPLENISHMENT")</f>
        <v>HOUSEKEEPING MATERIALS STOCK REPLENISHMENT</v>
      </c>
    </row>
    <row r="758">
      <c r="A758" s="234">
        <f>IFERROR(__xludf.DUMMYFUNCTION("""COMPUTED_VALUE"""),105591.0)</f>
        <v>105591</v>
      </c>
      <c r="B758" s="235" t="str">
        <f>IFERROR(__xludf.DUMMYFUNCTION("""COMPUTED_VALUE"""),"OWIE PAR")</f>
        <v>OWIE PAR</v>
      </c>
      <c r="C758" s="235" t="str">
        <f>IFERROR(__xludf.DUMMYFUNCTION("""COMPUTED_VALUE"""),"ENGINEERING")</f>
        <v>ENGINEERING</v>
      </c>
      <c r="D758" s="196" t="str">
        <f>IFERROR(__xludf.DUMMYFUNCTION("""COMPUTED_VALUE"""),"-2 PCS ANGLE BAR 3 X 1/4
-2 KGS WELDING ROD SPECIAL
-2 LITERS EPOXY PRIMER GRAY SPHERO
-1CU 3M WHITE SAND 
-1/2 CU 3M GRAVEL
-5 BAGS CEMENT")</f>
        <v>-2 PCS ANGLE BAR 3 X 1/4
-2 KGS WELDING ROD SPECIAL
-2 LITERS EPOXY PRIMER GRAY SPHERO
-1CU 3M WHITE SAND 
-1/2 CU 3M GRAVEL
-5 BAGS CEMENT</v>
      </c>
      <c r="E758" s="196" t="str">
        <f>IFERROR(__xludf.DUMMYFUNCTION("""COMPUTED_VALUE"""),"FOR REHABILITATION OF OVER HEAD TANK FOOTING AT COLLEGE BLDG.")</f>
        <v>FOR REHABILITATION OF OVER HEAD TANK FOOTING AT COLLEGE BLDG.</v>
      </c>
    </row>
    <row r="759">
      <c r="A759" s="234">
        <f>IFERROR(__xludf.DUMMYFUNCTION("""COMPUTED_VALUE"""),105592.0)</f>
        <v>105592</v>
      </c>
      <c r="B759" s="235" t="str">
        <f>IFERROR(__xludf.DUMMYFUNCTION("""COMPUTED_VALUE"""),"LYKA PERALTA")</f>
        <v>LYKA PERALTA</v>
      </c>
      <c r="C759" s="235" t="str">
        <f>IFERROR(__xludf.DUMMYFUNCTION("""COMPUTED_VALUE"""),"AMD")</f>
        <v>AMD</v>
      </c>
      <c r="D759" s="196" t="str">
        <f>IFERROR(__xludf.DUMMYFUNCTION("""COMPUTED_VALUE"""),"45 PCS Box of Color Poster Paints - Mightee Brilliant 20ML 12's
901 PCS Paper, Best Buy Colored Assorted 9""x11""")</f>
        <v>45 PCS Box of Color Poster Paints - Mightee Brilliant 20ML 12's
901 PCS Paper, Best Buy Colored Assorted 9"x11"</v>
      </c>
      <c r="E759" s="196" t="str">
        <f>IFERROR(__xludf.DUMMYFUNCTION("""COMPUTED_VALUE"""),"STUDENT MATERIALS STOCK REPLENISHMENT AY 24-25")</f>
        <v>STUDENT MATERIALS STOCK REPLENISHMENT AY 24-25</v>
      </c>
    </row>
    <row r="760">
      <c r="A760" s="234">
        <f>IFERROR(__xludf.DUMMYFUNCTION("""COMPUTED_VALUE"""),105593.0)</f>
        <v>105593</v>
      </c>
      <c r="B760" s="235" t="str">
        <f>IFERROR(__xludf.DUMMYFUNCTION("""COMPUTED_VALUE"""),"LYKA PERALTA")</f>
        <v>LYKA PERALTA</v>
      </c>
      <c r="C760" s="235" t="str">
        <f>IFERROR(__xludf.DUMMYFUNCTION("""COMPUTED_VALUE"""),"AMD")</f>
        <v>AMD</v>
      </c>
      <c r="D760" s="196" t="str">
        <f>IFERROR(__xludf.DUMMYFUNCTION("""COMPUTED_VALUE"""),"659 PCS ENVELOPE LEATHER SISC LONG W/HANDLE (PURPLE)
1119 PCS ENVELOPE LEATHER SISC LONG W/HANDLE (NAVY BLUE)")</f>
        <v>659 PCS ENVELOPE LEATHER SISC LONG W/HANDLE (PURPLE)
1119 PCS ENVELOPE LEATHER SISC LONG W/HANDLE (NAVY BLUE)</v>
      </c>
      <c r="E760" s="196" t="str">
        <f>IFERROR(__xludf.DUMMYFUNCTION("""COMPUTED_VALUE"""),"STUDENT MATERIALS STOCK REPLENISHMENT AY 24-25")</f>
        <v>STUDENT MATERIALS STOCK REPLENISHMENT AY 24-25</v>
      </c>
    </row>
    <row r="761">
      <c r="A761" s="234">
        <f>IFERROR(__xludf.DUMMYFUNCTION("""COMPUTED_VALUE"""),105594.0)</f>
        <v>105594</v>
      </c>
      <c r="B761" s="235" t="str">
        <f>IFERROR(__xludf.DUMMYFUNCTION("""COMPUTED_VALUE"""),"LYKA PERALTA")</f>
        <v>LYKA PERALTA</v>
      </c>
      <c r="C761" s="235" t="str">
        <f>IFERROR(__xludf.DUMMYFUNCTION("""COMPUTED_VALUE"""),"AMD")</f>
        <v>AMD</v>
      </c>
      <c r="D761" s="196" t="str">
        <f>IFERROR(__xludf.DUMMYFUNCTION("""COMPUTED_VALUE"""),"102 PCS PAINT BRUSH NYLON SOFT BRUSH FLAT #10 
63 PCS PAINT PALLETE SMALL
713 PCS SCISSORS STUDENT 5' MAPED")</f>
        <v>102 PCS PAINT BRUSH NYLON SOFT BRUSH FLAT #10 
63 PCS PAINT PALLETE SMALL
713 PCS SCISSORS STUDENT 5' MAPED</v>
      </c>
      <c r="E761" s="196" t="str">
        <f>IFERROR(__xludf.DUMMYFUNCTION("""COMPUTED_VALUE"""),"STUDENT MATERIALS STOCK REPLENISHMENT AY 24-25")</f>
        <v>STUDENT MATERIALS STOCK REPLENISHMENT AY 24-25</v>
      </c>
    </row>
    <row r="762">
      <c r="A762" s="234">
        <f>IFERROR(__xludf.DUMMYFUNCTION("""COMPUTED_VALUE"""),105595.0)</f>
        <v>105595</v>
      </c>
      <c r="B762" s="235" t="str">
        <f>IFERROR(__xludf.DUMMYFUNCTION("""COMPUTED_VALUE"""),"ALFA DE LEON")</f>
        <v>ALFA DE LEON</v>
      </c>
      <c r="C762" s="235" t="str">
        <f>IFERROR(__xludf.DUMMYFUNCTION("""COMPUTED_VALUE"""),"LANDSCAPING")</f>
        <v>LANDSCAPING</v>
      </c>
      <c r="D762" s="196" t="str">
        <f>IFERROR(__xludf.DUMMYFUNCTION("""COMPUTED_VALUE"""),"20 PCS SNOW WHITE
20 PCS EYELET
20 PCS PHOTOS
50 PCS ASST PLANTS
56 PCS PLASTIC POTS 
56 PCS CERAMIC VASE")</f>
        <v>20 PCS SNOW WHITE
20 PCS EYELET
20 PCS PHOTOS
50 PCS ASST PLANTS
56 PCS PLASTIC POTS 
56 PCS CERAMIC VASE</v>
      </c>
      <c r="E762" s="196" t="str">
        <f>IFERROR(__xludf.DUMMYFUNCTION("""COMPUTED_VALUE"""),"COLLEGE LOBBY CABINET SHELVES")</f>
        <v>COLLEGE LOBBY CABINET SHELVES</v>
      </c>
    </row>
    <row r="763">
      <c r="A763" s="234">
        <f>IFERROR(__xludf.DUMMYFUNCTION("""COMPUTED_VALUE"""),105596.0)</f>
        <v>105596</v>
      </c>
      <c r="B763" s="235" t="str">
        <f>IFERROR(__xludf.DUMMYFUNCTION("""COMPUTED_VALUE"""),"LYKA PERALTA")</f>
        <v>LYKA PERALTA</v>
      </c>
      <c r="C763" s="235" t="str">
        <f>IFERROR(__xludf.DUMMYFUNCTION("""COMPUTED_VALUE"""),"AMD")</f>
        <v>AMD</v>
      </c>
      <c r="D763" s="196" t="str">
        <f>IFERROR(__xludf.DUMMYFUNCTION("""COMPUTED_VALUE"""),"503 SPELLING BOOKLET")</f>
        <v>503 SPELLING BOOKLET</v>
      </c>
      <c r="E763" s="196" t="str">
        <f>IFERROR(__xludf.DUMMYFUNCTION("""COMPUTED_VALUE"""),"STUDENT MATERIALS STOCK REPLENISHMENT AY 24-25")</f>
        <v>STUDENT MATERIALS STOCK REPLENISHMENT AY 24-25</v>
      </c>
    </row>
    <row r="764">
      <c r="A764" s="234">
        <f>IFERROR(__xludf.DUMMYFUNCTION("""COMPUTED_VALUE"""),105597.0)</f>
        <v>105597</v>
      </c>
      <c r="B764" s="235" t="str">
        <f>IFERROR(__xludf.DUMMYFUNCTION("""COMPUTED_VALUE"""),"LYKA PERALTA")</f>
        <v>LYKA PERALTA</v>
      </c>
      <c r="C764" s="235" t="str">
        <f>IFERROR(__xludf.DUMMYFUNCTION("""COMPUTED_VALUE"""),"AMD")</f>
        <v>AMD</v>
      </c>
      <c r="D764" s="196" t="str">
        <f>IFERROR(__xludf.DUMMYFUNCTION("""COMPUTED_VALUE"""),"118 PCS CLAY MODELLING DONG A 6'S ASSORTED COLOR 
383 PCS CLEARBOOK SPIRAL REFILLABLE 20'S BLACK LONG
379 PCS MAP WOOD BIG POLITICAL
578 PCS PENCIL FABER CASTLE 12S
1031 PCS PEN COLORED FABER CASTLE 10S
337 PCS PERIODIC TABLE OF ELEMENTS BIG 
548 PCS RULE"&amp;"R PLASTIC FABER CASTLE 
727 PCS RULER PLASTIC ORION
270 PCS RULER PROTRACTOR ORION 
324 PCS SKETCH BOOKS 9X12 
73 PCS COLORED CHALK")</f>
        <v>118 PCS CLAY MODELLING DONG A 6'S ASSORTED COLOR 
383 PCS CLEARBOOK SPIRAL REFILLABLE 20'S BLACK LONG
379 PCS MAP WOOD BIG POLITICAL
578 PCS PENCIL FABER CASTLE 12S
1031 PCS PEN COLORED FABER CASTLE 10S
337 PCS PERIODIC TABLE OF ELEMENTS BIG 
548 PCS RULER PLASTIC FABER CASTLE 
727 PCS RULER PLASTIC ORION
270 PCS RULER PROTRACTOR ORION 
324 PCS SKETCH BOOKS 9X12 
73 PCS COLORED CHALK</v>
      </c>
      <c r="E764" s="196" t="str">
        <f>IFERROR(__xludf.DUMMYFUNCTION("""COMPUTED_VALUE"""),"STUDENT MATERIALS STOCK REPLENISHMENT AY 24-25")</f>
        <v>STUDENT MATERIALS STOCK REPLENISHMENT AY 24-25</v>
      </c>
    </row>
    <row r="765">
      <c r="A765" s="234">
        <f>IFERROR(__xludf.DUMMYFUNCTION("""COMPUTED_VALUE"""),105598.0)</f>
        <v>105598</v>
      </c>
      <c r="B765" s="235" t="str">
        <f>IFERROR(__xludf.DUMMYFUNCTION("""COMPUTED_VALUE"""),"LYKA PERALTA")</f>
        <v>LYKA PERALTA</v>
      </c>
      <c r="C765" s="235" t="str">
        <f>IFERROR(__xludf.DUMMYFUNCTION("""COMPUTED_VALUE"""),"AMD")</f>
        <v>AMD</v>
      </c>
      <c r="D765" s="196" t="str">
        <f>IFERROR(__xludf.DUMMYFUNCTION("""COMPUTED_VALUE"""),"1243 PCS LIL HAND MODELING CLAY SCENTED NEON COLORS 10S 180G 
1284 PCS BOX OF CRAYONS CRAYOLA DOUBLE 16 PCS
344 PCS PENCIL COLORED 12S LIL HANDS
2249 PCS PENCIL SISC PURPLE 
33 PCS WATER COLOR PRANG 8S
139 PCS WATER COLOR LIL HANDS")</f>
        <v>1243 PCS LIL HAND MODELING CLAY SCENTED NEON COLORS 10S 180G 
1284 PCS BOX OF CRAYONS CRAYOLA DOUBLE 16 PCS
344 PCS PENCIL COLORED 12S LIL HANDS
2249 PCS PENCIL SISC PURPLE 
33 PCS WATER COLOR PRANG 8S
139 PCS WATER COLOR LIL HANDS</v>
      </c>
      <c r="E765" s="196" t="str">
        <f>IFERROR(__xludf.DUMMYFUNCTION("""COMPUTED_VALUE"""),"STUDENT MATERIALS STOCK REPLENISHMENT AY 24-25")</f>
        <v>STUDENT MATERIALS STOCK REPLENISHMENT AY 24-25</v>
      </c>
    </row>
    <row r="766">
      <c r="A766" s="234">
        <f>IFERROR(__xludf.DUMMYFUNCTION("""COMPUTED_VALUE"""),105599.0)</f>
        <v>105599</v>
      </c>
      <c r="B766" s="235" t="str">
        <f>IFERROR(__xludf.DUMMYFUNCTION("""COMPUTED_VALUE"""),"LYKA PERALTA")</f>
        <v>LYKA PERALTA</v>
      </c>
      <c r="C766" s="235" t="str">
        <f>IFERROR(__xludf.DUMMYFUNCTION("""COMPUTED_VALUE"""),"AMD")</f>
        <v>AMD</v>
      </c>
      <c r="D766" s="196" t="str">
        <f>IFERROR(__xludf.DUMMYFUNCTION("""COMPUTED_VALUE"""),"108 PCS BEADS WITH BIG HOLE
241 PCS TISSUE POCKET SIZE KLEENEX 2 PLY 4 PULLS
214 PACKS STAEDTLER BLENDING STUMPS SIZE 1 4 6 8 PACK
688 PCS STAEDTLER PENCIL")</f>
        <v>108 PCS BEADS WITH BIG HOLE
241 PCS TISSUE POCKET SIZE KLEENEX 2 PLY 4 PULLS
214 PACKS STAEDTLER BLENDING STUMPS SIZE 1 4 6 8 PACK
688 PCS STAEDTLER PENCIL</v>
      </c>
      <c r="E766" s="196" t="str">
        <f>IFERROR(__xludf.DUMMYFUNCTION("""COMPUTED_VALUE"""),"STUDENT MATERIALS STOCK REPLENISHMENT AY 24-25")</f>
        <v>STUDENT MATERIALS STOCK REPLENISHMENT AY 24-25</v>
      </c>
    </row>
    <row r="767">
      <c r="A767" s="234">
        <f>IFERROR(__xludf.DUMMYFUNCTION("""COMPUTED_VALUE"""),105600.0)</f>
        <v>105600</v>
      </c>
      <c r="B767" s="235" t="str">
        <f>IFERROR(__xludf.DUMMYFUNCTION("""COMPUTED_VALUE"""),"LYKA PERALTA")</f>
        <v>LYKA PERALTA</v>
      </c>
      <c r="C767" s="235" t="str">
        <f>IFERROR(__xludf.DUMMYFUNCTION("""COMPUTED_VALUE"""),"AMD")</f>
        <v>AMD</v>
      </c>
      <c r="D767" s="196" t="str">
        <f>IFERROR(__xludf.DUMMYFUNCTION("""COMPUTED_VALUE"""),"1508 PCS CLIP BINDER JOY 2"" LARGE SKIT
1507 ENVELOPE PLASTIC LONG EXPANDABLE
104 PCS ERASER MAPED BIG
725 PCS GLUE ELMERS 130GS SKIT
482 PCS TAPE 3M MASKING TAPE BIG 1""
540 PAD PAPER FORTUNE QUIZ PAD WHOLE
893 PACKS PAPER OSLO DRAWING FORTUNE 20S
1293 P"&amp;"ACKS PAPER CONSTRUCTION ASSTD COLOR 20 PCS 
373 PCS PAPER BOOK LONG 20/PK
127 PACKS BALLPEN HBW BALLPOINT STICK 2000 BLACK FINE
794 PCS ILLUSTRATION BOARD BLK/WH 1/8 10X15")</f>
        <v>1508 PCS CLIP BINDER JOY 2" LARGE SKIT
1507 ENVELOPE PLASTIC LONG EXPANDABLE
104 PCS ERASER MAPED BIG
725 PCS GLUE ELMERS 130GS SKIT
482 PCS TAPE 3M MASKING TAPE BIG 1"
540 PAD PAPER FORTUNE QUIZ PAD WHOLE
893 PACKS PAPER OSLO DRAWING FORTUNE 20S
1293 PACKS PAPER CONSTRUCTION ASSTD COLOR 20 PCS 
373 PCS PAPER BOOK LONG 20/PK
127 PACKS BALLPEN HBW BALLPOINT STICK 2000 BLACK FINE
794 PCS ILLUSTRATION BOARD BLK/WH 1/8 10X15</v>
      </c>
      <c r="E767" s="196" t="str">
        <f>IFERROR(__xludf.DUMMYFUNCTION("""COMPUTED_VALUE"""),"STUDENT MATERIALS STOCK REPLENISHMENT AY 24-25")</f>
        <v>STUDENT MATERIALS STOCK REPLENISHMENT AY 24-25</v>
      </c>
    </row>
    <row r="768">
      <c r="A768" s="234">
        <f>IFERROR(__xludf.DUMMYFUNCTION("""COMPUTED_VALUE"""),105601.0)</f>
        <v>105601</v>
      </c>
      <c r="B768" s="235" t="str">
        <f>IFERROR(__xludf.DUMMYFUNCTION("""COMPUTED_VALUE"""),"LYKA PERALTA")</f>
        <v>LYKA PERALTA</v>
      </c>
      <c r="C768" s="235" t="str">
        <f>IFERROR(__xludf.DUMMYFUNCTION("""COMPUTED_VALUE"""),"AMD")</f>
        <v>AMD</v>
      </c>
      <c r="D768" s="196" t="str">
        <f>IFERROR(__xludf.DUMMYFUNCTION("""COMPUTED_VALUE"""),"129 PCS DIARY GRADE 1 &amp; 2 
90 PCS DIARY PREPARATORY PRE-K TO SK
1109 PCS DIARY GRADE 3-10 SET A SILVER SEP TO JAN
1110 PCS DIARY GRADE 3-10 SET B GOLD FEB TO JULY
9019 PCS FOLDER PLASTIC COVER LONG
8947 PCS FOLDER WHITE LONG W/ SISC LOGO
792PCS NOTEBOOK G"&amp;"RADE SCHOOL MATHEMATICS ABSTRACT BIG SQ
118 PCS NOTEBOOK GRADE SCHOOL MATHEMATICS ABSTRACT SMALL SQ
2384 PCS NOTEBOOK HIGHSCHOOL COMPOSITION PURPLE 
575 PCS NOTEBOOK GRADE SCHOOL COMPOSITION SISC BLUE LINES 
2189 PCS NOTEBOOK WRITING SISC R/B LINES PURPLE"&amp;" PORTRAIT 
194 PCS NOTEBOOKLET WRITING SISC LANDSCAPE PURPLE 
503 PCS NOTEBOOK SISC LEATHERETTE LACOSTE VIOLET SKIT")</f>
        <v>129 PCS DIARY GRADE 1 &amp; 2 
90 PCS DIARY PREPARATORY PRE-K TO SK
1109 PCS DIARY GRADE 3-10 SET A SILVER SEP TO JAN
1110 PCS DIARY GRADE 3-10 SET B GOLD FEB TO JULY
9019 PCS FOLDER PLASTIC COVER LONG
8947 PCS FOLDER WHITE LONG W/ SISC LOGO
792PCS NOTEBOOK GRADE SCHOOL MATHEMATICS ABSTRACT BIG SQ
118 PCS NOTEBOOK GRADE SCHOOL MATHEMATICS ABSTRACT SMALL SQ
2384 PCS NOTEBOOK HIGHSCHOOL COMPOSITION PURPLE 
575 PCS NOTEBOOK GRADE SCHOOL COMPOSITION SISC BLUE LINES 
2189 PCS NOTEBOOK WRITING SISC R/B LINES PURPLE PORTRAIT 
194 PCS NOTEBOOKLET WRITING SISC LANDSCAPE PURPLE 
503 PCS NOTEBOOK SISC LEATHERETTE LACOSTE VIOLET SKIT</v>
      </c>
      <c r="E768" s="196" t="str">
        <f>IFERROR(__xludf.DUMMYFUNCTION("""COMPUTED_VALUE"""),"STUDENT MATERIALS STOCK REPLENISHMENT AY 24-25")</f>
        <v>STUDENT MATERIALS STOCK REPLENISHMENT AY 24-25</v>
      </c>
    </row>
    <row r="769">
      <c r="A769" s="234">
        <f>IFERROR(__xludf.DUMMYFUNCTION("""COMPUTED_VALUE"""),105602.0)</f>
        <v>105602</v>
      </c>
      <c r="B769" s="235" t="str">
        <f>IFERROR(__xludf.DUMMYFUNCTION("""COMPUTED_VALUE"""),"OWIE PAR")</f>
        <v>OWIE PAR</v>
      </c>
      <c r="C769" s="235" t="str">
        <f>IFERROR(__xludf.DUMMYFUNCTION("""COMPUTED_VALUE"""),"ENGINEERING")</f>
        <v>ENGINEERING</v>
      </c>
      <c r="D769" s="196" t="str">
        <f>IFERROR(__xludf.DUMMYFUNCTION("""COMPUTED_VALUE"""),"1 UNIT 6.0HP CEILING CASSETTE TYPE INVERTER PANASONIC")</f>
        <v>1 UNIT 6.0HP CEILING CASSETTE TYPE INVERTER PANASONIC</v>
      </c>
      <c r="E769" s="196" t="str">
        <f>IFERROR(__xludf.DUMMYFUNCTION("""COMPUTED_VALUE"""),"REPLACEMENT OF TROPICAL BAND RM")</f>
        <v>REPLACEMENT OF TROPICAL BAND RM</v>
      </c>
    </row>
    <row r="770">
      <c r="A770" s="234">
        <f>IFERROR(__xludf.DUMMYFUNCTION("""COMPUTED_VALUE"""),105603.0)</f>
        <v>105603</v>
      </c>
      <c r="B770" s="235" t="str">
        <f>IFERROR(__xludf.DUMMYFUNCTION("""COMPUTED_VALUE"""),"MARIA SENIZ CALMA")</f>
        <v>MARIA SENIZ CALMA</v>
      </c>
      <c r="C770" s="235" t="str">
        <f>IFERROR(__xludf.DUMMYFUNCTION("""COMPUTED_VALUE"""),"NURSING")</f>
        <v>NURSING</v>
      </c>
      <c r="D770" s="196" t="str">
        <f>IFERROR(__xludf.DUMMYFUNCTION("""COMPUTED_VALUE"""),"115 NURSING PINS
115 INVITATIONS 8.5 IN X 11 IN FOLDED INTO HALF")</f>
        <v>115 NURSING PINS
115 INVITATIONS 8.5 IN X 11 IN FOLDED INTO HALF</v>
      </c>
      <c r="E770" s="196" t="str">
        <f>IFERROR(__xludf.DUMMYFUNCTION("""COMPUTED_VALUE"""),"BSN PINNING AND CANDLE LIGHTING CEREMONY")</f>
        <v>BSN PINNING AND CANDLE LIGHTING CEREMONY</v>
      </c>
    </row>
    <row r="771">
      <c r="A771" s="234">
        <f>IFERROR(__xludf.DUMMYFUNCTION("""COMPUTED_VALUE"""),105604.0)</f>
        <v>105604</v>
      </c>
      <c r="B771" s="235" t="str">
        <f>IFERROR(__xludf.DUMMYFUNCTION("""COMPUTED_VALUE"""),"RODRIGO CUSTODIO")</f>
        <v>RODRIGO CUSTODIO</v>
      </c>
      <c r="C771" s="235" t="str">
        <f>IFERROR(__xludf.DUMMYFUNCTION("""COMPUTED_VALUE"""),"AMD")</f>
        <v>AMD</v>
      </c>
      <c r="D771" s="196" t="str">
        <f>IFERROR(__xludf.DUMMYFUNCTION("""COMPUTED_VALUE"""),"144 GALS HAND SOAP ANTIBACTERIAL YELLOW
2PCS DUST MOP HANDLE &amp; FRAME WITH OP HEAD #30
5 PCS STRIPPER PAD RED 3M
350 PCS SCRUBBING PAD BIG SCOTCH BRITE 
180 PCS SPRAY GUN
100 PAIRS RUBBER GLOVES DURAFRESH ANTI BACTERIAL 
24 PCS SPATULA SMALL SCRAPER")</f>
        <v>144 GALS HAND SOAP ANTIBACTERIAL YELLOW
2PCS DUST MOP HANDLE &amp; FRAME WITH OP HEAD #30
5 PCS STRIPPER PAD RED 3M
350 PCS SCRUBBING PAD BIG SCOTCH BRITE 
180 PCS SPRAY GUN
100 PAIRS RUBBER GLOVES DURAFRESH ANTI BACTERIAL 
24 PCS SPATULA SMALL SCRAPER</v>
      </c>
      <c r="E771" s="196" t="str">
        <f>IFERROR(__xludf.DUMMYFUNCTION("""COMPUTED_VALUE"""),"HOUSEKEEPING MATERIALS STOCK REPLENISHMENT")</f>
        <v>HOUSEKEEPING MATERIALS STOCK REPLENISHMENT</v>
      </c>
    </row>
    <row r="772">
      <c r="A772" s="234">
        <f>IFERROR(__xludf.DUMMYFUNCTION("""COMPUTED_VALUE"""),105605.0)</f>
        <v>105605</v>
      </c>
      <c r="B772" s="235" t="str">
        <f>IFERROR(__xludf.DUMMYFUNCTION("""COMPUTED_VALUE"""),"MARIA SENIZ CALMA")</f>
        <v>MARIA SENIZ CALMA</v>
      </c>
      <c r="C772" s="235" t="str">
        <f>IFERROR(__xludf.DUMMYFUNCTION("""COMPUTED_VALUE"""),"NURSING")</f>
        <v>NURSING</v>
      </c>
      <c r="D772" s="196" t="str">
        <f>IFERROR(__xludf.DUMMYFUNCTION("""COMPUTED_VALUE"""),"115 CEREMONIAL LAMPS W/ CANDLES 
1 CEREMONIAL CANDLE ")</f>
        <v>115 CEREMONIAL LAMPS W/ CANDLES 
1 CEREMONIAL CANDLE </v>
      </c>
      <c r="E772" s="196" t="str">
        <f>IFERROR(__xludf.DUMMYFUNCTION("""COMPUTED_VALUE"""),"BSN2 PINNING AND CANDLE LIGHTING CEREMONY")</f>
        <v>BSN2 PINNING AND CANDLE LIGHTING CEREMONY</v>
      </c>
    </row>
    <row r="773">
      <c r="A773" s="234">
        <f>IFERROR(__xludf.DUMMYFUNCTION("""COMPUTED_VALUE"""),105606.0)</f>
        <v>105606</v>
      </c>
      <c r="B773" s="235" t="str">
        <f>IFERROR(__xludf.DUMMYFUNCTION("""COMPUTED_VALUE"""),"RONALDO VERDE")</f>
        <v>RONALDO VERDE</v>
      </c>
      <c r="C773" s="235" t="str">
        <f>IFERROR(__xludf.DUMMYFUNCTION("""COMPUTED_VALUE"""),"ADMIN")</f>
        <v>ADMIN</v>
      </c>
      <c r="D773" s="196" t="str">
        <f>IFERROR(__xludf.DUMMYFUNCTION("""COMPUTED_VALUE"""),"200 PCS 60X60 TILES BEIGE 
10 BAGS ADHESIVE
10 CEMENT")</f>
        <v>200 PCS 60X60 TILES BEIGE 
10 BAGS ADHESIVE
10 CEMENT</v>
      </c>
      <c r="E773" s="196" t="str">
        <f>IFERROR(__xludf.DUMMYFUNCTION("""COMPUTED_VALUE"""),"CLASSROOM/ HALLWAYS PREVENTIVE MAINTENANCE")</f>
        <v>CLASSROOM/ HALLWAYS PREVENTIVE MAINTENANCE</v>
      </c>
    </row>
    <row r="774">
      <c r="A774" s="234">
        <f>IFERROR(__xludf.DUMMYFUNCTION("""COMPUTED_VALUE"""),105607.0)</f>
        <v>105607</v>
      </c>
      <c r="B774" s="235" t="str">
        <f>IFERROR(__xludf.DUMMYFUNCTION("""COMPUTED_VALUE"""),"DOMINADOR JIMBO CARAAN")</f>
        <v>DOMINADOR JIMBO CARAAN</v>
      </c>
      <c r="C774" s="235" t="str">
        <f>IFERROR(__xludf.DUMMYFUNCTION("""COMPUTED_VALUE"""),"SPECIAL SUBJECTS")</f>
        <v>SPECIAL SUBJECTS</v>
      </c>
      <c r="D774" s="196" t="str">
        <f>IFERROR(__xludf.DUMMYFUNCTION("""COMPUTED_VALUE"""),"1 PC AMPLIFIER DEYAHUB CT8
1 PC PIANO CHAIR / STOOL SOFT CUSHION 
1 PC UPRIGHT PIANO TUNING")</f>
        <v>1 PC AMPLIFIER DEYAHUB CT8
1 PC PIANO CHAIR / STOOL SOFT CUSHION 
1 PC UPRIGHT PIANO TUNING</v>
      </c>
      <c r="E774" s="196" t="str">
        <f>IFERROR(__xludf.DUMMYFUNCTION("""COMPUTED_VALUE"""),"2F4O CONCERT ")</f>
        <v>2F4O CONCERT </v>
      </c>
    </row>
    <row r="775">
      <c r="A775" s="234" t="str">
        <f>IFERROR(__xludf.DUMMYFUNCTION("""COMPUTED_VALUE"""),"105608-CANCELLED")</f>
        <v>105608-CANCELLED</v>
      </c>
      <c r="B775" s="235" t="str">
        <f>IFERROR(__xludf.DUMMYFUNCTION("""COMPUTED_VALUE"""),"LYKA PERALTA")</f>
        <v>LYKA PERALTA</v>
      </c>
      <c r="C775" s="235" t="str">
        <f>IFERROR(__xludf.DUMMYFUNCTION("""COMPUTED_VALUE"""),"AMD")</f>
        <v>AMD</v>
      </c>
      <c r="D775" s="196" t="str">
        <f>IFERROR(__xludf.DUMMYFUNCTION("""COMPUTED_VALUE"""),"50 PCS BAMBOO CRAFT BOX HEIGHT 2.5 INCH WIDTH AND LENGTH: 9.5 INCH")</f>
        <v>50 PCS BAMBOO CRAFT BOX HEIGHT 2.5 INCH WIDTH AND LENGTH: 9.5 INCH</v>
      </c>
      <c r="E775" s="196" t="str">
        <f>IFERROR(__xludf.DUMMYFUNCTION("""COMPUTED_VALUE"""),"TOKEN NEW STOCK")</f>
        <v>TOKEN NEW STOCK</v>
      </c>
    </row>
    <row r="776">
      <c r="A776" s="234">
        <f>IFERROR(__xludf.DUMMYFUNCTION("""COMPUTED_VALUE"""),105609.0)</f>
        <v>105609</v>
      </c>
      <c r="B776" s="235" t="str">
        <f>IFERROR(__xludf.DUMMYFUNCTION("""COMPUTED_VALUE"""),"LYKA PERALTA")</f>
        <v>LYKA PERALTA</v>
      </c>
      <c r="C776" s="235" t="str">
        <f>IFERROR(__xludf.DUMMYFUNCTION("""COMPUTED_VALUE"""),"AMD")</f>
        <v>AMD</v>
      </c>
      <c r="D776" s="196" t="str">
        <f>IFERROR(__xludf.DUMMYFUNCTION("""COMPUTED_VALUE"""),"50 PCS ABACA TOTE BAG SISC PRINTED ")</f>
        <v>50 PCS ABACA TOTE BAG SISC PRINTED </v>
      </c>
      <c r="E776" s="196" t="str">
        <f>IFERROR(__xludf.DUMMYFUNCTION("""COMPUTED_VALUE"""),"TOKEN NEW STOCK")</f>
        <v>TOKEN NEW STOCK</v>
      </c>
    </row>
    <row r="777">
      <c r="A777" s="234">
        <f>IFERROR(__xludf.DUMMYFUNCTION("""COMPUTED_VALUE"""),105610.0)</f>
        <v>105610</v>
      </c>
      <c r="B777" s="235" t="str">
        <f>IFERROR(__xludf.DUMMYFUNCTION("""COMPUTED_VALUE"""),"RONALDO VERDE")</f>
        <v>RONALDO VERDE</v>
      </c>
      <c r="C777" s="235" t="str">
        <f>IFERROR(__xludf.DUMMYFUNCTION("""COMPUTED_VALUE"""),"ADMIN")</f>
        <v>ADMIN</v>
      </c>
      <c r="D777" s="196" t="str">
        <f>IFERROR(__xludf.DUMMYFUNCTION("""COMPUTED_VALUE"""),"20 LENGTHS RUBBER NUZZING 
1 GALLON ADHESSIVE RUGBY ")</f>
        <v>20 LENGTHS RUBBER NUZZING 
1 GALLON ADHESSIVE RUGBY </v>
      </c>
      <c r="E777" s="196" t="str">
        <f>IFERROR(__xludf.DUMMYFUNCTION("""COMPUTED_VALUE"""),"LUX HALL STAGE &amp; STAIR CASE REPAIRS")</f>
        <v>LUX HALL STAGE &amp; STAIR CASE REPAIRS</v>
      </c>
    </row>
    <row r="778">
      <c r="A778" s="234">
        <f>IFERROR(__xludf.DUMMYFUNCTION("""COMPUTED_VALUE"""),105611.0)</f>
        <v>105611</v>
      </c>
      <c r="B778" s="235" t="str">
        <f>IFERROR(__xludf.DUMMYFUNCTION("""COMPUTED_VALUE"""),"RODRIGO CUSTODIO")</f>
        <v>RODRIGO CUSTODIO</v>
      </c>
      <c r="C778" s="235" t="str">
        <f>IFERROR(__xludf.DUMMYFUNCTION("""COMPUTED_VALUE"""),"AMD")</f>
        <v>AMD</v>
      </c>
      <c r="D778" s="196" t="str">
        <f>IFERROR(__xludf.DUMMYFUNCTION("""COMPUTED_VALUE"""),"900 PCS TISSUE JUMBO ROLL 200 METERS")</f>
        <v>900 PCS TISSUE JUMBO ROLL 200 METERS</v>
      </c>
      <c r="E778" s="196" t="str">
        <f>IFERROR(__xludf.DUMMYFUNCTION("""COMPUTED_VALUE"""),"HOUSEKEEPING MATERIALS STOCK REPLENISHMENT")</f>
        <v>HOUSEKEEPING MATERIALS STOCK REPLENISHMENT</v>
      </c>
    </row>
    <row r="779">
      <c r="A779" s="234">
        <f>IFERROR(__xludf.DUMMYFUNCTION("""COMPUTED_VALUE"""),105612.0)</f>
        <v>105612</v>
      </c>
      <c r="B779" s="235" t="str">
        <f>IFERROR(__xludf.DUMMYFUNCTION("""COMPUTED_VALUE"""),"RODRIGO CUSTODIO")</f>
        <v>RODRIGO CUSTODIO</v>
      </c>
      <c r="C779" s="235" t="str">
        <f>IFERROR(__xludf.DUMMYFUNCTION("""COMPUTED_VALUE"""),"AMD")</f>
        <v>AMD</v>
      </c>
      <c r="D779" s="196" t="str">
        <f>IFERROR(__xludf.DUMMYFUNCTION("""COMPUTED_VALUE"""),"40 PCS FALCON WATERLESS URINAL CARTRIDGE ")</f>
        <v>40 PCS FALCON WATERLESS URINAL CARTRIDGE </v>
      </c>
      <c r="E779" s="196" t="str">
        <f>IFERROR(__xludf.DUMMYFUNCTION("""COMPUTED_VALUE"""),"HOUSEKEEPING MATERIALS STOCK REPLENISHMENT")</f>
        <v>HOUSEKEEPING MATERIALS STOCK REPLENISHMENT</v>
      </c>
    </row>
    <row r="780">
      <c r="A780" s="234">
        <f>IFERROR(__xludf.DUMMYFUNCTION("""COMPUTED_VALUE"""),105613.0)</f>
        <v>105613</v>
      </c>
      <c r="B780" s="235" t="str">
        <f>IFERROR(__xludf.DUMMYFUNCTION("""COMPUTED_VALUE"""),"SHARJAN GATCHALIAN")</f>
        <v>SHARJAN GATCHALIAN</v>
      </c>
      <c r="C780" s="235" t="str">
        <f>IFERROR(__xludf.DUMMYFUNCTION("""COMPUTED_VALUE"""),"MIS/ICT")</f>
        <v>MIS/ICT</v>
      </c>
      <c r="D780" s="196" t="str">
        <f>IFERROR(__xludf.DUMMYFUNCTION("""COMPUTED_VALUE"""),"1 PC RUIJIE REYES RG-EG210G-P-V3 IPSEC ROUTER")</f>
        <v>1 PC RUIJIE REYES RG-EG210G-P-V3 IPSEC ROUTER</v>
      </c>
      <c r="E780" s="196" t="str">
        <f>IFERROR(__xludf.DUMMYFUNCTION("""COMPUTED_VALUE"""),"IPSEC ROUTER FOR TESTING AND DEPLOYMENT VPN FOR SMIS")</f>
        <v>IPSEC ROUTER FOR TESTING AND DEPLOYMENT VPN FOR SMIS</v>
      </c>
    </row>
    <row r="781">
      <c r="A781" s="234">
        <f>IFERROR(__xludf.DUMMYFUNCTION("""COMPUTED_VALUE"""),105614.0)</f>
        <v>105614</v>
      </c>
      <c r="B781" s="235" t="str">
        <f>IFERROR(__xludf.DUMMYFUNCTION("""COMPUTED_VALUE"""),"SHARJAN GATCHALIAN")</f>
        <v>SHARJAN GATCHALIAN</v>
      </c>
      <c r="C781" s="235" t="str">
        <f>IFERROR(__xludf.DUMMYFUNCTION("""COMPUTED_VALUE"""),"MIS/ICT")</f>
        <v>MIS/ICT</v>
      </c>
      <c r="D781" s="196" t="str">
        <f>IFERROR(__xludf.DUMMYFUNCTION("""COMPUTED_VALUE"""),"1 PC RJ45 CRIMPING TOOL 
1 PC FIBER TOOL KITS
1 PC NETWORK LAN TESTER 
1 PC NOZZLE PLIERS CUTTER")</f>
        <v>1 PC RJ45 CRIMPING TOOL 
1 PC FIBER TOOL KITS
1 PC NETWORK LAN TESTER 
1 PC NOZZLE PLIERS CUTTER</v>
      </c>
      <c r="E781" s="196" t="str">
        <f>IFERROR(__xludf.DUMMYFUNCTION("""COMPUTED_VALUE"""),"NETWORK EQUIPMENT ")</f>
        <v>NETWORK EQUIPMENT </v>
      </c>
    </row>
    <row r="782">
      <c r="A782" s="234">
        <f>IFERROR(__xludf.DUMMYFUNCTION("""COMPUTED_VALUE"""),105615.0)</f>
        <v>105615</v>
      </c>
      <c r="B782" s="235" t="str">
        <f>IFERROR(__xludf.DUMMYFUNCTION("""COMPUTED_VALUE"""),"MARC VINCENT VITTO")</f>
        <v>MARC VINCENT VITTO</v>
      </c>
      <c r="C782" s="235" t="str">
        <f>IFERROR(__xludf.DUMMYFUNCTION("""COMPUTED_VALUE"""),"PR &amp; MARKETING")</f>
        <v>PR &amp; MARKETING</v>
      </c>
      <c r="D782" s="196" t="str">
        <f>IFERROR(__xludf.DUMMYFUNCTION("""COMPUTED_VALUE"""),"COLLEGE COURSES BANNER SIZE H=62.5 IN X W=32 IN THICKNESS 13 OZ
1 EACH:
- INDUSTRIAL ENGINEERING
-HRM
-ENTREP")</f>
        <v>COLLEGE COURSES BANNER SIZE H=62.5 IN X W=32 IN THICKNESS 13 OZ
1 EACH:
- INDUSTRIAL ENGINEERING
-HRM
-ENTREP</v>
      </c>
      <c r="E782" s="196" t="str">
        <f>IFERROR(__xludf.DUMMYFUNCTION("""COMPUTED_VALUE"""),"MARKETING")</f>
        <v>MARKETING</v>
      </c>
    </row>
    <row r="783">
      <c r="A783" s="234">
        <f>IFERROR(__xludf.DUMMYFUNCTION("""COMPUTED_VALUE"""),105616.0)</f>
        <v>105616</v>
      </c>
      <c r="B783" s="235" t="str">
        <f>IFERROR(__xludf.DUMMYFUNCTION("""COMPUTED_VALUE"""),"MARC VINCENT VITTO")</f>
        <v>MARC VINCENT VITTO</v>
      </c>
      <c r="C783" s="235" t="str">
        <f>IFERROR(__xludf.DUMMYFUNCTION("""COMPUTED_VALUE"""),"PR &amp; MARKETING")</f>
        <v>PR &amp; MARKETING</v>
      </c>
      <c r="D783" s="196" t="str">
        <f>IFERROR(__xludf.DUMMYFUNCTION("""COMPUTED_VALUE"""),"BATTLE OF THE BAND BANNER 
SIZE: H=197 CM W=84 CM THICKNESS 13 OZ
1 PC EACH
-SANRAYA &amp; SEGWAY
-SWEET CHILD &amp; TGC
-THE SONADA AND WATTATOPS
-THE ZION AND ONE DARK LIE
-AZELEAH PH AND HIRAYA BAND
-KORNERZ STONE AND LUCID ANGELS
-NEPTHALIE AND REDROSE")</f>
        <v>BATTLE OF THE BAND BANNER 
SIZE: H=197 CM W=84 CM THICKNESS 13 OZ
1 PC EACH
-SANRAYA &amp; SEGWAY
-SWEET CHILD &amp; TGC
-THE SONADA AND WATTATOPS
-THE ZION AND ONE DARK LIE
-AZELEAH PH AND HIRAYA BAND
-KORNERZ STONE AND LUCID ANGELS
-NEPTHALIE AND REDROSE</v>
      </c>
      <c r="E783" s="196" t="str">
        <f>IFERROR(__xludf.DUMMYFUNCTION("""COMPUTED_VALUE"""),"BATTLE OF THE BANDS")</f>
        <v>BATTLE OF THE BANDS</v>
      </c>
    </row>
    <row r="784">
      <c r="A784" s="234">
        <f>IFERROR(__xludf.DUMMYFUNCTION("""COMPUTED_VALUE"""),105617.0)</f>
        <v>105617</v>
      </c>
      <c r="B784" s="235" t="str">
        <f>IFERROR(__xludf.DUMMYFUNCTION("""COMPUTED_VALUE"""),"KARLA MAE PELONIA")</f>
        <v>KARLA MAE PELONIA</v>
      </c>
      <c r="C784" s="235" t="str">
        <f>IFERROR(__xludf.DUMMYFUNCTION("""COMPUTED_VALUE"""),"BED")</f>
        <v>BED</v>
      </c>
      <c r="D784" s="196" t="str">
        <f>IFERROR(__xludf.DUMMYFUNCTION("""COMPUTED_VALUE"""),"8 PCS PVC TABLE COVER 74 X 300 CM
2PCS SHARPENER
20 PCS CHANGEABLE ARTWORK FRAME 
20 PCS WATERCOLOR PAPER
20 PCS SINGLE METAL CLIP")</f>
        <v>8 PCS PVC TABLE COVER 74 X 300 CM
2PCS SHARPENER
20 PCS CHANGEABLE ARTWORK FRAME 
20 PCS WATERCOLOR PAPER
20 PCS SINGLE METAL CLIP</v>
      </c>
      <c r="E784" s="196" t="str">
        <f>IFERROR(__xludf.DUMMYFUNCTION("""COMPUTED_VALUE"""),"ART ROOM")</f>
        <v>ART ROOM</v>
      </c>
    </row>
    <row r="785">
      <c r="A785" s="234">
        <f>IFERROR(__xludf.DUMMYFUNCTION("""COMPUTED_VALUE"""),105618.0)</f>
        <v>105618</v>
      </c>
      <c r="B785" s="235" t="str">
        <f>IFERROR(__xludf.DUMMYFUNCTION("""COMPUTED_VALUE"""),"AMI SALANGUIT")</f>
        <v>AMI SALANGUIT</v>
      </c>
      <c r="C785" s="235" t="str">
        <f>IFERROR(__xludf.DUMMYFUNCTION("""COMPUTED_VALUE"""),"HRMD")</f>
        <v>HRMD</v>
      </c>
      <c r="D785" s="196" t="str">
        <f>IFERROR(__xludf.DUMMYFUNCTION("""COMPUTED_VALUE"""),"1 FLOWER WREATH WORTH 5K")</f>
        <v>1 FLOWER WREATH WORTH 5K</v>
      </c>
      <c r="E785" s="196" t="str">
        <f>IFERROR(__xludf.DUMMYFUNCTION("""COMPUTED_VALUE"""),"FLOWER WREATH FOR WIFE OF MR. BONG")</f>
        <v>FLOWER WREATH FOR WIFE OF MR. BONG</v>
      </c>
    </row>
    <row r="786">
      <c r="A786" s="234">
        <f>IFERROR(__xludf.DUMMYFUNCTION("""COMPUTED_VALUE"""),105619.0)</f>
        <v>105619</v>
      </c>
      <c r="B786" s="235" t="str">
        <f>IFERROR(__xludf.DUMMYFUNCTION("""COMPUTED_VALUE"""),"JESUIT CHRISTIAN GALICIA")</f>
        <v>JESUIT CHRISTIAN GALICIA</v>
      </c>
      <c r="C786" s="235" t="str">
        <f>IFERROR(__xludf.DUMMYFUNCTION("""COMPUTED_VALUE"""),"AMD")</f>
        <v>AMD</v>
      </c>
      <c r="D786" s="196" t="str">
        <f>IFERROR(__xludf.DUMMYFUNCTION("""COMPUTED_VALUE"""),"15 PCS PADLOCK 50MM YALE
10 PCS PADLOCK 25MM YALE")</f>
        <v>15 PCS PADLOCK 50MM YALE
10 PCS PADLOCK 25MM YALE</v>
      </c>
      <c r="E786" s="196" t="str">
        <f>IFERROR(__xludf.DUMMYFUNCTION("""COMPUTED_VALUE"""),"ENGR STOCK REPLENISHMENT")</f>
        <v>ENGR STOCK REPLENISHMENT</v>
      </c>
    </row>
    <row r="787">
      <c r="A787" s="234">
        <f>IFERROR(__xludf.DUMMYFUNCTION("""COMPUTED_VALUE"""),105620.0)</f>
        <v>105620</v>
      </c>
      <c r="B787" s="235" t="str">
        <f>IFERROR(__xludf.DUMMYFUNCTION("""COMPUTED_VALUE"""),"JESUIT CHRISTIAN GALICIA")</f>
        <v>JESUIT CHRISTIAN GALICIA</v>
      </c>
      <c r="C787" s="235" t="str">
        <f>IFERROR(__xludf.DUMMYFUNCTION("""COMPUTED_VALUE"""),"AMD")</f>
        <v>AMD</v>
      </c>
      <c r="D787" s="196" t="str">
        <f>IFERROR(__xludf.DUMMYFUNCTION("""COMPUTED_VALUE"""),"30 PCS GOOSE NECK FAUCET (CRESTON)")</f>
        <v>30 PCS GOOSE NECK FAUCET (CRESTON)</v>
      </c>
      <c r="E787" s="196" t="str">
        <f>IFERROR(__xludf.DUMMYFUNCTION("""COMPUTED_VALUE"""),"ENGR STOCK REPLENISHMENT")</f>
        <v>ENGR STOCK REPLENISHMENT</v>
      </c>
    </row>
    <row r="788">
      <c r="A788" s="234">
        <f>IFERROR(__xludf.DUMMYFUNCTION("""COMPUTED_VALUE"""),105621.0)</f>
        <v>105621</v>
      </c>
      <c r="B788" s="235" t="str">
        <f>IFERROR(__xludf.DUMMYFUNCTION("""COMPUTED_VALUE"""),"JC CAMPIT")</f>
        <v>JC CAMPIT</v>
      </c>
      <c r="C788" s="235" t="str">
        <f>IFERROR(__xludf.DUMMYFUNCTION("""COMPUTED_VALUE"""),"ABU")</f>
        <v>ABU</v>
      </c>
      <c r="D788" s="196" t="str">
        <f>IFERROR(__xludf.DUMMYFUNCTION("""COMPUTED_VALUE"""),"50 PCS SQUARE RUBBER CAP FOR BENCHES")</f>
        <v>50 PCS SQUARE RUBBER CAP FOR BENCHES</v>
      </c>
      <c r="E788" s="196" t="str">
        <f>IFERROR(__xludf.DUMMYFUNCTION("""COMPUTED_VALUE"""),"REPLACEMENT OF BROKEN SQUARE RUBBER CAP IN CAFETERIA / BUFFER STOCKS")</f>
        <v>REPLACEMENT OF BROKEN SQUARE RUBBER CAP IN CAFETERIA / BUFFER STOCKS</v>
      </c>
    </row>
    <row r="789">
      <c r="A789" s="234">
        <f>IFERROR(__xludf.DUMMYFUNCTION("""COMPUTED_VALUE"""),105622.0)</f>
        <v>105622</v>
      </c>
      <c r="B789" s="235" t="str">
        <f>IFERROR(__xludf.DUMMYFUNCTION("""COMPUTED_VALUE"""),"MARC VINCENT VITTO")</f>
        <v>MARC VINCENT VITTO</v>
      </c>
      <c r="C789" s="235" t="str">
        <f>IFERROR(__xludf.DUMMYFUNCTION("""COMPUTED_VALUE"""),"PR &amp; MARKETING")</f>
        <v>PR &amp; MARKETING</v>
      </c>
      <c r="D789" s="196" t="str">
        <f>IFERROR(__xludf.DUMMYFUNCTION("""COMPUTED_VALUE"""),"1PC EACH COLLEGE COURSES TARP ALL THICKNESS: 18 OZ
-CITE W=206 IN X H=77 IN
-BUSINESS W=206 IN X H=77 IN
-TOURISM W= 186 IN H=78 IN
-COMMA W= 202 IN H= 77IN
-EDUC W= 205 IN H=77 IN
-GRAD PROGRAMS W=205 IN H= 77 IN
-NURSING W=186 IN H= 78 IN
-PSYCH W=186 I"&amp;"N H=78 IN
-SSLC W=186 IN H= 78 IN
-ASAT W=186 IN H=78 IN")</f>
        <v>1PC EACH COLLEGE COURSES TARP ALL THICKNESS: 18 OZ
-CITE W=206 IN X H=77 IN
-BUSINESS W=206 IN X H=77 IN
-TOURISM W= 186 IN H=78 IN
-COMMA W= 202 IN H= 77IN
-EDUC W= 205 IN H=77 IN
-GRAD PROGRAMS W=205 IN H= 77 IN
-NURSING W=186 IN H= 78 IN
-PSYCH W=186 IN H=78 IN
-SSLC W=186 IN H= 78 IN
-ASAT W=186 IN H=78 IN</v>
      </c>
      <c r="E789" s="196" t="str">
        <f>IFERROR(__xludf.DUMMYFUNCTION("""COMPUTED_VALUE"""),"FOR ADMISSION ENROLLMENT")</f>
        <v>FOR ADMISSION ENROLLMENT</v>
      </c>
    </row>
    <row r="790">
      <c r="A790" s="234">
        <f>IFERROR(__xludf.DUMMYFUNCTION("""COMPUTED_VALUE"""),105623.0)</f>
        <v>105623</v>
      </c>
      <c r="B790" s="235" t="str">
        <f>IFERROR(__xludf.DUMMYFUNCTION("""COMPUTED_VALUE"""),"OWIE PAR ")</f>
        <v>OWIE PAR </v>
      </c>
      <c r="C790" s="235" t="str">
        <f>IFERROR(__xludf.DUMMYFUNCTION("""COMPUTED_VALUE"""),"ENGINEERING")</f>
        <v>ENGINEERING</v>
      </c>
      <c r="D790" s="196" t="str">
        <f>IFERROR(__xludf.DUMMYFUNCTION("""COMPUTED_VALUE"""),"1 UNIT 4.OHP CEILING CASSETTE TYPE INVERTER PANASONIC")</f>
        <v>1 UNIT 4.OHP CEILING CASSETTE TYPE INVERTER PANASONIC</v>
      </c>
      <c r="E790" s="196" t="str">
        <f>IFERROR(__xludf.DUMMYFUNCTION("""COMPUTED_VALUE"""),"REPLACEMENT OF STOCK UP COMPRESSOR UNIT FOR MUNICH RM 207")</f>
        <v>REPLACEMENT OF STOCK UP COMPRESSOR UNIT FOR MUNICH RM 207</v>
      </c>
    </row>
    <row r="791">
      <c r="A791" s="234">
        <f>IFERROR(__xludf.DUMMYFUNCTION("""COMPUTED_VALUE"""),105624.0)</f>
        <v>105624</v>
      </c>
      <c r="B791" s="235" t="str">
        <f>IFERROR(__xludf.DUMMYFUNCTION("""COMPUTED_VALUE"""),"RACHEL JANE PAMATIAN ")</f>
        <v>RACHEL JANE PAMATIAN </v>
      </c>
      <c r="C791" s="235" t="str">
        <f>IFERROR(__xludf.DUMMYFUNCTION("""COMPUTED_VALUE"""),"ADMIN - STAR")</f>
        <v>ADMIN - STAR</v>
      </c>
      <c r="D791" s="196" t="str">
        <f>IFERROR(__xludf.DUMMYFUNCTION("""COMPUTED_VALUE"""),"2 GALLONS RUGBY BOSTIK ORIG")</f>
        <v>2 GALLONS RUGBY BOSTIK ORIG</v>
      </c>
      <c r="E791" s="196" t="str">
        <f>IFERROR(__xludf.DUMMYFUNCTION("""COMPUTED_VALUE"""),"FOR RUBBERMATS INSTALLATION")</f>
        <v>FOR RUBBERMATS INSTALLATION</v>
      </c>
    </row>
    <row r="792">
      <c r="A792" s="234">
        <f>IFERROR(__xludf.DUMMYFUNCTION("""COMPUTED_VALUE"""),105625.0)</f>
        <v>105625</v>
      </c>
      <c r="B792" s="235" t="str">
        <f>IFERROR(__xludf.DUMMYFUNCTION("""COMPUTED_VALUE"""),"ALFA DE LEON")</f>
        <v>ALFA DE LEON</v>
      </c>
      <c r="C792" s="235" t="str">
        <f>IFERROR(__xludf.DUMMYFUNCTION("""COMPUTED_VALUE"""),"ADMIN")</f>
        <v>ADMIN</v>
      </c>
      <c r="D792" s="196" t="str">
        <f>IFERROR(__xludf.DUMMYFUNCTION("""COMPUTED_VALUE"""),"90 PCS ARTIFICIAL PLANTS W/ POTS 
10 PCS SELLOUM
5 BANANA LEAF
8 PCS SNOW WHITE
4 PCS CORNER AREAS")</f>
        <v>90 PCS ARTIFICIAL PLANTS W/ POTS 
10 PCS SELLOUM
5 BANANA LEAF
8 PCS SNOW WHITE
4 PCS CORNER AREAS</v>
      </c>
      <c r="E792" s="196" t="str">
        <f>IFERROR(__xludf.DUMMYFUNCTION("""COMPUTED_VALUE"""),"5/F COLLEGE ARTIFICIAL PLANTS DR. RUEL OFFICE FLEX FACULTY RESEARCH")</f>
        <v>5/F COLLEGE ARTIFICIAL PLANTS DR. RUEL OFFICE FLEX FACULTY RESEARCH</v>
      </c>
    </row>
    <row r="793">
      <c r="A793" s="234">
        <f>IFERROR(__xludf.DUMMYFUNCTION("""COMPUTED_VALUE"""),105626.0)</f>
        <v>105626</v>
      </c>
      <c r="B793" s="235" t="str">
        <f>IFERROR(__xludf.DUMMYFUNCTION("""COMPUTED_VALUE"""),"ALFA DE LEON")</f>
        <v>ALFA DE LEON</v>
      </c>
      <c r="C793" s="235" t="str">
        <f>IFERROR(__xludf.DUMMYFUNCTION("""COMPUTED_VALUE"""),"LANDSCAPING")</f>
        <v>LANDSCAPING</v>
      </c>
      <c r="D793" s="196" t="str">
        <f>IFERROR(__xludf.DUMMYFUNCTION("""COMPUTED_VALUE"""),"40 SQM FROG GRASS")</f>
        <v>40 SQM FROG GRASS</v>
      </c>
      <c r="E793" s="196" t="str">
        <f>IFERROR(__xludf.DUMMYFUNCTION("""COMPUTED_VALUE"""),"COLLEGE + MUNICH ROTANDA MAINTENANCE GARDEN")</f>
        <v>COLLEGE + MUNICH ROTANDA MAINTENANCE GARDEN</v>
      </c>
    </row>
    <row r="794">
      <c r="A794" s="234">
        <f>IFERROR(__xludf.DUMMYFUNCTION("""COMPUTED_VALUE"""),105627.0)</f>
        <v>105627</v>
      </c>
      <c r="B794" s="235" t="str">
        <f>IFERROR(__xludf.DUMMYFUNCTION("""COMPUTED_VALUE"""),"ALFA DE LEON")</f>
        <v>ALFA DE LEON</v>
      </c>
      <c r="C794" s="235" t="str">
        <f>IFERROR(__xludf.DUMMYFUNCTION("""COMPUTED_VALUE"""),"ADMIN - MUNICH")</f>
        <v>ADMIN - MUNICH</v>
      </c>
      <c r="D794" s="196" t="str">
        <f>IFERROR(__xludf.DUMMYFUNCTION("""COMPUTED_VALUE"""),"2 GALLONS RUGBY BOSTIK ORIG")</f>
        <v>2 GALLONS RUGBY BOSTIK ORIG</v>
      </c>
      <c r="E794" s="196" t="str">
        <f>IFERROR(__xludf.DUMMYFUNCTION("""COMPUTED_VALUE"""),"FOR RUBBERMATS INSTALLATION")</f>
        <v>FOR RUBBERMATS INSTALLATION</v>
      </c>
    </row>
    <row r="795">
      <c r="A795" s="234">
        <f>IFERROR(__xludf.DUMMYFUNCTION("""COMPUTED_VALUE"""),105628.0)</f>
        <v>105628</v>
      </c>
      <c r="B795" s="235" t="str">
        <f>IFERROR(__xludf.DUMMYFUNCTION("""COMPUTED_VALUE"""),"SHEREE ESPINOSA/JORGE BALELA")</f>
        <v>SHEREE ESPINOSA/JORGE BALELA</v>
      </c>
      <c r="C795" s="235" t="str">
        <f>IFERROR(__xludf.DUMMYFUNCTION("""COMPUTED_VALUE"""),"ADMIN")</f>
        <v>ADMIN</v>
      </c>
      <c r="D795" s="196" t="str">
        <f>IFERROR(__xludf.DUMMYFUNCTION("""COMPUTED_VALUE"""),"ARTIFICIAL FLOWERS, LEAVES, FERNS VINES")</f>
        <v>ARTIFICIAL FLOWERS, LEAVES, FERNS VINES</v>
      </c>
      <c r="E795" s="196" t="str">
        <f>IFERROR(__xludf.DUMMYFUNCTION("""COMPUTED_VALUE"""),"TO BE USED DURING EVENTS ")</f>
        <v>TO BE USED DURING EVENTS </v>
      </c>
    </row>
    <row r="796">
      <c r="A796" s="234">
        <f>IFERROR(__xludf.DUMMYFUNCTION("""COMPUTED_VALUE"""),105629.0)</f>
        <v>105629</v>
      </c>
      <c r="B796" s="235" t="str">
        <f>IFERROR(__xludf.DUMMYFUNCTION("""COMPUTED_VALUE"""),"JUNESSA A LUMBRES")</f>
        <v>JUNESSA A LUMBRES</v>
      </c>
      <c r="C796" s="235" t="str">
        <f>IFERROR(__xludf.DUMMYFUNCTION("""COMPUTED_VALUE"""),"I.B.")</f>
        <v>I.B.</v>
      </c>
      <c r="D796" s="196" t="str">
        <f>IFERROR(__xludf.DUMMYFUNCTION("""COMPUTED_VALUE"""),"CLASS PICTURE FOR AY 25-26
-114 STAR CAMPUS
-662 MUNICH CAMPUS
-1051 LUX CAMPUS
-60 IB")</f>
        <v>CLASS PICTURE FOR AY 25-26
-114 STAR CAMPUS
-662 MUNICH CAMPUS
-1051 LUX CAMPUS
-60 IB</v>
      </c>
      <c r="E796" s="196" t="str">
        <f>IFERROR(__xludf.DUMMYFUNCTION("""COMPUTED_VALUE"""),"CLASS PICTURE")</f>
        <v>CLASS PICTURE</v>
      </c>
    </row>
    <row r="797">
      <c r="A797" s="234">
        <f>IFERROR(__xludf.DUMMYFUNCTION("""COMPUTED_VALUE"""),105630.0)</f>
        <v>105630</v>
      </c>
      <c r="B797" s="235" t="str">
        <f>IFERROR(__xludf.DUMMYFUNCTION("""COMPUTED_VALUE"""),"SHEREE ESPINOSA")</f>
        <v>SHEREE ESPINOSA</v>
      </c>
      <c r="C797" s="235" t="str">
        <f>IFERROR(__xludf.DUMMYFUNCTION("""COMPUTED_VALUE"""),"ADMIN")</f>
        <v>ADMIN</v>
      </c>
      <c r="D797" s="196" t="str">
        <f>IFERROR(__xludf.DUMMYFUNCTION("""COMPUTED_VALUE"""),"5 PCS ROUND TABLE 
10 PCS ROUND STOOL")</f>
        <v>5 PCS ROUND TABLE 
10 PCS ROUND STOOL</v>
      </c>
      <c r="E797" s="196" t="str">
        <f>IFERROR(__xludf.DUMMYFUNCTION("""COMPUTED_VALUE"""),"FOR MONARCHS HUB")</f>
        <v>FOR MONARCHS HUB</v>
      </c>
    </row>
    <row r="798">
      <c r="A798" s="234">
        <f>IFERROR(__xludf.DUMMYFUNCTION("""COMPUTED_VALUE"""),105631.0)</f>
        <v>105631</v>
      </c>
      <c r="B798" s="235" t="str">
        <f>IFERROR(__xludf.DUMMYFUNCTION("""COMPUTED_VALUE"""),"SHEREE ESPINOSA")</f>
        <v>SHEREE ESPINOSA</v>
      </c>
      <c r="C798" s="235" t="str">
        <f>IFERROR(__xludf.DUMMYFUNCTION("""COMPUTED_VALUE"""),"ADMIN")</f>
        <v>ADMIN</v>
      </c>
      <c r="D798" s="196" t="str">
        <f>IFERROR(__xludf.DUMMYFUNCTION("""COMPUTED_VALUE"""),"8 PCS OFFICE TABLE / DESK
30 PCS GROMMET (BLACK) 
24 PCS DESKTOP SOCKET TABLE (BLACK)")</f>
        <v>8 PCS OFFICE TABLE / DESK
30 PCS GROMMET (BLACK) 
24 PCS DESKTOP SOCKET TABLE (BLACK)</v>
      </c>
      <c r="E798" s="196" t="str">
        <f>IFERROR(__xludf.DUMMYFUNCTION("""COMPUTED_VALUE"""),"FOR MONARCHS HUB")</f>
        <v>FOR MONARCHS HUB</v>
      </c>
    </row>
    <row r="799">
      <c r="A799" s="234">
        <f>IFERROR(__xludf.DUMMYFUNCTION("""COMPUTED_VALUE"""),105632.0)</f>
        <v>105632</v>
      </c>
      <c r="B799" s="235" t="str">
        <f>IFERROR(__xludf.DUMMYFUNCTION("""COMPUTED_VALUE"""),"SHEREE ESPINOSA")</f>
        <v>SHEREE ESPINOSA</v>
      </c>
      <c r="C799" s="235" t="str">
        <f>IFERROR(__xludf.DUMMYFUNCTION("""COMPUTED_VALUE"""),"ADMIN")</f>
        <v>ADMIN</v>
      </c>
      <c r="D799" s="196" t="str">
        <f>IFERROR(__xludf.DUMMYFUNCTION("""COMPUTED_VALUE"""),"159 PCS THEATER SEATS WITH A3 TABLET 0.60M X 0.60M")</f>
        <v>159 PCS THEATER SEATS WITH A3 TABLET 0.60M X 0.60M</v>
      </c>
      <c r="E799" s="196" t="str">
        <f>IFERROR(__xludf.DUMMYFUNCTION("""COMPUTED_VALUE"""),"FOR MONARCHS HUB BIG HALL")</f>
        <v>FOR MONARCHS HUB BIG HALL</v>
      </c>
    </row>
    <row r="800">
      <c r="A800" s="234">
        <f>IFERROR(__xludf.DUMMYFUNCTION("""COMPUTED_VALUE"""),105633.0)</f>
        <v>105633</v>
      </c>
      <c r="B800" s="235" t="str">
        <f>IFERROR(__xludf.DUMMYFUNCTION("""COMPUTED_VALUE"""),"SHEREE ESPINOSA")</f>
        <v>SHEREE ESPINOSA</v>
      </c>
      <c r="C800" s="235" t="str">
        <f>IFERROR(__xludf.DUMMYFUNCTION("""COMPUTED_VALUE"""),"ADMIN")</f>
        <v>ADMIN</v>
      </c>
      <c r="D800" s="196" t="str">
        <f>IFERROR(__xludf.DUMMYFUNCTION("""COMPUTED_VALUE"""),"PODIUM ")</f>
        <v>PODIUM </v>
      </c>
      <c r="E800" s="196" t="str">
        <f>IFERROR(__xludf.DUMMYFUNCTION("""COMPUTED_VALUE"""),"FOR MONARCHS HUB BIG HALL")</f>
        <v>FOR MONARCHS HUB BIG HALL</v>
      </c>
    </row>
    <row r="801">
      <c r="A801" s="234">
        <f>IFERROR(__xludf.DUMMYFUNCTION("""COMPUTED_VALUE"""),105634.0)</f>
        <v>105634</v>
      </c>
      <c r="B801" s="235" t="str">
        <f>IFERROR(__xludf.DUMMYFUNCTION("""COMPUTED_VALUE"""),"SHEREE ESPINOSA")</f>
        <v>SHEREE ESPINOSA</v>
      </c>
      <c r="C801" s="235" t="str">
        <f>IFERROR(__xludf.DUMMYFUNCTION("""COMPUTED_VALUE"""),"ADMIN")</f>
        <v>ADMIN</v>
      </c>
      <c r="D801" s="196" t="str">
        <f>IFERROR(__xludf.DUMMYFUNCTION("""COMPUTED_VALUE"""),"17 PCS SWIVEL CHAIRS ")</f>
        <v>17 PCS SWIVEL CHAIRS </v>
      </c>
      <c r="E801" s="196" t="str">
        <f>IFERROR(__xludf.DUMMYFUNCTION("""COMPUTED_VALUE"""),"FOR MONARCHS HUB NEW CLASSROOM / OFFICE")</f>
        <v>FOR MONARCHS HUB NEW CLASSROOM / OFFICE</v>
      </c>
    </row>
    <row r="802">
      <c r="A802" s="234">
        <f>IFERROR(__xludf.DUMMYFUNCTION("""COMPUTED_VALUE"""),105635.0)</f>
        <v>105635</v>
      </c>
      <c r="B802" s="235" t="str">
        <f>IFERROR(__xludf.DUMMYFUNCTION("""COMPUTED_VALUE"""),"SHEREE ESPINOSA")</f>
        <v>SHEREE ESPINOSA</v>
      </c>
      <c r="C802" s="235" t="str">
        <f>IFERROR(__xludf.DUMMYFUNCTION("""COMPUTED_VALUE"""),"ADMIN")</f>
        <v>ADMIN</v>
      </c>
      <c r="D802" s="196" t="str">
        <f>IFERROR(__xludf.DUMMYFUNCTION("""COMPUTED_VALUE"""),"3 PCS TEACHERS TABLE FI3")</f>
        <v>3 PCS TEACHERS TABLE FI3</v>
      </c>
      <c r="E802" s="196" t="str">
        <f>IFERROR(__xludf.DUMMYFUNCTION("""COMPUTED_VALUE"""),"FOR MONARCHS HUB NEW CLASSROM")</f>
        <v>FOR MONARCHS HUB NEW CLASSROM</v>
      </c>
    </row>
    <row r="803">
      <c r="A803" s="234">
        <f>IFERROR(__xludf.DUMMYFUNCTION("""COMPUTED_VALUE"""),105636.0)</f>
        <v>105636</v>
      </c>
      <c r="B803" s="235" t="str">
        <f>IFERROR(__xludf.DUMMYFUNCTION("""COMPUTED_VALUE"""),"SHEREE ESPINOSA")</f>
        <v>SHEREE ESPINOSA</v>
      </c>
      <c r="C803" s="235" t="str">
        <f>IFERROR(__xludf.DUMMYFUNCTION("""COMPUTED_VALUE"""),"ADMIN")</f>
        <v>ADMIN</v>
      </c>
      <c r="D803" s="196" t="str">
        <f>IFERROR(__xludf.DUMMYFUNCTION("""COMPUTED_VALUE"""),"ARMCHAIRS:
-40 PCS CLASSROOM 1
-23 PCS CLASSROOM 2
-15 PCS CLASSROOM 3")</f>
        <v>ARMCHAIRS:
-40 PCS CLASSROOM 1
-23 PCS CLASSROOM 2
-15 PCS CLASSROOM 3</v>
      </c>
      <c r="E803" s="196" t="str">
        <f>IFERROR(__xludf.DUMMYFUNCTION("""COMPUTED_VALUE"""),"STUDENTS CHAIRS FOR NEW CLASSROOM MONARCHS HUB")</f>
        <v>STUDENTS CHAIRS FOR NEW CLASSROOM MONARCHS HUB</v>
      </c>
    </row>
    <row r="804">
      <c r="A804" s="234">
        <f>IFERROR(__xludf.DUMMYFUNCTION("""COMPUTED_VALUE"""),105637.0)</f>
        <v>105637</v>
      </c>
      <c r="B804" s="235" t="str">
        <f>IFERROR(__xludf.DUMMYFUNCTION("""COMPUTED_VALUE"""),"MARC VINCENT VITTO")</f>
        <v>MARC VINCENT VITTO</v>
      </c>
      <c r="C804" s="235" t="str">
        <f>IFERROR(__xludf.DUMMYFUNCTION("""COMPUTED_VALUE"""),"PR &amp; MARKETING")</f>
        <v>PR &amp; MARKETING</v>
      </c>
      <c r="D804" s="196" t="str">
        <f>IFERROR(__xludf.DUMMYFUNCTION("""COMPUTED_VALUE"""),"1 ISO WELCOME TARP W=13FT X H= 6.5FT THICKNESS=13 OZ
6 PCS ISO WELCOME SISC 
2 PCS ISO WELCOME SISFU
W= 2.5FT X H= 6FT THICKNESS 13OZ ADD SEAMING AND EYELET ALL OVER")</f>
        <v>1 ISO WELCOME TARP W=13FT X H= 6.5FT THICKNESS=13 OZ
6 PCS ISO WELCOME SISC 
2 PCS ISO WELCOME SISFU
W= 2.5FT X H= 6FT THICKNESS 13OZ ADD SEAMING AND EYELET ALL OVER</v>
      </c>
      <c r="E804" s="196" t="str">
        <f>IFERROR(__xludf.DUMMYFUNCTION("""COMPUTED_VALUE"""),"ISO AUDIT")</f>
        <v>ISO AUDIT</v>
      </c>
    </row>
    <row r="805">
      <c r="A805" s="234">
        <f>IFERROR(__xludf.DUMMYFUNCTION("""COMPUTED_VALUE"""),105638.0)</f>
        <v>105638</v>
      </c>
      <c r="B805" s="235" t="str">
        <f>IFERROR(__xludf.DUMMYFUNCTION("""COMPUTED_VALUE"""),"LYKA PERALTA")</f>
        <v>LYKA PERALTA</v>
      </c>
      <c r="C805" s="235" t="str">
        <f>IFERROR(__xludf.DUMMYFUNCTION("""COMPUTED_VALUE"""),"AMD")</f>
        <v>AMD</v>
      </c>
      <c r="D805" s="196" t="str">
        <f>IFERROR(__xludf.DUMMYFUNCTION("""COMPUTED_VALUE"""),"850 PCS 3M MASKING TAPE BIG 1""
60 PCS STAPLER MAX HD 50 W/ STAPLE WIRE REMOVER 
45 PCS YELLOW PAD PAPER BOND PAPER QUALITY
20 PCS HIGHLIGHTER STABILO ORANGE
500 PCS PAPER COLORED FORTUNE VIOLET")</f>
        <v>850 PCS 3M MASKING TAPE BIG 1"
60 PCS STAPLER MAX HD 50 W/ STAPLE WIRE REMOVER 
45 PCS YELLOW PAD PAPER BOND PAPER QUALITY
20 PCS HIGHLIGHTER STABILO ORANGE
500 PCS PAPER COLORED FORTUNE VIOLET</v>
      </c>
      <c r="E805" s="196" t="str">
        <f>IFERROR(__xludf.DUMMYFUNCTION("""COMPUTED_VALUE"""),"OSSUP STOCK REPLENISHMENT ")</f>
        <v>OSSUP STOCK REPLENISHMENT </v>
      </c>
    </row>
    <row r="806">
      <c r="A806" s="234">
        <f>IFERROR(__xludf.DUMMYFUNCTION("""COMPUTED_VALUE"""),105639.0)</f>
        <v>105639</v>
      </c>
      <c r="B806" s="235" t="str">
        <f>IFERROR(__xludf.DUMMYFUNCTION("""COMPUTED_VALUE"""),"JOHN PAUL M. SAWALI")</f>
        <v>JOHN PAUL M. SAWALI</v>
      </c>
      <c r="C806" s="235" t="str">
        <f>IFERROR(__xludf.DUMMYFUNCTION("""COMPUTED_VALUE"""),"FINANCE &amp; ACCOUNTING")</f>
        <v>FINANCE &amp; ACCOUNTING</v>
      </c>
      <c r="D806" s="196" t="str">
        <f>IFERROR(__xludf.DUMMYFUNCTION("""COMPUTED_VALUE"""),"100 PADS EXAMINATION PERMIT 100 PCS PER PAD ")</f>
        <v>100 PADS EXAMINATION PERMIT 100 PCS PER PAD </v>
      </c>
      <c r="E806" s="196" t="str">
        <f>IFERROR(__xludf.DUMMYFUNCTION("""COMPUTED_VALUE"""),"FOR EXAMINATION OF THE STUDENT")</f>
        <v>FOR EXAMINATION OF THE STUDENT</v>
      </c>
    </row>
    <row r="807">
      <c r="A807" s="234">
        <f>IFERROR(__xludf.DUMMYFUNCTION("""COMPUTED_VALUE"""),105640.0)</f>
        <v>105640</v>
      </c>
      <c r="B807" s="235" t="str">
        <f>IFERROR(__xludf.DUMMYFUNCTION("""COMPUTED_VALUE"""),"MARC VINCENT VITTO")</f>
        <v>MARC VINCENT VITTO</v>
      </c>
      <c r="C807" s="235" t="str">
        <f>IFERROR(__xludf.DUMMYFUNCTION("""COMPUTED_VALUE"""),"PR &amp; MARKETING")</f>
        <v>PR &amp; MARKETING</v>
      </c>
      <c r="D807" s="196" t="str">
        <f>IFERROR(__xludf.DUMMYFUNCTION("""COMPUTED_VALUE"""),"1 MONARCHELLA 2025 TARP
W=202 IN X H= 77IN THICKNESS 18OZ ADD SEAMING AND EYELET ALL OVER")</f>
        <v>1 MONARCHELLA 2025 TARP
W=202 IN X H= 77IN THICKNESS 18OZ ADD SEAMING AND EYELET ALL OVER</v>
      </c>
      <c r="E807" s="196" t="str">
        <f>IFERROR(__xludf.DUMMYFUNCTION("""COMPUTED_VALUE"""),"MONARCHELLA")</f>
        <v>MONARCHELLA</v>
      </c>
    </row>
    <row r="808">
      <c r="A808" s="234">
        <f>IFERROR(__xludf.DUMMYFUNCTION("""COMPUTED_VALUE"""),105641.0)</f>
        <v>105641</v>
      </c>
      <c r="B808" s="235" t="str">
        <f>IFERROR(__xludf.DUMMYFUNCTION("""COMPUTED_VALUE"""),"ADOR MARINDA")</f>
        <v>ADOR MARINDA</v>
      </c>
      <c r="C808" s="235" t="str">
        <f>IFERROR(__xludf.DUMMYFUNCTION("""COMPUTED_VALUE"""),"MIS/ICT")</f>
        <v>MIS/ICT</v>
      </c>
      <c r="D808" s="196" t="str">
        <f>IFERROR(__xludf.DUMMYFUNCTION("""COMPUTED_VALUE"""),"5 PCS UGREEN USB 3.0 TO B-MALE CABLE 2 METERS
2 PCS ORICO 2 BAYS DOCKING STATION
2PCS 10 BAYS HDD STORAGE BOX 
1 PC ORICO 20 BAYS HDD STORAGE BOX")</f>
        <v>5 PCS UGREEN USB 3.0 TO B-MALE CABLE 2 METERS
2 PCS ORICO 2 BAYS DOCKING STATION
2PCS 10 BAYS HDD STORAGE BOX 
1 PC ORICO 20 BAYS HDD STORAGE BOX</v>
      </c>
      <c r="E808" s="196" t="str">
        <f>IFERROR(__xludf.DUMMYFUNCTION("""COMPUTED_VALUE"""),"FOR DATA BACK UP ANG STORAGE")</f>
        <v>FOR DATA BACK UP ANG STORAGE</v>
      </c>
    </row>
    <row r="809">
      <c r="A809" s="234">
        <f>IFERROR(__xludf.DUMMYFUNCTION("""COMPUTED_VALUE"""),105642.0)</f>
        <v>105642</v>
      </c>
      <c r="B809" s="235" t="str">
        <f>IFERROR(__xludf.DUMMYFUNCTION("""COMPUTED_VALUE"""),"LUCILLE BEYER")</f>
        <v>LUCILLE BEYER</v>
      </c>
      <c r="C809" s="235" t="str">
        <f>IFERROR(__xludf.DUMMYFUNCTION("""COMPUTED_VALUE"""),"MEDICAL")</f>
        <v>MEDICAL</v>
      </c>
      <c r="D809" s="196" t="str">
        <f>IFERROR(__xludf.DUMMYFUNCTION("""COMPUTED_VALUE"""),"CLINIC SUPPLIES + MEDS")</f>
        <v>CLINIC SUPPLIES + MEDS</v>
      </c>
      <c r="E809" s="196" t="str">
        <f>IFERROR(__xludf.DUMMYFUNCTION("""COMPUTED_VALUE"""),"REPLENISHMENT OF CLINIC SUPPLIES +MEDS FOR MONTH OF APRIL AND MAY FOR 3 CLINICS")</f>
        <v>REPLENISHMENT OF CLINIC SUPPLIES +MEDS FOR MONTH OF APRIL AND MAY FOR 3 CLINICS</v>
      </c>
    </row>
    <row r="810">
      <c r="A810" s="234">
        <f>IFERROR(__xludf.DUMMYFUNCTION("""COMPUTED_VALUE"""),105643.0)</f>
        <v>105643</v>
      </c>
      <c r="B810" s="235" t="str">
        <f>IFERROR(__xludf.DUMMYFUNCTION("""COMPUTED_VALUE"""),"ALFA DE LEON")</f>
        <v>ALFA DE LEON</v>
      </c>
      <c r="C810" s="235" t="str">
        <f>IFERROR(__xludf.DUMMYFUNCTION("""COMPUTED_VALUE"""),"ADMIN - MUNICH")</f>
        <v>ADMIN - MUNICH</v>
      </c>
      <c r="D810" s="196" t="str">
        <f>IFERROR(__xludf.DUMMYFUNCTION("""COMPUTED_VALUE"""),"10 PCS ACRYLIC ON SENTRA 3MM W/ BROWN STICKER")</f>
        <v>10 PCS ACRYLIC ON SENTRA 3MM W/ BROWN STICKER</v>
      </c>
      <c r="E810" s="196" t="str">
        <f>IFERROR(__xludf.DUMMYFUNCTION("""COMPUTED_VALUE"""),"ACRYLIC FRAME FOR CLASS SCHEDULE")</f>
        <v>ACRYLIC FRAME FOR CLASS SCHEDULE</v>
      </c>
    </row>
    <row r="811">
      <c r="A811" s="234">
        <f>IFERROR(__xludf.DUMMYFUNCTION("""COMPUTED_VALUE"""),105644.0)</f>
        <v>105644</v>
      </c>
      <c r="B811" s="235" t="str">
        <f>IFERROR(__xludf.DUMMYFUNCTION("""COMPUTED_VALUE"""),"OWIE PAR")</f>
        <v>OWIE PAR</v>
      </c>
      <c r="C811" s="235" t="str">
        <f>IFERROR(__xludf.DUMMYFUNCTION("""COMPUTED_VALUE"""),"ENGINEERING")</f>
        <v>ENGINEERING</v>
      </c>
      <c r="D811" s="196" t="str">
        <f>IFERROR(__xludf.DUMMYFUNCTION("""COMPUTED_VALUE"""),"1 SET MEMBRANE")</f>
        <v>1 SET MEMBRANE</v>
      </c>
      <c r="E811" s="196" t="str">
        <f>IFERROR(__xludf.DUMMYFUNCTION("""COMPUTED_VALUE"""),"FOR DRINKING WATER TREATMENT ")</f>
        <v>FOR DRINKING WATER TREATMENT </v>
      </c>
    </row>
    <row r="812">
      <c r="A812" s="234">
        <f>IFERROR(__xludf.DUMMYFUNCTION("""COMPUTED_VALUE"""),105645.0)</f>
        <v>105645</v>
      </c>
      <c r="B812" s="235" t="str">
        <f>IFERROR(__xludf.DUMMYFUNCTION("""COMPUTED_VALUE"""),"OWIE PAR")</f>
        <v>OWIE PAR</v>
      </c>
      <c r="C812" s="235" t="str">
        <f>IFERROR(__xludf.DUMMYFUNCTION("""COMPUTED_VALUE"""),"ENGINEERING")</f>
        <v>ENGINEERING</v>
      </c>
      <c r="D812" s="196" t="str">
        <f>IFERROR(__xludf.DUMMYFUNCTION("""COMPUTED_VALUE"""),"100 KGS ALUMINUM SULFATR
50 KGS ANFLOC POLYMER")</f>
        <v>100 KGS ALUMINUM SULFATR
50 KGS ANFLOC POLYMER</v>
      </c>
      <c r="E812" s="196" t="str">
        <f>IFERROR(__xludf.DUMMYFUNCTION("""COMPUTED_VALUE"""),"FOR WASTE WATER TREATMENT ")</f>
        <v>FOR WASTE WATER TREATMENT </v>
      </c>
    </row>
    <row r="813">
      <c r="A813" s="234">
        <f>IFERROR(__xludf.DUMMYFUNCTION("""COMPUTED_VALUE"""),105646.0)</f>
        <v>105646</v>
      </c>
      <c r="B813" s="235" t="str">
        <f>IFERROR(__xludf.DUMMYFUNCTION("""COMPUTED_VALUE"""),"CARLITO DELA VEGA")</f>
        <v>CARLITO DELA VEGA</v>
      </c>
      <c r="C813" s="235" t="str">
        <f>IFERROR(__xludf.DUMMYFUNCTION("""COMPUTED_VALUE"""),"ADMIN")</f>
        <v>ADMIN</v>
      </c>
      <c r="D813" s="196" t="str">
        <f>IFERROR(__xludf.DUMMYFUNCTION("""COMPUTED_VALUE"""),"45 PCS IMOU BULLET WIFI CAMERA
45 PCS IPC-F42FEU-D W/ IMOU 256 SD CARD ")</f>
        <v>45 PCS IMOU BULLET WIFI CAMERA
45 PCS IPC-F42FEU-D W/ IMOU 256 SD CARD </v>
      </c>
      <c r="E813" s="196" t="str">
        <f>IFERROR(__xludf.DUMMYFUNCTION("""COMPUTED_VALUE"""),"SAFETY+SECURITY")</f>
        <v>SAFETY+SECURITY</v>
      </c>
    </row>
    <row r="814">
      <c r="A814" s="234">
        <f>IFERROR(__xludf.DUMMYFUNCTION("""COMPUTED_VALUE"""),105647.0)</f>
        <v>105647</v>
      </c>
      <c r="B814" s="235" t="str">
        <f>IFERROR(__xludf.DUMMYFUNCTION("""COMPUTED_VALUE"""),"RODRIGO CUSTODIO")</f>
        <v>RODRIGO CUSTODIO</v>
      </c>
      <c r="C814" s="235" t="str">
        <f>IFERROR(__xludf.DUMMYFUNCTION("""COMPUTED_VALUE"""),"AMD")</f>
        <v>AMD</v>
      </c>
      <c r="D814" s="196" t="str">
        <f>IFERROR(__xludf.DUMMYFUNCTION("""COMPUTED_VALUE"""),"50 GALS LIQUID DEODORIZER STATE SWEET SUNSATION ")</f>
        <v>50 GALS LIQUID DEODORIZER STATE SWEET SUNSATION </v>
      </c>
      <c r="E814" s="196" t="str">
        <f>IFERROR(__xludf.DUMMYFUNCTION("""COMPUTED_VALUE"""),"HOUSEKEEPING MATERIALS STOCK REPLENISHMENT")</f>
        <v>HOUSEKEEPING MATERIALS STOCK REPLENISHMENT</v>
      </c>
    </row>
    <row r="815">
      <c r="A815" s="234">
        <f>IFERROR(__xludf.DUMMYFUNCTION("""COMPUTED_VALUE"""),105648.0)</f>
        <v>105648</v>
      </c>
      <c r="B815" s="235" t="str">
        <f>IFERROR(__xludf.DUMMYFUNCTION("""COMPUTED_VALUE"""),"LYKA PERALTA")</f>
        <v>LYKA PERALTA</v>
      </c>
      <c r="C815" s="235" t="str">
        <f>IFERROR(__xludf.DUMMYFUNCTION("""COMPUTED_VALUE"""),"AMD")</f>
        <v>AMD</v>
      </c>
      <c r="D815" s="196" t="str">
        <f>IFERROR(__xludf.DUMMYFUNCTION("""COMPUTED_VALUE"""),"400 PCS AAA BATTERY ENERGIZER")</f>
        <v>400 PCS AAA BATTERY ENERGIZER</v>
      </c>
      <c r="E815" s="196" t="str">
        <f>IFERROR(__xludf.DUMMYFUNCTION("""COMPUTED_VALUE"""),"OSSUP STOCK REPLENISHMENT ")</f>
        <v>OSSUP STOCK REPLENISHMENT </v>
      </c>
    </row>
    <row r="816">
      <c r="A816" s="234">
        <f>IFERROR(__xludf.DUMMYFUNCTION("""COMPUTED_VALUE"""),105649.0)</f>
        <v>105649</v>
      </c>
      <c r="B816" s="235" t="str">
        <f>IFERROR(__xludf.DUMMYFUNCTION("""COMPUTED_VALUE"""),"RONALDO VERDE")</f>
        <v>RONALDO VERDE</v>
      </c>
      <c r="C816" s="235" t="str">
        <f>IFERROR(__xludf.DUMMYFUNCTION("""COMPUTED_VALUE"""),"ADMIN")</f>
        <v>ADMIN</v>
      </c>
      <c r="D816" s="196" t="str">
        <f>IFERROR(__xludf.DUMMYFUNCTION("""COMPUTED_VALUE"""),"8 PCS S4S KD 2X2X8 
2 PCS PLYWOOD 1/4 X 4 X 8
1 LITER STICK WELL 
1KG NAIL #2")</f>
        <v>8 PCS S4S KD 2X2X8 
2 PCS PLYWOOD 1/4 X 4 X 8
1 LITER STICK WELL 
1KG NAIL #2</v>
      </c>
      <c r="E816" s="196" t="str">
        <f>IFERROR(__xludf.DUMMYFUNCTION("""COMPUTED_VALUE"""),"MOLAVE BACKDROP FOR EVENT")</f>
        <v>MOLAVE BACKDROP FOR EVENT</v>
      </c>
    </row>
    <row r="817">
      <c r="A817" s="234">
        <f>IFERROR(__xludf.DUMMYFUNCTION("""COMPUTED_VALUE"""),105650.0)</f>
        <v>105650</v>
      </c>
      <c r="B817" s="235" t="str">
        <f>IFERROR(__xludf.DUMMYFUNCTION("""COMPUTED_VALUE"""),"LYKA PERALTA")</f>
        <v>LYKA PERALTA</v>
      </c>
      <c r="C817" s="235" t="str">
        <f>IFERROR(__xludf.DUMMYFUNCTION("""COMPUTED_VALUE"""),"AMD")</f>
        <v>AMD</v>
      </c>
      <c r="D817" s="196" t="str">
        <f>IFERROR(__xludf.DUMMYFUNCTION("""COMPUTED_VALUE"""),"100 PCS PAPER CARBON PAPER LONG BLUE")</f>
        <v>100 PCS PAPER CARBON PAPER LONG BLUE</v>
      </c>
      <c r="E817" s="196" t="str">
        <f>IFERROR(__xludf.DUMMYFUNCTION("""COMPUTED_VALUE"""),"OSSUP STOCK REPLENISHMENT ")</f>
        <v>OSSUP STOCK REPLENISHMENT </v>
      </c>
    </row>
    <row r="818">
      <c r="A818" s="234">
        <f>IFERROR(__xludf.DUMMYFUNCTION("""COMPUTED_VALUE"""),105651.0)</f>
        <v>105651</v>
      </c>
      <c r="B818" s="235" t="str">
        <f>IFERROR(__xludf.DUMMYFUNCTION("""COMPUTED_VALUE"""),"MARK VINCENT VITTO")</f>
        <v>MARK VINCENT VITTO</v>
      </c>
      <c r="C818" s="235" t="str">
        <f>IFERROR(__xludf.DUMMYFUNCTION("""COMPUTED_VALUE"""),"PR &amp; MARKETING")</f>
        <v>PR &amp; MARKETING</v>
      </c>
      <c r="D818" s="196" t="str">
        <f>IFERROR(__xludf.DUMMYFUNCTION("""COMPUTED_VALUE"""),"1 STUDENT ATHLETE TARP SIZE= W:186 IN X H: 78 IN THICKNESS 13OZ ADD SEAMING AND EYELET ALL OVER")</f>
        <v>1 STUDENT ATHLETE TARP SIZE= W:186 IN X H: 78 IN THICKNESS 13OZ ADD SEAMING AND EYELET ALL OVER</v>
      </c>
      <c r="E818" s="196" t="str">
        <f>IFERROR(__xludf.DUMMYFUNCTION("""COMPUTED_VALUE"""),"CONGRATULATORY TARP")</f>
        <v>CONGRATULATORY TARP</v>
      </c>
    </row>
    <row r="819">
      <c r="A819" s="234">
        <f>IFERROR(__xludf.DUMMYFUNCTION("""COMPUTED_VALUE"""),105652.0)</f>
        <v>105652</v>
      </c>
      <c r="B819" s="235" t="str">
        <f>IFERROR(__xludf.DUMMYFUNCTION("""COMPUTED_VALUE"""),"LYKA PERALTA")</f>
        <v>LYKA PERALTA</v>
      </c>
      <c r="C819" s="235" t="str">
        <f>IFERROR(__xludf.DUMMYFUNCTION("""COMPUTED_VALUE"""),"AMD")</f>
        <v>AMD</v>
      </c>
      <c r="D819" s="196" t="str">
        <f>IFERROR(__xludf.DUMMYFUNCTION("""COMPUTED_VALUE"""),"30 PCS STICKY NOTES 100 SHEETS")</f>
        <v>30 PCS STICKY NOTES 100 SHEETS</v>
      </c>
      <c r="E819" s="196" t="str">
        <f>IFERROR(__xludf.DUMMYFUNCTION("""COMPUTED_VALUE"""),"OSSUP NEW STOCK")</f>
        <v>OSSUP NEW STOCK</v>
      </c>
    </row>
    <row r="820">
      <c r="A820" s="234">
        <f>IFERROR(__xludf.DUMMYFUNCTION("""COMPUTED_VALUE"""),105653.0)</f>
        <v>105653</v>
      </c>
      <c r="B820" s="235" t="str">
        <f>IFERROR(__xludf.DUMMYFUNCTION("""COMPUTED_VALUE"""),"JORDAN JORDAN")</f>
        <v>JORDAN JORDAN</v>
      </c>
      <c r="C820" s="235" t="str">
        <f>IFERROR(__xludf.DUMMYFUNCTION("""COMPUTED_VALUE"""),"ADMIN")</f>
        <v>ADMIN</v>
      </c>
      <c r="D820" s="196" t="str">
        <f>IFERROR(__xludf.DUMMYFUNCTION("""COMPUTED_VALUE"""),"60 PCS OMNI DUPLEX UNIVERSAL OUTLET W/ GROUND 
3 PCS 1 WAY SWITCH W/ IVORY PLATE 
8 PCS 2 WAY SWITCH W/ IVORY PLATE 
4 PCS 1 WAY SWITCH  W/ IVORY PLATE 
10 PCS BLANK PLATE
4 PCS 3 WAY 3 GANG SWITCH 
5 PCS 12"" AEF-12C AKARI CEILING MOUNTED EXHAUST FAN")</f>
        <v>60 PCS OMNI DUPLEX UNIVERSAL OUTLET W/ GROUND 
3 PCS 1 WAY SWITCH W/ IVORY PLATE 
8 PCS 2 WAY SWITCH W/ IVORY PLATE 
4 PCS 1 WAY SWITCH  W/ IVORY PLATE 
10 PCS BLANK PLATE
4 PCS 3 WAY 3 GANG SWITCH 
5 PCS 12" AEF-12C AKARI CEILING MOUNTED EXHAUST FAN</v>
      </c>
      <c r="E820" s="196" t="str">
        <f>IFERROR(__xludf.DUMMYFUNCTION("""COMPUTED_VALUE"""),"TO BE INSTALLED IN MONARCHS HUB")</f>
        <v>TO BE INSTALLED IN MONARCHS HUB</v>
      </c>
    </row>
    <row r="821">
      <c r="A821" s="234">
        <f>IFERROR(__xludf.DUMMYFUNCTION("""COMPUTED_VALUE"""),105654.0)</f>
        <v>105654</v>
      </c>
      <c r="B821" s="235" t="str">
        <f>IFERROR(__xludf.DUMMYFUNCTION("""COMPUTED_VALUE"""),"JORDAN JORDAN")</f>
        <v>JORDAN JORDAN</v>
      </c>
      <c r="C821" s="235" t="str">
        <f>IFERROR(__xludf.DUMMYFUNCTION("""COMPUTED_VALUE"""),"ADMIN")</f>
        <v>ADMIN</v>
      </c>
      <c r="D821" s="196" t="str">
        <f>IFERROR(__xludf.DUMMYFUNCTION("""COMPUTED_VALUE"""),"5 PCS 11M CONTINOUS LED STRIPLIGHT 300K W/ MEAN WELL SUPPLY 24V 150 W MAX 10M 11 METERS
18 PCS EPO UFO CEILING MOUNTED EMERGENCY LIGHT 3W HEAVY DUTY W/ SELF TEST FEATURE LITHIUM ION BATTERY DAYLIGHT 
55 PCS PANEL LIGHT 60 X 60 40W 3000 K 230 V")</f>
        <v>5 PCS 11M CONTINOUS LED STRIPLIGHT 300K W/ MEAN WELL SUPPLY 24V 150 W MAX 10M 11 METERS
18 PCS EPO UFO CEILING MOUNTED EMERGENCY LIGHT 3W HEAVY DUTY W/ SELF TEST FEATURE LITHIUM ION BATTERY DAYLIGHT 
55 PCS PANEL LIGHT 60 X 60 40W 3000 K 230 V</v>
      </c>
      <c r="E821" s="196" t="str">
        <f>IFERROR(__xludf.DUMMYFUNCTION("""COMPUTED_VALUE"""),"LIGHTING FIXTURES FOR MONARCHS HUB")</f>
        <v>LIGHTING FIXTURES FOR MONARCHS HUB</v>
      </c>
    </row>
    <row r="822">
      <c r="A822" s="234">
        <f>IFERROR(__xludf.DUMMYFUNCTION("""COMPUTED_VALUE"""),105655.0)</f>
        <v>105655</v>
      </c>
      <c r="B822" s="235" t="str">
        <f>IFERROR(__xludf.DUMMYFUNCTION("""COMPUTED_VALUE"""),"JORDAN JORDAN")</f>
        <v>JORDAN JORDAN</v>
      </c>
      <c r="C822" s="235" t="str">
        <f>IFERROR(__xludf.DUMMYFUNCTION("""COMPUTED_VALUE"""),"ADMIN")</f>
        <v>ADMIN</v>
      </c>
      <c r="D822" s="196" t="str">
        <f>IFERROR(__xludf.DUMMYFUNCTION("""COMPUTED_VALUE"""),"66 PCS VIRO T-GRID ASO6-N13-9M840 ARO S2 600MM BASIC T-GRID FLEX LIGHTING SYSTEM 13W 90 DEG BE AN ANGLE 48V 1280 CM 400K COOL WHITE
27 PCS VIRO RF 1011 ROUND RECESSED LED DOWN LIGHT WITH VIRO M2 12W 3000 K 60 D WARM WHITE ON/OFF LEDDRIVER 1000LP")</f>
        <v>66 PCS VIRO T-GRID ASO6-N13-9M840 ARO S2 600MM BASIC T-GRID FLEX LIGHTING SYSTEM 13W 90 DEG BE AN ANGLE 48V 1280 CM 400K COOL WHITE
27 PCS VIRO RF 1011 ROUND RECESSED LED DOWN LIGHT WITH VIRO M2 12W 3000 K 60 D WARM WHITE ON/OFF LEDDRIVER 1000LP</v>
      </c>
      <c r="E822" s="196" t="str">
        <f>IFERROR(__xludf.DUMMYFUNCTION("""COMPUTED_VALUE"""),"LIGHTING FIXTURES FOR MONARCHS HUB")</f>
        <v>LIGHTING FIXTURES FOR MONARCHS HUB</v>
      </c>
    </row>
    <row r="823">
      <c r="A823" s="234">
        <f>IFERROR(__xludf.DUMMYFUNCTION("""COMPUTED_VALUE"""),105656.0)</f>
        <v>105656</v>
      </c>
      <c r="B823" s="235" t="str">
        <f>IFERROR(__xludf.DUMMYFUNCTION("""COMPUTED_VALUE"""),"RODRIGO CUSTODIO")</f>
        <v>RODRIGO CUSTODIO</v>
      </c>
      <c r="C823" s="235" t="str">
        <f>IFERROR(__xludf.DUMMYFUNCTION("""COMPUTED_VALUE"""),"AMD")</f>
        <v>AMD</v>
      </c>
      <c r="D823" s="196" t="str">
        <f>IFERROR(__xludf.DUMMYFUNCTION("""COMPUTED_VALUE"""),"20 PCS DEL FABRIC SOFTENER 1000ML
408 PCS ALL PURPOSE POWDER 800 GRAMS PER PACK
210 PCS BABY OIL 125 ML ")</f>
        <v>20 PCS DEL FABRIC SOFTENER 1000ML
408 PCS ALL PURPOSE POWDER 800 GRAMS PER PACK
210 PCS BABY OIL 125 ML </v>
      </c>
      <c r="E823" s="196" t="str">
        <f>IFERROR(__xludf.DUMMYFUNCTION("""COMPUTED_VALUE"""),"HOUSEKEEPING MATERIALS STOCK REPLENISHMENT")</f>
        <v>HOUSEKEEPING MATERIALS STOCK REPLENISHMENT</v>
      </c>
    </row>
    <row r="824">
      <c r="A824" s="234">
        <f>IFERROR(__xludf.DUMMYFUNCTION("""COMPUTED_VALUE"""),105657.0)</f>
        <v>105657</v>
      </c>
      <c r="B824" s="235" t="str">
        <f>IFERROR(__xludf.DUMMYFUNCTION("""COMPUTED_VALUE"""),"ALFA DE LEON")</f>
        <v>ALFA DE LEON</v>
      </c>
      <c r="C824" s="235" t="str">
        <f>IFERROR(__xludf.DUMMYFUNCTION("""COMPUTED_VALUE"""),"ADMIN - MUNICH")</f>
        <v>ADMIN - MUNICH</v>
      </c>
      <c r="D824" s="196" t="str">
        <f>IFERROR(__xludf.DUMMYFUNCTION("""COMPUTED_VALUE"""),"1 PC TARPAULIN 3FT H X 2FT W")</f>
        <v>1 PC TARPAULIN 3FT H X 2FT W</v>
      </c>
      <c r="E824" s="196" t="str">
        <f>IFERROR(__xludf.DUMMYFUNCTION("""COMPUTED_VALUE"""),"BUILDING DIRECTORY")</f>
        <v>BUILDING DIRECTORY</v>
      </c>
    </row>
    <row r="825">
      <c r="A825" s="234">
        <f>IFERROR(__xludf.DUMMYFUNCTION("""COMPUTED_VALUE"""),105658.0)</f>
        <v>105658</v>
      </c>
      <c r="B825" s="235" t="str">
        <f>IFERROR(__xludf.DUMMYFUNCTION("""COMPUTED_VALUE"""),"JESUIT CHRISTIAN GALICIA")</f>
        <v>JESUIT CHRISTIAN GALICIA</v>
      </c>
      <c r="C825" s="235" t="str">
        <f>IFERROR(__xludf.DUMMYFUNCTION("""COMPUTED_VALUE"""),"AMD")</f>
        <v>AMD</v>
      </c>
      <c r="D825" s="196" t="str">
        <f>IFERROR(__xludf.DUMMYFUNCTION("""COMPUTED_VALUE"""),"4 PCS VIEWSONIC VA1903A MONITOR ")</f>
        <v>4 PCS VIEWSONIC VA1903A MONITOR </v>
      </c>
      <c r="E825" s="196" t="str">
        <f>IFERROR(__xludf.DUMMYFUNCTION("""COMPUTED_VALUE"""),"MIS WAREHOUSE STOCK REPLENISHMENT")</f>
        <v>MIS WAREHOUSE STOCK REPLENISHMENT</v>
      </c>
    </row>
    <row r="826">
      <c r="A826" s="234">
        <f>IFERROR(__xludf.DUMMYFUNCTION("""COMPUTED_VALUE"""),105659.0)</f>
        <v>105659</v>
      </c>
      <c r="B826" s="235" t="str">
        <f>IFERROR(__xludf.DUMMYFUNCTION("""COMPUTED_VALUE"""),"LYKA PERALTA")</f>
        <v>LYKA PERALTA</v>
      </c>
      <c r="C826" s="235" t="str">
        <f>IFERROR(__xludf.DUMMYFUNCTION("""COMPUTED_VALUE"""),"AMD")</f>
        <v>AMD</v>
      </c>
      <c r="D826" s="196" t="str">
        <f>IFERROR(__xludf.DUMMYFUNCTION("""COMPUTED_VALUE"""),"500 REAMS COPY LASER SUB 20 SHORT WHITE")</f>
        <v>500 REAMS COPY LASER SUB 20 SHORT WHITE</v>
      </c>
      <c r="E826" s="196" t="str">
        <f>IFERROR(__xludf.DUMMYFUNCTION("""COMPUTED_VALUE"""),"OSSUP STOCK REPLENISHMENT ")</f>
        <v>OSSUP STOCK REPLENISHMENT </v>
      </c>
    </row>
    <row r="827">
      <c r="A827" s="234">
        <f>IFERROR(__xludf.DUMMYFUNCTION("""COMPUTED_VALUE"""),105660.0)</f>
        <v>105660</v>
      </c>
      <c r="B827" s="235" t="str">
        <f>IFERROR(__xludf.DUMMYFUNCTION("""COMPUTED_VALUE"""),"LYKA PERALTA")</f>
        <v>LYKA PERALTA</v>
      </c>
      <c r="C827" s="235" t="str">
        <f>IFERROR(__xludf.DUMMYFUNCTION("""COMPUTED_VALUE"""),"AMD")</f>
        <v>AMD</v>
      </c>
      <c r="D827" s="196" t="str">
        <f>IFERROR(__xludf.DUMMYFUNCTION("""COMPUTED_VALUE"""),"4 REAMS PAPER COPY LASER SUB 20 SHORT WHITE
1 REAM  PAPER COPY LASER SUB 20 LONG WHITE")</f>
        <v>4 REAMS PAPER COPY LASER SUB 20 SHORT WHITE
1 REAM  PAPER COPY LASER SUB 20 LONG WHITE</v>
      </c>
      <c r="E827" s="196" t="str">
        <f>IFERROR(__xludf.DUMMYFUNCTION("""COMPUTED_VALUE"""),"OSSUP STOCK REPLENISHMENT ")</f>
        <v>OSSUP STOCK REPLENISHMENT </v>
      </c>
    </row>
    <row r="828">
      <c r="A828" s="234">
        <f>IFERROR(__xludf.DUMMYFUNCTION("""COMPUTED_VALUE"""),105661.0)</f>
        <v>105661</v>
      </c>
      <c r="B828" s="235" t="str">
        <f>IFERROR(__xludf.DUMMYFUNCTION("""COMPUTED_VALUE"""),"SHEREE ESPINOSA")</f>
        <v>SHEREE ESPINOSA</v>
      </c>
      <c r="C828" s="235" t="str">
        <f>IFERROR(__xludf.DUMMYFUNCTION("""COMPUTED_VALUE"""),"ADMIN")</f>
        <v>ADMIN</v>
      </c>
      <c r="D828" s="196" t="str">
        <f>IFERROR(__xludf.DUMMYFUNCTION("""COMPUTED_VALUE"""),"2 PCS CONTAINER VAN")</f>
        <v>2 PCS CONTAINER VAN</v>
      </c>
      <c r="E828" s="196" t="str">
        <f>IFERROR(__xludf.DUMMYFUNCTION("""COMPUTED_VALUE"""),"STORAGE ROOM FOR HR AND REGS FILES ")</f>
        <v>STORAGE ROOM FOR HR AND REGS FILES </v>
      </c>
    </row>
    <row r="829">
      <c r="A829" s="234">
        <f>IFERROR(__xludf.DUMMYFUNCTION("""COMPUTED_VALUE"""),105662.0)</f>
        <v>105662</v>
      </c>
      <c r="B829" s="235" t="str">
        <f>IFERROR(__xludf.DUMMYFUNCTION("""COMPUTED_VALUE"""),"LYKA PERALTA")</f>
        <v>LYKA PERALTA</v>
      </c>
      <c r="C829" s="235" t="str">
        <f>IFERROR(__xludf.DUMMYFUNCTION("""COMPUTED_VALUE"""),"AMD")</f>
        <v>AMD</v>
      </c>
      <c r="D829" s="196" t="str">
        <f>IFERROR(__xludf.DUMMYFUNCTION("""COMPUTED_VALUE"""),"30 PCS CLEARBOOK UNREFILLABLE 20'S LONG
30 PCS CLEARBOOK UNREFILLABLE 40'S LONG
1000 PCS FOLDER FORTUNE WHITE LONG
500 PCS PCS FOLDER FORTUNE WHITE SHORT")</f>
        <v>30 PCS CLEARBOOK UNREFILLABLE 20'S LONG
30 PCS CLEARBOOK UNREFILLABLE 40'S LONG
1000 PCS FOLDER FORTUNE WHITE LONG
500 PCS PCS FOLDER FORTUNE WHITE SHORT</v>
      </c>
      <c r="E829" s="196" t="str">
        <f>IFERROR(__xludf.DUMMYFUNCTION("""COMPUTED_VALUE"""),"OSSUP STOCK REPLENISHMENT ")</f>
        <v>OSSUP STOCK REPLENISHMENT </v>
      </c>
    </row>
    <row r="830">
      <c r="A830" s="234">
        <f>IFERROR(__xludf.DUMMYFUNCTION("""COMPUTED_VALUE"""),105663.0)</f>
        <v>105663</v>
      </c>
      <c r="B830" s="235" t="str">
        <f>IFERROR(__xludf.DUMMYFUNCTION("""COMPUTED_VALUE"""),"SHARJAN GATCHALIAN")</f>
        <v>SHARJAN GATCHALIAN</v>
      </c>
      <c r="C830" s="235" t="str">
        <f>IFERROR(__xludf.DUMMYFUNCTION("""COMPUTED_VALUE"""),"MIS/ICT")</f>
        <v>MIS/ICT</v>
      </c>
      <c r="D830" s="196" t="str">
        <f>IFERROR(__xludf.DUMMYFUNCTION("""COMPUTED_VALUE"""),"20 MERCUSYS MU6H AC650 WIFI USB ADAPTER 200 MBPS 2.4 GU2 400 MBPS ON 5GHZ")</f>
        <v>20 MERCUSYS MU6H AC650 WIFI USB ADAPTER 200 MBPS 2.4 GU2 400 MBPS ON 5GHZ</v>
      </c>
      <c r="E830" s="196" t="str">
        <f>IFERROR(__xludf.DUMMYFUNCTION("""COMPUTED_VALUE"""),"REPLACEMENT OF OLD WIFI DONGLE ")</f>
        <v>REPLACEMENT OF OLD WIFI DONGLE </v>
      </c>
    </row>
    <row r="831">
      <c r="A831" s="234">
        <f>IFERROR(__xludf.DUMMYFUNCTION("""COMPUTED_VALUE"""),105664.0)</f>
        <v>105664</v>
      </c>
      <c r="B831" s="235" t="str">
        <f>IFERROR(__xludf.DUMMYFUNCTION("""COMPUTED_VALUE"""),"LYKA PERALTA")</f>
        <v>LYKA PERALTA</v>
      </c>
      <c r="C831" s="235" t="str">
        <f>IFERROR(__xludf.DUMMYFUNCTION("""COMPUTED_VALUE"""),"AMD")</f>
        <v>AMD</v>
      </c>
      <c r="D831" s="196" t="str">
        <f>IFERROR(__xludf.DUMMYFUNCTION("""COMPUTED_VALUE"""),"3,500 PCS MIFARE 1K BIT CONTACTLESS CARD MODEL IOT CRDM65")</f>
        <v>3,500 PCS MIFARE 1K BIT CONTACTLESS CARD MODEL IOT CRDM65</v>
      </c>
      <c r="E831" s="196" t="str">
        <f>IFERROR(__xludf.DUMMYFUNCTION("""COMPUTED_VALUE"""),"OSSUP STOCK REPLENISHMENT ")</f>
        <v>OSSUP STOCK REPLENISHMENT </v>
      </c>
    </row>
    <row r="832">
      <c r="A832" s="234">
        <f>IFERROR(__xludf.DUMMYFUNCTION("""COMPUTED_VALUE"""),105665.0)</f>
        <v>105665</v>
      </c>
      <c r="B832" s="235" t="str">
        <f>IFERROR(__xludf.DUMMYFUNCTION("""COMPUTED_VALUE"""),"OWIE PAR ")</f>
        <v>OWIE PAR </v>
      </c>
      <c r="C832" s="235" t="str">
        <f>IFERROR(__xludf.DUMMYFUNCTION("""COMPUTED_VALUE"""),"ENGINEERING")</f>
        <v>ENGINEERING</v>
      </c>
      <c r="D832" s="196" t="str">
        <f>IFERROR(__xludf.DUMMYFUNCTION("""COMPUTED_VALUE"""),"2 PCS GI END PLUG #2
2 PCS PPR MALE ADAPTOR #2
1 PC PPR ELBOW #2
1 PC PPR UNION PATENTE #2
5 ROLLS TEPCON TAPE #3/4
1 LENGTH PPR PIPE #2")</f>
        <v>2 PCS GI END PLUG #2
2 PCS PPR MALE ADAPTOR #2
1 PC PPR ELBOW #2
1 PC PPR UNION PATENTE #2
5 ROLLS TEPCON TAPE #3/4
1 LENGTH PPR PIPE #2</v>
      </c>
      <c r="E832" s="196" t="str">
        <f>IFERROR(__xludf.DUMMYFUNCTION("""COMPUTED_VALUE"""),"REPAIR LEAKING AND RUSTED OF LUX MAIN WATER SUPPLY DISTRIBUTION PIPE")</f>
        <v>REPAIR LEAKING AND RUSTED OF LUX MAIN WATER SUPPLY DISTRIBUTION PIPE</v>
      </c>
    </row>
    <row r="833">
      <c r="A833" s="234">
        <f>IFERROR(__xludf.DUMMYFUNCTION("""COMPUTED_VALUE"""),105666.0)</f>
        <v>105666</v>
      </c>
      <c r="B833" s="235" t="str">
        <f>IFERROR(__xludf.DUMMYFUNCTION("""COMPUTED_VALUE"""),"ANN VILLARUZ")</f>
        <v>ANN VILLARUZ</v>
      </c>
      <c r="C833" s="235" t="str">
        <f>IFERROR(__xludf.DUMMYFUNCTION("""COMPUTED_VALUE"""),"PACUCOA")</f>
        <v>PACUCOA</v>
      </c>
      <c r="D833" s="196" t="str">
        <f>IFERROR(__xludf.DUMMYFUNCTION("""COMPUTED_VALUE"""),"50 PCS CLEAR ACRYLIC TENT STAND TABLE SIGN HOLDER A STYLE DOUBLE SIDED
12""X 3""")</f>
        <v>50 PCS CLEAR ACRYLIC TENT STAND TABLE SIGN HOLDER A STYLE DOUBLE SIDED
12"X 3"</v>
      </c>
      <c r="E833" s="196" t="str">
        <f>IFERROR(__xludf.DUMMYFUNCTION("""COMPUTED_VALUE"""),"REPLACE/ REPLENISHMENT OF SUPPLY")</f>
        <v>REPLACE/ REPLENISHMENT OF SUPPLY</v>
      </c>
    </row>
    <row r="834">
      <c r="A834" s="234">
        <f>IFERROR(__xludf.DUMMYFUNCTION("""COMPUTED_VALUE"""),105667.0)</f>
        <v>105667</v>
      </c>
      <c r="B834" s="235" t="str">
        <f>IFERROR(__xludf.DUMMYFUNCTION("""COMPUTED_VALUE"""),"ELMIE LAUDIATO- CANCELLED ")</f>
        <v>ELMIE LAUDIATO- CANCELLED </v>
      </c>
      <c r="C834" s="235" t="str">
        <f>IFERROR(__xludf.DUMMYFUNCTION("""COMPUTED_VALUE"""),"HRMD")</f>
        <v>HRMD</v>
      </c>
      <c r="D834" s="196" t="str">
        <f>IFERROR(__xludf.DUMMYFUNCTION("""COMPUTED_VALUE"""),"47 PCS NTE FEMALE PANTS
97 PCS BED FEMALE BLOUSE 3/4
10 PCS COLLEGE FEMALE BLOUSE LS, SS BLAZER
36 NTE MALE PANTS 
39 BED MALE POLO LS
7 COLLEGE MALE POLO SS COAT")</f>
        <v>47 PCS NTE FEMALE PANTS
97 PCS BED FEMALE BLOUSE 3/4
10 PCS COLLEGE FEMALE BLOUSE LS, SS BLAZER
36 NTE MALE PANTS 
39 BED MALE POLO LS
7 COLLEGE MALE POLO SS COAT</v>
      </c>
      <c r="E834" s="196" t="str">
        <f>IFERROR(__xludf.DUMMYFUNCTION("""COMPUTED_VALUE"""),"AY 25 - 26 UNIFORM (EMPLOYEES)")</f>
        <v>AY 25 - 26 UNIFORM (EMPLOYEES)</v>
      </c>
    </row>
    <row r="835">
      <c r="A835" s="234">
        <f>IFERROR(__xludf.DUMMYFUNCTION("""COMPUTED_VALUE"""),105668.0)</f>
        <v>105668</v>
      </c>
      <c r="B835" s="235" t="str">
        <f>IFERROR(__xludf.DUMMYFUNCTION("""COMPUTED_VALUE"""),"ELMIE LAUDIATO- CANCELLED")</f>
        <v>ELMIE LAUDIATO- CANCELLED</v>
      </c>
      <c r="C835" s="235" t="str">
        <f>IFERROR(__xludf.DUMMYFUNCTION("""COMPUTED_VALUE"""),"HRMD")</f>
        <v>HRMD</v>
      </c>
      <c r="D835" s="196" t="str">
        <f>IFERROR(__xludf.DUMMYFUNCTION("""COMPUTED_VALUE"""),"NURSES SCUB SUIT 
1 MALE 
4 FEMALE ")</f>
        <v>NURSES SCUB SUIT 
1 MALE 
4 FEMALE </v>
      </c>
      <c r="E835" s="196" t="str">
        <f>IFERROR(__xludf.DUMMYFUNCTION("""COMPUTED_VALUE"""),"AY 25- 26 UNIFORM NURSES")</f>
        <v>AY 25- 26 UNIFORM NURSES</v>
      </c>
    </row>
    <row r="836">
      <c r="A836" s="234">
        <f>IFERROR(__xludf.DUMMYFUNCTION("""COMPUTED_VALUE"""),105669.0)</f>
        <v>105669</v>
      </c>
      <c r="B836" s="235" t="str">
        <f>IFERROR(__xludf.DUMMYFUNCTION("""COMPUTED_VALUE"""),"ELMIE LAUDIATO- CANCELLED")</f>
        <v>ELMIE LAUDIATO- CANCELLED</v>
      </c>
      <c r="C836" s="235" t="str">
        <f>IFERROR(__xludf.DUMMYFUNCTION("""COMPUTED_VALUE"""),"HRMD")</f>
        <v>HRMD</v>
      </c>
      <c r="D836" s="196" t="str">
        <f>IFERROR(__xludf.DUMMYFUNCTION("""COMPUTED_VALUE"""),"MANAGEMENT UNIFORM 
15 PCS
-FEMALE PANTS, BLOUSE, BLAZER
10 PCS
-MALE PANTS, BLOUSE, COAT")</f>
        <v>MANAGEMENT UNIFORM 
15 PCS
-FEMALE PANTS, BLOUSE, BLAZER
10 PCS
-MALE PANTS, BLOUSE, COAT</v>
      </c>
      <c r="E836" s="196" t="str">
        <f>IFERROR(__xludf.DUMMYFUNCTION("""COMPUTED_VALUE"""),"AY 25-26 UNIFORM MANAGEMENT")</f>
        <v>AY 25-26 UNIFORM MANAGEMENT</v>
      </c>
    </row>
    <row r="837">
      <c r="A837" s="234">
        <f>IFERROR(__xludf.DUMMYFUNCTION("""COMPUTED_VALUE"""),105670.0)</f>
        <v>105670</v>
      </c>
      <c r="B837" s="235" t="str">
        <f>IFERROR(__xludf.DUMMYFUNCTION("""COMPUTED_VALUE"""),"ELMIE LAUDIATO- CANCELLED")</f>
        <v>ELMIE LAUDIATO- CANCELLED</v>
      </c>
      <c r="C837" s="235" t="str">
        <f>IFERROR(__xludf.DUMMYFUNCTION("""COMPUTED_VALUE"""),"HRMD")</f>
        <v>HRMD</v>
      </c>
      <c r="D837" s="196" t="str">
        <f>IFERROR(__xludf.DUMMYFUNCTION("""COMPUTED_VALUE"""),"6 FEMALE UNIFORM
4 MALE UNIFORM ")</f>
        <v>6 FEMALE UNIFORM
4 MALE UNIFORM </v>
      </c>
      <c r="E837" s="196" t="str">
        <f>IFERROR(__xludf.DUMMYFUNCTION("""COMPUTED_VALUE"""),"AY 25-26 UNIFORM PR AND MARKETING")</f>
        <v>AY 25-26 UNIFORM PR AND MARKETING</v>
      </c>
    </row>
    <row r="838">
      <c r="A838" s="234">
        <f>IFERROR(__xludf.DUMMYFUNCTION("""COMPUTED_VALUE"""),105671.0)</f>
        <v>105671</v>
      </c>
      <c r="B838" s="235" t="str">
        <f>IFERROR(__xludf.DUMMYFUNCTION("""COMPUTED_VALUE"""),"ELMIE LAUDIATO")</f>
        <v>ELMIE LAUDIATO</v>
      </c>
      <c r="C838" s="235" t="str">
        <f>IFERROR(__xludf.DUMMYFUNCTION("""COMPUTED_VALUE"""),"HRMD")</f>
        <v>HRMD</v>
      </c>
      <c r="D838" s="196" t="str">
        <f>IFERROR(__xludf.DUMMYFUNCTION("""COMPUTED_VALUE"""),"100 SISC EMPLOYEE TYPE B UNIFROM 
SIZING
-XS
-SMALL
-MEDIUM
-LARGE
-XL
-XXL
-XXXL
-XXXXL
-XXXXXL")</f>
        <v>100 SISC EMPLOYEE TYPE B UNIFROM 
SIZING
-XS
-SMALL
-MEDIUM
-LARGE
-XL
-XXL
-XXXL
-XXXXL
-XXXXXL</v>
      </c>
      <c r="E838" s="196" t="str">
        <f>IFERROR(__xludf.DUMMYFUNCTION("""COMPUTED_VALUE"""),"AY 25-26 EMPLOYEE TYPE B UNIFORM")</f>
        <v>AY 25-26 EMPLOYEE TYPE B UNIFORM</v>
      </c>
    </row>
    <row r="839">
      <c r="A839" s="234">
        <f>IFERROR(__xludf.DUMMYFUNCTION("""COMPUTED_VALUE"""),105672.0)</f>
        <v>105672</v>
      </c>
      <c r="B839" s="235" t="str">
        <f>IFERROR(__xludf.DUMMYFUNCTION("""COMPUTED_VALUE"""),"ELMIE LAUDIATO")</f>
        <v>ELMIE LAUDIATO</v>
      </c>
      <c r="C839" s="235" t="str">
        <f>IFERROR(__xludf.DUMMYFUNCTION("""COMPUTED_VALUE"""),"HRMD")</f>
        <v>HRMD</v>
      </c>
      <c r="D839" s="196" t="str">
        <f>IFERROR(__xludf.DUMMYFUNCTION("""COMPUTED_VALUE"""),"5 AIDS AND MAINTENANCE 
-FEMALE BLOUSE, PANTS, BLAZER
1 MALE POLO, PANTS, COAT")</f>
        <v>5 AIDS AND MAINTENANCE 
-FEMALE BLOUSE, PANTS, BLAZER
1 MALE POLO, PANTS, COAT</v>
      </c>
      <c r="E839" s="196" t="str">
        <f>IFERROR(__xludf.DUMMYFUNCTION("""COMPUTED_VALUE"""),"AY 25-26 EMPLOYEE UNIFORM AIDS &amp; MAINTENANCE")</f>
        <v>AY 25-26 EMPLOYEE UNIFORM AIDS &amp; MAINTENANCE</v>
      </c>
    </row>
    <row r="840">
      <c r="A840" s="234">
        <f>IFERROR(__xludf.DUMMYFUNCTION("""COMPUTED_VALUE"""),105673.0)</f>
        <v>105673</v>
      </c>
      <c r="B840" s="235" t="str">
        <f>IFERROR(__xludf.DUMMYFUNCTION("""COMPUTED_VALUE"""),"JC CAMPIT")</f>
        <v>JC CAMPIT</v>
      </c>
      <c r="C840" s="235" t="str">
        <f>IFERROR(__xludf.DUMMYFUNCTION("""COMPUTED_VALUE"""),"ABU")</f>
        <v>ABU</v>
      </c>
      <c r="D840" s="196" t="str">
        <f>IFERROR(__xludf.DUMMYFUNCTION("""COMPUTED_VALUE"""),"1 PC PORTABLE STAINLESS SINK W/ FAUCET &amp; FLEXIBLE HOSE ")</f>
        <v>1 PC PORTABLE STAINLESS SINK W/ FAUCET &amp; FLEXIBLE HOSE </v>
      </c>
      <c r="E840" s="196" t="str">
        <f>IFERROR(__xludf.DUMMYFUNCTION("""COMPUTED_VALUE"""),"FOR SWEETZEN COLLEGE HALLWAY AREA")</f>
        <v>FOR SWEETZEN COLLEGE HALLWAY AREA</v>
      </c>
    </row>
    <row r="841">
      <c r="A841" s="234">
        <f>IFERROR(__xludf.DUMMYFUNCTION("""COMPUTED_VALUE"""),105674.0)</f>
        <v>105674</v>
      </c>
      <c r="B841" s="235" t="str">
        <f>IFERROR(__xludf.DUMMYFUNCTION("""COMPUTED_VALUE"""),"JC CAMPIT")</f>
        <v>JC CAMPIT</v>
      </c>
      <c r="C841" s="235" t="str">
        <f>IFERROR(__xludf.DUMMYFUNCTION("""COMPUTED_VALUE"""),"ABU")</f>
        <v>ABU</v>
      </c>
      <c r="D841" s="196" t="str">
        <f>IFERROR(__xludf.DUMMYFUNCTION("""COMPUTED_VALUE"""),"2 PCS WATER SUBMETER ")</f>
        <v>2 PCS WATER SUBMETER </v>
      </c>
      <c r="E841" s="196" t="str">
        <f>IFERROR(__xludf.DUMMYFUNCTION("""COMPUTED_VALUE"""),"REPLACEMENT OF DEFECTIVE WATER METER")</f>
        <v>REPLACEMENT OF DEFECTIVE WATER METER</v>
      </c>
    </row>
    <row r="842">
      <c r="A842" s="234">
        <f>IFERROR(__xludf.DUMMYFUNCTION("""COMPUTED_VALUE"""),105675.0)</f>
        <v>105675</v>
      </c>
      <c r="B842" s="235" t="str">
        <f>IFERROR(__xludf.DUMMYFUNCTION("""COMPUTED_VALUE"""),"RACHEL PAMATIAN")</f>
        <v>RACHEL PAMATIAN</v>
      </c>
      <c r="C842" s="235" t="str">
        <f>IFERROR(__xludf.DUMMYFUNCTION("""COMPUTED_VALUE"""),"ADMIN - STAR")</f>
        <v>ADMIN - STAR</v>
      </c>
      <c r="D842" s="196" t="str">
        <f>IFERROR(__xludf.DUMMYFUNCTION("""COMPUTED_VALUE"""),"1 UNIT BOOSTER PUMP 1.0 HP 
1 PC PRESSURE GAUGE 
1 PC PRESSURE SWITCH
2 PCS PPR UNION  PATEENTE #1
6 PCS PPR MALE ADAPTOR
2 PCS PPR TEE #1
6 PCS PPR ELBOW #1 
1 LENGTH PPR PIPE #1 
5 ROLLS TEPLON TAPE # 3/4")</f>
        <v>1 UNIT BOOSTER PUMP 1.0 HP 
1 PC PRESSURE GAUGE 
1 PC PRESSURE SWITCH
2 PCS PPR UNION  PATEENTE #1
6 PCS PPR MALE ADAPTOR
2 PCS PPR TEE #1
6 PCS PPR ELBOW #1 
1 LENGTH PPR PIPE #1 
5 ROLLS TEPLON TAPE # 3/4</v>
      </c>
      <c r="E842" s="196" t="str">
        <f>IFERROR(__xludf.DUMMYFUNCTION("""COMPUTED_VALUE"""),"FOR STAR CAMPUS &amp; MATERIALS NEEDED FOR INSTALLATION OF BOOSTER PUMP")</f>
        <v>FOR STAR CAMPUS &amp; MATERIALS NEEDED FOR INSTALLATION OF BOOSTER PUMP</v>
      </c>
    </row>
    <row r="843">
      <c r="A843" s="234">
        <f>IFERROR(__xludf.DUMMYFUNCTION("""COMPUTED_VALUE"""),105676.0)</f>
        <v>105676</v>
      </c>
      <c r="B843" s="235" t="str">
        <f>IFERROR(__xludf.DUMMYFUNCTION("""COMPUTED_VALUE"""),"OWIE PAR")</f>
        <v>OWIE PAR</v>
      </c>
      <c r="C843" s="235" t="str">
        <f>IFERROR(__xludf.DUMMYFUNCTION("""COMPUTED_VALUE"""),"ENGINEERING")</f>
        <v>ENGINEERING</v>
      </c>
      <c r="D843" s="196" t="str">
        <f>IFERROR(__xludf.DUMMYFUNCTION("""COMPUTED_VALUE"""),"3 PCS FORMICA 
1GAL RUGBY ")</f>
        <v>3 PCS FORMICA 
1GAL RUGBY </v>
      </c>
      <c r="E843" s="196" t="str">
        <f>IFERROR(__xludf.DUMMYFUNCTION("""COMPUTED_VALUE"""),"FOR LUX DRAWING RM 5TH FLOOR REPAIR OF TABLE")</f>
        <v>FOR LUX DRAWING RM 5TH FLOOR REPAIR OF TABLE</v>
      </c>
    </row>
    <row r="844">
      <c r="A844" s="234">
        <f>IFERROR(__xludf.DUMMYFUNCTION("""COMPUTED_VALUE"""),105677.0)</f>
        <v>105677</v>
      </c>
      <c r="B844" s="235" t="str">
        <f>IFERROR(__xludf.DUMMYFUNCTION("""COMPUTED_VALUE"""),"ALFA DE LEON")</f>
        <v>ALFA DE LEON</v>
      </c>
      <c r="C844" s="235" t="str">
        <f>IFERROR(__xludf.DUMMYFUNCTION("""COMPUTED_VALUE"""),"ADMIN - MUNICH")</f>
        <v>ADMIN - MUNICH</v>
      </c>
      <c r="D844" s="196" t="str">
        <f>IFERROR(__xludf.DUMMYFUNCTION("""COMPUTED_VALUE"""),"10 PCS  DUCT TAPE GREEN ")</f>
        <v>10 PCS  DUCT TAPE GREEN </v>
      </c>
      <c r="E844" s="196" t="str">
        <f>IFERROR(__xludf.DUMMYFUNCTION("""COMPUTED_VALUE"""),"SAFETY TO AVOID TRIPPING HAZARD ")</f>
        <v>SAFETY TO AVOID TRIPPING HAZARD </v>
      </c>
    </row>
    <row r="845">
      <c r="A845" s="234">
        <f>IFERROR(__xludf.DUMMYFUNCTION("""COMPUTED_VALUE"""),105678.0)</f>
        <v>105678</v>
      </c>
      <c r="B845" s="235" t="str">
        <f>IFERROR(__xludf.DUMMYFUNCTION("""COMPUTED_VALUE"""),"MARIA PATRICIA BELLEZA")</f>
        <v>MARIA PATRICIA BELLEZA</v>
      </c>
      <c r="C845" s="235"/>
      <c r="D845" s="196" t="str">
        <f>IFERROR(__xludf.DUMMYFUNCTION("""COMPUTED_VALUE"""),"AY 2019-2020
-1132 IMAGES
AY 2020-2021
-899 IMAGES
")</f>
        <v>AY 2019-2020
-1132 IMAGES
AY 2020-2021
-899 IMAGES
</v>
      </c>
      <c r="E845" s="196" t="str">
        <f>IFERROR(__xludf.DUMMYFUNCTION("""COMPUTED_VALUE"""),"YEARBOOK PHOTOS OF AY 2019-2020 AND 2020-2021 NEEDS RETOUCHING")</f>
        <v>YEARBOOK PHOTOS OF AY 2019-2020 AND 2020-2021 NEEDS RETOUCHING</v>
      </c>
    </row>
    <row r="846">
      <c r="A846" s="234">
        <f>IFERROR(__xludf.DUMMYFUNCTION("""COMPUTED_VALUE"""),105679.0)</f>
        <v>105679</v>
      </c>
      <c r="B846" s="235" t="str">
        <f>IFERROR(__xludf.DUMMYFUNCTION("""COMPUTED_VALUE"""),"LYKA PERALTA")</f>
        <v>LYKA PERALTA</v>
      </c>
      <c r="C846" s="235" t="str">
        <f>IFERROR(__xludf.DUMMYFUNCTION("""COMPUTED_VALUE"""),"AMD")</f>
        <v>AMD</v>
      </c>
      <c r="D846" s="196" t="str">
        <f>IFERROR(__xludf.DUMMYFUNCTION("""COMPUTED_VALUE"""),"50 PCS SISC BUTTON PIN")</f>
        <v>50 PCS SISC BUTTON PIN</v>
      </c>
      <c r="E846" s="196" t="str">
        <f>IFERROR(__xludf.DUMMYFUNCTION("""COMPUTED_VALUE"""),"TOKEN NEW STOCK")</f>
        <v>TOKEN NEW STOCK</v>
      </c>
    </row>
    <row r="847">
      <c r="A847" s="234">
        <f>IFERROR(__xludf.DUMMYFUNCTION("""COMPUTED_VALUE"""),105680.0)</f>
        <v>105680</v>
      </c>
      <c r="B847" s="235" t="str">
        <f>IFERROR(__xludf.DUMMYFUNCTION("""COMPUTED_VALUE"""),"RENZ BLANCA")</f>
        <v>RENZ BLANCA</v>
      </c>
      <c r="C847" s="235" t="str">
        <f>IFERROR(__xludf.DUMMYFUNCTION("""COMPUTED_VALUE"""),"MEDICAL")</f>
        <v>MEDICAL</v>
      </c>
      <c r="D847" s="196" t="str">
        <f>IFERROR(__xludf.DUMMYFUNCTION("""COMPUTED_VALUE"""),"TARPAULIN 5X2.5
TARPAULIN STANDEE 5X2.5")</f>
        <v>TARPAULIN 5X2.5
TARPAULIN STANDEE 5X2.5</v>
      </c>
      <c r="E847" s="196" t="str">
        <f>IFERROR(__xludf.DUMMYFUNCTION("""COMPUTED_VALUE"""),"FOR SGEN CUP EMERGENCY AND DISASTER PREPAREDNESS")</f>
        <v>FOR SGEN CUP EMERGENCY AND DISASTER PREPAREDNESS</v>
      </c>
    </row>
    <row r="848">
      <c r="A848" s="234">
        <f>IFERROR(__xludf.DUMMYFUNCTION("""COMPUTED_VALUE"""),105681.0)</f>
        <v>105681</v>
      </c>
      <c r="B848" s="235" t="str">
        <f>IFERROR(__xludf.DUMMYFUNCTION("""COMPUTED_VALUE"""),"ALFA DE LEON")</f>
        <v>ALFA DE LEON</v>
      </c>
      <c r="C848" s="235" t="str">
        <f>IFERROR(__xludf.DUMMYFUNCTION("""COMPUTED_VALUE"""),"LANDSCAPING")</f>
        <v>LANDSCAPING</v>
      </c>
      <c r="D848" s="196" t="str">
        <f>IFERROR(__xludf.DUMMYFUNCTION("""COMPUTED_VALUE"""),"40 SQM FROG GRASS")</f>
        <v>40 SQM FROG GRASS</v>
      </c>
      <c r="E848" s="196" t="str">
        <f>IFERROR(__xludf.DUMMYFUNCTION("""COMPUTED_VALUE"""),"COLLEGE, MUNICH ROTONDA")</f>
        <v>COLLEGE, MUNICH ROTONDA</v>
      </c>
    </row>
    <row r="849">
      <c r="A849" s="234">
        <f>IFERROR(__xludf.DUMMYFUNCTION("""COMPUTED_VALUE"""),105682.0)</f>
        <v>105682</v>
      </c>
      <c r="B849" s="235" t="str">
        <f>IFERROR(__xludf.DUMMYFUNCTION("""COMPUTED_VALUE"""),"MARC VINCENT VITTO")</f>
        <v>MARC VINCENT VITTO</v>
      </c>
      <c r="C849" s="235" t="str">
        <f>IFERROR(__xludf.DUMMYFUNCTION("""COMPUTED_VALUE"""),"PR &amp; MARKETING")</f>
        <v>PR &amp; MARKETING</v>
      </c>
      <c r="D849" s="196" t="str">
        <f>IFERROR(__xludf.DUMMYFUNCTION("""COMPUTED_VALUE"""),"1 PC FOR CORRECTIONS SIZE= W= 30 IN H= 88IN THICKNESS 13OZ NO SEAMING &amp; EYELET ")</f>
        <v>1 PC FOR CORRECTIONS SIZE= W= 30 IN H= 88IN THICKNESS 13OZ NO SEAMING &amp; EYELET </v>
      </c>
      <c r="E849" s="196" t="str">
        <f>IFERROR(__xludf.DUMMYFUNCTION("""COMPUTED_VALUE"""),"FOR MISPELLED CORRECTION")</f>
        <v>FOR MISPELLED CORRECTION</v>
      </c>
    </row>
    <row r="850">
      <c r="A850" s="234">
        <f>IFERROR(__xludf.DUMMYFUNCTION("""COMPUTED_VALUE"""),105683.0)</f>
        <v>105683</v>
      </c>
      <c r="B850" s="235" t="str">
        <f>IFERROR(__xludf.DUMMYFUNCTION("""COMPUTED_VALUE"""),"ALLISTINE PEREZ")</f>
        <v>ALLISTINE PEREZ</v>
      </c>
      <c r="C850" s="235" t="str">
        <f>IFERROR(__xludf.DUMMYFUNCTION("""COMPUTED_VALUE"""),"REGISTRATION")</f>
        <v>REGISTRATION</v>
      </c>
      <c r="D850" s="196" t="str">
        <f>IFERROR(__xludf.DUMMYFUNCTION("""COMPUTED_VALUE"""),"2000 PCS SISC BIG ENVELOPE 
1 800 PCS REPORT CARD HOLDERS
800 PCS K12 DIPLOMA HOLDER 
200 PCS COLLEGE DIPLOMA HOLDER ")</f>
        <v>2000 PCS SISC BIG ENVELOPE 
1 800 PCS REPORT CARD HOLDERS
800 PCS K12 DIPLOMA HOLDER 
200 PCS COLLEGE DIPLOMA HOLDER </v>
      </c>
      <c r="E850" s="196" t="str">
        <f>IFERROR(__xludf.DUMMYFUNCTION("""COMPUTED_VALUE"""),"USE IN DAY TO DAY OPERATIONS PTC AND GRADUATION PREPARATIONS")</f>
        <v>USE IN DAY TO DAY OPERATIONS PTC AND GRADUATION PREPARATIONS</v>
      </c>
    </row>
    <row r="851">
      <c r="A851" s="234">
        <f>IFERROR(__xludf.DUMMYFUNCTION("""COMPUTED_VALUE"""),105684.0)</f>
        <v>105684</v>
      </c>
      <c r="B851" s="235" t="str">
        <f>IFERROR(__xludf.DUMMYFUNCTION("""COMPUTED_VALUE"""),"ARNEL MONTABLAN")</f>
        <v>ARNEL MONTABLAN</v>
      </c>
      <c r="C851" s="235" t="str">
        <f>IFERROR(__xludf.DUMMYFUNCTION("""COMPUTED_VALUE"""),"FOUNDER SCHOLARS")</f>
        <v>FOUNDER SCHOLARS</v>
      </c>
      <c r="D851" s="196" t="str">
        <f>IFERROR(__xludf.DUMMYFUNCTION("""COMPUTED_VALUE"""),"1 HEAVY DUTY IRON CHAIN 8MMX1M
2 HOODED PLASTIC TRASHBIN")</f>
        <v>1 HEAVY DUTY IRON CHAIN 8MMX1M
2 HOODED PLASTIC TRASHBIN</v>
      </c>
      <c r="E851" s="196" t="str">
        <f>IFERROR(__xludf.DUMMYFUNCTION("""COMPUTED_VALUE"""),"MATERIALS REQUEST FOR HEARTS AND STARS DORMITORY")</f>
        <v>MATERIALS REQUEST FOR HEARTS AND STARS DORMITORY</v>
      </c>
    </row>
    <row r="852">
      <c r="A852" s="234">
        <f>IFERROR(__xludf.DUMMYFUNCTION("""COMPUTED_VALUE"""),105685.0)</f>
        <v>105685</v>
      </c>
      <c r="B852" s="235" t="str">
        <f>IFERROR(__xludf.DUMMYFUNCTION("""COMPUTED_VALUE"""),"MARIA PATRICIA BELLEZA")</f>
        <v>MARIA PATRICIA BELLEZA</v>
      </c>
      <c r="C852" s="235" t="str">
        <f>IFERROR(__xludf.DUMMYFUNCTION("""COMPUTED_VALUE"""),"OSA BED &amp;IB")</f>
        <v>OSA BED &amp;IB</v>
      </c>
      <c r="D852" s="196" t="str">
        <f>IFERROR(__xludf.DUMMYFUNCTION("""COMPUTED_VALUE"""),"CLASS PHOTOS:
-MUNICH 26 CLASSES
1 NURSERY 1 PRE KINDER
2 JUNIOR KINDER 4 SENIOR KINDER
4 EACH GR1, GR2, GR3, GR4, GR5
5 GR6
LUX 35 CLASSES
4 GR7, 5 GR8, 5 GR9, 6 GR10, 3 ABM, 2 GAS, 4 HUMSS, 6 STEM
2 IB1, 1 IB2
STAR 8 CLASSES
1 EACH
NURSERY, PRE-K, 1 J"&amp;".K, 1.S.K, GR1-4")</f>
        <v>CLASS PHOTOS:
-MUNICH 26 CLASSES
1 NURSERY 1 PRE KINDER
2 JUNIOR KINDER 4 SENIOR KINDER
4 EACH GR1, GR2, GR3, GR4, GR5
5 GR6
LUX 35 CLASSES
4 GR7, 5 GR8, 5 GR9, 6 GR10, 3 ABM, 2 GAS, 4 HUMSS, 6 STEM
2 IB1, 1 IB2
STAR 8 CLASSES
1 EACH
NURSERY, PRE-K, 1 J.K, 1.S.K, GR1-4</v>
      </c>
      <c r="E852" s="196" t="str">
        <f>IFERROR(__xludf.DUMMYFUNCTION("""COMPUTED_VALUE"""),"CLASS PICTURE FOR AY 24-25 CLEAN MULTIMEDIA")</f>
        <v>CLASS PICTURE FOR AY 24-25 CLEAN MULTIMEDIA</v>
      </c>
    </row>
    <row r="853">
      <c r="A853" s="234">
        <f>IFERROR(__xludf.DUMMYFUNCTION("""COMPUTED_VALUE"""),105686.0)</f>
        <v>105686</v>
      </c>
      <c r="B853" s="235" t="str">
        <f>IFERROR(__xludf.DUMMYFUNCTION("""COMPUTED_VALUE"""),"MARIA PATRICIA BELLEZA")</f>
        <v>MARIA PATRICIA BELLEZA</v>
      </c>
      <c r="C853" s="235" t="str">
        <f>IFERROR(__xludf.DUMMYFUNCTION("""COMPUTED_VALUE"""),"OSA BED &amp; IB")</f>
        <v>OSA BED &amp; IB</v>
      </c>
      <c r="D853" s="196" t="str">
        <f>IFERROR(__xludf.DUMMYFUNCTION("""COMPUTED_VALUE"""),"YEARBOOK
-67 SENIOR KINDER
-118 GRADE 6
-176 GRADE 12
-21 IB 2
-18 MANAGEMENT
")</f>
        <v>YEARBOOK
-67 SENIOR KINDER
-118 GRADE 6
-176 GRADE 12
-21 IB 2
-18 MANAGEMENT
</v>
      </c>
      <c r="E853" s="196" t="str">
        <f>IFERROR(__xludf.DUMMYFUNCTION("""COMPUTED_VALUE"""),"YEARBOOK FOR AY 24-25 CLEAN MULTIMEDIA")</f>
        <v>YEARBOOK FOR AY 24-25 CLEAN MULTIMEDIA</v>
      </c>
    </row>
    <row r="854">
      <c r="A854" s="234" t="str">
        <f>IFERROR(__xludf.DUMMYFUNCTION("""COMPUTED_VALUE"""),"105687- CANCELLED ")</f>
        <v>105687- CANCELLED </v>
      </c>
      <c r="B854" s="235" t="str">
        <f>IFERROR(__xludf.DUMMYFUNCTION("""COMPUTED_VALUE"""),"CARLITO DELA VEGA")</f>
        <v>CARLITO DELA VEGA</v>
      </c>
      <c r="C854" s="235" t="str">
        <f>IFERROR(__xludf.DUMMYFUNCTION("""COMPUTED_VALUE"""),"SECURITY")</f>
        <v>SECURITY</v>
      </c>
      <c r="D854" s="196" t="str">
        <f>IFERROR(__xludf.DUMMYFUNCTION("""COMPUTED_VALUE"""),"2 PCS TARP PRINTING 1 FT X 8 FT ")</f>
        <v>2 PCS TARP PRINTING 1 FT X 8 FT </v>
      </c>
      <c r="E854" s="196" t="str">
        <f>IFERROR(__xludf.DUMMYFUNCTION("""COMPUTED_VALUE"""),"MUNICH TRAFFIC SIGN")</f>
        <v>MUNICH TRAFFIC SIGN</v>
      </c>
    </row>
    <row r="855">
      <c r="A855" s="234">
        <f>IFERROR(__xludf.DUMMYFUNCTION("""COMPUTED_VALUE"""),105688.0)</f>
        <v>105688</v>
      </c>
      <c r="B855" s="235" t="str">
        <f>IFERROR(__xludf.DUMMYFUNCTION("""COMPUTED_VALUE"""),"RODRIGO CUSTODIO")</f>
        <v>RODRIGO CUSTODIO</v>
      </c>
      <c r="C855" s="235" t="str">
        <f>IFERROR(__xludf.DUMMYFUNCTION("""COMPUTED_VALUE"""),"AMD")</f>
        <v>AMD</v>
      </c>
      <c r="D855" s="196" t="str">
        <f>IFERROR(__xludf.DUMMYFUNCTION("""COMPUTED_VALUE"""),"173 CANS SENTED BAYGON PROTECTOR MULTI INSECT KILLER 500 ML 
85 PACKS, TRASH BAGS LARGE (26""X32"" CLEAR
31 PCS. TOILET RUBBER PUMP BLACK")</f>
        <v>173 CANS SENTED BAYGON PROTECTOR MULTI INSECT KILLER 500 ML 
85 PACKS, TRASH BAGS LARGE (26"X32" CLEAR
31 PCS. TOILET RUBBER PUMP BLACK</v>
      </c>
      <c r="E855" s="196" t="str">
        <f>IFERROR(__xludf.DUMMYFUNCTION("""COMPUTED_VALUE"""),"HOUSEKEEPING MATERIALS- STOCK REPLENISHMENT")</f>
        <v>HOUSEKEEPING MATERIALS- STOCK REPLENISHMENT</v>
      </c>
    </row>
    <row r="856">
      <c r="A856" s="234">
        <f>IFERROR(__xludf.DUMMYFUNCTION("""COMPUTED_VALUE"""),105689.0)</f>
        <v>105689</v>
      </c>
      <c r="B856" s="235" t="str">
        <f>IFERROR(__xludf.DUMMYFUNCTION("""COMPUTED_VALUE"""),"ALFA DE LEON ")</f>
        <v>ALFA DE LEON </v>
      </c>
      <c r="C856" s="235" t="str">
        <f>IFERROR(__xludf.DUMMYFUNCTION("""COMPUTED_VALUE"""),"ADMIN - MUNICH")</f>
        <v>ADMIN - MUNICH</v>
      </c>
      <c r="D856" s="196" t="str">
        <f>IFERROR(__xludf.DUMMYFUNCTION("""COMPUTED_VALUE"""),"20 PCS HEAVY DUTY DUCT TAPE COLOR GREEN")</f>
        <v>20 PCS HEAVY DUTY DUCT TAPE COLOR GREEN</v>
      </c>
      <c r="E856" s="196" t="str">
        <f>IFERROR(__xludf.DUMMYFUNCTION("""COMPUTED_VALUE"""),"FOR SEALING THE GRASS TURF EDGE")</f>
        <v>FOR SEALING THE GRASS TURF EDGE</v>
      </c>
    </row>
    <row r="857">
      <c r="A857" s="234">
        <f>IFERROR(__xludf.DUMMYFUNCTION("""COMPUTED_VALUE"""),105690.0)</f>
        <v>105690</v>
      </c>
      <c r="B857" s="235" t="str">
        <f>IFERROR(__xludf.DUMMYFUNCTION("""COMPUTED_VALUE"""),"LUCILLE BEYER")</f>
        <v>LUCILLE BEYER</v>
      </c>
      <c r="C857" s="235" t="str">
        <f>IFERROR(__xludf.DUMMYFUNCTION("""COMPUTED_VALUE"""),"MEDICAL")</f>
        <v>MEDICAL</v>
      </c>
      <c r="D857" s="196" t="str">
        <f>IFERROR(__xludf.DUMMYFUNCTION("""COMPUTED_VALUE"""),"OROCAN ICE BOX/COVER 8L - 5 PCS
STAINLESS BASIN- 2 PCS
BATTERY FOR GLUMETET- 4 PCS")</f>
        <v>OROCAN ICE BOX/COVER 8L - 5 PCS
STAINLESS BASIN- 2 PCS
BATTERY FOR GLUMETET- 4 PCS</v>
      </c>
      <c r="E857" s="196" t="str">
        <f>IFERROR(__xludf.DUMMYFUNCTION("""COMPUTED_VALUE"""),"FOR SUE OF 3 CLINICS DURING SPORTS EVENTS/VARSITY TRAINING")</f>
        <v>FOR SUE OF 3 CLINICS DURING SPORTS EVENTS/VARSITY TRAINING</v>
      </c>
    </row>
    <row r="858">
      <c r="A858" s="234">
        <f>IFERROR(__xludf.DUMMYFUNCTION("""COMPUTED_VALUE"""),105691.0)</f>
        <v>105691</v>
      </c>
      <c r="B858" s="235" t="str">
        <f>IFERROR(__xludf.DUMMYFUNCTION("""COMPUTED_VALUE"""),"LEAH BUHAY")</f>
        <v>LEAH BUHAY</v>
      </c>
      <c r="C858" s="235" t="str">
        <f>IFERROR(__xludf.DUMMYFUNCTION("""COMPUTED_VALUE"""),"CEM OFFICE")</f>
        <v>CEM OFFICE</v>
      </c>
      <c r="D858" s="196" t="str">
        <f>IFERROR(__xludf.DUMMYFUNCTION("""COMPUTED_VALUE"""),"EPSON ECOTANK L5290 A4 WIFI ALL IN 1 PRINTER WITH ADF")</f>
        <v>EPSON ECOTANK L5290 A4 WIFI ALL IN 1 PRINTER WITH ADF</v>
      </c>
      <c r="E858" s="196" t="str">
        <f>IFERROR(__xludf.DUMMYFUNCTION("""COMPUTED_VALUE"""),"FOR OFFICE USE")</f>
        <v>FOR OFFICE USE</v>
      </c>
    </row>
    <row r="859">
      <c r="A859" s="234">
        <f>IFERROR(__xludf.DUMMYFUNCTION("""COMPUTED_VALUE"""),105692.0)</f>
        <v>105692</v>
      </c>
      <c r="B859" s="235" t="str">
        <f>IFERROR(__xludf.DUMMYFUNCTION("""COMPUTED_VALUE"""),"JESUIT CHRISTIAN GALICIA")</f>
        <v>JESUIT CHRISTIAN GALICIA</v>
      </c>
      <c r="C859" s="235" t="str">
        <f>IFERROR(__xludf.DUMMYFUNCTION("""COMPUTED_VALUE"""),"AMD")</f>
        <v>AMD</v>
      </c>
      <c r="D859" s="196" t="str">
        <f>IFERROR(__xludf.DUMMYFUNCTION("""COMPUTED_VALUE"""),"10 PCS DDR3 4GB 1600MHZ MEMORY 
20 PCS DDR3 8GB 1866MHZ MEMORY
10 PCS DDR4 4GB 3200MHZ MEMORY
20 PCS DDR4 8GB 3600MHZ MEMORY")</f>
        <v>10 PCS DDR3 4GB 1600MHZ MEMORY 
20 PCS DDR3 8GB 1866MHZ MEMORY
10 PCS DDR4 4GB 3200MHZ MEMORY
20 PCS DDR4 8GB 3600MHZ MEMORY</v>
      </c>
      <c r="E859" s="196" t="str">
        <f>IFERROR(__xludf.DUMMYFUNCTION("""COMPUTED_VALUE"""),"MIS WAREHOUSE STOCK REPLENISHMENT")</f>
        <v>MIS WAREHOUSE STOCK REPLENISHMENT</v>
      </c>
    </row>
    <row r="860">
      <c r="A860" s="234">
        <f>IFERROR(__xludf.DUMMYFUNCTION("""COMPUTED_VALUE"""),105693.0)</f>
        <v>105693</v>
      </c>
      <c r="B860" s="235" t="str">
        <f>IFERROR(__xludf.DUMMYFUNCTION("""COMPUTED_VALUE"""),"JESUIT CHRISTIAN GALICIA")</f>
        <v>JESUIT CHRISTIAN GALICIA</v>
      </c>
      <c r="C860" s="235" t="str">
        <f>IFERROR(__xludf.DUMMYFUNCTION("""COMPUTED_VALUE"""),"AMD")</f>
        <v>AMD</v>
      </c>
      <c r="D860" s="196" t="str">
        <f>IFERROR(__xludf.DUMMYFUNCTION("""COMPUTED_VALUE"""),"40 PCS HDMI TO VGA CONVERTER 
40 PCS UGREEN DVI TO VGA CONVERTER
5PCS FLASHDRIVE USB 64GB SANDISK ULTRA 3.0")</f>
        <v>40 PCS HDMI TO VGA CONVERTER 
40 PCS UGREEN DVI TO VGA CONVERTER
5PCS FLASHDRIVE USB 64GB SANDISK ULTRA 3.0</v>
      </c>
      <c r="E860" s="196" t="str">
        <f>IFERROR(__xludf.DUMMYFUNCTION("""COMPUTED_VALUE"""),"MIS WAREHOUSE STOCK REPLENISHMENT")</f>
        <v>MIS WAREHOUSE STOCK REPLENISHMENT</v>
      </c>
    </row>
    <row r="861">
      <c r="A861" s="234">
        <f>IFERROR(__xludf.DUMMYFUNCTION("""COMPUTED_VALUE"""),105694.0)</f>
        <v>105694</v>
      </c>
      <c r="B861" s="235" t="str">
        <f>IFERROR(__xludf.DUMMYFUNCTION("""COMPUTED_VALUE"""),"RODRIGO CUSTODIO")</f>
        <v>RODRIGO CUSTODIO</v>
      </c>
      <c r="C861" s="235" t="str">
        <f>IFERROR(__xludf.DUMMYFUNCTION("""COMPUTED_VALUE"""),"AMD")</f>
        <v>AMD</v>
      </c>
      <c r="D861" s="196" t="str">
        <f>IFERROR(__xludf.DUMMYFUNCTION("""COMPUTED_VALUE"""),"30 PCS FLO SOFT SOAP DISPENSER ")</f>
        <v>30 PCS FLO SOFT SOAP DISPENSER </v>
      </c>
      <c r="E861" s="196" t="str">
        <f>IFERROR(__xludf.DUMMYFUNCTION("""COMPUTED_VALUE"""),"HOUSE KEEPING MATERIALS STOCK REPLENISHMENT")</f>
        <v>HOUSE KEEPING MATERIALS STOCK REPLENISHMENT</v>
      </c>
    </row>
    <row r="862">
      <c r="A862" s="234">
        <f>IFERROR(__xludf.DUMMYFUNCTION("""COMPUTED_VALUE"""),105695.0)</f>
        <v>105695</v>
      </c>
      <c r="B862" s="235" t="str">
        <f>IFERROR(__xludf.DUMMYFUNCTION("""COMPUTED_VALUE"""),"JESUIT CHRISTIAN GALICIA")</f>
        <v>JESUIT CHRISTIAN GALICIA</v>
      </c>
      <c r="C862" s="235" t="str">
        <f>IFERROR(__xludf.DUMMYFUNCTION("""COMPUTED_VALUE"""),"AMD")</f>
        <v>AMD</v>
      </c>
      <c r="D862" s="196" t="str">
        <f>IFERROR(__xludf.DUMMYFUNCTION("""COMPUTED_VALUE"""),"5 PCS TP LINK SWITCH HUB 8 PORT")</f>
        <v>5 PCS TP LINK SWITCH HUB 8 PORT</v>
      </c>
      <c r="E862" s="196" t="str">
        <f>IFERROR(__xludf.DUMMYFUNCTION("""COMPUTED_VALUE"""),"MIS WAREHOUSE STOCK REPLENISHMENT")</f>
        <v>MIS WAREHOUSE STOCK REPLENISHMENT</v>
      </c>
    </row>
    <row r="863">
      <c r="A863" s="234">
        <f>IFERROR(__xludf.DUMMYFUNCTION("""COMPUTED_VALUE"""),105696.0)</f>
        <v>105696</v>
      </c>
      <c r="B863" s="235" t="str">
        <f>IFERROR(__xludf.DUMMYFUNCTION("""COMPUTED_VALUE"""),"RONALDO VERDE")</f>
        <v>RONALDO VERDE</v>
      </c>
      <c r="C863" s="235" t="str">
        <f>IFERROR(__xludf.DUMMYFUNCTION("""COMPUTED_VALUE"""),"ADMIN")</f>
        <v>ADMIN</v>
      </c>
      <c r="D863" s="196" t="str">
        <f>IFERROR(__xludf.DUMMYFUNCTION("""COMPUTED_VALUE"""),"10 TIN SEMI GLOSS BOYSEN
5 TIN FLAT LATEX BOYSEN
2 TIN QDE WHITE
2 TIN FLAT WAV ENAMEL WHITE 
2 TIN CHOCO BROWN
5 METERS SANDING PAPER
2 LITERS POUTUFF W/ HANDIVEN
5 PCS PAINT ROLLER #7
5 PCS PAINT ROLLER 
5 PCS PAINT BRUSH #2
4 GALLONS PAINT TJINNER")</f>
        <v>10 TIN SEMI GLOSS BOYSEN
5 TIN FLAT LATEX BOYSEN
2 TIN QDE WHITE
2 TIN FLAT WAV ENAMEL WHITE 
2 TIN CHOCO BROWN
5 METERS SANDING PAPER
2 LITERS POUTUFF W/ HANDIVEN
5 PCS PAINT ROLLER #7
5 PCS PAINT ROLLER 
5 PCS PAINT BRUSH #2
4 GALLONS PAINT TJINNER</v>
      </c>
      <c r="E863" s="196" t="str">
        <f>IFERROR(__xludf.DUMMYFUNCTION("""COMPUTED_VALUE"""),"LUX HALL, LUX BLDG PREVENTIVE MAINTENANCE ")</f>
        <v>LUX HALL, LUX BLDG PREVENTIVE MAINTENANCE </v>
      </c>
    </row>
    <row r="864">
      <c r="A864" s="234">
        <f>IFERROR(__xludf.DUMMYFUNCTION("""COMPUTED_VALUE"""),105697.0)</f>
        <v>105697</v>
      </c>
      <c r="B864" s="235" t="str">
        <f>IFERROR(__xludf.DUMMYFUNCTION("""COMPUTED_VALUE"""),"JOSSA GALLANOSA ")</f>
        <v>JOSSA GALLANOSA </v>
      </c>
      <c r="C864" s="235" t="str">
        <f>IFERROR(__xludf.DUMMYFUNCTION("""COMPUTED_VALUE"""),"CEM OFFICE")</f>
        <v>CEM OFFICE</v>
      </c>
      <c r="D864" s="196" t="str">
        <f>IFERROR(__xludf.DUMMYFUNCTION("""COMPUTED_VALUE"""),"6PCS REDMI H3 4GB/128GB")</f>
        <v>6PCS REDMI H3 4GB/128GB</v>
      </c>
      <c r="E864" s="196" t="str">
        <f>IFERROR(__xludf.DUMMYFUNCTION("""COMPUTED_VALUE"""),"READING PROGRAM INCENTIVES")</f>
        <v>READING PROGRAM INCENTIVES</v>
      </c>
    </row>
    <row r="865">
      <c r="A865" s="234">
        <f>IFERROR(__xludf.DUMMYFUNCTION("""COMPUTED_VALUE"""),105698.0)</f>
        <v>105698</v>
      </c>
      <c r="B865" s="235" t="str">
        <f>IFERROR(__xludf.DUMMYFUNCTION("""COMPUTED_VALUE"""),"MELISSA NAVAL ODONO")</f>
        <v>MELISSA NAVAL ODONO</v>
      </c>
      <c r="C865" s="235" t="str">
        <f>IFERROR(__xludf.DUMMYFUNCTION("""COMPUTED_VALUE"""),"LIBRARY BASIC ED")</f>
        <v>LIBRARY BASIC ED</v>
      </c>
      <c r="D865" s="196" t="str">
        <f>IFERROR(__xludf.DUMMYFUNCTION("""COMPUTED_VALUE"""),"1 THE ISCA INTERNATIONAL MODEL FOR SCHOOL COUNSELING PROGRAMS(2)
1 THE ASCA NATIONAL MODEL A FRMAEWORK FOR SCHOOL COUNSELING PROGRAMS 4TH EDITION
1 FOUNDATIONS OF SCHOOL COUNSELING INNOOVATION IN PROFESSIONAL PRACTICE 1ST EDITION
1 THERE ARE MOMS AND DADS"&amp;" WAY WORSE THAN YOU")</f>
        <v>1 THE ISCA INTERNATIONAL MODEL FOR SCHOOL COUNSELING PROGRAMS(2)
1 THE ASCA NATIONAL MODEL A FRMAEWORK FOR SCHOOL COUNSELING PROGRAMS 4TH EDITION
1 FOUNDATIONS OF SCHOOL COUNSELING INNOOVATION IN PROFESSIONAL PRACTICE 1ST EDITION
1 THERE ARE MOMS AND DADS WAY WORSE THAN YOU</v>
      </c>
      <c r="E865" s="196" t="str">
        <f>IFERROR(__xludf.DUMMYFUNCTION("""COMPUTED_VALUE"""),"FOR LIBRARY COPY/ TEACHER USE")</f>
        <v>FOR LIBRARY COPY/ TEACHER USE</v>
      </c>
    </row>
    <row r="866">
      <c r="A866" s="234">
        <f>IFERROR(__xludf.DUMMYFUNCTION("""COMPUTED_VALUE"""),105699.0)</f>
        <v>105699</v>
      </c>
      <c r="B866" s="235" t="str">
        <f>IFERROR(__xludf.DUMMYFUNCTION("""COMPUTED_VALUE"""),"ANN VILLARUZ")</f>
        <v>ANN VILLARUZ</v>
      </c>
      <c r="C866" s="235" t="str">
        <f>IFERROR(__xludf.DUMMYFUNCTION("""COMPUTED_VALUE"""),"ACCREDITATION")</f>
        <v>ACCREDITATION</v>
      </c>
      <c r="D866" s="196" t="str">
        <f>IFERROR(__xludf.DUMMYFUNCTION("""COMPUTED_VALUE"""),"240 PCS SHORT SIZE MAGAZINE BOX BLACK")</f>
        <v>240 PCS SHORT SIZE MAGAZINE BOX BLACK</v>
      </c>
      <c r="E866" s="196" t="str">
        <f>IFERROR(__xludf.DUMMYFUNCTION("""COMPUTED_VALUE"""),"FOR NEW ACCREDITATION FILING ")</f>
        <v>FOR NEW ACCREDITATION FILING </v>
      </c>
    </row>
    <row r="867">
      <c r="A867" s="234">
        <f>IFERROR(__xludf.DUMMYFUNCTION("""COMPUTED_VALUE"""),105700.0)</f>
        <v>105700</v>
      </c>
      <c r="B867" s="235" t="str">
        <f>IFERROR(__xludf.DUMMYFUNCTION("""COMPUTED_VALUE"""),"LUCILLE BEYER")</f>
        <v>LUCILLE BEYER</v>
      </c>
      <c r="C867" s="235" t="str">
        <f>IFERROR(__xludf.DUMMYFUNCTION("""COMPUTED_VALUE"""),"MEDICAL")</f>
        <v>MEDICAL</v>
      </c>
      <c r="D867" s="196" t="str">
        <f>IFERROR(__xludf.DUMMYFUNCTION("""COMPUTED_VALUE"""),"150 PCS ELASTIC BANDAGE 
2"" 3"" + 4""  PRIME COMB")</f>
        <v>150 PCS ELASTIC BANDAGE 
2" 3" + 4"  PRIME COMB</v>
      </c>
      <c r="E867" s="196" t="str">
        <f>IFERROR(__xludf.DUMMYFUNCTION("""COMPUTED_VALUE"""),"FOR USE DURING SGEN CUP AND FOR CLINIC USE")</f>
        <v>FOR USE DURING SGEN CUP AND FOR CLINIC USE</v>
      </c>
    </row>
    <row r="868">
      <c r="A868" s="234">
        <f>IFERROR(__xludf.DUMMYFUNCTION("""COMPUTED_VALUE"""),105701.0)</f>
        <v>105701</v>
      </c>
      <c r="B868" s="235" t="str">
        <f>IFERROR(__xludf.DUMMYFUNCTION("""COMPUTED_VALUE"""),"JORDAN JORDAN")</f>
        <v>JORDAN JORDAN</v>
      </c>
      <c r="C868" s="235" t="str">
        <f>IFERROR(__xludf.DUMMYFUNCTION("""COMPUTED_VALUE"""),"ADMIN")</f>
        <v>ADMIN</v>
      </c>
      <c r="D868" s="196" t="str">
        <f>IFERROR(__xludf.DUMMYFUNCTION("""COMPUTED_VALUE"""),"5 SET 3 GANG 1 WAY SWITCH
5 PCS 2 BLANK PLATE COVER ( BLACK)
7 PCS PVC ORANGE 1""
1 ROLL FLAT CORD #16
2 BX EACH SIZE ELECTRICAL WIRE #14 &amp; #12")</f>
        <v>5 SET 3 GANG 1 WAY SWITCH
5 PCS 2 BLANK PLATE COVER ( BLACK)
7 PCS PVC ORANGE 1"
1 ROLL FLAT CORD #16
2 BX EACH SIZE ELECTRICAL WIRE #14 &amp; #12</v>
      </c>
      <c r="E868" s="196" t="str">
        <f>IFERROR(__xludf.DUMMYFUNCTION("""COMPUTED_VALUE"""),"RM")</f>
        <v>RM</v>
      </c>
    </row>
    <row r="869">
      <c r="A869" s="234">
        <f>IFERROR(__xludf.DUMMYFUNCTION("""COMPUTED_VALUE"""),105702.0)</f>
        <v>105702</v>
      </c>
      <c r="B869" s="235" t="str">
        <f>IFERROR(__xludf.DUMMYFUNCTION("""COMPUTED_VALUE"""),"CARLITO DELA VEGA")</f>
        <v>CARLITO DELA VEGA</v>
      </c>
      <c r="C869" s="235" t="str">
        <f>IFERROR(__xludf.DUMMYFUNCTION("""COMPUTED_VALUE"""),"SECURITY")</f>
        <v>SECURITY</v>
      </c>
      <c r="D869" s="196" t="str">
        <f>IFERROR(__xludf.DUMMYFUNCTION("""COMPUTED_VALUE"""),"2 PCS TRAFFIC SIGN 1 FT X 8 FT ")</f>
        <v>2 PCS TRAFFIC SIGN 1 FT X 8 FT </v>
      </c>
      <c r="E869" s="196" t="str">
        <f>IFERROR(__xludf.DUMMYFUNCTION("""COMPUTED_VALUE"""),"FOR MUNICH PARKING TRAFFIC SIGNAGE")</f>
        <v>FOR MUNICH PARKING TRAFFIC SIGNAGE</v>
      </c>
    </row>
    <row r="870">
      <c r="A870" s="234">
        <f>IFERROR(__xludf.DUMMYFUNCTION("""COMPUTED_VALUE"""),105703.0)</f>
        <v>105703</v>
      </c>
      <c r="B870" s="235" t="str">
        <f>IFERROR(__xludf.DUMMYFUNCTION("""COMPUTED_VALUE"""),"CHARLES LEBECO DONOR")</f>
        <v>CHARLES LEBECO DONOR</v>
      </c>
      <c r="C870" s="235" t="str">
        <f>IFERROR(__xludf.DUMMYFUNCTION("""COMPUTED_VALUE"""),"AMD")</f>
        <v>AMD</v>
      </c>
      <c r="D870" s="196" t="str">
        <f>IFERROR(__xludf.DUMMYFUNCTION("""COMPUTED_VALUE"""),"300 PCS. - BIG BLUE PLASTIC BAG XXXL
3000 PCS. - BIG BROWN PAPER BAG SIZE 14x10x15.75")</f>
        <v>300 PCS. - BIG BLUE PLASTIC BAG XXXL
3000 PCS. - BIG BROWN PAPER BAG SIZE 14x10x15.75</v>
      </c>
      <c r="E870" s="196" t="str">
        <f>IFERROR(__xludf.DUMMYFUNCTION("""COMPUTED_VALUE"""),"FOR TOGA PACKAGING")</f>
        <v>FOR TOGA PACKAGING</v>
      </c>
    </row>
    <row r="871">
      <c r="A871" s="234">
        <f>IFERROR(__xludf.DUMMYFUNCTION("""COMPUTED_VALUE"""),105704.0)</f>
        <v>105704</v>
      </c>
      <c r="B871" s="235" t="str">
        <f>IFERROR(__xludf.DUMMYFUNCTION("""COMPUTED_VALUE"""),"OWIE PAR")</f>
        <v>OWIE PAR</v>
      </c>
      <c r="C871" s="235" t="str">
        <f>IFERROR(__xludf.DUMMYFUNCTION("""COMPUTED_VALUE"""),"ENGINEERING")</f>
        <v>ENGINEERING</v>
      </c>
      <c r="D871" s="196" t="str">
        <f>IFERROR(__xludf.DUMMYFUNCTION("""COMPUTED_VALUE"""),"1 UNIT 4.0HP FLOOR MOUNTED TYPE AC INVERTER PANASONIC
1 UNIT 3.0 CEILING SUSPEND TYPE AC INVERTER PANASONIC
1 UNIT 3.0HP WALL MOUNTED TYPE AC INVERTER PANASONIC")</f>
        <v>1 UNIT 4.0HP FLOOR MOUNTED TYPE AC INVERTER PANASONIC
1 UNIT 3.0 CEILING SUSPEND TYPE AC INVERTER PANASONIC
1 UNIT 3.0HP WALL MOUNTED TYPE AC INVERTER PANASONIC</v>
      </c>
      <c r="E871" s="196" t="str">
        <f>IFERROR(__xludf.DUMMYFUNCTION("""COMPUTED_VALUE"""),"REPLACEMENT OF XCU IN LUX SERVER ROOM ROOM 307 ROOM 410")</f>
        <v>REPLACEMENT OF XCU IN LUX SERVER ROOM ROOM 307 ROOM 410</v>
      </c>
    </row>
    <row r="872">
      <c r="A872" s="234">
        <f>IFERROR(__xludf.DUMMYFUNCTION("""COMPUTED_VALUE"""),105705.0)</f>
        <v>105705</v>
      </c>
      <c r="B872" s="235" t="str">
        <f>IFERROR(__xludf.DUMMYFUNCTION("""COMPUTED_VALUE"""),"ALFA DE LEON")</f>
        <v>ALFA DE LEON</v>
      </c>
      <c r="C872" s="235" t="str">
        <f>IFERROR(__xludf.DUMMYFUNCTION("""COMPUTED_VALUE"""),"LANDSCAPING")</f>
        <v>LANDSCAPING</v>
      </c>
      <c r="D872" s="196" t="str">
        <f>IFERROR(__xludf.DUMMYFUNCTION("""COMPUTED_VALUE"""),"2 PCS HOSE CONNECTOR
4 PCS GARDEN TOOLS FAUCET 
4 PCS NOOZLE
2 PCSGRIP CONNECTOR")</f>
        <v>2 PCS HOSE CONNECTOR
4 PCS GARDEN TOOLS FAUCET 
4 PCS NOOZLE
2 PCSGRIP CONNECTOR</v>
      </c>
      <c r="E872" s="196" t="str">
        <f>IFERROR(__xludf.DUMMYFUNCTION("""COMPUTED_VALUE"""),"GARDEN MATERIALS/ HOSE CONNECTOR")</f>
        <v>GARDEN MATERIALS/ HOSE CONNECTOR</v>
      </c>
    </row>
    <row r="873">
      <c r="A873" s="234">
        <f>IFERROR(__xludf.DUMMYFUNCTION("""COMPUTED_VALUE"""),105706.0)</f>
        <v>105706</v>
      </c>
      <c r="B873" s="235" t="str">
        <f>IFERROR(__xludf.DUMMYFUNCTION("""COMPUTED_VALUE"""),"ALFA DE LEON")</f>
        <v>ALFA DE LEON</v>
      </c>
      <c r="C873" s="235" t="str">
        <f>IFERROR(__xludf.DUMMYFUNCTION("""COMPUTED_VALUE"""),"LANDSCAPING")</f>
        <v>LANDSCAPING</v>
      </c>
      <c r="D873" s="196" t="str">
        <f>IFERROR(__xludf.DUMMYFUNCTION("""COMPUTED_VALUE"""),"15 SQM FROG GRASS
1000 MANI MANI")</f>
        <v>15 SQM FROG GRASS
1000 MANI MANI</v>
      </c>
      <c r="E873" s="196" t="str">
        <f>IFERROR(__xludf.DUMMYFUNCTION("""COMPUTED_VALUE"""),"GARDEN MAINTENANCE")</f>
        <v>GARDEN MAINTENANCE</v>
      </c>
    </row>
    <row r="874">
      <c r="A874" s="234">
        <f>IFERROR(__xludf.DUMMYFUNCTION("""COMPUTED_VALUE"""),105707.0)</f>
        <v>105707</v>
      </c>
      <c r="B874" s="235" t="str">
        <f>IFERROR(__xludf.DUMMYFUNCTION("""COMPUTED_VALUE"""),"ALFA DE LEON")</f>
        <v>ALFA DE LEON</v>
      </c>
      <c r="C874" s="235" t="str">
        <f>IFERROR(__xludf.DUMMYFUNCTION("""COMPUTED_VALUE"""),"ADMIN - MUNICH")</f>
        <v>ADMIN - MUNICH</v>
      </c>
      <c r="D874" s="196" t="str">
        <f>IFERROR(__xludf.DUMMYFUNCTION("""COMPUTED_VALUE"""),"2 PCS FAUCET 
2 PCS FAUCET
1 PC FAUCET")</f>
        <v>2 PCS FAUCET 
2 PCS FAUCET
1 PC FAUCET</v>
      </c>
      <c r="E874" s="196" t="str">
        <f>IFERROR(__xludf.DUMMYFUNCTION("""COMPUTED_VALUE"""),"REPLACEMENT OF BROKEN FAUCET")</f>
        <v>REPLACEMENT OF BROKEN FAUCET</v>
      </c>
    </row>
    <row r="875">
      <c r="A875" s="234">
        <f>IFERROR(__xludf.DUMMYFUNCTION("""COMPUTED_VALUE"""),105708.0)</f>
        <v>105708</v>
      </c>
      <c r="B875" s="235" t="str">
        <f>IFERROR(__xludf.DUMMYFUNCTION("""COMPUTED_VALUE"""),"ALFA DE LEON")</f>
        <v>ALFA DE LEON</v>
      </c>
      <c r="C875" s="235" t="str">
        <f>IFERROR(__xludf.DUMMYFUNCTION("""COMPUTED_VALUE"""),"ADMIN - MUNICH")</f>
        <v>ADMIN - MUNICH</v>
      </c>
      <c r="D875" s="196" t="str">
        <f>IFERROR(__xludf.DUMMYFUNCTION("""COMPUTED_VALUE"""),"2 PCS GUN TRACKER")</f>
        <v>2 PCS GUN TRACKER</v>
      </c>
      <c r="E875" s="196" t="str">
        <f>IFERROR(__xludf.DUMMYFUNCTION("""COMPUTED_VALUE"""),"FOR EVENTS USE")</f>
        <v>FOR EVENTS USE</v>
      </c>
    </row>
    <row r="876">
      <c r="A876" s="234">
        <f>IFERROR(__xludf.DUMMYFUNCTION("""COMPUTED_VALUE"""),105709.0)</f>
        <v>105709</v>
      </c>
      <c r="B876" s="235" t="str">
        <f>IFERROR(__xludf.DUMMYFUNCTION("""COMPUTED_VALUE"""),"ALFA DE LEON")</f>
        <v>ALFA DE LEON</v>
      </c>
      <c r="C876" s="235" t="str">
        <f>IFERROR(__xludf.DUMMYFUNCTION("""COMPUTED_VALUE"""),"ADMIN - MUNICH")</f>
        <v>ADMIN - MUNICH</v>
      </c>
      <c r="D876" s="196" t="str">
        <f>IFERROR(__xludf.DUMMYFUNCTION("""COMPUTED_VALUE"""),"100 SEAT COVER SMALL
50 PCS TABLE CLOTH")</f>
        <v>100 SEAT COVER SMALL
50 PCS TABLE CLOTH</v>
      </c>
      <c r="E876" s="196" t="str">
        <f>IFERROR(__xludf.DUMMYFUNCTION("""COMPUTED_VALUE"""),"TABLE CLOTH + SEAT COVER")</f>
        <v>TABLE CLOTH + SEAT COVER</v>
      </c>
    </row>
    <row r="877">
      <c r="A877" s="234">
        <f>IFERROR(__xludf.DUMMYFUNCTION("""COMPUTED_VALUE"""),105710.0)</f>
        <v>105710</v>
      </c>
      <c r="B877" s="235" t="str">
        <f>IFERROR(__xludf.DUMMYFUNCTION("""COMPUTED_VALUE"""),"JERIMIAH TIROL")</f>
        <v>JERIMIAH TIROL</v>
      </c>
      <c r="C877" s="235" t="str">
        <f>IFERROR(__xludf.DUMMYFUNCTION("""COMPUTED_VALUE"""),"NURSING")</f>
        <v>NURSING</v>
      </c>
      <c r="D877" s="196" t="str">
        <f>IFERROR(__xludf.DUMMYFUNCTION("""COMPUTED_VALUE"""),"3 YARDS RUBBER TUBING FOR SUNCTION MACHINE
10 PCS NEEDLE SIZE #26 STERILE
2 PACKS COTTON BALLS
3 PCS MULTIPLE PATIENT METERED DOSE INHALER 
1 BOX EXAMINATION GLOVES
8 SETS BABY DRESS 
4 PCS NEW BORN CAPS WHITE
7 PCS PATIENT GOWNS
2 PCS ULTRASOUND TRANSMIS"&amp;"SION GEL
1 PC DIPPER MOCHA PLASTIC
1 PC PAIL MOCHA PLASTIC LAUNDRY BASKET WITH LID BIG SIZE")</f>
        <v>3 YARDS RUBBER TUBING FOR SUNCTION MACHINE
10 PCS NEEDLE SIZE #26 STERILE
2 PACKS COTTON BALLS
3 PCS MULTIPLE PATIENT METERED DOSE INHALER 
1 BOX EXAMINATION GLOVES
8 SETS BABY DRESS 
4 PCS NEW BORN CAPS WHITE
7 PCS PATIENT GOWNS
2 PCS ULTRASOUND TRANSMISSION GEL
1 PC DIPPER MOCHA PLASTIC
1 PC PAIL MOCHA PLASTIC LAUNDRY BASKET WITH LID BIG SIZE</v>
      </c>
      <c r="E877" s="196" t="str">
        <f>IFERROR(__xludf.DUMMYFUNCTION("""COMPUTED_VALUE"""),"FOR COLLEGE LAB")</f>
        <v>FOR COLLEGE LAB</v>
      </c>
    </row>
    <row r="878">
      <c r="A878" s="234">
        <f>IFERROR(__xludf.DUMMYFUNCTION("""COMPUTED_VALUE"""),105711.0)</f>
        <v>105711</v>
      </c>
      <c r="B878" s="235" t="str">
        <f>IFERROR(__xludf.DUMMYFUNCTION("""COMPUTED_VALUE"""),"JESUIT CHRISTIAN GALICIA")</f>
        <v>JESUIT CHRISTIAN GALICIA</v>
      </c>
      <c r="C878" s="235" t="str">
        <f>IFERROR(__xludf.DUMMYFUNCTION("""COMPUTED_VALUE"""),"AMD")</f>
        <v>AMD</v>
      </c>
      <c r="D878" s="196" t="str">
        <f>IFERROR(__xludf.DUMMYFUNCTION("""COMPUTED_VALUE"""),"17 PCS WIFI CARD PCI-E (TP LINK ARCHER T4E AC1200)")</f>
        <v>17 PCS WIFI CARD PCI-E (TP LINK ARCHER T4E AC1200)</v>
      </c>
      <c r="E878" s="196" t="str">
        <f>IFERROR(__xludf.DUMMYFUNCTION("""COMPUTED_VALUE"""),"MIS WAREHOUSE STOCK REPLENISHMENT")</f>
        <v>MIS WAREHOUSE STOCK REPLENISHMENT</v>
      </c>
    </row>
    <row r="879">
      <c r="A879" s="234">
        <f>IFERROR(__xludf.DUMMYFUNCTION("""COMPUTED_VALUE"""),105712.0)</f>
        <v>105712</v>
      </c>
      <c r="B879" s="235" t="str">
        <f>IFERROR(__xludf.DUMMYFUNCTION("""COMPUTED_VALUE"""),"ANGELIE MADANLOG ")</f>
        <v>ANGELIE MADANLOG </v>
      </c>
      <c r="C879" s="235" t="str">
        <f>IFERROR(__xludf.DUMMYFUNCTION("""COMPUTED_VALUE"""),"FINANCE &amp; ACCOUNTING")</f>
        <v>FINANCE &amp; ACCOUNTING</v>
      </c>
      <c r="D879" s="196" t="str">
        <f>IFERROR(__xludf.DUMMYFUNCTION("""COMPUTED_VALUE"""),"500 PCS EXAM PERMIT BASIC ED")</f>
        <v>500 PCS EXAM PERMIT BASIC ED</v>
      </c>
      <c r="E879" s="196" t="str">
        <f>IFERROR(__xludf.DUMMYFUNCTION("""COMPUTED_VALUE"""),"FOR THIRD TERM EXAM BED &amp; IB AY 24-25")</f>
        <v>FOR THIRD TERM EXAM BED &amp; IB AY 24-25</v>
      </c>
    </row>
    <row r="880">
      <c r="A880" s="234">
        <f>IFERROR(__xludf.DUMMYFUNCTION("""COMPUTED_VALUE"""),105713.0)</f>
        <v>105713</v>
      </c>
      <c r="B880" s="235" t="str">
        <f>IFERROR(__xludf.DUMMYFUNCTION("""COMPUTED_VALUE"""),"RODRIGO CUSTODIO")</f>
        <v>RODRIGO CUSTODIO</v>
      </c>
      <c r="C880" s="235" t="str">
        <f>IFERROR(__xludf.DUMMYFUNCTION("""COMPUTED_VALUE"""),"AMD")</f>
        <v>AMD</v>
      </c>
      <c r="D880" s="196" t="str">
        <f>IFERROR(__xludf.DUMMYFUNCTION("""COMPUTED_VALUE"""),"10 GALS FLOOR FINISH STATE MIGHTY SPARKLE DIAMOND 25 1 U.S GAL")</f>
        <v>10 GALS FLOOR FINISH STATE MIGHTY SPARKLE DIAMOND 25 1 U.S GAL</v>
      </c>
      <c r="E880" s="196" t="str">
        <f>IFERROR(__xludf.DUMMYFUNCTION("""COMPUTED_VALUE"""),"HOUSE KEEPING MATERIALS STOCK REPLENISHMENT")</f>
        <v>HOUSE KEEPING MATERIALS STOCK REPLENISHMENT</v>
      </c>
    </row>
    <row r="881">
      <c r="A881" s="234">
        <f>IFERROR(__xludf.DUMMYFUNCTION("""COMPUTED_VALUE"""),105714.0)</f>
        <v>105714</v>
      </c>
      <c r="B881" s="235" t="str">
        <f>IFERROR(__xludf.DUMMYFUNCTION("""COMPUTED_VALUE"""),"MARC VINCENT VITTO")</f>
        <v>MARC VINCENT VITTO</v>
      </c>
      <c r="C881" s="235" t="str">
        <f>IFERROR(__xludf.DUMMYFUNCTION("""COMPUTED_VALUE"""),"PR &amp; MARKETING")</f>
        <v>PR &amp; MARKETING</v>
      </c>
      <c r="D881" s="196" t="str">
        <f>IFERROR(__xludf.DUMMYFUNCTION("""COMPUTED_VALUE"""),"1000 PCS REM FLYER SIZE: W= 3.78 IN X H=8.27 IN ")</f>
        <v>1000 PCS REM FLYER SIZE: W= 3.78 IN X H=8.27 IN </v>
      </c>
      <c r="E881" s="196" t="str">
        <f>IFERROR(__xludf.DUMMYFUNCTION("""COMPUTED_VALUE"""),"MARKETING")</f>
        <v>MARKETING</v>
      </c>
    </row>
    <row r="882">
      <c r="A882" s="234">
        <f>IFERROR(__xludf.DUMMYFUNCTION("""COMPUTED_VALUE"""),105715.0)</f>
        <v>105715</v>
      </c>
      <c r="B882" s="235" t="str">
        <f>IFERROR(__xludf.DUMMYFUNCTION("""COMPUTED_VALUE"""),"MARC VINCENT VITTO")</f>
        <v>MARC VINCENT VITTO</v>
      </c>
      <c r="C882" s="235" t="str">
        <f>IFERROR(__xludf.DUMMYFUNCTION("""COMPUTED_VALUE"""),"PR &amp; MARKETING")</f>
        <v>PR &amp; MARKETING</v>
      </c>
      <c r="D882" s="196" t="str">
        <f>IFERROR(__xludf.DUMMYFUNCTION("""COMPUTED_VALUE"""),"1 PC EACH:
-ACCREDITATION VERTICAL BUSINESS 
-LUX TARP W:2FT H:6FT THICKNESS 18OZ
-TROPICAL TARPS W:3FT H:8FT THICKNESS 18OZ ")</f>
        <v>1 PC EACH:
-ACCREDITATION VERTICAL BUSINESS 
-LUX TARP W:2FT H:6FT THICKNESS 18OZ
-TROPICAL TARPS W:3FT H:8FT THICKNESS 18OZ </v>
      </c>
      <c r="E882" s="196" t="str">
        <f>IFERROR(__xludf.DUMMYFUNCTION("""COMPUTED_VALUE"""),"MARKETING")</f>
        <v>MARKETING</v>
      </c>
    </row>
    <row r="883">
      <c r="A883" s="234">
        <f>IFERROR(__xludf.DUMMYFUNCTION("""COMPUTED_VALUE"""),105716.0)</f>
        <v>105716</v>
      </c>
      <c r="B883" s="235" t="str">
        <f>IFERROR(__xludf.DUMMYFUNCTION("""COMPUTED_VALUE"""),"JERIMIAH TIROL")</f>
        <v>JERIMIAH TIROL</v>
      </c>
      <c r="C883" s="235" t="str">
        <f>IFERROR(__xludf.DUMMYFUNCTION("""COMPUTED_VALUE"""),"SCIENCE LAB COLLEGE")</f>
        <v>SCIENCE LAB COLLEGE</v>
      </c>
      <c r="D883" s="196" t="str">
        <f>IFERROR(__xludf.DUMMYFUNCTION("""COMPUTED_VALUE"""),"2 PCS HOSPITAL TROLLEY 
1 PC NURSING CARE TRAINING MANNEQUIN 
1 PC HOSPITAL  BED 3 CRANKS 
1 PC ORTHOPEDIC BED 3 CRANKCS
1 PC WALL MOUNTED SUCTION OXYGEN 
1 PC MEDICAL I.V POLE WITH TRAY 
1 PC IV STAND 
1 PC MATTRESS 
1 PC GENECOLOGICAL EXAMINATION BED 
1"&amp;" PC PRAY CARE NEW BORN BASSINET A")</f>
        <v>2 PCS HOSPITAL TROLLEY 
1 PC NURSING CARE TRAINING MANNEQUIN 
1 PC HOSPITAL  BED 3 CRANKS 
1 PC ORTHOPEDIC BED 3 CRANKCS
1 PC WALL MOUNTED SUCTION OXYGEN 
1 PC MEDICAL I.V POLE WITH TRAY 
1 PC IV STAND 
1 PC MATTRESS 
1 PC GENECOLOGICAL EXAMINATION BED 
1 PC PRAY CARE NEW BORN BASSINET A</v>
      </c>
      <c r="E883" s="196" t="str">
        <f>IFERROR(__xludf.DUMMYFUNCTION("""COMPUTED_VALUE"""),"PREPARATION FOR MONARCHS HUB NURSING LAB")</f>
        <v>PREPARATION FOR MONARCHS HUB NURSING LAB</v>
      </c>
    </row>
    <row r="884">
      <c r="A884" s="234">
        <f>IFERROR(__xludf.DUMMYFUNCTION("""COMPUTED_VALUE"""),105717.0)</f>
        <v>105717</v>
      </c>
      <c r="B884" s="235" t="str">
        <f>IFERROR(__xludf.DUMMYFUNCTION("""COMPUTED_VALUE"""),"JERIMIAH TIROL")</f>
        <v>JERIMIAH TIROL</v>
      </c>
      <c r="C884" s="235" t="str">
        <f>IFERROR(__xludf.DUMMYFUNCTION("""COMPUTED_VALUE"""),"SCIENCE LAB COLLEGE")</f>
        <v>SCIENCE LAB COLLEGE</v>
      </c>
      <c r="D884" s="196" t="str">
        <f>IFERROR(__xludf.DUMMYFUNCTION("""COMPUTED_VALUE"""),"3 PCS HOSPITAL PILLOW COLOR WHITE 45X70 CM
4 PCS COTTON THERMAL BLANKET HOSPITAL CREAM")</f>
        <v>3 PCS HOSPITAL PILLOW COLOR WHITE 45X70 CM
4 PCS COTTON THERMAL BLANKET HOSPITAL CREAM</v>
      </c>
      <c r="E884" s="196" t="str">
        <f>IFERROR(__xludf.DUMMYFUNCTION("""COMPUTED_VALUE"""),"PREPARATION FOR MONARCHS HUB NURSING LAB")</f>
        <v>PREPARATION FOR MONARCHS HUB NURSING LAB</v>
      </c>
    </row>
    <row r="885">
      <c r="A885" s="234">
        <f>IFERROR(__xludf.DUMMYFUNCTION("""COMPUTED_VALUE"""),105718.0)</f>
        <v>105718</v>
      </c>
      <c r="B885" s="235" t="str">
        <f>IFERROR(__xludf.DUMMYFUNCTION("""COMPUTED_VALUE"""),"JERIMIAH TIROL")</f>
        <v>JERIMIAH TIROL</v>
      </c>
      <c r="C885" s="235" t="str">
        <f>IFERROR(__xludf.DUMMYFUNCTION("""COMPUTED_VALUE"""),"SCIENCE LAB COLLEGE")</f>
        <v>SCIENCE LAB COLLEGE</v>
      </c>
      <c r="D885" s="196" t="str">
        <f>IFERROR(__xludf.DUMMYFUNCTION("""COMPUTED_VALUE"""),"4 PCS FITTED GARTERIZED BED SHEETS WHITE 
4 PCS PILOOW CASE 
4 PCS DRAW SHEET 
4 PCS TOP SHEET")</f>
        <v>4 PCS FITTED GARTERIZED BED SHEETS WHITE 
4 PCS PILOOW CASE 
4 PCS DRAW SHEET 
4 PCS TOP SHEET</v>
      </c>
      <c r="E885" s="196" t="str">
        <f>IFERROR(__xludf.DUMMYFUNCTION("""COMPUTED_VALUE"""),"PREPARATION FOR MONARCHS HUB NURSING LAB")</f>
        <v>PREPARATION FOR MONARCHS HUB NURSING LAB</v>
      </c>
    </row>
    <row r="886">
      <c r="A886" s="234">
        <f>IFERROR(__xludf.DUMMYFUNCTION("""COMPUTED_VALUE"""),105719.0)</f>
        <v>105719</v>
      </c>
      <c r="B886" s="235" t="str">
        <f>IFERROR(__xludf.DUMMYFUNCTION("""COMPUTED_VALUE"""),"FRANCHESKA ORTEGA")</f>
        <v>FRANCHESKA ORTEGA</v>
      </c>
      <c r="C886" s="235" t="str">
        <f>IFERROR(__xludf.DUMMYFUNCTION("""COMPUTED_VALUE"""),"PRESIDENT'S OFFICE")</f>
        <v>PRESIDENT'S OFFICE</v>
      </c>
      <c r="D886" s="196" t="str">
        <f>IFERROR(__xludf.DUMMYFUNCTION("""COMPUTED_VALUE"""),"3 BOXES CALLING CARD FOR DR JO")</f>
        <v>3 BOXES CALLING CARD FOR DR JO</v>
      </c>
      <c r="E886" s="196" t="str">
        <f>IFERROR(__xludf.DUMMYFUNCTION("""COMPUTED_VALUE"""),"CALLING CARD OF DR JO")</f>
        <v>CALLING CARD OF DR JO</v>
      </c>
    </row>
    <row r="887">
      <c r="A887" s="234">
        <f>IFERROR(__xludf.DUMMYFUNCTION("""COMPUTED_VALUE"""),105720.0)</f>
        <v>105720</v>
      </c>
      <c r="B887" s="235" t="str">
        <f>IFERROR(__xludf.DUMMYFUNCTION("""COMPUTED_VALUE"""),"MARC VINCENT VITTO")</f>
        <v>MARC VINCENT VITTO</v>
      </c>
      <c r="C887" s="235" t="str">
        <f>IFERROR(__xludf.DUMMYFUNCTION("""COMPUTED_VALUE"""),"PR &amp; MARKETING")</f>
        <v>PR &amp; MARKETING</v>
      </c>
      <c r="D887" s="196" t="str">
        <f>IFERROR(__xludf.DUMMYFUNCTION("""COMPUTED_VALUE"""),"1 BUSINESS ENTREP INNOMETRIX TARP 
W= 12FT X H= 6FT THICKNESS 13OZ")</f>
        <v>1 BUSINESS ENTREP INNOMETRIX TARP 
W= 12FT X H= 6FT THICKNESS 13OZ</v>
      </c>
      <c r="E887" s="196" t="str">
        <f>IFERROR(__xludf.DUMMYFUNCTION("""COMPUTED_VALUE"""),"CONGRATULATORY TARP")</f>
        <v>CONGRATULATORY TARP</v>
      </c>
    </row>
    <row r="888">
      <c r="A888" s="234">
        <f>IFERROR(__xludf.DUMMYFUNCTION("""COMPUTED_VALUE"""),105721.0)</f>
        <v>105721</v>
      </c>
      <c r="B888" s="235" t="str">
        <f>IFERROR(__xludf.DUMMYFUNCTION("""COMPUTED_VALUE"""),"OWIE PAR")</f>
        <v>OWIE PAR</v>
      </c>
      <c r="C888" s="235" t="str">
        <f>IFERROR(__xludf.DUMMYFUNCTION("""COMPUTED_VALUE"""),"ENGINEERING")</f>
        <v>ENGINEERING</v>
      </c>
      <c r="D888" s="196" t="str">
        <f>IFERROR(__xludf.DUMMYFUNCTION("""COMPUTED_VALUE"""),"1 ROLL THHN #12 P.D
10 LENGTHS PVC MOUDINGS 3/4
4 PCS PVC AMCD BOX
2 PCS UTILITY BOX 
5 ROLLS ELECTRICAL TAPE BIG")</f>
        <v>1 ROLL THHN #12 P.D
10 LENGTHS PVC MOUDINGS 3/4
4 PCS PVC AMCD BOX
2 PCS UTILITY BOX 
5 ROLLS ELECTRICAL TAPE BIG</v>
      </c>
      <c r="E888" s="196" t="str">
        <f>IFERROR(__xludf.DUMMYFUNCTION("""COMPUTED_VALUE"""),"FOR LUX TROPICAL MUNICH TV ANNOUNCEMENT")</f>
        <v>FOR LUX TROPICAL MUNICH TV ANNOUNCEMENT</v>
      </c>
    </row>
    <row r="889">
      <c r="A889" s="234">
        <f>IFERROR(__xludf.DUMMYFUNCTION("""COMPUTED_VALUE"""),105722.0)</f>
        <v>105722</v>
      </c>
      <c r="B889" s="235" t="str">
        <f>IFERROR(__xludf.DUMMYFUNCTION("""COMPUTED_VALUE"""),"ALFA DE LEON")</f>
        <v>ALFA DE LEON</v>
      </c>
      <c r="C889" s="235" t="str">
        <f>IFERROR(__xludf.DUMMYFUNCTION("""COMPUTED_VALUE"""),"LANDSCAPING")</f>
        <v>LANDSCAPING</v>
      </c>
      <c r="D889" s="196" t="str">
        <f>IFERROR(__xludf.DUMMYFUNCTION("""COMPUTED_VALUE"""),"4 RUBBER TREES LEMON")</f>
        <v>4 RUBBER TREES LEMON</v>
      </c>
      <c r="E889" s="196" t="str">
        <f>IFERROR(__xludf.DUMMYFUNCTION("""COMPUTED_VALUE"""),"PLANTS FOR TROPICAL BLDG/COLLEGE")</f>
        <v>PLANTS FOR TROPICAL BLDG/COLLEGE</v>
      </c>
    </row>
    <row r="890">
      <c r="A890" s="234">
        <f>IFERROR(__xludf.DUMMYFUNCTION("""COMPUTED_VALUE"""),105723.0)</f>
        <v>105723</v>
      </c>
      <c r="B890" s="235" t="str">
        <f>IFERROR(__xludf.DUMMYFUNCTION("""COMPUTED_VALUE"""),"JORDAN JORDAN")</f>
        <v>JORDAN JORDAN</v>
      </c>
      <c r="C890" s="235" t="str">
        <f>IFERROR(__xludf.DUMMYFUNCTION("""COMPUTED_VALUE"""),"ADMIN")</f>
        <v>ADMIN</v>
      </c>
      <c r="D890" s="196" t="str">
        <f>IFERROR(__xludf.DUMMYFUNCTION("""COMPUTED_VALUE"""),"15 PCS GOOSENECK TYPE FIXTURE LED 50 TO 100 220V
1 ROLL FLAT CORD")</f>
        <v>15 PCS GOOSENECK TYPE FIXTURE LED 50 TO 100 220V
1 ROLL FLAT CORD</v>
      </c>
      <c r="E890" s="196" t="str">
        <f>IFERROR(__xludf.DUMMYFUNCTION("""COMPUTED_VALUE"""),"LIGHTING FIXTURE FOR CEM CABINET")</f>
        <v>LIGHTING FIXTURE FOR CEM CABINET</v>
      </c>
    </row>
    <row r="891">
      <c r="A891" s="234">
        <f>IFERROR(__xludf.DUMMYFUNCTION("""COMPUTED_VALUE"""),105724.0)</f>
        <v>105724</v>
      </c>
      <c r="B891" s="235" t="str">
        <f>IFERROR(__xludf.DUMMYFUNCTION("""COMPUTED_VALUE"""),"OWIE PAR")</f>
        <v>OWIE PAR</v>
      </c>
      <c r="C891" s="235" t="str">
        <f>IFERROR(__xludf.DUMMYFUNCTION("""COMPUTED_VALUE"""),"ENGINEERING")</f>
        <v>ENGINEERING</v>
      </c>
      <c r="D891" s="196" t="str">
        <f>IFERROR(__xludf.DUMMYFUNCTION("""COMPUTED_VALUE"""),"1 UNIT 5.0 HP CEILING CASSETTE TYPE INVERTER")</f>
        <v>1 UNIT 5.0 HP CEILING CASSETTE TYPE INVERTER</v>
      </c>
      <c r="E891" s="196" t="str">
        <f>IFERROR(__xludf.DUMMYFUNCTION("""COMPUTED_VALUE"""),"ACU FOR TROPICAL RM 202")</f>
        <v>ACU FOR TROPICAL RM 202</v>
      </c>
    </row>
    <row r="892">
      <c r="A892" s="234">
        <f>IFERROR(__xludf.DUMMYFUNCTION("""COMPUTED_VALUE"""),105725.0)</f>
        <v>105725</v>
      </c>
      <c r="B892" s="235" t="str">
        <f>IFERROR(__xludf.DUMMYFUNCTION("""COMPUTED_VALUE"""),"SARY ESCUREL")</f>
        <v>SARY ESCUREL</v>
      </c>
      <c r="C892" s="235" t="str">
        <f>IFERROR(__xludf.DUMMYFUNCTION("""COMPUTED_VALUE"""),"SFO")</f>
        <v>SFO</v>
      </c>
      <c r="D892" s="196" t="str">
        <f>IFERROR(__xludf.DUMMYFUNCTION("""COMPUTED_VALUE"""),"2 PCS PICK MATTOCK W/ HANDLE
2 PCS SHOVEL STEEL HANDLE")</f>
        <v>2 PCS PICK MATTOCK W/ HANDLE
2 PCS SHOVEL STEEL HANDLE</v>
      </c>
      <c r="E892" s="196" t="str">
        <f>IFERROR(__xludf.DUMMYFUNCTION("""COMPUTED_VALUE"""),"FOR UBE PLANTING PROJECT IN ACT FARM")</f>
        <v>FOR UBE PLANTING PROJECT IN ACT FARM</v>
      </c>
    </row>
    <row r="893">
      <c r="A893" s="234">
        <f>IFERROR(__xludf.DUMMYFUNCTION("""COMPUTED_VALUE"""),105726.0)</f>
        <v>105726</v>
      </c>
      <c r="B893" s="235" t="str">
        <f>IFERROR(__xludf.DUMMYFUNCTION("""COMPUTED_VALUE"""),"OWIE PAR")</f>
        <v>OWIE PAR</v>
      </c>
      <c r="C893" s="235" t="str">
        <f>IFERROR(__xludf.DUMMYFUNCTION("""COMPUTED_VALUE"""),"ADMIN")</f>
        <v>ADMIN</v>
      </c>
      <c r="D893" s="196" t="str">
        <f>IFERROR(__xludf.DUMMYFUNCTION("""COMPUTED_VALUE"""),"3 UNITS 3.0 HP WALL MOUNTED INVERTER PANASONIC ")</f>
        <v>3 UNITS 3.0 HP WALL MOUNTED INVERTER PANASONIC </v>
      </c>
      <c r="E893" s="196" t="str">
        <f>IFERROR(__xludf.DUMMYFUNCTION("""COMPUTED_VALUE"""),"FOR LUX BACK UP ACU")</f>
        <v>FOR LUX BACK UP ACU</v>
      </c>
    </row>
    <row r="894">
      <c r="A894" s="234">
        <f>IFERROR(__xludf.DUMMYFUNCTION("""COMPUTED_VALUE"""),105727.0)</f>
        <v>105727</v>
      </c>
      <c r="B894" s="235" t="str">
        <f>IFERROR(__xludf.DUMMYFUNCTION("""COMPUTED_VALUE"""),"OWIE PAR")</f>
        <v>OWIE PAR</v>
      </c>
      <c r="C894" s="235" t="str">
        <f>IFERROR(__xludf.DUMMYFUNCTION("""COMPUTED_VALUE"""),"ADMIN")</f>
        <v>ADMIN</v>
      </c>
      <c r="D894" s="196" t="str">
        <f>IFERROR(__xludf.DUMMYFUNCTION("""COMPUTED_VALUE"""),"-6PCS BALL VALVE 1 1/4
-2PCS BALL VALVE 1 1/2 
-2PCS BALL VALVE 2
-4PCS PPR COUPLING 1 1/4
-2PCS PPR COUPLING 3/4
-2 PCS PPR COUPLING 1 1/2
2 PCS PPR TEE #2
2 PCS PPR COUPLING REDUCER 2X 1 1/2
2 PCS PPR COUPLING REDUCER 2X 1 1/4
2 PCS PPR MALE ADAPTOR 1 1"&amp;"/2
3 PCS PPR MALE ADAPTOR 1 1/4
1 PCS PPR PIPE 1 1/4 
1 PC PPR PIPE 1 1/2
1PC GFI UNION PATENTE 2
10 PCS TEPLON TAPE 3/4")</f>
        <v>-6PCS BALL VALVE 1 1/4
-2PCS BALL VALVE 1 1/2 
-2PCS BALL VALVE 2
-4PCS PPR COUPLING 1 1/4
-2PCS PPR COUPLING 3/4
-2 PCS PPR COUPLING 1 1/2
2 PCS PPR TEE #2
2 PCS PPR COUPLING REDUCER 2X 1 1/2
2 PCS PPR COUPLING REDUCER 2X 1 1/4
2 PCS PPR MALE ADAPTOR 1 1/2
3 PCS PPR MALE ADAPTOR 1 1/4
1 PCS PPR PIPE 1 1/4 
1 PC PPR PIPE 1 1/2
1PC GFI UNION PATENTE 2
10 PCS TEPLON TAPE 3/4</v>
      </c>
      <c r="E894" s="196" t="str">
        <f>IFERROR(__xludf.DUMMYFUNCTION("""COMPUTED_VALUE"""),"FOR LUX CAMPUS OVERHEAD TANK ")</f>
        <v>FOR LUX CAMPUS OVERHEAD TANK </v>
      </c>
    </row>
    <row r="895">
      <c r="A895" s="234">
        <f>IFERROR(__xludf.DUMMYFUNCTION("""COMPUTED_VALUE"""),105728.0)</f>
        <v>105728</v>
      </c>
      <c r="B895" s="235" t="str">
        <f>IFERROR(__xludf.DUMMYFUNCTION("""COMPUTED_VALUE"""),"ELMIE LAUDIATO")</f>
        <v>ELMIE LAUDIATO</v>
      </c>
      <c r="C895" s="235" t="str">
        <f>IFERROR(__xludf.DUMMYFUNCTION("""COMPUTED_VALUE"""),"HRMD")</f>
        <v>HRMD</v>
      </c>
      <c r="D895" s="196" t="str">
        <f>IFERROR(__xludf.DUMMYFUNCTION("""COMPUTED_VALUE"""),"1 FLOWER WREATH FOR MR WILFREDO MINTU")</f>
        <v>1 FLOWER WREATH FOR MR WILFREDO MINTU</v>
      </c>
      <c r="E895" s="196" t="str">
        <f>IFERROR(__xludf.DUMMYFUNCTION("""COMPUTED_VALUE"""),"FLOWER WREATH FOR THE HUSBAND OF MS GLADYS MINTU")</f>
        <v>FLOWER WREATH FOR THE HUSBAND OF MS GLADYS MINTU</v>
      </c>
    </row>
    <row r="896">
      <c r="A896" s="234">
        <f>IFERROR(__xludf.DUMMYFUNCTION("""COMPUTED_VALUE"""),105729.0)</f>
        <v>105729</v>
      </c>
      <c r="B896" s="235" t="str">
        <f>IFERROR(__xludf.DUMMYFUNCTION("""COMPUTED_VALUE"""),"MARVIN MARASIGAN")</f>
        <v>MARVIN MARASIGAN</v>
      </c>
      <c r="C896" s="235" t="str">
        <f>IFERROR(__xludf.DUMMYFUNCTION("""COMPUTED_VALUE"""),"PR &amp; MARKETING")</f>
        <v>PR &amp; MARKETING</v>
      </c>
      <c r="D896" s="196" t="str">
        <f>IFERROR(__xludf.DUMMYFUNCTION("""COMPUTED_VALUE"""),"1 PC STEEL CABINET W/LOCK (REORDER)")</f>
        <v>1 PC STEEL CABINET W/LOCK (REORDER)</v>
      </c>
      <c r="E896" s="196" t="str">
        <f>IFERROR(__xludf.DUMMYFUNCTION("""COMPUTED_VALUE"""),"FOR 2 CONTANT STAFF USE")</f>
        <v>FOR 2 CONTANT STAFF USE</v>
      </c>
    </row>
    <row r="897">
      <c r="A897" s="234">
        <f>IFERROR(__xludf.DUMMYFUNCTION("""COMPUTED_VALUE"""),105730.0)</f>
        <v>105730</v>
      </c>
      <c r="B897" s="235" t="str">
        <f>IFERROR(__xludf.DUMMYFUNCTION("""COMPUTED_VALUE"""),"OWIE PAR")</f>
        <v>OWIE PAR</v>
      </c>
      <c r="C897" s="235" t="str">
        <f>IFERROR(__xludf.DUMMYFUNCTION("""COMPUTED_VALUE"""),"ENGINEERING")</f>
        <v>ENGINEERING</v>
      </c>
      <c r="D897" s="196" t="str">
        <f>IFERROR(__xludf.DUMMYFUNCTION("""COMPUTED_VALUE"""),"2 PAILS GREASE TRAP CHEMICALS")</f>
        <v>2 PAILS GREASE TRAP CHEMICALS</v>
      </c>
      <c r="E897" s="196" t="str">
        <f>IFERROR(__xludf.DUMMYFUNCTION("""COMPUTED_VALUE"""),"FOR GREASE TRAP CLEANING LUX MUNICH")</f>
        <v>FOR GREASE TRAP CLEANING LUX MUNICH</v>
      </c>
    </row>
    <row r="898">
      <c r="A898" s="234">
        <f>IFERROR(__xludf.DUMMYFUNCTION("""COMPUTED_VALUE"""),105731.0)</f>
        <v>105731</v>
      </c>
      <c r="B898" s="235" t="str">
        <f>IFERROR(__xludf.DUMMYFUNCTION("""COMPUTED_VALUE"""),"LYKA PERALTA")</f>
        <v>LYKA PERALTA</v>
      </c>
      <c r="C898" s="235" t="str">
        <f>IFERROR(__xludf.DUMMYFUNCTION("""COMPUTED_VALUE"""),"AMD")</f>
        <v>AMD</v>
      </c>
      <c r="D898" s="196" t="str">
        <f>IFERROR(__xludf.DUMMYFUNCTION("""COMPUTED_VALUE"""),"5 REAMS PAPER FORTUNE GROUNDWOVE MIMEO LONG 500 PCS
500 PCS BROWN ENVELOPE SHORT
5 PCS RECORD BOOK 500 PAGES
700 PCS PANDA BLACK
12 PCS SIGN PEN PILOT PURPLE")</f>
        <v>5 REAMS PAPER FORTUNE GROUNDWOVE MIMEO LONG 500 PCS
500 PCS BROWN ENVELOPE SHORT
5 PCS RECORD BOOK 500 PAGES
700 PCS PANDA BLACK
12 PCS SIGN PEN PILOT PURPLE</v>
      </c>
      <c r="E898" s="196" t="str">
        <f>IFERROR(__xludf.DUMMYFUNCTION("""COMPUTED_VALUE"""),"OSSUP STOCK REPLENISHMENT ")</f>
        <v>OSSUP STOCK REPLENISHMENT </v>
      </c>
    </row>
    <row r="899">
      <c r="A899" s="234">
        <f>IFERROR(__xludf.DUMMYFUNCTION("""COMPUTED_VALUE"""),105732.0)</f>
        <v>105732</v>
      </c>
      <c r="B899" s="235" t="str">
        <f>IFERROR(__xludf.DUMMYFUNCTION("""COMPUTED_VALUE"""),"LYKA PERALTA")</f>
        <v>LYKA PERALTA</v>
      </c>
      <c r="C899" s="235" t="str">
        <f>IFERROR(__xludf.DUMMYFUNCTION("""COMPUTED_VALUE"""),"AMD")</f>
        <v>AMD</v>
      </c>
      <c r="D899" s="196" t="str">
        <f>IFERROR(__xludf.DUMMYFUNCTION("""COMPUTED_VALUE"""),"20 PCS TONER CARTRIDGE MAGENTA")</f>
        <v>20 PCS TONER CARTRIDGE MAGENTA</v>
      </c>
      <c r="E899" s="196" t="str">
        <f>IFERROR(__xludf.DUMMYFUNCTION("""COMPUTED_VALUE"""),"OSSUP STOCK REPLENISHMENT ")</f>
        <v>OSSUP STOCK REPLENISHMENT </v>
      </c>
    </row>
    <row r="900">
      <c r="A900" s="234">
        <f>IFERROR(__xludf.DUMMYFUNCTION("""COMPUTED_VALUE"""),105733.0)</f>
        <v>105733</v>
      </c>
      <c r="B900" s="235" t="str">
        <f>IFERROR(__xludf.DUMMYFUNCTION("""COMPUTED_VALUE"""),"LYKA PERALTA")</f>
        <v>LYKA PERALTA</v>
      </c>
      <c r="C900" s="235" t="str">
        <f>IFERROR(__xludf.DUMMYFUNCTION("""COMPUTED_VALUE"""),"AMD")</f>
        <v>AMD</v>
      </c>
      <c r="D900" s="196" t="str">
        <f>IFERROR(__xludf.DUMMYFUNCTION("""COMPUTED_VALUE"""),"50 PCS TONER CARTRIDGE 85A ")</f>
        <v>50 PCS TONER CARTRIDGE 85A </v>
      </c>
      <c r="E900" s="196" t="str">
        <f>IFERROR(__xludf.DUMMYFUNCTION("""COMPUTED_VALUE"""),"OSSUP STOCK REPLENISHMENT ")</f>
        <v>OSSUP STOCK REPLENISHMENT </v>
      </c>
    </row>
    <row r="901">
      <c r="A901" s="234">
        <f>IFERROR(__xludf.DUMMYFUNCTION("""COMPUTED_VALUE"""),105734.0)</f>
        <v>105734</v>
      </c>
      <c r="B901" s="235" t="str">
        <f>IFERROR(__xludf.DUMMYFUNCTION("""COMPUTED_VALUE"""),"JC CAMPIT")</f>
        <v>JC CAMPIT</v>
      </c>
      <c r="C901" s="235" t="str">
        <f>IFERROR(__xludf.DUMMYFUNCTION("""COMPUTED_VALUE"""),"STUFFSHOP")</f>
        <v>STUFFSHOP</v>
      </c>
      <c r="D901" s="196" t="str">
        <f>IFERROR(__xludf.DUMMYFUNCTION("""COMPUTED_VALUE"""),"STANFORD READING B -22PCS
STANFORD MATH B KINDER -20 PCS
STANFORD READING C -29 PCS
STANFORD MATH C -27 PCS
STANFORD READING D -46PCS
STANFORD MATH D -46PCS")</f>
        <v>STANFORD READING B -22PCS
STANFORD MATH B KINDER -20 PCS
STANFORD READING C -29 PCS
STANFORD MATH C -27 PCS
STANFORD READING D -46PCS
STANFORD MATH D -46PCS</v>
      </c>
      <c r="E901" s="196" t="str">
        <f>IFERROR(__xludf.DUMMYFUNCTION("""COMPUTED_VALUE"""),"TEXTBOOKS FOR SALE AY 25-26")</f>
        <v>TEXTBOOKS FOR SALE AY 25-26</v>
      </c>
    </row>
    <row r="902">
      <c r="A902" s="234">
        <f>IFERROR(__xludf.DUMMYFUNCTION("""COMPUTED_VALUE"""),105735.0)</f>
        <v>105735</v>
      </c>
      <c r="B902" s="235" t="str">
        <f>IFERROR(__xludf.DUMMYFUNCTION("""COMPUTED_VALUE"""),"JC CAMPIT")</f>
        <v>JC CAMPIT</v>
      </c>
      <c r="C902" s="235" t="str">
        <f>IFERROR(__xludf.DUMMYFUNCTION("""COMPUTED_VALUE"""),"STUFFSHOP")</f>
        <v>STUFFSHOP</v>
      </c>
      <c r="D902" s="196" t="str">
        <f>IFERROR(__xludf.DUMMYFUNCTION("""COMPUTED_VALUE"""),"G1, TOWPEP - 68 PCS
G2, TOWPEP -66 PCS
G3, TOWPEP -125 PCS
G4, TOWPEP -124 PCS
G5, TOWPEP -106 PCS
G6, TOWPEP 80 PCS")</f>
        <v>G1, TOWPEP - 68 PCS
G2, TOWPEP -66 PCS
G3, TOWPEP -125 PCS
G4, TOWPEP -124 PCS
G5, TOWPEP -106 PCS
G6, TOWPEP 80 PCS</v>
      </c>
      <c r="E902" s="196" t="str">
        <f>IFERROR(__xludf.DUMMYFUNCTION("""COMPUTED_VALUE"""),"TEXTBOOKS FOR SALE AY 25-27 (G1-G6)")</f>
        <v>TEXTBOOKS FOR SALE AY 25-27 (G1-G6)</v>
      </c>
    </row>
    <row r="903">
      <c r="A903" s="234">
        <f>IFERROR(__xludf.DUMMYFUNCTION("""COMPUTED_VALUE"""),105736.0)</f>
        <v>105736</v>
      </c>
      <c r="B903" s="235" t="str">
        <f>IFERROR(__xludf.DUMMYFUNCTION("""COMPUTED_VALUE"""),"JC CAMPIT")</f>
        <v>JC CAMPIT</v>
      </c>
      <c r="C903" s="235" t="str">
        <f>IFERROR(__xludf.DUMMYFUNCTION("""COMPUTED_VALUE"""),"STUFFSHOP")</f>
        <v>STUFFSHOP</v>
      </c>
      <c r="D903" s="196" t="str">
        <f>IFERROR(__xludf.DUMMYFUNCTION("""COMPUTED_VALUE"""),"G1, EQ AND ACT -58 PCS
G2, EQ AND ACT - 67 PCS
G3, EQ AND ACT 122 PCS
G4, EQ AND ACT 134 PCS
G5, EQ AND ACT 110 PCS
G6, EQ AND ACT 86 PCS
")</f>
        <v>G1, EQ AND ACT -58 PCS
G2, EQ AND ACT - 67 PCS
G3, EQ AND ACT 122 PCS
G4, EQ AND ACT 134 PCS
G5, EQ AND ACT 110 PCS
G6, EQ AND ACT 86 PCS
</v>
      </c>
      <c r="E903" s="196" t="str">
        <f>IFERROR(__xludf.DUMMYFUNCTION("""COMPUTED_VALUE"""),"TEXTBOOKS FOR SALE AY 25-28 (G1-G6)")</f>
        <v>TEXTBOOKS FOR SALE AY 25-28 (G1-G6)</v>
      </c>
    </row>
    <row r="904">
      <c r="A904" s="234">
        <f>IFERROR(__xludf.DUMMYFUNCTION("""COMPUTED_VALUE"""),105737.0)</f>
        <v>105737</v>
      </c>
      <c r="B904" s="235" t="str">
        <f>IFERROR(__xludf.DUMMYFUNCTION("""COMPUTED_VALUE"""),"JC CAMPIT")</f>
        <v>JC CAMPIT</v>
      </c>
      <c r="C904" s="235" t="str">
        <f>IFERROR(__xludf.DUMMYFUNCTION("""COMPUTED_VALUE"""),"STUFFSHOP")</f>
        <v>STUFFSHOP</v>
      </c>
      <c r="D904" s="196" t="str">
        <f>IFERROR(__xludf.DUMMYFUNCTION("""COMPUTED_VALUE"""),"G3 CURSIVE WRITING 127 PCS
G4 CURSIVE WRITING 121 PCS
G5 CURSIVE WRITING 88 PCS
G6 CURSIVE WRITING 30 PCS")</f>
        <v>G3 CURSIVE WRITING 127 PCS
G4 CURSIVE WRITING 121 PCS
G5 CURSIVE WRITING 88 PCS
G6 CURSIVE WRITING 30 PCS</v>
      </c>
      <c r="E904" s="196" t="str">
        <f>IFERROR(__xludf.DUMMYFUNCTION("""COMPUTED_VALUE"""),"TEXTBOOKS FOR SALE AY 25-26")</f>
        <v>TEXTBOOKS FOR SALE AY 25-26</v>
      </c>
    </row>
    <row r="905">
      <c r="A905" s="234">
        <f>IFERROR(__xludf.DUMMYFUNCTION("""COMPUTED_VALUE"""),105738.0)</f>
        <v>105738</v>
      </c>
      <c r="B905" s="235" t="str">
        <f>IFERROR(__xludf.DUMMYFUNCTION("""COMPUTED_VALUE"""),"ALFA DE LEON")</f>
        <v>ALFA DE LEON</v>
      </c>
      <c r="C905" s="235" t="str">
        <f>IFERROR(__xludf.DUMMYFUNCTION("""COMPUTED_VALUE"""),"ADMIN - MUNICH")</f>
        <v>ADMIN - MUNICH</v>
      </c>
      <c r="D905" s="196" t="str">
        <f>IFERROR(__xludf.DUMMYFUNCTION("""COMPUTED_VALUE"""),"2 PCS ORBIT FAN 16"" GRAY")</f>
        <v>2 PCS ORBIT FAN 16" GRAY</v>
      </c>
      <c r="E905" s="196" t="str">
        <f>IFERROR(__xludf.DUMMYFUNCTION("""COMPUTED_VALUE"""),"CLASSROOM 209 + 105")</f>
        <v>CLASSROOM 209 + 105</v>
      </c>
    </row>
    <row r="906">
      <c r="A906" s="234">
        <f>IFERROR(__xludf.DUMMYFUNCTION("""COMPUTED_VALUE"""),105739.0)</f>
        <v>105739</v>
      </c>
      <c r="B906" s="235" t="str">
        <f>IFERROR(__xludf.DUMMYFUNCTION("""COMPUTED_VALUE"""),"ALFA DE LEON")</f>
        <v>ALFA DE LEON</v>
      </c>
      <c r="C906" s="235" t="str">
        <f>IFERROR(__xludf.DUMMYFUNCTION("""COMPUTED_VALUE"""),"ADMIN - MUNICH")</f>
        <v>ADMIN - MUNICH</v>
      </c>
      <c r="D906" s="196" t="str">
        <f>IFERROR(__xludf.DUMMYFUNCTION("""COMPUTED_VALUE"""),"2 PCS PORTABLE FOOTBALL GOAL 
2 PCS PORTABLE/ADJUSTABLE BASKETBALL LOOP
6 PCS WOODEN BENCHES
20 PCS GYM MATS")</f>
        <v>2 PCS PORTABLE FOOTBALL GOAL 
2 PCS PORTABLE/ADJUSTABLE BASKETBALL LOOP
6 PCS WOODEN BENCHES
20 PCS GYM MATS</v>
      </c>
      <c r="E906" s="196" t="str">
        <f>IFERROR(__xludf.DUMMYFUNCTION("""COMPUTED_VALUE"""),"MUNICH PE AREA OUTDOOR PLAYGROUND")</f>
        <v>MUNICH PE AREA OUTDOOR PLAYGROUND</v>
      </c>
    </row>
    <row r="907">
      <c r="A907" s="234">
        <f>IFERROR(__xludf.DUMMYFUNCTION("""COMPUTED_VALUE"""),105740.0)</f>
        <v>105740</v>
      </c>
      <c r="B907" s="235" t="str">
        <f>IFERROR(__xludf.DUMMYFUNCTION("""COMPUTED_VALUE"""),"SHEREE ESPINOSA")</f>
        <v>SHEREE ESPINOSA</v>
      </c>
      <c r="C907" s="235" t="str">
        <f>IFERROR(__xludf.DUMMYFUNCTION("""COMPUTED_VALUE"""),"ADMIN")</f>
        <v>ADMIN</v>
      </c>
      <c r="D907" s="196" t="str">
        <f>IFERROR(__xludf.DUMMYFUNCTION("""COMPUTED_VALUE"""),"1 PC FORMICA 
1 PC FLYWOOD BOARD h3/4 X 4X 8
10 METERS PLASTIC EDGING")</f>
        <v>1 PC FORMICA 
1 PC FLYWOOD BOARD h3/4 X 4X 8
10 METERS PLASTIC EDGING</v>
      </c>
      <c r="E907" s="196" t="str">
        <f>IFERROR(__xludf.DUMMYFUNCTION("""COMPUTED_VALUE"""),"FOR 5F COLLEGE CONFERENCE TABLE REPAIRS ")</f>
        <v>FOR 5F COLLEGE CONFERENCE TABLE REPAIRS </v>
      </c>
    </row>
    <row r="908">
      <c r="A908" s="234">
        <f>IFERROR(__xludf.DUMMYFUNCTION("""COMPUTED_VALUE"""),105741.0)</f>
        <v>105741</v>
      </c>
      <c r="B908" s="235" t="str">
        <f>IFERROR(__xludf.DUMMYFUNCTION("""COMPUTED_VALUE"""),"SHEREE ESPINOSA")</f>
        <v>SHEREE ESPINOSA</v>
      </c>
      <c r="C908" s="235" t="str">
        <f>IFERROR(__xludf.DUMMYFUNCTION("""COMPUTED_VALUE"""),"ADMIN")</f>
        <v>ADMIN</v>
      </c>
      <c r="D908" s="196" t="str">
        <f>IFERROR(__xludf.DUMMYFUNCTION("""COMPUTED_VALUE"""),"1 PC WALL MOUNTED EXHAUST FAN")</f>
        <v>1 PC WALL MOUNTED EXHAUST FAN</v>
      </c>
      <c r="E908" s="196" t="str">
        <f>IFERROR(__xludf.DUMMYFUNCTION("""COMPUTED_VALUE"""),"FOR IT FACULTY 2F COLLGE")</f>
        <v>FOR IT FACULTY 2F COLLGE</v>
      </c>
    </row>
    <row r="909">
      <c r="A909" s="234">
        <f>IFERROR(__xludf.DUMMYFUNCTION("""COMPUTED_VALUE"""),105742.0)</f>
        <v>105742</v>
      </c>
      <c r="B909" s="235" t="str">
        <f>IFERROR(__xludf.DUMMYFUNCTION("""COMPUTED_VALUE"""),"RONALDO VERDE")</f>
        <v>RONALDO VERDE</v>
      </c>
      <c r="C909" s="235" t="str">
        <f>IFERROR(__xludf.DUMMYFUNCTION("""COMPUTED_VALUE"""),"ADMIN")</f>
        <v>ADMIN</v>
      </c>
      <c r="D909" s="196" t="str">
        <f>IFERROR(__xludf.DUMMYFUNCTION("""COMPUTED_VALUE"""),"20 PCS W8 T5 DAYLIGHT")</f>
        <v>20 PCS W8 T5 DAYLIGHT</v>
      </c>
      <c r="E909" s="196" t="str">
        <f>IFERROR(__xludf.DUMMYFUNCTION("""COMPUTED_VALUE"""),"LIGHTS ENHANCEMENT FOR CEM BOARD ROOM")</f>
        <v>LIGHTS ENHANCEMENT FOR CEM BOARD ROOM</v>
      </c>
    </row>
    <row r="910">
      <c r="A910" s="234">
        <f>IFERROR(__xludf.DUMMYFUNCTION("""COMPUTED_VALUE"""),105743.0)</f>
        <v>105743</v>
      </c>
      <c r="B910" s="235" t="str">
        <f>IFERROR(__xludf.DUMMYFUNCTION("""COMPUTED_VALUE"""),"ABIGAIL TOBALADO ")</f>
        <v>ABIGAIL TOBALADO </v>
      </c>
      <c r="C910" s="235" t="str">
        <f>IFERROR(__xludf.DUMMYFUNCTION("""COMPUTED_VALUE"""),"SDO")</f>
        <v>SDO</v>
      </c>
      <c r="D910" s="196" t="str">
        <f>IFERROR(__xludf.DUMMYFUNCTION("""COMPUTED_VALUE"""),"1 3 LAYER FILE TRAY")</f>
        <v>1 3 LAYER FILE TRAY</v>
      </c>
      <c r="E910" s="196" t="str">
        <f>IFERROR(__xludf.DUMMYFUNCTION("""COMPUTED_VALUE"""),"FOR OFFICE USE")</f>
        <v>FOR OFFICE USE</v>
      </c>
    </row>
    <row r="911">
      <c r="A911" s="234">
        <f>IFERROR(__xludf.DUMMYFUNCTION("""COMPUTED_VALUE"""),105744.0)</f>
        <v>105744</v>
      </c>
      <c r="B911" s="235" t="str">
        <f>IFERROR(__xludf.DUMMYFUNCTION("""COMPUTED_VALUE"""),"MARVIN MARASIGAN")</f>
        <v>MARVIN MARASIGAN</v>
      </c>
      <c r="C911" s="235" t="str">
        <f>IFERROR(__xludf.DUMMYFUNCTION("""COMPUTED_VALUE"""),"PR &amp; MARKETING")</f>
        <v>PR &amp; MARKETING</v>
      </c>
      <c r="D911" s="196" t="str">
        <f>IFERROR(__xludf.DUMMYFUNCTION("""COMPUTED_VALUE"""),"6 PCS TARPS 184 X 77 IN (2 COPIES EACH) W/ SEAMING EYELET ALL OVER")</f>
        <v>6 PCS TARPS 184 X 77 IN (2 COPIES EACH) W/ SEAMING EYELET ALL OVER</v>
      </c>
      <c r="E911" s="196" t="str">
        <f>IFERROR(__xludf.DUMMYFUNCTION("""COMPUTED_VALUE"""),"RECOGNITION OF ATHLETES")</f>
        <v>RECOGNITION OF ATHLETES</v>
      </c>
    </row>
    <row r="912">
      <c r="A912" s="234">
        <f>IFERROR(__xludf.DUMMYFUNCTION("""COMPUTED_VALUE"""),105745.0)</f>
        <v>105745</v>
      </c>
      <c r="B912" s="235" t="str">
        <f>IFERROR(__xludf.DUMMYFUNCTION("""COMPUTED_VALUE"""),"SHARJAN GATCHALIAN")</f>
        <v>SHARJAN GATCHALIAN</v>
      </c>
      <c r="C912" s="235" t="str">
        <f>IFERROR(__xludf.DUMMYFUNCTION("""COMPUTED_VALUE"""),"MIS/ICT")</f>
        <v>MIS/ICT</v>
      </c>
      <c r="D912" s="196" t="str">
        <f>IFERROR(__xludf.DUMMYFUNCTION("""COMPUTED_VALUE"""),"2 PCS C1200-48T-4G
2PCS C1200-48P-4G POE")</f>
        <v>2 PCS C1200-48T-4G
2PCS C1200-48P-4G POE</v>
      </c>
      <c r="E912" s="196" t="str">
        <f>IFERROR(__xludf.DUMMYFUNCTION("""COMPUTED_VALUE"""),"ACCESS SWITCH UPGRADE")</f>
        <v>ACCESS SWITCH UPGRADE</v>
      </c>
    </row>
    <row r="913">
      <c r="A913" s="234">
        <f>IFERROR(__xludf.DUMMYFUNCTION("""COMPUTED_VALUE"""),105746.0)</f>
        <v>105746</v>
      </c>
      <c r="B913" s="235" t="str">
        <f>IFERROR(__xludf.DUMMYFUNCTION("""COMPUTED_VALUE"""),"JESUIT CHRISTIAN GALICIA")</f>
        <v>JESUIT CHRISTIAN GALICIA</v>
      </c>
      <c r="C913" s="235" t="str">
        <f>IFERROR(__xludf.DUMMYFUNCTION("""COMPUTED_VALUE"""),"AMD")</f>
        <v>AMD</v>
      </c>
      <c r="D913" s="196" t="str">
        <f>IFERROR(__xludf.DUMMYFUNCTION("""COMPUTED_VALUE"""),"15 PCS LABEL KEY CHAIN ORGANIZER")</f>
        <v>15 PCS LABEL KEY CHAIN ORGANIZER</v>
      </c>
      <c r="E913" s="196" t="str">
        <f>IFERROR(__xludf.DUMMYFUNCTION("""COMPUTED_VALUE"""),"FOR EFFICIENT AND SAFE ORGANIZATION OF KEYS")</f>
        <v>FOR EFFICIENT AND SAFE ORGANIZATION OF KEYS</v>
      </c>
    </row>
    <row r="914">
      <c r="A914" s="234">
        <f>IFERROR(__xludf.DUMMYFUNCTION("""COMPUTED_VALUE"""),105747.0)</f>
        <v>105747</v>
      </c>
      <c r="B914" s="235" t="str">
        <f>IFERROR(__xludf.DUMMYFUNCTION("""COMPUTED_VALUE"""),"ALFA DE LEON")</f>
        <v>ALFA DE LEON</v>
      </c>
      <c r="C914" s="235" t="str">
        <f>IFERROR(__xludf.DUMMYFUNCTION("""COMPUTED_VALUE"""),"LANDSCAPING")</f>
        <v>LANDSCAPING</v>
      </c>
      <c r="D914" s="196" t="str">
        <f>IFERROR(__xludf.DUMMYFUNCTION("""COMPUTED_VALUE"""),"1 SCISSORS GARDEN 
1 BIG SCISSORS GARDEN")</f>
        <v>1 SCISSORS GARDEN 
1 BIG SCISSORS GARDEN</v>
      </c>
      <c r="E914" s="196" t="str">
        <f>IFERROR(__xludf.DUMMYFUNCTION("""COMPUTED_VALUE"""),"GARDEN MAINTENANCE")</f>
        <v>GARDEN MAINTENANCE</v>
      </c>
    </row>
    <row r="915">
      <c r="A915" s="234">
        <f>IFERROR(__xludf.DUMMYFUNCTION("""COMPUTED_VALUE"""),105748.0)</f>
        <v>105748</v>
      </c>
      <c r="B915" s="235" t="str">
        <f>IFERROR(__xludf.DUMMYFUNCTION("""COMPUTED_VALUE"""),"ALFA DE LEON")</f>
        <v>ALFA DE LEON</v>
      </c>
      <c r="C915" s="235" t="str">
        <f>IFERROR(__xludf.DUMMYFUNCTION("""COMPUTED_VALUE"""),"LANDSCAPING")</f>
        <v>LANDSCAPING</v>
      </c>
      <c r="D915" s="196" t="str">
        <f>IFERROR(__xludf.DUMMYFUNCTION("""COMPUTED_VALUE"""),"12 BERKIN PLANTS
12 EYELETS
12 RUBBER TREE LEMON")</f>
        <v>12 BERKIN PLANTS
12 EYELETS
12 RUBBER TREE LEMON</v>
      </c>
      <c r="E915" s="196" t="str">
        <f>IFERROR(__xludf.DUMMYFUNCTION("""COMPUTED_VALUE"""),"NEW PLANTS MAINTENANCE")</f>
        <v>NEW PLANTS MAINTENANCE</v>
      </c>
    </row>
    <row r="916">
      <c r="A916" s="234">
        <f>IFERROR(__xludf.DUMMYFUNCTION("""COMPUTED_VALUE"""),105749.0)</f>
        <v>105749</v>
      </c>
      <c r="B916" s="235" t="str">
        <f>IFERROR(__xludf.DUMMYFUNCTION("""COMPUTED_VALUE"""),"OWIE PAR")</f>
        <v>OWIE PAR</v>
      </c>
      <c r="C916" s="235" t="str">
        <f>IFERROR(__xludf.DUMMYFUNCTION("""COMPUTED_VALUE"""),"ENGINEERING")</f>
        <v>ENGINEERING</v>
      </c>
      <c r="D916" s="196" t="str">
        <f>IFERROR(__xludf.DUMMYFUNCTION("""COMPUTED_VALUE"""),"2 UNITS INDUSTRIAL CEILING TYPE EXHAUSTING FAN
1 SET WIDE SERIES SWITCH 2GANG 
1 SET AMCO PVC BOX
50 METERS THHN #12
2 PCS PVC MOULDING 3/4")</f>
        <v>2 UNITS INDUSTRIAL CEILING TYPE EXHAUSTING FAN
1 SET WIDE SERIES SWITCH 2GANG 
1 SET AMCO PVC BOX
50 METERS THHN #12
2 PCS PVC MOULDING 3/4</v>
      </c>
      <c r="E916" s="196" t="str">
        <f>IFERROR(__xludf.DUMMYFUNCTION("""COMPUTED_VALUE"""),"FOR FOOD COURT VENTILATION IMPROVEMENTS")</f>
        <v>FOR FOOD COURT VENTILATION IMPROVEMENTS</v>
      </c>
    </row>
    <row r="917">
      <c r="A917" s="234">
        <f>IFERROR(__xludf.DUMMYFUNCTION("""COMPUTED_VALUE"""),105750.0)</f>
        <v>105750</v>
      </c>
      <c r="B917" s="235" t="str">
        <f>IFERROR(__xludf.DUMMYFUNCTION("""COMPUTED_VALUE"""),"JUSTINE DELA TORRE")</f>
        <v>JUSTINE DELA TORRE</v>
      </c>
      <c r="C917" s="235" t="str">
        <f>IFERROR(__xludf.DUMMYFUNCTION("""COMPUTED_VALUE"""),"HRMD")</f>
        <v>HRMD</v>
      </c>
      <c r="D917" s="196" t="str">
        <f>IFERROR(__xludf.DUMMYFUNCTION("""COMPUTED_VALUE"""),"1 FLOWER WREATH")</f>
        <v>1 FLOWER WREATH</v>
      </c>
      <c r="E917" s="196" t="str">
        <f>IFERROR(__xludf.DUMMYFUNCTION("""COMPUTED_VALUE"""),"FOR BERCAREMENT ASSISTANCE FOR SABRINA'S MOTHER")</f>
        <v>FOR BERCAREMENT ASSISTANCE FOR SABRINA'S MOTHER</v>
      </c>
    </row>
    <row r="918">
      <c r="A918" s="234">
        <f>IFERROR(__xludf.DUMMYFUNCTION("""COMPUTED_VALUE"""),105751.0)</f>
        <v>105751</v>
      </c>
      <c r="B918" s="235" t="str">
        <f>IFERROR(__xludf.DUMMYFUNCTION("""COMPUTED_VALUE"""),"PAUL ARANA")</f>
        <v>PAUL ARANA</v>
      </c>
      <c r="C918" s="235" t="str">
        <f>IFERROR(__xludf.DUMMYFUNCTION("""COMPUTED_VALUE"""),"MIS/ICT")</f>
        <v>MIS/ICT</v>
      </c>
      <c r="D918" s="196" t="str">
        <f>IFERROR(__xludf.DUMMYFUNCTION("""COMPUTED_VALUE"""),"4 CLONED PC 
8 MONITOR
6 TCL TV 55""
2 PTZ CAMERA 
1 MAC MINI M4 512GB
2 CLICKER 
2 MONITOR 24""
1 TCL TV 75""
1 BLACK MAGIC DESIGN ATEM MINI PRO HDMI VIDEO SWITCHER")</f>
        <v>4 CLONED PC 
8 MONITOR
6 TCL TV 55"
2 PTZ CAMERA 
1 MAC MINI M4 512GB
2 CLICKER 
2 MONITOR 24"
1 TCL TV 75"
1 BLACK MAGIC DESIGN ATEM MINI PRO HDMI VIDEO SWITCHER</v>
      </c>
      <c r="E918" s="196" t="str">
        <f>IFERROR(__xludf.DUMMYFUNCTION("""COMPUTED_VALUE"""),"FOR E CLASSROOM AND MONARCHS HUB TECHBOOTH EQUIPMENT")</f>
        <v>FOR E CLASSROOM AND MONARCHS HUB TECHBOOTH EQUIPMENT</v>
      </c>
    </row>
    <row r="919">
      <c r="A919" s="234">
        <f>IFERROR(__xludf.DUMMYFUNCTION("""COMPUTED_VALUE"""),105752.0)</f>
        <v>105752</v>
      </c>
      <c r="B919" s="235" t="str">
        <f>IFERROR(__xludf.DUMMYFUNCTION("""COMPUTED_VALUE"""),"JC CAMPIT")</f>
        <v>JC CAMPIT</v>
      </c>
      <c r="C919" s="235" t="str">
        <f>IFERROR(__xludf.DUMMYFUNCTION("""COMPUTED_VALUE"""),"STUFFSHOP")</f>
        <v>STUFFSHOP</v>
      </c>
      <c r="D919" s="196" t="str">
        <f>IFERROR(__xludf.DUMMYFUNCTION("""COMPUTED_VALUE"""),"G7, TOWPEP -116 PCS
G8, TOWPEP 145 PCS
G9, TOWPEP 199 PCS
G10, TOWPEP 187 PCS
G11, TOWPEP 253 PCS
G12, TOWPEP 183 PCS")</f>
        <v>G7, TOWPEP -116 PCS
G8, TOWPEP 145 PCS
G9, TOWPEP 199 PCS
G10, TOWPEP 187 PCS
G11, TOWPEP 253 PCS
G12, TOWPEP 183 PCS</v>
      </c>
      <c r="E919" s="196" t="str">
        <f>IFERROR(__xludf.DUMMYFUNCTION("""COMPUTED_VALUE"""),"TEXTBOOKS FOR SALE AY 25-28 (G7-G12)")</f>
        <v>TEXTBOOKS FOR SALE AY 25-28 (G7-G12)</v>
      </c>
    </row>
    <row r="920">
      <c r="A920" s="234">
        <f>IFERROR(__xludf.DUMMYFUNCTION("""COMPUTED_VALUE"""),105753.0)</f>
        <v>105753</v>
      </c>
      <c r="B920" s="235" t="str">
        <f>IFERROR(__xludf.DUMMYFUNCTION("""COMPUTED_VALUE"""),"JC CAMPIT")</f>
        <v>JC CAMPIT</v>
      </c>
      <c r="C920" s="235" t="str">
        <f>IFERROR(__xludf.DUMMYFUNCTION("""COMPUTED_VALUE"""),"STUFFSHOP")</f>
        <v>STUFFSHOP</v>
      </c>
      <c r="D920" s="196" t="str">
        <f>IFERROR(__xludf.DUMMYFUNCTION("""COMPUTED_VALUE"""),"G7, EQ AND ACT 113 PCS
G8, EQ AND ACT 135 PCS
G9, EQ AND ACT 205 PCS 
G10, EQ AND ACT 175 PCS
G11, EQ AND ACT 263 PCS
G12, EQ AND ACT 183 PCS")</f>
        <v>G7, EQ AND ACT 113 PCS
G8, EQ AND ACT 135 PCS
G9, EQ AND ACT 205 PCS 
G10, EQ AND ACT 175 PCS
G11, EQ AND ACT 263 PCS
G12, EQ AND ACT 183 PCS</v>
      </c>
      <c r="E920" s="196" t="str">
        <f>IFERROR(__xludf.DUMMYFUNCTION("""COMPUTED_VALUE"""),"TEXTBOOKS FOR SALE AY 25-28 (G7-G12)")</f>
        <v>TEXTBOOKS FOR SALE AY 25-28 (G7-G12)</v>
      </c>
    </row>
    <row r="921">
      <c r="A921" s="234">
        <f>IFERROR(__xludf.DUMMYFUNCTION("""COMPUTED_VALUE"""),105754.0)</f>
        <v>105754</v>
      </c>
      <c r="B921" s="235" t="str">
        <f>IFERROR(__xludf.DUMMYFUNCTION("""COMPUTED_VALUE"""),"LYKA PERALTA")</f>
        <v>LYKA PERALTA</v>
      </c>
      <c r="C921" s="235" t="str">
        <f>IFERROR(__xludf.DUMMYFUNCTION("""COMPUTED_VALUE"""),"AMD")</f>
        <v>AMD</v>
      </c>
      <c r="D921" s="196" t="str">
        <f>IFERROR(__xludf.DUMMYFUNCTION("""COMPUTED_VALUE"""),"188 GALLONS 70% ISOPHROPYL ALCOHOL ")</f>
        <v>188 GALLONS 70% ISOPHROPYL ALCOHOL </v>
      </c>
      <c r="E921" s="196" t="str">
        <f>IFERROR(__xludf.DUMMYFUNCTION("""COMPUTED_VALUE"""),"OSSUP FOR REPLENISHMENT")</f>
        <v>OSSUP FOR REPLENISHMENT</v>
      </c>
    </row>
    <row r="922">
      <c r="A922" s="234">
        <f>IFERROR(__xludf.DUMMYFUNCTION("""COMPUTED_VALUE"""),105755.0)</f>
        <v>105755</v>
      </c>
      <c r="B922" s="235" t="str">
        <f>IFERROR(__xludf.DUMMYFUNCTION("""COMPUTED_VALUE"""),"MARC VINCENT VITTO")</f>
        <v>MARC VINCENT VITTO</v>
      </c>
      <c r="C922" s="235" t="str">
        <f>IFERROR(__xludf.DUMMYFUNCTION("""COMPUTED_VALUE"""),"PR &amp; MARKETING")</f>
        <v>PR &amp; MARKETING</v>
      </c>
      <c r="D922" s="196" t="str">
        <f>IFERROR(__xludf.DUMMYFUNCTION("""COMPUTED_VALUE"""),"1 BOX JUNG KANGHEE CALLING CARD")</f>
        <v>1 BOX JUNG KANGHEE CALLING CARD</v>
      </c>
      <c r="E922" s="196" t="str">
        <f>IFERROR(__xludf.DUMMYFUNCTION("""COMPUTED_VALUE"""),"IDENTIFICATION")</f>
        <v>IDENTIFICATION</v>
      </c>
    </row>
    <row r="923">
      <c r="A923" s="234">
        <f>IFERROR(__xludf.DUMMYFUNCTION("""COMPUTED_VALUE"""),105756.0)</f>
        <v>105756</v>
      </c>
      <c r="B923" s="235" t="str">
        <f>IFERROR(__xludf.DUMMYFUNCTION("""COMPUTED_VALUE"""),"JUSTINE DELA TORRE")</f>
        <v>JUSTINE DELA TORRE</v>
      </c>
      <c r="C923" s="235" t="str">
        <f>IFERROR(__xludf.DUMMYFUNCTION("""COMPUTED_VALUE"""),"HRMD")</f>
        <v>HRMD</v>
      </c>
      <c r="D923" s="196" t="str">
        <f>IFERROR(__xludf.DUMMYFUNCTION("""COMPUTED_VALUE"""),"1 VOLLEYBALL WOMEN PLAQUE AY 24-25
1 VOLLEYBALL MEN PLAQUE AY 24-25
1 BASKETBALL MEN PLAQUE  AY 24-25")</f>
        <v>1 VOLLEYBALL WOMEN PLAQUE AY 24-25
1 VOLLEYBALL MEN PLAQUE AY 24-25
1 BASKETBALL MEN PLAQUE  AY 24-25</v>
      </c>
      <c r="E923" s="196" t="str">
        <f>IFERROR(__xludf.DUMMYFUNCTION("""COMPUTED_VALUE"""),"FOR SGEN FAMILY DAY")</f>
        <v>FOR SGEN FAMILY DAY</v>
      </c>
    </row>
    <row r="924">
      <c r="A924" s="234">
        <f>IFERROR(__xludf.DUMMYFUNCTION("""COMPUTED_VALUE"""),105757.0)</f>
        <v>105757</v>
      </c>
      <c r="B924" s="235" t="str">
        <f>IFERROR(__xludf.DUMMYFUNCTION("""COMPUTED_VALUE"""),"MELISSA NAVAL ODONO/ JC CAMPIT")</f>
        <v>MELISSA NAVAL ODONO/ JC CAMPIT</v>
      </c>
      <c r="C924" s="235" t="str">
        <f>IFERROR(__xludf.DUMMYFUNCTION("""COMPUTED_VALUE"""),"STUFFSHOP")</f>
        <v>STUFFSHOP</v>
      </c>
      <c r="D924" s="196" t="str">
        <f>IFERROR(__xludf.DUMMYFUNCTION("""COMPUTED_VALUE"""),"23 PCS I LIKE STARS ISBN 
53 PCS BIG EGG ISBN
53 PCS I AM CATERPILLAR
81 PCS WAKE UP SUN 
81 PCS MY LOOSE TOOTH")</f>
        <v>23 PCS I LIKE STARS ISBN 
53 PCS BIG EGG ISBN
53 PCS I AM CATERPILLAR
81 PCS WAKE UP SUN 
81 PCS MY LOOSE TOOTH</v>
      </c>
      <c r="E924" s="196" t="str">
        <f>IFERROR(__xludf.DUMMYFUNCTION("""COMPUTED_VALUE"""),"TEXTBOOKS FOR SALES FOR AY 25-26")</f>
        <v>TEXTBOOKS FOR SALES FOR AY 25-26</v>
      </c>
    </row>
    <row r="925">
      <c r="A925" s="234">
        <f>IFERROR(__xludf.DUMMYFUNCTION("""COMPUTED_VALUE"""),105758.0)</f>
        <v>105758</v>
      </c>
      <c r="B925" s="235" t="str">
        <f>IFERROR(__xludf.DUMMYFUNCTION("""COMPUTED_VALUE"""),"MELISSA NAVAL ODONO/ JC CAMPIT")</f>
        <v>MELISSA NAVAL ODONO/ JC CAMPIT</v>
      </c>
      <c r="C925" s="235" t="str">
        <f>IFERROR(__xludf.DUMMYFUNCTION("""COMPUTED_VALUE"""),"STUFFSHOP")</f>
        <v>STUFFSHOP</v>
      </c>
      <c r="D925" s="196" t="str">
        <f>IFERROR(__xludf.DUMMYFUNCTION("""COMPUTED_VALUE"""),"106 PCS GR 1 SCHOOL HOUSE
113 PCS GR 2 SRA POWER BUILDER 1A
142 PCS GR 3 SRA POWER BUILDER 1B
141 PCS GR 4 SRA POWER BUILDER 1C
120 PCS GR 5 SRA POWER BUILDER 1D
109 PCS GR 6 SRA POWER BUILDER 1E")</f>
        <v>106 PCS GR 1 SCHOOL HOUSE
113 PCS GR 2 SRA POWER BUILDER 1A
142 PCS GR 3 SRA POWER BUILDER 1B
141 PCS GR 4 SRA POWER BUILDER 1C
120 PCS GR 5 SRA POWER BUILDER 1D
109 PCS GR 6 SRA POWER BUILDER 1E</v>
      </c>
      <c r="E925" s="196" t="str">
        <f>IFERROR(__xludf.DUMMYFUNCTION("""COMPUTED_VALUE"""),"TEXTBOOKS FOR SALES FOR AY 25-27")</f>
        <v>TEXTBOOKS FOR SALES FOR AY 25-27</v>
      </c>
    </row>
    <row r="926">
      <c r="A926" s="234">
        <f>IFERROR(__xludf.DUMMYFUNCTION("""COMPUTED_VALUE"""),105759.0)</f>
        <v>105759</v>
      </c>
      <c r="B926" s="235" t="str">
        <f>IFERROR(__xludf.DUMMYFUNCTION("""COMPUTED_VALUE"""),"OWIE PAR")</f>
        <v>OWIE PAR</v>
      </c>
      <c r="C926" s="235" t="str">
        <f>IFERROR(__xludf.DUMMYFUNCTION("""COMPUTED_VALUE"""),"ENGINEERING")</f>
        <v>ENGINEERING</v>
      </c>
      <c r="D926" s="196" t="str">
        <f>IFERROR(__xludf.DUMMYFUNCTION("""COMPUTED_VALUE"""),"1 UNIT ORBIT FAN #16 3-D")</f>
        <v>1 UNIT ORBIT FAN #16 3-D</v>
      </c>
      <c r="E926" s="196" t="str">
        <f>IFERROR(__xludf.DUMMYFUNCTION("""COMPUTED_VALUE"""),"FOR COLLEGE RM 404")</f>
        <v>FOR COLLEGE RM 404</v>
      </c>
    </row>
    <row r="927">
      <c r="A927" s="234">
        <f>IFERROR(__xludf.DUMMYFUNCTION("""COMPUTED_VALUE"""),105760.0)</f>
        <v>105760</v>
      </c>
      <c r="B927" s="235" t="str">
        <f>IFERROR(__xludf.DUMMYFUNCTION("""COMPUTED_VALUE"""),"OWIE PAR")</f>
        <v>OWIE PAR</v>
      </c>
      <c r="C927" s="235" t="str">
        <f>IFERROR(__xludf.DUMMYFUNCTION("""COMPUTED_VALUE"""),"ENGINEERING")</f>
        <v>ENGINEERING</v>
      </c>
      <c r="D927" s="196" t="str">
        <f>IFERROR(__xludf.DUMMYFUNCTION("""COMPUTED_VALUE"""),"1 UNIT 3.0HP CEILING CASSETTE TYPE INVERTER PANASONIC")</f>
        <v>1 UNIT 3.0HP CEILING CASSETTE TYPE INVERTER PANASONIC</v>
      </c>
      <c r="E927" s="196" t="str">
        <f>IFERROR(__xludf.DUMMYFUNCTION("""COMPUTED_VALUE"""),"SPARE UNITS FOR OFFICES")</f>
        <v>SPARE UNITS FOR OFFICES</v>
      </c>
    </row>
    <row r="928">
      <c r="A928" s="234">
        <f>IFERROR(__xludf.DUMMYFUNCTION("""COMPUTED_VALUE"""),105761.0)</f>
        <v>105761</v>
      </c>
      <c r="B928" s="235" t="str">
        <f>IFERROR(__xludf.DUMMYFUNCTION("""COMPUTED_VALUE"""),"SHERYL MANALO")</f>
        <v>SHERYL MANALO</v>
      </c>
      <c r="C928" s="235" t="str">
        <f>IFERROR(__xludf.DUMMYFUNCTION("""COMPUTED_VALUE"""),"ADMIN - MUNICH")</f>
        <v>ADMIN - MUNICH</v>
      </c>
      <c r="D928" s="196" t="str">
        <f>IFERROR(__xludf.DUMMYFUNCTION("""COMPUTED_VALUE"""),"2000 PCS PAPER FOR INVITE
230 PCS INVITE COVER
230 PCS ENVELOP")</f>
        <v>2000 PCS PAPER FOR INVITE
230 PCS INVITE COVER
230 PCS ENVELOP</v>
      </c>
      <c r="E928" s="196" t="str">
        <f>IFERROR(__xludf.DUMMYFUNCTION("""COMPUTED_VALUE"""),"SENIOR KINDER AND GRADE 6 GRADUATION")</f>
        <v>SENIOR KINDER AND GRADE 6 GRADUATION</v>
      </c>
    </row>
    <row r="929">
      <c r="A929" s="234">
        <f>IFERROR(__xludf.DUMMYFUNCTION("""COMPUTED_VALUE"""),105762.0)</f>
        <v>105762</v>
      </c>
      <c r="B929" s="235" t="str">
        <f>IFERROR(__xludf.DUMMYFUNCTION("""COMPUTED_VALUE"""),"SHERYL MANALO")</f>
        <v>SHERYL MANALO</v>
      </c>
      <c r="C929" s="235" t="str">
        <f>IFERROR(__xludf.DUMMYFUNCTION("""COMPUTED_VALUE"""),"ADMIN - MUNICH")</f>
        <v>ADMIN - MUNICH</v>
      </c>
      <c r="D929" s="196" t="str">
        <f>IFERROR(__xludf.DUMMYFUNCTION("""COMPUTED_VALUE"""),"105 PCS ACADEMIC EXCELLENCE GOLD GREEN LACE
40 PCS ACADEMIC EXCELLENCESILVER PURPLE LACE
30 PCS ACADEMIC EXCELLENCE BROZE PINK LACE
125 PCS VALUES EXCELLENCE WHITE LACE
35 PCS PERFECT ATTENDANCE YELLOW LACE ")</f>
        <v>105 PCS ACADEMIC EXCELLENCE GOLD GREEN LACE
40 PCS ACADEMIC EXCELLENCESILVER PURPLE LACE
30 PCS ACADEMIC EXCELLENCE BROZE PINK LACE
125 PCS VALUES EXCELLENCE WHITE LACE
35 PCS PERFECT ATTENDANCE YELLOW LACE </v>
      </c>
      <c r="E929" s="196" t="str">
        <f>IFERROR(__xludf.DUMMYFUNCTION("""COMPUTED_VALUE"""),"RECOGNITION AND GRADUATION AY 24-25 GR 1 AND 2")</f>
        <v>RECOGNITION AND GRADUATION AY 24-25 GR 1 AND 2</v>
      </c>
    </row>
    <row r="930">
      <c r="A930" s="234">
        <f>IFERROR(__xludf.DUMMYFUNCTION("""COMPUTED_VALUE"""),105763.0)</f>
        <v>105763</v>
      </c>
      <c r="B930" s="235" t="str">
        <f>IFERROR(__xludf.DUMMYFUNCTION("""COMPUTED_VALUE"""),"SHERYL MANALO")</f>
        <v>SHERYL MANALO</v>
      </c>
      <c r="C930" s="235" t="str">
        <f>IFERROR(__xludf.DUMMYFUNCTION("""COMPUTED_VALUE"""),"ADMIN - MUNICH")</f>
        <v>ADMIN - MUNICH</v>
      </c>
      <c r="D930" s="196" t="str">
        <f>IFERROR(__xludf.DUMMYFUNCTION("""COMPUTED_VALUE"""),"150 PCS ACADEMIC EXCELLENCE GOLD GREEN LACE 
100 PCS ACADEMIC EXCELLENCE SILVER PURPLE LACE 
50 PCS ACADEMIC EXCELLENCE BRONZE PINK LACE
210 PCS VALUES EXCELLENCE WHITE LACE
40 PCS PERFECT ATTENDANCE YELLOW LACE")</f>
        <v>150 PCS ACADEMIC EXCELLENCE GOLD GREEN LACE 
100 PCS ACADEMIC EXCELLENCE SILVER PURPLE LACE 
50 PCS ACADEMIC EXCELLENCE BRONZE PINK LACE
210 PCS VALUES EXCELLENCE WHITE LACE
40 PCS PERFECT ATTENDANCE YELLOW LACE</v>
      </c>
      <c r="E930" s="196" t="str">
        <f>IFERROR(__xludf.DUMMYFUNCTION("""COMPUTED_VALUE"""),"RECOGNITION AND GRADUATION AY 24-25 GR 3-5")</f>
        <v>RECOGNITION AND GRADUATION AY 24-25 GR 3-5</v>
      </c>
    </row>
    <row r="931">
      <c r="A931" s="234">
        <f>IFERROR(__xludf.DUMMYFUNCTION("""COMPUTED_VALUE"""),105764.0)</f>
        <v>105764</v>
      </c>
      <c r="B931" s="235" t="str">
        <f>IFERROR(__xludf.DUMMYFUNCTION("""COMPUTED_VALUE"""),"SHERYL MANALO")</f>
        <v>SHERYL MANALO</v>
      </c>
      <c r="C931" s="235" t="str">
        <f>IFERROR(__xludf.DUMMYFUNCTION("""COMPUTED_VALUE"""),"ADMIN - MUNICH")</f>
        <v>ADMIN - MUNICH</v>
      </c>
      <c r="D931" s="196" t="str">
        <f>IFERROR(__xludf.DUMMYFUNCTION("""COMPUTED_VALUE"""),"2 PCS ACADEMIC EXCELLENCE GOLD TRICOLOR LACE W/ LABEL
2 PCS ACADEMIC EXCELLENCE SILVER TRICOLOR LACE W/ LABEL
2 PCS ACADEMIC EXCELLENCE BRONZE TRICOLOR LACE W/ LABEL
15 PCS SUBJECT EXCELLENCE TRICOLOR LACE W/ LABEL
5 PCS SPECIAL AWARDS TRICOLOR LACE W/ LA"&amp;"BEL
35 PCS  ACADEMIC EXCELLENCE GOLD GREEN LACE 
35 PCS ACADEMIC EXCELLENCE SILVER PURPLE LACE 
35 PCS ACADEMIC EXCELLENCE BRONZE PINK LACE
55 PCS VALUES EXCELLENCE WHITE LACE
15 PCS PERFECT ATTENDANCE YELLOW LACE")</f>
        <v>2 PCS ACADEMIC EXCELLENCE GOLD TRICOLOR LACE W/ LABEL
2 PCS ACADEMIC EXCELLENCE SILVER TRICOLOR LACE W/ LABEL
2 PCS ACADEMIC EXCELLENCE BRONZE TRICOLOR LACE W/ LABEL
15 PCS SUBJECT EXCELLENCE TRICOLOR LACE W/ LABEL
5 PCS SPECIAL AWARDS TRICOLOR LACE W/ LABEL
35 PCS  ACADEMIC EXCELLENCE GOLD GREEN LACE 
35 PCS ACADEMIC EXCELLENCE SILVER PURPLE LACE 
35 PCS ACADEMIC EXCELLENCE BRONZE PINK LACE
55 PCS VALUES EXCELLENCE WHITE LACE
15 PCS PERFECT ATTENDANCE YELLOW LACE</v>
      </c>
      <c r="E931" s="196" t="str">
        <f>IFERROR(__xludf.DUMMYFUNCTION("""COMPUTED_VALUE"""),"RECOGNITION AND GRADUATION AY 24-25 GR 6")</f>
        <v>RECOGNITION AND GRADUATION AY 24-25 GR 6</v>
      </c>
    </row>
    <row r="932">
      <c r="A932" s="234">
        <f>IFERROR(__xludf.DUMMYFUNCTION("""COMPUTED_VALUE"""),105765.0)</f>
        <v>105765</v>
      </c>
      <c r="B932" s="235" t="str">
        <f>IFERROR(__xludf.DUMMYFUNCTION("""COMPUTED_VALUE"""),"SHERYL MANALO")</f>
        <v>SHERYL MANALO</v>
      </c>
      <c r="C932" s="235" t="str">
        <f>IFERROR(__xludf.DUMMYFUNCTION("""COMPUTED_VALUE"""),"ADMIN - MUNICH")</f>
        <v>ADMIN - MUNICH</v>
      </c>
      <c r="D932" s="196" t="str">
        <f>IFERROR(__xludf.DUMMYFUNCTION("""COMPUTED_VALUE"""),"30 PCS ACADEMIC EXCELLENCE TRICOLOR LACE W/ LABEL
25 PCS ACADEMIC EXCELLENCE TRICOLOR LACE W/ LABEL 
30 PCS SUBJECT EXCELLENCE TRICOLOR LACE W/ LABEL
20 PCS SPECIAL AWARDS TRICOLOR LACE W/ LABEL
40 PCS VALUES EXCELLENCE WHITE LACE
5 PCS PERFECT ATTENDANCE"&amp;" YELLOW LACE")</f>
        <v>30 PCS ACADEMIC EXCELLENCE TRICOLOR LACE W/ LABEL
25 PCS ACADEMIC EXCELLENCE TRICOLOR LACE W/ LABEL 
30 PCS SUBJECT EXCELLENCE TRICOLOR LACE W/ LABEL
20 PCS SPECIAL AWARDS TRICOLOR LACE W/ LABEL
40 PCS VALUES EXCELLENCE WHITE LACE
5 PCS PERFECT ATTENDANCE YELLOW LACE</v>
      </c>
      <c r="E932" s="196" t="str">
        <f>IFERROR(__xludf.DUMMYFUNCTION("""COMPUTED_VALUE"""),"RECOGNITION AND GRADUATION AY 24-25 SENIOR KINDER")</f>
        <v>RECOGNITION AND GRADUATION AY 24-25 SENIOR KINDER</v>
      </c>
    </row>
    <row r="933">
      <c r="A933" s="234">
        <f>IFERROR(__xludf.DUMMYFUNCTION("""COMPUTED_VALUE"""),105766.0)</f>
        <v>105766</v>
      </c>
      <c r="B933" s="235" t="str">
        <f>IFERROR(__xludf.DUMMYFUNCTION("""COMPUTED_VALUE"""),"JOSSA GALLANOSA ")</f>
        <v>JOSSA GALLANOSA </v>
      </c>
      <c r="C933" s="235" t="str">
        <f>IFERROR(__xludf.DUMMYFUNCTION("""COMPUTED_VALUE"""),"DCO/ISO")</f>
        <v>DCO/ISO</v>
      </c>
      <c r="D933" s="196" t="str">
        <f>IFERROR(__xludf.DUMMYFUNCTION("""COMPUTED_VALUE"""),"8 PCS LEI
4 PCS ADDITIONAL SHIRT")</f>
        <v>8 PCS LEI
4 PCS ADDITIONAL SHIRT</v>
      </c>
      <c r="E933" s="196" t="str">
        <f>IFERROR(__xludf.DUMMYFUNCTION("""COMPUTED_VALUE"""),"ISO-EQA TOKEN/PREP")</f>
        <v>ISO-EQA TOKEN/PREP</v>
      </c>
    </row>
    <row r="934">
      <c r="A934" s="234">
        <f>IFERROR(__xludf.DUMMYFUNCTION("""COMPUTED_VALUE"""),105767.0)</f>
        <v>105767</v>
      </c>
      <c r="B934" s="235" t="str">
        <f>IFERROR(__xludf.DUMMYFUNCTION("""COMPUTED_VALUE"""),"ANN DELA ISLA")</f>
        <v>ANN DELA ISLA</v>
      </c>
      <c r="C934" s="235" t="str">
        <f>IFERROR(__xludf.DUMMYFUNCTION("""COMPUTED_VALUE"""),"      IB")</f>
        <v>      IB</v>
      </c>
      <c r="D934" s="196" t="str">
        <f>IFERROR(__xludf.DUMMYFUNCTION("""COMPUTED_VALUE"""),"7 PCS GOLD MEDAL 
4 PCS SILVER MEDAL
3 PCS BRONZE MEDAL
4 PCS LOYALTY AWARD 
16 PCS SUBJECT EXCELLENCE")</f>
        <v>7 PCS GOLD MEDAL 
4 PCS SILVER MEDAL
3 PCS BRONZE MEDAL
4 PCS LOYALTY AWARD 
16 PCS SUBJECT EXCELLENCE</v>
      </c>
      <c r="E934" s="196" t="str">
        <f>IFERROR(__xludf.DUMMYFUNCTION("""COMPUTED_VALUE"""),"IB GRADUATION")</f>
        <v>IB GRADUATION</v>
      </c>
    </row>
    <row r="935">
      <c r="A935" s="234">
        <f>IFERROR(__xludf.DUMMYFUNCTION("""COMPUTED_VALUE"""),105768.0)</f>
        <v>105768</v>
      </c>
      <c r="B935" s="235" t="str">
        <f>IFERROR(__xludf.DUMMYFUNCTION("""COMPUTED_VALUE"""),"MARC VINCENT VITTO")</f>
        <v>MARC VINCENT VITTO</v>
      </c>
      <c r="C935" s="235" t="str">
        <f>IFERROR(__xludf.DUMMYFUNCTION("""COMPUTED_VALUE"""),"PR &amp; MARKETING")</f>
        <v>PR &amp; MARKETING</v>
      </c>
      <c r="D935" s="196" t="str">
        <f>IFERROR(__xludf.DUMMYFUNCTION("""COMPUTED_VALUE"""),"1 ADMISSION TARP AY 25-26 SIZE W 13FT X H 6.5FT THICKNESS 18 OZ W/ SEAMING AND EYELET ALLOVER")</f>
        <v>1 ADMISSION TARP AY 25-26 SIZE W 13FT X H 6.5FT THICKNESS 18 OZ W/ SEAMING AND EYELET ALLOVER</v>
      </c>
      <c r="E935" s="196" t="str">
        <f>IFERROR(__xludf.DUMMYFUNCTION("""COMPUTED_VALUE"""),"SCHOOL ADMISSION")</f>
        <v>SCHOOL ADMISSION</v>
      </c>
    </row>
    <row r="936">
      <c r="A936" s="234">
        <f>IFERROR(__xludf.DUMMYFUNCTION("""COMPUTED_VALUE"""),105769.0)</f>
        <v>105769</v>
      </c>
      <c r="B936" s="235" t="str">
        <f>IFERROR(__xludf.DUMMYFUNCTION("""COMPUTED_VALUE"""),"ALFA DE LEON")</f>
        <v>ALFA DE LEON</v>
      </c>
      <c r="C936" s="235" t="str">
        <f>IFERROR(__xludf.DUMMYFUNCTION("""COMPUTED_VALUE"""),"COLLEGE")</f>
        <v>COLLEGE</v>
      </c>
      <c r="D936" s="196" t="str">
        <f>IFERROR(__xludf.DUMMYFUNCTION("""COMPUTED_VALUE"""),"100 PCS PHOTOS
100 PCS BOSTON FERN
100 PCS PAKO
100 PCS UBE PLANT
70 PCS GREEN GRASS 
12 PCS STEEL MATTING 4FT X 30"" WIDTH")</f>
        <v>100 PCS PHOTOS
100 PCS BOSTON FERN
100 PCS PAKO
100 PCS UBE PLANT
70 PCS GREEN GRASS 
12 PCS STEEL MATTING 4FT X 30" WIDTH</v>
      </c>
      <c r="E936" s="196" t="str">
        <f>IFERROR(__xludf.DUMMYFUNCTION("""COMPUTED_VALUE"""),"GREEN WALL A+B COLLEGE 5F")</f>
        <v>GREEN WALL A+B COLLEGE 5F</v>
      </c>
    </row>
    <row r="937">
      <c r="A937" s="234">
        <f>IFERROR(__xludf.DUMMYFUNCTION("""COMPUTED_VALUE"""),105770.0)</f>
        <v>105770</v>
      </c>
      <c r="B937" s="235" t="str">
        <f>IFERROR(__xludf.DUMMYFUNCTION("""COMPUTED_VALUE"""),"ALFA DE LEON")</f>
        <v>ALFA DE LEON</v>
      </c>
      <c r="C937" s="235" t="str">
        <f>IFERROR(__xludf.DUMMYFUNCTION("""COMPUTED_VALUE"""),"MONARCHS HUB")</f>
        <v>MONARCHS HUB</v>
      </c>
      <c r="D937" s="196" t="str">
        <f>IFERROR(__xludf.DUMMYFUNCTION("""COMPUTED_VALUE"""),"100 PCS PHOTOS
200 PCS BOSTON FERN
100 PCS SPIDER LILY WHITE
100 PCS UBE PLANT
100 PCS DURANTA
70 PCS GREEN GRASS
15 PCS STEEL MATTING 4FT X 30""WIDTH")</f>
        <v>100 PCS PHOTOS
200 PCS BOSTON FERN
100 PCS SPIDER LILY WHITE
100 PCS UBE PLANT
100 PCS DURANTA
70 PCS GREEN GRASS
15 PCS STEEL MATTING 4FT X 30"WIDTH</v>
      </c>
      <c r="E937" s="196" t="str">
        <f>IFERROR(__xludf.DUMMYFUNCTION("""COMPUTED_VALUE"""),"GREEN WALL A+B MONARCHS HUB")</f>
        <v>GREEN WALL A+B MONARCHS HUB</v>
      </c>
    </row>
    <row r="938">
      <c r="A938" s="234">
        <f>IFERROR(__xludf.DUMMYFUNCTION("""COMPUTED_VALUE"""),105771.0)</f>
        <v>105771</v>
      </c>
      <c r="B938" s="235" t="str">
        <f>IFERROR(__xludf.DUMMYFUNCTION("""COMPUTED_VALUE"""),"ALFA DE LEON")</f>
        <v>ALFA DE LEON</v>
      </c>
      <c r="C938" s="235" t="str">
        <f>IFERROR(__xludf.DUMMYFUNCTION("""COMPUTED_VALUE"""),"ADMIN")</f>
        <v>ADMIN</v>
      </c>
      <c r="D938" s="196" t="str">
        <f>IFERROR(__xludf.DUMMYFUNCTION("""COMPUTED_VALUE"""),"30 PCS DAPOL
90 PCS PAKO
90 PCS FERN GREEN BIG
90 PCS FERN YELLOW BIG
50 PCS UBE PLANT")</f>
        <v>30 PCS DAPOL
90 PCS PAKO
90 PCS FERN GREEN BIG
90 PCS FERN YELLOW BIG
50 PCS UBE PLANT</v>
      </c>
      <c r="E938" s="196" t="str">
        <f>IFERROR(__xludf.DUMMYFUNCTION("""COMPUTED_VALUE"""),"GREEN WALL A+B COLLEGE WALKWAY")</f>
        <v>GREEN WALL A+B COLLEGE WALKWAY</v>
      </c>
    </row>
    <row r="939">
      <c r="A939" s="234">
        <f>IFERROR(__xludf.DUMMYFUNCTION("""COMPUTED_VALUE"""),105772.0)</f>
        <v>105772</v>
      </c>
      <c r="B939" s="235" t="str">
        <f>IFERROR(__xludf.DUMMYFUNCTION("""COMPUTED_VALUE"""),"RODRIGO CUSTODIO")</f>
        <v>RODRIGO CUSTODIO</v>
      </c>
      <c r="C939" s="235" t="str">
        <f>IFERROR(__xludf.DUMMYFUNCTION("""COMPUTED_VALUE"""),"AMD")</f>
        <v>AMD</v>
      </c>
      <c r="D939" s="196" t="str">
        <f>IFERROR(__xludf.DUMMYFUNCTION("""COMPUTED_VALUE"""),"21 GALS BROAD EXPECTRUM DISINFECTANT STATE ECOLUTION 1 US. GAL")</f>
        <v>21 GALS BROAD EXPECTRUM DISINFECTANT STATE ECOLUTION 1 US. GAL</v>
      </c>
      <c r="E939" s="196" t="str">
        <f>IFERROR(__xludf.DUMMYFUNCTION("""COMPUTED_VALUE"""),"HOUSE KEEPING MATERIALS STOCK REPLENISHMENT")</f>
        <v>HOUSE KEEPING MATERIALS STOCK REPLENISHMENT</v>
      </c>
    </row>
    <row r="940">
      <c r="A940" s="234">
        <f>IFERROR(__xludf.DUMMYFUNCTION("""COMPUTED_VALUE"""),105773.0)</f>
        <v>105773</v>
      </c>
      <c r="B940" s="235" t="str">
        <f>IFERROR(__xludf.DUMMYFUNCTION("""COMPUTED_VALUE"""),"OWIE PAR")</f>
        <v>OWIE PAR</v>
      </c>
      <c r="C940" s="235" t="str">
        <f>IFERROR(__xludf.DUMMYFUNCTION("""COMPUTED_VALUE"""),"ENGINEERING")</f>
        <v>ENGINEERING</v>
      </c>
      <c r="D940" s="196" t="str">
        <f>IFERROR(__xludf.DUMMYFUNCTION("""COMPUTED_VALUE"""),"4 PCS STEEL CASTER 2"" FOR PIANO")</f>
        <v>4 PCS STEEL CASTER 2" FOR PIANO</v>
      </c>
      <c r="E940" s="196" t="str">
        <f>IFERROR(__xludf.DUMMYFUNCTION("""COMPUTED_VALUE"""),"FOR LUX PIANO REPLACEMENT OF STEEL CASTER")</f>
        <v>FOR LUX PIANO REPLACEMENT OF STEEL CASTER</v>
      </c>
    </row>
    <row r="941">
      <c r="A941" s="234">
        <f>IFERROR(__xludf.DUMMYFUNCTION("""COMPUTED_VALUE"""),105774.0)</f>
        <v>105774</v>
      </c>
      <c r="B941" s="235" t="str">
        <f>IFERROR(__xludf.DUMMYFUNCTION("""COMPUTED_VALUE"""),"MARC VINCENT VITTO")</f>
        <v>MARC VINCENT VITTO</v>
      </c>
      <c r="C941" s="235" t="str">
        <f>IFERROR(__xludf.DUMMYFUNCTION("""COMPUTED_VALUE"""),"PR &amp; MARKETING")</f>
        <v>PR &amp; MARKETING</v>
      </c>
      <c r="D941" s="196" t="str">
        <f>IFERROR(__xludf.DUMMYFUNCTION("""COMPUTED_VALUE"""),"1 ADMISSION TARP  AY 25-26 FOR LOPEZ VILLAGE RESIZED
W: 8FT X H: 6FT THICKNESS 18OZ ADD SEAMING AND EYELET ALL OVER")</f>
        <v>1 ADMISSION TARP  AY 25-26 FOR LOPEZ VILLAGE RESIZED
W: 8FT X H: 6FT THICKNESS 18OZ ADD SEAMING AND EYELET ALL OVER</v>
      </c>
      <c r="E941" s="196" t="str">
        <f>IFERROR(__xludf.DUMMYFUNCTION("""COMPUTED_VALUE"""),"ADMISSION / ENROLLMENT")</f>
        <v>ADMISSION / ENROLLMENT</v>
      </c>
    </row>
    <row r="942">
      <c r="A942" s="234">
        <f>IFERROR(__xludf.DUMMYFUNCTION("""COMPUTED_VALUE"""),105775.0)</f>
        <v>105775</v>
      </c>
      <c r="B942" s="235" t="str">
        <f>IFERROR(__xludf.DUMMYFUNCTION("""COMPUTED_VALUE"""),"ARNEL MONTABLAN")</f>
        <v>ARNEL MONTABLAN</v>
      </c>
      <c r="C942" s="235" t="str">
        <f>IFERROR(__xludf.DUMMYFUNCTION("""COMPUTED_VALUE"""),"FOUNDER SCHOLARS")</f>
        <v>FOUNDER SCHOLARS</v>
      </c>
      <c r="D942" s="196" t="str">
        <f>IFERROR(__xludf.DUMMYFUNCTION("""COMPUTED_VALUE"""),"70 PCS PILLOWS 18"" X 28""")</f>
        <v>70 PCS PILLOWS 18" X 28"</v>
      </c>
      <c r="E942" s="196" t="str">
        <f>IFERROR(__xludf.DUMMYFUNCTION("""COMPUTED_VALUE"""),"FOR INCOMING NEW SCHOLARS AND REPLACEMENT FOR  THE OLD ONES")</f>
        <v>FOR INCOMING NEW SCHOLARS AND REPLACEMENT FOR  THE OLD ONES</v>
      </c>
    </row>
    <row r="943">
      <c r="A943" s="234">
        <f>IFERROR(__xludf.DUMMYFUNCTION("""COMPUTED_VALUE"""),105776.0)</f>
        <v>105776</v>
      </c>
      <c r="B943" s="235" t="str">
        <f>IFERROR(__xludf.DUMMYFUNCTION("""COMPUTED_VALUE"""),"ARNEL MONTABLAN")</f>
        <v>ARNEL MONTABLAN</v>
      </c>
      <c r="C943" s="235" t="str">
        <f>IFERROR(__xludf.DUMMYFUNCTION("""COMPUTED_VALUE"""),"FOUNDER SCHOLARS")</f>
        <v>FOUNDER SCHOLARS</v>
      </c>
      <c r="D943" s="196" t="str">
        <f>IFERROR(__xludf.DUMMYFUNCTION("""COMPUTED_VALUE"""),"2 PCS BED FOAM 190 X 70 X 10 CM / 70 X 28 INCH")</f>
        <v>2 PCS BED FOAM 190 X 70 X 10 CM / 70 X 28 INCH</v>
      </c>
      <c r="E943" s="196" t="str">
        <f>IFERROR(__xludf.DUMMYFUNCTION("""COMPUTED_VALUE"""),"FOR HEARTS DORMITORY ROOM ST GEMMA")</f>
        <v>FOR HEARTS DORMITORY ROOM ST GEMMA</v>
      </c>
    </row>
    <row r="944">
      <c r="A944" s="234">
        <f>IFERROR(__xludf.DUMMYFUNCTION("""COMPUTED_VALUE"""),105777.0)</f>
        <v>105777</v>
      </c>
      <c r="B944" s="235" t="str">
        <f>IFERROR(__xludf.DUMMYFUNCTION("""COMPUTED_VALUE"""),"ARNEL MONTABLAN")</f>
        <v>ARNEL MONTABLAN</v>
      </c>
      <c r="C944" s="235" t="str">
        <f>IFERROR(__xludf.DUMMYFUNCTION("""COMPUTED_VALUE"""),"FOUNDER SCHOLARS")</f>
        <v>FOUNDER SCHOLARS</v>
      </c>
      <c r="D944" s="196" t="str">
        <f>IFERROR(__xludf.DUMMYFUNCTION("""COMPUTED_VALUE"""),"5 PCS ALUMINUM PAN C3 SINGLE HANDLE ")</f>
        <v>5 PCS ALUMINUM PAN C3 SINGLE HANDLE </v>
      </c>
      <c r="E944" s="196" t="str">
        <f>IFERROR(__xludf.DUMMYFUNCTION("""COMPUTED_VALUE"""),"FOR REPLACEMENT")</f>
        <v>FOR REPLACEMENT</v>
      </c>
    </row>
    <row r="945">
      <c r="A945" s="234">
        <f>IFERROR(__xludf.DUMMYFUNCTION("""COMPUTED_VALUE"""),105778.0)</f>
        <v>105778</v>
      </c>
      <c r="B945" s="235" t="str">
        <f>IFERROR(__xludf.DUMMYFUNCTION("""COMPUTED_VALUE"""),"ARNEL MONTABLAN")</f>
        <v>ARNEL MONTABLAN</v>
      </c>
      <c r="C945" s="235" t="str">
        <f>IFERROR(__xludf.DUMMYFUNCTION("""COMPUTED_VALUE"""),"FOUNDER SCHOLARS")</f>
        <v>FOUNDER SCHOLARS</v>
      </c>
      <c r="D945" s="196" t="str">
        <f>IFERROR(__xludf.DUMMYFUNCTION("""COMPUTED_VALUE"""),"4 PCS BIG TRASHBIN 240 L
2 PCS OROCAN BASIN 23""
4 PCS BROOM STICKS
1 MOP 360 DEG TORNADO MOP
4 PCS PUSHBRUSH PLATIC
5 PCS HANDBRUSH PLASTI HEAVY DUTY
4 PCS SOFTBROOM ")</f>
        <v>4 PCS BIG TRASHBIN 240 L
2 PCS OROCAN BASIN 23"
4 PCS BROOM STICKS
1 MOP 360 DEG TORNADO MOP
4 PCS PUSHBRUSH PLATIC
5 PCS HANDBRUSH PLASTI HEAVY DUTY
4 PCS SOFTBROOM </v>
      </c>
      <c r="E945" s="196" t="str">
        <f>IFERROR(__xludf.DUMMYFUNCTION("""COMPUTED_VALUE"""),"FOR DORMITORIES REPLACEMET")</f>
        <v>FOR DORMITORIES REPLACEMET</v>
      </c>
    </row>
    <row r="946">
      <c r="A946" s="234">
        <f>IFERROR(__xludf.DUMMYFUNCTION("""COMPUTED_VALUE"""),105779.0)</f>
        <v>105779</v>
      </c>
      <c r="B946" s="235" t="str">
        <f>IFERROR(__xludf.DUMMYFUNCTION("""COMPUTED_VALUE"""),"ARNEL MONTABLAN")</f>
        <v>ARNEL MONTABLAN</v>
      </c>
      <c r="C946" s="235" t="str">
        <f>IFERROR(__xludf.DUMMYFUNCTION("""COMPUTED_VALUE"""),"FOUNDER SCHOLARS")</f>
        <v>FOUNDER SCHOLARS</v>
      </c>
      <c r="D946" s="196" t="str">
        <f>IFERROR(__xludf.DUMMYFUNCTION("""COMPUTED_VALUE"""),"2 PCS HANABISHI HISF 180 STANDFAN
2 PCS HANABISHI H1 84 FLAT IRON
1 IRONING BOARD
1 WALL MIRROS 40 X 130 CM
4 PCS SOFA/ CHAIR SET 45X45X3C,")</f>
        <v>2 PCS HANABISHI HISF 180 STANDFAN
2 PCS HANABISHI H1 84 FLAT IRON
1 IRONING BOARD
1 WALL MIRROS 40 X 130 CM
4 PCS SOFA/ CHAIR SET 45X45X3C,</v>
      </c>
      <c r="E946" s="196" t="str">
        <f>IFERROR(__xludf.DUMMYFUNCTION("""COMPUTED_VALUE"""),"FOR DORMITORIES REPLACEMET")</f>
        <v>FOR DORMITORIES REPLACEMET</v>
      </c>
    </row>
    <row r="947">
      <c r="A947" s="234">
        <f>IFERROR(__xludf.DUMMYFUNCTION("""COMPUTED_VALUE"""),105780.0)</f>
        <v>105780</v>
      </c>
      <c r="B947" s="235" t="str">
        <f>IFERROR(__xludf.DUMMYFUNCTION("""COMPUTED_VALUE"""),"GENEVIEVE LEDESMA LAUREL")</f>
        <v>GENEVIEVE LEDESMA LAUREL</v>
      </c>
      <c r="C947" s="235"/>
      <c r="D947" s="196" t="str">
        <f>IFERROR(__xludf.DUMMYFUNCTION("""COMPUTED_VALUE"""),"LENOVO IDEACENTRE 3 071RB8 INTEL CORE I5 DESKTOP")</f>
        <v>LENOVO IDEACENTRE 3 071RB8 INTEL CORE I5 DESKTOP</v>
      </c>
      <c r="E947" s="196" t="str">
        <f>IFERROR(__xludf.DUMMYFUNCTION("""COMPUTED_VALUE"""),"FOR OFFICE USE")</f>
        <v>FOR OFFICE USE</v>
      </c>
    </row>
    <row r="948">
      <c r="A948" s="234">
        <f>IFERROR(__xludf.DUMMYFUNCTION("""COMPUTED_VALUE"""),105781.0)</f>
        <v>105781</v>
      </c>
      <c r="B948" s="235" t="str">
        <f>IFERROR(__xludf.DUMMYFUNCTION("""COMPUTED_VALUE"""),"LYKA PERALTA")</f>
        <v>LYKA PERALTA</v>
      </c>
      <c r="C948" s="235" t="str">
        <f>IFERROR(__xludf.DUMMYFUNCTION("""COMPUTED_VALUE"""),"AMD")</f>
        <v>AMD</v>
      </c>
      <c r="D948" s="196" t="str">
        <f>IFERROR(__xludf.DUMMYFUNCTION("""COMPUTED_VALUE"""),"150 PCS TAPE DOUBLE SIDED TAPE W/O FOAM POLAR BEAR")</f>
        <v>150 PCS TAPE DOUBLE SIDED TAPE W/O FOAM POLAR BEAR</v>
      </c>
      <c r="E948" s="196" t="str">
        <f>IFERROR(__xludf.DUMMYFUNCTION("""COMPUTED_VALUE"""),"OSSUP REPLENISHMENT")</f>
        <v>OSSUP REPLENISHMENT</v>
      </c>
    </row>
    <row r="949">
      <c r="A949" s="234">
        <f>IFERROR(__xludf.DUMMYFUNCTION("""COMPUTED_VALUE"""),105782.0)</f>
        <v>105782</v>
      </c>
      <c r="B949" s="235" t="str">
        <f>IFERROR(__xludf.DUMMYFUNCTION("""COMPUTED_VALUE"""),"LYKA PERALTA")</f>
        <v>LYKA PERALTA</v>
      </c>
      <c r="C949" s="235" t="str">
        <f>IFERROR(__xludf.DUMMYFUNCTION("""COMPUTED_VALUE"""),"AMD")</f>
        <v>AMD</v>
      </c>
      <c r="D949" s="196" t="str">
        <f>IFERROR(__xludf.DUMMYFUNCTION("""COMPUTED_VALUE"""),"20 PCS RIBBON CARTRIDGE EPSON LX310 SO15632
40 PCS MONGOL PENCIL REGULAR NO. 1")</f>
        <v>20 PCS RIBBON CARTRIDGE EPSON LX310 SO15632
40 PCS MONGOL PENCIL REGULAR NO. 1</v>
      </c>
      <c r="E949" s="196" t="str">
        <f>IFERROR(__xludf.DUMMYFUNCTION("""COMPUTED_VALUE"""),"OSSUP REPLENISHMENT")</f>
        <v>OSSUP REPLENISHMENT</v>
      </c>
    </row>
    <row r="950">
      <c r="A950" s="234">
        <f>IFERROR(__xludf.DUMMYFUNCTION("""COMPUTED_VALUE"""),105783.0)</f>
        <v>105783</v>
      </c>
      <c r="B950" s="235" t="str">
        <f>IFERROR(__xludf.DUMMYFUNCTION("""COMPUTED_VALUE"""),"LYKA PERALTA")</f>
        <v>LYKA PERALTA</v>
      </c>
      <c r="C950" s="235" t="str">
        <f>IFERROR(__xludf.DUMMYFUNCTION("""COMPUTED_VALUE"""),"AMD")</f>
        <v>AMD</v>
      </c>
      <c r="D950" s="196" t="str">
        <f>IFERROR(__xludf.DUMMYFUNCTION("""COMPUTED_VALUE"""),"5 REAM FORTUNE GROUNDWOVE MIMEO SHORT
500 PCS PAPER COLORED GREEN
500 PCS PAPER COLORED PURPLE
40 PCS GLUE MIGHTY BOND")</f>
        <v>5 REAM FORTUNE GROUNDWOVE MIMEO SHORT
500 PCS PAPER COLORED GREEN
500 PCS PAPER COLORED PURPLE
40 PCS GLUE MIGHTY BOND</v>
      </c>
      <c r="E950" s="196" t="str">
        <f>IFERROR(__xludf.DUMMYFUNCTION("""COMPUTED_VALUE"""),"OSSUP REPLENISHMENT")</f>
        <v>OSSUP REPLENISHMENT</v>
      </c>
    </row>
    <row r="951">
      <c r="A951" s="234">
        <f>IFERROR(__xludf.DUMMYFUNCTION("""COMPUTED_VALUE"""),105784.0)</f>
        <v>105784</v>
      </c>
      <c r="B951" s="235" t="str">
        <f>IFERROR(__xludf.DUMMYFUNCTION("""COMPUTED_VALUE"""),"OWIE PAR")</f>
        <v>OWIE PAR</v>
      </c>
      <c r="C951" s="235" t="str">
        <f>IFERROR(__xludf.DUMMYFUNCTION("""COMPUTED_VALUE"""),"ENGINEERING")</f>
        <v>ENGINEERING</v>
      </c>
      <c r="D951" s="196" t="str">
        <f>IFERROR(__xludf.DUMMYFUNCTION("""COMPUTED_VALUE"""),"3 UNITS 6.0 HP CEILING CONCEALED DUCTED TYPE INVERTER PANASONIC")</f>
        <v>3 UNITS 6.0 HP CEILING CONCEALED DUCTED TYPE INVERTER PANASONIC</v>
      </c>
      <c r="E951" s="196" t="str">
        <f>IFERROR(__xludf.DUMMYFUNCTION("""COMPUTED_VALUE"""),"FOR REPLACEMENT DEFFECTIVE UNITS AT TROPICAL GYM")</f>
        <v>FOR REPLACEMENT DEFFECTIVE UNITS AT TROPICAL GYM</v>
      </c>
    </row>
    <row r="952">
      <c r="A952" s="234">
        <f>IFERROR(__xludf.DUMMYFUNCTION("""COMPUTED_VALUE"""),105785.0)</f>
        <v>105785</v>
      </c>
      <c r="B952" s="235" t="str">
        <f>IFERROR(__xludf.DUMMYFUNCTION("""COMPUTED_VALUE"""),"RODRIGO CUSTODIO")</f>
        <v>RODRIGO CUSTODIO</v>
      </c>
      <c r="C952" s="235" t="str">
        <f>IFERROR(__xludf.DUMMYFUNCTION("""COMPUTED_VALUE"""),"AMD")</f>
        <v>AMD</v>
      </c>
      <c r="D952" s="196" t="str">
        <f>IFERROR(__xludf.DUMMYFUNCTION("""COMPUTED_VALUE"""),"1 GAL CARPET CLEANER SHAMPOO TOPNOTCH
8 GAL ZONROX BLEACH 
40 PCS DUSTPAN 
60 PCS STICK BROOM")</f>
        <v>1 GAL CARPET CLEANER SHAMPOO TOPNOTCH
8 GAL ZONROX BLEACH 
40 PCS DUSTPAN 
60 PCS STICK BROOM</v>
      </c>
      <c r="E952" s="196" t="str">
        <f>IFERROR(__xludf.DUMMYFUNCTION("""COMPUTED_VALUE"""),"HOUSE KEEPING MATERIALS STOCK REPLENISHMENT")</f>
        <v>HOUSE KEEPING MATERIALS STOCK REPLENISHMENT</v>
      </c>
    </row>
    <row r="953">
      <c r="A953" s="234">
        <f>IFERROR(__xludf.DUMMYFUNCTION("""COMPUTED_VALUE"""),105786.0)</f>
        <v>105786</v>
      </c>
      <c r="B953" s="235" t="str">
        <f>IFERROR(__xludf.DUMMYFUNCTION("""COMPUTED_VALUE"""),"RODRIGO CUSTODIO")</f>
        <v>RODRIGO CUSTODIO</v>
      </c>
      <c r="C953" s="235" t="str">
        <f>IFERROR(__xludf.DUMMYFUNCTION("""COMPUTED_VALUE"""),"AMD")</f>
        <v>AMD</v>
      </c>
      <c r="D953" s="196" t="str">
        <f>IFERROR(__xludf.DUMMYFUNCTION("""COMPUTED_VALUE"""),"14 BOTTLES HIGIENECO PREMIUM ODOR COUNTERACTANT ANTIBACTERIAL SPRAY 3000 SHOTS 280 ML BAMBOO SCENT
13 BOTTLES HIGIENECO PREMIUM ODOR COUNTERACTANT ANTIBACTERIAL SPRAY 3000 SHOTS 280 ML LAVENDERSCENT ")</f>
        <v>14 BOTTLES HIGIENECO PREMIUM ODOR COUNTERACTANT ANTIBACTERIAL SPRAY 3000 SHOTS 280 ML BAMBOO SCENT
13 BOTTLES HIGIENECO PREMIUM ODOR COUNTERACTANT ANTIBACTERIAL SPRAY 3000 SHOTS 280 ML LAVENDERSCENT </v>
      </c>
      <c r="E953" s="196" t="str">
        <f>IFERROR(__xludf.DUMMYFUNCTION("""COMPUTED_VALUE"""),"HOUSE KEEPING MATERIALS STOCK REPLENISHMENT")</f>
        <v>HOUSE KEEPING MATERIALS STOCK REPLENISHMENT</v>
      </c>
    </row>
    <row r="954">
      <c r="A954" s="234">
        <f>IFERROR(__xludf.DUMMYFUNCTION("""COMPUTED_VALUE"""),105787.0)</f>
        <v>105787</v>
      </c>
      <c r="B954" s="235" t="str">
        <f>IFERROR(__xludf.DUMMYFUNCTION("""COMPUTED_VALUE"""),"FRANCHESKA ORTEGA")</f>
        <v>FRANCHESKA ORTEGA</v>
      </c>
      <c r="C954" s="235" t="str">
        <f>IFERROR(__xludf.DUMMYFUNCTION("""COMPUTED_VALUE"""),"PRESIDENT'S OFFICE")</f>
        <v>PRESIDENT'S OFFICE</v>
      </c>
      <c r="D954" s="196" t="str">
        <f>IFERROR(__xludf.DUMMYFUNCTION("""COMPUTED_VALUE"""),"10 MAGAZINE BOX HORZONTAL RED
10 MAGAZINE BOX HORZONTAL NAVY BLUE
10 MAGAZINE BOX HORZONTAL GRAY 
20 MAGAZINE BOX HORZONTAL BLACK
6 PORTABLE BOX STANDARD RED")</f>
        <v>10 MAGAZINE BOX HORZONTAL RED
10 MAGAZINE BOX HORZONTAL NAVY BLUE
10 MAGAZINE BOX HORZONTAL GRAY 
20 MAGAZINE BOX HORZONTAL BLACK
6 PORTABLE BOX STANDARD RED</v>
      </c>
      <c r="E954" s="196" t="str">
        <f>IFERROR(__xludf.DUMMYFUNCTION("""COMPUTED_VALUE"""),"SGEN CURATING MEMORY FILLING BOXES")</f>
        <v>SGEN CURATING MEMORY FILLING BOXES</v>
      </c>
    </row>
    <row r="955">
      <c r="A955" s="234">
        <f>IFERROR(__xludf.DUMMYFUNCTION("""COMPUTED_VALUE"""),105788.0)</f>
        <v>105788</v>
      </c>
      <c r="B955" s="235" t="str">
        <f>IFERROR(__xludf.DUMMYFUNCTION("""COMPUTED_VALUE"""),"PAUL ARANA")</f>
        <v>PAUL ARANA</v>
      </c>
      <c r="C955" s="235" t="str">
        <f>IFERROR(__xludf.DUMMYFUNCTION("""COMPUTED_VALUE"""),"MIS/ICT")</f>
        <v>MIS/ICT</v>
      </c>
      <c r="D955" s="196" t="str">
        <f>IFERROR(__xludf.DUMMYFUNCTION("""COMPUTED_VALUE"""),"135 KINGSTON SSD 256 GB")</f>
        <v>135 KINGSTON SSD 256 GB</v>
      </c>
      <c r="E955" s="196" t="str">
        <f>IFERROR(__xludf.DUMMYFUNCTION("""COMPUTED_VALUE"""),"FOR THE REMAINING COMPUTER UNITS UPGRADE")</f>
        <v>FOR THE REMAINING COMPUTER UNITS UPGRADE</v>
      </c>
    </row>
    <row r="956">
      <c r="A956" s="234">
        <f>IFERROR(__xludf.DUMMYFUNCTION("""COMPUTED_VALUE"""),105789.0)</f>
        <v>105789</v>
      </c>
      <c r="B956" s="235" t="str">
        <f>IFERROR(__xludf.DUMMYFUNCTION("""COMPUTED_VALUE"""),"JOSSA GALLANOSA ")</f>
        <v>JOSSA GALLANOSA </v>
      </c>
      <c r="C956" s="235" t="str">
        <f>IFERROR(__xludf.DUMMYFUNCTION("""COMPUTED_VALUE"""),"CEM")</f>
        <v>CEM</v>
      </c>
      <c r="D956" s="196" t="str">
        <f>IFERROR(__xludf.DUMMYFUNCTION("""COMPUTED_VALUE"""),"60 PCS EARPHONES 014")</f>
        <v>60 PCS EARPHONES 014</v>
      </c>
      <c r="E956" s="196" t="str">
        <f>IFERROR(__xludf.DUMMYFUNCTION("""COMPUTED_VALUE"""),"FOR READING PROGRAM")</f>
        <v>FOR READING PROGRAM</v>
      </c>
    </row>
    <row r="957">
      <c r="A957" s="234">
        <f>IFERROR(__xludf.DUMMYFUNCTION("""COMPUTED_VALUE"""),105790.0)</f>
        <v>105790</v>
      </c>
      <c r="B957" s="235" t="str">
        <f>IFERROR(__xludf.DUMMYFUNCTION("""COMPUTED_VALUE"""),"RODRIGO CUSTODIO")</f>
        <v>RODRIGO CUSTODIO</v>
      </c>
      <c r="C957" s="235" t="str">
        <f>IFERROR(__xludf.DUMMYFUNCTION("""COMPUTED_VALUE"""),"AMD")</f>
        <v>AMD</v>
      </c>
      <c r="D957" s="196" t="str">
        <f>IFERROR(__xludf.DUMMYFUNCTION("""COMPUTED_VALUE"""),"24 TOILET BOWL/TUB CLEANER STATE SHARK 1 US QUART 946 ML")</f>
        <v>24 TOILET BOWL/TUB CLEANER STATE SHARK 1 US QUART 946 ML</v>
      </c>
      <c r="E957" s="196" t="str">
        <f>IFERROR(__xludf.DUMMYFUNCTION("""COMPUTED_VALUE"""),"HOUSE KEEPING MATERIALS STOCK REPLENISHMENT")</f>
        <v>HOUSE KEEPING MATERIALS STOCK REPLENISHMENT</v>
      </c>
    </row>
    <row r="958">
      <c r="A958" s="234">
        <f>IFERROR(__xludf.DUMMYFUNCTION("""COMPUTED_VALUE"""),105791.0)</f>
        <v>105791</v>
      </c>
      <c r="B958" s="235" t="str">
        <f>IFERROR(__xludf.DUMMYFUNCTION("""COMPUTED_VALUE"""),"OWIE PAR")</f>
        <v>OWIE PAR</v>
      </c>
      <c r="C958" s="235" t="str">
        <f>IFERROR(__xludf.DUMMYFUNCTION("""COMPUTED_VALUE"""),"ENGINEERING")</f>
        <v>ENGINEERING</v>
      </c>
      <c r="D958" s="196" t="str">
        <f>IFERROR(__xludf.DUMMYFUNCTION("""COMPUTED_VALUE"""),"2 UNITS 3.8 HP MULTI SPLIT OUTDOOR UNITS
8 UNITS 1.0 HP MULTI SPLIT INDOOR UNITS")</f>
        <v>2 UNITS 3.8 HP MULTI SPLIT OUTDOOR UNITS
8 UNITS 1.0 HP MULTI SPLIT INDOOR UNITS</v>
      </c>
      <c r="E958" s="196" t="str">
        <f>IFERROR(__xludf.DUMMYFUNCTION("""COMPUTED_VALUE"""),"RENOVATION OF INNOVE RM")</f>
        <v>RENOVATION OF INNOVE RM</v>
      </c>
    </row>
    <row r="959">
      <c r="A959" s="234">
        <f>IFERROR(__xludf.DUMMYFUNCTION("""COMPUTED_VALUE"""),105792.0)</f>
        <v>105792</v>
      </c>
      <c r="B959" s="235" t="str">
        <f>IFERROR(__xludf.DUMMYFUNCTION("""COMPUTED_VALUE"""),"JEREMIAH TIROL")</f>
        <v>JEREMIAH TIROL</v>
      </c>
      <c r="C959" s="235" t="str">
        <f>IFERROR(__xludf.DUMMYFUNCTION("""COMPUTED_VALUE"""),"NURSING")</f>
        <v>NURSING</v>
      </c>
      <c r="D959" s="196" t="str">
        <f>IFERROR(__xludf.DUMMYFUNCTION("""COMPUTED_VALUE"""),"2 PCS STERILLIUM 1000 ML 
2 PCS BP WITH STAND
2 PCS SPINE BOARD
2 PCS PATIENT SLIDE BOARD 
2 PCS AMPULE OPENER 
2 PCS DROP LIGHT")</f>
        <v>2 PCS STERILLIUM 1000 ML 
2 PCS BP WITH STAND
2 PCS SPINE BOARD
2 PCS PATIENT SLIDE BOARD 
2 PCS AMPULE OPENER 
2 PCS DROP LIGHT</v>
      </c>
      <c r="E959" s="196" t="str">
        <f>IFERROR(__xludf.DUMMYFUNCTION("""COMPUTED_VALUE"""),"PREPARATION FOR MONARCHS HUB NURSING LAB")</f>
        <v>PREPARATION FOR MONARCHS HUB NURSING LAB</v>
      </c>
    </row>
    <row r="960">
      <c r="A960" s="234">
        <f>IFERROR(__xludf.DUMMYFUNCTION("""COMPUTED_VALUE"""),105793.0)</f>
        <v>105793</v>
      </c>
      <c r="B960" s="235" t="str">
        <f>IFERROR(__xludf.DUMMYFUNCTION("""COMPUTED_VALUE"""),"JORDAN JORDAN")</f>
        <v>JORDAN JORDAN</v>
      </c>
      <c r="C960" s="235" t="str">
        <f>IFERROR(__xludf.DUMMYFUNCTION("""COMPUTED_VALUE"""),"ADMIN")</f>
        <v>ADMIN</v>
      </c>
      <c r="D960" s="196" t="str">
        <f>IFERROR(__xludf.DUMMYFUNCTION("""COMPUTED_VALUE"""),"5 PCS UFO EMERGENCY LIGHT 3 WATTS 220 V
1 BOX ELECTRICAL WIRE #14 
1 ROLL FLEXIBLE CONDUIT 1/2 ORANGE")</f>
        <v>5 PCS UFO EMERGENCY LIGHT 3 WATTS 220 V
1 BOX ELECTRICAL WIRE #14 
1 ROLL FLEXIBLE CONDUIT 1/2 ORANGE</v>
      </c>
      <c r="E960" s="196" t="str">
        <f>IFERROR(__xludf.DUMMYFUNCTION("""COMPUTED_VALUE"""),"ADDITIONAL  EMERGENCY LIGHTS FOR 5TH FLOOR COLLEGE")</f>
        <v>ADDITIONAL  EMERGENCY LIGHTS FOR 5TH FLOOR COLLEGE</v>
      </c>
    </row>
    <row r="961">
      <c r="A961" s="234">
        <f>IFERROR(__xludf.DUMMYFUNCTION("""COMPUTED_VALUE"""),105794.0)</f>
        <v>105794</v>
      </c>
      <c r="B961" s="235" t="str">
        <f>IFERROR(__xludf.DUMMYFUNCTION("""COMPUTED_VALUE"""),"JORDAN JORDAN")</f>
        <v>JORDAN JORDAN</v>
      </c>
      <c r="C961" s="235" t="str">
        <f>IFERROR(__xludf.DUMMYFUNCTION("""COMPUTED_VALUE"""),"ADMIN")</f>
        <v>ADMIN</v>
      </c>
      <c r="D961" s="196" t="str">
        <f>IFERROR(__xludf.DUMMYFUNCTION("""COMPUTED_VALUE"""),"50 PCS CEILING CROSS TEE")</f>
        <v>50 PCS CEILING CROSS TEE</v>
      </c>
      <c r="E961" s="196" t="str">
        <f>IFERROR(__xludf.DUMMYFUNCTION("""COMPUTED_VALUE"""),"FOR REPAIR OF CEILING OF PR REGISTRATION AND ACCOUNTING")</f>
        <v>FOR REPAIR OF CEILING OF PR REGISTRATION AND ACCOUNTING</v>
      </c>
    </row>
    <row r="962">
      <c r="A962" s="234">
        <f>IFERROR(__xludf.DUMMYFUNCTION("""COMPUTED_VALUE"""),105795.0)</f>
        <v>105795</v>
      </c>
      <c r="B962" s="235" t="str">
        <f>IFERROR(__xludf.DUMMYFUNCTION("""COMPUTED_VALUE"""),"LYKA PERALTA")</f>
        <v>LYKA PERALTA</v>
      </c>
      <c r="C962" s="235" t="str">
        <f>IFERROR(__xludf.DUMMYFUNCTION("""COMPUTED_VALUE"""),"AMD")</f>
        <v>AMD</v>
      </c>
      <c r="D962" s="196" t="str">
        <f>IFERROR(__xludf.DUMMYFUNCTION("""COMPUTED_VALUE"""),"288 PCS TISSUE ROLL 2 PLY SANICARE")</f>
        <v>288 PCS TISSUE ROLL 2 PLY SANICARE</v>
      </c>
      <c r="E962" s="196" t="str">
        <f>IFERROR(__xludf.DUMMYFUNCTION("""COMPUTED_VALUE"""),"OSSUP REPLENISHMENT")</f>
        <v>OSSUP REPLENISHMENT</v>
      </c>
    </row>
    <row r="963">
      <c r="A963" s="234">
        <f>IFERROR(__xludf.DUMMYFUNCTION("""COMPUTED_VALUE"""),105796.0)</f>
        <v>105796</v>
      </c>
      <c r="B963" s="235" t="str">
        <f>IFERROR(__xludf.DUMMYFUNCTION("""COMPUTED_VALUE"""),"MARC VINCENT VITTO")</f>
        <v>MARC VINCENT VITTO</v>
      </c>
      <c r="C963" s="235" t="str">
        <f>IFERROR(__xludf.DUMMYFUNCTION("""COMPUTED_VALUE"""),"PR &amp; MARKETING")</f>
        <v>PR &amp; MARKETING</v>
      </c>
      <c r="D963" s="196" t="str">
        <f>IFERROR(__xludf.DUMMYFUNCTION("""COMPUTED_VALUE"""),"1 PARKING FOR ELECTION TARP 
W= 2FT X H 3FT THICKNESS 13OZ W/SEAMING &amp;EYELET ALL OVER")</f>
        <v>1 PARKING FOR ELECTION TARP 
W= 2FT X H 3FT THICKNESS 13OZ W/SEAMING &amp;EYELET ALL OVER</v>
      </c>
      <c r="E963" s="196" t="str">
        <f>IFERROR(__xludf.DUMMYFUNCTION("""COMPUTED_VALUE"""),"FOR ELECTION DAY")</f>
        <v>FOR ELECTION DAY</v>
      </c>
    </row>
    <row r="964">
      <c r="A964" s="234">
        <f>IFERROR(__xludf.DUMMYFUNCTION("""COMPUTED_VALUE"""),105797.0)</f>
        <v>105797</v>
      </c>
      <c r="B964" s="235" t="str">
        <f>IFERROR(__xludf.DUMMYFUNCTION("""COMPUTED_VALUE"""),"RACHEL PAMATIAN")</f>
        <v>RACHEL PAMATIAN</v>
      </c>
      <c r="C964" s="235" t="str">
        <f>IFERROR(__xludf.DUMMYFUNCTION("""COMPUTED_VALUE"""),"ADMIN - STAR")</f>
        <v>ADMIN - STAR</v>
      </c>
      <c r="D964" s="196" t="str">
        <f>IFERROR(__xludf.DUMMYFUNCTION("""COMPUTED_VALUE"""),"10 PCS EACH:
LED PANEL LIGHT ROUND 12 WATTS  
-WARM WHITE
-DAYLIGHT
LED SPOT LIGHT ROUND 6 WATTS 
-WARM WHITE
-DAYLIGHT
LED SPOT LIGHT ROUND 9 WATTS
-WARM WHITE
-DAYLIGHT")</f>
        <v>10 PCS EACH:
LED PANEL LIGHT ROUND 12 WATTS  
-WARM WHITE
-DAYLIGHT
LED SPOT LIGHT ROUND 6 WATTS 
-WARM WHITE
-DAYLIGHT
LED SPOT LIGHT ROUND 9 WATTS
-WARM WHITE
-DAYLIGHT</v>
      </c>
      <c r="E964" s="196" t="str">
        <f>IFERROR(__xludf.DUMMYFUNCTION("""COMPUTED_VALUE"""),"LED PANEL LIGHT ROUND AND SPOT LIGHT FOR LEARNING VILLAGE")</f>
        <v>LED PANEL LIGHT ROUND AND SPOT LIGHT FOR LEARNING VILLAGE</v>
      </c>
    </row>
    <row r="965">
      <c r="A965" s="234">
        <f>IFERROR(__xludf.DUMMYFUNCTION("""COMPUTED_VALUE"""),105798.0)</f>
        <v>105798</v>
      </c>
      <c r="B965" s="235" t="str">
        <f>IFERROR(__xludf.DUMMYFUNCTION("""COMPUTED_VALUE"""),"PAUL ARANA")</f>
        <v>PAUL ARANA</v>
      </c>
      <c r="C965" s="235" t="str">
        <f>IFERROR(__xludf.DUMMYFUNCTION("""COMPUTED_VALUE"""),"MIS/ICT")</f>
        <v>MIS/ICT</v>
      </c>
      <c r="D965" s="196" t="str">
        <f>IFERROR(__xludf.DUMMYFUNCTION("""COMPUTED_VALUE"""),"1 TCL TV 55""")</f>
        <v>1 TCL TV 55"</v>
      </c>
      <c r="E965" s="196" t="str">
        <f>IFERROR(__xludf.DUMMYFUNCTION("""COMPUTED_VALUE"""),"FOR MMA CONFERENCE TV")</f>
        <v>FOR MMA CONFERENCE TV</v>
      </c>
    </row>
    <row r="966">
      <c r="A966" s="234">
        <f>IFERROR(__xludf.DUMMYFUNCTION("""COMPUTED_VALUE"""),105799.0)</f>
        <v>105799</v>
      </c>
      <c r="B966" s="235" t="str">
        <f>IFERROR(__xludf.DUMMYFUNCTION("""COMPUTED_VALUE"""),"PAUL ARANA")</f>
        <v>PAUL ARANA</v>
      </c>
      <c r="C966" s="235" t="str">
        <f>IFERROR(__xludf.DUMMYFUNCTION("""COMPUTED_VALUE"""),"MIS/ICT")</f>
        <v>MIS/ICT</v>
      </c>
      <c r="D966" s="196" t="str">
        <f>IFERROR(__xludf.DUMMYFUNCTION("""COMPUTED_VALUE"""),"1 EPSON EB 810 E ")</f>
        <v>1 EPSON EB 810 E </v>
      </c>
      <c r="E966" s="196" t="str">
        <f>IFERROR(__xludf.DUMMYFUNCTION("""COMPUTED_VALUE"""),"FOR MONARCHS HUB PROJECTOR FOR BIG HALL")</f>
        <v>FOR MONARCHS HUB PROJECTOR FOR BIG HALL</v>
      </c>
    </row>
    <row r="967">
      <c r="A967" s="234">
        <f>IFERROR(__xludf.DUMMYFUNCTION("""COMPUTED_VALUE"""),105800.0)</f>
        <v>105800</v>
      </c>
      <c r="B967" s="235" t="str">
        <f>IFERROR(__xludf.DUMMYFUNCTION("""COMPUTED_VALUE"""),"VIOLETA REVOLTAR")</f>
        <v>VIOLETA REVOLTAR</v>
      </c>
      <c r="C967" s="235" t="str">
        <f>IFERROR(__xludf.DUMMYFUNCTION("""COMPUTED_VALUE"""),"CEM OFFICE")</f>
        <v>CEM OFFICE</v>
      </c>
      <c r="D967" s="196" t="str">
        <f>IFERROR(__xludf.DUMMYFUNCTION("""COMPUTED_VALUE"""),"1 PC TRASHBIN 30 L
1 PC TRASHBIN 50 L")</f>
        <v>1 PC TRASHBIN 30 L
1 PC TRASHBIN 50 L</v>
      </c>
      <c r="E967" s="196" t="str">
        <f>IFERROR(__xludf.DUMMYFUNCTION("""COMPUTED_VALUE"""),"FOR TRASHBIN REPLACEMENT IN BOARDROOM PANTRY")</f>
        <v>FOR TRASHBIN REPLACEMENT IN BOARDROOM PANTRY</v>
      </c>
    </row>
    <row r="968">
      <c r="A968" s="234">
        <f>IFERROR(__xludf.DUMMYFUNCTION("""COMPUTED_VALUE"""),105801.0)</f>
        <v>105801</v>
      </c>
      <c r="B968" s="235" t="str">
        <f>IFERROR(__xludf.DUMMYFUNCTION("""COMPUTED_VALUE"""),"OWIE PAR")</f>
        <v>OWIE PAR</v>
      </c>
      <c r="C968" s="235" t="str">
        <f>IFERROR(__xludf.DUMMYFUNCTION("""COMPUTED_VALUE"""),"ENGINEERING")</f>
        <v>ENGINEERING</v>
      </c>
      <c r="D968" s="196" t="str">
        <f>IFERROR(__xludf.DUMMYFUNCTION("""COMPUTED_VALUE"""),"12 PCS RUBBER CASTER")</f>
        <v>12 PCS RUBBER CASTER</v>
      </c>
      <c r="E968" s="196" t="str">
        <f>IFERROR(__xludf.DUMMYFUNCTION("""COMPUTED_VALUE"""),"FOR REPAIR OF BALL RACK AT MONARCH GYM")</f>
        <v>FOR REPAIR OF BALL RACK AT MONARCH GYM</v>
      </c>
    </row>
    <row r="969">
      <c r="A969" s="234">
        <f>IFERROR(__xludf.DUMMYFUNCTION("""COMPUTED_VALUE"""),105802.0)</f>
        <v>105802</v>
      </c>
      <c r="B969" s="235" t="str">
        <f>IFERROR(__xludf.DUMMYFUNCTION("""COMPUTED_VALUE"""),"RODRIGO CUSTODIO")</f>
        <v>RODRIGO CUSTODIO</v>
      </c>
      <c r="C969" s="235" t="str">
        <f>IFERROR(__xludf.DUMMYFUNCTION("""COMPUTED_VALUE"""),"AMD")</f>
        <v>AMD</v>
      </c>
      <c r="D969" s="196" t="str">
        <f>IFERROR(__xludf.DUMMYFUNCTION("""COMPUTED_VALUE"""),"220 PACKS CHLORINE 1 KG PER PACK
28 GALS GLOW FURNITURE CLEANER &amp;POLISH 
96 GALS TOILET BOWL CLEANER BOWL CARE
49 GALS STRIPPOL SUPER FLOOR WAX STRIPPER")</f>
        <v>220 PACKS CHLORINE 1 KG PER PACK
28 GALS GLOW FURNITURE CLEANER &amp;POLISH 
96 GALS TOILET BOWL CLEANER BOWL CARE
49 GALS STRIPPOL SUPER FLOOR WAX STRIPPER</v>
      </c>
      <c r="E969" s="196" t="str">
        <f>IFERROR(__xludf.DUMMYFUNCTION("""COMPUTED_VALUE"""),"HOUSE KEEPING MATERIALS STOCK REPLENISHMENT")</f>
        <v>HOUSE KEEPING MATERIALS STOCK REPLENISHMENT</v>
      </c>
    </row>
    <row r="970">
      <c r="A970" s="234">
        <f>IFERROR(__xludf.DUMMYFUNCTION("""COMPUTED_VALUE"""),105803.0)</f>
        <v>105803</v>
      </c>
      <c r="B970" s="235" t="str">
        <f>IFERROR(__xludf.DUMMYFUNCTION("""COMPUTED_VALUE"""),"SHEREE ESPINOSA")</f>
        <v>SHEREE ESPINOSA</v>
      </c>
      <c r="C970" s="235" t="str">
        <f>IFERROR(__xludf.DUMMYFUNCTION("""COMPUTED_VALUE"""),"ADMIN")</f>
        <v>ADMIN</v>
      </c>
      <c r="D970" s="196" t="str">
        <f>IFERROR(__xludf.DUMMYFUNCTION("""COMPUTED_VALUE"""),"27 PCS UTILITY BAG 5 POCKETS")</f>
        <v>27 PCS UTILITY BAG 5 POCKETS</v>
      </c>
      <c r="E970" s="196" t="str">
        <f>IFERROR(__xludf.DUMMYFUNCTION("""COMPUTED_VALUE"""),"FOR HOUSEKEEPING PERSONNEL")</f>
        <v>FOR HOUSEKEEPING PERSONNEL</v>
      </c>
    </row>
    <row r="971">
      <c r="A971" s="234">
        <f>IFERROR(__xludf.DUMMYFUNCTION("""COMPUTED_VALUE"""),105804.0)</f>
        <v>105804</v>
      </c>
      <c r="B971" s="235" t="str">
        <f>IFERROR(__xludf.DUMMYFUNCTION("""COMPUTED_VALUE"""),"SHEREE ESPINOSA")</f>
        <v>SHEREE ESPINOSA</v>
      </c>
      <c r="C971" s="235" t="str">
        <f>IFERROR(__xludf.DUMMYFUNCTION("""COMPUTED_VALUE"""),"ADMIN")</f>
        <v>ADMIN</v>
      </c>
      <c r="D971" s="196" t="str">
        <f>IFERROR(__xludf.DUMMYFUNCTION("""COMPUTED_VALUE"""),"20 PCS STOOLS 0.38 M X 0.59")</f>
        <v>20 PCS STOOLS 0.38 M X 0.59</v>
      </c>
      <c r="E971" s="196" t="str">
        <f>IFERROR(__xludf.DUMMYFUNCTION("""COMPUTED_VALUE"""),"FOR DIGILAB")</f>
        <v>FOR DIGILAB</v>
      </c>
    </row>
    <row r="972">
      <c r="A972" s="234">
        <f>IFERROR(__xludf.DUMMYFUNCTION("""COMPUTED_VALUE"""),105805.0)</f>
        <v>105805</v>
      </c>
      <c r="B972" s="235" t="str">
        <f>IFERROR(__xludf.DUMMYFUNCTION("""COMPUTED_VALUE"""),"SHEREE ESPINOSA")</f>
        <v>SHEREE ESPINOSA</v>
      </c>
      <c r="C972" s="235" t="str">
        <f>IFERROR(__xludf.DUMMYFUNCTION("""COMPUTED_VALUE"""),"ADMIN")</f>
        <v>ADMIN</v>
      </c>
      <c r="D972" s="196" t="str">
        <f>IFERROR(__xludf.DUMMYFUNCTION("""COMPUTED_VALUE"""),"2 PCS LEAF BLOWER CORDLESS ")</f>
        <v>2 PCS LEAF BLOWER CORDLESS </v>
      </c>
      <c r="E972" s="196" t="str">
        <f>IFERROR(__xludf.DUMMYFUNCTION("""COMPUTED_VALUE"""),"TO BLOW FALLEN LEAVES OFF LAWN DRIVEWAY AND WALKWAYS")</f>
        <v>TO BLOW FALLEN LEAVES OFF LAWN DRIVEWAY AND WALKWAYS</v>
      </c>
    </row>
    <row r="973">
      <c r="A973" s="234">
        <f>IFERROR(__xludf.DUMMYFUNCTION("""COMPUTED_VALUE"""),105806.0)</f>
        <v>105806</v>
      </c>
      <c r="B973" s="235" t="str">
        <f>IFERROR(__xludf.DUMMYFUNCTION("""COMPUTED_VALUE"""),"SHEREE ESPINOSA")</f>
        <v>SHEREE ESPINOSA</v>
      </c>
      <c r="C973" s="235" t="str">
        <f>IFERROR(__xludf.DUMMYFUNCTION("""COMPUTED_VALUE"""),"ADMIN")</f>
        <v>ADMIN</v>
      </c>
      <c r="D973" s="196" t="str">
        <f>IFERROR(__xludf.DUMMYFUNCTION("""COMPUTED_VALUE"""),"10 PCS AIR FRESHENER AUTOMATIC DESPENSER")</f>
        <v>10 PCS AIR FRESHENER AUTOMATIC DESPENSER</v>
      </c>
      <c r="E973" s="196" t="str">
        <f>IFERROR(__xludf.DUMMYFUNCTION("""COMPUTED_VALUE"""),"FOR LUX, COLLEGE AND TROPICAL CRS")</f>
        <v>FOR LUX, COLLEGE AND TROPICAL CRS</v>
      </c>
    </row>
    <row r="974">
      <c r="A974" s="234">
        <f>IFERROR(__xludf.DUMMYFUNCTION("""COMPUTED_VALUE"""),105807.0)</f>
        <v>105807</v>
      </c>
      <c r="B974" s="235" t="str">
        <f>IFERROR(__xludf.DUMMYFUNCTION("""COMPUTED_VALUE"""),"SHEREE ESPINOSA")</f>
        <v>SHEREE ESPINOSA</v>
      </c>
      <c r="C974" s="235" t="str">
        <f>IFERROR(__xludf.DUMMYFUNCTION("""COMPUTED_VALUE"""),"ADMIN")</f>
        <v>ADMIN</v>
      </c>
      <c r="D974" s="196" t="str">
        <f>IFERROR(__xludf.DUMMYFUNCTION("""COMPUTED_VALUE"""),"1 CONFERENCE TABLE")</f>
        <v>1 CONFERENCE TABLE</v>
      </c>
      <c r="E974" s="196" t="str">
        <f>IFERROR(__xludf.DUMMYFUNCTION("""COMPUTED_VALUE"""),"FOR MONARCHS HUB CONFERENCE RM")</f>
        <v>FOR MONARCHS HUB CONFERENCE RM</v>
      </c>
    </row>
    <row r="975">
      <c r="A975" s="234">
        <f>IFERROR(__xludf.DUMMYFUNCTION("""COMPUTED_VALUE"""),105808.0)</f>
        <v>105808</v>
      </c>
      <c r="B975" s="235" t="str">
        <f>IFERROR(__xludf.DUMMYFUNCTION("""COMPUTED_VALUE"""),"SHEREE ESPINOSA")</f>
        <v>SHEREE ESPINOSA</v>
      </c>
      <c r="C975" s="235" t="str">
        <f>IFERROR(__xludf.DUMMYFUNCTION("""COMPUTED_VALUE"""),"ADMIN")</f>
        <v>ADMIN</v>
      </c>
      <c r="D975" s="196" t="str">
        <f>IFERROR(__xludf.DUMMYFUNCTION("""COMPUTED_VALUE"""),"8 PCS HAND HELD RADIO ")</f>
        <v>8 PCS HAND HELD RADIO </v>
      </c>
      <c r="E975" s="196" t="str">
        <f>IFERROR(__xludf.DUMMYFUNCTION("""COMPUTED_VALUE"""),"FOR REPLACEMENT AND ADDITIONAL")</f>
        <v>FOR REPLACEMENT AND ADDITIONAL</v>
      </c>
    </row>
    <row r="976">
      <c r="A976" s="234">
        <f>IFERROR(__xludf.DUMMYFUNCTION("""COMPUTED_VALUE"""),105809.0)</f>
        <v>105809</v>
      </c>
      <c r="B976" s="235" t="str">
        <f>IFERROR(__xludf.DUMMYFUNCTION("""COMPUTED_VALUE"""),"SHEREE ESPINOSA")</f>
        <v>SHEREE ESPINOSA</v>
      </c>
      <c r="C976" s="235" t="str">
        <f>IFERROR(__xludf.DUMMYFUNCTION("""COMPUTED_VALUE"""),"ADMIN")</f>
        <v>ADMIN</v>
      </c>
      <c r="D976" s="196" t="str">
        <f>IFERROR(__xludf.DUMMYFUNCTION("""COMPUTED_VALUE"""),"5 PCS HUMIDIFIER
5 PCS WATERBASED OIL
-WHITE TEA + GINGER 
-WARM COTTON")</f>
        <v>5 PCS HUMIDIFIER
5 PCS WATERBASED OIL
-WHITE TEA + GINGER 
-WARM COTTON</v>
      </c>
      <c r="E976" s="196" t="str">
        <f>IFERROR(__xludf.DUMMYFUNCTION("""COMPUTED_VALUE"""),"FOR KEY AREAS")</f>
        <v>FOR KEY AREAS</v>
      </c>
    </row>
    <row r="977">
      <c r="A977" s="234">
        <f>IFERROR(__xludf.DUMMYFUNCTION("""COMPUTED_VALUE"""),105810.0)</f>
        <v>105810</v>
      </c>
      <c r="B977" s="235" t="str">
        <f>IFERROR(__xludf.DUMMYFUNCTION("""COMPUTED_VALUE"""),"SHEREE ESPINOSA")</f>
        <v>SHEREE ESPINOSA</v>
      </c>
      <c r="C977" s="235" t="str">
        <f>IFERROR(__xludf.DUMMYFUNCTION("""COMPUTED_VALUE"""),"ADMIN")</f>
        <v>ADMIN</v>
      </c>
      <c r="D977" s="196" t="str">
        <f>IFERROR(__xludf.DUMMYFUNCTION("""COMPUTED_VALUE"""),"25 PCS WATER GALLON CONTAINER 
3000 PCS UMBRELLA PLASTIC SEALS ")</f>
        <v>25 PCS WATER GALLON CONTAINER 
3000 PCS UMBRELLA PLASTIC SEALS </v>
      </c>
      <c r="E977" s="196" t="str">
        <f>IFERROR(__xludf.DUMMYFUNCTION("""COMPUTED_VALUE"""),"FOR LUX, TROP, COLLEGE CAMPUSE")</f>
        <v>FOR LUX, TROP, COLLEGE CAMPUSE</v>
      </c>
    </row>
    <row r="978">
      <c r="A978" s="234">
        <f>IFERROR(__xludf.DUMMYFUNCTION("""COMPUTED_VALUE"""),105811.0)</f>
        <v>105811</v>
      </c>
      <c r="B978" s="235" t="str">
        <f>IFERROR(__xludf.DUMMYFUNCTION("""COMPUTED_VALUE"""),"SHEREE ESPINOSA")</f>
        <v>SHEREE ESPINOSA</v>
      </c>
      <c r="C978" s="235" t="str">
        <f>IFERROR(__xludf.DUMMYFUNCTION("""COMPUTED_VALUE"""),"ADMIN")</f>
        <v>ADMIN</v>
      </c>
      <c r="D978" s="196" t="str">
        <f>IFERROR(__xludf.DUMMYFUNCTION("""COMPUTED_VALUE"""),"1 LANDER")</f>
        <v>1 LANDER</v>
      </c>
      <c r="E978" s="196" t="str">
        <f>IFERROR(__xludf.DUMMYFUNCTION("""COMPUTED_VALUE"""),"FOR DR. RUELS OFFICE")</f>
        <v>FOR DR. RUELS OFFICE</v>
      </c>
    </row>
    <row r="979">
      <c r="A979" s="234">
        <f>IFERROR(__xludf.DUMMYFUNCTION("""COMPUTED_VALUE"""),105812.0)</f>
        <v>105812</v>
      </c>
      <c r="B979" s="235" t="str">
        <f>IFERROR(__xludf.DUMMYFUNCTION("""COMPUTED_VALUE"""),"SHEREE ESPINOSA")</f>
        <v>SHEREE ESPINOSA</v>
      </c>
      <c r="C979" s="235" t="str">
        <f>IFERROR(__xludf.DUMMYFUNCTION("""COMPUTED_VALUE"""),"ADMIN")</f>
        <v>ADMIN</v>
      </c>
      <c r="D979" s="196" t="str">
        <f>IFERROR(__xludf.DUMMYFUNCTION("""COMPUTED_VALUE"""),"3 PCS PUSH CARTS")</f>
        <v>3 PCS PUSH CARTS</v>
      </c>
      <c r="E979" s="196" t="str">
        <f>IFERROR(__xludf.DUMMYFUNCTION("""COMPUTED_VALUE"""),"USE FOR DELIVERY OF WATER GALLONS ")</f>
        <v>USE FOR DELIVERY OF WATER GALLONS </v>
      </c>
    </row>
    <row r="980">
      <c r="A980" s="234">
        <f>IFERROR(__xludf.DUMMYFUNCTION("""COMPUTED_VALUE"""),105813.0)</f>
        <v>105813</v>
      </c>
      <c r="B980" s="235" t="str">
        <f>IFERROR(__xludf.DUMMYFUNCTION("""COMPUTED_VALUE"""),"SHEREE ESPINOSA")</f>
        <v>SHEREE ESPINOSA</v>
      </c>
      <c r="C980" s="235" t="str">
        <f>IFERROR(__xludf.DUMMYFUNCTION("""COMPUTED_VALUE"""),"ADMIN")</f>
        <v>ADMIN</v>
      </c>
      <c r="D980" s="196" t="str">
        <f>IFERROR(__xludf.DUMMYFUNCTION("""COMPUTED_VALUE"""),"3 PCS IWATA TORNADO MIST FAN")</f>
        <v>3 PCS IWATA TORNADO MIST FAN</v>
      </c>
      <c r="E980" s="196" t="str">
        <f>IFERROR(__xludf.DUMMYFUNCTION("""COMPUTED_VALUE"""),"FOR COLLEGE WALKWAY DURING EVENTS")</f>
        <v>FOR COLLEGE WALKWAY DURING EVENTS</v>
      </c>
    </row>
    <row r="981">
      <c r="A981" s="234">
        <f>IFERROR(__xludf.DUMMYFUNCTION("""COMPUTED_VALUE"""),105814.0)</f>
        <v>105814</v>
      </c>
      <c r="B981" s="235" t="str">
        <f>IFERROR(__xludf.DUMMYFUNCTION("""COMPUTED_VALUE"""),"SHEREE ESPINOSA")</f>
        <v>SHEREE ESPINOSA</v>
      </c>
      <c r="C981" s="235" t="str">
        <f>IFERROR(__xludf.DUMMYFUNCTION("""COMPUTED_VALUE"""),"ADMIN")</f>
        <v>ADMIN</v>
      </c>
      <c r="D981" s="196" t="str">
        <f>IFERROR(__xludf.DUMMYFUNCTION("""COMPUTED_VALUE"""),"4 PCS VENEER")</f>
        <v>4 PCS VENEER</v>
      </c>
      <c r="E981" s="196" t="str">
        <f>IFERROR(__xludf.DUMMYFUNCTION("""COMPUTED_VALUE"""),"REPLACEMENT OF VENEER WALL FINANCE &amp; PR MAINDOOR")</f>
        <v>REPLACEMENT OF VENEER WALL FINANCE &amp; PR MAINDOOR</v>
      </c>
    </row>
    <row r="982">
      <c r="A982" s="234">
        <f>IFERROR(__xludf.DUMMYFUNCTION("""COMPUTED_VALUE"""),105815.0)</f>
        <v>105815</v>
      </c>
      <c r="B982" s="235" t="str">
        <f>IFERROR(__xludf.DUMMYFUNCTION("""COMPUTED_VALUE"""),"SHEREE ESPINOSA")</f>
        <v>SHEREE ESPINOSA</v>
      </c>
      <c r="C982" s="235" t="str">
        <f>IFERROR(__xludf.DUMMYFUNCTION("""COMPUTED_VALUE"""),"ADMIN")</f>
        <v>ADMIN</v>
      </c>
      <c r="D982" s="196" t="str">
        <f>IFERROR(__xludf.DUMMYFUNCTION("""COMPUTED_VALUE"""),"ANTI SLIP MATING FLOOR MAT")</f>
        <v>ANTI SLIP MATING FLOOR MAT</v>
      </c>
      <c r="E982" s="196" t="str">
        <f>IFERROR(__xludf.DUMMYFUNCTION("""COMPUTED_VALUE"""),"TO PREVENT SLIPPERY FLOOR")</f>
        <v>TO PREVENT SLIPPERY FLOOR</v>
      </c>
    </row>
    <row r="983">
      <c r="A983" s="234">
        <f>IFERROR(__xludf.DUMMYFUNCTION("""COMPUTED_VALUE"""),105816.0)</f>
        <v>105816</v>
      </c>
      <c r="B983" s="235" t="str">
        <f>IFERROR(__xludf.DUMMYFUNCTION("""COMPUTED_VALUE"""),"SHEREE ESPINOSA")</f>
        <v>SHEREE ESPINOSA</v>
      </c>
      <c r="C983" s="235" t="str">
        <f>IFERROR(__xludf.DUMMYFUNCTION("""COMPUTED_VALUE"""),"ADMIN")</f>
        <v>ADMIN</v>
      </c>
      <c r="D983" s="196" t="str">
        <f>IFERROR(__xludf.DUMMYFUNCTION("""COMPUTED_VALUE"""),"PEDESTAL CABINET 3 LAYER ")</f>
        <v>PEDESTAL CABINET 3 LAYER </v>
      </c>
      <c r="E983" s="196" t="str">
        <f>IFERROR(__xludf.DUMMYFUNCTION("""COMPUTED_VALUE"""),"FOR MS. DEE 5/F NEW OFFICE")</f>
        <v>FOR MS. DEE 5/F NEW OFFICE</v>
      </c>
    </row>
    <row r="984">
      <c r="A984" s="234">
        <f>IFERROR(__xludf.DUMMYFUNCTION("""COMPUTED_VALUE"""),105817.0)</f>
        <v>105817</v>
      </c>
      <c r="B984" s="235" t="str">
        <f>IFERROR(__xludf.DUMMYFUNCTION("""COMPUTED_VALUE"""),"SHEREE ESPINOSA")</f>
        <v>SHEREE ESPINOSA</v>
      </c>
      <c r="C984" s="235" t="str">
        <f>IFERROR(__xludf.DUMMYFUNCTION("""COMPUTED_VALUE"""),"ADMIN")</f>
        <v>ADMIN</v>
      </c>
      <c r="D984" s="196" t="str">
        <f>IFERROR(__xludf.DUMMYFUNCTION("""COMPUTED_VALUE"""),"10 PCS BIG ROLL TISSUE HOLDER")</f>
        <v>10 PCS BIG ROLL TISSUE HOLDER</v>
      </c>
      <c r="E984" s="196" t="str">
        <f>IFERROR(__xludf.DUMMYFUNCTION("""COMPUTED_VALUE"""),"FOR BROKEN TISSUE HOLDER")</f>
        <v>FOR BROKEN TISSUE HOLDER</v>
      </c>
    </row>
    <row r="985">
      <c r="A985" s="234">
        <f>IFERROR(__xludf.DUMMYFUNCTION("""COMPUTED_VALUE"""),105818.0)</f>
        <v>105818</v>
      </c>
      <c r="B985" s="235" t="str">
        <f>IFERROR(__xludf.DUMMYFUNCTION("""COMPUTED_VALUE"""),"SHEREE ESPINOSA")</f>
        <v>SHEREE ESPINOSA</v>
      </c>
      <c r="C985" s="235" t="str">
        <f>IFERROR(__xludf.DUMMYFUNCTION("""COMPUTED_VALUE"""),"ADMIN")</f>
        <v>ADMIN</v>
      </c>
      <c r="D985" s="196" t="str">
        <f>IFERROR(__xludf.DUMMYFUNCTION("""COMPUTED_VALUE"""),"5 PCS IWATA TORNADO INDUSTRIAL WALL FAN ")</f>
        <v>5 PCS IWATA TORNADO INDUSTRIAL WALL FAN </v>
      </c>
      <c r="E985" s="196" t="str">
        <f>IFERROR(__xludf.DUMMYFUNCTION("""COMPUTED_VALUE"""),"TO IMPROVE WALL FANS")</f>
        <v>TO IMPROVE WALL FANS</v>
      </c>
    </row>
    <row r="986">
      <c r="A986" s="234">
        <f>IFERROR(__xludf.DUMMYFUNCTION("""COMPUTED_VALUE"""),105819.0)</f>
        <v>105819</v>
      </c>
      <c r="B986" s="235" t="str">
        <f>IFERROR(__xludf.DUMMYFUNCTION("""COMPUTED_VALUE"""),"SHEREE ESPINOSA")</f>
        <v>SHEREE ESPINOSA</v>
      </c>
      <c r="C986" s="235" t="str">
        <f>IFERROR(__xludf.DUMMYFUNCTION("""COMPUTED_VALUE"""),"ADMIN")</f>
        <v>ADMIN</v>
      </c>
      <c r="D986" s="196" t="str">
        <f>IFERROR(__xludf.DUMMYFUNCTION("""COMPUTED_VALUE"""),"SISC STANDEE")</f>
        <v>SISC STANDEE</v>
      </c>
      <c r="E986" s="196" t="str">
        <f>IFERROR(__xludf.DUMMYFUNCTION("""COMPUTED_VALUE"""),"REPLACEMENT OF BROKEN STANDY")</f>
        <v>REPLACEMENT OF BROKEN STANDY</v>
      </c>
    </row>
    <row r="987">
      <c r="A987" s="234">
        <f>IFERROR(__xludf.DUMMYFUNCTION("""COMPUTED_VALUE"""),105820.0)</f>
        <v>105820</v>
      </c>
      <c r="B987" s="235" t="str">
        <f>IFERROR(__xludf.DUMMYFUNCTION("""COMPUTED_VALUE"""),"ALFA DE LEON")</f>
        <v>ALFA DE LEON</v>
      </c>
      <c r="C987" s="235" t="str">
        <f>IFERROR(__xludf.DUMMYFUNCTION("""COMPUTED_VALUE"""),"ADMIN - MUNICH")</f>
        <v>ADMIN - MUNICH</v>
      </c>
      <c r="D987" s="196" t="str">
        <f>IFERROR(__xludf.DUMMYFUNCTION("""COMPUTED_VALUE"""),"PVC DOOR WIDTH 60 BEIGE")</f>
        <v>PVC DOOR WIDTH 60 BEIGE</v>
      </c>
      <c r="E987" s="196" t="str">
        <f>IFERROR(__xludf.DUMMYFUNCTION("""COMPUTED_VALUE"""),"DOOR REPLACEMENT CR MALE GUEST")</f>
        <v>DOOR REPLACEMENT CR MALE GUEST</v>
      </c>
    </row>
    <row r="988">
      <c r="A988" s="234">
        <f>IFERROR(__xludf.DUMMYFUNCTION("""COMPUTED_VALUE"""),105821.0)</f>
        <v>105821</v>
      </c>
      <c r="B988" s="235" t="str">
        <f>IFERROR(__xludf.DUMMYFUNCTION("""COMPUTED_VALUE"""),"RODRIGO CUSTODIO")</f>
        <v>RODRIGO CUSTODIO</v>
      </c>
      <c r="C988" s="235" t="str">
        <f>IFERROR(__xludf.DUMMYFUNCTION("""COMPUTED_VALUE"""),"AMD")</f>
        <v>AMD</v>
      </c>
      <c r="D988" s="196" t="str">
        <f>IFERROR(__xludf.DUMMYFUNCTION("""COMPUTED_VALUE"""),"3 PCS CARPET STAIN REMOVER PILE DRIVER 18 OZ 510G")</f>
        <v>3 PCS CARPET STAIN REMOVER PILE DRIVER 18 OZ 510G</v>
      </c>
      <c r="E988" s="196" t="str">
        <f>IFERROR(__xludf.DUMMYFUNCTION("""COMPUTED_VALUE"""),"HOUSE KEEPING MATERIALS STOCK REPLENISHMENT")</f>
        <v>HOUSE KEEPING MATERIALS STOCK REPLENISHMENT</v>
      </c>
    </row>
    <row r="989">
      <c r="A989" s="234">
        <f>IFERROR(__xludf.DUMMYFUNCTION("""COMPUTED_VALUE"""),105822.0)</f>
        <v>105822</v>
      </c>
      <c r="B989" s="235" t="str">
        <f>IFERROR(__xludf.DUMMYFUNCTION("""COMPUTED_VALUE"""),"SHEREE ESPINOSA")</f>
        <v>SHEREE ESPINOSA</v>
      </c>
      <c r="C989" s="235" t="str">
        <f>IFERROR(__xludf.DUMMYFUNCTION("""COMPUTED_VALUE"""),"ADMIN")</f>
        <v>ADMIN</v>
      </c>
      <c r="D989" s="196" t="str">
        <f>IFERROR(__xludf.DUMMYFUNCTION("""COMPUTED_VALUE"""),"10 PCS WHITE BOARD ERASER AND MARKER HOLDER")</f>
        <v>10 PCS WHITE BOARD ERASER AND MARKER HOLDER</v>
      </c>
      <c r="E989" s="196" t="str">
        <f>IFERROR(__xludf.DUMMYFUNCTION("""COMPUTED_VALUE"""),"FOR 5F AND MONARCHS HUB CLASSROOM")</f>
        <v>FOR 5F AND MONARCHS HUB CLASSROOM</v>
      </c>
    </row>
    <row r="990">
      <c r="A990" s="234">
        <f>IFERROR(__xludf.DUMMYFUNCTION("""COMPUTED_VALUE"""),105823.0)</f>
        <v>105823</v>
      </c>
      <c r="B990" s="235" t="str">
        <f>IFERROR(__xludf.DUMMYFUNCTION("""COMPUTED_VALUE"""),"RONALDO VERDE")</f>
        <v>RONALDO VERDE</v>
      </c>
      <c r="C990" s="235" t="str">
        <f>IFERROR(__xludf.DUMMYFUNCTION("""COMPUTED_VALUE"""),"ADMIN")</f>
        <v>ADMIN</v>
      </c>
      <c r="D990" s="196" t="str">
        <f>IFERROR(__xludf.DUMMYFUNCTION("""COMPUTED_VALUE"""),"10 GALLON WATERPROOFING AND SEALER
10 PCS PAINT BRUSH
10 PCS BABY ROLLER")</f>
        <v>10 GALLON WATERPROOFING AND SEALER
10 PCS PAINT BRUSH
10 PCS BABY ROLLER</v>
      </c>
      <c r="E990" s="196" t="str">
        <f>IFERROR(__xludf.DUMMYFUNCTION("""COMPUTED_VALUE"""),"FOR WATERPROOFING")</f>
        <v>FOR WATERPROOFING</v>
      </c>
    </row>
    <row r="991">
      <c r="A991" s="234">
        <f>IFERROR(__xludf.DUMMYFUNCTION("""COMPUTED_VALUE"""),105824.0)</f>
        <v>105824</v>
      </c>
      <c r="B991" s="235" t="str">
        <f>IFERROR(__xludf.DUMMYFUNCTION("""COMPUTED_VALUE"""),"RONALDO VERDE")</f>
        <v>RONALDO VERDE</v>
      </c>
      <c r="C991" s="235" t="str">
        <f>IFERROR(__xludf.DUMMYFUNCTION("""COMPUTED_VALUE"""),"ADMIN")</f>
        <v>ADMIN</v>
      </c>
      <c r="D991" s="196" t="str">
        <f>IFERROR(__xludf.DUMMYFUNCTION("""COMPUTED_VALUE"""),"10 PCS ACRYLIC 3 MM CLEAR")</f>
        <v>10 PCS ACRYLIC 3 MM CLEAR</v>
      </c>
      <c r="E991" s="196" t="str">
        <f>IFERROR(__xludf.DUMMYFUNCTION("""COMPUTED_VALUE"""),"CLASS ROOM/ OFFICE LIGHT LUC BLDG")</f>
        <v>CLASS ROOM/ OFFICE LIGHT LUC BLDG</v>
      </c>
    </row>
    <row r="992">
      <c r="A992" s="234">
        <f>IFERROR(__xludf.DUMMYFUNCTION("""COMPUTED_VALUE"""),105825.0)</f>
        <v>105825</v>
      </c>
      <c r="B992" s="235" t="str">
        <f>IFERROR(__xludf.DUMMYFUNCTION("""COMPUTED_VALUE"""),"SHEREE ESPINOSA")</f>
        <v>SHEREE ESPINOSA</v>
      </c>
      <c r="C992" s="235" t="str">
        <f>IFERROR(__xludf.DUMMYFUNCTION("""COMPUTED_VALUE"""),"ADMIN")</f>
        <v>ADMIN</v>
      </c>
      <c r="D992" s="196" t="str">
        <f>IFERROR(__xludf.DUMMYFUNCTION("""COMPUTED_VALUE"""),"25 PCS FOLDABLE TABLE ")</f>
        <v>25 PCS FOLDABLE TABLE </v>
      </c>
      <c r="E992" s="196" t="str">
        <f>IFERROR(__xludf.DUMMYFUNCTION("""COMPUTED_VALUE"""),"USE FOR UB EXAMS")</f>
        <v>USE FOR UB EXAMS</v>
      </c>
    </row>
    <row r="993">
      <c r="A993" s="234">
        <f>IFERROR(__xludf.DUMMYFUNCTION("""COMPUTED_VALUE"""),105826.0)</f>
        <v>105826</v>
      </c>
      <c r="B993" s="235" t="str">
        <f>IFERROR(__xludf.DUMMYFUNCTION("""COMPUTED_VALUE"""),"RODRIGO CUSTODIO ")</f>
        <v>RODRIGO CUSTODIO </v>
      </c>
      <c r="C993" s="235" t="str">
        <f>IFERROR(__xludf.DUMMYFUNCTION("""COMPUTED_VALUE"""),"ADMIN")</f>
        <v>ADMIN</v>
      </c>
      <c r="D993" s="196" t="str">
        <f>IFERROR(__xludf.DUMMYFUNCTION("""COMPUTED_VALUE"""),"900 PCS. JUMBO ROLL 200 METERS
2 PCS. DUST MOP HANDLE AND FRAME WITH MOP HEAD #30
40 PCS. TOILET BOWL WITH HOLDER ")</f>
        <v>900 PCS. JUMBO ROLL 200 METERS
2 PCS. DUST MOP HANDLE AND FRAME WITH MOP HEAD #30
40 PCS. TOILET BOWL WITH HOLDER </v>
      </c>
      <c r="E993" s="196" t="str">
        <f>IFERROR(__xludf.DUMMYFUNCTION("""COMPUTED_VALUE"""),"HOUSEKEEPING MATERIALS- STOCK REPLENISHMENT ")</f>
        <v>HOUSEKEEPING MATERIALS- STOCK REPLENISHMENT </v>
      </c>
    </row>
    <row r="994">
      <c r="A994" s="234">
        <f>IFERROR(__xludf.DUMMYFUNCTION("""COMPUTED_VALUE"""),105827.0)</f>
        <v>105827</v>
      </c>
      <c r="B994" s="235" t="str">
        <f>IFERROR(__xludf.DUMMYFUNCTION("""COMPUTED_VALUE"""),"MARVIN MARASIGAN ")</f>
        <v>MARVIN MARASIGAN </v>
      </c>
      <c r="C994" s="235" t="str">
        <f>IFERROR(__xludf.DUMMYFUNCTION("""COMPUTED_VALUE"""),"PR &amp; MARKETING")</f>
        <v>PR &amp; MARKETING</v>
      </c>
      <c r="D994" s="196" t="str">
        <f>IFERROR(__xludf.DUMMYFUNCTION("""COMPUTED_VALUE"""),"1 SET COLLAPSIBLE GREEN SCREEN 300X200 CM BACK DROP 200 X 200 CM FRAME 
3 CARD READER")</f>
        <v>1 SET COLLAPSIBLE GREEN SCREEN 300X200 CM BACK DROP 200 X 200 CM FRAME 
3 CARD READER</v>
      </c>
      <c r="E994" s="196" t="str">
        <f>IFERROR(__xludf.DUMMYFUNCTION("""COMPUTED_VALUE"""),"FOR PHOTOSHOOTS REQUIRING GREEN SCREEN AND FOR FILE MANAGEMET ")</f>
        <v>FOR PHOTOSHOOTS REQUIRING GREEN SCREEN AND FOR FILE MANAGEMET </v>
      </c>
    </row>
    <row r="995">
      <c r="A995" s="234">
        <f>IFERROR(__xludf.DUMMYFUNCTION("""COMPUTED_VALUE"""),105828.0)</f>
        <v>105828</v>
      </c>
      <c r="B995" s="235" t="str">
        <f>IFERROR(__xludf.DUMMYFUNCTION("""COMPUTED_VALUE"""),"JESUIT CHRISTIAN GALICIA")</f>
        <v>JESUIT CHRISTIAN GALICIA</v>
      </c>
      <c r="C995" s="235" t="str">
        <f>IFERROR(__xludf.DUMMYFUNCTION("""COMPUTED_VALUE"""),"AMD")</f>
        <v>AMD</v>
      </c>
      <c r="D995" s="196" t="str">
        <f>IFERROR(__xludf.DUMMYFUNCTION("""COMPUTED_VALUE"""),"200 PCS LED BULB 8W DAYLIGHT PHILIPS
20 PCS TOILET SEAT COVER 17"" WHITE
20 PCS T5 18W DAYLIGHT ECOSHIFT")</f>
        <v>200 PCS LED BULB 8W DAYLIGHT PHILIPS
20 PCS TOILET SEAT COVER 17" WHITE
20 PCS T5 18W DAYLIGHT ECOSHIFT</v>
      </c>
      <c r="E995" s="196" t="str">
        <f>IFERROR(__xludf.DUMMYFUNCTION("""COMPUTED_VALUE"""),"ENGINEERING WAREHOUSE REPLENISHMENT")</f>
        <v>ENGINEERING WAREHOUSE REPLENISHMENT</v>
      </c>
    </row>
    <row r="996">
      <c r="A996" s="234">
        <f>IFERROR(__xludf.DUMMYFUNCTION("""COMPUTED_VALUE"""),105829.0)</f>
        <v>105829</v>
      </c>
      <c r="B996" s="235" t="str">
        <f>IFERROR(__xludf.DUMMYFUNCTION("""COMPUTED_VALUE"""),"OWIE PAR")</f>
        <v>OWIE PAR</v>
      </c>
      <c r="C996" s="235" t="str">
        <f>IFERROR(__xludf.DUMMYFUNCTION("""COMPUTED_VALUE"""),"ENGINEERING")</f>
        <v>ENGINEERING</v>
      </c>
      <c r="D996" s="196" t="str">
        <f>IFERROR(__xludf.DUMMYFUNCTION("""COMPUTED_VALUE"""),"2 UNITS 6.0 HP CEILING CASSETTE TYPE INVERTER PANASONIC 
1 UNIT 3.0 HP WALL MOUNTED TYPE INVERTER PANASONIC")</f>
        <v>2 UNITS 6.0 HP CEILING CASSETTE TYPE INVERTER PANASONIC 
1 UNIT 3.0 HP WALL MOUNTED TYPE INVERTER PANASONIC</v>
      </c>
      <c r="E996" s="196" t="str">
        <f>IFERROR(__xludf.DUMMYFUNCTION("""COMPUTED_VALUE"""),"FOR 5TH FLR HALLWAY LUX 213")</f>
        <v>FOR 5TH FLR HALLWAY LUX 213</v>
      </c>
    </row>
    <row r="997">
      <c r="A997" s="234">
        <f>IFERROR(__xludf.DUMMYFUNCTION("""COMPUTED_VALUE"""),105830.0)</f>
        <v>105830</v>
      </c>
      <c r="B997" s="235" t="str">
        <f>IFERROR(__xludf.DUMMYFUNCTION("""COMPUTED_VALUE"""),"JAYVEN POBLETE")</f>
        <v>JAYVEN POBLETE</v>
      </c>
      <c r="C997" s="235" t="str">
        <f>IFERROR(__xludf.DUMMYFUNCTION("""COMPUTED_VALUE"""),"PR &amp; MARKETING")</f>
        <v>PR &amp; MARKETING</v>
      </c>
      <c r="D997" s="196" t="str">
        <f>IFERROR(__xludf.DUMMYFUNCTION("""COMPUTED_VALUE"""),"1 SGEN COMMITMENT WALL 6X6FT")</f>
        <v>1 SGEN COMMITMENT WALL 6X6FT</v>
      </c>
      <c r="E997" s="196" t="str">
        <f>IFERROR(__xludf.DUMMYFUNCTION("""COMPUTED_VALUE"""),"SHAVEN EVENT/NETWORKING")</f>
        <v>SHAVEN EVENT/NETWORKING</v>
      </c>
    </row>
    <row r="998">
      <c r="A998" s="234">
        <f>IFERROR(__xludf.DUMMYFUNCTION("""COMPUTED_VALUE"""),105831.0)</f>
        <v>105831</v>
      </c>
      <c r="B998" s="235" t="str">
        <f>IFERROR(__xludf.DUMMYFUNCTION("""COMPUTED_VALUE"""),"PAUL ARANA")</f>
        <v>PAUL ARANA</v>
      </c>
      <c r="C998" s="235" t="str">
        <f>IFERROR(__xludf.DUMMYFUNCTION("""COMPUTED_VALUE"""),"MIS/ICT")</f>
        <v>MIS/ICT</v>
      </c>
      <c r="D998" s="196" t="str">
        <f>IFERROR(__xludf.DUMMYFUNCTION("""COMPUTED_VALUE"""),"2 ACER VERITON VX4710G DESKTOP COMP")</f>
        <v>2 ACER VERITON VX4710G DESKTOP COMP</v>
      </c>
      <c r="E998" s="196" t="str">
        <f>IFERROR(__xludf.DUMMYFUNCTION("""COMPUTED_VALUE"""),"ADDITIONAL 2 UNITS FOR COLLEGE DIGITAL LAB")</f>
        <v>ADDITIONAL 2 UNITS FOR COLLEGE DIGITAL LAB</v>
      </c>
    </row>
    <row r="999">
      <c r="A999" s="234">
        <f>IFERROR(__xludf.DUMMYFUNCTION("""COMPUTED_VALUE"""),105832.0)</f>
        <v>105832</v>
      </c>
      <c r="B999" s="235" t="str">
        <f>IFERROR(__xludf.DUMMYFUNCTION("""COMPUTED_VALUE"""),"CLEA LOMIWES")</f>
        <v>CLEA LOMIWES</v>
      </c>
      <c r="C999" s="235" t="str">
        <f>IFERROR(__xludf.DUMMYFUNCTION("""COMPUTED_VALUE"""),"LIBRARY BASIC ED")</f>
        <v>LIBRARY BASIC ED</v>
      </c>
      <c r="D999" s="196" t="str">
        <f>IFERROR(__xludf.DUMMYFUNCTION("""COMPUTED_VALUE"""),"15 PCS RECTANGULAR POWER SOCKET COVER 2 GANG BLACK PLATE")</f>
        <v>15 PCS RECTANGULAR POWER SOCKET COVER 2 GANG BLACK PLATE</v>
      </c>
      <c r="E999" s="196" t="str">
        <f>IFERROR(__xludf.DUMMYFUNCTION("""COMPUTED_VALUE"""),"FOR SAFETY AND SECURITY OF STUDENTS")</f>
        <v>FOR SAFETY AND SECURITY OF STUDENTS</v>
      </c>
    </row>
    <row r="1000">
      <c r="A1000" s="234">
        <f>IFERROR(__xludf.DUMMYFUNCTION("""COMPUTED_VALUE"""),105833.0)</f>
        <v>105833</v>
      </c>
      <c r="B1000" s="235" t="str">
        <f>IFERROR(__xludf.DUMMYFUNCTION("""COMPUTED_VALUE"""),"ALFA DE LEON")</f>
        <v>ALFA DE LEON</v>
      </c>
      <c r="C1000" s="235" t="str">
        <f>IFERROR(__xludf.DUMMYFUNCTION("""COMPUTED_VALUE"""),"LANDSCAPING")</f>
        <v>LANDSCAPING</v>
      </c>
      <c r="D1000" s="196" t="str">
        <f>IFERROR(__xludf.DUMMYFUNCTION("""COMPUTED_VALUE"""),"35 PCS FORGET ME NOT PLANTS")</f>
        <v>35 PCS FORGET ME NOT PLANTS</v>
      </c>
      <c r="E1000" s="196" t="str">
        <f>IFERROR(__xludf.DUMMYFUNCTION("""COMPUTED_VALUE"""),"MAINTENANCE OF TROPICAL &amp;LUX HALL PLANTS")</f>
        <v>MAINTENANCE OF TROPICAL &amp;LUX HALL PLANTS</v>
      </c>
    </row>
    <row r="1001">
      <c r="A1001" s="234">
        <f>IFERROR(__xludf.DUMMYFUNCTION("""COMPUTED_VALUE"""),105834.0)</f>
        <v>105834</v>
      </c>
      <c r="B1001" s="235" t="str">
        <f>IFERROR(__xludf.DUMMYFUNCTION("""COMPUTED_VALUE"""),"RODRIGO CUSTODIO")</f>
        <v>RODRIGO CUSTODIO</v>
      </c>
      <c r="C1001" s="235" t="str">
        <f>IFERROR(__xludf.DUMMYFUNCTION("""COMPUTED_VALUE"""),"AMD")</f>
        <v>AMD</v>
      </c>
      <c r="D1001" s="196" t="str">
        <f>IFERROR(__xludf.DUMMYFUNCTION("""COMPUTED_VALUE"""),"60 PCS SPOTLESS HOUSEHOLD CLEANING PASTE")</f>
        <v>60 PCS SPOTLESS HOUSEHOLD CLEANING PASTE</v>
      </c>
      <c r="E1001" s="196" t="str">
        <f>IFERROR(__xludf.DUMMYFUNCTION("""COMPUTED_VALUE"""),"HOUSE KEEPING MATERIALS STOCK REPLENISHMENT")</f>
        <v>HOUSE KEEPING MATERIALS STOCK REPLENISHMENT</v>
      </c>
    </row>
    <row r="1002">
      <c r="A1002" s="234">
        <f>IFERROR(__xludf.DUMMYFUNCTION("""COMPUTED_VALUE"""),105835.0)</f>
        <v>105835</v>
      </c>
      <c r="B1002" s="235" t="str">
        <f>IFERROR(__xludf.DUMMYFUNCTION("""COMPUTED_VALUE"""),"EVA NECOSIA")</f>
        <v>EVA NECOSIA</v>
      </c>
      <c r="C1002" s="235" t="str">
        <f>IFERROR(__xludf.DUMMYFUNCTION("""COMPUTED_VALUE"""),"FINANCE &amp; ACCOUNTING")</f>
        <v>FINANCE &amp; ACCOUNTING</v>
      </c>
      <c r="D1002" s="196" t="str">
        <f>IFERROR(__xludf.DUMMYFUNCTION("""COMPUTED_VALUE"""),"100 BOOKLET ACKNOWLEDGEMENT RECEIPT TUITION FEE")</f>
        <v>100 BOOKLET ACKNOWLEDGEMENT RECEIPT TUITION FEE</v>
      </c>
      <c r="E1002" s="196" t="str">
        <f>IFERROR(__xludf.DUMMYFUNCTION("""COMPUTED_VALUE"""),"17 BOOKLETS LEFT")</f>
        <v>17 BOOKLETS LEFT</v>
      </c>
    </row>
    <row r="1003">
      <c r="A1003" s="234">
        <f>IFERROR(__xludf.DUMMYFUNCTION("""COMPUTED_VALUE"""),105836.0)</f>
        <v>105836</v>
      </c>
      <c r="B1003" s="235" t="str">
        <f>IFERROR(__xludf.DUMMYFUNCTION("""COMPUTED_VALUE"""),"MELLISA NAVAL-ODONO
AMIE ABABA")</f>
        <v>MELLISA NAVAL-ODONO
AMIE ABABA</v>
      </c>
      <c r="C1003" s="235" t="str">
        <f>IFERROR(__xludf.DUMMYFUNCTION("""COMPUTED_VALUE"""),"IB")</f>
        <v>IB</v>
      </c>
      <c r="D1003" s="196" t="str">
        <f>IFERROR(__xludf.DUMMYFUNCTION("""COMPUTED_VALUE"""),"IBDP- MANDARIN AB INITIO COURSEBOOK 1 (CHINESE AND ENGLISH EDITION)-2021-AUTHOR VENUS LIU - 1 PC
MATHEMATICS: APPLICATIONS AND INTERPRETATIONS SL 2 -2019- AUTHOR MARK HUMPRHIES NGOC VO,MICHAEL HAESE,MARK HUMPRHIES, CHRIS SANGWIN,&amp; NGOC VO - 1 PC
MATHEMATI"&amp;"CS: APPLICATIONS AND INTERPRETATION HL 2-2019-AUTHOR MICHAEL HAESE,MARK HUMPHRIES,CHRIS SANGWIN,&amp; NGOC VO- 1 PC
MATHEMATICS: ANALYSIS AND APPROACHES HL 2 ( MATHEMATICS FOR THE INTERNATIONAL STUDENT)-2019-AUTHOR AUTHOR MICHAEL HAESE,MARK HUMPHRIES,CHRIS SA"&amp;"NGWIN,&amp; NGOC VO- 1 PC
MATHEMATICS: CORE TOPICS SL 1 -2019-AUTHOR MICHAEL HAESE,MARK HUMPHRIES,CHRIS SANGWIN,&amp; NGOC VO- 1 PC
MATHEMATICS: CORE TOPICS HL 1 -2019-AUTHOR AUTHOR MICHAEL HAESE,MARK HUMPHRIES,CHRIS SANGWIN,&amp; NGOC VO-1 PC
COMPUTER SCIENCE FOR TH"&amp;"E IB DIPLOMA-2025-AUTHOR PAUL BAUMGARTEN, LOANA GANEA- 1 PC
ECONOMICS FOR THE IB DIPLOMA COURSEBOOK WITH DIGITAL ACCESS ( 2 YEARS ) 3RD EDITION - 2020- AUTHOR ELLIE TRAGAKES- 1 PC
LANGUAGE A FOR THE IB DIPLOMA: CONCEPT - BASED LEARNING : HODDER EDUCATION "&amp;"GROUP-2019- AUTHOR KATHLEEN CLARE WALLER- 1 PC
LITERARY ANALYSIS FOR ENGLISH LITERATURE FOR THE IB DIPLOMA: HODDER EDUCATION GROUP-2019-AUTHOR CAROLYN HENLY,&amp; ANGELA STANCAR JOHNSON- 1 PC
TEXTUAL ANALYSIS FOR ENGLISH LANGUAGE AND LITERATURE FOR THE IB DIP"&amp;"LOMA: SKILLS FOR SUCCESS- -2019-AUTHOR CAROLYN HENLY,&amp; ANGELA STANCAR JOHNSON- 1PC")</f>
        <v>IBDP- MANDARIN AB INITIO COURSEBOOK 1 (CHINESE AND ENGLISH EDITION)-2021-AUTHOR VENUS LIU - 1 PC
MATHEMATICS: APPLICATIONS AND INTERPRETATIONS SL 2 -2019- AUTHOR MARK HUMPRHIES NGOC VO,MICHAEL HAESE,MARK HUMPRHIES, CHRIS SANGWIN,&amp; NGOC VO - 1 PC
MATHEMATICS: APPLICATIONS AND INTERPRETATION HL 2-2019-AUTHOR MICHAEL HAESE,MARK HUMPHRIES,CHRIS SANGWIN,&amp; NGOC VO- 1 PC
MATHEMATICS: ANALYSIS AND APPROACHES HL 2 ( MATHEMATICS FOR THE INTERNATIONAL STUDENT)-2019-AUTHOR AUTHOR MICHAEL HAESE,MARK HUMPHRIES,CHRIS SANGWIN,&amp; NGOC VO- 1 PC
MATHEMATICS: CORE TOPICS SL 1 -2019-AUTHOR MICHAEL HAESE,MARK HUMPHRIES,CHRIS SANGWIN,&amp; NGOC VO- 1 PC
MATHEMATICS: CORE TOPICS HL 1 -2019-AUTHOR AUTHOR MICHAEL HAESE,MARK HUMPHRIES,CHRIS SANGWIN,&amp; NGOC VO-1 PC
COMPUTER SCIENCE FOR THE IB DIPLOMA-2025-AUTHOR PAUL BAUMGARTEN, LOANA GANEA- 1 PC
ECONOMICS FOR THE IB DIPLOMA COURSEBOOK WITH DIGITAL ACCESS ( 2 YEARS ) 3RD EDITION - 2020- AUTHOR ELLIE TRAGAKES- 1 PC
LANGUAGE A FOR THE IB DIPLOMA: CONCEPT - BASED LEARNING : HODDER EDUCATION GROUP-2019- AUTHOR KATHLEEN CLARE WALLER- 1 PC
LITERARY ANALYSIS FOR ENGLISH LITERATURE FOR THE IB DIPLOMA: HODDER EDUCATION GROUP-2019-AUTHOR CAROLYN HENLY,&amp; ANGELA STANCAR JOHNSON- 1 PC
TEXTUAL ANALYSIS FOR ENGLISH LANGUAGE AND LITERATURE FOR THE IB DIPLOMA: SKILLS FOR SUCCESS- -2019-AUTHOR CAROLYN HENLY,&amp; ANGELA STANCAR JOHNSON- 1PC</v>
      </c>
      <c r="E1003" s="196" t="str">
        <f>IFERROR(__xludf.DUMMYFUNCTION("""COMPUTED_VALUE"""),"FOR STUDENTS")</f>
        <v>FOR STUDENTS</v>
      </c>
    </row>
    <row r="1004">
      <c r="A1004" s="234">
        <f>IFERROR(__xludf.DUMMYFUNCTION("""COMPUTED_VALUE"""),105837.0)</f>
        <v>105837</v>
      </c>
      <c r="B1004" s="235" t="str">
        <f>IFERROR(__xludf.DUMMYFUNCTION("""COMPUTED_VALUE"""),"LUCILLE BEYER")</f>
        <v>LUCILLE BEYER</v>
      </c>
      <c r="C1004" s="235" t="str">
        <f>IFERROR(__xludf.DUMMYFUNCTION("""COMPUTED_VALUE"""),"MEDICAL")</f>
        <v>MEDICAL</v>
      </c>
      <c r="D1004" s="196" t="str">
        <f>IFERROR(__xludf.DUMMYFUNCTION("""COMPUTED_VALUE"""),"BIOGESIC- 300 PCS
NEOZEP NON DROWSE- 100 PCS
SOLMUX- 100 PCS
DIATABS- 100 PCS
BONAMINE- 50 PCS
CETIRIZINE 10 MG- 100 PCS
ALAXAN- 100 PCS
BIOFLU- 100 PCS
DECOLGEN ( NON DROWSE)- 100 PCS
CATAPRES- 50 PCS
MEFENAMIC ACID ( RITE MED)- 100 PCS
DISPOSABLE FACE M"&amp;"ASK (PARTNERS) - 10 BXS/3 PLY
SALONPAS- 15 BX/10s
SALBUTAMOL NEBULE- 20 PCS 
BAND AID ( MEDIPLAST) BANTAM- 20 BX/100s
WHITE FLOWER 20ml - 10 BOTTLES
HYDRITE ( APPLE FLAVOR )- 20 PCS
CALMOSEPTINE ( CREAM )- 20 PCS
DISPOSABLE STERILE TONGUE DEPRESSOR ( DR. "&amp;"KELLY)- 100 PCS/BX
OMEGA OINTMENT LINIMENT- 5 BOTTLES/102ml 
EFFICASENT OIL- 5 BOTTLES/ 235 mL
VOLTAREN EMULGEL 1% 20G - 2 TUBRES/20G
STREPSILS LOZENGES ( ORANGE/LEMON FLAVOR - 10 PCS-8PC PER PACK
BACTIDOL- 5 BOTTLES/500ML
EYE PATCH (MEDIPLAST)- 50 PCS
LY"&amp;"SOL DISINFECTANT SPRAY- 3 BOTTLES/680ML
NSS (0.9 SODIUM CHLORIDE SOLN)- 3 BOTTLES/500ML
BACTIFREE (MUPRICIN 2% OINTMENT- 3 TUBES/10G
BABYFLO- 5 PCS /200 TIPS/PACK   
TEMPRA SYRUP - 2 BOTTLES/ 250MG/5M
ALNIX- 2 BOTTLES/5MG/5ML")</f>
        <v>BIOGESIC- 300 PCS
NEOZEP NON DROWSE- 100 PCS
SOLMUX- 100 PCS
DIATABS- 100 PCS
BONAMINE- 50 PCS
CETIRIZINE 10 MG- 100 PCS
ALAXAN- 100 PCS
BIOFLU- 100 PCS
DECOLGEN ( NON DROWSE)- 100 PCS
CATAPRES- 50 PCS
MEFENAMIC ACID ( RITE MED)- 100 PCS
DISPOSABLE FACE MASK (PARTNERS) - 10 BXS/3 PLY
SALONPAS- 15 BX/10s
SALBUTAMOL NEBULE- 20 PCS 
BAND AID ( MEDIPLAST) BANTAM- 20 BX/100s
WHITE FLOWER 20ml - 10 BOTTLES
HYDRITE ( APPLE FLAVOR )- 20 PCS
CALMOSEPTINE ( CREAM )- 20 PCS
DISPOSABLE STERILE TONGUE DEPRESSOR ( DR. KELLY)- 100 PCS/BX
OMEGA OINTMENT LINIMENT- 5 BOTTLES/102ml 
EFFICASENT OIL- 5 BOTTLES/ 235 mL
VOLTAREN EMULGEL 1% 20G - 2 TUBRES/20G
STREPSILS LOZENGES ( ORANGE/LEMON FLAVOR - 10 PCS-8PC PER PACK
BACTIDOL- 5 BOTTLES/500ML
EYE PATCH (MEDIPLAST)- 50 PCS
LYSOL DISINFECTANT SPRAY- 3 BOTTLES/680ML
NSS (0.9 SODIUM CHLORIDE SOLN)- 3 BOTTLES/500ML
BACTIFREE (MUPRICIN 2% OINTMENT- 3 TUBES/10G
BABYFLO- 5 PCS /200 TIPS/PACK   
TEMPRA SYRUP - 2 BOTTLES/ 250MG/5M
ALNIX- 2 BOTTLES/5MG/5ML</v>
      </c>
      <c r="E1004" s="196" t="str">
        <f>IFERROR(__xludf.DUMMYFUNCTION("""COMPUTED_VALUE"""),"REPLENISHMENT OF CLINIC MEDS &amp; MATERIALS FOR 3 CLINICS FOR JUNE &amp; JULY")</f>
        <v>REPLENISHMENT OF CLINIC MEDS &amp; MATERIALS FOR 3 CLINICS FOR JUNE &amp; JULY</v>
      </c>
    </row>
    <row r="1005">
      <c r="A1005" s="234">
        <f>IFERROR(__xludf.DUMMYFUNCTION("""COMPUTED_VALUE"""),105838.0)</f>
        <v>105838</v>
      </c>
      <c r="B1005" s="235" t="str">
        <f>IFERROR(__xludf.DUMMYFUNCTION("""COMPUTED_VALUE"""),"LYKA PERALTA")</f>
        <v>LYKA PERALTA</v>
      </c>
      <c r="C1005" s="235" t="str">
        <f>IFERROR(__xludf.DUMMYFUNCTION("""COMPUTED_VALUE"""),"AMD")</f>
        <v>AMD</v>
      </c>
      <c r="D1005" s="196" t="str">
        <f>IFERROR(__xludf.DUMMYFUNCTION("""COMPUTED_VALUE"""),"Frame, Certificate Ordinary - Brown A3 size
11 &amp; 11/16 inches width - 16 &amp; 1/2 inches height)")</f>
        <v>Frame, Certificate Ordinary - Brown A3 size
11 &amp; 11/16 inches width - 16 &amp; 1/2 inches height)</v>
      </c>
      <c r="E1005" s="196" t="str">
        <f>IFERROR(__xludf.DUMMYFUNCTION("""COMPUTED_VALUE"""),"OSSUP NEW STOCK")</f>
        <v>OSSUP NEW STOCK</v>
      </c>
    </row>
    <row r="1006">
      <c r="A1006" s="234">
        <f>IFERROR(__xludf.DUMMYFUNCTION("""COMPUTED_VALUE"""),105839.0)</f>
        <v>105839</v>
      </c>
      <c r="B1006" s="235" t="str">
        <f>IFERROR(__xludf.DUMMYFUNCTION("""COMPUTED_VALUE"""),"ALFA DE LEON")</f>
        <v>ALFA DE LEON</v>
      </c>
      <c r="C1006" s="235" t="str">
        <f>IFERROR(__xludf.DUMMYFUNCTION("""COMPUTED_VALUE"""),"LANDSCAPING")</f>
        <v>LANDSCAPING</v>
      </c>
      <c r="D1006" s="196" t="str">
        <f>IFERROR(__xludf.DUMMYFUNCTION("""COMPUTED_VALUE"""),"GARDEN HOSE 1/2 100 METERS")</f>
        <v>GARDEN HOSE 1/2 100 METERS</v>
      </c>
      <c r="E1006" s="196" t="str">
        <f>IFERROR(__xludf.DUMMYFUNCTION("""COMPUTED_VALUE"""),"REPLACEMENT OF BROKEN GARDEN IN MONARCH AND COLLEGE")</f>
        <v>REPLACEMENT OF BROKEN GARDEN IN MONARCH AND COLLEGE</v>
      </c>
    </row>
    <row r="1007">
      <c r="A1007" s="234">
        <f>IFERROR(__xludf.DUMMYFUNCTION("""COMPUTED_VALUE"""),105840.0)</f>
        <v>105840</v>
      </c>
      <c r="B1007" s="235" t="str">
        <f>IFERROR(__xludf.DUMMYFUNCTION("""COMPUTED_VALUE"""),"RACHEL PAMATIAN")</f>
        <v>RACHEL PAMATIAN</v>
      </c>
      <c r="C1007" s="235" t="str">
        <f>IFERROR(__xludf.DUMMYFUNCTION("""COMPUTED_VALUE"""),"ADMIN - STAR")</f>
        <v>ADMIN - STAR</v>
      </c>
      <c r="D1007" s="196" t="str">
        <f>IFERROR(__xludf.DUMMYFUNCTION("""COMPUTED_VALUE"""),"3 SOUTHVILLE FLAG FOR FLAGPOLE 3FT X5FT")</f>
        <v>3 SOUTHVILLE FLAG FOR FLAGPOLE 3FT X5FT</v>
      </c>
      <c r="E1007" s="196" t="str">
        <f>IFERROR(__xludf.DUMMYFUNCTION("""COMPUTED_VALUE"""),"NEW SOUTHVILLE FLAG FOR STAR CAMPUS")</f>
        <v>NEW SOUTHVILLE FLAG FOR STAR CAMPUS</v>
      </c>
    </row>
    <row r="1008">
      <c r="A1008" s="234">
        <f>IFERROR(__xludf.DUMMYFUNCTION("""COMPUTED_VALUE"""),105841.0)</f>
        <v>105841</v>
      </c>
      <c r="B1008" s="235" t="str">
        <f>IFERROR(__xludf.DUMMYFUNCTION("""COMPUTED_VALUE"""),"RODRIGO CUSTODIO")</f>
        <v>RODRIGO CUSTODIO</v>
      </c>
      <c r="C1008" s="235" t="str">
        <f>IFERROR(__xludf.DUMMYFUNCTION("""COMPUTED_VALUE"""),"AMD")</f>
        <v>AMD</v>
      </c>
      <c r="D1008" s="196" t="str">
        <f>IFERROR(__xludf.DUMMYFUNCTION("""COMPUTED_VALUE"""),"72 PCS BAYGON WATERBASED MULTI INSECT KILLER 500ML BOTTLE
15 PCS MOP HANDLE 4FT YELLOW MANSION
19 PCS MOP HANDLE 4FT GREEN MANSION
14 PCS MOP HANDLE 4FT BLUE MANSION")</f>
        <v>72 PCS BAYGON WATERBASED MULTI INSECT KILLER 500ML BOTTLE
15 PCS MOP HANDLE 4FT YELLOW MANSION
19 PCS MOP HANDLE 4FT GREEN MANSION
14 PCS MOP HANDLE 4FT BLUE MANSION</v>
      </c>
      <c r="E1008" s="196" t="str">
        <f>IFERROR(__xludf.DUMMYFUNCTION("""COMPUTED_VALUE"""),"HOUSE KEEPING MATERIALS STOCK REPLENISHMENT")</f>
        <v>HOUSE KEEPING MATERIALS STOCK REPLENISHMENT</v>
      </c>
    </row>
    <row r="1009">
      <c r="A1009" s="234">
        <f>IFERROR(__xludf.DUMMYFUNCTION("""COMPUTED_VALUE"""),105842.0)</f>
        <v>105842</v>
      </c>
      <c r="B1009" s="235" t="str">
        <f>IFERROR(__xludf.DUMMYFUNCTION("""COMPUTED_VALUE"""),"MELISSA ODONO")</f>
        <v>MELISSA ODONO</v>
      </c>
      <c r="C1009" s="235" t="str">
        <f>IFERROR(__xludf.DUMMYFUNCTION("""COMPUTED_VALUE"""),"IB")</f>
        <v>IB</v>
      </c>
      <c r="D1009" s="196" t="str">
        <f>IFERROR(__xludf.DUMMYFUNCTION("""COMPUTED_VALUE"""),"1 PC OXFORD IB DIPLOMA PROGRAMME:IB MATHEMATICS: APPLICATIONS AND INTERPRETATION STANDARD LEVEL PRINT AND ENHANCED ONLINE COURSE BOOK PACK
1 PC OXFORD IB DIPLOMA PROGRAMME:IB MATHEMATICS: APPLICATIONS AND INTERPRETATION HIGHER LEVEL PRINT AND ENHANCED ONL"&amp;"INE COURSE BOOK PACK
1 PC OXFORD IB DIPLOMA PROGRAMME:IB MATHEMATICS: ANALYSIS AND APPROACHES  HIGHER LEVEL PRINT AND ENHANCED ONLINE COURSE BOOK PACK
1 PC OXFORD IB DIPLOMA PROGRAMME:IB PREPARED: BIOLOGY 2023 EDITION
1 PC OXFORD IB DIPLOMA PROGRAMME:IB C"&amp;"OURSE PREPARATION BIOLOGY STUDENT BOOK
1 PC OXFORD IB DIPLOMA PROGRAMME:IB PREPARED: CHEMISTRY 2023 EDITION
1 PC OXFORD IB DIPLOMA PROGRAMME:IB COURSE PREPARATION CHEMISTRY STUDENT BOOK
1 PC OXFORD IB DIPLOMA PROGRAMME:IB PREPARED: PHYSICS 2023 EDITION
1 "&amp;"PC OXFORD IB DIPLOMA PROGRAMME:IB COURSE PREPARATION PHYSICS STUDENT BOOK
1 PC OXFORD RESOURCES FOR IB DP COMPUTER SCIENCE COURSE BOOK
1 PC OXFORD RESOURCES FOR IB DP PSYCHOLOGY COURSE BOOK
1 PC OXFORD RESOURCES FOR IB DP ENVIRONMENTAL SYSTEMS AND SOCIETI"&amp;"ES COURSE BOOK")</f>
        <v>1 PC OXFORD IB DIPLOMA PROGRAMME:IB MATHEMATICS: APPLICATIONS AND INTERPRETATION STANDARD LEVEL PRINT AND ENHANCED ONLINE COURSE BOOK PACK
1 PC OXFORD IB DIPLOMA PROGRAMME:IB MATHEMATICS: APPLICATIONS AND INTERPRETATION HIGHER LEVEL PRINT AND ENHANCED ONLINE COURSE BOOK PACK
1 PC OXFORD IB DIPLOMA PROGRAMME:IB MATHEMATICS: ANALYSIS AND APPROACHES  HIGHER LEVEL PRINT AND ENHANCED ONLINE COURSE BOOK PACK
1 PC OXFORD IB DIPLOMA PROGRAMME:IB PREPARED: BIOLOGY 2023 EDITION
1 PC OXFORD IB DIPLOMA PROGRAMME:IB COURSE PREPARATION BIOLOGY STUDENT BOOK
1 PC OXFORD IB DIPLOMA PROGRAMME:IB PREPARED: CHEMISTRY 2023 EDITION
1 PC OXFORD IB DIPLOMA PROGRAMME:IB COURSE PREPARATION CHEMISTRY STUDENT BOOK
1 PC OXFORD IB DIPLOMA PROGRAMME:IB PREPARED: PHYSICS 2023 EDITION
1 PC OXFORD IB DIPLOMA PROGRAMME:IB COURSE PREPARATION PHYSICS STUDENT BOOK
1 PC OXFORD RESOURCES FOR IB DP COMPUTER SCIENCE COURSE BOOK
1 PC OXFORD RESOURCES FOR IB DP PSYCHOLOGY COURSE BOOK
1 PC OXFORD RESOURCES FOR IB DP ENVIRONMENTAL SYSTEMS AND SOCIETIES COURSE BOOK</v>
      </c>
      <c r="E1009" s="196" t="str">
        <f>IFERROR(__xludf.DUMMYFUNCTION("""COMPUTED_VALUE"""),"FOR STUDENTS/ FACULTY USE ")</f>
        <v>FOR STUDENTS/ FACULTY USE </v>
      </c>
    </row>
    <row r="1010">
      <c r="A1010" s="234">
        <f>IFERROR(__xludf.DUMMYFUNCTION("""COMPUTED_VALUE"""),105843.0)</f>
        <v>105843</v>
      </c>
      <c r="B1010" s="235" t="str">
        <f>IFERROR(__xludf.DUMMYFUNCTION("""COMPUTED_VALUE"""),"MELISSA ODONO")</f>
        <v>MELISSA ODONO</v>
      </c>
      <c r="C1010" s="235" t="str">
        <f>IFERROR(__xludf.DUMMYFUNCTION("""COMPUTED_VALUE"""),"IB")</f>
        <v>IB</v>
      </c>
      <c r="D1010" s="196" t="str">
        <f>IFERROR(__xludf.DUMMYFUNCTION("""COMPUTED_VALUE"""),"1 PC OXFORD IB DIPLOMA PROGRAMME:CAUSES AND EFFECTS OF 20TH CENTURY WAR COMPANION
1 PC OXFORD IB DIPLOMA PROGRAMME:HISTORY OF THE AMERICAS 1880-1981 COURSE COMPANION
1 PC OXFORD IB DIPLOMA PROGRAMME:IB PREPARED: HISTORY
1 PC OXFORD IB DIPLOMA PROGRAMME:IB"&amp;" ECONOMICS COURSE BOOK
1 PC OXFORD IB DIPLOMA PROGRAMME:BUSINESS AND MANAGEMENT COURSE BOOK
1 PC OXFORD IB DIPLOMA PROGRAMME:IB DP EXTENDED ESSAY COURSE BOOK 
1 PC OXFORD IB DIPLOMA PROGRAMME:IB DP VISUAL ARTS COURSE BOOK
1 PC OXFORD IB DIPLOMA PROGRAMME:"&amp;"IB PREPARED: THEORY OF KNOWLEDGE
1 PC OXFORD IB DIPLOMA PROGRAMME:IB PREPARED: ENGLISH A LANGUAGE AND LITERATURE
1 PC OXFORD IB DIPLOMA PROGRAMME:IB PREPARED: ENGLISH A LITERATURE 
1 PC OXFORD IB DIPLOMA PROGRAMME:IB PREPARED: ENGLISH B
1 PC OXFORD IB DIP"&amp;"LOMA PROGRAMME:IB PREPARED ECONOMICS")</f>
        <v>1 PC OXFORD IB DIPLOMA PROGRAMME:CAUSES AND EFFECTS OF 20TH CENTURY WAR COMPANION
1 PC OXFORD IB DIPLOMA PROGRAMME:HISTORY OF THE AMERICAS 1880-1981 COURSE COMPANION
1 PC OXFORD IB DIPLOMA PROGRAMME:IB PREPARED: HISTORY
1 PC OXFORD IB DIPLOMA PROGRAMME:IB ECONOMICS COURSE BOOK
1 PC OXFORD IB DIPLOMA PROGRAMME:BUSINESS AND MANAGEMENT COURSE BOOK
1 PC OXFORD IB DIPLOMA PROGRAMME:IB DP EXTENDED ESSAY COURSE BOOK 
1 PC OXFORD IB DIPLOMA PROGRAMME:IB DP VISUAL ARTS COURSE BOOK
1 PC OXFORD IB DIPLOMA PROGRAMME:IB PREPARED: THEORY OF KNOWLEDGE
1 PC OXFORD IB DIPLOMA PROGRAMME:IB PREPARED: ENGLISH A LANGUAGE AND LITERATURE
1 PC OXFORD IB DIPLOMA PROGRAMME:IB PREPARED: ENGLISH A LITERATURE 
1 PC OXFORD IB DIPLOMA PROGRAMME:IB PREPARED: ENGLISH B
1 PC OXFORD IB DIPLOMA PROGRAMME:IB PREPARED ECONOMICS</v>
      </c>
      <c r="E1010" s="196" t="str">
        <f>IFERROR(__xludf.DUMMYFUNCTION("""COMPUTED_VALUE"""),"FOR STUDENTS FACULTY USE")</f>
        <v>FOR STUDENTS FACULTY USE</v>
      </c>
    </row>
    <row r="1011">
      <c r="A1011" s="234">
        <f>IFERROR(__xludf.DUMMYFUNCTION("""COMPUTED_VALUE"""),105844.0)</f>
        <v>105844</v>
      </c>
      <c r="B1011" s="235" t="str">
        <f>IFERROR(__xludf.DUMMYFUNCTION("""COMPUTED_VALUE"""),"MELISSA ODONO")</f>
        <v>MELISSA ODONO</v>
      </c>
      <c r="C1011" s="235" t="str">
        <f>IFERROR(__xludf.DUMMYFUNCTION("""COMPUTED_VALUE"""),"IB")</f>
        <v>IB</v>
      </c>
      <c r="D1011" s="196" t="str">
        <f>IFERROR(__xludf.DUMMYFUNCTION("""COMPUTED_VALUE"""),"1 PC OXFORD IB DIPLOMA PROGRAMME:IB PREPARED: BUSINESS MANAGEMENT 2ND EDITION
1 PC OXFORD IB DIPLOMA PROGRAMME:IB PREPARED: HISTORY
1 PC OXFORD IB DIPLOMA PROGRAMME:IB PREPARED: PSYCHOLOGY
1 PC OXFORD IB DIPLOMA PROGRAMME:IB PREPARED:BIOLOGY 2023 EDITION
"&amp;"1 PC OXFORD IB DIPLOMA PROGRAMME:IB PREPARED:CHEMISTRY 2023 EDITION
1 PC OXFORD IB DIPLOMA PROGRAMME:IB PREPARED: PHYSICS 2023 EDITION
1 PC OXFORD IB DIPLOMA PROGRAMME:IB PREPARED:ENVIRONMENTAL SYSTEMS AND SOCIETIES
1 PC OXFORD IB DIPLOMA PROGRAMME:IB PRE"&amp;"PARED:MATHEMATICS APPLICATIONS AND INTERPRETATION
1 PC OXFORD IB DIPLOMA PROGRAMME:IB PREPARED: MATHEMATICS ANALYSIS AND APPROACHES
1 PC OXFORD IB STUDY GUIDES: ECONOMICS FOR THE IB DIPLOMA")</f>
        <v>1 PC OXFORD IB DIPLOMA PROGRAMME:IB PREPARED: BUSINESS MANAGEMENT 2ND EDITION
1 PC OXFORD IB DIPLOMA PROGRAMME:IB PREPARED: HISTORY
1 PC OXFORD IB DIPLOMA PROGRAMME:IB PREPARED: PSYCHOLOGY
1 PC OXFORD IB DIPLOMA PROGRAMME:IB PREPARED:BIOLOGY 2023 EDITION
1 PC OXFORD IB DIPLOMA PROGRAMME:IB PREPARED:CHEMISTRY 2023 EDITION
1 PC OXFORD IB DIPLOMA PROGRAMME:IB PREPARED: PHYSICS 2023 EDITION
1 PC OXFORD IB DIPLOMA PROGRAMME:IB PREPARED:ENVIRONMENTAL SYSTEMS AND SOCIETIES
1 PC OXFORD IB DIPLOMA PROGRAMME:IB PREPARED:MATHEMATICS APPLICATIONS AND INTERPRETATION
1 PC OXFORD IB DIPLOMA PROGRAMME:IB PREPARED: MATHEMATICS ANALYSIS AND APPROACHES
1 PC OXFORD IB STUDY GUIDES: ECONOMICS FOR THE IB DIPLOMA</v>
      </c>
      <c r="E1011" s="196" t="str">
        <f>IFERROR(__xludf.DUMMYFUNCTION("""COMPUTED_VALUE"""),"FOR STUDENTS FACULTY USE")</f>
        <v>FOR STUDENTS FACULTY USE</v>
      </c>
    </row>
    <row r="1012">
      <c r="A1012" s="234">
        <f>IFERROR(__xludf.DUMMYFUNCTION("""COMPUTED_VALUE"""),105845.0)</f>
        <v>105845</v>
      </c>
      <c r="B1012" s="235" t="str">
        <f>IFERROR(__xludf.DUMMYFUNCTION("""COMPUTED_VALUE"""),"LYKA PERALTA")</f>
        <v>LYKA PERALTA</v>
      </c>
      <c r="C1012" s="235" t="str">
        <f>IFERROR(__xludf.DUMMYFUNCTION("""COMPUTED_VALUE"""),"AMD")</f>
        <v>AMD</v>
      </c>
      <c r="D1012" s="196" t="str">
        <f>IFERROR(__xludf.DUMMYFUNCTION("""COMPUTED_VALUE"""),"60 PACKS VELLUM BOARD LONG 10 PCS PER PACK
300 PACKS VELLUM BOARD SHORT10 PCS PER PACK")</f>
        <v>60 PACKS VELLUM BOARD LONG 10 PCS PER PACK
300 PACKS VELLUM BOARD SHORT10 PCS PER PACK</v>
      </c>
      <c r="E1012" s="196" t="str">
        <f>IFERROR(__xludf.DUMMYFUNCTION("""COMPUTED_VALUE"""),"OSSUP REPLENISHMENT")</f>
        <v>OSSUP REPLENISHMENT</v>
      </c>
    </row>
    <row r="1013">
      <c r="A1013" s="234">
        <f>IFERROR(__xludf.DUMMYFUNCTION("""COMPUTED_VALUE"""),105846.0)</f>
        <v>105846</v>
      </c>
      <c r="B1013" s="235" t="str">
        <f>IFERROR(__xludf.DUMMYFUNCTION("""COMPUTED_VALUE"""),"CHRISTIAN LUCAS")</f>
        <v>CHRISTIAN LUCAS</v>
      </c>
      <c r="C1013" s="235" t="str">
        <f>IFERROR(__xludf.DUMMYFUNCTION("""COMPUTED_VALUE"""),"MIS MUNICH")</f>
        <v>MIS MUNICH</v>
      </c>
      <c r="D1013" s="196" t="str">
        <f>IFERROR(__xludf.DUMMYFUNCTION("""COMPUTED_VALUE"""),"3 PCS MINI PC BEELINK MODEL MINI 5")</f>
        <v>3 PCS MINI PC BEELINK MODEL MINI 5</v>
      </c>
      <c r="E1013" s="196" t="str">
        <f>IFERROR(__xludf.DUMMYFUNCTION("""COMPUTED_VALUE"""),"FOR MUNICH EVENT PLACES USE ONLY")</f>
        <v>FOR MUNICH EVENT PLACES USE ONLY</v>
      </c>
    </row>
    <row r="1014">
      <c r="A1014" s="234">
        <f>IFERROR(__xludf.DUMMYFUNCTION("""COMPUTED_VALUE"""),105847.0)</f>
        <v>105847</v>
      </c>
      <c r="B1014" s="235" t="str">
        <f>IFERROR(__xludf.DUMMYFUNCTION("""COMPUTED_VALUE"""),"OWIE PAR")</f>
        <v>OWIE PAR</v>
      </c>
      <c r="C1014" s="235" t="str">
        <f>IFERROR(__xludf.DUMMYFUNCTION("""COMPUTED_VALUE"""),"ENGINEERING")</f>
        <v>ENGINEERING</v>
      </c>
      <c r="D1014" s="196" t="str">
        <f>IFERROR(__xludf.DUMMYFUNCTION("""COMPUTED_VALUE"""),"1 SET SUBMERSIBLE PUMP 2 HP SINGLE PHASE 220 VOLTS")</f>
        <v>1 SET SUBMERSIBLE PUMP 2 HP SINGLE PHASE 220 VOLTS</v>
      </c>
      <c r="E1014" s="196" t="str">
        <f>IFERROR(__xludf.DUMMYFUNCTION("""COMPUTED_VALUE"""),"FOR MONARCHS PARK FOUNDATION")</f>
        <v>FOR MONARCHS PARK FOUNDATION</v>
      </c>
    </row>
    <row r="1015">
      <c r="A1015" s="234">
        <f>IFERROR(__xludf.DUMMYFUNCTION("""COMPUTED_VALUE"""),105848.0)</f>
        <v>105848</v>
      </c>
      <c r="B1015" s="235" t="str">
        <f>IFERROR(__xludf.DUMMYFUNCTION("""COMPUTED_VALUE"""),"JESUIT CHRISTIAN GALICIA")</f>
        <v>JESUIT CHRISTIAN GALICIA</v>
      </c>
      <c r="C1015" s="235" t="str">
        <f>IFERROR(__xludf.DUMMYFUNCTION("""COMPUTED_VALUE"""),"AMD")</f>
        <v>AMD</v>
      </c>
      <c r="D1015" s="196" t="str">
        <f>IFERROR(__xludf.DUMMYFUNCTION("""COMPUTED_VALUE"""),"14 PCS DOUBLE ACTION VALVE 1/2 X 1/2 X 1/4 ")</f>
        <v>14 PCS DOUBLE ACTION VALVE 1/2 X 1/2 X 1/4 </v>
      </c>
      <c r="E1015" s="196" t="str">
        <f>IFERROR(__xludf.DUMMYFUNCTION("""COMPUTED_VALUE"""),"ENGINEERING WAREHOUSE REPLENISHMENT")</f>
        <v>ENGINEERING WAREHOUSE REPLENISHMENT</v>
      </c>
    </row>
    <row r="1016">
      <c r="A1016" s="234">
        <f>IFERROR(__xludf.DUMMYFUNCTION("""COMPUTED_VALUE"""),105849.0)</f>
        <v>105849</v>
      </c>
      <c r="B1016" s="235" t="str">
        <f>IFERROR(__xludf.DUMMYFUNCTION("""COMPUTED_VALUE"""),"NESSIE LUMBRES")</f>
        <v>NESSIE LUMBRES</v>
      </c>
      <c r="C1016" s="235" t="str">
        <f>IFERROR(__xludf.DUMMYFUNCTION("""COMPUTED_VALUE"""),"SHS DEPARTMENT")</f>
        <v>SHS DEPARTMENT</v>
      </c>
      <c r="D1016" s="196" t="str">
        <f>IFERROR(__xludf.DUMMYFUNCTION("""COMPUTED_VALUE"""),"45 PCS GENERAL SCHOLASTIC AWARD TRI COLOR GOLD
10 PCS AFSL BLUE RIBBON LACE")</f>
        <v>45 PCS GENERAL SCHOLASTIC AWARD TRI COLOR GOLD
10 PCS AFSL BLUE RIBBON LACE</v>
      </c>
      <c r="E1016" s="196" t="str">
        <f>IFERROR(__xludf.DUMMYFUNCTION("""COMPUTED_VALUE"""),"SHS GRAD AY 24-25 MEDALS")</f>
        <v>SHS GRAD AY 24-25 MEDALS</v>
      </c>
    </row>
    <row r="1017">
      <c r="A1017" s="234">
        <f>IFERROR(__xludf.DUMMYFUNCTION("""COMPUTED_VALUE"""),105850.0)</f>
        <v>105850</v>
      </c>
      <c r="B1017" s="235" t="str">
        <f>IFERROR(__xludf.DUMMYFUNCTION("""COMPUTED_VALUE"""),"NESSIE LUMBRES")</f>
        <v>NESSIE LUMBRES</v>
      </c>
      <c r="C1017" s="235" t="str">
        <f>IFERROR(__xludf.DUMMYFUNCTION("""COMPUTED_VALUE"""),"SHS DEPARTMENT")</f>
        <v>SHS DEPARTMENT</v>
      </c>
      <c r="D1017" s="196" t="str">
        <f>IFERROR(__xludf.DUMMYFUNCTION("""COMPUTED_VALUE"""),"116 PCS VALUES EXCELLENCE AWARD WHITE LACE
85 PCS PERFECT ATTENDANCE YELLOW LACE
29 PCS LOYALTY MEDAL
66 PCS SUBJECT EXCELLENCE TRI COLOR
98 PCS ACADEMIC EXCELLENCE GREEN LACE GOLD
45 PCS ACADEMIC EXCELLENCE PURPLE LACE SILVER
36 PCS ACADEMIC EXCELLENCE P"&amp;"INK LACE BRONZE
33 PCS GENERAL SCHOLASTIC AWARD TRI COLOR GOLD
5 PCS ATHLETE OF THE YEAR TRI COLOR LACE")</f>
        <v>116 PCS VALUES EXCELLENCE AWARD WHITE LACE
85 PCS PERFECT ATTENDANCE YELLOW LACE
29 PCS LOYALTY MEDAL
66 PCS SUBJECT EXCELLENCE TRI COLOR
98 PCS ACADEMIC EXCELLENCE GREEN LACE GOLD
45 PCS ACADEMIC EXCELLENCE PURPLE LACE SILVER
36 PCS ACADEMIC EXCELLENCE PINK LACE BRONZE
33 PCS GENERAL SCHOLASTIC AWARD TRI COLOR GOLD
5 PCS ATHLETE OF THE YEAR TRI COLOR LACE</v>
      </c>
      <c r="E1017" s="196" t="str">
        <f>IFERROR(__xludf.DUMMYFUNCTION("""COMPUTED_VALUE"""),"SHS GRAD AY 24-25 MEDALS")</f>
        <v>SHS GRAD AY 24-25 MEDALS</v>
      </c>
    </row>
    <row r="1018">
      <c r="A1018" s="234">
        <f>IFERROR(__xludf.DUMMYFUNCTION("""COMPUTED_VALUE"""),105851.0)</f>
        <v>105851</v>
      </c>
      <c r="B1018" s="235" t="str">
        <f>IFERROR(__xludf.DUMMYFUNCTION("""COMPUTED_VALUE"""),"VIOLETA REVOLTAR")</f>
        <v>VIOLETA REVOLTAR</v>
      </c>
      <c r="C1018" s="235" t="str">
        <f>IFERROR(__xludf.DUMMYFUNCTION("""COMPUTED_VALUE"""),"CEM OFFICE")</f>
        <v>CEM OFFICE</v>
      </c>
      <c r="D1018" s="196" t="str">
        <f>IFERROR(__xludf.DUMMYFUNCTION("""COMPUTED_VALUE"""),"1 EPSON L120 - CANCELLED MOVED TO SRF SO5125")</f>
        <v>1 EPSON L120 - CANCELLED MOVED TO SRF SO5125</v>
      </c>
      <c r="E1018" s="196" t="str">
        <f>IFERROR(__xludf.DUMMYFUNCTION("""COMPUTED_VALUE"""),"TO SPEED UP THE PRINTING OF THE PUBLICATIONS CHRONICLES")</f>
        <v>TO SPEED UP THE PRINTING OF THE PUBLICATIONS CHRONICLES</v>
      </c>
    </row>
    <row r="1019">
      <c r="A1019" s="234">
        <f>IFERROR(__xludf.DUMMYFUNCTION("""COMPUTED_VALUE"""),105852.0)</f>
        <v>105852</v>
      </c>
      <c r="B1019" s="235" t="str">
        <f>IFERROR(__xludf.DUMMYFUNCTION("""COMPUTED_VALUE"""),"ALFA DE LEON")</f>
        <v>ALFA DE LEON</v>
      </c>
      <c r="C1019" s="235" t="str">
        <f>IFERROR(__xludf.DUMMYFUNCTION("""COMPUTED_VALUE"""),"LANDSCAPING")</f>
        <v>LANDSCAPING</v>
      </c>
      <c r="D1019" s="196" t="str">
        <f>IFERROR(__xludf.DUMMYFUNCTION("""COMPUTED_VALUE"""),"1 GARDEN TOOLS 
1 SCISSORS 
1 PRUNNING SHEARS SCISSOR")</f>
        <v>1 GARDEN TOOLS 
1 SCISSORS 
1 PRUNNING SHEARS SCISSOR</v>
      </c>
      <c r="E1019" s="196" t="str">
        <f>IFERROR(__xludf.DUMMYFUNCTION("""COMPUTED_VALUE"""),"REPAIR+ MAINTENANCE LANDSCAPING MATERIALS")</f>
        <v>REPAIR+ MAINTENANCE LANDSCAPING MATERIALS</v>
      </c>
    </row>
    <row r="1020">
      <c r="A1020" s="234">
        <f>IFERROR(__xludf.DUMMYFUNCTION("""COMPUTED_VALUE"""),105853.0)</f>
        <v>105853</v>
      </c>
      <c r="B1020" s="235" t="str">
        <f>IFERROR(__xludf.DUMMYFUNCTION("""COMPUTED_VALUE"""),"RODRIGO CUSTODIO")</f>
        <v>RODRIGO CUSTODIO</v>
      </c>
      <c r="C1020" s="235" t="str">
        <f>IFERROR(__xludf.DUMMYFUNCTION("""COMPUTED_VALUE"""),"AMD")</f>
        <v>AMD</v>
      </c>
      <c r="D1020" s="196" t="str">
        <f>IFERROR(__xludf.DUMMYFUNCTION("""COMPUTED_VALUE"""),"90 PCS MR MUSCLE TOILET BOWL CLEANER 900ML LAVENDER
72PCS SOFT BROOM 3M")</f>
        <v>90 PCS MR MUSCLE TOILET BOWL CLEANER 900ML LAVENDER
72PCS SOFT BROOM 3M</v>
      </c>
      <c r="E1020" s="196" t="str">
        <f>IFERROR(__xludf.DUMMYFUNCTION("""COMPUTED_VALUE"""),"HOUSE KEEPING MATERIALS STOCK REPLENISHMENT")</f>
        <v>HOUSE KEEPING MATERIALS STOCK REPLENISHMENT</v>
      </c>
    </row>
    <row r="1021">
      <c r="A1021" s="234">
        <f>IFERROR(__xludf.DUMMYFUNCTION("""COMPUTED_VALUE"""),105854.0)</f>
        <v>105854</v>
      </c>
      <c r="B1021" s="235" t="str">
        <f>IFERROR(__xludf.DUMMYFUNCTION("""COMPUTED_VALUE"""),"SHERYL MANALO")</f>
        <v>SHERYL MANALO</v>
      </c>
      <c r="C1021" s="235" t="str">
        <f>IFERROR(__xludf.DUMMYFUNCTION("""COMPUTED_VALUE"""),"DP MUNICH")</f>
        <v>DP MUNICH</v>
      </c>
      <c r="D1021" s="196" t="str">
        <f>IFERROR(__xludf.DUMMYFUNCTION("""COMPUTED_VALUE"""),"65 LONG STEMMED ROSES SENIOR KINDER
120 LONG STEMMED ROSES GRADE6")</f>
        <v>65 LONG STEMMED ROSES SENIOR KINDER
120 LONG STEMMED ROSES GRADE6</v>
      </c>
      <c r="E1021" s="196" t="str">
        <f>IFERROR(__xludf.DUMMYFUNCTION("""COMPUTED_VALUE"""),"SENIOR KINDER AND GRADE 6 GRADUATION")</f>
        <v>SENIOR KINDER AND GRADE 6 GRADUATION</v>
      </c>
    </row>
    <row r="1022">
      <c r="A1022" s="234">
        <f>IFERROR(__xludf.DUMMYFUNCTION("""COMPUTED_VALUE"""),105855.0)</f>
        <v>105855</v>
      </c>
      <c r="B1022" s="235" t="str">
        <f>IFERROR(__xludf.DUMMYFUNCTION("""COMPUTED_VALUE"""),"LYKA PERALTA")</f>
        <v>LYKA PERALTA</v>
      </c>
      <c r="C1022" s="235" t="str">
        <f>IFERROR(__xludf.DUMMYFUNCTION("""COMPUTED_VALUE"""),"AMD")</f>
        <v>AMD</v>
      </c>
      <c r="D1022" s="196" t="str">
        <f>IFERROR(__xludf.DUMMYFUNCTION("""COMPUTED_VALUE"""),"30 PCS TONER CARTRIDGE CF210A BLACK
30 PCS TONER CARTRIDGE CF211A CYAN")</f>
        <v>30 PCS TONER CARTRIDGE CF210A BLACK
30 PCS TONER CARTRIDGE CF211A CYAN</v>
      </c>
      <c r="E1022" s="196" t="str">
        <f>IFERROR(__xludf.DUMMYFUNCTION("""COMPUTED_VALUE"""),"OSSUP STOCK REPLENISHMENT ")</f>
        <v>OSSUP STOCK REPLENISHMENT </v>
      </c>
    </row>
    <row r="1023">
      <c r="A1023" s="234">
        <f>IFERROR(__xludf.DUMMYFUNCTION("""COMPUTED_VALUE"""),105856.0)</f>
        <v>105856</v>
      </c>
      <c r="B1023" s="235" t="str">
        <f>IFERROR(__xludf.DUMMYFUNCTION("""COMPUTED_VALUE"""),"LYKA PERALTA")</f>
        <v>LYKA PERALTA</v>
      </c>
      <c r="C1023" s="235" t="str">
        <f>IFERROR(__xludf.DUMMYFUNCTION("""COMPUTED_VALUE"""),"AMD")</f>
        <v>AMD</v>
      </c>
      <c r="D1023" s="196" t="str">
        <f>IFERROR(__xludf.DUMMYFUNCTION("""COMPUTED_VALUE"""),"144 PCS BATTERY ENERGIZER SIZE 9V 
132 PCS BATTERY EVEREADY SIZE C
200 PCS STICKER PAPER GLOSSY LETTER SIZE FSI")</f>
        <v>144 PCS BATTERY ENERGIZER SIZE 9V 
132 PCS BATTERY EVEREADY SIZE C
200 PCS STICKER PAPER GLOSSY LETTER SIZE FSI</v>
      </c>
      <c r="E1023" s="196" t="str">
        <f>IFERROR(__xludf.DUMMYFUNCTION("""COMPUTED_VALUE"""),"OSSUP STOCK REPLENISHMENT ")</f>
        <v>OSSUP STOCK REPLENISHMENT </v>
      </c>
    </row>
    <row r="1024">
      <c r="A1024" s="234">
        <f>IFERROR(__xludf.DUMMYFUNCTION("""COMPUTED_VALUE"""),105857.0)</f>
        <v>105857</v>
      </c>
      <c r="B1024" s="235" t="str">
        <f>IFERROR(__xludf.DUMMYFUNCTION("""COMPUTED_VALUE"""),"LYKA PERALTA")</f>
        <v>LYKA PERALTA</v>
      </c>
      <c r="C1024" s="235" t="str">
        <f>IFERROR(__xludf.DUMMYFUNCTION("""COMPUTED_VALUE"""),"AMD")</f>
        <v>AMD</v>
      </c>
      <c r="D1024" s="196" t="str">
        <f>IFERROR(__xludf.DUMMYFUNCTION("""COMPUTED_VALUE"""),"150 REAMS PAPER COPY LASER SUB 20 LONG WHITE")</f>
        <v>150 REAMS PAPER COPY LASER SUB 20 LONG WHITE</v>
      </c>
      <c r="E1024" s="196" t="str">
        <f>IFERROR(__xludf.DUMMYFUNCTION("""COMPUTED_VALUE"""),"OSSUP STOCK REPLENISHMENT ")</f>
        <v>OSSUP STOCK REPLENISHMENT </v>
      </c>
    </row>
    <row r="1025">
      <c r="A1025" s="234" t="str">
        <f>IFERROR(__xludf.DUMMYFUNCTION("""COMPUTED_VALUE"""),"105858- transferred to afsl prf #")</f>
        <v>105858- transferred to afsl prf #</v>
      </c>
      <c r="B1025" s="235" t="str">
        <f>IFERROR(__xludf.DUMMYFUNCTION("""COMPUTED_VALUE"""),"SARY ESCUREL")</f>
        <v>SARY ESCUREL</v>
      </c>
      <c r="C1025" s="235" t="str">
        <f>IFERROR(__xludf.DUMMYFUNCTION("""COMPUTED_VALUE"""),"AFSL")</f>
        <v>AFSL</v>
      </c>
      <c r="D1025" s="196" t="str">
        <f>IFERROR(__xludf.DUMMYFUNCTION("""COMPUTED_VALUE"""),"1 CELLPHONE SAMSUNG A06")</f>
        <v>1 CELLPHONE SAMSUNG A06</v>
      </c>
      <c r="E1025" s="196" t="str">
        <f>IFERROR(__xludf.DUMMYFUNCTION("""COMPUTED_VALUE"""),"AFSL COMMUNICATION")</f>
        <v>AFSL COMMUNICATION</v>
      </c>
    </row>
    <row r="1026">
      <c r="A1026" s="234">
        <f>IFERROR(__xludf.DUMMYFUNCTION("""COMPUTED_VALUE"""),105859.0)</f>
        <v>105859</v>
      </c>
      <c r="B1026" s="235" t="str">
        <f>IFERROR(__xludf.DUMMYFUNCTION("""COMPUTED_VALUE"""),"JANCEL PRADILLADA")</f>
        <v>JANCEL PRADILLADA</v>
      </c>
      <c r="C1026" s="235" t="str">
        <f>IFERROR(__xludf.DUMMYFUNCTION("""COMPUTED_VALUE"""),"MIS/ICT")</f>
        <v>MIS/ICT</v>
      </c>
      <c r="D1026" s="196" t="str">
        <f>IFERROR(__xludf.DUMMYFUNCTION("""COMPUTED_VALUE"""),"PROJECTOR SCREEN W= 117 INCHES H= 79 INCHES")</f>
        <v>PROJECTOR SCREEN W= 117 INCHES H= 79 INCHES</v>
      </c>
      <c r="E1026" s="196" t="str">
        <f>IFERROR(__xludf.DUMMYFUNCTION("""COMPUTED_VALUE"""),"REPLACEMENT FOR CEM BOARDROOMS PROJECTOR SCREEN")</f>
        <v>REPLACEMENT FOR CEM BOARDROOMS PROJECTOR SCREEN</v>
      </c>
    </row>
    <row r="1027">
      <c r="A1027" s="234">
        <f>IFERROR(__xludf.DUMMYFUNCTION("""COMPUTED_VALUE"""),105860.0)</f>
        <v>105860</v>
      </c>
      <c r="B1027" s="235" t="str">
        <f>IFERROR(__xludf.DUMMYFUNCTION("""COMPUTED_VALUE"""),"LYKA PERALTA")</f>
        <v>LYKA PERALTA</v>
      </c>
      <c r="C1027" s="235" t="str">
        <f>IFERROR(__xludf.DUMMYFUNCTION("""COMPUTED_VALUE"""),"AMD")</f>
        <v>AMD</v>
      </c>
      <c r="D1027" s="196" t="str">
        <f>IFERROR(__xludf.DUMMYFUNCTION("""COMPUTED_VALUE"""),"60 PCS BATTERY MAXWELL CR2032")</f>
        <v>60 PCS BATTERY MAXWELL CR2032</v>
      </c>
      <c r="E1027" s="196" t="str">
        <f>IFERROR(__xludf.DUMMYFUNCTION("""COMPUTED_VALUE"""),"OSSUP STOCK REPLENISHMENT ")</f>
        <v>OSSUP STOCK REPLENISHMENT </v>
      </c>
    </row>
    <row r="1028">
      <c r="A1028" s="234">
        <f>IFERROR(__xludf.DUMMYFUNCTION("""COMPUTED_VALUE"""),105861.0)</f>
        <v>105861</v>
      </c>
      <c r="B1028" s="235" t="str">
        <f>IFERROR(__xludf.DUMMYFUNCTION("""COMPUTED_VALUE"""),"OWIE PAR")</f>
        <v>OWIE PAR</v>
      </c>
      <c r="C1028" s="235" t="str">
        <f>IFERROR(__xludf.DUMMYFUNCTION("""COMPUTED_VALUE"""),"ENGINEERING")</f>
        <v>ENGINEERING</v>
      </c>
      <c r="D1028" s="196" t="str">
        <f>IFERROR(__xludf.DUMMYFUNCTION("""COMPUTED_VALUE"""),"2 UNITS KDK AIR CURTAIN
1 UNIT KDK AIR CURTAIN")</f>
        <v>2 UNITS KDK AIR CURTAIN
1 UNIT KDK AIR CURTAIN</v>
      </c>
      <c r="E1028" s="196" t="str">
        <f>IFERROR(__xludf.DUMMYFUNCTION("""COMPUTED_VALUE"""),"FOR LUX HALL IMPROVEMENT OF VENTILLATION")</f>
        <v>FOR LUX HALL IMPROVEMENT OF VENTILLATION</v>
      </c>
    </row>
    <row r="1029">
      <c r="A1029" s="234">
        <f>IFERROR(__xludf.DUMMYFUNCTION("""COMPUTED_VALUE"""),105862.0)</f>
        <v>105862</v>
      </c>
      <c r="B1029" s="235" t="str">
        <f>IFERROR(__xludf.DUMMYFUNCTION("""COMPUTED_VALUE"""),"SHEREE ESPINOSA")</f>
        <v>SHEREE ESPINOSA</v>
      </c>
      <c r="C1029" s="235" t="str">
        <f>IFERROR(__xludf.DUMMYFUNCTION("""COMPUTED_VALUE"""),"ADMIN")</f>
        <v>ADMIN</v>
      </c>
      <c r="D1029" s="196" t="str">
        <f>IFERROR(__xludf.DUMMYFUNCTION("""COMPUTED_VALUE"""),"100 PCS WHITE ROSE
35 PCS OLD ROSE FLOWER
35 PCS PEACH FLOWER
35 PCS BLUE")</f>
        <v>100 PCS WHITE ROSE
35 PCS OLD ROSE FLOWER
35 PCS PEACH FLOWER
35 PCS BLUE</v>
      </c>
      <c r="E1029" s="196" t="str">
        <f>IFERROR(__xludf.DUMMYFUNCTION("""COMPUTED_VALUE"""),"TO BE USED FOR SPECIAL EVENTS")</f>
        <v>TO BE USED FOR SPECIAL EVENTS</v>
      </c>
    </row>
    <row r="1030">
      <c r="A1030" s="234">
        <f>IFERROR(__xludf.DUMMYFUNCTION("""COMPUTED_VALUE"""),105863.0)</f>
        <v>105863</v>
      </c>
      <c r="B1030" s="235" t="str">
        <f>IFERROR(__xludf.DUMMYFUNCTION("""COMPUTED_VALUE"""),"MARC VINCENT VITTO")</f>
        <v>MARC VINCENT VITTO</v>
      </c>
      <c r="C1030" s="235" t="str">
        <f>IFERROR(__xludf.DUMMYFUNCTION("""COMPUTED_VALUE"""),"PR &amp; MARKETING")</f>
        <v>PR &amp; MARKETING</v>
      </c>
      <c r="D1030" s="196" t="str">
        <f>IFERROR(__xludf.DUMMYFUNCTION("""COMPUTED_VALUE"""),"1 SOUTHVILLE KENCARE TARP W= 8FT X H 4FT THICKNESS 18 OZ
ADD SEAMING AND EYELET ALL OVER")</f>
        <v>1 SOUTHVILLE KENCARE TARP W= 8FT X H 4FT THICKNESS 18 OZ
ADD SEAMING AND EYELET ALL OVER</v>
      </c>
      <c r="E1030" s="196" t="str">
        <f>IFERROR(__xludf.DUMMYFUNCTION("""COMPUTED_VALUE"""),"ADVERTISEMENT/MARKETING")</f>
        <v>ADVERTISEMENT/MARKETING</v>
      </c>
    </row>
    <row r="1031">
      <c r="A1031" s="234">
        <f>IFERROR(__xludf.DUMMYFUNCTION("""COMPUTED_VALUE"""),105864.0)</f>
        <v>105864</v>
      </c>
      <c r="B1031" s="235" t="str">
        <f>IFERROR(__xludf.DUMMYFUNCTION("""COMPUTED_VALUE"""),"PAUL ARANA/ ISABELO LEOPOLDO")</f>
        <v>PAUL ARANA/ ISABELO LEOPOLDO</v>
      </c>
      <c r="C1031" s="235" t="str">
        <f>IFERROR(__xludf.DUMMYFUNCTION("""COMPUTED_VALUE"""),"AV/MIS")</f>
        <v>AV/MIS</v>
      </c>
      <c r="D1031" s="196" t="str">
        <f>IFERROR(__xludf.DUMMYFUNCTION("""COMPUTED_VALUE"""),"9 FT X 12 FT MOTORIZED PROJECTOR SCREE ")</f>
        <v>9 FT X 12 FT MOTORIZED PROJECTOR SCREE </v>
      </c>
      <c r="E1031" s="196" t="str">
        <f>IFERROR(__xludf.DUMMYFUNCTION("""COMPUTED_VALUE"""),"LUX HALL PROJECTOR SCREENS REPLACEMENT DUE TO WEAR AND TEAR")</f>
        <v>LUX HALL PROJECTOR SCREENS REPLACEMENT DUE TO WEAR AND TEAR</v>
      </c>
    </row>
    <row r="1032">
      <c r="A1032" s="234" t="str">
        <f>IFERROR(__xludf.DUMMYFUNCTION("""COMPUTED_VALUE"""),"105865- transfered to AFSL")</f>
        <v>105865- transfered to AFSL</v>
      </c>
      <c r="B1032" s="235" t="str">
        <f>IFERROR(__xludf.DUMMYFUNCTION("""COMPUTED_VALUE"""),"AC CALADO/ SARY ESCUREL")</f>
        <v>AC CALADO/ SARY ESCUREL</v>
      </c>
      <c r="C1032" s="235" t="str">
        <f>IFERROR(__xludf.DUMMYFUNCTION("""COMPUTED_VALUE"""),"AFSL")</f>
        <v>AFSL</v>
      </c>
      <c r="D1032" s="196" t="str">
        <f>IFERROR(__xludf.DUMMYFUNCTION("""COMPUTED_VALUE"""),"AFSL LEADERSHIP MEDALLION
2 SISC
2 SSISB
2 SSISM
2 SMC 
2 SISFU
2 ASAT
1 SISC COLLEGE
1 SSLC W/ BLUE RIBBON")</f>
        <v>AFSL LEADERSHIP MEDALLION
2 SISC
2 SSISB
2 SSISM
2 SMC 
2 SISFU
2 ASAT
1 SISC COLLEGE
1 SSLC W/ BLUE RIBBON</v>
      </c>
      <c r="E1032" s="196" t="str">
        <f>IFERROR(__xludf.DUMMYFUNCTION("""COMPUTED_VALUE"""),"AFSL ")</f>
        <v>AFSL </v>
      </c>
    </row>
    <row r="1033">
      <c r="A1033" s="234">
        <f>IFERROR(__xludf.DUMMYFUNCTION("""COMPUTED_VALUE"""),105866.0)</f>
        <v>105866</v>
      </c>
      <c r="B1033" s="235" t="str">
        <f>IFERROR(__xludf.DUMMYFUNCTION("""COMPUTED_VALUE"""),"RODRIGO CUSTODIO")</f>
        <v>RODRIGO CUSTODIO</v>
      </c>
      <c r="C1033" s="235" t="str">
        <f>IFERROR(__xludf.DUMMYFUNCTION("""COMPUTED_VALUE"""),"AMD")</f>
        <v>AMD</v>
      </c>
      <c r="D1033" s="196" t="str">
        <f>IFERROR(__xludf.DUMMYFUNCTION("""COMPUTED_VALUE"""),"10 GALS FLOOR FINISH STATE MIGHTY SPARKLE DIAMOND 25 1 US GAL")</f>
        <v>10 GALS FLOOR FINISH STATE MIGHTY SPARKLE DIAMOND 25 1 US GAL</v>
      </c>
      <c r="E1033" s="196" t="str">
        <f>IFERROR(__xludf.DUMMYFUNCTION("""COMPUTED_VALUE"""),"HOUSE KEEPING MATERIALS STOCK REPLENISHMENT")</f>
        <v>HOUSE KEEPING MATERIALS STOCK REPLENISHMENT</v>
      </c>
    </row>
    <row r="1034">
      <c r="A1034" s="234">
        <f>IFERROR(__xludf.DUMMYFUNCTION("""COMPUTED_VALUE"""),105867.0)</f>
        <v>105867</v>
      </c>
      <c r="B1034" s="235" t="str">
        <f>IFERROR(__xludf.DUMMYFUNCTION("""COMPUTED_VALUE"""),"JOSSA GALLANOSA ")</f>
        <v>JOSSA GALLANOSA </v>
      </c>
      <c r="C1034" s="235" t="str">
        <f>IFERROR(__xludf.DUMMYFUNCTION("""COMPUTED_VALUE"""),"PACUCOA")</f>
        <v>PACUCOA</v>
      </c>
      <c r="D1034" s="196" t="str">
        <f>IFERROR(__xludf.DUMMYFUNCTION("""COMPUTED_VALUE"""),"20 SETS LEI GARLAND ")</f>
        <v>20 SETS LEI GARLAND </v>
      </c>
      <c r="E1034" s="196" t="str">
        <f>IFERROR(__xludf.DUMMYFUNCTION("""COMPUTED_VALUE"""),"PACUCOA VISIT")</f>
        <v>PACUCOA VISIT</v>
      </c>
    </row>
    <row r="1035">
      <c r="A1035" s="234">
        <f>IFERROR(__xludf.DUMMYFUNCTION("""COMPUTED_VALUE"""),105868.0)</f>
        <v>105868</v>
      </c>
      <c r="B1035" s="235" t="str">
        <f>IFERROR(__xludf.DUMMYFUNCTION("""COMPUTED_VALUE"""),"JESUIT CHRISTIAN GALICIA")</f>
        <v>JESUIT CHRISTIAN GALICIA</v>
      </c>
      <c r="C1035" s="235" t="str">
        <f>IFERROR(__xludf.DUMMYFUNCTION("""COMPUTED_VALUE"""),"AMD")</f>
        <v>AMD</v>
      </c>
      <c r="D1035" s="196" t="str">
        <f>IFERROR(__xludf.DUMMYFUNCTION("""COMPUTED_VALUE"""),"1 PACK A3 LAMINATING FILM 125 MICRON
2 PACK A3 LAMINATING FILM 250 MICRON
3 PACK LONGLAMINATING FILM 125 MICRON
5 PACK LONG LAMINATING FILM 250 MICRON")</f>
        <v>1 PACK A3 LAMINATING FILM 125 MICRON
2 PACK A3 LAMINATING FILM 250 MICRON
3 PACK LONGLAMINATING FILM 125 MICRON
5 PACK LONG LAMINATING FILM 250 MICRON</v>
      </c>
      <c r="E1035" s="196" t="str">
        <f>IFERROR(__xludf.DUMMYFUNCTION("""COMPUTED_VALUE"""),"USE FOR LAMINATING MACHINE")</f>
        <v>USE FOR LAMINATING MACHINE</v>
      </c>
    </row>
    <row r="1036">
      <c r="A1036" s="234">
        <f>IFERROR(__xludf.DUMMYFUNCTION("""COMPUTED_VALUE"""),105869.0)</f>
        <v>105869</v>
      </c>
      <c r="B1036" s="235" t="str">
        <f>IFERROR(__xludf.DUMMYFUNCTION("""COMPUTED_VALUE"""),"SHEREE ESPINOSA")</f>
        <v>SHEREE ESPINOSA</v>
      </c>
      <c r="C1036" s="235" t="str">
        <f>IFERROR(__xludf.DUMMYFUNCTION("""COMPUTED_VALUE"""),"ADMIN")</f>
        <v>ADMIN</v>
      </c>
      <c r="D1036" s="196" t="str">
        <f>IFERROR(__xludf.DUMMYFUNCTION("""COMPUTED_VALUE"""),"TRASH BINS
SWING TYPE , 39 MEDIUM, 10 BIG
FOOT PEDAL, 17 MEDIUM, 61 SMALL
INFECTIOUS 12 PCS. ")</f>
        <v>TRASH BINS
SWING TYPE , 39 MEDIUM, 10 BIG
FOOT PEDAL, 17 MEDIUM, 61 SMALL
INFECTIOUS 12 PCS. </v>
      </c>
      <c r="E1036" s="196" t="str">
        <f>IFERROR(__xludf.DUMMYFUNCTION("""COMPUTED_VALUE"""),"FOR PACUCUOA VISIT - CLASSROOMS AND RESTROOMS")</f>
        <v>FOR PACUCUOA VISIT - CLASSROOMS AND RESTROOMS</v>
      </c>
    </row>
    <row r="1037">
      <c r="A1037" s="234">
        <f>IFERROR(__xludf.DUMMYFUNCTION("""COMPUTED_VALUE"""),105870.0)</f>
        <v>105870</v>
      </c>
      <c r="B1037" s="235" t="str">
        <f>IFERROR(__xludf.DUMMYFUNCTION("""COMPUTED_VALUE"""),"RACHEL PAMATIAN")</f>
        <v>RACHEL PAMATIAN</v>
      </c>
      <c r="C1037" s="235" t="str">
        <f>IFERROR(__xludf.DUMMYFUNCTION("""COMPUTED_VALUE"""),"ADMIN - STAR")</f>
        <v>ADMIN - STAR</v>
      </c>
      <c r="D1037" s="196" t="str">
        <f>IFERROR(__xludf.DUMMYFUNCTION("""COMPUTED_VALUE"""),"1 SUPER K OFFICIAL COLLAPSIBLE BALL CART ROLLING WHEELS")</f>
        <v>1 SUPER K OFFICIAL COLLAPSIBLE BALL CART ROLLING WHEELS</v>
      </c>
      <c r="E1037" s="196" t="str">
        <f>IFERROR(__xludf.DUMMYFUNCTION("""COMPUTED_VALUE"""),"FOR SAFEKEEPING OF BALLS")</f>
        <v>FOR SAFEKEEPING OF BALLS</v>
      </c>
    </row>
    <row r="1038">
      <c r="A1038" s="234">
        <f>IFERROR(__xludf.DUMMYFUNCTION("""COMPUTED_VALUE"""),105871.0)</f>
        <v>105871</v>
      </c>
      <c r="B1038" s="235" t="str">
        <f>IFERROR(__xludf.DUMMYFUNCTION("""COMPUTED_VALUE"""),"RONALDO VERDE")</f>
        <v>RONALDO VERDE</v>
      </c>
      <c r="C1038" s="235" t="str">
        <f>IFERROR(__xludf.DUMMYFUNCTION("""COMPUTED_VALUE"""),"ADMIN")</f>
        <v>ADMIN</v>
      </c>
      <c r="D1038" s="196" t="str">
        <f>IFERROR(__xludf.DUMMYFUNCTION("""COMPUTED_VALUE"""),"2 ROLLS FLAT CORD # 16 BLACK
1 ROLLS FLAT CORD # 18 BLACK
150 METERS ROYAL CORD # 16 BLACK")</f>
        <v>2 ROLLS FLAT CORD # 16 BLACK
1 ROLLS FLAT CORD # 18 BLACK
150 METERS ROYAL CORD # 16 BLACK</v>
      </c>
      <c r="E1038" s="196" t="str">
        <f>IFERROR(__xludf.DUMMYFUNCTION("""COMPUTED_VALUE"""),"WIRES FOR SISC EVENTS &amp;MONARCHS PARK")</f>
        <v>WIRES FOR SISC EVENTS &amp;MONARCHS PARK</v>
      </c>
    </row>
    <row r="1039">
      <c r="A1039" s="234">
        <f>IFERROR(__xludf.DUMMYFUNCTION("""COMPUTED_VALUE"""),105872.0)</f>
        <v>105872</v>
      </c>
      <c r="B1039" s="235" t="str">
        <f>IFERROR(__xludf.DUMMYFUNCTION("""COMPUTED_VALUE"""),"JOSSA GALLANOSA ")</f>
        <v>JOSSA GALLANOSA </v>
      </c>
      <c r="C1039" s="235" t="str">
        <f>IFERROR(__xludf.DUMMYFUNCTION("""COMPUTED_VALUE"""),"CEM OFFICE")</f>
        <v>CEM OFFICE</v>
      </c>
      <c r="D1039" s="196" t="str">
        <f>IFERROR(__xludf.DUMMYFUNCTION("""COMPUTED_VALUE"""),"25 HAIER M53 52401")</f>
        <v>25 HAIER M53 52401</v>
      </c>
      <c r="E1039" s="196" t="str">
        <f>IFERROR(__xludf.DUMMYFUNCTION("""COMPUTED_VALUE"""),"READING PROGRAM ADDITIONAL TABLETS")</f>
        <v>READING PROGRAM ADDITIONAL TABLETS</v>
      </c>
    </row>
    <row r="1040">
      <c r="A1040" s="234">
        <f>IFERROR(__xludf.DUMMYFUNCTION("""COMPUTED_VALUE"""),105873.0)</f>
        <v>105873</v>
      </c>
      <c r="B1040" s="235" t="str">
        <f>IFERROR(__xludf.DUMMYFUNCTION("""COMPUTED_VALUE"""),"ANN JENETH PAULINO")</f>
        <v>ANN JENETH PAULINO</v>
      </c>
      <c r="C1040" s="235" t="str">
        <f>IFERROR(__xludf.DUMMYFUNCTION("""COMPUTED_VALUE"""),"FINANCE &amp; ACCOUNTING")</f>
        <v>FINANCE &amp; ACCOUNTING</v>
      </c>
      <c r="D1040" s="196" t="str">
        <f>IFERROR(__xludf.DUMMYFUNCTION("""COMPUTED_VALUE"""),"7 HORIZONTAL BLACK MAGAZINE BOX
2 MEGA BOX 155 LITERS")</f>
        <v>7 HORIZONTAL BLACK MAGAZINE BOX
2 MEGA BOX 155 LITERS</v>
      </c>
      <c r="E1040" s="196" t="str">
        <f>IFERROR(__xludf.DUMMYFUNCTION("""COMPUTED_VALUE"""),"FOR FILING")</f>
        <v>FOR FILING</v>
      </c>
    </row>
    <row r="1041">
      <c r="A1041" s="234">
        <f>IFERROR(__xludf.DUMMYFUNCTION("""COMPUTED_VALUE"""),105874.0)</f>
        <v>105874</v>
      </c>
      <c r="B1041" s="235" t="str">
        <f>IFERROR(__xludf.DUMMYFUNCTION("""COMPUTED_VALUE"""),"LYKA PERALTA")</f>
        <v>LYKA PERALTA</v>
      </c>
      <c r="C1041" s="235" t="str">
        <f>IFERROR(__xludf.DUMMYFUNCTION("""COMPUTED_VALUE"""),"AMD")</f>
        <v>AMD</v>
      </c>
      <c r="D1041" s="196" t="str">
        <f>IFERROR(__xludf.DUMMYFUNCTION("""COMPUTED_VALUE"""),"1 SET GLASS DOOR LOCK")</f>
        <v>1 SET GLASS DOOR LOCK</v>
      </c>
      <c r="E1041" s="196" t="str">
        <f>IFERROR(__xludf.DUMMYFUNCTION("""COMPUTED_VALUE"""),"FOR REPLACEMENT OF THE DOOR LOCK IN OFFICE SUPPLIES WAREHOUSE")</f>
        <v>FOR REPLACEMENT OF THE DOOR LOCK IN OFFICE SUPPLIES WAREHOUSE</v>
      </c>
    </row>
    <row r="1042">
      <c r="A1042" s="234">
        <f>IFERROR(__xludf.DUMMYFUNCTION("""COMPUTED_VALUE"""),105875.0)</f>
        <v>105875</v>
      </c>
      <c r="B1042" s="235" t="str">
        <f>IFERROR(__xludf.DUMMYFUNCTION("""COMPUTED_VALUE"""),"MARC VINCENT VITTO")</f>
        <v>MARC VINCENT VITTO</v>
      </c>
      <c r="C1042" s="235" t="str">
        <f>IFERROR(__xludf.DUMMYFUNCTION("""COMPUTED_VALUE"""),"PR &amp; MARKETING")</f>
        <v>PR &amp; MARKETING</v>
      </c>
      <c r="D1042" s="196" t="str">
        <f>IFERROR(__xludf.DUMMYFUNCTION("""COMPUTED_VALUE"""),"1 G5 STEM CAMPUS TARP SIZE H= 1=FT X W= 17FT THIVKNESS 18 OZ W/ SEAMING AND EYELET ALL OVER")</f>
        <v>1 G5 STEM CAMPUS TARP SIZE H= 1=FT X W= 17FT THIVKNESS 18 OZ W/ SEAMING AND EYELET ALL OVER</v>
      </c>
      <c r="E1042" s="196" t="str">
        <f>IFERROR(__xludf.DUMMYFUNCTION("""COMPUTED_VALUE"""),"ENROLLMENT / ADMISSION")</f>
        <v>ENROLLMENT / ADMISSION</v>
      </c>
    </row>
    <row r="1043">
      <c r="A1043" s="234">
        <f>IFERROR(__xludf.DUMMYFUNCTION("""COMPUTED_VALUE"""),105876.0)</f>
        <v>105876</v>
      </c>
      <c r="B1043" s="235" t="str">
        <f>IFERROR(__xludf.DUMMYFUNCTION("""COMPUTED_VALUE"""),"SHEREE ESPINOSA")</f>
        <v>SHEREE ESPINOSA</v>
      </c>
      <c r="C1043" s="235" t="str">
        <f>IFERROR(__xludf.DUMMYFUNCTION("""COMPUTED_VALUE"""),"ADMIN")</f>
        <v>ADMIN</v>
      </c>
      <c r="D1043" s="196" t="str">
        <f>IFERROR(__xludf.DUMMYFUNCTION("""COMPUTED_VALUE"""),"CLASSROOM SIGANE MISSION- VISION
FONT-STYLE: ARIAL, WHITE TEXT ANALOK BACKGROUND
PRINT IN SINTRA BOARD ")</f>
        <v>CLASSROOM SIGANE MISSION- VISION
FONT-STYLE: ARIAL, WHITE TEXT ANALOK BACKGROUND
PRINT IN SINTRA BOARD </v>
      </c>
      <c r="E1043" s="196" t="str">
        <f>IFERROR(__xludf.DUMMYFUNCTION("""COMPUTED_VALUE"""),"FOR PACUCUOA ")</f>
        <v>FOR PACUCUOA </v>
      </c>
    </row>
    <row r="1044">
      <c r="A1044" s="234">
        <f>IFERROR(__xludf.DUMMYFUNCTION("""COMPUTED_VALUE"""),105877.0)</f>
        <v>105877</v>
      </c>
      <c r="B1044" s="235" t="str">
        <f>IFERROR(__xludf.DUMMYFUNCTION("""COMPUTED_VALUE"""),"MARC VINCENT VITTO ")</f>
        <v>MARC VINCENT VITTO </v>
      </c>
      <c r="C1044" s="235" t="str">
        <f>IFERROR(__xludf.DUMMYFUNCTION("""COMPUTED_VALUE"""),"PR &amp; MARKETING")</f>
        <v>PR &amp; MARKETING</v>
      </c>
      <c r="D1044" s="196" t="str">
        <f>IFERROR(__xludf.DUMMYFUNCTION("""COMPUTED_VALUE"""),"1 PACUCOA WELCOME TARP SIZE H= 6.5 FT X W=13 FT
THICKNESS"" 13OZ
5 PACUCUOA XTAND (WITH STRUCTURE EACH) SIZE W=2.5FT X H 6FT
THICKNESS"" 13OZ")</f>
        <v>1 PACUCOA WELCOME TARP SIZE H= 6.5 FT X W=13 FT
THICKNESS" 13OZ
5 PACUCUOA XTAND (WITH STRUCTURE EACH) SIZE W=2.5FT X H 6FT
THICKNESS" 13OZ</v>
      </c>
      <c r="E1044" s="196" t="str">
        <f>IFERROR(__xludf.DUMMYFUNCTION("""COMPUTED_VALUE"""),"FOR PACUCUOA ")</f>
        <v>FOR PACUCUOA </v>
      </c>
    </row>
    <row r="1045">
      <c r="A1045" s="234">
        <f>IFERROR(__xludf.DUMMYFUNCTION("""COMPUTED_VALUE"""),105878.0)</f>
        <v>105878</v>
      </c>
      <c r="B1045" s="235" t="str">
        <f>IFERROR(__xludf.DUMMYFUNCTION("""COMPUTED_VALUE"""),"OWIE PAR")</f>
        <v>OWIE PAR</v>
      </c>
      <c r="C1045" s="235" t="str">
        <f>IFERROR(__xludf.DUMMYFUNCTION("""COMPUTED_VALUE"""),"ENGINEERING")</f>
        <v>ENGINEERING</v>
      </c>
      <c r="D1045" s="196" t="str">
        <f>IFERROR(__xludf.DUMMYFUNCTION("""COMPUTED_VALUE"""),"1 LITER VULCASEAL , 1 BOX BLIND RIVET 3/16 X 3/4
8 PCS FABRICATED GUTTER")</f>
        <v>1 LITER VULCASEAL , 1 BOX BLIND RIVET 3/16 X 3/4
8 PCS FABRICATED GUTTER</v>
      </c>
      <c r="E1045" s="196" t="str">
        <f>IFERROR(__xludf.DUMMYFUNCTION("""COMPUTED_VALUE"""),"REPLACEMENT OF LEAKING GUTTER OF STAR CAMPUS (RAMP AREA)")</f>
        <v>REPLACEMENT OF LEAKING GUTTER OF STAR CAMPUS (RAMP AREA)</v>
      </c>
    </row>
    <row r="1046">
      <c r="A1046" s="234">
        <f>IFERROR(__xludf.DUMMYFUNCTION("""COMPUTED_VALUE"""),105879.0)</f>
        <v>105879</v>
      </c>
      <c r="B1046" s="235" t="str">
        <f>IFERROR(__xludf.DUMMYFUNCTION("""COMPUTED_VALUE"""),"RODRIGO CUSTODIO")</f>
        <v>RODRIGO CUSTODIO</v>
      </c>
      <c r="C1046" s="235" t="str">
        <f>IFERROR(__xludf.DUMMYFUNCTION("""COMPUTED_VALUE"""),"AMD")</f>
        <v>AMD</v>
      </c>
      <c r="D1046" s="196" t="str">
        <f>IFERROR(__xludf.DUMMYFUNCTION("""COMPUTED_VALUE"""),"12 PAIRS RAIN BOOTS FOR MALE
1 PAIR RAINBOOTS FOR FEMALE
123 PACKS TRASHBAG 2XL (34"" X 40 "" ) CLEAR")</f>
        <v>12 PAIRS RAIN BOOTS FOR MALE
1 PAIR RAINBOOTS FOR FEMALE
123 PACKS TRASHBAG 2XL (34" X 40 " ) CLEAR</v>
      </c>
      <c r="E1046" s="196" t="str">
        <f>IFERROR(__xludf.DUMMYFUNCTION("""COMPUTED_VALUE"""),"HSKPG STOCK REPLENISHMENT")</f>
        <v>HSKPG STOCK REPLENISHMENT</v>
      </c>
    </row>
    <row r="1047">
      <c r="A1047" s="234">
        <f>IFERROR(__xludf.DUMMYFUNCTION("""COMPUTED_VALUE"""),105880.0)</f>
        <v>105880</v>
      </c>
      <c r="B1047" s="235" t="str">
        <f>IFERROR(__xludf.DUMMYFUNCTION("""COMPUTED_VALUE"""),"JORDAN JORDAN")</f>
        <v>JORDAN JORDAN</v>
      </c>
      <c r="C1047" s="235" t="str">
        <f>IFERROR(__xludf.DUMMYFUNCTION("""COMPUTED_VALUE"""),"ADMIN")</f>
        <v>ADMIN</v>
      </c>
      <c r="D1047" s="196" t="str">
        <f>IFERROR(__xludf.DUMMYFUNCTION("""COMPUTED_VALUE"""),"48 PCS LED DOWNLIGHT PHILIPS 4'S 7WATTS DAYLIGHT 
50 PCS CROSS TEE 60 CM 
2 BOX THHN THWN #14 2-0MM2
15 PCS OMNI LINE LIGHT 18 WATTS 590MM
3 TINS FLAT LATEX
5 PCS BABY ROLLER")</f>
        <v>48 PCS LED DOWNLIGHT PHILIPS 4'S 7WATTS DAYLIGHT 
50 PCS CROSS TEE 60 CM 
2 BOX THHN THWN #14 2-0MM2
15 PCS OMNI LINE LIGHT 18 WATTS 590MM
3 TINS FLAT LATEX
5 PCS BABY ROLLER</v>
      </c>
      <c r="E1047" s="196" t="str">
        <f>IFERROR(__xludf.DUMMYFUNCTION("""COMPUTED_VALUE"""),"ADDITIONAL LIGHTS FOR COMLAB 12 AND 3 COLLEGE ADDITIONAL SUPPORT FOR ACOUSTIC CEILING")</f>
        <v>ADDITIONAL LIGHTS FOR COMLAB 12 AND 3 COLLEGE ADDITIONAL SUPPORT FOR ACOUSTIC CEILING</v>
      </c>
    </row>
    <row r="1048">
      <c r="A1048" s="234">
        <f>IFERROR(__xludf.DUMMYFUNCTION("""COMPUTED_VALUE"""),105881.0)</f>
        <v>105881</v>
      </c>
      <c r="B1048" s="235" t="str">
        <f>IFERROR(__xludf.DUMMYFUNCTION("""COMPUTED_VALUE"""),"RODRIGO CUSTODIO")</f>
        <v>RODRIGO CUSTODIO</v>
      </c>
      <c r="C1048" s="235" t="str">
        <f>IFERROR(__xludf.DUMMYFUNCTION("""COMPUTED_VALUE"""),"AMD")</f>
        <v>AMD</v>
      </c>
      <c r="D1048" s="196" t="str">
        <f>IFERROR(__xludf.DUMMYFUNCTION("""COMPUTED_VALUE"""),"144 GALS HAND SOAP ANTIBACTERIAL YELLOW
7 PCS RAIN COAT ")</f>
        <v>144 GALS HAND SOAP ANTIBACTERIAL YELLOW
7 PCS RAIN COAT </v>
      </c>
      <c r="E1048" s="196" t="str">
        <f>IFERROR(__xludf.DUMMYFUNCTION("""COMPUTED_VALUE"""),"HOUSE KEEPING MATERIALS STOCK REPLENISHMENT")</f>
        <v>HOUSE KEEPING MATERIALS STOCK REPLENISHMENT</v>
      </c>
    </row>
    <row r="1049">
      <c r="A1049" s="234">
        <f>IFERROR(__xludf.DUMMYFUNCTION("""COMPUTED_VALUE"""),105882.0)</f>
        <v>105882</v>
      </c>
      <c r="B1049" s="235" t="str">
        <f>IFERROR(__xludf.DUMMYFUNCTION("""COMPUTED_VALUE"""),"NESSIE LUMBRES")</f>
        <v>NESSIE LUMBRES</v>
      </c>
      <c r="C1049" s="235" t="str">
        <f>IFERROR(__xludf.DUMMYFUNCTION("""COMPUTED_VALUE"""),"HS-SHS DEPT")</f>
        <v>HS-SHS DEPT</v>
      </c>
      <c r="D1049" s="196" t="str">
        <f>IFERROR(__xludf.DUMMYFUNCTION("""COMPUTED_VALUE"""),"480 VALUES EXCELLENCE (WHITE LACE)
399 PERFECT ATTENDANCE (YELLOW LACE)
310 ACADEMIC EXCELLENCE (GREEN LACE) GOLD
131 ACADEMIC EXCELLENCE (PURPLE LACE) SILVER
67 ACADEMIC EXCELLENCE (PINK LACE) BRONZE")</f>
        <v>480 VALUES EXCELLENCE (WHITE LACE)
399 PERFECT ATTENDANCE (YELLOW LACE)
310 ACADEMIC EXCELLENCE (GREEN LACE) GOLD
131 ACADEMIC EXCELLENCE (PURPLE LACE) SILVER
67 ACADEMIC EXCELLENCE (PINK LACE) BRONZE</v>
      </c>
      <c r="E1049" s="196" t="str">
        <f>IFERROR(__xludf.DUMMYFUNCTION("""COMPUTED_VALUE"""),"GR 7-11 MEDALS FOR RECOGNITION DAY")</f>
        <v>GR 7-11 MEDALS FOR RECOGNITION DAY</v>
      </c>
    </row>
    <row r="1050">
      <c r="A1050" s="234">
        <f>IFERROR(__xludf.DUMMYFUNCTION("""COMPUTED_VALUE"""),105883.0)</f>
        <v>105883</v>
      </c>
      <c r="B1050" s="235" t="str">
        <f>IFERROR(__xludf.DUMMYFUNCTION("""COMPUTED_VALUE"""),"ELYDIA REYES")</f>
        <v>ELYDIA REYES</v>
      </c>
      <c r="C1050" s="235" t="str">
        <f>IFERROR(__xludf.DUMMYFUNCTION("""COMPUTED_VALUE"""),"SGEN DIRECTORS OFFICE")</f>
        <v>SGEN DIRECTORS OFFICE</v>
      </c>
      <c r="D1050" s="196" t="str">
        <f>IFERROR(__xludf.DUMMYFUNCTION("""COMPUTED_VALUE"""),"45 PCS SGEN MEDAL OF EXCELLENCE GOLD")</f>
        <v>45 PCS SGEN MEDAL OF EXCELLENCE GOLD</v>
      </c>
      <c r="E1050" s="196" t="str">
        <f>IFERROR(__xludf.DUMMYFUNCTION("""COMPUTED_VALUE"""),"SGEN MEDAL OF EXCELLENCE FOR SISC STUDENTS")</f>
        <v>SGEN MEDAL OF EXCELLENCE FOR SISC STUDENTS</v>
      </c>
    </row>
    <row r="1051">
      <c r="A1051" s="234">
        <f>IFERROR(__xludf.DUMMYFUNCTION("""COMPUTED_VALUE"""),105884.0)</f>
        <v>105884</v>
      </c>
      <c r="B1051" s="235" t="str">
        <f>IFERROR(__xludf.DUMMYFUNCTION("""COMPUTED_VALUE"""),"ALFA DE LEON")</f>
        <v>ALFA DE LEON</v>
      </c>
      <c r="C1051" s="235" t="str">
        <f>IFERROR(__xludf.DUMMYFUNCTION("""COMPUTED_VALUE"""),"ADMIN")</f>
        <v>ADMIN</v>
      </c>
      <c r="D1051" s="196" t="str">
        <f>IFERROR(__xludf.DUMMYFUNCTION("""COMPUTED_VALUE"""),"60 FOAM")</f>
        <v>60 FOAM</v>
      </c>
      <c r="E1051" s="196" t="str">
        <f>IFERROR(__xludf.DUMMYFUNCTION("""COMPUTED_VALUE"""),"FOAM FOR FLOWER DECORS")</f>
        <v>FOAM FOR FLOWER DECORS</v>
      </c>
    </row>
    <row r="1052">
      <c r="A1052" s="234">
        <f>IFERROR(__xludf.DUMMYFUNCTION("""COMPUTED_VALUE"""),105885.0)</f>
        <v>105885</v>
      </c>
      <c r="B1052" s="235" t="str">
        <f>IFERROR(__xludf.DUMMYFUNCTION("""COMPUTED_VALUE"""),"SHEREE ESPINOSA")</f>
        <v>SHEREE ESPINOSA</v>
      </c>
      <c r="C1052" s="235" t="str">
        <f>IFERROR(__xludf.DUMMYFUNCTION("""COMPUTED_VALUE"""),"ADMIN")</f>
        <v>ADMIN</v>
      </c>
      <c r="D1052" s="196" t="str">
        <f>IFERROR(__xludf.DUMMYFUNCTION("""COMPUTED_VALUE"""),"TARPAULIN H=147 CM W= 360CM")</f>
        <v>TARPAULIN H=147 CM W= 360CM</v>
      </c>
      <c r="E1052" s="196" t="str">
        <f>IFERROR(__xludf.DUMMYFUNCTION("""COMPUTED_VALUE"""),"FOR COLLEGE WALKWAY PACUCO REQUIREMENT")</f>
        <v>FOR COLLEGE WALKWAY PACUCO REQUIREMENT</v>
      </c>
    </row>
    <row r="1053">
      <c r="A1053" s="234">
        <f>IFERROR(__xludf.DUMMYFUNCTION("""COMPUTED_VALUE"""),105886.0)</f>
        <v>105886</v>
      </c>
      <c r="B1053" s="235" t="str">
        <f>IFERROR(__xludf.DUMMYFUNCTION("""COMPUTED_VALUE"""),"MARVIN MARASIGAN")</f>
        <v>MARVIN MARASIGAN</v>
      </c>
      <c r="C1053" s="235" t="str">
        <f>IFERROR(__xludf.DUMMYFUNCTION("""COMPUTED_VALUE"""),"PR &amp; MARKETING")</f>
        <v>PR &amp; MARKETING</v>
      </c>
      <c r="D1053" s="196" t="str">
        <f>IFERROR(__xludf.DUMMYFUNCTION("""COMPUTED_VALUE"""),"1 KKK TARP SIZE 206 X 77 INCHES")</f>
        <v>1 KKK TARP SIZE 206 X 77 INCHES</v>
      </c>
      <c r="E1053" s="196" t="str">
        <f>IFERROR(__xludf.DUMMYFUNCTION("""COMPUTED_VALUE"""),"FOR COMMA EVENT")</f>
        <v>FOR COMMA EVENT</v>
      </c>
    </row>
    <row r="1054">
      <c r="A1054" s="234">
        <f>IFERROR(__xludf.DUMMYFUNCTION("""COMPUTED_VALUE"""),105887.0)</f>
        <v>105887</v>
      </c>
      <c r="B1054" s="235" t="str">
        <f>IFERROR(__xludf.DUMMYFUNCTION("""COMPUTED_VALUE"""),"MARVIN MARASIGAN")</f>
        <v>MARVIN MARASIGAN</v>
      </c>
      <c r="C1054" s="235" t="str">
        <f>IFERROR(__xludf.DUMMYFUNCTION("""COMPUTED_VALUE"""),"PACUCOA")</f>
        <v>PACUCOA</v>
      </c>
      <c r="D1054" s="196" t="str">
        <f>IFERROR(__xludf.DUMMYFUNCTION("""COMPUTED_VALUE"""),"82 PCS PACUCOA PANEL BOARD TARPS W=32X62.5 INCHES")</f>
        <v>82 PCS PACUCOA PANEL BOARD TARPS W=32X62.5 INCHES</v>
      </c>
      <c r="E1054" s="196" t="str">
        <f>IFERROR(__xludf.DUMMYFUNCTION("""COMPUTED_VALUE"""),"FOR PACUCOA")</f>
        <v>FOR PACUCOA</v>
      </c>
    </row>
    <row r="1055">
      <c r="A1055" s="234">
        <f>IFERROR(__xludf.DUMMYFUNCTION("""COMPUTED_VALUE"""),105888.0)</f>
        <v>105888</v>
      </c>
      <c r="B1055" s="235" t="str">
        <f>IFERROR(__xludf.DUMMYFUNCTION("""COMPUTED_VALUE"""),"MELISSA ODONO")</f>
        <v>MELISSA ODONO</v>
      </c>
      <c r="C1055" s="235" t="str">
        <f>IFERROR(__xludf.DUMMYFUNCTION("""COMPUTED_VALUE"""),"LIBRARY COLLEGE")</f>
        <v>LIBRARY COLLEGE</v>
      </c>
      <c r="D1055" s="196" t="str">
        <f>IFERROR(__xludf.DUMMYFUNCTION("""COMPUTED_VALUE"""),"1PC EACH:
AI and Innovation, 2025, PB					
Artificial Intellligence in Cybersecurity, 2025, PB					
Artificial Intellligence &amp; Work, 2025, PB					
Artificial Intellligence for Business Efficiency, 2025, PB					
Artificial Intellligence: A Complete Gui"&amp;"de for Thinking Humans, 2025, HB					
Business Writing with AI for Dummies, 2024, PB					
Learning with Artificial Intelligence, 2025, PB					")</f>
        <v>1PC EACH:
AI and Innovation, 2025, PB					
Artificial Intellligence in Cybersecurity, 2025, PB					
Artificial Intellligence &amp; Work, 2025, PB					
Artificial Intellligence for Business Efficiency, 2025, PB					
Artificial Intellligence: A Complete Guide for Thinking Humans, 2025, HB					
Business Writing with AI for Dummies, 2024, PB					
Learning with Artificial Intelligence, 2025, PB					</v>
      </c>
      <c r="E1055" s="196" t="str">
        <f>IFERROR(__xludf.DUMMYFUNCTION("""COMPUTED_VALUE"""),"FOR PACUCOA COMPLIANCE")</f>
        <v>FOR PACUCOA COMPLIANCE</v>
      </c>
    </row>
    <row r="1056">
      <c r="A1056" s="234">
        <f>IFERROR(__xludf.DUMMYFUNCTION("""COMPUTED_VALUE"""),105889.0)</f>
        <v>105889</v>
      </c>
      <c r="B1056" s="235" t="str">
        <f>IFERROR(__xludf.DUMMYFUNCTION("""COMPUTED_VALUE"""),"MELISSA ODONO")</f>
        <v>MELISSA ODONO</v>
      </c>
      <c r="C1056" s="235" t="str">
        <f>IFERROR(__xludf.DUMMYFUNCTION("""COMPUTED_VALUE"""),"LIBRARY COLLEGE")</f>
        <v>LIBRARY COLLEGE</v>
      </c>
      <c r="D1056" s="196" t="str">
        <f>IFERROR(__xludf.DUMMYFUNCTION("""COMPUTED_VALUE"""),"1 EACH:
Abstract Algebra , 2025, PB					
Advanced Data Analytics and Visualization , 2025, PB					
Agile Management and Development , 2025, PB					
Analog and Digital Communication, 2025, HB					
Analytic Methods of Systems &amp; Software Testing, 2021, H"&amp;"B					
Applied Linear Algebra , 2025, HB					
Artificial Intelligence and Cybersecurity , 2025, PB					
Artificial Intelligence and Deep Learning , 2025, PB					
Artificial Intelligence and Society: Ethics and Implications , 2025, PB					
Artificial "&amp;"Intelligence Applications for Brain-Computer Interfaces, 2025, PB					
Artificial Intelligence in Wireless Sensors and Instruments , 2025, HB					
Artificial Intelligence: A Complete Guide for Thinking Humans , 2025, HB					
Artificial Intelligence-bas"&amp;"ed 6G Networking , 2025, PB					
Attribute-based Encryption (ABE), 2024, HB					
Automated Data Analytics, 2024, HB					")</f>
        <v>1 EACH:
Abstract Algebra , 2025, PB					
Advanced Data Analytics and Visualization , 2025, PB					
Agile Management and Development , 2025, PB					
Analog and Digital Communication, 2025, HB					
Analytic Methods of Systems &amp; Software Testing, 2021, HB					
Applied Linear Algebra , 2025, HB					
Artificial Intelligence and Cybersecurity , 2025, PB					
Artificial Intelligence and Deep Learning , 2025, PB					
Artificial Intelligence and Society: Ethics and Implications , 2025, PB					
Artificial Intelligence Applications for Brain-Computer Interfaces, 2025, PB					
Artificial Intelligence in Wireless Sensors and Instruments , 2025, HB					
Artificial Intelligence: A Complete Guide for Thinking Humans , 2025, HB					
Artificial Intelligence-based 6G Networking , 2025, PB					
Attribute-based Encryption (ABE), 2024, HB					
Automated Data Analytics, 2024, HB					</v>
      </c>
      <c r="E1056" s="196" t="str">
        <f>IFERROR(__xludf.DUMMYFUNCTION("""COMPUTED_VALUE"""),"FOR PACUCOA COMPLIANCE")</f>
        <v>FOR PACUCOA COMPLIANCE</v>
      </c>
    </row>
    <row r="1057">
      <c r="A1057" s="234">
        <f>IFERROR(__xludf.DUMMYFUNCTION("""COMPUTED_VALUE"""),105890.0)</f>
        <v>105890</v>
      </c>
      <c r="B1057" s="235" t="str">
        <f>IFERROR(__xludf.DUMMYFUNCTION("""COMPUTED_VALUE"""),"MELISSA ODONO")</f>
        <v>MELISSA ODONO</v>
      </c>
      <c r="C1057" s="235" t="str">
        <f>IFERROR(__xludf.DUMMYFUNCTION("""COMPUTED_VALUE"""),"LIBRARY COLLEGE")</f>
        <v>LIBRARY COLLEGE</v>
      </c>
      <c r="D1057" s="196" t="str">
        <f>IFERROR(__xludf.DUMMYFUNCTION("""COMPUTED_VALUE"""),"1 EACH:
Basic Algorithms of Artificial Intelligence , 2025, PB					
Basic Human-Robot Interaction, 2024, HB					
Basics for Numerical &amp; Symbolic Computation, 2023, HB					
Basics of Data Structures &amp; Algorithms, The, 2025, PB					
Big Data Analytics i"&amp;"n IOT, 2025, PB					
Bioethics: 50 Puzzles, Probles, and Thought Experiments, 2024, PB					
Business Analytics: Data Analysis and Decision Making , 2025, 8e, PB					
Business Driven Information Systems , 2025, 9e, PB					
C Programming, 2024, HB					
"&amp;"
Cloud Computing Architectures and Solutions , 2025, PB					
Cloud Computing: Concepts, Technology &amp; Architecture , 2025, HB					
Cloud Computing: Theory and Practice, 2025, PB					
Cluster Analysis: A Primer Using R , 2025, HB					
Comprehensive Gde."&amp;" to Computer Networking, A, 2025, PB					
Comprehensive Guide to Discrete Mathematics, A, 2025, PB					")</f>
        <v>1 EACH:
Basic Algorithms of Artificial Intelligence , 2025, PB					
Basic Human-Robot Interaction, 2024, HB					
Basics for Numerical &amp; Symbolic Computation, 2023, HB					
Basics of Data Structures &amp; Algorithms, The, 2025, PB					
Big Data Analytics in IOT, 2025, PB					
Bioethics: 50 Puzzles, Probles, and Thought Experiments, 2024, PB					
Business Analytics: Data Analysis and Decision Making , 2025, 8e, PB					
Business Driven Information Systems , 2025, 9e, PB					
C Programming, 2024, HB					
Cloud Computing Architectures and Solutions , 2025, PB					
Cloud Computing: Concepts, Technology &amp; Architecture , 2025, HB					
Cloud Computing: Theory and Practice, 2025, PB					
Cluster Analysis: A Primer Using R , 2025, HB					
Comprehensive Gde. to Computer Networking, A, 2025, PB					
Comprehensive Guide to Discrete Mathematics, A, 2025, PB					</v>
      </c>
      <c r="E1057" s="196" t="str">
        <f>IFERROR(__xludf.DUMMYFUNCTION("""COMPUTED_VALUE"""),"FOR PACUCOA COMPLIANCE")</f>
        <v>FOR PACUCOA COMPLIANCE</v>
      </c>
    </row>
    <row r="1058">
      <c r="A1058" s="234">
        <f>IFERROR(__xludf.DUMMYFUNCTION("""COMPUTED_VALUE"""),105891.0)</f>
        <v>105891</v>
      </c>
      <c r="B1058" s="235" t="str">
        <f>IFERROR(__xludf.DUMMYFUNCTION("""COMPUTED_VALUE"""),"MELISSA ODONO")</f>
        <v>MELISSA ODONO</v>
      </c>
      <c r="C1058" s="235" t="str">
        <f>IFERROR(__xludf.DUMMYFUNCTION("""COMPUTED_VALUE"""),"LIBRARY COLLEGE")</f>
        <v>LIBRARY COLLEGE</v>
      </c>
      <c r="D1058" s="196" t="str">
        <f>IFERROR(__xludf.DUMMYFUNCTION("""COMPUTED_VALUE"""),"1 EACH:
CompTIA CySA+: Gde. to Cybersecurity, 2022, 2e, HB                                        
CompTIA Security+ Guide to Network Security Fundamentals, 2025, 8e, PB                                        
Computer Arithmetic: Key Insights, 2024, HB  "&amp;"                                      
Computer Networking: An Essential Approach, 2025, PB                                        
Computer Science: An Interdisciplinary Approach , 2024, PB                                        
Computer System Architec"&amp;"ture , 2025, PB                                        
Computing Essentials 2025: Making IT Work for You , 2024, PB                                        
Concepts in Mathematical Reasoning , 2025, PB                                        
Concepts in "&amp;"Programming Languages , 2025, HB                                        
Core Concepts in Computer Science: Software Engineering, 2024, 2e, PB                                        
Criminalization of Politics and Corruption, 2024, HB                    "&amp;"                    
Critical Theory of AI , 2024, PB                                        
Cryptography , 2025, PB                                        
Cyber Intelligence and Threat Analysis , 2025, PB                                        
Cyberse"&amp;"curity and Artificial Intelligence , 2025, PB                                        ")</f>
        <v>1 EACH:
CompTIA CySA+: Gde. to Cybersecurity, 2022, 2e, HB                                        
CompTIA Security+ Guide to Network Security Fundamentals, 2025, 8e, PB                                        
Computer Arithmetic: Key Insights, 2024, HB                                        
Computer Networking: An Essential Approach, 2025, PB                                        
Computer Science: An Interdisciplinary Approach , 2024, PB                                        
Computer System Architecture , 2025, PB                                        
Computing Essentials 2025: Making IT Work for You , 2024, PB                                        
Concepts in Mathematical Reasoning , 2025, PB                                        
Concepts in Programming Languages , 2025, HB                                        
Core Concepts in Computer Science: Software Engineering, 2024, 2e, PB                                        
Criminalization of Politics and Corruption, 2024, HB                                        
Critical Theory of AI , 2024, PB                                        
Cryptography , 2025, PB                                        
Cyber Intelligence and Threat Analysis , 2025, PB                                        
Cybersecurity and Artificial Intelligence , 2025, PB                                        </v>
      </c>
      <c r="E1058" s="196" t="str">
        <f>IFERROR(__xludf.DUMMYFUNCTION("""COMPUTED_VALUE"""),"FOR PACUCOA COMPLIANCE")</f>
        <v>FOR PACUCOA COMPLIANCE</v>
      </c>
    </row>
    <row r="1059">
      <c r="A1059" s="234">
        <f>IFERROR(__xludf.DUMMYFUNCTION("""COMPUTED_VALUE"""),105892.0)</f>
        <v>105892</v>
      </c>
      <c r="B1059" s="235" t="str">
        <f>IFERROR(__xludf.DUMMYFUNCTION("""COMPUTED_VALUE"""),"MELISSA ODONO")</f>
        <v>MELISSA ODONO</v>
      </c>
      <c r="C1059" s="235" t="str">
        <f>IFERROR(__xludf.DUMMYFUNCTION("""COMPUTED_VALUE"""),"LIBRARY COLLEGE")</f>
        <v>LIBRARY COLLEGE</v>
      </c>
      <c r="D1059" s="196" t="str">
        <f>IFERROR(__xludf.DUMMYFUNCTION("""COMPUTED_VALUE"""),"1 EACH:
Cybersecurity and Risk Management , 2025, PB					
Data Privacy and Security Techniques, 2025, PB					
Data Structures , 2025, PB					
Data Viausalization in R and Python, 2025, HB					
Data Visualization: Exploring and Explaining with Data , 2"&amp;"025, PB					
Database Systems: Design, Devt. &amp; Mgt., 2025, PB					
Design and Assessment of Sustainable Products , 2025, PB					
Digital Techniques for Wideband Receivers , 2025, HB					
Disability, Sexuality and Gender in Asia , 2024, PB					
Discre"&amp;"te Structures , 2025, PB					
Dynamical Behaviors of Mutiweighted Complex Network Systems , 2025, HB					
Emerging Topics in Pattern Recognition and Artificial Intelligence, 2025, HB					
Emotional and Social Development, 2025, HB					
Engineering Mat"&amp;"hematics and Artificial Intelligence , 2024, PB					
Environmental Economics , 2025, PB					")</f>
        <v>1 EACH:
Cybersecurity and Risk Management , 2025, PB					
Data Privacy and Security Techniques, 2025, PB					
Data Structures , 2025, PB					
Data Viausalization in R and Python, 2025, HB					
Data Visualization: Exploring and Explaining with Data , 2025, PB					
Database Systems: Design, Devt. &amp; Mgt., 2025, PB					
Design and Assessment of Sustainable Products , 2025, PB					
Digital Techniques for Wideband Receivers , 2025, HB					
Disability, Sexuality and Gender in Asia , 2024, PB					
Discrete Structures , 2025, PB					
Dynamical Behaviors of Mutiweighted Complex Network Systems , 2025, HB					
Emerging Topics in Pattern Recognition and Artificial Intelligence, 2025, HB					
Emotional and Social Development, 2025, HB					
Engineering Mathematics and Artificial Intelligence , 2024, PB					
Environmental Economics , 2025, PB					</v>
      </c>
      <c r="E1059" s="196" t="str">
        <f>IFERROR(__xludf.DUMMYFUNCTION("""COMPUTED_VALUE"""),"FOR PACUCOA COMPLIANCE")</f>
        <v>FOR PACUCOA COMPLIANCE</v>
      </c>
    </row>
    <row r="1060">
      <c r="A1060" s="234">
        <f>IFERROR(__xludf.DUMMYFUNCTION("""COMPUTED_VALUE"""),105893.0)</f>
        <v>105893</v>
      </c>
      <c r="B1060" s="235" t="str">
        <f>IFERROR(__xludf.DUMMYFUNCTION("""COMPUTED_VALUE"""),"MELISSA ODONO")</f>
        <v>MELISSA ODONO</v>
      </c>
      <c r="C1060" s="235" t="str">
        <f>IFERROR(__xludf.DUMMYFUNCTION("""COMPUTED_VALUE"""),"LIBRARY COLLEGE")</f>
        <v>LIBRARY COLLEGE</v>
      </c>
      <c r="D1060" s="196" t="str">
        <f>IFERROR(__xludf.DUMMYFUNCTION("""COMPUTED_VALUE"""),"1 EACH:
Handbook of the International Relations of Asia , 2024, PB					
Human Compatible: Artificial Intelligence and the Problem of Control , 2025, HB					
Human-Computer Interaction, 2025, PB					
Information &amp; Computer Science: An Intro., 2025, PB		"&amp;"			
Information Storage and Management, 2025, HB					
Integrated Sensing &amp; Communications for Future Wireless Networks, 2025, PB					
Interaction Design, 2023, 6e, PB					
Internet and Web Application Security, 2024, 3e, PB					
Internet Infrastructu"&amp;"re: Networking &amp; Web Services, 2025, PB					
Intro. to Data Science with Python, An, 2025, PB					
Introduction to Data Mining, 2025, PB					
Introduction to Deep Learning , 2025, PB					
Introduction to Machine Learning, 2025, PB					
Introduction t"&amp;"o Operations Research, 2024, PB					
IT and Strategic Management , 2025, HB					")</f>
        <v>1 EACH:
Handbook of the International Relations of Asia , 2024, PB					
Human Compatible: Artificial Intelligence and the Problem of Control , 2025, HB					
Human-Computer Interaction, 2025, PB					
Information &amp; Computer Science: An Intro., 2025, PB					
Information Storage and Management, 2025, HB					
Integrated Sensing &amp; Communications for Future Wireless Networks, 2025, PB					
Interaction Design, 2023, 6e, PB					
Internet and Web Application Security, 2024, 3e, PB					
Internet Infrastructure: Networking &amp; Web Services, 2025, PB					
Intro. to Data Science with Python, An, 2025, PB					
Introduction to Data Mining, 2025, PB					
Introduction to Deep Learning , 2025, PB					
Introduction to Machine Learning, 2025, PB					
Introduction to Operations Research, 2024, PB					
IT and Strategic Management , 2025, HB					</v>
      </c>
      <c r="E1060" s="196" t="str">
        <f>IFERROR(__xludf.DUMMYFUNCTION("""COMPUTED_VALUE"""),"FOR PACUCOA COMPLIANCE")</f>
        <v>FOR PACUCOA COMPLIANCE</v>
      </c>
    </row>
    <row r="1061">
      <c r="A1061" s="234">
        <f>IFERROR(__xludf.DUMMYFUNCTION("""COMPUTED_VALUE"""),105894.0)</f>
        <v>105894</v>
      </c>
      <c r="B1061" s="235" t="str">
        <f>IFERROR(__xludf.DUMMYFUNCTION("""COMPUTED_VALUE"""),"MELISSA ODONO")</f>
        <v>MELISSA ODONO</v>
      </c>
      <c r="C1061" s="235" t="str">
        <f>IFERROR(__xludf.DUMMYFUNCTION("""COMPUTED_VALUE"""),"LIBRARY COLLEGE")</f>
        <v>LIBRARY COLLEGE</v>
      </c>
      <c r="D1061" s="196" t="str">
        <f>IFERROR(__xludf.DUMMYFUNCTION("""COMPUTED_VALUE"""),"1 EACH:
Java for Dummies , 2025, 9e, PB					
Java: The Complete Reference , 2024, 13e, PB					
Machine Learning and Biometrics, 2022, HB					
Machine Learning for Beginners, 2025, HB					
Machine Learning for Modern Data Science, 2025, PB					
Managi"&amp;"ng &amp; Organizations, 2025, 7e, PB					
Managing Innovation, 2025, 8e, PB					
Microsoft Visual C#: An Introduction to Object-Oriented Programming , 2025, 8e, PB					
Mobile Computing, 2025, PB					
Modern Business Statistics with Microsoft Excel  , 202"&amp;"5, PB					
Modern Database Management , 2025, PB					
Natural Language Processing Software Engineering , 2025, HB					
Networking All in One for Dummies , 2025, 9e , PB					
New Trends in Translation Studies, 2025, PB					
Operating Systems Essential"&amp;"s, 2025, PB					")</f>
        <v>1 EACH:
Java for Dummies , 2025, 9e, PB					
Java: The Complete Reference , 2024, 13e, PB					
Machine Learning and Biometrics, 2022, HB					
Machine Learning for Beginners, 2025, HB					
Machine Learning for Modern Data Science, 2025, PB					
Managing &amp; Organizations, 2025, 7e, PB					
Managing Innovation, 2025, 8e, PB					
Microsoft Visual C#: An Introduction to Object-Oriented Programming , 2025, 8e, PB					
Mobile Computing, 2025, PB					
Modern Business Statistics with Microsoft Excel  , 2025, PB					
Modern Database Management , 2025, PB					
Natural Language Processing Software Engineering , 2025, HB					
Networking All in One for Dummies , 2025, 9e , PB					
New Trends in Translation Studies, 2025, PB					
Operating Systems Essentials, 2025, PB					</v>
      </c>
      <c r="E1061" s="196" t="str">
        <f>IFERROR(__xludf.DUMMYFUNCTION("""COMPUTED_VALUE"""),"FOR PACUCOA COMPLIANCE")</f>
        <v>FOR PACUCOA COMPLIANCE</v>
      </c>
    </row>
    <row r="1062">
      <c r="A1062" s="234">
        <f>IFERROR(__xludf.DUMMYFUNCTION("""COMPUTED_VALUE"""),105895.0)</f>
        <v>105895</v>
      </c>
      <c r="B1062" s="235" t="str">
        <f>IFERROR(__xludf.DUMMYFUNCTION("""COMPUTED_VALUE"""),"MELISSA ODONO")</f>
        <v>MELISSA ODONO</v>
      </c>
      <c r="C1062" s="235" t="str">
        <f>IFERROR(__xludf.DUMMYFUNCTION("""COMPUTED_VALUE"""),"LIBRARY COLLEGE")</f>
        <v>LIBRARY COLLEGE</v>
      </c>
      <c r="D1062" s="196" t="str">
        <f>IFERROR(__xludf.DUMMYFUNCTION("""COMPUTED_VALUE"""),"1 EACH:
Philosophy of Mind: 50 Puzzles, Paradoxes and Thought Experiments , 2024, PB					
Philosophy of Philosophy, The , 2022, 2e, PB					
Political Communication, Culture and Society , 2024, PB					
Practical Multilevel Modeling Using R, 2023, PB				"&amp;"	
Principles &amp; Concepts of Database Management, 2025, PB					
Principles and Processes of Interactive Design, The , 2024, 2e, PB					
Principles of Accounting , 3e,Ibrahim, 2022, PB					
Principles of Information Security, 2022, 7e, PB					
Probabili"&amp;"ty Theory: The Logic of Science, 2025, HB					
Probability, Statistics &amp; Queing Theory, 2023, HB					
Project Management Case Studies , 2025, 7e , PB					
Project Management in Practice , 2025, 8e , PB					
Project Management, 2025, PB					
Python Pr"&amp;"ogramming for Mathematics , 2025, PB					
Qualitative Research in Marketing and Management , 2025, 3e , PB					")</f>
        <v>1 EACH:
Philosophy of Mind: 50 Puzzles, Paradoxes and Thought Experiments , 2024, PB					
Philosophy of Philosophy, The , 2022, 2e, PB					
Political Communication, Culture and Society , 2024, PB					
Practical Multilevel Modeling Using R, 2023, PB					
Principles &amp; Concepts of Database Management, 2025, PB					
Principles and Processes of Interactive Design, The , 2024, 2e, PB					
Principles of Accounting , 3e,Ibrahim, 2022, PB					
Principles of Information Security, 2022, 7e, PB					
Probability Theory: The Logic of Science, 2025, HB					
Probability, Statistics &amp; Queing Theory, 2023, HB					
Project Management Case Studies , 2025, 7e , PB					
Project Management in Practice , 2025, 8e , PB					
Project Management, 2025, PB					
Python Programming for Mathematics , 2025, PB					
Qualitative Research in Marketing and Management , 2025, 3e , PB					</v>
      </c>
      <c r="E1062" s="196" t="str">
        <f>IFERROR(__xludf.DUMMYFUNCTION("""COMPUTED_VALUE"""),"FOR PACUCOA COMPLIANCE")</f>
        <v>FOR PACUCOA COMPLIANCE</v>
      </c>
    </row>
    <row r="1063">
      <c r="A1063" s="234">
        <f>IFERROR(__xludf.DUMMYFUNCTION("""COMPUTED_VALUE"""),105896.0)</f>
        <v>105896</v>
      </c>
      <c r="B1063" s="235" t="str">
        <f>IFERROR(__xludf.DUMMYFUNCTION("""COMPUTED_VALUE"""),"MELISSA ODONO")</f>
        <v>MELISSA ODONO</v>
      </c>
      <c r="C1063" s="235" t="str">
        <f>IFERROR(__xludf.DUMMYFUNCTION("""COMPUTED_VALUE"""),"LIBRARY COLLEGE")</f>
        <v>LIBRARY COLLEGE</v>
      </c>
      <c r="D1063" s="196" t="str">
        <f>IFERROR(__xludf.DUMMYFUNCTION("""COMPUTED_VALUE"""),"1 EACH:
Quality Assessment and Security in Industrial Internet of Things , 2025, HB					
Quality Management, 2025, PB					
R All-in-One for Dummies, 2023, PB					
Raspberry Pi OS System Administration with Systemd and Python, 2024, PB					
Real-World "&amp;"Java, 2025, PB					
Scientific Research in Information Systems , 2025, HB					
Security and Privacy for 6G Massive IoT , 2025, HB					
Software Architecture: An Engg. Approach, 2025, PB					
SQL Essentials for Dummies , 2025, PB					
Statistic with R"&amp;" for Data Visualizition; 2-Vol Set, 2024, HB					
Statistics for Data Science and Analytics , 2025, HB					
Statistics with R for Machine Learning Volume 1, 2025, HB					
TCP/IP Protocol Suite , 2025, HB					
Technology for Success: Computer Concepts,"&amp;" 2026, 2e, PB					
The Metaweb: The Next Level of the Internet, 2024, 0, PB					")</f>
        <v>1 EACH:
Quality Assessment and Security in Industrial Internet of Things , 2025, HB					
Quality Management, 2025, PB					
R All-in-One for Dummies, 2023, PB					
Raspberry Pi OS System Administration with Systemd and Python, 2024, PB					
Real-World Java, 2025, PB					
Scientific Research in Information Systems , 2025, HB					
Security and Privacy for 6G Massive IoT , 2025, HB					
Software Architecture: An Engg. Approach, 2025, PB					
SQL Essentials for Dummies , 2025, PB					
Statistic with R for Data Visualizition; 2-Vol Set, 2024, HB					
Statistics for Data Science and Analytics , 2025, HB					
Statistics with R for Machine Learning Volume 1, 2025, HB					
TCP/IP Protocol Suite , 2025, HB					
Technology for Success: Computer Concepts, 2026, 2e, PB					
The Metaweb: The Next Level of the Internet, 2024, 0, PB					</v>
      </c>
      <c r="E1063" s="196" t="str">
        <f>IFERROR(__xludf.DUMMYFUNCTION("""COMPUTED_VALUE"""),"FOR PACUCOA COMPLIANCE")</f>
        <v>FOR PACUCOA COMPLIANCE</v>
      </c>
    </row>
    <row r="1064">
      <c r="A1064" s="234">
        <f>IFERROR(__xludf.DUMMYFUNCTION("""COMPUTED_VALUE"""),105897.0)</f>
        <v>105897</v>
      </c>
      <c r="B1064" s="235" t="str">
        <f>IFERROR(__xludf.DUMMYFUNCTION("""COMPUTED_VALUE"""),"MELISSA ODONO")</f>
        <v>MELISSA ODONO</v>
      </c>
      <c r="C1064" s="235" t="str">
        <f>IFERROR(__xludf.DUMMYFUNCTION("""COMPUTED_VALUE"""),"LIBRARY COLLEGE")</f>
        <v>LIBRARY COLLEGE</v>
      </c>
      <c r="D1064" s="196" t="str">
        <f>IFERROR(__xludf.DUMMYFUNCTION("""COMPUTED_VALUE"""),"1 EACH:
Theory of Computation, 2025, PB					
Total Quality Management and Lean Thinking 5.0, 2025, PB					
Trends in Software-Defined Networking , 2025, HB					
Understanding Wifi Technology, 2025, PB					
Urban Artificial Intelligence , 2025, PB					"&amp;"
Wearable Computing &amp; Augmented Reality, 2025, PB					
Web Design: A Beginner's Gde., 2025, PB					
Web Hacking Arsenal (2-vol. set), 2025, PB					")</f>
        <v>1 EACH:
Theory of Computation, 2025, PB					
Total Quality Management and Lean Thinking 5.0, 2025, PB					
Trends in Software-Defined Networking , 2025, HB					
Understanding Wifi Technology, 2025, PB					
Urban Artificial Intelligence , 2025, PB					
Wearable Computing &amp; Augmented Reality, 2025, PB					
Web Design: A Beginner's Gde., 2025, PB					
Web Hacking Arsenal (2-vol. set), 2025, PB					</v>
      </c>
      <c r="E1064" s="196" t="str">
        <f>IFERROR(__xludf.DUMMYFUNCTION("""COMPUTED_VALUE"""),"FOR PACUCOA COMPLIANCE")</f>
        <v>FOR PACUCOA COMPLIANCE</v>
      </c>
    </row>
    <row r="1065">
      <c r="A1065" s="234">
        <f>IFERROR(__xludf.DUMMYFUNCTION("""COMPUTED_VALUE"""),105898.0)</f>
        <v>105898</v>
      </c>
      <c r="B1065" s="235" t="str">
        <f>IFERROR(__xludf.DUMMYFUNCTION("""COMPUTED_VALUE"""),"MELISSA ODONO")</f>
        <v>MELISSA ODONO</v>
      </c>
      <c r="C1065" s="235" t="str">
        <f>IFERROR(__xludf.DUMMYFUNCTION("""COMPUTED_VALUE"""),"LIBRARY COLLEGE")</f>
        <v>LIBRARY COLLEGE</v>
      </c>
      <c r="D1065" s="196" t="str">
        <f>IFERROR(__xludf.DUMMYFUNCTION("""COMPUTED_VALUE"""),"1 EACH:
Essence of Software Engineering, The, 2025, PB					
Essentials of Marketing Analytics , 2024, PB					
Fast &amp; Effective Embedded Systems Design, 2025, 3e, PB					
First Course in Artificial Intelligence, A , 2025, HB					
Foundations of informa"&amp;"tions Security, 2025, PB					
Fundamentals of Algorithmic Processes, The, 2023, HB					
Fundamentals of Case Management Practice, 2025, 6e, PB					
Fundamentals of Corporate Finance, 2022, 13e, PB					
Fundamentals of Finance , 2025, PB					
Fundamen"&amp;"tals of Machine Learning for Predictive Data Analytics, 2025, HB					
Fundamentals of Programming , 2025, PB					
Fuzzy Logic: An Introductory Text, 2025, PB					
Globalization and Dynamics of Urban Production , 2023, HB					
Guide to Computer Forensi"&amp;"cs and Investigations , 2025, 17e, PB					
Hacking Multi Factor Authentication , 2025, HB					")</f>
        <v>1 EACH:
Essence of Software Engineering, The, 2025, PB					
Essentials of Marketing Analytics , 2024, PB					
Fast &amp; Effective Embedded Systems Design, 2025, 3e, PB					
First Course in Artificial Intelligence, A , 2025, HB					
Foundations of informations Security, 2025, PB					
Fundamentals of Algorithmic Processes, The, 2023, HB					
Fundamentals of Case Management Practice, 2025, 6e, PB					
Fundamentals of Corporate Finance, 2022, 13e, PB					
Fundamentals of Finance , 2025, PB					
Fundamentals of Machine Learning for Predictive Data Analytics, 2025, HB					
Fundamentals of Programming , 2025, PB					
Fuzzy Logic: An Introductory Text, 2025, PB					
Globalization and Dynamics of Urban Production , 2023, HB					
Guide to Computer Forensics and Investigations , 2025, 17e, PB					
Hacking Multi Factor Authentication , 2025, HB					</v>
      </c>
      <c r="E1065" s="196" t="str">
        <f>IFERROR(__xludf.DUMMYFUNCTION("""COMPUTED_VALUE"""),"FOR PACUCOA COMPLIANCE")</f>
        <v>FOR PACUCOA COMPLIANCE</v>
      </c>
    </row>
    <row r="1066">
      <c r="A1066" s="234">
        <f>IFERROR(__xludf.DUMMYFUNCTION("""COMPUTED_VALUE"""),105899.0)</f>
        <v>105899</v>
      </c>
      <c r="B1066" s="235" t="str">
        <f>IFERROR(__xludf.DUMMYFUNCTION("""COMPUTED_VALUE"""),"MELISSA ODONO")</f>
        <v>MELISSA ODONO</v>
      </c>
      <c r="C1066" s="235" t="str">
        <f>IFERROR(__xludf.DUMMYFUNCTION("""COMPUTED_VALUE"""),"LIBRARY COLLEGE")</f>
        <v>LIBRARY COLLEGE</v>
      </c>
      <c r="D1066" s="196" t="str">
        <f>IFERROR(__xludf.DUMMYFUNCTION("""COMPUTED_VALUE"""),"1 EACH:
3D Printing for Dummies, 2024, 3e , PB					
3D Printing Handbook, The, 2025, HB					
3D Printing in Architecture, 2025, PB					
Design &amp; Agency, 2025, PB					
More-Than-Human Design in Practice, 2025, PB					
Towards 4D Bloprinting, 2023, PB	"&amp;"				
Zen and the Art of Digital Transformation, 2025, HB					")</f>
        <v>1 EACH:
3D Printing for Dummies, 2024, 3e , PB					
3D Printing Handbook, The, 2025, HB					
3D Printing in Architecture, 2025, PB					
Design &amp; Agency, 2025, PB					
More-Than-Human Design in Practice, 2025, PB					
Towards 4D Bloprinting, 2023, PB					
Zen and the Art of Digital Transformation, 2025, HB					</v>
      </c>
      <c r="E1066" s="196" t="str">
        <f>IFERROR(__xludf.DUMMYFUNCTION("""COMPUTED_VALUE"""),"FOR PACUCOA COMPLIANCE")</f>
        <v>FOR PACUCOA COMPLIANCE</v>
      </c>
    </row>
    <row r="1067">
      <c r="A1067" s="234">
        <f>IFERROR(__xludf.DUMMYFUNCTION("""COMPUTED_VALUE"""),105900.0)</f>
        <v>105900</v>
      </c>
      <c r="B1067" s="235" t="str">
        <f>IFERROR(__xludf.DUMMYFUNCTION("""COMPUTED_VALUE"""),"MELISSA ODONO")</f>
        <v>MELISSA ODONO</v>
      </c>
      <c r="C1067" s="235" t="str">
        <f>IFERROR(__xludf.DUMMYFUNCTION("""COMPUTED_VALUE"""),"LIBRARY COLLEGE")</f>
        <v>LIBRARY COLLEGE</v>
      </c>
      <c r="D1067" s="196" t="str">
        <f>IFERROR(__xludf.DUMMYFUNCTION("""COMPUTED_VALUE"""),"1 EACH:
Teaching and Learning Shakespeare through Theatre-based Practice, 2024, PB					
Textbook of Digital Media and Communication, 2025, PB					
Theatre In a Post-Truth World, 2024, PB					
Therizing Mediated Information Distortion, 2024, PB					
Ul"&amp;"timate Beginner's Guide to Photography, The, 2023, PB					
Understanding Broadcast Journalism, 2024, PB					
Video Theories, 2022, PB					
Visual Activism In the 21st Century, 2024, PB					
Visual Communication: From Theory to Practice, 2025, PB					
"&amp;"
Visual Methodologies, 5e, 2023, PB					
Web Design: A Beginner's Gde., 2025, PB					
World Design for 20 Action-Adventures, 2025, PB					
Writing for Media-Theory, 2025, HB					
Writing for News &amp; Public Affairs, 2025, PB					")</f>
        <v>1 EACH:
Teaching and Learning Shakespeare through Theatre-based Practice, 2024, PB					
Textbook of Digital Media and Communication, 2025, PB					
Theatre In a Post-Truth World, 2024, PB					
Therizing Mediated Information Distortion, 2024, PB					
Ultimate Beginner's Guide to Photography, The, 2023, PB					
Understanding Broadcast Journalism, 2024, PB					
Video Theories, 2022, PB					
Visual Activism In the 21st Century, 2024, PB					
Visual Communication: From Theory to Practice, 2025, PB					
Visual Methodologies, 5e, 2023, PB					
Web Design: A Beginner's Gde., 2025, PB					
World Design for 20 Action-Adventures, 2025, PB					
Writing for Media-Theory, 2025, HB					
Writing for News &amp; Public Affairs, 2025, PB					</v>
      </c>
      <c r="E1067" s="196" t="str">
        <f>IFERROR(__xludf.DUMMYFUNCTION("""COMPUTED_VALUE"""),"FOR PACUCOA COMPLIANCE")</f>
        <v>FOR PACUCOA COMPLIANCE</v>
      </c>
    </row>
    <row r="1068">
      <c r="A1068" s="234">
        <f>IFERROR(__xludf.DUMMYFUNCTION("""COMPUTED_VALUE"""),105901.0)</f>
        <v>105901</v>
      </c>
      <c r="B1068" s="235" t="str">
        <f>IFERROR(__xludf.DUMMYFUNCTION("""COMPUTED_VALUE"""),"MELISSA ODONO")</f>
        <v>MELISSA ODONO</v>
      </c>
      <c r="C1068" s="235" t="str">
        <f>IFERROR(__xludf.DUMMYFUNCTION("""COMPUTED_VALUE"""),"LIBRARY COLLEGE")</f>
        <v>LIBRARY COLLEGE</v>
      </c>
      <c r="D1068" s="196" t="str">
        <f>IFERROR(__xludf.DUMMYFUNCTION("""COMPUTED_VALUE"""),"1 EACH:
Principles and Processes of Interactive Design, The, 2e, 2024, PB					
Principles of Intercultural Communication, 3e, 2025, PB					
Print, Newspapers and the Public, 2025, PB					
Public Relations for Dummies, 3e, 2025, PB					
Routledge Compa"&amp;"nion to Theatre and Performance, The, 3e, 2025, PB					
Scene-Writing for FILM and TV, 2025, PB					
Screen Writing: The Sequence Approach, 2e, 2024, PB					
Screenwriters Advice, 2024, PB					
Seeing it on Television, 2022, PB					
Selling Online fo"&amp;"r Dummies, 2025, PB					
Show and Biz: The Market Economy In TV Series..., 2025, PB					
Social Media Communication, 2022, PB					
Social Media: A Critical Introduction, 4e, 2024, PB					
Story Mode: The Creative Writer's Guide to Narrative Video Game"&amp;" Design, 2024, PB					
Strategic Brand Design, 2025, PB					")</f>
        <v>1 EACH:
Principles and Processes of Interactive Design, The, 2e, 2024, PB					
Principles of Intercultural Communication, 3e, 2025, PB					
Print, Newspapers and the Public, 2025, PB					
Public Relations for Dummies, 3e, 2025, PB					
Routledge Companion to Theatre and Performance, The, 3e, 2025, PB					
Scene-Writing for FILM and TV, 2025, PB					
Screen Writing: The Sequence Approach, 2e, 2024, PB					
Screenwriters Advice, 2024, PB					
Seeing it on Television, 2022, PB					
Selling Online for Dummies, 2025, PB					
Show and Biz: The Market Economy In TV Series..., 2025, PB					
Social Media Communication, 2022, PB					
Social Media: A Critical Introduction, 4e, 2024, PB					
Story Mode: The Creative Writer's Guide to Narrative Video Game Design, 2024, PB					
Strategic Brand Design, 2025, PB					</v>
      </c>
      <c r="E1068" s="196" t="str">
        <f>IFERROR(__xludf.DUMMYFUNCTION("""COMPUTED_VALUE"""),"FOR PACUCOA COMPLIANCE")</f>
        <v>FOR PACUCOA COMPLIANCE</v>
      </c>
    </row>
    <row r="1069">
      <c r="A1069" s="234">
        <f>IFERROR(__xludf.DUMMYFUNCTION("""COMPUTED_VALUE"""),105902.0)</f>
        <v>105902</v>
      </c>
      <c r="B1069" s="235" t="str">
        <f>IFERROR(__xludf.DUMMYFUNCTION("""COMPUTED_VALUE"""),"MELISSA ODONO")</f>
        <v>MELISSA ODONO</v>
      </c>
      <c r="C1069" s="235" t="str">
        <f>IFERROR(__xludf.DUMMYFUNCTION("""COMPUTED_VALUE"""),"LIBRARY COLLEGE")</f>
        <v>LIBRARY COLLEGE</v>
      </c>
      <c r="D1069" s="196" t="str">
        <f>IFERROR(__xludf.DUMMYFUNCTION("""COMPUTED_VALUE"""),"1 EACH:
Media, Culture and Technology: An Integrated Approach, 2025, PB					
Media, Society and Communication, 2025, HB					
Media/Impact: An Introduction to Mass Media, 13e, 2025, PB					
Milestones in Asian American Theatre, 2023, PB					
Motion Pic"&amp;"ture and Vedio-Lighting, 2024, PB					
Multimedia Applications and Web Designing, 2024, HB					
Miultimedia: The Internet and Beyond, 2025, PB					
Online Journalism, 2025, PB					
Organisational Behaviour: Core Concepts and Applications, 6e, 2025, PB"&amp;"					
Organisational Behaviour: Engaging People and Organisations, 2e, 2024, PB					
Photography Resistance: Securing Evidence in Nazi-Occupied Europe, 2025, PB					
Photography for Architects, 2024, PB					
Photojournalism Theory, 2025, HB					
Phot"&amp;"oshop Elements 2025 for Dummies, 2025, PB					
Practical Introduction to Virtual Reality, A, 2025, PB					")</f>
        <v>1 EACH:
Media, Culture and Technology: An Integrated Approach, 2025, PB					
Media, Society and Communication, 2025, HB					
Media/Impact: An Introduction to Mass Media, 13e, 2025, PB					
Milestones in Asian American Theatre, 2023, PB					
Motion Picture and Vedio-Lighting, 2024, PB					
Multimedia Applications and Web Designing, 2024, HB					
Miultimedia: The Internet and Beyond, 2025, PB					
Online Journalism, 2025, PB					
Organisational Behaviour: Core Concepts and Applications, 6e, 2025, PB					
Organisational Behaviour: Engaging People and Organisations, 2e, 2024, PB					
Photography Resistance: Securing Evidence in Nazi-Occupied Europe, 2025, PB					
Photography for Architects, 2024, PB					
Photojournalism Theory, 2025, HB					
Photoshop Elements 2025 for Dummies, 2025, PB					
Practical Introduction to Virtual Reality, A, 2025, PB					</v>
      </c>
      <c r="E1069" s="196" t="str">
        <f>IFERROR(__xludf.DUMMYFUNCTION("""COMPUTED_VALUE"""),"FOR PACUCOA COMPLIANCE")</f>
        <v>FOR PACUCOA COMPLIANCE</v>
      </c>
    </row>
    <row r="1070">
      <c r="A1070" s="234">
        <f>IFERROR(__xludf.DUMMYFUNCTION("""COMPUTED_VALUE"""),105903.0)</f>
        <v>105903</v>
      </c>
      <c r="B1070" s="235" t="str">
        <f>IFERROR(__xludf.DUMMYFUNCTION("""COMPUTED_VALUE"""),"MELISSA ODONO")</f>
        <v>MELISSA ODONO</v>
      </c>
      <c r="C1070" s="235" t="str">
        <f>IFERROR(__xludf.DUMMYFUNCTION("""COMPUTED_VALUE"""),"LIBRARY COLLEGE")</f>
        <v>LIBRARY COLLEGE</v>
      </c>
      <c r="D1070" s="196" t="str">
        <f>IFERROR(__xludf.DUMMYFUNCTION("""COMPUTED_VALUE"""),"1 EACH:
Introduction to Advertising Theory, 2025, HB					
Introduction to Communication &amp; Medical In Global..., 2025, PB					
Introduction to Mass Communication: Media Literacy and Culture, 2024, PB					
Introduction to Visual Arts, 2025, PB					
Jour"&amp;"nalism and Public Relations, 2025, HB					
Journalism Handbook, The, 2025, PB					
Knowledge Management, 2025, PB					
Level Up! The Guide to Great Video Game Design, 3E, 2025, PB					
Lighting Design Basics, 4e, 2024, PB					
Managing Your Gaming an"&amp;"d Social Media Habits, 2025, PB					
Mass Communications and Media Studies: An Introduction, 2025, HB					
Mastering the Craft of Diverse and Inclusive Screenwriting, 2025, PB					
Mastering Type: The Essential Guide to Typography, 2e, 2025, PB					
M"&amp;"edia and Society: An Introduction, 2025, PB					
Media Now: Understanding Media, Culture and Technology, 11e, 2025, PB					")</f>
        <v>1 EACH:
Introduction to Advertising Theory, 2025, HB					
Introduction to Communication &amp; Medical In Global..., 2025, PB					
Introduction to Mass Communication: Media Literacy and Culture, 2024, PB					
Introduction to Visual Arts, 2025, PB					
Journalism and Public Relations, 2025, HB					
Journalism Handbook, The, 2025, PB					
Knowledge Management, 2025, PB					
Level Up! The Guide to Great Video Game Design, 3E, 2025, PB					
Lighting Design Basics, 4e, 2024, PB					
Managing Your Gaming and Social Media Habits, 2025, PB					
Mass Communications and Media Studies: An Introduction, 2025, HB					
Mastering the Craft of Diverse and Inclusive Screenwriting, 2025, PB					
Mastering Type: The Essential Guide to Typography, 2e, 2025, PB					
Media and Society: An Introduction, 2025, PB					
Media Now: Understanding Media, Culture and Technology, 11e, 2025, PB					</v>
      </c>
      <c r="E1070" s="196" t="str">
        <f>IFERROR(__xludf.DUMMYFUNCTION("""COMPUTED_VALUE"""),"FOR PACUCOA COMPLIANCE")</f>
        <v>FOR PACUCOA COMPLIANCE</v>
      </c>
    </row>
    <row r="1071">
      <c r="A1071" s="234">
        <f>IFERROR(__xludf.DUMMYFUNCTION("""COMPUTED_VALUE"""),105904.0)</f>
        <v>105904</v>
      </c>
      <c r="B1071" s="235" t="str">
        <f>IFERROR(__xludf.DUMMYFUNCTION("""COMPUTED_VALUE"""),"MELISSA ODONO")</f>
        <v>MELISSA ODONO</v>
      </c>
      <c r="C1071" s="235" t="str">
        <f>IFERROR(__xludf.DUMMYFUNCTION("""COMPUTED_VALUE"""),"LIBRARY COLLEGE")</f>
        <v>LIBRARY COLLEGE</v>
      </c>
      <c r="D1071" s="196" t="str">
        <f>IFERROR(__xludf.DUMMYFUNCTION("""COMPUTED_VALUE"""),"1 EACH:
Fakes News on the Internet, 2024, PB					
Fifty Key Theatre Designs, 2024, PB					
Film Art: An Introduction, 13e, 2024, PB					
Foundations of Computer Graphics, 2025, PB					
Foundations of Stage Makeup, 2e, 2025, PB					
From the Margins t"&amp;"o the Mainstream, 2024, PB					
Fundamentals of Journalism, 2025, HB					
Gardner's Art through the Ages, 5e, 2023, PB					
Giving Tyoe Meaning: Context and Craft in Typography, 2024, PB					
Global Media and Politics, 2025, PB					
Graphic Design fo"&amp;"r Dummies, 2025, PB					
Guide to Post-Classical Narration, A, 2024, PB					
Human Behavior in Organization, 2025, PB					
Introducing Communication Research, 5e, 2025, PB					
Introducing Communication Theory: Analysis and Application, 2024, PB					")</f>
        <v>1 EACH:
Fakes News on the Internet, 2024, PB					
Fifty Key Theatre Designs, 2024, PB					
Film Art: An Introduction, 13e, 2024, PB					
Foundations of Computer Graphics, 2025, PB					
Foundations of Stage Makeup, 2e, 2025, PB					
From the Margins to the Mainstream, 2024, PB					
Fundamentals of Journalism, 2025, HB					
Gardner's Art through the Ages, 5e, 2023, PB					
Giving Tyoe Meaning: Context and Craft in Typography, 2024, PB					
Global Media and Politics, 2025, PB					
Graphic Design for Dummies, 2025, PB					
Guide to Post-Classical Narration, A, 2024, PB					
Human Behavior in Organization, 2025, PB					
Introducing Communication Research, 5e, 2025, PB					
Introducing Communication Theory: Analysis and Application, 2024, PB					</v>
      </c>
      <c r="E1071" s="196" t="str">
        <f>IFERROR(__xludf.DUMMYFUNCTION("""COMPUTED_VALUE"""),"FOR PACUCOA COMPLIANCE")</f>
        <v>FOR PACUCOA COMPLIANCE</v>
      </c>
    </row>
    <row r="1072">
      <c r="A1072" s="234">
        <f>IFERROR(__xludf.DUMMYFUNCTION("""COMPUTED_VALUE"""),105905.0)</f>
        <v>105905</v>
      </c>
      <c r="B1072" s="235" t="str">
        <f>IFERROR(__xludf.DUMMYFUNCTION("""COMPUTED_VALUE"""),"MELISSA ODONO")</f>
        <v>MELISSA ODONO</v>
      </c>
      <c r="C1072" s="235" t="str">
        <f>IFERROR(__xludf.DUMMYFUNCTION("""COMPUTED_VALUE"""),"LIBRARY COLLEGE")</f>
        <v>LIBRARY COLLEGE</v>
      </c>
      <c r="D1072" s="196" t="str">
        <f>IFERROR(__xludf.DUMMYFUNCTION("""COMPUTED_VALUE"""),"1 EACH:
Comedy In Literature and Popular Culture, 2025, PB					
Communication and Media Laws and Ethics, 2025, PB					
Communication and Misinformation, 2025, PB					
Communication Theory at the Crossroads, 2025, PB					
Companion to Critical and Cult"&amp;"ural Theory, A, 2025, HB					
Computer Applications for Journalism Management, 2025, HB					
Computer Graphics, 2025, PB					
Cross-Media Communications: An Intro., 2025, PB					
Design &amp; Agency, 2025, PB					
Design History Reader, The, 2e, 2025				"&amp;"	
Designing Knowledge, 2024, PB					
Digital Drawing for Designers, 2024, PB					
Dramatic Storytelling &amp; Narrative Design, 2e, 2025, PB					
Essential Journalism, 2024, PB					
Essentials of Consumer Behavior, 2025, PB					")</f>
        <v>1 EACH:
Comedy In Literature and Popular Culture, 2025, PB					
Communication and Media Laws and Ethics, 2025, PB					
Communication and Misinformation, 2025, PB					
Communication Theory at the Crossroads, 2025, PB					
Companion to Critical and Cultural Theory, A, 2025, HB					
Computer Applications for Journalism Management, 2025, HB					
Computer Graphics, 2025, PB					
Cross-Media Communications: An Intro., 2025, PB					
Design &amp; Agency, 2025, PB					
Design History Reader, The, 2e, 2025					
Designing Knowledge, 2024, PB					
Digital Drawing for Designers, 2024, PB					
Dramatic Storytelling &amp; Narrative Design, 2e, 2025, PB					
Essential Journalism, 2024, PB					
Essentials of Consumer Behavior, 2025, PB					</v>
      </c>
      <c r="E1072" s="196" t="str">
        <f>IFERROR(__xludf.DUMMYFUNCTION("""COMPUTED_VALUE"""),"FOR PACUCOA COMPLIANCE")</f>
        <v>FOR PACUCOA COMPLIANCE</v>
      </c>
    </row>
    <row r="1073">
      <c r="A1073" s="234">
        <f>IFERROR(__xludf.DUMMYFUNCTION("""COMPUTED_VALUE"""),105906.0)</f>
        <v>105906</v>
      </c>
      <c r="B1073" s="235" t="str">
        <f>IFERROR(__xludf.DUMMYFUNCTION("""COMPUTED_VALUE"""),"MELISSA ODONO")</f>
        <v>MELISSA ODONO</v>
      </c>
      <c r="C1073" s="235" t="str">
        <f>IFERROR(__xludf.DUMMYFUNCTION("""COMPUTED_VALUE"""),"LIBRARY COLLEGE")</f>
        <v>LIBRARY COLLEGE</v>
      </c>
      <c r="D1073" s="196" t="str">
        <f>IFERROR(__xludf.DUMMYFUNCTION("""COMPUTED_VALUE"""),"1 EACH:
Adobe Photoshop: Classroom in a Book, 2024, PB					
Advertising &amp; Integrated Brand Promotion, 9e, 2023, PB					
Advertising and Promotion: An Integrated Marketing.., 13e, 2024, PB					
Advertising, Promotion and Other Aspects of Integrated Mktg"&amp;". Communications, 11e, 2025, PB					
Aerial Photography and Videography Using Drones, 2025, HB					
Aesthetics and Video Games, 2025, PB					
Algorithms and Networking for Computer Games, 2025, HB					
Art and Practice Directing for Theatre, The, 2e, "&amp;"2025, PB					
Audio and Video Editing, 2025, PB					
Becoming Rhetorical, 2e, 2024, PB					
Brand Management, 2025, HB					
Broadcast Journalism: Techniques of Radio and Television News, 2024, PB					
Celebrity Culture, 3e, 2024, PB					
Cinematogra"&amp;"phy and Lighting for Television, 2025, PB					
Collaborative Screenwriting and Story Development, 2024, PB					")</f>
        <v>1 EACH:
Adobe Photoshop: Classroom in a Book, 2024, PB					
Advertising &amp; Integrated Brand Promotion, 9e, 2023, PB					
Advertising and Promotion: An Integrated Marketing.., 13e, 2024, PB					
Advertising, Promotion and Other Aspects of Integrated Mktg. Communications, 11e, 2025, PB					
Aerial Photography and Videography Using Drones, 2025, HB					
Aesthetics and Video Games, 2025, PB					
Algorithms and Networking for Computer Games, 2025, HB					
Art and Practice Directing for Theatre, The, 2e, 2025, PB					
Audio and Video Editing, 2025, PB					
Becoming Rhetorical, 2e, 2024, PB					
Brand Management, 2025, HB					
Broadcast Journalism: Techniques of Radio and Television News, 2024, PB					
Celebrity Culture, 3e, 2024, PB					
Cinematography and Lighting for Television, 2025, PB					
Collaborative Screenwriting and Story Development, 2024, PB					</v>
      </c>
      <c r="E1073" s="196" t="str">
        <f>IFERROR(__xludf.DUMMYFUNCTION("""COMPUTED_VALUE"""),"FOR PACUCOA COMPLIANCE")</f>
        <v>FOR PACUCOA COMPLIANCE</v>
      </c>
    </row>
    <row r="1074">
      <c r="A1074" s="234">
        <f>IFERROR(__xludf.DUMMYFUNCTION("""COMPUTED_VALUE"""),105907.0)</f>
        <v>105907</v>
      </c>
      <c r="B1074" s="235" t="str">
        <f>IFERROR(__xludf.DUMMYFUNCTION("""COMPUTED_VALUE"""),"MELISSA ODONO")</f>
        <v>MELISSA ODONO</v>
      </c>
      <c r="C1074" s="235" t="str">
        <f>IFERROR(__xludf.DUMMYFUNCTION("""COMPUTED_VALUE"""),"LIBRARY COLLEGE")</f>
        <v>LIBRARY COLLEGE</v>
      </c>
      <c r="D1074" s="196" t="str">
        <f>IFERROR(__xludf.DUMMYFUNCTION("""COMPUTED_VALUE"""),"1 EACH:
Strategic Brand Design, 2025, PB					
Strategic Change Management, 2025, PB					
Strategic Management, 2024, 11e, PB					
Strategic Management, 2024, Se PB					
Strategic Management: Text &amp; Cases, 2024, 11c, PB					
Strategic Management: Theo"&amp;"ry &amp; Practice, 2025, PB					
Strategic Management: World Edition, 2023, 2a, PB					
""Strategic Planning for Public and Nobprofit Organizations,2024, 
6a , HB ""					
Transforming PR: Public Relations to People Relations 2025, PB					")</f>
        <v>1 EACH:
Strategic Brand Design, 2025, PB					
Strategic Change Management, 2025, PB					
Strategic Management, 2024, 11e, PB					
Strategic Management, 2024, Se PB					
Strategic Management: Text &amp; Cases, 2024, 11c, PB					
Strategic Management: Theory &amp; Practice, 2025, PB					
Strategic Management: World Edition, 2023, 2a, PB					
"Strategic Planning for Public and Nobprofit Organizations,2024, 
6a , HB "					
Transforming PR: Public Relations to People Relations 2025, PB					</v>
      </c>
      <c r="E1074" s="196" t="str">
        <f>IFERROR(__xludf.DUMMYFUNCTION("""COMPUTED_VALUE"""),"FOR PACUCOA COMPLIANCE")</f>
        <v>FOR PACUCOA COMPLIANCE</v>
      </c>
    </row>
    <row r="1075">
      <c r="A1075" s="234">
        <f>IFERROR(__xludf.DUMMYFUNCTION("""COMPUTED_VALUE"""),105908.0)</f>
        <v>105908</v>
      </c>
      <c r="B1075" s="235" t="str">
        <f>IFERROR(__xludf.DUMMYFUNCTION("""COMPUTED_VALUE"""),"MELISSA ODONO")</f>
        <v>MELISSA ODONO</v>
      </c>
      <c r="C1075" s="235" t="str">
        <f>IFERROR(__xludf.DUMMYFUNCTION("""COMPUTED_VALUE"""),"LIBRARY COLLEGE")</f>
        <v>LIBRARY COLLEGE</v>
      </c>
      <c r="D1075" s="196" t="str">
        <f>IFERROR(__xludf.DUMMYFUNCTION("""COMPUTED_VALUE"""),"1 EACH:
Cores of Strategic Managhement, The, 2025, 2e, PB					
Creating a Business Plan for Dummies, 2025, 2e, PB					
Current Progress in Artificial Intelligence, 2024, HB					
""Effective Workplace Communications: Mastering the Basics,
2024, PB""				"&amp;"	
Entrepreneurship: A Contemporary &amp; Global Approach, 2025, PB					
Essentials of Strategic Management, 2025, PB					
""Financial Accounting: The Cornerstone of Business 
Decision-Making, 2025, 6e. PB""					
Financial Planning Essentials, 2025, 2e, PB"&amp;"					
Mastering Strategic Management, 2025, HB					
Mind Over Meetings, 2025, HB					
Product Management in the Digital Era, 2025, PB					
Public Relations and Strategic Comminication in 2050, 2025, PB					
Real Estate Investment &amp; Financial Analysis"&amp;", 2025, HB					
Real Estate Laws, 2025, HB					
""Strategic and Sustainable Management of Workplace Faciltiies, 
2025, PB""					")</f>
        <v>1 EACH:
Cores of Strategic Managhement, The, 2025, 2e, PB					
Creating a Business Plan for Dummies, 2025, 2e, PB					
Current Progress in Artificial Intelligence, 2024, HB					
"Effective Workplace Communications: Mastering the Basics,
2024, PB"					
Entrepreneurship: A Contemporary &amp; Global Approach, 2025, PB					
Essentials of Strategic Management, 2025, PB					
"Financial Accounting: The Cornerstone of Business 
Decision-Making, 2025, 6e. PB"					
Financial Planning Essentials, 2025, 2e, PB					
Mastering Strategic Management, 2025, HB					
Mind Over Meetings, 2025, HB					
Product Management in the Digital Era, 2025, PB					
Public Relations and Strategic Comminication in 2050, 2025, PB					
Real Estate Investment &amp; Financial Analysis, 2025, HB					
Real Estate Laws, 2025, HB					
"Strategic and Sustainable Management of Workplace Faciltiies, 
2025, PB"					</v>
      </c>
      <c r="E1075" s="196" t="str">
        <f>IFERROR(__xludf.DUMMYFUNCTION("""COMPUTED_VALUE"""),"FOR PACUCOA COMPLIANCE")</f>
        <v>FOR PACUCOA COMPLIANCE</v>
      </c>
    </row>
    <row r="1076">
      <c r="A1076" s="234">
        <f>IFERROR(__xludf.DUMMYFUNCTION("""COMPUTED_VALUE"""),105909.0)</f>
        <v>105909</v>
      </c>
      <c r="B1076" s="235" t="str">
        <f>IFERROR(__xludf.DUMMYFUNCTION("""COMPUTED_VALUE"""),"MELISSA ODONO")</f>
        <v>MELISSA ODONO</v>
      </c>
      <c r="C1076" s="235" t="str">
        <f>IFERROR(__xludf.DUMMYFUNCTION("""COMPUTED_VALUE"""),"LIBRARY COLLEGE")</f>
        <v>LIBRARY COLLEGE</v>
      </c>
      <c r="D1076" s="196" t="str">
        <f>IFERROR(__xludf.DUMMYFUNCTION("""COMPUTED_VALUE"""),"1 EACH:
Accounting Information Systems, 2024, 4e, PB					
Advertising and Promotion: An Integrated Marketing..., 2024, 13e, PB					
Advertising, Promotion and Other Aspects of Integrated Mktg. Communications , 2025, 11e , PB					
AI and Innovation , 20"&amp;"25, PB					
Applied Marketing Analytics Using R, 2024, PB					
Approaches to Corporate Social Responsibility , 2024, PB					
Basic Business Statistics, 2025, PB					
Basic Finance, 2025, 13e, PB					
Behavioral Finance: Beyond the Basics , 2025, HB		"&amp;"			
Blockchain Technology and Its Applications, 2025, PB					
Brand Management , 2025, HB					
Business - to - Business Marketing, 2024, 6e, PB					
Business Driven Technology, 2024, 10e, PB					
Business Economics , 2024, 4e, PB					
Business Ethic"&amp;"s: Ethical Decision Making and Cases , 2026, 14e , PB					")</f>
        <v>1 EACH:
Accounting Information Systems, 2024, 4e, PB					
Advertising and Promotion: An Integrated Marketing..., 2024, 13e, PB					
Advertising, Promotion and Other Aspects of Integrated Mktg. Communications , 2025, 11e , PB					
AI and Innovation , 2025, PB					
Applied Marketing Analytics Using R, 2024, PB					
Approaches to Corporate Social Responsibility , 2024, PB					
Basic Business Statistics, 2025, PB					
Basic Finance, 2025, 13e, PB					
Behavioral Finance: Beyond the Basics , 2025, HB					
Blockchain Technology and Its Applications, 2025, PB					
Brand Management , 2025, HB					
Business - to - Business Marketing, 2024, 6e, PB					
Business Driven Technology, 2024, 10e, PB					
Business Economics , 2024, 4e, PB					
Business Ethics: Ethical Decision Making and Cases , 2026, 14e , PB					</v>
      </c>
      <c r="E1076" s="196" t="str">
        <f>IFERROR(__xludf.DUMMYFUNCTION("""COMPUTED_VALUE"""),"FOR PACUCOA COMPLIANCE")</f>
        <v>FOR PACUCOA COMPLIANCE</v>
      </c>
    </row>
    <row r="1077">
      <c r="A1077" s="234">
        <f>IFERROR(__xludf.DUMMYFUNCTION("""COMPUTED_VALUE"""),105910.0)</f>
        <v>105910</v>
      </c>
      <c r="B1077" s="235" t="str">
        <f>IFERROR(__xludf.DUMMYFUNCTION("""COMPUTED_VALUE"""),"MELISSA ODONO")</f>
        <v>MELISSA ODONO</v>
      </c>
      <c r="C1077" s="235" t="str">
        <f>IFERROR(__xludf.DUMMYFUNCTION("""COMPUTED_VALUE"""),"LIBRARY COLLEGE")</f>
        <v>LIBRARY COLLEGE</v>
      </c>
      <c r="D1077" s="196" t="str">
        <f>IFERROR(__xludf.DUMMYFUNCTION("""COMPUTED_VALUE"""),"1 EACH:
Business Information Systems , 2025, PB					
Business Intelligence and Analytics , 2025, PB					
Business Law and the Regulation of Business, 2025, 14e, HB					
Business Writing with AI for Dummies , 2024, PB					
Commercial Real Estate: Analy"&amp;"sis &amp; Investments , 2025, HB					
Community Leadership and Organizational Development , 2025, PB					
Conflict Management Solutions , 2025, HB					
Consumer Behavior, 2023, 5e, PB					
Consumer Behavior: Analysis in E-commerce Platforms , 2025, HB				"&amp;"	
Consumer Preferences in Sustainable Accomodations , 2025, PB					
Contemporary Management , 2024, PB					
Corporate Finance, 2022, 3e, HB					
Corporate Training and Employee Skill Development , 2025, HB					
Cost Management: A Strategic Emphasis ,"&amp;" 2024, PB					
Creating a Business Plan for Dummies , 2025, 2e , PB					")</f>
        <v>1 EACH:
Business Information Systems , 2025, PB					
Business Intelligence and Analytics , 2025, PB					
Business Law and the Regulation of Business, 2025, 14e, HB					
Business Writing with AI for Dummies , 2024, PB					
Commercial Real Estate: Analysis &amp; Investments , 2025, HB					
Community Leadership and Organizational Development , 2025, PB					
Conflict Management Solutions , 2025, HB					
Consumer Behavior, 2023, 5e, PB					
Consumer Behavior: Analysis in E-commerce Platforms , 2025, HB					
Consumer Preferences in Sustainable Accomodations , 2025, PB					
Contemporary Management , 2024, PB					
Corporate Finance, 2022, 3e, HB					
Corporate Training and Employee Skill Development , 2025, HB					
Cost Management: A Strategic Emphasis , 2024, PB					
Creating a Business Plan for Dummies , 2025, 2e , PB					</v>
      </c>
      <c r="E1077" s="196" t="str">
        <f>IFERROR(__xludf.DUMMYFUNCTION("""COMPUTED_VALUE"""),"FOR PACUCOA COMPLIANCE")</f>
        <v>FOR PACUCOA COMPLIANCE</v>
      </c>
    </row>
    <row r="1078">
      <c r="A1078" s="234">
        <f>IFERROR(__xludf.DUMMYFUNCTION("""COMPUTED_VALUE"""),105911.0)</f>
        <v>105911</v>
      </c>
      <c r="B1078" s="235" t="str">
        <f>IFERROR(__xludf.DUMMYFUNCTION("""COMPUTED_VALUE"""),"MELISSA ODONO")</f>
        <v>MELISSA ODONO</v>
      </c>
      <c r="C1078" s="235" t="str">
        <f>IFERROR(__xludf.DUMMYFUNCTION("""COMPUTED_VALUE"""),"LIBRARY COLLEGE")</f>
        <v>LIBRARY COLLEGE</v>
      </c>
      <c r="D1078" s="196" t="str">
        <f>IFERROR(__xludf.DUMMYFUNCTION("""COMPUTED_VALUE"""),"1 EACH:
Crisis Management Strategies, 2025, HB					
Design and Assessment of Sustainable Products , 2025, PB					
Digital Banking and Finance: A Handbook , 2025, HB					
Digital Marketing , 2024, PB					
Dissertation Practice , 2025, PB					
Diversit"&amp;"y in Organizations , 2025, 5e, HB					
e-Commerce, w/ DVD, 2023, 3e, PB					
Entrepreneurial Challenges and Opportunities in Emerging Markets , 2025, HB					
Entrepreneurial Financial Management , 2025, 6e , PB					
Entrepreneurship, 2024, 12e, PB				"&amp;"	
Entrepreneurship: The Art, Science and Process of Success , 2024, PB					
Entrerpreneurial Thinking , 2025, HB					
Essentials of Marketing Analytics , 2024, PB					
Ethics in Business Decisions and Comparative Advantage, 2025, PB					
Export and I"&amp;"mport Management, w/ DVD, 2022, PB					
")</f>
        <v>1 EACH:
Crisis Management Strategies, 2025, HB					
Design and Assessment of Sustainable Products , 2025, PB					
Digital Banking and Finance: A Handbook , 2025, HB					
Digital Marketing , 2024, PB					
Dissertation Practice , 2025, PB					
Diversity in Organizations , 2025, 5e, HB					
e-Commerce, w/ DVD, 2023, 3e, PB					
Entrepreneurial Challenges and Opportunities in Emerging Markets , 2025, HB					
Entrepreneurial Financial Management , 2025, 6e , PB					
Entrepreneurship, 2024, 12e, PB					
Entrepreneurship: The Art, Science and Process of Success , 2024, PB					
Entrerpreneurial Thinking , 2025, HB					
Essentials of Marketing Analytics , 2024, PB					
Ethics in Business Decisions and Comparative Advantage, 2025, PB					
Export and Import Management, w/ DVD, 2022, PB					
</v>
      </c>
      <c r="E1078" s="196" t="str">
        <f>IFERROR(__xludf.DUMMYFUNCTION("""COMPUTED_VALUE"""),"FOR PACUCOA COMPLIANCE")</f>
        <v>FOR PACUCOA COMPLIANCE</v>
      </c>
    </row>
    <row r="1079">
      <c r="A1079" s="234">
        <f>IFERROR(__xludf.DUMMYFUNCTION("""COMPUTED_VALUE"""),105912.0)</f>
        <v>105912</v>
      </c>
      <c r="B1079" s="235" t="str">
        <f>IFERROR(__xludf.DUMMYFUNCTION("""COMPUTED_VALUE"""),"MELISSA ODONO")</f>
        <v>MELISSA ODONO</v>
      </c>
      <c r="C1079" s="235" t="str">
        <f>IFERROR(__xludf.DUMMYFUNCTION("""COMPUTED_VALUE"""),"LIBRARY COLLEGE")</f>
        <v>LIBRARY COLLEGE</v>
      </c>
      <c r="D1079" s="196" t="str">
        <f>IFERROR(__xludf.DUMMYFUNCTION("""COMPUTED_VALUE"""),"1 EACH:
Export Import Management , 2025, HB					
Finance Essentials for Managers , 2024, PB					
Financial Accounting, 2022, 7e, PB					
Financial Institutions Management: A Risk Management Approach, 2021, 10e, PB					
Financial Markets &amp; Institutions"&amp;", 2025, 14e , PB					
Financial Services Technology , 2025, 3e, PB					
Fintech and Financial Innovations , 2025, PB					
Foundations of Financial Management , 2024, PB					
Foundations of Investment Management , 2024, PB					
Foundations of Real Est"&amp;"ate Financial Modelling , 2024, 3e, PB					
Foundations of Real Estate Financial Modelling , 2025, HB					
Fundamental Financial Accounting Concepts , 2024, PB					
Fundamentals of Auditing , 2025, PB					
Fundamentals of Case Management Practice, 202"&amp;"5, 6e, PB					
Global Marketing Management , 2025, PB					")</f>
        <v>1 EACH:
Export Import Management , 2025, HB					
Finance Essentials for Managers , 2024, PB					
Financial Accounting, 2022, 7e, PB					
Financial Institutions Management: A Risk Management Approach, 2021, 10e, PB					
Financial Markets &amp; Institutions, 2025, 14e , PB					
Financial Services Technology , 2025, 3e, PB					
Fintech and Financial Innovations , 2025, PB					
Foundations of Financial Management , 2024, PB					
Foundations of Investment Management , 2024, PB					
Foundations of Real Estate Financial Modelling , 2024, 3e, PB					
Foundations of Real Estate Financial Modelling , 2025, HB					
Fundamental Financial Accounting Concepts , 2024, PB					
Fundamentals of Auditing , 2025, PB					
Fundamentals of Case Management Practice, 2025, 6e, PB					
Global Marketing Management , 2025, PB					</v>
      </c>
      <c r="E1079" s="196" t="str">
        <f>IFERROR(__xludf.DUMMYFUNCTION("""COMPUTED_VALUE"""),"FOR PACUCOA COMPLIANCE")</f>
        <v>FOR PACUCOA COMPLIANCE</v>
      </c>
    </row>
    <row r="1080">
      <c r="A1080" s="234">
        <f>IFERROR(__xludf.DUMMYFUNCTION("""COMPUTED_VALUE"""),105913.0)</f>
        <v>105913</v>
      </c>
      <c r="B1080" s="235" t="str">
        <f>IFERROR(__xludf.DUMMYFUNCTION("""COMPUTED_VALUE"""),"MELISSA ODONO")</f>
        <v>MELISSA ODONO</v>
      </c>
      <c r="C1080" s="235" t="str">
        <f>IFERROR(__xludf.DUMMYFUNCTION("""COMPUTED_VALUE"""),"LIBRARY COLLEGE")</f>
        <v>LIBRARY COLLEGE</v>
      </c>
      <c r="D1080" s="196" t="str">
        <f>IFERROR(__xludf.DUMMYFUNCTION("""COMPUTED_VALUE"""),"1 EACH:
Guide to Business Mathematics, A, 2023, PB					
Handbook of Research on Strategic Performance Management and..., 2024, HB					
How to Read a Financial Report , 2025, 10e , PB					
How to Write a Financial Reports , 2025, PB					
HR6: Human Res"&amp;"ources, 2025, PB					
Human Resource Management, 2025, PB					
Innovation and Entrepreneurship, 2024, 4e, PB					
Intermediate Accounting , 2024, 5e , PB					
International Bank Crisis Management, 2024, PB					
International Business &amp; Trade, 2025, P"&amp;"B					
International Management, 2024, 12e, PB					
International Marketing Management , 2025, PB					
International Marketing, 2024, 19e, PB					
Intrapreneurship Management , 2024, HB					
Introduction to Advertising Theory , 2025, HB					")</f>
        <v>1 EACH:
Guide to Business Mathematics, A, 2023, PB					
Handbook of Research on Strategic Performance Management and..., 2024, HB					
How to Read a Financial Report , 2025, 10e , PB					
How to Write a Financial Reports , 2025, PB					
HR6: Human Resources, 2025, PB					
Human Resource Management, 2025, PB					
Innovation and Entrepreneurship, 2024, 4e, PB					
Intermediate Accounting , 2024, 5e , PB					
International Bank Crisis Management, 2024, PB					
International Business &amp; Trade, 2025, PB					
International Management, 2024, 12e, PB					
International Marketing Management , 2025, PB					
International Marketing, 2024, 19e, PB					
Intrapreneurship Management , 2024, HB					
Introduction to Advertising Theory , 2025, HB					</v>
      </c>
      <c r="E1080" s="196" t="str">
        <f>IFERROR(__xludf.DUMMYFUNCTION("""COMPUTED_VALUE"""),"FOR PACUCOA COMPLIANCE")</f>
        <v>FOR PACUCOA COMPLIANCE</v>
      </c>
    </row>
    <row r="1081">
      <c r="A1081" s="234">
        <f>IFERROR(__xludf.DUMMYFUNCTION("""COMPUTED_VALUE"""),105914.0)</f>
        <v>105914</v>
      </c>
      <c r="B1081" s="235" t="str">
        <f>IFERROR(__xludf.DUMMYFUNCTION("""COMPUTED_VALUE"""),"MELISSA ODONO")</f>
        <v>MELISSA ODONO</v>
      </c>
      <c r="C1081" s="235" t="str">
        <f>IFERROR(__xludf.DUMMYFUNCTION("""COMPUTED_VALUE"""),"LIBRARY COLLEGE")</f>
        <v>LIBRARY COLLEGE</v>
      </c>
      <c r="D1081" s="196" t="str">
        <f>IFERROR(__xludf.DUMMYFUNCTION("""COMPUTED_VALUE"""),"1 EACH:
Introduction to Agribusiness Management and Entreprenuership, 2024, PB					
Introduction to Islamic Banking &amp; Finance , 2025, HB					
Introduction to Logistics &amp; Supply Chain Mgt., 2025, PB					
Investment Analysis &amp; Portfolio Management , 2025"&amp;", 12e, PB					
Investment Management , 2025, HB					
Macroeconomic Theory, 2025, PB					
Management , 2026, 14e , PB					
Management Accounting , 2025, 5e , PB					
Management: A Practical Introduction , 2024, PB					
Managerial Accounting: The Corn"&amp;"erstone of Business Decision-Making , 2026, 9e, PB					
Managerial Economics, 2025, PB					
Marketing Research, 2025, PB					
Marketing Strategies in the Digital Age , 2025, HB					
Matching Supply with Demand, 2024, 5e, PB					
MGMT13: Principles of"&amp;" Management , 2026, 13e, PB					")</f>
        <v>1 EACH:
Introduction to Agribusiness Management and Entreprenuership, 2024, PB					
Introduction to Islamic Banking &amp; Finance , 2025, HB					
Introduction to Logistics &amp; Supply Chain Mgt., 2025, PB					
Investment Analysis &amp; Portfolio Management , 2025, 12e, PB					
Investment Management , 2025, HB					
Macroeconomic Theory, 2025, PB					
Management , 2026, 14e , PB					
Management Accounting , 2025, 5e , PB					
Management: A Practical Introduction , 2024, PB					
Managerial Accounting: The Cornerstone of Business Decision-Making , 2026, 9e, PB					
Managerial Economics, 2025, PB					
Marketing Research, 2025, PB					
Marketing Strategies in the Digital Age , 2025, HB					
Matching Supply with Demand, 2024, 5e, PB					
MGMT13: Principles of Management , 2026, 13e, PB					</v>
      </c>
      <c r="E1081" s="196" t="str">
        <f>IFERROR(__xludf.DUMMYFUNCTION("""COMPUTED_VALUE"""),"FOR PACUCOA COMPLIANCE")</f>
        <v>FOR PACUCOA COMPLIANCE</v>
      </c>
    </row>
    <row r="1082">
      <c r="A1082" s="234">
        <f>IFERROR(__xludf.DUMMYFUNCTION("""COMPUTED_VALUE"""),105915.0)</f>
        <v>105915</v>
      </c>
      <c r="B1082" s="235" t="str">
        <f>IFERROR(__xludf.DUMMYFUNCTION("""COMPUTED_VALUE"""),"MELISSA ODONO")</f>
        <v>MELISSA ODONO</v>
      </c>
      <c r="C1082" s="235" t="str">
        <f>IFERROR(__xludf.DUMMYFUNCTION("""COMPUTED_VALUE"""),"LIBRARY COLLEGE")</f>
        <v>LIBRARY COLLEGE</v>
      </c>
      <c r="D1082" s="196" t="str">
        <f>IFERROR(__xludf.DUMMYFUNCTION("""COMPUTED_VALUE"""),"1 EACH:
Microeconomic Principles and Problems, 2024, 2e, PB					
Microeconomics: The Basics , 2025, PB					
Modern Production Management, 2024, PB					
Monetary Economics in Emerging and Developing Countries , 2025, PB					
Organizational Risk Managem"&amp;"ent , 2025, HB					
Organizational Structure and Design , 2025, PB					
ORGB7:  Organizational Behavior, 2025, PB					
Performance Appraisals &amp; Phrases for Dummies , 2025, 2e , PB					
Personal Financial Planning, 2025, 16e, PB					
Portfolio Selecti"&amp;"on &amp; Asset Pricing, 2022, HB					
Principles of Customer Relationship Mgt., 2025, PB					
Principles of Economics , 2024, PB					
Principles of Managerial Finance, 2025, PB					
Principles of Microeconomics, 2024, 9e, PB					
Professional Selling: Be"&amp;"cause Everyone is a Salesperson , 2024, PB					")</f>
        <v>1 EACH:
Microeconomic Principles and Problems, 2024, 2e, PB					
Microeconomics: The Basics , 2025, PB					
Modern Production Management, 2024, PB					
Monetary Economics in Emerging and Developing Countries , 2025, PB					
Organizational Risk Management , 2025, HB					
Organizational Structure and Design , 2025, PB					
ORGB7:  Organizational Behavior, 2025, PB					
Performance Appraisals &amp; Phrases for Dummies , 2025, 2e , PB					
Personal Financial Planning, 2025, 16e, PB					
Portfolio Selection &amp; Asset Pricing, 2022, HB					
Principles of Customer Relationship Mgt., 2025, PB					
Principles of Economics , 2024, PB					
Principles of Managerial Finance, 2025, PB					
Principles of Microeconomics, 2024, 9e, PB					
Professional Selling: Because Everyone is a Salesperson , 2024, PB					</v>
      </c>
      <c r="E1082" s="196" t="str">
        <f>IFERROR(__xludf.DUMMYFUNCTION("""COMPUTED_VALUE"""),"FOR PACUCOA COMPLIANCE")</f>
        <v>FOR PACUCOA COMPLIANCE</v>
      </c>
    </row>
    <row r="1083">
      <c r="A1083" s="234">
        <f>IFERROR(__xludf.DUMMYFUNCTION("""COMPUTED_VALUE"""),105916.0)</f>
        <v>105916</v>
      </c>
      <c r="B1083" s="235" t="str">
        <f>IFERROR(__xludf.DUMMYFUNCTION("""COMPUTED_VALUE"""),"MELISSA ODONO")</f>
        <v>MELISSA ODONO</v>
      </c>
      <c r="C1083" s="235" t="str">
        <f>IFERROR(__xludf.DUMMYFUNCTION("""COMPUTED_VALUE"""),"LIBRARY COLLEGE")</f>
        <v>LIBRARY COLLEGE</v>
      </c>
      <c r="D1083" s="196" t="str">
        <f>IFERROR(__xludf.DUMMYFUNCTION("""COMPUTED_VALUE"""),"1 EACH:
Project Based Problem Solving and Decision Making , 2024, HB					
Project Management Case Studies , 2025, 7e , PB					
Project Management in Practice , 2025, 8e , PB					
Project Management Toolbox , 2025, 3e , HB					
Public Relations for Dum"&amp;"mies , 2025, 3e , PB					
Qualitative Research in Marketing and Management , 2025, 3e , PB					
Quality Management Essentials, 2024, PB					
Real Estate Finance &amp; Investments , 2024, PB					
Real Estate Finance and Investments: Risk and Opportunities "&amp;", 2025, HB					
Real Estate Investment and Finance Strategies, Structures, Decisions , 2025, HB					
Real Estate Laws , 2025, HB					
Real Estate Planning: How to Buy a House , 2025, HB					
Real Estatte Game Changers, 2025, HB					
Risk Management S"&amp;"implified , 2025, HB					
Security Analysis, Principles and Techniques, 2023, 7e, HB					")</f>
        <v>1 EACH:
Project Based Problem Solving and Decision Making , 2024, HB					
Project Management Case Studies , 2025, 7e , PB					
Project Management in Practice , 2025, 8e , PB					
Project Management Toolbox , 2025, 3e , HB					
Public Relations for Dummies , 2025, 3e , PB					
Qualitative Research in Marketing and Management , 2025, 3e , PB					
Quality Management Essentials, 2024, PB					
Real Estate Finance &amp; Investments , 2024, PB					
Real Estate Finance and Investments: Risk and Opportunities , 2025, HB					
Real Estate Investment and Finance Strategies, Structures, Decisions , 2025, HB					
Real Estate Laws , 2025, HB					
Real Estate Planning: How to Buy a House , 2025, HB					
Real Estatte Game Changers, 2025, HB					
Risk Management Simplified , 2025, HB					
Security Analysis, Principles and Techniques, 2023, 7e, HB					</v>
      </c>
      <c r="E1083" s="196" t="str">
        <f>IFERROR(__xludf.DUMMYFUNCTION("""COMPUTED_VALUE"""),"FOR PACUCOA COMPLIANCE")</f>
        <v>FOR PACUCOA COMPLIANCE</v>
      </c>
    </row>
    <row r="1084">
      <c r="A1084" s="234">
        <f>IFERROR(__xludf.DUMMYFUNCTION("""COMPUTED_VALUE"""),105917.0)</f>
        <v>105917</v>
      </c>
      <c r="B1084" s="235" t="str">
        <f>IFERROR(__xludf.DUMMYFUNCTION("""COMPUTED_VALUE"""),"MELISSA ODONO")</f>
        <v>MELISSA ODONO</v>
      </c>
      <c r="C1084" s="235" t="str">
        <f>IFERROR(__xludf.DUMMYFUNCTION("""COMPUTED_VALUE"""),"LIBRARY COLLEGE")</f>
        <v>LIBRARY COLLEGE</v>
      </c>
      <c r="D1084" s="196" t="str">
        <f>IFERROR(__xludf.DUMMYFUNCTION("""COMPUTED_VALUE"""),"1 EACH:
SELL 6: Trust Based Professional Selling, 2020, PB					
Selling and Negotiation Skills , 2025, 2e , PB					
Selling Online for Dummies , 2025, PB					
Service Management for Business Excellence, 2025, PB					
Service Operations Management, 202"&amp;"5, PB					
Social Entrepreneurship for Development , 2025, 2e , PB					
Social Media: A Critical Introduction, 2024, 4e, PB					
Strategic Human Resource Management , 2025, PB					
Strategic International Marketing, 2025, HB					
Strategic Management"&amp;", 2024, 6e, PB					
Strategic Management: Text &amp; Cases, 2024, 11e, PB					
Supply Chain Management: A Logistics Perspective, 2025, 12e, PB					
Supply Chain Management: Principles &amp; Practice, 2025, PB					
Sustainable Management: A Complete Guide for "&amp;"Faculty and Students, 2023, 3e, PB					
Total Quality Management and Lean Thinking 5.0, 2025, PB					")</f>
        <v>1 EACH:
SELL 6: Trust Based Professional Selling, 2020, PB					
Selling and Negotiation Skills , 2025, 2e , PB					
Selling Online for Dummies , 2025, PB					
Service Management for Business Excellence, 2025, PB					
Service Operations Management, 2025, PB					
Social Entrepreneurship for Development , 2025, 2e , PB					
Social Media: A Critical Introduction, 2024, 4e, PB					
Strategic Human Resource Management , 2025, PB					
Strategic International Marketing, 2025, HB					
Strategic Management, 2024, 6e, PB					
Strategic Management: Text &amp; Cases, 2024, 11e, PB					
Supply Chain Management: A Logistics Perspective, 2025, 12e, PB					
Supply Chain Management: Principles &amp; Practice, 2025, PB					
Sustainable Management: A Complete Guide for Faculty and Students, 2023, 3e, PB					
Total Quality Management and Lean Thinking 5.0, 2025, PB					</v>
      </c>
      <c r="E1084" s="196" t="str">
        <f>IFERROR(__xludf.DUMMYFUNCTION("""COMPUTED_VALUE"""),"FOR PACUCOA COMPLIANCE")</f>
        <v>FOR PACUCOA COMPLIANCE</v>
      </c>
    </row>
    <row r="1085">
      <c r="A1085" s="234">
        <f>IFERROR(__xludf.DUMMYFUNCTION("""COMPUTED_VALUE"""),105918.0)</f>
        <v>105918</v>
      </c>
      <c r="B1085" s="235" t="str">
        <f>IFERROR(__xludf.DUMMYFUNCTION("""COMPUTED_VALUE"""),"MELISSA ODONO")</f>
        <v>MELISSA ODONO</v>
      </c>
      <c r="C1085" s="235" t="str">
        <f>IFERROR(__xludf.DUMMYFUNCTION("""COMPUTED_VALUE"""),"LIBRARY COLLEGE")</f>
        <v>LIBRARY COLLEGE</v>
      </c>
      <c r="D1085" s="196" t="str">
        <f>IFERROR(__xludf.DUMMYFUNCTION("""COMPUTED_VALUE"""),"1 EACH:
Ultimate Guide to Responsible Franchising, The , 2025, HB					
Understanding Business, 2024, PB					
Understanding International Politics: The Student Toolkit, 2024, PB					
Wiley GAAP 2025, 2025, PB					")</f>
        <v>1 EACH:
Ultimate Guide to Responsible Franchising, The , 2025, HB					
Understanding Business, 2024, PB					
Understanding International Politics: The Student Toolkit, 2024, PB					
Wiley GAAP 2025, 2025, PB					</v>
      </c>
      <c r="E1085" s="196" t="str">
        <f>IFERROR(__xludf.DUMMYFUNCTION("""COMPUTED_VALUE"""),"FOR PACUCOA COMPLIANCE")</f>
        <v>FOR PACUCOA COMPLIANCE</v>
      </c>
    </row>
    <row r="1086">
      <c r="A1086" s="234">
        <f>IFERROR(__xludf.DUMMYFUNCTION("""COMPUTED_VALUE"""),105919.0)</f>
        <v>105919</v>
      </c>
      <c r="B1086" s="235" t="str">
        <f>IFERROR(__xludf.DUMMYFUNCTION("""COMPUTED_VALUE"""),"MELISSA ODONO")</f>
        <v>MELISSA ODONO</v>
      </c>
      <c r="C1086" s="235" t="str">
        <f>IFERROR(__xludf.DUMMYFUNCTION("""COMPUTED_VALUE"""),"LIBRARY COLLEGE")</f>
        <v>LIBRARY COLLEGE</v>
      </c>
      <c r="D1086" s="196" t="str">
        <f>IFERROR(__xludf.DUMMYFUNCTION("""COMPUTED_VALUE"""),"1 EACH:
Children , 2024, PB					
Clinical Management of Sex Addiction, 2020, PB					
Cognitive Psychology , 2025, PB					
Cognitive Psychology, 2023, 2e, PB					
Cognitive Psychology: Connecting Mind, Research &amp; Everyday Experience , 2026, 6e , PB				"&amp;"	
Conducting Applied Psychological Research: A Practical Guide , 2024, PB					
Counseling for Peripartum Depression , 2024, PB					
Counselling Children, 2024, PB					
Crime and Psychology: Foundations of Forensic Practice , 2024, PB					
Culture and"&amp;" Psychology, 2023, 7e, PB					
Culture By Design , 2025, PB					
Death &amp; Dying, Life &amp; Living, 2025, 9e, PB					
Developmental Psychology of Personal Indentity, The , 2024, HB					
Developmental Psychology, 2025, PB					
Differential and Developmenta"&amp;"l Psychology , 2025, HB					")</f>
        <v>1 EACH:
Children , 2024, PB					
Clinical Management of Sex Addiction, 2020, PB					
Cognitive Psychology , 2025, PB					
Cognitive Psychology, 2023, 2e, PB					
Cognitive Psychology: Connecting Mind, Research &amp; Everyday Experience , 2026, 6e , PB					
Conducting Applied Psychological Research: A Practical Guide , 2024, PB					
Counseling for Peripartum Depression , 2024, PB					
Counselling Children, 2024, PB					
Crime and Psychology: Foundations of Forensic Practice , 2024, PB					
Culture and Psychology, 2023, 7e, PB					
Culture By Design , 2025, PB					
Death &amp; Dying, Life &amp; Living, 2025, 9e, PB					
Developmental Psychology of Personal Indentity, The , 2024, HB					
Developmental Psychology, 2025, PB					
Differential and Developmental Psychology , 2025, HB					</v>
      </c>
      <c r="E1086" s="196" t="str">
        <f>IFERROR(__xludf.DUMMYFUNCTION("""COMPUTED_VALUE"""),"FOR PACUCOA COMPLIANCE")</f>
        <v>FOR PACUCOA COMPLIANCE</v>
      </c>
    </row>
    <row r="1087">
      <c r="A1087" s="234">
        <f>IFERROR(__xludf.DUMMYFUNCTION("""COMPUTED_VALUE"""),105920.0)</f>
        <v>105920</v>
      </c>
      <c r="B1087" s="235" t="str">
        <f>IFERROR(__xludf.DUMMYFUNCTION("""COMPUTED_VALUE"""),"MELISSA ODONO")</f>
        <v>MELISSA ODONO</v>
      </c>
      <c r="C1087" s="235" t="str">
        <f>IFERROR(__xludf.DUMMYFUNCTION("""COMPUTED_VALUE"""),"LIBRARY COLLEGE")</f>
        <v>LIBRARY COLLEGE</v>
      </c>
      <c r="D1087" s="196" t="str">
        <f>IFERROR(__xludf.DUMMYFUNCTION("""COMPUTED_VALUE"""),"1 EACH:
Organizational Behavior: Managing People and Organizations, 2020, 13e, PB					
ORGB7:  Organizational Behavior, 2025, PB					
Personality, 2023, 11e, PB					
Philosophical Foundations of Psychotherapy , 2025, PB					
Positive Psychology, 2025,"&amp;" 2e, PB					
Practice of Clinical and Counselling Supervision, The , 2025, 3e , PB					
Psychmapping in Sport, Exercise and Performance , 2025, PB					
Psychoanalysis and Severe Disorders in Young Children , 2025, PB					
Psychodynamic Counselling in "&amp;"Action, 2024, PB					
Psychological Digital Practice: The Basics and Beyond , 2025, PB					
Psychological Disorders and Therapies: DSM5 Perspective, 2024, HB					
Psychological Process in Social Media , 2025, PB					
Psychology and Educational Inclusi"&amp;"on , 2024, PB					
Psychology of Eating , 2025, 3e , PB					
Psychology of Human Sexuality, The , 2024, 3e, PB					")</f>
        <v>1 EACH:
Organizational Behavior: Managing People and Organizations, 2020, 13e, PB					
ORGB7:  Organizational Behavior, 2025, PB					
Personality, 2023, 11e, PB					
Philosophical Foundations of Psychotherapy , 2025, PB					
Positive Psychology, 2025, 2e, PB					
Practice of Clinical and Counselling Supervision, The , 2025, 3e , PB					
Psychmapping in Sport, Exercise and Performance , 2025, PB					
Psychoanalysis and Severe Disorders in Young Children , 2025, PB					
Psychodynamic Counselling in Action, 2024, PB					
Psychological Digital Practice: The Basics and Beyond , 2025, PB					
Psychological Disorders and Therapies: DSM5 Perspective, 2024, HB					
Psychological Process in Social Media , 2025, PB					
Psychology and Educational Inclusion , 2024, PB					
Psychology of Eating , 2025, 3e , PB					
Psychology of Human Sexuality, The , 2024, 3e, PB					</v>
      </c>
      <c r="E1087" s="196" t="str">
        <f>IFERROR(__xludf.DUMMYFUNCTION("""COMPUTED_VALUE"""),"FOR PACUCOA COMPLIANCE")</f>
        <v>FOR PACUCOA COMPLIANCE</v>
      </c>
    </row>
    <row r="1088">
      <c r="A1088" s="234">
        <f>IFERROR(__xludf.DUMMYFUNCTION("""COMPUTED_VALUE"""),105921.0)</f>
        <v>105921</v>
      </c>
      <c r="B1088" s="235" t="str">
        <f>IFERROR(__xludf.DUMMYFUNCTION("""COMPUTED_VALUE"""),"MELISSA ODONO")</f>
        <v>MELISSA ODONO</v>
      </c>
      <c r="C1088" s="235" t="str">
        <f>IFERROR(__xludf.DUMMYFUNCTION("""COMPUTED_VALUE"""),"LIBRARY COLLEGE")</f>
        <v>LIBRARY COLLEGE</v>
      </c>
      <c r="D1088" s="196" t="str">
        <f>IFERROR(__xludf.DUMMYFUNCTION("""COMPUTED_VALUE"""),"1 EACH:
Integrative Arts Psychotherapy, 2022, PB					
Intentional Interviewing &amp; Counseling, 2023, 10e, PB					
Introduction to Culture and Psychology, An, 2025, PB					
Introduction to Educational Philosophy , 2025, PB					
Introduction to Family The"&amp;"rapy, An: Systemic Theory and Practice , 2024, 5e, PB					
Introduction to Human Factors: Applying Psychology to Design , 2025, 2e , PB					
Introduction to Stress &amp; Health, 2023, 2e, PB					
Introduction to the Practice of Psychoanalytic Psychotherapy"&amp;" , 2025, 3e , PB					
Low-Intensity CBT Skills &amp; Interventions, 2025, 2e, PB					
Making Research Relevant: Applied Research Designs for the Mental Health.., 2025, PB					
Managing Intense Emotions and Overcoming Self-Destructive Habits , 2025, PB					"&amp;"
Nonviolent Resistance in Trauma-Focused Practice , 2025, PB					
Organisational Behaviour: Core Concepts and Applications , 2025, 6e , PB					
Organization Development: The Process of Leading.., 2020, 5e, PB					
Organizational Behavior, 2025, PB				"&amp;"	")</f>
        <v>1 EACH:
Integrative Arts Psychotherapy, 2022, PB					
Intentional Interviewing &amp; Counseling, 2023, 10e, PB					
Introduction to Culture and Psychology, An, 2025, PB					
Introduction to Educational Philosophy , 2025, PB					
Introduction to Family Therapy, An: Systemic Theory and Practice , 2024, 5e, PB					
Introduction to Human Factors: Applying Psychology to Design , 2025, 2e , PB					
Introduction to Stress &amp; Health, 2023, 2e, PB					
Introduction to the Practice of Psychoanalytic Psychotherapy , 2025, 3e , PB					
Low-Intensity CBT Skills &amp; Interventions, 2025, 2e, PB					
Making Research Relevant: Applied Research Designs for the Mental Health.., 2025, PB					
Managing Intense Emotions and Overcoming Self-Destructive Habits , 2025, PB					
Nonviolent Resistance in Trauma-Focused Practice , 2025, PB					
Organisational Behaviour: Core Concepts and Applications , 2025, 6e , PB					
Organization Development: The Process of Leading.., 2020, 5e, PB					
Organizational Behavior, 2025, PB					</v>
      </c>
      <c r="E1088" s="196" t="str">
        <f>IFERROR(__xludf.DUMMYFUNCTION("""COMPUTED_VALUE"""),"FOR PACUCOA COMPLIANCE")</f>
        <v>FOR PACUCOA COMPLIANCE</v>
      </c>
    </row>
    <row r="1089">
      <c r="A1089" s="234">
        <f>IFERROR(__xludf.DUMMYFUNCTION("""COMPUTED_VALUE"""),105922.0)</f>
        <v>105922</v>
      </c>
      <c r="B1089" s="235" t="str">
        <f>IFERROR(__xludf.DUMMYFUNCTION("""COMPUTED_VALUE"""),"MELISSA ODONO")</f>
        <v>MELISSA ODONO</v>
      </c>
      <c r="C1089" s="235" t="str">
        <f>IFERROR(__xludf.DUMMYFUNCTION("""COMPUTED_VALUE"""),"LIBRARY COLLEGE")</f>
        <v>LIBRARY COLLEGE</v>
      </c>
      <c r="D1089" s="196" t="str">
        <f>IFERROR(__xludf.DUMMYFUNCTION("""COMPUTED_VALUE"""),"1 EACH:
Disability Support Worker , 2024, 4e, PB					
Discovering Psychology: The Science of Mind, 2022, 4e, PB					
Educational Psychology , 2025, PB					
Educational Psychology, 2024, PB					
Elements of Psychology, 2023, PB					
Emotional and Soci"&amp;"al Development, 2025, HB					
Emotional Intelligence , 2025, 2e, PB					
Empire of Depression, The: A New History , 2023, PB					
Essentials of Culture in Psychological Assessment , 2025, PB					
Essentials of Educational Psychology, 2025, PB					
Es"&amp;"sentials of Understanding Psychology , 2024, PB					
Evidence-based Education and Psychology , 2025, HB					
Evolutionary Psychology: An Introduction, 2024, PB					
Exercise Physiology: Integrating Theory and Applications , 2025, 4e , HB					
Experime"&amp;"ntal Psychology , 2025, PB					")</f>
        <v>1 EACH:
Disability Support Worker , 2024, 4e, PB					
Discovering Psychology: The Science of Mind, 2022, 4e, PB					
Educational Psychology , 2025, PB					
Educational Psychology, 2024, PB					
Elements of Psychology, 2023, PB					
Emotional and Social Development, 2025, HB					
Emotional Intelligence , 2025, 2e, PB					
Empire of Depression, The: A New History , 2023, PB					
Essentials of Culture in Psychological Assessment , 2025, PB					
Essentials of Educational Psychology, 2025, PB					
Essentials of Understanding Psychology , 2024, PB					
Evidence-based Education and Psychology , 2025, HB					
Evolutionary Psychology: An Introduction, 2024, PB					
Exercise Physiology: Integrating Theory and Applications , 2025, 4e , HB					
Experimental Psychology , 2025, PB					</v>
      </c>
      <c r="E1089" s="196" t="str">
        <f>IFERROR(__xludf.DUMMYFUNCTION("""COMPUTED_VALUE"""),"FOR PACUCOA COMPLIANCE")</f>
        <v>FOR PACUCOA COMPLIANCE</v>
      </c>
    </row>
    <row r="1090">
      <c r="A1090" s="234">
        <f>IFERROR(__xludf.DUMMYFUNCTION("""COMPUTED_VALUE"""),105923.0)</f>
        <v>105923</v>
      </c>
      <c r="B1090" s="235" t="str">
        <f>IFERROR(__xludf.DUMMYFUNCTION("""COMPUTED_VALUE"""),"MELISSA ODONO")</f>
        <v>MELISSA ODONO</v>
      </c>
      <c r="C1090" s="235" t="str">
        <f>IFERROR(__xludf.DUMMYFUNCTION("""COMPUTED_VALUE"""),"LIBRARY COLLEGE")</f>
        <v>LIBRARY COLLEGE</v>
      </c>
      <c r="D1090" s="196" t="str">
        <f>IFERROR(__xludf.DUMMYFUNCTION("""COMPUTED_VALUE"""),"1 EACH:
Exploring Cross-Cultural Psychology , 2024, 2e , PB					
Exploring Lifespan Development, 2023, 4e, PB					
Forensic Psychology: Crime, Justice, Law, Interventions , 2024, 4e, PB					
Fundamentals of Anatomy &amp; Physiology , 2026, 5e, PB					
Fun"&amp;"damentals of Cultural Psychology , 2025, PB					
Fundamentals of Developmental Psychology , 2024, PB					
Fundamentals of Human Resource Management , 2024, 15e , PB					
Gender and Cognitive Development, 2025, PB					
Gender Identity Formation, 2025, "&amp;"PB					
Gender Stereotyping, 2025, PB					
Gender Transition for Dummies , 2025, PB					
Global Encyclopedia of Theoritical..., 2023, HB					
Group and Team Coaching , 2025, 3e , PB					
Group Communication: An Advanced Introduction , 2024, PB					
"&amp;"Group Counseling , 2025, 7e , PB					")</f>
        <v>1 EACH:
Exploring Cross-Cultural Psychology , 2024, 2e , PB					
Exploring Lifespan Development, 2023, 4e, PB					
Forensic Psychology: Crime, Justice, Law, Interventions , 2024, 4e, PB					
Fundamentals of Anatomy &amp; Physiology , 2026, 5e, PB					
Fundamentals of Cultural Psychology , 2025, PB					
Fundamentals of Developmental Psychology , 2024, PB					
Fundamentals of Human Resource Management , 2024, 15e , PB					
Gender and Cognitive Development, 2025, PB					
Gender Identity Formation, 2025, PB					
Gender Stereotyping, 2025, PB					
Gender Transition for Dummies , 2025, PB					
Global Encyclopedia of Theoritical..., 2023, HB					
Group and Team Coaching , 2025, 3e , PB					
Group Communication: An Advanced Introduction , 2024, PB					
Group Counseling , 2025, 7e , PB					</v>
      </c>
      <c r="E1090" s="196" t="str">
        <f>IFERROR(__xludf.DUMMYFUNCTION("""COMPUTED_VALUE"""),"FOR PACUCOA COMPLIANCE")</f>
        <v>FOR PACUCOA COMPLIANCE</v>
      </c>
    </row>
    <row r="1091">
      <c r="A1091" s="234">
        <f>IFERROR(__xludf.DUMMYFUNCTION("""COMPUTED_VALUE"""),105924.0)</f>
        <v>105924</v>
      </c>
      <c r="B1091" s="235" t="str">
        <f>IFERROR(__xludf.DUMMYFUNCTION("""COMPUTED_VALUE"""),"MELISSA ODONO")</f>
        <v>MELISSA ODONO</v>
      </c>
      <c r="C1091" s="235" t="str">
        <f>IFERROR(__xludf.DUMMYFUNCTION("""COMPUTED_VALUE"""),"LIBRARY COLLEGE")</f>
        <v>LIBRARY COLLEGE</v>
      </c>
      <c r="D1091" s="196" t="str">
        <f>IFERROR(__xludf.DUMMYFUNCTION("""COMPUTED_VALUE"""),"1 EACH:
Psychology of Prenatal Development, The , 2025, PB					
Psychology: A Complete Introduction, 2025, PB					
Psychology: Perspectives and Connections , 2024, PB					
Psychology: World Edition, 2023, 2e, PB					
Psychopathology and Mental Distres"&amp;"s: Contrasting Perspectives, 2024, 2e, PB					
Psychopathology: An Introduction , 2025, HB					
Rational Emotive Behavior Therapy Integrated , 2025, 2e , HB					
Relational Counselling &amp; Psychotherapy, 2025, PB					
Relational Team Coaching, 2024, PB	"&amp;"				
Reporting in Counselling and Psychotherapy , 2025, PB					
Research Methods for Behavioral Sciences, 2026, 7e, PB					
Rethinking the Psychoanalysis of Masculinity, 2024, PB					
Schizophrenia: An Unfinished History, 2022, HB					
Science of Psy"&amp;"chology 6, The, 2023, PB					
Sensation &amp; Perception, 2022, 2e, PB					")</f>
        <v>1 EACH:
Psychology of Prenatal Development, The , 2025, PB					
Psychology: A Complete Introduction, 2025, PB					
Psychology: Perspectives and Connections , 2024, PB					
Psychology: World Edition, 2023, 2e, PB					
Psychopathology and Mental Distress: Contrasting Perspectives, 2024, 2e, PB					
Psychopathology: An Introduction , 2025, HB					
Rational Emotive Behavior Therapy Integrated , 2025, 2e , HB					
Relational Counselling &amp; Psychotherapy, 2025, PB					
Relational Team Coaching, 2024, PB					
Reporting in Counselling and Psychotherapy , 2025, PB					
Research Methods for Behavioral Sciences, 2026, 7e, PB					
Rethinking the Psychoanalysis of Masculinity, 2024, PB					
Schizophrenia: An Unfinished History, 2022, HB					
Science of Psychology 6, The, 2023, PB					
Sensation &amp; Perception, 2022, 2e, PB					</v>
      </c>
      <c r="E1091" s="196" t="str">
        <f>IFERROR(__xludf.DUMMYFUNCTION("""COMPUTED_VALUE"""),"FOR PACUCOA COMPLIANCE")</f>
        <v>FOR PACUCOA COMPLIANCE</v>
      </c>
    </row>
    <row r="1092">
      <c r="A1092" s="234">
        <f>IFERROR(__xludf.DUMMYFUNCTION("""COMPUTED_VALUE"""),105925.0)</f>
        <v>105925</v>
      </c>
      <c r="B1092" s="235" t="str">
        <f>IFERROR(__xludf.DUMMYFUNCTION("""COMPUTED_VALUE"""),"MELISSA ODONO")</f>
        <v>MELISSA ODONO</v>
      </c>
      <c r="C1092" s="235" t="str">
        <f>IFERROR(__xludf.DUMMYFUNCTION("""COMPUTED_VALUE"""),"LIBRARY COLLEGE")</f>
        <v>LIBRARY COLLEGE</v>
      </c>
      <c r="D1092" s="196" t="str">
        <f>IFERROR(__xludf.DUMMYFUNCTION("""COMPUTED_VALUE"""),"1 EACH:
Group Therapy and Group Dynamic Theory , 2025, PB					
Groups: Process and Practice , 2026, 11e , PB					
Guide for Statistical Test and Interpretations with SPSS, A , 2025, PB					
Health Psychology, 2022, 10e, PB					
History of Psychology, "&amp;"2023, PB					
Hope, Forgiveness and Positive Psychology in Couple Therapy , 2025, PB					
How to Use Psychological Research, 2024, PB					
HR6: Human Resources, 2025, PB					
Human Behavior in Organization , 2025, PB					
Human Resource Management: G"&amp;"aining Competitive Advantage, 2021, 12e, PB					
Humanistic Sandtray Therapy , 2025, PB					
IBM SPSS Essentials: Managing and Analyzing Social Sciences.., 2021, 2e, PB					
Improving Mental Health Therapies for Autistic Children &amp; Young People , 2025,"&amp;" PB					
Industrial Psychology, 2025, PB					
Infancy: The Development of the Whole Child, 2024, PB					")</f>
        <v>1 EACH:
Group Therapy and Group Dynamic Theory , 2025, PB					
Groups: Process and Practice , 2026, 11e , PB					
Guide for Statistical Test and Interpretations with SPSS, A , 2025, PB					
Health Psychology, 2022, 10e, PB					
History of Psychology, 2023, PB					
Hope, Forgiveness and Positive Psychology in Couple Therapy , 2025, PB					
How to Use Psychological Research, 2024, PB					
HR6: Human Resources, 2025, PB					
Human Behavior in Organization , 2025, PB					
Human Resource Management: Gaining Competitive Advantage, 2021, 12e, PB					
Humanistic Sandtray Therapy , 2025, PB					
IBM SPSS Essentials: Managing and Analyzing Social Sciences.., 2021, 2e, PB					
Improving Mental Health Therapies for Autistic Children &amp; Young People , 2025, PB					
Industrial Psychology, 2025, PB					
Infancy: The Development of the Whole Child, 2024, PB					</v>
      </c>
      <c r="E1092" s="196" t="str">
        <f>IFERROR(__xludf.DUMMYFUNCTION("""COMPUTED_VALUE"""),"FOR PACUCOA COMPLIANCE")</f>
        <v>FOR PACUCOA COMPLIANCE</v>
      </c>
    </row>
    <row r="1093">
      <c r="A1093" s="234">
        <f>IFERROR(__xludf.DUMMYFUNCTION("""COMPUTED_VALUE"""),105926.0)</f>
        <v>105926</v>
      </c>
      <c r="B1093" s="235" t="str">
        <f>IFERROR(__xludf.DUMMYFUNCTION("""COMPUTED_VALUE"""),"MELISSA ODONO")</f>
        <v>MELISSA ODONO</v>
      </c>
      <c r="C1093" s="235" t="str">
        <f>IFERROR(__xludf.DUMMYFUNCTION("""COMPUTED_VALUE"""),"LIBRARY COLLEGE")</f>
        <v>LIBRARY COLLEGE</v>
      </c>
      <c r="D1093" s="196" t="str">
        <f>IFERROR(__xludf.DUMMYFUNCTION("""COMPUTED_VALUE"""),"1 EACH:
Teaching Psychology: A Step by Step Guide , 2025, 4e, PB					
Theories of Personality, 2025, 12e, PB					
Theory and Practice of Counseling and Psychotherapy, 2024, 11e, PB					
Theory and Practice of Positive Neuropsychology, The , 2025, PB			"&amp;"		
Transgender Youth Development , 2025, PB					
Understanding Autism , 2025, PB					
Understanding Psychological Disorders , 2025, HB					")</f>
        <v>1 EACH:
Teaching Psychology: A Step by Step Guide , 2025, 4e, PB					
Theories of Personality, 2025, 12e, PB					
Theory and Practice of Counseling and Psychotherapy, 2024, 11e, PB					
Theory and Practice of Positive Neuropsychology, The , 2025, PB					
Transgender Youth Development , 2025, PB					
Understanding Autism , 2025, PB					
Understanding Psychological Disorders , 2025, HB					</v>
      </c>
      <c r="E1093" s="196" t="str">
        <f>IFERROR(__xludf.DUMMYFUNCTION("""COMPUTED_VALUE"""),"FOR PACUCOA COMPLIANCE")</f>
        <v>FOR PACUCOA COMPLIANCE</v>
      </c>
    </row>
    <row r="1094">
      <c r="A1094" s="234">
        <f>IFERROR(__xludf.DUMMYFUNCTION("""COMPUTED_VALUE"""),105927.0)</f>
        <v>105927</v>
      </c>
      <c r="B1094" s="235" t="str">
        <f>IFERROR(__xludf.DUMMYFUNCTION("""COMPUTED_VALUE"""),"MELISSA ODONO")</f>
        <v>MELISSA ODONO</v>
      </c>
      <c r="C1094" s="235" t="str">
        <f>IFERROR(__xludf.DUMMYFUNCTION("""COMPUTED_VALUE"""),"LIBRARY COLLEGE")</f>
        <v>LIBRARY COLLEGE</v>
      </c>
      <c r="D1094" s="196" t="str">
        <f>IFERROR(__xludf.DUMMYFUNCTION("""COMPUTED_VALUE"""),"1 EACH:
5 Steps to A5: AP Psychology, 2023, PB					
Abnormal Psychology , 2025, PB					
Abnormal Psychology: An Integrative Approach, 2025, PB					
Addressing Diversity Dynamics in Group Therapy , 2025, PB					
Adolescent Psychosis, 2023, PB					
Ado"&amp;"lescent Psychotherapy: Homework Planner , 2024, 6e, PB					
Applied Pathophysiology, 2024, 2e, PB					
Applied Positive Psychology, 2024, HB					
Autism: A Student's Guide, 2023, PB					
Best Practices in School Neuropsychology, 2022, 2e, HB					
Bio"&amp;"psychology: The Basics , 2025, PB					
Brain and Behaviour, 2023, PB					
Child &amp; Adolescent Development for Educators, 2023, 2e, PB					
Child &amp; Adolescent Development in Your Classroom, 2025, 4e, PB					
Child Development, 2024, 16e, PB					")</f>
        <v>1 EACH:
5 Steps to A5: AP Psychology, 2023, PB					
Abnormal Psychology , 2025, PB					
Abnormal Psychology: An Integrative Approach, 2025, PB					
Addressing Diversity Dynamics in Group Therapy , 2025, PB					
Adolescent Psychosis, 2023, PB					
Adolescent Psychotherapy: Homework Planner , 2024, 6e, PB					
Applied Pathophysiology, 2024, 2e, PB					
Applied Positive Psychology, 2024, HB					
Autism: A Student's Guide, 2023, PB					
Best Practices in School Neuropsychology, 2022, 2e, HB					
Biopsychology: The Basics , 2025, PB					
Brain and Behaviour, 2023, PB					
Child &amp; Adolescent Development for Educators, 2023, 2e, PB					
Child &amp; Adolescent Development in Your Classroom, 2025, 4e, PB					
Child Development, 2024, 16e, PB					</v>
      </c>
      <c r="E1094" s="196" t="str">
        <f>IFERROR(__xludf.DUMMYFUNCTION("""COMPUTED_VALUE"""),"FOR PACUCOA COMPLIANCE")</f>
        <v>FOR PACUCOA COMPLIANCE</v>
      </c>
    </row>
    <row r="1095">
      <c r="A1095" s="234">
        <f>IFERROR(__xludf.DUMMYFUNCTION("""COMPUTED_VALUE"""),105928.0)</f>
        <v>105928</v>
      </c>
      <c r="B1095" s="235" t="str">
        <f>IFERROR(__xludf.DUMMYFUNCTION("""COMPUTED_VALUE"""),"MELISSA ODONO")</f>
        <v>MELISSA ODONO</v>
      </c>
      <c r="C1095" s="235" t="str">
        <f>IFERROR(__xludf.DUMMYFUNCTION("""COMPUTED_VALUE"""),"LIBRARY COLLEGE")</f>
        <v>LIBRARY COLLEGE</v>
      </c>
      <c r="D1095" s="196" t="str">
        <f>IFERROR(__xludf.DUMMYFUNCTION("""COMPUTED_VALUE"""),"1 EACH:
Sexuality Now: Embracing Diversity, 2025, 7e, PB					
Shared Mass Trauma in Social Work, 2023, PB					
Skilled Helper, The: A Client-Centered Approach, 2024, 4e, PB					
Social Psychology , 2025, 2e , PB					
Social Psychology , 2025, PB					
"&amp;"
Social Psychology and Human Nature , 2025, 6e, PB					
Social Psychology, 2025, 2e, PB					
Social Psychology, 2025, PB					
Solution-focused Practice in Outdoor Therapy, 2023, PB					
Strategic Human Resource Management , 2025, PB					
Strategic Hu"&amp;"man Resource Management, 2025, PB					
Student's Guide to Developmental Psychology, A , 2025, 2e, PB					
Supervision in School Psychology, 2023, 2e, PB					
Sustainable Use Disorders &amp; Addictions, 2025, 2e, PB					
Systemic Multi-Family Therapy , 202"&amp;"5, PB					")</f>
        <v>1 EACH:
Sexuality Now: Embracing Diversity, 2025, 7e, PB					
Shared Mass Trauma in Social Work, 2023, PB					
Skilled Helper, The: A Client-Centered Approach, 2024, 4e, PB					
Social Psychology , 2025, 2e , PB					
Social Psychology , 2025, PB					
Social Psychology and Human Nature , 2025, 6e, PB					
Social Psychology, 2025, 2e, PB					
Social Psychology, 2025, PB					
Solution-focused Practice in Outdoor Therapy, 2023, PB					
Strategic Human Resource Management , 2025, PB					
Strategic Human Resource Management, 2025, PB					
Student's Guide to Developmental Psychology, A , 2025, 2e, PB					
Supervision in School Psychology, 2023, 2e, PB					
Sustainable Use Disorders &amp; Addictions, 2025, 2e, PB					
Systemic Multi-Family Therapy , 2025, PB					</v>
      </c>
      <c r="E1095" s="196" t="str">
        <f>IFERROR(__xludf.DUMMYFUNCTION("""COMPUTED_VALUE"""),"FOR PACUCOA COMPLIANCE")</f>
        <v>FOR PACUCOA COMPLIANCE</v>
      </c>
    </row>
    <row r="1096">
      <c r="A1096" s="234">
        <f>IFERROR(__xludf.DUMMYFUNCTION("""COMPUTED_VALUE"""),105929.0)</f>
        <v>105929</v>
      </c>
      <c r="B1096" s="235" t="str">
        <f>IFERROR(__xludf.DUMMYFUNCTION("""COMPUTED_VALUE"""),"MELISSA ODONO")</f>
        <v>MELISSA ODONO</v>
      </c>
      <c r="C1096" s="235" t="str">
        <f>IFERROR(__xludf.DUMMYFUNCTION("""COMPUTED_VALUE"""),"LIBRARY COLLEGE")</f>
        <v>LIBRARY COLLEGE</v>
      </c>
      <c r="D1096" s="196" t="str">
        <f>IFERROR(__xludf.DUMMYFUNCTION("""COMPUTED_VALUE"""),"1 EACH:
Linear Algebra , 2024, PB					
Linear Algebra , 2025, PB					
Mathematical Logic, 2025, PB					
Modern Introduction to Probability &amp; Statistics, A, 2025, PB					
Plane Trigonometry, 2025, PB					
Pre Calculus, 2023, HB					
Probability Theor"&amp;"y: The Logic of Science, 2025, HB					
SPSS Statistics Workbook for Dummies, 2023, PB					
Statistical Analysis w/ Excel for Dummies, 2022, 5e, PB					
Statistics with R for Data Analysis , 2025, HB					
Statistics: Concepts &amp; Applications, 2025, PB		"&amp;"			
Strategic Methods and Concepts of Statistics , 2025, HB					
Understanding Calculus with Applications , 2025, HB					")</f>
        <v>1 EACH:
Linear Algebra , 2024, PB					
Linear Algebra , 2025, PB					
Mathematical Logic, 2025, PB					
Modern Introduction to Probability &amp; Statistics, A, 2025, PB					
Plane Trigonometry, 2025, PB					
Pre Calculus, 2023, HB					
Probability Theory: The Logic of Science, 2025, HB					
SPSS Statistics Workbook for Dummies, 2023, PB					
Statistical Analysis w/ Excel for Dummies, 2022, 5e, PB					
Statistics with R for Data Analysis , 2025, HB					
Statistics: Concepts &amp; Applications, 2025, PB					
Strategic Methods and Concepts of Statistics , 2025, HB					
Understanding Calculus with Applications , 2025, HB					</v>
      </c>
      <c r="E1096" s="196" t="str">
        <f>IFERROR(__xludf.DUMMYFUNCTION("""COMPUTED_VALUE"""),"FOR PACUCOA COMPLIANCE")</f>
        <v>FOR PACUCOA COMPLIANCE</v>
      </c>
    </row>
    <row r="1097">
      <c r="A1097" s="234">
        <f>IFERROR(__xludf.DUMMYFUNCTION("""COMPUTED_VALUE"""),105930.0)</f>
        <v>105930</v>
      </c>
      <c r="B1097" s="235" t="str">
        <f>IFERROR(__xludf.DUMMYFUNCTION("""COMPUTED_VALUE"""),"MELISSA ODONO")</f>
        <v>MELISSA ODONO</v>
      </c>
      <c r="C1097" s="235" t="str">
        <f>IFERROR(__xludf.DUMMYFUNCTION("""COMPUTED_VALUE"""),"LIBRARY COLLEGE")</f>
        <v>LIBRARY COLLEGE</v>
      </c>
      <c r="D1097" s="196" t="str">
        <f>IFERROR(__xludf.DUMMYFUNCTION("""COMPUTED_VALUE"""),"1 EACH:
Abstract Algebra , 2025, PB					
Algebra and Trigonometry , 2025, PB					
Basic Mathematics, 2025, PB					
Calculus: A Complete Introduction, 2025, PB					
Complete Introduction to Algebra, A , 2025, PB					
Differential Equations and Applica"&amp;"tions, 2024, PB					
Elements of Statistical Learning, The , 2025, HB					
Finite Mathematics, 2023, 8e, PB					
Foundations of Statistics, The , 2025, HB					
Four Corners of Mathematics, The , 2025, PB					
Fundamentals of Algebra , 2024, PB					
"&amp;"Guide for Statistical Test and Interpretations with SPSS, A , 2025, PB					
Intermediate Algebra Concepts , 2025, PB					
Introduction to Mathematical Logic , 2025, PB					
Introductory Calculus: Differentiation &amp; Integration, 2025, PB					")</f>
        <v>1 EACH:
Abstract Algebra , 2025, PB					
Algebra and Trigonometry , 2025, PB					
Basic Mathematics, 2025, PB					
Calculus: A Complete Introduction, 2025, PB					
Complete Introduction to Algebra, A , 2025, PB					
Differential Equations and Applications, 2024, PB					
Elements of Statistical Learning, The , 2025, HB					
Finite Mathematics, 2023, 8e, PB					
Foundations of Statistics, The , 2025, HB					
Four Corners of Mathematics, The , 2025, PB					
Fundamentals of Algebra , 2024, PB					
Guide for Statistical Test and Interpretations with SPSS, A , 2025, PB					
Intermediate Algebra Concepts , 2025, PB					
Introduction to Mathematical Logic , 2025, PB					
Introductory Calculus: Differentiation &amp; Integration, 2025, PB					</v>
      </c>
      <c r="E1097" s="196" t="str">
        <f>IFERROR(__xludf.DUMMYFUNCTION("""COMPUTED_VALUE"""),"FOR PACUCOA COMPLIANCE")</f>
        <v>FOR PACUCOA COMPLIANCE</v>
      </c>
    </row>
    <row r="1098">
      <c r="A1098" s="234">
        <f>IFERROR(__xludf.DUMMYFUNCTION("""COMPUTED_VALUE"""),105931.0)</f>
        <v>105931</v>
      </c>
      <c r="B1098" s="235" t="str">
        <f>IFERROR(__xludf.DUMMYFUNCTION("""COMPUTED_VALUE"""),"MELISSA ODONO")</f>
        <v>MELISSA ODONO</v>
      </c>
      <c r="C1098" s="235" t="str">
        <f>IFERROR(__xludf.DUMMYFUNCTION("""COMPUTED_VALUE"""),"LIBRARY COLLEGE")</f>
        <v>LIBRARY COLLEGE</v>
      </c>
      <c r="D1098" s="196" t="str">
        <f>IFERROR(__xludf.DUMMYFUNCTION("""COMPUTED_VALUE"""),"1 EACH:
5 Steps to A 5: AP English Language &amp; Composition, 2022, PB					
ACT: English, Reading, &amp; Science Skills, 2022, PB					
Communication Theory at the Crossroads , 2025, PB					
Concise Companion to Language Assessment , The, 2025, PB					
Critic"&amp;"al Perspectives in English Literature , 2025, HB					
Dramatic Storytelling &amp; Narrative Design , 2025, 2e, PB					
English for Academic Purposes , 2025, HB					
English Grammar and Composition , 2025, PB					
English Language Testing &amp; Assessment, 202"&amp;"5, PB					
Formal Grammar: Theory and Variation Across Language , 2024, PB					
Global Englishes , 2025, PB					
Grammaticalization: A Conceptual Framework, 2024, PB					
Introduction to Contemporary English Literature , 2025, HB					
Language Develo"&amp;"pment, 2025, PB					
Linguistics Across Disciplinary Borders , 2024, HB					")</f>
        <v>1 EACH:
5 Steps to A 5: AP English Language &amp; Composition, 2022, PB					
ACT: English, Reading, &amp; Science Skills, 2022, PB					
Communication Theory at the Crossroads , 2025, PB					
Concise Companion to Language Assessment , The, 2025, PB					
Critical Perspectives in English Literature , 2025, HB					
Dramatic Storytelling &amp; Narrative Design , 2025, 2e, PB					
English for Academic Purposes , 2025, HB					
English Grammar and Composition , 2025, PB					
English Language Testing &amp; Assessment, 2025, PB					
Formal Grammar: Theory and Variation Across Language , 2024, PB					
Global Englishes , 2025, PB					
Grammaticalization: A Conceptual Framework, 2024, PB					
Introduction to Contemporary English Literature , 2025, HB					
Language Development, 2025, PB					
Linguistics Across Disciplinary Borders , 2024, HB					</v>
      </c>
      <c r="E1098" s="196" t="str">
        <f>IFERROR(__xludf.DUMMYFUNCTION("""COMPUTED_VALUE"""),"FOR PACUCOA COMPLIANCE")</f>
        <v>FOR PACUCOA COMPLIANCE</v>
      </c>
    </row>
    <row r="1099">
      <c r="A1099" s="234">
        <f>IFERROR(__xludf.DUMMYFUNCTION("""COMPUTED_VALUE"""),105932.0)</f>
        <v>105932</v>
      </c>
      <c r="B1099" s="235" t="str">
        <f>IFERROR(__xludf.DUMMYFUNCTION("""COMPUTED_VALUE"""),"MELISSA ODONO")</f>
        <v>MELISSA ODONO</v>
      </c>
      <c r="C1099" s="235" t="str">
        <f>IFERROR(__xludf.DUMMYFUNCTION("""COMPUTED_VALUE"""),"LIBRARY COLLEGE")</f>
        <v>LIBRARY COLLEGE</v>
      </c>
      <c r="D1099" s="196" t="str">
        <f>IFERROR(__xludf.DUMMYFUNCTION("""COMPUTED_VALUE"""),"1 EACH:
Linguistics Approaches in English for Academic Purposes, 2024, HB					
Literary Criticism and Theory , 2025, PB					
Literature and Creative Writing, 2025, PB					
Mytholody Around the World, 2025, PB					
Navigating English Grammar , 2025, 2e"&amp;" , PB					
Plain Language: A Psycholinguistic Approach , 2025, PB					
Practical Grammar Teaching for the Second Language Classroom , 2025, PB					
Practical Guide to Language Assessment, A , 2025, PB					
Practical Langauge Testing , 2025, 2e , PB			"&amp;"		
Research Methods in English Language and Literature , 2025, PB					
Sage Handbook of Qualitative Research Quality, The, 2025, HB					
Stylistics and Literary Analysis , 2025, PB					
Syntax: Knowledge to Practice , 2024, PB					
Task-based English"&amp;" Language Teaching in the Digital Age , 2025, PB					
Teaching and Learning the English Language: A Problem-Solving Approach, 2024, 2e, PB					")</f>
        <v>1 EACH:
Linguistics Approaches in English for Academic Purposes, 2024, HB					
Literary Criticism and Theory , 2025, PB					
Literature and Creative Writing, 2025, PB					
Mytholody Around the World, 2025, PB					
Navigating English Grammar , 2025, 2e , PB					
Plain Language: A Psycholinguistic Approach , 2025, PB					
Practical Grammar Teaching for the Second Language Classroom , 2025, PB					
Practical Guide to Language Assessment, A , 2025, PB					
Practical Langauge Testing , 2025, 2e , PB					
Research Methods in English Language and Literature , 2025, PB					
Sage Handbook of Qualitative Research Quality, The, 2025, HB					
Stylistics and Literary Analysis , 2025, PB					
Syntax: Knowledge to Practice , 2024, PB					
Task-based English Language Teaching in the Digital Age , 2025, PB					
Teaching and Learning the English Language: A Problem-Solving Approach, 2024, 2e, PB					</v>
      </c>
      <c r="E1099" s="196" t="str">
        <f>IFERROR(__xludf.DUMMYFUNCTION("""COMPUTED_VALUE"""),"FOR PACUCOA COMPLIANCE")</f>
        <v>FOR PACUCOA COMPLIANCE</v>
      </c>
    </row>
    <row r="1100">
      <c r="A1100" s="234">
        <f>IFERROR(__xludf.DUMMYFUNCTION("""COMPUTED_VALUE"""),105933.0)</f>
        <v>105933</v>
      </c>
      <c r="B1100" s="235" t="str">
        <f>IFERROR(__xludf.DUMMYFUNCTION("""COMPUTED_VALUE"""),"MELISSA ODONO")</f>
        <v>MELISSA ODONO</v>
      </c>
      <c r="C1100" s="235" t="str">
        <f>IFERROR(__xludf.DUMMYFUNCTION("""COMPUTED_VALUE"""),"LIBRARY COLLEGE")</f>
        <v>LIBRARY COLLEGE</v>
      </c>
      <c r="D1100" s="196" t="str">
        <f>IFERROR(__xludf.DUMMYFUNCTION("""COMPUTED_VALUE"""),"1 EACH:
Principles and Labs for Fitness &amp; Wellness, 2020, 15e, PB					
Principles of Athletic Training, 2024, PB					
Principles of Ethics, 2024, PB					
Qualitative Analysis with NVIVO, 2025, 4e, PB					
Qualitative Inquiry &amp; Research Design, 2025, 5"&amp;"e, PB					
Qualitative Research for a Digital World, 2024, PB					
Qualitative Research: A Guide to Design and Implementation , 2025, 5e , PB					
Race, Class &amp; Gender: Intersections and Inequalities, 2024, 11e, PB					
Reach Every Athlete, 2023, PB		"&amp;"			
Re-Building Displaced Communities, 2025, PB					
Resarch Methods Made Simple, 2025, PB					
Research and Education , 2025, 2e , PB					
Research for Educators, 2024, 3e, PB					
Research in Physical Education , 2025, PB					
Research Methods for"&amp;" Education , 2025, HB					")</f>
        <v>1 EACH:
Principles and Labs for Fitness &amp; Wellness, 2020, 15e, PB					
Principles of Athletic Training, 2024, PB					
Principles of Ethics, 2024, PB					
Qualitative Analysis with NVIVO, 2025, 4e, PB					
Qualitative Inquiry &amp; Research Design, 2025, 5e, PB					
Qualitative Research for a Digital World, 2024, PB					
Qualitative Research: A Guide to Design and Implementation , 2025, 5e , PB					
Race, Class &amp; Gender: Intersections and Inequalities, 2024, 11e, PB					
Reach Every Athlete, 2023, PB					
Re-Building Displaced Communities, 2025, PB					
Resarch Methods Made Simple, 2025, PB					
Research and Education , 2025, 2e , PB					
Research for Educators, 2024, 3e, PB					
Research in Physical Education , 2025, PB					
Research Methods for Education , 2025, HB					</v>
      </c>
      <c r="E1100" s="196" t="str">
        <f>IFERROR(__xludf.DUMMYFUNCTION("""COMPUTED_VALUE"""),"FOR PACUCOA COMPLIANCE")</f>
        <v>FOR PACUCOA COMPLIANCE</v>
      </c>
    </row>
    <row r="1101">
      <c r="A1101" s="234">
        <f>IFERROR(__xludf.DUMMYFUNCTION("""COMPUTED_VALUE"""),105934.0)</f>
        <v>105934</v>
      </c>
      <c r="B1101" s="235" t="str">
        <f>IFERROR(__xludf.DUMMYFUNCTION("""COMPUTED_VALUE"""),"MELISSA ODONO")</f>
        <v>MELISSA ODONO</v>
      </c>
      <c r="C1101" s="235" t="str">
        <f>IFERROR(__xludf.DUMMYFUNCTION("""COMPUTED_VALUE"""),"LIBRARY COLLEGE")</f>
        <v>LIBRARY COLLEGE</v>
      </c>
      <c r="D1101" s="196" t="str">
        <f>IFERROR(__xludf.DUMMYFUNCTION("""COMPUTED_VALUE"""),"1 EACH:
Teaching English Grammar in Asian Contexts , 2025, PB					
Teaching Reading and Literature with Classroom Talk , 2025, PB					
Technical English: A Practical Approach , 2024, PB					
Technical Writing, 2024, PB					
Textbook of Literary Critic"&amp;"ism and Feminism , 2025, HB					
the history of english, 2024, 3rd ed, PB					
Writer's Harbrace Handbook, The , 2025, 7e, PB					
Writing Analytically , 2024, 9e, PB					
Writing and Communication Skills, 2025, PB					")</f>
        <v>1 EACH:
Teaching English Grammar in Asian Contexts , 2025, PB					
Teaching Reading and Literature with Classroom Talk , 2025, PB					
Technical English: A Practical Approach , 2024, PB					
Technical Writing, 2024, PB					
Textbook of Literary Criticism and Feminism , 2025, HB					
the history of english, 2024, 3rd ed, PB					
Writer's Harbrace Handbook, The , 2025, 7e, PB					
Writing Analytically , 2024, 9e, PB					
Writing and Communication Skills, 2025, PB					</v>
      </c>
      <c r="E1101" s="196" t="str">
        <f>IFERROR(__xludf.DUMMYFUNCTION("""COMPUTED_VALUE"""),"FOR PACUCOA COMPLIANCE")</f>
        <v>FOR PACUCOA COMPLIANCE</v>
      </c>
    </row>
    <row r="1102">
      <c r="A1102" s="234">
        <f>IFERROR(__xludf.DUMMYFUNCTION("""COMPUTED_VALUE"""),105935.0)</f>
        <v>105935</v>
      </c>
      <c r="B1102" s="235" t="str">
        <f>IFERROR(__xludf.DUMMYFUNCTION("""COMPUTED_VALUE"""),"MELISSA ODONO")</f>
        <v>MELISSA ODONO</v>
      </c>
      <c r="C1102" s="235" t="str">
        <f>IFERROR(__xludf.DUMMYFUNCTION("""COMPUTED_VALUE"""),"LIBRARY COLLEGE")</f>
        <v>LIBRARY COLLEGE</v>
      </c>
      <c r="D1102" s="196" t="str">
        <f>IFERROR(__xludf.DUMMYFUNCTION("""COMPUTED_VALUE"""),"1 EACH:
Introduction to Sport Law, 2023, 3e, PB					
Language and Literacy Development in Early Childhood, 2025, PB					
Linear Regression Analysis, 2025, PB					
Local Government &amp; Administration, 2025, PB					
Making Technology Work in Schools , 202"&amp;"5, PB					
Mathematics Tasks for the Thinking Classroom, 2024, PB					
Personal Best Running, 2024, PB					
Physical Education and Health, 2025, PB					
Physical Education and Social Skills Development , 2025, HB					
Physical Education for Lifelong "&amp;"Fitness and Health , 2024, PB					
Playbook for Self-Directed Learning, The , 2025, PB					
Poverty and Unemployment , 2025, HB					
Power of Groups in Youth Sport, The , 2020, PB					
Precalculus and Trigonometry , 2025, PB					
Primary Science Know"&amp;"ledge &amp; Understanding, 2024, 10e, PB					")</f>
        <v>1 EACH:
Introduction to Sport Law, 2023, 3e, PB					
Language and Literacy Development in Early Childhood, 2025, PB					
Linear Regression Analysis, 2025, PB					
Local Government &amp; Administration, 2025, PB					
Making Technology Work in Schools , 2025, PB					
Mathematics Tasks for the Thinking Classroom, 2024, PB					
Personal Best Running, 2024, PB					
Physical Education and Health, 2025, PB					
Physical Education and Social Skills Development , 2025, HB					
Physical Education for Lifelong Fitness and Health , 2024, PB					
Playbook for Self-Directed Learning, The , 2025, PB					
Poverty and Unemployment , 2025, HB					
Power of Groups in Youth Sport, The , 2020, PB					
Precalculus and Trigonometry , 2025, PB					
Primary Science Knowledge &amp; Understanding, 2024, 10e, PB					</v>
      </c>
      <c r="E1102" s="196" t="str">
        <f>IFERROR(__xludf.DUMMYFUNCTION("""COMPUTED_VALUE"""),"FOR PACUCOA COMPLIANCE")</f>
        <v>FOR PACUCOA COMPLIANCE</v>
      </c>
    </row>
    <row r="1103">
      <c r="A1103" s="234">
        <f>IFERROR(__xludf.DUMMYFUNCTION("""COMPUTED_VALUE"""),105936.0)</f>
        <v>105936</v>
      </c>
      <c r="B1103" s="235" t="str">
        <f>IFERROR(__xludf.DUMMYFUNCTION("""COMPUTED_VALUE"""),"MELISSA ODONO")</f>
        <v>MELISSA ODONO</v>
      </c>
      <c r="C1103" s="235" t="str">
        <f>IFERROR(__xludf.DUMMYFUNCTION("""COMPUTED_VALUE"""),"LIBRARY COLLEGE")</f>
        <v>LIBRARY COLLEGE</v>
      </c>
      <c r="D1103" s="196" t="str">
        <f>IFERROR(__xludf.DUMMYFUNCTION("""COMPUTED_VALUE"""),"1 EACH:
Fundamentals of Early Childhood Assessment , 2025, PB					
Gardner's Art through the Ages, 2023, 5e, PB					
Gender-Inclusive Curriculum Devt., 2025, PB					
Generative AI for Academics, 2025, PB					
Generative AI for Students, 2025, PB					
"&amp;"
Globalization: A Basic Textbook, 2025, PB					
Handbook for Behavioral Skills Training, 2025, PB					
History and Philosophy of Education , 2025, PB					
Humor in Global Contemporary Art , 2024, HB					
Inclusive Pedagogy Strategies, 2025, PB					
I"&amp;"nternational Human Rights, 2025, PB					
Introduction to Community Development , 2025, PB					
Introduction to Contemporary Art, 2025, PB					
Introduction to Educational Philosophy , 2025, PB					
Introduction to Physical Education, Exercise Science "&amp;"and Sport, 2024, PB					")</f>
        <v>1 EACH:
Fundamentals of Early Childhood Assessment , 2025, PB					
Gardner's Art through the Ages, 2023, 5e, PB					
Gender-Inclusive Curriculum Devt., 2025, PB					
Generative AI for Academics, 2025, PB					
Generative AI for Students, 2025, PB					
Globalization: A Basic Textbook, 2025, PB					
Handbook for Behavioral Skills Training, 2025, PB					
History and Philosophy of Education , 2025, PB					
Humor in Global Contemporary Art , 2024, HB					
Inclusive Pedagogy Strategies, 2025, PB					
International Human Rights, 2025, PB					
Introduction to Community Development , 2025, PB					
Introduction to Contemporary Art, 2025, PB					
Introduction to Educational Philosophy , 2025, PB					
Introduction to Physical Education, Exercise Science and Sport, 2024, PB					</v>
      </c>
      <c r="E1103" s="196" t="str">
        <f>IFERROR(__xludf.DUMMYFUNCTION("""COMPUTED_VALUE"""),"FOR PACUCOA COMPLIANCE")</f>
        <v>FOR PACUCOA COMPLIANCE</v>
      </c>
    </row>
    <row r="1104">
      <c r="A1104" s="234">
        <f>IFERROR(__xludf.DUMMYFUNCTION("""COMPUTED_VALUE"""),105937.0)</f>
        <v>105937</v>
      </c>
      <c r="B1104" s="235" t="str">
        <f>IFERROR(__xludf.DUMMYFUNCTION("""COMPUTED_VALUE"""),"MELISSA ODONO")</f>
        <v>MELISSA ODONO</v>
      </c>
      <c r="C1104" s="235" t="str">
        <f>IFERROR(__xludf.DUMMYFUNCTION("""COMPUTED_VALUE"""),"LIBRARY COLLEGE")</f>
        <v>LIBRARY COLLEGE</v>
      </c>
      <c r="D1104" s="196" t="str">
        <f>IFERROR(__xludf.DUMMYFUNCTION("""COMPUTED_VALUE"""),"1 EACH:
Emotional and Social Development, 2025, HB					
Employment Relations and Global Governance , 2024, PB					
English Grammar &amp; Writing Skills, 2025, HB					
Essence of Anthropology, The, 2025, PB					
Essential Trigonometry, 2024, PB					
Estes"&amp;" Health Assessment &amp; Physical Exam., 2024, 4e, PB					
Ethics in Business Decisions and Comparative Advantage, 2025, PB					
Evaluating Educational Development , 2025, PB					
First Adventures on Differential Geometry, The , 2025, HB					
Fit to be We"&amp;"ll: Essential Concepts, 2023, 6e, PB					
Fixing Education Initiatives in Crisis, 2024, PB					
Foundation of Instructional Technology , 2025, PB					
Foundations of Early Childhood Education, 2025, PB					
Foundations of Physical Education, Exercise "&amp;"Science &amp; Sport, 2024, 21e, PB					
Foundations of Physical Education, Exercise Science, and Sport, 2024, PB					")</f>
        <v>1 EACH:
Emotional and Social Development, 2025, HB					
Employment Relations and Global Governance , 2024, PB					
English Grammar &amp; Writing Skills, 2025, HB					
Essence of Anthropology, The, 2025, PB					
Essential Trigonometry, 2024, PB					
Estes Health Assessment &amp; Physical Exam., 2024, 4e, PB					
Ethics in Business Decisions and Comparative Advantage, 2025, PB					
Evaluating Educational Development , 2025, PB					
First Adventures on Differential Geometry, The , 2025, HB					
Fit to be Well: Essential Concepts, 2023, 6e, PB					
Fixing Education Initiatives in Crisis, 2024, PB					
Foundation of Instructional Technology , 2025, PB					
Foundations of Early Childhood Education, 2025, PB					
Foundations of Physical Education, Exercise Science &amp; Sport, 2024, 21e, PB					
Foundations of Physical Education, Exercise Science, and Sport, 2024, PB					</v>
      </c>
      <c r="E1104" s="196" t="str">
        <f>IFERROR(__xludf.DUMMYFUNCTION("""COMPUTED_VALUE"""),"FOR PACUCOA COMPLIANCE")</f>
        <v>FOR PACUCOA COMPLIANCE</v>
      </c>
    </row>
    <row r="1105">
      <c r="A1105" s="234">
        <f>IFERROR(__xludf.DUMMYFUNCTION("""COMPUTED_VALUE"""),105938.0)</f>
        <v>105938</v>
      </c>
      <c r="B1105" s="235" t="str">
        <f>IFERROR(__xludf.DUMMYFUNCTION("""COMPUTED_VALUE"""),"MELISSA ODONO")</f>
        <v>MELISSA ODONO</v>
      </c>
      <c r="C1105" s="235" t="str">
        <f>IFERROR(__xludf.DUMMYFUNCTION("""COMPUTED_VALUE"""),"LIBRARY COLLEGE")</f>
        <v>LIBRARY COLLEGE</v>
      </c>
      <c r="D1105" s="196" t="str">
        <f>IFERROR(__xludf.DUMMYFUNCTION("""COMPUTED_VALUE"""),"1 EACH:
Critical Race Studies in Physical Education, 2023, PB					
Cultural History of the World, 2025, PB					
Cultures &amp; Values: A Global View of the Humanities (2-vol. set) , 2026, 10e , PB					
Current Perspectives on Learning Disabilities, 2025, H"&amp;"B					
Designing and Implementing Program Evaluation for Teaching &amp; Learning.., 2025, PB					
Early Literacy: Foundations and Instructional Practices , 2025, PB					
Early Years Foundation Stage (EYFS) 2024, The , 2023, 2e , PB					
Economic History o"&amp;"f the World , 2025, PB					
Education Futures for School Leadership , 2025, PB					
Educational Assessment in a Changing World , 2025, PB					
Educational Disparities: A Critical Look at Schooling Inequities , 2025, HB					
Educational Leadership and "&amp;"Critical Theory, 2024, HB					
Educational Management, 2025, PB					
Educational Testing &amp; Measurement , 2024, 12e, PB					
Effective Classroom Management, 2025, PB					")</f>
        <v>1 EACH:
Critical Race Studies in Physical Education, 2023, PB					
Cultural History of the World, 2025, PB					
Cultures &amp; Values: A Global View of the Humanities (2-vol. set) , 2026, 10e , PB					
Current Perspectives on Learning Disabilities, 2025, HB					
Designing and Implementing Program Evaluation for Teaching &amp; Learning.., 2025, PB					
Early Literacy: Foundations and Instructional Practices , 2025, PB					
Early Years Foundation Stage (EYFS) 2024, The , 2023, 2e , PB					
Economic History of the World , 2025, PB					
Education Futures for School Leadership , 2025, PB					
Educational Assessment in a Changing World , 2025, PB					
Educational Disparities: A Critical Look at Schooling Inequities , 2025, HB					
Educational Leadership and Critical Theory, 2024, HB					
Educational Management, 2025, PB					
Educational Testing &amp; Measurement , 2024, 12e, PB					
Effective Classroom Management, 2025, PB					</v>
      </c>
      <c r="E1105" s="196" t="str">
        <f>IFERROR(__xludf.DUMMYFUNCTION("""COMPUTED_VALUE"""),"FOR PACUCOA COMPLIANCE")</f>
        <v>FOR PACUCOA COMPLIANCE</v>
      </c>
    </row>
    <row r="1106">
      <c r="A1106" s="234">
        <f>IFERROR(__xludf.DUMMYFUNCTION("""COMPUTED_VALUE"""),105939.0)</f>
        <v>105939</v>
      </c>
      <c r="B1106" s="235" t="str">
        <f>IFERROR(__xludf.DUMMYFUNCTION("""COMPUTED_VALUE"""),"MELISSA ODONO")</f>
        <v>MELISSA ODONO</v>
      </c>
      <c r="C1106" s="235" t="str">
        <f>IFERROR(__xludf.DUMMYFUNCTION("""COMPUTED_VALUE"""),"LIBRARY COLLEGE")</f>
        <v>LIBRARY COLLEGE</v>
      </c>
      <c r="D1106" s="196" t="str">
        <f>IFERROR(__xludf.DUMMYFUNCTION("""COMPUTED_VALUE"""),"1 EACH:
Child &amp; Adolescent Development in Your Classroom, 2025, 4e, PB					
Child Language Development , 2025, HB					
Classroom Management for Students w/ Learning..., 2025, PB					
Clinical Social Work with Individuals, Families &amp; Groups, 2023, PB			"&amp;"		
Coaching Values and Life Skills through Physical Education &amp; Sports , 2025, PB					
Collaboration for Multilingual Learners...., 2024, PB					
Collaborative Assessment for Multilingual Learners &amp; Teachers, 2025, PB					
Communication &amp; Language in "&amp;"Early Childhood Today, 2025, PB					
Community Development Planning , 2025, PB					
Community Governance and Mobilization Strategies , 2025, PB					
Community-Led Development in Practice , 2025, PB					
Completing Your Research Project, 2025, PB					
"&amp;"
Constitutional Law and the Criminal Justice System , 2026, 8e, PB					
Creative Research Methods for Critical Event Studies , 2025, PB					
Crime, Science and Policing, 2024, PB					")</f>
        <v>1 EACH:
Child &amp; Adolescent Development in Your Classroom, 2025, 4e, PB					
Child Language Development , 2025, HB					
Classroom Management for Students w/ Learning..., 2025, PB					
Clinical Social Work with Individuals, Families &amp; Groups, 2023, PB					
Coaching Values and Life Skills through Physical Education &amp; Sports , 2025, PB					
Collaboration for Multilingual Learners...., 2024, PB					
Collaborative Assessment for Multilingual Learners &amp; Teachers, 2025, PB					
Communication &amp; Language in Early Childhood Today, 2025, PB					
Community Development Planning , 2025, PB					
Community Governance and Mobilization Strategies , 2025, PB					
Community-Led Development in Practice , 2025, PB					
Completing Your Research Project, 2025, PB					
Constitutional Law and the Criminal Justice System , 2026, 8e, PB					
Creative Research Methods for Critical Event Studies , 2025, PB					
Crime, Science and Policing, 2024, PB					</v>
      </c>
      <c r="E1106" s="196" t="str">
        <f>IFERROR(__xludf.DUMMYFUNCTION("""COMPUTED_VALUE"""),"FOR PACUCOA COMPLIANCE")</f>
        <v>FOR PACUCOA COMPLIANCE</v>
      </c>
    </row>
    <row r="1107">
      <c r="A1107" s="234">
        <f>IFERROR(__xludf.DUMMYFUNCTION("""COMPUTED_VALUE"""),105940.0)</f>
        <v>105940</v>
      </c>
      <c r="B1107" s="235" t="str">
        <f>IFERROR(__xludf.DUMMYFUNCTION("""COMPUTED_VALUE"""),"MELISSA ODONO")</f>
        <v>MELISSA ODONO</v>
      </c>
      <c r="C1107" s="235"/>
      <c r="D1107" s="196" t="str">
        <f>IFERROR(__xludf.DUMMYFUNCTION("""COMPUTED_VALUE"""),"1 EACH:
Academic Advising Administration, 2024, 2e, PB					
Academic Writing Skills for International Students, 2024, 2e, PB					
Advanced Theory and Practice in Sport Marketing, 2022, 4e, PB					
Art Appreciation, 2023, HB					
Assessing Students, No"&amp;"t Standards, 2024, PB					
Assessment and Evaluation in Early Childhood Settings , 2025, PB					
Assessment in Early Childhood Special Education , 2025, PB					
Assessment of 21st Century Learning, 2025, HB					
Authentic Opportunities for Writing Abo"&amp;"ut Math in High School , 2025, PB					
Authentic Opportunities for Writing About Math in Upper Elementary , 2025, PB					
Authentic School Improvement for Authentic Leaders , 2025, PB					
Becoming the Writer You Already Are, 2023, PB					
Bringing Ta"&amp;"lk to Life , 2025, PB					
Business Ethics: Ethical Decision Making and Cases , 2026, 14e , PB					
Challenges of Educational Technology , 2024, HB					")</f>
        <v>1 EACH:
Academic Advising Administration, 2024, 2e, PB					
Academic Writing Skills for International Students, 2024, 2e, PB					
Advanced Theory and Practice in Sport Marketing, 2022, 4e, PB					
Art Appreciation, 2023, HB					
Assessing Students, Not Standards, 2024, PB					
Assessment and Evaluation in Early Childhood Settings , 2025, PB					
Assessment in Early Childhood Special Education , 2025, PB					
Assessment of 21st Century Learning, 2025, HB					
Authentic Opportunities for Writing About Math in High School , 2025, PB					
Authentic Opportunities for Writing About Math in Upper Elementary , 2025, PB					
Authentic School Improvement for Authentic Leaders , 2025, PB					
Becoming the Writer You Already Are, 2023, PB					
Bringing Talk to Life , 2025, PB					
Business Ethics: Ethical Decision Making and Cases , 2026, 14e , PB					
Challenges of Educational Technology , 2024, HB					</v>
      </c>
      <c r="E1107" s="196" t="str">
        <f>IFERROR(__xludf.DUMMYFUNCTION("""COMPUTED_VALUE"""),"FOR PACUCOA COMPLIANCE")</f>
        <v>FOR PACUCOA COMPLIANCE</v>
      </c>
    </row>
    <row r="1108">
      <c r="A1108" s="234">
        <f>IFERROR(__xludf.DUMMYFUNCTION("""COMPUTED_VALUE"""),105941.0)</f>
        <v>105941</v>
      </c>
      <c r="B1108" s="235" t="str">
        <f>IFERROR(__xludf.DUMMYFUNCTION("""COMPUTED_VALUE"""),"MELISSA ODONO")</f>
        <v>MELISSA ODONO</v>
      </c>
      <c r="C1108" s="235" t="str">
        <f>IFERROR(__xludf.DUMMYFUNCTION("""COMPUTED_VALUE"""),"LIBRARY COLLEGE")</f>
        <v>LIBRARY COLLEGE</v>
      </c>
      <c r="D1108" s="196" t="str">
        <f>IFERROR(__xludf.DUMMYFUNCTION("""COMPUTED_VALUE"""),"1 EACH:
Responsibility-Centered Discipline, 2025, PB                                        
Secondary Curriculum Design &amp; Delivery, 2025, HB                                        
Secondary Curriculum Design &amp; Delivery, 2025, PB                         "&amp;"               
Social Science: The Basics, 2025, PB                                        
Solving Problems in Point Geometry Vol. 23, 2025, PB                                        
Sports and Exercise Nutrition, 2025, PB                              "&amp;"          
Sports Management , 2025, PB                                        
Student Assessment, 2024, PB                                        
Taking Moral Action, 2024, PB                                        
Teacher Training for Inclusive Educa"&amp;"tion , 2025, PB                                        
Teaching 6-12 Math Intervention , 2025, PB                                        
Teaching Beyond the Diagnosis: Empowering Students w/ Dyslexia , 2025, PB                                        
Te"&amp;"aching Dance Improvisation , 2025, PB                                        
Teaching Fantasy Writing, 2024, PB                                        
Teaching Methods and Strategies, 2025, PB                                        ")</f>
        <v>1 EACH:
Responsibility-Centered Discipline, 2025, PB                                        
Secondary Curriculum Design &amp; Delivery, 2025, HB                                        
Secondary Curriculum Design &amp; Delivery, 2025, PB                                        
Social Science: The Basics, 2025, PB                                        
Solving Problems in Point Geometry Vol. 23, 2025, PB                                        
Sports and Exercise Nutrition, 2025, PB                                        
Sports Management , 2025, PB                                        
Student Assessment, 2024, PB                                        
Taking Moral Action, 2024, PB                                        
Teacher Training for Inclusive Education , 2025, PB                                        
Teaching 6-12 Math Intervention , 2025, PB                                        
Teaching Beyond the Diagnosis: Empowering Students w/ Dyslexia , 2025, PB                                        
Teaching Dance Improvisation , 2025, PB                                        
Teaching Fantasy Writing, 2024, PB                                        
Teaching Methods and Strategies, 2025, PB                                        </v>
      </c>
      <c r="E1108" s="196" t="str">
        <f>IFERROR(__xludf.DUMMYFUNCTION("""COMPUTED_VALUE"""),"FOR PACUCOA COMPLIANCE")</f>
        <v>FOR PACUCOA COMPLIANCE</v>
      </c>
    </row>
    <row r="1109">
      <c r="A1109" s="234">
        <f>IFERROR(__xludf.DUMMYFUNCTION("""COMPUTED_VALUE"""),105942.0)</f>
        <v>105942</v>
      </c>
      <c r="B1109" s="235" t="str">
        <f>IFERROR(__xludf.DUMMYFUNCTION("""COMPUTED_VALUE"""),"MELISSA ODONO")</f>
        <v>MELISSA ODONO</v>
      </c>
      <c r="C1109" s="235" t="str">
        <f>IFERROR(__xludf.DUMMYFUNCTION("""COMPUTED_VALUE"""),"LIBRARY COLLEGE")</f>
        <v>LIBRARY COLLEGE</v>
      </c>
      <c r="D1109" s="196" t="str">
        <f>IFERROR(__xludf.DUMMYFUNCTION("""COMPUTED_VALUE"""),"1 EACH:
Teaching: Making a Difference, 2025, 6e , PB					
Techniques of Classroom Teaching , 2024, HB					
Technology Integration in Education , 2025, HB					
Trauma, Primitivism, and The First World War, 2022, PB					
Trauma-Informed Practices for th"&amp;"e Classroom &amp; Beyond, 2024, PB					
Trends of Distance Education 2 Vol. Set , 2025, HB					
Trigonometry: Functions and Applications, 2025, PB					
Undergraduate Research in Dance , 2025, 2e , PB					
Understanding Data Culture &amp; Society, 2025, PB				"&amp;"	
Understanding Geometry, 2025, PB					
Understanding Philosopy, 2025, PB					
Understanding the World Economy, 2025, PB					
Urban Climate Change and Heat Islands, 2023, PB					
Welfare of Future Children, The: Reproductive Ethics &amp; Disability Scree"&amp;"ning , 2025, PB					
World Heritage &amp; Sustainable Development: A Global..., 2025, PB					")</f>
        <v>1 EACH:
Teaching: Making a Difference, 2025, 6e , PB					
Techniques of Classroom Teaching , 2024, HB					
Technology Integration in Education , 2025, HB					
Trauma, Primitivism, and The First World War, 2022, PB					
Trauma-Informed Practices for the Classroom &amp; Beyond, 2024, PB					
Trends of Distance Education 2 Vol. Set , 2025, HB					
Trigonometry: Functions and Applications, 2025, PB					
Undergraduate Research in Dance , 2025, 2e , PB					
Understanding Data Culture &amp; Society, 2025, PB					
Understanding Geometry, 2025, PB					
Understanding Philosopy, 2025, PB					
Understanding the World Economy, 2025, PB					
Urban Climate Change and Heat Islands, 2023, PB					
Welfare of Future Children, The: Reproductive Ethics &amp; Disability Screening , 2025, PB					
World Heritage &amp; Sustainable Development: A Global..., 2025, PB					</v>
      </c>
      <c r="E1109" s="196" t="str">
        <f>IFERROR(__xludf.DUMMYFUNCTION("""COMPUTED_VALUE"""),"FOR PACUCOA COMPLIANCE")</f>
        <v>FOR PACUCOA COMPLIANCE</v>
      </c>
    </row>
    <row r="1110">
      <c r="A1110" s="234">
        <f>IFERROR(__xludf.DUMMYFUNCTION("""COMPUTED_VALUE"""),105943.0)</f>
        <v>105943</v>
      </c>
      <c r="B1110" s="235" t="str">
        <f>IFERROR(__xludf.DUMMYFUNCTION("""COMPUTED_VALUE"""),"MELISSA ODONO")</f>
        <v>MELISSA ODONO</v>
      </c>
      <c r="C1110" s="235" t="str">
        <f>IFERROR(__xludf.DUMMYFUNCTION("""COMPUTED_VALUE"""),"LIBRARY COLLEGE")</f>
        <v>LIBRARY COLLEGE</v>
      </c>
      <c r="D1110" s="196" t="str">
        <f>IFERROR(__xludf.DUMMYFUNCTION("""COMPUTED_VALUE"""),"1 EACH:
World History: From Prehistroric to Modern Times , 2025, PB					
World Politics: Interest, Interactions &amp; Institutions, 2025, PB					
Yoga: The Ultimate Gde., 2023, PB					
Your Essentials Gde to Effective Reflective Practice, 2025, PB					")</f>
        <v>1 EACH:
World History: From Prehistroric to Modern Times , 2025, PB					
World Politics: Interest, Interactions &amp; Institutions, 2025, PB					
Yoga: The Ultimate Gde., 2023, PB					
Your Essentials Gde to Effective Reflective Practice, 2025, PB					</v>
      </c>
      <c r="E1110" s="196" t="str">
        <f>IFERROR(__xludf.DUMMYFUNCTION("""COMPUTED_VALUE"""),"FOR PACUCOA COMPLIANCE")</f>
        <v>FOR PACUCOA COMPLIANCE</v>
      </c>
    </row>
    <row r="1111">
      <c r="A1111" s="234">
        <f>IFERROR(__xludf.DUMMYFUNCTION("""COMPUTED_VALUE"""),105944.0)</f>
        <v>105944</v>
      </c>
      <c r="B1111" s="235" t="str">
        <f>IFERROR(__xludf.DUMMYFUNCTION("""COMPUTED_VALUE"""),"MELISSA ODONO")</f>
        <v>MELISSA ODONO</v>
      </c>
      <c r="C1111" s="235" t="str">
        <f>IFERROR(__xludf.DUMMYFUNCTION("""COMPUTED_VALUE"""),"LIBRARY COLLEGE")</f>
        <v>LIBRARY COLLEGE</v>
      </c>
      <c r="D1111" s="196" t="str">
        <f>IFERROR(__xludf.DUMMYFUNCTION("""COMPUTED_VALUE"""),"1 EACH:
5 Steps to A5 AP Physics 1: Algebra-Based 2024, 2023, PB					
5 Steps to A5 AP Physics 2: Algebra-Based, 2022, PB					
Basic Organic and Inorganic Chemistry, 2024, PB					
Basics of Atoms, 2024, PB					
Basics of Human Biology, 2024, PB					
"&amp;"Basic Physics, 2025, PB					
Biochemistry, 2025, HB					
Biochemistry: The Molecules of Life, 2025, PB					
Biology of Organisms &amp; Environments, 2025, PB					
Cells: Structure and Function, 2024, PB					
Chemical Principles in the Laboratory, 13e, 20"&amp;"24, SP					
Chemistry, 15e, 2025, PB					
Chemistry, 10e, 2024, PB					
College Physics, 12e, 2025, pb					
Developmental Biology: An Introduction, 2025, PB					")</f>
        <v>1 EACH:
5 Steps to A5 AP Physics 1: Algebra-Based 2024, 2023, PB					
5 Steps to A5 AP Physics 2: Algebra-Based, 2022, PB					
Basic Organic and Inorganic Chemistry, 2024, PB					
Basics of Atoms, 2024, PB					
Basics of Human Biology, 2024, PB					
Basic Physics, 2025, PB					
Biochemistry, 2025, HB					
Biochemistry: The Molecules of Life, 2025, PB					
Biology of Organisms &amp; Environments, 2025, PB					
Cells: Structure and Function, 2024, PB					
Chemical Principles in the Laboratory, 13e, 2024, SP					
Chemistry, 15e, 2025, PB					
Chemistry, 10e, 2024, PB					
College Physics, 12e, 2025, pb					
Developmental Biology: An Introduction, 2025, PB					</v>
      </c>
      <c r="E1111" s="196" t="str">
        <f>IFERROR(__xludf.DUMMYFUNCTION("""COMPUTED_VALUE"""),"FOR PACUCOA COMPLIANCE")</f>
        <v>FOR PACUCOA COMPLIANCE</v>
      </c>
    </row>
    <row r="1112">
      <c r="A1112" s="234">
        <f>IFERROR(__xludf.DUMMYFUNCTION("""COMPUTED_VALUE"""),105945.0)</f>
        <v>105945</v>
      </c>
      <c r="B1112" s="235" t="str">
        <f>IFERROR(__xludf.DUMMYFUNCTION("""COMPUTED_VALUE"""),"MELISSA ODONO")</f>
        <v>MELISSA ODONO</v>
      </c>
      <c r="C1112" s="235" t="str">
        <f>IFERROR(__xludf.DUMMYFUNCTION("""COMPUTED_VALUE"""),"LIBRARY COLLEGE")</f>
        <v>LIBRARY COLLEGE</v>
      </c>
      <c r="D1112" s="196" t="str">
        <f>IFERROR(__xludf.DUMMYFUNCTION("""COMPUTED_VALUE"""),"1 EACH:
Neuroanatomy, 7e, 2025, PB					
Physiological Aspects of Biochemistry, 2023, HB					
Pollution: An Introductory Text, 2025, PB					
Recycling, a Challenge for the Circular Economy, 2024, HB					
Textbook of Environmental Studies, A, 2025, HB		"&amp;"			
Understanding Biological Systems, 2025, PB					")</f>
        <v>1 EACH:
Neuroanatomy, 7e, 2025, PB					
Physiological Aspects of Biochemistry, 2023, HB					
Pollution: An Introductory Text, 2025, PB					
Recycling, a Challenge for the Circular Economy, 2024, HB					
Textbook of Environmental Studies, A, 2025, HB					
Understanding Biological Systems, 2025, PB					</v>
      </c>
      <c r="E1112" s="196" t="str">
        <f>IFERROR(__xludf.DUMMYFUNCTION("""COMPUTED_VALUE"""),"FOR PACUCOA COMPLIANCE")</f>
        <v>FOR PACUCOA COMPLIANCE</v>
      </c>
    </row>
    <row r="1113">
      <c r="A1113" s="234">
        <f>IFERROR(__xludf.DUMMYFUNCTION("""COMPUTED_VALUE"""),105946.0)</f>
        <v>105946</v>
      </c>
      <c r="B1113" s="235" t="str">
        <f>IFERROR(__xludf.DUMMYFUNCTION("""COMPUTED_VALUE"""),"MELISSA ODONO")</f>
        <v>MELISSA ODONO</v>
      </c>
      <c r="C1113" s="235" t="str">
        <f>IFERROR(__xludf.DUMMYFUNCTION("""COMPUTED_VALUE"""),"LIBRARY COLLEGE")</f>
        <v>LIBRARY COLLEGE</v>
      </c>
      <c r="D1113" s="196" t="str">
        <f>IFERROR(__xludf.DUMMYFUNCTION("""COMPUTED_VALUE"""),"1 EACH:
Earth Science: An Introduction, 2025, PB					
Environmental Microbiology, 2025, PB					
Environmental Protection &amp; Mgt., 2025, PB					
Essentials of Biology, 7e, 2024, PB					
Essentials of Human Anatomy &amp; Physiology, 2025, PB					
Fundamenta"&amp;"ls of Cell Biology, 2025, PB					
DFundamentals of Chemistry for Today, 2025, PB					
Fundamentals of Ecology, 2025, PB					
Fundamentals of Physics, 2025, PB					
General Microbiology, 2025, PB					
Guide to Assesing Learning Outcomes, 5e, 2026, PB	"&amp;"				
Introduction to Biochemistry, An, 2025, PB					
Introduction to Environmental Science, 2025, PB					
Lippincott Illustrated Reviews: Biochemistry, 9e, 2025, PB					
Molecular Biology and Genetics: An Integrated Textbook, 2025, PB					")</f>
        <v>1 EACH:
Earth Science: An Introduction, 2025, PB					
Environmental Microbiology, 2025, PB					
Environmental Protection &amp; Mgt., 2025, PB					
Essentials of Biology, 7e, 2024, PB					
Essentials of Human Anatomy &amp; Physiology, 2025, PB					
Fundamentals of Cell Biology, 2025, PB					
DFundamentals of Chemistry for Today, 2025, PB					
Fundamentals of Ecology, 2025, PB					
Fundamentals of Physics, 2025, PB					
General Microbiology, 2025, PB					
Guide to Assesing Learning Outcomes, 5e, 2026, PB					
Introduction to Biochemistry, An, 2025, PB					
Introduction to Environmental Science, 2025, PB					
Lippincott Illustrated Reviews: Biochemistry, 9e, 2025, PB					
Molecular Biology and Genetics: An Integrated Textbook, 2025, PB					</v>
      </c>
      <c r="E1113" s="196" t="str">
        <f>IFERROR(__xludf.DUMMYFUNCTION("""COMPUTED_VALUE"""),"FOR PACUCOA COMPLIANCE")</f>
        <v>FOR PACUCOA COMPLIANCE</v>
      </c>
    </row>
    <row r="1114">
      <c r="A1114" s="234">
        <f>IFERROR(__xludf.DUMMYFUNCTION("""COMPUTED_VALUE"""),105947.0)</f>
        <v>105947</v>
      </c>
      <c r="B1114" s="235" t="str">
        <f>IFERROR(__xludf.DUMMYFUNCTION("""COMPUTED_VALUE"""),"JESUIT CHRISTIAN GALICIA")</f>
        <v>JESUIT CHRISTIAN GALICIA</v>
      </c>
      <c r="C1114" s="235" t="str">
        <f>IFERROR(__xludf.DUMMYFUNCTION("""COMPUTED_VALUE"""),"AMD")</f>
        <v>AMD</v>
      </c>
      <c r="D1114" s="196" t="str">
        <f>IFERROR(__xludf.DUMMYFUNCTION("""COMPUTED_VALUE"""),"20 PCS KINGSTON GOLD STATE DRIVE 512GB
20 PCS A4 TECH WEBCAM
10 PCS THERMAL PASTE
50 PCS CABLE WRAP MANAGEABLE WIRE 
30 PCS CABLE TIE 100MM BLACK")</f>
        <v>20 PCS KINGSTON GOLD STATE DRIVE 512GB
20 PCS A4 TECH WEBCAM
10 PCS THERMAL PASTE
50 PCS CABLE WRAP MANAGEABLE WIRE 
30 PCS CABLE TIE 100MM BLACK</v>
      </c>
      <c r="E1114" s="196" t="str">
        <f>IFERROR(__xludf.DUMMYFUNCTION("""COMPUTED_VALUE"""),"MIS WAREHOUSE REPLENISHMENT")</f>
        <v>MIS WAREHOUSE REPLENISHMENT</v>
      </c>
    </row>
    <row r="1115">
      <c r="A1115" s="234">
        <f>IFERROR(__xludf.DUMMYFUNCTION("""COMPUTED_VALUE"""),105948.0)</f>
        <v>105948</v>
      </c>
      <c r="B1115" s="235" t="str">
        <f>IFERROR(__xludf.DUMMYFUNCTION("""COMPUTED_VALUE"""),"LYKA PERALTA")</f>
        <v>LYKA PERALTA</v>
      </c>
      <c r="C1115" s="235" t="str">
        <f>IFERROR(__xludf.DUMMYFUNCTION("""COMPUTED_VALUE"""),"AMD")</f>
        <v>AMD</v>
      </c>
      <c r="D1115" s="196" t="str">
        <f>IFERROR(__xludf.DUMMYFUNCTION("""COMPUTED_VALUE"""),"125 PCS FRAME CERTIFICATE ORDINARY BROWN 8.5X11")</f>
        <v>125 PCS FRAME CERTIFICATE ORDINARY BROWN 8.5X11</v>
      </c>
      <c r="E1115" s="196" t="str">
        <f>IFERROR(__xludf.DUMMYFUNCTION("""COMPUTED_VALUE"""),"OSSUP REPLENISHMENT")</f>
        <v>OSSUP REPLENISHMENT</v>
      </c>
    </row>
    <row r="1116">
      <c r="A1116" s="234">
        <f>IFERROR(__xludf.DUMMYFUNCTION("""COMPUTED_VALUE"""),105949.0)</f>
        <v>105949</v>
      </c>
      <c r="B1116" s="235" t="str">
        <f>IFERROR(__xludf.DUMMYFUNCTION("""COMPUTED_VALUE"""),"RONALDO VERDE/SHEREE ESPINOSA")</f>
        <v>RONALDO VERDE/SHEREE ESPINOSA</v>
      </c>
      <c r="C1116" s="235" t="str">
        <f>IFERROR(__xludf.DUMMYFUNCTION("""COMPUTED_VALUE"""),"ADMIN")</f>
        <v>ADMIN</v>
      </c>
      <c r="D1116" s="196" t="str">
        <f>IFERROR(__xludf.DUMMYFUNCTION("""COMPUTED_VALUE"""),"20 PCS ANTI SUP TAPE
18 PCS FOOT LIGHTS")</f>
        <v>20 PCS ANTI SUP TAPE
18 PCS FOOT LIGHTS</v>
      </c>
      <c r="E1116" s="196" t="str">
        <f>IFERROR(__xludf.DUMMYFUNCTION("""COMPUTED_VALUE"""),"PACUCOA PREPARATION")</f>
        <v>PACUCOA PREPARATION</v>
      </c>
    </row>
    <row r="1117">
      <c r="A1117" s="234">
        <f>IFERROR(__xludf.DUMMYFUNCTION("""COMPUTED_VALUE"""),105950.0)</f>
        <v>105950</v>
      </c>
      <c r="B1117" s="235" t="str">
        <f>IFERROR(__xludf.DUMMYFUNCTION("""COMPUTED_VALUE"""),"RONALD VERDE")</f>
        <v>RONALD VERDE</v>
      </c>
      <c r="C1117" s="235" t="str">
        <f>IFERROR(__xludf.DUMMYFUNCTION("""COMPUTED_VALUE"""),"ADMIN")</f>
        <v>ADMIN</v>
      </c>
      <c r="D1117" s="196" t="str">
        <f>IFERROR(__xludf.DUMMYFUNCTION("""COMPUTED_VALUE"""),"3  BOXES  GUN TUCKER  WIRE  3/8""
35 PCS LAND LITE SPOTLIGHT
26 PCS SPOT LIGHT GU10 BLACK
26 PCS LANDLITE LED LIGHT 5w
4 PCS ALPHALUX SK 5 WATTS 
")</f>
        <v>3  BOXES  GUN TUCKER  WIRE  3/8"
35 PCS LAND LITE SPOTLIGHT
26 PCS SPOT LIGHT GU10 BLACK
26 PCS LANDLITE LED LIGHT 5w
4 PCS ALPHALUX SK 5 WATTS 
</v>
      </c>
      <c r="E1117" s="196" t="str">
        <f>IFERROR(__xludf.DUMMYFUNCTION("""COMPUTED_VALUE"""),"ADDTL MATERIALS FOR PACUCUOA")</f>
        <v>ADDTL MATERIALS FOR PACUCUOA</v>
      </c>
    </row>
    <row r="1118">
      <c r="A1118" s="234">
        <f>IFERROR(__xludf.DUMMYFUNCTION("""COMPUTED_VALUE"""),105951.0)</f>
        <v>105951</v>
      </c>
      <c r="B1118" s="235" t="str">
        <f>IFERROR(__xludf.DUMMYFUNCTION("""COMPUTED_VALUE"""),"MELISSA ODONO")</f>
        <v>MELISSA ODONO</v>
      </c>
      <c r="C1118" s="235" t="str">
        <f>IFERROR(__xludf.DUMMYFUNCTION("""COMPUTED_VALUE"""),"LIBRARY COLLEGE")</f>
        <v>LIBRARY COLLEGE</v>
      </c>
      <c r="D1118" s="196" t="str">
        <f>IFERROR(__xludf.DUMMYFUNCTION("""COMPUTED_VALUE"""),"1 EACH:
Alexander's Nursing Practice: Hospital and Home, 2025, 6e, PB                                        
Anatomy &amp; Physiology Made Incredibly Easy, 2024, 6e, PB                                        
Applied Nutrition and Dietetics for Nursing , 202"&amp;"5, PB                                        
Applying Pathophysiological Concepts for the NCLEX-RN, 2025, PB                                        
Core Curriculum for Oncology Nursing, 2024, 7e, PB                                        
Disaster Nursi"&amp;"ng, 2025, PB                                        
Essentials of Human Anatomy &amp; Physiology, 2025, PB                                        
Essentials of Maternity, Newborn and Women's Health Nursing , 2025, 6e , PB                                    "&amp;"    
Essentials of Pediatric Nursing , 2025, 5e , PB                                        
Ethics &amp; Issues in Contemporary Nursing, 2025, 2e, PB                                        
Fundamental Concepts &amp; Skills for Nursing, 2026, 7e, PB             "&amp;"                           
Health Assessment in Nursing , 2025, PB                                        
Hemodynamic Monitoring made Incredibly Easy! , 2025, 5e , PB                                        
Informatics and Nursing: Opportunities and Cha"&amp;"llenges , 2025, 7e , PB                                        
Infusion Therapy made Incredibly Easy! , 2025, 6e , PB                                        ")</f>
        <v>1 EACH:
Alexander's Nursing Practice: Hospital and Home, 2025, 6e, PB                                        
Anatomy &amp; Physiology Made Incredibly Easy, 2024, 6e, PB                                        
Applied Nutrition and Dietetics for Nursing , 2025, PB                                        
Applying Pathophysiological Concepts for the NCLEX-RN, 2025, PB                                        
Core Curriculum for Oncology Nursing, 2024, 7e, PB                                        
Disaster Nursing, 2025, PB                                        
Essentials of Human Anatomy &amp; Physiology, 2025, PB                                        
Essentials of Maternity, Newborn and Women's Health Nursing , 2025, 6e , PB                                        
Essentials of Pediatric Nursing , 2025, 5e , PB                                        
Ethics &amp; Issues in Contemporary Nursing, 2025, 2e, PB                                        
Fundamental Concepts &amp; Skills for Nursing, 2026, 7e, PB                                        
Health Assessment in Nursing , 2025, PB                                        
Hemodynamic Monitoring made Incredibly Easy! , 2025, 5e , PB                                        
Informatics and Nursing: Opportunities and Challenges , 2025, 7e , PB                                        
Infusion Therapy made Incredibly Easy! , 2025, 6e , PB                                        </v>
      </c>
      <c r="E1118" s="196" t="str">
        <f>IFERROR(__xludf.DUMMYFUNCTION("""COMPUTED_VALUE"""),"FOR PACUCOA COMPLIANCE")</f>
        <v>FOR PACUCOA COMPLIANCE</v>
      </c>
    </row>
    <row r="1119">
      <c r="A1119" s="234">
        <f>IFERROR(__xludf.DUMMYFUNCTION("""COMPUTED_VALUE"""),105952.0)</f>
        <v>105952</v>
      </c>
      <c r="B1119" s="235" t="str">
        <f>IFERROR(__xludf.DUMMYFUNCTION("""COMPUTED_VALUE"""),"MELISSA ODONO")</f>
        <v>MELISSA ODONO</v>
      </c>
      <c r="C1119" s="235" t="str">
        <f>IFERROR(__xludf.DUMMYFUNCTION("""COMPUTED_VALUE"""),"LIBRARY COLLEGE")</f>
        <v>LIBRARY COLLEGE</v>
      </c>
      <c r="D1119" s="196" t="str">
        <f>IFERROR(__xludf.DUMMYFUNCTION("""COMPUTED_VALUE"""),"1 EACH:
Innovative Teaching Strategies in Nursing, 2026, 9e, PB					
Leadrship, Mgt. &amp; Team Working in Nursing, 2025, 5e, PB					
Medical Terminology &amp; Anatomy, 2025, 5e, PB					
Nursing Care Plans: Diagnosis, Interventions, &amp; Outcomes, 2026, 11e, PB		"&amp;"			
Nursing Ethics, 2023, 6e, PB					
Nursing Leadership and Management , 2025, PB					
Pathophysiology made Incredibly Easy! , 2025, 7e , PB					
Psychiatric Nursing , 2025, HB					
Role Development in Professional Nursing Practice, 2026, 7e, PB				"&amp;"	
Succeeding in Literature Reviews &amp; Research Project in Nursing Students, 2025, 5e, PB					
Transcultural Concepts in Nursing Care, 2025, 9e, PB					")</f>
        <v>1 EACH:
Innovative Teaching Strategies in Nursing, 2026, 9e, PB					
Leadrship, Mgt. &amp; Team Working in Nursing, 2025, 5e, PB					
Medical Terminology &amp; Anatomy, 2025, 5e, PB					
Nursing Care Plans: Diagnosis, Interventions, &amp; Outcomes, 2026, 11e, PB					
Nursing Ethics, 2023, 6e, PB					
Nursing Leadership and Management , 2025, PB					
Pathophysiology made Incredibly Easy! , 2025, 7e , PB					
Psychiatric Nursing , 2025, HB					
Role Development in Professional Nursing Practice, 2026, 7e, PB					
Succeeding in Literature Reviews &amp; Research Project in Nursing Students, 2025, 5e, PB					
Transcultural Concepts in Nursing Care, 2025, 9e, PB					</v>
      </c>
      <c r="E1119" s="196" t="str">
        <f>IFERROR(__xludf.DUMMYFUNCTION("""COMPUTED_VALUE"""),"FOR PACUCOA COMPLIANCE")</f>
        <v>FOR PACUCOA COMPLIANCE</v>
      </c>
    </row>
    <row r="1120">
      <c r="A1120" s="234">
        <f>IFERROR(__xludf.DUMMYFUNCTION("""COMPUTED_VALUE"""),105953.0)</f>
        <v>105953</v>
      </c>
      <c r="B1120" s="235" t="str">
        <f>IFERROR(__xludf.DUMMYFUNCTION("""COMPUTED_VALUE"""),"RACHEL PAMATIAN")</f>
        <v>RACHEL PAMATIAN</v>
      </c>
      <c r="C1120" s="235" t="str">
        <f>IFERROR(__xludf.DUMMYFUNCTION("""COMPUTED_VALUE"""),"ADMIN - STAR")</f>
        <v>ADMIN - STAR</v>
      </c>
      <c r="D1120" s="196" t="str">
        <f>IFERROR(__xludf.DUMMYFUNCTION("""COMPUTED_VALUE"""),"3 PCS HAND DRYER EASY FLOW")</f>
        <v>3 PCS HAND DRYER EASY FLOW</v>
      </c>
      <c r="E1120" s="196" t="str">
        <f>IFERROR(__xludf.DUMMYFUNCTION("""COMPUTED_VALUE"""),"NEW HAND DRYER FOR COMFORT ROOMS")</f>
        <v>NEW HAND DRYER FOR COMFORT ROOMS</v>
      </c>
    </row>
    <row r="1121">
      <c r="A1121" s="234">
        <f>IFERROR(__xludf.DUMMYFUNCTION("""COMPUTED_VALUE"""),105954.0)</f>
        <v>105954</v>
      </c>
      <c r="B1121" s="235" t="str">
        <f>IFERROR(__xludf.DUMMYFUNCTION("""COMPUTED_VALUE"""),"ALFA DE LEON")</f>
        <v>ALFA DE LEON</v>
      </c>
      <c r="C1121" s="235" t="str">
        <f>IFERROR(__xludf.DUMMYFUNCTION("""COMPUTED_VALUE"""),"ADMIN - MUNICH")</f>
        <v>ADMIN - MUNICH</v>
      </c>
      <c r="D1121" s="196" t="str">
        <f>IFERROR(__xludf.DUMMYFUNCTION("""COMPUTED_VALUE"""),"1 CARRIER TAG
5 POTS
1 UNSCENTED CANDLE
1 PERSILADE POT
1 BOYSENBAR
1 NYPON POT")</f>
        <v>1 CARRIER TAG
5 POTS
1 UNSCENTED CANDLE
1 PERSILADE POT
1 BOYSENBAR
1 NYPON POT</v>
      </c>
      <c r="E1121" s="196" t="str">
        <f>IFERROR(__xludf.DUMMYFUNCTION("""COMPUTED_VALUE"""),"POTS LANDSCAPING")</f>
        <v>POTS LANDSCAPING</v>
      </c>
    </row>
    <row r="1122">
      <c r="A1122" s="234">
        <f>IFERROR(__xludf.DUMMYFUNCTION("""COMPUTED_VALUE"""),105955.0)</f>
        <v>105955</v>
      </c>
      <c r="B1122" s="235" t="str">
        <f>IFERROR(__xludf.DUMMYFUNCTION("""COMPUTED_VALUE"""),"RACHEL PAMATIAN")</f>
        <v>RACHEL PAMATIAN</v>
      </c>
      <c r="C1122" s="235" t="str">
        <f>IFERROR(__xludf.DUMMYFUNCTION("""COMPUTED_VALUE"""),"ADMIN - STAR")</f>
        <v>ADMIN - STAR</v>
      </c>
      <c r="D1122" s="196" t="str">
        <f>IFERROR(__xludf.DUMMYFUNCTION("""COMPUTED_VALUE"""),"2 SOFA COVER SIZE 3 SEATER 180-230CM ")</f>
        <v>2 SOFA COVER SIZE 3 SEATER 180-230CM </v>
      </c>
      <c r="E1122" s="196" t="str">
        <f>IFERROR(__xludf.DUMMYFUNCTION("""COMPUTED_VALUE"""),"SOFA COVER FOR LEARNING VILLAGE")</f>
        <v>SOFA COVER FOR LEARNING VILLAGE</v>
      </c>
    </row>
    <row r="1123">
      <c r="A1123" s="234">
        <f>IFERROR(__xludf.DUMMYFUNCTION("""COMPUTED_VALUE"""),105956.0)</f>
        <v>105956</v>
      </c>
      <c r="B1123" s="235" t="str">
        <f>IFERROR(__xludf.DUMMYFUNCTION("""COMPUTED_VALUE"""),"SHEREE ESPINOSA")</f>
        <v>SHEREE ESPINOSA</v>
      </c>
      <c r="C1123" s="235" t="str">
        <f>IFERROR(__xludf.DUMMYFUNCTION("""COMPUTED_VALUE"""),"ADMIN")</f>
        <v>ADMIN</v>
      </c>
      <c r="D1123" s="196" t="str">
        <f>IFERROR(__xludf.DUMMYFUNCTION("""COMPUTED_VALUE"""),"2 RED BANABA")</f>
        <v>2 RED BANABA</v>
      </c>
      <c r="E1123" s="196" t="str">
        <f>IFERROR(__xludf.DUMMYFUNCTION("""COMPUTED_VALUE"""),"PACUCUOA TOKEN")</f>
        <v>PACUCUOA TOKEN</v>
      </c>
    </row>
    <row r="1124">
      <c r="A1124" s="234">
        <f>IFERROR(__xludf.DUMMYFUNCTION("""COMPUTED_VALUE"""),105957.0)</f>
        <v>105957</v>
      </c>
      <c r="B1124" s="235" t="str">
        <f>IFERROR(__xludf.DUMMYFUNCTION("""COMPUTED_VALUE"""),"LUCILLE BEYER")</f>
        <v>LUCILLE BEYER</v>
      </c>
      <c r="C1124" s="235" t="str">
        <f>IFERROR(__xludf.DUMMYFUNCTION("""COMPUTED_VALUE"""),"MEDICAL")</f>
        <v>MEDICAL</v>
      </c>
      <c r="D1124" s="196" t="str">
        <f>IFERROR(__xludf.DUMMYFUNCTION("""COMPUTED_VALUE"""),"CLINIC MATERIALS / EQUIPMENT IN PREPARATION FOR AY 25-26")</f>
        <v>CLINIC MATERIALS / EQUIPMENT IN PREPARATION FOR AY 25-26</v>
      </c>
      <c r="E1124" s="196" t="str">
        <f>IFERROR(__xludf.DUMMYFUNCTION("""COMPUTED_VALUE"""),"ANNUAL PURCHASE OF CLINIC SUPPLIES / EQUIPMENT I PERPARATION OF AY 25-26 FOR 3 CLINICS")</f>
        <v>ANNUAL PURCHASE OF CLINIC SUPPLIES / EQUIPMENT I PERPARATION OF AY 25-26 FOR 3 CLINICS</v>
      </c>
    </row>
    <row r="1125">
      <c r="A1125" s="234">
        <f>IFERROR(__xludf.DUMMYFUNCTION("""COMPUTED_VALUE"""),105958.0)</f>
        <v>105958</v>
      </c>
      <c r="B1125" s="235" t="str">
        <f>IFERROR(__xludf.DUMMYFUNCTION("""COMPUTED_VALUE"""),"CHRISTIAN LUCAS")</f>
        <v>CHRISTIAN LUCAS</v>
      </c>
      <c r="C1125" s="235" t="str">
        <f>IFERROR(__xludf.DUMMYFUNCTION("""COMPUTED_VALUE"""),"MIS/ICT")</f>
        <v>MIS/ICT</v>
      </c>
      <c r="D1125" s="196" t="str">
        <f>IFERROR(__xludf.DUMMYFUNCTION("""COMPUTED_VALUE"""),"1 TCL 55 INCHES TV FOR E CLASSROOM")</f>
        <v>1 TCL 55 INCHES TV FOR E CLASSROOM</v>
      </c>
      <c r="E1125" s="196" t="str">
        <f>IFERROR(__xludf.DUMMYFUNCTION("""COMPUTED_VALUE"""),"REPLACEMENT OF RM 207 BROKEN TV")</f>
        <v>REPLACEMENT OF RM 207 BROKEN TV</v>
      </c>
    </row>
    <row r="1126">
      <c r="A1126" s="234">
        <f>IFERROR(__xludf.DUMMYFUNCTION("""COMPUTED_VALUE"""),105959.0)</f>
        <v>105959</v>
      </c>
      <c r="B1126" s="235" t="str">
        <f>IFERROR(__xludf.DUMMYFUNCTION("""COMPUTED_VALUE"""),"OWIE PAR")</f>
        <v>OWIE PAR</v>
      </c>
      <c r="C1126" s="235" t="str">
        <f>IFERROR(__xludf.DUMMYFUNCTION("""COMPUTED_VALUE"""),"ENGINEERING")</f>
        <v>ENGINEERING</v>
      </c>
      <c r="D1126" s="196" t="str">
        <f>IFERROR(__xludf.DUMMYFUNCTION("""COMPUTED_VALUE"""),"1 SET WATER FURTHER MEMBRANE")</f>
        <v>1 SET WATER FURTHER MEMBRANE</v>
      </c>
      <c r="E1126" s="196" t="str">
        <f>IFERROR(__xludf.DUMMYFUNCTION("""COMPUTED_VALUE"""),"FOR LUX WATER PURIFIER")</f>
        <v>FOR LUX WATER PURIFIER</v>
      </c>
    </row>
    <row r="1127">
      <c r="A1127" s="234">
        <f>IFERROR(__xludf.DUMMYFUNCTION("""COMPUTED_VALUE"""),105960.0)</f>
        <v>105960</v>
      </c>
      <c r="B1127" s="235" t="str">
        <f>IFERROR(__xludf.DUMMYFUNCTION("""COMPUTED_VALUE"""),"LYKA PERALTA")</f>
        <v>LYKA PERALTA</v>
      </c>
      <c r="C1127" s="235" t="str">
        <f>IFERROR(__xludf.DUMMYFUNCTION("""COMPUTED_VALUE"""),"AMD")</f>
        <v>AMD</v>
      </c>
      <c r="D1127" s="196" t="str">
        <f>IFERROR(__xludf.DUMMYFUNCTION("""COMPUTED_VALUE"""),"500 PCS ENVELOPE BROWN SHORT
1000 PCS ENVELOPE PLASTIC EXPANDABLE LONG
300 PCS BALLPEN DONG A BLACK")</f>
        <v>500 PCS ENVELOPE BROWN SHORT
1000 PCS ENVELOPE PLASTIC EXPANDABLE LONG
300 PCS BALLPEN DONG A BLACK</v>
      </c>
      <c r="E1127" s="196" t="str">
        <f>IFERROR(__xludf.DUMMYFUNCTION("""COMPUTED_VALUE"""),"OSSUP STOCK REPLENISHMENT ")</f>
        <v>OSSUP STOCK REPLENISHMENT </v>
      </c>
    </row>
    <row r="1128">
      <c r="A1128" s="234">
        <f>IFERROR(__xludf.DUMMYFUNCTION("""COMPUTED_VALUE"""),105961.0)</f>
        <v>105961</v>
      </c>
      <c r="B1128" s="235" t="str">
        <f>IFERROR(__xludf.DUMMYFUNCTION("""COMPUTED_VALUE"""),"LYKA PERALTA")</f>
        <v>LYKA PERALTA</v>
      </c>
      <c r="C1128" s="235" t="str">
        <f>IFERROR(__xludf.DUMMYFUNCTION("""COMPUTED_VALUE"""),"AMD")</f>
        <v>AMD</v>
      </c>
      <c r="D1128" s="196" t="str">
        <f>IFERROR(__xludf.DUMMYFUNCTION("""COMPUTED_VALUE"""),"300 PCS SIGN PEN PILOT BLACK")</f>
        <v>300 PCS SIGN PEN PILOT BLACK</v>
      </c>
      <c r="E1128" s="196" t="str">
        <f>IFERROR(__xludf.DUMMYFUNCTION("""COMPUTED_VALUE"""),"OSSUP STOCK REPLENISHMENT ")</f>
        <v>OSSUP STOCK REPLENISHMENT </v>
      </c>
    </row>
    <row r="1129">
      <c r="A1129" s="234">
        <f>IFERROR(__xludf.DUMMYFUNCTION("""COMPUTED_VALUE"""),105962.0)</f>
        <v>105962</v>
      </c>
      <c r="B1129" s="235" t="str">
        <f>IFERROR(__xludf.DUMMYFUNCTION("""COMPUTED_VALUE"""),"MARVIN MARASIGAN")</f>
        <v>MARVIN MARASIGAN</v>
      </c>
      <c r="C1129" s="235" t="str">
        <f>IFERROR(__xludf.DUMMYFUNCTION("""COMPUTED_VALUE"""),"PR &amp; MARKETING")</f>
        <v>PR &amp; MARKETING</v>
      </c>
      <c r="D1129" s="196" t="str">
        <f>IFERROR(__xludf.DUMMYFUNCTION("""COMPUTED_VALUE"""),"1000 PCS SOUTHVILLE FOLDER (SHORT SIZE)")</f>
        <v>1000 PCS SOUTHVILLE FOLDER (SHORT SIZE)</v>
      </c>
      <c r="E1129" s="196" t="str">
        <f>IFERROR(__xludf.DUMMYFUNCTION("""COMPUTED_VALUE"""),"FOR EVENTS, OFFICE AND BRANDING USE")</f>
        <v>FOR EVENTS, OFFICE AND BRANDING USE</v>
      </c>
    </row>
    <row r="1130">
      <c r="A1130" s="234">
        <f>IFERROR(__xludf.DUMMYFUNCTION("""COMPUTED_VALUE"""),105963.0)</f>
        <v>105963</v>
      </c>
      <c r="B1130" s="235" t="str">
        <f>IFERROR(__xludf.DUMMYFUNCTION("""COMPUTED_VALUE"""),"PAUL ARANA")</f>
        <v>PAUL ARANA</v>
      </c>
      <c r="C1130" s="235" t="str">
        <f>IFERROR(__xludf.DUMMYFUNCTION("""COMPUTED_VALUE"""),"MIS/ICT")</f>
        <v>MIS/ICT</v>
      </c>
      <c r="D1130" s="196" t="str">
        <f>IFERROR(__xludf.DUMMYFUNCTION("""COMPUTED_VALUE"""),"200 M TWEETER CABLE AWG 26 BLACK AND WHITE
20 PCS 2 IN1 AUDIO CABLE / 2RCA TO 3.5 MM JACK
10 PCS HEAVY DUTY 1.5M DUAL 6.35M MALE AUDIO CORD
40 PCS JACK MALE MONO TO RCA")</f>
        <v>200 M TWEETER CABLE AWG 26 BLACK AND WHITE
20 PCS 2 IN1 AUDIO CABLE / 2RCA TO 3.5 MM JACK
10 PCS HEAVY DUTY 1.5M DUAL 6.35M MALE AUDIO CORD
40 PCS JACK MALE MONO TO RCA</v>
      </c>
      <c r="E1130" s="196" t="str">
        <f>IFERROR(__xludf.DUMMYFUNCTION("""COMPUTED_VALUE"""),"FOR AV SPEAKERS AND PA SYSTEM CONNECTION STAR CAMPUS")</f>
        <v>FOR AV SPEAKERS AND PA SYSTEM CONNECTION STAR CAMPUS</v>
      </c>
    </row>
    <row r="1131">
      <c r="A1131" s="234">
        <f>IFERROR(__xludf.DUMMYFUNCTION("""COMPUTED_VALUE"""),105964.0)</f>
        <v>105964</v>
      </c>
      <c r="B1131" s="235" t="str">
        <f>IFERROR(__xludf.DUMMYFUNCTION("""COMPUTED_VALUE"""),"JESUIT CHRISTIAN GALICIA")</f>
        <v>JESUIT CHRISTIAN GALICIA</v>
      </c>
      <c r="C1131" s="235" t="str">
        <f>IFERROR(__xludf.DUMMYFUNCTION("""COMPUTED_VALUE"""),"AMD")</f>
        <v>AMD</v>
      </c>
      <c r="D1131" s="196" t="str">
        <f>IFERROR(__xludf.DUMMYFUNCTION("""COMPUTED_VALUE"""),"35 PCS LAVATORY FAUCET  LONG (CRESTON)
3 PCS HOLIDAY EPOXY")</f>
        <v>35 PCS LAVATORY FAUCET  LONG (CRESTON)
3 PCS HOLIDAY EPOXY</v>
      </c>
      <c r="E1131" s="196" t="str">
        <f>IFERROR(__xludf.DUMMYFUNCTION("""COMPUTED_VALUE"""),"ENGINEERING WAREHOUSE REPLENISHMENT")</f>
        <v>ENGINEERING WAREHOUSE REPLENISHMENT</v>
      </c>
    </row>
    <row r="1132">
      <c r="A1132" s="234">
        <f>IFERROR(__xludf.DUMMYFUNCTION("""COMPUTED_VALUE"""),105965.0)</f>
        <v>105965</v>
      </c>
      <c r="B1132" s="235" t="str">
        <f>IFERROR(__xludf.DUMMYFUNCTION("""COMPUTED_VALUE"""),"RORY MONSBRIDGE")</f>
        <v>RORY MONSBRIDGE</v>
      </c>
      <c r="C1132" s="235" t="str">
        <f>IFERROR(__xludf.DUMMYFUNCTION("""COMPUTED_VALUE"""),"ATHLETICS")</f>
        <v>ATHLETICS</v>
      </c>
      <c r="D1132" s="196" t="str">
        <f>IFERROR(__xludf.DUMMYFUNCTION("""COMPUTED_VALUE"""),"GYM/SPORTS EQUIPMENT")</f>
        <v>GYM/SPORTS EQUIPMENT</v>
      </c>
      <c r="E1132" s="196" t="str">
        <f>IFERROR(__xludf.DUMMYFUNCTION("""COMPUTED_VALUE"""),"GYM/SPORTS EQUIPMENT")</f>
        <v>GYM/SPORTS EQUIPMENT</v>
      </c>
    </row>
    <row r="1133">
      <c r="A1133" s="234">
        <f>IFERROR(__xludf.DUMMYFUNCTION("""COMPUTED_VALUE"""),105966.0)</f>
        <v>105966</v>
      </c>
      <c r="B1133" s="235" t="str">
        <f>IFERROR(__xludf.DUMMYFUNCTION("""COMPUTED_VALUE"""),"SHARJAN GATCHALIAN")</f>
        <v>SHARJAN GATCHALIAN</v>
      </c>
      <c r="C1133" s="235" t="str">
        <f>IFERROR(__xludf.DUMMYFUNCTION("""COMPUTED_VALUE"""),"MIS/ICT")</f>
        <v>MIS/ICT</v>
      </c>
      <c r="D1133" s="196" t="str">
        <f>IFERROR(__xludf.DUMMYFUNCTION("""COMPUTED_VALUE"""),"3 UBIQUITY U7 PRO ACCESS POINT")</f>
        <v>3 UBIQUITY U7 PRO ACCESS POINT</v>
      </c>
      <c r="E1133" s="196" t="str">
        <f>IFERROR(__xludf.DUMMYFUNCTION("""COMPUTED_VALUE"""),"ACCESS POINT FOR COLLEGE DIGITAL LAB")</f>
        <v>ACCESS POINT FOR COLLEGE DIGITAL LAB</v>
      </c>
    </row>
    <row r="1134">
      <c r="A1134" s="234">
        <f>IFERROR(__xludf.DUMMYFUNCTION("""COMPUTED_VALUE"""),105967.0)</f>
        <v>105967</v>
      </c>
      <c r="B1134" s="235" t="str">
        <f>IFERROR(__xludf.DUMMYFUNCTION("""COMPUTED_VALUE"""),"PAUL ARANA")</f>
        <v>PAUL ARANA</v>
      </c>
      <c r="C1134" s="235" t="str">
        <f>IFERROR(__xludf.DUMMYFUNCTION("""COMPUTED_VALUE"""),"MIS/ICT")</f>
        <v>MIS/ICT</v>
      </c>
      <c r="D1134" s="196" t="str">
        <f>IFERROR(__xludf.DUMMYFUNCTION("""COMPUTED_VALUE"""),"1 EPSON EB -X51")</f>
        <v>1 EPSON EB -X51</v>
      </c>
      <c r="E1134" s="196" t="str">
        <f>IFERROR(__xludf.DUMMYFUNCTION("""COMPUTED_VALUE"""),"REPLACEMENT OF PROJECTOR IN RM 203 LUX")</f>
        <v>REPLACEMENT OF PROJECTOR IN RM 203 LUX</v>
      </c>
    </row>
    <row r="1135">
      <c r="A1135" s="234">
        <f>IFERROR(__xludf.DUMMYFUNCTION("""COMPUTED_VALUE"""),105968.0)</f>
        <v>105968</v>
      </c>
      <c r="B1135" s="235" t="str">
        <f>IFERROR(__xludf.DUMMYFUNCTION("""COMPUTED_VALUE"""),"SHEREE ESPINOSA")</f>
        <v>SHEREE ESPINOSA</v>
      </c>
      <c r="C1135" s="235" t="str">
        <f>IFERROR(__xludf.DUMMYFUNCTION("""COMPUTED_VALUE"""),"ADMIN")</f>
        <v>ADMIN</v>
      </c>
      <c r="D1135" s="196" t="str">
        <f>IFERROR(__xludf.DUMMYFUNCTION("""COMPUTED_VALUE"""),"8 PCS CHAIRS ")</f>
        <v>8 PCS CHAIRS </v>
      </c>
      <c r="E1135" s="196" t="str">
        <f>IFERROR(__xludf.DUMMYFUNCTION("""COMPUTED_VALUE"""),"FOR INB LOUNGE AREA")</f>
        <v>FOR INB LOUNGE AREA</v>
      </c>
    </row>
    <row r="1136">
      <c r="A1136" s="234">
        <f>IFERROR(__xludf.DUMMYFUNCTION("""COMPUTED_VALUE"""),105969.0)</f>
        <v>105969</v>
      </c>
      <c r="B1136" s="235" t="str">
        <f>IFERROR(__xludf.DUMMYFUNCTION("""COMPUTED_VALUE"""),"SHEREE ESPINOSA")</f>
        <v>SHEREE ESPINOSA</v>
      </c>
      <c r="C1136" s="235" t="str">
        <f>IFERROR(__xludf.DUMMYFUNCTION("""COMPUTED_VALUE"""),"ADMIN")</f>
        <v>ADMIN</v>
      </c>
      <c r="D1136" s="196" t="str">
        <f>IFERROR(__xludf.DUMMYFUNCTION("""COMPUTED_VALUE"""),"20 PCS CERAMIC PLANT POTS
2 PCS CARRIER BAG")</f>
        <v>20 PCS CERAMIC PLANT POTS
2 PCS CARRIER BAG</v>
      </c>
      <c r="E1136" s="196" t="str">
        <f>IFERROR(__xludf.DUMMYFUNCTION("""COMPUTED_VALUE"""),"FOR PACUCOA ACCREDITATION FOR CRS/LOBBY")</f>
        <v>FOR PACUCOA ACCREDITATION FOR CRS/LOBBY</v>
      </c>
    </row>
    <row r="1137">
      <c r="A1137" s="234">
        <f>IFERROR(__xludf.DUMMYFUNCTION("""COMPUTED_VALUE"""),105970.0)</f>
        <v>105970</v>
      </c>
      <c r="B1137" s="235" t="str">
        <f>IFERROR(__xludf.DUMMYFUNCTION("""COMPUTED_VALUE"""),"SAMEYA GARCIA")</f>
        <v>SAMEYA GARCIA</v>
      </c>
      <c r="C1137" s="235" t="str">
        <f>IFERROR(__xludf.DUMMYFUNCTION("""COMPUTED_VALUE"""),"ADMIN")</f>
        <v>ADMIN</v>
      </c>
      <c r="D1137" s="196" t="str">
        <f>IFERROR(__xludf.DUMMYFUNCTION("""COMPUTED_VALUE"""),"12 CHAIRS
3 TABLES BASE
3 TABLES TOP")</f>
        <v>12 CHAIRS
3 TABLES BASE
3 TABLES TOP</v>
      </c>
      <c r="E1137" s="196" t="str">
        <f>IFERROR(__xludf.DUMMYFUNCTION("""COMPUTED_VALUE"""),"FOR 5TH FLR COLLEGE LOBBY")</f>
        <v>FOR 5TH FLR COLLEGE LOBBY</v>
      </c>
    </row>
    <row r="1138">
      <c r="A1138" s="234">
        <f>IFERROR(__xludf.DUMMYFUNCTION("""COMPUTED_VALUE"""),105971.0)</f>
        <v>105971</v>
      </c>
      <c r="B1138" s="235" t="str">
        <f>IFERROR(__xludf.DUMMYFUNCTION("""COMPUTED_VALUE"""),"ALFA DE LEON")</f>
        <v>ALFA DE LEON</v>
      </c>
      <c r="C1138" s="235" t="str">
        <f>IFERROR(__xludf.DUMMYFUNCTION("""COMPUTED_VALUE"""),"ADMIN - MUNICH")</f>
        <v>ADMIN - MUNICH</v>
      </c>
      <c r="D1138" s="196" t="str">
        <f>IFERROR(__xludf.DUMMYFUNCTION("""COMPUTED_VALUE"""),"RUBBER MATTING 1/2"" 8 PCS EACH COLOR
-RED, GREEN, YELLOW, BLUE, PURPLE")</f>
        <v>RUBBER MATTING 1/2" 8 PCS EACH COLOR
-RED, GREEN, YELLOW, BLUE, PURPLE</v>
      </c>
      <c r="E1138" s="196" t="str">
        <f>IFERROR(__xludf.DUMMYFUNCTION("""COMPUTED_VALUE"""),"MUNICH PRE SCHOOL CLASSROOMS, ADDITIONAL OF OLD / BROKEN RUBBER MATTING")</f>
        <v>MUNICH PRE SCHOOL CLASSROOMS, ADDITIONAL OF OLD / BROKEN RUBBER MATTING</v>
      </c>
    </row>
    <row r="1139">
      <c r="A1139" s="234">
        <f>IFERROR(__xludf.DUMMYFUNCTION("""COMPUTED_VALUE"""),105972.0)</f>
        <v>105972</v>
      </c>
      <c r="B1139" s="235" t="str">
        <f>IFERROR(__xludf.DUMMYFUNCTION("""COMPUTED_VALUE"""),"JORDAN JORDAN")</f>
        <v>JORDAN JORDAN</v>
      </c>
      <c r="C1139" s="235" t="str">
        <f>IFERROR(__xludf.DUMMYFUNCTION("""COMPUTED_VALUE"""),"ADMIN - LUX")</f>
        <v>ADMIN - LUX</v>
      </c>
      <c r="D1139" s="196" t="str">
        <f>IFERROR(__xludf.DUMMYFUNCTION("""COMPUTED_VALUE"""),"10 PCS PANEL LIGHT DAY LIGHT
24 PCS DAWN LIGHT DAYLIGHT
6 BOX 60 X 120 ACOUSTIC BOARD 
150 PCS CROSS TEE
12 PCS WALL ANGLE
27 PCS T-RUNNER 
2 PCS ORBIT FAN
1 BOX EACH THHN THWW #12,#8,#10")</f>
        <v>10 PCS PANEL LIGHT DAY LIGHT
24 PCS DAWN LIGHT DAYLIGHT
6 BOX 60 X 120 ACOUSTIC BOARD 
150 PCS CROSS TEE
12 PCS WALL ANGLE
27 PCS T-RUNNER 
2 PCS ORBIT FAN
1 BOX EACH THHN THWW #12,#8,#10</v>
      </c>
      <c r="E1139" s="196" t="str">
        <f>IFERROR(__xludf.DUMMYFUNCTION("""COMPUTED_VALUE"""),"ADDITIONAL LIGHTS FOR CLASSROOM 301-307")</f>
        <v>ADDITIONAL LIGHTS FOR CLASSROOM 301-307</v>
      </c>
    </row>
    <row r="1140">
      <c r="A1140" s="234">
        <f>IFERROR(__xludf.DUMMYFUNCTION("""COMPUTED_VALUE"""),105973.0)</f>
        <v>105973</v>
      </c>
      <c r="B1140" s="235" t="str">
        <f>IFERROR(__xludf.DUMMYFUNCTION("""COMPUTED_VALUE"""),"CARLITO DELA VEGA")</f>
        <v>CARLITO DELA VEGA</v>
      </c>
      <c r="C1140" s="235" t="str">
        <f>IFERROR(__xludf.DUMMYFUNCTION("""COMPUTED_VALUE"""),"SECURITY")</f>
        <v>SECURITY</v>
      </c>
      <c r="D1140" s="196" t="str">
        <f>IFERROR(__xludf.DUMMYFUNCTION("""COMPUTED_VALUE"""),"1 POWER SUPPLY 600 WATTS")</f>
        <v>1 POWER SUPPLY 600 WATTS</v>
      </c>
      <c r="E1140" s="196" t="str">
        <f>IFERROR(__xludf.DUMMYFUNCTION("""COMPUTED_VALUE"""),"COLLEGE BIG SIGNAGE PACUCOA PREPARATION")</f>
        <v>COLLEGE BIG SIGNAGE PACUCOA PREPARATION</v>
      </c>
    </row>
    <row r="1141">
      <c r="A1141" s="234">
        <f>IFERROR(__xludf.DUMMYFUNCTION("""COMPUTED_VALUE"""),105974.0)</f>
        <v>105974</v>
      </c>
      <c r="B1141" s="235" t="str">
        <f>IFERROR(__xludf.DUMMYFUNCTION("""COMPUTED_VALUE"""),"OWIE PAR")</f>
        <v>OWIE PAR</v>
      </c>
      <c r="C1141" s="235" t="str">
        <f>IFERROR(__xludf.DUMMYFUNCTION("""COMPUTED_VALUE"""),"ADMIN")</f>
        <v>ADMIN</v>
      </c>
      <c r="D1141" s="196" t="str">
        <f>IFERROR(__xludf.DUMMYFUNCTION("""COMPUTED_VALUE"""),"5 UNIT EXHAUST FAN CEILING TYPE")</f>
        <v>5 UNIT EXHAUST FAN CEILING TYPE</v>
      </c>
      <c r="E1141" s="196" t="str">
        <f>IFERROR(__xludf.DUMMYFUNCTION("""COMPUTED_VALUE"""),"AVOID BAD ODOR FOR CR")</f>
        <v>AVOID BAD ODOR FOR CR</v>
      </c>
    </row>
    <row r="1142">
      <c r="A1142" s="234">
        <f>IFERROR(__xludf.DUMMYFUNCTION("""COMPUTED_VALUE"""),105975.0)</f>
        <v>105975</v>
      </c>
      <c r="B1142" s="235" t="str">
        <f>IFERROR(__xludf.DUMMYFUNCTION("""COMPUTED_VALUE"""),"ALFA DE LEON")</f>
        <v>ALFA DE LEON</v>
      </c>
      <c r="C1142" s="235" t="str">
        <f>IFERROR(__xludf.DUMMYFUNCTION("""COMPUTED_VALUE"""),"ADMIN")</f>
        <v>ADMIN</v>
      </c>
      <c r="D1142" s="196" t="str">
        <f>IFERROR(__xludf.DUMMYFUNCTION("""COMPUTED_VALUE"""),"21 POTS W/ PLANTS")</f>
        <v>21 POTS W/ PLANTS</v>
      </c>
      <c r="E1142" s="196" t="str">
        <f>IFERROR(__xludf.DUMMYFUNCTION("""COMPUTED_VALUE"""),"PLASTIC POTS ")</f>
        <v>PLASTIC POTS </v>
      </c>
    </row>
    <row r="1143">
      <c r="A1143" s="234">
        <f>IFERROR(__xludf.DUMMYFUNCTION("""COMPUTED_VALUE"""),105976.0)</f>
        <v>105976</v>
      </c>
      <c r="B1143" s="235" t="str">
        <f>IFERROR(__xludf.DUMMYFUNCTION("""COMPUTED_VALUE"""),"ALFA DE LEON")</f>
        <v>ALFA DE LEON</v>
      </c>
      <c r="C1143" s="235" t="str">
        <f>IFERROR(__xludf.DUMMYFUNCTION("""COMPUTED_VALUE"""),"ADMIN - MUNICH")</f>
        <v>ADMIN - MUNICH</v>
      </c>
      <c r="D1143" s="196" t="str">
        <f>IFERROR(__xludf.DUMMYFUNCTION("""COMPUTED_VALUE"""),"10 FORMICA WHITE
5 RUGBY
1 GAL QUICK DRY ENAMEL CHOCOLATE BROWN")</f>
        <v>10 FORMICA WHITE
5 RUGBY
1 GAL QUICK DRY ENAMEL CHOCOLATE BROWN</v>
      </c>
      <c r="E1143" s="196" t="str">
        <f>IFERROR(__xludf.DUMMYFUNCTION("""COMPUTED_VALUE"""),"REPAIR OF DIARY BOARD")</f>
        <v>REPAIR OF DIARY BOARD</v>
      </c>
    </row>
    <row r="1144">
      <c r="A1144" s="234">
        <f>IFERROR(__xludf.DUMMYFUNCTION("""COMPUTED_VALUE"""),105977.0)</f>
        <v>105977</v>
      </c>
      <c r="B1144" s="235" t="str">
        <f>IFERROR(__xludf.DUMMYFUNCTION("""COMPUTED_VALUE"""),"ALFA DE LEON")</f>
        <v>ALFA DE LEON</v>
      </c>
      <c r="C1144" s="235" t="str">
        <f>IFERROR(__xludf.DUMMYFUNCTION("""COMPUTED_VALUE"""),"ADMIN - MUNICH")</f>
        <v>ADMIN - MUNICH</v>
      </c>
      <c r="D1144" s="196" t="str">
        <f>IFERROR(__xludf.DUMMYFUNCTION("""COMPUTED_VALUE"""),"10 PCS EACH COLOR RUBBER MATTING 1/2 INCH
RED,YELLOW,GREEN,BLUE")</f>
        <v>10 PCS EACH COLOR RUBBER MATTING 1/2 INCH
RED,YELLOW,GREEN,BLUE</v>
      </c>
      <c r="E1144" s="196" t="str">
        <f>IFERROR(__xludf.DUMMYFUNCTION("""COMPUTED_VALUE"""),"RUBBER MATTS IN THE PRESCHOOL CLASSROOMS")</f>
        <v>RUBBER MATTS IN THE PRESCHOOL CLASSROOMS</v>
      </c>
    </row>
    <row r="1145">
      <c r="A1145" s="234">
        <f>IFERROR(__xludf.DUMMYFUNCTION("""COMPUTED_VALUE"""),105978.0)</f>
        <v>105978</v>
      </c>
      <c r="B1145" s="235" t="str">
        <f>IFERROR(__xludf.DUMMYFUNCTION("""COMPUTED_VALUE"""),"CHRISTIAN LUCAS")</f>
        <v>CHRISTIAN LUCAS</v>
      </c>
      <c r="C1145" s="235" t="str">
        <f>IFERROR(__xludf.DUMMYFUNCTION("""COMPUTED_VALUE"""),"MIS/ICT")</f>
        <v>MIS/ICT</v>
      </c>
      <c r="D1145" s="196" t="str">
        <f>IFERROR(__xludf.DUMMYFUNCTION("""COMPUTED_VALUE"""),"10 MONITOR FOR OFFICES AND E CLASSROOM VIEWSONIC VA1903H-2")</f>
        <v>10 MONITOR FOR OFFICES AND E CLASSROOM VIEWSONIC VA1903H-2</v>
      </c>
      <c r="E1145" s="196" t="str">
        <f>IFERROR(__xludf.DUMMYFUNCTION("""COMPUTED_VALUE"""),"FOR SISC REPLACEMENT MONITORS")</f>
        <v>FOR SISC REPLACEMENT MONITORS</v>
      </c>
    </row>
    <row r="1146">
      <c r="A1146" s="234">
        <f>IFERROR(__xludf.DUMMYFUNCTION("""COMPUTED_VALUE"""),105979.0)</f>
        <v>105979</v>
      </c>
      <c r="B1146" s="235" t="str">
        <f>IFERROR(__xludf.DUMMYFUNCTION("""COMPUTED_VALUE"""),"JESUIT CHRISTIAN GALICIA")</f>
        <v>JESUIT CHRISTIAN GALICIA</v>
      </c>
      <c r="C1146" s="235" t="str">
        <f>IFERROR(__xludf.DUMMYFUNCTION("""COMPUTED_VALUE"""),"AMD")</f>
        <v>AMD</v>
      </c>
      <c r="D1146" s="196" t="str">
        <f>IFERROR(__xludf.DUMMYFUNCTION("""COMPUTED_VALUE"""),"10 PCS OMNI EXTENSION CORD 5GANG ")</f>
        <v>10 PCS OMNI EXTENSION CORD 5GANG </v>
      </c>
      <c r="E1146" s="196" t="str">
        <f>IFERROR(__xludf.DUMMYFUNCTION("""COMPUTED_VALUE"""),"MIS WAREHOUSE REPLENISHMENT")</f>
        <v>MIS WAREHOUSE REPLENISHMENT</v>
      </c>
    </row>
    <row r="1147">
      <c r="A1147" s="234">
        <f>IFERROR(__xludf.DUMMYFUNCTION("""COMPUTED_VALUE"""),105980.0)</f>
        <v>105980</v>
      </c>
      <c r="B1147" s="235" t="str">
        <f>IFERROR(__xludf.DUMMYFUNCTION("""COMPUTED_VALUE"""),"MARC VINCENT VITTO")</f>
        <v>MARC VINCENT VITTO</v>
      </c>
      <c r="C1147" s="235" t="str">
        <f>IFERROR(__xludf.DUMMYFUNCTION("""COMPUTED_VALUE"""),"PR &amp; MARKETING")</f>
        <v>PR &amp; MARKETING</v>
      </c>
      <c r="D1147" s="196" t="str">
        <f>IFERROR(__xludf.DUMMYFUNCTION("""COMPUTED_VALUE"""),"15 PCS S4S 2X2 X12
1/2 KG CWNUL #2
1/2 KG CWNU #3
1 LITER STICKWEL")</f>
        <v>15 PCS S4S 2X2 X12
1/2 KG CWNUL #2
1/2 KG CWNU #3
1 LITER STICKWEL</v>
      </c>
      <c r="E1147" s="196" t="str">
        <f>IFERROR(__xludf.DUMMYFUNCTION("""COMPUTED_VALUE"""),"FOR INSTALLATION OF VERTICAL TARPS")</f>
        <v>FOR INSTALLATION OF VERTICAL TARPS</v>
      </c>
    </row>
    <row r="1148">
      <c r="A1148" s="234">
        <f>IFERROR(__xludf.DUMMYFUNCTION("""COMPUTED_VALUE"""),105981.0)</f>
        <v>105981</v>
      </c>
      <c r="B1148" s="235" t="str">
        <f>IFERROR(__xludf.DUMMYFUNCTION("""COMPUTED_VALUE"""),"MARK M PABUSTAN")</f>
        <v>MARK M PABUSTAN</v>
      </c>
      <c r="C1148" s="235" t="str">
        <f>IFERROR(__xludf.DUMMYFUNCTION("""COMPUTED_VALUE"""),"MIS/ROBOTICS")</f>
        <v>MIS/ROBOTICS</v>
      </c>
      <c r="D1148" s="196" t="str">
        <f>IFERROR(__xludf.DUMMYFUNCTION("""COMPUTED_VALUE"""),"VEX IQ PARTS FOR REPLENISH AND FOR COMPETITION
VEX V5 COMPETITION KIT
")</f>
        <v>VEX IQ PARTS FOR REPLENISH AND FOR COMPETITION
VEX V5 COMPETITION KIT
</v>
      </c>
      <c r="E1148" s="196" t="str">
        <f>IFERROR(__xludf.DUMMYFUNCTION("""COMPUTED_VALUE"""),"FOR REPLENISH AND COMPETITION")</f>
        <v>FOR REPLENISH AND COMPETITION</v>
      </c>
    </row>
    <row r="1149">
      <c r="A1149" s="234">
        <f>IFERROR(__xludf.DUMMYFUNCTION("""COMPUTED_VALUE"""),105982.0)</f>
        <v>105982</v>
      </c>
      <c r="B1149" s="235" t="str">
        <f>IFERROR(__xludf.DUMMYFUNCTION("""COMPUTED_VALUE"""),"OWIE PAR")</f>
        <v>OWIE PAR</v>
      </c>
      <c r="C1149" s="235" t="str">
        <f>IFERROR(__xludf.DUMMYFUNCTION("""COMPUTED_VALUE"""),"ENGINEERING")</f>
        <v>ENGINEERING</v>
      </c>
      <c r="D1149" s="196" t="str">
        <f>IFERROR(__xludf.DUMMYFUNCTION("""COMPUTED_VALUE"""),"1 UNIT 5.0 HP CEILING CASSETTE INVERTER PANASONIC")</f>
        <v>1 UNIT 5.0 HP CEILING CASSETTE INVERTER PANASONIC</v>
      </c>
      <c r="E1149" s="196" t="str">
        <f>IFERROR(__xludf.DUMMYFUNCTION("""COMPUTED_VALUE"""),"FOR TROPICAL RM 201 REPLACEMENT OF OLD UNIT")</f>
        <v>FOR TROPICAL RM 201 REPLACEMENT OF OLD UNIT</v>
      </c>
    </row>
    <row r="1150">
      <c r="A1150" s="234">
        <f>IFERROR(__xludf.DUMMYFUNCTION("""COMPUTED_VALUE"""),105983.0)</f>
        <v>105983</v>
      </c>
      <c r="B1150" s="235" t="str">
        <f>IFERROR(__xludf.DUMMYFUNCTION("""COMPUTED_VALUE"""),"OWIE PAR")</f>
        <v>OWIE PAR</v>
      </c>
      <c r="C1150" s="235" t="str">
        <f>IFERROR(__xludf.DUMMYFUNCTION("""COMPUTED_VALUE"""),"ENGINEERING")</f>
        <v>ENGINEERING</v>
      </c>
      <c r="D1150" s="196" t="str">
        <f>IFERROR(__xludf.DUMMYFUNCTION("""COMPUTED_VALUE"""),"5 UNITS ORBIT FAN #16 STANDARD ")</f>
        <v>5 UNITS ORBIT FAN #16 STANDARD </v>
      </c>
      <c r="E1150" s="196" t="str">
        <f>IFERROR(__xludf.DUMMYFUNCTION("""COMPUTED_VALUE"""),"FOR COLLEGE ICU RM ROOM 404,402 NSK")</f>
        <v>FOR COLLEGE ICU RM ROOM 404,402 NSK</v>
      </c>
    </row>
    <row r="1151">
      <c r="A1151" s="234">
        <f>IFERROR(__xludf.DUMMYFUNCTION("""COMPUTED_VALUE"""),105984.0)</f>
        <v>105984</v>
      </c>
      <c r="B1151" s="235" t="str">
        <f>IFERROR(__xludf.DUMMYFUNCTION("""COMPUTED_VALUE"""),"RACHEL PAMATIAN")</f>
        <v>RACHEL PAMATIAN</v>
      </c>
      <c r="C1151" s="235" t="str">
        <f>IFERROR(__xludf.DUMMYFUNCTION("""COMPUTED_VALUE"""),"ADMIN - STAR")</f>
        <v>ADMIN - STAR</v>
      </c>
      <c r="D1151" s="196" t="str">
        <f>IFERROR(__xludf.DUMMYFUNCTION("""COMPUTED_VALUE"""),"1 SET YALE RIMLOCK LIGHT LATCH V78 FOR ANNEX FRONT GATE")</f>
        <v>1 SET YALE RIMLOCK LIGHT LATCH V78 FOR ANNEX FRONT GATE</v>
      </c>
      <c r="E1151" s="196" t="str">
        <f>IFERROR(__xludf.DUMMYFUNCTION("""COMPUTED_VALUE"""),"LOCK FOR ANNEX OUTSIDE ACCESS TO SECURE THE ANNEX")</f>
        <v>LOCK FOR ANNEX OUTSIDE ACCESS TO SECURE THE ANNEX</v>
      </c>
    </row>
    <row r="1152">
      <c r="A1152" s="234">
        <f>IFERROR(__xludf.DUMMYFUNCTION("""COMPUTED_VALUE"""),105985.0)</f>
        <v>105985</v>
      </c>
      <c r="B1152" s="235" t="str">
        <f>IFERROR(__xludf.DUMMYFUNCTION("""COMPUTED_VALUE"""),"OWIE PAR")</f>
        <v>OWIE PAR</v>
      </c>
      <c r="C1152" s="235" t="str">
        <f>IFERROR(__xludf.DUMMYFUNCTION("""COMPUTED_VALUE"""),"ENGINEERING")</f>
        <v>ENGINEERING</v>
      </c>
      <c r="D1152" s="196" t="str">
        <f>IFERROR(__xludf.DUMMYFUNCTION("""COMPUTED_VALUE"""),"1 LOT INSTALLATION OF MIRROR 4X6X1/4 JAC ALUMINUM GLASS SUPPLY AND SERVICES")</f>
        <v>1 LOT INSTALLATION OF MIRROR 4X6X1/4 JAC ALUMINUM GLASS SUPPLY AND SERVICES</v>
      </c>
      <c r="E1152" s="196" t="str">
        <f>IFERROR(__xludf.DUMMYFUNCTION("""COMPUTED_VALUE"""),"REPLACEMENT OF BROKEN MIRROR AT IB THEATRE ARTS")</f>
        <v>REPLACEMENT OF BROKEN MIRROR AT IB THEATRE ARTS</v>
      </c>
    </row>
    <row r="1153">
      <c r="A1153" s="234">
        <f>IFERROR(__xludf.DUMMYFUNCTION("""COMPUTED_VALUE"""),105986.0)</f>
        <v>105986</v>
      </c>
      <c r="B1153" s="235" t="str">
        <f>IFERROR(__xludf.DUMMYFUNCTION("""COMPUTED_VALUE"""),"ELMIE LAUDIATO ")</f>
        <v>ELMIE LAUDIATO </v>
      </c>
      <c r="C1153" s="235" t="str">
        <f>IFERROR(__xludf.DUMMYFUNCTION("""COMPUTED_VALUE"""),"HRMD")</f>
        <v>HRMD</v>
      </c>
      <c r="D1153" s="196" t="str">
        <f>IFERROR(__xludf.DUMMYFUNCTION("""COMPUTED_VALUE"""),"FLOWER WREATH ")</f>
        <v>FLOWER WREATH </v>
      </c>
      <c r="E1153" s="196" t="str">
        <f>IFERROR(__xludf.DUMMYFUNCTION("""COMPUTED_VALUE"""),"FLOWER WREATH OR THE HUSBAND OF DR GINA CANEO ")</f>
        <v>FLOWER WREATH OR THE HUSBAND OF DR GINA CANEO </v>
      </c>
    </row>
    <row r="1154">
      <c r="A1154" s="234">
        <f>IFERROR(__xludf.DUMMYFUNCTION("""COMPUTED_VALUE"""),105987.0)</f>
        <v>105987</v>
      </c>
      <c r="B1154" s="235" t="str">
        <f>IFERROR(__xludf.DUMMYFUNCTION("""COMPUTED_VALUE"""),"MELISSA ODONO")</f>
        <v>MELISSA ODONO</v>
      </c>
      <c r="C1154" s="235" t="str">
        <f>IFERROR(__xludf.DUMMYFUNCTION("""COMPUTED_VALUE"""),"LIBRARY MUNICH")</f>
        <v>LIBRARY MUNICH</v>
      </c>
      <c r="D1154" s="196" t="str">
        <f>IFERROR(__xludf.DUMMYFUNCTION("""COMPUTED_VALUE"""),"JAPANESE FLOOR CHAIRS
15 MUNICH
10 STAR CAMPUS")</f>
        <v>JAPANESE FLOOR CHAIRS
15 MUNICH
10 STAR CAMPUS</v>
      </c>
      <c r="E1154" s="196" t="str">
        <f>IFERROR(__xludf.DUMMYFUNCTION("""COMPUTED_VALUE"""),"FOR STUDENTS USE E-ISO COMPLIANCE")</f>
        <v>FOR STUDENTS USE E-ISO COMPLIANCE</v>
      </c>
    </row>
    <row r="1155">
      <c r="A1155" s="234">
        <f>IFERROR(__xludf.DUMMYFUNCTION("""COMPUTED_VALUE"""),105988.0)</f>
        <v>105988</v>
      </c>
      <c r="B1155" s="235" t="str">
        <f>IFERROR(__xludf.DUMMYFUNCTION("""COMPUTED_VALUE"""),"ALFA DE LEON")</f>
        <v>ALFA DE LEON</v>
      </c>
      <c r="C1155" s="235" t="str">
        <f>IFERROR(__xludf.DUMMYFUNCTION("""COMPUTED_VALUE"""),"ADMIN - MUNICH")</f>
        <v>ADMIN - MUNICH</v>
      </c>
      <c r="D1155" s="196" t="str">
        <f>IFERROR(__xludf.DUMMYFUNCTION("""COMPUTED_VALUE"""),"1 GAL RUGBY
1 GAL ENAMEL PAINT WHITE")</f>
        <v>1 GAL RUGBY
1 GAL ENAMEL PAINT WHITE</v>
      </c>
      <c r="E1155" s="196" t="str">
        <f>IFERROR(__xludf.DUMMYFUNCTION("""COMPUTED_VALUE"""),"REPAIR OF THE TABLE IN  WAITING AREA ")</f>
        <v>REPAIR OF THE TABLE IN  WAITING AREA </v>
      </c>
    </row>
    <row r="1156">
      <c r="A1156" s="234">
        <f>IFERROR(__xludf.DUMMYFUNCTION("""COMPUTED_VALUE"""),105989.0)</f>
        <v>105989</v>
      </c>
      <c r="B1156" s="235" t="str">
        <f>IFERROR(__xludf.DUMMYFUNCTION("""COMPUTED_VALUE"""),"ALFA DE LEON")</f>
        <v>ALFA DE LEON</v>
      </c>
      <c r="C1156" s="235" t="str">
        <f>IFERROR(__xludf.DUMMYFUNCTION("""COMPUTED_VALUE"""),"ADMIN - MUNICH")</f>
        <v>ADMIN - MUNICH</v>
      </c>
      <c r="D1156" s="196" t="str">
        <f>IFERROR(__xludf.DUMMYFUNCTION("""COMPUTED_VALUE"""),"TRASH BINS 5O L
3 PRESCHOOL
9 GR1-4
7 GR 5-6
1 PS FACULTY
9 3/F CR WW + EW 10.5L
7 G/F CR M/F 10.5 L")</f>
        <v>TRASH BINS 5O L
3 PRESCHOOL
9 GR1-4
7 GR 5-6
1 PS FACULTY
9 3/F CR WW + EW 10.5L
7 G/F CR M/F 10.5 L</v>
      </c>
      <c r="E1156" s="196" t="str">
        <f>IFERROR(__xludf.DUMMYFUNCTION("""COMPUTED_VALUE"""),"FOR CLASSROOMS PS GR 1 TO 6")</f>
        <v>FOR CLASSROOMS PS GR 1 TO 6</v>
      </c>
    </row>
    <row r="1157">
      <c r="A1157" s="234">
        <f>IFERROR(__xludf.DUMMYFUNCTION("""COMPUTED_VALUE"""),105990.0)</f>
        <v>105990</v>
      </c>
      <c r="B1157" s="235" t="str">
        <f>IFERROR(__xludf.DUMMYFUNCTION("""COMPUTED_VALUE"""),"RORY MONSBRIDGE")</f>
        <v>RORY MONSBRIDGE</v>
      </c>
      <c r="C1157" s="235" t="str">
        <f>IFERROR(__xludf.DUMMYFUNCTION("""COMPUTED_VALUE"""),"ATHLETICS")</f>
        <v>ATHLETICS</v>
      </c>
      <c r="D1157" s="196" t="str">
        <f>IFERROR(__xludf.DUMMYFUNCTION("""COMPUTED_VALUE"""),"COACHES UNIFORMS")</f>
        <v>COACHES UNIFORMS</v>
      </c>
      <c r="E1157" s="196" t="str">
        <f>IFERROR(__xludf.DUMMYFUNCTION("""COMPUTED_VALUE"""),"COACHES UNIFORM")</f>
        <v>COACHES UNIFORM</v>
      </c>
    </row>
    <row r="1158">
      <c r="A1158" s="234">
        <f>IFERROR(__xludf.DUMMYFUNCTION("""COMPUTED_VALUE"""),105991.0)</f>
        <v>105991</v>
      </c>
      <c r="B1158" s="235" t="str">
        <f>IFERROR(__xludf.DUMMYFUNCTION("""COMPUTED_VALUE"""),"SHEREE ESPINOSA")</f>
        <v>SHEREE ESPINOSA</v>
      </c>
      <c r="C1158" s="235" t="str">
        <f>IFERROR(__xludf.DUMMYFUNCTION("""COMPUTED_VALUE"""),"ADMIN")</f>
        <v>ADMIN</v>
      </c>
      <c r="D1158" s="196" t="str">
        <f>IFERROR(__xludf.DUMMYFUNCTION("""COMPUTED_VALUE"""),"1 PC ROUND UNDERMOUNT LAVATORY 6 METER DIAMETER")</f>
        <v>1 PC ROUND UNDERMOUNT LAVATORY 6 METER DIAMETER</v>
      </c>
      <c r="E1158" s="196" t="str">
        <f>IFERROR(__xludf.DUMMYFUNCTION("""COMPUTED_VALUE"""),"FOR MONARCHS HUB AND RESTROOM")</f>
        <v>FOR MONARCHS HUB AND RESTROOM</v>
      </c>
    </row>
    <row r="1159">
      <c r="A1159" s="234">
        <f>IFERROR(__xludf.DUMMYFUNCTION("""COMPUTED_VALUE"""),105992.0)</f>
        <v>105992</v>
      </c>
      <c r="B1159" s="235" t="str">
        <f>IFERROR(__xludf.DUMMYFUNCTION("""COMPUTED_VALUE"""),"RONALDO VERDE")</f>
        <v>RONALDO VERDE</v>
      </c>
      <c r="C1159" s="235" t="str">
        <f>IFERROR(__xludf.DUMMYFUNCTION("""COMPUTED_VALUE"""),"ADMIN")</f>
        <v>ADMIN</v>
      </c>
      <c r="D1159" s="196" t="str">
        <f>IFERROR(__xludf.DUMMYFUNCTION("""COMPUTED_VALUE"""),"29 SEATERS SERVICE VEHICLE FOR SISC")</f>
        <v>29 SEATERS SERVICE VEHICLE FOR SISC</v>
      </c>
      <c r="E1159" s="196" t="str">
        <f>IFERROR(__xludf.DUMMYFUNCTION("""COMPUTED_VALUE"""),"MINI BUS 29 SEATERS SERVICE VEHICLE")</f>
        <v>MINI BUS 29 SEATERS SERVICE VEHICLE</v>
      </c>
    </row>
    <row r="1160">
      <c r="A1160" s="234">
        <f>IFERROR(__xludf.DUMMYFUNCTION("""COMPUTED_VALUE"""),105993.0)</f>
        <v>105993</v>
      </c>
      <c r="B1160" s="235" t="str">
        <f>IFERROR(__xludf.DUMMYFUNCTION("""COMPUTED_VALUE"""),"SAMUEL RAIZ")</f>
        <v>SAMUEL RAIZ</v>
      </c>
      <c r="C1160" s="235" t="str">
        <f>IFERROR(__xludf.DUMMYFUNCTION("""COMPUTED_VALUE"""),"MIS/ICT")</f>
        <v>MIS/ICT</v>
      </c>
      <c r="D1160" s="196" t="str">
        <f>IFERROR(__xludf.DUMMYFUNCTION("""COMPUTED_VALUE"""),"10 PCS EACH:
HDP 6600 
-FARGO HDP RETRANSFER FILM 084900
-FARGO HDP COLOR RIBBON 084911
HDP 6000
-FARGO HDP RETRANSFER FILM 084053
-FARGO HDP COLOR RIBBON 084051")</f>
        <v>10 PCS EACH:
HDP 6600 
-FARGO HDP RETRANSFER FILM 084900
-FARGO HDP COLOR RIBBON 084911
HDP 6000
-FARGO HDP RETRANSFER FILM 084053
-FARGO HDP COLOR RIBBON 084051</v>
      </c>
      <c r="E1160" s="196" t="str">
        <f>IFERROR(__xludf.DUMMYFUNCTION("""COMPUTED_VALUE"""),"FOR ID PRINTING")</f>
        <v>FOR ID PRINTING</v>
      </c>
    </row>
    <row r="1161">
      <c r="A1161" s="234">
        <f>IFERROR(__xludf.DUMMYFUNCTION("""COMPUTED_VALUE"""),105994.0)</f>
        <v>105994</v>
      </c>
      <c r="B1161" s="235" t="str">
        <f>IFERROR(__xludf.DUMMYFUNCTION("""COMPUTED_VALUE"""),"RACHEL PAMATIAN")</f>
        <v>RACHEL PAMATIAN</v>
      </c>
      <c r="C1161" s="235" t="str">
        <f>IFERROR(__xludf.DUMMYFUNCTION("""COMPUTED_VALUE"""),"ADMIN - STAR")</f>
        <v>ADMIN - STAR</v>
      </c>
      <c r="D1161" s="196" t="str">
        <f>IFERROR(__xludf.DUMMYFUNCTION("""COMPUTED_VALUE"""),"6 PCS S4S 2X2X10
6 PCS  S4S 2X2X8
1 KG COMMON NAILS #3
1 KG COMON NAILS #2")</f>
        <v>6 PCS S4S 2X2X10
6 PCS  S4S 2X2X8
1 KG COMMON NAILS #3
1 KG COMON NAILS #2</v>
      </c>
      <c r="E1161" s="196" t="str">
        <f>IFERROR(__xludf.DUMMYFUNCTION("""COMPUTED_VALUE"""),"MATERIALS NEEDE FOR TARPAULIN FARME FACADE")</f>
        <v>MATERIALS NEEDE FOR TARPAULIN FARME FACADE</v>
      </c>
    </row>
    <row r="1162">
      <c r="A1162" s="234">
        <f>IFERROR(__xludf.DUMMYFUNCTION("""COMPUTED_VALUE"""),105995.0)</f>
        <v>105995</v>
      </c>
      <c r="B1162" s="235" t="str">
        <f>IFERROR(__xludf.DUMMYFUNCTION("""COMPUTED_VALUE"""),"RACHEL PAMATIAN")</f>
        <v>RACHEL PAMATIAN</v>
      </c>
      <c r="C1162" s="235" t="str">
        <f>IFERROR(__xludf.DUMMYFUNCTION("""COMPUTED_VALUE"""),"ADMIN - STAR")</f>
        <v>ADMIN - STAR</v>
      </c>
      <c r="D1162" s="196" t="str">
        <f>IFERROR(__xludf.DUMMYFUNCTION("""COMPUTED_VALUE"""),"TARPAULIN FACCADE SIZE L=292/9.5FT W= 436 CM 14.3FT
1 FACADE L=56 CM W= 463.5 CM
1 QUADRANGLE L= 70 CM W=447CM")</f>
        <v>TARPAULIN FACCADE SIZE L=292/9.5FT W= 436 CM 14.3FT
1 FACADE L=56 CM W= 463.5 CM
1 QUADRANGLE L= 70 CM W=447CM</v>
      </c>
      <c r="E1162" s="196" t="str">
        <f>IFERROR(__xludf.DUMMYFUNCTION("""COMPUTED_VALUE"""),"TARPAULIN FOR FACADE AND QUADRANGLE")</f>
        <v>TARPAULIN FOR FACADE AND QUADRANGLE</v>
      </c>
    </row>
    <row r="1163">
      <c r="A1163" s="234">
        <f>IFERROR(__xludf.DUMMYFUNCTION("""COMPUTED_VALUE"""),105996.0)</f>
        <v>105996</v>
      </c>
      <c r="B1163" s="235" t="str">
        <f>IFERROR(__xludf.DUMMYFUNCTION("""COMPUTED_VALUE"""),"MHELCA DUMALAGAN")</f>
        <v>MHELCA DUMALAGAN</v>
      </c>
      <c r="C1163" s="235" t="str">
        <f>IFERROR(__xludf.DUMMYFUNCTION("""COMPUTED_VALUE"""),"PRINCIPAL'S OFFICE")</f>
        <v>PRINCIPAL'S OFFICE</v>
      </c>
      <c r="D1163" s="196" t="str">
        <f>IFERROR(__xludf.DUMMYFUNCTION("""COMPUTED_VALUE"""),"DR. AVIC TRODAT SIGNATURE ONLY")</f>
        <v>DR. AVIC TRODAT SIGNATURE ONLY</v>
      </c>
      <c r="E1163" s="196" t="str">
        <f>IFERROR(__xludf.DUMMYFUNCTION("""COMPUTED_VALUE"""),"REPLACEMENT FOR THE OLD TRODAT")</f>
        <v>REPLACEMENT FOR THE OLD TRODAT</v>
      </c>
    </row>
    <row r="1164">
      <c r="A1164" s="234">
        <f>IFERROR(__xludf.DUMMYFUNCTION("""COMPUTED_VALUE"""),105997.0)</f>
        <v>105997</v>
      </c>
      <c r="B1164" s="235" t="str">
        <f>IFERROR(__xludf.DUMMYFUNCTION("""COMPUTED_VALUE"""),"LORRAINE ALMAZAN")</f>
        <v>LORRAINE ALMAZAN</v>
      </c>
      <c r="C1164" s="235" t="str">
        <f>IFERROR(__xludf.DUMMYFUNCTION("""COMPUTED_VALUE"""),"MIS/ICT")</f>
        <v>MIS/ICT</v>
      </c>
      <c r="D1164" s="196" t="str">
        <f>IFERROR(__xludf.DUMMYFUNCTION("""COMPUTED_VALUE"""),"1 LOT LUX HALL AV SYSTEM EQUIPMENT")</f>
        <v>1 LOT LUX HALL AV SYSTEM EQUIPMENT</v>
      </c>
      <c r="E1164" s="196" t="str">
        <f>IFERROR(__xludf.DUMMYFUNCTION("""COMPUTED_VALUE"""),"LUX HALL AV SYSTEMS REPLACEMENT/IMPROVEMENT")</f>
        <v>LUX HALL AV SYSTEMS REPLACEMENT/IMPROVEMENT</v>
      </c>
    </row>
    <row r="1165">
      <c r="A1165" s="234">
        <f>IFERROR(__xludf.DUMMYFUNCTION("""COMPUTED_VALUE"""),105998.0)</f>
        <v>105998</v>
      </c>
      <c r="B1165" s="235" t="str">
        <f>IFERROR(__xludf.DUMMYFUNCTION("""COMPUTED_VALUE"""),"CLEA LOMIWES/MELISSA ODONO")</f>
        <v>CLEA LOMIWES/MELISSA ODONO</v>
      </c>
      <c r="C1165" s="235" t="str">
        <f>IFERROR(__xludf.DUMMYFUNCTION("""COMPUTED_VALUE"""),"LIBRARY BASIC ED")</f>
        <v>LIBRARY BASIC ED</v>
      </c>
      <c r="D1165" s="196" t="str">
        <f>IFERROR(__xludf.DUMMYFUNCTION("""COMPUTED_VALUE"""),"9 PRECUREMENT OF STEEL SHELVES ")</f>
        <v>9 PRECUREMENT OF STEEL SHELVES </v>
      </c>
      <c r="E1165" s="196" t="str">
        <f>IFERROR(__xludf.DUMMYFUNCTION("""COMPUTED_VALUE"""),"FOR STUDENTS COLLECTION CLASSIFICATION ")</f>
        <v>FOR STUDENTS COLLECTION CLASSIFICATION </v>
      </c>
    </row>
    <row r="1166">
      <c r="A1166" s="234">
        <f>IFERROR(__xludf.DUMMYFUNCTION("""COMPUTED_VALUE"""),105999.0)</f>
        <v>105999</v>
      </c>
      <c r="B1166" s="235" t="str">
        <f>IFERROR(__xludf.DUMMYFUNCTION("""COMPUTED_VALUE"""),"LYKA PERALTA")</f>
        <v>LYKA PERALTA</v>
      </c>
      <c r="C1166" s="235" t="str">
        <f>IFERROR(__xludf.DUMMYFUNCTION("""COMPUTED_VALUE"""),"AMD")</f>
        <v>AMD</v>
      </c>
      <c r="D1166" s="196" t="str">
        <f>IFERROR(__xludf.DUMMYFUNCTION("""COMPUTED_VALUE"""),"850 PCS MASKING TAPE BIG 1"" ")</f>
        <v>850 PCS MASKING TAPE BIG 1" </v>
      </c>
      <c r="E1166" s="196" t="str">
        <f>IFERROR(__xludf.DUMMYFUNCTION("""COMPUTED_VALUE"""),"OSSUP STOCK REPLENISHMENT ")</f>
        <v>OSSUP STOCK REPLENISHMENT </v>
      </c>
    </row>
    <row r="1167">
      <c r="A1167" s="234">
        <f>IFERROR(__xludf.DUMMYFUNCTION("""COMPUTED_VALUE"""),106000.0)</f>
        <v>106000</v>
      </c>
      <c r="B1167" s="235" t="str">
        <f>IFERROR(__xludf.DUMMYFUNCTION("""COMPUTED_VALUE"""),"KRISTEN GABUTERO")</f>
        <v>KRISTEN GABUTERO</v>
      </c>
      <c r="C1167" s="235" t="str">
        <f>IFERROR(__xludf.DUMMYFUNCTION("""COMPUTED_VALUE"""),"AB COMM/MMA")</f>
        <v>AB COMM/MMA</v>
      </c>
      <c r="D1167" s="196" t="str">
        <f>IFERROR(__xludf.DUMMYFUNCTION("""COMPUTED_VALUE"""),"REFER TO THE YUZAL MARKETING QUOTATION")</f>
        <v>REFER TO THE YUZAL MARKETING QUOTATION</v>
      </c>
      <c r="E1167" s="196" t="str">
        <f>IFERROR(__xludf.DUMMYFUNCTION("""COMPUTED_VALUE"""),"PURCHASE WACOM TABLETS FOR INSTRUCTION/LEARNING")</f>
        <v>PURCHASE WACOM TABLETS FOR INSTRUCTION/LEARNING</v>
      </c>
    </row>
    <row r="1168">
      <c r="A1168" s="234">
        <f>IFERROR(__xludf.DUMMYFUNCTION("""COMPUTED_VALUE"""),106001.0)</f>
        <v>106001</v>
      </c>
      <c r="B1168" s="235" t="str">
        <f>IFERROR(__xludf.DUMMYFUNCTION("""COMPUTED_VALUE"""),"LYKA PERALTA")</f>
        <v>LYKA PERALTA</v>
      </c>
      <c r="C1168" s="235" t="str">
        <f>IFERROR(__xludf.DUMMYFUNCTION("""COMPUTED_VALUE"""),"AMD")</f>
        <v>AMD</v>
      </c>
      <c r="D1168" s="196" t="str">
        <f>IFERROR(__xludf.DUMMYFUNCTION("""COMPUTED_VALUE"""),"1000 PCS BATTERY ENERGIZER AA
3 BOXES OF PAPER CONTINOUS 11 X 9.5 4 PLY")</f>
        <v>1000 PCS BATTERY ENERGIZER AA
3 BOXES OF PAPER CONTINOUS 11 X 9.5 4 PLY</v>
      </c>
      <c r="E1168" s="196" t="str">
        <f>IFERROR(__xludf.DUMMYFUNCTION("""COMPUTED_VALUE"""),"OSSUP STOCK REPLENISHMENT ")</f>
        <v>OSSUP STOCK REPLENISHMENT </v>
      </c>
    </row>
    <row r="1169">
      <c r="A1169" s="234">
        <f>IFERROR(__xludf.DUMMYFUNCTION("""COMPUTED_VALUE"""),106002.0)</f>
        <v>106002</v>
      </c>
      <c r="B1169" s="235" t="str">
        <f>IFERROR(__xludf.DUMMYFUNCTION("""COMPUTED_VALUE"""),"MARC VINCENT VITTO")</f>
        <v>MARC VINCENT VITTO</v>
      </c>
      <c r="C1169" s="235" t="str">
        <f>IFERROR(__xludf.DUMMYFUNCTION("""COMPUTED_VALUE"""),"PR &amp; MARKETING")</f>
        <v>PR &amp; MARKETING</v>
      </c>
      <c r="D1169" s="196" t="str">
        <f>IFERROR(__xludf.DUMMYFUNCTION("""COMPUTED_VALUE"""),"1 ASAM &amp;JTHMASP 184 IN X 77 IN THICKNESS 18OZ
1 BSA COA 20FT X 10FT THICKNESS 18 OZ 
W/ SEAMIN &amp;EYELET ALLOVER")</f>
        <v>1 ASAM &amp;JTHMASP 184 IN X 77 IN THICKNESS 18OZ
1 BSA COA 20FT X 10FT THICKNESS 18 OZ 
W/ SEAMIN &amp;EYELET ALLOVER</v>
      </c>
      <c r="E1169" s="196" t="str">
        <f>IFERROR(__xludf.DUMMYFUNCTION("""COMPUTED_VALUE"""),"MARKETING")</f>
        <v>MARKETING</v>
      </c>
    </row>
    <row r="1170">
      <c r="A1170" s="234">
        <f>IFERROR(__xludf.DUMMYFUNCTION("""COMPUTED_VALUE"""),106003.0)</f>
        <v>106003</v>
      </c>
      <c r="B1170" s="235" t="str">
        <f>IFERROR(__xludf.DUMMYFUNCTION("""COMPUTED_VALUE"""),"JESSA PACURI")</f>
        <v>JESSA PACURI</v>
      </c>
      <c r="C1170" s="235" t="str">
        <f>IFERROR(__xludf.DUMMYFUNCTION("""COMPUTED_VALUE"""),"REGISTRATION")</f>
        <v>REGISTRATION</v>
      </c>
      <c r="D1170" s="196" t="str">
        <f>IFERROR(__xludf.DUMMYFUNCTION("""COMPUTED_VALUE"""),"10 BOX FILE ORGANIZER BOX BLACK")</f>
        <v>10 BOX FILE ORGANIZER BOX BLACK</v>
      </c>
      <c r="E1170" s="196" t="str">
        <f>IFERROR(__xludf.DUMMYFUNCTION("""COMPUTED_VALUE"""),"FOR FILING 201 FILES")</f>
        <v>FOR FILING 201 FILES</v>
      </c>
    </row>
    <row r="1171">
      <c r="A1171" s="234">
        <f>IFERROR(__xludf.DUMMYFUNCTION("""COMPUTED_VALUE"""),106004.0)</f>
        <v>106004</v>
      </c>
      <c r="B1171" s="235" t="str">
        <f>IFERROR(__xludf.DUMMYFUNCTION("""COMPUTED_VALUE"""),"FRANCESKA ORTEGA")</f>
        <v>FRANCESKA ORTEGA</v>
      </c>
      <c r="C1171" s="235" t="str">
        <f>IFERROR(__xludf.DUMMYFUNCTION("""COMPUTED_VALUE"""),"PRESIDENT'S OFFICE")</f>
        <v>PRESIDENT'S OFFICE</v>
      </c>
      <c r="D1171" s="196" t="str">
        <f>IFERROR(__xludf.DUMMYFUNCTION("""COMPUTED_VALUE"""),"1 ARTWORK SIZE 15 1/2"" X 12"" THE GARDENS
1 ARTWORK SIZE 18"" X 17"" POSTER LA SIESTA
1 ARTWORK SIZE 18"" X 22 1/2"" POSTER MADRE
2 ARTWORK SIZE 18"" X 25"" POSTER JARDIN DELA CASA
1 ARTWORK SIZE 35 1/2"" X 25 1/4"" POSTER SONIA DELAUNAY")</f>
        <v>1 ARTWORK SIZE 15 1/2" X 12" THE GARDENS
1 ARTWORK SIZE 18" X 17" POSTER LA SIESTA
1 ARTWORK SIZE 18" X 22 1/2" POSTER MADRE
2 ARTWORK SIZE 18" X 25" POSTER JARDIN DELA CASA
1 ARTWORK SIZE 35 1/2" X 25 1/4" POSTER SONIA DELAUNAY</v>
      </c>
      <c r="E1171" s="196" t="str">
        <f>IFERROR(__xludf.DUMMYFUNCTION("""COMPUTED_VALUE"""),"FRAMING PF PAINTING")</f>
        <v>FRAMING PF PAINTING</v>
      </c>
    </row>
    <row r="1172">
      <c r="A1172" s="234">
        <f>IFERROR(__xludf.DUMMYFUNCTION("""COMPUTED_VALUE"""),106005.0)</f>
        <v>106005</v>
      </c>
      <c r="B1172" s="235" t="str">
        <f>IFERROR(__xludf.DUMMYFUNCTION("""COMPUTED_VALUE"""),"LYKA PERALTA")</f>
        <v>LYKA PERALTA</v>
      </c>
      <c r="C1172" s="235" t="str">
        <f>IFERROR(__xludf.DUMMYFUNCTION("""COMPUTED_VALUE"""),"AMD")</f>
        <v>AMD</v>
      </c>
      <c r="D1172" s="196" t="str">
        <f>IFERROR(__xludf.DUMMYFUNCTION("""COMPUTED_VALUE"""),"Paper, Colored Fortune Blue	410 PCS
Paper, Colored Fortune Green	410 PCS
Paper, Colored Fortune Orange	410 PCS
Paper, Colored Fortune Red	410 PCS
Paper, Colored Fortune Violet	410 PCS
Paper, Colored Fortune Yellow	410 PCS
Paper, Colored Fortune Pink"&amp;"	410 PCS
Cartolina, Black	270 PCS
Cartolina, Neon Blue	270 PCS
Cartolina, Neon Green	270 PCS
Cartolina, Neon Orange	270 PCS
Cartolina, Neon Pink	270 PCS
Cartolina, White	270 PCS
Cartolina, Neon Yellow	270 PCS
")</f>
        <v>Paper, Colored Fortune Blue	410 PCS
Paper, Colored Fortune Green	410 PCS
Paper, Colored Fortune Orange	410 PCS
Paper, Colored Fortune Red	410 PCS
Paper, Colored Fortune Violet	410 PCS
Paper, Colored Fortune Yellow	410 PCS
Paper, Colored Fortune Pink	410 PCS
Cartolina, Black	270 PCS
Cartolina, Neon Blue	270 PCS
Cartolina, Neon Green	270 PCS
Cartolina, Neon Orange	270 PCS
Cartolina, Neon Pink	270 PCS
Cartolina, White	270 PCS
Cartolina, Neon Yellow	270 PCS
</v>
      </c>
      <c r="E1172" s="196" t="str">
        <f>IFERROR(__xludf.DUMMYFUNCTION("""COMPUTED_VALUE"""),"FOR TEACHERS SUPPLIES/ DECORATION FOR AY 2025-2026")</f>
        <v>FOR TEACHERS SUPPLIES/ DECORATION FOR AY 2025-2026</v>
      </c>
    </row>
    <row r="1173">
      <c r="A1173" s="234">
        <f>IFERROR(__xludf.DUMMYFUNCTION("""COMPUTED_VALUE"""),106006.0)</f>
        <v>106006</v>
      </c>
      <c r="B1173" s="235" t="str">
        <f>IFERROR(__xludf.DUMMYFUNCTION("""COMPUTED_VALUE"""),"LYKA PERALTA")</f>
        <v>LYKA PERALTA</v>
      </c>
      <c r="C1173" s="235" t="str">
        <f>IFERROR(__xludf.DUMMYFUNCTION("""COMPUTED_VALUE"""),"AMD")</f>
        <v>AMD</v>
      </c>
      <c r="D1173" s="196" t="str">
        <f>IFERROR(__xludf.DUMMYFUNCTION("""COMPUTED_VALUE"""),"Paper, Manila - 37 X 45	450 PCS
Glue, Elmer's - 130gs (OSSUP)	90 PCS
Marker, Pilot Permanent Fine - Blue	90 PCS
Marker, Pilot Permanent Fine - Red	90 PCS
Marker, Pilot Permanent Fine Black (OSSUP)	90 PCS
Tape, 3M Masking Tape Big (1"") / paper tape	2"&amp;"70 PCS
Plastic Cover, Gauge 4 48'W (per meter)	6 ROLLS
Staple Wire, Max #35- 5M (Box of 5000pcs)	90 PCS
")</f>
        <v>Paper, Manila - 37 X 45	450 PCS
Glue, Elmer's - 130gs (OSSUP)	90 PCS
Marker, Pilot Permanent Fine - Blue	90 PCS
Marker, Pilot Permanent Fine - Red	90 PCS
Marker, Pilot Permanent Fine Black (OSSUP)	90 PCS
Tape, 3M Masking Tape Big (1") / paper tape	270 PCS
Plastic Cover, Gauge 4 48'W (per meter)	6 ROLLS
Staple Wire, Max #35- 5M (Box of 5000pcs)	90 PCS
</v>
      </c>
      <c r="E1173" s="196" t="str">
        <f>IFERROR(__xludf.DUMMYFUNCTION("""COMPUTED_VALUE"""),"FOR TEACHERS SUPPLIES/ DECORATION FOR AY 2025-2026")</f>
        <v>FOR TEACHERS SUPPLIES/ DECORATION FOR AY 2025-2026</v>
      </c>
    </row>
    <row r="1174">
      <c r="A1174" s="234">
        <f>IFERROR(__xludf.DUMMYFUNCTION("""COMPUTED_VALUE"""),106007.0)</f>
        <v>106007</v>
      </c>
      <c r="B1174" s="235" t="str">
        <f>IFERROR(__xludf.DUMMYFUNCTION("""COMPUTED_VALUE"""),"LYKA PERALTA")</f>
        <v>LYKA PERALTA</v>
      </c>
      <c r="C1174" s="235" t="str">
        <f>IFERROR(__xludf.DUMMYFUNCTION("""COMPUTED_VALUE"""),"AMD")</f>
        <v>AMD</v>
      </c>
      <c r="D1174" s="196" t="str">
        <f>IFERROR(__xludf.DUMMYFUNCTION("""COMPUTED_VALUE"""),"Ballpen, Panda Black	275 PCS
Ballpen, Panda Blue	275 PCS
Correction Tape, Joy	275 PCS
Eraser, Whiteboard	155 PCS
Pad Paper, Yellow (per pad)	146 PADS
Pen, Sign - Pilot BX-V5 Black	275 PCS
Pen, Sign - Pilot BX-V5 Green	275 PCS
Ink, Whiteboard Marker"&amp;" - Pilot Black	30 PCS
Ink, Whiteboard Marker - Pilot Blue	30 PCS
Ink, Whiteboard Marker - Pilot Red	30 PCS
Marker, Pilot Whiteboard - Black	275 PCS
Marker, Pilot Whiteboard - Blue	275 PCS
Marker, Pilot Permanent Fine Black (OSSUP)	275 PCS
Marker, Pi"&amp;"lot Permanent Fine - Red	275 PCS
")</f>
        <v>Ballpen, Panda Black	275 PCS
Ballpen, Panda Blue	275 PCS
Correction Tape, Joy	275 PCS
Eraser, Whiteboard	155 PCS
Pad Paper, Yellow (per pad)	146 PADS
Pen, Sign - Pilot BX-V5 Black	275 PCS
Pen, Sign - Pilot BX-V5 Green	275 PCS
Ink, Whiteboard Marker - Pilot Black	30 PCS
Ink, Whiteboard Marker - Pilot Blue	30 PCS
Ink, Whiteboard Marker - Pilot Red	30 PCS
Marker, Pilot Whiteboard - Black	275 PCS
Marker, Pilot Whiteboard - Blue	275 PCS
Marker, Pilot Permanent Fine Black (OSSUP)	275 PCS
Marker, Pilot Permanent Fine - Red	275 PCS
</v>
      </c>
      <c r="E1174" s="196" t="str">
        <f>IFERROR(__xludf.DUMMYFUNCTION("""COMPUTED_VALUE"""),"FOR TEACHERS SUPPLIES/ DECORATION FOR AY 2025-2026")</f>
        <v>FOR TEACHERS SUPPLIES/ DECORATION FOR AY 2025-2026</v>
      </c>
    </row>
    <row r="1175">
      <c r="A1175" s="234">
        <f>IFERROR(__xludf.DUMMYFUNCTION("""COMPUTED_VALUE"""),106008.0)</f>
        <v>106008</v>
      </c>
      <c r="B1175" s="235" t="str">
        <f>IFERROR(__xludf.DUMMYFUNCTION("""COMPUTED_VALUE"""),"PAUL ARAÑA")</f>
        <v>PAUL ARAÑA</v>
      </c>
      <c r="C1175" s="235" t="str">
        <f>IFERROR(__xludf.DUMMYFUNCTION("""COMPUTED_VALUE"""),"MIS/ICT")</f>
        <v>MIS/ICT</v>
      </c>
      <c r="D1175" s="196" t="str">
        <f>IFERROR(__xludf.DUMMYFUNCTION("""COMPUTED_VALUE"""),"25 pcs.ACER VERITON X4710G ")</f>
        <v>25 pcs.ACER VERITON X4710G </v>
      </c>
      <c r="E1175" s="196" t="str">
        <f>IFERROR(__xludf.DUMMYFUNCTION("""COMPUTED_VALUE"""),"FOR COLLEGE COMPUTER LABORATORY 3 UPGRADE ")</f>
        <v>FOR COLLEGE COMPUTER LABORATORY 3 UPGRADE </v>
      </c>
    </row>
    <row r="1176">
      <c r="A1176" s="234">
        <f>IFERROR(__xludf.DUMMYFUNCTION("""COMPUTED_VALUE"""),106009.0)</f>
        <v>106009</v>
      </c>
      <c r="B1176" s="235" t="str">
        <f>IFERROR(__xludf.DUMMYFUNCTION("""COMPUTED_VALUE"""),"PAUL ARAÑA")</f>
        <v>PAUL ARAÑA</v>
      </c>
      <c r="C1176" s="235" t="str">
        <f>IFERROR(__xludf.DUMMYFUNCTION("""COMPUTED_VALUE"""),"MIS/ICT")</f>
        <v>MIS/ICT</v>
      </c>
      <c r="D1176" s="196" t="str">
        <f>IFERROR(__xludf.DUMMYFUNCTION("""COMPUTED_VALUE"""),"8 PCS  15  METERS HDMI UGREEN, 6 PCS 20 METER HDMI UGREEN ")</f>
        <v>8 PCS  15  METERS HDMI UGREEN, 6 PCS 20 METER HDMI UGREEN </v>
      </c>
      <c r="E1176" s="196" t="str">
        <f>IFERROR(__xludf.DUMMYFUNCTION("""COMPUTED_VALUE"""),"FOR EVENTS AND CLASSROOM EVENT SET UP")</f>
        <v>FOR EVENTS AND CLASSROOM EVENT SET UP</v>
      </c>
    </row>
    <row r="1177">
      <c r="A1177" s="234">
        <f>IFERROR(__xludf.DUMMYFUNCTION("""COMPUTED_VALUE"""),106010.0)</f>
        <v>106010</v>
      </c>
      <c r="B1177" s="235" t="str">
        <f>IFERROR(__xludf.DUMMYFUNCTION("""COMPUTED_VALUE"""),"LYKA PERALTA ")</f>
        <v>LYKA PERALTA </v>
      </c>
      <c r="C1177" s="235" t="str">
        <f>IFERROR(__xludf.DUMMYFUNCTION("""COMPUTED_VALUE"""),"AMD")</f>
        <v>AMD</v>
      </c>
      <c r="D1177" s="196" t="str">
        <f>IFERROR(__xludf.DUMMYFUNCTION("""COMPUTED_VALUE"""),"203 PCS POPSICLE STICK, PACK (100 STICKS) ")</f>
        <v>203 PCS POPSICLE STICK, PACK (100 STICKS) </v>
      </c>
      <c r="E1177" s="196" t="str">
        <f>IFERROR(__xludf.DUMMYFUNCTION("""COMPUTED_VALUE"""),"STUDENT MATERIALS ")</f>
        <v>STUDENT MATERIALS </v>
      </c>
    </row>
    <row r="1178">
      <c r="A1178" s="234">
        <f>IFERROR(__xludf.DUMMYFUNCTION("""COMPUTED_VALUE"""),106011.0)</f>
        <v>106011</v>
      </c>
      <c r="B1178" s="235" t="str">
        <f>IFERROR(__xludf.DUMMYFUNCTION("""COMPUTED_VALUE"""),"MARC VINCET VITTO")</f>
        <v>MARC VINCET VITTO</v>
      </c>
      <c r="C1178" s="235" t="str">
        <f>IFERROR(__xludf.DUMMYFUNCTION("""COMPUTED_VALUE"""),"PR &amp; MARKETING")</f>
        <v>PR &amp; MARKETING</v>
      </c>
      <c r="D1178" s="196" t="str">
        <f>IFERROR(__xludf.DUMMYFUNCTION("""COMPUTED_VALUE"""),"1 SINTRA BOARD SISC LOGO SIZE: H-18 INCHES THICKNESS: 5MM")</f>
        <v>1 SINTRA BOARD SISC LOGO SIZE: H-18 INCHES THICKNESS: 5MM</v>
      </c>
      <c r="E1178" s="196" t="str">
        <f>IFERROR(__xludf.DUMMYFUNCTION("""COMPUTED_VALUE"""),"FOR GRADUATION")</f>
        <v>FOR GRADUATION</v>
      </c>
    </row>
    <row r="1179">
      <c r="A1179" s="234">
        <f>IFERROR(__xludf.DUMMYFUNCTION("""COMPUTED_VALUE"""),106012.0)</f>
        <v>106012</v>
      </c>
      <c r="B1179" s="235" t="str">
        <f>IFERROR(__xludf.DUMMYFUNCTION("""COMPUTED_VALUE"""),"ELMIE LAUDIATO ")</f>
        <v>ELMIE LAUDIATO </v>
      </c>
      <c r="C1179" s="235" t="str">
        <f>IFERROR(__xludf.DUMMYFUNCTION("""COMPUTED_VALUE"""),"HRMD")</f>
        <v>HRMD</v>
      </c>
      <c r="D1179" s="196" t="str">
        <f>IFERROR(__xludf.DUMMYFUNCTION("""COMPUTED_VALUE"""),"SISC EMPLOYEE UNIFORMS ")</f>
        <v>SISC EMPLOYEE UNIFORMS </v>
      </c>
      <c r="E1179" s="196" t="str">
        <f>IFERROR(__xludf.DUMMYFUNCTION("""COMPUTED_VALUE"""),"AY 25-26 EMPLOYEE UNIFORMS ")</f>
        <v>AY 25-26 EMPLOYEE UNIFORMS </v>
      </c>
    </row>
    <row r="1180">
      <c r="A1180" s="234">
        <f>IFERROR(__xludf.DUMMYFUNCTION("""COMPUTED_VALUE"""),106013.0)</f>
        <v>106013</v>
      </c>
      <c r="B1180" s="235" t="str">
        <f>IFERROR(__xludf.DUMMYFUNCTION("""COMPUTED_VALUE"""),"LYKA PERALTA ")</f>
        <v>LYKA PERALTA </v>
      </c>
      <c r="C1180" s="235" t="str">
        <f>IFERROR(__xludf.DUMMYFUNCTION("""COMPUTED_VALUE"""),"AMD")</f>
        <v>AMD</v>
      </c>
      <c r="D1180" s="196" t="str">
        <f>IFERROR(__xludf.DUMMYFUNCTION("""COMPUTED_VALUE"""),"60 PCS BENCH POUCH")</f>
        <v>60 PCS BENCH POUCH</v>
      </c>
      <c r="E1180" s="196" t="str">
        <f>IFERROR(__xludf.DUMMYFUNCTION("""COMPUTED_VALUE"""),"INSTITUTIONAL TOKENS")</f>
        <v>INSTITUTIONAL TOKENS</v>
      </c>
    </row>
    <row r="1181">
      <c r="A1181" s="234">
        <f>IFERROR(__xludf.DUMMYFUNCTION("""COMPUTED_VALUE"""),106014.0)</f>
        <v>106014</v>
      </c>
      <c r="B1181" s="235" t="str">
        <f>IFERROR(__xludf.DUMMYFUNCTION("""COMPUTED_VALUE"""),"LYKA PERALTA ")</f>
        <v>LYKA PERALTA </v>
      </c>
      <c r="C1181" s="235" t="str">
        <f>IFERROR(__xludf.DUMMYFUNCTION("""COMPUTED_VALUE"""),"AMD")</f>
        <v>AMD</v>
      </c>
      <c r="D1181" s="196" t="str">
        <f>IFERROR(__xludf.DUMMYFUNCTION("""COMPUTED_VALUE"""),"100 PCS UNIVERSAL ADAPTOR AC MAX6A 250 VAC USB MAX 2.1 A 5VDC W/ BAG")</f>
        <v>100 PCS UNIVERSAL ADAPTOR AC MAX6A 250 VAC USB MAX 2.1 A 5VDC W/ BAG</v>
      </c>
      <c r="E1181" s="196" t="str">
        <f>IFERROR(__xludf.DUMMYFUNCTION("""COMPUTED_VALUE"""),"INSTITUTIONAL TOKENS")</f>
        <v>INSTITUTIONAL TOKENS</v>
      </c>
    </row>
    <row r="1182">
      <c r="A1182" s="234">
        <f>IFERROR(__xludf.DUMMYFUNCTION("""COMPUTED_VALUE"""),106015.0)</f>
        <v>106015</v>
      </c>
      <c r="B1182" s="235" t="str">
        <f>IFERROR(__xludf.DUMMYFUNCTION("""COMPUTED_VALUE"""),"RACHEL PAMATIAN")</f>
        <v>RACHEL PAMATIAN</v>
      </c>
      <c r="C1182" s="235" t="str">
        <f>IFERROR(__xludf.DUMMYFUNCTION("""COMPUTED_VALUE"""),"ADMIN - STAR")</f>
        <v>ADMIN - STAR</v>
      </c>
      <c r="D1182" s="196" t="str">
        <f>IFERROR(__xludf.DUMMYFUNCTION("""COMPUTED_VALUE"""),"1 REFRIGERATOR TCL 118PH (LOOK FOR 5K BUDGET)")</f>
        <v>1 REFRIGERATOR TCL 118PH (LOOK FOR 5K BUDGET)</v>
      </c>
      <c r="E1182" s="196" t="str">
        <f>IFERROR(__xludf.DUMMYFUNCTION("""COMPUTED_VALUE"""),"FOR HE ROOM AS RECOMMENDED BY WASC")</f>
        <v>FOR HE ROOM AS RECOMMENDED BY WASC</v>
      </c>
    </row>
    <row r="1183">
      <c r="A1183" s="234">
        <f>IFERROR(__xludf.DUMMYFUNCTION("""COMPUTED_VALUE"""),106016.0)</f>
        <v>106016</v>
      </c>
      <c r="B1183" s="235" t="str">
        <f>IFERROR(__xludf.DUMMYFUNCTION("""COMPUTED_VALUE"""),"ANGELO PARAS")</f>
        <v>ANGELO PARAS</v>
      </c>
      <c r="C1183" s="235" t="str">
        <f>IFERROR(__xludf.DUMMYFUNCTION("""COMPUTED_VALUE"""),"SCIENCE LAB BASIC ED.")</f>
        <v>SCIENCE LAB BASIC ED.</v>
      </c>
      <c r="D1183" s="196" t="str">
        <f>IFERROR(__xludf.DUMMYFUNCTION("""COMPUTED_VALUE"""),"20 PCS EACH BEAKER 50 ML 150 ML 250 ML 500 ML 100 ML 
4 PCS BURETTE
20 PCS PETRI DISH
5 PCS EACH ERLENMEYER FALSK 250 ML 500 ML
10 PCS EACH GRADUATED CYLINDER 10 ML 25ML 50 ML 100 ML
20 PCS INOCULATING LOOP 
20 PCS STIRRING ROD
100 PCS TEST TUBES
5 PCS BE"&amp;"AKER TONGS
30 PCS FACE SHIELDS
20 PCS UNIVERSAL SOCKET ADAPTER
5 PCS EXTENSION CORDS 3-4 OUTLETS
20 PCS METER STICK
3 PCS AIR PUMP
200 PCS BALLOONS
10 PCS CANDLES 
4 PCS WIRE STRIPPER 
2 PCS STEEL CALL BELL
5 UNITS COMPOUND MICROSCOPE 
15 PCS METER STICK
"&amp;"10 PCS EACH BATTERIES 9V AAA AA
10 ROLLS ALUMINUM FOIL 
10 ROLLS CLEAN WRAP")</f>
        <v>20 PCS EACH BEAKER 50 ML 150 ML 250 ML 500 ML 100 ML 
4 PCS BURETTE
20 PCS PETRI DISH
5 PCS EACH ERLENMEYER FALSK 250 ML 500 ML
10 PCS EACH GRADUATED CYLINDER 10 ML 25ML 50 ML 100 ML
20 PCS INOCULATING LOOP 
20 PCS STIRRING ROD
100 PCS TEST TUBES
5 PCS BEAKER TONGS
30 PCS FACE SHIELDS
20 PCS UNIVERSAL SOCKET ADAPTER
5 PCS EXTENSION CORDS 3-4 OUTLETS
20 PCS METER STICK
3 PCS AIR PUMP
200 PCS BALLOONS
10 PCS CANDLES 
4 PCS WIRE STRIPPER 
2 PCS STEEL CALL BELL
5 UNITS COMPOUND MICROSCOPE 
15 PCS METER STICK
10 PCS EACH BATTERIES 9V AAA AA
10 ROLLS ALUMINUM FOIL 
10 ROLLS CLEAN WRAP</v>
      </c>
      <c r="E1183" s="196" t="str">
        <f>IFERROR(__xludf.DUMMYFUNCTION("""COMPUTED_VALUE"""),"EQUIPMENT / MATERIALS FOR SCIENCE LAB, CHEMISTRY / GENERAL SCIENCE")</f>
        <v>EQUIPMENT / MATERIALS FOR SCIENCE LAB, CHEMISTRY / GENERAL SCIENCE</v>
      </c>
    </row>
    <row r="1184">
      <c r="A1184" s="234">
        <f>IFERROR(__xludf.DUMMYFUNCTION("""COMPUTED_VALUE"""),106017.0)</f>
        <v>106017</v>
      </c>
      <c r="B1184" s="235" t="str">
        <f>IFERROR(__xludf.DUMMYFUNCTION("""COMPUTED_VALUE"""),"RONALDO VERDE")</f>
        <v>RONALDO VERDE</v>
      </c>
      <c r="C1184" s="235" t="str">
        <f>IFERROR(__xludf.DUMMYFUNCTION("""COMPUTED_VALUE"""),"ADMIN")</f>
        <v>ADMIN</v>
      </c>
      <c r="D1184" s="196" t="str">
        <f>IFERROR(__xludf.DUMMYFUNCTION("""COMPUTED_VALUE"""),"15 PCS T5 WARM WHITE")</f>
        <v>15 PCS T5 WARM WHITE</v>
      </c>
      <c r="E1184" s="196" t="str">
        <f>IFERROR(__xludf.DUMMYFUNCTION("""COMPUTED_VALUE"""),"FOR CEM (DR GENE) OFFICE")</f>
        <v>FOR CEM (DR GENE) OFFICE</v>
      </c>
    </row>
    <row r="1185">
      <c r="A1185" s="234">
        <f>IFERROR(__xludf.DUMMYFUNCTION("""COMPUTED_VALUE"""),106018.0)</f>
        <v>106018</v>
      </c>
      <c r="B1185" s="235" t="str">
        <f>IFERROR(__xludf.DUMMYFUNCTION("""COMPUTED_VALUE"""),"ALFA DE LEON")</f>
        <v>ALFA DE LEON</v>
      </c>
      <c r="C1185" s="235" t="str">
        <f>IFERROR(__xludf.DUMMYFUNCTION("""COMPUTED_VALUE"""),"ADMIN - MUNICH")</f>
        <v>ADMIN - MUNICH</v>
      </c>
      <c r="D1185" s="196" t="str">
        <f>IFERROR(__xludf.DUMMYFUNCTION("""COMPUTED_VALUE"""),"20 SILICON SEALANT CLEAR
2 SILICON GUN")</f>
        <v>20 SILICON SEALANT CLEAR
2 SILICON GUN</v>
      </c>
      <c r="E1185" s="196" t="str">
        <f>IFERROR(__xludf.DUMMYFUNCTION("""COMPUTED_VALUE"""),"REPAIR / SEALING OF WINDOW LEAKS")</f>
        <v>REPAIR / SEALING OF WINDOW LEAKS</v>
      </c>
    </row>
    <row r="1186">
      <c r="A1186" s="234">
        <f>IFERROR(__xludf.DUMMYFUNCTION("""COMPUTED_VALUE"""),106019.0)</f>
        <v>106019</v>
      </c>
      <c r="B1186" s="235" t="str">
        <f>IFERROR(__xludf.DUMMYFUNCTION("""COMPUTED_VALUE"""),"JANCEL PRADILLADA")</f>
        <v>JANCEL PRADILLADA</v>
      </c>
      <c r="C1186" s="235" t="str">
        <f>IFERROR(__xludf.DUMMYFUNCTION("""COMPUTED_VALUE"""),"MIS/ICT")</f>
        <v>MIS/ICT</v>
      </c>
      <c r="D1186" s="196" t="str">
        <f>IFERROR(__xludf.DUMMYFUNCTION("""COMPUTED_VALUE"""),"20 PCS RUBBER DUCT TAPE FLOOR WIRE CONCEALER
7 SETS PRECISION TOOLS")</f>
        <v>20 PCS RUBBER DUCT TAPE FLOOR WIRE CONCEALER
7 SETS PRECISION TOOLS</v>
      </c>
      <c r="E1186" s="196" t="str">
        <f>IFERROR(__xludf.DUMMYFUNCTION("""COMPUTED_VALUE"""),"FOR COMPUTER PREVENTIVE MAINTENANCE")</f>
        <v>FOR COMPUTER PREVENTIVE MAINTENANCE</v>
      </c>
    </row>
    <row r="1187">
      <c r="A1187" s="234">
        <f>IFERROR(__xludf.DUMMYFUNCTION("""COMPUTED_VALUE"""),106020.0)</f>
        <v>106020</v>
      </c>
      <c r="B1187" s="235" t="str">
        <f>IFERROR(__xludf.DUMMYFUNCTION("""COMPUTED_VALUE"""),"JANCEL PRADILLADA")</f>
        <v>JANCEL PRADILLADA</v>
      </c>
      <c r="C1187" s="235" t="str">
        <f>IFERROR(__xludf.DUMMYFUNCTION("""COMPUTED_VALUE"""),"MIS/ICT")</f>
        <v>MIS/ICT</v>
      </c>
      <c r="D1187" s="196" t="str">
        <f>IFERROR(__xludf.DUMMYFUNCTION("""COMPUTED_VALUE"""),"7 PCS EACH:
-LINEMAN PLIERS
-LONG NOSE
-SIDE CUTTER
-SCREW DRIVER POSITIVE
-SCREW DRIVER NEGATIVE 
-BRUSH
-CUTTER
10 PCS ERASER
7 PCS WIRE STRIPPER 
7 PCS TOOLBOX")</f>
        <v>7 PCS EACH:
-LINEMAN PLIERS
-LONG NOSE
-SIDE CUTTER
-SCREW DRIVER POSITIVE
-SCREW DRIVER NEGATIVE 
-BRUSH
-CUTTER
10 PCS ERASER
7 PCS WIRE STRIPPER 
7 PCS TOOLBOX</v>
      </c>
      <c r="E1187" s="196" t="str">
        <f>IFERROR(__xludf.DUMMYFUNCTION("""COMPUTED_VALUE"""),"FOR COMPUTER PREVENTIVE MAINTENANCE")</f>
        <v>FOR COMPUTER PREVENTIVE MAINTENANCE</v>
      </c>
    </row>
    <row r="1188">
      <c r="A1188" s="234">
        <f>IFERROR(__xludf.DUMMYFUNCTION("""COMPUTED_VALUE"""),106021.0)</f>
        <v>106021</v>
      </c>
      <c r="B1188" s="235" t="str">
        <f>IFERROR(__xludf.DUMMYFUNCTION("""COMPUTED_VALUE"""),"LYKA PERALTA")</f>
        <v>LYKA PERALTA</v>
      </c>
      <c r="C1188" s="235" t="str">
        <f>IFERROR(__xludf.DUMMYFUNCTION("""COMPUTED_VALUE"""),"AMD")</f>
        <v>AMD</v>
      </c>
      <c r="D1188" s="196" t="str">
        <f>IFERROR(__xludf.DUMMYFUNCTION("""COMPUTED_VALUE"""),"390 PCS MARKER WHITEBOARD PILOT BLACK ")</f>
        <v>390 PCS MARKER WHITEBOARD PILOT BLACK </v>
      </c>
      <c r="E1188" s="196" t="str">
        <f>IFERROR(__xludf.DUMMYFUNCTION("""COMPUTED_VALUE"""),"STUDENT MATERIALS FOR AY 25-26")</f>
        <v>STUDENT MATERIALS FOR AY 25-26</v>
      </c>
    </row>
    <row r="1189">
      <c r="A1189" s="234">
        <f>IFERROR(__xludf.DUMMYFUNCTION("""COMPUTED_VALUE"""),106022.0)</f>
        <v>106022</v>
      </c>
      <c r="B1189" s="235" t="str">
        <f>IFERROR(__xludf.DUMMYFUNCTION("""COMPUTED_VALUE"""),"LYKA PERALTA")</f>
        <v>LYKA PERALTA</v>
      </c>
      <c r="C1189" s="235" t="str">
        <f>IFERROR(__xludf.DUMMYFUNCTION("""COMPUTED_VALUE"""),"AMD")</f>
        <v>AMD</v>
      </c>
      <c r="D1189" s="196" t="str">
        <f>IFERROR(__xludf.DUMMYFUNCTION("""COMPUTED_VALUE"""),"2508 PACKS PAPER BOND 8.5"" X 11"" 50/PK")</f>
        <v>2508 PACKS PAPER BOND 8.5" X 11" 50/PK</v>
      </c>
      <c r="E1189" s="196" t="str">
        <f>IFERROR(__xludf.DUMMYFUNCTION("""COMPUTED_VALUE"""),"STUDENT MATERIALS FOR AY 25-26")</f>
        <v>STUDENT MATERIALS FOR AY 25-26</v>
      </c>
    </row>
    <row r="1190">
      <c r="A1190" s="234">
        <f>IFERROR(__xludf.DUMMYFUNCTION("""COMPUTED_VALUE"""),106023.0)</f>
        <v>106023</v>
      </c>
      <c r="B1190" s="235" t="str">
        <f>IFERROR(__xludf.DUMMYFUNCTION("""COMPUTED_VALUE"""),"RUEL BALANLAYOS")</f>
        <v>RUEL BALANLAYOS</v>
      </c>
      <c r="C1190" s="235" t="str">
        <f>IFERROR(__xludf.DUMMYFUNCTION("""COMPUTED_VALUE"""),"PURCHASING")</f>
        <v>PURCHASING</v>
      </c>
      <c r="D1190" s="196" t="str">
        <f>IFERROR(__xludf.DUMMYFUNCTION("""COMPUTED_VALUE"""),"10 MEGABOX 135L")</f>
        <v>10 MEGABOX 135L</v>
      </c>
      <c r="E1190" s="196" t="str">
        <f>IFERROR(__xludf.DUMMYFUNCTION("""COMPUTED_VALUE"""),"FILLING OF DOCUMENTS")</f>
        <v>FILLING OF DOCUMENTS</v>
      </c>
    </row>
    <row r="1191">
      <c r="A1191" s="234">
        <f>IFERROR(__xludf.DUMMYFUNCTION("""COMPUTED_VALUE"""),106024.0)</f>
        <v>106024</v>
      </c>
      <c r="B1191" s="235" t="str">
        <f>IFERROR(__xludf.DUMMYFUNCTION("""COMPUTED_VALUE"""),"MARC VINCENT VITTO")</f>
        <v>MARC VINCENT VITTO</v>
      </c>
      <c r="C1191" s="235" t="str">
        <f>IFERROR(__xludf.DUMMYFUNCTION("""COMPUTED_VALUE"""),"PR &amp; MARKETING")</f>
        <v>PR &amp; MARKETING</v>
      </c>
      <c r="D1191" s="196" t="str">
        <f>IFERROR(__xludf.DUMMYFUNCTION("""COMPUTED_VALUE"""),"1 PAPJA 2025 TARP W=184 I X H=77IN THICKNESS 18 OZ ADD SEAMING &amp; EYELET ALL OVER")</f>
        <v>1 PAPJA 2025 TARP W=184 I X H=77IN THICKNESS 18 OZ ADD SEAMING &amp; EYELET ALL OVER</v>
      </c>
      <c r="E1191" s="196" t="str">
        <f>IFERROR(__xludf.DUMMYFUNCTION("""COMPUTED_VALUE"""),"CONGRATULATORY")</f>
        <v>CONGRATULATORY</v>
      </c>
    </row>
    <row r="1192">
      <c r="A1192" s="234">
        <f>IFERROR(__xludf.DUMMYFUNCTION("""COMPUTED_VALUE"""),106025.0)</f>
        <v>106025</v>
      </c>
      <c r="B1192" s="235" t="str">
        <f>IFERROR(__xludf.DUMMYFUNCTION("""COMPUTED_VALUE"""),"SHEREE ESPINOSA")</f>
        <v>SHEREE ESPINOSA</v>
      </c>
      <c r="C1192" s="235" t="str">
        <f>IFERROR(__xludf.DUMMYFUNCTION("""COMPUTED_VALUE"""),"ADMIN")</f>
        <v>ADMIN</v>
      </c>
      <c r="D1192" s="196" t="str">
        <f>IFERROR(__xludf.DUMMYFUNCTION("""COMPUTED_VALUE"""),"3 FLOOR FANS")</f>
        <v>3 FLOOR FANS</v>
      </c>
      <c r="E1192" s="196" t="str">
        <f>IFERROR(__xludf.DUMMYFUNCTION("""COMPUTED_VALUE"""),"FOR GRADUATION/ RECOGNITION/ SPECIAL EVENTS IN LUX HALL")</f>
        <v>FOR GRADUATION/ RECOGNITION/ SPECIAL EVENTS IN LUX HALL</v>
      </c>
    </row>
    <row r="1193">
      <c r="A1193" s="234">
        <f>IFERROR(__xludf.DUMMYFUNCTION("""COMPUTED_VALUE"""),106026.0)</f>
        <v>106026</v>
      </c>
      <c r="B1193" s="235" t="str">
        <f>IFERROR(__xludf.DUMMYFUNCTION("""COMPUTED_VALUE"""),"RONALDO VERDE")</f>
        <v>RONALDO VERDE</v>
      </c>
      <c r="C1193" s="235" t="str">
        <f>IFERROR(__xludf.DUMMYFUNCTION("""COMPUTED_VALUE"""),"ADMIN")</f>
        <v>ADMIN</v>
      </c>
      <c r="D1193" s="196" t="str">
        <f>IFERROR(__xludf.DUMMYFUNCTION("""COMPUTED_VALUE"""),"10 PCS LED SUM DOWN LIGHT 9W WARM WHITE ROUND
10 PCS 50W DI 6500K LED SUM FOOD LIGHT ")</f>
        <v>10 PCS LED SUM DOWN LIGHT 9W WARM WHITE ROUND
10 PCS 50W DI 6500K LED SUM FOOD LIGHT </v>
      </c>
      <c r="E1193" s="196" t="str">
        <f>IFERROR(__xludf.DUMMYFUNCTION("""COMPUTED_VALUE"""),"LIGHT FOR LUX HALLWAY, CENTER, FRONT ")</f>
        <v>LIGHT FOR LUX HALLWAY, CENTER, FRONT </v>
      </c>
    </row>
    <row r="1194">
      <c r="A1194" s="234">
        <f>IFERROR(__xludf.DUMMYFUNCTION("""COMPUTED_VALUE"""),106027.0)</f>
        <v>106027</v>
      </c>
      <c r="B1194" s="235" t="str">
        <f>IFERROR(__xludf.DUMMYFUNCTION("""COMPUTED_VALUE"""),"RONALDO VERDE")</f>
        <v>RONALDO VERDE</v>
      </c>
      <c r="C1194" s="235" t="str">
        <f>IFERROR(__xludf.DUMMYFUNCTION("""COMPUTED_VALUE"""),"ADMIN")</f>
        <v>ADMIN</v>
      </c>
      <c r="D1194" s="196" t="str">
        <f>IFERROR(__xludf.DUMMYFUNCTION("""COMPUTED_VALUE"""),"10 PCS SQUARE RECESSED DOWNLIGHT 600D 120MMX120MM")</f>
        <v>10 PCS SQUARE RECESSED DOWNLIGHT 600D 120MMX120MM</v>
      </c>
      <c r="E1194" s="196" t="str">
        <f>IFERROR(__xludf.DUMMYFUNCTION("""COMPUTED_VALUE"""),"LIGHTS FOR LUX RESTROOMS HALLWAYS &amp; PRINCIPAL'S OFFICE")</f>
        <v>LIGHTS FOR LUX RESTROOMS HALLWAYS &amp; PRINCIPAL'S OFFICE</v>
      </c>
    </row>
    <row r="1195">
      <c r="A1195" s="234">
        <f>IFERROR(__xludf.DUMMYFUNCTION("""COMPUTED_VALUE"""),106028.0)</f>
        <v>106028</v>
      </c>
      <c r="B1195" s="235" t="str">
        <f>IFERROR(__xludf.DUMMYFUNCTION("""COMPUTED_VALUE"""),"RONALDO VERDE")</f>
        <v>RONALDO VERDE</v>
      </c>
      <c r="C1195" s="235" t="str">
        <f>IFERROR(__xludf.DUMMYFUNCTION("""COMPUTED_VALUE"""),"ADMIN")</f>
        <v>ADMIN</v>
      </c>
      <c r="D1195" s="196" t="str">
        <f>IFERROR(__xludf.DUMMYFUNCTION("""COMPUTED_VALUE"""),"5 PCS KO 2X4X12
1 KG CW NAIL #3
1 LITER STICKWEL
40 PCS VYNIL TILES 30X30
1 GALLON ADHESIVE RUGBY
3 LENGTHS RUBBER NOZING
6 PCS KD 1/2 X 2 X 12
2 PCS PLYWOOD 1/4 ""
2 PCS FORMICA WHITE 4X8 ")</f>
        <v>5 PCS KO 2X4X12
1 KG CW NAIL #3
1 LITER STICKWEL
40 PCS VYNIL TILES 30X30
1 GALLON ADHESIVE RUGBY
3 LENGTHS RUBBER NOZING
6 PCS KD 1/2 X 2 X 12
2 PCS PLYWOOD 1/4 "
2 PCS FORMICA WHITE 4X8 </v>
      </c>
      <c r="E1195" s="196" t="str">
        <f>IFERROR(__xludf.DUMMYFUNCTION("""COMPUTED_VALUE"""),"FLAT FORM FOR NEW CLASSROOM LUX 3RD FLR")</f>
        <v>FLAT FORM FOR NEW CLASSROOM LUX 3RD FLR</v>
      </c>
    </row>
    <row r="1196">
      <c r="A1196" s="234">
        <f>IFERROR(__xludf.DUMMYFUNCTION("""COMPUTED_VALUE"""),106029.0)</f>
        <v>106029</v>
      </c>
      <c r="B1196" s="235" t="str">
        <f>IFERROR(__xludf.DUMMYFUNCTION("""COMPUTED_VALUE"""),"ALJEAN CARNO")</f>
        <v>ALJEAN CARNO</v>
      </c>
      <c r="C1196" s="235" t="str">
        <f>IFERROR(__xludf.DUMMYFUNCTION("""COMPUTED_VALUE"""),"FINANCE &amp; ACCOUNTING")</f>
        <v>FINANCE &amp; ACCOUNTING</v>
      </c>
      <c r="D1196" s="196" t="str">
        <f>IFERROR(__xludf.DUMMYFUNCTION("""COMPUTED_VALUE"""),"EPSON LX310 POT MATRIX PRINTER")</f>
        <v>EPSON LX310 POT MATRIX PRINTER</v>
      </c>
      <c r="E1196" s="196" t="str">
        <f>IFERROR(__xludf.DUMMYFUNCTION("""COMPUTED_VALUE"""),"REPLACEMENT")</f>
        <v>REPLACEMENT</v>
      </c>
    </row>
    <row r="1197">
      <c r="A1197" s="234">
        <f>IFERROR(__xludf.DUMMYFUNCTION("""COMPUTED_VALUE"""),106030.0)</f>
        <v>106030</v>
      </c>
      <c r="B1197" s="235" t="str">
        <f>IFERROR(__xludf.DUMMYFUNCTION("""COMPUTED_VALUE"""),"MELISSA ODONO")</f>
        <v>MELISSA ODONO</v>
      </c>
      <c r="C1197" s="235" t="str">
        <f>IFERROR(__xludf.DUMMYFUNCTION("""COMPUTED_VALUE"""),"LIBRARY MUNICH")</f>
        <v>LIBRARY MUNICH</v>
      </c>
      <c r="D1197" s="196" t="str">
        <f>IFERROR(__xludf.DUMMYFUNCTION("""COMPUTED_VALUE"""),"1 EACH:
Flying with Feathers and Wings, 2018, HB                                        
How Do Waves Move?, 2019, HB                                        
How Do Heat Move?, 2019, HB                                        
How Do Light Move?, 2019, HB "&amp;"                                       
How Do Sound Move?, 2019, HB                                        
Keeping Warm with Fur and Fat, 2018, HB                                        
Mind vs Muscle: Baseball, 2019, HB                                "&amp;"        
Mind vs Muscle: Football, 2019, HB                                        
Mind vs Muscle: Soccer, 2019, HB                                        
Swimming with Fins and Flippers, 2018, HB                                        
I Don't Want to "&amp;"Waitl, 2019, HB                                        
Communication &amp; Language in Early Childhood Today, 2025, PB                                        
3 PCSEducation Disability and Inclusion, 2025, PB                                        
2 PCS Eff"&amp;"ective Classroom Management, 2025, PB                                        ")</f>
        <v>1 EACH:
Flying with Feathers and Wings, 2018, HB                                        
How Do Waves Move?, 2019, HB                                        
How Do Heat Move?, 2019, HB                                        
How Do Light Move?, 2019, HB                                        
How Do Sound Move?, 2019, HB                                        
Keeping Warm with Fur and Fat, 2018, HB                                        
Mind vs Muscle: Baseball, 2019, HB                                        
Mind vs Muscle: Football, 2019, HB                                        
Mind vs Muscle: Soccer, 2019, HB                                        
Swimming with Fins and Flippers, 2018, HB                                        
I Don't Want to Waitl, 2019, HB                                        
Communication &amp; Language in Early Childhood Today, 2025, PB                                        
3 PCSEducation Disability and Inclusion, 2025, PB                                        
2 PCS Effective Classroom Management, 2025, PB                                        </v>
      </c>
      <c r="E1197" s="196" t="str">
        <f>IFERROR(__xludf.DUMMYFUNCTION("""COMPUTED_VALUE"""),"FOR ISO COMPLIANCE / LIBRARY'S COPY")</f>
        <v>FOR ISO COMPLIANCE / LIBRARY'S COPY</v>
      </c>
    </row>
    <row r="1198">
      <c r="A1198" s="234">
        <f>IFERROR(__xludf.DUMMYFUNCTION("""COMPUTED_VALUE"""),106031.0)</f>
        <v>106031</v>
      </c>
      <c r="B1198" s="235" t="str">
        <f>IFERROR(__xludf.DUMMYFUNCTION("""COMPUTED_VALUE"""),"MELISSA ODONO")</f>
        <v>MELISSA ODONO</v>
      </c>
      <c r="C1198" s="235" t="str">
        <f>IFERROR(__xludf.DUMMYFUNCTION("""COMPUTED_VALUE"""),"LIBRARY MUNICH")</f>
        <v>LIBRARY MUNICH</v>
      </c>
      <c r="D1198" s="196" t="str">
        <f>IFERROR(__xludf.DUMMYFUNCTION("""COMPUTED_VALUE"""),"1 EACH:
20 Fun Facts About: Astronomy, 2018, HB                                        
20 Fun Facts About: Earth's Resources, 2018, HB                                        
20 Fun Facts About: Fossils, 2018, HB                                        
2"&amp;"0 Fun Facts About: Geology, 2018, HB                                        
20 Fun Facts About: Rocks and Gems, 2018, HB                                        
20 Fun Facts About: Weather, 2018, HB                                        
Inside Guide, T"&amp;"he: Stem in Sports (5-vol. set), 2025, HB                                        
2 PCS On the Job: Creative Career(6-vol. set), 2025, HB                                        
Controlling Invasive Species, 2017, HB                                       "&amp;" 
2 PCS Countries of the World: Set 2 (6-vol. set), 2025, HB                                        
How Do Objects Move?, 2019, HB                                        
How Do Planets Move?, 2019, HB                                        
Exploring Sp"&amp;"ace (4-vol. set), 2024, HB                                        
Fighting  with Fangs and Claws, 2018, HB                                        ")</f>
        <v>1 EACH:
20 Fun Facts About: Astronomy, 2018, HB                                        
20 Fun Facts About: Earth's Resources, 2018, HB                                        
20 Fun Facts About: Fossils, 2018, HB                                        
20 Fun Facts About: Geology, 2018, HB                                        
20 Fun Facts About: Rocks and Gems, 2018, HB                                        
20 Fun Facts About: Weather, 2018, HB                                        
Inside Guide, The: Stem in Sports (5-vol. set), 2025, HB                                        
2 PCS On the Job: Creative Career(6-vol. set), 2025, HB                                        
Controlling Invasive Species, 2017, HB                                        
2 PCS Countries of the World: Set 2 (6-vol. set), 2025, HB                                        
How Do Objects Move?, 2019, HB                                        
How Do Planets Move?, 2019, HB                                        
Exploring Space (4-vol. set), 2024, HB                                        
Fighting  with Fangs and Claws, 2018, HB                                        </v>
      </c>
      <c r="E1198" s="196" t="str">
        <f>IFERROR(__xludf.DUMMYFUNCTION("""COMPUTED_VALUE"""),"FOR ISO COMPLIANCE / LIBRARY'S COPY")</f>
        <v>FOR ISO COMPLIANCE / LIBRARY'S COPY</v>
      </c>
    </row>
    <row r="1199">
      <c r="A1199" s="234">
        <f>IFERROR(__xludf.DUMMYFUNCTION("""COMPUTED_VALUE"""),106032.0)</f>
        <v>106032</v>
      </c>
      <c r="B1199" s="235" t="str">
        <f>IFERROR(__xludf.DUMMYFUNCTION("""COMPUTED_VALUE"""),"MELISSA ODONO")</f>
        <v>MELISSA ODONO</v>
      </c>
      <c r="C1199" s="235" t="str">
        <f>IFERROR(__xludf.DUMMYFUNCTION("""COMPUTED_VALUE"""),"LIBRARY MUNICH")</f>
        <v>LIBRARY MUNICH</v>
      </c>
      <c r="D1199" s="196" t="str">
        <f>IFERROR(__xludf.DUMMYFUNCTION("""COMPUTED_VALUE"""),"1 EACH:
Generative AI in the Classroom , 2025, PB					
Halting Pollution, 2017, HB					
Hiding with Colors and Shapes, 2018, HB					
Promoting Language and Early Literacy Development, 2025, PB					
Reducing Global Warming 2017, HB					
Research Metho"&amp;"ds made Simple, 2025, PB					
Saving Endangered Animals, 2017, HB					
2 PCS SEL Coach, The 2023, PB					
2 PCS Social and Emotional Learning in Action, 2023, PB					
Social and Emotional Learning in the Early Years, 2025, PB					
Solving the Energy "&amp;"Crisis, 2017, HB					
Techniques of Classroom Teaching, 2024, HB					
Leadership Rules, 2025, PB					
2 PCS Classroom Management for Students w/ Learning..., 2025, PB					")</f>
        <v>1 EACH:
Generative AI in the Classroom , 2025, PB					
Halting Pollution, 2017, HB					
Hiding with Colors and Shapes, 2018, HB					
Promoting Language and Early Literacy Development, 2025, PB					
Reducing Global Warming 2017, HB					
Research Methods made Simple, 2025, PB					
Saving Endangered Animals, 2017, HB					
2 PCS SEL Coach, The 2023, PB					
2 PCS Social and Emotional Learning in Action, 2023, PB					
Social and Emotional Learning in the Early Years, 2025, PB					
Solving the Energy Crisis, 2017, HB					
Techniques of Classroom Teaching, 2024, HB					
Leadership Rules, 2025, PB					
2 PCS Classroom Management for Students w/ Learning..., 2025, PB					</v>
      </c>
      <c r="E1199" s="196" t="str">
        <f>IFERROR(__xludf.DUMMYFUNCTION("""COMPUTED_VALUE"""),"FOR ISO COMPLIANCE / LIBRARY'S COPY")</f>
        <v>FOR ISO COMPLIANCE / LIBRARY'S COPY</v>
      </c>
    </row>
    <row r="1200">
      <c r="A1200" s="234">
        <f>IFERROR(__xludf.DUMMYFUNCTION("""COMPUTED_VALUE"""),106033.0)</f>
        <v>106033</v>
      </c>
      <c r="B1200" s="235" t="str">
        <f>IFERROR(__xludf.DUMMYFUNCTION("""COMPUTED_VALUE"""),"ELMIE LAUDIATO ")</f>
        <v>ELMIE LAUDIATO </v>
      </c>
      <c r="C1200" s="235" t="str">
        <f>IFERROR(__xludf.DUMMYFUNCTION("""COMPUTED_VALUE"""),"HRMD")</f>
        <v>HRMD</v>
      </c>
      <c r="D1200" s="196" t="str">
        <f>IFERROR(__xludf.DUMMYFUNCTION("""COMPUTED_VALUE"""),"FLOWER WREATH FOR THE SISTER OF SIR OWIE PAR")</f>
        <v>FLOWER WREATH FOR THE SISTER OF SIR OWIE PAR</v>
      </c>
      <c r="E1200" s="196" t="str">
        <f>IFERROR(__xludf.DUMMYFUNCTION("""COMPUTED_VALUE"""),"FLOWER WREATH FOR THE SISTER OF SIR OWIE PAR")</f>
        <v>FLOWER WREATH FOR THE SISTER OF SIR OWIE PAR</v>
      </c>
    </row>
    <row r="1201">
      <c r="A1201" s="234">
        <f>IFERROR(__xludf.DUMMYFUNCTION("""COMPUTED_VALUE"""),106034.0)</f>
        <v>106034</v>
      </c>
      <c r="B1201" s="235" t="str">
        <f>IFERROR(__xludf.DUMMYFUNCTION("""COMPUTED_VALUE"""),"ALFA DE LEON")</f>
        <v>ALFA DE LEON</v>
      </c>
      <c r="C1201" s="235" t="str">
        <f>IFERROR(__xludf.DUMMYFUNCTION("""COMPUTED_VALUE"""),"ADMIN - MUNICH")</f>
        <v>ADMIN - MUNICH</v>
      </c>
      <c r="D1201" s="196" t="str">
        <f>IFERROR(__xludf.DUMMYFUNCTION("""COMPUTED_VALUE"""),"10 PAIRS EACH COLOR FOOTPRINTS GREEN, RED, BLUE, YELLOW")</f>
        <v>10 PAIRS EACH COLOR FOOTPRINTS GREEN, RED, BLUE, YELLOW</v>
      </c>
      <c r="E1201" s="196" t="str">
        <f>IFERROR(__xludf.DUMMYFUNCTION("""COMPUTED_VALUE"""),"REPLACEMENT OF BROKEN STICKERS")</f>
        <v>REPLACEMENT OF BROKEN STICKERS</v>
      </c>
    </row>
    <row r="1202">
      <c r="A1202" s="234">
        <f>IFERROR(__xludf.DUMMYFUNCTION("""COMPUTED_VALUE"""),106035.0)</f>
        <v>106035</v>
      </c>
      <c r="B1202" s="235" t="str">
        <f>IFERROR(__xludf.DUMMYFUNCTION("""COMPUTED_VALUE"""),"RODRIGO CUSTODIO")</f>
        <v>RODRIGO CUSTODIO</v>
      </c>
      <c r="C1202" s="235" t="str">
        <f>IFERROR(__xludf.DUMMYFUNCTION("""COMPUTED_VALUE"""),"AMD")</f>
        <v>AMD</v>
      </c>
      <c r="D1202" s="196" t="str">
        <f>IFERROR(__xludf.DUMMYFUNCTION("""COMPUTED_VALUE"""),"20 PCS DEL FABRIC SOFTENER 1000ML
8 GALS ZONROX BLEACH 1 GALLON
2 PCS DUST MOP HANDLE &amp; FRAME WITH MOP HEAD #30")</f>
        <v>20 PCS DEL FABRIC SOFTENER 1000ML
8 GALS ZONROX BLEACH 1 GALLON
2 PCS DUST MOP HANDLE &amp; FRAME WITH MOP HEAD #30</v>
      </c>
      <c r="E1202" s="196" t="str">
        <f>IFERROR(__xludf.DUMMYFUNCTION("""COMPUTED_VALUE"""),"HOUSE KEEPING MATERIALS STOCK REPLENISHMENT")</f>
        <v>HOUSE KEEPING MATERIALS STOCK REPLENISHMENT</v>
      </c>
    </row>
    <row r="1203">
      <c r="A1203" s="234">
        <f>IFERROR(__xludf.DUMMYFUNCTION("""COMPUTED_VALUE"""),106036.0)</f>
        <v>106036</v>
      </c>
      <c r="B1203" s="235" t="str">
        <f>IFERROR(__xludf.DUMMYFUNCTION("""COMPUTED_VALUE"""),"RODRIGO CUSTODIO")</f>
        <v>RODRIGO CUSTODIO</v>
      </c>
      <c r="C1203" s="235" t="str">
        <f>IFERROR(__xludf.DUMMYFUNCTION("""COMPUTED_VALUE"""),"AMD")</f>
        <v>AMD</v>
      </c>
      <c r="D1203" s="196" t="str">
        <f>IFERROR(__xludf.DUMMYFUNCTION("""COMPUTED_VALUE"""),"10 GALS FLOOR FINISH STATE MIGHTY SPARKLE DIAMON 25 1 US GAL")</f>
        <v>10 GALS FLOOR FINISH STATE MIGHTY SPARKLE DIAMON 25 1 US GAL</v>
      </c>
      <c r="E1203" s="196" t="str">
        <f>IFERROR(__xludf.DUMMYFUNCTION("""COMPUTED_VALUE"""),"HOUSE KEEPING MATERIALS STOCK REPLENISHMENT")</f>
        <v>HOUSE KEEPING MATERIALS STOCK REPLENISHMENT</v>
      </c>
    </row>
    <row r="1204">
      <c r="A1204" s="234">
        <f>IFERROR(__xludf.DUMMYFUNCTION("""COMPUTED_VALUE"""),106037.0)</f>
        <v>106037</v>
      </c>
      <c r="B1204" s="235" t="str">
        <f>IFERROR(__xludf.DUMMYFUNCTION("""COMPUTED_VALUE"""),"CLEA LOMIWES/MELISSA ODONO")</f>
        <v>CLEA LOMIWES/MELISSA ODONO</v>
      </c>
      <c r="C1204" s="235" t="str">
        <f>IFERROR(__xludf.DUMMYFUNCTION("""COMPUTED_VALUE"""),"LIBRARY BASIC ED")</f>
        <v>LIBRARY BASIC ED</v>
      </c>
      <c r="D1204" s="196" t="str">
        <f>IFERROR(__xludf.DUMMYFUNCTION("""COMPUTED_VALUE"""),"5 MEDIUM TEAR DROP BEAN BAG IN CORDUROY COLOR GREY")</f>
        <v>5 MEDIUM TEAR DROP BEAN BAG IN CORDUROY COLOR GREY</v>
      </c>
      <c r="E1204" s="196" t="str">
        <f>IFERROR(__xludf.DUMMYFUNCTION("""COMPUTED_VALUE"""),"FOR READEING COMFORT OF STUDENTS IN THE IB AREA")</f>
        <v>FOR READEING COMFORT OF STUDENTS IN THE IB AREA</v>
      </c>
    </row>
    <row r="1205">
      <c r="A1205" s="234">
        <f>IFERROR(__xludf.DUMMYFUNCTION("""COMPUTED_VALUE"""),106038.0)</f>
        <v>106038</v>
      </c>
      <c r="B1205" s="235" t="str">
        <f>IFERROR(__xludf.DUMMYFUNCTION("""COMPUTED_VALUE"""),"ANNANEL VASQUEZ")</f>
        <v>ANNANEL VASQUEZ</v>
      </c>
      <c r="C1205" s="235" t="str">
        <f>IFERROR(__xludf.DUMMYFUNCTION("""COMPUTED_VALUE"""),"I.B.")</f>
        <v>I.B.</v>
      </c>
      <c r="D1205" s="196" t="str">
        <f>IFERROR(__xludf.DUMMYFUNCTION("""COMPUTED_VALUE"""),"STUDENT HANDBOX FOR AY 15-16 SIZE 6X8.3 IN GLOSSY")</f>
        <v>STUDENT HANDBOX FOR AY 15-16 SIZE 6X8.3 IN GLOSSY</v>
      </c>
      <c r="E1205" s="196" t="str">
        <f>IFERROR(__xludf.DUMMYFUNCTION("""COMPUTED_VALUE"""),"TO STUDENTS PRIOR TO THE CLASS")</f>
        <v>TO STUDENTS PRIOR TO THE CLASS</v>
      </c>
    </row>
    <row r="1206">
      <c r="A1206" s="234">
        <f>IFERROR(__xludf.DUMMYFUNCTION("""COMPUTED_VALUE"""),106039.0)</f>
        <v>106039</v>
      </c>
      <c r="B1206" s="235" t="str">
        <f>IFERROR(__xludf.DUMMYFUNCTION("""COMPUTED_VALUE"""),"MELISSA ODONO")</f>
        <v>MELISSA ODONO</v>
      </c>
      <c r="C1206" s="235" t="str">
        <f>IFERROR(__xludf.DUMMYFUNCTION("""COMPUTED_VALUE"""),"LIBRARY COLLEGE")</f>
        <v>LIBRARY COLLEGE</v>
      </c>
      <c r="D1206" s="196" t="str">
        <f>IFERROR(__xludf.DUMMYFUNCTION("""COMPUTED_VALUE"""),"1 EACH:
The Photographers's Guide to Drones					
The Photographers's Guide to Drones					
Globalization Media Culture and Society					
A Companion to New Media Dynamics					
Media  Publicity and Coverage					
Editor and Columnist					
Photo Journali"&amp;"sm Theory					
Broadcast Journalism: Basic Principles					
Journalism of Public Relations					
 Online News					
Internet Journalism					
Mass Communication and Media Studies An Introduction					
Computer Application for Journalism					")</f>
        <v>1 EACH:
The Photographers's Guide to Drones					
The Photographers's Guide to Drones					
Globalization Media Culture and Society					
A Companion to New Media Dynamics					
Media  Publicity and Coverage					
Editor and Columnist					
Photo Journalism Theory					
Broadcast Journalism: Basic Principles					
Journalism of Public Relations					
 Online News					
Internet Journalism					
Mass Communication and Media Studies An Introduction					
Computer Application for Journalism					</v>
      </c>
      <c r="E1206" s="196" t="str">
        <f>IFERROR(__xludf.DUMMYFUNCTION("""COMPUTED_VALUE"""),"FOR PACUCOA COMPLIANCE / LIBRARY'S COPY")</f>
        <v>FOR PACUCOA COMPLIANCE / LIBRARY'S COPY</v>
      </c>
    </row>
    <row r="1207">
      <c r="A1207" s="234">
        <f>IFERROR(__xludf.DUMMYFUNCTION("""COMPUTED_VALUE"""),106040.0)</f>
        <v>106040</v>
      </c>
      <c r="B1207" s="235" t="str">
        <f>IFERROR(__xludf.DUMMYFUNCTION("""COMPUTED_VALUE"""),"MELISSA ODONO")</f>
        <v>MELISSA ODONO</v>
      </c>
      <c r="C1207" s="235" t="str">
        <f>IFERROR(__xludf.DUMMYFUNCTION("""COMPUTED_VALUE"""),"LIBRARY COLLEGE")</f>
        <v>LIBRARY COLLEGE</v>
      </c>
      <c r="D1207" s="196" t="str">
        <f>IFERROR(__xludf.DUMMYFUNCTION("""COMPUTED_VALUE"""),"1 EACH:
Encyclopedia of Journalism and Mass Communication					
Journalism of Public Relations					
Writing for Media Theory					
Photo Journalism Theory					
Media  Society and Communication					
Impact of Social Media in Peace and Security					
Mul"&amp;"timedia System and Peripheral Devices					
Journalism and Mass Communication					
Mass Media And Communication					
Freedom of Press and Journalism					
Social Dynamics of Mass Communication					
Journalism In New Millenium					
Media and Democracy	"&amp;"				")</f>
        <v>1 EACH:
Encyclopedia of Journalism and Mass Communication					
Journalism of Public Relations					
Writing for Media Theory					
Photo Journalism Theory					
Media  Society and Communication					
Impact of Social Media in Peace and Security					
Multimedia System and Peripheral Devices					
Journalism and Mass Communication					
Mass Media And Communication					
Freedom of Press and Journalism					
Social Dynamics of Mass Communication					
Journalism In New Millenium					
Media and Democracy					</v>
      </c>
      <c r="E1207" s="196" t="str">
        <f>IFERROR(__xludf.DUMMYFUNCTION("""COMPUTED_VALUE"""),"FOR PACUCOA COMPLIANCE / LIBRARY'S COPY")</f>
        <v>FOR PACUCOA COMPLIANCE / LIBRARY'S COPY</v>
      </c>
    </row>
    <row r="1208">
      <c r="A1208" s="234">
        <f>IFERROR(__xludf.DUMMYFUNCTION("""COMPUTED_VALUE"""),106041.0)</f>
        <v>106041</v>
      </c>
      <c r="B1208" s="235" t="str">
        <f>IFERROR(__xludf.DUMMYFUNCTION("""COMPUTED_VALUE"""),"MELISSA ODONO")</f>
        <v>MELISSA ODONO</v>
      </c>
      <c r="C1208" s="235" t="str">
        <f>IFERROR(__xludf.DUMMYFUNCTION("""COMPUTED_VALUE"""),"LIBRARY COLLEGE")</f>
        <v>LIBRARY COLLEGE</v>
      </c>
      <c r="D1208" s="196" t="str">
        <f>IFERROR(__xludf.DUMMYFUNCTION("""COMPUTED_VALUE"""),"1 EACH:
Journalism Tools and Techniques					
Media of Communication: Radio, TV, and Video					")</f>
        <v>1 EACH:
Journalism Tools and Techniques					
Media of Communication: Radio, TV, and Video					</v>
      </c>
      <c r="E1208" s="196" t="str">
        <f>IFERROR(__xludf.DUMMYFUNCTION("""COMPUTED_VALUE"""),"FOR PACUCOA COMPLIANCE / LIBRARY'S COPY")</f>
        <v>FOR PACUCOA COMPLIANCE / LIBRARY'S COPY</v>
      </c>
    </row>
    <row r="1209">
      <c r="A1209" s="234">
        <f>IFERROR(__xludf.DUMMYFUNCTION("""COMPUTED_VALUE"""),106042.0)</f>
        <v>106042</v>
      </c>
      <c r="B1209" s="235" t="str">
        <f>IFERROR(__xludf.DUMMYFUNCTION("""COMPUTED_VALUE"""),"MELISSA ODONO")</f>
        <v>MELISSA ODONO</v>
      </c>
      <c r="C1209" s="235" t="str">
        <f>IFERROR(__xludf.DUMMYFUNCTION("""COMPUTED_VALUE"""),"LIBRARY COLLEGE")</f>
        <v>LIBRARY COLLEGE</v>
      </c>
      <c r="D1209" s="196" t="str">
        <f>IFERROR(__xludf.DUMMYFUNCTION("""COMPUTED_VALUE"""),"1 EACH:
Housekeeping Operations, 2025, PB					
Indigenous Tourism: The Commodification and Management of Culture, 2025, HB					
Innovation Strategies and Organizational 2025, HB					
Innovations in Guest Experience Mgt.2025, HB					
International Crui"&amp;"se &amp; Maritime Operations, 2025, PB					
Introduction to Hotel Operations, 2025, PB					
Introduction to Tourism and Hospitality Management, 2024, PB					
Kitchen Planning and Management, 2025, PB					
Luxury Tourism &amp; Experiental Travel, 2025, PB					"&amp;"
Medical Tourism in Developing Countries, 2025, PB					
Practical Guide to Achieving Customer Satisfaction in Events and Hotel, 2023, PB					
Restaurant Concepts, Management and Operations 2025, PB					
Rural Tourism Development, 2025, HB					
Social"&amp;" Responsibility in Tourism, 2025, PB					
Sport Tourism Events and Impact, 2025, PB					")</f>
        <v>1 EACH:
Housekeeping Operations, 2025, PB					
Indigenous Tourism: The Commodification and Management of Culture, 2025, HB					
Innovation Strategies and Organizational 2025, HB					
Innovations in Guest Experience Mgt.2025, HB					
International Cruise &amp; Maritime Operations, 2025, PB					
Introduction to Hotel Operations, 2025, PB					
Introduction to Tourism and Hospitality Management, 2024, PB					
Kitchen Planning and Management, 2025, PB					
Luxury Tourism &amp; Experiental Travel, 2025, PB					
Medical Tourism in Developing Countries, 2025, PB					
Practical Guide to Achieving Customer Satisfaction in Events and Hotel, 2023, PB					
Restaurant Concepts, Management and Operations 2025, PB					
Rural Tourism Development, 2025, HB					
Social Responsibility in Tourism, 2025, PB					
Sport Tourism Events and Impact, 2025, PB					</v>
      </c>
      <c r="E1209" s="196" t="str">
        <f>IFERROR(__xludf.DUMMYFUNCTION("""COMPUTED_VALUE"""),"FOR PACUCOA COMPLIANCE / LIBRARY'S COPY")</f>
        <v>FOR PACUCOA COMPLIANCE / LIBRARY'S COPY</v>
      </c>
    </row>
    <row r="1210">
      <c r="A1210" s="234">
        <f>IFERROR(__xludf.DUMMYFUNCTION("""COMPUTED_VALUE"""),106043.0)</f>
        <v>106043</v>
      </c>
      <c r="B1210" s="235" t="str">
        <f>IFERROR(__xludf.DUMMYFUNCTION("""COMPUTED_VALUE"""),"MELISSA ODONO")</f>
        <v>MELISSA ODONO</v>
      </c>
      <c r="C1210" s="235" t="str">
        <f>IFERROR(__xludf.DUMMYFUNCTION("""COMPUTED_VALUE"""),"LIBRARY COLLEGE")</f>
        <v>LIBRARY COLLEGE</v>
      </c>
      <c r="D1210" s="196" t="str">
        <f>IFERROR(__xludf.DUMMYFUNCTION("""COMPUTED_VALUE"""),"1 EACH:
Environmental Responsibility in Hospitality Operation, 2025, PB					
Explorations of Emerging Source Markets in the Hospitality Sector, 2023, HB					
Exploring Cultural Tourism in the Hospitality World, 2025, PB					
Food Beverage Service Manag"&amp;"ement, 2024, PB					
Food and Wine Tourism, 2023, PB					
Food Processing Technology: Principles and Practice, 2024 , PB					
Food Production Operations, with DVD, 2023, 3e, PB					
Food Safety and Public Health in Restaurants, 2025, PB					
Front Of"&amp;"fice Operations and Management in Hospitality Industry, 2024, PB					
Future of Tourism Marketing, 2025, PB					
General Mgt. Skills for Hotel Managers, 2023, PB					
HACCP System Auditing for Food Safety, 2024, HB					
Handbook of Food Processing &amp; P"&amp;"roduction, 2025 PB					
Heritage Hotels, 2025, HB					
Hospitality Leasdership and Applied Ethics, 2025, PB					")</f>
        <v>1 EACH:
Environmental Responsibility in Hospitality Operation, 2025, PB					
Explorations of Emerging Source Markets in the Hospitality Sector, 2023, HB					
Exploring Cultural Tourism in the Hospitality World, 2025, PB					
Food Beverage Service Management, 2024, PB					
Food and Wine Tourism, 2023, PB					
Food Processing Technology: Principles and Practice, 2024 , PB					
Food Production Operations, with DVD, 2023, 3e, PB					
Food Safety and Public Health in Restaurants, 2025, PB					
Front Office Operations and Management in Hospitality Industry, 2024, PB					
Future of Tourism Marketing, 2025, PB					
General Mgt. Skills for Hotel Managers, 2023, PB					
HACCP System Auditing for Food Safety, 2024, HB					
Handbook of Food Processing &amp; Production, 2025 PB					
Heritage Hotels, 2025, HB					
Hospitality Leasdership and Applied Ethics, 2025, PB					</v>
      </c>
      <c r="E1210" s="196" t="str">
        <f>IFERROR(__xludf.DUMMYFUNCTION("""COMPUTED_VALUE"""),"FOR PACUCOA COMPLIANCE / LIBRARY'S COPY")</f>
        <v>FOR PACUCOA COMPLIANCE / LIBRARY'S COPY</v>
      </c>
    </row>
    <row r="1211">
      <c r="A1211" s="234">
        <f>IFERROR(__xludf.DUMMYFUNCTION("""COMPUTED_VALUE"""),106044.0)</f>
        <v>106044</v>
      </c>
      <c r="B1211" s="235" t="str">
        <f>IFERROR(__xludf.DUMMYFUNCTION("""COMPUTED_VALUE"""),"MELISSA ODONO")</f>
        <v>MELISSA ODONO</v>
      </c>
      <c r="C1211" s="235" t="str">
        <f>IFERROR(__xludf.DUMMYFUNCTION("""COMPUTED_VALUE"""),"LIBRARY COLLEGE")</f>
        <v>LIBRARY COLLEGE</v>
      </c>
      <c r="D1211" s="196" t="str">
        <f>IFERROR(__xludf.DUMMYFUNCTION("""COMPUTED_VALUE"""),"1 EACH:
Visual Reference to Restaurant Mgt. &amp; Operation, A, 2023, PB					
Wellness Tourism, 2025, PB					")</f>
        <v>1 EACH:
Visual Reference to Restaurant Mgt. &amp; Operation, A, 2023, PB					
Wellness Tourism, 2025, PB					</v>
      </c>
      <c r="E1211" s="196" t="str">
        <f>IFERROR(__xludf.DUMMYFUNCTION("""COMPUTED_VALUE"""),"FOR PACUCOA COMPLIANCE / LIBRARY'S COPY")</f>
        <v>FOR PACUCOA COMPLIANCE / LIBRARY'S COPY</v>
      </c>
    </row>
    <row r="1212">
      <c r="A1212" s="234">
        <f>IFERROR(__xludf.DUMMYFUNCTION("""COMPUTED_VALUE"""),106045.0)</f>
        <v>106045</v>
      </c>
      <c r="B1212" s="235" t="str">
        <f>IFERROR(__xludf.DUMMYFUNCTION("""COMPUTED_VALUE"""),"MELISSA ODONO")</f>
        <v>MELISSA ODONO</v>
      </c>
      <c r="C1212" s="235" t="str">
        <f>IFERROR(__xludf.DUMMYFUNCTION("""COMPUTED_VALUE"""),"LIBRARY COLLEGE")</f>
        <v>LIBRARY COLLEGE</v>
      </c>
      <c r="D1212" s="196" t="str">
        <f>IFERROR(__xludf.DUMMYFUNCTION("""COMPUTED_VALUE"""),"1 EACH:
Startup Guide: Events Planning, 2023, 3e PB					
Startup Guide:  Restaurant, with DVD, 2023, 2e PB					
Sustainable Marketing of Transformative Heritage Tourism, 2025, PB					
Sustainable  Tourism in Island Destinations, 2025, HB					
Sustaina"&amp;"ble  Tourism Practices &amp; Their Effect on Local Communities, 2025, HB					
Sustainable  Tourism , 2025, PB					
Tourism and Hospitality Management: An Integrated Approach, 2025, PB					
Tourism  Development, 2023, PB					
Tourism Entrepreneurship &amp; Inn"&amp;"ovation, 2025, PB					
Tourism Information Technology, 2025 HB					
Tourism Planning Basic Concepts, 2025 HB					
Tourism Policy an Regulation, 2023 PB					
Tourism Recovery From Covid-18, 2023 HB					
Tourism Destinations According to Stakeholder St"&amp;"rategies Vol. 7, 2024, HB					
Travel Agency and Tour Operations Management, 2024, PB					")</f>
        <v>1 EACH:
Startup Guide: Events Planning, 2023, 3e PB					
Startup Guide:  Restaurant, with DVD, 2023, 2e PB					
Sustainable Marketing of Transformative Heritage Tourism, 2025, PB					
Sustainable  Tourism in Island Destinations, 2025, HB					
Sustainable  Tourism Practices &amp; Their Effect on Local Communities, 2025, HB					
Sustainable  Tourism , 2025, PB					
Tourism and Hospitality Management: An Integrated Approach, 2025, PB					
Tourism  Development, 2023, PB					
Tourism Entrepreneurship &amp; Innovation, 2025, PB					
Tourism Information Technology, 2025 HB					
Tourism Planning Basic Concepts, 2025 HB					
Tourism Policy an Regulation, 2023 PB					
Tourism Recovery From Covid-18, 2023 HB					
Tourism Destinations According to Stakeholder Strategies Vol. 7, 2024, HB					
Travel Agency and Tour Operations Management, 2024, PB					</v>
      </c>
      <c r="E1212" s="196" t="str">
        <f>IFERROR(__xludf.DUMMYFUNCTION("""COMPUTED_VALUE"""),"FOR PACUCOA COMPLIANCE / LIBRARY'S COPY")</f>
        <v>FOR PACUCOA COMPLIANCE / LIBRARY'S COPY</v>
      </c>
    </row>
    <row r="1213">
      <c r="A1213" s="234">
        <f>IFERROR(__xludf.DUMMYFUNCTION("""COMPUTED_VALUE"""),106046.0)</f>
        <v>106046</v>
      </c>
      <c r="B1213" s="235" t="str">
        <f>IFERROR(__xludf.DUMMYFUNCTION("""COMPUTED_VALUE"""),"MELISSA ODONO")</f>
        <v>MELISSA ODONO</v>
      </c>
      <c r="C1213" s="235" t="str">
        <f>IFERROR(__xludf.DUMMYFUNCTION("""COMPUTED_VALUE"""),"LIBRARY COLLEGE")</f>
        <v>LIBRARY COLLEGE</v>
      </c>
      <c r="D1213" s="196" t="str">
        <f>IFERROR(__xludf.DUMMYFUNCTION("""COMPUTED_VALUE"""),"1 EACH:
Advanced Convention &amp; Events Management, 2025, PB					
Adventure Tourism Sports, 2025 PB					
Applied Business  Tools &amp; Technological in Tourism, 2025					
Banguents and Conferences in the Digital Age: Innovations in Event Mgt. 2025, PB					
B"&amp;"everages Products &amp; Bar Operations, 2025, PB					
Boutique Hotels and Local Tourism Develoment, 2025, PB					
Consumer Behavior in Hospitality and Tourism, 2025, PB					
Cruise Tourism Environmental Impact, 2025, PB					
Cultural Heritage Touirism, 20"&amp;"25, PB					
Cultural Tourism The Partnership Between Tourism &amp; Cultural Heritage Mgt. 2025, PB					
Development of Smart Tourism Destination, 2025, PB					
Digital Marketing in the Intl. Tourism &amp; Hospitality Industry 2025, PB					
Dining Experiences "&amp;"Beyond the Plate: Restaurants Innoivation, 2025, PB					
Diversity and Inclusion in the Hospitality, Workforce, 2025, PB					
Educational Tourism Learning Journeys, 2025, PB					")</f>
        <v>1 EACH:
Advanced Convention &amp; Events Management, 2025, PB					
Adventure Tourism Sports, 2025 PB					
Applied Business  Tools &amp; Technological in Tourism, 2025					
Banguents and Conferences in the Digital Age: Innovations in Event Mgt. 2025, PB					
Beverages Products &amp; Bar Operations, 2025, PB					
Boutique Hotels and Local Tourism Develoment, 2025, PB					
Consumer Behavior in Hospitality and Tourism, 2025, PB					
Cruise Tourism Environmental Impact, 2025, PB					
Cultural Heritage Touirism, 2025, PB					
Cultural Tourism The Partnership Between Tourism &amp; Cultural Heritage Mgt. 2025, PB					
Development of Smart Tourism Destination, 2025, PB					
Digital Marketing in the Intl. Tourism &amp; Hospitality Industry 2025, PB					
Dining Experiences Beyond the Plate: Restaurants Innoivation, 2025, PB					
Diversity and Inclusion in the Hospitality, Workforce, 2025, PB					
Educational Tourism Learning Journeys, 2025, PB					</v>
      </c>
      <c r="E1213" s="196" t="str">
        <f>IFERROR(__xludf.DUMMYFUNCTION("""COMPUTED_VALUE"""),"FOR PACUCOA COMPLIANCE / LIBRARY'S COPY")</f>
        <v>FOR PACUCOA COMPLIANCE / LIBRARY'S COPY</v>
      </c>
    </row>
    <row r="1214">
      <c r="A1214" s="234">
        <f>IFERROR(__xludf.DUMMYFUNCTION("""COMPUTED_VALUE"""),106047.0)</f>
        <v>106047</v>
      </c>
      <c r="B1214" s="235" t="str">
        <f>IFERROR(__xludf.DUMMYFUNCTION("""COMPUTED_VALUE"""),"FELESE ANGELINE FAMADOR")</f>
        <v>FELESE ANGELINE FAMADOR</v>
      </c>
      <c r="C1214" s="235" t="str">
        <f>IFERROR(__xludf.DUMMYFUNCTION("""COMPUTED_VALUE"""),"MEDICAL")</f>
        <v>MEDICAL</v>
      </c>
      <c r="D1214" s="196" t="str">
        <f>IFERROR(__xludf.DUMMYFUNCTION("""COMPUTED_VALUE"""),"20 ATHLETIC TAPE 
20 PRO WRAP TAPE
20 KINESIOLOGY TAPE
20 SELF ADHESIVE BANDAGE 
5 OMEGA PAIN RELIEF SPRAY
5 SALONPASS PAIN RELIEF SPRAY
20 HYDRITE
2 OMEGA LINIMENT 
10 SALONPAS PATCH
30 PRIME COMB ELASTIC BANDAGES
40 BIOGESIC
20 ADVIL
20 ALAXAN 
20 MEFIN"&amp;"AMIC ACID
30 DIATABS
20 NEOZEP 
20 TUSERAN 
20 SOLMUX 
20 CETERIZINE
20 BONAMINE
30 STREPSILS
50 GAUZE PAD
20 COTTON BALLS
WHITE FLOWER
1 EFFICASCENT OIL")</f>
        <v>20 ATHLETIC TAPE 
20 PRO WRAP TAPE
20 KINESIOLOGY TAPE
20 SELF ADHESIVE BANDAGE 
5 OMEGA PAIN RELIEF SPRAY
5 SALONPASS PAIN RELIEF SPRAY
20 HYDRITE
2 OMEGA LINIMENT 
10 SALONPAS PATCH
30 PRIME COMB ELASTIC BANDAGES
40 BIOGESIC
20 ADVIL
20 ALAXAN 
20 MEFINAMIC ACID
30 DIATABS
20 NEOZEP 
20 TUSERAN 
20 SOLMUX 
20 CETERIZINE
20 BONAMINE
30 STREPSILS
50 GAUZE PAD
20 COTTON BALLS
WHITE FLOWER
1 EFFICASCENT OIL</v>
      </c>
      <c r="E1214" s="196" t="str">
        <f>IFERROR(__xludf.DUMMYFUNCTION("""COMPUTED_VALUE"""),"SILLIMAN DUAL MEET AUG 17-19 60 ATHLETES 8 COACHES 1 NURSE")</f>
        <v>SILLIMAN DUAL MEET AUG 17-19 60 ATHLETES 8 COACHES 1 NURSE</v>
      </c>
    </row>
    <row r="1215">
      <c r="A1215" s="234">
        <f>IFERROR(__xludf.DUMMYFUNCTION("""COMPUTED_VALUE"""),106048.0)</f>
        <v>106048</v>
      </c>
      <c r="B1215" s="235" t="str">
        <f>IFERROR(__xludf.DUMMYFUNCTION("""COMPUTED_VALUE"""),"ALFA DE LEON")</f>
        <v>ALFA DE LEON</v>
      </c>
      <c r="C1215" s="235" t="str">
        <f>IFERROR(__xludf.DUMMYFUNCTION("""COMPUTED_VALUE"""),"LANDSCAPING")</f>
        <v>LANDSCAPING</v>
      </c>
      <c r="D1215" s="196" t="str">
        <f>IFERROR(__xludf.DUMMYFUNCTION("""COMPUTED_VALUE"""),"2 PCS ITAK")</f>
        <v>2 PCS ITAK</v>
      </c>
      <c r="E1215" s="196" t="str">
        <f>IFERROR(__xludf.DUMMYFUNCTION("""COMPUTED_VALUE"""),"CLEARING CCUTTING GRASS SMALL TREE BRANCHES")</f>
        <v>CLEARING CCUTTING GRASS SMALL TREE BRANCHES</v>
      </c>
    </row>
    <row r="1216">
      <c r="A1216" s="234">
        <f>IFERROR(__xludf.DUMMYFUNCTION("""COMPUTED_VALUE"""),106049.0)</f>
        <v>106049</v>
      </c>
      <c r="B1216" s="235" t="str">
        <f>IFERROR(__xludf.DUMMYFUNCTION("""COMPUTED_VALUE"""),"ALFA DE LEON")</f>
        <v>ALFA DE LEON</v>
      </c>
      <c r="C1216" s="235" t="str">
        <f>IFERROR(__xludf.DUMMYFUNCTION("""COMPUTED_VALUE"""),"LANDSCAPING")</f>
        <v>LANDSCAPING</v>
      </c>
      <c r="D1216" s="196" t="str">
        <f>IFERROR(__xludf.DUMMYFUNCTION("""COMPUTED_VALUE"""),"4 PCS WATER SPRINKLER")</f>
        <v>4 PCS WATER SPRINKLER</v>
      </c>
      <c r="E1216" s="196" t="str">
        <f>IFERROR(__xludf.DUMMYFUNCTION("""COMPUTED_VALUE"""),"WATERING CARABAO GRASS IN MONARCHS GYM")</f>
        <v>WATERING CARABAO GRASS IN MONARCHS GYM</v>
      </c>
    </row>
    <row r="1217">
      <c r="A1217" s="234">
        <f>IFERROR(__xludf.DUMMYFUNCTION("""COMPUTED_VALUE"""),106050.0)</f>
        <v>106050</v>
      </c>
      <c r="B1217" s="235" t="str">
        <f>IFERROR(__xludf.DUMMYFUNCTION("""COMPUTED_VALUE"""),"RONALD VERDE")</f>
        <v>RONALD VERDE</v>
      </c>
      <c r="C1217" s="235" t="str">
        <f>IFERROR(__xludf.DUMMYFUNCTION("""COMPUTED_VALUE"""),"ADMIN")</f>
        <v>ADMIN</v>
      </c>
      <c r="D1217" s="196" t="str">
        <f>IFERROR(__xludf.DUMMYFUNCTION("""COMPUTED_VALUE"""),"4 PCS FLOOD LED LIGHTS 120 WATTS")</f>
        <v>4 PCS FLOOD LED LIGHTS 120 WATTS</v>
      </c>
      <c r="E1217" s="196" t="str">
        <f>IFERROR(__xludf.DUMMYFUNCTION("""COMPUTED_VALUE"""),"LIGHTS FOR SOCCER FIELD")</f>
        <v>LIGHTS FOR SOCCER FIELD</v>
      </c>
    </row>
    <row r="1218">
      <c r="A1218" s="234">
        <f>IFERROR(__xludf.DUMMYFUNCTION("""COMPUTED_VALUE"""),106051.0)</f>
        <v>106051</v>
      </c>
      <c r="B1218" s="235" t="str">
        <f>IFERROR(__xludf.DUMMYFUNCTION("""COMPUTED_VALUE"""),"LYKA PERALTA")</f>
        <v>LYKA PERALTA</v>
      </c>
      <c r="C1218" s="235" t="str">
        <f>IFERROR(__xludf.DUMMYFUNCTION("""COMPUTED_VALUE"""),"AMD")</f>
        <v>AMD</v>
      </c>
      <c r="D1218" s="196" t="str">
        <f>IFERROR(__xludf.DUMMYFUNCTION("""COMPUTED_VALUE"""),"182 PACKS PAPER WATER COLOR PAPER CANSON A4 10PCS/PACK")</f>
        <v>182 PACKS PAPER WATER COLOR PAPER CANSON A4 10PCS/PACK</v>
      </c>
      <c r="E1218" s="196" t="str">
        <f>IFERROR(__xludf.DUMMYFUNCTION("""COMPUTED_VALUE"""),"STUDENT MATERIALS FOR AY 25-26")</f>
        <v>STUDENT MATERIALS FOR AY 25-26</v>
      </c>
    </row>
    <row r="1219">
      <c r="A1219" s="234">
        <f>IFERROR(__xludf.DUMMYFUNCTION("""COMPUTED_VALUE"""),106052.0)</f>
        <v>106052</v>
      </c>
      <c r="B1219" s="235" t="str">
        <f>IFERROR(__xludf.DUMMYFUNCTION("""COMPUTED_VALUE"""),"RONALDO VERDE")</f>
        <v>RONALDO VERDE</v>
      </c>
      <c r="C1219" s="235" t="str">
        <f>IFERROR(__xludf.DUMMYFUNCTION("""COMPUTED_VALUE"""),"ADMIN")</f>
        <v>ADMIN</v>
      </c>
      <c r="D1219" s="196" t="str">
        <f>IFERROR(__xludf.DUMMYFUNCTION("""COMPUTED_VALUE"""),"2 ROLL THHN THWN #12
 5 BOX UTILITY BOX
20 PCS PVC PIPE 1/2 ORANGE
5 PCS ELECTRIC TAPE
1 PC CIRCUIT BREAKER 20 AMP
2 PC CIRCUIT BREAKER 30 AMP
1 PC CIRCUIT BREAKER 60 AMP")</f>
        <v>2 ROLL THHN THWN #12
 5 BOX UTILITY BOX
20 PCS PVC PIPE 1/2 ORANGE
5 PCS ELECTRIC TAPE
1 PC CIRCUIT BREAKER 20 AMP
2 PC CIRCUIT BREAKER 30 AMP
1 PC CIRCUIT BREAKER 60 AMP</v>
      </c>
      <c r="E1219" s="196" t="str">
        <f>IFERROR(__xludf.DUMMYFUNCTION("""COMPUTED_VALUE"""),"FOR MONARCHS GYM WIRINGS ")</f>
        <v>FOR MONARCHS GYM WIRINGS </v>
      </c>
    </row>
    <row r="1220">
      <c r="A1220" s="234">
        <f>IFERROR(__xludf.DUMMYFUNCTION("""COMPUTED_VALUE"""),106053.0)</f>
        <v>106053</v>
      </c>
      <c r="B1220" s="235" t="str">
        <f>IFERROR(__xludf.DUMMYFUNCTION("""COMPUTED_VALUE"""),"ALFA DE LEON")</f>
        <v>ALFA DE LEON</v>
      </c>
      <c r="C1220" s="235" t="str">
        <f>IFERROR(__xludf.DUMMYFUNCTION("""COMPUTED_VALUE"""),"ADMIN - MUNICH")</f>
        <v>ADMIN - MUNICH</v>
      </c>
      <c r="D1220" s="196" t="str">
        <f>IFERROR(__xludf.DUMMYFUNCTION("""COMPUTED_VALUE"""),"2 FIDDLE LEN FIG TREE")</f>
        <v>2 FIDDLE LEN FIG TREE</v>
      </c>
      <c r="E1220" s="196" t="str">
        <f>IFERROR(__xludf.DUMMYFUNCTION("""COMPUTED_VALUE"""),"RECOMMENDATION OF ARCH HOLTZ FOR FOODCOURT PLANT")</f>
        <v>RECOMMENDATION OF ARCH HOLTZ FOR FOODCOURT PLANT</v>
      </c>
    </row>
    <row r="1221">
      <c r="A1221" s="234">
        <f>IFERROR(__xludf.DUMMYFUNCTION("""COMPUTED_VALUE"""),106054.0)</f>
        <v>106054</v>
      </c>
      <c r="B1221" s="235" t="str">
        <f>IFERROR(__xludf.DUMMYFUNCTION("""COMPUTED_VALUE"""),"LYKA PERALTA")</f>
        <v>LYKA PERALTA</v>
      </c>
      <c r="C1221" s="235" t="str">
        <f>IFERROR(__xludf.DUMMYFUNCTION("""COMPUTED_VALUE"""),"AMD")</f>
        <v>AMD</v>
      </c>
      <c r="D1221" s="196" t="str">
        <f>IFERROR(__xludf.DUMMYFUNCTION("""COMPUTED_VALUE"""),"MARKER, WHITEBOARD - PILOT BLACK 
MARKER, PILOT FINE BLACK ( OSSUP )")</f>
        <v>MARKER, WHITEBOARD - PILOT BLACK 
MARKER, PILOT FINE BLACK ( OSSUP )</v>
      </c>
      <c r="E1221" s="196" t="str">
        <f>IFERROR(__xludf.DUMMYFUNCTION("""COMPUTED_VALUE"""),"OSSUP- STOCK REPLENISHMENT")</f>
        <v>OSSUP- STOCK REPLENISHMENT</v>
      </c>
    </row>
    <row r="1222">
      <c r="A1222" s="234">
        <f>IFERROR(__xludf.DUMMYFUNCTION("""COMPUTED_VALUE"""),106055.0)</f>
        <v>106055</v>
      </c>
      <c r="B1222" s="235" t="str">
        <f>IFERROR(__xludf.DUMMYFUNCTION("""COMPUTED_VALUE"""),"JANCEL PRADILLADA")</f>
        <v>JANCEL PRADILLADA</v>
      </c>
      <c r="C1222" s="235" t="str">
        <f>IFERROR(__xludf.DUMMYFUNCTION("""COMPUTED_VALUE"""),"MIS/ICT")</f>
        <v>MIS/ICT</v>
      </c>
      <c r="D1222" s="196" t="str">
        <f>IFERROR(__xludf.DUMMYFUNCTION("""COMPUTED_VALUE"""),"2 PCS SPEAKER STAND")</f>
        <v>2 PCS SPEAKER STAND</v>
      </c>
      <c r="E1222" s="196" t="str">
        <f>IFERROR(__xludf.DUMMYFUNCTION("""COMPUTED_VALUE"""),"FOR EVENTS")</f>
        <v>FOR EVENTS</v>
      </c>
    </row>
    <row r="1223">
      <c r="A1223" s="234">
        <f>IFERROR(__xludf.DUMMYFUNCTION("""COMPUTED_VALUE"""),106056.0)</f>
        <v>106056</v>
      </c>
      <c r="B1223" s="235" t="str">
        <f>IFERROR(__xludf.DUMMYFUNCTION("""COMPUTED_VALUE"""),"MELISSA ODONO")</f>
        <v>MELISSA ODONO</v>
      </c>
      <c r="C1223" s="235" t="str">
        <f>IFERROR(__xludf.DUMMYFUNCTION("""COMPUTED_VALUE"""),"LIBRARY COLLEGE")</f>
        <v>LIBRARY COLLEGE</v>
      </c>
      <c r="D1223" s="196" t="str">
        <f>IFERROR(__xludf.DUMMYFUNCTION("""COMPUTED_VALUE"""),"1 EACH:
Real Estate Planning and Development					
Real Estate Investment and Financial Analysis					
Real Estate Planning How to Buy a House					
Commmercial Real Estate: Analysis and Investment					
Fundamental of Real Estate Management					
Foundat"&amp;"ion of Real Estate Financial Modelling					
Real Estate  Markeing And Brokerage					
Real Estate  Consulting and Investment Analysis					
Real Estate  Finance					
Legal Aspect of Real Estate 					
Real Estate  Consulting 					
Real Estate  Laws				"&amp;"	
Real Estate  Appraisal and Property Management					")</f>
        <v>1 EACH:
Real Estate Planning and Development					
Real Estate Investment and Financial Analysis					
Real Estate Planning How to Buy a House					
Commmercial Real Estate: Analysis and Investment					
Fundamental of Real Estate Management					
Foundation of Real Estate Financial Modelling					
Real Estate  Markeing And Brokerage					
Real Estate  Consulting and Investment Analysis					
Real Estate  Finance					
Legal Aspect of Real Estate 					
Real Estate  Consulting 					
Real Estate  Laws					
Real Estate  Appraisal and Property Management					</v>
      </c>
      <c r="E1223" s="196" t="str">
        <f>IFERROR(__xludf.DUMMYFUNCTION("""COMPUTED_VALUE"""),"FOR LIBRARY COPY")</f>
        <v>FOR LIBRARY COPY</v>
      </c>
    </row>
    <row r="1224">
      <c r="A1224" s="234">
        <f>IFERROR(__xludf.DUMMYFUNCTION("""COMPUTED_VALUE"""),106057.0)</f>
        <v>106057</v>
      </c>
      <c r="B1224" s="235" t="str">
        <f>IFERROR(__xludf.DUMMYFUNCTION("""COMPUTED_VALUE"""),"MELISSA ODONO")</f>
        <v>MELISSA ODONO</v>
      </c>
      <c r="C1224" s="235" t="str">
        <f>IFERROR(__xludf.DUMMYFUNCTION("""COMPUTED_VALUE"""),"LIBRARY COLLEGE")</f>
        <v>LIBRARY COLLEGE</v>
      </c>
      <c r="D1224" s="196" t="str">
        <f>IFERROR(__xludf.DUMMYFUNCTION("""COMPUTED_VALUE"""),"1 EACH:
Real Estate  Investment and Finance: Strategies ,Structure, Decision					
Real Estate Game Changers					
Real Estate Finance and Investment Risk &amp; Opportunities					")</f>
        <v>1 EACH:
Real Estate  Investment and Finance: Strategies ,Structure, Decision					
Real Estate Game Changers					
Real Estate Finance and Investment Risk &amp; Opportunities					</v>
      </c>
      <c r="E1224" s="196" t="str">
        <f>IFERROR(__xludf.DUMMYFUNCTION("""COMPUTED_VALUE"""),"FOR LIBRARY COPY")</f>
        <v>FOR LIBRARY COPY</v>
      </c>
    </row>
    <row r="1225">
      <c r="A1225" s="234">
        <f>IFERROR(__xludf.DUMMYFUNCTION("""COMPUTED_VALUE"""),106058.0)</f>
        <v>106058</v>
      </c>
      <c r="B1225" s="235" t="str">
        <f>IFERROR(__xludf.DUMMYFUNCTION("""COMPUTED_VALUE"""),"ANN VILLARUZ")</f>
        <v>ANN VILLARUZ</v>
      </c>
      <c r="C1225" s="235" t="str">
        <f>IFERROR(__xludf.DUMMYFUNCTION("""COMPUTED_VALUE"""),"STUDENT AFFAIRS COLLEGE")</f>
        <v>STUDENT AFFAIRS COLLEGE</v>
      </c>
      <c r="D1225" s="196" t="str">
        <f>IFERROR(__xludf.DUMMYFUNCTION("""COMPUTED_VALUE"""),"PLAQUE OF APPRECIATION FOR GRADUATION SPEAKER")</f>
        <v>PLAQUE OF APPRECIATION FOR GRADUATION SPEAKER</v>
      </c>
      <c r="E1225" s="196" t="str">
        <f>IFERROR(__xludf.DUMMYFUNCTION("""COMPUTED_VALUE"""),"PLAQUE OF APPRECIATION FOR GRADUATION SPEAKER")</f>
        <v>PLAQUE OF APPRECIATION FOR GRADUATION SPEAKER</v>
      </c>
    </row>
    <row r="1226">
      <c r="A1226" s="234">
        <f>IFERROR(__xludf.DUMMYFUNCTION("""COMPUTED_VALUE"""),106059.0)</f>
        <v>106059</v>
      </c>
      <c r="B1226" s="235" t="str">
        <f>IFERROR(__xludf.DUMMYFUNCTION("""COMPUTED_VALUE"""),"ANN DELA ISLA")</f>
        <v>ANN DELA ISLA</v>
      </c>
      <c r="C1226" s="235" t="str">
        <f>IFERROR(__xludf.DUMMYFUNCTION("""COMPUTED_VALUE"""),"IB")</f>
        <v>IB</v>
      </c>
      <c r="D1226" s="196" t="str">
        <f>IFERROR(__xludf.DUMMYFUNCTION("""COMPUTED_VALUE"""),"3 WHITEBOARD 4FTX5FT")</f>
        <v>3 WHITEBOARD 4FTX5FT</v>
      </c>
      <c r="E1226" s="196" t="str">
        <f>IFERROR(__xludf.DUMMYFUNCTION("""COMPUTED_VALUE"""),"OLD WHITEBOARD HAVE MARK THAT CANT BE ERASE")</f>
        <v>OLD WHITEBOARD HAVE MARK THAT CANT BE ERASE</v>
      </c>
    </row>
    <row r="1227">
      <c r="A1227" s="234">
        <f>IFERROR(__xludf.DUMMYFUNCTION("""COMPUTED_VALUE"""),106060.0)</f>
        <v>106060</v>
      </c>
      <c r="B1227" s="235" t="str">
        <f>IFERROR(__xludf.DUMMYFUNCTION("""COMPUTED_VALUE"""),"ANN DELA ISLA")</f>
        <v>ANN DELA ISLA</v>
      </c>
      <c r="C1227" s="235" t="str">
        <f>IFERROR(__xludf.DUMMYFUNCTION("""COMPUTED_VALUE"""),"IB")</f>
        <v>IB</v>
      </c>
      <c r="D1227" s="196" t="str">
        <f>IFERROR(__xludf.DUMMYFUNCTION("""COMPUTED_VALUE"""),"3 COMPUTER CHAIRS/ OFFICE CHAIRS 
-IB COORDINATOR
-ASST. IB COORDINATOR
-ADMIN ASSOCIATE")</f>
        <v>3 COMPUTER CHAIRS/ OFFICE CHAIRS 
-IB COORDINATOR
-ASST. IB COORDINATOR
-ADMIN ASSOCIATE</v>
      </c>
      <c r="E1227" s="196" t="str">
        <f>IFERROR(__xludf.DUMMYFUNCTION("""COMPUTED_VALUE"""),"TO REPLACE ALL CHAIRS")</f>
        <v>TO REPLACE ALL CHAIRS</v>
      </c>
    </row>
    <row r="1228">
      <c r="A1228" s="234">
        <f>IFERROR(__xludf.DUMMYFUNCTION("""COMPUTED_VALUE"""),106061.0)</f>
        <v>106061</v>
      </c>
      <c r="B1228" s="235" t="str">
        <f>IFERROR(__xludf.DUMMYFUNCTION("""COMPUTED_VALUE"""),"MARC VINCENT VITTO")</f>
        <v>MARC VINCENT VITTO</v>
      </c>
      <c r="C1228" s="235" t="str">
        <f>IFERROR(__xludf.DUMMYFUNCTION("""COMPUTED_VALUE"""),"PR &amp; MARKETING")</f>
        <v>PR &amp; MARKETING</v>
      </c>
      <c r="D1228" s="196" t="str">
        <f>IFERROR(__xludf.DUMMYFUNCTION("""COMPUTED_VALUE"""),"SISC SISFU GENERIC FLYER 1Y 25-26 W 5.5INX H 8.5 IN ")</f>
        <v>SISC SISFU GENERIC FLYER 1Y 25-26 W 5.5INX H 8.5 IN </v>
      </c>
      <c r="E1228" s="196" t="str">
        <f>IFERROR(__xludf.DUMMYFUNCTION("""COMPUTED_VALUE"""),"MARKETING AND ADVERTISEMENT")</f>
        <v>MARKETING AND ADVERTISEMENT</v>
      </c>
    </row>
    <row r="1229">
      <c r="A1229" s="234">
        <f>IFERROR(__xludf.DUMMYFUNCTION("""COMPUTED_VALUE"""),106062.0)</f>
        <v>106062</v>
      </c>
      <c r="B1229" s="235" t="str">
        <f>IFERROR(__xludf.DUMMYFUNCTION("""COMPUTED_VALUE"""),"MARC VINCENT VITTO")</f>
        <v>MARC VINCENT VITTO</v>
      </c>
      <c r="C1229" s="235" t="str">
        <f>IFERROR(__xludf.DUMMYFUNCTION("""COMPUTED_VALUE"""),"PR &amp; MARKETING")</f>
        <v>PR &amp; MARKETING</v>
      </c>
      <c r="D1229" s="196" t="str">
        <f>IFERROR(__xludf.DUMMYFUNCTION("""COMPUTED_VALUE"""),"1 GLASS BOARD / WHITE BOARD W 69 IN H 37 IN")</f>
        <v>1 GLASS BOARD / WHITE BOARD W 69 IN H 37 IN</v>
      </c>
      <c r="E1229" s="196" t="str">
        <f>IFERROR(__xludf.DUMMYFUNCTION("""COMPUTED_VALUE"""),"FOR CALENDAR AND PROGRESS TRACKING")</f>
        <v>FOR CALENDAR AND PROGRESS TRACKING</v>
      </c>
    </row>
    <row r="1230">
      <c r="A1230" s="234">
        <f>IFERROR(__xludf.DUMMYFUNCTION("""COMPUTED_VALUE"""),106063.0)</f>
        <v>106063</v>
      </c>
      <c r="B1230" s="235" t="str">
        <f>IFERROR(__xludf.DUMMYFUNCTION("""COMPUTED_VALUE"""),"MARC VINCENT VITTO")</f>
        <v>MARC VINCENT VITTO</v>
      </c>
      <c r="C1230" s="235" t="str">
        <f>IFERROR(__xludf.DUMMYFUNCTION("""COMPUTED_VALUE"""),"PR &amp; MARKETING")</f>
        <v>PR &amp; MARKETING</v>
      </c>
      <c r="D1230" s="196" t="str">
        <f>IFERROR(__xludf.DUMMYFUNCTION("""COMPUTED_VALUE"""),"SISC WURI TARP 
1 EACH SIZE: THICKNESS 18OZ
10FT X 20 FT 
206 X 77 IN
2FT X 6FT 
32 X 62.5 IN
W/ SEAMING AND EYELET ALL OVER")</f>
        <v>SISC WURI TARP 
1 EACH SIZE: THICKNESS 18OZ
10FT X 20 FT 
206 X 77 IN
2FT X 6FT 
32 X 62.5 IN
W/ SEAMING AND EYELET ALL OVER</v>
      </c>
      <c r="E1230" s="196" t="str">
        <f>IFERROR(__xludf.DUMMYFUNCTION("""COMPUTED_VALUE"""),"CONGRATULATORY / MARKETING")</f>
        <v>CONGRATULATORY / MARKETING</v>
      </c>
    </row>
    <row r="1231">
      <c r="A1231" s="234">
        <f>IFERROR(__xludf.DUMMYFUNCTION("""COMPUTED_VALUE"""),106064.0)</f>
        <v>106064</v>
      </c>
      <c r="B1231" s="235" t="str">
        <f>IFERROR(__xludf.DUMMYFUNCTION("""COMPUTED_VALUE"""),"LYKA PERALTA")</f>
        <v>LYKA PERALTA</v>
      </c>
      <c r="C1231" s="235" t="str">
        <f>IFERROR(__xludf.DUMMYFUNCTION("""COMPUTED_VALUE"""),"AMD")</f>
        <v>AMD</v>
      </c>
      <c r="D1231" s="196" t="str">
        <f>IFERROR(__xludf.DUMMYFUNCTION("""COMPUTED_VALUE"""),"20 PCS TONER CARTRIDGE CF212A YELLOW")</f>
        <v>20 PCS TONER CARTRIDGE CF212A YELLOW</v>
      </c>
      <c r="E1231" s="196" t="str">
        <f>IFERROR(__xludf.DUMMYFUNCTION("""COMPUTED_VALUE"""),"OSSUP STOCK REPLENISHMENT")</f>
        <v>OSSUP STOCK REPLENISHMENT</v>
      </c>
    </row>
    <row r="1232">
      <c r="A1232" s="234">
        <f>IFERROR(__xludf.DUMMYFUNCTION("""COMPUTED_VALUE"""),106065.0)</f>
        <v>106065</v>
      </c>
      <c r="B1232" s="235" t="str">
        <f>IFERROR(__xludf.DUMMYFUNCTION("""COMPUTED_VALUE"""),"LYKA PERALTA")</f>
        <v>LYKA PERALTA</v>
      </c>
      <c r="C1232" s="235" t="str">
        <f>IFERROR(__xludf.DUMMYFUNCTION("""COMPUTED_VALUE"""),"AMD")</f>
        <v>AMD</v>
      </c>
      <c r="D1232" s="196" t="str">
        <f>IFERROR(__xludf.DUMMYFUNCTION("""COMPUTED_VALUE"""),"150 PCS CLIP PAPER VYNIL COATED BIG 
250 PCS CORRECTION TAPE JOY")</f>
        <v>150 PCS CLIP PAPER VYNIL COATED BIG 
250 PCS CORRECTION TAPE JOY</v>
      </c>
      <c r="E1232" s="196" t="str">
        <f>IFERROR(__xludf.DUMMYFUNCTION("""COMPUTED_VALUE"""),"OSSUP STOCK REPLENISHMENT")</f>
        <v>OSSUP STOCK REPLENISHMENT</v>
      </c>
    </row>
    <row r="1233">
      <c r="A1233" s="234">
        <f>IFERROR(__xludf.DUMMYFUNCTION("""COMPUTED_VALUE"""),106066.0)</f>
        <v>106066</v>
      </c>
      <c r="B1233" s="235" t="str">
        <f>IFERROR(__xludf.DUMMYFUNCTION("""COMPUTED_VALUE"""),"JANCEL PRADILLADA")</f>
        <v>JANCEL PRADILLADA</v>
      </c>
      <c r="C1233" s="235" t="str">
        <f>IFERROR(__xludf.DUMMYFUNCTION("""COMPUTED_VALUE"""),"MIS/ICT")</f>
        <v>MIS/ICT</v>
      </c>
      <c r="D1233" s="196" t="str">
        <f>IFERROR(__xludf.DUMMYFUNCTION("""COMPUTED_VALUE"""),"1 PC PORTABLE LUMOS PROJECTOR")</f>
        <v>1 PC PORTABLE LUMOS PROJECTOR</v>
      </c>
      <c r="E1233" s="196" t="str">
        <f>IFERROR(__xludf.DUMMYFUNCTION("""COMPUTED_VALUE"""),"PORTABLE/MOBILE PROJECTOR")</f>
        <v>PORTABLE/MOBILE PROJECTOR</v>
      </c>
    </row>
    <row r="1234">
      <c r="A1234" s="234">
        <f>IFERROR(__xludf.DUMMYFUNCTION("""COMPUTED_VALUE"""),106067.0)</f>
        <v>106067</v>
      </c>
      <c r="B1234" s="235" t="str">
        <f>IFERROR(__xludf.DUMMYFUNCTION("""COMPUTED_VALUE"""),"RUEL BALANLAYOS/AMHELLY GERONIMO")</f>
        <v>RUEL BALANLAYOS/AMHELLY GERONIMO</v>
      </c>
      <c r="C1234" s="235" t="str">
        <f>IFERROR(__xludf.DUMMYFUNCTION("""COMPUTED_VALUE"""),"PURCHASING")</f>
        <v>PURCHASING</v>
      </c>
      <c r="D1234" s="196" t="str">
        <f>IFERROR(__xludf.DUMMYFUNCTION("""COMPUTED_VALUE"""),"WOODEN OFFICE TABLE 120 X 700 X 74H CM - 1 PC
150L X 700 X 74H CM - 1 PC
MOBILE PEDESTAL 3 DRAWER (WHITE) - 1 PC
")</f>
        <v>WOODEN OFFICE TABLE 120 X 700 X 74H CM - 1 PC
150L X 700 X 74H CM - 1 PC
MOBILE PEDESTAL 3 DRAWER (WHITE) - 1 PC
</v>
      </c>
      <c r="E1234" s="196" t="str">
        <f>IFERROR(__xludf.DUMMYFUNCTION("""COMPUTED_VALUE"""),"FOR NEW OFFICE SET UP")</f>
        <v>FOR NEW OFFICE SET UP</v>
      </c>
    </row>
    <row r="1235">
      <c r="A1235" s="234">
        <f>IFERROR(__xludf.DUMMYFUNCTION("""COMPUTED_VALUE"""),106068.0)</f>
        <v>106068</v>
      </c>
      <c r="B1235" s="235" t="str">
        <f>IFERROR(__xludf.DUMMYFUNCTION("""COMPUTED_VALUE"""),"RONALDO VERDE")</f>
        <v>RONALDO VERDE</v>
      </c>
      <c r="C1235" s="235" t="str">
        <f>IFERROR(__xludf.DUMMYFUNCTION("""COMPUTED_VALUE"""),"ADMIN")</f>
        <v>ADMIN</v>
      </c>
      <c r="D1235" s="196" t="str">
        <f>IFERROR(__xludf.DUMMYFUNCTION("""COMPUTED_VALUE"""),"ACOUSTIC BOARD 2"" X 4"" FOR ALL CAMPUSES")</f>
        <v>ACOUSTIC BOARD 2" X 4" FOR ALL CAMPUSES</v>
      </c>
      <c r="E1235" s="196" t="str">
        <f>IFERROR(__xludf.DUMMYFUNCTION("""COMPUTED_VALUE"""),"REPLACEMENT AND STICK FOR ALL CAMPUSES")</f>
        <v>REPLACEMENT AND STICK FOR ALL CAMPUSES</v>
      </c>
    </row>
    <row r="1236">
      <c r="A1236" s="234">
        <f>IFERROR(__xludf.DUMMYFUNCTION("""COMPUTED_VALUE"""),106069.0)</f>
        <v>106069</v>
      </c>
      <c r="B1236" s="235" t="str">
        <f>IFERROR(__xludf.DUMMYFUNCTION("""COMPUTED_VALUE"""),"JANCEL PRADILLADA")</f>
        <v>JANCEL PRADILLADA</v>
      </c>
      <c r="C1236" s="235" t="str">
        <f>IFERROR(__xludf.DUMMYFUNCTION("""COMPUTED_VALUE"""),"MIS/ICT")</f>
        <v>MIS/ICT</v>
      </c>
      <c r="D1236" s="196" t="str">
        <f>IFERROR(__xludf.DUMMYFUNCTION("""COMPUTED_VALUE"""),"6 PCS MICROPHONE 
3 PCS RECEIVER")</f>
        <v>6 PCS MICROPHONE 
3 PCS RECEIVER</v>
      </c>
      <c r="E1236" s="196" t="str">
        <f>IFERROR(__xludf.DUMMYFUNCTION("""COMPUTED_VALUE"""),"FOR GUARDS ANNOUNCEMENT MICROPHONE")</f>
        <v>FOR GUARDS ANNOUNCEMENT MICROPHONE</v>
      </c>
    </row>
    <row r="1237">
      <c r="A1237" s="234">
        <f>IFERROR(__xludf.DUMMYFUNCTION("""COMPUTED_VALUE"""),106070.0)</f>
        <v>106070</v>
      </c>
      <c r="B1237" s="235" t="str">
        <f>IFERROR(__xludf.DUMMYFUNCTION("""COMPUTED_VALUE"""),"ARNEL MONTABLAN")</f>
        <v>ARNEL MONTABLAN</v>
      </c>
      <c r="C1237" s="235" t="str">
        <f>IFERROR(__xludf.DUMMYFUNCTION("""COMPUTED_VALUE"""),"REAP SHOLARS")</f>
        <v>REAP SHOLARS</v>
      </c>
      <c r="D1237" s="196" t="str">
        <f>IFERROR(__xludf.DUMMYFUNCTION("""COMPUTED_VALUE"""),"20 URATEX SLEEP BASIC PIECE FITTED SHEET SET")</f>
        <v>20 URATEX SLEEP BASIC PIECE FITTED SHEET SET</v>
      </c>
      <c r="E1237" s="196" t="str">
        <f>IFERROR(__xludf.DUMMYFUNCTION("""COMPUTED_VALUE"""),"FOR THE NEW SCHOLARS BEDDING")</f>
        <v>FOR THE NEW SCHOLARS BEDDING</v>
      </c>
    </row>
    <row r="1238">
      <c r="A1238" s="234">
        <f>IFERROR(__xludf.DUMMYFUNCTION("""COMPUTED_VALUE"""),106071.0)</f>
        <v>106071</v>
      </c>
      <c r="B1238" s="235" t="str">
        <f>IFERROR(__xludf.DUMMYFUNCTION("""COMPUTED_VALUE"""),"JASTINE JANE DELIOLA")</f>
        <v>JASTINE JANE DELIOLA</v>
      </c>
      <c r="C1238" s="235" t="str">
        <f>IFERROR(__xludf.DUMMYFUNCTION("""COMPUTED_VALUE"""),"FINANCE &amp; ACCOUNTING")</f>
        <v>FINANCE &amp; ACCOUNTING</v>
      </c>
      <c r="D1238" s="196" t="str">
        <f>IFERROR(__xludf.DUMMYFUNCTION("""COMPUTED_VALUE"""),"1 CANCELLED STAMP
1 APPROVED ONLINE STAMP")</f>
        <v>1 CANCELLED STAMP
1 APPROVED ONLINE STAMP</v>
      </c>
      <c r="E1238" s="196" t="str">
        <f>IFERROR(__xludf.DUMMYFUNCTION("""COMPUTED_VALUE"""),"FOR OFFICE USE")</f>
        <v>FOR OFFICE USE</v>
      </c>
    </row>
    <row r="1239">
      <c r="A1239" s="234">
        <f>IFERROR(__xludf.DUMMYFUNCTION("""COMPUTED_VALUE"""),106072.0)</f>
        <v>106072</v>
      </c>
      <c r="B1239" s="235" t="str">
        <f>IFERROR(__xludf.DUMMYFUNCTION("""COMPUTED_VALUE"""),"RODRIGO CUSTODIO")</f>
        <v>RODRIGO CUSTODIO</v>
      </c>
      <c r="C1239" s="235" t="str">
        <f>IFERROR(__xludf.DUMMYFUNCTION("""COMPUTED_VALUE"""),"AMD")</f>
        <v>AMD</v>
      </c>
      <c r="D1239" s="196" t="str">
        <f>IFERROR(__xludf.DUMMYFUNCTION("""COMPUTED_VALUE"""),"5 PCS STRIPPER PAD RED 3M 
18 PCS STRIPPER PAD BLACK 3M 
7 PCS RAINCOAT")</f>
        <v>5 PCS STRIPPER PAD RED 3M 
18 PCS STRIPPER PAD BLACK 3M 
7 PCS RAINCOAT</v>
      </c>
      <c r="E1239" s="196" t="str">
        <f>IFERROR(__xludf.DUMMYFUNCTION("""COMPUTED_VALUE"""),"HOUSE KEEPING MATERIALS STOCK REPLENISHMENT")</f>
        <v>HOUSE KEEPING MATERIALS STOCK REPLENISHMENT</v>
      </c>
    </row>
    <row r="1240">
      <c r="A1240" s="234">
        <f>IFERROR(__xludf.DUMMYFUNCTION("""COMPUTED_VALUE"""),106073.0)</f>
        <v>106073</v>
      </c>
      <c r="B1240" s="235" t="str">
        <f>IFERROR(__xludf.DUMMYFUNCTION("""COMPUTED_VALUE"""),"ALFA DE LEON")</f>
        <v>ALFA DE LEON</v>
      </c>
      <c r="C1240" s="235" t="str">
        <f>IFERROR(__xludf.DUMMYFUNCTION("""COMPUTED_VALUE"""),"LANDSCAPING")</f>
        <v>LANDSCAPING</v>
      </c>
      <c r="D1240" s="196" t="str">
        <f>IFERROR(__xludf.DUMMYFUNCTION("""COMPUTED_VALUE"""),"2 KARATE
4 SACKS VERMICAST
15 SACKS IPA
15 SACKS KUSOT
4 SACKS FURADAN")</f>
        <v>2 KARATE
4 SACKS VERMICAST
15 SACKS IPA
15 SACKS KUSOT
4 SACKS FURADAN</v>
      </c>
      <c r="E1240" s="196" t="str">
        <f>IFERROR(__xludf.DUMMYFUNCTION("""COMPUTED_VALUE"""),"GARDEN MAINTENANCE")</f>
        <v>GARDEN MAINTENANCE</v>
      </c>
    </row>
    <row r="1241">
      <c r="A1241" s="234">
        <f>IFERROR(__xludf.DUMMYFUNCTION("""COMPUTED_VALUE"""),106074.0)</f>
        <v>106074</v>
      </c>
      <c r="B1241" s="235" t="str">
        <f>IFERROR(__xludf.DUMMYFUNCTION("""COMPUTED_VALUE"""),"ELMIE LAUDIATO ")</f>
        <v>ELMIE LAUDIATO </v>
      </c>
      <c r="C1241" s="235" t="str">
        <f>IFERROR(__xludf.DUMMYFUNCTION("""COMPUTED_VALUE"""),"HRMD")</f>
        <v>HRMD</v>
      </c>
      <c r="D1241" s="196" t="str">
        <f>IFERROR(__xludf.DUMMYFUNCTION("""COMPUTED_VALUE"""),"FLOWER WREATH")</f>
        <v>FLOWER WREATH</v>
      </c>
      <c r="E1241" s="196" t="str">
        <f>IFERROR(__xludf.DUMMYFUNCTION("""COMPUTED_VALUE"""),"FLOWER WREATH FOR THE DEMISE OF MS. MONNIQUE LANUZA'S FATHER")</f>
        <v>FLOWER WREATH FOR THE DEMISE OF MS. MONNIQUE LANUZA'S FATHER</v>
      </c>
    </row>
    <row r="1242">
      <c r="A1242" s="234">
        <f>IFERROR(__xludf.DUMMYFUNCTION("""COMPUTED_VALUE"""),106075.0)</f>
        <v>106075</v>
      </c>
      <c r="B1242" s="235" t="str">
        <f>IFERROR(__xludf.DUMMYFUNCTION("""COMPUTED_VALUE"""),"JORDAN JORDAN")</f>
        <v>JORDAN JORDAN</v>
      </c>
      <c r="C1242" s="235" t="str">
        <f>IFERROR(__xludf.DUMMYFUNCTION("""COMPUTED_VALUE"""),"ADMIN")</f>
        <v>ADMIN</v>
      </c>
      <c r="D1242" s="196" t="str">
        <f>IFERROR(__xludf.DUMMYFUNCTION("""COMPUTED_VALUE"""),"ALPHALUX CLEAR LED SURFACE DOWNLIGHT ROUND 24W DAYLIGHT
ALPHALUX LED RECESSED DOWNLIGHT 12W DAYLIGHT ROUND")</f>
        <v>ALPHALUX CLEAR LED SURFACE DOWNLIGHT ROUND 24W DAYLIGHT
ALPHALUX LED RECESSED DOWNLIGHT 12W DAYLIGHT ROUND</v>
      </c>
      <c r="E1242" s="196" t="str">
        <f>IFERROR(__xludf.DUMMYFUNCTION("""COMPUTED_VALUE"""),"FOR ADDITIONAL LIGHTS FOR THE CLASSROOMS LUX (3RD FLOOR CLASSROOS EAST WING)")</f>
        <v>FOR ADDITIONAL LIGHTS FOR THE CLASSROOMS LUX (3RD FLOOR CLASSROOS EAST WING)</v>
      </c>
    </row>
    <row r="1243">
      <c r="A1243" s="234">
        <f>IFERROR(__xludf.DUMMYFUNCTION("""COMPUTED_VALUE"""),106076.0)</f>
        <v>106076</v>
      </c>
      <c r="B1243" s="235" t="str">
        <f>IFERROR(__xludf.DUMMYFUNCTION("""COMPUTED_VALUE"""),"ALFA DE LEON")</f>
        <v>ALFA DE LEON</v>
      </c>
      <c r="C1243" s="235" t="str">
        <f>IFERROR(__xludf.DUMMYFUNCTION("""COMPUTED_VALUE"""),"ADMIN - MUNICH")</f>
        <v>ADMIN - MUNICH</v>
      </c>
      <c r="D1243" s="196" t="str">
        <f>IFERROR(__xludf.DUMMYFUNCTION("""COMPUTED_VALUE"""),"EDGING 2CM X10MTSS COLOR WHITE")</f>
        <v>EDGING 2CM X10MTSS COLOR WHITE</v>
      </c>
      <c r="E1243" s="196" t="str">
        <f>IFERROR(__xludf.DUMMYFUNCTION("""COMPUTED_VALUE"""),"REPAIRS OF CAFETERIA COUNTER")</f>
        <v>REPAIRS OF CAFETERIA COUNTER</v>
      </c>
    </row>
    <row r="1244">
      <c r="A1244" s="234">
        <f>IFERROR(__xludf.DUMMYFUNCTION("""COMPUTED_VALUE"""),106077.0)</f>
        <v>106077</v>
      </c>
      <c r="B1244" s="235" t="str">
        <f>IFERROR(__xludf.DUMMYFUNCTION("""COMPUTED_VALUE"""),"ALFA DE LEON")</f>
        <v>ALFA DE LEON</v>
      </c>
      <c r="C1244" s="235" t="str">
        <f>IFERROR(__xludf.DUMMYFUNCTION("""COMPUTED_VALUE"""),"ADMIN - MUNICH")</f>
        <v>ADMIN - MUNICH</v>
      </c>
      <c r="D1244" s="196" t="str">
        <f>IFERROR(__xludf.DUMMYFUNCTION("""COMPUTED_VALUE"""),"IWATA FAN")</f>
        <v>IWATA FAN</v>
      </c>
      <c r="E1244" s="196" t="str">
        <f>IFERROR(__xludf.DUMMYFUNCTION("""COMPUTED_VALUE"""),"OUTDOOR PLAYGROUND ADDITIONAL IWATA FAN AND REPLACEMENT OF BROKEN")</f>
        <v>OUTDOOR PLAYGROUND ADDITIONAL IWATA FAN AND REPLACEMENT OF BROKEN</v>
      </c>
    </row>
    <row r="1245">
      <c r="A1245" s="234">
        <f>IFERROR(__xludf.DUMMYFUNCTION("""COMPUTED_VALUE"""),106078.0)</f>
        <v>106078</v>
      </c>
      <c r="B1245" s="235" t="str">
        <f>IFERROR(__xludf.DUMMYFUNCTION("""COMPUTED_VALUE"""),"FATIMA JANDOC")</f>
        <v>FATIMA JANDOC</v>
      </c>
      <c r="C1245" s="235" t="str">
        <f>IFERROR(__xludf.DUMMYFUNCTION("""COMPUTED_VALUE"""),"LIBRARY COLLEGE")</f>
        <v>LIBRARY COLLEGE</v>
      </c>
      <c r="D1245" s="196" t="str">
        <f>IFERROR(__xludf.DUMMYFUNCTION("""COMPUTED_VALUE"""),"2 ROLLS PLASTIC COVER")</f>
        <v>2 ROLLS PLASTIC COVER</v>
      </c>
      <c r="E1245" s="196" t="str">
        <f>IFERROR(__xludf.DUMMYFUNCTION("""COMPUTED_VALUE"""),"TO COVER THE NEWLY ACQUIRED BOOKS")</f>
        <v>TO COVER THE NEWLY ACQUIRED BOOKS</v>
      </c>
    </row>
    <row r="1246">
      <c r="A1246" s="234">
        <f>IFERROR(__xludf.DUMMYFUNCTION("""COMPUTED_VALUE"""),106079.0)</f>
        <v>106079</v>
      </c>
      <c r="B1246" s="235" t="str">
        <f>IFERROR(__xludf.DUMMYFUNCTION("""COMPUTED_VALUE"""),"CLEA LOMIWES")</f>
        <v>CLEA LOMIWES</v>
      </c>
      <c r="C1246" s="235" t="str">
        <f>IFERROR(__xludf.DUMMYFUNCTION("""COMPUTED_VALUE"""),"LIBRARY BASIC ED")</f>
        <v>LIBRARY BASIC ED</v>
      </c>
      <c r="D1246" s="196" t="str">
        <f>IFERROR(__xludf.DUMMYFUNCTION("""COMPUTED_VALUE"""),"1 ROLL PLASTIC COVER VINYL")</f>
        <v>1 ROLL PLASTIC COVER VINYL</v>
      </c>
      <c r="E1246" s="196" t="str">
        <f>IFERROR(__xludf.DUMMYFUNCTION("""COMPUTED_VALUE"""),"TO COVER THE NEWLY ACQUIRED BOOKS")</f>
        <v>TO COVER THE NEWLY ACQUIRED BOOKS</v>
      </c>
    </row>
    <row r="1247">
      <c r="A1247" s="234">
        <f>IFERROR(__xludf.DUMMYFUNCTION("""COMPUTED_VALUE"""),106080.0)</f>
        <v>106080</v>
      </c>
      <c r="B1247" s="235" t="str">
        <f>IFERROR(__xludf.DUMMYFUNCTION("""COMPUTED_VALUE"""),"FATIMA JANDOC")</f>
        <v>FATIMA JANDOC</v>
      </c>
      <c r="C1247" s="235" t="str">
        <f>IFERROR(__xludf.DUMMYFUNCTION("""COMPUTED_VALUE"""),"LIBRARY COLLEGE")</f>
        <v>LIBRARY COLLEGE</v>
      </c>
      <c r="D1247" s="196" t="str">
        <f>IFERROR(__xludf.DUMMYFUNCTION("""COMPUTED_VALUE"""),"4 EXTENSION CORD W/ 4 OUTLETS 3-5 METERS ")</f>
        <v>4 EXTENSION CORD W/ 4 OUTLETS 3-5 METERS </v>
      </c>
      <c r="E1247" s="196" t="str">
        <f>IFERROR(__xludf.DUMMYFUNCTION("""COMPUTED_VALUE"""),"FOR STUDENT USE")</f>
        <v>FOR STUDENT USE</v>
      </c>
    </row>
    <row r="1248">
      <c r="A1248" s="234">
        <f>IFERROR(__xludf.DUMMYFUNCTION("""COMPUTED_VALUE"""),106081.0)</f>
        <v>106081</v>
      </c>
      <c r="B1248" s="235" t="str">
        <f>IFERROR(__xludf.DUMMYFUNCTION("""COMPUTED_VALUE"""),"FATIMA JANDOC")</f>
        <v>FATIMA JANDOC</v>
      </c>
      <c r="C1248" s="235" t="str">
        <f>IFERROR(__xludf.DUMMYFUNCTION("""COMPUTED_VALUE"""),"LIBRARY COLLEGE")</f>
        <v>LIBRARY COLLEGE</v>
      </c>
      <c r="D1248" s="196" t="str">
        <f>IFERROR(__xludf.DUMMYFUNCTION("""COMPUTED_VALUE"""),"1 RECHARGEABLE WIRELESS POWERPOINT PRESENTER CLICKER WITH LASER ")</f>
        <v>1 RECHARGEABLE WIRELESS POWERPOINT PRESENTER CLICKER WITH LASER </v>
      </c>
      <c r="E1248" s="196" t="str">
        <f>IFERROR(__xludf.DUMMYFUNCTION("""COMPUTED_VALUE"""),"TO BE USE DURING CLASS PRESENTATION")</f>
        <v>TO BE USE DURING CLASS PRESENTATION</v>
      </c>
    </row>
    <row r="1249">
      <c r="A1249" s="234">
        <f>IFERROR(__xludf.DUMMYFUNCTION("""COMPUTED_VALUE"""),106082.0)</f>
        <v>106082</v>
      </c>
      <c r="B1249" s="235" t="str">
        <f>IFERROR(__xludf.DUMMYFUNCTION("""COMPUTED_VALUE"""),"MARC VINCENT VITTO")</f>
        <v>MARC VINCENT VITTO</v>
      </c>
      <c r="C1249" s="235" t="str">
        <f>IFERROR(__xludf.DUMMYFUNCTION("""COMPUTED_VALUE"""),"PR &amp; MARKETING")</f>
        <v>PR &amp; MARKETING</v>
      </c>
      <c r="D1249" s="196" t="str">
        <f>IFERROR(__xludf.DUMMYFUNCTION("""COMPUTED_VALUE"""),"SISC PULL UP BANNER AY 25-26 H 6.5FT W 3FT
3 PCS EACH 1&amp;2")</f>
        <v>SISC PULL UP BANNER AY 25-26 H 6.5FT W 3FT
3 PCS EACH 1&amp;2</v>
      </c>
      <c r="E1249" s="196" t="str">
        <f>IFERROR(__xludf.DUMMYFUNCTION("""COMPUTED_VALUE"""),"MARKETING")</f>
        <v>MARKETING</v>
      </c>
    </row>
    <row r="1250">
      <c r="A1250" s="234">
        <f>IFERROR(__xludf.DUMMYFUNCTION("""COMPUTED_VALUE"""),106083.0)</f>
        <v>106083</v>
      </c>
      <c r="B1250" s="235" t="str">
        <f>IFERROR(__xludf.DUMMYFUNCTION("""COMPUTED_VALUE"""),"SHEREE ESPINOSA")</f>
        <v>SHEREE ESPINOSA</v>
      </c>
      <c r="C1250" s="235" t="str">
        <f>IFERROR(__xludf.DUMMYFUNCTION("""COMPUTED_VALUE"""),"ADMIN")</f>
        <v>ADMIN</v>
      </c>
      <c r="D1250" s="196" t="str">
        <f>IFERROR(__xludf.DUMMYFUNCTION("""COMPUTED_VALUE"""),"12 PCS SWIVEL CHAIRS")</f>
        <v>12 PCS SWIVEL CHAIRS</v>
      </c>
      <c r="E1250" s="196" t="str">
        <f>IFERROR(__xludf.DUMMYFUNCTION("""COMPUTED_VALUE"""),"FOR IB AND E NEWS ROOM")</f>
        <v>FOR IB AND E NEWS ROOM</v>
      </c>
    </row>
    <row r="1251">
      <c r="A1251" s="234">
        <f>IFERROR(__xludf.DUMMYFUNCTION("""COMPUTED_VALUE"""),106084.0)</f>
        <v>106084</v>
      </c>
      <c r="B1251" s="235" t="str">
        <f>IFERROR(__xludf.DUMMYFUNCTION("""COMPUTED_VALUE"""),"SHEREE ESPINOSA")</f>
        <v>SHEREE ESPINOSA</v>
      </c>
      <c r="C1251" s="235" t="str">
        <f>IFERROR(__xludf.DUMMYFUNCTION("""COMPUTED_VALUE"""),"ADMIN")</f>
        <v>ADMIN</v>
      </c>
      <c r="D1251" s="196" t="str">
        <f>IFERROR(__xludf.DUMMYFUNCTION("""COMPUTED_VALUE"""),"50 PCS TABLE CLOTH 6 SEATER
300 PCS SEAT COVER")</f>
        <v>50 PCS TABLE CLOTH 6 SEATER
300 PCS SEAT COVER</v>
      </c>
      <c r="E1251" s="196" t="str">
        <f>IFERROR(__xludf.DUMMYFUNCTION("""COMPUTED_VALUE"""),"ADDITIONAL FOR THE VARIOUS EVENTS")</f>
        <v>ADDITIONAL FOR THE VARIOUS EVENTS</v>
      </c>
    </row>
    <row r="1252">
      <c r="A1252" s="234">
        <f>IFERROR(__xludf.DUMMYFUNCTION("""COMPUTED_VALUE"""),106085.0)</f>
        <v>106085</v>
      </c>
      <c r="B1252" s="235" t="str">
        <f>IFERROR(__xludf.DUMMYFUNCTION("""COMPUTED_VALUE"""),"OWIE PAR")</f>
        <v>OWIE PAR</v>
      </c>
      <c r="C1252" s="235" t="str">
        <f>IFERROR(__xludf.DUMMYFUNCTION("""COMPUTED_VALUE"""),"ENGINEERING")</f>
        <v>ENGINEERING</v>
      </c>
      <c r="D1252" s="196" t="str">
        <f>IFERROR(__xludf.DUMMYFUNCTION("""COMPUTED_VALUE"""),"1 UNIT 3.0 HP PANASONIC INVERTER")</f>
        <v>1 UNIT 3.0 HP PANASONIC INVERTER</v>
      </c>
      <c r="E1252" s="196" t="str">
        <f>IFERROR(__xludf.DUMMYFUNCTION("""COMPUTED_VALUE"""),"FOR LUX 213")</f>
        <v>FOR LUX 213</v>
      </c>
    </row>
    <row r="1253">
      <c r="A1253" s="234" t="str">
        <f>IFERROR(__xludf.DUMMYFUNCTION("""COMPUTED_VALUE"""),"106086- CANCELLED")</f>
        <v>106086- CANCELLED</v>
      </c>
      <c r="B1253" s="235" t="str">
        <f>IFERROR(__xludf.DUMMYFUNCTION("""COMPUTED_VALUE"""),"LUCILLE BEYER")</f>
        <v>LUCILLE BEYER</v>
      </c>
      <c r="C1253" s="235" t="str">
        <f>IFERROR(__xludf.DUMMYFUNCTION("""COMPUTED_VALUE"""),"MEDICAL")</f>
        <v>MEDICAL</v>
      </c>
      <c r="D1253" s="196" t="str">
        <f>IFERROR(__xludf.DUMMYFUNCTION("""COMPUTED_VALUE"""),"DENTAL MATERIALS FOR CHECK UP")</f>
        <v>DENTAL MATERIALS FOR CHECK UP</v>
      </c>
      <c r="E1253" s="196" t="str">
        <f>IFERROR(__xludf.DUMMYFUNCTION("""COMPUTED_VALUE"""),"FOR REPLACEMENT OF OLD BROKEN DENTAL MATERIALS FOR CHECK UP OF ALL STUDENTS")</f>
        <v>FOR REPLACEMENT OF OLD BROKEN DENTAL MATERIALS FOR CHECK UP OF ALL STUDENTS</v>
      </c>
    </row>
    <row r="1254">
      <c r="A1254" s="234">
        <f>IFERROR(__xludf.DUMMYFUNCTION("""COMPUTED_VALUE"""),106087.0)</f>
        <v>106087</v>
      </c>
      <c r="B1254" s="235" t="str">
        <f>IFERROR(__xludf.DUMMYFUNCTION("""COMPUTED_VALUE"""),"JESUIT CHRISTIAN GALICIA")</f>
        <v>JESUIT CHRISTIAN GALICIA</v>
      </c>
      <c r="C1254" s="235" t="str">
        <f>IFERROR(__xludf.DUMMYFUNCTION("""COMPUTED_VALUE"""),"AMD")</f>
        <v>AMD</v>
      </c>
      <c r="D1254" s="196" t="str">
        <f>IFERROR(__xludf.DUMMYFUNCTION("""COMPUTED_VALUE"""),"4 PCS BELDEN CAT6 CABLE BLUE
20 PCS CMOS BATTERY 
50 PCS HEADSET RAPOO H101 W/ NOISE REDUCTION MIC")</f>
        <v>4 PCS BELDEN CAT6 CABLE BLUE
20 PCS CMOS BATTERY 
50 PCS HEADSET RAPOO H101 W/ NOISE REDUCTION MIC</v>
      </c>
      <c r="E1254" s="196" t="str">
        <f>IFERROR(__xludf.DUMMYFUNCTION("""COMPUTED_VALUE"""),"MIS WAREHOUSE REPLENISHMENT")</f>
        <v>MIS WAREHOUSE REPLENISHMENT</v>
      </c>
    </row>
    <row r="1255">
      <c r="A1255" s="234">
        <f>IFERROR(__xludf.DUMMYFUNCTION("""COMPUTED_VALUE"""),106088.0)</f>
        <v>106088</v>
      </c>
      <c r="B1255" s="235" t="str">
        <f>IFERROR(__xludf.DUMMYFUNCTION("""COMPUTED_VALUE"""),"MARC VINCENT VITTO")</f>
        <v>MARC VINCENT VITTO</v>
      </c>
      <c r="C1255" s="235" t="str">
        <f>IFERROR(__xludf.DUMMYFUNCTION("""COMPUTED_VALUE"""),"PR &amp; MARKETING")</f>
        <v>PR &amp; MARKETING</v>
      </c>
      <c r="D1255" s="196" t="str">
        <f>IFERROR(__xludf.DUMMYFUNCTION("""COMPUTED_VALUE"""),"1 BSBA CPA TARP W 20FT H 10FT THICKNESS 18 OZ W/ SEAMING AND EYELET ALL OVER")</f>
        <v>1 BSBA CPA TARP W 20FT H 10FT THICKNESS 18 OZ W/ SEAMING AND EYELET ALL OVER</v>
      </c>
      <c r="E1255" s="196" t="str">
        <f>IFERROR(__xludf.DUMMYFUNCTION("""COMPUTED_VALUE"""),"MARKETING/ CONGRATULATORY ")</f>
        <v>MARKETING/ CONGRATULATORY </v>
      </c>
    </row>
    <row r="1256">
      <c r="A1256" s="234">
        <f>IFERROR(__xludf.DUMMYFUNCTION("""COMPUTED_VALUE"""),106089.0)</f>
        <v>106089</v>
      </c>
      <c r="B1256" s="235" t="str">
        <f>IFERROR(__xludf.DUMMYFUNCTION("""COMPUTED_VALUE"""),"JESUIT CHRISTIAN GALICIA")</f>
        <v>JESUIT CHRISTIAN GALICIA</v>
      </c>
      <c r="C1256" s="235" t="str">
        <f>IFERROR(__xludf.DUMMYFUNCTION("""COMPUTED_VALUE"""),"AMD")</f>
        <v>AMD</v>
      </c>
      <c r="D1256" s="196" t="str">
        <f>IFERROR(__xludf.DUMMYFUNCTION("""COMPUTED_VALUE"""),"30 PCS UNIVERSAL ADAPTOR OMNI
30 PCS FLEXIBLE HOSE 1/2 X 1/2 
70 PCS MALE PLUG HEAVY DUTY RUBBER ( EAGLE)")</f>
        <v>30 PCS UNIVERSAL ADAPTOR OMNI
30 PCS FLEXIBLE HOSE 1/2 X 1/2 
70 PCS MALE PLUG HEAVY DUTY RUBBER ( EAGLE)</v>
      </c>
      <c r="E1256" s="196" t="str">
        <f>IFERROR(__xludf.DUMMYFUNCTION("""COMPUTED_VALUE"""),"ENGINEERING WAREHOUSE REPLENISHMENT")</f>
        <v>ENGINEERING WAREHOUSE REPLENISHMENT</v>
      </c>
    </row>
    <row r="1257">
      <c r="A1257" s="234">
        <f>IFERROR(__xludf.DUMMYFUNCTION("""COMPUTED_VALUE"""),106090.0)</f>
        <v>106090</v>
      </c>
      <c r="B1257" s="235" t="str">
        <f>IFERROR(__xludf.DUMMYFUNCTION("""COMPUTED_VALUE"""),"ANGELICA LLAGDARASO/ JEREMIAH TIROL")</f>
        <v>ANGELICA LLAGDARASO/ JEREMIAH TIROL</v>
      </c>
      <c r="C1257" s="235" t="str">
        <f>IFERROR(__xludf.DUMMYFUNCTION("""COMPUTED_VALUE"""),"COLLEGE LAB")</f>
        <v>COLLEGE LAB</v>
      </c>
      <c r="D1257" s="196" t="str">
        <f>IFERROR(__xludf.DUMMYFUNCTION("""COMPUTED_VALUE"""),"2 SETS WRIGHT GIEMSA STAIN SET
4 AUTOCLAVE INDICATOR TAPE 1 INCH
2 BOTTLES NUTRIENT AGAR HIMEDIA 500G
5 PCS EXTENSION CORD 
15 PCS POWER SUPPLY FOR MICROSCOPE 5V 
4 KGS PARAFIN WAX
15 PCS RECTANGULAR PAN 9"" X 13""
2 CANS LIGHTER FLUID")</f>
        <v>2 SETS WRIGHT GIEMSA STAIN SET
4 AUTOCLAVE INDICATOR TAPE 1 INCH
2 BOTTLES NUTRIENT AGAR HIMEDIA 500G
5 PCS EXTENSION CORD 
15 PCS POWER SUPPLY FOR MICROSCOPE 5V 
4 KGS PARAFIN WAX
15 PCS RECTANGULAR PAN 9" X 13"
2 CANS LIGHTER FLUID</v>
      </c>
      <c r="E1257" s="196" t="str">
        <f>IFERROR(__xludf.DUMMYFUNCTION("""COMPUTED_VALUE"""),"REPLENISHMENT OF MATERIALS")</f>
        <v>REPLENISHMENT OF MATERIALS</v>
      </c>
    </row>
    <row r="1258">
      <c r="A1258" s="234">
        <f>IFERROR(__xludf.DUMMYFUNCTION("""COMPUTED_VALUE"""),106091.0)</f>
        <v>106091</v>
      </c>
      <c r="B1258" s="235" t="str">
        <f>IFERROR(__xludf.DUMMYFUNCTION("""COMPUTED_VALUE"""),"KIM DEXTER BODOS")</f>
        <v>KIM DEXTER BODOS</v>
      </c>
      <c r="C1258" s="235" t="str">
        <f>IFERROR(__xludf.DUMMYFUNCTION("""COMPUTED_VALUE"""),"PR &amp; MARKETING")</f>
        <v>PR &amp; MARKETING</v>
      </c>
      <c r="D1258" s="196" t="str">
        <f>IFERROR(__xludf.DUMMYFUNCTION("""COMPUTED_VALUE"""),"1 SPIN THE WHEEL ROUND WHITE AND PURPLE")</f>
        <v>1 SPIN THE WHEEL ROUND WHITE AND PURPLE</v>
      </c>
      <c r="E1258" s="196" t="str">
        <f>IFERROR(__xludf.DUMMYFUNCTION("""COMPUTED_VALUE"""),"SCHOOL PRESENTATION / FAIR")</f>
        <v>SCHOOL PRESENTATION / FAIR</v>
      </c>
    </row>
    <row r="1259">
      <c r="A1259" s="234">
        <f>IFERROR(__xludf.DUMMYFUNCTION("""COMPUTED_VALUE"""),106092.0)</f>
        <v>106092</v>
      </c>
      <c r="B1259" s="235" t="str">
        <f>IFERROR(__xludf.DUMMYFUNCTION("""COMPUTED_VALUE"""),"SHEREE ESPINOSA")</f>
        <v>SHEREE ESPINOSA</v>
      </c>
      <c r="C1259" s="235" t="str">
        <f>IFERROR(__xludf.DUMMYFUNCTION("""COMPUTED_VALUE"""),"ADMIN")</f>
        <v>ADMIN</v>
      </c>
      <c r="D1259" s="196" t="str">
        <f>IFERROR(__xludf.DUMMYFUNCTION("""COMPUTED_VALUE"""),"TEACHER'S TABLE 
* RE-ORDER PLEASE REFER TO PRF#105635 (SAME SPECS WITH OUR EXISTING TABLE)")</f>
        <v>TEACHER'S TABLE 
* RE-ORDER PLEASE REFER TO PRF#105635 (SAME SPECS WITH OUR EXISTING TABLE)</v>
      </c>
      <c r="E1259" s="196" t="str">
        <f>IFERROR(__xludf.DUMMYFUNCTION("""COMPUTED_VALUE"""),"FOR NEW CLASSROOM 302 (LUX) AUD ROOM 201 LUX-REPLACEMENT")</f>
        <v>FOR NEW CLASSROOM 302 (LUX) AUD ROOM 201 LUX-REPLACEMENT</v>
      </c>
    </row>
    <row r="1260">
      <c r="A1260" s="234">
        <f>IFERROR(__xludf.DUMMYFUNCTION("""COMPUTED_VALUE"""),106093.0)</f>
        <v>106093</v>
      </c>
      <c r="B1260" s="235" t="str">
        <f>IFERROR(__xludf.DUMMYFUNCTION("""COMPUTED_VALUE"""),"SHEREE ESPINOSA")</f>
        <v>SHEREE ESPINOSA</v>
      </c>
      <c r="C1260" s="235" t="str">
        <f>IFERROR(__xludf.DUMMYFUNCTION("""COMPUTED_VALUE"""),"ADMIN")</f>
        <v>ADMIN</v>
      </c>
      <c r="D1260" s="196" t="str">
        <f>IFERROR(__xludf.DUMMYFUNCTION("""COMPUTED_VALUE"""),"QUOTES PRINT IN SINTRA BOARD SIZE: 80 X 63 CM (PLEASE SEE ATTATCHED QUOTES")</f>
        <v>QUOTES PRINT IN SINTRA BOARD SIZE: 80 X 63 CM (PLEASE SEE ATTATCHED QUOTES</v>
      </c>
      <c r="E1260" s="196" t="str">
        <f>IFERROR(__xludf.DUMMYFUNCTION("""COMPUTED_VALUE"""),"QUOTES FOR THE WALL ACCROSS CAMPUSES")</f>
        <v>QUOTES FOR THE WALL ACCROSS CAMPUSES</v>
      </c>
    </row>
    <row r="1261">
      <c r="A1261" s="234">
        <f>IFERROR(__xludf.DUMMYFUNCTION("""COMPUTED_VALUE"""),106094.0)</f>
        <v>106094</v>
      </c>
      <c r="B1261" s="235" t="str">
        <f>IFERROR(__xludf.DUMMYFUNCTION("""COMPUTED_VALUE"""),"RAMCIS YANA/MS. BELEN MANDIN")</f>
        <v>RAMCIS YANA/MS. BELEN MANDIN</v>
      </c>
      <c r="C1261" s="235" t="str">
        <f>IFERROR(__xludf.DUMMYFUNCTION("""COMPUTED_VALUE"""),"CAPS COLLEGE")</f>
        <v>CAPS COLLEGE</v>
      </c>
      <c r="D1261" s="196" t="str">
        <f>IFERROR(__xludf.DUMMYFUNCTION("""COMPUTED_VALUE"""),"-COLORED PRINTING")</f>
        <v>-COLORED PRINTING</v>
      </c>
      <c r="E1261" s="196" t="str">
        <f>IFERROR(__xludf.DUMMYFUNCTION("""COMPUTED_VALUE"""),"FOR OFFICE PRINTING")</f>
        <v>FOR OFFICE PRINTING</v>
      </c>
    </row>
    <row r="1262">
      <c r="A1262" s="234">
        <f>IFERROR(__xludf.DUMMYFUNCTION("""COMPUTED_VALUE"""),106095.0)</f>
        <v>106095</v>
      </c>
      <c r="B1262" s="235" t="str">
        <f>IFERROR(__xludf.DUMMYFUNCTION("""COMPUTED_VALUE"""),"RAMCIS YANA/MS. BELEN MANDIN")</f>
        <v>RAMCIS YANA/MS. BELEN MANDIN</v>
      </c>
      <c r="C1262" s="235" t="str">
        <f>IFERROR(__xludf.DUMMYFUNCTION("""COMPUTED_VALUE"""),"CAPS COLLEGE")</f>
        <v>CAPS COLLEGE</v>
      </c>
      <c r="D1262" s="196" t="str">
        <f>IFERROR(__xludf.DUMMYFUNCTION("""COMPUTED_VALUE"""),"-TV REPLACEMENT")</f>
        <v>-TV REPLACEMENT</v>
      </c>
      <c r="E1262" s="196" t="str">
        <f>IFERROR(__xludf.DUMMYFUNCTION("""COMPUTED_VALUE"""),"FOR TESTING")</f>
        <v>FOR TESTING</v>
      </c>
    </row>
    <row r="1263">
      <c r="A1263" s="234">
        <f>IFERROR(__xludf.DUMMYFUNCTION("""COMPUTED_VALUE"""),106096.0)</f>
        <v>106096</v>
      </c>
      <c r="B1263" s="235" t="str">
        <f>IFERROR(__xludf.DUMMYFUNCTION("""COMPUTED_VALUE"""),"JESUIT CHRISTIAN GALICIA")</f>
        <v>JESUIT CHRISTIAN GALICIA</v>
      </c>
      <c r="C1263" s="235" t="str">
        <f>IFERROR(__xludf.DUMMYFUNCTION("""COMPUTED_VALUE"""),"AMD")</f>
        <v>AMD</v>
      </c>
      <c r="D1263" s="196" t="str">
        <f>IFERROR(__xludf.DUMMYFUNCTION("""COMPUTED_VALUE"""),"CABLE TIE BLACK 200MM (100PCS PER PACK)")</f>
        <v>CABLE TIE BLACK 200MM (100PCS PER PACK)</v>
      </c>
      <c r="E1263" s="196" t="str">
        <f>IFERROR(__xludf.DUMMYFUNCTION("""COMPUTED_VALUE"""),"MIS WAREHOUSE REPLENISHMENT")</f>
        <v>MIS WAREHOUSE REPLENISHMENT</v>
      </c>
    </row>
    <row r="1264">
      <c r="A1264" s="234">
        <f>IFERROR(__xludf.DUMMYFUNCTION("""COMPUTED_VALUE"""),106097.0)</f>
        <v>106097</v>
      </c>
      <c r="B1264" s="235" t="str">
        <f>IFERROR(__xludf.DUMMYFUNCTION("""COMPUTED_VALUE"""),"JOHN ROEZEL FUENTES")</f>
        <v>JOHN ROEZEL FUENTES</v>
      </c>
      <c r="C1264" s="235" t="str">
        <f>IFERROR(__xludf.DUMMYFUNCTION("""COMPUTED_VALUE"""),"REGISTRATION")</f>
        <v>REGISTRATION</v>
      </c>
      <c r="D1264" s="196" t="str">
        <f>IFERROR(__xludf.DUMMYFUNCTION("""COMPUTED_VALUE"""),"COLLEGE DIPLOMA A4")</f>
        <v>COLLEGE DIPLOMA A4</v>
      </c>
      <c r="E1264" s="196" t="str">
        <f>IFERROR(__xludf.DUMMYFUNCTION("""COMPUTED_VALUE"""),"FOR COLLEGE GRADUATION")</f>
        <v>FOR COLLEGE GRADUATION</v>
      </c>
    </row>
    <row r="1265">
      <c r="A1265" s="234">
        <f>IFERROR(__xludf.DUMMYFUNCTION("""COMPUTED_VALUE"""),106098.0)</f>
        <v>106098</v>
      </c>
      <c r="B1265" s="235" t="str">
        <f>IFERROR(__xludf.DUMMYFUNCTION("""COMPUTED_VALUE"""),"ALFA DE LEON")</f>
        <v>ALFA DE LEON</v>
      </c>
      <c r="C1265" s="235" t="str">
        <f>IFERROR(__xludf.DUMMYFUNCTION("""COMPUTED_VALUE"""),"ADMIN - MUNICH")</f>
        <v>ADMIN - MUNICH</v>
      </c>
      <c r="D1265" s="196" t="str">
        <f>IFERROR(__xludf.DUMMYFUNCTION("""COMPUTED_VALUE"""),"PINK
VIOLET
GREEN
YELLOW
VANILLA ICE
LIGHT YELLOW")</f>
        <v>PINK
VIOLET
GREEN
YELLOW
VANILLA ICE
LIGHT YELLOW</v>
      </c>
      <c r="E1265" s="196" t="str">
        <f>IFERROR(__xludf.DUMMYFUNCTION("""COMPUTED_VALUE"""),"CLASSROOM REPAINTING")</f>
        <v>CLASSROOM REPAINTING</v>
      </c>
    </row>
    <row r="1266">
      <c r="A1266" s="234">
        <f>IFERROR(__xludf.DUMMYFUNCTION("""COMPUTED_VALUE"""),106099.0)</f>
        <v>106099</v>
      </c>
      <c r="B1266" s="235" t="str">
        <f>IFERROR(__xludf.DUMMYFUNCTION("""COMPUTED_VALUE"""),"ANN VILLARUZ")</f>
        <v>ANN VILLARUZ</v>
      </c>
      <c r="C1266" s="235" t="str">
        <f>IFERROR(__xludf.DUMMYFUNCTION("""COMPUTED_VALUE"""),"STUDENT AFFAIRS COLLEGE")</f>
        <v>STUDENT AFFAIRS COLLEGE</v>
      </c>
      <c r="D1266" s="196" t="str">
        <f>IFERROR(__xludf.DUMMYFUNCTION("""COMPUTED_VALUE"""),"LOYALTY PLAQUE (PLEASE SEE ATTACHED FILE)
AWARDEE: THERESE ANTONETTE F. SUAREZ
ATEA KINSLET BORRINAGA")</f>
        <v>LOYALTY PLAQUE (PLEASE SEE ATTACHED FILE)
AWARDEE: THERESE ANTONETTE F. SUAREZ
ATEA KINSLET BORRINAGA</v>
      </c>
      <c r="E1266" s="196" t="str">
        <f>IFERROR(__xludf.DUMMYFUNCTION("""COMPUTED_VALUE"""),"FOR LOYALTY AWARD-GRAD, 2025")</f>
        <v>FOR LOYALTY AWARD-GRAD, 2025</v>
      </c>
    </row>
    <row r="1267">
      <c r="A1267" s="234">
        <f>IFERROR(__xludf.DUMMYFUNCTION("""COMPUTED_VALUE"""),106100.0)</f>
        <v>106100</v>
      </c>
      <c r="B1267" s="235" t="str">
        <f>IFERROR(__xludf.DUMMYFUNCTION("""COMPUTED_VALUE"""),"LYKA")</f>
        <v>LYKA</v>
      </c>
      <c r="C1267" s="235" t="str">
        <f>IFERROR(__xludf.DUMMYFUNCTION("""COMPUTED_VALUE"""),"AMD")</f>
        <v>AMD</v>
      </c>
      <c r="D1267" s="196" t="str">
        <f>IFERROR(__xludf.DUMMYFUNCTION("""COMPUTED_VALUE"""),"YARN ASSORTED")</f>
        <v>YARN ASSORTED</v>
      </c>
      <c r="E1267" s="196" t="str">
        <f>IFERROR(__xludf.DUMMYFUNCTION("""COMPUTED_VALUE"""),"STUDENT MATERIALS")</f>
        <v>STUDENT MATERIALS</v>
      </c>
    </row>
    <row r="1268">
      <c r="A1268" s="234">
        <f>IFERROR(__xludf.DUMMYFUNCTION("""COMPUTED_VALUE"""),106101.0)</f>
        <v>106101</v>
      </c>
      <c r="B1268" s="235" t="str">
        <f>IFERROR(__xludf.DUMMYFUNCTION("""COMPUTED_VALUE"""),"RAQUELYN NUÑEZ")</f>
        <v>RAQUELYN NUÑEZ</v>
      </c>
      <c r="C1268" s="235" t="str">
        <f>IFERROR(__xludf.DUMMYFUNCTION("""COMPUTED_VALUE"""),"ADMIN")</f>
        <v>ADMIN</v>
      </c>
      <c r="D1268" s="196" t="str">
        <f>IFERROR(__xludf.DUMMYFUNCTION("""COMPUTED_VALUE"""),"URATEX SINGLE MATTRES 36""x75""
PILLOWS
BEDDINGS SET (WITH PILLOWCASE)
BLANKET
TV SHELVES
SOAP DISPENSER FOR CR
HANGER
CUT PIECE FOR LIVING ROOM TABLE
THROW PILLOW FOR SOFA
DINING TABLE, BATHROOM ORGANIZER")</f>
        <v>URATEX SINGLE MATTRES 36"x75"
PILLOWS
BEDDINGS SET (WITH PILLOWCASE)
BLANKET
TV SHELVES
SOAP DISPENSER FOR CR
HANGER
CUT PIECE FOR LIVING ROOM TABLE
THROW PILLOW FOR SOFA
DINING TABLE, BATHROOM ORGANIZER</v>
      </c>
      <c r="E1268" s="196"/>
    </row>
    <row r="1269">
      <c r="A1269" s="234">
        <f>IFERROR(__xludf.DUMMYFUNCTION("""COMPUTED_VALUE"""),106102.0)</f>
        <v>106102</v>
      </c>
      <c r="B1269" s="235" t="str">
        <f>IFERROR(__xludf.DUMMYFUNCTION("""COMPUTED_VALUE"""),"ALFA DE LEON")</f>
        <v>ALFA DE LEON</v>
      </c>
      <c r="C1269" s="235" t="str">
        <f>IFERROR(__xludf.DUMMYFUNCTION("""COMPUTED_VALUE"""),"LANDSCAPING")</f>
        <v>LANDSCAPING</v>
      </c>
      <c r="D1269" s="196" t="str">
        <f>IFERROR(__xludf.DUMMYFUNCTION("""COMPUTED_VALUE"""),"TREE TRIMMER WITH LONG HANDLE")</f>
        <v>TREE TRIMMER WITH LONG HANDLE</v>
      </c>
      <c r="E1269" s="196" t="str">
        <f>IFERROR(__xludf.DUMMYFUNCTION("""COMPUTED_VALUE"""),"FOR TRIMMING/ PRUNING OF TREES")</f>
        <v>FOR TRIMMING/ PRUNING OF TREES</v>
      </c>
    </row>
    <row r="1270">
      <c r="A1270" s="234">
        <f>IFERROR(__xludf.DUMMYFUNCTION("""COMPUTED_VALUE"""),106103.0)</f>
        <v>106103</v>
      </c>
      <c r="B1270" s="235" t="str">
        <f>IFERROR(__xludf.DUMMYFUNCTION("""COMPUTED_VALUE"""),"JESUIT CHRISTIAN GALICIA")</f>
        <v>JESUIT CHRISTIAN GALICIA</v>
      </c>
      <c r="C1270" s="235" t="str">
        <f>IFERROR(__xludf.DUMMYFUNCTION("""COMPUTED_VALUE"""),"AMD")</f>
        <v>AMD</v>
      </c>
      <c r="D1270" s="196" t="str">
        <f>IFERROR(__xludf.DUMMYFUNCTION("""COMPUTED_VALUE"""),"MERCUSYS MUA6H WIFI RECEIVER")</f>
        <v>MERCUSYS MUA6H WIFI RECEIVER</v>
      </c>
      <c r="E1270" s="196" t="str">
        <f>IFERROR(__xludf.DUMMYFUNCTION("""COMPUTED_VALUE"""),"MIS WAREHOUSE STOCK REPLENISHMENT")</f>
        <v>MIS WAREHOUSE STOCK REPLENISHMENT</v>
      </c>
    </row>
    <row r="1271">
      <c r="A1271" s="234">
        <f>IFERROR(__xludf.DUMMYFUNCTION("""COMPUTED_VALUE"""),106104.0)</f>
        <v>106104</v>
      </c>
      <c r="B1271" s="235" t="str">
        <f>IFERROR(__xludf.DUMMYFUNCTION("""COMPUTED_VALUE"""),"MARICEL FLORES")</f>
        <v>MARICEL FLORES</v>
      </c>
      <c r="C1271" s="235" t="str">
        <f>IFERROR(__xludf.DUMMYFUNCTION("""COMPUTED_VALUE"""),"MEDICAL")</f>
        <v>MEDICAL</v>
      </c>
      <c r="D1271" s="196" t="str">
        <f>IFERROR(__xludf.DUMMYFUNCTION("""COMPUTED_VALUE"""),"PVC-TYPE LAMINATING FILS (PET CARD SHEETS) 50 SHEETS PER BOX")</f>
        <v>PVC-TYPE LAMINATING FILS (PET CARD SHEETS) 50 SHEETS PER BOX</v>
      </c>
      <c r="E1271" s="196" t="str">
        <f>IFERROR(__xludf.DUMMYFUNCTION("""COMPUTED_VALUE"""),"RESTROOM SIGNAGES")</f>
        <v>RESTROOM SIGNAGES</v>
      </c>
    </row>
    <row r="1272">
      <c r="A1272" s="234">
        <f>IFERROR(__xludf.DUMMYFUNCTION("""COMPUTED_VALUE"""),106105.0)</f>
        <v>106105</v>
      </c>
      <c r="B1272" s="235" t="str">
        <f>IFERROR(__xludf.DUMMYFUNCTION("""COMPUTED_VALUE"""),"ALFA DE LEON")</f>
        <v>ALFA DE LEON</v>
      </c>
      <c r="C1272" s="235" t="str">
        <f>IFERROR(__xludf.DUMMYFUNCTION("""COMPUTED_VALUE"""),"LANDSCAPING")</f>
        <v>LANDSCAPING</v>
      </c>
      <c r="D1272" s="196" t="str">
        <f>IFERROR(__xludf.DUMMYFUNCTION("""COMPUTED_VALUE"""),"1 TANSI FISHING LINE
1 GRASS CUTTER BLADE
1 PHILIP SCREW
1 PLIAR 7""")</f>
        <v>1 TANSI FISHING LINE
1 GRASS CUTTER BLADE
1 PHILIP SCREW
1 PLIAR 7"</v>
      </c>
      <c r="E1272" s="196" t="str">
        <f>IFERROR(__xludf.DUMMYFUNCTION("""COMPUTED_VALUE"""),"GRASS CUTTER MAINTENANCE")</f>
        <v>GRASS CUTTER MAINTENANCE</v>
      </c>
    </row>
    <row r="1273">
      <c r="A1273" s="234">
        <f>IFERROR(__xludf.DUMMYFUNCTION("""COMPUTED_VALUE"""),106106.0)</f>
        <v>106106</v>
      </c>
      <c r="B1273" s="235" t="str">
        <f>IFERROR(__xludf.DUMMYFUNCTION("""COMPUTED_VALUE"""),"ALFA DE LEON")</f>
        <v>ALFA DE LEON</v>
      </c>
      <c r="C1273" s="235" t="str">
        <f>IFERROR(__xludf.DUMMYFUNCTION("""COMPUTED_VALUE"""),"LANDSCAPING")</f>
        <v>LANDSCAPING</v>
      </c>
      <c r="D1273" s="196" t="str">
        <f>IFERROR(__xludf.DUMMYFUNCTION("""COMPUTED_VALUE"""),"5 GARDEN SHOWER/SPRINKLER")</f>
        <v>5 GARDEN SHOWER/SPRINKLER</v>
      </c>
      <c r="E1273" s="196" t="str">
        <f>IFERROR(__xludf.DUMMYFUNCTION("""COMPUTED_VALUE"""),"WATERING OF INDOOR PLANTS")</f>
        <v>WATERING OF INDOOR PLANTS</v>
      </c>
    </row>
    <row r="1274">
      <c r="A1274" s="234">
        <f>IFERROR(__xludf.DUMMYFUNCTION("""COMPUTED_VALUE"""),106107.0)</f>
        <v>106107</v>
      </c>
      <c r="B1274" s="235" t="str">
        <f>IFERROR(__xludf.DUMMYFUNCTION("""COMPUTED_VALUE"""),"ALFA DE LEON")</f>
        <v>ALFA DE LEON</v>
      </c>
      <c r="C1274" s="235" t="str">
        <f>IFERROR(__xludf.DUMMYFUNCTION("""COMPUTED_VALUE"""),"LANDSCAPING")</f>
        <v>LANDSCAPING</v>
      </c>
      <c r="D1274" s="196" t="str">
        <f>IFERROR(__xludf.DUMMYFUNCTION("""COMPUTED_VALUE"""),"8 DRIED MOSS
2 CABLE TIE 
FARE")</f>
        <v>8 DRIED MOSS
2 CABLE TIE 
FARE</v>
      </c>
      <c r="E1274" s="196" t="str">
        <f>IFERROR(__xludf.DUMMYFUNCTION("""COMPUTED_VALUE"""),"GROUND COVER FOR INDOOR PLANTS")</f>
        <v>GROUND COVER FOR INDOOR PLANTS</v>
      </c>
    </row>
    <row r="1275">
      <c r="A1275" s="234">
        <f>IFERROR(__xludf.DUMMYFUNCTION("""COMPUTED_VALUE"""),106108.0)</f>
        <v>106108</v>
      </c>
      <c r="B1275" s="235" t="str">
        <f>IFERROR(__xludf.DUMMYFUNCTION("""COMPUTED_VALUE"""),"ALFA DE LEON")</f>
        <v>ALFA DE LEON</v>
      </c>
      <c r="C1275" s="235" t="str">
        <f>IFERROR(__xludf.DUMMYFUNCTION("""COMPUTED_VALUE"""),"LANDSCAPING")</f>
        <v>LANDSCAPING</v>
      </c>
      <c r="D1275" s="196" t="str">
        <f>IFERROR(__xludf.DUMMYFUNCTION("""COMPUTED_VALUE"""),"20 DRIED MOSS")</f>
        <v>20 DRIED MOSS</v>
      </c>
      <c r="E1275" s="196" t="str">
        <f>IFERROR(__xludf.DUMMYFUNCTION("""COMPUTED_VALUE"""),"GROUND COVER FOR POTTED PLANTS")</f>
        <v>GROUND COVER FOR POTTED PLANTS</v>
      </c>
    </row>
    <row r="1276">
      <c r="A1276" s="234">
        <f>IFERROR(__xludf.DUMMYFUNCTION("""COMPUTED_VALUE"""),106109.0)</f>
        <v>106109</v>
      </c>
      <c r="B1276" s="235" t="str">
        <f>IFERROR(__xludf.DUMMYFUNCTION("""COMPUTED_VALUE"""),"OWIE PAR")</f>
        <v>OWIE PAR</v>
      </c>
      <c r="C1276" s="235" t="str">
        <f>IFERROR(__xludf.DUMMYFUNCTION("""COMPUTED_VALUE"""),"ENGINEERING")</f>
        <v>ENGINEERING</v>
      </c>
      <c r="D1276" s="196" t="str">
        <f>IFERROR(__xludf.DUMMYFUNCTION("""COMPUTED_VALUE"""),"4 PCS RUBBER BALL CASTER 2""")</f>
        <v>4 PCS RUBBER BALL CASTER 2"</v>
      </c>
      <c r="E1276" s="196" t="str">
        <f>IFERROR(__xludf.DUMMYFUNCTION("""COMPUTED_VALUE"""),"FOR COLLEGE PHYSIC LAB")</f>
        <v>FOR COLLEGE PHYSIC LAB</v>
      </c>
    </row>
    <row r="1277">
      <c r="A1277" s="234">
        <f>IFERROR(__xludf.DUMMYFUNCTION("""COMPUTED_VALUE"""),106110.0)</f>
        <v>106110</v>
      </c>
      <c r="B1277" s="235" t="str">
        <f>IFERROR(__xludf.DUMMYFUNCTION("""COMPUTED_VALUE"""),"SHEREE ESPINOSA")</f>
        <v>SHEREE ESPINOSA</v>
      </c>
      <c r="C1277" s="235" t="str">
        <f>IFERROR(__xludf.DUMMYFUNCTION("""COMPUTED_VALUE"""),"ADMIN")</f>
        <v>ADMIN</v>
      </c>
      <c r="D1277" s="196" t="str">
        <f>IFERROR(__xludf.DUMMYFUNCTION("""COMPUTED_VALUE"""),"30 SETS ARTIFICIAL LEAVES")</f>
        <v>30 SETS ARTIFICIAL LEAVES</v>
      </c>
      <c r="E1277" s="196" t="str">
        <f>IFERROR(__xludf.DUMMYFUNCTION("""COMPUTED_VALUE"""),"FOR STAGE DECORATION FOR VARIOUS EVENTS")</f>
        <v>FOR STAGE DECORATION FOR VARIOUS EVENTS</v>
      </c>
    </row>
    <row r="1278">
      <c r="A1278" s="234">
        <f>IFERROR(__xludf.DUMMYFUNCTION("""COMPUTED_VALUE"""),106111.0)</f>
        <v>106111</v>
      </c>
      <c r="B1278" s="235" t="str">
        <f>IFERROR(__xludf.DUMMYFUNCTION("""COMPUTED_VALUE"""),"RODRIGO CUSTODIO")</f>
        <v>RODRIGO CUSTODIO</v>
      </c>
      <c r="C1278" s="235" t="str">
        <f>IFERROR(__xludf.DUMMYFUNCTION("""COMPUTED_VALUE"""),"AMD")</f>
        <v>AMD</v>
      </c>
      <c r="D1278" s="196" t="str">
        <f>IFERROR(__xludf.DUMMYFUNCTION("""COMPUTED_VALUE"""),"9 PCS STRIPPER PAD WHITE 3M 
456 PCS ALL PURPOSE POWDER 800 GRAMS PER PACK CHAMPION WITH FABRIC CONDITIONAIRE 
80 PCS ZIM GLASS CLEANER 500 ML
13 PCS MOP HANDLE 4FT RED MANSION")</f>
        <v>9 PCS STRIPPER PAD WHITE 3M 
456 PCS ALL PURPOSE POWDER 800 GRAMS PER PACK CHAMPION WITH FABRIC CONDITIONAIRE 
80 PCS ZIM GLASS CLEANER 500 ML
13 PCS MOP HANDLE 4FT RED MANSION</v>
      </c>
      <c r="E1278" s="196" t="str">
        <f>IFERROR(__xludf.DUMMYFUNCTION("""COMPUTED_VALUE"""),"HOUSEKEEPING MATERIALS STOCK REPLENISHMENT")</f>
        <v>HOUSEKEEPING MATERIALS STOCK REPLENISHMENT</v>
      </c>
    </row>
    <row r="1279">
      <c r="A1279" s="234">
        <f>IFERROR(__xludf.DUMMYFUNCTION("""COMPUTED_VALUE"""),106112.0)</f>
        <v>106112</v>
      </c>
      <c r="B1279" s="235" t="str">
        <f>IFERROR(__xludf.DUMMYFUNCTION("""COMPUTED_VALUE"""),"JORDAN JORDAN")</f>
        <v>JORDAN JORDAN</v>
      </c>
      <c r="C1279" s="235" t="str">
        <f>IFERROR(__xludf.DUMMYFUNCTION("""COMPUTED_VALUE"""),"ADMIN")</f>
        <v>ADMIN</v>
      </c>
      <c r="D1279" s="196" t="str">
        <f>IFERROR(__xludf.DUMMYFUNCTION("""COMPUTED_VALUE"""),"2 ROLLS THHN THWN 2 3.5MM2")</f>
        <v>2 ROLLS THHN THWN 2 3.5MM2</v>
      </c>
      <c r="E1279" s="196" t="str">
        <f>IFERROR(__xludf.DUMMYFUNCTION("""COMPUTED_VALUE"""),"FOR K12 FACULTY OUTLET")</f>
        <v>FOR K12 FACULTY OUTLET</v>
      </c>
    </row>
    <row r="1280">
      <c r="A1280" s="234">
        <f>IFERROR(__xludf.DUMMYFUNCTION("""COMPUTED_VALUE"""),106113.0)</f>
        <v>106113</v>
      </c>
      <c r="B1280" s="235" t="str">
        <f>IFERROR(__xludf.DUMMYFUNCTION("""COMPUTED_VALUE"""),"MARC VINCENT VITTO")</f>
        <v>MARC VINCENT VITTO</v>
      </c>
      <c r="C1280" s="235" t="str">
        <f>IFERROR(__xludf.DUMMYFUNCTION("""COMPUTED_VALUE"""),"PR &amp; MARKETING")</f>
        <v>PR &amp; MARKETING</v>
      </c>
      <c r="D1280" s="196" t="str">
        <f>IFERROR(__xludf.DUMMYFUNCTION("""COMPUTED_VALUE"""),"1 EACH SIZE WELCOME BACK TO SCHOOL AY 25-26
-W 170 IN H 61.5 IN 
-W 10FT X H 7FT
-W 156 IN X H 28 IN
-W 78 IN X H 96 IN
-W 490 CM X H 181 CM 
THICKNESS ALL 18 OZ ADD SEAMING AND EYELET ALLOVER")</f>
        <v>1 EACH SIZE WELCOME BACK TO SCHOOL AY 25-26
-W 170 IN H 61.5 IN 
-W 10FT X H 7FT
-W 156 IN X H 28 IN
-W 78 IN X H 96 IN
-W 490 CM X H 181 CM 
THICKNESS ALL 18 OZ ADD SEAMING AND EYELET ALLOVER</v>
      </c>
      <c r="E1280" s="196" t="str">
        <f>IFERROR(__xludf.DUMMYFUNCTION("""COMPUTED_VALUE"""),"WELCOME BACK TO SCHOOL ")</f>
        <v>WELCOME BACK TO SCHOOL </v>
      </c>
    </row>
    <row r="1281">
      <c r="A1281" s="234">
        <f>IFERROR(__xludf.DUMMYFUNCTION("""COMPUTED_VALUE"""),106114.0)</f>
        <v>106114</v>
      </c>
      <c r="B1281" s="235" t="str">
        <f>IFERROR(__xludf.DUMMYFUNCTION("""COMPUTED_VALUE"""),"RODRIGO CUSTODIO")</f>
        <v>RODRIGO CUSTODIO</v>
      </c>
      <c r="C1281" s="235" t="str">
        <f>IFERROR(__xludf.DUMMYFUNCTION("""COMPUTED_VALUE"""),"AMD")</f>
        <v>AMD</v>
      </c>
      <c r="D1281" s="196" t="str">
        <f>IFERROR(__xludf.DUMMYFUNCTION("""COMPUTED_VALUE"""),"11 GALS DRAIN MAINTAINER AND DEODORIZER STATE D STROY 1 U.S GAL")</f>
        <v>11 GALS DRAIN MAINTAINER AND DEODORIZER STATE D STROY 1 U.S GAL</v>
      </c>
      <c r="E1281" s="196" t="str">
        <f>IFERROR(__xludf.DUMMYFUNCTION("""COMPUTED_VALUE"""),"HOUSEKEEPING MATERIALS STOCK REPLENISHMENT")</f>
        <v>HOUSEKEEPING MATERIALS STOCK REPLENISHMENT</v>
      </c>
    </row>
    <row r="1282">
      <c r="A1282" s="234">
        <f>IFERROR(__xludf.DUMMYFUNCTION("""COMPUTED_VALUE"""),106115.0)</f>
        <v>106115</v>
      </c>
      <c r="B1282" s="235" t="str">
        <f>IFERROR(__xludf.DUMMYFUNCTION("""COMPUTED_VALUE"""),"JEROME MENOR")</f>
        <v>JEROME MENOR</v>
      </c>
      <c r="C1282" s="235" t="str">
        <f>IFERROR(__xludf.DUMMYFUNCTION("""COMPUTED_VALUE"""),"AUDIT")</f>
        <v>AUDIT</v>
      </c>
      <c r="D1282" s="196" t="str">
        <f>IFERROR(__xludf.DUMMYFUNCTION("""COMPUTED_VALUE"""),"TRODAT NAME JEROME MENOR ")</f>
        <v>TRODAT NAME JEROME MENOR </v>
      </c>
      <c r="E1282" s="196" t="str">
        <f>IFERROR(__xludf.DUMMYFUNCTION("""COMPUTED_VALUE"""),"FOR OFFICE USE")</f>
        <v>FOR OFFICE USE</v>
      </c>
    </row>
    <row r="1283">
      <c r="A1283" s="234">
        <f>IFERROR(__xludf.DUMMYFUNCTION("""COMPUTED_VALUE"""),106116.0)</f>
        <v>106116</v>
      </c>
      <c r="B1283" s="235" t="str">
        <f>IFERROR(__xludf.DUMMYFUNCTION("""COMPUTED_VALUE"""),"MARK M PABUSTAN")</f>
        <v>MARK M PABUSTAN</v>
      </c>
      <c r="C1283" s="235" t="str">
        <f>IFERROR(__xludf.DUMMYFUNCTION("""COMPUTED_VALUE"""),"ROBOTICS")</f>
        <v>ROBOTICS</v>
      </c>
      <c r="D1283" s="196" t="str">
        <f>IFERROR(__xludf.DUMMYFUNCTION("""COMPUTED_VALUE"""),"27 ESUN PLAT FILAMENT
1 0.2 MM NOZZLE
1 TWEEZER
3 STORAGE BOX")</f>
        <v>27 ESUN PLAT FILAMENT
1 0.2 MM NOZZLE
1 TWEEZER
3 STORAGE BOX</v>
      </c>
      <c r="E1283" s="196" t="str">
        <f>IFERROR(__xludf.DUMMYFUNCTION("""COMPUTED_VALUE"""),"FOR REPLENISHMENT AND ADDITIONAL TOOLS")</f>
        <v>FOR REPLENISHMENT AND ADDITIONAL TOOLS</v>
      </c>
    </row>
    <row r="1284">
      <c r="A1284" s="234">
        <f>IFERROR(__xludf.DUMMYFUNCTION("""COMPUTED_VALUE"""),106117.0)</f>
        <v>106117</v>
      </c>
      <c r="B1284" s="235" t="str">
        <f>IFERROR(__xludf.DUMMYFUNCTION("""COMPUTED_VALUE"""),"MARIA TERESA JOY BASIA")</f>
        <v>MARIA TERESA JOY BASIA</v>
      </c>
      <c r="C1284" s="235" t="str">
        <f>IFERROR(__xludf.DUMMYFUNCTION("""COMPUTED_VALUE"""),"AMD")</f>
        <v>AMD</v>
      </c>
      <c r="D1284" s="196" t="str">
        <f>IFERROR(__xludf.DUMMYFUNCTION("""COMPUTED_VALUE"""),"TRODAT-RED-PRINT 4910
TEXT: MARIA TERESA JOY P. BASIA
FONT FAMILY: ROBOTO MEDIUM")</f>
        <v>TRODAT-RED-PRINT 4910
TEXT: MARIA TERESA JOY P. BASIA
FONT FAMILY: ROBOTO MEDIUM</v>
      </c>
      <c r="E1284" s="196" t="str">
        <f>IFERROR(__xludf.DUMMYFUNCTION("""COMPUTED_VALUE"""),"FOR OFFICE USE")</f>
        <v>FOR OFFICE USE</v>
      </c>
    </row>
    <row r="1285">
      <c r="A1285" s="234">
        <f>IFERROR(__xludf.DUMMYFUNCTION("""COMPUTED_VALUE"""),106118.0)</f>
        <v>106118</v>
      </c>
      <c r="B1285" s="235" t="str">
        <f>IFERROR(__xludf.DUMMYFUNCTION("""COMPUTED_VALUE"""),"MARC VINCENT VITTO")</f>
        <v>MARC VINCENT VITTO</v>
      </c>
      <c r="C1285" s="235" t="str">
        <f>IFERROR(__xludf.DUMMYFUNCTION("""COMPUTED_VALUE"""),"PR &amp; MARKETING")</f>
        <v>PR &amp; MARKETING</v>
      </c>
      <c r="D1285" s="196" t="str">
        <f>IFERROR(__xludf.DUMMYFUNCTION("""COMPUTED_VALUE"""),"2 PCS APPLIED HE TARP W 10FT X H 10FT THICKNESS 18 OZ ADD SEAMING AND EYELET ALL OVER")</f>
        <v>2 PCS APPLIED HE TARP W 10FT X H 10FT THICKNESS 18 OZ ADD SEAMING AND EYELET ALL OVER</v>
      </c>
      <c r="E1285" s="196" t="str">
        <f>IFERROR(__xludf.DUMMYFUNCTION("""COMPUTED_VALUE"""),"MARKETING/ RE ORDER")</f>
        <v>MARKETING/ RE ORDER</v>
      </c>
    </row>
    <row r="1286">
      <c r="A1286" s="234">
        <f>IFERROR(__xludf.DUMMYFUNCTION("""COMPUTED_VALUE"""),106119.0)</f>
        <v>106119</v>
      </c>
      <c r="B1286" s="235" t="str">
        <f>IFERROR(__xludf.DUMMYFUNCTION("""COMPUTED_VALUE"""),"LYKA PERALTA")</f>
        <v>LYKA PERALTA</v>
      </c>
      <c r="C1286" s="235" t="str">
        <f>IFERROR(__xludf.DUMMYFUNCTION("""COMPUTED_VALUE"""),"AMD")</f>
        <v>AMD</v>
      </c>
      <c r="D1286" s="196" t="str">
        <f>IFERROR(__xludf.DUMMYFUNCTION("""COMPUTED_VALUE"""),"100 PACKS BOARD VELLUM A4 SIZE 10 PCS / PACK")</f>
        <v>100 PACKS BOARD VELLUM A4 SIZE 10 PCS / PACK</v>
      </c>
      <c r="E1286" s="196" t="str">
        <f>IFERROR(__xludf.DUMMYFUNCTION("""COMPUTED_VALUE"""),"OSSUP FOR REPLENISHMENT")</f>
        <v>OSSUP FOR REPLENISHMENT</v>
      </c>
    </row>
    <row r="1287">
      <c r="A1287" s="234">
        <f>IFERROR(__xludf.DUMMYFUNCTION("""COMPUTED_VALUE"""),106120.0)</f>
        <v>106120</v>
      </c>
      <c r="B1287" s="235" t="str">
        <f>IFERROR(__xludf.DUMMYFUNCTION("""COMPUTED_VALUE"""),"LYKA PERALTA")</f>
        <v>LYKA PERALTA</v>
      </c>
      <c r="C1287" s="235" t="str">
        <f>IFERROR(__xludf.DUMMYFUNCTION("""COMPUTED_VALUE"""),"AMD")</f>
        <v>AMD</v>
      </c>
      <c r="D1287" s="196" t="str">
        <f>IFERROR(__xludf.DUMMYFUNCTION("""COMPUTED_VALUE"""),"7 PCS WATER SUBMETER")</f>
        <v>7 PCS WATER SUBMETER</v>
      </c>
      <c r="E1287" s="196" t="str">
        <f>IFERROR(__xludf.DUMMYFUNCTION("""COMPUTED_VALUE"""),"REPLACEMENT OF DEFECTIVE SUBMETER")</f>
        <v>REPLACEMENT OF DEFECTIVE SUBMETER</v>
      </c>
    </row>
    <row r="1288">
      <c r="A1288" s="234">
        <f>IFERROR(__xludf.DUMMYFUNCTION("""COMPUTED_VALUE"""),106121.0)</f>
        <v>106121</v>
      </c>
      <c r="B1288" s="235" t="str">
        <f>IFERROR(__xludf.DUMMYFUNCTION("""COMPUTED_VALUE"""),"PATRICIA SALTING")</f>
        <v>PATRICIA SALTING</v>
      </c>
      <c r="C1288" s="235" t="str">
        <f>IFERROR(__xludf.DUMMYFUNCTION("""COMPUTED_VALUE"""),"CAPS BED")</f>
        <v>CAPS BED</v>
      </c>
      <c r="D1288" s="196" t="str">
        <f>IFERROR(__xludf.DUMMYFUNCTION("""COMPUTED_VALUE"""),"1 CANON PIXMA MG30705")</f>
        <v>1 CANON PIXMA MG30705</v>
      </c>
      <c r="E1288" s="196" t="str">
        <f>IFERROR(__xludf.DUMMYFUNCTION("""COMPUTED_VALUE"""),"REPLACEMENT OF OLD SCANNER")</f>
        <v>REPLACEMENT OF OLD SCANNER</v>
      </c>
    </row>
    <row r="1289">
      <c r="A1289" s="234">
        <f>IFERROR(__xludf.DUMMYFUNCTION("""COMPUTED_VALUE"""),106122.0)</f>
        <v>106122</v>
      </c>
      <c r="B1289" s="235" t="str">
        <f>IFERROR(__xludf.DUMMYFUNCTION("""COMPUTED_VALUE"""),"SHEREE ESPINOSA")</f>
        <v>SHEREE ESPINOSA</v>
      </c>
      <c r="C1289" s="235" t="str">
        <f>IFERROR(__xludf.DUMMYFUNCTION("""COMPUTED_VALUE"""),"ADMIN")</f>
        <v>ADMIN</v>
      </c>
      <c r="D1289" s="196" t="str">
        <f>IFERROR(__xludf.DUMMYFUNCTION("""COMPUTED_VALUE"""),"4 PCS SWIVEL CHAIRS")</f>
        <v>4 PCS SWIVEL CHAIRS</v>
      </c>
      <c r="E1289" s="196" t="str">
        <f>IFERROR(__xludf.DUMMYFUNCTION("""COMPUTED_VALUE"""),"REPLACEMENT OF BROKEN SWIVEL CHAIRS IN FINANCE OFFICE")</f>
        <v>REPLACEMENT OF BROKEN SWIVEL CHAIRS IN FINANCE OFFICE</v>
      </c>
    </row>
    <row r="1290">
      <c r="A1290" s="234">
        <f>IFERROR(__xludf.DUMMYFUNCTION("""COMPUTED_VALUE"""),106123.0)</f>
        <v>106123</v>
      </c>
      <c r="B1290" s="235" t="str">
        <f>IFERROR(__xludf.DUMMYFUNCTION("""COMPUTED_VALUE"""),"SARY ESCUREL")</f>
        <v>SARY ESCUREL</v>
      </c>
      <c r="C1290" s="235" t="str">
        <f>IFERROR(__xludf.DUMMYFUNCTION("""COMPUTED_VALUE"""),"SFO")</f>
        <v>SFO</v>
      </c>
      <c r="D1290" s="196" t="str">
        <f>IFERROR(__xludf.DUMMYFUNCTION("""COMPUTED_VALUE"""),"2 GASTOVE , HANABISHI DOUBLE BURNER  HS1,  2 LPG GASUL TANKS WITH INITIAL LOAD REGASCO")</f>
        <v>2 GASTOVE , HANABISHI DOUBLE BURNER  HS1,  2 LPG GASUL TANKS WITH INITIAL LOAD REGASCO</v>
      </c>
      <c r="E1290" s="196" t="str">
        <f>IFERROR(__xludf.DUMMYFUNCTION("""COMPUTED_VALUE"""),"FOR DOANTION")</f>
        <v>FOR DOANTION</v>
      </c>
    </row>
    <row r="1291">
      <c r="A1291" s="234">
        <f>IFERROR(__xludf.DUMMYFUNCTION("""COMPUTED_VALUE"""),106124.0)</f>
        <v>106124</v>
      </c>
      <c r="B1291" s="235" t="str">
        <f>IFERROR(__xludf.DUMMYFUNCTION("""COMPUTED_VALUE"""),"CLEA LOMIWES")</f>
        <v>CLEA LOMIWES</v>
      </c>
      <c r="C1291" s="235" t="str">
        <f>IFERROR(__xludf.DUMMYFUNCTION("""COMPUTED_VALUE"""),"LIBRARY COLLEGE")</f>
        <v>LIBRARY COLLEGE</v>
      </c>
      <c r="D1291" s="196" t="str">
        <f>IFERROR(__xludf.DUMMYFUNCTION("""COMPUTED_VALUE"""),"3000 BOOK POCKET, 3000 BOOK CARD")</f>
        <v>3000 BOOK POCKET, 3000 BOOK CARD</v>
      </c>
      <c r="E1291" s="196" t="str">
        <f>IFERROR(__xludf.DUMMYFUNCTION("""COMPUTED_VALUE"""),"FOR LIBRARY SUPPLY")</f>
        <v>FOR LIBRARY SUPPLY</v>
      </c>
    </row>
    <row r="1292">
      <c r="A1292" s="234">
        <f>IFERROR(__xludf.DUMMYFUNCTION("""COMPUTED_VALUE"""),106125.0)</f>
        <v>106125</v>
      </c>
      <c r="B1292" s="235" t="str">
        <f>IFERROR(__xludf.DUMMYFUNCTION("""COMPUTED_VALUE"""),"OWIE PAR")</f>
        <v>OWIE PAR</v>
      </c>
      <c r="C1292" s="235" t="str">
        <f>IFERROR(__xludf.DUMMYFUNCTION("""COMPUTED_VALUE"""),"ENGINEERING")</f>
        <v>ENGINEERING</v>
      </c>
      <c r="D1292" s="196" t="str">
        <f>IFERROR(__xludf.DUMMYFUNCTION("""COMPUTED_VALUE"""),"1 SET TOILET LAVATORY FAUCET SINGLE")</f>
        <v>1 SET TOILET LAVATORY FAUCET SINGLE</v>
      </c>
      <c r="E1292" s="196" t="str">
        <f>IFERROR(__xludf.DUMMYFUNCTION("""COMPUTED_VALUE"""),"FOR PRESIDENT'S OFFICE CR")</f>
        <v>FOR PRESIDENT'S OFFICE CR</v>
      </c>
    </row>
    <row r="1293">
      <c r="A1293" s="234">
        <f>IFERROR(__xludf.DUMMYFUNCTION("""COMPUTED_VALUE"""),106126.0)</f>
        <v>106126</v>
      </c>
      <c r="B1293" s="235" t="str">
        <f>IFERROR(__xludf.DUMMYFUNCTION("""COMPUTED_VALUE"""),"OWIE PAR")</f>
        <v>OWIE PAR</v>
      </c>
      <c r="C1293" s="235" t="str">
        <f>IFERROR(__xludf.DUMMYFUNCTION("""COMPUTED_VALUE"""),"ENGINEERING")</f>
        <v>ENGINEERING</v>
      </c>
      <c r="D1293" s="196" t="str">
        <f>IFERROR(__xludf.DUMMYFUNCTION("""COMPUTED_VALUE"""),"SUBMERSIBLE PUMP SEE , 1 ")</f>
        <v>SUBMERSIBLE PUMP SEE , 1 </v>
      </c>
      <c r="E1293" s="196" t="str">
        <f>IFERROR(__xludf.DUMMYFUNCTION("""COMPUTED_VALUE"""),"FOR TROPICAL ELEVATOR")</f>
        <v>FOR TROPICAL ELEVATOR</v>
      </c>
    </row>
    <row r="1294">
      <c r="A1294" s="234">
        <f>IFERROR(__xludf.DUMMYFUNCTION("""COMPUTED_VALUE"""),106127.0)</f>
        <v>106127</v>
      </c>
      <c r="B1294" s="235" t="str">
        <f>IFERROR(__xludf.DUMMYFUNCTION("""COMPUTED_VALUE"""),"RACHEL PAMATIAN")</f>
        <v>RACHEL PAMATIAN</v>
      </c>
      <c r="C1294" s="235" t="str">
        <f>IFERROR(__xludf.DUMMYFUNCTION("""COMPUTED_VALUE"""),"ADMIN - STAR")</f>
        <v>ADMIN - STAR</v>
      </c>
      <c r="D1294" s="196" t="str">
        <f>IFERROR(__xludf.DUMMYFUNCTION("""COMPUTED_VALUE"""),"1 3SMF MOTOLITE BATTTERY")</f>
        <v>1 3SMF MOTOLITE BATTTERY</v>
      </c>
      <c r="E1294" s="196" t="str">
        <f>IFERROR(__xludf.DUMMYFUNCTION("""COMPUTED_VALUE"""),"FOR STAR CAMPUS GENSET")</f>
        <v>FOR STAR CAMPUS GENSET</v>
      </c>
    </row>
    <row r="1295">
      <c r="A1295" s="234">
        <f>IFERROR(__xludf.DUMMYFUNCTION("""COMPUTED_VALUE"""),106128.0)</f>
        <v>106128</v>
      </c>
      <c r="B1295" s="235" t="str">
        <f>IFERROR(__xludf.DUMMYFUNCTION("""COMPUTED_VALUE"""),"RONALDO VERDE ")</f>
        <v>RONALDO VERDE </v>
      </c>
      <c r="C1295" s="235" t="str">
        <f>IFERROR(__xludf.DUMMYFUNCTION("""COMPUTED_VALUE"""),"ADMIN")</f>
        <v>ADMIN</v>
      </c>
      <c r="D1295" s="196" t="str">
        <f>IFERROR(__xludf.DUMMYFUNCTION("""COMPUTED_VALUE"""),"1 WALL MOUNTED EXHAUST FAN 6"" ")</f>
        <v>1 WALL MOUNTED EXHAUST FAN 6" </v>
      </c>
      <c r="E1295" s="196" t="str">
        <f>IFERROR(__xludf.DUMMYFUNCTION("""COMPUTED_VALUE"""),"FOR IT OFFICE VENTILATION")</f>
        <v>FOR IT OFFICE VENTILATION</v>
      </c>
    </row>
    <row r="1296">
      <c r="A1296" s="234">
        <f>IFERROR(__xludf.DUMMYFUNCTION("""COMPUTED_VALUE"""),106129.0)</f>
        <v>106129</v>
      </c>
      <c r="B1296" s="235" t="str">
        <f>IFERROR(__xludf.DUMMYFUNCTION("""COMPUTED_VALUE"""),"LYKA PERALTA")</f>
        <v>LYKA PERALTA</v>
      </c>
      <c r="C1296" s="235" t="str">
        <f>IFERROR(__xludf.DUMMYFUNCTION("""COMPUTED_VALUE"""),"AMD")</f>
        <v>AMD</v>
      </c>
      <c r="D1296" s="196" t="str">
        <f>IFERROR(__xludf.DUMMYFUNCTION("""COMPUTED_VALUE"""),"300 PCS HAND TOWEL - GOOD MORNING")</f>
        <v>300 PCS HAND TOWEL - GOOD MORNING</v>
      </c>
      <c r="E1296" s="196" t="str">
        <f>IFERROR(__xludf.DUMMYFUNCTION("""COMPUTED_VALUE"""),"STOCK REPLENISHMENT ")</f>
        <v>STOCK REPLENISHMENT </v>
      </c>
    </row>
    <row r="1297">
      <c r="A1297" s="234">
        <f>IFERROR(__xludf.DUMMYFUNCTION("""COMPUTED_VALUE"""),106130.0)</f>
        <v>106130</v>
      </c>
      <c r="B1297" s="235" t="str">
        <f>IFERROR(__xludf.DUMMYFUNCTION("""COMPUTED_VALUE"""),"SHEREE ESPINOSA")</f>
        <v>SHEREE ESPINOSA</v>
      </c>
      <c r="C1297" s="235" t="str">
        <f>IFERROR(__xludf.DUMMYFUNCTION("""COMPUTED_VALUE"""),"ADMIN - LUX")</f>
        <v>ADMIN - LUX</v>
      </c>
      <c r="D1297" s="196" t="str">
        <f>IFERROR(__xludf.DUMMYFUNCTION("""COMPUTED_VALUE"""),"45 PCS TRASHBIN SMALL, 19 PCS BIG")</f>
        <v>45 PCS TRASHBIN SMALL, 19 PCS BIG</v>
      </c>
      <c r="E1297" s="196" t="str">
        <f>IFERROR(__xludf.DUMMYFUNCTION("""COMPUTED_VALUE"""),"FOR LUX CAMPUS RESTROOMS")</f>
        <v>FOR LUX CAMPUS RESTROOMS</v>
      </c>
    </row>
    <row r="1298">
      <c r="A1298" s="234">
        <f>IFERROR(__xludf.DUMMYFUNCTION("""COMPUTED_VALUE"""),106131.0)</f>
        <v>106131</v>
      </c>
      <c r="B1298" s="235" t="str">
        <f>IFERROR(__xludf.DUMMYFUNCTION("""COMPUTED_VALUE"""),"SHEREE ESPINOSA")</f>
        <v>SHEREE ESPINOSA</v>
      </c>
      <c r="C1298" s="235" t="str">
        <f>IFERROR(__xludf.DUMMYFUNCTION("""COMPUTED_VALUE"""),"ADMIN")</f>
        <v>ADMIN</v>
      </c>
      <c r="D1298" s="196" t="str">
        <f>IFERROR(__xludf.DUMMYFUNCTION("""COMPUTED_VALUE"""),"41 PCS COMPUTER LAB CHAIRS ")</f>
        <v>41 PCS COMPUTER LAB CHAIRS </v>
      </c>
      <c r="E1298" s="196" t="str">
        <f>IFERROR(__xludf.DUMMYFUNCTION("""COMPUTED_VALUE"""),"FOR COLLEGE DIGILAB")</f>
        <v>FOR COLLEGE DIGILAB</v>
      </c>
    </row>
    <row r="1299">
      <c r="A1299" s="234">
        <f>IFERROR(__xludf.DUMMYFUNCTION("""COMPUTED_VALUE"""),106132.0)</f>
        <v>106132</v>
      </c>
      <c r="B1299" s="235" t="str">
        <f>IFERROR(__xludf.DUMMYFUNCTION("""COMPUTED_VALUE"""),"SHEREE ESPINOSA")</f>
        <v>SHEREE ESPINOSA</v>
      </c>
      <c r="C1299" s="235" t="str">
        <f>IFERROR(__xludf.DUMMYFUNCTION("""COMPUTED_VALUE"""),"ADMIN")</f>
        <v>ADMIN</v>
      </c>
      <c r="D1299" s="196" t="str">
        <f>IFERROR(__xludf.DUMMYFUNCTION("""COMPUTED_VALUE"""),"40 ACRYLIC SCHEDULE HOLDER SIZE LETTER (8.5"" X 11"") WITH ANALOG BORDER PORTRAIT, 20 PCS LANDSCAPE WITH WHITE BORDER ")</f>
        <v>40 ACRYLIC SCHEDULE HOLDER SIZE LETTER (8.5" X 11") WITH ANALOG BORDER PORTRAIT, 20 PCS LANDSCAPE WITH WHITE BORDER </v>
      </c>
      <c r="E1299" s="196" t="str">
        <f>IFERROR(__xludf.DUMMYFUNCTION("""COMPUTED_VALUE"""),"FOR SCHEDULE HOLDER")</f>
        <v>FOR SCHEDULE HOLDER</v>
      </c>
    </row>
    <row r="1300">
      <c r="A1300" s="234">
        <f>IFERROR(__xludf.DUMMYFUNCTION("""COMPUTED_VALUE"""),106133.0)</f>
        <v>106133</v>
      </c>
      <c r="B1300" s="235" t="str">
        <f>IFERROR(__xludf.DUMMYFUNCTION("""COMPUTED_VALUE"""),"LYKA PERALTA")</f>
        <v>LYKA PERALTA</v>
      </c>
      <c r="C1300" s="235" t="str">
        <f>IFERROR(__xludf.DUMMYFUNCTION("""COMPUTED_VALUE"""),"AMD")</f>
        <v>AMD</v>
      </c>
      <c r="D1300" s="196" t="str">
        <f>IFERROR(__xludf.DUMMYFUNCTION("""COMPUTED_VALUE"""),"150 PCS NOTEBOOK SISC LEATHERETTE LACOSTE VIOLET")</f>
        <v>150 PCS NOTEBOOK SISC LEATHERETTE LACOSTE VIOLET</v>
      </c>
      <c r="E1300" s="196" t="str">
        <f>IFERROR(__xludf.DUMMYFUNCTION("""COMPUTED_VALUE"""),"TOKEN STOCK REPLENISHMENT")</f>
        <v>TOKEN STOCK REPLENISHMENT</v>
      </c>
    </row>
    <row r="1301">
      <c r="A1301" s="234">
        <f>IFERROR(__xludf.DUMMYFUNCTION("""COMPUTED_VALUE"""),106134.0)</f>
        <v>106134</v>
      </c>
      <c r="B1301" s="235" t="str">
        <f>IFERROR(__xludf.DUMMYFUNCTION("""COMPUTED_VALUE"""),"LYKA PERALTA")</f>
        <v>LYKA PERALTA</v>
      </c>
      <c r="C1301" s="235" t="str">
        <f>IFERROR(__xludf.DUMMYFUNCTION("""COMPUTED_VALUE"""),"AMD")</f>
        <v>AMD</v>
      </c>
      <c r="D1301" s="196" t="str">
        <f>IFERROR(__xludf.DUMMYFUNCTION("""COMPUTED_VALUE"""),"100 PCS UMBRELLA FOLDABLE AUTOMATIC PURPLE WITH LOGO SMALL")</f>
        <v>100 PCS UMBRELLA FOLDABLE AUTOMATIC PURPLE WITH LOGO SMALL</v>
      </c>
      <c r="E1301" s="196" t="str">
        <f>IFERROR(__xludf.DUMMYFUNCTION("""COMPUTED_VALUE"""),"TOKEN STOCK REPLENISHMENT")</f>
        <v>TOKEN STOCK REPLENISHMENT</v>
      </c>
    </row>
    <row r="1302">
      <c r="A1302" s="234">
        <f>IFERROR(__xludf.DUMMYFUNCTION("""COMPUTED_VALUE"""),106135.0)</f>
        <v>106135</v>
      </c>
      <c r="B1302" s="235" t="str">
        <f>IFERROR(__xludf.DUMMYFUNCTION("""COMPUTED_VALUE"""),"LYKA PERALTA")</f>
        <v>LYKA PERALTA</v>
      </c>
      <c r="C1302" s="235" t="str">
        <f>IFERROR(__xludf.DUMMYFUNCTION("""COMPUTED_VALUE"""),"AMD")</f>
        <v>AMD</v>
      </c>
      <c r="D1302" s="196" t="str">
        <f>IFERROR(__xludf.DUMMYFUNCTION("""COMPUTED_VALUE"""),"200 PCS DUCT TAPE 2IN X 10M OPTIMA")</f>
        <v>200 PCS DUCT TAPE 2IN X 10M OPTIMA</v>
      </c>
      <c r="E1302" s="196" t="str">
        <f>IFERROR(__xludf.DUMMYFUNCTION("""COMPUTED_VALUE"""),"OSSUP FOR REPLENISHMENT")</f>
        <v>OSSUP FOR REPLENISHMENT</v>
      </c>
    </row>
    <row r="1303">
      <c r="A1303" s="234">
        <f>IFERROR(__xludf.DUMMYFUNCTION("""COMPUTED_VALUE"""),106136.0)</f>
        <v>106136</v>
      </c>
      <c r="B1303" s="235" t="str">
        <f>IFERROR(__xludf.DUMMYFUNCTION("""COMPUTED_VALUE"""),"RODRIGO CUSTODIO")</f>
        <v>RODRIGO CUSTODIO</v>
      </c>
      <c r="C1303" s="235" t="str">
        <f>IFERROR(__xludf.DUMMYFUNCTION("""COMPUTED_VALUE"""),"AMD")</f>
        <v>AMD</v>
      </c>
      <c r="D1303" s="196" t="str">
        <f>IFERROR(__xludf.DUMMYFUNCTION("""COMPUTED_VALUE"""),"2 PCS DUST MOP HANDLE AND FRAME WITH MOP HEAD #30")</f>
        <v>2 PCS DUST MOP HANDLE AND FRAME WITH MOP HEAD #30</v>
      </c>
      <c r="E1303" s="196" t="str">
        <f>IFERROR(__xludf.DUMMYFUNCTION("""COMPUTED_VALUE"""),"HOUSEKEEPING MATERIALS STOCK REPLENISHMENT")</f>
        <v>HOUSEKEEPING MATERIALS STOCK REPLENISHMENT</v>
      </c>
    </row>
    <row r="1304">
      <c r="A1304" s="234">
        <f>IFERROR(__xludf.DUMMYFUNCTION("""COMPUTED_VALUE"""),106137.0)</f>
        <v>106137</v>
      </c>
      <c r="B1304" s="235" t="str">
        <f>IFERROR(__xludf.DUMMYFUNCTION("""COMPUTED_VALUE"""),"JANELLE ILAO")</f>
        <v>JANELLE ILAO</v>
      </c>
      <c r="C1304" s="235" t="str">
        <f>IFERROR(__xludf.DUMMYFUNCTION("""COMPUTED_VALUE"""),"HRMD")</f>
        <v>HRMD</v>
      </c>
      <c r="D1304" s="196" t="str">
        <f>IFERROR(__xludf.DUMMYFUNCTION("""COMPUTED_VALUE"""),"1 FLOWER WREATH ")</f>
        <v>1 FLOWER WREATH </v>
      </c>
      <c r="E1304" s="196" t="str">
        <f>IFERROR(__xludf.DUMMYFUNCTION("""COMPUTED_VALUE"""),"FLOWER WREATH FOR MS CHANAN CHUA'S MOTHER")</f>
        <v>FLOWER WREATH FOR MS CHANAN CHUA'S MOTHER</v>
      </c>
    </row>
    <row r="1305">
      <c r="A1305" s="234">
        <f>IFERROR(__xludf.DUMMYFUNCTION("""COMPUTED_VALUE"""),106138.0)</f>
        <v>106138</v>
      </c>
      <c r="B1305" s="235" t="str">
        <f>IFERROR(__xludf.DUMMYFUNCTION("""COMPUTED_VALUE"""),"ANN VILLARUZ")</f>
        <v>ANN VILLARUZ</v>
      </c>
      <c r="C1305" s="235" t="str">
        <f>IFERROR(__xludf.DUMMYFUNCTION("""COMPUTED_VALUE"""),"STUDENT AFFAIRS COLLEGE")</f>
        <v>STUDENT AFFAIRS COLLEGE</v>
      </c>
      <c r="D1305" s="196" t="str">
        <f>IFERROR(__xludf.DUMMYFUNCTION("""COMPUTED_VALUE"""),"GRADUATION INVITATIONS
RECOGNITION INVITATIONS")</f>
        <v>GRADUATION INVITATIONS
RECOGNITION INVITATIONS</v>
      </c>
      <c r="E1305" s="196" t="str">
        <f>IFERROR(__xludf.DUMMYFUNCTION("""COMPUTED_VALUE"""),"GRADUATION 2025")</f>
        <v>GRADUATION 2025</v>
      </c>
    </row>
    <row r="1306">
      <c r="A1306" s="234">
        <f>IFERROR(__xludf.DUMMYFUNCTION("""COMPUTED_VALUE"""),106139.0)</f>
        <v>106139</v>
      </c>
      <c r="B1306" s="235" t="str">
        <f>IFERROR(__xludf.DUMMYFUNCTION("""COMPUTED_VALUE"""),"RONALDO VERDE")</f>
        <v>RONALDO VERDE</v>
      </c>
      <c r="C1306" s="235" t="str">
        <f>IFERROR(__xludf.DUMMYFUNCTION("""COMPUTED_VALUE"""),"ADMIN")</f>
        <v>ADMIN</v>
      </c>
      <c r="D1306" s="196" t="str">
        <f>IFERROR(__xludf.DUMMYFUNCTION("""COMPUTED_VALUE"""),"WIPER BLADES 
1 SET EACH:
-SIZE 20""/16"" KIA
-20""/16"" AVANZA
-21""
3 SET 20""")</f>
        <v>WIPER BLADES 
1 SET EACH:
-SIZE 20"/16" KIA
-20"/16" AVANZA
-21"
3 SET 20"</v>
      </c>
      <c r="E1306" s="196" t="str">
        <f>IFERROR(__xludf.DUMMYFUNCTION("""COMPUTED_VALUE"""),"PM OF SISC VEHICLES")</f>
        <v>PM OF SISC VEHICLES</v>
      </c>
    </row>
    <row r="1307">
      <c r="A1307" s="234">
        <f>IFERROR(__xludf.DUMMYFUNCTION("""COMPUTED_VALUE"""),106140.0)</f>
        <v>106140</v>
      </c>
      <c r="B1307" s="235" t="str">
        <f>IFERROR(__xludf.DUMMYFUNCTION("""COMPUTED_VALUE"""),"OWIE PAR")</f>
        <v>OWIE PAR</v>
      </c>
      <c r="C1307" s="235" t="str">
        <f>IFERROR(__xludf.DUMMYFUNCTION("""COMPUTED_VALUE"""),"ENGINEERING")</f>
        <v>ENGINEERING</v>
      </c>
      <c r="D1307" s="196" t="str">
        <f>IFERROR(__xludf.DUMMYFUNCTION("""COMPUTED_VALUE"""),"1 SET GLASS DOOR LOCK")</f>
        <v>1 SET GLASS DOOR LOCK</v>
      </c>
      <c r="E1307" s="196" t="str">
        <f>IFERROR(__xludf.DUMMYFUNCTION("""COMPUTED_VALUE"""),"FOR K 12 LIB MAINDOOR")</f>
        <v>FOR K 12 LIB MAINDOOR</v>
      </c>
    </row>
    <row r="1308">
      <c r="A1308" s="234">
        <f>IFERROR(__xludf.DUMMYFUNCTION("""COMPUTED_VALUE"""),106141.0)</f>
        <v>106141</v>
      </c>
      <c r="B1308" s="235" t="str">
        <f>IFERROR(__xludf.DUMMYFUNCTION("""COMPUTED_VALUE"""),"SHEREE ESPINOSA")</f>
        <v>SHEREE ESPINOSA</v>
      </c>
      <c r="C1308" s="235" t="str">
        <f>IFERROR(__xludf.DUMMYFUNCTION("""COMPUTED_VALUE"""),"ADMIN")</f>
        <v>ADMIN</v>
      </c>
      <c r="D1308" s="196" t="str">
        <f>IFERROR(__xludf.DUMMYFUNCTION("""COMPUTED_VALUE"""),"7 PCS WATER DISPENSER ")</f>
        <v>7 PCS WATER DISPENSER </v>
      </c>
      <c r="E1308" s="196" t="str">
        <f>IFERROR(__xludf.DUMMYFUNCTION("""COMPUTED_VALUE"""),"REPLACEMENT AND ADDITIONAL FOR TROP, COLLEGE, AND LUX CAMPUSES")</f>
        <v>REPLACEMENT AND ADDITIONAL FOR TROP, COLLEGE, AND LUX CAMPUSES</v>
      </c>
    </row>
    <row r="1309">
      <c r="A1309" s="234">
        <f>IFERROR(__xludf.DUMMYFUNCTION("""COMPUTED_VALUE"""),106142.0)</f>
        <v>106142</v>
      </c>
      <c r="B1309" s="235" t="str">
        <f>IFERROR(__xludf.DUMMYFUNCTION("""COMPUTED_VALUE"""),"CARLITO DELA VEGA")</f>
        <v>CARLITO DELA VEGA</v>
      </c>
      <c r="C1309" s="235" t="str">
        <f>IFERROR(__xludf.DUMMYFUNCTION("""COMPUTED_VALUE"""),"ADMIN")</f>
        <v>ADMIN</v>
      </c>
      <c r="D1309" s="196" t="str">
        <f>IFERROR(__xludf.DUMMYFUNCTION("""COMPUTED_VALUE"""),"TRAFFIC ADVISORY TARP W: 188.4 inches x H: 80.4 inches thickness 18 oz")</f>
        <v>TRAFFIC ADVISORY TARP W: 188.4 inches x H: 80.4 inches thickness 18 oz</v>
      </c>
      <c r="E1309" s="196" t="str">
        <f>IFERROR(__xludf.DUMMYFUNCTION("""COMPUTED_VALUE"""),"Traffic advisory")</f>
        <v>Traffic advisory</v>
      </c>
    </row>
    <row r="1310">
      <c r="A1310" s="234">
        <f>IFERROR(__xludf.DUMMYFUNCTION("""COMPUTED_VALUE"""),106143.0)</f>
        <v>106143</v>
      </c>
      <c r="B1310" s="235" t="str">
        <f>IFERROR(__xludf.DUMMYFUNCTION("""COMPUTED_VALUE"""),"ELYDIA REYES")</f>
        <v>ELYDIA REYES</v>
      </c>
      <c r="C1310" s="235" t="str">
        <f>IFERROR(__xludf.DUMMYFUNCTION("""COMPUTED_VALUE"""),"PR &amp; MARKETING")</f>
        <v>PR &amp; MARKETING</v>
      </c>
      <c r="D1310" s="196" t="str">
        <f>IFERROR(__xludf.DUMMYFUNCTION("""COMPUTED_VALUE"""),"MAE FERCEL ALMALVEZ 184 X 77FT TARP")</f>
        <v>MAE FERCEL ALMALVEZ 184 X 77FT TARP</v>
      </c>
      <c r="E1310" s="196" t="str">
        <f>IFERROR(__xludf.DUMMYFUNCTION("""COMPUTED_VALUE"""),"FOR CELEBRATING THE WIN OF SISC STUDENT MAE ALMALVEZ")</f>
        <v>FOR CELEBRATING THE WIN OF SISC STUDENT MAE ALMALVEZ</v>
      </c>
    </row>
    <row r="1311">
      <c r="A1311" s="234">
        <f>IFERROR(__xludf.DUMMYFUNCTION("""COMPUTED_VALUE"""),106144.0)</f>
        <v>106144</v>
      </c>
      <c r="B1311" s="235" t="str">
        <f>IFERROR(__xludf.DUMMYFUNCTION("""COMPUTED_VALUE"""),"RODRIGO CUSTODIO")</f>
        <v>RODRIGO CUSTODIO</v>
      </c>
      <c r="C1311" s="235" t="str">
        <f>IFERROR(__xludf.DUMMYFUNCTION("""COMPUTED_VALUE"""),"AMD")</f>
        <v>AMD</v>
      </c>
      <c r="D1311" s="196" t="str">
        <f>IFERROR(__xludf.DUMMYFUNCTION("""COMPUTED_VALUE"""),"400 PCS MICROFIBER TOWEL BLUE
400 PCS MICROFIBER TOWER PINK ")</f>
        <v>400 PCS MICROFIBER TOWEL BLUE
400 PCS MICROFIBER TOWER PINK </v>
      </c>
      <c r="E1311" s="196" t="str">
        <f>IFERROR(__xludf.DUMMYFUNCTION("""COMPUTED_VALUE"""),"HOUSEKEEPING MATERIALS STOCK REPLENISHMENT")</f>
        <v>HOUSEKEEPING MATERIALS STOCK REPLENISHMENT</v>
      </c>
    </row>
    <row r="1312">
      <c r="A1312" s="234">
        <f>IFERROR(__xludf.DUMMYFUNCTION("""COMPUTED_VALUE"""),106145.0)</f>
        <v>106145</v>
      </c>
      <c r="B1312" s="235" t="str">
        <f>IFERROR(__xludf.DUMMYFUNCTION("""COMPUTED_VALUE"""),"LYKA PERALTA")</f>
        <v>LYKA PERALTA</v>
      </c>
      <c r="C1312" s="235" t="str">
        <f>IFERROR(__xludf.DUMMYFUNCTION("""COMPUTED_VALUE"""),"AMD")</f>
        <v>AMD</v>
      </c>
      <c r="D1312" s="196" t="str">
        <f>IFERROR(__xludf.DUMMYFUNCTION("""COMPUTED_VALUE"""),"500 PCS WHITE CARTOLINA
500 PCS BLACK CARTOLINA")</f>
        <v>500 PCS WHITE CARTOLINA
500 PCS BLACK CARTOLINA</v>
      </c>
      <c r="E1312" s="196" t="str">
        <f>IFERROR(__xludf.DUMMYFUNCTION("""COMPUTED_VALUE"""),"OSSUP FOR REPLENISHMENT")</f>
        <v>OSSUP FOR REPLENISHMENT</v>
      </c>
    </row>
    <row r="1313">
      <c r="A1313" s="234">
        <f>IFERROR(__xludf.DUMMYFUNCTION("""COMPUTED_VALUE"""),106146.0)</f>
        <v>106146</v>
      </c>
      <c r="B1313" s="235" t="str">
        <f>IFERROR(__xludf.DUMMYFUNCTION("""COMPUTED_VALUE"""),"RODRIGO CUSTODIO")</f>
        <v>RODRIGO CUSTODIO</v>
      </c>
      <c r="C1313" s="235" t="str">
        <f>IFERROR(__xludf.DUMMYFUNCTION("""COMPUTED_VALUE"""),"AMD")</f>
        <v>AMD</v>
      </c>
      <c r="D1313" s="196" t="str">
        <f>IFERROR(__xludf.DUMMYFUNCTION("""COMPUTED_VALUE"""),"14 BOTTLES HIGIENECO PREMIUM ODOR COUNTERACTANT ANTIBACTERIAL SPRAY BAMBOO SCENT
13 BOTTLES HIGIENECO PREMIUM ODOR COUNTERACTANT ANTIBACTERIAL SPRAY LAVENDER SCENT")</f>
        <v>14 BOTTLES HIGIENECO PREMIUM ODOR COUNTERACTANT ANTIBACTERIAL SPRAY BAMBOO SCENT
13 BOTTLES HIGIENECO PREMIUM ODOR COUNTERACTANT ANTIBACTERIAL SPRAY LAVENDER SCENT</v>
      </c>
      <c r="E1313" s="196" t="str">
        <f>IFERROR(__xludf.DUMMYFUNCTION("""COMPUTED_VALUE"""),"HOUSEKEEPING MATERIALS STOCK REPLENISHMENT")</f>
        <v>HOUSEKEEPING MATERIALS STOCK REPLENISHMENT</v>
      </c>
    </row>
    <row r="1314">
      <c r="A1314" s="234">
        <f>IFERROR(__xludf.DUMMYFUNCTION("""COMPUTED_VALUE"""),106147.0)</f>
        <v>106147</v>
      </c>
      <c r="B1314" s="235" t="str">
        <f>IFERROR(__xludf.DUMMYFUNCTION("""COMPUTED_VALUE"""),"ELYDIA REYES")</f>
        <v>ELYDIA REYES</v>
      </c>
      <c r="C1314" s="235" t="str">
        <f>IFERROR(__xludf.DUMMYFUNCTION("""COMPUTED_VALUE"""),"PR &amp; MARKETING")</f>
        <v>PR &amp; MARKETING</v>
      </c>
      <c r="D1314" s="196" t="str">
        <f>IFERROR(__xludf.DUMMYFUNCTION("""COMPUTED_VALUE"""),"K12 ACADEMIC TARP 280 X 175 CM")</f>
        <v>K12 ACADEMIC TARP 280 X 175 CM</v>
      </c>
      <c r="E1314" s="196" t="str">
        <f>IFERROR(__xludf.DUMMYFUNCTION("""COMPUTED_VALUE"""),"FOR CONGRATULATORY")</f>
        <v>FOR CONGRATULATORY</v>
      </c>
    </row>
    <row r="1315">
      <c r="A1315" s="234">
        <f>IFERROR(__xludf.DUMMYFUNCTION("""COMPUTED_VALUE"""),106148.0)</f>
        <v>106148</v>
      </c>
      <c r="B1315" s="235" t="str">
        <f>IFERROR(__xludf.DUMMYFUNCTION("""COMPUTED_VALUE"""),"RODRIGO CUSTODIO")</f>
        <v>RODRIGO CUSTODIO</v>
      </c>
      <c r="C1315" s="235" t="str">
        <f>IFERROR(__xludf.DUMMYFUNCTION("""COMPUTED_VALUE"""),"AMD")</f>
        <v>AMD</v>
      </c>
      <c r="D1315" s="196" t="str">
        <f>IFERROR(__xludf.DUMMYFUNCTION("""COMPUTED_VALUE"""),"30 PACKS TRASH BAG SMALL YELLOW 
288PCS TISSUE ROLL BATH 2PLY SANICARE
4 GALS CARPET CLEANER SHAMPOO TOPNOTCH")</f>
        <v>30 PACKS TRASH BAG SMALL YELLOW 
288PCS TISSUE ROLL BATH 2PLY SANICARE
4 GALS CARPET CLEANER SHAMPOO TOPNOTCH</v>
      </c>
      <c r="E1315" s="196" t="str">
        <f>IFERROR(__xludf.DUMMYFUNCTION("""COMPUTED_VALUE"""),"HOUSEKEEPING MATERIALS STOCK REPLENISHMENT")</f>
        <v>HOUSEKEEPING MATERIALS STOCK REPLENISHMENT</v>
      </c>
    </row>
    <row r="1316">
      <c r="A1316" s="234">
        <f>IFERROR(__xludf.DUMMYFUNCTION("""COMPUTED_VALUE"""),106149.0)</f>
        <v>106149</v>
      </c>
      <c r="B1316" s="235" t="str">
        <f>IFERROR(__xludf.DUMMYFUNCTION("""COMPUTED_VALUE"""),"OWIE PAR")</f>
        <v>OWIE PAR</v>
      </c>
      <c r="C1316" s="235" t="str">
        <f>IFERROR(__xludf.DUMMYFUNCTION("""COMPUTED_VALUE"""),"ENGINEERING")</f>
        <v>ENGINEERING</v>
      </c>
      <c r="D1316" s="196" t="str">
        <f>IFERROR(__xludf.DUMMYFUNCTION("""COMPUTED_VALUE"""),"2 PCS PLYWOOD 1/4 X 4 X 8
1 PC PLYWOOD 3/4 X 4 X 8
1 LITER VULCASEAL 
1KG FINISHING NAIL #1 AND #2")</f>
        <v>2 PCS PLYWOOD 1/4 X 4 X 8
1 PC PLYWOOD 3/4 X 4 X 8
1 LITER VULCASEAL 
1KG FINISHING NAIL #1 AND #2</v>
      </c>
      <c r="E1316" s="196" t="str">
        <f>IFERROR(__xludf.DUMMYFUNCTION("""COMPUTED_VALUE"""),"REPAIR REPAINTING AT STAR CAMPUS L.V")</f>
        <v>REPAIR REPAINTING AT STAR CAMPUS L.V</v>
      </c>
    </row>
    <row r="1317">
      <c r="A1317" s="234">
        <f>IFERROR(__xludf.DUMMYFUNCTION("""COMPUTED_VALUE"""),106150.0)</f>
        <v>106150</v>
      </c>
      <c r="B1317" s="235" t="str">
        <f>IFERROR(__xludf.DUMMYFUNCTION("""COMPUTED_VALUE"""),"OWIE PAR")</f>
        <v>OWIE PAR</v>
      </c>
      <c r="C1317" s="235" t="str">
        <f>IFERROR(__xludf.DUMMYFUNCTION("""COMPUTED_VALUE"""),"ENGINEERING")</f>
        <v>ENGINEERING</v>
      </c>
      <c r="D1317" s="196" t="str">
        <f>IFERROR(__xludf.DUMMYFUNCTION("""COMPUTED_VALUE"""),"2 UNIT 1.5 HP WALL MOUNTED  TYPE INVERTER")</f>
        <v>2 UNIT 1.5 HP WALL MOUNTED  TYPE INVERTER</v>
      </c>
      <c r="E1317" s="196" t="str">
        <f>IFERROR(__xludf.DUMMYFUNCTION("""COMPUTED_VALUE"""),"REPLACEMENT FOR MUNICH CAMPUS CAPS AND DEPUTY PRIN OFFICE")</f>
        <v>REPLACEMENT FOR MUNICH CAMPUS CAPS AND DEPUTY PRIN OFFICE</v>
      </c>
    </row>
    <row r="1318">
      <c r="A1318" s="234">
        <f>IFERROR(__xludf.DUMMYFUNCTION("""COMPUTED_VALUE"""),106151.0)</f>
        <v>106151</v>
      </c>
      <c r="B1318" s="235" t="str">
        <f>IFERROR(__xludf.DUMMYFUNCTION("""COMPUTED_VALUE"""),"OWIE PAR")</f>
        <v>OWIE PAR</v>
      </c>
      <c r="C1318" s="235" t="str">
        <f>IFERROR(__xludf.DUMMYFUNCTION("""COMPUTED_VALUE"""),"ENGINEERING")</f>
        <v>ENGINEERING</v>
      </c>
      <c r="D1318" s="196" t="str">
        <f>IFERROR(__xludf.DUMMYFUNCTION("""COMPUTED_VALUE"""),"1 UNIT 3.0HP WALL MOUNTED TYPE INVERTER")</f>
        <v>1 UNIT 3.0HP WALL MOUNTED TYPE INVERTER</v>
      </c>
      <c r="E1318" s="196" t="str">
        <f>IFERROR(__xludf.DUMMYFUNCTION("""COMPUTED_VALUE"""),"REPLACEMENT OF BURNED UNIT LUX RM 402")</f>
        <v>REPLACEMENT OF BURNED UNIT LUX RM 402</v>
      </c>
    </row>
    <row r="1319">
      <c r="A1319" s="234">
        <f>IFERROR(__xludf.DUMMYFUNCTION("""COMPUTED_VALUE"""),106152.0)</f>
        <v>106152</v>
      </c>
      <c r="B1319" s="235" t="str">
        <f>IFERROR(__xludf.DUMMYFUNCTION("""COMPUTED_VALUE"""),"FRANCESKA ORTEGA")</f>
        <v>FRANCESKA ORTEGA</v>
      </c>
      <c r="C1319" s="235" t="str">
        <f>IFERROR(__xludf.DUMMYFUNCTION("""COMPUTED_VALUE"""),"PRESIDENT'S OFFICE")</f>
        <v>PRESIDENT'S OFFICE</v>
      </c>
      <c r="D1319" s="196" t="str">
        <f>IFERROR(__xludf.DUMMYFUNCTION("""COMPUTED_VALUE"""),"50 CAPIZ SQUARE PLATE SMOKE
100 CAPIZ SQUARE COASTER
50 POUCH CANVAS 2 ZIP W/LEATHER
50 POUCH CANVAS 2 ZIP W/LEATHER BROWN
50 POUCH CANVAS WRISTLET FISH VINDER")</f>
        <v>50 CAPIZ SQUARE PLATE SMOKE
100 CAPIZ SQUARE COASTER
50 POUCH CANVAS 2 ZIP W/LEATHER
50 POUCH CANVAS 2 ZIP W/LEATHER BROWN
50 POUCH CANVAS WRISTLET FISH VINDER</v>
      </c>
      <c r="E1319" s="196" t="str">
        <f>IFERROR(__xludf.DUMMYFUNCTION("""COMPUTED_VALUE"""),"35TH FOUNDATION AND INSTITUTIONAL TOKEN")</f>
        <v>35TH FOUNDATION AND INSTITUTIONAL TOKEN</v>
      </c>
    </row>
    <row r="1320">
      <c r="A1320" s="234">
        <f>IFERROR(__xludf.DUMMYFUNCTION("""COMPUTED_VALUE"""),106153.0)</f>
        <v>106153</v>
      </c>
      <c r="B1320" s="235" t="str">
        <f>IFERROR(__xludf.DUMMYFUNCTION("""COMPUTED_VALUE"""),"CHRISTIAN CORBEZA")</f>
        <v>CHRISTIAN CORBEZA</v>
      </c>
      <c r="C1320" s="235" t="str">
        <f>IFERROR(__xludf.DUMMYFUNCTION("""COMPUTED_VALUE"""),"ADMIN - MUNICH")</f>
        <v>ADMIN - MUNICH</v>
      </c>
      <c r="D1320" s="196" t="str">
        <f>IFERROR(__xludf.DUMMYFUNCTION("""COMPUTED_VALUE"""),"20 PCS DUCT TAPE COLOR GREEN")</f>
        <v>20 PCS DUCT TAPE COLOR GREEN</v>
      </c>
      <c r="E1320" s="196" t="str">
        <f>IFERROR(__xludf.DUMMYFUNCTION("""COMPUTED_VALUE"""),"FOR GRASS TURF G/F AND 3/F")</f>
        <v>FOR GRASS TURF G/F AND 3/F</v>
      </c>
    </row>
    <row r="1321">
      <c r="A1321" s="234">
        <f>IFERROR(__xludf.DUMMYFUNCTION("""COMPUTED_VALUE"""),106154.0)</f>
        <v>106154</v>
      </c>
      <c r="B1321" s="235" t="str">
        <f>IFERROR(__xludf.DUMMYFUNCTION("""COMPUTED_VALUE"""),"SHARJAN GATCHALIAN")</f>
        <v>SHARJAN GATCHALIAN</v>
      </c>
      <c r="C1321" s="235" t="str">
        <f>IFERROR(__xludf.DUMMYFUNCTION("""COMPUTED_VALUE"""),"MIS/ICT")</f>
        <v>MIS/ICT</v>
      </c>
      <c r="D1321" s="196" t="str">
        <f>IFERROR(__xludf.DUMMYFUNCTION("""COMPUTED_VALUE"""),"2 PCS INTEL I350 CONVERGED SERVER-CLASS NIC PCIE X4 4PORTS ")</f>
        <v>2 PCS INTEL I350 CONVERGED SERVER-CLASS NIC PCIE X4 4PORTS </v>
      </c>
      <c r="E1321" s="196" t="str">
        <f>IFERROR(__xludf.DUMMYFUNCTION("""COMPUTED_VALUE"""),"ADDITIONAL INTERFACE PFSENSE FIREWLL 4PORTS")</f>
        <v>ADDITIONAL INTERFACE PFSENSE FIREWLL 4PORTS</v>
      </c>
    </row>
    <row r="1322">
      <c r="A1322" s="234">
        <f>IFERROR(__xludf.DUMMYFUNCTION("""COMPUTED_VALUE"""),106155.0)</f>
        <v>106155</v>
      </c>
      <c r="B1322" s="235" t="str">
        <f>IFERROR(__xludf.DUMMYFUNCTION("""COMPUTED_VALUE"""),"JESUIT CHRISTIAN GALICIA")</f>
        <v>JESUIT CHRISTIAN GALICIA</v>
      </c>
      <c r="C1322" s="235" t="str">
        <f>IFERROR(__xludf.DUMMYFUNCTION("""COMPUTED_VALUE"""),"AMD")</f>
        <v>AMD</v>
      </c>
      <c r="D1322" s="196" t="str">
        <f>IFERROR(__xludf.DUMMYFUNCTION("""COMPUTED_VALUE"""),"5 UNITS VIEWSONIC VA2215-H 22"" MONITOR")</f>
        <v>5 UNITS VIEWSONIC VA2215-H 22" MONITOR</v>
      </c>
      <c r="E1322" s="196" t="str">
        <f>IFERROR(__xludf.DUMMYFUNCTION("""COMPUTED_VALUE"""),"MIS WAREHOUSE STOCK REPLENISHMENT")</f>
        <v>MIS WAREHOUSE STOCK REPLENISHMENT</v>
      </c>
    </row>
    <row r="1323">
      <c r="A1323" s="234">
        <f>IFERROR(__xludf.DUMMYFUNCTION("""COMPUTED_VALUE"""),106156.0)</f>
        <v>106156</v>
      </c>
      <c r="B1323" s="235" t="str">
        <f>IFERROR(__xludf.DUMMYFUNCTION("""COMPUTED_VALUE"""),"JOHNNY QUIQUI")</f>
        <v>JOHNNY QUIQUI</v>
      </c>
      <c r="C1323" s="235" t="str">
        <f>IFERROR(__xludf.DUMMYFUNCTION("""COMPUTED_VALUE"""),"STUFFSHOP")</f>
        <v>STUFFSHOP</v>
      </c>
      <c r="D1323" s="196" t="str">
        <f>IFERROR(__xludf.DUMMYFUNCTION("""COMPUTED_VALUE"""),"20 PCS GRADE 5 SRA POWER BUILDER 1D")</f>
        <v>20 PCS GRADE 5 SRA POWER BUILDER 1D</v>
      </c>
      <c r="E1323" s="196" t="str">
        <f>IFERROR(__xludf.DUMMYFUNCTION("""COMPUTED_VALUE"""),"FOR SALE AT STUFFSHOP")</f>
        <v>FOR SALE AT STUFFSHOP</v>
      </c>
    </row>
    <row r="1324">
      <c r="A1324" s="234">
        <f>IFERROR(__xludf.DUMMYFUNCTION("""COMPUTED_VALUE"""),106157.0)</f>
        <v>106157</v>
      </c>
      <c r="B1324" s="235" t="str">
        <f>IFERROR(__xludf.DUMMYFUNCTION("""COMPUTED_VALUE"""),"JOHNNY QUIQUI")</f>
        <v>JOHNNY QUIQUI</v>
      </c>
      <c r="C1324" s="235" t="str">
        <f>IFERROR(__xludf.DUMMYFUNCTION("""COMPUTED_VALUE"""),"STUFFSHOP")</f>
        <v>STUFFSHOP</v>
      </c>
      <c r="D1324" s="196" t="str">
        <f>IFERROR(__xludf.DUMMYFUNCTION("""COMPUTED_VALUE"""),"20 PCS EACH:
- PS SKILLBOOK STANFORD READING B KINDER NEW EDITION
-PS SKILLBOOK STANFORD READING C JUNIOR PREP NEW EDITION
-PS SKILLBOOK STANFORD READING D SK NEW EDITION
-STANFORD SKILLBOOK MATH B KINDER NEW EDITION
-STANFORD SKILLBOOK MATH C JK NEW EDIT"&amp;"ION
-STANFORD SKILLBOOK MATH D SK NEW EDITION")</f>
        <v>20 PCS EACH:
- PS SKILLBOOK STANFORD READING B KINDER NEW EDITION
-PS SKILLBOOK STANFORD READING C JUNIOR PREP NEW EDITION
-PS SKILLBOOK STANFORD READING D SK NEW EDITION
-STANFORD SKILLBOOK MATH B KINDER NEW EDITION
-STANFORD SKILLBOOK MATH C JK NEW EDITION
-STANFORD SKILLBOOK MATH D SK NEW EDITION</v>
      </c>
      <c r="E1324" s="196" t="str">
        <f>IFERROR(__xludf.DUMMYFUNCTION("""COMPUTED_VALUE"""),"FOR SALE AT STUFFSHOP")</f>
        <v>FOR SALE AT STUFFSHOP</v>
      </c>
    </row>
    <row r="1325">
      <c r="A1325" s="234">
        <f>IFERROR(__xludf.DUMMYFUNCTION("""COMPUTED_VALUE"""),106158.0)</f>
        <v>106158</v>
      </c>
      <c r="B1325" s="235" t="str">
        <f>IFERROR(__xludf.DUMMYFUNCTION("""COMPUTED_VALUE"""),"JOHNNY QUIQUI")</f>
        <v>JOHNNY QUIQUI</v>
      </c>
      <c r="C1325" s="235" t="str">
        <f>IFERROR(__xludf.DUMMYFUNCTION("""COMPUTED_VALUE"""),"STUFFSHOP")</f>
        <v>STUFFSHOP</v>
      </c>
      <c r="D1325" s="196" t="str">
        <f>IFERROR(__xludf.DUMMYFUNCTION("""COMPUTED_VALUE"""),"20 PCS EACH:
-G5 JOURNEY INTO ME EQ ACT
-G2 TOWPEP JOURNAL
-G4 TOWPEP JOURNAL
- G7 TOWPEP JOURNAL")</f>
        <v>20 PCS EACH:
-G5 JOURNEY INTO ME EQ ACT
-G2 TOWPEP JOURNAL
-G4 TOWPEP JOURNAL
- G7 TOWPEP JOURNAL</v>
      </c>
      <c r="E1325" s="196" t="str">
        <f>IFERROR(__xludf.DUMMYFUNCTION("""COMPUTED_VALUE"""),"FOR SALE AT STUFFSHOP")</f>
        <v>FOR SALE AT STUFFSHOP</v>
      </c>
    </row>
    <row r="1326">
      <c r="A1326" s="234">
        <f>IFERROR(__xludf.DUMMYFUNCTION("""COMPUTED_VALUE"""),106159.0)</f>
        <v>106159</v>
      </c>
      <c r="B1326" s="235" t="str">
        <f>IFERROR(__xludf.DUMMYFUNCTION("""COMPUTED_VALUE"""),"RAQUELYN NUÑEZ ")</f>
        <v>RAQUELYN NUÑEZ </v>
      </c>
      <c r="C1326" s="235" t="str">
        <f>IFERROR(__xludf.DUMMYFUNCTION("""COMPUTED_VALUE"""),"TREX")</f>
        <v>TREX</v>
      </c>
      <c r="D1326" s="196" t="str">
        <f>IFERROR(__xludf.DUMMYFUNCTION("""COMPUTED_VALUE"""),"2 HANABISHI STANDFAN 
1 FUJIDENZO MICROWAVE")</f>
        <v>2 HANABISHI STANDFAN 
1 FUJIDENZO MICROWAVE</v>
      </c>
      <c r="E1326" s="196" t="str">
        <f>IFERROR(__xludf.DUMMYFUNCTION("""COMPUTED_VALUE"""),"APPLIANCES FOR NARRA HOUSE C/O CHINESE TEACHERS ")</f>
        <v>APPLIANCES FOR NARRA HOUSE C/O CHINESE TEACHERS </v>
      </c>
    </row>
    <row r="1327">
      <c r="A1327" s="234">
        <f>IFERROR(__xludf.DUMMYFUNCTION("""COMPUTED_VALUE"""),106160.0)</f>
        <v>106160</v>
      </c>
      <c r="B1327" s="235" t="str">
        <f>IFERROR(__xludf.DUMMYFUNCTION("""COMPUTED_VALUE"""),"ELYDIA REYES")</f>
        <v>ELYDIA REYES</v>
      </c>
      <c r="C1327" s="235" t="str">
        <f>IFERROR(__xludf.DUMMYFUNCTION("""COMPUTED_VALUE"""),"PR &amp; MARKETING")</f>
        <v>PR &amp; MARKETING</v>
      </c>
      <c r="D1327" s="196" t="str">
        <f>IFERROR(__xludf.DUMMYFUNCTION("""COMPUTED_VALUE"""),"1000 SOUTHVILLE STICKERS 8.5 X 5.5 INCHES ")</f>
        <v>1000 SOUTHVILLE STICKERS 8.5 X 5.5 INCHES </v>
      </c>
      <c r="E1327" s="196" t="str">
        <f>IFERROR(__xludf.DUMMYFUNCTION("""COMPUTED_VALUE"""),"FOR BRANDING ENGAGEMENT AND MARKETING")</f>
        <v>FOR BRANDING ENGAGEMENT AND MARKETING</v>
      </c>
    </row>
    <row r="1328">
      <c r="A1328" s="234">
        <f>IFERROR(__xludf.DUMMYFUNCTION("""COMPUTED_VALUE"""),106161.0)</f>
        <v>106161</v>
      </c>
      <c r="B1328" s="235" t="str">
        <f>IFERROR(__xludf.DUMMYFUNCTION("""COMPUTED_VALUE"""),"JORDAN JORDAN")</f>
        <v>JORDAN JORDAN</v>
      </c>
      <c r="C1328" s="235" t="str">
        <f>IFERROR(__xludf.DUMMYFUNCTION("""COMPUTED_VALUE"""),"ADMIN")</f>
        <v>ADMIN</v>
      </c>
      <c r="D1328" s="196" t="str">
        <f>IFERROR(__xludf.DUMMYFUNCTION("""COMPUTED_VALUE"""),"10 PCS STEPLIGHT ")</f>
        <v>10 PCS STEPLIGHT </v>
      </c>
      <c r="E1328" s="196" t="str">
        <f>IFERROR(__xludf.DUMMYFUNCTION("""COMPUTED_VALUE"""),"ADDITIONAL STEPLIGHT FOR BACK ENTRANCE")</f>
        <v>ADDITIONAL STEPLIGHT FOR BACK ENTRANCE</v>
      </c>
    </row>
    <row r="1329">
      <c r="A1329" s="234">
        <f>IFERROR(__xludf.DUMMYFUNCTION("""COMPUTED_VALUE"""),106162.0)</f>
        <v>106162</v>
      </c>
      <c r="B1329" s="235" t="str">
        <f>IFERROR(__xludf.DUMMYFUNCTION("""COMPUTED_VALUE"""),"JESUIT CHRISTIAN GALICIA")</f>
        <v>JESUIT CHRISTIAN GALICIA</v>
      </c>
      <c r="C1329" s="235" t="str">
        <f>IFERROR(__xludf.DUMMYFUNCTION("""COMPUTED_VALUE"""),"AMD")</f>
        <v>AMD</v>
      </c>
      <c r="D1329" s="196" t="str">
        <f>IFERROR(__xludf.DUMMYFUNCTION("""COMPUTED_VALUE"""),"3 ROLLS FLAT CORD #16
3 ROLLS FLAT CORD #18")</f>
        <v>3 ROLLS FLAT CORD #16
3 ROLLS FLAT CORD #18</v>
      </c>
      <c r="E1329" s="196" t="str">
        <f>IFERROR(__xludf.DUMMYFUNCTION("""COMPUTED_VALUE"""),"ENGINEERING WAREHOUSE REPPLENISHMENT")</f>
        <v>ENGINEERING WAREHOUSE REPPLENISHMENT</v>
      </c>
    </row>
    <row r="1330">
      <c r="A1330" s="234">
        <f>IFERROR(__xludf.DUMMYFUNCTION("""COMPUTED_VALUE"""),106163.0)</f>
        <v>106163</v>
      </c>
      <c r="B1330" s="235" t="str">
        <f>IFERROR(__xludf.DUMMYFUNCTION("""COMPUTED_VALUE"""),"MARIA PATRICIA BELLEZA")</f>
        <v>MARIA PATRICIA BELLEZA</v>
      </c>
      <c r="C1330" s="235" t="str">
        <f>IFERROR(__xludf.DUMMYFUNCTION("""COMPUTED_VALUE"""),"I.B.")</f>
        <v>I.B.</v>
      </c>
      <c r="D1330" s="196" t="str">
        <f>IFERROR(__xludf.DUMMYFUNCTION("""COMPUTED_VALUE"""),"FUNERAL FLOWER FOR WAKES")</f>
        <v>FUNERAL FLOWER FOR WAKES</v>
      </c>
      <c r="E1330" s="196" t="str">
        <f>IFERROR(__xludf.DUMMYFUNCTION("""COMPUTED_VALUE"""),"DEATH OF THE MOTHER OF SIR DENZ PEDRO ")</f>
        <v>DEATH OF THE MOTHER OF SIR DENZ PEDRO </v>
      </c>
    </row>
    <row r="1331">
      <c r="A1331" s="234">
        <f>IFERROR(__xludf.DUMMYFUNCTION("""COMPUTED_VALUE"""),106164.0)</f>
        <v>106164</v>
      </c>
      <c r="B1331" s="235" t="str">
        <f>IFERROR(__xludf.DUMMYFUNCTION("""COMPUTED_VALUE"""),"RACHEL PAMATIAN")</f>
        <v>RACHEL PAMATIAN</v>
      </c>
      <c r="C1331" s="235" t="str">
        <f>IFERROR(__xludf.DUMMYFUNCTION("""COMPUTED_VALUE"""),"ADMIN - STAR")</f>
        <v>ADMIN - STAR</v>
      </c>
      <c r="D1331" s="196" t="str">
        <f>IFERROR(__xludf.DUMMYFUNCTION("""COMPUTED_VALUE"""),"5 PCS MEGABOX CLEAR 155 LITERS")</f>
        <v>5 PCS MEGABOX CLEAR 155 LITERS</v>
      </c>
      <c r="E1331" s="196" t="str">
        <f>IFERROR(__xludf.DUMMYFUNCTION("""COMPUTED_VALUE"""),"STORAGE BOX FOR TOYS AND PTHER STOCKS OF THINGS TO ORGANIZE")</f>
        <v>STORAGE BOX FOR TOYS AND PTHER STOCKS OF THINGS TO ORGANIZE</v>
      </c>
    </row>
    <row r="1332">
      <c r="A1332" s="234">
        <f>IFERROR(__xludf.DUMMYFUNCTION("""COMPUTED_VALUE"""),106165.0)</f>
        <v>106165</v>
      </c>
      <c r="B1332" s="235" t="str">
        <f>IFERROR(__xludf.DUMMYFUNCTION("""COMPUTED_VALUE"""),"LYKA PERALTA")</f>
        <v>LYKA PERALTA</v>
      </c>
      <c r="C1332" s="235" t="str">
        <f>IFERROR(__xludf.DUMMYFUNCTION("""COMPUTED_VALUE"""),"ABU")</f>
        <v>ABU</v>
      </c>
      <c r="D1332" s="196" t="str">
        <f>IFERROR(__xludf.DUMMYFUNCTION("""COMPUTED_VALUE"""),"3 PCS ELECTRICITY METER")</f>
        <v>3 PCS ELECTRICITY METER</v>
      </c>
      <c r="E1332" s="196" t="str">
        <f>IFERROR(__xludf.DUMMYFUNCTION("""COMPUTED_VALUE"""),"REPLACEMENT FOR FOOD COURT")</f>
        <v>REPLACEMENT FOR FOOD COURT</v>
      </c>
    </row>
    <row r="1333">
      <c r="A1333" s="234">
        <f>IFERROR(__xludf.DUMMYFUNCTION("""COMPUTED_VALUE"""),106166.0)</f>
        <v>106166</v>
      </c>
      <c r="B1333" s="235" t="str">
        <f>IFERROR(__xludf.DUMMYFUNCTION("""COMPUTED_VALUE"""),"JANELLE ILAO")</f>
        <v>JANELLE ILAO</v>
      </c>
      <c r="C1333" s="235" t="str">
        <f>IFERROR(__xludf.DUMMYFUNCTION("""COMPUTED_VALUE"""),"HRMD")</f>
        <v>HRMD</v>
      </c>
      <c r="D1333" s="196" t="str">
        <f>IFERROR(__xludf.DUMMYFUNCTION("""COMPUTED_VALUE"""),"FLOWER WREATH ")</f>
        <v>FLOWER WREATH </v>
      </c>
      <c r="E1333" s="196" t="str">
        <f>IFERROR(__xludf.DUMMYFUNCTION("""COMPUTED_VALUE"""),"FLOWER WREATH FOR MR. MC DARYL PEDRO'S MOTHER")</f>
        <v>FLOWER WREATH FOR MR. MC DARYL PEDRO'S MOTHER</v>
      </c>
    </row>
    <row r="1334">
      <c r="A1334" s="234">
        <f>IFERROR(__xludf.DUMMYFUNCTION("""COMPUTED_VALUE"""),106167.0)</f>
        <v>106167</v>
      </c>
      <c r="B1334" s="235" t="str">
        <f>IFERROR(__xludf.DUMMYFUNCTION("""COMPUTED_VALUE"""),"ANN DELA ISLA ")</f>
        <v>ANN DELA ISLA </v>
      </c>
      <c r="C1334" s="235" t="str">
        <f>IFERROR(__xludf.DUMMYFUNCTION("""COMPUTED_VALUE"""),"I.B.")</f>
        <v>I.B.</v>
      </c>
      <c r="D1334" s="196" t="str">
        <f>IFERROR(__xludf.DUMMYFUNCTION("""COMPUTED_VALUE"""),"2 TV STAND S (REFER TO PRF NO. 103934) - REORDER")</f>
        <v>2 TV STAND S (REFER TO PRF NO. 103934) - REORDER</v>
      </c>
      <c r="E1334" s="196" t="str">
        <f>IFERROR(__xludf.DUMMYFUNCTION("""COMPUTED_VALUE"""),"FOR IB CLASSROOMS (VISUAL ARTS AND LECTURE 2)")</f>
        <v>FOR IB CLASSROOMS (VISUAL ARTS AND LECTURE 2)</v>
      </c>
    </row>
    <row r="1335">
      <c r="A1335" s="234">
        <f>IFERROR(__xludf.DUMMYFUNCTION("""COMPUTED_VALUE"""),106168.0)</f>
        <v>106168</v>
      </c>
      <c r="B1335" s="235" t="str">
        <f>IFERROR(__xludf.DUMMYFUNCTION("""COMPUTED_VALUE"""),"RODRIGO CUSTODIO")</f>
        <v>RODRIGO CUSTODIO</v>
      </c>
      <c r="C1335" s="235" t="str">
        <f>IFERROR(__xludf.DUMMYFUNCTION("""COMPUTED_VALUE"""),"AMD")</f>
        <v>AMD</v>
      </c>
      <c r="D1335" s="196" t="str">
        <f>IFERROR(__xludf.DUMMYFUNCTION("""COMPUTED_VALUE"""),"180 PCS SPRAY GUN
15 PCS MOP HANDLE 4FT YELLOW MANSION
19 PCS MOP HANDLE 4FT GREEN MANSION
14 PCS MOP HANDLE 4FT BLUE MANSION")</f>
        <v>180 PCS SPRAY GUN
15 PCS MOP HANDLE 4FT YELLOW MANSION
19 PCS MOP HANDLE 4FT GREEN MANSION
14 PCS MOP HANDLE 4FT BLUE MANSION</v>
      </c>
      <c r="E1335" s="196" t="str">
        <f>IFERROR(__xludf.DUMMYFUNCTION("""COMPUTED_VALUE"""),"HOUSEKEEPING MATERIALS STOCK REPLENISHMENT")</f>
        <v>HOUSEKEEPING MATERIALS STOCK REPLENISHMENT</v>
      </c>
    </row>
    <row r="1336">
      <c r="A1336" s="234">
        <f>IFERROR(__xludf.DUMMYFUNCTION("""COMPUTED_VALUE"""),106169.0)</f>
        <v>106169</v>
      </c>
      <c r="B1336" s="235" t="str">
        <f>IFERROR(__xludf.DUMMYFUNCTION("""COMPUTED_VALUE"""),"RODRIGO CUSTODIO")</f>
        <v>RODRIGO CUSTODIO</v>
      </c>
      <c r="C1336" s="235" t="str">
        <f>IFERROR(__xludf.DUMMYFUNCTION("""COMPUTED_VALUE"""),"AMD")</f>
        <v>AMD</v>
      </c>
      <c r="D1336" s="196" t="str">
        <f>IFERROR(__xludf.DUMMYFUNCTION("""COMPUTED_VALUE"""),"39 PCS FALCON WATERLESS URINAL CARTRIDGE")</f>
        <v>39 PCS FALCON WATERLESS URINAL CARTRIDGE</v>
      </c>
      <c r="E1336" s="196" t="str">
        <f>IFERROR(__xludf.DUMMYFUNCTION("""COMPUTED_VALUE"""),"HOUSEKEEPING MATERIALS STOCK REPLENISHMENT")</f>
        <v>HOUSEKEEPING MATERIALS STOCK REPLENISHMENT</v>
      </c>
    </row>
    <row r="1337">
      <c r="A1337" s="234">
        <f>IFERROR(__xludf.DUMMYFUNCTION("""COMPUTED_VALUE"""),106170.0)</f>
        <v>106170</v>
      </c>
      <c r="B1337" s="235" t="str">
        <f>IFERROR(__xludf.DUMMYFUNCTION("""COMPUTED_VALUE"""),"OWIE PAR")</f>
        <v>OWIE PAR</v>
      </c>
      <c r="C1337" s="235" t="str">
        <f>IFERROR(__xludf.DUMMYFUNCTION("""COMPUTED_VALUE"""),"ENGINEERING")</f>
        <v>ENGINEERING</v>
      </c>
      <c r="D1337" s="196" t="str">
        <f>IFERROR(__xludf.DUMMYFUNCTION("""COMPUTED_VALUE"""),"1 PC 3/4 X 4 X 8 PLYWOOD MARINE
1 GAL RUGBY
1 PC FORMICA WHITE 
50 FT RUBBER EDGING")</f>
        <v>1 PC 3/4 X 4 X 8 PLYWOOD MARINE
1 GAL RUGBY
1 PC FORMICA WHITE 
50 FT RUBBER EDGING</v>
      </c>
      <c r="E1337" s="196" t="str">
        <f>IFERROR(__xludf.DUMMYFUNCTION("""COMPUTED_VALUE"""),"REPAIR OF TABLE 2 PCS FOR HE ROOM")</f>
        <v>REPAIR OF TABLE 2 PCS FOR HE ROOM</v>
      </c>
    </row>
    <row r="1338">
      <c r="A1338" s="234">
        <f>IFERROR(__xludf.DUMMYFUNCTION("""COMPUTED_VALUE"""),106171.0)</f>
        <v>106171</v>
      </c>
      <c r="B1338" s="235" t="str">
        <f>IFERROR(__xludf.DUMMYFUNCTION("""COMPUTED_VALUE"""),"ANTON FAMADOR")</f>
        <v>ANTON FAMADOR</v>
      </c>
      <c r="C1338" s="235" t="str">
        <f>IFERROR(__xludf.DUMMYFUNCTION("""COMPUTED_VALUE"""),"MIS/ICT")</f>
        <v>MIS/ICT</v>
      </c>
      <c r="D1338" s="196" t="str">
        <f>IFERROR(__xludf.DUMMYFUNCTION("""COMPUTED_VALUE"""),"10 VIEWSONIC VA22EI-H 21.5"" TN 75HZ FHD MONITOR")</f>
        <v>10 VIEWSONIC VA22EI-H 21.5" TN 75HZ FHD MONITOR</v>
      </c>
      <c r="E1338" s="196" t="str">
        <f>IFERROR(__xludf.DUMMYFUNCTION("""COMPUTED_VALUE"""),"FOR REPLACEMENT OF DEFECTIVE MONITORS")</f>
        <v>FOR REPLACEMENT OF DEFECTIVE MONITORS</v>
      </c>
    </row>
    <row r="1339">
      <c r="A1339" s="234">
        <f>IFERROR(__xludf.DUMMYFUNCTION("""COMPUTED_VALUE"""),106172.0)</f>
        <v>106172</v>
      </c>
      <c r="B1339" s="235" t="str">
        <f>IFERROR(__xludf.DUMMYFUNCTION("""COMPUTED_VALUE"""),"RORY MONSBRIDGE")</f>
        <v>RORY MONSBRIDGE</v>
      </c>
      <c r="C1339" s="235" t="str">
        <f>IFERROR(__xludf.DUMMYFUNCTION("""COMPUTED_VALUE"""),"ATHLETICS")</f>
        <v>ATHLETICS</v>
      </c>
      <c r="D1339" s="196" t="str">
        <f>IFERROR(__xludf.DUMMYFUNCTION("""COMPUTED_VALUE"""),"PLAYING JERSEYS 
-FOOTBALL MEN + WOMEN
-VOLLEYBALL MEN + WOMEN
-BASKETBALL MEN
TRAVELING JERSEYS
-FOOTBALL
-VOLLEYBALL
-BASKETBALL")</f>
        <v>PLAYING JERSEYS 
-FOOTBALL MEN + WOMEN
-VOLLEYBALL MEN + WOMEN
-BASKETBALL MEN
TRAVELING JERSEYS
-FOOTBALL
-VOLLEYBALL
-BASKETBALL</v>
      </c>
      <c r="E1339" s="196" t="str">
        <f>IFERROR(__xludf.DUMMYFUNCTION("""COMPUTED_VALUE"""),"FOR SILIMAN SISC DUAL MEET")</f>
        <v>FOR SILIMAN SISC DUAL MEET</v>
      </c>
    </row>
    <row r="1340">
      <c r="A1340" s="234">
        <f>IFERROR(__xludf.DUMMYFUNCTION("""COMPUTED_VALUE"""),106173.0)</f>
        <v>106173</v>
      </c>
      <c r="B1340" s="235" t="str">
        <f>IFERROR(__xludf.DUMMYFUNCTION("""COMPUTED_VALUE"""),"RONALDO VERDE")</f>
        <v>RONALDO VERDE</v>
      </c>
      <c r="C1340" s="235" t="str">
        <f>IFERROR(__xludf.DUMMYFUNCTION("""COMPUTED_VALUE"""),"ADMIN")</f>
        <v>ADMIN</v>
      </c>
      <c r="D1340" s="196" t="str">
        <f>IFERROR(__xludf.DUMMYFUNCTION("""COMPUTED_VALUE"""),"30 PCS 7-5 COOL WHITE 18W")</f>
        <v>30 PCS 7-5 COOL WHITE 18W</v>
      </c>
      <c r="E1340" s="196" t="str">
        <f>IFERROR(__xludf.DUMMYFUNCTION("""COMPUTED_VALUE"""),"FOR LUX L-SHAPE 5TH FLOOR")</f>
        <v>FOR LUX L-SHAPE 5TH FLOOR</v>
      </c>
    </row>
    <row r="1341">
      <c r="A1341" s="234">
        <f>IFERROR(__xludf.DUMMYFUNCTION("""COMPUTED_VALUE"""),106174.0)</f>
        <v>106174</v>
      </c>
      <c r="B1341" s="235" t="str">
        <f>IFERROR(__xludf.DUMMYFUNCTION("""COMPUTED_VALUE"""),"PAUL ARAÑA ")</f>
        <v>PAUL ARAÑA </v>
      </c>
      <c r="C1341" s="235" t="str">
        <f>IFERROR(__xludf.DUMMYFUNCTION("""COMPUTED_VALUE"""),"MIS/ICT")</f>
        <v>MIS/ICT</v>
      </c>
      <c r="D1341" s="196" t="str">
        <f>IFERROR(__xludf.DUMMYFUNCTION("""COMPUTED_VALUE"""),"30 ACER CHROMEBOOK")</f>
        <v>30 ACER CHROMEBOOK</v>
      </c>
      <c r="E1341" s="196" t="str">
        <f>IFERROR(__xludf.DUMMYFUNCTION("""COMPUTED_VALUE"""),"FOR STAR CAMPUS")</f>
        <v>FOR STAR CAMPUS</v>
      </c>
    </row>
    <row r="1342">
      <c r="A1342" s="234">
        <f>IFERROR(__xludf.DUMMYFUNCTION("""COMPUTED_VALUE"""),106175.0)</f>
        <v>106175</v>
      </c>
      <c r="B1342" s="235" t="str">
        <f>IFERROR(__xludf.DUMMYFUNCTION("""COMPUTED_VALUE"""),"JESUIT CHRISTIAN GALICIA")</f>
        <v>JESUIT CHRISTIAN GALICIA</v>
      </c>
      <c r="C1342" s="235" t="str">
        <f>IFERROR(__xludf.DUMMYFUNCTION("""COMPUTED_VALUE"""),"AMD")</f>
        <v>AMD</v>
      </c>
      <c r="D1342" s="196" t="str">
        <f>IFERROR(__xludf.DUMMYFUNCTION("""COMPUTED_VALUE"""),"20 PCS EACH:
-T5 18W FLOURESCENT DAYLIGHT
-T5 18W FLOURESCENT WARM WHITE
-T5 9W FLOURESCENT DAYLIGHT
-T5 9W FLOURESCENT WARM WHITE")</f>
        <v>20 PCS EACH:
-T5 18W FLOURESCENT DAYLIGHT
-T5 18W FLOURESCENT WARM WHITE
-T5 9W FLOURESCENT DAYLIGHT
-T5 9W FLOURESCENT WARM WHITE</v>
      </c>
      <c r="E1342" s="196" t="str">
        <f>IFERROR(__xludf.DUMMYFUNCTION("""COMPUTED_VALUE"""),"ENGINEERING WAREHOUSE REPPLENISHMENT")</f>
        <v>ENGINEERING WAREHOUSE REPPLENISHMENT</v>
      </c>
    </row>
    <row r="1343">
      <c r="A1343" s="234">
        <f>IFERROR(__xludf.DUMMYFUNCTION("""COMPUTED_VALUE"""),106176.0)</f>
        <v>106176</v>
      </c>
      <c r="B1343" s="235" t="str">
        <f>IFERROR(__xludf.DUMMYFUNCTION("""COMPUTED_VALUE"""),"SAMEYA GARCIA")</f>
        <v>SAMEYA GARCIA</v>
      </c>
      <c r="C1343" s="235" t="str">
        <f>IFERROR(__xludf.DUMMYFUNCTION("""COMPUTED_VALUE"""),"ADMIN")</f>
        <v>ADMIN</v>
      </c>
      <c r="D1343" s="196" t="str">
        <f>IFERROR(__xludf.DUMMYFUNCTION("""COMPUTED_VALUE"""),"PET CARD SHEETS 5D SHEETS ANYBRAND 200 X 300 MM")</f>
        <v>PET CARD SHEETS 5D SHEETS ANYBRAND 200 X 300 MM</v>
      </c>
      <c r="E1343" s="196" t="str">
        <f>IFERROR(__xludf.DUMMYFUNCTION("""COMPUTED_VALUE"""),"FOR SIGNAGES IDS ETC")</f>
        <v>FOR SIGNAGES IDS ETC</v>
      </c>
    </row>
    <row r="1344">
      <c r="A1344" s="234">
        <f>IFERROR(__xludf.DUMMYFUNCTION("""COMPUTED_VALUE"""),106177.0)</f>
        <v>106177</v>
      </c>
      <c r="B1344" s="235" t="str">
        <f>IFERROR(__xludf.DUMMYFUNCTION("""COMPUTED_VALUE"""),"KIM DEXTER BODOS")</f>
        <v>KIM DEXTER BODOS</v>
      </c>
      <c r="C1344" s="235" t="str">
        <f>IFERROR(__xludf.DUMMYFUNCTION("""COMPUTED_VALUE"""),"PR &amp; MARKETING")</f>
        <v>PR &amp; MARKETING</v>
      </c>
      <c r="D1344" s="196" t="str">
        <f>IFERROR(__xludf.DUMMYFUNCTION("""COMPUTED_VALUE"""),"50 STICKERS SIZE: HALF GLOSSY PAPER")</f>
        <v>50 STICKERS SIZE: HALF GLOSSY PAPER</v>
      </c>
      <c r="E1344" s="196" t="str">
        <f>IFERROR(__xludf.DUMMYFUNCTION("""COMPUTED_VALUE"""),"PROMOTION")</f>
        <v>PROMOTION</v>
      </c>
    </row>
    <row r="1345">
      <c r="A1345" s="234">
        <f>IFERROR(__xludf.DUMMYFUNCTION("""COMPUTED_VALUE"""),106178.0)</f>
        <v>106178</v>
      </c>
      <c r="B1345" s="235" t="str">
        <f>IFERROR(__xludf.DUMMYFUNCTION("""COMPUTED_VALUE"""),"MARVIN MARASIGAN")</f>
        <v>MARVIN MARASIGAN</v>
      </c>
      <c r="C1345" s="235" t="str">
        <f>IFERROR(__xludf.DUMMYFUNCTION("""COMPUTED_VALUE"""),"PR &amp; MARKETING")</f>
        <v>PR &amp; MARKETING</v>
      </c>
      <c r="D1345" s="196" t="str">
        <f>IFERROR(__xludf.DUMMYFUNCTION("""COMPUTED_VALUE"""),"36 PCS FEATHER FLAGS
1600 METERS BUNTINGS
22 PCS DROP DOWN BANNERS")</f>
        <v>36 PCS FEATHER FLAGS
1600 METERS BUNTINGS
22 PCS DROP DOWN BANNERS</v>
      </c>
      <c r="E1345" s="196" t="str">
        <f>IFERROR(__xludf.DUMMYFUNCTION("""COMPUTED_VALUE"""),"FOR 35TH FOUNDATION ANNIVERSARY")</f>
        <v>FOR 35TH FOUNDATION ANNIVERSARY</v>
      </c>
    </row>
    <row r="1346">
      <c r="A1346" s="234">
        <f>IFERROR(__xludf.DUMMYFUNCTION("""COMPUTED_VALUE"""),106179.0)</f>
        <v>106179</v>
      </c>
      <c r="B1346" s="235" t="str">
        <f>IFERROR(__xludf.DUMMYFUNCTION("""COMPUTED_VALUE"""),"JANELLE ILAO")</f>
        <v>JANELLE ILAO</v>
      </c>
      <c r="C1346" s="235" t="str">
        <f>IFERROR(__xludf.DUMMYFUNCTION("""COMPUTED_VALUE"""),"HRMD")</f>
        <v>HRMD</v>
      </c>
      <c r="D1346" s="196" t="str">
        <f>IFERROR(__xludf.DUMMYFUNCTION("""COMPUTED_VALUE"""),"1 FLOWER WREATH ")</f>
        <v>1 FLOWER WREATH </v>
      </c>
      <c r="E1346" s="196" t="str">
        <f>IFERROR(__xludf.DUMMYFUNCTION("""COMPUTED_VALUE"""),"FLOWER WREATH FOR MS ANNA MARIE SEVA'S MOTHER DEMISE")</f>
        <v>FLOWER WREATH FOR MS ANNA MARIE SEVA'S MOTHER DEMISE</v>
      </c>
    </row>
    <row r="1347">
      <c r="A1347" s="234">
        <f>IFERROR(__xludf.DUMMYFUNCTION("""COMPUTED_VALUE"""),106180.0)</f>
        <v>106180</v>
      </c>
      <c r="B1347" s="235" t="str">
        <f>IFERROR(__xludf.DUMMYFUNCTION("""COMPUTED_VALUE"""),"LUCILLE BEYER")</f>
        <v>LUCILLE BEYER</v>
      </c>
      <c r="C1347" s="235" t="str">
        <f>IFERROR(__xludf.DUMMYFUNCTION("""COMPUTED_VALUE"""),"MEDICAL")</f>
        <v>MEDICAL</v>
      </c>
      <c r="D1347" s="196" t="str">
        <f>IFERROR(__xludf.DUMMYFUNCTION("""COMPUTED_VALUE"""),"300 PCS BIOGESIC
200 NEOZEP NON DROWSE
150 SOLMUX
150 DIATABS
100 BONAMINE
150 CETERIZINE 10 MG
150 ALAXAN 
200 BIOFLU
150 KREMIL S
100 DECOLGEN NON DROWSE
50 CATAPRES 
150 ADVIL
150 MEFENAMIC ACID
10 BOXES DISPOSABLE FACE MASK
15 BOXES SALONPASS
10 BOTTL"&amp;"ES WHITE FLOWER 20 ML
20 PCS HYDRITE APPLE FLAVOR
20 PCS CALMOSEPTINE CREAM
5 BOTS 120ML OMEGA OINTMENT LINIMENT
5 BOTS 235ML EFFICASCENT OIL
2 TUBES 20G VOLTAREN EMULGEL 1% 20G
5 BOTS / 500 ML BACTIDOL
50 PCS EYE PATCH MEDIPLAST
3 BOTS/ 680ML LYSOL DIDIN"&amp;"FECTANT SPRAY
5 200 TIPS/ PACKS BABYFLO
2 BOTS 250MG 5M TEMPRA SYRUP
2 BOTS/5MG/5ML ALNIX")</f>
        <v>300 PCS BIOGESIC
200 NEOZEP NON DROWSE
150 SOLMUX
150 DIATABS
100 BONAMINE
150 CETERIZINE 10 MG
150 ALAXAN 
200 BIOFLU
150 KREMIL S
100 DECOLGEN NON DROWSE
50 CATAPRES 
150 ADVIL
150 MEFENAMIC ACID
10 BOXES DISPOSABLE FACE MASK
15 BOXES SALONPASS
10 BOTTLES WHITE FLOWER 20 ML
20 PCS HYDRITE APPLE FLAVOR
20 PCS CALMOSEPTINE CREAM
5 BOTS 120ML OMEGA OINTMENT LINIMENT
5 BOTS 235ML EFFICASCENT OIL
2 TUBES 20G VOLTAREN EMULGEL 1% 20G
5 BOTS / 500 ML BACTIDOL
50 PCS EYE PATCH MEDIPLAST
3 BOTS/ 680ML LYSOL DIDINFECTANT SPRAY
5 200 TIPS/ PACKS BABYFLO
2 BOTS 250MG 5M TEMPRA SYRUP
2 BOTS/5MG/5ML ALNIX</v>
      </c>
      <c r="E1347" s="196" t="str">
        <f>IFERROR(__xludf.DUMMYFUNCTION("""COMPUTED_VALUE"""),"REPLENISHMENT OF CLINIC MEDS AND MATERIALS FOR 3 CLINICS FOR THE MONTH OF AUGUST AND SEPTEMBER")</f>
        <v>REPLENISHMENT OF CLINIC MEDS AND MATERIALS FOR 3 CLINICS FOR THE MONTH OF AUGUST AND SEPTEMBER</v>
      </c>
    </row>
    <row r="1348">
      <c r="A1348" s="234">
        <f>IFERROR(__xludf.DUMMYFUNCTION("""COMPUTED_VALUE"""),106181.0)</f>
        <v>106181</v>
      </c>
      <c r="B1348" s="235" t="str">
        <f>IFERROR(__xludf.DUMMYFUNCTION("""COMPUTED_VALUE"""),"JANELLE ILAO")</f>
        <v>JANELLE ILAO</v>
      </c>
      <c r="C1348" s="235" t="str">
        <f>IFERROR(__xludf.DUMMYFUNCTION("""COMPUTED_VALUE"""),"HRMD")</f>
        <v>HRMD</v>
      </c>
      <c r="D1348" s="196" t="str">
        <f>IFERROR(__xludf.DUMMYFUNCTION("""COMPUTED_VALUE"""),"NURSING FACULTY SCRUB SUIT")</f>
        <v>NURSING FACULTY SCRUB SUIT</v>
      </c>
      <c r="E1348" s="196" t="str">
        <f>IFERROR(__xludf.DUMMYFUNCTION("""COMPUTED_VALUE"""),"NURSING FACULTY SCRUB SUIT")</f>
        <v>NURSING FACULTY SCRUB SUIT</v>
      </c>
    </row>
    <row r="1349">
      <c r="A1349" s="234">
        <f>IFERROR(__xludf.DUMMYFUNCTION("""COMPUTED_VALUE"""),106182.0)</f>
        <v>106182</v>
      </c>
      <c r="B1349" s="235" t="str">
        <f>IFERROR(__xludf.DUMMYFUNCTION("""COMPUTED_VALUE"""),"ELYDIA REYES")</f>
        <v>ELYDIA REYES</v>
      </c>
      <c r="C1349" s="235" t="str">
        <f>IFERROR(__xludf.DUMMYFUNCTION("""COMPUTED_VALUE"""),"PR &amp; MARKETING")</f>
        <v>PR &amp; MARKETING</v>
      </c>
      <c r="D1349" s="196" t="str">
        <f>IFERROR(__xludf.DUMMYFUNCTION("""COMPUTED_VALUE"""),"35TH FOUNDATION 10X10FT
35TH FOUNDATION 36 X 78 INCHES")</f>
        <v>35TH FOUNDATION 10X10FT
35TH FOUNDATION 36 X 78 INCHES</v>
      </c>
      <c r="E1349" s="196" t="str">
        <f>IFERROR(__xludf.DUMMYFUNCTION("""COMPUTED_VALUE"""),"FOR 35TH FOUNDATION ANNIVERSARY")</f>
        <v>FOR 35TH FOUNDATION ANNIVERSARY</v>
      </c>
    </row>
    <row r="1350">
      <c r="A1350" s="234">
        <f>IFERROR(__xludf.DUMMYFUNCTION("""COMPUTED_VALUE"""),106183.0)</f>
        <v>106183</v>
      </c>
      <c r="B1350" s="235" t="str">
        <f>IFERROR(__xludf.DUMMYFUNCTION("""COMPUTED_VALUE"""),"LYKA PERALTA")</f>
        <v>LYKA PERALTA</v>
      </c>
      <c r="C1350" s="235" t="str">
        <f>IFERROR(__xludf.DUMMYFUNCTION("""COMPUTED_VALUE"""),"AMD")</f>
        <v>AMD</v>
      </c>
      <c r="D1350" s="196" t="str">
        <f>IFERROR(__xludf.DUMMYFUNCTION("""COMPUTED_VALUE"""),"50 PCS TOOTHBRUSH HOLDER")</f>
        <v>50 PCS TOOTHBRUSH HOLDER</v>
      </c>
      <c r="E1350" s="196" t="str">
        <f>IFERROR(__xludf.DUMMYFUNCTION("""COMPUTED_VALUE"""),"TOKEN NEW STOCK")</f>
        <v>TOKEN NEW STOCK</v>
      </c>
    </row>
    <row r="1351">
      <c r="A1351" s="234">
        <f>IFERROR(__xludf.DUMMYFUNCTION("""COMPUTED_VALUE"""),106184.0)</f>
        <v>106184</v>
      </c>
      <c r="B1351" s="235" t="str">
        <f>IFERROR(__xludf.DUMMYFUNCTION("""COMPUTED_VALUE"""),"LYKA PERALTA")</f>
        <v>LYKA PERALTA</v>
      </c>
      <c r="C1351" s="235" t="str">
        <f>IFERROR(__xludf.DUMMYFUNCTION("""COMPUTED_VALUE"""),"AMD")</f>
        <v>AMD</v>
      </c>
      <c r="D1351" s="196" t="str">
        <f>IFERROR(__xludf.DUMMYFUNCTION("""COMPUTED_VALUE"""),"150 PCS ECO BAG WHITE SMALL")</f>
        <v>150 PCS ECO BAG WHITE SMALL</v>
      </c>
      <c r="E1351" s="196" t="str">
        <f>IFERROR(__xludf.DUMMYFUNCTION("""COMPUTED_VALUE"""),"TOKEN NEW STOCK")</f>
        <v>TOKEN NEW STOCK</v>
      </c>
    </row>
    <row r="1352">
      <c r="A1352" s="234">
        <f>IFERROR(__xludf.DUMMYFUNCTION("""COMPUTED_VALUE"""),106185.0)</f>
        <v>106185</v>
      </c>
      <c r="B1352" s="235" t="str">
        <f>IFERROR(__xludf.DUMMYFUNCTION("""COMPUTED_VALUE"""),"OWIE PAR")</f>
        <v>OWIE PAR</v>
      </c>
      <c r="C1352" s="235" t="str">
        <f>IFERROR(__xludf.DUMMYFUNCTION("""COMPUTED_VALUE"""),"ENGINEERING")</f>
        <v>ENGINEERING</v>
      </c>
      <c r="D1352" s="196" t="str">
        <f>IFERROR(__xludf.DUMMYFUNCTION("""COMPUTED_VALUE"""),"3 LTR CHLORINE POWDER")</f>
        <v>3 LTR CHLORINE POWDER</v>
      </c>
      <c r="E1352" s="196" t="str">
        <f>IFERROR(__xludf.DUMMYFUNCTION("""COMPUTED_VALUE"""),"FOR WATER TREATMENT WASTE WATER AND CISTERN")</f>
        <v>FOR WATER TREATMENT WASTE WATER AND CISTERN</v>
      </c>
    </row>
    <row r="1353">
      <c r="A1353" s="234">
        <f>IFERROR(__xludf.DUMMYFUNCTION("""COMPUTED_VALUE"""),106186.0)</f>
        <v>106186</v>
      </c>
      <c r="B1353" s="235" t="str">
        <f>IFERROR(__xludf.DUMMYFUNCTION("""COMPUTED_VALUE"""),"JOCELYN TIZON")</f>
        <v>JOCELYN TIZON</v>
      </c>
      <c r="C1353" s="235" t="str">
        <f>IFERROR(__xludf.DUMMYFUNCTION("""COMPUTED_VALUE"""),"DR JO'S HOUSE")</f>
        <v>DR JO'S HOUSE</v>
      </c>
      <c r="D1353" s="196" t="str">
        <f>IFERROR(__xludf.DUMMYFUNCTION("""COMPUTED_VALUE"""),"1 8 SEATER ACCACIA TABLE 
8 BROWN DINING CHAIR 
1 WHITE SIDE TABLE")</f>
        <v>1 8 SEATER ACCACIA TABLE 
8 BROWN DINING CHAIR 
1 WHITE SIDE TABLE</v>
      </c>
      <c r="E1353" s="196" t="str">
        <f>IFERROR(__xludf.DUMMYFUNCTION("""COMPUTED_VALUE"""),"FURNITURE FOR DR JO'S HOUSE")</f>
        <v>FURNITURE FOR DR JO'S HOUSE</v>
      </c>
    </row>
    <row r="1354">
      <c r="A1354" s="234">
        <f>IFERROR(__xludf.DUMMYFUNCTION("""COMPUTED_VALUE"""),106187.0)</f>
        <v>106187</v>
      </c>
      <c r="B1354" s="235" t="str">
        <f>IFERROR(__xludf.DUMMYFUNCTION("""COMPUTED_VALUE"""),"JESUIT CHRISTIAN GALICIA")</f>
        <v>JESUIT CHRISTIAN GALICIA</v>
      </c>
      <c r="C1354" s="235" t="str">
        <f>IFERROR(__xludf.DUMMYFUNCTION("""COMPUTED_VALUE"""),"AMD")</f>
        <v>AMD</v>
      </c>
      <c r="D1354" s="196" t="str">
        <f>IFERROR(__xludf.DUMMYFUNCTION("""COMPUTED_VALUE"""),"20 PCS DOOR KNOB YALE CYLINDRICAL YLHCA5127
20 PCS LED BULB 3W MINI DAYLIGHT PHILIPS
10 PCS TANK FITTING WASSERNISON NJCS 108 
20 PCS FILL VALVE WASSERNISON NJ 206")</f>
        <v>20 PCS DOOR KNOB YALE CYLINDRICAL YLHCA5127
20 PCS LED BULB 3W MINI DAYLIGHT PHILIPS
10 PCS TANK FITTING WASSERNISON NJCS 108 
20 PCS FILL VALVE WASSERNISON NJ 206</v>
      </c>
      <c r="E1354" s="196" t="str">
        <f>IFERROR(__xludf.DUMMYFUNCTION("""COMPUTED_VALUE"""),"ENGINEERING WAREHOUSE REPPLENISHMENT")</f>
        <v>ENGINEERING WAREHOUSE REPPLENISHMENT</v>
      </c>
    </row>
    <row r="1355">
      <c r="A1355" s="234">
        <f>IFERROR(__xludf.DUMMYFUNCTION("""COMPUTED_VALUE"""),106188.0)</f>
        <v>106188</v>
      </c>
      <c r="B1355" s="235" t="str">
        <f>IFERROR(__xludf.DUMMYFUNCTION("""COMPUTED_VALUE"""),"OSCAR AGORILLA")</f>
        <v>OSCAR AGORILLA</v>
      </c>
      <c r="C1355" s="235" t="str">
        <f>IFERROR(__xludf.DUMMYFUNCTION("""COMPUTED_VALUE"""),"REGISTRATION")</f>
        <v>REGISTRATION</v>
      </c>
      <c r="D1355" s="196" t="str">
        <f>IFERROR(__xludf.DUMMYFUNCTION("""COMPUTED_VALUE"""),"1 500 A4 LETTER HEAD ")</f>
        <v>1 500 A4 LETTER HEAD </v>
      </c>
      <c r="E1355" s="196" t="str">
        <f>IFERROR(__xludf.DUMMYFUNCTION("""COMPUTED_VALUE"""),"OFFICE USE")</f>
        <v>OFFICE USE</v>
      </c>
    </row>
    <row r="1356">
      <c r="A1356" s="234">
        <f>IFERROR(__xludf.DUMMYFUNCTION("""COMPUTED_VALUE"""),106189.0)</f>
        <v>106189</v>
      </c>
      <c r="B1356" s="235" t="str">
        <f>IFERROR(__xludf.DUMMYFUNCTION("""COMPUTED_VALUE"""),"JESUIT CHRISTIAN GALICIA")</f>
        <v>JESUIT CHRISTIAN GALICIA</v>
      </c>
      <c r="C1356" s="235" t="str">
        <f>IFERROR(__xludf.DUMMYFUNCTION("""COMPUTED_VALUE"""),"AMD")</f>
        <v>AMD</v>
      </c>
      <c r="D1356" s="196" t="str">
        <f>IFERROR(__xludf.DUMMYFUNCTION("""COMPUTED_VALUE"""),"10 PCS DOOR CLOSER YALE Y1249R 80 KG CAPACITY")</f>
        <v>10 PCS DOOR CLOSER YALE Y1249R 80 KG CAPACITY</v>
      </c>
      <c r="E1356" s="196" t="str">
        <f>IFERROR(__xludf.DUMMYFUNCTION("""COMPUTED_VALUE"""),"ENGINEERING WAREHOUSE REPPLENISHMENT")</f>
        <v>ENGINEERING WAREHOUSE REPPLENISHMENT</v>
      </c>
    </row>
    <row r="1357">
      <c r="A1357" s="234">
        <f>IFERROR(__xludf.DUMMYFUNCTION("""COMPUTED_VALUE"""),106190.0)</f>
        <v>106190</v>
      </c>
      <c r="B1357" s="235" t="str">
        <f>IFERROR(__xludf.DUMMYFUNCTION("""COMPUTED_VALUE"""),"ANN VILLARUZ")</f>
        <v>ANN VILLARUZ</v>
      </c>
      <c r="C1357" s="235" t="str">
        <f>IFERROR(__xludf.DUMMYFUNCTION("""COMPUTED_VALUE"""),"STUDENT AFFAIRS COLLEGE")</f>
        <v>STUDENT AFFAIRS COLLEGE</v>
      </c>
      <c r="D1357" s="196" t="str">
        <f>IFERROR(__xludf.DUMMYFUNCTION("""COMPUTED_VALUE"""),"MEDALS FOR 
-ACADEMIC AWARD
-AFSL
-LOYALTY")</f>
        <v>MEDALS FOR 
-ACADEMIC AWARD
-AFSL
-LOYALTY</v>
      </c>
      <c r="E1357" s="196" t="str">
        <f>IFERROR(__xludf.DUMMYFUNCTION("""COMPUTED_VALUE"""),"SOUVENIRS GRADUATION AY 24-25")</f>
        <v>SOUVENIRS GRADUATION AY 24-25</v>
      </c>
    </row>
    <row r="1358">
      <c r="A1358" s="234">
        <f>IFERROR(__xludf.DUMMYFUNCTION("""COMPUTED_VALUE"""),106191.0)</f>
        <v>106191</v>
      </c>
      <c r="B1358" s="235" t="str">
        <f>IFERROR(__xludf.DUMMYFUNCTION("""COMPUTED_VALUE"""),"ALFA DE LEON")</f>
        <v>ALFA DE LEON</v>
      </c>
      <c r="C1358" s="235" t="str">
        <f>IFERROR(__xludf.DUMMYFUNCTION("""COMPUTED_VALUE"""),"ADMIN - MUNICH")</f>
        <v>ADMIN - MUNICH</v>
      </c>
      <c r="D1358" s="196" t="str">
        <f>IFERROR(__xludf.DUMMYFUNCTION("""COMPUTED_VALUE"""),"10 YELLOW BELL")</f>
        <v>10 YELLOW BELL</v>
      </c>
      <c r="E1358" s="196" t="str">
        <f>IFERROR(__xludf.DUMMYFUNCTION("""COMPUTED_VALUE"""),"FLOWERING PLANT FRONT GATE PLANT BOX")</f>
        <v>FLOWERING PLANT FRONT GATE PLANT BOX</v>
      </c>
    </row>
    <row r="1359">
      <c r="A1359" s="234">
        <f>IFERROR(__xludf.DUMMYFUNCTION("""COMPUTED_VALUE"""),106192.0)</f>
        <v>106192</v>
      </c>
      <c r="B1359" s="235" t="str">
        <f>IFERROR(__xludf.DUMMYFUNCTION("""COMPUTED_VALUE"""),"ANA HIRANG")</f>
        <v>ANA HIRANG</v>
      </c>
      <c r="C1359" s="235" t="str">
        <f>IFERROR(__xludf.DUMMYFUNCTION("""COMPUTED_VALUE"""),"LIBRARY BASIC ED")</f>
        <v>LIBRARY BASIC ED</v>
      </c>
      <c r="D1359" s="196" t="str">
        <f>IFERROR(__xludf.DUMMYFUNCTION("""COMPUTED_VALUE"""),"40 PCS BOOK STAND WHITE 6 INCHES")</f>
        <v>40 PCS BOOK STAND WHITE 6 INCHES</v>
      </c>
      <c r="E1359" s="196" t="str">
        <f>IFERROR(__xludf.DUMMYFUNCTION("""COMPUTED_VALUE"""),"FOR BOOKS DISPLAY")</f>
        <v>FOR BOOKS DISPLAY</v>
      </c>
    </row>
    <row r="1360">
      <c r="A1360" s="234">
        <f>IFERROR(__xludf.DUMMYFUNCTION("""COMPUTED_VALUE"""),106193.0)</f>
        <v>106193</v>
      </c>
      <c r="B1360" s="235" t="str">
        <f>IFERROR(__xludf.DUMMYFUNCTION("""COMPUTED_VALUE"""),"MELISSA ODONO")</f>
        <v>MELISSA ODONO</v>
      </c>
      <c r="C1360" s="235" t="str">
        <f>IFERROR(__xludf.DUMMYFUNCTION("""COMPUTED_VALUE"""),"LIBRARY MUNICH")</f>
        <v>LIBRARY MUNICH</v>
      </c>
      <c r="D1360" s="196" t="str">
        <f>IFERROR(__xludf.DUMMYFUNCTION("""COMPUTED_VALUE"""),"6 A COLORING BOOK OF DINOSAURS AND CREATURES IN THE USA
6 THE CHRISTMAS DONKEY")</f>
        <v>6 A COLORING BOOK OF DINOSAURS AND CREATURES IN THE USA
6 THE CHRISTMAS DONKEY</v>
      </c>
      <c r="E1360" s="196" t="str">
        <f>IFERROR(__xludf.DUMMYFUNCTION("""COMPUTED_VALUE"""),"FOR LIBRARY'S COPY")</f>
        <v>FOR LIBRARY'S COPY</v>
      </c>
    </row>
    <row r="1361">
      <c r="A1361" s="234">
        <f>IFERROR(__xludf.DUMMYFUNCTION("""COMPUTED_VALUE"""),106194.0)</f>
        <v>106194</v>
      </c>
      <c r="B1361" s="235" t="str">
        <f>IFERROR(__xludf.DUMMYFUNCTION("""COMPUTED_VALUE"""),"RODRIGO CUSTODIO")</f>
        <v>RODRIGO CUSTODIO</v>
      </c>
      <c r="C1361" s="235" t="str">
        <f>IFERROR(__xludf.DUMMYFUNCTION("""COMPUTED_VALUE"""),"AMD")</f>
        <v>AMD</v>
      </c>
      <c r="D1361" s="196" t="str">
        <f>IFERROR(__xludf.DUMMYFUNCTION("""COMPUTED_VALUE"""),"10 GALS FLOOR FINISH STATE MIGHTY SPARKLE DIAMOND 25 1 US GAL")</f>
        <v>10 GALS FLOOR FINISH STATE MIGHTY SPARKLE DIAMOND 25 1 US GAL</v>
      </c>
      <c r="E1361" s="196" t="str">
        <f>IFERROR(__xludf.DUMMYFUNCTION("""COMPUTED_VALUE"""),"HOUSEKEEPING MATERIALS STOCK REPLENISHMENT")</f>
        <v>HOUSEKEEPING MATERIALS STOCK REPLENISHMENT</v>
      </c>
    </row>
    <row r="1362">
      <c r="A1362" s="234">
        <f>IFERROR(__xludf.DUMMYFUNCTION("""COMPUTED_VALUE"""),106195.0)</f>
        <v>106195</v>
      </c>
      <c r="B1362" s="235" t="str">
        <f>IFERROR(__xludf.DUMMYFUNCTION("""COMPUTED_VALUE"""),"JANESSA LUMBRES ")</f>
        <v>JANESSA LUMBRES </v>
      </c>
      <c r="C1362" s="235" t="str">
        <f>IFERROR(__xludf.DUMMYFUNCTION("""COMPUTED_VALUE"""),"K12")</f>
        <v>K12</v>
      </c>
      <c r="D1362" s="196" t="str">
        <f>IFERROR(__xludf.DUMMYFUNCTION("""COMPUTED_VALUE"""),"100 BUSINESS CARDS ")</f>
        <v>100 BUSINESS CARDS </v>
      </c>
      <c r="E1362" s="196"/>
    </row>
    <row r="1363">
      <c r="A1363" s="234">
        <f>IFERROR(__xludf.DUMMYFUNCTION("""COMPUTED_VALUE"""),106196.0)</f>
        <v>106196</v>
      </c>
      <c r="B1363" s="235" t="str">
        <f>IFERROR(__xludf.DUMMYFUNCTION("""COMPUTED_VALUE"""),"RODRIGO CUSTODIO")</f>
        <v>RODRIGO CUSTODIO</v>
      </c>
      <c r="C1363" s="235" t="str">
        <f>IFERROR(__xludf.DUMMYFUNCTION("""COMPUTED_VALUE"""),"AMD")</f>
        <v>AMD</v>
      </c>
      <c r="D1363" s="196" t="str">
        <f>IFERROR(__xludf.DUMMYFUNCTION("""COMPUTED_VALUE"""),"200 PACKS CHLORINE 1 KG PER PACK")</f>
        <v>200 PACKS CHLORINE 1 KG PER PACK</v>
      </c>
      <c r="E1363" s="196" t="str">
        <f>IFERROR(__xludf.DUMMYFUNCTION("""COMPUTED_VALUE"""),"HOUSEKEEPING MATERIALS STOCK REPLENISHMENT")</f>
        <v>HOUSEKEEPING MATERIALS STOCK REPLENISHMENT</v>
      </c>
    </row>
    <row r="1364">
      <c r="A1364" s="234">
        <f>IFERROR(__xludf.DUMMYFUNCTION("""COMPUTED_VALUE"""),106197.0)</f>
        <v>106197</v>
      </c>
      <c r="B1364" s="235" t="str">
        <f>IFERROR(__xludf.DUMMYFUNCTION("""COMPUTED_VALUE"""),"MONCHING DELA VINA")</f>
        <v>MONCHING DELA VINA</v>
      </c>
      <c r="C1364" s="235" t="str">
        <f>IFERROR(__xludf.DUMMYFUNCTION("""COMPUTED_VALUE"""),"STUDENT AFFAIRS COLLEGE")</f>
        <v>STUDENT AFFAIRS COLLEGE</v>
      </c>
      <c r="D1364" s="196" t="str">
        <f>IFERROR(__xludf.DUMMYFUNCTION("""COMPUTED_VALUE"""),"SOUVENIR PROGRAM FOR BATCH 2025 ")</f>
        <v>SOUVENIR PROGRAM FOR BATCH 2025 </v>
      </c>
      <c r="E1364" s="196" t="str">
        <f>IFERROR(__xludf.DUMMYFUNCTION("""COMPUTED_VALUE"""),"SOUVENIRS GRADUATION AY 25-26")</f>
        <v>SOUVENIRS GRADUATION AY 25-26</v>
      </c>
    </row>
    <row r="1365">
      <c r="A1365" s="234">
        <f>IFERROR(__xludf.DUMMYFUNCTION("""COMPUTED_VALUE"""),106198.0)</f>
        <v>106198</v>
      </c>
      <c r="B1365" s="235" t="str">
        <f>IFERROR(__xludf.DUMMYFUNCTION("""COMPUTED_VALUE"""),"OWIE PAR")</f>
        <v>OWIE PAR</v>
      </c>
      <c r="C1365" s="235" t="str">
        <f>IFERROR(__xludf.DUMMYFUNCTION("""COMPUTED_VALUE"""),"ENGINEERING")</f>
        <v>ENGINEERING</v>
      </c>
      <c r="D1365" s="196" t="str">
        <f>IFERROR(__xludf.DUMMYFUNCTION("""COMPUTED_VALUE"""),"5 PCS FIRE HOSE 1 1/2 X 30")</f>
        <v>5 PCS FIRE HOSE 1 1/2 X 30</v>
      </c>
      <c r="E1365" s="196" t="str">
        <f>IFERROR(__xludf.DUMMYFUNCTION("""COMPUTED_VALUE"""),"FOR LUX BUILDING")</f>
        <v>FOR LUX BUILDING</v>
      </c>
    </row>
    <row r="1366">
      <c r="A1366" s="234">
        <f>IFERROR(__xludf.DUMMYFUNCTION("""COMPUTED_VALUE"""),106199.0)</f>
        <v>106199</v>
      </c>
      <c r="B1366" s="235" t="str">
        <f>IFERROR(__xludf.DUMMYFUNCTION("""COMPUTED_VALUE"""),"MARK PABUSTAN")</f>
        <v>MARK PABUSTAN</v>
      </c>
      <c r="C1366" s="235" t="str">
        <f>IFERROR(__xludf.DUMMYFUNCTION("""COMPUTED_VALUE"""),"MIS/ROBOTICS")</f>
        <v>MIS/ROBOTICS</v>
      </c>
      <c r="D1366" s="196" t="str">
        <f>IFERROR(__xludf.DUMMYFUNCTION("""COMPUTED_VALUE"""),"1 SET MIX AND MATCH GAME ELEMENT
2 PACK LONG SHAFT ADD ON PACK
2 PACK 12"" DRIVE SHAFT")</f>
        <v>1 SET MIX AND MATCH GAME ELEMENT
2 PACK LONG SHAFT ADD ON PACK
2 PACK 12" DRIVE SHAFT</v>
      </c>
      <c r="E1366" s="196" t="str">
        <f>IFERROR(__xludf.DUMMYFUNCTION("""COMPUTED_VALUE"""),"FOR COMPETITION")</f>
        <v>FOR COMPETITION</v>
      </c>
    </row>
    <row r="1367">
      <c r="A1367" s="234">
        <f>IFERROR(__xludf.DUMMYFUNCTION("""COMPUTED_VALUE"""),106200.0)</f>
        <v>106200</v>
      </c>
      <c r="B1367" s="235" t="str">
        <f>IFERROR(__xludf.DUMMYFUNCTION("""COMPUTED_VALUE"""),"CHRISTON CORBEZA")</f>
        <v>CHRISTON CORBEZA</v>
      </c>
      <c r="C1367" s="235" t="str">
        <f>IFERROR(__xludf.DUMMYFUNCTION("""COMPUTED_VALUE"""),"ADMIN - MUNICH")</f>
        <v>ADMIN - MUNICH</v>
      </c>
      <c r="D1367" s="196" t="str">
        <f>IFERROR(__xludf.DUMMYFUNCTION("""COMPUTED_VALUE"""),"16 PCS SAND BAG BISTAY SANND")</f>
        <v>16 PCS SAND BAG BISTAY SANND</v>
      </c>
      <c r="E1367" s="196" t="str">
        <f>IFERROR(__xludf.DUMMYFUNCTION("""COMPUTED_VALUE"""),"COUNTERWEIGHT FOR THE BASKETBALL RING")</f>
        <v>COUNTERWEIGHT FOR THE BASKETBALL RING</v>
      </c>
    </row>
    <row r="1368">
      <c r="A1368" s="234">
        <f>IFERROR(__xludf.DUMMYFUNCTION("""COMPUTED_VALUE"""),106201.0)</f>
        <v>106201</v>
      </c>
      <c r="B1368" s="235" t="str">
        <f>IFERROR(__xludf.DUMMYFUNCTION("""COMPUTED_VALUE"""),"CHRISTON CORBEZA")</f>
        <v>CHRISTON CORBEZA</v>
      </c>
      <c r="C1368" s="235" t="str">
        <f>IFERROR(__xludf.DUMMYFUNCTION("""COMPUTED_VALUE"""),"ADMIN - MUNICH")</f>
        <v>ADMIN - MUNICH</v>
      </c>
      <c r="D1368" s="196" t="str">
        <f>IFERROR(__xludf.DUMMYFUNCTION("""COMPUTED_VALUE"""),"10 PCS HOUSEKEEPING CLEANING WASTE BAG 5 PACKETS")</f>
        <v>10 PCS HOUSEKEEPING CLEANING WASTE BAG 5 PACKETS</v>
      </c>
      <c r="E1368" s="196" t="str">
        <f>IFERROR(__xludf.DUMMYFUNCTION("""COMPUTED_VALUE"""),"FOR HOUSEKEEPING MAINTENANCE")</f>
        <v>FOR HOUSEKEEPING MAINTENANCE</v>
      </c>
    </row>
    <row r="1369">
      <c r="A1369" s="234">
        <f>IFERROR(__xludf.DUMMYFUNCTION("""COMPUTED_VALUE"""),106202.0)</f>
        <v>106202</v>
      </c>
      <c r="B1369" s="235" t="str">
        <f>IFERROR(__xludf.DUMMYFUNCTION("""COMPUTED_VALUE"""),"CHRISTON CORBEZA")</f>
        <v>CHRISTON CORBEZA</v>
      </c>
      <c r="C1369" s="235" t="str">
        <f>IFERROR(__xludf.DUMMYFUNCTION("""COMPUTED_VALUE"""),"ADMIN - MUNICH")</f>
        <v>ADMIN - MUNICH</v>
      </c>
      <c r="D1369" s="196" t="str">
        <f>IFERROR(__xludf.DUMMYFUNCTION("""COMPUTED_VALUE"""),"4 PCS HEAVY DUTY PUSH CART WHEELS 10 INCHES")</f>
        <v>4 PCS HEAVY DUTY PUSH CART WHEELS 10 INCHES</v>
      </c>
      <c r="E1369" s="196" t="str">
        <f>IFERROR(__xludf.DUMMYFUNCTION("""COMPUTED_VALUE"""),"FOR REPLACEMENT OF DAMAGE WHEELS")</f>
        <v>FOR REPLACEMENT OF DAMAGE WHEELS</v>
      </c>
    </row>
    <row r="1370">
      <c r="A1370" s="234">
        <f>IFERROR(__xludf.DUMMYFUNCTION("""COMPUTED_VALUE"""),106203.0)</f>
        <v>106203</v>
      </c>
      <c r="B1370" s="235" t="str">
        <f>IFERROR(__xludf.DUMMYFUNCTION("""COMPUTED_VALUE"""),"SHARJAN GATCHALIAN")</f>
        <v>SHARJAN GATCHALIAN</v>
      </c>
      <c r="C1370" s="235" t="str">
        <f>IFERROR(__xludf.DUMMYFUNCTION("""COMPUTED_VALUE"""),"MIS/ICT")</f>
        <v>MIS/ICT</v>
      </c>
      <c r="D1370" s="196" t="str">
        <f>IFERROR(__xludf.DUMMYFUNCTION("""COMPUTED_VALUE"""),"2 GLC-5X-MMD SFP MODULE")</f>
        <v>2 GLC-5X-MMD SFP MODULE</v>
      </c>
      <c r="E1370" s="196" t="str">
        <f>IFERROR(__xludf.DUMMYFUNCTION("""COMPUTED_VALUE"""),"NETWORK SWITCH FOC SFP MODULE CORE TO MUNICH")</f>
        <v>NETWORK SWITCH FOC SFP MODULE CORE TO MUNICH</v>
      </c>
    </row>
    <row r="1371">
      <c r="A1371" s="234">
        <f>IFERROR(__xludf.DUMMYFUNCTION("""COMPUTED_VALUE"""),106204.0)</f>
        <v>106204</v>
      </c>
      <c r="B1371" s="235" t="str">
        <f>IFERROR(__xludf.DUMMYFUNCTION("""COMPUTED_VALUE"""),"MARVIN MARASIGAN")</f>
        <v>MARVIN MARASIGAN</v>
      </c>
      <c r="C1371" s="235" t="str">
        <f>IFERROR(__xludf.DUMMYFUNCTION("""COMPUTED_VALUE"""),"PR &amp; MARKETING")</f>
        <v>PR &amp; MARKETING</v>
      </c>
      <c r="D1371" s="196" t="str">
        <f>IFERROR(__xludf.DUMMYFUNCTION("""COMPUTED_VALUE"""),"1 ASCEND BERKELEY TARP 184 X 77 IN")</f>
        <v>1 ASCEND BERKELEY TARP 184 X 77 IN</v>
      </c>
      <c r="E1371" s="196" t="str">
        <f>IFERROR(__xludf.DUMMYFUNCTION("""COMPUTED_VALUE"""),"MARKETING")</f>
        <v>MARKETING</v>
      </c>
    </row>
    <row r="1372">
      <c r="A1372" s="234">
        <f>IFERROR(__xludf.DUMMYFUNCTION("""COMPUTED_VALUE"""),106205.0)</f>
        <v>106205</v>
      </c>
      <c r="B1372" s="235" t="str">
        <f>IFERROR(__xludf.DUMMYFUNCTION("""COMPUTED_VALUE"""),"MARVIN MARASIGAN")</f>
        <v>MARVIN MARASIGAN</v>
      </c>
      <c r="C1372" s="235" t="str">
        <f>IFERROR(__xludf.DUMMYFUNCTION("""COMPUTED_VALUE"""),"PR &amp; MARKETING")</f>
        <v>PR &amp; MARKETING</v>
      </c>
      <c r="D1372" s="196" t="str">
        <f>IFERROR(__xludf.DUMMYFUNCTION("""COMPUTED_VALUE"""),"1 REORDER CANON EO5 R50
1 BENRO TRIPOD TSLO8A52CSH SLIM ALUMINUM
1 ZHIYUN WEEBILL 3S GIMBAL
1 MICROPHONE FLAG WHITE
1 BLUETOOTH DYNAMIC MIC")</f>
        <v>1 REORDER CANON EO5 R50
1 BENRO TRIPOD TSLO8A52CSH SLIM ALUMINUM
1 ZHIYUN WEEBILL 3S GIMBAL
1 MICROPHONE FLAG WHITE
1 BLUETOOTH DYNAMIC MIC</v>
      </c>
      <c r="E1372" s="196" t="str">
        <f>IFERROR(__xludf.DUMMYFUNCTION("""COMPUTED_VALUE"""),"FOR CONTENT USE + DEVELOPMENT OF NEW CONTENT")</f>
        <v>FOR CONTENT USE + DEVELOPMENT OF NEW CONTENT</v>
      </c>
    </row>
    <row r="1373">
      <c r="A1373" s="234">
        <f>IFERROR(__xludf.DUMMYFUNCTION("""COMPUTED_VALUE"""),106206.0)</f>
        <v>106206</v>
      </c>
      <c r="B1373" s="235" t="str">
        <f>IFERROR(__xludf.DUMMYFUNCTION("""COMPUTED_VALUE"""),"MARC VINCENT VITTO")</f>
        <v>MARC VINCENT VITTO</v>
      </c>
      <c r="C1373" s="235" t="str">
        <f>IFERROR(__xludf.DUMMYFUNCTION("""COMPUTED_VALUE"""),"PR &amp; MARKETING")</f>
        <v>PR &amp; MARKETING</v>
      </c>
      <c r="D1373" s="196" t="str">
        <f>IFERROR(__xludf.DUMMYFUNCTION("""COMPUTED_VALUE"""),"1 35TH LOGO W=430 CM H=368 CM THICKNESS 18 OZ W/ SEAMING AND EYELET ALLOVER")</f>
        <v>1 35TH LOGO W=430 CM H=368 CM THICKNESS 18 OZ W/ SEAMING AND EYELET ALLOVER</v>
      </c>
      <c r="E1373" s="196" t="str">
        <f>IFERROR(__xludf.DUMMYFUNCTION("""COMPUTED_VALUE"""),"PROMOTIONAL")</f>
        <v>PROMOTIONAL</v>
      </c>
    </row>
    <row r="1374">
      <c r="A1374" s="234">
        <f>IFERROR(__xludf.DUMMYFUNCTION("""COMPUTED_VALUE"""),106207.0)</f>
        <v>106207</v>
      </c>
      <c r="B1374" s="235" t="str">
        <f>IFERROR(__xludf.DUMMYFUNCTION("""COMPUTED_VALUE"""),"RAQUELYN NUÑEZ ")</f>
        <v>RAQUELYN NUÑEZ </v>
      </c>
      <c r="C1374" s="235" t="str">
        <f>IFERROR(__xludf.DUMMYFUNCTION("""COMPUTED_VALUE"""),"TREX")</f>
        <v>TREX</v>
      </c>
      <c r="D1374" s="196" t="str">
        <f>IFERROR(__xludf.DUMMYFUNCTION("""COMPUTED_VALUE"""),"1 DOWEL ATF3 816GB B1T1
1 DOWEL WFIAS
1 HANABISHI WINDMILL 360")</f>
        <v>1 DOWEL ATF3 816GB B1T1
1 DOWEL WFIAS
1 HANABISHI WINDMILL 360</v>
      </c>
      <c r="E1374" s="196" t="str">
        <f>IFERROR(__xludf.DUMMYFUNCTION("""COMPUTED_VALUE"""),"MOLAVE &amp;SAMPAGUITA SCHOLARS ROOM")</f>
        <v>MOLAVE &amp;SAMPAGUITA SCHOLARS ROOM</v>
      </c>
    </row>
    <row r="1375">
      <c r="A1375" s="234">
        <f>IFERROR(__xludf.DUMMYFUNCTION("""COMPUTED_VALUE"""),106208.0)</f>
        <v>106208</v>
      </c>
      <c r="B1375" s="235" t="str">
        <f>IFERROR(__xludf.DUMMYFUNCTION("""COMPUTED_VALUE"""),"CHRISTON CORBEZA")</f>
        <v>CHRISTON CORBEZA</v>
      </c>
      <c r="C1375" s="235" t="str">
        <f>IFERROR(__xludf.DUMMYFUNCTION("""COMPUTED_VALUE"""),"ADMIN - MUNICH")</f>
        <v>ADMIN - MUNICH</v>
      </c>
      <c r="D1375" s="196" t="str">
        <f>IFERROR(__xludf.DUMMYFUNCTION("""COMPUTED_VALUE"""),"20 PCS STAINLESS GUTTER STRAINER DOWNSPOUT 3""")</f>
        <v>20 PCS STAINLESS GUTTER STRAINER DOWNSPOUT 3"</v>
      </c>
      <c r="E1375" s="196" t="str">
        <f>IFERROR(__xludf.DUMMYFUNCTION("""COMPUTED_VALUE"""),"TO PREVENT THE LEAVES FROM ENTERING THE DRAIN LINE")</f>
        <v>TO PREVENT THE LEAVES FROM ENTERING THE DRAIN LINE</v>
      </c>
    </row>
    <row r="1376">
      <c r="A1376" s="234">
        <f>IFERROR(__xludf.DUMMYFUNCTION("""COMPUTED_VALUE"""),106209.0)</f>
        <v>106209</v>
      </c>
      <c r="B1376" s="235" t="str">
        <f>IFERROR(__xludf.DUMMYFUNCTION("""COMPUTED_VALUE"""),"SHEREE ESPINOSA")</f>
        <v>SHEREE ESPINOSA</v>
      </c>
      <c r="C1376" s="235" t="str">
        <f>IFERROR(__xludf.DUMMYFUNCTION("""COMPUTED_VALUE"""),"ADMIN")</f>
        <v>ADMIN</v>
      </c>
      <c r="D1376" s="196" t="str">
        <f>IFERROR(__xludf.DUMMYFUNCTION("""COMPUTED_VALUE"""),"1 ROLL GRASS TURF 2.5M X 2M 30 MM")</f>
        <v>1 ROLL GRASS TURF 2.5M X 2M 30 MM</v>
      </c>
      <c r="E1376" s="196" t="str">
        <f>IFERROR(__xludf.DUMMYFUNCTION("""COMPUTED_VALUE"""),"INCLUDED IN THE FLOOR BEAUTIFICATION PLAN FOR THE LOWER GF COLLEGE AREA AND TROP VISITOR LOUNGE ON THE GF")</f>
        <v>INCLUDED IN THE FLOOR BEAUTIFICATION PLAN FOR THE LOWER GF COLLEGE AREA AND TROP VISITOR LOUNGE ON THE GF</v>
      </c>
    </row>
    <row r="1377">
      <c r="A1377" s="234">
        <f>IFERROR(__xludf.DUMMYFUNCTION("""COMPUTED_VALUE"""),106210.0)</f>
        <v>106210</v>
      </c>
      <c r="B1377" s="235" t="str">
        <f>IFERROR(__xludf.DUMMYFUNCTION("""COMPUTED_VALUE"""),"PAUL ARAÑA ")</f>
        <v>PAUL ARAÑA </v>
      </c>
      <c r="C1377" s="235" t="str">
        <f>IFERROR(__xludf.DUMMYFUNCTION("""COMPUTED_VALUE"""),"MIS/ICT")</f>
        <v>MIS/ICT</v>
      </c>
      <c r="D1377" s="196" t="str">
        <f>IFERROR(__xludf.DUMMYFUNCTION("""COMPUTED_VALUE"""),"1 CLONE PC INTEL CORE I5 21400 
2 19"" MONITOR
1 EPSON EBX - 51 XGA LCD PROJECTOR
1 TCL TV 55""
1 PROJECTOR SCREEN 
1 PROJECTOR BRACKET CEILING 
1 WEBCAM MOUNT
")</f>
        <v>1 CLONE PC INTEL CORE I5 21400 
2 19" MONITOR
1 EPSON EBX - 51 XGA LCD PROJECTOR
1 TCL TV 55"
1 PROJECTOR SCREEN 
1 PROJECTOR BRACKET CEILING 
1 WEBCAM MOUNT
</v>
      </c>
      <c r="E1377" s="196" t="str">
        <f>IFERROR(__xludf.DUMMYFUNCTION("""COMPUTED_VALUE"""),"NEW HYVOLT SET UP FOR NEW CLASSROOM IN LUX 3RD FLOOR")</f>
        <v>NEW HYVOLT SET UP FOR NEW CLASSROOM IN LUX 3RD FLOOR</v>
      </c>
    </row>
    <row r="1378">
      <c r="A1378" s="234">
        <f>IFERROR(__xludf.DUMMYFUNCTION("""COMPUTED_VALUE"""),106211.0)</f>
        <v>106211</v>
      </c>
      <c r="B1378" s="235" t="str">
        <f>IFERROR(__xludf.DUMMYFUNCTION("""COMPUTED_VALUE"""),"MARK JOSEPH ASOY")</f>
        <v>MARK JOSEPH ASOY</v>
      </c>
      <c r="C1378" s="235" t="str">
        <f>IFERROR(__xludf.DUMMYFUNCTION("""COMPUTED_VALUE"""),"SPECIAL SUBJECTS")</f>
        <v>SPECIAL SUBJECTS</v>
      </c>
      <c r="D1378" s="196" t="str">
        <f>IFERROR(__xludf.DUMMYFUNCTION("""COMPUTED_VALUE"""),"15 VOLLEYBALL
4 BASKETBALL SIZE 6
30 BASKETBALL SIZE 7
11 FOOTBALL
10 WHISTLE FOR TEACHERS
15 WHISTLE FOR STUDENT OFFICIALS
30 JUMPROPE")</f>
        <v>15 VOLLEYBALL
4 BASKETBALL SIZE 6
30 BASKETBALL SIZE 7
11 FOOTBALL
10 WHISTLE FOR TEACHERS
15 WHISTLE FOR STUDENT OFFICIALS
30 JUMPROPE</v>
      </c>
      <c r="E1378" s="196" t="str">
        <f>IFERROR(__xludf.DUMMYFUNCTION("""COMPUTED_VALUE"""),"SPORTS EQUIPMENTS FOR PE CLASSES AY 25-26")</f>
        <v>SPORTS EQUIPMENTS FOR PE CLASSES AY 25-26</v>
      </c>
    </row>
    <row r="1379">
      <c r="A1379" s="234">
        <f>IFERROR(__xludf.DUMMYFUNCTION("""COMPUTED_VALUE"""),106212.0)</f>
        <v>106212</v>
      </c>
      <c r="B1379" s="235" t="str">
        <f>IFERROR(__xludf.DUMMYFUNCTION("""COMPUTED_VALUE"""),"ALFA DE LEON")</f>
        <v>ALFA DE LEON</v>
      </c>
      <c r="C1379" s="235" t="str">
        <f>IFERROR(__xludf.DUMMYFUNCTION("""COMPUTED_VALUE"""),"ADMIN - MUNICH")</f>
        <v>ADMIN - MUNICH</v>
      </c>
      <c r="D1379" s="196" t="str">
        <f>IFERROR(__xludf.DUMMYFUNCTION("""COMPUTED_VALUE"""),"3 SOUITHVILLE FLAG 3 X 5")</f>
        <v>3 SOUITHVILLE FLAG 3 X 5</v>
      </c>
      <c r="E1379" s="196" t="str">
        <f>IFERROR(__xludf.DUMMYFUNCTION("""COMPUTED_VALUE"""),"REPLACEMENT OF OLD / LOST FLAG")</f>
        <v>REPLACEMENT OF OLD / LOST FLAG</v>
      </c>
    </row>
    <row r="1380">
      <c r="A1380" s="234">
        <f>IFERROR(__xludf.DUMMYFUNCTION("""COMPUTED_VALUE"""),106213.0)</f>
        <v>106213</v>
      </c>
      <c r="B1380" s="235" t="str">
        <f>IFERROR(__xludf.DUMMYFUNCTION("""COMPUTED_VALUE"""),"ANGELINE DUMLAO")</f>
        <v>ANGELINE DUMLAO</v>
      </c>
      <c r="C1380" s="235" t="str">
        <f>IFERROR(__xludf.DUMMYFUNCTION("""COMPUTED_VALUE"""),"INNOVE/FLEX")</f>
        <v>INNOVE/FLEX</v>
      </c>
      <c r="D1380" s="196" t="str">
        <f>IFERROR(__xludf.DUMMYFUNCTION("""COMPUTED_VALUE"""),"1 COLORED PRINTER CANON 63010 PIXMA")</f>
        <v>1 COLORED PRINTER CANON 63010 PIXMA</v>
      </c>
      <c r="E1380" s="196" t="str">
        <f>IFERROR(__xludf.DUMMYFUNCTION("""COMPUTED_VALUE"""),"FOR USE IN INNOVE/FLEX")</f>
        <v>FOR USE IN INNOVE/FLEX</v>
      </c>
    </row>
    <row r="1381">
      <c r="A1381" s="234">
        <f>IFERROR(__xludf.DUMMYFUNCTION("""COMPUTED_VALUE"""),106214.0)</f>
        <v>106214</v>
      </c>
      <c r="B1381" s="235" t="str">
        <f>IFERROR(__xludf.DUMMYFUNCTION("""COMPUTED_VALUE"""),"LYKA PERALTA")</f>
        <v>LYKA PERALTA</v>
      </c>
      <c r="C1381" s="235" t="str">
        <f>IFERROR(__xludf.DUMMYFUNCTION("""COMPUTED_VALUE"""),"AMD")</f>
        <v>AMD</v>
      </c>
      <c r="D1381" s="196" t="str">
        <f>IFERROR(__xludf.DUMMYFUNCTION("""COMPUTED_VALUE"""),"10 PCS CORKBOARD WITH FRAMES")</f>
        <v>10 PCS CORKBOARD WITH FRAMES</v>
      </c>
      <c r="E1381" s="196" t="str">
        <f>IFERROR(__xludf.DUMMYFUNCTION("""COMPUTED_VALUE"""),"FOR CONCESSIONAIRES POSTING OF THEIR PERMITS")</f>
        <v>FOR CONCESSIONAIRES POSTING OF THEIR PERMITS</v>
      </c>
    </row>
    <row r="1382">
      <c r="A1382" s="234">
        <f>IFERROR(__xludf.DUMMYFUNCTION("""COMPUTED_VALUE"""),106215.0)</f>
        <v>106215</v>
      </c>
      <c r="B1382" s="235" t="str">
        <f>IFERROR(__xludf.DUMMYFUNCTION("""COMPUTED_VALUE"""),"SHEREE ESPINOSA")</f>
        <v>SHEREE ESPINOSA</v>
      </c>
      <c r="C1382" s="235" t="str">
        <f>IFERROR(__xludf.DUMMYFUNCTION("""COMPUTED_VALUE"""),"ADMIN")</f>
        <v>ADMIN</v>
      </c>
      <c r="D1382" s="196" t="str">
        <f>IFERROR(__xludf.DUMMYFUNCTION("""COMPUTED_VALUE"""),"2 ANTI SLIP MAT COLOR GRAY SIZE 3FT X 16.4FT 0.22"" THICK")</f>
        <v>2 ANTI SLIP MAT COLOR GRAY SIZE 3FT X 16.4FT 0.22" THICK</v>
      </c>
      <c r="E1382" s="196" t="str">
        <f>IFERROR(__xludf.DUMMYFUNCTION("""COMPUTED_VALUE"""),"TO ENSURE SAFETY DURING RAINY DAYS ")</f>
        <v>TO ENSURE SAFETY DURING RAINY DAYS </v>
      </c>
    </row>
    <row r="1383">
      <c r="A1383" s="234">
        <f>IFERROR(__xludf.DUMMYFUNCTION("""COMPUTED_VALUE"""),106216.0)</f>
        <v>106216</v>
      </c>
      <c r="B1383" s="235" t="str">
        <f>IFERROR(__xludf.DUMMYFUNCTION("""COMPUTED_VALUE"""),"SHEREE ESPINOSA")</f>
        <v>SHEREE ESPINOSA</v>
      </c>
      <c r="C1383" s="235" t="str">
        <f>IFERROR(__xludf.DUMMYFUNCTION("""COMPUTED_VALUE"""),"ADMIN")</f>
        <v>ADMIN</v>
      </c>
      <c r="D1383" s="196" t="str">
        <f>IFERROR(__xludf.DUMMYFUNCTION("""COMPUTED_VALUE"""),"5 PCS MEGABOX 155L")</f>
        <v>5 PCS MEGABOX 155L</v>
      </c>
      <c r="E1383" s="196" t="str">
        <f>IFERROR(__xludf.DUMMYFUNCTION("""COMPUTED_VALUE"""),"STORAGE FOR FLOWERS ARTIFICIAL")</f>
        <v>STORAGE FOR FLOWERS ARTIFICIAL</v>
      </c>
    </row>
    <row r="1384">
      <c r="A1384" s="234">
        <f>IFERROR(__xludf.DUMMYFUNCTION("""COMPUTED_VALUE"""),106217.0)</f>
        <v>106217</v>
      </c>
      <c r="B1384" s="235" t="str">
        <f>IFERROR(__xludf.DUMMYFUNCTION("""COMPUTED_VALUE"""),"SHEREE ESPINOSA")</f>
        <v>SHEREE ESPINOSA</v>
      </c>
      <c r="C1384" s="235" t="str">
        <f>IFERROR(__xludf.DUMMYFUNCTION("""COMPUTED_VALUE"""),"ADMIN")</f>
        <v>ADMIN</v>
      </c>
      <c r="D1384" s="196" t="str">
        <f>IFERROR(__xludf.DUMMYFUNCTION("""COMPUTED_VALUE"""),"PARASOL 
10 CLOTH
3 BASE")</f>
        <v>PARASOL 
10 CLOTH
3 BASE</v>
      </c>
      <c r="E1384" s="196" t="str">
        <f>IFERROR(__xludf.DUMMYFUNCTION("""COMPUTED_VALUE"""),"REPLACEMENT OF OLD BROKEN PARASOL UMBRELLA IN MONARCHS PARK")</f>
        <v>REPLACEMENT OF OLD BROKEN PARASOL UMBRELLA IN MONARCHS PARK</v>
      </c>
    </row>
    <row r="1385">
      <c r="A1385" s="234">
        <f>IFERROR(__xludf.DUMMYFUNCTION("""COMPUTED_VALUE"""),106218.0)</f>
        <v>106218</v>
      </c>
      <c r="B1385" s="235" t="str">
        <f>IFERROR(__xludf.DUMMYFUNCTION("""COMPUTED_VALUE"""),"MARVIN MARASIGAN")</f>
        <v>MARVIN MARASIGAN</v>
      </c>
      <c r="C1385" s="235" t="str">
        <f>IFERROR(__xludf.DUMMYFUNCTION("""COMPUTED_VALUE"""),"PR &amp; MARKETING")</f>
        <v>PR &amp; MARKETING</v>
      </c>
      <c r="D1385" s="196" t="str">
        <f>IFERROR(__xludf.DUMMYFUNCTION("""COMPUTED_VALUE"""),"MAC MINI M4 (APPLE M4 CHIP WITH 10-CORE CPU &amp; 10 CORE GPU) 16GB/512GB")</f>
        <v>MAC MINI M4 (APPLE M4 CHIP WITH 10-CORE CPU &amp; 10 CORE GPU) 16GB/512GB</v>
      </c>
      <c r="E1385" s="196" t="str">
        <f>IFERROR(__xludf.DUMMYFUNCTION("""COMPUTED_VALUE"""),"FOR MORE EFFECIENT &amp; EFFECTIVE EDITING OF CONTENT (AS ADVISED BY SIR.JULIUS)")</f>
        <v>FOR MORE EFFECIENT &amp; EFFECTIVE EDITING OF CONTENT (AS ADVISED BY SIR.JULIUS)</v>
      </c>
    </row>
    <row r="1386">
      <c r="A1386" s="234">
        <f>IFERROR(__xludf.DUMMYFUNCTION("""COMPUTED_VALUE"""),106219.0)</f>
        <v>106219</v>
      </c>
      <c r="B1386" s="235" t="str">
        <f>IFERROR(__xludf.DUMMYFUNCTION("""COMPUTED_VALUE"""),"CHARLES LEBECO DONOR")</f>
        <v>CHARLES LEBECO DONOR</v>
      </c>
      <c r="C1386" s="235" t="str">
        <f>IFERROR(__xludf.DUMMYFUNCTION("""COMPUTED_VALUE"""),"AMD")</f>
        <v>AMD</v>
      </c>
      <c r="D1386" s="196" t="str">
        <f>IFERROR(__xludf.DUMMYFUNCTION("""COMPUTED_VALUE"""),"200 PCS CARTOLINA NEON BLUE")</f>
        <v>200 PCS CARTOLINA NEON BLUE</v>
      </c>
      <c r="E1386" s="196" t="str">
        <f>IFERROR(__xludf.DUMMYFUNCTION("""COMPUTED_VALUE"""),"OSSUP REPLENISHMENT")</f>
        <v>OSSUP REPLENISHMENT</v>
      </c>
    </row>
    <row r="1387">
      <c r="A1387" s="234">
        <f>IFERROR(__xludf.DUMMYFUNCTION("""COMPUTED_VALUE"""),106220.0)</f>
        <v>106220</v>
      </c>
      <c r="B1387" s="235" t="str">
        <f>IFERROR(__xludf.DUMMYFUNCTION("""COMPUTED_VALUE"""),"CHARLES LEBECO DONOR")</f>
        <v>CHARLES LEBECO DONOR</v>
      </c>
      <c r="C1387" s="235" t="str">
        <f>IFERROR(__xludf.DUMMYFUNCTION("""COMPUTED_VALUE"""),"AMD")</f>
        <v>AMD</v>
      </c>
      <c r="D1387" s="196" t="str">
        <f>IFERROR(__xludf.DUMMYFUNCTION("""COMPUTED_VALUE"""),"132 PEN SIGN PILOT BX V5 BLUE
180  PEN SIGN PILOT BX V5 RED
180 PEN SIGN PILOT BX V5 PURPLE")</f>
        <v>132 PEN SIGN PILOT BX V5 BLUE
180  PEN SIGN PILOT BX V5 RED
180 PEN SIGN PILOT BX V5 PURPLE</v>
      </c>
      <c r="E1387" s="196" t="str">
        <f>IFERROR(__xludf.DUMMYFUNCTION("""COMPUTED_VALUE"""),"OSSUP REPLENISHMENT")</f>
        <v>OSSUP REPLENISHMENT</v>
      </c>
    </row>
    <row r="1388">
      <c r="A1388" s="234">
        <f>IFERROR(__xludf.DUMMYFUNCTION("""COMPUTED_VALUE"""),106221.0)</f>
        <v>106221</v>
      </c>
      <c r="B1388" s="235" t="str">
        <f>IFERROR(__xludf.DUMMYFUNCTION("""COMPUTED_VALUE"""),"CHARLES LEBECO DONOR")</f>
        <v>CHARLES LEBECO DONOR</v>
      </c>
      <c r="C1388" s="235" t="str">
        <f>IFERROR(__xludf.DUMMYFUNCTION("""COMPUTED_VALUE"""),"AMD")</f>
        <v>AMD</v>
      </c>
      <c r="D1388" s="196" t="str">
        <f>IFERROR(__xludf.DUMMYFUNCTION("""COMPUTED_VALUE"""),"120 INK WHITEBOARD MARKER PILOT BLACK
120 INK WHITEBOARD MARKER PILOT BLUE
120 INK WHITEBOARD MARKER PILOT RED")</f>
        <v>120 INK WHITEBOARD MARKER PILOT BLACK
120 INK WHITEBOARD MARKER PILOT BLUE
120 INK WHITEBOARD MARKER PILOT RED</v>
      </c>
      <c r="E1388" s="196" t="str">
        <f>IFERROR(__xludf.DUMMYFUNCTION("""COMPUTED_VALUE"""),"OSSUP REPLENISHMENT")</f>
        <v>OSSUP REPLENISHMENT</v>
      </c>
    </row>
    <row r="1389">
      <c r="A1389" s="234">
        <f>IFERROR(__xludf.DUMMYFUNCTION("""COMPUTED_VALUE"""),106222.0)</f>
        <v>106222</v>
      </c>
      <c r="B1389" s="235"/>
      <c r="C1389" s="235"/>
      <c r="D1389" s="196"/>
      <c r="E1389" s="196"/>
    </row>
    <row r="1390">
      <c r="A1390" s="234">
        <f>IFERROR(__xludf.DUMMYFUNCTION("""COMPUTED_VALUE"""),106223.0)</f>
        <v>106223</v>
      </c>
      <c r="B1390" s="235" t="str">
        <f>IFERROR(__xludf.DUMMYFUNCTION("""COMPUTED_VALUE"""),"CHARLES LEBECO DONOR")</f>
        <v>CHARLES LEBECO DONOR</v>
      </c>
      <c r="C1390" s="235" t="str">
        <f>IFERROR(__xludf.DUMMYFUNCTION("""COMPUTED_VALUE"""),"AMD")</f>
        <v>AMD</v>
      </c>
      <c r="D1390" s="196" t="str">
        <f>IFERROR(__xludf.DUMMYFUNCTION("""COMPUTED_VALUE"""),"2000 FOLDER FORTUNE WHITE LONG
1500 FOLDER FORTUNE WHITE SHORT")</f>
        <v>2000 FOLDER FORTUNE WHITE LONG
1500 FOLDER FORTUNE WHITE SHORT</v>
      </c>
      <c r="E1390" s="196" t="str">
        <f>IFERROR(__xludf.DUMMYFUNCTION("""COMPUTED_VALUE"""),"OSSUP REPLENISHMENT")</f>
        <v>OSSUP REPLENISHMENT</v>
      </c>
    </row>
    <row r="1391">
      <c r="A1391" s="234">
        <f>IFERROR(__xludf.DUMMYFUNCTION("""COMPUTED_VALUE"""),106224.0)</f>
        <v>106224</v>
      </c>
      <c r="B1391" s="235" t="str">
        <f>IFERROR(__xludf.DUMMYFUNCTION("""COMPUTED_VALUE"""),"CHARLES LEBECO DONOR")</f>
        <v>CHARLES LEBECO DONOR</v>
      </c>
      <c r="C1391" s="235" t="str">
        <f>IFERROR(__xludf.DUMMYFUNCTION("""COMPUTED_VALUE"""),"AMD")</f>
        <v>AMD</v>
      </c>
      <c r="D1391" s="196" t="str">
        <f>IFERROR(__xludf.DUMMYFUNCTION("""COMPUTED_VALUE"""),"100 SCISSORS STANFORD MAPED STAINLESS")</f>
        <v>100 SCISSORS STANFORD MAPED STAINLESS</v>
      </c>
      <c r="E1391" s="196" t="str">
        <f>IFERROR(__xludf.DUMMYFUNCTION("""COMPUTED_VALUE"""),"OSSUP REPLENISHMENT")</f>
        <v>OSSUP REPLENISHMENT</v>
      </c>
    </row>
    <row r="1392">
      <c r="A1392" s="234">
        <f>IFERROR(__xludf.DUMMYFUNCTION("""COMPUTED_VALUE"""),106225.0)</f>
        <v>106225</v>
      </c>
      <c r="B1392" s="235" t="str">
        <f>IFERROR(__xludf.DUMMYFUNCTION("""COMPUTED_VALUE"""),"CHARLES LEBECO DONOR")</f>
        <v>CHARLES LEBECO DONOR</v>
      </c>
      <c r="C1392" s="235" t="str">
        <f>IFERROR(__xludf.DUMMYFUNCTION("""COMPUTED_VALUE"""),"AMD")</f>
        <v>AMD</v>
      </c>
      <c r="D1392" s="196" t="str">
        <f>IFERROR(__xludf.DUMMYFUNCTION("""COMPUTED_VALUE"""),"130 CLIP PAPER 120 GMS/BOX PRINCE SMALL")</f>
        <v>130 CLIP PAPER 120 GMS/BOX PRINCE SMALL</v>
      </c>
      <c r="E1392" s="196" t="str">
        <f>IFERROR(__xludf.DUMMYFUNCTION("""COMPUTED_VALUE"""),"OSSUP REPLENISHMENT")</f>
        <v>OSSUP REPLENISHMENT</v>
      </c>
    </row>
    <row r="1393">
      <c r="A1393" s="234">
        <f>IFERROR(__xludf.DUMMYFUNCTION("""COMPUTED_VALUE"""),106226.0)</f>
        <v>106226</v>
      </c>
      <c r="B1393" s="235" t="str">
        <f>IFERROR(__xludf.DUMMYFUNCTION("""COMPUTED_VALUE"""),"CHARLES LEBECO DONOR")</f>
        <v>CHARLES LEBECO DONOR</v>
      </c>
      <c r="C1393" s="235" t="str">
        <f>IFERROR(__xludf.DUMMYFUNCTION("""COMPUTED_VALUE"""),"AMD")</f>
        <v>AMD</v>
      </c>
      <c r="D1393" s="196" t="str">
        <f>IFERROR(__xludf.DUMMYFUNCTION("""COMPUTED_VALUE"""),"100 STAPLE MAX HD 50 W/ STAPLE WIRE REMOVER")</f>
        <v>100 STAPLE MAX HD 50 W/ STAPLE WIRE REMOVER</v>
      </c>
      <c r="E1393" s="196" t="str">
        <f>IFERROR(__xludf.DUMMYFUNCTION("""COMPUTED_VALUE"""),"OSSUP REPLENISHMENT")</f>
        <v>OSSUP REPLENISHMENT</v>
      </c>
    </row>
    <row r="1394">
      <c r="A1394" s="234">
        <f>IFERROR(__xludf.DUMMYFUNCTION("""COMPUTED_VALUE"""),106227.0)</f>
        <v>106227</v>
      </c>
      <c r="B1394" s="235" t="str">
        <f>IFERROR(__xludf.DUMMYFUNCTION("""COMPUTED_VALUE"""),"CHARLES LEBECO DONOR")</f>
        <v>CHARLES LEBECO DONOR</v>
      </c>
      <c r="C1394" s="235" t="str">
        <f>IFERROR(__xludf.DUMMYFUNCTION("""COMPUTED_VALUE"""),"AMD")</f>
        <v>AMD</v>
      </c>
      <c r="D1394" s="196" t="str">
        <f>IFERROR(__xludf.DUMMYFUNCTION("""COMPUTED_VALUE"""),"16 CUUTER HANDY BIF L 300 GRP")</f>
        <v>16 CUUTER HANDY BIF L 300 GRP</v>
      </c>
      <c r="E1394" s="196" t="str">
        <f>IFERROR(__xludf.DUMMYFUNCTION("""COMPUTED_VALUE"""),"OSSUP REPLENISHMENT")</f>
        <v>OSSUP REPLENISHMENT</v>
      </c>
    </row>
    <row r="1395">
      <c r="A1395" s="234">
        <f>IFERROR(__xludf.DUMMYFUNCTION("""COMPUTED_VALUE"""),106228.0)</f>
        <v>106228</v>
      </c>
      <c r="B1395" s="235" t="str">
        <f>IFERROR(__xludf.DUMMYFUNCTION("""COMPUTED_VALUE"""),"CHARLES LEBECO DONOR")</f>
        <v>CHARLES LEBECO DONOR</v>
      </c>
      <c r="C1395" s="235" t="str">
        <f>IFERROR(__xludf.DUMMYFUNCTION("""COMPUTED_VALUE"""),"AMD")</f>
        <v>AMD</v>
      </c>
      <c r="D1395" s="196" t="str">
        <f>IFERROR(__xludf.DUMMYFUNCTION("""COMPUTED_VALUE"""),"10 HIGHLIGHTER STABILO BLUE
15 HIGHLIGHTER STABILO GREEN
20 HIGHLIGHTER STABILO ORANGE
15 HIGHLIGHTER STABILO PINK
25 HIGHLIGHTER STABILO YELLOW")</f>
        <v>10 HIGHLIGHTER STABILO BLUE
15 HIGHLIGHTER STABILO GREEN
20 HIGHLIGHTER STABILO ORANGE
15 HIGHLIGHTER STABILO PINK
25 HIGHLIGHTER STABILO YELLOW</v>
      </c>
      <c r="E1395" s="196" t="str">
        <f>IFERROR(__xludf.DUMMYFUNCTION("""COMPUTED_VALUE"""),"OSSUP REPLENISHMENT")</f>
        <v>OSSUP REPLENISHMENT</v>
      </c>
    </row>
    <row r="1396">
      <c r="A1396" s="234">
        <f>IFERROR(__xludf.DUMMYFUNCTION("""COMPUTED_VALUE"""),106229.0)</f>
        <v>106229</v>
      </c>
      <c r="B1396" s="235" t="str">
        <f>IFERROR(__xludf.DUMMYFUNCTION("""COMPUTED_VALUE"""),"CHARLES LEBECO DONOR")</f>
        <v>CHARLES LEBECO DONOR</v>
      </c>
      <c r="C1396" s="235" t="str">
        <f>IFERROR(__xludf.DUMMYFUNCTION("""COMPUTED_VALUE"""),"AMD")</f>
        <v>AMD</v>
      </c>
      <c r="D1396" s="196" t="str">
        <f>IFERROR(__xludf.DUMMYFUNCTION("""COMPUTED_VALUE"""),"7 SHARPENER PENCIL CARL ANGEL  5")</f>
        <v>7 SHARPENER PENCIL CARL ANGEL  5</v>
      </c>
      <c r="E1396" s="196" t="str">
        <f>IFERROR(__xludf.DUMMYFUNCTION("""COMPUTED_VALUE"""),"OSSUP REPLENISHMENT")</f>
        <v>OSSUP REPLENISHMENT</v>
      </c>
    </row>
    <row r="1397">
      <c r="A1397" s="234">
        <f>IFERROR(__xludf.DUMMYFUNCTION("""COMPUTED_VALUE"""),106230.0)</f>
        <v>106230</v>
      </c>
      <c r="B1397" s="235" t="str">
        <f>IFERROR(__xludf.DUMMYFUNCTION("""COMPUTED_VALUE"""),"MARK PABUSTAN")</f>
        <v>MARK PABUSTAN</v>
      </c>
      <c r="C1397" s="235" t="str">
        <f>IFERROR(__xludf.DUMMYFUNCTION("""COMPUTED_VALUE"""),"MIS/ROBOTICS")</f>
        <v>MIS/ROBOTICS</v>
      </c>
      <c r="D1397" s="196" t="str">
        <f>IFERROR(__xludf.DUMMYFUNCTION("""COMPUTED_VALUE"""),"15 STANLEY GLUE GUN
50 GLUE GUN STICK SMALL
200 POPSICLE STICKS
20 SETS POSTER PAINTS 12 COLOR
20 BRUSH FLAT 2 NYLON WHITE BARREL
10 3.5X-12X MAGNIFYING SOLDERING IRON STAND LENS WITH AID HAND CLIP LED
10 SOLDERING PASTE FLUX TYPE 150G
5 5M ELECTRICAL WIR"&amp;"E SOLID WIRE AWG#24 RED
5 5M ELECTRICAL WIRE SOLID WIRE AWG#24 BLACK
5 5M ELECTRICAL WIRE SOLID WIRE AWG#24 GREEN
10 EXTENSION WIRE POWER OUTLET CORD 2 METERS 3G
10 60/40 SOLDER WIRE 0.8MM-50G
10 INGCO 40W ELECTRIC SOLDERING IRON SIO248
10 STAINLESS STEEL"&amp;" ANTI-STATIC TWEEZER CURVED
20 SETS 10 PCS CORRUGATED SHEET CARTOON BOARD 12X12 INCHES
40 STYRO BOARD CUTSIZE 12 INCHES X 24INCHES 1/2 INCH THICK")</f>
        <v>15 STANLEY GLUE GUN
50 GLUE GUN STICK SMALL
200 POPSICLE STICKS
20 SETS POSTER PAINTS 12 COLOR
20 BRUSH FLAT 2 NYLON WHITE BARREL
10 3.5X-12X MAGNIFYING SOLDERING IRON STAND LENS WITH AID HAND CLIP LED
10 SOLDERING PASTE FLUX TYPE 150G
5 5M ELECTRICAL WIRE SOLID WIRE AWG#24 RED
5 5M ELECTRICAL WIRE SOLID WIRE AWG#24 BLACK
5 5M ELECTRICAL WIRE SOLID WIRE AWG#24 GREEN
10 EXTENSION WIRE POWER OUTLET CORD 2 METERS 3G
10 60/40 SOLDER WIRE 0.8MM-50G
10 INGCO 40W ELECTRIC SOLDERING IRON SIO248
10 STAINLESS STEEL ANTI-STATIC TWEEZER CURVED
20 SETS 10 PCS CORRUGATED SHEET CARTOON BOARD 12X12 INCHES
40 STYRO BOARD CUTSIZE 12 INCHES X 24INCHES 1/2 INCH THICK</v>
      </c>
      <c r="E1397" s="196" t="str">
        <f>IFERROR(__xludf.DUMMYFUNCTION("""COMPUTED_VALUE"""),"FOR GR 9-12 PERFORMANCE TASK")</f>
        <v>FOR GR 9-12 PERFORMANCE TASK</v>
      </c>
    </row>
    <row r="1398">
      <c r="A1398" s="234">
        <f>IFERROR(__xludf.DUMMYFUNCTION("""COMPUTED_VALUE"""),106231.0)</f>
        <v>106231</v>
      </c>
      <c r="B1398" s="235" t="str">
        <f>IFERROR(__xludf.DUMMYFUNCTION("""COMPUTED_VALUE"""),"RONALDO VERDE")</f>
        <v>RONALDO VERDE</v>
      </c>
      <c r="C1398" s="235" t="str">
        <f>IFERROR(__xludf.DUMMYFUNCTION("""COMPUTED_VALUE"""),"ADMIN")</f>
        <v>ADMIN</v>
      </c>
      <c r="D1398" s="196" t="str">
        <f>IFERROR(__xludf.DUMMYFUNCTION("""COMPUTED_VALUE"""),"3 ROLLS ROPE LIGHT 6 COLORS
10 PCS ROPE LIGHT CONTROLLER")</f>
        <v>3 ROLLS ROPE LIGHT 6 COLORS
10 PCS ROPE LIGHT CONTROLLER</v>
      </c>
      <c r="E1398" s="196" t="str">
        <f>IFERROR(__xludf.DUMMYFUNCTION("""COMPUTED_VALUE"""),"LIGHTINGS FOR MMA HALLWAY AND LOBBY")</f>
        <v>LIGHTINGS FOR MMA HALLWAY AND LOBBY</v>
      </c>
    </row>
    <row r="1399">
      <c r="A1399" s="234">
        <f>IFERROR(__xludf.DUMMYFUNCTION("""COMPUTED_VALUE"""),106232.0)</f>
        <v>106232</v>
      </c>
      <c r="B1399" s="235" t="str">
        <f>IFERROR(__xludf.DUMMYFUNCTION("""COMPUTED_VALUE"""),"JESUIT CHRISTIAN GALICIA")</f>
        <v>JESUIT CHRISTIAN GALICIA</v>
      </c>
      <c r="C1399" s="235" t="str">
        <f>IFERROR(__xludf.DUMMYFUNCTION("""COMPUTED_VALUE"""),"AMD")</f>
        <v>AMD</v>
      </c>
      <c r="D1399" s="196" t="str">
        <f>IFERROR(__xludf.DUMMYFUNCTION("""COMPUTED_VALUE"""),"10 PCS HDMI CABLE 5M UGREEN
5 PCS FLASHDRIVE USB 64GB SANDISK ULTRA 3.0
20 PCS VGA SPILITTER WAY IN 2 WAY OUT")</f>
        <v>10 PCS HDMI CABLE 5M UGREEN
5 PCS FLASHDRIVE USB 64GB SANDISK ULTRA 3.0
20 PCS VGA SPILITTER WAY IN 2 WAY OUT</v>
      </c>
      <c r="E1399" s="196" t="str">
        <f>IFERROR(__xludf.DUMMYFUNCTION("""COMPUTED_VALUE"""),"MIS WAREHOUSE REPLENISHMENT")</f>
        <v>MIS WAREHOUSE REPLENISHMENT</v>
      </c>
    </row>
    <row r="1400">
      <c r="A1400" s="234">
        <f>IFERROR(__xludf.DUMMYFUNCTION("""COMPUTED_VALUE"""),106233.0)</f>
        <v>106233</v>
      </c>
      <c r="B1400" s="235" t="str">
        <f>IFERROR(__xludf.DUMMYFUNCTION("""COMPUTED_VALUE"""),"JESUIT CHRISTIAN GALICIA")</f>
        <v>JESUIT CHRISTIAN GALICIA</v>
      </c>
      <c r="C1400" s="235" t="str">
        <f>IFERROR(__xludf.DUMMYFUNCTION("""COMPUTED_VALUE"""),"AMD")</f>
        <v>AMD</v>
      </c>
      <c r="D1400" s="196" t="str">
        <f>IFERROR(__xludf.DUMMYFUNCTION("""COMPUTED_VALUE"""),"1 PCS MEGABOX 155L")</f>
        <v>1 PCS MEGABOX 155L</v>
      </c>
      <c r="E1400" s="196" t="str">
        <f>IFERROR(__xludf.DUMMYFUNCTION("""COMPUTED_VALUE"""),"STORAGE OF FLAGS")</f>
        <v>STORAGE OF FLAGS</v>
      </c>
    </row>
    <row r="1401">
      <c r="A1401" s="234">
        <f>IFERROR(__xludf.DUMMYFUNCTION("""COMPUTED_VALUE"""),106234.0)</f>
        <v>106234</v>
      </c>
      <c r="B1401" s="235" t="str">
        <f>IFERROR(__xludf.DUMMYFUNCTION("""COMPUTED_VALUE"""),"JANCEL PRADILLADA")</f>
        <v>JANCEL PRADILLADA</v>
      </c>
      <c r="C1401" s="235" t="str">
        <f>IFERROR(__xludf.DUMMYFUNCTION("""COMPUTED_VALUE"""),"MIS/ICT")</f>
        <v>MIS/ICT</v>
      </c>
      <c r="D1401" s="196" t="str">
        <f>IFERROR(__xludf.DUMMYFUNCTION("""COMPUTED_VALUE"""),"5 PCS PTZ CAMERA 
BRAND TENVEO NAME AUTO TRACKING CAMERA MODEL NO. TEVO UHD620A 4K")</f>
        <v>5 PCS PTZ CAMERA 
BRAND TENVEO NAME AUTO TRACKING CAMERA MODEL NO. TEVO UHD620A 4K</v>
      </c>
      <c r="E1401" s="196" t="str">
        <f>IFERROR(__xludf.DUMMYFUNCTION("""COMPUTED_VALUE"""),"3 PCS FOR LUX 2 PCS FOR MOBILE UNIT")</f>
        <v>3 PCS FOR LUX 2 PCS FOR MOBILE UNIT</v>
      </c>
    </row>
    <row r="1402">
      <c r="A1402" s="234">
        <f>IFERROR(__xludf.DUMMYFUNCTION("""COMPUTED_VALUE"""),106235.0)</f>
        <v>106235</v>
      </c>
      <c r="B1402" s="235" t="str">
        <f>IFERROR(__xludf.DUMMYFUNCTION("""COMPUTED_VALUE"""),"JANCEL PRADILLADA")</f>
        <v>JANCEL PRADILLADA</v>
      </c>
      <c r="C1402" s="235" t="str">
        <f>IFERROR(__xludf.DUMMYFUNCTION("""COMPUTED_VALUE"""),"MIS/ICT")</f>
        <v>MIS/ICT</v>
      </c>
      <c r="D1402" s="196" t="str">
        <f>IFERROR(__xludf.DUMMYFUNCTION("""COMPUTED_VALUE"""),"3 PCS VIDEO CAPTURE CHDMI TO USB")</f>
        <v>3 PCS VIDEO CAPTURE CHDMI TO USB</v>
      </c>
      <c r="E1402" s="196" t="str">
        <f>IFERROR(__xludf.DUMMYFUNCTION("""COMPUTED_VALUE"""),"FOR EVENTS LIVE STREAMING")</f>
        <v>FOR EVENTS LIVE STREAMING</v>
      </c>
    </row>
    <row r="1403">
      <c r="A1403" s="234">
        <f>IFERROR(__xludf.DUMMYFUNCTION("""COMPUTED_VALUE"""),106236.0)</f>
        <v>106236</v>
      </c>
      <c r="B1403" s="235" t="str">
        <f>IFERROR(__xludf.DUMMYFUNCTION("""COMPUTED_VALUE"""),"JANCEL PRADILLADA")</f>
        <v>JANCEL PRADILLADA</v>
      </c>
      <c r="C1403" s="235" t="str">
        <f>IFERROR(__xludf.DUMMYFUNCTION("""COMPUTED_VALUE"""),"MIS/ICT")</f>
        <v>MIS/ICT</v>
      </c>
      <c r="D1403" s="196" t="str">
        <f>IFERROR(__xludf.DUMMYFUNCTION("""COMPUTED_VALUE"""),"1 PC PTZ CAMERA CLAYSTICK BRAND TENVEO MODEL KB200PRO")</f>
        <v>1 PC PTZ CAMERA CLAYSTICK BRAND TENVEO MODEL KB200PRO</v>
      </c>
      <c r="E1403" s="196" t="str">
        <f>IFERROR(__xludf.DUMMYFUNCTION("""COMPUTED_VALUE"""),"FOR EVENTS LIVE STREAMING")</f>
        <v>FOR EVENTS LIVE STREAMING</v>
      </c>
    </row>
    <row r="1404">
      <c r="A1404" s="234">
        <f>IFERROR(__xludf.DUMMYFUNCTION("""COMPUTED_VALUE"""),106237.0)</f>
        <v>106237</v>
      </c>
      <c r="B1404" s="235" t="str">
        <f>IFERROR(__xludf.DUMMYFUNCTION("""COMPUTED_VALUE"""),"JANCEL PRADILLADA")</f>
        <v>JANCEL PRADILLADA</v>
      </c>
      <c r="C1404" s="235" t="str">
        <f>IFERROR(__xludf.DUMMYFUNCTION("""COMPUTED_VALUE"""),"MIS/ICT")</f>
        <v>MIS/ICT</v>
      </c>
      <c r="D1404" s="196" t="str">
        <f>IFERROR(__xludf.DUMMYFUNCTION("""COMPUTED_VALUE"""),"4 PCS HDMI EXTENDER LAN TO HDMI ")</f>
        <v>4 PCS HDMI EXTENDER LAN TO HDMI </v>
      </c>
      <c r="E1404" s="196" t="str">
        <f>IFERROR(__xludf.DUMMYFUNCTION("""COMPUTED_VALUE"""),"FOR EVENTS 1 PC PER CAMPUS")</f>
        <v>FOR EVENTS 1 PC PER CAMPUS</v>
      </c>
    </row>
    <row r="1405">
      <c r="A1405" s="234">
        <f>IFERROR(__xludf.DUMMYFUNCTION("""COMPUTED_VALUE"""),106238.0)</f>
        <v>106238</v>
      </c>
      <c r="B1405" s="235" t="str">
        <f>IFERROR(__xludf.DUMMYFUNCTION("""COMPUTED_VALUE"""),"JANCEL PRADILLADA")</f>
        <v>JANCEL PRADILLADA</v>
      </c>
      <c r="C1405" s="235" t="str">
        <f>IFERROR(__xludf.DUMMYFUNCTION("""COMPUTED_VALUE"""),"MIS/ICT")</f>
        <v>MIS/ICT</v>
      </c>
      <c r="D1405" s="196" t="str">
        <f>IFERROR(__xludf.DUMMYFUNCTION("""COMPUTED_VALUE"""),"1 SET SARAMONIC WITALK")</f>
        <v>1 SET SARAMONIC WITALK</v>
      </c>
      <c r="E1405" s="196" t="str">
        <f>IFERROR(__xludf.DUMMYFUNCTION("""COMPUTED_VALUE"""),"FOR EVENTS TECHNICAL STAFF")</f>
        <v>FOR EVENTS TECHNICAL STAFF</v>
      </c>
    </row>
    <row r="1406">
      <c r="A1406" s="234">
        <f>IFERROR(__xludf.DUMMYFUNCTION("""COMPUTED_VALUE"""),106239.0)</f>
        <v>106239</v>
      </c>
      <c r="B1406" s="235" t="str">
        <f>IFERROR(__xludf.DUMMYFUNCTION("""COMPUTED_VALUE"""),"JANCEL PRADILLADA")</f>
        <v>JANCEL PRADILLADA</v>
      </c>
      <c r="C1406" s="235" t="str">
        <f>IFERROR(__xludf.DUMMYFUNCTION("""COMPUTED_VALUE"""),"MIS/ICT")</f>
        <v>MIS/ICT</v>
      </c>
      <c r="D1406" s="196" t="str">
        <f>IFERROR(__xludf.DUMMYFUNCTION("""COMPUTED_VALUE"""),"1 PC HANDRILL
1 SET METAL DRILL BIT
1 SET DRILL BIT FOR CONCRETE
2 PCS BARING DRILL BIT")</f>
        <v>1 PC HANDRILL
1 SET METAL DRILL BIT
1 SET DRILL BIT FOR CONCRETE
2 PCS BARING DRILL BIT</v>
      </c>
      <c r="E1406" s="196" t="str">
        <f>IFERROR(__xludf.DUMMYFUNCTION("""COMPUTED_VALUE"""),"FOR PROJECTOR HANDLE ")</f>
        <v>FOR PROJECTOR HANDLE </v>
      </c>
    </row>
    <row r="1407">
      <c r="A1407" s="234">
        <f>IFERROR(__xludf.DUMMYFUNCTION("""COMPUTED_VALUE"""),106240.0)</f>
        <v>106240</v>
      </c>
      <c r="B1407" s="235" t="str">
        <f>IFERROR(__xludf.DUMMYFUNCTION("""COMPUTED_VALUE"""),"CHRISTON CORBEZA")</f>
        <v>CHRISTON CORBEZA</v>
      </c>
      <c r="C1407" s="235" t="str">
        <f>IFERROR(__xludf.DUMMYFUNCTION("""COMPUTED_VALUE"""),"ADMIN - MUNICH")</f>
        <v>ADMIN - MUNICH</v>
      </c>
      <c r="D1407" s="196" t="str">
        <f>IFERROR(__xludf.DUMMYFUNCTION("""COMPUTED_VALUE"""),"1 PCS FOR CUSHION COVER A52.5 CM X 183CM X 8CM")</f>
        <v>1 PCS FOR CUSHION COVER A52.5 CM X 183CM X 8CM</v>
      </c>
      <c r="E1407" s="196" t="str">
        <f>IFERROR(__xludf.DUMMYFUNCTION("""COMPUTED_VALUE"""),"DAMAGE ZIPPER AND COVER")</f>
        <v>DAMAGE ZIPPER AND COVER</v>
      </c>
    </row>
    <row r="1408">
      <c r="A1408" s="234">
        <f>IFERROR(__xludf.DUMMYFUNCTION("""COMPUTED_VALUE"""),106241.0)</f>
        <v>106241</v>
      </c>
      <c r="B1408" s="235" t="str">
        <f>IFERROR(__xludf.DUMMYFUNCTION("""COMPUTED_VALUE"""),"CHARLES LEBECO DONOR")</f>
        <v>CHARLES LEBECO DONOR</v>
      </c>
      <c r="C1408" s="235" t="str">
        <f>IFERROR(__xludf.DUMMYFUNCTION("""COMPUTED_VALUE"""),"AMD")</f>
        <v>AMD</v>
      </c>
      <c r="D1408" s="196" t="str">
        <f>IFERROR(__xludf.DUMMYFUNCTION("""COMPUTED_VALUE"""),"1000 ENVELOPE SISC LETTER 35 YEARS OF QUALITY")</f>
        <v>1000 ENVELOPE SISC LETTER 35 YEARS OF QUALITY</v>
      </c>
      <c r="E1408" s="196" t="str">
        <f>IFERROR(__xludf.DUMMYFUNCTION("""COMPUTED_VALUE"""),"OSSUP REPLENISHMENT")</f>
        <v>OSSUP REPLENISHMENT</v>
      </c>
    </row>
    <row r="1409">
      <c r="A1409" s="234">
        <f>IFERROR(__xludf.DUMMYFUNCTION("""COMPUTED_VALUE"""),106242.0)</f>
        <v>106242</v>
      </c>
      <c r="B1409" s="235" t="str">
        <f>IFERROR(__xludf.DUMMYFUNCTION("""COMPUTED_VALUE"""),"ALFA DE LEON")</f>
        <v>ALFA DE LEON</v>
      </c>
      <c r="C1409" s="235" t="str">
        <f>IFERROR(__xludf.DUMMYFUNCTION("""COMPUTED_VALUE"""),"LANDSCAPING")</f>
        <v>LANDSCAPING</v>
      </c>
      <c r="D1409" s="196" t="str">
        <f>IFERROR(__xludf.DUMMYFUNCTION("""COMPUTED_VALUE"""),"2 SACKS DRIED MOSS")</f>
        <v>2 SACKS DRIED MOSS</v>
      </c>
      <c r="E1409" s="196" t="str">
        <f>IFERROR(__xludf.DUMMYFUNCTION("""COMPUTED_VALUE"""),"FOR POTTED PLANTS COVER")</f>
        <v>FOR POTTED PLANTS COVER</v>
      </c>
    </row>
    <row r="1410">
      <c r="A1410" s="234">
        <f>IFERROR(__xludf.DUMMYFUNCTION("""COMPUTED_VALUE"""),106243.0)</f>
        <v>106243</v>
      </c>
      <c r="B1410" s="235" t="str">
        <f>IFERROR(__xludf.DUMMYFUNCTION("""COMPUTED_VALUE"""),"MARC VINCENT VITTO")</f>
        <v>MARC VINCENT VITTO</v>
      </c>
      <c r="C1410" s="235" t="str">
        <f>IFERROR(__xludf.DUMMYFUNCTION("""COMPUTED_VALUE"""),"PR &amp; MARKETING")</f>
        <v>PR &amp; MARKETING</v>
      </c>
      <c r="D1410" s="196" t="str">
        <f>IFERROR(__xludf.DUMMYFUNCTION("""COMPUTED_VALUE"""),"1000 35TH ANNIVERSARY NOTEPAS 
-500 PCS SMALL AND BIG")</f>
        <v>1000 35TH ANNIVERSARY NOTEPAS 
-500 PCS SMALL AND BIG</v>
      </c>
      <c r="E1410" s="196" t="str">
        <f>IFERROR(__xludf.DUMMYFUNCTION("""COMPUTED_VALUE"""),"FOR PROMOTION OF 35TH FOUNDATION ANNIVERSARY")</f>
        <v>FOR PROMOTION OF 35TH FOUNDATION ANNIVERSARY</v>
      </c>
    </row>
    <row r="1411">
      <c r="A1411" s="234">
        <f>IFERROR(__xludf.DUMMYFUNCTION("""COMPUTED_VALUE"""),106244.0)</f>
        <v>106244</v>
      </c>
      <c r="B1411" s="235" t="str">
        <f>IFERROR(__xludf.DUMMYFUNCTION("""COMPUTED_VALUE"""),"JENNY FONTE/DR AVIC SUAREZ")</f>
        <v>JENNY FONTE/DR AVIC SUAREZ</v>
      </c>
      <c r="C1411" s="235" t="str">
        <f>IFERROR(__xludf.DUMMYFUNCTION("""COMPUTED_VALUE"""),"STAR CAMPUS")</f>
        <v>STAR CAMPUS</v>
      </c>
      <c r="D1411" s="196" t="str">
        <f>IFERROR(__xludf.DUMMYFUNCTION("""COMPUTED_VALUE"""),"30 CHROMEBOOK")</f>
        <v>30 CHROMEBOOK</v>
      </c>
      <c r="E1411" s="196" t="str">
        <f>IFERROR(__xludf.DUMMYFUNCTION("""COMPUTED_VALUE"""),"ADDITIONAL LEVEL IN MUNICH AND ADDITIONAL 1 XL MEETING DAYS")</f>
        <v>ADDITIONAL LEVEL IN MUNICH AND ADDITIONAL 1 XL MEETING DAYS</v>
      </c>
    </row>
    <row r="1412">
      <c r="A1412" s="234">
        <f>IFERROR(__xludf.DUMMYFUNCTION("""COMPUTED_VALUE"""),106245.0)</f>
        <v>106245</v>
      </c>
      <c r="B1412" s="235" t="str">
        <f>IFERROR(__xludf.DUMMYFUNCTION("""COMPUTED_VALUE"""),"JENNY FONTE/DR AVIC SUAREZ")</f>
        <v>JENNY FONTE/DR AVIC SUAREZ</v>
      </c>
      <c r="C1412" s="235" t="str">
        <f>IFERROR(__xludf.DUMMYFUNCTION("""COMPUTED_VALUE"""),"STAR CAMPUS")</f>
        <v>STAR CAMPUS</v>
      </c>
      <c r="D1412" s="196" t="str">
        <f>IFERROR(__xludf.DUMMYFUNCTION("""COMPUTED_VALUE"""),"5 SETS ROBOKIDS
4 SETS UARO")</f>
        <v>5 SETS ROBOKIDS
4 SETS UARO</v>
      </c>
      <c r="E1412" s="196" t="str">
        <f>IFERROR(__xludf.DUMMYFUNCTION("""COMPUTED_VALUE"""),"ROBOKIDS KITS UARO KITS ARE OUTDATED + PARTS ARE MISSINGS")</f>
        <v>ROBOKIDS KITS UARO KITS ARE OUTDATED + PARTS ARE MISSINGS</v>
      </c>
    </row>
    <row r="1413">
      <c r="A1413" s="234">
        <f>IFERROR(__xludf.DUMMYFUNCTION("""COMPUTED_VALUE"""),106246.0)</f>
        <v>106246</v>
      </c>
      <c r="B1413" s="235" t="str">
        <f>IFERROR(__xludf.DUMMYFUNCTION("""COMPUTED_VALUE"""),"CHARLES LEBECO DONOR")</f>
        <v>CHARLES LEBECO DONOR</v>
      </c>
      <c r="C1413" s="235" t="str">
        <f>IFERROR(__xludf.DUMMYFUNCTION("""COMPUTED_VALUE"""),"AMD")</f>
        <v>AMD</v>
      </c>
      <c r="D1413" s="196" t="str">
        <f>IFERROR(__xludf.DUMMYFUNCTION("""COMPUTED_VALUE"""),"1 PCS BRONCO NON SLIP LADDER 4 STEPS ")</f>
        <v>1 PCS BRONCO NON SLIP LADDER 4 STEPS </v>
      </c>
      <c r="E1413" s="196" t="str">
        <f>IFERROR(__xludf.DUMMYFUNCTION("""COMPUTED_VALUE"""),"FOR SAFETY USE IN WAREHOUSE")</f>
        <v>FOR SAFETY USE IN WAREHOUSE</v>
      </c>
    </row>
    <row r="1414">
      <c r="A1414" s="234">
        <f>IFERROR(__xludf.DUMMYFUNCTION("""COMPUTED_VALUE"""),106247.0)</f>
        <v>106247</v>
      </c>
      <c r="B1414" s="235" t="str">
        <f>IFERROR(__xludf.DUMMYFUNCTION("""COMPUTED_VALUE"""),"CHARLES LEBECO DONOR")</f>
        <v>CHARLES LEBECO DONOR</v>
      </c>
      <c r="C1414" s="235" t="str">
        <f>IFERROR(__xludf.DUMMYFUNCTION("""COMPUTED_VALUE"""),"AMD")</f>
        <v>AMD</v>
      </c>
      <c r="D1414" s="196" t="str">
        <f>IFERROR(__xludf.DUMMYFUNCTION("""COMPUTED_VALUE"""),"200 - Tape, Double Sided Tape without Foam- polar bear brand")</f>
        <v>200 - Tape, Double Sided Tape without Foam- polar bear brand</v>
      </c>
      <c r="E1414" s="196" t="str">
        <f>IFERROR(__xludf.DUMMYFUNCTION("""COMPUTED_VALUE"""),"Office Supplies Replenishment")</f>
        <v>Office Supplies Replenishment</v>
      </c>
    </row>
    <row r="1415">
      <c r="A1415" s="234">
        <f>IFERROR(__xludf.DUMMYFUNCTION("""COMPUTED_VALUE"""),106248.0)</f>
        <v>106248</v>
      </c>
      <c r="B1415" s="235" t="str">
        <f>IFERROR(__xludf.DUMMYFUNCTION("""COMPUTED_VALUE"""),"CHARLES LEBECO DONOR")</f>
        <v>CHARLES LEBECO DONOR</v>
      </c>
      <c r="C1415" s="235" t="str">
        <f>IFERROR(__xludf.DUMMYFUNCTION("""COMPUTED_VALUE"""),"AMD")</f>
        <v>AMD</v>
      </c>
      <c r="D1415" s="196" t="str">
        <f>IFERROR(__xludf.DUMMYFUNCTION("""COMPUTED_VALUE"""),"20 - Record Book, 300 Pages
20 - Record Book, 500 Pages")</f>
        <v>20 - Record Book, 300 Pages
20 - Record Book, 500 Pages</v>
      </c>
      <c r="E1415" s="196" t="str">
        <f>IFERROR(__xludf.DUMMYFUNCTION("""COMPUTED_VALUE"""),"Office Supplies Replenishment")</f>
        <v>Office Supplies Replenishment</v>
      </c>
    </row>
    <row r="1416">
      <c r="A1416" s="234">
        <f>IFERROR(__xludf.DUMMYFUNCTION("""COMPUTED_VALUE"""),106249.0)</f>
        <v>106249</v>
      </c>
      <c r="B1416" s="235" t="str">
        <f>IFERROR(__xludf.DUMMYFUNCTION("""COMPUTED_VALUE"""),"CHARLES LEBECO DONOR")</f>
        <v>CHARLES LEBECO DONOR</v>
      </c>
      <c r="C1416" s="235" t="str">
        <f>IFERROR(__xludf.DUMMYFUNCTION("""COMPUTED_VALUE"""),"AMD")</f>
        <v>AMD</v>
      </c>
      <c r="D1416" s="196" t="str">
        <f>IFERROR(__xludf.DUMMYFUNCTION("""COMPUTED_VALUE"""),"100 - Paper, Copy-Laser Sub. 20 Long White
50 - Paper, Copy-Laser Sub. 20 Short White
100- Paper, Copy-Laser A4 Sub. 20 White")</f>
        <v>100 - Paper, Copy-Laser Sub. 20 Long White
50 - Paper, Copy-Laser Sub. 20 Short White
100- Paper, Copy-Laser A4 Sub. 20 White</v>
      </c>
      <c r="E1416" s="196" t="str">
        <f>IFERROR(__xludf.DUMMYFUNCTION("""COMPUTED_VALUE"""),"Office Supplies Replenishment")</f>
        <v>Office Supplies Replenishment</v>
      </c>
    </row>
    <row r="1417">
      <c r="A1417" s="234">
        <f>IFERROR(__xludf.DUMMYFUNCTION("""COMPUTED_VALUE"""),106250.0)</f>
        <v>106250</v>
      </c>
      <c r="B1417" s="235" t="str">
        <f>IFERROR(__xludf.DUMMYFUNCTION("""COMPUTED_VALUE"""),"CHARLES LEBECO DONOR")</f>
        <v>CHARLES LEBECO DONOR</v>
      </c>
      <c r="C1417" s="235" t="str">
        <f>IFERROR(__xludf.DUMMYFUNCTION("""COMPUTED_VALUE"""),"AMD")</f>
        <v>AMD</v>
      </c>
      <c r="D1417" s="196" t="str">
        <f>IFERROR(__xludf.DUMMYFUNCTION("""COMPUTED_VALUE"""),"100 - Ruler, Plastic Orion 12 Inches (OSSUP)")</f>
        <v>100 - Ruler, Plastic Orion 12 Inches (OSSUP)</v>
      </c>
      <c r="E1417" s="196" t="str">
        <f>IFERROR(__xludf.DUMMYFUNCTION("""COMPUTED_VALUE"""),"Office Supplies Replenishment")</f>
        <v>Office Supplies Replenishment</v>
      </c>
    </row>
    <row r="1418">
      <c r="A1418" s="234">
        <f>IFERROR(__xludf.DUMMYFUNCTION("""COMPUTED_VALUE"""),106251.0)</f>
        <v>106251</v>
      </c>
      <c r="B1418" s="235" t="str">
        <f>IFERROR(__xludf.DUMMYFUNCTION("""COMPUTED_VALUE"""),"OWIE PAR")</f>
        <v>OWIE PAR</v>
      </c>
      <c r="C1418" s="235" t="str">
        <f>IFERROR(__xludf.DUMMYFUNCTION("""COMPUTED_VALUE"""),"ENGINEERING")</f>
        <v>ENGINEERING</v>
      </c>
      <c r="D1418" s="196" t="str">
        <f>IFERROR(__xludf.DUMMYFUNCTION("""COMPUTED_VALUE"""),"4 LENGTHS B1 PIPE 1 1/2 SCH .40 STANDARD
1 KG WELDING ROD SPECIAL
1 LITER EPOXY PRIMER GRAY 
1 BOTTLE LACQUER THINER
1 LITER QDE CHOCOLATE BROWN")</f>
        <v>4 LENGTHS B1 PIPE 1 1/2 SCH .40 STANDARD
1 KG WELDING ROD SPECIAL
1 LITER EPOXY PRIMER GRAY 
1 BOTTLE LACQUER THINER
1 LITER QDE CHOCOLATE BROWN</v>
      </c>
      <c r="E1418" s="196" t="str">
        <f>IFERROR(__xludf.DUMMYFUNCTION("""COMPUTED_VALUE"""),"IMPROVEMENT OF BIKE RACK")</f>
        <v>IMPROVEMENT OF BIKE RACK</v>
      </c>
    </row>
    <row r="1419">
      <c r="A1419" s="234">
        <f>IFERROR(__xludf.DUMMYFUNCTION("""COMPUTED_VALUE"""),106252.0)</f>
        <v>106252</v>
      </c>
      <c r="B1419" s="235" t="str">
        <f>IFERROR(__xludf.DUMMYFUNCTION("""COMPUTED_VALUE"""),"CHARLES LEBECO DONOR")</f>
        <v>CHARLES LEBECO DONOR</v>
      </c>
      <c r="C1419" s="235" t="str">
        <f>IFERROR(__xludf.DUMMYFUNCTION("""COMPUTED_VALUE"""),"AMD")</f>
        <v>AMD</v>
      </c>
      <c r="D1419" s="196" t="str">
        <f>IFERROR(__xludf.DUMMYFUNCTION("""COMPUTED_VALUE"""),"96 pcs. - Pencil, Mongol Regular No. 1 (OSSUP) (12 pcs. per Box)")</f>
        <v>96 pcs. - Pencil, Mongol Regular No. 1 (OSSUP) (12 pcs. per Box)</v>
      </c>
      <c r="E1419" s="196" t="str">
        <f>IFERROR(__xludf.DUMMYFUNCTION("""COMPUTED_VALUE"""),"Office Supplies Replenishment")</f>
        <v>Office Supplies Replenishment</v>
      </c>
    </row>
    <row r="1420">
      <c r="A1420" s="234">
        <f>IFERROR(__xludf.DUMMYFUNCTION("""COMPUTED_VALUE"""),106253.0)</f>
        <v>106253</v>
      </c>
      <c r="B1420" s="235" t="str">
        <f>IFERROR(__xludf.DUMMYFUNCTION("""COMPUTED_VALUE"""),"CHARLES LEBECO DONOR")</f>
        <v>CHARLES LEBECO DONOR</v>
      </c>
      <c r="C1420" s="235" t="str">
        <f>IFERROR(__xludf.DUMMYFUNCTION("""COMPUTED_VALUE"""),"AMD")</f>
        <v>AMD</v>
      </c>
      <c r="D1420" s="196" t="str">
        <f>IFERROR(__xludf.DUMMYFUNCTION("""COMPUTED_VALUE"""),"750 - Paper, Colored Fortune Yellow
500 - Paper, Colored Fortune Red")</f>
        <v>750 - Paper, Colored Fortune Yellow
500 - Paper, Colored Fortune Red</v>
      </c>
      <c r="E1420" s="196" t="str">
        <f>IFERROR(__xludf.DUMMYFUNCTION("""COMPUTED_VALUE"""),"Office Supplies Replenishment")</f>
        <v>Office Supplies Replenishment</v>
      </c>
    </row>
    <row r="1421">
      <c r="A1421" s="234">
        <f>IFERROR(__xludf.DUMMYFUNCTION("""COMPUTED_VALUE"""),106254.0)</f>
        <v>106254</v>
      </c>
      <c r="B1421" s="235" t="str">
        <f>IFERROR(__xludf.DUMMYFUNCTION("""COMPUTED_VALUE"""),"OWIE PAR")</f>
        <v>OWIE PAR</v>
      </c>
      <c r="C1421" s="235" t="str">
        <f>IFERROR(__xludf.DUMMYFUNCTION("""COMPUTED_VALUE"""),"ENGINEERING")</f>
        <v>ENGINEERING</v>
      </c>
      <c r="D1421" s="196" t="str">
        <f>IFERROR(__xludf.DUMMYFUNCTION("""COMPUTED_VALUE"""),"20 LENGTH PPR PIPE 1 1/2
12 PCS PPR ELBOW 1 1/2
2 PCS PVC MALE ADAPTOR #2 BLUE
2 PCS PVC ELBOW #2 BLUE
2 PCS PVC FEMALE ADAPTOR #2
2 PCS PPR COUPLING REDUCER #2 X 1 1/2
2 LENGTHS ANGLE BAR 1 1/2 X 3/16
6 PCS DYNABOLT 3/8
1 KG WELDING ROD SPECIAL
1 LITER E"&amp;"POXY PRIMER GRAY
12 PCS PPR COUPLING 1 1/2")</f>
        <v>20 LENGTH PPR PIPE 1 1/2
12 PCS PPR ELBOW 1 1/2
2 PCS PVC MALE ADAPTOR #2 BLUE
2 PCS PVC ELBOW #2 BLUE
2 PCS PVC FEMALE ADAPTOR #2
2 PCS PPR COUPLING REDUCER #2 X 1 1/2
2 LENGTHS ANGLE BAR 1 1/2 X 3/16
6 PCS DYNABOLT 3/8
1 KG WELDING ROD SPECIAL
1 LITER EPOXY PRIMER GRAY
12 PCS PPR COUPLING 1 1/2</v>
      </c>
      <c r="E1421" s="196" t="str">
        <f>IFERROR(__xludf.DUMMYFUNCTION("""COMPUTED_VALUE"""),"TO DIVERT WATER LINE SOURCE")</f>
        <v>TO DIVERT WATER LINE SOURCE</v>
      </c>
    </row>
    <row r="1422">
      <c r="A1422" s="234">
        <f>IFERROR(__xludf.DUMMYFUNCTION("""COMPUTED_VALUE"""),106255.0)</f>
        <v>106255</v>
      </c>
      <c r="B1422" s="235" t="str">
        <f>IFERROR(__xludf.DUMMYFUNCTION("""COMPUTED_VALUE"""),"RONALDO VERDE")</f>
        <v>RONALDO VERDE</v>
      </c>
      <c r="C1422" s="235" t="str">
        <f>IFERROR(__xludf.DUMMYFUNCTION("""COMPUTED_VALUE"""),"ADMIN")</f>
        <v>ADMIN</v>
      </c>
      <c r="D1422" s="196" t="str">
        <f>IFERROR(__xludf.DUMMYFUNCTION("""COMPUTED_VALUE"""),"24 PCS 150 WATTS LIGHTINGS FOR GYMNASIUM")</f>
        <v>24 PCS 150 WATTS LIGHTINGS FOR GYMNASIUM</v>
      </c>
      <c r="E1422" s="196" t="str">
        <f>IFERROR(__xludf.DUMMYFUNCTION("""COMPUTED_VALUE"""),"DOWN LIGHT FOR MONARCHS GYM ISAC PREPARATION")</f>
        <v>DOWN LIGHT FOR MONARCHS GYM ISAC PREPARATION</v>
      </c>
    </row>
    <row r="1423">
      <c r="A1423" s="234">
        <f>IFERROR(__xludf.DUMMYFUNCTION("""COMPUTED_VALUE"""),106256.0)</f>
        <v>106256</v>
      </c>
      <c r="B1423" s="235" t="str">
        <f>IFERROR(__xludf.DUMMYFUNCTION("""COMPUTED_VALUE"""),"LYKA PERALTA")</f>
        <v>LYKA PERALTA</v>
      </c>
      <c r="C1423" s="235" t="str">
        <f>IFERROR(__xludf.DUMMYFUNCTION("""COMPUTED_VALUE"""),"AMD")</f>
        <v>AMD</v>
      </c>
      <c r="D1423" s="196" t="str">
        <f>IFERROR(__xludf.DUMMYFUNCTION("""COMPUTED_VALUE"""),"110 PCS STAND DISPLAY WOODEN BRACKET")</f>
        <v>110 PCS STAND DISPLAY WOODEN BRACKET</v>
      </c>
      <c r="E1423" s="196" t="str">
        <f>IFERROR(__xludf.DUMMYFUNCTION("""COMPUTED_VALUE"""),"TOCKEN REPLENISHMENT")</f>
        <v>TOCKEN REPLENISHMENT</v>
      </c>
    </row>
    <row r="1424">
      <c r="A1424" s="234">
        <f>IFERROR(__xludf.DUMMYFUNCTION("""COMPUTED_VALUE"""),106257.0)</f>
        <v>106257</v>
      </c>
      <c r="B1424" s="235" t="str">
        <f>IFERROR(__xludf.DUMMYFUNCTION("""COMPUTED_VALUE"""),"JUNESSA LUMBRES")</f>
        <v>JUNESSA LUMBRES</v>
      </c>
      <c r="C1424" s="235" t="str">
        <f>IFERROR(__xludf.DUMMYFUNCTION("""COMPUTED_VALUE"""),"K12")</f>
        <v>K12</v>
      </c>
      <c r="D1424" s="196" t="str">
        <f>IFERROR(__xludf.DUMMYFUNCTION("""COMPUTED_VALUE"""),"4 ROUND TABLES 
8 WHITE CHAIRS")</f>
        <v>4 ROUND TABLES 
8 WHITE CHAIRS</v>
      </c>
      <c r="E1424" s="196" t="str">
        <f>IFERROR(__xludf.DUMMYFUNCTION("""COMPUTED_VALUE"""),"ADDITIONAL DINING TABLES AND CHAIRS FOR LUX STUDENTS DURING RECESS AND LUNCH ")</f>
        <v>ADDITIONAL DINING TABLES AND CHAIRS FOR LUX STUDENTS DURING RECESS AND LUNCH </v>
      </c>
    </row>
    <row r="1425">
      <c r="A1425" s="234">
        <f>IFERROR(__xludf.DUMMYFUNCTION("""COMPUTED_VALUE"""),106258.0)</f>
        <v>106258</v>
      </c>
      <c r="B1425" s="235" t="str">
        <f>IFERROR(__xludf.DUMMYFUNCTION("""COMPUTED_VALUE"""),"DANE QUIBOTE")</f>
        <v>DANE QUIBOTE</v>
      </c>
      <c r="C1425" s="235" t="str">
        <f>IFERROR(__xludf.DUMMYFUNCTION("""COMPUTED_VALUE"""),"AUDIT")</f>
        <v>AUDIT</v>
      </c>
      <c r="D1425" s="196" t="str">
        <f>IFERROR(__xludf.DUMMYFUNCTION("""COMPUTED_VALUE"""),"TRODAT NAME DANE QUIBOTE")</f>
        <v>TRODAT NAME DANE QUIBOTE</v>
      </c>
      <c r="E1425" s="196" t="str">
        <f>IFERROR(__xludf.DUMMYFUNCTION("""COMPUTED_VALUE"""),"FOR OFFICE USE")</f>
        <v>FOR OFFICE USE</v>
      </c>
    </row>
    <row r="1426">
      <c r="A1426" s="234">
        <f>IFERROR(__xludf.DUMMYFUNCTION("""COMPUTED_VALUE"""),106259.0)</f>
        <v>106259</v>
      </c>
      <c r="B1426" s="235" t="str">
        <f>IFERROR(__xludf.DUMMYFUNCTION("""COMPUTED_VALUE"""),"SHEREE ESPINOSA")</f>
        <v>SHEREE ESPINOSA</v>
      </c>
      <c r="C1426" s="235" t="str">
        <f>IFERROR(__xludf.DUMMYFUNCTION("""COMPUTED_VALUE"""),"ADMIN")</f>
        <v>ADMIN</v>
      </c>
      <c r="D1426" s="196" t="str">
        <f>IFERROR(__xludf.DUMMYFUNCTION("""COMPUTED_VALUE"""),"4 PCS TABLETS")</f>
        <v>4 PCS TABLETS</v>
      </c>
      <c r="E1426" s="196" t="str">
        <f>IFERROR(__xludf.DUMMYFUNCTION("""COMPUTED_VALUE"""),"FOR IB EATING AREA / LOUNGE")</f>
        <v>FOR IB EATING AREA / LOUNGE</v>
      </c>
    </row>
    <row r="1427">
      <c r="A1427" s="234">
        <f>IFERROR(__xludf.DUMMYFUNCTION("""COMPUTED_VALUE"""),106260.0)</f>
        <v>106260</v>
      </c>
      <c r="B1427" s="235" t="str">
        <f>IFERROR(__xludf.DUMMYFUNCTION("""COMPUTED_VALUE"""),"MARIA PATRICIA BELLEZA")</f>
        <v>MARIA PATRICIA BELLEZA</v>
      </c>
      <c r="C1427" s="235" t="str">
        <f>IFERROR(__xludf.DUMMYFUNCTION("""COMPUTED_VALUE"""),"K12 AND IB STUDENTS AFFAIRS")</f>
        <v>K12 AND IB STUDENTS AFFAIRS</v>
      </c>
      <c r="D1427" s="196" t="str">
        <f>IFERROR(__xludf.DUMMYFUNCTION("""COMPUTED_VALUE"""),"4 PCS NO BULLYING ALLOWED TARPAULINS 
-LUX 170.5 X 61.5 INCHES
-IB 47 X 30 INCHES
-STAR 72 X 36 IN
-MUNICH 200 X 36 CM")</f>
        <v>4 PCS NO BULLYING ALLOWED TARPAULINS 
-LUX 170.5 X 61.5 INCHES
-IB 47 X 30 INCHES
-STAR 72 X 36 IN
-MUNICH 200 X 36 CM</v>
      </c>
      <c r="E1427" s="196" t="str">
        <f>IFERROR(__xludf.DUMMYFUNCTION("""COMPUTED_VALUE"""),"NO BULLYING ALLOWED CAMPAIGN")</f>
        <v>NO BULLYING ALLOWED CAMPAIGN</v>
      </c>
    </row>
    <row r="1428">
      <c r="A1428" s="234">
        <f>IFERROR(__xludf.DUMMYFUNCTION("""COMPUTED_VALUE"""),106261.0)</f>
        <v>106261</v>
      </c>
      <c r="B1428" s="235" t="str">
        <f>IFERROR(__xludf.DUMMYFUNCTION("""COMPUTED_VALUE"""),"RODRIGO CUSTODIO")</f>
        <v>RODRIGO CUSTODIO</v>
      </c>
      <c r="C1428" s="235" t="str">
        <f>IFERROR(__xludf.DUMMYFUNCTION("""COMPUTED_VALUE"""),"AMD")</f>
        <v>AMD</v>
      </c>
      <c r="D1428" s="196" t="str">
        <f>IFERROR(__xludf.DUMMYFUNCTION("""COMPUTED_VALUE"""),"24 TOILET BOWL CLEANER STATE SHARK 1 U.S QUART 946ML")</f>
        <v>24 TOILET BOWL CLEANER STATE SHARK 1 U.S QUART 946ML</v>
      </c>
      <c r="E1428" s="196" t="str">
        <f>IFERROR(__xludf.DUMMYFUNCTION("""COMPUTED_VALUE"""),"HOUSEKEEPING STOCK REPLENISHMENT")</f>
        <v>HOUSEKEEPING STOCK REPLENISHMENT</v>
      </c>
    </row>
    <row r="1429">
      <c r="A1429" s="234">
        <f>IFERROR(__xludf.DUMMYFUNCTION("""COMPUTED_VALUE"""),106262.0)</f>
        <v>106262</v>
      </c>
      <c r="B1429" s="235" t="str">
        <f>IFERROR(__xludf.DUMMYFUNCTION("""COMPUTED_VALUE"""),"RODRIGO CUSTODIO")</f>
        <v>RODRIGO CUSTODIO</v>
      </c>
      <c r="C1429" s="235" t="str">
        <f>IFERROR(__xludf.DUMMYFUNCTION("""COMPUTED_VALUE"""),"AMD")</f>
        <v>AMD</v>
      </c>
      <c r="D1429" s="196" t="str">
        <f>IFERROR(__xludf.DUMMYFUNCTION("""COMPUTED_VALUE"""),"100 PACKS TRASHBAG SMALL 18 X 18 CLEAR
7 PAIRS RAIN BOOTS FEMALE
15 PCS PEST OFF RAT CATCHER GLUE BOARD
25 PCS SPATULA SMALL SCRAPER
8 GALS ZNRX GEN 10 0002")</f>
        <v>100 PACKS TRASHBAG SMALL 18 X 18 CLEAR
7 PAIRS RAIN BOOTS FEMALE
15 PCS PEST OFF RAT CATCHER GLUE BOARD
25 PCS SPATULA SMALL SCRAPER
8 GALS ZNRX GEN 10 0002</v>
      </c>
      <c r="E1429" s="196" t="str">
        <f>IFERROR(__xludf.DUMMYFUNCTION("""COMPUTED_VALUE"""),"HOUSEKEEPING STOCK REPLENISHMENT")</f>
        <v>HOUSEKEEPING STOCK REPLENISHMENT</v>
      </c>
    </row>
    <row r="1430">
      <c r="A1430" s="234">
        <f>IFERROR(__xludf.DUMMYFUNCTION("""COMPUTED_VALUE"""),106263.0)</f>
        <v>106263</v>
      </c>
      <c r="B1430" s="235" t="str">
        <f>IFERROR(__xludf.DUMMYFUNCTION("""COMPUTED_VALUE"""),"ELYDIA REYES")</f>
        <v>ELYDIA REYES</v>
      </c>
      <c r="C1430" s="235" t="str">
        <f>IFERROR(__xludf.DUMMYFUNCTION("""COMPUTED_VALUE"""),"PR &amp; MARKETING")</f>
        <v>PR &amp; MARKETING</v>
      </c>
      <c r="D1430" s="196" t="str">
        <f>IFERROR(__xludf.DUMMYFUNCTION("""COMPUTED_VALUE"""),"1 CUSTOM FUNKO POP")</f>
        <v>1 CUSTOM FUNKO POP</v>
      </c>
      <c r="E1430" s="196" t="str">
        <f>IFERROR(__xludf.DUMMYFUNCTION("""COMPUTED_VALUE"""),"TO BE BROUGHT TO THE MIDDLE FAST FOR CONTENT")</f>
        <v>TO BE BROUGHT TO THE MIDDLE FAST FOR CONTENT</v>
      </c>
    </row>
    <row r="1431">
      <c r="A1431" s="234">
        <f>IFERROR(__xludf.DUMMYFUNCTION("""COMPUTED_VALUE"""),106264.0)</f>
        <v>106264</v>
      </c>
      <c r="B1431" s="235" t="str">
        <f>IFERROR(__xludf.DUMMYFUNCTION("""COMPUTED_VALUE"""),"RAQUELYN NUÑEZ ")</f>
        <v>RAQUELYN NUÑEZ </v>
      </c>
      <c r="C1431" s="235" t="str">
        <f>IFERROR(__xludf.DUMMYFUNCTION("""COMPUTED_VALUE"""),"TREX")</f>
        <v>TREX</v>
      </c>
      <c r="D1431" s="196" t="str">
        <f>IFERROR(__xludf.DUMMYFUNCTION("""COMPUTED_VALUE"""),"1 RUIJIE-REYEE RG-EG210G-P-V3 IPSEC ROUTER")</f>
        <v>1 RUIJIE-REYEE RG-EG210G-P-V3 IPSEC ROUTER</v>
      </c>
      <c r="E1431" s="196" t="str">
        <f>IFERROR(__xludf.DUMMYFUNCTION("""COMPUTED_VALUE"""),"GATEWAY ROUTER FOR DORM")</f>
        <v>GATEWAY ROUTER FOR DORM</v>
      </c>
    </row>
    <row r="1432">
      <c r="A1432" s="234">
        <f>IFERROR(__xludf.DUMMYFUNCTION("""COMPUTED_VALUE"""),106265.0)</f>
        <v>106265</v>
      </c>
      <c r="B1432" s="235" t="str">
        <f>IFERROR(__xludf.DUMMYFUNCTION("""COMPUTED_VALUE"""),"ARNEL MONTABLAN")</f>
        <v>ARNEL MONTABLAN</v>
      </c>
      <c r="C1432" s="235" t="str">
        <f>IFERROR(__xludf.DUMMYFUNCTION("""COMPUTED_VALUE"""),"SCHOLARSHIP")</f>
        <v>SCHOLARSHIP</v>
      </c>
      <c r="D1432" s="196" t="str">
        <f>IFERROR(__xludf.DUMMYFUNCTION("""COMPUTED_VALUE"""),"17 ACER EXTENSA EX215-23-R2MB")</f>
        <v>17 ACER EXTENSA EX215-23-R2MB</v>
      </c>
      <c r="E1432" s="196" t="str">
        <f>IFERROR(__xludf.DUMMYFUNCTION("""COMPUTED_VALUE"""),"SCHOLARS LAPTOP LOAN")</f>
        <v>SCHOLARS LAPTOP LOAN</v>
      </c>
    </row>
    <row r="1433">
      <c r="A1433" s="234">
        <f>IFERROR(__xludf.DUMMYFUNCTION("""COMPUTED_VALUE"""),106266.0)</f>
        <v>106266</v>
      </c>
      <c r="B1433" s="235" t="str">
        <f>IFERROR(__xludf.DUMMYFUNCTION("""COMPUTED_VALUE"""),"SHEREE ESPINOSA")</f>
        <v>SHEREE ESPINOSA</v>
      </c>
      <c r="C1433" s="235" t="str">
        <f>IFERROR(__xludf.DUMMYFUNCTION("""COMPUTED_VALUE"""),"ADMIN")</f>
        <v>ADMIN</v>
      </c>
      <c r="D1433" s="196" t="str">
        <f>IFERROR(__xludf.DUMMYFUNCTION("""COMPUTED_VALUE"""),"1 PC WHITEBOARD SIZE 130CM X 230 CM
1 PCS GLASS BOARD SIZE 130 CM X 130 CM THICKNESS 1/4")</f>
        <v>1 PC WHITEBOARD SIZE 130CM X 230 CM
1 PCS GLASS BOARD SIZE 130 CM X 130 CM THICKNESS 1/4</v>
      </c>
      <c r="E1433" s="196" t="str">
        <f>IFERROR(__xludf.DUMMYFUNCTION("""COMPUTED_VALUE"""),"FOR INNOVE ROOM AND TCPD OFFICE")</f>
        <v>FOR INNOVE ROOM AND TCPD OFFICE</v>
      </c>
    </row>
    <row r="1434">
      <c r="A1434" s="234">
        <f>IFERROR(__xludf.DUMMYFUNCTION("""COMPUTED_VALUE"""),106267.0)</f>
        <v>106267</v>
      </c>
      <c r="B1434" s="235" t="str">
        <f>IFERROR(__xludf.DUMMYFUNCTION("""COMPUTED_VALUE"""),"SHEREE ESPINOSA")</f>
        <v>SHEREE ESPINOSA</v>
      </c>
      <c r="C1434" s="235" t="str">
        <f>IFERROR(__xludf.DUMMYFUNCTION("""COMPUTED_VALUE"""),"ADMIN")</f>
        <v>ADMIN</v>
      </c>
      <c r="D1434" s="196" t="str">
        <f>IFERROR(__xludf.DUMMYFUNCTION("""COMPUTED_VALUE"""),"10 SETS SHOWER HEAD")</f>
        <v>10 SETS SHOWER HEAD</v>
      </c>
      <c r="E1434" s="196" t="str">
        <f>IFERROR(__xludf.DUMMYFUNCTION("""COMPUTED_VALUE"""),"FOR ISAC PREPARATION FOR MONARCHS GYM AND TROP GYM")</f>
        <v>FOR ISAC PREPARATION FOR MONARCHS GYM AND TROP GYM</v>
      </c>
    </row>
    <row r="1435">
      <c r="A1435" s="234">
        <f>IFERROR(__xludf.DUMMYFUNCTION("""COMPUTED_VALUE"""),106268.0)</f>
        <v>106268</v>
      </c>
      <c r="B1435" s="235" t="str">
        <f>IFERROR(__xludf.DUMMYFUNCTION("""COMPUTED_VALUE"""),"SHEREE ESPINOSA")</f>
        <v>SHEREE ESPINOSA</v>
      </c>
      <c r="C1435" s="235" t="str">
        <f>IFERROR(__xludf.DUMMYFUNCTION("""COMPUTED_VALUE"""),"ADMIN")</f>
        <v>ADMIN</v>
      </c>
      <c r="D1435" s="196" t="str">
        <f>IFERROR(__xludf.DUMMYFUNCTION("""COMPUTED_VALUE"""),"3 PCS MOBILE PEDESTAL CABINET COLOR BEIGE 3 LAYER")</f>
        <v>3 PCS MOBILE PEDESTAL CABINET COLOR BEIGE 3 LAYER</v>
      </c>
      <c r="E1435" s="196" t="str">
        <f>IFERROR(__xludf.DUMMYFUNCTION("""COMPUTED_VALUE"""),"FOR THE OFFICE OF INT'L LINKAGES INNOVE TCPD OFFICE")</f>
        <v>FOR THE OFFICE OF INT'L LINKAGES INNOVE TCPD OFFICE</v>
      </c>
    </row>
    <row r="1436">
      <c r="A1436" s="234">
        <f>IFERROR(__xludf.DUMMYFUNCTION("""COMPUTED_VALUE"""),106269.0)</f>
        <v>106269</v>
      </c>
      <c r="B1436" s="235" t="str">
        <f>IFERROR(__xludf.DUMMYFUNCTION("""COMPUTED_VALUE"""),"SHEREE ESPINOSA")</f>
        <v>SHEREE ESPINOSA</v>
      </c>
      <c r="C1436" s="235" t="str">
        <f>IFERROR(__xludf.DUMMYFUNCTION("""COMPUTED_VALUE"""),"ADMIN")</f>
        <v>ADMIN</v>
      </c>
      <c r="D1436" s="196" t="str">
        <f>IFERROR(__xludf.DUMMYFUNCTION("""COMPUTED_VALUE"""),"INFECTIOUS TRASH BINS 
3 20 L YELLOW 
3 BLACK
3 GREEN")</f>
        <v>INFECTIOUS TRASH BINS 
3 20 L YELLOW 
3 BLACK
3 GREEN</v>
      </c>
      <c r="E1436" s="196" t="str">
        <f>IFERROR(__xludf.DUMMYFUNCTION("""COMPUTED_VALUE"""),"FOR K12 SCIENCE LAB")</f>
        <v>FOR K12 SCIENCE LAB</v>
      </c>
    </row>
    <row r="1437">
      <c r="A1437" s="234">
        <f>IFERROR(__xludf.DUMMYFUNCTION("""COMPUTED_VALUE"""),106270.0)</f>
        <v>106270</v>
      </c>
      <c r="B1437" s="235" t="str">
        <f>IFERROR(__xludf.DUMMYFUNCTION("""COMPUTED_VALUE"""),"SHEREE ESPINOSA")</f>
        <v>SHEREE ESPINOSA</v>
      </c>
      <c r="C1437" s="235" t="str">
        <f>IFERROR(__xludf.DUMMYFUNCTION("""COMPUTED_VALUE"""),"ADMIN")</f>
        <v>ADMIN</v>
      </c>
      <c r="D1437" s="196" t="str">
        <f>IFERROR(__xludf.DUMMYFUNCTION("""COMPUTED_VALUE"""),"6 PCS CONFERENCE CHAIRS")</f>
        <v>6 PCS CONFERENCE CHAIRS</v>
      </c>
      <c r="E1437" s="196" t="str">
        <f>IFERROR(__xludf.DUMMYFUNCTION("""COMPUTED_VALUE"""),"FOR MMA CONFERENCE ROOM")</f>
        <v>FOR MMA CONFERENCE ROOM</v>
      </c>
    </row>
    <row r="1438">
      <c r="A1438" s="234">
        <f>IFERROR(__xludf.DUMMYFUNCTION("""COMPUTED_VALUE"""),106271.0)</f>
        <v>106271</v>
      </c>
      <c r="B1438" s="235" t="str">
        <f>IFERROR(__xludf.DUMMYFUNCTION("""COMPUTED_VALUE"""),"SHEREE ESPINOSA")</f>
        <v>SHEREE ESPINOSA</v>
      </c>
      <c r="C1438" s="235" t="str">
        <f>IFERROR(__xludf.DUMMYFUNCTION("""COMPUTED_VALUE"""),"ADMIN")</f>
        <v>ADMIN</v>
      </c>
      <c r="D1438" s="196" t="str">
        <f>IFERROR(__xludf.DUMMYFUNCTION("""COMPUTED_VALUE"""),"24 PCS STUDENT CHAIRS")</f>
        <v>24 PCS STUDENT CHAIRS</v>
      </c>
      <c r="E1438" s="196" t="str">
        <f>IFERROR(__xludf.DUMMYFUNCTION("""COMPUTED_VALUE"""),"IMPROVEMENT OF STUDENT CHAIR PSYCH LAB COLLEGE")</f>
        <v>IMPROVEMENT OF STUDENT CHAIR PSYCH LAB COLLEGE</v>
      </c>
    </row>
    <row r="1439">
      <c r="A1439" s="234">
        <f>IFERROR(__xludf.DUMMYFUNCTION("""COMPUTED_VALUE"""),106272.0)</f>
        <v>106272</v>
      </c>
      <c r="B1439" s="235" t="str">
        <f>IFERROR(__xludf.DUMMYFUNCTION("""COMPUTED_VALUE"""),"SHEREE ESPINOSA")</f>
        <v>SHEREE ESPINOSA</v>
      </c>
      <c r="C1439" s="235" t="str">
        <f>IFERROR(__xludf.DUMMYFUNCTION("""COMPUTED_VALUE"""),"ADMIN")</f>
        <v>ADMIN</v>
      </c>
      <c r="D1439" s="196" t="str">
        <f>IFERROR(__xludf.DUMMYFUNCTION("""COMPUTED_VALUE"""),"8 SWIVEL CHAIRS")</f>
        <v>8 SWIVEL CHAIRS</v>
      </c>
      <c r="E1439" s="196" t="str">
        <f>IFERROR(__xludf.DUMMYFUNCTION("""COMPUTED_VALUE"""),"FOR K12 FACULTY SCI DEPT AND MS NESSIES SECRETARY")</f>
        <v>FOR K12 FACULTY SCI DEPT AND MS NESSIES SECRETARY</v>
      </c>
    </row>
    <row r="1440">
      <c r="A1440" s="234">
        <f>IFERROR(__xludf.DUMMYFUNCTION("""COMPUTED_VALUE"""),106273.0)</f>
        <v>106273</v>
      </c>
      <c r="B1440" s="235" t="str">
        <f>IFERROR(__xludf.DUMMYFUNCTION("""COMPUTED_VALUE"""),"SHEREE ESPINOSA")</f>
        <v>SHEREE ESPINOSA</v>
      </c>
      <c r="C1440" s="235" t="str">
        <f>IFERROR(__xludf.DUMMYFUNCTION("""COMPUTED_VALUE"""),"ADMIN")</f>
        <v>ADMIN</v>
      </c>
      <c r="D1440" s="196" t="str">
        <f>IFERROR(__xludf.DUMMYFUNCTION("""COMPUTED_VALUE"""),"TABLES AND CHAIRS 
4 PCS TABLES BLACK
30 PCS CHAIRS WHITE PURPLE RED GREEN 
3 SMALL TABLE")</f>
        <v>TABLES AND CHAIRS 
4 PCS TABLES BLACK
30 PCS CHAIRS WHITE PURPLE RED GREEN 
3 SMALL TABLE</v>
      </c>
      <c r="E1440" s="196" t="str">
        <f>IFERROR(__xludf.DUMMYFUNCTION("""COMPUTED_VALUE"""),"FOR 2F COLLEGE STUDENT LOUNGE")</f>
        <v>FOR 2F COLLEGE STUDENT LOUNGE</v>
      </c>
    </row>
    <row r="1441">
      <c r="A1441" s="234">
        <f>IFERROR(__xludf.DUMMYFUNCTION("""COMPUTED_VALUE"""),106274.0)</f>
        <v>106274</v>
      </c>
      <c r="B1441" s="235" t="str">
        <f>IFERROR(__xludf.DUMMYFUNCTION("""COMPUTED_VALUE"""),"SHEREE ESPINOSA")</f>
        <v>SHEREE ESPINOSA</v>
      </c>
      <c r="C1441" s="235" t="str">
        <f>IFERROR(__xludf.DUMMYFUNCTION("""COMPUTED_VALUE"""),"ADMIN")</f>
        <v>ADMIN</v>
      </c>
      <c r="D1441" s="196" t="str">
        <f>IFERROR(__xludf.DUMMYFUNCTION("""COMPUTED_VALUE"""),"HOODEN TRASHBIN 
66 PCS LARGE 85 LITERS
18 PCS EXTRA LARGE 132 LITERS")</f>
        <v>HOODEN TRASHBIN 
66 PCS LARGE 85 LITERS
18 PCS EXTRA LARGE 132 LITERS</v>
      </c>
      <c r="E1441" s="196" t="str">
        <f>IFERROR(__xludf.DUMMYFUNCTION("""COMPUTED_VALUE"""),"REPLACEMENT OF OUR EXISTING TRASH BINS FOR IMPROVED FUNCTIONALITY AND OVERALL BEAUTIFICATION OF THE AREAS LUX TROP COLLEGE MUNICH")</f>
        <v>REPLACEMENT OF OUR EXISTING TRASH BINS FOR IMPROVED FUNCTIONALITY AND OVERALL BEAUTIFICATION OF THE AREAS LUX TROP COLLEGE MUNICH</v>
      </c>
    </row>
    <row r="1442">
      <c r="A1442" s="234">
        <f>IFERROR(__xludf.DUMMYFUNCTION("""COMPUTED_VALUE"""),106275.0)</f>
        <v>106275</v>
      </c>
      <c r="B1442" s="235" t="str">
        <f>IFERROR(__xludf.DUMMYFUNCTION("""COMPUTED_VALUE"""),"SHEREE ESPINOSA")</f>
        <v>SHEREE ESPINOSA</v>
      </c>
      <c r="C1442" s="235" t="str">
        <f>IFERROR(__xludf.DUMMYFUNCTION("""COMPUTED_VALUE"""),"ADMIN")</f>
        <v>ADMIN</v>
      </c>
      <c r="D1442" s="196" t="str">
        <f>IFERROR(__xludf.DUMMYFUNCTION("""COMPUTED_VALUE"""),"3 PCS BIG FANS FOR COURT 30"" INDUSTRIAL WALL FAN
5 PCS FANS FOR UPPER BLEACHERS 20"" INDUSTRIAL FAN")</f>
        <v>3 PCS BIG FANS FOR COURT 30" INDUSTRIAL WALL FAN
5 PCS FANS FOR UPPER BLEACHERS 20" INDUSTRIAL FAN</v>
      </c>
      <c r="E1442" s="196" t="str">
        <f>IFERROR(__xludf.DUMMYFUNCTION("""COMPUTED_VALUE"""),"FOR ISAC PREPARATION MONARCHS GYM")</f>
        <v>FOR ISAC PREPARATION MONARCHS GYM</v>
      </c>
    </row>
    <row r="1443">
      <c r="A1443" s="234">
        <f>IFERROR(__xludf.DUMMYFUNCTION("""COMPUTED_VALUE"""),106276.0)</f>
        <v>106276</v>
      </c>
      <c r="B1443" s="235" t="str">
        <f>IFERROR(__xludf.DUMMYFUNCTION("""COMPUTED_VALUE"""),"LYKA PERALTA")</f>
        <v>LYKA PERALTA</v>
      </c>
      <c r="C1443" s="235" t="str">
        <f>IFERROR(__xludf.DUMMYFUNCTION("""COMPUTED_VALUE"""),"AMD")</f>
        <v>AMD</v>
      </c>
      <c r="D1443" s="196" t="str">
        <f>IFERROR(__xludf.DUMMYFUNCTION("""COMPUTED_VALUE"""),"50 PCS CAPIZ SQUARE PLATE SMOKE")</f>
        <v>50 PCS CAPIZ SQUARE PLATE SMOKE</v>
      </c>
      <c r="E1443" s="196" t="str">
        <f>IFERROR(__xludf.DUMMYFUNCTION("""COMPUTED_VALUE"""),"TOKEN ADDITIONAL")</f>
        <v>TOKEN ADDITIONAL</v>
      </c>
    </row>
    <row r="1444">
      <c r="A1444" s="234">
        <f>IFERROR(__xludf.DUMMYFUNCTION("""COMPUTED_VALUE"""),106277.0)</f>
        <v>106277</v>
      </c>
      <c r="B1444" s="235" t="str">
        <f>IFERROR(__xludf.DUMMYFUNCTION("""COMPUTED_VALUE"""),"MARC VINCENT VITTO")</f>
        <v>MARC VINCENT VITTO</v>
      </c>
      <c r="C1444" s="235" t="str">
        <f>IFERROR(__xludf.DUMMYFUNCTION("""COMPUTED_VALUE"""),"PR &amp; MARKETING")</f>
        <v>PR &amp; MARKETING</v>
      </c>
      <c r="D1444" s="196" t="str">
        <f>IFERROR(__xludf.DUMMYFUNCTION("""COMPUTED_VALUE"""),"1 35TH FOUNDATION LOGO TARP FOR STAR CAMPUS SIZE 10 X 10 FT THICKNESS 18 OZ W/ SEAMING AND EYELET ALL OVER")</f>
        <v>1 35TH FOUNDATION LOGO TARP FOR STAR CAMPUS SIZE 10 X 10 FT THICKNESS 18 OZ W/ SEAMING AND EYELET ALL OVER</v>
      </c>
      <c r="E1444" s="196" t="str">
        <f>IFERROR(__xludf.DUMMYFUNCTION("""COMPUTED_VALUE"""),"FOR STAR CAMPUS")</f>
        <v>FOR STAR CAMPUS</v>
      </c>
    </row>
    <row r="1445">
      <c r="A1445" s="234">
        <f>IFERROR(__xludf.DUMMYFUNCTION("""COMPUTED_VALUE"""),106278.0)</f>
        <v>106278</v>
      </c>
      <c r="B1445" s="235" t="str">
        <f>IFERROR(__xludf.DUMMYFUNCTION("""COMPUTED_VALUE"""),"SHARJAN GATCHALIAN")</f>
        <v>SHARJAN GATCHALIAN</v>
      </c>
      <c r="C1445" s="235" t="str">
        <f>IFERROR(__xludf.DUMMYFUNCTION("""COMPUTED_VALUE"""),"MIS/ICT")</f>
        <v>MIS/ICT</v>
      </c>
      <c r="D1445" s="196" t="str">
        <f>IFERROR(__xludf.DUMMYFUNCTION("""COMPUTED_VALUE"""),"10 RG-NBS 3200 48GT4XS P")</f>
        <v>10 RG-NBS 3200 48GT4XS P</v>
      </c>
      <c r="E1445" s="196" t="str">
        <f>IFERROR(__xludf.DUMMYFUNCTION("""COMPUTED_VALUE"""),"ACCESS SWITCH UPGRADE PHASE 2")</f>
        <v>ACCESS SWITCH UPGRADE PHASE 2</v>
      </c>
    </row>
    <row r="1446">
      <c r="A1446" s="234">
        <f>IFERROR(__xludf.DUMMYFUNCTION("""COMPUTED_VALUE"""),106279.0)</f>
        <v>106279</v>
      </c>
      <c r="B1446" s="235" t="str">
        <f>IFERROR(__xludf.DUMMYFUNCTION("""COMPUTED_VALUE"""),"RODRIGO CUSTODIO")</f>
        <v>RODRIGO CUSTODIO</v>
      </c>
      <c r="C1446" s="235" t="str">
        <f>IFERROR(__xludf.DUMMYFUNCTION("""COMPUTED_VALUE"""),"AMD")</f>
        <v>AMD</v>
      </c>
      <c r="D1446" s="196" t="str">
        <f>IFERROR(__xludf.DUMMYFUNCTION("""COMPUTED_VALUE"""),"400 PCS MICROFIBER TOWEL YELLOW
100 PACKS TRASH BAG MEDIUM 22"" X 24"" CLEAR
4 KILO ROUND RAGS WHITE")</f>
        <v>400 PCS MICROFIBER TOWEL YELLOW
100 PACKS TRASH BAG MEDIUM 22" X 24" CLEAR
4 KILO ROUND RAGS WHITE</v>
      </c>
      <c r="E1446" s="196" t="str">
        <f>IFERROR(__xludf.DUMMYFUNCTION("""COMPUTED_VALUE"""),"HOUSEKEEPING STOCK REPLENISHMENT")</f>
        <v>HOUSEKEEPING STOCK REPLENISHMENT</v>
      </c>
    </row>
    <row r="1447">
      <c r="A1447" s="234">
        <f>IFERROR(__xludf.DUMMYFUNCTION("""COMPUTED_VALUE"""),106280.0)</f>
        <v>106280</v>
      </c>
      <c r="B1447" s="235" t="str">
        <f>IFERROR(__xludf.DUMMYFUNCTION("""COMPUTED_VALUE"""),"RODRIGO CUSTODIO")</f>
        <v>RODRIGO CUSTODIO</v>
      </c>
      <c r="C1447" s="235" t="str">
        <f>IFERROR(__xludf.DUMMYFUNCTION("""COMPUTED_VALUE"""),"AMD")</f>
        <v>AMD</v>
      </c>
      <c r="D1447" s="196" t="str">
        <f>IFERROR(__xludf.DUMMYFUNCTION("""COMPUTED_VALUE"""),"20 GALS ODOR MASCANT (WISE CHOICE)-PLEASANT")</f>
        <v>20 GALS ODOR MASCANT (WISE CHOICE)-PLEASANT</v>
      </c>
      <c r="E1447" s="196" t="str">
        <f>IFERROR(__xludf.DUMMYFUNCTION("""COMPUTED_VALUE"""),"HOUSEKEEPING STOCK REPLENISHMENT")</f>
        <v>HOUSEKEEPING STOCK REPLENISHMENT</v>
      </c>
    </row>
    <row r="1448">
      <c r="A1448" s="234">
        <f>IFERROR(__xludf.DUMMYFUNCTION("""COMPUTED_VALUE"""),106281.0)</f>
        <v>106281</v>
      </c>
      <c r="B1448" s="235" t="str">
        <f>IFERROR(__xludf.DUMMYFUNCTION("""COMPUTED_VALUE"""),"OWIE PAR")</f>
        <v>OWIE PAR</v>
      </c>
      <c r="C1448" s="235" t="str">
        <f>IFERROR(__xludf.DUMMYFUNCTION("""COMPUTED_VALUE"""),"ADMIN - LUX")</f>
        <v>ADMIN - LUX</v>
      </c>
      <c r="D1448" s="196" t="str">
        <f>IFERROR(__xludf.DUMMYFUNCTION("""COMPUTED_VALUE"""),"WATER DISPENSER FAUCET NOTE AS PER PICTURE ATTATCHED")</f>
        <v>WATER DISPENSER FAUCET NOTE AS PER PICTURE ATTATCHED</v>
      </c>
      <c r="E1448" s="196" t="str">
        <f>IFERROR(__xludf.DUMMYFUNCTION("""COMPUTED_VALUE"""),"FOR WATER DISPENSE @LUX CAMPUS")</f>
        <v>FOR WATER DISPENSE @LUX CAMPUS</v>
      </c>
    </row>
    <row r="1449">
      <c r="A1449" s="234">
        <f>IFERROR(__xludf.DUMMYFUNCTION("""COMPUTED_VALUE"""),106282.0)</f>
        <v>106282</v>
      </c>
      <c r="B1449" s="235" t="str">
        <f>IFERROR(__xludf.DUMMYFUNCTION("""COMPUTED_VALUE"""),"PAUL ARAÑA")</f>
        <v>PAUL ARAÑA</v>
      </c>
      <c r="C1449" s="235" t="str">
        <f>IFERROR(__xludf.DUMMYFUNCTION("""COMPUTED_VALUE"""),"AV/MIS")</f>
        <v>AV/MIS</v>
      </c>
      <c r="D1449" s="196" t="str">
        <f>IFERROR(__xludf.DUMMYFUNCTION("""COMPUTED_VALUE"""),"CHROMEBOOK CHARGING CABINET")</f>
        <v>CHROMEBOOK CHARGING CABINET</v>
      </c>
      <c r="E1449" s="196" t="str">
        <f>IFERROR(__xludf.DUMMYFUNCTION("""COMPUTED_VALUE"""),"FOR CHROMEBOOKS IN MUNSTAR")</f>
        <v>FOR CHROMEBOOKS IN MUNSTAR</v>
      </c>
    </row>
    <row r="1450">
      <c r="A1450" s="234">
        <f>IFERROR(__xludf.DUMMYFUNCTION("""COMPUTED_VALUE"""),106283.0)</f>
        <v>106283</v>
      </c>
      <c r="B1450" s="235" t="str">
        <f>IFERROR(__xludf.DUMMYFUNCTION("""COMPUTED_VALUE"""),"LYKA PERALTA")</f>
        <v>LYKA PERALTA</v>
      </c>
      <c r="C1450" s="235" t="str">
        <f>IFERROR(__xludf.DUMMYFUNCTION("""COMPUTED_VALUE"""),"AMD")</f>
        <v>AMD</v>
      </c>
      <c r="D1450" s="196" t="str">
        <f>IFERROR(__xludf.DUMMYFUNCTION("""COMPUTED_VALUE"""),"Capiz Square Coaster Set 4 Natural
Pouch Canvas 2 Zip w/ leather beige
Pouch Canvas 2 zip w/ Leather Brown
Pouch Canvas Wristlet Fish Under Sea
")</f>
        <v>Capiz Square Coaster Set 4 Natural
Pouch Canvas 2 Zip w/ leather beige
Pouch Canvas 2 zip w/ Leather Brown
Pouch Canvas Wristlet Fish Under Sea
</v>
      </c>
      <c r="E1450" s="196" t="str">
        <f>IFERROR(__xludf.DUMMYFUNCTION("""COMPUTED_VALUE"""),"TOKEN ADDITIONAL")</f>
        <v>TOKEN ADDITIONAL</v>
      </c>
    </row>
    <row r="1451">
      <c r="A1451" s="234">
        <f>IFERROR(__xludf.DUMMYFUNCTION("""COMPUTED_VALUE"""),106284.0)</f>
        <v>106284</v>
      </c>
      <c r="B1451" s="235"/>
      <c r="C1451" s="235"/>
      <c r="D1451" s="196"/>
      <c r="E1451" s="196"/>
    </row>
    <row r="1452">
      <c r="A1452" s="234">
        <f>IFERROR(__xludf.DUMMYFUNCTION("""COMPUTED_VALUE"""),106285.0)</f>
        <v>106285</v>
      </c>
      <c r="B1452" s="235" t="str">
        <f>IFERROR(__xludf.DUMMYFUNCTION("""COMPUTED_VALUE"""),"RODRIGO CUSTODIO")</f>
        <v>RODRIGO CUSTODIO</v>
      </c>
      <c r="C1452" s="235" t="str">
        <f>IFERROR(__xludf.DUMMYFUNCTION("""COMPUTED_VALUE"""),"AMD")</f>
        <v>AMD</v>
      </c>
      <c r="D1452" s="196" t="str">
        <f>IFERROR(__xludf.DUMMYFUNCTION("""COMPUTED_VALUE"""),"10 PCS WINDOW SQUEEGEE W/ EXTENDABLE HANDLE
10 PCS STRPPER PAD GREEN 3M
14 PCS LYSOL AIR FRESHENES DISINFECTANT ANTIBACTERIAL 340 G
10 PCS DIPPER OROCAN
10 PCS PAIL OROCAN")</f>
        <v>10 PCS WINDOW SQUEEGEE W/ EXTENDABLE HANDLE
10 PCS STRPPER PAD GREEN 3M
14 PCS LYSOL AIR FRESHENES DISINFECTANT ANTIBACTERIAL 340 G
10 PCS DIPPER OROCAN
10 PCS PAIL OROCAN</v>
      </c>
      <c r="E1452" s="196" t="str">
        <f>IFERROR(__xludf.DUMMYFUNCTION("""COMPUTED_VALUE"""),"HOUSEKEEPING STOCK REPLENISHMENT")</f>
        <v>HOUSEKEEPING STOCK REPLENISHMENT</v>
      </c>
    </row>
    <row r="1453">
      <c r="A1453" s="234">
        <f>IFERROR(__xludf.DUMMYFUNCTION("""COMPUTED_VALUE"""),106286.0)</f>
        <v>106286</v>
      </c>
      <c r="B1453" s="235" t="str">
        <f>IFERROR(__xludf.DUMMYFUNCTION("""COMPUTED_VALUE"""),"MARK PABUSTAN")</f>
        <v>MARK PABUSTAN</v>
      </c>
      <c r="C1453" s="235" t="str">
        <f>IFERROR(__xludf.DUMMYFUNCTION("""COMPUTED_VALUE"""),"MIS/ROBOTICS")</f>
        <v>MIS/ROBOTICS</v>
      </c>
      <c r="D1453" s="196" t="str">
        <f>IFERROR(__xludf.DUMMYFUNCTION("""COMPUTED_VALUE"""),"2 SET VEX V5 SUPER COMPETITION KIT
1 SET VEX V5 PORTABLE COMPETITION FIELD PERIMETER
1 SET VEX V5 COMPETITION ANTI STATIC FULL FIELD TILE KIT 
1 SET 25-26 VEX V5 ROBOTICS COMPETITION PUSH BACK FULL GAME ELEMENT KIT
1 SET VEX V5 COMPETITION STARTER KIT")</f>
        <v>2 SET VEX V5 SUPER COMPETITION KIT
1 SET VEX V5 PORTABLE COMPETITION FIELD PERIMETER
1 SET VEX V5 COMPETITION ANTI STATIC FULL FIELD TILE KIT 
1 SET 25-26 VEX V5 ROBOTICS COMPETITION PUSH BACK FULL GAME ELEMENT KIT
1 SET VEX V5 COMPETITION STARTER KIT</v>
      </c>
      <c r="E1453" s="196" t="str">
        <f>IFERROR(__xludf.DUMMYFUNCTION("""COMPUTED_VALUE"""),"FOR VEX COMPETITION")</f>
        <v>FOR VEX COMPETITION</v>
      </c>
    </row>
    <row r="1454">
      <c r="A1454" s="234">
        <f>IFERROR(__xludf.DUMMYFUNCTION("""COMPUTED_VALUE"""),106287.0)</f>
        <v>106287</v>
      </c>
      <c r="B1454" s="235" t="str">
        <f>IFERROR(__xludf.DUMMYFUNCTION("""COMPUTED_VALUE"""),"SHEREE ESPINOSA")</f>
        <v>SHEREE ESPINOSA</v>
      </c>
      <c r="C1454" s="235" t="str">
        <f>IFERROR(__xludf.DUMMYFUNCTION("""COMPUTED_VALUE"""),"ADMIN")</f>
        <v>ADMIN</v>
      </c>
      <c r="D1454" s="196" t="str">
        <f>IFERROR(__xludf.DUMMYFUNCTION("""COMPUTED_VALUE"""),"1000 RUBBER KOOTING")</f>
        <v>1000 RUBBER KOOTING</v>
      </c>
      <c r="E1454" s="196" t="str">
        <f>IFERROR(__xludf.DUMMYFUNCTION("""COMPUTED_VALUE"""),"FOR NEWLY REPAINTED STEEL CHAIRS AND TABLES")</f>
        <v>FOR NEWLY REPAINTED STEEL CHAIRS AND TABLES</v>
      </c>
    </row>
    <row r="1455">
      <c r="A1455" s="234">
        <f>IFERROR(__xludf.DUMMYFUNCTION("""COMPUTED_VALUE"""),106288.0)</f>
        <v>106288</v>
      </c>
      <c r="B1455" s="235" t="str">
        <f>IFERROR(__xludf.DUMMYFUNCTION("""COMPUTED_VALUE"""),"ELMIE LAUDIATO")</f>
        <v>ELMIE LAUDIATO</v>
      </c>
      <c r="C1455" s="235" t="str">
        <f>IFERROR(__xludf.DUMMYFUNCTION("""COMPUTED_VALUE"""),"HRMD")</f>
        <v>HRMD</v>
      </c>
      <c r="D1455" s="196" t="str">
        <f>IFERROR(__xludf.DUMMYFUNCTION("""COMPUTED_VALUE"""),"EMPLOYEE UNIFORMS")</f>
        <v>EMPLOYEE UNIFORMS</v>
      </c>
      <c r="E1455" s="196" t="str">
        <f>IFERROR(__xludf.DUMMYFUNCTION("""COMPUTED_VALUE"""),"UNIFORM LAST BATCH FOR AY 24-25")</f>
        <v>UNIFORM LAST BATCH FOR AY 24-25</v>
      </c>
    </row>
    <row r="1456">
      <c r="A1456" s="234">
        <f>IFERROR(__xludf.DUMMYFUNCTION("""COMPUTED_VALUE"""),106289.0)</f>
        <v>106289</v>
      </c>
      <c r="B1456" s="235" t="str">
        <f>IFERROR(__xludf.DUMMYFUNCTION("""COMPUTED_VALUE"""),"SHEREE ESPINOSA")</f>
        <v>SHEREE ESPINOSA</v>
      </c>
      <c r="C1456" s="235" t="str">
        <f>IFERROR(__xludf.DUMMYFUNCTION("""COMPUTED_VALUE"""),"ADMIN")</f>
        <v>ADMIN</v>
      </c>
      <c r="D1456" s="196" t="str">
        <f>IFERROR(__xludf.DUMMYFUNCTION("""COMPUTED_VALUE"""),"200 PCS BULB")</f>
        <v>200 PCS BULB</v>
      </c>
      <c r="E1456" s="196" t="str">
        <f>IFERROR(__xludf.DUMMYFUNCTION("""COMPUTED_VALUE"""),"REPLACEMENT/REPAIR OFBUSTED LIGHTS OF THE CAPIZ PAROL/LAMP")</f>
        <v>REPLACEMENT/REPAIR OFBUSTED LIGHTS OF THE CAPIZ PAROL/LAMP</v>
      </c>
    </row>
    <row r="1457">
      <c r="A1457" s="234">
        <f>IFERROR(__xludf.DUMMYFUNCTION("""COMPUTED_VALUE"""),106290.0)</f>
        <v>106290</v>
      </c>
      <c r="B1457" s="235" t="str">
        <f>IFERROR(__xludf.DUMMYFUNCTION("""COMPUTED_VALUE"""),"CARLITO DELA VEGA")</f>
        <v>CARLITO DELA VEGA</v>
      </c>
      <c r="C1457" s="235" t="str">
        <f>IFERROR(__xludf.DUMMYFUNCTION("""COMPUTED_VALUE"""),"ADMIN")</f>
        <v>ADMIN</v>
      </c>
      <c r="D1457" s="196" t="str">
        <f>IFERROR(__xludf.DUMMYFUNCTION("""COMPUTED_VALUE"""),"6 PCS TRAFFIC CONE RUBBER 36"" ORANGE")</f>
        <v>6 PCS TRAFFIC CONE RUBBER 36" ORANGE</v>
      </c>
      <c r="E1457" s="196" t="str">
        <f>IFERROR(__xludf.DUMMYFUNCTION("""COMPUTED_VALUE"""),"TRAFFIC AT TROP AVE USE")</f>
        <v>TRAFFIC AT TROP AVE USE</v>
      </c>
    </row>
    <row r="1458">
      <c r="A1458" s="234">
        <f>IFERROR(__xludf.DUMMYFUNCTION("""COMPUTED_VALUE"""),106291.0)</f>
        <v>106291</v>
      </c>
      <c r="B1458" s="235" t="str">
        <f>IFERROR(__xludf.DUMMYFUNCTION("""COMPUTED_VALUE"""),"RODRIGO CUSTODIO")</f>
        <v>RODRIGO CUSTODIO</v>
      </c>
      <c r="C1458" s="235" t="str">
        <f>IFERROR(__xludf.DUMMYFUNCTION("""COMPUTED_VALUE"""),"AMD")</f>
        <v>AMD</v>
      </c>
      <c r="D1458" s="196" t="str">
        <f>IFERROR(__xludf.DUMMYFUNCTION("""COMPUTED_VALUE"""),"50 GALS LIQUID DEODORIZER STATE SWEET SUNSATION 1 GAL")</f>
        <v>50 GALS LIQUID DEODORIZER STATE SWEET SUNSATION 1 GAL</v>
      </c>
      <c r="E1458" s="196" t="str">
        <f>IFERROR(__xludf.DUMMYFUNCTION("""COMPUTED_VALUE"""),"HOUSEKEEPING STOCK REPLENISHMENT")</f>
        <v>HOUSEKEEPING STOCK REPLENISHMENT</v>
      </c>
    </row>
    <row r="1459">
      <c r="A1459" s="234">
        <f>IFERROR(__xludf.DUMMYFUNCTION("""COMPUTED_VALUE"""),106292.0)</f>
        <v>106292</v>
      </c>
      <c r="B1459" s="235" t="str">
        <f>IFERROR(__xludf.DUMMYFUNCTION("""COMPUTED_VALUE"""),"MARC VINCENT VITTO")</f>
        <v>MARC VINCENT VITTO</v>
      </c>
      <c r="C1459" s="235" t="str">
        <f>IFERROR(__xludf.DUMMYFUNCTION("""COMPUTED_VALUE"""),"PR &amp; MARKETING")</f>
        <v>PR &amp; MARKETING</v>
      </c>
      <c r="D1459" s="196" t="str">
        <f>IFERROR(__xludf.DUMMYFUNCTION("""COMPUTED_VALUE"""),"ISAC 2025 BANNER THICKNESS: 13OZ W/ SEAMING AND EYELET ALL OVER
SIZE:
-2 PCS W = 12FT X H 6FT
-1 PC W= 11FT X H=8FT")</f>
        <v>ISAC 2025 BANNER THICKNESS: 13OZ W/ SEAMING AND EYELET ALL OVER
SIZE:
-2 PCS W = 12FT X H 6FT
-1 PC W= 11FT X H=8FT</v>
      </c>
      <c r="E1459" s="196" t="str">
        <f>IFERROR(__xludf.DUMMYFUNCTION("""COMPUTED_VALUE"""),"FOR ISAC")</f>
        <v>FOR ISAC</v>
      </c>
    </row>
    <row r="1460">
      <c r="A1460" s="234">
        <f>IFERROR(__xludf.DUMMYFUNCTION("""COMPUTED_VALUE"""),106293.0)</f>
        <v>106293</v>
      </c>
      <c r="B1460" s="235" t="str">
        <f>IFERROR(__xludf.DUMMYFUNCTION("""COMPUTED_VALUE"""),"MARC VINCENT VITTO")</f>
        <v>MARC VINCENT VITTO</v>
      </c>
      <c r="C1460" s="235" t="str">
        <f>IFERROR(__xludf.DUMMYFUNCTION("""COMPUTED_VALUE"""),"PR &amp; MARKETING")</f>
        <v>PR &amp; MARKETING</v>
      </c>
      <c r="D1460" s="196" t="str">
        <f>IFERROR(__xludf.DUMMYFUNCTION("""COMPUTED_VALUE"""),"ISAC 2025 SCHOOL BANNERS SIZE W 3FT X H 5FT THICKNESS 13 OZ W/ SEAMING AND EYELET ALL OVER
-1 EACH:
-BISS
-BISG
-CIS
-BISM
-FIA
-SISC")</f>
        <v>ISAC 2025 SCHOOL BANNERS SIZE W 3FT X H 5FT THICKNESS 13 OZ W/ SEAMING AND EYELET ALL OVER
-1 EACH:
-BISS
-BISG
-CIS
-BISM
-FIA
-SISC</v>
      </c>
      <c r="E1460" s="196" t="str">
        <f>IFERROR(__xludf.DUMMYFUNCTION("""COMPUTED_VALUE"""),"FOR ISAC")</f>
        <v>FOR ISAC</v>
      </c>
    </row>
    <row r="1461">
      <c r="A1461" s="234">
        <f>IFERROR(__xludf.DUMMYFUNCTION("""COMPUTED_VALUE"""),106294.0)</f>
        <v>106294</v>
      </c>
      <c r="B1461" s="235" t="str">
        <f>IFERROR(__xludf.DUMMYFUNCTION("""COMPUTED_VALUE"""),"MARVIN MARASIGAN")</f>
        <v>MARVIN MARASIGAN</v>
      </c>
      <c r="C1461" s="235" t="str">
        <f>IFERROR(__xludf.DUMMYFUNCTION("""COMPUTED_VALUE"""),"PR &amp; MARKETING")</f>
        <v>PR &amp; MARKETING</v>
      </c>
      <c r="D1461" s="196" t="str">
        <f>IFERROR(__xludf.DUMMYFUNCTION("""COMPUTED_VALUE"""),"1000 PCS MIDDLE EAST GENERIC FLYER 4X6 INCHES 250 GSM C25180 ")</f>
        <v>1000 PCS MIDDLE EAST GENERIC FLYER 4X6 INCHES 250 GSM C25180 </v>
      </c>
      <c r="E1461" s="196" t="str">
        <f>IFERROR(__xludf.DUMMYFUNCTION("""COMPUTED_VALUE"""),"MIDDLE EAST MARKETING")</f>
        <v>MIDDLE EAST MARKETING</v>
      </c>
    </row>
    <row r="1462">
      <c r="A1462" s="234">
        <f>IFERROR(__xludf.DUMMYFUNCTION("""COMPUTED_VALUE"""),106295.0)</f>
        <v>106295</v>
      </c>
      <c r="B1462" s="235" t="str">
        <f>IFERROR(__xludf.DUMMYFUNCTION("""COMPUTED_VALUE"""),"MARC VINCENT VITTO")</f>
        <v>MARC VINCENT VITTO</v>
      </c>
      <c r="C1462" s="235" t="str">
        <f>IFERROR(__xludf.DUMMYFUNCTION("""COMPUTED_VALUE"""),"PR &amp; MARKETING")</f>
        <v>PR &amp; MARKETING</v>
      </c>
      <c r="D1462" s="196" t="str">
        <f>IFERROR(__xludf.DUMMYFUNCTION("""COMPUTED_VALUE"""),"6 ISAC 2025 LOGO STICKER SIZE W 8.5IN X H 2.5INC")</f>
        <v>6 ISAC 2025 LOGO STICKER SIZE W 8.5IN X H 2.5INC</v>
      </c>
      <c r="E1462" s="196" t="str">
        <f>IFERROR(__xludf.DUMMYFUNCTION("""COMPUTED_VALUE"""),"ISAC 2025")</f>
        <v>ISAC 2025</v>
      </c>
    </row>
    <row r="1463">
      <c r="A1463" s="234">
        <f>IFERROR(__xludf.DUMMYFUNCTION("""COMPUTED_VALUE"""),106296.0)</f>
        <v>106296</v>
      </c>
      <c r="B1463" s="235" t="str">
        <f>IFERROR(__xludf.DUMMYFUNCTION("""COMPUTED_VALUE"""),"ALFA DE LEON")</f>
        <v>ALFA DE LEON</v>
      </c>
      <c r="C1463" s="235" t="str">
        <f>IFERROR(__xludf.DUMMYFUNCTION("""COMPUTED_VALUE"""),"LANDSCAPING")</f>
        <v>LANDSCAPING</v>
      </c>
      <c r="D1463" s="196" t="str">
        <f>IFERROR(__xludf.DUMMYFUNCTION("""COMPUTED_VALUE"""),"100 PCS PLASTIC POTS BLACK
20 PCS CERAMIC POTS")</f>
        <v>100 PCS PLASTIC POTS BLACK
20 PCS CERAMIC POTS</v>
      </c>
      <c r="E1463" s="196" t="str">
        <f>IFERROR(__xludf.DUMMYFUNCTION("""COMPUTED_VALUE"""),"TROP CAMPUS DESIGNING UNDER THE STAIRS AREA ")</f>
        <v>TROP CAMPUS DESIGNING UNDER THE STAIRS AREA </v>
      </c>
    </row>
    <row r="1464">
      <c r="A1464" s="234">
        <f>IFERROR(__xludf.DUMMYFUNCTION("""COMPUTED_VALUE"""),106297.0)</f>
        <v>106297</v>
      </c>
      <c r="B1464" s="235" t="str">
        <f>IFERROR(__xludf.DUMMYFUNCTION("""COMPUTED_VALUE"""),"JESUIT CHRISTIAN GALICIA")</f>
        <v>JESUIT CHRISTIAN GALICIA</v>
      </c>
      <c r="C1464" s="235" t="str">
        <f>IFERROR(__xludf.DUMMYFUNCTION("""COMPUTED_VALUE"""),"AMD")</f>
        <v>AMD</v>
      </c>
      <c r="D1464" s="196" t="str">
        <f>IFERROR(__xludf.DUMMYFUNCTION("""COMPUTED_VALUE"""),"22 PCS PTRAP STAINLESS W/ PO PLUG")</f>
        <v>22 PCS PTRAP STAINLESS W/ PO PLUG</v>
      </c>
      <c r="E1464" s="196" t="str">
        <f>IFERROR(__xludf.DUMMYFUNCTION("""COMPUTED_VALUE"""),"ENGR WAREHOUSE REPLENISHMENT")</f>
        <v>ENGR WAREHOUSE REPLENISHMENT</v>
      </c>
    </row>
    <row r="1465">
      <c r="A1465" s="234">
        <f>IFERROR(__xludf.DUMMYFUNCTION("""COMPUTED_VALUE"""),106298.0)</f>
        <v>106298</v>
      </c>
      <c r="B1465" s="235" t="str">
        <f>IFERROR(__xludf.DUMMYFUNCTION("""COMPUTED_VALUE"""),"ELMIE LAUDIATO")</f>
        <v>ELMIE LAUDIATO</v>
      </c>
      <c r="C1465" s="235" t="str">
        <f>IFERROR(__xludf.DUMMYFUNCTION("""COMPUTED_VALUE"""),"HRMD")</f>
        <v>HRMD</v>
      </c>
      <c r="D1465" s="196" t="str">
        <f>IFERROR(__xludf.DUMMYFUNCTION("""COMPUTED_VALUE"""),"SISC TYPE B UNIFORMS")</f>
        <v>SISC TYPE B UNIFORMS</v>
      </c>
      <c r="E1465" s="196" t="str">
        <f>IFERROR(__xludf.DUMMYFUNCTION("""COMPUTED_VALUE"""),"AY 25-26 TYPE B /  FOUNDATION DAY / POLO SHIRT")</f>
        <v>AY 25-26 TYPE B /  FOUNDATION DAY / POLO SHIRT</v>
      </c>
    </row>
    <row r="1466">
      <c r="A1466" s="234">
        <f>IFERROR(__xludf.DUMMYFUNCTION("""COMPUTED_VALUE"""),106299.0)</f>
        <v>106299</v>
      </c>
      <c r="B1466" s="235" t="str">
        <f>IFERROR(__xludf.DUMMYFUNCTION("""COMPUTED_VALUE"""),"JOSEPH ASOY")</f>
        <v>JOSEPH ASOY</v>
      </c>
      <c r="C1466" s="235" t="str">
        <f>IFERROR(__xludf.DUMMYFUNCTION("""COMPUTED_VALUE"""),"SPECIAL SUBJECTS")</f>
        <v>SPECIAL SUBJECTS</v>
      </c>
      <c r="D1466" s="196" t="str">
        <f>IFERROR(__xludf.DUMMYFUNCTION("""COMPUTED_VALUE"""),"1 TRODAT STAMP BLUE INK")</f>
        <v>1 TRODAT STAMP BLUE INK</v>
      </c>
      <c r="E1466" s="196" t="str">
        <f>IFERROR(__xludf.DUMMYFUNCTION("""COMPUTED_VALUE"""),"FOR OFFICIAL SCHOOL DOCS")</f>
        <v>FOR OFFICIAL SCHOOL DOCS</v>
      </c>
    </row>
    <row r="1467">
      <c r="A1467" s="234">
        <f>IFERROR(__xludf.DUMMYFUNCTION("""COMPUTED_VALUE"""),106300.0)</f>
        <v>106300</v>
      </c>
      <c r="B1467" s="235" t="str">
        <f>IFERROR(__xludf.DUMMYFUNCTION("""COMPUTED_VALUE"""),"ADOR MARINDA")</f>
        <v>ADOR MARINDA</v>
      </c>
      <c r="C1467" s="235" t="str">
        <f>IFERROR(__xludf.DUMMYFUNCTION("""COMPUTED_VALUE"""),"MIS/ICT")</f>
        <v>MIS/ICT</v>
      </c>
      <c r="D1467" s="196" t="str">
        <f>IFERROR(__xludf.DUMMYFUNCTION("""COMPUTED_VALUE"""),"3 APC UPS SRV2KRILRK 2000 VA ")</f>
        <v>3 APC UPS SRV2KRILRK 2000 VA </v>
      </c>
      <c r="E1467" s="196" t="str">
        <f>IFERROR(__xludf.DUMMYFUNCTION("""COMPUTED_VALUE"""),"UPS FOR SERVER SWITCHES")</f>
        <v>UPS FOR SERVER SWITCHES</v>
      </c>
    </row>
    <row r="1468">
      <c r="A1468" s="234">
        <f>IFERROR(__xludf.DUMMYFUNCTION("""COMPUTED_VALUE"""),106301.0)</f>
        <v>106301</v>
      </c>
      <c r="B1468" s="235" t="str">
        <f>IFERROR(__xludf.DUMMYFUNCTION("""COMPUTED_VALUE"""),"JOMMEL ESPIGOL")</f>
        <v>JOMMEL ESPIGOL</v>
      </c>
      <c r="C1468" s="235" t="str">
        <f>IFERROR(__xludf.DUMMYFUNCTION("""COMPUTED_VALUE"""),"HRMD")</f>
        <v>HRMD</v>
      </c>
      <c r="D1468" s="196" t="str">
        <f>IFERROR(__xludf.DUMMYFUNCTION("""COMPUTED_VALUE"""),"10 LONG ARCHIVE OR COMPARTMENT BOX BLACK 
2 PLASTIC STORAGE BOX 250 LITERS AND 160 LITERS IF 250 LITERS IS UNAVAILABLE")</f>
        <v>10 LONG ARCHIVE OR COMPARTMENT BOX BLACK 
2 PLASTIC STORAGE BOX 250 LITERS AND 160 LITERS IF 250 LITERS IS UNAVAILABLE</v>
      </c>
      <c r="E1468" s="196" t="str">
        <f>IFERROR(__xludf.DUMMYFUNCTION("""COMPUTED_VALUE"""),"OFFICE USE")</f>
        <v>OFFICE USE</v>
      </c>
    </row>
    <row r="1469">
      <c r="A1469" s="234">
        <f>IFERROR(__xludf.DUMMYFUNCTION("""COMPUTED_VALUE"""),106302.0)</f>
        <v>106302</v>
      </c>
      <c r="B1469" s="235" t="str">
        <f>IFERROR(__xludf.DUMMYFUNCTION("""COMPUTED_VALUE"""),"MARK PABUSTAN")</f>
        <v>MARK PABUSTAN</v>
      </c>
      <c r="C1469" s="235" t="str">
        <f>IFERROR(__xludf.DUMMYFUNCTION("""COMPUTED_VALUE"""),"MIS/ROBOTICS")</f>
        <v>MIS/ROBOTICS</v>
      </c>
      <c r="D1469" s="196" t="str">
        <f>IFERROR(__xludf.DUMMYFUNCTION("""COMPUTED_VALUE"""),"15 PCS EACH:
UARO STEP 1, STEP2, STEP 3, STEP 4")</f>
        <v>15 PCS EACH:
UARO STEP 1, STEP2, STEP 3, STEP 4</v>
      </c>
      <c r="E1469" s="196" t="str">
        <f>IFERROR(__xludf.DUMMYFUNCTION("""COMPUTED_VALUE"""),"ROBOTICS KIT FOR MUNICH AND STAR CAMPUS")</f>
        <v>ROBOTICS KIT FOR MUNICH AND STAR CAMPUS</v>
      </c>
    </row>
    <row r="1470">
      <c r="A1470" s="234">
        <f>IFERROR(__xludf.DUMMYFUNCTION("""COMPUTED_VALUE"""),106303.0)</f>
        <v>106303</v>
      </c>
      <c r="B1470" s="235" t="str">
        <f>IFERROR(__xludf.DUMMYFUNCTION("""COMPUTED_VALUE"""),"MARK PABUSTAN")</f>
        <v>MARK PABUSTAN</v>
      </c>
      <c r="C1470" s="235" t="str">
        <f>IFERROR(__xludf.DUMMYFUNCTION("""COMPUTED_VALUE"""),"MIS/ROBOTICS")</f>
        <v>MIS/ROBOTICS</v>
      </c>
      <c r="D1470" s="196" t="str">
        <f>IFERROR(__xludf.DUMMYFUNCTION("""COMPUTED_VALUE"""),"SINTRA BOARD QOUTE LETTER PRINTS")</f>
        <v>SINTRA BOARD QOUTE LETTER PRINTS</v>
      </c>
      <c r="E1470" s="196" t="str">
        <f>IFERROR(__xludf.DUMMYFUNCTION("""COMPUTED_VALUE"""),"FOR MOTIVATIONAL WALL ART ON ROBOTICS LAB AND CHROMELAB LUX")</f>
        <v>FOR MOTIVATIONAL WALL ART ON ROBOTICS LAB AND CHROMELAB LUX</v>
      </c>
    </row>
    <row r="1471">
      <c r="A1471" s="234">
        <f>IFERROR(__xludf.DUMMYFUNCTION("""COMPUTED_VALUE"""),106304.0)</f>
        <v>106304</v>
      </c>
      <c r="B1471" s="235" t="str">
        <f>IFERROR(__xludf.DUMMYFUNCTION("""COMPUTED_VALUE"""),"ELYDIA REYES")</f>
        <v>ELYDIA REYES</v>
      </c>
      <c r="C1471" s="235" t="str">
        <f>IFERROR(__xludf.DUMMYFUNCTION("""COMPUTED_VALUE"""),"PR &amp; MARKETING")</f>
        <v>PR &amp; MARKETING</v>
      </c>
      <c r="D1471" s="196" t="str">
        <f>IFERROR(__xludf.DUMMYFUNCTION("""COMPUTED_VALUE"""),"500 PCS K12 INFO POCKET 30 PAGEST +2 COVER")</f>
        <v>500 PCS K12 INFO POCKET 30 PAGEST +2 COVER</v>
      </c>
      <c r="E1471" s="196" t="str">
        <f>IFERROR(__xludf.DUMMYFUNCTION("""COMPUTED_VALUE"""),"MARKETING PURPOSES")</f>
        <v>MARKETING PURPOSES</v>
      </c>
    </row>
    <row r="1472">
      <c r="A1472" s="234">
        <f>IFERROR(__xludf.DUMMYFUNCTION("""COMPUTED_VALUE"""),106305.0)</f>
        <v>106305</v>
      </c>
      <c r="B1472" s="235" t="str">
        <f>IFERROR(__xludf.DUMMYFUNCTION("""COMPUTED_VALUE"""),"ELYDIA REYES")</f>
        <v>ELYDIA REYES</v>
      </c>
      <c r="C1472" s="235" t="str">
        <f>IFERROR(__xludf.DUMMYFUNCTION("""COMPUTED_VALUE"""),"PR &amp; MARKETING")</f>
        <v>PR &amp; MARKETING</v>
      </c>
      <c r="D1472" s="196" t="str">
        <f>IFERROR(__xludf.DUMMYFUNCTION("""COMPUTED_VALUE"""),"1000 PCS SGEN (SIMPLIFIED) BROCHURE")</f>
        <v>1000 PCS SGEN (SIMPLIFIED) BROCHURE</v>
      </c>
      <c r="E1472" s="196" t="str">
        <f>IFERROR(__xludf.DUMMYFUNCTION("""COMPUTED_VALUE"""),"MARKETING PURPOSES")</f>
        <v>MARKETING PURPOSES</v>
      </c>
    </row>
    <row r="1473">
      <c r="A1473" s="234">
        <f>IFERROR(__xludf.DUMMYFUNCTION("""COMPUTED_VALUE"""),106306.0)</f>
        <v>106306</v>
      </c>
      <c r="B1473" s="235" t="str">
        <f>IFERROR(__xludf.DUMMYFUNCTION("""COMPUTED_VALUE"""),"MYLYN BOTALON")</f>
        <v>MYLYN BOTALON</v>
      </c>
      <c r="C1473" s="235" t="str">
        <f>IFERROR(__xludf.DUMMYFUNCTION("""COMPUTED_VALUE"""),"IB")</f>
        <v>IB</v>
      </c>
      <c r="D1473" s="196" t="str">
        <f>IFERROR(__xludf.DUMMYFUNCTION("""COMPUTED_VALUE"""),"10 PCS PIGS HEART FOR DISSECTION")</f>
        <v>10 PCS PIGS HEART FOR DISSECTION</v>
      </c>
      <c r="E1473" s="196" t="str">
        <f>IFERROR(__xludf.DUMMYFUNCTION("""COMPUTED_VALUE"""),"FOR PIGS HEART DISSECTION")</f>
        <v>FOR PIGS HEART DISSECTION</v>
      </c>
    </row>
    <row r="1474">
      <c r="A1474" s="234">
        <f>IFERROR(__xludf.DUMMYFUNCTION("""COMPUTED_VALUE"""),106307.0)</f>
        <v>106307</v>
      </c>
      <c r="B1474" s="235" t="str">
        <f>IFERROR(__xludf.DUMMYFUNCTION("""COMPUTED_VALUE"""),"RONALDO VERDE")</f>
        <v>RONALDO VERDE</v>
      </c>
      <c r="C1474" s="235" t="str">
        <f>IFERROR(__xludf.DUMMYFUNCTION("""COMPUTED_VALUE"""),"ADMIN")</f>
        <v>ADMIN</v>
      </c>
      <c r="D1474" s="196" t="str">
        <f>IFERROR(__xludf.DUMMYFUNCTION("""COMPUTED_VALUE"""),"30 PCS ROUND LED DOWNLIGHT COOL WHITE")</f>
        <v>30 PCS ROUND LED DOWNLIGHT COOL WHITE</v>
      </c>
      <c r="E1474" s="196" t="str">
        <f>IFERROR(__xludf.DUMMYFUNCTION("""COMPUTED_VALUE"""),"FOR MONARCHS GYM CR BOYS AND GIRLS")</f>
        <v>FOR MONARCHS GYM CR BOYS AND GIRLS</v>
      </c>
    </row>
    <row r="1475">
      <c r="A1475" s="234">
        <f>IFERROR(__xludf.DUMMYFUNCTION("""COMPUTED_VALUE"""),106308.0)</f>
        <v>106308</v>
      </c>
      <c r="B1475" s="235" t="str">
        <f>IFERROR(__xludf.DUMMYFUNCTION("""COMPUTED_VALUE"""),"OWIE PAR")</f>
        <v>OWIE PAR</v>
      </c>
      <c r="C1475" s="235" t="str">
        <f>IFERROR(__xludf.DUMMYFUNCTION("""COMPUTED_VALUE"""),"ADMIN")</f>
        <v>ADMIN</v>
      </c>
      <c r="D1475" s="196" t="str">
        <f>IFERROR(__xludf.DUMMYFUNCTION("""COMPUTED_VALUE"""),"10 PCS CABINET HANDLE")</f>
        <v>10 PCS CABINET HANDLE</v>
      </c>
      <c r="E1475" s="196" t="str">
        <f>IFERROR(__xludf.DUMMYFUNCTION("""COMPUTED_VALUE"""),"ADMIN CABINET")</f>
        <v>ADMIN CABINET</v>
      </c>
    </row>
    <row r="1476">
      <c r="A1476" s="234">
        <f>IFERROR(__xludf.DUMMYFUNCTION("""COMPUTED_VALUE"""),106309.0)</f>
        <v>106309</v>
      </c>
      <c r="B1476" s="235" t="str">
        <f>IFERROR(__xludf.DUMMYFUNCTION("""COMPUTED_VALUE"""),"RODRIGO CUSTODIO")</f>
        <v>RODRIGO CUSTODIO</v>
      </c>
      <c r="C1476" s="235" t="str">
        <f>IFERROR(__xludf.DUMMYFUNCTION("""COMPUTED_VALUE"""),"AMD")</f>
        <v>AMD</v>
      </c>
      <c r="D1476" s="196" t="str">
        <f>IFERROR(__xludf.DUMMYFUNCTION("""COMPUTED_VALUE"""),"100 PAIRS - RUBBER GLOVES HEAVY DUTY
7 PCS - RAIN COAT")</f>
        <v>100 PAIRS - RUBBER GLOVES HEAVY DUTY
7 PCS - RAIN COAT</v>
      </c>
      <c r="E1476" s="196" t="str">
        <f>IFERROR(__xludf.DUMMYFUNCTION("""COMPUTED_VALUE"""),"HOUSEKEEPING STOCK REPLENISHMENT")</f>
        <v>HOUSEKEEPING STOCK REPLENISHMENT</v>
      </c>
    </row>
    <row r="1477">
      <c r="A1477" s="234">
        <f>IFERROR(__xludf.DUMMYFUNCTION("""COMPUTED_VALUE"""),106310.0)</f>
        <v>106310</v>
      </c>
      <c r="B1477" s="235" t="str">
        <f>IFERROR(__xludf.DUMMYFUNCTION("""COMPUTED_VALUE"""),"JANCEL PRADILLADA")</f>
        <v>JANCEL PRADILLADA</v>
      </c>
      <c r="C1477" s="235" t="str">
        <f>IFERROR(__xludf.DUMMYFUNCTION("""COMPUTED_VALUE"""),"MIS/ICT")</f>
        <v>MIS/ICT</v>
      </c>
      <c r="D1477" s="196" t="str">
        <f>IFERROR(__xludf.DUMMYFUNCTION("""COMPUTED_VALUE"""),"10 PCS LED PAR LIGHT 
-54LED
-FRONT HEIGHT 22 CM
-BACK HEIGHT 20 CM
3 PCS LED PAR LIGHT STAND
-CAPACITY 4 PCS OF PAR LIGHTS
-HEIGHT 4FT UP TO 11.5 FT ")</f>
        <v>10 PCS LED PAR LIGHT 
-54LED
-FRONT HEIGHT 22 CM
-BACK HEIGHT 20 CM
3 PCS LED PAR LIGHT STAND
-CAPACITY 4 PCS OF PAR LIGHTS
-HEIGHT 4FT UP TO 11.5 FT </v>
      </c>
      <c r="E1477" s="196" t="str">
        <f>IFERROR(__xludf.DUMMYFUNCTION("""COMPUTED_VALUE"""),"FOR LUXHALL EVENTS ")</f>
        <v>FOR LUXHALL EVENTS </v>
      </c>
    </row>
    <row r="1478">
      <c r="A1478" s="234">
        <f>IFERROR(__xludf.DUMMYFUNCTION("""COMPUTED_VALUE"""),106311.0)</f>
        <v>106311</v>
      </c>
      <c r="B1478" s="235" t="str">
        <f>IFERROR(__xludf.DUMMYFUNCTION("""COMPUTED_VALUE"""),"JANCEL PARADILLADA")</f>
        <v>JANCEL PARADILLADA</v>
      </c>
      <c r="C1478" s="235" t="str">
        <f>IFERROR(__xludf.DUMMYFUNCTION("""COMPUTED_VALUE"""),"MIS/ICT")</f>
        <v>MIS/ICT</v>
      </c>
      <c r="D1478" s="196" t="str">
        <f>IFERROR(__xludf.DUMMYFUNCTION("""COMPUTED_VALUE"""),"7 PCS DYNAMIC MICROPHONE
5 PCS MICROPHONE STAND")</f>
        <v>7 PCS DYNAMIC MICROPHONE
5 PCS MICROPHONE STAND</v>
      </c>
      <c r="E1478" s="196" t="str">
        <f>IFERROR(__xludf.DUMMYFUNCTION("""COMPUTED_VALUE"""),"FOR EVENTS ")</f>
        <v>FOR EVENTS </v>
      </c>
    </row>
    <row r="1479">
      <c r="A1479" s="234">
        <f>IFERROR(__xludf.DUMMYFUNCTION("""COMPUTED_VALUE"""),106312.0)</f>
        <v>106312</v>
      </c>
      <c r="B1479" s="235" t="str">
        <f>IFERROR(__xludf.DUMMYFUNCTION("""COMPUTED_VALUE"""),"JANCEL PARADILLADA")</f>
        <v>JANCEL PARADILLADA</v>
      </c>
      <c r="C1479" s="235" t="str">
        <f>IFERROR(__xludf.DUMMYFUNCTION("""COMPUTED_VALUE"""),"MIS/ICT")</f>
        <v>MIS/ICT</v>
      </c>
      <c r="D1479" s="196" t="str">
        <f>IFERROR(__xludf.DUMMYFUNCTION("""COMPUTED_VALUE"""),"1 PC UNINTERRUPTIBLE POWER SUPPLY ")</f>
        <v>1 PC UNINTERRUPTIBLE POWER SUPPLY </v>
      </c>
      <c r="E1479" s="196" t="str">
        <f>IFERROR(__xludf.DUMMYFUNCTION("""COMPUTED_VALUE"""),"FOR LUXHALL EVENT MAIN TECH PC")</f>
        <v>FOR LUXHALL EVENT MAIN TECH PC</v>
      </c>
    </row>
    <row r="1480">
      <c r="A1480" s="234">
        <f>IFERROR(__xludf.DUMMYFUNCTION("""COMPUTED_VALUE"""),106313.0)</f>
        <v>106313</v>
      </c>
      <c r="B1480" s="235" t="str">
        <f>IFERROR(__xludf.DUMMYFUNCTION("""COMPUTED_VALUE"""),"RORY MONSBRIDGE")</f>
        <v>RORY MONSBRIDGE</v>
      </c>
      <c r="C1480" s="235" t="str">
        <f>IFERROR(__xludf.DUMMYFUNCTION("""COMPUTED_VALUE"""),"ATHLETICS")</f>
        <v>ATHLETICS</v>
      </c>
      <c r="D1480" s="196" t="str">
        <f>IFERROR(__xludf.DUMMYFUNCTION("""COMPUTED_VALUE"""),"25 GG7 MOLTEN BASKETBALL
25 GG6 MOLTEN BASKETBALL")</f>
        <v>25 GG7 MOLTEN BASKETBALL
25 GG6 MOLTEN BASKETBALL</v>
      </c>
      <c r="E1480" s="196" t="str">
        <f>IFERROR(__xludf.DUMMYFUNCTION("""COMPUTED_VALUE"""),"VARSITY BALLS 25/26")</f>
        <v>VARSITY BALLS 25/26</v>
      </c>
    </row>
    <row r="1481">
      <c r="A1481" s="234">
        <f>IFERROR(__xludf.DUMMYFUNCTION("""COMPUTED_VALUE"""),106314.0)</f>
        <v>106314</v>
      </c>
      <c r="B1481" s="235" t="str">
        <f>IFERROR(__xludf.DUMMYFUNCTION("""COMPUTED_VALUE"""),"RORY MONSBRIDGE")</f>
        <v>RORY MONSBRIDGE</v>
      </c>
      <c r="C1481" s="235" t="str">
        <f>IFERROR(__xludf.DUMMYFUNCTION("""COMPUTED_VALUE"""),"ATHLETICS")</f>
        <v>ATHLETICS</v>
      </c>
      <c r="D1481" s="196" t="str">
        <f>IFERROR(__xludf.DUMMYFUNCTION("""COMPUTED_VALUE"""),"VARSITY UNIFORM ")</f>
        <v>VARSITY UNIFORM </v>
      </c>
      <c r="E1481" s="196" t="str">
        <f>IFERROR(__xludf.DUMMYFUNCTION("""COMPUTED_VALUE"""),"VARSITY UNIFORMS")</f>
        <v>VARSITY UNIFORMS</v>
      </c>
    </row>
    <row r="1482">
      <c r="A1482" s="234">
        <f>IFERROR(__xludf.DUMMYFUNCTION("""COMPUTED_VALUE"""),106315.0)</f>
        <v>106315</v>
      </c>
      <c r="B1482" s="235" t="str">
        <f>IFERROR(__xludf.DUMMYFUNCTION("""COMPUTED_VALUE"""),"MELISSA ODONO")</f>
        <v>MELISSA ODONO</v>
      </c>
      <c r="C1482" s="235" t="str">
        <f>IFERROR(__xludf.DUMMYFUNCTION("""COMPUTED_VALUE"""),"LIBRARY MUNICH")</f>
        <v>LIBRARY MUNICH</v>
      </c>
      <c r="D1482" s="196" t="str">
        <f>IFERROR(__xludf.DUMMYFUNCTION("""COMPUTED_VALUE"""),"3000 BOOK CARDS
3000 BOOK POCKETS")</f>
        <v>3000 BOOK CARDS
3000 BOOK POCKETS</v>
      </c>
      <c r="E1482" s="196" t="str">
        <f>IFERROR(__xludf.DUMMYFUNCTION("""COMPUTED_VALUE"""),"FOR SECURITY OF BOOKS")</f>
        <v>FOR SECURITY OF BOOKS</v>
      </c>
    </row>
    <row r="1483">
      <c r="A1483" s="234">
        <f>IFERROR(__xludf.DUMMYFUNCTION("""COMPUTED_VALUE"""),106316.0)</f>
        <v>106316</v>
      </c>
      <c r="B1483" s="235" t="str">
        <f>IFERROR(__xludf.DUMMYFUNCTION("""COMPUTED_VALUE"""),"CARLITO DELA VEGA")</f>
        <v>CARLITO DELA VEGA</v>
      </c>
      <c r="C1483" s="235" t="str">
        <f>IFERROR(__xludf.DUMMYFUNCTION("""COMPUTED_VALUE"""),"SECURITY")</f>
        <v>SECURITY</v>
      </c>
      <c r="D1483" s="196" t="str">
        <f>IFERROR(__xludf.DUMMYFUNCTION("""COMPUTED_VALUE"""),"1000 CAR STICKERS FRONT 2.25"" X 3"" #2500 T0 #2600 
1000 CAR STICKER BACK 2.50"" X 7"" ")</f>
        <v>1000 CAR STICKERS FRONT 2.25" X 3" #2500 T0 #2600 
1000 CAR STICKER BACK 2.50" X 7" </v>
      </c>
      <c r="E1483" s="196" t="str">
        <f>IFERROR(__xludf.DUMMYFUNCTION("""COMPUTED_VALUE"""),"PARKING SECURITY CONTROL")</f>
        <v>PARKING SECURITY CONTROL</v>
      </c>
    </row>
    <row r="1484">
      <c r="A1484" s="234">
        <f>IFERROR(__xludf.DUMMYFUNCTION("""COMPUTED_VALUE"""),106317.0)</f>
        <v>106317</v>
      </c>
      <c r="B1484" s="235" t="str">
        <f>IFERROR(__xludf.DUMMYFUNCTION("""COMPUTED_VALUE"""),"RONALDO VERDE")</f>
        <v>RONALDO VERDE</v>
      </c>
      <c r="C1484" s="235" t="str">
        <f>IFERROR(__xludf.DUMMYFUNCTION("""COMPUTED_VALUE"""),"ADMIN")</f>
        <v>ADMIN</v>
      </c>
      <c r="D1484" s="196" t="str">
        <f>IFERROR(__xludf.DUMMYFUNCTION("""COMPUTED_VALUE"""),"150 METERS ROYAL CORD #10")</f>
        <v>150 METERS ROYAL CORD #10</v>
      </c>
      <c r="E1484" s="196" t="str">
        <f>IFERROR(__xludf.DUMMYFUNCTION("""COMPUTED_VALUE"""),"WIRES DURING EVENT ")</f>
        <v>WIRES DURING EVENT </v>
      </c>
    </row>
    <row r="1485">
      <c r="A1485" s="234">
        <f>IFERROR(__xludf.DUMMYFUNCTION("""COMPUTED_VALUE"""),106318.0)</f>
        <v>106318</v>
      </c>
      <c r="B1485" s="235" t="str">
        <f>IFERROR(__xludf.DUMMYFUNCTION("""COMPUTED_VALUE"""),"RONALDO VERDE")</f>
        <v>RONALDO VERDE</v>
      </c>
      <c r="C1485" s="235" t="str">
        <f>IFERROR(__xludf.DUMMYFUNCTION("""COMPUTED_VALUE"""),"ADMIN")</f>
        <v>ADMIN</v>
      </c>
      <c r="D1485" s="196" t="str">
        <f>IFERROR(__xludf.DUMMYFUNCTION("""COMPUTED_VALUE"""),"15 PCS T5 LED LIGHTS 18 WATTS")</f>
        <v>15 PCS T5 LED LIGHTS 18 WATTS</v>
      </c>
      <c r="E1485" s="196" t="str">
        <f>IFERROR(__xludf.DUMMYFUNCTION("""COMPUTED_VALUE"""),"LIGHTS FOR LUX HALLWAYS")</f>
        <v>LIGHTS FOR LUX HALLWAYS</v>
      </c>
    </row>
    <row r="1486">
      <c r="A1486" s="234">
        <f>IFERROR(__xludf.DUMMYFUNCTION("""COMPUTED_VALUE"""),106319.0)</f>
        <v>106319</v>
      </c>
      <c r="B1486" s="235" t="str">
        <f>IFERROR(__xludf.DUMMYFUNCTION("""COMPUTED_VALUE"""),"MARC VINCENT VITTO")</f>
        <v>MARC VINCENT VITTO</v>
      </c>
      <c r="C1486" s="235" t="str">
        <f>IFERROR(__xludf.DUMMYFUNCTION("""COMPUTED_VALUE"""),"PR &amp; MARKETING")</f>
        <v>PR &amp; MARKETING</v>
      </c>
      <c r="D1486" s="196" t="str">
        <f>IFERROR(__xludf.DUMMYFUNCTION("""COMPUTED_VALUE"""),"1 ISAC FLAG FIA SIZE 3FT X 5FT THICKNESS 13OZ W/ SEAMING AND AYELET ALL OVER")</f>
        <v>1 ISAC FLAG FIA SIZE 3FT X 5FT THICKNESS 13OZ W/ SEAMING AND AYELET ALL OVER</v>
      </c>
      <c r="E1486" s="196" t="str">
        <f>IFERROR(__xludf.DUMMYFUNCTION("""COMPUTED_VALUE"""),"LIGHTS FOR LUX HALLWAYS")</f>
        <v>LIGHTS FOR LUX HALLWAYS</v>
      </c>
    </row>
    <row r="1487">
      <c r="A1487" s="234">
        <f>IFERROR(__xludf.DUMMYFUNCTION("""COMPUTED_VALUE"""),106320.0)</f>
        <v>106320</v>
      </c>
      <c r="B1487" s="235" t="str">
        <f>IFERROR(__xludf.DUMMYFUNCTION("""COMPUTED_VALUE"""),"MARC VINCENT VITTO")</f>
        <v>MARC VINCENT VITTO</v>
      </c>
      <c r="C1487" s="235" t="str">
        <f>IFERROR(__xludf.DUMMYFUNCTION("""COMPUTED_VALUE"""),"PR &amp; MARKETING")</f>
        <v>PR &amp; MARKETING</v>
      </c>
      <c r="D1487" s="196" t="str">
        <f>IFERROR(__xludf.DUMMYFUNCTION("""COMPUTED_VALUE"""),"TARPAULIN FOR PRINT 
-1 WWP SIZE 10FT X 10FT
-1 LV BIRTHDAY SIZE 10FT X 10FT
-1 DISNEY PLAYHOUSE 1 SIZE 10FT X 10FT 
-1 DISNEY PLAYHOUSE 2 SIZE 12FT X 6FT 
THICKNESS 13OZ
W/ SEAMING AND EYELET ALL OVER")</f>
        <v>TARPAULIN FOR PRINT 
-1 WWP SIZE 10FT X 10FT
-1 LV BIRTHDAY SIZE 10FT X 10FT
-1 DISNEY PLAYHOUSE 1 SIZE 10FT X 10FT 
-1 DISNEY PLAYHOUSE 2 SIZE 12FT X 6FT 
THICKNESS 13OZ
W/ SEAMING AND EYELET ALL OVER</v>
      </c>
      <c r="E1487" s="196" t="str">
        <f>IFERROR(__xludf.DUMMYFUNCTION("""COMPUTED_VALUE"""),"FOR MUNICH")</f>
        <v>FOR MUNICH</v>
      </c>
    </row>
    <row r="1488">
      <c r="A1488" s="234">
        <f>IFERROR(__xludf.DUMMYFUNCTION("""COMPUTED_VALUE"""),106321.0)</f>
        <v>106321</v>
      </c>
      <c r="B1488" s="235" t="str">
        <f>IFERROR(__xludf.DUMMYFUNCTION("""COMPUTED_VALUE"""),"RODRIGO CUSTODIO")</f>
        <v>RODRIGO CUSTODIO</v>
      </c>
      <c r="C1488" s="235" t="str">
        <f>IFERROR(__xludf.DUMMYFUNCTION("""COMPUTED_VALUE"""),"AMD")</f>
        <v>AMD</v>
      </c>
      <c r="D1488" s="196" t="str">
        <f>IFERROR(__xludf.DUMMYFUNCTION("""COMPUTED_VALUE"""),"900 PCS TISSUE JUMBO ROLL 200 METERS
2 PCS DUST MOP HANDLE AND FRAME WITH MOP HEAD #30 
48 PCS DUST PAN ")</f>
        <v>900 PCS TISSUE JUMBO ROLL 200 METERS
2 PCS DUST MOP HANDLE AND FRAME WITH MOP HEAD #30 
48 PCS DUST PAN </v>
      </c>
      <c r="E1488" s="196" t="str">
        <f>IFERROR(__xludf.DUMMYFUNCTION("""COMPUTED_VALUE"""),"HOUSEKEEPING STOCK REPLENISHMENT")</f>
        <v>HOUSEKEEPING STOCK REPLENISHMENT</v>
      </c>
    </row>
    <row r="1489">
      <c r="A1489" s="234">
        <f>IFERROR(__xludf.DUMMYFUNCTION("""COMPUTED_VALUE"""),106322.0)</f>
        <v>106322</v>
      </c>
      <c r="B1489" s="235" t="str">
        <f>IFERROR(__xludf.DUMMYFUNCTION("""COMPUTED_VALUE"""),"SHEREE ESPINOSA")</f>
        <v>SHEREE ESPINOSA</v>
      </c>
      <c r="C1489" s="235" t="str">
        <f>IFERROR(__xludf.DUMMYFUNCTION("""COMPUTED_VALUE"""),"ADMIN")</f>
        <v>ADMIN</v>
      </c>
      <c r="D1489" s="196" t="str">
        <f>IFERROR(__xludf.DUMMYFUNCTION("""COMPUTED_VALUE"""),"30 PCS ALUMNI ALLOY HOOK BLACK 8.5 CM X 4.6 CM X 1.5 CM")</f>
        <v>30 PCS ALUMNI ALLOY HOOK BLACK 8.5 CM X 4.6 CM X 1.5 CM</v>
      </c>
      <c r="E1489" s="196" t="str">
        <f>IFERROR(__xludf.DUMMYFUNCTION("""COMPUTED_VALUE"""),"FOR RESTROOMS DOOR ACROSS THE CAMPUS")</f>
        <v>FOR RESTROOMS DOOR ACROSS THE CAMPUS</v>
      </c>
    </row>
    <row r="1490">
      <c r="A1490" s="234">
        <f>IFERROR(__xludf.DUMMYFUNCTION("""COMPUTED_VALUE"""),106323.0)</f>
        <v>106323</v>
      </c>
      <c r="B1490" s="235" t="str">
        <f>IFERROR(__xludf.DUMMYFUNCTION("""COMPUTED_VALUE"""),"RONALDO VERDE")</f>
        <v>RONALDO VERDE</v>
      </c>
      <c r="C1490" s="235" t="str">
        <f>IFERROR(__xludf.DUMMYFUNCTION("""COMPUTED_VALUE"""),"ADMIN")</f>
        <v>ADMIN</v>
      </c>
      <c r="D1490" s="196" t="str">
        <f>IFERROR(__xludf.DUMMYFUNCTION("""COMPUTED_VALUE"""),"50 PCS 6V 4.5 AH BATTERY FOR EMERGENCY LIGHTS 10 X 4.7 X 7 CM")</f>
        <v>50 PCS 6V 4.5 AH BATTERY FOR EMERGENCY LIGHTS 10 X 4.7 X 7 CM</v>
      </c>
      <c r="E1490" s="196" t="str">
        <f>IFERROR(__xludf.DUMMYFUNCTION("""COMPUTED_VALUE"""),"BATTERY EMERGENCY LIGHTS")</f>
        <v>BATTERY EMERGENCY LIGHTS</v>
      </c>
    </row>
    <row r="1491">
      <c r="A1491" s="234">
        <f>IFERROR(__xludf.DUMMYFUNCTION("""COMPUTED_VALUE"""),106324.0)</f>
        <v>106324</v>
      </c>
      <c r="B1491" s="235" t="str">
        <f>IFERROR(__xludf.DUMMYFUNCTION("""COMPUTED_VALUE"""),"ALFA DE LEON")</f>
        <v>ALFA DE LEON</v>
      </c>
      <c r="C1491" s="235" t="str">
        <f>IFERROR(__xludf.DUMMYFUNCTION("""COMPUTED_VALUE"""),"ADMIN - STAR")</f>
        <v>ADMIN - STAR</v>
      </c>
      <c r="D1491" s="196" t="str">
        <f>IFERROR(__xludf.DUMMYFUNCTION("""COMPUTED_VALUE"""),"15 PLASTIC POTS RED
15 GRADEN SOIL
2 KUSOT")</f>
        <v>15 PLASTIC POTS RED
15 GRADEN SOIL
2 KUSOT</v>
      </c>
      <c r="E1491" s="196" t="str">
        <f>IFERROR(__xludf.DUMMYFUNCTION("""COMPUTED_VALUE"""),"FOR PLANT PROPAGATION ")</f>
        <v>FOR PLANT PROPAGATION </v>
      </c>
    </row>
    <row r="1492">
      <c r="A1492" s="234">
        <f>IFERROR(__xludf.DUMMYFUNCTION("""COMPUTED_VALUE"""),106325.0)</f>
        <v>106325</v>
      </c>
      <c r="B1492" s="235" t="str">
        <f>IFERROR(__xludf.DUMMYFUNCTION("""COMPUTED_VALUE"""),"FELESE ANGELINE FAMADOR")</f>
        <v>FELESE ANGELINE FAMADOR</v>
      </c>
      <c r="C1492" s="235" t="str">
        <f>IFERROR(__xludf.DUMMYFUNCTION("""COMPUTED_VALUE"""),"MEDICAL")</f>
        <v>MEDICAL</v>
      </c>
      <c r="D1492" s="196" t="str">
        <f>IFERROR(__xludf.DUMMYFUNCTION("""COMPUTED_VALUE"""),"10 PCS SALONPASS SPRAY
9 PCS OMEGA SPRAY
10 PCS KINESIOLOGY TAPE
50 PCS ELASTIC BANDAGE")</f>
        <v>10 PCS SALONPASS SPRAY
9 PCS OMEGA SPRAY
10 PCS KINESIOLOGY TAPE
50 PCS ELASTIC BANDAGE</v>
      </c>
      <c r="E1492" s="196" t="str">
        <f>IFERROR(__xludf.DUMMYFUNCTION("""COMPUTED_VALUE"""),"ISAC SEASON 1")</f>
        <v>ISAC SEASON 1</v>
      </c>
    </row>
    <row r="1493">
      <c r="A1493" s="234">
        <f>IFERROR(__xludf.DUMMYFUNCTION("""COMPUTED_VALUE"""),106326.0)</f>
        <v>106326</v>
      </c>
      <c r="B1493" s="235" t="str">
        <f>IFERROR(__xludf.DUMMYFUNCTION("""COMPUTED_VALUE"""),"CARLITO DELA VEGA")</f>
        <v>CARLITO DELA VEGA</v>
      </c>
      <c r="C1493" s="235" t="str">
        <f>IFERROR(__xludf.DUMMYFUNCTION("""COMPUTED_VALUE"""),"Admin- Lux")</f>
        <v>Admin- Lux</v>
      </c>
      <c r="D1493" s="196" t="str">
        <f>IFERROR(__xludf.DUMMYFUNCTION("""COMPUTED_VALUE"""),"DOOR ACCESS SYSTEM INSTALLATION
- 1 BIOSCAN DEVICE FACE+FINGERPRINT BIOMETRIC FOR DEVICE MAGNETIC LOCK SINGLE SWITCH  FOR GR F/ DOOR TO HR + ADMIN PR GLASS DOOR ")</f>
        <v>DOOR ACCESS SYSTEM INSTALLATION
- 1 BIOSCAN DEVICE FACE+FINGERPRINT BIOMETRIC FOR DEVICE MAGNETIC LOCK SINGLE SWITCH  FOR GR F/ DOOR TO HR + ADMIN PR GLASS DOOR </v>
      </c>
      <c r="E1493" s="346" t="str">
        <f>IFERROR(__xludf.DUMMYFUNCTION("""COMPUTED_VALUE"""),"SECURITY/ REPLACEMENT OF DEFECTIVE DOOR ACCESS ADMIN + HR OFFICES")</f>
        <v>SECURITY/ REPLACEMENT OF DEFECTIVE DOOR ACCESS ADMIN + HR OFFICES</v>
      </c>
    </row>
    <row r="1494">
      <c r="A1494" s="234">
        <f>IFERROR(__xludf.DUMMYFUNCTION("""COMPUTED_VALUE"""),106327.0)</f>
        <v>106327</v>
      </c>
      <c r="B1494" s="235" t="str">
        <f>IFERROR(__xludf.DUMMYFUNCTION("""COMPUTED_VALUE"""),"RODRIGO CUSTODIO")</f>
        <v>RODRIGO CUSTODIO</v>
      </c>
      <c r="C1494" s="235" t="str">
        <f>IFERROR(__xludf.DUMMYFUNCTION("""COMPUTED_VALUE"""),"AMD")</f>
        <v>AMD</v>
      </c>
      <c r="D1494" s="196" t="str">
        <f>IFERROR(__xludf.DUMMYFUNCTION("""COMPUTED_VALUE"""),"32 PCS SVAVO SOAP DISPENSER")</f>
        <v>32 PCS SVAVO SOAP DISPENSER</v>
      </c>
      <c r="E1494" s="196" t="str">
        <f>IFERROR(__xludf.DUMMYFUNCTION("""COMPUTED_VALUE"""),"HOUSEKEEPING STOCK REPLENISHMENT")</f>
        <v>HOUSEKEEPING STOCK REPLENISHMENT</v>
      </c>
    </row>
    <row r="1495">
      <c r="A1495" s="234">
        <f>IFERROR(__xludf.DUMMYFUNCTION("""COMPUTED_VALUE"""),106328.0)</f>
        <v>106328</v>
      </c>
      <c r="B1495" s="235" t="str">
        <f>IFERROR(__xludf.DUMMYFUNCTION("""COMPUTED_VALUE"""),"CHARLES LEBECO DONOR")</f>
        <v>CHARLES LEBECO DONOR</v>
      </c>
      <c r="C1495" s="235" t="str">
        <f>IFERROR(__xludf.DUMMYFUNCTION("""COMPUTED_VALUE"""),"AMD")</f>
        <v>AMD</v>
      </c>
      <c r="D1495" s="196" t="str">
        <f>IFERROR(__xludf.DUMMYFUNCTION("""COMPUTED_VALUE"""),"4000 Envelope, Brown Long")</f>
        <v>4000 Envelope, Brown Long</v>
      </c>
      <c r="E1495" s="196" t="str">
        <f>IFERROR(__xludf.DUMMYFUNCTION("""COMPUTED_VALUE"""),"OSSUP REPLENISHMENTS")</f>
        <v>OSSUP REPLENISHMENTS</v>
      </c>
    </row>
    <row r="1496">
      <c r="A1496" s="234">
        <f>IFERROR(__xludf.DUMMYFUNCTION("""COMPUTED_VALUE"""),106329.0)</f>
        <v>106329</v>
      </c>
      <c r="B1496" s="235" t="str">
        <f>IFERROR(__xludf.DUMMYFUNCTION("""COMPUTED_VALUE"""),"CHARLES LEBECO DONOR")</f>
        <v>CHARLES LEBECO DONOR</v>
      </c>
      <c r="C1496" s="235" t="str">
        <f>IFERROR(__xludf.DUMMYFUNCTION("""COMPUTED_VALUE"""),"AMD")</f>
        <v>AMD</v>
      </c>
      <c r="D1496" s="196" t="str">
        <f>IFERROR(__xludf.DUMMYFUNCTION("""COMPUTED_VALUE"""),"5000 Mifare 1K Bit - Contactless Card, Model-IOT CRDM65")</f>
        <v>5000 Mifare 1K Bit - Contactless Card, Model-IOT CRDM65</v>
      </c>
      <c r="E1496" s="196" t="str">
        <f>IFERROR(__xludf.DUMMYFUNCTION("""COMPUTED_VALUE"""),"OSSUP REPLENISHMENTS")</f>
        <v>OSSUP REPLENISHMENTS</v>
      </c>
    </row>
    <row r="1497">
      <c r="A1497" s="234">
        <f>IFERROR(__xludf.DUMMYFUNCTION("""COMPUTED_VALUE"""),106330.0)</f>
        <v>106330</v>
      </c>
      <c r="B1497" s="235" t="str">
        <f>IFERROR(__xludf.DUMMYFUNCTION("""COMPUTED_VALUE"""),"CHARLES LEBECO DONOR")</f>
        <v>CHARLES LEBECO DONOR</v>
      </c>
      <c r="C1497" s="235" t="str">
        <f>IFERROR(__xludf.DUMMYFUNCTION("""COMPUTED_VALUE"""),"AMD")</f>
        <v>AMD</v>
      </c>
      <c r="D1497" s="196" t="str">
        <f>IFERROR(__xludf.DUMMYFUNCTION("""COMPUTED_VALUE"""),"200 Cartolina, Red")</f>
        <v>200 Cartolina, Red</v>
      </c>
      <c r="E1497" s="196" t="str">
        <f>IFERROR(__xludf.DUMMYFUNCTION("""COMPUTED_VALUE"""),"OSSUP REPLENISHMENTS")</f>
        <v>OSSUP REPLENISHMENTS</v>
      </c>
    </row>
    <row r="1498">
      <c r="A1498" s="234">
        <f>IFERROR(__xludf.DUMMYFUNCTION("""COMPUTED_VALUE"""),106331.0)</f>
        <v>106331</v>
      </c>
      <c r="B1498" s="235" t="str">
        <f>IFERROR(__xludf.DUMMYFUNCTION("""COMPUTED_VALUE"""),"CHARLES LEBECO DONOR")</f>
        <v>CHARLES LEBECO DONOR</v>
      </c>
      <c r="C1498" s="235" t="str">
        <f>IFERROR(__xludf.DUMMYFUNCTION("""COMPUTED_VALUE"""),"AMD")</f>
        <v>AMD</v>
      </c>
      <c r="D1498" s="196" t="str">
        <f>IFERROR(__xludf.DUMMYFUNCTION("""COMPUTED_VALUE"""),"500 Plastic Cover, Gauge 4 48'W (per meter)")</f>
        <v>500 Plastic Cover, Gauge 4 48'W (per meter)</v>
      </c>
      <c r="E1498" s="196" t="str">
        <f>IFERROR(__xludf.DUMMYFUNCTION("""COMPUTED_VALUE"""),"OSSUP REPLENISHMENTS")</f>
        <v>OSSUP REPLENISHMENTS</v>
      </c>
    </row>
    <row r="1499">
      <c r="A1499" s="234">
        <f>IFERROR(__xludf.DUMMYFUNCTION("""COMPUTED_VALUE"""),106332.0)</f>
        <v>106332</v>
      </c>
      <c r="B1499" s="235" t="str">
        <f>IFERROR(__xludf.DUMMYFUNCTION("""COMPUTED_VALUE"""),"CHARLES LEBECO DONOR")</f>
        <v>CHARLES LEBECO DONOR</v>
      </c>
      <c r="C1499" s="235" t="str">
        <f>IFERROR(__xludf.DUMMYFUNCTION("""COMPUTED_VALUE"""),"AMD")</f>
        <v>AMD</v>
      </c>
      <c r="D1499" s="196" t="str">
        <f>IFERROR(__xludf.DUMMYFUNCTION("""COMPUTED_VALUE"""),"15 Wall Clock (Analog)")</f>
        <v>15 Wall Clock (Analog)</v>
      </c>
      <c r="E1499" s="196" t="str">
        <f>IFERROR(__xludf.DUMMYFUNCTION("""COMPUTED_VALUE"""),"OSSUP REPLENISHMENTS")</f>
        <v>OSSUP REPLENISHMENTS</v>
      </c>
    </row>
    <row r="1500">
      <c r="A1500" s="234">
        <f>IFERROR(__xludf.DUMMYFUNCTION("""COMPUTED_VALUE"""),106333.0)</f>
        <v>106333</v>
      </c>
      <c r="B1500" s="235" t="str">
        <f>IFERROR(__xludf.DUMMYFUNCTION("""COMPUTED_VALUE"""),"CHARLES LEBECO DONOR")</f>
        <v>CHARLES LEBECO DONOR</v>
      </c>
      <c r="C1500" s="235" t="str">
        <f>IFERROR(__xludf.DUMMYFUNCTION("""COMPUTED_VALUE"""),"AMD")</f>
        <v>AMD</v>
      </c>
      <c r="D1500" s="196" t="str">
        <f>IFERROR(__xludf.DUMMYFUNCTION("""COMPUTED_VALUE"""),"Glue, Elmer's - 130gs (OSSUP)")</f>
        <v>Glue, Elmer's - 130gs (OSSUP)</v>
      </c>
      <c r="E1500" s="196" t="str">
        <f>IFERROR(__xludf.DUMMYFUNCTION("""COMPUTED_VALUE"""),"OSSUP REPLENISHMENTS")</f>
        <v>OSSUP REPLENISHMENTS</v>
      </c>
    </row>
    <row r="1501">
      <c r="A1501" s="234">
        <f>IFERROR(__xludf.DUMMYFUNCTION("""COMPUTED_VALUE"""),106334.0)</f>
        <v>106334</v>
      </c>
      <c r="B1501" s="235" t="str">
        <f>IFERROR(__xludf.DUMMYFUNCTION("""COMPUTED_VALUE"""),"CHARLES LEBECO DONOR")</f>
        <v>CHARLES LEBECO DONOR</v>
      </c>
      <c r="C1501" s="235" t="str">
        <f>IFERROR(__xludf.DUMMYFUNCTION("""COMPUTED_VALUE"""),"AMD")</f>
        <v>AMD</v>
      </c>
      <c r="D1501" s="196" t="str">
        <f>IFERROR(__xludf.DUMMYFUNCTION("""COMPUTED_VALUE"""),"600 Pen, Sign - Pilot BX-V5 Black")</f>
        <v>600 Pen, Sign - Pilot BX-V5 Black</v>
      </c>
      <c r="E1501" s="196" t="str">
        <f>IFERROR(__xludf.DUMMYFUNCTION("""COMPUTED_VALUE"""),"OSSUP REPLENISHMENTS")</f>
        <v>OSSUP REPLENISHMENTS</v>
      </c>
    </row>
    <row r="1502">
      <c r="A1502" s="234">
        <f>IFERROR(__xludf.DUMMYFUNCTION("""COMPUTED_VALUE"""),106335.0)</f>
        <v>106335</v>
      </c>
      <c r="B1502" s="235" t="str">
        <f>IFERROR(__xludf.DUMMYFUNCTION("""COMPUTED_VALUE"""),"CHARLES LEBECO DONOR")</f>
        <v>CHARLES LEBECO DONOR</v>
      </c>
      <c r="C1502" s="235" t="str">
        <f>IFERROR(__xludf.DUMMYFUNCTION("""COMPUTED_VALUE"""),"AMD")</f>
        <v>AMD</v>
      </c>
      <c r="D1502" s="196" t="str">
        <f>IFERROR(__xludf.DUMMYFUNCTION("""COMPUTED_VALUE"""),"1200 Clip, ID -Alligator Plastic	")</f>
        <v>1200 Clip, ID -Alligator Plastic	</v>
      </c>
      <c r="E1502" s="196" t="str">
        <f>IFERROR(__xludf.DUMMYFUNCTION("""COMPUTED_VALUE"""),"OSSUP REPLENISHMENTS")</f>
        <v>OSSUP REPLENISHMENTS</v>
      </c>
    </row>
    <row r="1503">
      <c r="A1503" s="234">
        <f>IFERROR(__xludf.DUMMYFUNCTION("""COMPUTED_VALUE"""),106336.0)</f>
        <v>106336</v>
      </c>
      <c r="B1503" s="235" t="str">
        <f>IFERROR(__xludf.DUMMYFUNCTION("""COMPUTED_VALUE"""),"MARC VINCENT VITTO")</f>
        <v>MARC VINCENT VITTO</v>
      </c>
      <c r="C1503" s="235" t="str">
        <f>IFERROR(__xludf.DUMMYFUNCTION("""COMPUTED_VALUE"""),"PR &amp; MARKETING")</f>
        <v>PR &amp; MARKETING</v>
      </c>
      <c r="D1503" s="196" t="str">
        <f>IFERROR(__xludf.DUMMYFUNCTION("""COMPUTED_VALUE"""),"1 PSYCHOLOGIST LICENSURE EXAM PASSER 2025 SIZE W 20FT X H 10 FT THICKNESS 18OZ ADD SEAMING AND EYELET ALLOVER")</f>
        <v>1 PSYCHOLOGIST LICENSURE EXAM PASSER 2025 SIZE W 20FT X H 10 FT THICKNESS 18OZ ADD SEAMING AND EYELET ALLOVER</v>
      </c>
      <c r="E1503" s="196" t="str">
        <f>IFERROR(__xludf.DUMMYFUNCTION("""COMPUTED_VALUE"""),"CONGRATULATORY TARP")</f>
        <v>CONGRATULATORY TARP</v>
      </c>
    </row>
    <row r="1504">
      <c r="A1504" s="234">
        <f>IFERROR(__xludf.DUMMYFUNCTION("""COMPUTED_VALUE"""),106337.0)</f>
        <v>106337</v>
      </c>
      <c r="B1504" s="235" t="str">
        <f>IFERROR(__xludf.DUMMYFUNCTION("""COMPUTED_VALUE"""),"CHARLES LEBECO DONOR")</f>
        <v>CHARLES LEBECO DONOR</v>
      </c>
      <c r="C1504" s="235" t="str">
        <f>IFERROR(__xludf.DUMMYFUNCTION("""COMPUTED_VALUE"""),"AMD")</f>
        <v>AMD</v>
      </c>
      <c r="D1504" s="196" t="str">
        <f>IFERROR(__xludf.DUMMYFUNCTION("""COMPUTED_VALUE"""),"100 Toner, Cartridge Inkonvert LBP6000 85A for Epson        ")</f>
        <v>100 Toner, Cartridge Inkonvert LBP6000 85A for Epson        </v>
      </c>
      <c r="E1504" s="196" t="str">
        <f>IFERROR(__xludf.DUMMYFUNCTION("""COMPUTED_VALUE"""),"OSSUP REPLENISHMENTS")</f>
        <v>OSSUP REPLENISHMENTS</v>
      </c>
    </row>
    <row r="1505">
      <c r="A1505" s="234">
        <f>IFERROR(__xludf.DUMMYFUNCTION("""COMPUTED_VALUE"""),106338.0)</f>
        <v>106338</v>
      </c>
      <c r="B1505" s="235" t="str">
        <f>IFERROR(__xludf.DUMMYFUNCTION("""COMPUTED_VALUE"""),"CHARLES LEBECO DONOR")</f>
        <v>CHARLES LEBECO DONOR</v>
      </c>
      <c r="C1505" s="235" t="str">
        <f>IFERROR(__xludf.DUMMYFUNCTION("""COMPUTED_VALUE"""),"AMD")</f>
        <v>AMD</v>
      </c>
      <c r="D1505" s="196" t="str">
        <f>IFERROR(__xludf.DUMMYFUNCTION("""COMPUTED_VALUE"""),"20 Puncher, Paper - HD 2 Holes
22 Puncher, Paper - HD 1 Hole")</f>
        <v>20 Puncher, Paper - HD 2 Holes
22 Puncher, Paper - HD 1 Hole</v>
      </c>
      <c r="E1505" s="196" t="str">
        <f>IFERROR(__xludf.DUMMYFUNCTION("""COMPUTED_VALUE"""),"OSSUP REPLENISHMENTS")</f>
        <v>OSSUP REPLENISHMENTS</v>
      </c>
    </row>
    <row r="1506">
      <c r="A1506" s="234">
        <f>IFERROR(__xludf.DUMMYFUNCTION("""COMPUTED_VALUE"""),106339.0)</f>
        <v>106339</v>
      </c>
      <c r="B1506" s="235" t="str">
        <f>IFERROR(__xludf.DUMMYFUNCTION("""COMPUTED_VALUE"""),"CHARLES LEBECO DONOR")</f>
        <v>CHARLES LEBECO DONOR</v>
      </c>
      <c r="C1506" s="235" t="str">
        <f>IFERROR(__xludf.DUMMYFUNCTION("""COMPUTED_VALUE"""),"AMD")</f>
        <v>AMD</v>
      </c>
      <c r="D1506" s="196" t="str">
        <f>IFERROR(__xludf.DUMMYFUNCTION("""COMPUTED_VALUE"""),"250 Staple Wire, Max #35- 5M (Box of 5000pcs)")</f>
        <v>250 Staple Wire, Max #35- 5M (Box of 5000pcs)</v>
      </c>
      <c r="E1506" s="196" t="str">
        <f>IFERROR(__xludf.DUMMYFUNCTION("""COMPUTED_VALUE"""),"OSSUP REPLENISHMENTS")</f>
        <v>OSSUP REPLENISHMENTS</v>
      </c>
    </row>
    <row r="1507">
      <c r="A1507" s="234">
        <f>IFERROR(__xludf.DUMMYFUNCTION("""COMPUTED_VALUE"""),106340.0)</f>
        <v>106340</v>
      </c>
      <c r="B1507" s="235" t="str">
        <f>IFERROR(__xludf.DUMMYFUNCTION("""COMPUTED_VALUE"""),"CHARLES LEBECO DONOR")</f>
        <v>CHARLES LEBECO DONOR</v>
      </c>
      <c r="C1507" s="235" t="str">
        <f>IFERROR(__xludf.DUMMYFUNCTION("""COMPUTED_VALUE"""),"AMD")</f>
        <v>AMD</v>
      </c>
      <c r="D1507" s="196" t="str">
        <f>IFERROR(__xludf.DUMMYFUNCTION("""COMPUTED_VALUE"""),"500 Tape, Scotch  3M (1"")")</f>
        <v>500 Tape, Scotch  3M (1")</v>
      </c>
      <c r="E1507" s="196" t="str">
        <f>IFERROR(__xludf.DUMMYFUNCTION("""COMPUTED_VALUE"""),"OSSUP REPLENISHMENTS")</f>
        <v>OSSUP REPLENISHMENTS</v>
      </c>
    </row>
    <row r="1508">
      <c r="A1508" s="234">
        <f>IFERROR(__xludf.DUMMYFUNCTION("""COMPUTED_VALUE"""),106341.0)</f>
        <v>106341</v>
      </c>
      <c r="B1508" s="235" t="str">
        <f>IFERROR(__xludf.DUMMYFUNCTION("""COMPUTED_VALUE"""),"JESUIT CHRISTIAN GALICIA")</f>
        <v>JESUIT CHRISTIAN GALICIA</v>
      </c>
      <c r="C1508" s="235" t="str">
        <f>IFERROR(__xludf.DUMMYFUNCTION("""COMPUTED_VALUE"""),"AMD")</f>
        <v>AMD</v>
      </c>
      <c r="D1508" s="196" t="str">
        <f>IFERROR(__xludf.DUMMYFUNCTION("""COMPUTED_VALUE"""),"11 PCS LAVATORY FAUCET  SHORT
35 PCS LAVATORY LONG
8 PCS HOLIDAY EPOXY 
20 PCS TOILET SEAT COVER 19"" ELONGATED")</f>
        <v>11 PCS LAVATORY FAUCET  SHORT
35 PCS LAVATORY LONG
8 PCS HOLIDAY EPOXY 
20 PCS TOILET SEAT COVER 19" ELONGATED</v>
      </c>
      <c r="E1508" s="196" t="str">
        <f>IFERROR(__xludf.DUMMYFUNCTION("""COMPUTED_VALUE"""),"ENGR WAREHOUSE REPLENISHMENT")</f>
        <v>ENGR WAREHOUSE REPLENISHMENT</v>
      </c>
    </row>
    <row r="1509">
      <c r="A1509" s="234">
        <f>IFERROR(__xludf.DUMMYFUNCTION("""COMPUTED_VALUE"""),106342.0)</f>
        <v>106342</v>
      </c>
      <c r="B1509" s="235" t="str">
        <f>IFERROR(__xludf.DUMMYFUNCTION("""COMPUTED_VALUE"""),"CHRISTON CORBEZA")</f>
        <v>CHRISTON CORBEZA</v>
      </c>
      <c r="C1509" s="235" t="str">
        <f>IFERROR(__xludf.DUMMYFUNCTION("""COMPUTED_VALUE"""),"ADMIN - MUNICH")</f>
        <v>ADMIN - MUNICH</v>
      </c>
      <c r="D1509" s="196" t="str">
        <f>IFERROR(__xludf.DUMMYFUNCTION("""COMPUTED_VALUE"""),"3 PCS LEAF BLOWER BATTERY LOTUS BRAND ")</f>
        <v>3 PCS LEAF BLOWER BATTERY LOTUS BRAND </v>
      </c>
      <c r="E1509" s="196" t="str">
        <f>IFERROR(__xludf.DUMMYFUNCTION("""COMPUTED_VALUE"""),"TO PREVENT THE BATTERY FROM WEARING OUT")</f>
        <v>TO PREVENT THE BATTERY FROM WEARING OUT</v>
      </c>
    </row>
    <row r="1510">
      <c r="A1510" s="234">
        <f>IFERROR(__xludf.DUMMYFUNCTION("""COMPUTED_VALUE"""),106343.0)</f>
        <v>106343</v>
      </c>
      <c r="B1510" s="235" t="str">
        <f>IFERROR(__xludf.DUMMYFUNCTION("""COMPUTED_VALUE"""),"CHRISTON CORBEZA")</f>
        <v>CHRISTON CORBEZA</v>
      </c>
      <c r="C1510" s="235" t="str">
        <f>IFERROR(__xludf.DUMMYFUNCTION("""COMPUTED_VALUE"""),"ADMIN - MUNICH")</f>
        <v>ADMIN - MUNICH</v>
      </c>
      <c r="D1510" s="196" t="str">
        <f>IFERROR(__xludf.DUMMYFUNCTION("""COMPUTED_VALUE"""),"6 PCS EMERGENCY LIGHT ")</f>
        <v>6 PCS EMERGENCY LIGHT </v>
      </c>
      <c r="E1510" s="196" t="str">
        <f>IFERROR(__xludf.DUMMYFUNCTION("""COMPUTED_VALUE"""),"EMERGENCY LIGHTS AND REPLACEMENT OF DEFECTIVE EMERGENCY LIGHT")</f>
        <v>EMERGENCY LIGHTS AND REPLACEMENT OF DEFECTIVE EMERGENCY LIGHT</v>
      </c>
    </row>
    <row r="1511">
      <c r="A1511" s="234">
        <f>IFERROR(__xludf.DUMMYFUNCTION("""COMPUTED_VALUE"""),106344.0)</f>
        <v>106344</v>
      </c>
      <c r="B1511" s="235" t="str">
        <f>IFERROR(__xludf.DUMMYFUNCTION("""COMPUTED_VALUE"""),"RODRIGO CUSTODIO")</f>
        <v>RODRIGO CUSTODIO</v>
      </c>
      <c r="C1511" s="235" t="str">
        <f>IFERROR(__xludf.DUMMYFUNCTION("""COMPUTED_VALUE"""),"AMD")</f>
        <v>AMD</v>
      </c>
      <c r="D1511" s="196" t="str">
        <f>IFERROR(__xludf.DUMMYFUNCTION("""COMPUTED_VALUE"""),"40 GALS SOLVENT RUST AND SCALE REMOVER STATE LIME 1 US GAL")</f>
        <v>40 GALS SOLVENT RUST AND SCALE REMOVER STATE LIME 1 US GAL</v>
      </c>
      <c r="E1511" s="196" t="str">
        <f>IFERROR(__xludf.DUMMYFUNCTION("""COMPUTED_VALUE"""),"HOUSEKEEPING STOCK REPLENISHMENT")</f>
        <v>HOUSEKEEPING STOCK REPLENISHMENT</v>
      </c>
    </row>
    <row r="1512">
      <c r="A1512" s="234">
        <f>IFERROR(__xludf.DUMMYFUNCTION("""COMPUTED_VALUE"""),106345.0)</f>
        <v>106345</v>
      </c>
      <c r="B1512" s="235" t="str">
        <f>IFERROR(__xludf.DUMMYFUNCTION("""COMPUTED_VALUE"""),"RONALDO VERDE")</f>
        <v>RONALDO VERDE</v>
      </c>
      <c r="C1512" s="235" t="str">
        <f>IFERROR(__xludf.DUMMYFUNCTION("""COMPUTED_VALUE"""),"ADMIN")</f>
        <v>ADMIN</v>
      </c>
      <c r="D1512" s="196" t="str">
        <f>IFERROR(__xludf.DUMMYFUNCTION("""COMPUTED_VALUE"""),"2 PCS FORMICA WHITE 
1 GAL RUGBY")</f>
        <v>2 PCS FORMICA WHITE 
1 GAL RUGBY</v>
      </c>
      <c r="E1512" s="196" t="str">
        <f>IFERROR(__xludf.DUMMYFUNCTION("""COMPUTED_VALUE"""),"FOR LUX RM 213")</f>
        <v>FOR LUX RM 213</v>
      </c>
    </row>
    <row r="1513">
      <c r="A1513" s="234">
        <f>IFERROR(__xludf.DUMMYFUNCTION("""COMPUTED_VALUE"""),106346.0)</f>
        <v>106346</v>
      </c>
      <c r="B1513" s="235" t="str">
        <f>IFERROR(__xludf.DUMMYFUNCTION("""COMPUTED_VALUE"""),"MARC VINCENT VITTO")</f>
        <v>MARC VINCENT VITTO</v>
      </c>
      <c r="C1513" s="235" t="str">
        <f>IFERROR(__xludf.DUMMYFUNCTION("""COMPUTED_VALUE"""),"PR &amp; MARKETING")</f>
        <v>PR &amp; MARKETING</v>
      </c>
      <c r="D1513" s="196" t="str">
        <f>IFERROR(__xludf.DUMMYFUNCTION("""COMPUTED_VALUE"""),"1 35TH FOUNDATION GIANT TARP SIZE W 78FT X H 13 FT THICKNESS 18OZ ADD SEAMING AND EYELET ALL OVER ")</f>
        <v>1 35TH FOUNDATION GIANT TARP SIZE W 78FT X H 13 FT THICKNESS 18OZ ADD SEAMING AND EYELET ALL OVER </v>
      </c>
      <c r="E1513" s="196" t="str">
        <f>IFERROR(__xludf.DUMMYFUNCTION("""COMPUTED_VALUE"""),"TARP FOR TROPICAL LOT")</f>
        <v>TARP FOR TROPICAL LOT</v>
      </c>
    </row>
    <row r="1514">
      <c r="A1514" s="234">
        <f>IFERROR(__xludf.DUMMYFUNCTION("""COMPUTED_VALUE"""),106347.0)</f>
        <v>106347</v>
      </c>
      <c r="B1514" s="235" t="str">
        <f>IFERROR(__xludf.DUMMYFUNCTION("""COMPUTED_VALUE"""),"LIZA JIMENEZ")</f>
        <v>LIZA JIMENEZ</v>
      </c>
      <c r="C1514" s="235" t="str">
        <f>IFERROR(__xludf.DUMMYFUNCTION("""COMPUTED_VALUE"""),"NURSING")</f>
        <v>NURSING</v>
      </c>
      <c r="D1514" s="196" t="str">
        <f>IFERROR(__xludf.DUMMYFUNCTION("""COMPUTED_VALUE"""),"2 3 RING BINDER BIG COLOR GREEN
2 3 RING BINDER FILLER LEGAL SIZE")</f>
        <v>2 3 RING BINDER BIG COLOR GREEN
2 3 RING BINDER FILLER LEGAL SIZE</v>
      </c>
      <c r="E1514" s="196" t="str">
        <f>IFERROR(__xludf.DUMMYFUNCTION("""COMPUTED_VALUE"""),"MOA BINDERS")</f>
        <v>MOA BINDERS</v>
      </c>
    </row>
    <row r="1515">
      <c r="A1515" s="234">
        <f>IFERROR(__xludf.DUMMYFUNCTION("""COMPUTED_VALUE"""),106348.0)</f>
        <v>106348</v>
      </c>
      <c r="B1515" s="235" t="str">
        <f>IFERROR(__xludf.DUMMYFUNCTION("""COMPUTED_VALUE"""),"CHARLES LEBECO DONOR")</f>
        <v>CHARLES LEBECO DONOR</v>
      </c>
      <c r="C1515" s="235" t="str">
        <f>IFERROR(__xludf.DUMMYFUNCTION("""COMPUTED_VALUE"""),"AMD")</f>
        <v>AMD</v>
      </c>
      <c r="D1515" s="196" t="str">
        <f>IFERROR(__xludf.DUMMYFUNCTION("""COMPUTED_VALUE"""),"26 Toner, Cartridge CF212A Yellow
31 Toner, Cartridge CF213A Magenta")</f>
        <v>26 Toner, Cartridge CF212A Yellow
31 Toner, Cartridge CF213A Magenta</v>
      </c>
      <c r="E1515" s="196" t="str">
        <f>IFERROR(__xludf.DUMMYFUNCTION("""COMPUTED_VALUE"""),"OSSUP REPLENISHMENTS")</f>
        <v>OSSUP REPLENISHMENTS</v>
      </c>
    </row>
    <row r="1516">
      <c r="A1516" s="234">
        <f>IFERROR(__xludf.DUMMYFUNCTION("""COMPUTED_VALUE"""),106349.0)</f>
        <v>106349</v>
      </c>
      <c r="B1516" s="235" t="str">
        <f>IFERROR(__xludf.DUMMYFUNCTION("""COMPUTED_VALUE"""),"CHARLES LEBECO DONOR")</f>
        <v>CHARLES LEBECO DONOR</v>
      </c>
      <c r="C1516" s="235" t="str">
        <f>IFERROR(__xludf.DUMMYFUNCTION("""COMPUTED_VALUE"""),"AMD")</f>
        <v>AMD</v>
      </c>
      <c r="D1516" s="196" t="str">
        <f>IFERROR(__xludf.DUMMYFUNCTION("""COMPUTED_VALUE"""),"SISC Toga Gown Purple SHS		47 pcs.
SISC Stole SHS		63 pcs.
SISC Cap SHS		29 pcs.")</f>
        <v>SISC Toga Gown Purple SHS		47 pcs.
SISC Stole SHS		63 pcs.
SISC Cap SHS		29 pcs.</v>
      </c>
      <c r="E1516" s="196" t="str">
        <f>IFERROR(__xludf.DUMMYFUNCTION("""COMPUTED_VALUE"""),"All repair and reproduction of toga for SHS graduation
")</f>
        <v>All repair and reproduction of toga for SHS graduation
</v>
      </c>
    </row>
    <row r="1517">
      <c r="A1517" s="234">
        <f>IFERROR(__xludf.DUMMYFUNCTION("""COMPUTED_VALUE"""),106350.0)</f>
        <v>106350</v>
      </c>
      <c r="B1517" s="235" t="str">
        <f>IFERROR(__xludf.DUMMYFUNCTION("""COMPUTED_VALUE"""),"CHARLES LEBECO DONOR")</f>
        <v>CHARLES LEBECO DONOR</v>
      </c>
      <c r="C1517" s="235" t="str">
        <f>IFERROR(__xludf.DUMMYFUNCTION("""COMPUTED_VALUE"""),"AMD")</f>
        <v>AMD</v>
      </c>
      <c r="D1517" s="196" t="str">
        <f>IFERROR(__xludf.DUMMYFUNCTION("""COMPUTED_VALUE"""),"Undergrad Toga Gown M, L, XL                71
Masteral Toga Gown MBA S, M, XL                12
Masteral Toga Gown MAP L                1
Hood Velvet MAP and MBA                8
Faculty Doctorate Toga Gown M                3
Faculty Doctorate Hood      "&amp;"          3
Faculty Doctorate Cap                3
Doctorate Toga Set MAP (Doc Gene)                1
Masteral Toga Set MIT (Sir. Wallen)                1")</f>
        <v>Undergrad Toga Gown M, L, XL                71
Masteral Toga Gown MBA S, M, XL                12
Masteral Toga Gown MAP L                1
Hood Velvet MAP and MBA                8
Faculty Doctorate Toga Gown M                3
Faculty Doctorate Hood                3
Faculty Doctorate Cap                3
Doctorate Toga Set MAP (Doc Gene)                1
Masteral Toga Set MIT (Sir. Wallen)                1</v>
      </c>
      <c r="E1517" s="196" t="str">
        <f>IFERROR(__xludf.DUMMYFUNCTION("""COMPUTED_VALUE"""),"All repair and reproduction of toga for College graduation")</f>
        <v>All repair and reproduction of toga for College graduation</v>
      </c>
    </row>
    <row r="1518">
      <c r="A1518" s="234">
        <f>IFERROR(__xludf.DUMMYFUNCTION("""COMPUTED_VALUE"""),106351.0)</f>
        <v>106351</v>
      </c>
      <c r="B1518" s="235" t="str">
        <f>IFERROR(__xludf.DUMMYFUNCTION("""COMPUTED_VALUE"""),"MARC VINCENT VITTO")</f>
        <v>MARC VINCENT VITTO</v>
      </c>
      <c r="C1518" s="235" t="str">
        <f>IFERROR(__xludf.DUMMYFUNCTION("""COMPUTED_VALUE"""),"PR &amp; MARKETING")</f>
        <v>PR &amp; MARKETING</v>
      </c>
      <c r="D1518" s="196" t="str">
        <f>IFERROR(__xludf.DUMMYFUNCTION("""COMPUTED_VALUE"""),"TROPICAL GYMA ATHLETES TARP 2025
1 TROPICAL VERTICAL VI 0.8M X 4M
1 TROPICAL VERTICAL V2 0.8M X 4M
1 TROPICAL HORIZONTAL SOUTHVILLE ONE TEAM 1M X 7M
1 TROPICAL HORIZONTAL SOUTHVILLE WE BLEED PURPLE 1M X 7M")</f>
        <v>TROPICAL GYMA ATHLETES TARP 2025
1 TROPICAL VERTICAL VI 0.8M X 4M
1 TROPICAL VERTICAL V2 0.8M X 4M
1 TROPICAL HORIZONTAL SOUTHVILLE ONE TEAM 1M X 7M
1 TROPICAL HORIZONTAL SOUTHVILLE WE BLEED PURPLE 1M X 7M</v>
      </c>
      <c r="E1518" s="196" t="str">
        <f>IFERROR(__xludf.DUMMYFUNCTION("""COMPUTED_VALUE"""),"ISAC")</f>
        <v>ISAC</v>
      </c>
    </row>
    <row r="1519">
      <c r="A1519" s="234">
        <f>IFERROR(__xludf.DUMMYFUNCTION("""COMPUTED_VALUE"""),106352.0)</f>
        <v>106352</v>
      </c>
      <c r="B1519" s="235" t="str">
        <f>IFERROR(__xludf.DUMMYFUNCTION("""COMPUTED_VALUE"""),"KIM DEXTER BODOSO")</f>
        <v>KIM DEXTER BODOSO</v>
      </c>
      <c r="C1519" s="235" t="str">
        <f>IFERROR(__xludf.DUMMYFUNCTION("""COMPUTED_VALUE"""),"PR &amp; MARKETING")</f>
        <v>PR &amp; MARKETING</v>
      </c>
      <c r="D1519" s="196" t="str">
        <f>IFERROR(__xludf.DUMMYFUNCTION("""COMPUTED_VALUE"""),"3000 GENERIC FLYER 24-25 SIZE 5.5 IN X 8.5 IN")</f>
        <v>3000 GENERIC FLYER 24-25 SIZE 5.5 IN X 8.5 IN</v>
      </c>
      <c r="E1519" s="196" t="str">
        <f>IFERROR(__xludf.DUMMYFUNCTION("""COMPUTED_VALUE"""),"SCHOOL PRESENTATION")</f>
        <v>SCHOOL PRESENTATION</v>
      </c>
    </row>
    <row r="1520">
      <c r="A1520" s="234">
        <f>IFERROR(__xludf.DUMMYFUNCTION("""COMPUTED_VALUE"""),106353.0)</f>
        <v>106353</v>
      </c>
      <c r="B1520" s="235" t="str">
        <f>IFERROR(__xludf.DUMMYFUNCTION("""COMPUTED_VALUE"""),"JOCELYN TIZON")</f>
        <v>JOCELYN TIZON</v>
      </c>
      <c r="C1520" s="235" t="str">
        <f>IFERROR(__xludf.DUMMYFUNCTION("""COMPUTED_VALUE"""),"PRESIDENT'S OFFICE")</f>
        <v>PRESIDENT'S OFFICE</v>
      </c>
      <c r="D1520" s="196" t="str">
        <f>IFERROR(__xludf.DUMMYFUNCTION("""COMPUTED_VALUE"""),"SIDE TABLE")</f>
        <v>SIDE TABLE</v>
      </c>
      <c r="E1520" s="196" t="str">
        <f>IFERROR(__xludf.DUMMYFUNCTION("""COMPUTED_VALUE"""),"FOR DR. JO'S HOUSE RENOVATION")</f>
        <v>FOR DR. JO'S HOUSE RENOVATION</v>
      </c>
    </row>
    <row r="1521">
      <c r="A1521" s="234">
        <f>IFERROR(__xludf.DUMMYFUNCTION("""COMPUTED_VALUE"""),106354.0)</f>
        <v>106354</v>
      </c>
      <c r="B1521" s="235" t="str">
        <f>IFERROR(__xludf.DUMMYFUNCTION("""COMPUTED_VALUE"""),"JORDAN JORDAN")</f>
        <v>JORDAN JORDAN</v>
      </c>
      <c r="C1521" s="235" t="str">
        <f>IFERROR(__xludf.DUMMYFUNCTION("""COMPUTED_VALUE"""),"ADMIN")</f>
        <v>ADMIN</v>
      </c>
      <c r="D1521" s="196" t="str">
        <f>IFERROR(__xludf.DUMMYFUNCTION("""COMPUTED_VALUE"""),"2 BOX THHN THWN DODGE #14
50 METERS FLEXIBLE CONDUIT 1/2")</f>
        <v>2 BOX THHN THWN DODGE #14
50 METERS FLEXIBLE CONDUIT 1/2</v>
      </c>
      <c r="E1521" s="196" t="str">
        <f>IFERROR(__xludf.DUMMYFUNCTION("""COMPUTED_VALUE"""),"FOR INSTALLATION OF FAN IN MONARCHS GYM")</f>
        <v>FOR INSTALLATION OF FAN IN MONARCHS GYM</v>
      </c>
    </row>
    <row r="1522">
      <c r="A1522" s="234">
        <f>IFERROR(__xludf.DUMMYFUNCTION("""COMPUTED_VALUE"""),106355.0)</f>
        <v>106355</v>
      </c>
      <c r="B1522" s="235" t="str">
        <f>IFERROR(__xludf.DUMMYFUNCTION("""COMPUTED_VALUE"""),"ANGELIE MADANLOG")</f>
        <v>ANGELIE MADANLOG</v>
      </c>
      <c r="C1522" s="235" t="str">
        <f>IFERROR(__xludf.DUMMYFUNCTION("""COMPUTED_VALUE"""),"FINANCE &amp; ACCOUNTING")</f>
        <v>FINANCE &amp; ACCOUNTING</v>
      </c>
      <c r="D1522" s="196" t="str">
        <f>IFERROR(__xludf.DUMMYFUNCTION("""COMPUTED_VALUE"""),"2,000 EXAM PERMIT")</f>
        <v>2,000 EXAM PERMIT</v>
      </c>
      <c r="E1522" s="196" t="str">
        <f>IFERROR(__xludf.DUMMYFUNCTION("""COMPUTED_VALUE"""),"FOR BED 1ST TERM EXAM")</f>
        <v>FOR BED 1ST TERM EXAM</v>
      </c>
    </row>
    <row r="1523">
      <c r="A1523" s="234">
        <f>IFERROR(__xludf.DUMMYFUNCTION("""COMPUTED_VALUE"""),106356.0)</f>
        <v>106356</v>
      </c>
      <c r="B1523" s="235" t="str">
        <f>IFERROR(__xludf.DUMMYFUNCTION("""COMPUTED_VALUE"""),"MARC VINCENT VITTO")</f>
        <v>MARC VINCENT VITTO</v>
      </c>
      <c r="C1523" s="235" t="str">
        <f>IFERROR(__xludf.DUMMYFUNCTION("""COMPUTED_VALUE"""),"PR &amp; MARKETING")</f>
        <v>PR &amp; MARKETING</v>
      </c>
      <c r="D1523" s="196" t="str">
        <f>IFERROR(__xludf.DUMMYFUNCTION("""COMPUTED_VALUE"""),"BLEAP TARP 2025 SIZE W 20FT X H 10FT THICKNESS 18OZ")</f>
        <v>BLEAP TARP 2025 SIZE W 20FT X H 10FT THICKNESS 18OZ</v>
      </c>
      <c r="E1523" s="196" t="str">
        <f>IFERROR(__xludf.DUMMYFUNCTION("""COMPUTED_VALUE"""),"CONGRATULATORY TARP")</f>
        <v>CONGRATULATORY TARP</v>
      </c>
    </row>
    <row r="1524">
      <c r="A1524" s="234">
        <f>IFERROR(__xludf.DUMMYFUNCTION("""COMPUTED_VALUE"""),106357.0)</f>
        <v>106357</v>
      </c>
      <c r="B1524" s="235" t="str">
        <f>IFERROR(__xludf.DUMMYFUNCTION("""COMPUTED_VALUE"""),"ARNEL MONTABLAN")</f>
        <v>ARNEL MONTABLAN</v>
      </c>
      <c r="C1524" s="235" t="str">
        <f>IFERROR(__xludf.DUMMYFUNCTION("""COMPUTED_VALUE"""),"FOUNDERS SCHOLARS")</f>
        <v>FOUNDERS SCHOLARS</v>
      </c>
      <c r="D1524" s="196" t="str">
        <f>IFERROR(__xludf.DUMMYFUNCTION("""COMPUTED_VALUE"""),"3 ACER EXTENSA EX 215 23 R2MB REPURCHASE")</f>
        <v>3 ACER EXTENSA EX 215 23 R2MB REPURCHASE</v>
      </c>
      <c r="E1524" s="196" t="str">
        <f>IFERROR(__xludf.DUMMYFUNCTION("""COMPUTED_VALUE"""),"LAPTOP LOAN")</f>
        <v>LAPTOP LOAN</v>
      </c>
    </row>
    <row r="1525">
      <c r="A1525" s="234">
        <f>IFERROR(__xludf.DUMMYFUNCTION("""COMPUTED_VALUE"""),106358.0)</f>
        <v>106358</v>
      </c>
      <c r="B1525" s="235" t="str">
        <f>IFERROR(__xludf.DUMMYFUNCTION("""COMPUTED_VALUE"""),"RAM BUENA ")</f>
        <v>RAM BUENA </v>
      </c>
      <c r="C1525" s="235" t="str">
        <f>IFERROR(__xludf.DUMMYFUNCTION("""COMPUTED_VALUE"""),"TOURISM")</f>
        <v>TOURISM</v>
      </c>
      <c r="D1525" s="196" t="str">
        <f>IFERROR(__xludf.DUMMYFUNCTION("""COMPUTED_VALUE"""),"50 PCS BUSINESS CARD SISC DESIGN")</f>
        <v>50 PCS BUSINESS CARD SISC DESIGN</v>
      </c>
      <c r="E1525" s="196" t="str">
        <f>IFERROR(__xludf.DUMMYFUNCTION("""COMPUTED_VALUE"""),"DR NANCY'S SCHOOL BUSINESS CARD")</f>
        <v>DR NANCY'S SCHOOL BUSINESS CARD</v>
      </c>
    </row>
    <row r="1526">
      <c r="A1526" s="234">
        <f>IFERROR(__xludf.DUMMYFUNCTION("""COMPUTED_VALUE"""),106359.0)</f>
        <v>106359</v>
      </c>
      <c r="B1526" s="235" t="str">
        <f>IFERROR(__xludf.DUMMYFUNCTION("""COMPUTED_VALUE"""),"JORDAN JORDAN")</f>
        <v>JORDAN JORDAN</v>
      </c>
      <c r="C1526" s="235" t="str">
        <f>IFERROR(__xludf.DUMMYFUNCTION("""COMPUTED_VALUE"""),"ADMIN")</f>
        <v>ADMIN</v>
      </c>
      <c r="D1526" s="196" t="str">
        <f>IFERROR(__xludf.DUMMYFUNCTION("""COMPUTED_VALUE"""),"10 PCS PANASONIC WIDE SERIES DUPLEX OUTLET")</f>
        <v>10 PCS PANASONIC WIDE SERIES DUPLEX OUTLET</v>
      </c>
      <c r="E1526" s="196" t="str">
        <f>IFERROR(__xludf.DUMMYFUNCTION("""COMPUTED_VALUE"""),"ADDITIONAL OUTLET FOR MONARCHS HUB")</f>
        <v>ADDITIONAL OUTLET FOR MONARCHS HUB</v>
      </c>
    </row>
    <row r="1527">
      <c r="A1527" s="234">
        <f>IFERROR(__xludf.DUMMYFUNCTION("""COMPUTED_VALUE"""),106360.0)</f>
        <v>106360</v>
      </c>
      <c r="B1527" s="235" t="str">
        <f>IFERROR(__xludf.DUMMYFUNCTION("""COMPUTED_VALUE"""),"OWIE PAR")</f>
        <v>OWIE PAR</v>
      </c>
      <c r="C1527" s="235" t="str">
        <f>IFERROR(__xludf.DUMMYFUNCTION("""COMPUTED_VALUE"""),"ENGINEERING")</f>
        <v>ENGINEERING</v>
      </c>
      <c r="D1527" s="196" t="str">
        <f>IFERROR(__xludf.DUMMYFUNCTION("""COMPUTED_VALUE"""),"5 SETS LED DOWN LIGHT WARM WHITE ")</f>
        <v>5 SETS LED DOWN LIGHT WARM WHITE </v>
      </c>
      <c r="E1527" s="196" t="str">
        <f>IFERROR(__xludf.DUMMYFUNCTION("""COMPUTED_VALUE"""),"REPLACEMENT FOR STUFF SHOP")</f>
        <v>REPLACEMENT FOR STUFF SHOP</v>
      </c>
    </row>
    <row r="1528">
      <c r="A1528" s="234">
        <f>IFERROR(__xludf.DUMMYFUNCTION("""COMPUTED_VALUE"""),106361.0)</f>
        <v>106361</v>
      </c>
      <c r="B1528" s="235" t="str">
        <f>IFERROR(__xludf.DUMMYFUNCTION("""COMPUTED_VALUE"""),"CHARLES LEBECO DONOR")</f>
        <v>CHARLES LEBECO DONOR</v>
      </c>
      <c r="C1528" s="235" t="str">
        <f>IFERROR(__xludf.DUMMYFUNCTION("""COMPUTED_VALUE"""),"AMD")</f>
        <v>AMD</v>
      </c>
      <c r="D1528" s="196" t="str">
        <f>IFERROR(__xludf.DUMMYFUNCTION("""COMPUTED_VALUE"""),"30 Dater Stamp, 8 Digits Roller")</f>
        <v>30 Dater Stamp, 8 Digits Roller</v>
      </c>
      <c r="E1528" s="196" t="str">
        <f>IFERROR(__xludf.DUMMYFUNCTION("""COMPUTED_VALUE"""),"OSSUP REPLENISHMENTS")</f>
        <v>OSSUP REPLENISHMENTS</v>
      </c>
    </row>
    <row r="1529">
      <c r="A1529" s="234">
        <f>IFERROR(__xludf.DUMMYFUNCTION("""COMPUTED_VALUE"""),106362.0)</f>
        <v>106362</v>
      </c>
      <c r="B1529" s="235" t="str">
        <f>IFERROR(__xludf.DUMMYFUNCTION("""COMPUTED_VALUE"""),"RODRIGO CUSTODIO")</f>
        <v>RODRIGO CUSTODIO</v>
      </c>
      <c r="C1529" s="235" t="str">
        <f>IFERROR(__xludf.DUMMYFUNCTION("""COMPUTED_VALUE"""),"AMD")</f>
        <v>AMD</v>
      </c>
      <c r="D1529" s="196" t="str">
        <f>IFERROR(__xludf.DUMMYFUNCTION("""COMPUTED_VALUE"""),"20 PCS DEL FABRIC SOFTENER 1000ML
50 PACKS TRASH BAG LARGE 26"" X 32"" CLEAR
10 PCS POLISHER HEAD WITH BRUSH 16"" WHITE
10 PCS POLISHER BRACKET REPLACEMENT 16""
20 PCS RAT CAGE CATCHER")</f>
        <v>20 PCS DEL FABRIC SOFTENER 1000ML
50 PACKS TRASH BAG LARGE 26" X 32" CLEAR
10 PCS POLISHER HEAD WITH BRUSH 16" WHITE
10 PCS POLISHER BRACKET REPLACEMENT 16"
20 PCS RAT CAGE CATCHER</v>
      </c>
      <c r="E1529" s="196" t="str">
        <f>IFERROR(__xludf.DUMMYFUNCTION("""COMPUTED_VALUE"""),"HOUSEKEEPING STOCK REPLENISHMENT")</f>
        <v>HOUSEKEEPING STOCK REPLENISHMENT</v>
      </c>
    </row>
    <row r="1530">
      <c r="A1530" s="234">
        <f>IFERROR(__xludf.DUMMYFUNCTION("""COMPUTED_VALUE"""),106363.0)</f>
        <v>106363</v>
      </c>
      <c r="B1530" s="235" t="str">
        <f>IFERROR(__xludf.DUMMYFUNCTION("""COMPUTED_VALUE"""),"JESUIT CHRISTIAN GALICIA")</f>
        <v>JESUIT CHRISTIAN GALICIA</v>
      </c>
      <c r="C1530" s="235" t="str">
        <f>IFERROR(__xludf.DUMMYFUNCTION("""COMPUTED_VALUE"""),"AMD")</f>
        <v>AMD</v>
      </c>
      <c r="D1530" s="196" t="str">
        <f>IFERROR(__xludf.DUMMYFUNCTION("""COMPUTED_VALUE"""),"1 PC PER COUNTRY FLAG 
SPAIN, TUNISIA, DOMINICAN REPUBLIC, USA, ARGENTINA, AUSTRALIA, EGYPT, SURINAME, SPAIN, ZIMBABWE, ARGENTINA, PERU, BOLIVIA, CUBA, HAITI, JAPAN, SOUTH KOREA, ECUADOR")</f>
        <v>1 PC PER COUNTRY FLAG 
SPAIN, TUNISIA, DOMINICAN REPUBLIC, USA, ARGENTINA, AUSTRALIA, EGYPT, SURINAME, SPAIN, ZIMBABWE, ARGENTINA, PERU, BOLIVIA, CUBA, HAITI, JAPAN, SOUTH KOREA, ECUADOR</v>
      </c>
      <c r="E1530" s="196" t="str">
        <f>IFERROR(__xludf.DUMMYFUNCTION("""COMPUTED_VALUE"""),"FOR OFFICIAL SCHOOL USE IN VARIOUS EVENTS AND ACTIVITIES")</f>
        <v>FOR OFFICIAL SCHOOL USE IN VARIOUS EVENTS AND ACTIVITIES</v>
      </c>
    </row>
    <row r="1531">
      <c r="A1531" s="234">
        <f>IFERROR(__xludf.DUMMYFUNCTION("""COMPUTED_VALUE"""),106364.0)</f>
        <v>106364</v>
      </c>
      <c r="B1531" s="235" t="str">
        <f>IFERROR(__xludf.DUMMYFUNCTION("""COMPUTED_VALUE"""),"KRISTEN GABUTERO ")</f>
        <v>KRISTEN GABUTERO </v>
      </c>
      <c r="C1531" s="235" t="str">
        <f>IFERROR(__xludf.DUMMYFUNCTION("""COMPUTED_VALUE"""),"AB COMM/MMA")</f>
        <v>AB COMM/MMA</v>
      </c>
      <c r="D1531" s="196" t="str">
        <f>IFERROR(__xludf.DUMMYFUNCTION("""COMPUTED_VALUE"""),"1 STUDIO BACKDROP STAND 6 X9 FT
1 SEAMLESS PHOTO BACKGROUND 2.7 X 10 M SNOW WHITE ")</f>
        <v>1 STUDIO BACKDROP STAND 6 X9 FT
1 SEAMLESS PHOTO BACKGROUND 2.7 X 10 M SNOW WHITE </v>
      </c>
      <c r="E1531" s="196" t="str">
        <f>IFERROR(__xludf.DUMMYFUNCTION("""COMPUTED_VALUE"""),"MS AND MR SOUTHVILLE AND USE FOR DIGITAL PHOTOGRAPHY IMAGING SUBJECT")</f>
        <v>MS AND MR SOUTHVILLE AND USE FOR DIGITAL PHOTOGRAPHY IMAGING SUBJECT</v>
      </c>
    </row>
    <row r="1532">
      <c r="A1532" s="234">
        <f>IFERROR(__xludf.DUMMYFUNCTION("""COMPUTED_VALUE"""),106365.0)</f>
        <v>106365</v>
      </c>
      <c r="B1532" s="235" t="str">
        <f>IFERROR(__xludf.DUMMYFUNCTION("""COMPUTED_VALUE"""),"VIOLETA ALDUCENTE ")</f>
        <v>VIOLETA ALDUCENTE </v>
      </c>
      <c r="C1532" s="235" t="str">
        <f>IFERROR(__xludf.DUMMYFUNCTION("""COMPUTED_VALUE"""),"IB")</f>
        <v>IB</v>
      </c>
      <c r="D1532" s="196" t="str">
        <f>IFERROR(__xludf.DUMMYFUNCTION("""COMPUTED_VALUE"""),"1 KG POTASSIUM HYDROXIDE KOH
500 ML POLYSORBATE 20
1KG LAURIC ACID 
1KG IRON III CHLORIDE FECL3
1KG EDTA
1KG CYANURIC ACID
500 ML SODIUM HYPOCHLORITE SOL
500 G UREA
1 KG POTASSIUM IODIDE 
1 BOX COVER SLIPS
1 BOTTLE LIPASE CONCENTRATE CAPSULES
1 KG LEAD SU"&amp;"LFATE
1 KG NICKEL SULFATE 
1KG SODIUM NITRATE 
10 PCS STIRRING ROD GLASS 
1 BOX FILTER PAPER")</f>
        <v>1 KG POTASSIUM HYDROXIDE KOH
500 ML POLYSORBATE 20
1KG LAURIC ACID 
1KG IRON III CHLORIDE FECL3
1KG EDTA
1KG CYANURIC ACID
500 ML SODIUM HYPOCHLORITE SOL
500 G UREA
1 KG POTASSIUM IODIDE 
1 BOX COVER SLIPS
1 BOTTLE LIPASE CONCENTRATE CAPSULES
1 KG LEAD SULFATE
1 KG NICKEL SULFATE 
1KG SODIUM NITRATE 
10 PCS STIRRING ROD GLASS 
1 BOX FILTER PAPER</v>
      </c>
      <c r="E1532" s="196" t="str">
        <f>IFERROR(__xludf.DUMMYFUNCTION("""COMPUTED_VALUE"""),"FOR IB IA SCIENTIFFIC INVESTIGATION")</f>
        <v>FOR IB IA SCIENTIFFIC INVESTIGATION</v>
      </c>
    </row>
    <row r="1533">
      <c r="A1533" s="234">
        <f>IFERROR(__xludf.DUMMYFUNCTION("""COMPUTED_VALUE"""),106366.0)</f>
        <v>106366</v>
      </c>
      <c r="B1533" s="235" t="str">
        <f>IFERROR(__xludf.DUMMYFUNCTION("""COMPUTED_VALUE"""),"LUCILLE BEYER")</f>
        <v>LUCILLE BEYER</v>
      </c>
      <c r="C1533" s="235" t="str">
        <f>IFERROR(__xludf.DUMMYFUNCTION("""COMPUTED_VALUE"""),"MEDICAL")</f>
        <v>MEDICAL</v>
      </c>
      <c r="D1533" s="196" t="str">
        <f>IFERROR(__xludf.DUMMYFUNCTION("""COMPUTED_VALUE"""),"300 pcs – Biogesic
200 pcs – Neozep non drowse
150 pcs – Solmux
100 pcs – Diatabs
100 pcs – Bonamine
100 pcs – Cetirizine 10 mg
100 pcs – Alaxan
100 pcs – Bioflu
100 pcs – Decolgen (non drowse)
100 pcs – Catapres
150 pcs – Mefenamic Acid
Other Supplies
10"&amp;" boxes – Disposable face masks
10 boxes/10s – Salonpas
10 bottles – White flower 20ml
20 pcs – Hydrite (apple flavor)
20 pcs – Calmosipine cream
5 bots/120ml – Omega Ointment liniment
5 bots/235ml – Efficassent oil
5 tubes/10g – Bactifree (Mupirocin)
5 bo"&amp;"ts/500ml – Bactidol
50 pcs – Eye patch (Mediplast)
5 300 balls/pack – Cotton balls
10 8/pack – Strepsils (Orange &amp; Lemon Flavor)
5 200 tips/pack – Babyflo
4 100mg/5ml – Ibuprofen (Advil Syrup)
5 50g/bot – Vicks vaporub
5 120 ml – Aceite de manzanilla")</f>
        <v>300 pcs – Biogesic
200 pcs – Neozep non drowse
150 pcs – Solmux
100 pcs – Diatabs
100 pcs – Bonamine
100 pcs – Cetirizine 10 mg
100 pcs – Alaxan
100 pcs – Bioflu
100 pcs – Decolgen (non drowse)
100 pcs – Catapres
150 pcs – Mefenamic Acid
Other Supplies
10 boxes – Disposable face masks
10 boxes/10s – Salonpas
10 bottles – White flower 20ml
20 pcs – Hydrite (apple flavor)
20 pcs – Calmosipine cream
5 bots/120ml – Omega Ointment liniment
5 bots/235ml – Efficassent oil
5 tubes/10g – Bactifree (Mupirocin)
5 bots/500ml – Bactidol
50 pcs – Eye patch (Mediplast)
5 300 balls/pack – Cotton balls
10 8/pack – Strepsils (Orange &amp; Lemon Flavor)
5 200 tips/pack – Babyflo
4 100mg/5ml – Ibuprofen (Advil Syrup)
5 50g/bot – Vicks vaporub
5 120 ml – Aceite de manzanilla</v>
      </c>
      <c r="E1533" s="196" t="str">
        <f>IFERROR(__xludf.DUMMYFUNCTION("""COMPUTED_VALUE"""),"REPLENISH OF CLINIC SUPPLIES AND MEDS FOR 3 CLINICS FOR MONTH OF OCT AND NOV")</f>
        <v>REPLENISH OF CLINIC SUPPLIES AND MEDS FOR 3 CLINICS FOR MONTH OF OCT AND NOV</v>
      </c>
    </row>
    <row r="1534">
      <c r="A1534" s="234">
        <f>IFERROR(__xludf.DUMMYFUNCTION("""COMPUTED_VALUE"""),106367.0)</f>
        <v>106367</v>
      </c>
      <c r="B1534" s="235" t="str">
        <f>IFERROR(__xludf.DUMMYFUNCTION("""COMPUTED_VALUE"""),"JESUIT CHRISTIAN GALICIA")</f>
        <v>JESUIT CHRISTIAN GALICIA</v>
      </c>
      <c r="C1534" s="235" t="str">
        <f>IFERROR(__xludf.DUMMYFUNCTION("""COMPUTED_VALUE"""),"AMD")</f>
        <v>AMD</v>
      </c>
      <c r="D1534" s="196" t="str">
        <f>IFERROR(__xludf.DUMMYFUNCTION("""COMPUTED_VALUE"""),"1 PC ORIGINAL TRODAT PRINTY 4.0 4846")</f>
        <v>1 PC ORIGINAL TRODAT PRINTY 4.0 4846</v>
      </c>
      <c r="E1534" s="196" t="str">
        <f>IFERROR(__xludf.DUMMYFUNCTION("""COMPUTED_VALUE"""),"TO BE USED FOR NUMBERING DRF ")</f>
        <v>TO BE USED FOR NUMBERING DRF </v>
      </c>
    </row>
    <row r="1535">
      <c r="A1535" s="234">
        <f>IFERROR(__xludf.DUMMYFUNCTION("""COMPUTED_VALUE"""),106368.0)</f>
        <v>106368</v>
      </c>
      <c r="B1535" s="235" t="str">
        <f>IFERROR(__xludf.DUMMYFUNCTION("""COMPUTED_VALUE"""),"CLEA LOMIWES")</f>
        <v>CLEA LOMIWES</v>
      </c>
      <c r="C1535" s="235" t="str">
        <f>IFERROR(__xludf.DUMMYFUNCTION("""COMPUTED_VALUE"""),"LIBRARY COLLEGE")</f>
        <v>LIBRARY COLLEGE</v>
      </c>
      <c r="D1535" s="196" t="str">
        <f>IFERROR(__xludf.DUMMYFUNCTION("""COMPUTED_VALUE"""),"PLASTIC COVER
THICK: 4 HARD
WIDTH: 48"" (1.2M)
LENGTH:50")</f>
        <v>PLASTIC COVER
THICK: 4 HARD
WIDTH: 48" (1.2M)
LENGTH:50</v>
      </c>
      <c r="E1535" s="196" t="str">
        <f>IFERROR(__xludf.DUMMYFUNCTION("""COMPUTED_VALUE"""),"FOR COVERING OF NEWLY ACQUIRED BOOKS AND BOOKS FOR RE-COVERING")</f>
        <v>FOR COVERING OF NEWLY ACQUIRED BOOKS AND BOOKS FOR RE-COVERING</v>
      </c>
    </row>
    <row r="1536">
      <c r="A1536" s="234">
        <f>IFERROR(__xludf.DUMMYFUNCTION("""COMPUTED_VALUE"""),106369.0)</f>
        <v>106369</v>
      </c>
      <c r="B1536" s="235" t="str">
        <f>IFERROR(__xludf.DUMMYFUNCTION("""COMPUTED_VALUE"""),"ALFA DE LEON")</f>
        <v>ALFA DE LEON</v>
      </c>
      <c r="C1536" s="235" t="str">
        <f>IFERROR(__xludf.DUMMYFUNCTION("""COMPUTED_VALUE"""),"ADMIN - MUNICH")</f>
        <v>ADMIN - MUNICH</v>
      </c>
      <c r="D1536" s="196" t="str">
        <f>IFERROR(__xludf.DUMMYFUNCTION("""COMPUTED_VALUE"""),"GRASS CUTTER (SPARTA)
SB-CB-4T   4STROKE
BUY NEW ONE")</f>
        <v>GRASS CUTTER (SPARTA)
SB-CB-4T   4STROKE
BUY NEW ONE</v>
      </c>
      <c r="E1536" s="196" t="str">
        <f>IFERROR(__xludf.DUMMYFUNCTION("""COMPUTED_VALUE"""),"REPLACEMENT OF THE DAMAGED GRASS CUTTER INSTEAD OF REPAIRING ANG SERVICING OF THE UNIT")</f>
        <v>REPLACEMENT OF THE DAMAGED GRASS CUTTER INSTEAD OF REPAIRING ANG SERVICING OF THE UNIT</v>
      </c>
    </row>
    <row r="1537">
      <c r="A1537" s="234">
        <f>IFERROR(__xludf.DUMMYFUNCTION("""COMPUTED_VALUE"""),106370.0)</f>
        <v>106370</v>
      </c>
      <c r="B1537" s="235" t="str">
        <f>IFERROR(__xludf.DUMMYFUNCTION("""COMPUTED_VALUE"""),"CHRISTON CORBEZA")</f>
        <v>CHRISTON CORBEZA</v>
      </c>
      <c r="C1537" s="235" t="str">
        <f>IFERROR(__xludf.DUMMYFUNCTION("""COMPUTED_VALUE"""),"ADMIN")</f>
        <v>ADMIN</v>
      </c>
      <c r="D1537" s="196" t="str">
        <f>IFERROR(__xludf.DUMMYFUNCTION("""COMPUTED_VALUE"""),"CONCRETE PLAT BOX
1M x 4CM x 31 cm
COLOR: BLACK")</f>
        <v>CONCRETE PLAT BOX
1M x 4CM x 31 cm
COLOR: BLACK</v>
      </c>
      <c r="E1537" s="196" t="str">
        <f>IFERROR(__xludf.DUMMYFUNCTION("""COMPUTED_VALUE"""),"TO SERVE AS BARRIER")</f>
        <v>TO SERVE AS BARRIER</v>
      </c>
    </row>
    <row r="1538">
      <c r="A1538" s="234">
        <f>IFERROR(__xludf.DUMMYFUNCTION("""COMPUTED_VALUE"""),106371.0)</f>
        <v>106371</v>
      </c>
      <c r="B1538" s="235" t="str">
        <f>IFERROR(__xludf.DUMMYFUNCTION("""COMPUTED_VALUE"""),"CHRISTON CORBEZA")</f>
        <v>CHRISTON CORBEZA</v>
      </c>
      <c r="C1538" s="235" t="str">
        <f>IFERROR(__xludf.DUMMYFUNCTION("""COMPUTED_VALUE"""),"ADMIN")</f>
        <v>ADMIN</v>
      </c>
      <c r="D1538" s="196" t="str">
        <f>IFERROR(__xludf.DUMMYFUNCTION("""COMPUTED_VALUE"""),"MOBILE STEEL CABINET LOCK
SAFETY PLUG OUTLET COVER")</f>
        <v>MOBILE STEEL CABINET LOCK
SAFETY PLUG OUTLET COVER</v>
      </c>
      <c r="E1538" s="196" t="str">
        <f>IFERROR(__xludf.DUMMYFUNCTION("""COMPUTED_VALUE"""),"FOR REPLACEMENT")</f>
        <v>FOR REPLACEMENT</v>
      </c>
    </row>
    <row r="1539">
      <c r="A1539" s="234">
        <f>IFERROR(__xludf.DUMMYFUNCTION("""COMPUTED_VALUE"""),106372.0)</f>
        <v>106372</v>
      </c>
      <c r="B1539" s="235" t="str">
        <f>IFERROR(__xludf.DUMMYFUNCTION("""COMPUTED_VALUE"""),"ELYDIA REYES")</f>
        <v>ELYDIA REYES</v>
      </c>
      <c r="C1539" s="235" t="str">
        <f>IFERROR(__xludf.DUMMYFUNCTION("""COMPUTED_VALUE"""),"PR &amp; MARKETING")</f>
        <v>PR &amp; MARKETING</v>
      </c>
      <c r="D1539" s="196" t="str">
        <f>IFERROR(__xludf.DUMMYFUNCTION("""COMPUTED_VALUE"""),"1 BLEPP 2025 240 X 120 IN PSYCHOLOGY CONGRATULATORY TARP W/ EYELET AND SEAMING ALL OVER")</f>
        <v>1 BLEPP 2025 240 X 120 IN PSYCHOLOGY CONGRATULATORY TARP W/ EYELET AND SEAMING ALL OVER</v>
      </c>
      <c r="E1539" s="196" t="str">
        <f>IFERROR(__xludf.DUMMYFUNCTION("""COMPUTED_VALUE"""),"PROMOTIONAL FOR BS PSYCH CONGRATULATORY BANNERS")</f>
        <v>PROMOTIONAL FOR BS PSYCH CONGRATULATORY BANNERS</v>
      </c>
    </row>
    <row r="1540">
      <c r="A1540" s="234">
        <f>IFERROR(__xludf.DUMMYFUNCTION("""COMPUTED_VALUE"""),106373.0)</f>
        <v>106373</v>
      </c>
      <c r="B1540" s="235" t="str">
        <f>IFERROR(__xludf.DUMMYFUNCTION("""COMPUTED_VALUE"""),"SHEILA MAE MAJAIT")</f>
        <v>SHEILA MAE MAJAIT</v>
      </c>
      <c r="C1540" s="235" t="str">
        <f>IFERROR(__xludf.DUMMYFUNCTION("""COMPUTED_VALUE"""),"PR &amp; MARKETING")</f>
        <v>PR &amp; MARKETING</v>
      </c>
      <c r="D1540" s="196" t="str">
        <f>IFERROR(__xludf.DUMMYFUNCTION("""COMPUTED_VALUE"""),"1 USB C HDMI TYPE C ADAPTER ")</f>
        <v>1 USB C HDMI TYPE C ADAPTER </v>
      </c>
      <c r="E1540" s="196" t="str">
        <f>IFERROR(__xludf.DUMMYFUNCTION("""COMPUTED_VALUE"""),"FOR MAC MINI")</f>
        <v>FOR MAC MINI</v>
      </c>
    </row>
    <row r="1541">
      <c r="A1541" s="234">
        <f>IFERROR(__xludf.DUMMYFUNCTION("""COMPUTED_VALUE"""),106374.0)</f>
        <v>106374</v>
      </c>
      <c r="B1541" s="235" t="str">
        <f>IFERROR(__xludf.DUMMYFUNCTION("""COMPUTED_VALUE"""),"JESUIT CHRISTIAN GALICIA")</f>
        <v>JESUIT CHRISTIAN GALICIA</v>
      </c>
      <c r="C1541" s="235" t="str">
        <f>IFERROR(__xludf.DUMMYFUNCTION("""COMPUTED_VALUE"""),"AMD")</f>
        <v>AMD</v>
      </c>
      <c r="D1541" s="196" t="str">
        <f>IFERROR(__xludf.DUMMYFUNCTION("""COMPUTED_VALUE"""),"20 PCS EDIFIER SPEAKER X100B")</f>
        <v>20 PCS EDIFIER SPEAKER X100B</v>
      </c>
      <c r="E1541" s="196" t="str">
        <f>IFERROR(__xludf.DUMMYFUNCTION("""COMPUTED_VALUE"""),"MIS WAREHOUSE STOCK REPLENISHMENT")</f>
        <v>MIS WAREHOUSE STOCK REPLENISHMENT</v>
      </c>
    </row>
    <row r="1542">
      <c r="A1542" s="234">
        <f>IFERROR(__xludf.DUMMYFUNCTION("""COMPUTED_VALUE"""),106375.0)</f>
        <v>106375</v>
      </c>
      <c r="B1542" s="235" t="str">
        <f>IFERROR(__xludf.DUMMYFUNCTION("""COMPUTED_VALUE"""),"JESUIT CHRISTIAN GALICIA")</f>
        <v>JESUIT CHRISTIAN GALICIA</v>
      </c>
      <c r="C1542" s="235" t="str">
        <f>IFERROR(__xludf.DUMMYFUNCTION("""COMPUTED_VALUE"""),"AMD")</f>
        <v>AMD</v>
      </c>
      <c r="D1542" s="196" t="str">
        <f>IFERROR(__xludf.DUMMYFUNCTION("""COMPUTED_VALUE"""),"10 EACH SIZE HDMI CABLE 5M AND 10M
5 PCS HARD DISK 2TB
15 PCS MODULAR JACK CAT6 
20 PCS MAONO CONFERENCE MIC
50 PCS MOUSEPAD UGREEN 
20 PCS A4TECH WEB CAM PK 980HA
5 PCS FLASHDRIVE USB 64GB SANDISK ULTRA 3.0 `")</f>
        <v>10 EACH SIZE HDMI CABLE 5M AND 10M
5 PCS HARD DISK 2TB
15 PCS MODULAR JACK CAT6 
20 PCS MAONO CONFERENCE MIC
50 PCS MOUSEPAD UGREEN 
20 PCS A4TECH WEB CAM PK 980HA
5 PCS FLASHDRIVE USB 64GB SANDISK ULTRA 3.0 `</v>
      </c>
      <c r="E1542" s="196" t="str">
        <f>IFERROR(__xludf.DUMMYFUNCTION("""COMPUTED_VALUE"""),"MIS WAREHOUSE STOCK REPLENISHMENT")</f>
        <v>MIS WAREHOUSE STOCK REPLENISHMENT</v>
      </c>
    </row>
    <row r="1543">
      <c r="A1543" s="234">
        <f>IFERROR(__xludf.DUMMYFUNCTION("""COMPUTED_VALUE"""),106376.0)</f>
        <v>106376</v>
      </c>
      <c r="B1543" s="235" t="str">
        <f>IFERROR(__xludf.DUMMYFUNCTION("""COMPUTED_VALUE"""),"ANGELINE DUMLAO")</f>
        <v>ANGELINE DUMLAO</v>
      </c>
      <c r="C1543" s="235" t="str">
        <f>IFERROR(__xludf.DUMMYFUNCTION("""COMPUTED_VALUE"""),"K12")</f>
        <v>K12</v>
      </c>
      <c r="D1543" s="196" t="str">
        <f>IFERROR(__xludf.DUMMYFUNCTION("""COMPUTED_VALUE"""),"6 COMPUTER MONITORS")</f>
        <v>6 COMPUTER MONITORS</v>
      </c>
      <c r="E1543" s="196" t="str">
        <f>IFERROR(__xludf.DUMMYFUNCTION("""COMPUTED_VALUE"""),"FOR FLEX ")</f>
        <v>FOR FLEX </v>
      </c>
    </row>
    <row r="1544">
      <c r="A1544" s="234">
        <f>IFERROR(__xludf.DUMMYFUNCTION("""COMPUTED_VALUE"""),106377.0)</f>
        <v>106377</v>
      </c>
      <c r="B1544" s="235" t="str">
        <f>IFERROR(__xludf.DUMMYFUNCTION("""COMPUTED_VALUE"""),"RODRIGO CUSTODIO")</f>
        <v>RODRIGO CUSTODIO</v>
      </c>
      <c r="C1544" s="235" t="str">
        <f>IFERROR(__xludf.DUMMYFUNCTION("""COMPUTED_VALUE"""),"AMD")</f>
        <v>AMD</v>
      </c>
      <c r="D1544" s="196" t="str">
        <f>IFERROR(__xludf.DUMMYFUNCTION("""COMPUTED_VALUE"""),"120 GALS HANDSOAP ANTIBACTERIAL YELLOW
90 PCS MR MUSCLE SUPER TOILET BOWL CLEANER 900 ML")</f>
        <v>120 GALS HANDSOAP ANTIBACTERIAL YELLOW
90 PCS MR MUSCLE SUPER TOILET BOWL CLEANER 900 ML</v>
      </c>
      <c r="E1544" s="196" t="str">
        <f>IFERROR(__xludf.DUMMYFUNCTION("""COMPUTED_VALUE"""),"HOUSEKEEPING STOCK REPLENISHMENT")</f>
        <v>HOUSEKEEPING STOCK REPLENISHMENT</v>
      </c>
    </row>
    <row r="1545">
      <c r="A1545" s="234">
        <f>IFERROR(__xludf.DUMMYFUNCTION("""COMPUTED_VALUE"""),106378.0)</f>
        <v>106378</v>
      </c>
      <c r="B1545" s="235" t="str">
        <f>IFERROR(__xludf.DUMMYFUNCTION("""COMPUTED_VALUE"""),"JOHNNY QUIQUI")</f>
        <v>JOHNNY QUIQUI</v>
      </c>
      <c r="C1545" s="235" t="str">
        <f>IFERROR(__xludf.DUMMYFUNCTION("""COMPUTED_VALUE"""),"ABU")</f>
        <v>ABU</v>
      </c>
      <c r="D1545" s="196" t="str">
        <f>IFERROR(__xludf.DUMMYFUNCTION("""COMPUTED_VALUE"""),"10 PCS GRADE 5 CURSIVE WRITING ")</f>
        <v>10 PCS GRADE 5 CURSIVE WRITING </v>
      </c>
      <c r="E1545" s="196" t="str">
        <f>IFERROR(__xludf.DUMMYFUNCTION("""COMPUTED_VALUE"""),"FOR SALE")</f>
        <v>FOR SALE</v>
      </c>
    </row>
    <row r="1546">
      <c r="A1546" s="234">
        <f>IFERROR(__xludf.DUMMYFUNCTION("""COMPUTED_VALUE"""),106379.0)</f>
        <v>106379</v>
      </c>
      <c r="B1546" s="235" t="str">
        <f>IFERROR(__xludf.DUMMYFUNCTION("""COMPUTED_VALUE"""),"JOHNNY QUIQUI")</f>
        <v>JOHNNY QUIQUI</v>
      </c>
      <c r="C1546" s="235" t="str">
        <f>IFERROR(__xludf.DUMMYFUNCTION("""COMPUTED_VALUE"""),"ABU")</f>
        <v>ABU</v>
      </c>
      <c r="D1546" s="196" t="str">
        <f>IFERROR(__xludf.DUMMYFUNCTION("""COMPUTED_VALUE"""),"20 PCS G9 TOWPEP")</f>
        <v>20 PCS G9 TOWPEP</v>
      </c>
      <c r="E1546" s="196" t="str">
        <f>IFERROR(__xludf.DUMMYFUNCTION("""COMPUTED_VALUE"""),"FOR SALE")</f>
        <v>FOR SALE</v>
      </c>
    </row>
    <row r="1547">
      <c r="A1547" s="234">
        <f>IFERROR(__xludf.DUMMYFUNCTION("""COMPUTED_VALUE"""),106380.0)</f>
        <v>106380</v>
      </c>
      <c r="B1547" s="235" t="str">
        <f>IFERROR(__xludf.DUMMYFUNCTION("""COMPUTED_VALUE"""),"ANGELICA LAGDAMEO")</f>
        <v>ANGELICA LAGDAMEO</v>
      </c>
      <c r="C1547" s="235" t="str">
        <f>IFERROR(__xludf.DUMMYFUNCTION("""COMPUTED_VALUE"""),"SCIENCE LAB COLLEGE")</f>
        <v>SCIENCE LAB COLLEGE</v>
      </c>
      <c r="D1547" s="196" t="str">
        <f>IFERROR(__xludf.DUMMYFUNCTION("""COMPUTED_VALUE"""),"6 MICROSCOPE LABOTECH MODEL YJ 2016T ")</f>
        <v>6 MICROSCOPE LABOTECH MODEL YJ 2016T </v>
      </c>
      <c r="E1547" s="196" t="str">
        <f>IFERROR(__xludf.DUMMYFUNCTION("""COMPUTED_VALUE"""),"FOR REPLACEMENT")</f>
        <v>FOR REPLACEMENT</v>
      </c>
    </row>
    <row r="1548">
      <c r="A1548" s="234">
        <f>IFERROR(__xludf.DUMMYFUNCTION("""COMPUTED_VALUE"""),106381.0)</f>
        <v>106381</v>
      </c>
      <c r="B1548" s="235" t="str">
        <f>IFERROR(__xludf.DUMMYFUNCTION("""COMPUTED_VALUE"""),"ANGELICA LAGDAMEO/ JEREMIAH TIROL")</f>
        <v>ANGELICA LAGDAMEO/ JEREMIAH TIROL</v>
      </c>
      <c r="C1548" s="235" t="str">
        <f>IFERROR(__xludf.DUMMYFUNCTION("""COMPUTED_VALUE"""),"SCIENCE LAB COLLEGE")</f>
        <v>SCIENCE LAB COLLEGE</v>
      </c>
      <c r="D1548" s="196" t="str">
        <f>IFERROR(__xludf.DUMMYFUNCTION("""COMPUTED_VALUE"""),"20FT RUBBER TUBING
4PCS BURETTE ACID BASE 
15 PCS DUST COVER MICROSCOPE BIG SIZE
10 PCS PYREX GLASS FUNNEL 50MM
5 BOXES NITRILE GLOVES
4 LITERS FORMALDEHYDE 
2 LITERS BRANDY'S REAGENT
7 UNITS SHARPS CONTAINER BIOHAZARD BOX 5 LITERS
500G POTASSIUM SODIUM T"&amp;"ARTRATE 
2 LITERS GRAMS IODINE
4 LITERS IODINE")</f>
        <v>20FT RUBBER TUBING
4PCS BURETTE ACID BASE 
15 PCS DUST COVER MICROSCOPE BIG SIZE
10 PCS PYREX GLASS FUNNEL 50MM
5 BOXES NITRILE GLOVES
4 LITERS FORMALDEHYDE 
2 LITERS BRANDY'S REAGENT
7 UNITS SHARPS CONTAINER BIOHAZARD BOX 5 LITERS
500G POTASSIUM SODIUM TARTRATE 
2 LITERS GRAMS IODINE
4 LITERS IODINE</v>
      </c>
      <c r="E1548" s="196" t="str">
        <f>IFERROR(__xludf.DUMMYFUNCTION("""COMPUTED_VALUE"""),"FOR REPLENISHMENT OF MATERIALS")</f>
        <v>FOR REPLENISHMENT OF MATERIALS</v>
      </c>
    </row>
    <row r="1549">
      <c r="A1549" s="234">
        <f>IFERROR(__xludf.DUMMYFUNCTION("""COMPUTED_VALUE"""),106382.0)</f>
        <v>106382</v>
      </c>
      <c r="B1549" s="235" t="str">
        <f>IFERROR(__xludf.DUMMYFUNCTION("""COMPUTED_VALUE"""),"JORGE BALELA")</f>
        <v>JORGE BALELA</v>
      </c>
      <c r="C1549" s="235" t="str">
        <f>IFERROR(__xludf.DUMMYFUNCTION("""COMPUTED_VALUE"""),"ADMIN")</f>
        <v>ADMIN</v>
      </c>
      <c r="D1549" s="196" t="str">
        <f>IFERROR(__xludf.DUMMYFUNCTION("""COMPUTED_VALUE"""),"1 FLOWER WREATH")</f>
        <v>1 FLOWER WREATH</v>
      </c>
      <c r="E1549" s="196" t="str">
        <f>IFERROR(__xludf.DUMMYFUNCTION("""COMPUTED_VALUE"""),"FLOWER WREATH FOR ENGR. ROMEO VINCO")</f>
        <v>FLOWER WREATH FOR ENGR. ROMEO VINCO</v>
      </c>
    </row>
    <row r="1550">
      <c r="A1550" s="234">
        <f>IFERROR(__xludf.DUMMYFUNCTION("""COMPUTED_VALUE"""),106383.0)</f>
        <v>106383</v>
      </c>
      <c r="B1550" s="235" t="str">
        <f>IFERROR(__xludf.DUMMYFUNCTION("""COMPUTED_VALUE"""),"LUCILLE BEYER")</f>
        <v>LUCILLE BEYER</v>
      </c>
      <c r="C1550" s="235" t="str">
        <f>IFERROR(__xludf.DUMMYFUNCTION("""COMPUTED_VALUE"""),"MEDICAL")</f>
        <v>MEDICAL</v>
      </c>
      <c r="D1550" s="196" t="str">
        <f>IFERROR(__xludf.DUMMYFUNCTION("""COMPUTED_VALUE"""),"6 PCS HEAD LAMP ENERGIZER 
6 PCS FLASHLIGHT 
6 HARD HAT
6 RAINCOAT
10 PCS GLOW STICK
6 ILLUMINATING JACKET OR VEST
10 PCS EMERGENCY THERMAL BLANKETS
6 WHISTLE METAL MEDIUM SIZE 
2 WHEELCHAIR FOR MUNICH AND STAR
3 PORTABLE NEBULIZER ")</f>
        <v>6 PCS HEAD LAMP ENERGIZER 
6 PCS FLASHLIGHT 
6 HARD HAT
6 RAINCOAT
10 PCS GLOW STICK
6 ILLUMINATING JACKET OR VEST
10 PCS EMERGENCY THERMAL BLANKETS
6 WHISTLE METAL MEDIUM SIZE 
2 WHEELCHAIR FOR MUNICH AND STAR
3 PORTABLE NEBULIZER </v>
      </c>
      <c r="E1550" s="196" t="str">
        <f>IFERROR(__xludf.DUMMYFUNCTION("""COMPUTED_VALUE"""),"ADDITIONAL CLINIC EQUIPMENTS / EMERGENCY RESPONSE EQUIPMENT FOR 3 CLINICS")</f>
        <v>ADDITIONAL CLINIC EQUIPMENTS / EMERGENCY RESPONSE EQUIPMENT FOR 3 CLINICS</v>
      </c>
    </row>
    <row r="1551">
      <c r="A1551" s="234">
        <f>IFERROR(__xludf.DUMMYFUNCTION("""COMPUTED_VALUE"""),106384.0)</f>
        <v>106384</v>
      </c>
      <c r="B1551" s="235" t="str">
        <f>IFERROR(__xludf.DUMMYFUNCTION("""COMPUTED_VALUE"""),"OWIE PAR")</f>
        <v>OWIE PAR</v>
      </c>
      <c r="C1551" s="235" t="str">
        <f>IFERROR(__xludf.DUMMYFUNCTION("""COMPUTED_VALUE"""),"ENGINEERING")</f>
        <v>ENGINEERING</v>
      </c>
      <c r="D1551" s="196" t="str">
        <f>IFERROR(__xludf.DUMMYFUNCTION("""COMPUTED_VALUE"""),"1 UNIT WALL MOUNTED TYPE 2.0 HP INVERTER
1 UNIT WALL MOUNTED TYPE 1.5 HP INVERTER")</f>
        <v>1 UNIT WALL MOUNTED TYPE 2.0 HP INVERTER
1 UNIT WALL MOUNTED TYPE 1.5 HP INVERTER</v>
      </c>
      <c r="E1551" s="196" t="str">
        <f>IFERROR(__xludf.DUMMYFUNCTION("""COMPUTED_VALUE"""),"MANAGEMENT HOUSE")</f>
        <v>MANAGEMENT HOUSE</v>
      </c>
    </row>
    <row r="1552">
      <c r="A1552" s="234">
        <f>IFERROR(__xludf.DUMMYFUNCTION("""COMPUTED_VALUE"""),106385.0)</f>
        <v>106385</v>
      </c>
      <c r="B1552" s="235" t="str">
        <f>IFERROR(__xludf.DUMMYFUNCTION("""COMPUTED_VALUE"""),"RONALDO VERDE")</f>
        <v>RONALDO VERDE</v>
      </c>
      <c r="C1552" s="235" t="str">
        <f>IFERROR(__xludf.DUMMYFUNCTION("""COMPUTED_VALUE"""),"ADMIN")</f>
        <v>ADMIN</v>
      </c>
      <c r="D1552" s="196" t="str">
        <f>IFERROR(__xludf.DUMMYFUNCTION("""COMPUTED_VALUE"""),"200 PCS 60X60 TILES BEIGE
10 BAGS ADHESIVE ABC 
10 GALLON STICK WEL")</f>
        <v>200 PCS 60X60 TILES BEIGE
10 BAGS ADHESIVE ABC 
10 GALLON STICK WEL</v>
      </c>
      <c r="E1552" s="196" t="str">
        <f>IFERROR(__xludf.DUMMYFUNCTION("""COMPUTED_VALUE"""),"FACULTIES MAINTENANCE")</f>
        <v>FACULTIES MAINTENANCE</v>
      </c>
    </row>
    <row r="1553">
      <c r="A1553" s="234">
        <f>IFERROR(__xludf.DUMMYFUNCTION("""COMPUTED_VALUE"""),106386.0)</f>
        <v>106386</v>
      </c>
      <c r="B1553" s="235" t="str">
        <f>IFERROR(__xludf.DUMMYFUNCTION("""COMPUTED_VALUE"""),"SHEILA MAE MAJAIT")</f>
        <v>SHEILA MAE MAJAIT</v>
      </c>
      <c r="C1553" s="235" t="str">
        <f>IFERROR(__xludf.DUMMYFUNCTION("""COMPUTED_VALUE"""),"PR &amp; MARKETING")</f>
        <v>PR &amp; MARKETING</v>
      </c>
      <c r="D1553" s="196" t="str">
        <f>IFERROR(__xludf.DUMMYFUNCTION("""COMPUTED_VALUE"""),"1 AMADEUS CERTIFICATION 2025 TARPAULIN
W 12880 PX H 5390 PX THICKNESS 18 OZ")</f>
        <v>1 AMADEUS CERTIFICATION 2025 TARPAULIN
W 12880 PX H 5390 PX THICKNESS 18 OZ</v>
      </c>
      <c r="E1553" s="196" t="str">
        <f>IFERROR(__xludf.DUMMYFUNCTION("""COMPUTED_VALUE"""),"MARKETING / CONGRATULATORY")</f>
        <v>MARKETING / CONGRATULATORY</v>
      </c>
    </row>
    <row r="1554">
      <c r="A1554" s="234">
        <f>IFERROR(__xludf.DUMMYFUNCTION("""COMPUTED_VALUE"""),106387.0)</f>
        <v>106387</v>
      </c>
      <c r="B1554" s="235" t="str">
        <f>IFERROR(__xludf.DUMMYFUNCTION("""COMPUTED_VALUE"""),"LYKA PERALTA")</f>
        <v>LYKA PERALTA</v>
      </c>
      <c r="C1554" s="235" t="str">
        <f>IFERROR(__xludf.DUMMYFUNCTION("""COMPUTED_VALUE"""),"ABU")</f>
        <v>ABU</v>
      </c>
      <c r="D1554" s="196" t="str">
        <f>IFERROR(__xludf.DUMMYFUNCTION("""COMPUTED_VALUE"""),"3 PCS ELECTRICITY METER")</f>
        <v>3 PCS ELECTRICITY METER</v>
      </c>
      <c r="E1554" s="196" t="str">
        <f>IFERROR(__xludf.DUMMYFUNCTION("""COMPUTED_VALUE"""),"REPLACEMENT IN FOOD COURT")</f>
        <v>REPLACEMENT IN FOOD COURT</v>
      </c>
    </row>
    <row r="1555">
      <c r="A1555" s="234">
        <f>IFERROR(__xludf.DUMMYFUNCTION("""COMPUTED_VALUE"""),106388.0)</f>
        <v>106388</v>
      </c>
      <c r="B1555" s="235" t="str">
        <f>IFERROR(__xludf.DUMMYFUNCTION("""COMPUTED_VALUE"""),"RODRIGO CUSTODIO")</f>
        <v>RODRIGO CUSTODIO</v>
      </c>
      <c r="C1555" s="235" t="str">
        <f>IFERROR(__xludf.DUMMYFUNCTION("""COMPUTED_VALUE"""),"AMD")</f>
        <v>AMD</v>
      </c>
      <c r="D1555" s="196" t="str">
        <f>IFERROR(__xludf.DUMMYFUNCTION("""COMPUTED_VALUE"""),"84 BOTTLES BAYGON WATERBASED MULTI INSECT KILLER 500 ML
28 GALS GLOW FURNITURE CLEANER AND POLISH RIVCHEM
48 PACKS ARIEL WASHING DETERGENT POWDER 2.465 KG")</f>
        <v>84 BOTTLES BAYGON WATERBASED MULTI INSECT KILLER 500 ML
28 GALS GLOW FURNITURE CLEANER AND POLISH RIVCHEM
48 PACKS ARIEL WASHING DETERGENT POWDER 2.465 KG</v>
      </c>
      <c r="E1555" s="196" t="str">
        <f>IFERROR(__xludf.DUMMYFUNCTION("""COMPUTED_VALUE"""),"HOUSEKEEPING STOCK REPLENISHMENT")</f>
        <v>HOUSEKEEPING STOCK REPLENISHMENT</v>
      </c>
    </row>
    <row r="1556">
      <c r="A1556" s="234">
        <f>IFERROR(__xludf.DUMMYFUNCTION("""COMPUTED_VALUE"""),106389.0)</f>
        <v>106389</v>
      </c>
      <c r="B1556" s="235" t="str">
        <f>IFERROR(__xludf.DUMMYFUNCTION("""COMPUTED_VALUE"""),"FRANCESKA ORTEGA")</f>
        <v>FRANCESKA ORTEGA</v>
      </c>
      <c r="C1556" s="235" t="str">
        <f>IFERROR(__xludf.DUMMYFUNCTION("""COMPUTED_VALUE"""),"CEM OFFICE")</f>
        <v>CEM OFFICE</v>
      </c>
      <c r="D1556" s="196" t="str">
        <f>IFERROR(__xludf.DUMMYFUNCTION("""COMPUTED_VALUE"""),"1 MICROWAVE OVEN 
1 OVEN TOASTER")</f>
        <v>1 MICROWAVE OVEN 
1 OVEN TOASTER</v>
      </c>
      <c r="E1556" s="196" t="str">
        <f>IFERROR(__xludf.DUMMYFUNCTION("""COMPUTED_VALUE"""),"CEM PANTRY APPLIANCES")</f>
        <v>CEM PANTRY APPLIANCES</v>
      </c>
    </row>
    <row r="1557">
      <c r="A1557" s="234">
        <f>IFERROR(__xludf.DUMMYFUNCTION("""COMPUTED_VALUE"""),106390.0)</f>
        <v>106390</v>
      </c>
      <c r="B1557" s="235" t="str">
        <f>IFERROR(__xludf.DUMMYFUNCTION("""COMPUTED_VALUE"""),"JANELLE ILAO")</f>
        <v>JANELLE ILAO</v>
      </c>
      <c r="C1557" s="235" t="str">
        <f>IFERROR(__xludf.DUMMYFUNCTION("""COMPUTED_VALUE"""),"HRMD")</f>
        <v>HRMD</v>
      </c>
      <c r="D1557" s="196" t="str">
        <f>IFERROR(__xludf.DUMMYFUNCTION("""COMPUTED_VALUE"""),"FLOWER WREATH ")</f>
        <v>FLOWER WREATH </v>
      </c>
      <c r="E1557" s="196" t="str">
        <f>IFERROR(__xludf.DUMMYFUNCTION("""COMPUTED_VALUE"""),"FLOWER WREATH FOR MA VIOLA VILLENA'S MOTHER")</f>
        <v>FLOWER WREATH FOR MA VIOLA VILLENA'S MOTHER</v>
      </c>
    </row>
    <row r="1558">
      <c r="A1558" s="234">
        <f>IFERROR(__xludf.DUMMYFUNCTION("""COMPUTED_VALUE"""),106391.0)</f>
        <v>106391</v>
      </c>
      <c r="B1558" s="235" t="str">
        <f>IFERROR(__xludf.DUMMYFUNCTION("""COMPUTED_VALUE"""),"OWIE PAR")</f>
        <v>OWIE PAR</v>
      </c>
      <c r="C1558" s="235" t="str">
        <f>IFERROR(__xludf.DUMMYFUNCTION("""COMPUTED_VALUE"""),"ENGINEERING")</f>
        <v>ENGINEERING</v>
      </c>
      <c r="D1558" s="196" t="str">
        <f>IFERROR(__xludf.DUMMYFUNCTION("""COMPUTED_VALUE"""),"1 PC BALL VALVE 1 1/2 KITZ ORIGINAL
1 PC BALL VALVE 1 1/4 KITZ ORIGINAL")</f>
        <v>1 PC BALL VALVE 1 1/2 KITZ ORIGINAL
1 PC BALL VALVE 1 1/4 KITZ ORIGINAL</v>
      </c>
      <c r="E1558" s="196" t="str">
        <f>IFERROR(__xludf.DUMMYFUNCTION("""COMPUTED_VALUE"""),"FOR LUX AND COLLEGE BOOSTER PUMP LOCATED AT LUX CISTERN ")</f>
        <v>FOR LUX AND COLLEGE BOOSTER PUMP LOCATED AT LUX CISTERN </v>
      </c>
    </row>
    <row r="1559">
      <c r="A1559" s="234">
        <f>IFERROR(__xludf.DUMMYFUNCTION("""COMPUTED_VALUE"""),106392.0)</f>
        <v>106392</v>
      </c>
      <c r="B1559" s="235" t="str">
        <f>IFERROR(__xludf.DUMMYFUNCTION("""COMPUTED_VALUE"""),"LYKA PERALTA")</f>
        <v>LYKA PERALTA</v>
      </c>
      <c r="C1559" s="235" t="str">
        <f>IFERROR(__xludf.DUMMYFUNCTION("""COMPUTED_VALUE"""),"AMD")</f>
        <v>AMD</v>
      </c>
      <c r="D1559" s="196" t="str">
        <f>IFERROR(__xludf.DUMMYFUNCTION("""COMPUTED_VALUE"""),"100 PCS WHISTLE SISC GOLD")</f>
        <v>100 PCS WHISTLE SISC GOLD</v>
      </c>
      <c r="E1559" s="196" t="str">
        <f>IFERROR(__xludf.DUMMYFUNCTION("""COMPUTED_VALUE"""),"SKIT REPLENISHMENT STUDENT MATERIALS")</f>
        <v>SKIT REPLENISHMENT STUDENT MATERIALS</v>
      </c>
    </row>
    <row r="1560">
      <c r="A1560" s="234">
        <f>IFERROR(__xludf.DUMMYFUNCTION("""COMPUTED_VALUE"""),106393.0)</f>
        <v>106393</v>
      </c>
      <c r="B1560" s="235" t="str">
        <f>IFERROR(__xludf.DUMMYFUNCTION("""COMPUTED_VALUE"""),"ELYDIA REYES")</f>
        <v>ELYDIA REYES</v>
      </c>
      <c r="C1560" s="235" t="str">
        <f>IFERROR(__xludf.DUMMYFUNCTION("""COMPUTED_VALUE"""),"PR &amp; MARKETING")</f>
        <v>PR &amp; MARKETING</v>
      </c>
      <c r="D1560" s="196" t="str">
        <f>IFERROR(__xludf.DUMMYFUNCTION("""COMPUTED_VALUE"""),"1 PC 13 X 13 FT MISS EARTH 156 X 156 IN 2025")</f>
        <v>1 PC 13 X 13 FT MISS EARTH 156 X 156 IN 2025</v>
      </c>
      <c r="E1560" s="196" t="str">
        <f>IFERROR(__xludf.DUMMYFUNCTION("""COMPUTED_VALUE"""),"FOR PROMOTIONAL PURPOSES")</f>
        <v>FOR PROMOTIONAL PURPOSES</v>
      </c>
    </row>
    <row r="1561">
      <c r="A1561" s="234">
        <f>IFERROR(__xludf.DUMMYFUNCTION("""COMPUTED_VALUE"""),106394.0)</f>
        <v>106394</v>
      </c>
      <c r="B1561" s="235" t="str">
        <f>IFERROR(__xludf.DUMMYFUNCTION("""COMPUTED_VALUE"""),"MARC VINCENT VITTO")</f>
        <v>MARC VINCENT VITTO</v>
      </c>
      <c r="C1561" s="235" t="str">
        <f>IFERROR(__xludf.DUMMYFUNCTION("""COMPUTED_VALUE"""),"PR &amp; MARKETING")</f>
        <v>PR &amp; MARKETING</v>
      </c>
      <c r="D1561" s="196" t="str">
        <f>IFERROR(__xludf.DUMMYFUNCTION("""COMPUTED_VALUE"""),"1 USB 3.0 TO SATA DUAL BAY HDD DOCKING STATION DUPLICATOR CLONER UGREEN")</f>
        <v>1 USB 3.0 TO SATA DUAL BAY HDD DOCKING STATION DUPLICATOR CLONER UGREEN</v>
      </c>
      <c r="E1561" s="196" t="str">
        <f>IFERROR(__xludf.DUMMYFUNCTION("""COMPUTED_VALUE"""),"FOR STORAGE UPGRADE")</f>
        <v>FOR STORAGE UPGRADE</v>
      </c>
    </row>
    <row r="1562">
      <c r="A1562" s="234">
        <f>IFERROR(__xludf.DUMMYFUNCTION("""COMPUTED_VALUE"""),106395.0)</f>
        <v>106395</v>
      </c>
      <c r="B1562" s="235" t="str">
        <f>IFERROR(__xludf.DUMMYFUNCTION("""COMPUTED_VALUE"""),"RODRIGO CUSTODIO")</f>
        <v>RODRIGO CUSTODIO</v>
      </c>
      <c r="C1562" s="235" t="str">
        <f>IFERROR(__xludf.DUMMYFUNCTION("""COMPUTED_VALUE"""),"AMD")</f>
        <v>AMD</v>
      </c>
      <c r="D1562" s="196" t="str">
        <f>IFERROR(__xludf.DUMMYFUNCTION("""COMPUTED_VALUE"""),"10 GALS FLOOR FINISH STATE MIGHTY SPARKLE DIAMOND 25 ")</f>
        <v>10 GALS FLOOR FINISH STATE MIGHTY SPARKLE DIAMOND 25 </v>
      </c>
      <c r="E1562" s="196" t="str">
        <f>IFERROR(__xludf.DUMMYFUNCTION("""COMPUTED_VALUE"""),"HOUSEKEEPING STOCK REPLENISHMENT")</f>
        <v>HOUSEKEEPING STOCK REPLENISHMENT</v>
      </c>
    </row>
    <row r="1563">
      <c r="A1563" s="234">
        <f>IFERROR(__xludf.DUMMYFUNCTION("""COMPUTED_VALUE"""),106396.0)</f>
        <v>106396</v>
      </c>
      <c r="B1563" s="235" t="str">
        <f>IFERROR(__xludf.DUMMYFUNCTION("""COMPUTED_VALUE"""),"KIM DEXTER BODOSO")</f>
        <v>KIM DEXTER BODOSO</v>
      </c>
      <c r="C1563" s="235" t="str">
        <f>IFERROR(__xludf.DUMMYFUNCTION("""COMPUTED_VALUE"""),"PR &amp; MARKETING")</f>
        <v>PR &amp; MARKETING</v>
      </c>
      <c r="D1563" s="196" t="str">
        <f>IFERROR(__xludf.DUMMYFUNCTION("""COMPUTED_VALUE"""),"1 BOX EACH CALLING CARD FOR THE FF NAMES
ELYDIA REYES
KIM DEXTER BODOSO
JEAN MAGHINAY
ALYSA PONSARAN
ABIGAIL TOBLADO
CHANNAN CHUA
GERALDINE MEDINA
JAYVEN POBLETE
MARVIN MARASIGAN")</f>
        <v>1 BOX EACH CALLING CARD FOR THE FF NAMES
ELYDIA REYES
KIM DEXTER BODOSO
JEAN MAGHINAY
ALYSA PONSARAN
ABIGAIL TOBLADO
CHANNAN CHUA
GERALDINE MEDINA
JAYVEN POBLETE
MARVIN MARASIGAN</v>
      </c>
      <c r="E1563" s="196" t="str">
        <f>IFERROR(__xludf.DUMMYFUNCTION("""COMPUTED_VALUE"""),"BUSINESS NETWORKING CLIENT")</f>
        <v>BUSINESS NETWORKING CLIENT</v>
      </c>
    </row>
    <row r="1564">
      <c r="A1564" s="234">
        <f>IFERROR(__xludf.DUMMYFUNCTION("""COMPUTED_VALUE"""),106397.0)</f>
        <v>106397</v>
      </c>
      <c r="B1564" s="235" t="str">
        <f>IFERROR(__xludf.DUMMYFUNCTION("""COMPUTED_VALUE"""),"CARLITO DELA VEGA")</f>
        <v>CARLITO DELA VEGA</v>
      </c>
      <c r="C1564" s="235" t="str">
        <f>IFERROR(__xludf.DUMMYFUNCTION("""COMPUTED_VALUE"""),"SECURITY")</f>
        <v>SECURITY</v>
      </c>
      <c r="D1564" s="196" t="str">
        <f>IFERROR(__xludf.DUMMYFUNCTION("""COMPUTED_VALUE"""),"8 PCS WIFI CAMERA IMOU BULLET 4MP IP NON POE WIRELESS 3.6 MM AUDIO IPC F42FEU W/256SD CARD")</f>
        <v>8 PCS WIFI CAMERA IMOU BULLET 4MP IP NON POE WIRELESS 3.6 MM AUDIO IPC F42FEU W/256SD CARD</v>
      </c>
      <c r="E1564" s="196" t="str">
        <f>IFERROR(__xludf.DUMMYFUNCTION("""COMPUTED_VALUE"""),"SAFETY AND SECURITY MONITORING")</f>
        <v>SAFETY AND SECURITY MONITORING</v>
      </c>
    </row>
    <row r="1565">
      <c r="A1565" s="234">
        <f>IFERROR(__xludf.DUMMYFUNCTION("""COMPUTED_VALUE"""),106398.0)</f>
        <v>106398</v>
      </c>
      <c r="B1565" s="235" t="str">
        <f>IFERROR(__xludf.DUMMYFUNCTION("""COMPUTED_VALUE"""),"OWIE PAR")</f>
        <v>OWIE PAR</v>
      </c>
      <c r="C1565" s="235" t="str">
        <f>IFERROR(__xludf.DUMMYFUNCTION("""COMPUTED_VALUE"""),"ENGINEERING")</f>
        <v>ENGINEERING</v>
      </c>
      <c r="D1565" s="196" t="str">
        <f>IFERROR(__xludf.DUMMYFUNCTION("""COMPUTED_VALUE"""),"10 PCS T 5 DAYLIGHT 12W ")</f>
        <v>10 PCS T 5 DAYLIGHT 12W </v>
      </c>
      <c r="E1565" s="196" t="str">
        <f>IFERROR(__xludf.DUMMYFUNCTION("""COMPUTED_VALUE"""),"REPLACEMENT OF BUSTED LIGHTS IN LUX FOODCOURT")</f>
        <v>REPLACEMENT OF BUSTED LIGHTS IN LUX FOODCOURT</v>
      </c>
    </row>
    <row r="1566">
      <c r="A1566" s="234">
        <f>IFERROR(__xludf.DUMMYFUNCTION("""COMPUTED_VALUE"""),106399.0)</f>
        <v>106399</v>
      </c>
      <c r="B1566" s="235" t="str">
        <f>IFERROR(__xludf.DUMMYFUNCTION("""COMPUTED_VALUE"""),"OWIE PAR")</f>
        <v>OWIE PAR</v>
      </c>
      <c r="C1566" s="235" t="str">
        <f>IFERROR(__xludf.DUMMYFUNCTION("""COMPUTED_VALUE"""),"ENGINEERING")</f>
        <v>ENGINEERING</v>
      </c>
      <c r="D1566" s="196" t="str">
        <f>IFERROR(__xludf.DUMMYFUNCTION("""COMPUTED_VALUE"""),"5 PCS SOCCER FIELD FOOD LIGHT")</f>
        <v>5 PCS SOCCER FIELD FOOD LIGHT</v>
      </c>
      <c r="E1566" s="196" t="str">
        <f>IFERROR(__xludf.DUMMYFUNCTION("""COMPUTED_VALUE"""),"FOR SOCCER FIELD")</f>
        <v>FOR SOCCER FIELD</v>
      </c>
    </row>
    <row r="1567">
      <c r="A1567" s="234">
        <f>IFERROR(__xludf.DUMMYFUNCTION("""COMPUTED_VALUE"""),106400.0)</f>
        <v>106400</v>
      </c>
      <c r="B1567" s="235" t="str">
        <f>IFERROR(__xludf.DUMMYFUNCTION("""COMPUTED_VALUE"""),"OWIE PAR")</f>
        <v>OWIE PAR</v>
      </c>
      <c r="C1567" s="235" t="str">
        <f>IFERROR(__xludf.DUMMYFUNCTION("""COMPUTED_VALUE"""),"ENGINEERING")</f>
        <v>ENGINEERING</v>
      </c>
      <c r="D1567" s="196" t="str">
        <f>IFERROR(__xludf.DUMMYFUNCTION("""COMPUTED_VALUE"""),"2 LITERS EACH STEEL EPOXY PAIR PIONEER")</f>
        <v>2 LITERS EACH STEEL EPOXY PAIR PIONEER</v>
      </c>
      <c r="E1567" s="196" t="str">
        <f>IFERROR(__xludf.DUMMYFUNCTION("""COMPUTED_VALUE"""),"REPAIR LEAK OF COLLEGE OVER HEAD TANK")</f>
        <v>REPAIR LEAK OF COLLEGE OVER HEAD TANK</v>
      </c>
    </row>
    <row r="1568">
      <c r="A1568" s="234">
        <f>IFERROR(__xludf.DUMMYFUNCTION("""COMPUTED_VALUE"""),106401.0)</f>
        <v>106401</v>
      </c>
      <c r="B1568" s="235" t="str">
        <f>IFERROR(__xludf.DUMMYFUNCTION("""COMPUTED_VALUE"""),"RENZ BLANCA/ LUCILLE BEYER")</f>
        <v>RENZ BLANCA/ LUCILLE BEYER</v>
      </c>
      <c r="C1568" s="235" t="str">
        <f>IFERROR(__xludf.DUMMYFUNCTION("""COMPUTED_VALUE"""),"MEDICAL")</f>
        <v>MEDICAL</v>
      </c>
      <c r="D1568" s="196" t="str">
        <f>IFERROR(__xludf.DUMMYFUNCTION("""COMPUTED_VALUE"""),"1 WHEEL CHAIR 
1 SPINE BOARD WITH BELTS
2 SPLINTS W/ DIFF SIZES
5 NECK SUPPORT / BRACE 2M, 1 L, 2 XL
2 KNEE SUPPORT 
2 DIGITAL BP APPARATUS 
2 STETHOSCOPE 
2 PULSE OXIMETER
3 BLOOD SUGAR / GLUCOSE METER 
15 PCS STERILE GLOVES 
2 BARS CLEAN GLOVES ")</f>
        <v>1 WHEEL CHAIR 
1 SPINE BOARD WITH BELTS
2 SPLINTS W/ DIFF SIZES
5 NECK SUPPORT / BRACE 2M, 1 L, 2 XL
2 KNEE SUPPORT 
2 DIGITAL BP APPARATUS 
2 STETHOSCOPE 
2 PULSE OXIMETER
3 BLOOD SUGAR / GLUCOSE METER 
15 PCS STERILE GLOVES 
2 BARS CLEAN GLOVES </v>
      </c>
      <c r="E1568" s="196" t="str">
        <f>IFERROR(__xludf.DUMMYFUNCTION("""COMPUTED_VALUE"""),"FOR DISASTER AND EMERGENCY PREPAREDNESS ADDITIONAL SUPPLIES AND EQUIPMENT")</f>
        <v>FOR DISASTER AND EMERGENCY PREPAREDNESS ADDITIONAL SUPPLIES AND EQUIPMENT</v>
      </c>
    </row>
    <row r="1569">
      <c r="A1569" s="234">
        <f>IFERROR(__xludf.DUMMYFUNCTION("""COMPUTED_VALUE"""),106402.0)</f>
        <v>106402</v>
      </c>
      <c r="B1569" s="235" t="str">
        <f>IFERROR(__xludf.DUMMYFUNCTION("""COMPUTED_VALUE"""),"ELMIE LAUDIATO")</f>
        <v>ELMIE LAUDIATO</v>
      </c>
      <c r="C1569" s="235" t="str">
        <f>IFERROR(__xludf.DUMMYFUNCTION("""COMPUTED_VALUE"""),"HRMD")</f>
        <v>HRMD</v>
      </c>
      <c r="D1569" s="196" t="str">
        <f>IFERROR(__xludf.DUMMYFUNCTION("""COMPUTED_VALUE"""),"450 PUREFOODS FIESTA HAM 1KG")</f>
        <v>450 PUREFOODS FIESTA HAM 1KG</v>
      </c>
      <c r="E1569" s="196" t="str">
        <f>IFERROR(__xludf.DUMMYFUNCTION("""COMPUTED_VALUE"""),"SISC CHRISTMAS PARTY DOOR PRIZE 2025")</f>
        <v>SISC CHRISTMAS PARTY DOOR PRIZE 2025</v>
      </c>
    </row>
    <row r="1570">
      <c r="A1570" s="234">
        <f>IFERROR(__xludf.DUMMYFUNCTION("""COMPUTED_VALUE"""),106403.0)</f>
        <v>106403</v>
      </c>
      <c r="B1570" s="235" t="str">
        <f>IFERROR(__xludf.DUMMYFUNCTION("""COMPUTED_VALUE"""),"RACHEL PAMATIAN")</f>
        <v>RACHEL PAMATIAN</v>
      </c>
      <c r="C1570" s="235" t="str">
        <f>IFERROR(__xludf.DUMMYFUNCTION("""COMPUTED_VALUE"""),"ADMIN - STAR")</f>
        <v>ADMIN - STAR</v>
      </c>
      <c r="D1570" s="196" t="str">
        <f>IFERROR(__xludf.DUMMYFUNCTION("""COMPUTED_VALUE"""),"2 SACKS DRIED MOSS")</f>
        <v>2 SACKS DRIED MOSS</v>
      </c>
      <c r="E1570" s="196" t="str">
        <f>IFERROR(__xludf.DUMMYFUNCTION("""COMPUTED_VALUE"""),"TO COVER POTTED PLANTS FOR STAR CAMPUS")</f>
        <v>TO COVER POTTED PLANTS FOR STAR CAMPUS</v>
      </c>
    </row>
    <row r="1571">
      <c r="A1571" s="234">
        <f>IFERROR(__xludf.DUMMYFUNCTION("""COMPUTED_VALUE"""),106404.0)</f>
        <v>106404</v>
      </c>
      <c r="B1571" s="235" t="str">
        <f>IFERROR(__xludf.DUMMYFUNCTION("""COMPUTED_VALUE"""),"RACHEL PAMATIAN")</f>
        <v>RACHEL PAMATIAN</v>
      </c>
      <c r="C1571" s="235" t="str">
        <f>IFERROR(__xludf.DUMMYFUNCTION("""COMPUTED_VALUE"""),"ADMIN - STAR")</f>
        <v>ADMIN - STAR</v>
      </c>
      <c r="D1571" s="196" t="str">
        <f>IFERROR(__xludf.DUMMYFUNCTION("""COMPUTED_VALUE"""),"3 IWATA MISTING FAN")</f>
        <v>3 IWATA MISTING FAN</v>
      </c>
      <c r="E1571" s="196" t="str">
        <f>IFERROR(__xludf.DUMMYFUNCTION("""COMPUTED_VALUE"""),"FOR QUADRANGLE AT STAR CAMPUS FOR EVENTS")</f>
        <v>FOR QUADRANGLE AT STAR CAMPUS FOR EVENTS</v>
      </c>
    </row>
    <row r="1572">
      <c r="A1572" s="234">
        <f>IFERROR(__xludf.DUMMYFUNCTION("""COMPUTED_VALUE"""),106405.0)</f>
        <v>106405</v>
      </c>
      <c r="B1572" s="235" t="str">
        <f>IFERROR(__xludf.DUMMYFUNCTION("""COMPUTED_VALUE"""),"JANELLE ILAO")</f>
        <v>JANELLE ILAO</v>
      </c>
      <c r="C1572" s="235" t="str">
        <f>IFERROR(__xludf.DUMMYFUNCTION("""COMPUTED_VALUE"""),"HRMD")</f>
        <v>HRMD</v>
      </c>
      <c r="D1572" s="196" t="str">
        <f>IFERROR(__xludf.DUMMYFUNCTION("""COMPUTED_VALUE"""),"FLOWER WREATH ")</f>
        <v>FLOWER WREATH </v>
      </c>
      <c r="E1572" s="196" t="str">
        <f>IFERROR(__xludf.DUMMYFUNCTION("""COMPUTED_VALUE"""),"FLOWER WREATH FOR MS. CRISCELLE PAQUINGANS HUSBAND")</f>
        <v>FLOWER WREATH FOR MS. CRISCELLE PAQUINGANS HUSBAND</v>
      </c>
    </row>
    <row r="1573">
      <c r="A1573" s="234">
        <f>IFERROR(__xludf.DUMMYFUNCTION("""COMPUTED_VALUE"""),106406.0)</f>
        <v>106406</v>
      </c>
      <c r="B1573" s="235" t="str">
        <f>IFERROR(__xludf.DUMMYFUNCTION("""COMPUTED_VALUE"""),"JORDAN JORDAN")</f>
        <v>JORDAN JORDAN</v>
      </c>
      <c r="C1573" s="235" t="str">
        <f>IFERROR(__xludf.DUMMYFUNCTION("""COMPUTED_VALUE"""),"ADMIN - LUX")</f>
        <v>ADMIN - LUX</v>
      </c>
      <c r="D1573" s="196" t="str">
        <f>IFERROR(__xludf.DUMMYFUNCTION("""COMPUTED_VALUE"""),"55 PCS ALPHALUX DOWNLIGHT 9W WW
2 PCS ALPHALUX COB SERIES 3W
12 SET 2 GANG OUTLET  PANASONIC
22 SET  2 GANG OUTLET  PANASONIC
4 SET  2 GANG OUTLET  PANASONIC
4 SET 2 GANG SWITCH PANASONIC
4 SET 3 GANG SWITCH PANASONIC
5 SET 1 GANG SWITCH PANASONIC
4 SET A"&amp;"/C OUTLET")</f>
        <v>55 PCS ALPHALUX DOWNLIGHT 9W WW
2 PCS ALPHALUX COB SERIES 3W
12 SET 2 GANG OUTLET  PANASONIC
22 SET  2 GANG OUTLET  PANASONIC
4 SET  2 GANG OUTLET  PANASONIC
4 SET 2 GANG SWITCH PANASONIC
4 SET 3 GANG SWITCH PANASONIC
5 SET 1 GANG SWITCH PANASONIC
4 SET A/C OUTLET</v>
      </c>
      <c r="E1573" s="196" t="str">
        <f>IFERROR(__xludf.DUMMYFUNCTION("""COMPUTED_VALUE"""),"FOR MANAGEMENT HOUSE")</f>
        <v>FOR MANAGEMENT HOUSE</v>
      </c>
    </row>
    <row r="1574">
      <c r="A1574" s="234">
        <f>IFERROR(__xludf.DUMMYFUNCTION("""COMPUTED_VALUE"""),106407.0)</f>
        <v>106407</v>
      </c>
      <c r="B1574" s="235" t="str">
        <f>IFERROR(__xludf.DUMMYFUNCTION("""COMPUTED_VALUE"""),"LYKA PERALTA")</f>
        <v>LYKA PERALTA</v>
      </c>
      <c r="C1574" s="235" t="str">
        <f>IFERROR(__xludf.DUMMYFUNCTION("""COMPUTED_VALUE"""),"AMD")</f>
        <v>AMD</v>
      </c>
      <c r="D1574" s="196" t="str">
        <f>IFERROR(__xludf.DUMMYFUNCTION("""COMPUTED_VALUE"""),"5 PCS AMCO BOX
5 SETS WIDE SERIES OUTLET 2 GANG
2 PCS PVC MOULDING 3/4
20 METERS THHN#12
40 PAIRS TOX AND SCROW #16 
1 PC MASON RY BIT #6
1 PACK NO MORE NAILS")</f>
        <v>5 PCS AMCO BOX
5 SETS WIDE SERIES OUTLET 2 GANG
2 PCS PVC MOULDING 3/4
20 METERS THHN#12
40 PAIRS TOX AND SCROW #16 
1 PC MASON RY BIT #6
1 PACK NO MORE NAILS</v>
      </c>
      <c r="E1574" s="196" t="str">
        <f>IFERROR(__xludf.DUMMYFUNCTION("""COMPUTED_VALUE"""),"INSTALLATION IN THE HIDDEN CHEF")</f>
        <v>INSTALLATION IN THE HIDDEN CHEF</v>
      </c>
    </row>
    <row r="1575">
      <c r="A1575" s="234">
        <f>IFERROR(__xludf.DUMMYFUNCTION("""COMPUTED_VALUE"""),106408.0)</f>
        <v>106408</v>
      </c>
      <c r="B1575" s="235" t="str">
        <f>IFERROR(__xludf.DUMMYFUNCTION("""COMPUTED_VALUE"""),"JESUIT CHRISTIAN GALICIA")</f>
        <v>JESUIT CHRISTIAN GALICIA</v>
      </c>
      <c r="C1575" s="235" t="str">
        <f>IFERROR(__xludf.DUMMYFUNCTION("""COMPUTED_VALUE"""),"AMD")</f>
        <v>AMD</v>
      </c>
      <c r="D1575" s="196" t="str">
        <f>IFERROR(__xludf.DUMMYFUNCTION("""COMPUTED_VALUE"""),"1 PC EACH FLAGS OF:
-SINGAPORE
-HONG KONG
-PERU
-TURKEY
-ARMENIA
-FRANCE
-TANZANIA
-MOLDOVA")</f>
        <v>1 PC EACH FLAGS OF:
-SINGAPORE
-HONG KONG
-PERU
-TURKEY
-ARMENIA
-FRANCE
-TANZANIA
-MOLDOVA</v>
      </c>
      <c r="E1575" s="196" t="str">
        <f>IFERROR(__xludf.DUMMYFUNCTION("""COMPUTED_VALUE"""),"FLAGS FOR DEPARTMENT STOCK AND FUTURE EVENT USE")</f>
        <v>FLAGS FOR DEPARTMENT STOCK AND FUTURE EVENT USE</v>
      </c>
    </row>
    <row r="1576">
      <c r="A1576" s="234">
        <f>IFERROR(__xludf.DUMMYFUNCTION("""COMPUTED_VALUE"""),106409.0)</f>
        <v>106409</v>
      </c>
      <c r="B1576" s="235" t="str">
        <f>IFERROR(__xludf.DUMMYFUNCTION("""COMPUTED_VALUE"""),"SAMEYA GARCIA")</f>
        <v>SAMEYA GARCIA</v>
      </c>
      <c r="C1576" s="235" t="str">
        <f>IFERROR(__xludf.DUMMYFUNCTION("""COMPUTED_VALUE"""),"ADMIN")</f>
        <v>ADMIN</v>
      </c>
      <c r="D1576" s="196" t="str">
        <f>IFERROR(__xludf.DUMMYFUNCTION("""COMPUTED_VALUE"""),"20 ROLLS BROWN WRAPPER 30 CM X 30M/ROLL
20 ROLLS 1"" SATIN PURPLE RIBBON 5M/ROLL
3 ROLLS JUTE STRING 2MM 200M/ROLL")</f>
        <v>20 ROLLS BROWN WRAPPER 30 CM X 30M/ROLL
20 ROLLS 1" SATIN PURPLE RIBBON 5M/ROLL
3 ROLLS JUTE STRING 2MM 200M/ROLL</v>
      </c>
      <c r="E1576" s="196" t="str">
        <f>IFERROR(__xludf.DUMMYFUNCTION("""COMPUTED_VALUE"""),"PACKAGING FOR CHRISTMAS GIVEAWAYS")</f>
        <v>PACKAGING FOR CHRISTMAS GIVEAWAYS</v>
      </c>
    </row>
    <row r="1577">
      <c r="A1577" s="234">
        <f>IFERROR(__xludf.DUMMYFUNCTION("""COMPUTED_VALUE"""),106410.0)</f>
        <v>106410</v>
      </c>
      <c r="B1577" s="235" t="str">
        <f>IFERROR(__xludf.DUMMYFUNCTION("""COMPUTED_VALUE"""),"SAMEYA GARCIA")</f>
        <v>SAMEYA GARCIA</v>
      </c>
      <c r="C1577" s="235" t="str">
        <f>IFERROR(__xludf.DUMMYFUNCTION("""COMPUTED_VALUE"""),"ADMIN")</f>
        <v>ADMIN</v>
      </c>
      <c r="D1577" s="196" t="str">
        <f>IFERROR(__xludf.DUMMYFUNCTION("""COMPUTED_VALUE"""),"209 SMALL BAMBOO SMALL TRAY 15 X 20 CM GR B
84 BIG BAMBOO TRAY 35 X 22 CM GR A")</f>
        <v>209 SMALL BAMBOO SMALL TRAY 15 X 20 CM GR B
84 BIG BAMBOO TRAY 35 X 22 CM GR A</v>
      </c>
      <c r="E1577" s="196" t="str">
        <f>IFERROR(__xludf.DUMMYFUNCTION("""COMPUTED_VALUE"""),"CHRISTMAS GIVEAWAY GROUP A AND B")</f>
        <v>CHRISTMAS GIVEAWAY GROUP A AND B</v>
      </c>
    </row>
    <row r="1578">
      <c r="A1578" s="234">
        <f>IFERROR(__xludf.DUMMYFUNCTION("""COMPUTED_VALUE"""),106411.0)</f>
        <v>106411</v>
      </c>
      <c r="B1578" s="235" t="str">
        <f>IFERROR(__xludf.DUMMYFUNCTION("""COMPUTED_VALUE"""),"SAMEYA GARCIA")</f>
        <v>SAMEYA GARCIA</v>
      </c>
      <c r="C1578" s="235" t="str">
        <f>IFERROR(__xludf.DUMMYFUNCTION("""COMPUTED_VALUE"""),"ADMIN")</f>
        <v>ADMIN</v>
      </c>
      <c r="D1578" s="196" t="str">
        <f>IFERROR(__xludf.DUMMYFUNCTION("""COMPUTED_VALUE"""),"136 CHRISTMAS FOOD PACKS")</f>
        <v>136 CHRISTMAS FOOD PACKS</v>
      </c>
      <c r="E1578" s="196" t="str">
        <f>IFERROR(__xludf.DUMMYFUNCTION("""COMPUTED_VALUE"""),"CHRISTMAS GIVEAWAY GROUP C")</f>
        <v>CHRISTMAS GIVEAWAY GROUP C</v>
      </c>
    </row>
    <row r="1579">
      <c r="A1579" s="234">
        <f>IFERROR(__xludf.DUMMYFUNCTION("""COMPUTED_VALUE"""),106412.0)</f>
        <v>106412</v>
      </c>
      <c r="B1579" s="235" t="str">
        <f>IFERROR(__xludf.DUMMYFUNCTION("""COMPUTED_VALUE"""),"SAMEYA GARCIA")</f>
        <v>SAMEYA GARCIA</v>
      </c>
      <c r="C1579" s="235" t="str">
        <f>IFERROR(__xludf.DUMMYFUNCTION("""COMPUTED_VALUE"""),"ADMIN")</f>
        <v>ADMIN</v>
      </c>
      <c r="D1579" s="196" t="str">
        <f>IFERROR(__xludf.DUMMYFUNCTION("""COMPUTED_VALUE"""),"320 PCS 2"" STICKER PAPER W/ SISC 35TH LOGO")</f>
        <v>320 PCS 2" STICKER PAPER W/ SISC 35TH LOGO</v>
      </c>
      <c r="E1579" s="196" t="str">
        <f>IFERROR(__xludf.DUMMYFUNCTION("""COMPUTED_VALUE"""),"CHRISTMAS GIVEAWAY LABEL")</f>
        <v>CHRISTMAS GIVEAWAY LABEL</v>
      </c>
    </row>
    <row r="1580">
      <c r="A1580" s="234">
        <f>IFERROR(__xludf.DUMMYFUNCTION("""COMPUTED_VALUE"""),106413.0)</f>
        <v>106413</v>
      </c>
      <c r="B1580" s="235" t="str">
        <f>IFERROR(__xludf.DUMMYFUNCTION("""COMPUTED_VALUE"""),"RODRIGO CUSTODIO")</f>
        <v>RODRIGO CUSTODIO</v>
      </c>
      <c r="C1580" s="235" t="str">
        <f>IFERROR(__xludf.DUMMYFUNCTION("""COMPUTED_VALUE"""),"AMD")</f>
        <v>AMD</v>
      </c>
      <c r="D1580" s="196" t="str">
        <f>IFERROR(__xludf.DUMMYFUNCTION("""COMPUTED_VALUE"""),"100 PCS MOP HEAD
350 PCS SCRUBBING PAD BIG SCOTCH BRITE")</f>
        <v>100 PCS MOP HEAD
350 PCS SCRUBBING PAD BIG SCOTCH BRITE</v>
      </c>
      <c r="E1580" s="196" t="str">
        <f>IFERROR(__xludf.DUMMYFUNCTION("""COMPUTED_VALUE"""),"HOUSEKEEPING STOCK REPLENISHMENT")</f>
        <v>HOUSEKEEPING STOCK REPLENISHMENT</v>
      </c>
    </row>
    <row r="1581">
      <c r="A1581" s="234">
        <f>IFERROR(__xludf.DUMMYFUNCTION("""COMPUTED_VALUE"""),106414.0)</f>
        <v>106414</v>
      </c>
      <c r="B1581" s="235" t="str">
        <f>IFERROR(__xludf.DUMMYFUNCTION("""COMPUTED_VALUE"""),"JANCEL PARADILLADA")</f>
        <v>JANCEL PARADILLADA</v>
      </c>
      <c r="C1581" s="235" t="str">
        <f>IFERROR(__xludf.DUMMYFUNCTION("""COMPUTED_VALUE"""),"MIS/ICT")</f>
        <v>MIS/ICT</v>
      </c>
      <c r="D1581" s="196" t="str">
        <f>IFERROR(__xludf.DUMMYFUNCTION("""COMPUTED_VALUE"""),"2 PCS TECH TV 75 INCHES")</f>
        <v>2 PCS TECH TV 75 INCHES</v>
      </c>
      <c r="E1581" s="196" t="str">
        <f>IFERROR(__xludf.DUMMYFUNCTION("""COMPUTED_VALUE"""),"REPLACEMENT OF PROJECTOR IN ROOM 205 COLLEGE AND BUY TV INSTEAD")</f>
        <v>REPLACEMENT OF PROJECTOR IN ROOM 205 COLLEGE AND BUY TV INSTEAD</v>
      </c>
    </row>
    <row r="1582">
      <c r="A1582" s="234">
        <f>IFERROR(__xludf.DUMMYFUNCTION("""COMPUTED_VALUE"""),106415.0)</f>
        <v>106415</v>
      </c>
      <c r="B1582" s="235" t="str">
        <f>IFERROR(__xludf.DUMMYFUNCTION("""COMPUTED_VALUE"""),"JANCEL PARADILLADA")</f>
        <v>JANCEL PARADILLADA</v>
      </c>
      <c r="C1582" s="235" t="str">
        <f>IFERROR(__xludf.DUMMYFUNCTION("""COMPUTED_VALUE"""),"MIS/ICT")</f>
        <v>MIS/ICT</v>
      </c>
      <c r="D1582" s="196" t="str">
        <f>IFERROR(__xludf.DUMMYFUNCTION("""COMPUTED_VALUE"""),"1 PC 3 ARMS MONITOR HOLDER BLACK")</f>
        <v>1 PC 3 ARMS MONITOR HOLDER BLACK</v>
      </c>
      <c r="E1582" s="196" t="str">
        <f>IFERROR(__xludf.DUMMYFUNCTION("""COMPUTED_VALUE"""),"FOR MONARCHS HUB BIG BALL COMPUTER SETUP")</f>
        <v>FOR MONARCHS HUB BIG BALL COMPUTER SETUP</v>
      </c>
    </row>
    <row r="1583">
      <c r="A1583" s="234">
        <f>IFERROR(__xludf.DUMMYFUNCTION("""COMPUTED_VALUE"""),106416.0)</f>
        <v>106416</v>
      </c>
      <c r="B1583" s="235" t="str">
        <f>IFERROR(__xludf.DUMMYFUNCTION("""COMPUTED_VALUE"""),"OWIE PAR")</f>
        <v>OWIE PAR</v>
      </c>
      <c r="C1583" s="235" t="str">
        <f>IFERROR(__xludf.DUMMYFUNCTION("""COMPUTED_VALUE"""),"ENGINEERING")</f>
        <v>ENGINEERING</v>
      </c>
      <c r="D1583" s="196" t="str">
        <f>IFERROR(__xludf.DUMMYFUNCTION("""COMPUTED_VALUE"""),"5 UNITS FLOOR OUTLET AKARI")</f>
        <v>5 UNITS FLOOR OUTLET AKARI</v>
      </c>
      <c r="E1583" s="196" t="str">
        <f>IFERROR(__xludf.DUMMYFUNCTION("""COMPUTED_VALUE"""),"FOR BRIC RM")</f>
        <v>FOR BRIC RM</v>
      </c>
    </row>
    <row r="1584">
      <c r="A1584" s="234">
        <f>IFERROR(__xludf.DUMMYFUNCTION("""COMPUTED_VALUE"""),106417.0)</f>
        <v>106417</v>
      </c>
      <c r="B1584" s="235" t="str">
        <f>IFERROR(__xludf.DUMMYFUNCTION("""COMPUTED_VALUE"""),"MARC VINCENT VITTO")</f>
        <v>MARC VINCENT VITTO</v>
      </c>
      <c r="C1584" s="235" t="str">
        <f>IFERROR(__xludf.DUMMYFUNCTION("""COMPUTED_VALUE"""),"PR &amp; MARKETING")</f>
        <v>PR &amp; MARKETING</v>
      </c>
      <c r="D1584" s="196" t="str">
        <f>IFERROR(__xludf.DUMMYFUNCTION("""COMPUTED_VALUE"""),"1 PULL UP BANNER FOR MS. EARTH 2025 W/ STRUCTURE ")</f>
        <v>1 PULL UP BANNER FOR MS. EARTH 2025 W/ STRUCTURE </v>
      </c>
      <c r="E1584" s="196" t="str">
        <f>IFERROR(__xludf.DUMMYFUNCTION("""COMPUTED_VALUE"""),"MS. EARTH 2025")</f>
        <v>MS. EARTH 2025</v>
      </c>
    </row>
    <row r="1585">
      <c r="A1585" s="234">
        <f>IFERROR(__xludf.DUMMYFUNCTION("""COMPUTED_VALUE"""),106418.0)</f>
        <v>106418</v>
      </c>
      <c r="B1585" s="235" t="str">
        <f>IFERROR(__xludf.DUMMYFUNCTION("""COMPUTED_VALUE"""),"MELISSA ODONO")</f>
        <v>MELISSA ODONO</v>
      </c>
      <c r="C1585" s="235" t="str">
        <f>IFERROR(__xludf.DUMMYFUNCTION("""COMPUTED_VALUE"""),"LIBRARY COLLEGE")</f>
        <v>LIBRARY COLLEGE</v>
      </c>
      <c r="D1585" s="196" t="str">
        <f>IFERROR(__xludf.DUMMYFUNCTION("""COMPUTED_VALUE"""),"2 GUIDEBOOK FOR SUBDIVISION AND CONDOMINIUM BUYERS AND REAL ESTATE PRACTITIONERS
2 RA NO 12001 REAL PROPERTY VALUATION AND ASSESSMENT REFORM ACT RPVARA
2 REAL ESTATE APPRAISAL REVIEW QUIZZER
2 REAL ESTATE ECONOMICS
3 REAL ESTATE EXAM REVIEWER BROKERAGE PR"&amp;"ACTICE
3 REAL ESTATE EXAM REVIEWER LEGAL ASPECTS OF REAL ESTATE SALES
3 REBLEX QUICK REVIEWER 
2 THE CONDOMINIUM ACT OF THE PHILIPPINES ANNOTATED WITH NOTES AND CASES RA4726
2 THE REAL ESTATE SERVICE ACT OF THE PHILIPPINES")</f>
        <v>2 GUIDEBOOK FOR SUBDIVISION AND CONDOMINIUM BUYERS AND REAL ESTATE PRACTITIONERS
2 RA NO 12001 REAL PROPERTY VALUATION AND ASSESSMENT REFORM ACT RPVARA
2 REAL ESTATE APPRAISAL REVIEW QUIZZER
2 REAL ESTATE ECONOMICS
3 REAL ESTATE EXAM REVIEWER BROKERAGE PRACTICE
3 REAL ESTATE EXAM REVIEWER LEGAL ASPECTS OF REAL ESTATE SALES
3 REBLEX QUICK REVIEWER 
2 THE CONDOMINIUM ACT OF THE PHILIPPINES ANNOTATED WITH NOTES AND CASES RA4726
2 THE REAL ESTATE SERVICE ACT OF THE PHILIPPINES</v>
      </c>
      <c r="E1585" s="196" t="str">
        <f>IFERROR(__xludf.DUMMYFUNCTION("""COMPUTED_VALUE"""),"FOR STUDENTS/FACULTY USE")</f>
        <v>FOR STUDENTS/FACULTY USE</v>
      </c>
    </row>
    <row r="1586">
      <c r="A1586" s="234">
        <f>IFERROR(__xludf.DUMMYFUNCTION("""COMPUTED_VALUE"""),106419.0)</f>
        <v>106419</v>
      </c>
      <c r="B1586" s="235" t="str">
        <f>IFERROR(__xludf.DUMMYFUNCTION("""COMPUTED_VALUE"""),"MELISSA ODONO")</f>
        <v>MELISSA ODONO</v>
      </c>
      <c r="C1586" s="235" t="str">
        <f>IFERROR(__xludf.DUMMYFUNCTION("""COMPUTED_VALUE"""),"LIBRARY COLLEGE")</f>
        <v>LIBRARY COLLEGE</v>
      </c>
      <c r="D1586" s="196" t="str">
        <f>IFERROR(__xludf.DUMMYFUNCTION("""COMPUTED_VALUE"""),"1 TCL ANDROID GOOGLE TV COLLEGE LIB BED LUX
1 TV BRACHET MOVABLE FLOOR CEILING WHEEL UNIVERSAL")</f>
        <v>1 TCL ANDROID GOOGLE TV COLLEGE LIB BED LUX
1 TV BRACHET MOVABLE FLOOR CEILING WHEEL UNIVERSAL</v>
      </c>
      <c r="E1586" s="196" t="str">
        <f>IFERROR(__xludf.DUMMYFUNCTION("""COMPUTED_VALUE"""),"FOR STUDENTS USE / LIBRARY'S MARKETING")</f>
        <v>FOR STUDENTS USE / LIBRARY'S MARKETING</v>
      </c>
    </row>
    <row r="1587">
      <c r="A1587" s="234">
        <f>IFERROR(__xludf.DUMMYFUNCTION("""COMPUTED_VALUE"""),106420.0)</f>
        <v>106420</v>
      </c>
      <c r="B1587" s="235" t="str">
        <f>IFERROR(__xludf.DUMMYFUNCTION("""COMPUTED_VALUE"""),"FELESE ANGELINE FAMADOR")</f>
        <v>FELESE ANGELINE FAMADOR</v>
      </c>
      <c r="C1587" s="235" t="str">
        <f>IFERROR(__xludf.DUMMYFUNCTION("""COMPUTED_VALUE"""),"MEDICAL")</f>
        <v>MEDICAL</v>
      </c>
      <c r="D1587" s="196" t="str">
        <f>IFERROR(__xludf.DUMMYFUNCTION("""COMPUTED_VALUE"""),"20  MEFENAMIC
20  ALAXAN
20  TUSERAN
20  ADVIL
20  NEOZEP
30  BIOGESIC
1  OMEGA OINTMENT
2 (100ML)  KINETIQ MAGNESIUM SPRAY
5 PACKS  SALONPAS PATCH
20 PCS  STREPSILS
1 PACK  COTTON BALLS
20  GAUZE PAD 4X4
1  BACTIFREE
20  HYDROITE (TRANSCRIBED AS WRITTEN)"&amp;"
20  BONAMINE
30  KREMIL-S
20  SOLMUX
30  DECOLGEN
30  DIATABS
30  CETIRIZINE")</f>
        <v>20  MEFENAMIC
20  ALAXAN
20  TUSERAN
20  ADVIL
20  NEOZEP
30  BIOGESIC
1  OMEGA OINTMENT
2 (100ML)  KINETIQ MAGNESIUM SPRAY
5 PACKS  SALONPAS PATCH
20 PCS  STREPSILS
1 PACK  COTTON BALLS
20  GAUZE PAD 4X4
1  BACTIFREE
20  HYDROITE (TRANSCRIBED AS WRITTEN)
20  BONAMINE
30  KREMIL-S
20  SOLMUX
30  DECOLGEN
30  DIATABS
30  CETIRIZINE</v>
      </c>
      <c r="E1587" s="196" t="str">
        <f>IFERROR(__xludf.DUMMYFUNCTION("""COMPUTED_VALUE"""),"FOR ASIAC NOV 13-15 2025 JAKARTA INDONESIA")</f>
        <v>FOR ASIAC NOV 13-15 2025 JAKARTA INDONESIA</v>
      </c>
    </row>
    <row r="1588">
      <c r="A1588" s="234">
        <f>IFERROR(__xludf.DUMMYFUNCTION("""COMPUTED_VALUE"""),106421.0)</f>
        <v>106421</v>
      </c>
      <c r="B1588" s="235" t="str">
        <f>IFERROR(__xludf.DUMMYFUNCTION("""COMPUTED_VALUE"""),"ALFA DE LEON")</f>
        <v>ALFA DE LEON</v>
      </c>
      <c r="C1588" s="235" t="str">
        <f>IFERROR(__xludf.DUMMYFUNCTION("""COMPUTED_VALUE"""),"ADMIN")</f>
        <v>ADMIN</v>
      </c>
      <c r="D1588" s="196" t="str">
        <f>IFERROR(__xludf.DUMMYFUNCTION("""COMPUTED_VALUE"""),"1 ASSORTED CHRISTMAS DECORS")</f>
        <v>1 ASSORTED CHRISTMAS DECORS</v>
      </c>
      <c r="E1588" s="196" t="str">
        <f>IFERROR(__xludf.DUMMYFUNCTION("""COMPUTED_VALUE"""),"CHRISTMAS DECORS LUX ENTRANCE PR ACCTNG")</f>
        <v>CHRISTMAS DECORS LUX ENTRANCE PR ACCTNG</v>
      </c>
    </row>
    <row r="1589">
      <c r="A1589" s="234">
        <f>IFERROR(__xludf.DUMMYFUNCTION("""COMPUTED_VALUE"""),106422.0)</f>
        <v>106422</v>
      </c>
      <c r="B1589" s="235" t="str">
        <f>IFERROR(__xludf.DUMMYFUNCTION("""COMPUTED_VALUE"""),"CHARLES LEBECO DONOR")</f>
        <v>CHARLES LEBECO DONOR</v>
      </c>
      <c r="C1589" s="235" t="str">
        <f>IFERROR(__xludf.DUMMYFUNCTION("""COMPUTED_VALUE"""),"AMD")</f>
        <v>AMD</v>
      </c>
      <c r="D1589" s="196" t="str">
        <f>IFERROR(__xludf.DUMMYFUNCTION("""COMPUTED_VALUE"""),"50 - Clipboard, Leather Long with Cover
""New Warehouse Item""")</f>
        <v>50 - Clipboard, Leather Long with Cover
"New Warehouse Item"</v>
      </c>
      <c r="E1589" s="196" t="str">
        <f>IFERROR(__xludf.DUMMYFUNCTION("""COMPUTED_VALUE"""),"OSSUP REPLENISHMENTS")</f>
        <v>OSSUP REPLENISHMENTS</v>
      </c>
    </row>
    <row r="1590">
      <c r="A1590" s="234">
        <f>IFERROR(__xludf.DUMMYFUNCTION("""COMPUTED_VALUE"""),106423.0)</f>
        <v>106423</v>
      </c>
      <c r="B1590" s="235" t="str">
        <f>IFERROR(__xludf.DUMMYFUNCTION("""COMPUTED_VALUE"""),"CHARLES LEBECO DONOR")</f>
        <v>CHARLES LEBECO DONOR</v>
      </c>
      <c r="C1590" s="235"/>
      <c r="D1590" s="196" t="str">
        <f>IFERROR(__xludf.DUMMYFUNCTION("""COMPUTED_VALUE"""),"10 - Paper, Fortune Copy 11X17 White A3")</f>
        <v>10 - Paper, Fortune Copy 11X17 White A3</v>
      </c>
      <c r="E1590" s="196" t="str">
        <f>IFERROR(__xludf.DUMMYFUNCTION("""COMPUTED_VALUE"""),"OSSUP REPLENISHMENTS")</f>
        <v>OSSUP REPLENISHMENTS</v>
      </c>
    </row>
    <row r="1591">
      <c r="A1591" s="234">
        <f>IFERROR(__xludf.DUMMYFUNCTION("""COMPUTED_VALUE"""),106424.0)</f>
        <v>106424</v>
      </c>
      <c r="B1591" s="235" t="str">
        <f>IFERROR(__xludf.DUMMYFUNCTION("""COMPUTED_VALUE"""),"SHEREE ESPINOSA")</f>
        <v>SHEREE ESPINOSA</v>
      </c>
      <c r="C1591" s="235" t="str">
        <f>IFERROR(__xludf.DUMMYFUNCTION("""COMPUTED_VALUE"""),"ADMIN")</f>
        <v>ADMIN</v>
      </c>
      <c r="D1591" s="196" t="str">
        <f>IFERROR(__xludf.DUMMYFUNCTION("""COMPUTED_VALUE"""),"5 LED LIGHTS WARM WHITE")</f>
        <v>5 LED LIGHTS WARM WHITE</v>
      </c>
      <c r="E1591" s="196" t="str">
        <f>IFERROR(__xludf.DUMMYFUNCTION("""COMPUTED_VALUE"""),"LUX AND MONARCHS PARK TREES")</f>
        <v>LUX AND MONARCHS PARK TREES</v>
      </c>
    </row>
    <row r="1592">
      <c r="A1592" s="234">
        <f>IFERROR(__xludf.DUMMYFUNCTION("""COMPUTED_VALUE"""),106425.0)</f>
        <v>106425</v>
      </c>
      <c r="B1592" s="235" t="str">
        <f>IFERROR(__xludf.DUMMYFUNCTION("""COMPUTED_VALUE"""),"SHEREE ESPINOSA")</f>
        <v>SHEREE ESPINOSA</v>
      </c>
      <c r="C1592" s="235" t="str">
        <f>IFERROR(__xludf.DUMMYFUNCTION("""COMPUTED_VALUE"""),"ADMIN")</f>
        <v>ADMIN</v>
      </c>
      <c r="D1592" s="196" t="str">
        <f>IFERROR(__xludf.DUMMYFUNCTION("""COMPUTED_VALUE"""),"2 CHRISTMAS TREE 7FT 
100 CHRISTMAS LIGHTS
1 LOT CHRISTMAS DECORS ASSORTED")</f>
        <v>2 CHRISTMAS TREE 7FT 
100 CHRISTMAS LIGHTS
1 LOT CHRISTMAS DECORS ASSORTED</v>
      </c>
      <c r="E1592" s="196" t="str">
        <f>IFERROR(__xludf.DUMMYFUNCTION("""COMPUTED_VALUE"""),"MONARCHS HUB + DIGILAB NEW AREAS")</f>
        <v>MONARCHS HUB + DIGILAB NEW AREAS</v>
      </c>
    </row>
    <row r="1593">
      <c r="A1593" s="234">
        <f>IFERROR(__xludf.DUMMYFUNCTION("""COMPUTED_VALUE"""),106426.0)</f>
        <v>106426</v>
      </c>
      <c r="B1593" s="235" t="str">
        <f>IFERROR(__xludf.DUMMYFUNCTION("""COMPUTED_VALUE"""),"SHEREE ESPINOSA")</f>
        <v>SHEREE ESPINOSA</v>
      </c>
      <c r="C1593" s="235" t="str">
        <f>IFERROR(__xludf.DUMMYFUNCTION("""COMPUTED_VALUE"""),"ADMIN")</f>
        <v>ADMIN</v>
      </c>
      <c r="D1593" s="196" t="str">
        <f>IFERROR(__xludf.DUMMYFUNCTION("""COMPUTED_VALUE"""),"20 CAPIZ PAROL CABBAGE")</f>
        <v>20 CAPIZ PAROL CABBAGE</v>
      </c>
      <c r="E1593" s="196" t="str">
        <f>IFERROR(__xludf.DUMMYFUNCTION("""COMPUTED_VALUE"""),"TROPICAL PARKING CEILING")</f>
        <v>TROPICAL PARKING CEILING</v>
      </c>
    </row>
    <row r="1594">
      <c r="A1594" s="234">
        <f>IFERROR(__xludf.DUMMYFUNCTION("""COMPUTED_VALUE"""),106427.0)</f>
        <v>106427</v>
      </c>
      <c r="B1594" s="235" t="str">
        <f>IFERROR(__xludf.DUMMYFUNCTION("""COMPUTED_VALUE"""),"SHEREE ESPINOSA")</f>
        <v>SHEREE ESPINOSA</v>
      </c>
      <c r="C1594" s="235" t="str">
        <f>IFERROR(__xludf.DUMMYFUNCTION("""COMPUTED_VALUE"""),"ADMIN")</f>
        <v>ADMIN</v>
      </c>
      <c r="D1594" s="196" t="str">
        <f>IFERROR(__xludf.DUMMYFUNCTION("""COMPUTED_VALUE"""),"7 CAPIZ PAROL 42""")</f>
        <v>7 CAPIZ PAROL 42"</v>
      </c>
      <c r="E1594" s="196" t="str">
        <f>IFERROR(__xludf.DUMMYFUNCTION("""COMPUTED_VALUE"""),"REPLACEMENT OF BROKEN CAPIZ")</f>
        <v>REPLACEMENT OF BROKEN CAPIZ</v>
      </c>
    </row>
    <row r="1595">
      <c r="A1595" s="234">
        <f>IFERROR(__xludf.DUMMYFUNCTION("""COMPUTED_VALUE"""),106428.0)</f>
        <v>106428</v>
      </c>
      <c r="B1595" s="235" t="str">
        <f>IFERROR(__xludf.DUMMYFUNCTION("""COMPUTED_VALUE"""),"SHEREE ESPINOSA")</f>
        <v>SHEREE ESPINOSA</v>
      </c>
      <c r="C1595" s="235" t="str">
        <f>IFERROR(__xludf.DUMMYFUNCTION("""COMPUTED_VALUE"""),"ADMIN")</f>
        <v>ADMIN</v>
      </c>
      <c r="D1595" s="196" t="str">
        <f>IFERROR(__xludf.DUMMYFUNCTION("""COMPUTED_VALUE"""),"10 SETS BULB CHRISTMAS DECOR WARM WHITE 10MTRS/SET
25 CAPIZ PAROL STAR 12""
1 LOT ASSORTED DECORS")</f>
        <v>10 SETS BULB CHRISTMAS DECOR WARM WHITE 10MTRS/SET
25 CAPIZ PAROL STAR 12"
1 LOT ASSORTED DECORS</v>
      </c>
      <c r="E1595" s="196" t="str">
        <f>IFERROR(__xludf.DUMMYFUNCTION("""COMPUTED_VALUE"""),"15FT CHRISTMAS TREE DECORATION ")</f>
        <v>15FT CHRISTMAS TREE DECORATION </v>
      </c>
    </row>
    <row r="1596">
      <c r="A1596" s="234">
        <f>IFERROR(__xludf.DUMMYFUNCTION("""COMPUTED_VALUE"""),106429.0)</f>
        <v>106429</v>
      </c>
      <c r="B1596" s="235" t="str">
        <f>IFERROR(__xludf.DUMMYFUNCTION("""COMPUTED_VALUE"""),"SHEREE ESPINOSA")</f>
        <v>SHEREE ESPINOSA</v>
      </c>
      <c r="C1596" s="235" t="str">
        <f>IFERROR(__xludf.DUMMYFUNCTION("""COMPUTED_VALUE"""),"ADMIN")</f>
        <v>ADMIN</v>
      </c>
      <c r="D1596" s="196" t="str">
        <f>IFERROR(__xludf.DUMMYFUNCTION("""COMPUTED_VALUE"""),"5,000 PCS UMBRELLA PLASTIC SEALS COLOR BLUE ")</f>
        <v>5,000 PCS UMBRELLA PLASTIC SEALS COLOR BLUE </v>
      </c>
      <c r="E1596" s="196" t="str">
        <f>IFERROR(__xludf.DUMMYFUNCTION("""COMPUTED_VALUE"""),"FOR DRINKING WATER GALLON ")</f>
        <v>FOR DRINKING WATER GALLON </v>
      </c>
    </row>
    <row r="1597">
      <c r="A1597" s="234">
        <f>IFERROR(__xludf.DUMMYFUNCTION("""COMPUTED_VALUE"""),106430.0)</f>
        <v>106430</v>
      </c>
      <c r="B1597" s="235" t="str">
        <f>IFERROR(__xludf.DUMMYFUNCTION("""COMPUTED_VALUE"""),"MELISSA ODONO")</f>
        <v>MELISSA ODONO</v>
      </c>
      <c r="C1597" s="235" t="str">
        <f>IFERROR(__xludf.DUMMYFUNCTION("""COMPUTED_VALUE"""),"LIBRARY MUNICH")</f>
        <v>LIBRARY MUNICH</v>
      </c>
      <c r="D1597" s="196" t="str">
        <f>IFERROR(__xludf.DUMMYFUNCTION("""COMPUTED_VALUE"""),"1 TCL 55"" SMART TV")</f>
        <v>1 TCL 55" SMART TV</v>
      </c>
      <c r="E1597" s="196" t="str">
        <f>IFERROR(__xludf.DUMMYFUNCTION("""COMPUTED_VALUE"""),"FOR STUDENTS LIBRARY USE ")</f>
        <v>FOR STUDENTS LIBRARY USE </v>
      </c>
    </row>
    <row r="1598">
      <c r="A1598" s="234">
        <f>IFERROR(__xludf.DUMMYFUNCTION("""COMPUTED_VALUE"""),106431.0)</f>
        <v>106431</v>
      </c>
      <c r="B1598" s="235" t="str">
        <f>IFERROR(__xludf.DUMMYFUNCTION("""COMPUTED_VALUE"""),"RODRIGO CUSTODIO")</f>
        <v>RODRIGO CUSTODIO</v>
      </c>
      <c r="C1598" s="235" t="str">
        <f>IFERROR(__xludf.DUMMYFUNCTION("""COMPUTED_VALUE"""),"AMD")</f>
        <v>AMD</v>
      </c>
      <c r="D1598" s="196" t="str">
        <f>IFERROR(__xludf.DUMMYFUNCTION("""COMPUTED_VALUE"""),"72 GALS TOILET BOWL CLEANER BOWL CARE RIV CHEM
288 PCS BABY OIL 125 ML 
100 PACKS TRASH BAGS XL 36"" X 40"" / 30"" X 37"" CLEAR")</f>
        <v>72 GALS TOILET BOWL CLEANER BOWL CARE RIV CHEM
288 PCS BABY OIL 125 ML 
100 PACKS TRASH BAGS XL 36" X 40" / 30" X 37" CLEAR</v>
      </c>
      <c r="E1598" s="196" t="str">
        <f>IFERROR(__xludf.DUMMYFUNCTION("""COMPUTED_VALUE"""),"HOUSEKEEPING STOCK REPLENISHMENT")</f>
        <v>HOUSEKEEPING STOCK REPLENISHMENT</v>
      </c>
    </row>
    <row r="1599">
      <c r="A1599" s="234">
        <f>IFERROR(__xludf.DUMMYFUNCTION("""COMPUTED_VALUE"""),106432.0)</f>
        <v>106432</v>
      </c>
      <c r="B1599" s="235" t="str">
        <f>IFERROR(__xludf.DUMMYFUNCTION("""COMPUTED_VALUE"""),"CHRISTON CORBEZA")</f>
        <v>CHRISTON CORBEZA</v>
      </c>
      <c r="C1599" s="235" t="str">
        <f>IFERROR(__xludf.DUMMYFUNCTION("""COMPUTED_VALUE"""),"ADMIN")</f>
        <v>ADMIN</v>
      </c>
      <c r="D1599" s="196" t="str">
        <f>IFERROR(__xludf.DUMMYFUNCTION("""COMPUTED_VALUE"""),"10 PCS GALLO WATER BOTTLE FOR WATER DISPENSER")</f>
        <v>10 PCS GALLO WATER BOTTLE FOR WATER DISPENSER</v>
      </c>
      <c r="E1599" s="196" t="str">
        <f>IFERROR(__xludf.DUMMYFUNCTION("""COMPUTED_VALUE"""),"FOR REPLACEMENT")</f>
        <v>FOR REPLACEMENT</v>
      </c>
    </row>
    <row r="1600">
      <c r="A1600" s="234">
        <f>IFERROR(__xludf.DUMMYFUNCTION("""COMPUTED_VALUE"""),106433.0)</f>
        <v>106433</v>
      </c>
      <c r="B1600" s="235" t="str">
        <f>IFERROR(__xludf.DUMMYFUNCTION("""COMPUTED_VALUE"""),"OWIE PAR")</f>
        <v>OWIE PAR</v>
      </c>
      <c r="C1600" s="235" t="str">
        <f>IFERROR(__xludf.DUMMYFUNCTION("""COMPUTED_VALUE"""),"ENGINEERING")</f>
        <v>ENGINEERING</v>
      </c>
      <c r="D1600" s="196" t="str">
        <f>IFERROR(__xludf.DUMMYFUNCTION("""COMPUTED_VALUE"""),"1 UNIT 3.0 HP WALL MOUNTED TYPE INVERTER")</f>
        <v>1 UNIT 3.0 HP WALL MOUNTED TYPE INVERTER</v>
      </c>
      <c r="E1600" s="196" t="str">
        <f>IFERROR(__xludf.DUMMYFUNCTION("""COMPUTED_VALUE"""),"FOR LUX RM 305")</f>
        <v>FOR LUX RM 305</v>
      </c>
    </row>
    <row r="1601">
      <c r="A1601" s="234">
        <f>IFERROR(__xludf.DUMMYFUNCTION("""COMPUTED_VALUE"""),106434.0)</f>
        <v>106434</v>
      </c>
      <c r="B1601" s="235" t="str">
        <f>IFERROR(__xludf.DUMMYFUNCTION("""COMPUTED_VALUE"""),"MARC VINCENT VITTO")</f>
        <v>MARC VINCENT VITTO</v>
      </c>
      <c r="C1601" s="235" t="str">
        <f>IFERROR(__xludf.DUMMYFUNCTION("""COMPUTED_VALUE"""),"PR &amp; MARKETING")</f>
        <v>PR &amp; MARKETING</v>
      </c>
      <c r="D1601" s="196" t="str">
        <f>IFERROR(__xludf.DUMMYFUNCTION("""COMPUTED_VALUE"""),"1 STRANGER THINGS 2.0 TARP 12FT X 6.5FT THICKNESS 13 OZ
1 STRANGER THINGS 2.0 TARP 13FT X 6FT THICKNESS 13 OZ 
WITH SEAMING AND EYELET ALL OVER")</f>
        <v>1 STRANGER THINGS 2.0 TARP 12FT X 6.5FT THICKNESS 13 OZ
1 STRANGER THINGS 2.0 TARP 13FT X 6FT THICKNESS 13 OZ 
WITH SEAMING AND EYELET ALL OVER</v>
      </c>
      <c r="E1601" s="196" t="str">
        <f>IFERROR(__xludf.DUMMYFUNCTION("""COMPUTED_VALUE"""),"FOR OPEN HOUSE")</f>
        <v>FOR OPEN HOUSE</v>
      </c>
    </row>
    <row r="1602">
      <c r="A1602" s="234">
        <f>IFERROR(__xludf.DUMMYFUNCTION("""COMPUTED_VALUE"""),106435.0)</f>
        <v>106435</v>
      </c>
      <c r="B1602" s="235" t="str">
        <f>IFERROR(__xludf.DUMMYFUNCTION("""COMPUTED_VALUE"""),"SHEREE ESPINOSA")</f>
        <v>SHEREE ESPINOSA</v>
      </c>
      <c r="C1602" s="235" t="str">
        <f>IFERROR(__xludf.DUMMYFUNCTION("""COMPUTED_VALUE"""),"ADMIN")</f>
        <v>ADMIN</v>
      </c>
      <c r="D1602" s="196" t="str">
        <f>IFERROR(__xludf.DUMMYFUNCTION("""COMPUTED_VALUE"""),"10 PCS TUBULAR 1X1")</f>
        <v>10 PCS TUBULAR 1X1</v>
      </c>
      <c r="E1602" s="196" t="str">
        <f>IFERROR(__xludf.DUMMYFUNCTION("""COMPUTED_VALUE"""),"FOR CAPIZ PAROL STAND")</f>
        <v>FOR CAPIZ PAROL STAND</v>
      </c>
    </row>
    <row r="1603">
      <c r="A1603" s="234">
        <f>IFERROR(__xludf.DUMMYFUNCTION("""COMPUTED_VALUE"""),106436.0)</f>
        <v>106436</v>
      </c>
      <c r="B1603" s="235" t="str">
        <f>IFERROR(__xludf.DUMMYFUNCTION("""COMPUTED_VALUE"""),"PAUL ARANA")</f>
        <v>PAUL ARANA</v>
      </c>
      <c r="C1603" s="235" t="str">
        <f>IFERROR(__xludf.DUMMYFUNCTION("""COMPUTED_VALUE"""),"MIS/ICT")</f>
        <v>MIS/ICT</v>
      </c>
      <c r="D1603" s="196" t="str">
        <f>IFERROR(__xludf.DUMMYFUNCTION("""COMPUTED_VALUE"""),"1 MAC MINI KEYBOARD WIRELESS
1 GIGABYTE B550M D53H MOTHERBOARD
2 ASUS PRIME H510M-K MOTHERBOARD")</f>
        <v>1 MAC MINI KEYBOARD WIRELESS
1 GIGABYTE B550M D53H MOTHERBOARD
2 ASUS PRIME H510M-K MOTHERBOARD</v>
      </c>
      <c r="E1603" s="196" t="str">
        <f>IFERROR(__xludf.DUMMYFUNCTION("""COMPUTED_VALUE"""),"FOR MAC PC MONARCHS BIG HALL AND BACK UP MOTHERBOARD FOR MIS TECHNICAL")</f>
        <v>FOR MAC PC MONARCHS BIG HALL AND BACK UP MOTHERBOARD FOR MIS TECHNICAL</v>
      </c>
    </row>
    <row r="1604">
      <c r="A1604" s="234">
        <f>IFERROR(__xludf.DUMMYFUNCTION("""COMPUTED_VALUE"""),106437.0)</f>
        <v>106437</v>
      </c>
      <c r="B1604" s="235" t="str">
        <f>IFERROR(__xludf.DUMMYFUNCTION("""COMPUTED_VALUE"""),"RACHEL PAMATIAN")</f>
        <v>RACHEL PAMATIAN</v>
      </c>
      <c r="C1604" s="235" t="str">
        <f>IFERROR(__xludf.DUMMYFUNCTION("""COMPUTED_VALUE"""),"ADMIN - STAR")</f>
        <v>ADMIN - STAR</v>
      </c>
      <c r="D1604" s="196" t="str">
        <f>IFERROR(__xludf.DUMMYFUNCTION("""COMPUTED_VALUE"""),"15 PCS PLASTIC WHITE POTS SMALL SIZE 3 IN LENGTH AND WIDTH")</f>
        <v>15 PCS PLASTIC WHITE POTS SMALL SIZE 3 IN LENGTH AND WIDTH</v>
      </c>
      <c r="E1604" s="196" t="str">
        <f>IFERROR(__xludf.DUMMYFUNCTION("""COMPUTED_VALUE"""),"FOR COMFORT ROOMS AT STAR CAMPUS")</f>
        <v>FOR COMFORT ROOMS AT STAR CAMPUS</v>
      </c>
    </row>
    <row r="1605">
      <c r="A1605" s="234">
        <f>IFERROR(__xludf.DUMMYFUNCTION("""COMPUTED_VALUE"""),106438.0)</f>
        <v>106438</v>
      </c>
      <c r="B1605" s="235" t="str">
        <f>IFERROR(__xludf.DUMMYFUNCTION("""COMPUTED_VALUE"""),"RACHEL PAMATIAN")</f>
        <v>RACHEL PAMATIAN</v>
      </c>
      <c r="C1605" s="235" t="str">
        <f>IFERROR(__xludf.DUMMYFUNCTION("""COMPUTED_VALUE"""),"ADMIN - STAR")</f>
        <v>ADMIN - STAR</v>
      </c>
      <c r="D1605" s="196" t="str">
        <f>IFERROR(__xludf.DUMMYFUNCTION("""COMPUTED_VALUE"""),"2 ROLLS GREEN RUBBER MATS SIZE 45 X 75 CM ")</f>
        <v>2 ROLLS GREEN RUBBER MATS SIZE 45 X 75 CM </v>
      </c>
      <c r="E1605" s="196" t="str">
        <f>IFERROR(__xludf.DUMMYFUNCTION("""COMPUTED_VALUE"""),"FOR SAFETY OF STUDENTS DURING RAINY DAYS")</f>
        <v>FOR SAFETY OF STUDENTS DURING RAINY DAYS</v>
      </c>
    </row>
    <row r="1606">
      <c r="A1606" s="234">
        <f>IFERROR(__xludf.DUMMYFUNCTION("""COMPUTED_VALUE"""),106439.0)</f>
        <v>106439</v>
      </c>
      <c r="B1606" s="235" t="str">
        <f>IFERROR(__xludf.DUMMYFUNCTION("""COMPUTED_VALUE"""),"RACHEL PAMATIAN")</f>
        <v>RACHEL PAMATIAN</v>
      </c>
      <c r="C1606" s="235" t="str">
        <f>IFERROR(__xludf.DUMMYFUNCTION("""COMPUTED_VALUE"""),"ADMIN - STAR")</f>
        <v>ADMIN - STAR</v>
      </c>
      <c r="D1606" s="196" t="str">
        <f>IFERROR(__xludf.DUMMYFUNCTION("""COMPUTED_VALUE"""),"15 PCS TRASHBIN SIZE 10.5 LITERS 
8 PCS TRASHBIN SIZE 45 LITERS")</f>
        <v>15 PCS TRASHBIN SIZE 10.5 LITERS 
8 PCS TRASHBIN SIZE 45 LITERS</v>
      </c>
      <c r="E1606" s="196" t="str">
        <f>IFERROR(__xludf.DUMMYFUNCTION("""COMPUTED_VALUE"""),"FOR CR HALLWAYS CLASSROOMS ")</f>
        <v>FOR CR HALLWAYS CLASSROOMS </v>
      </c>
    </row>
    <row r="1607">
      <c r="A1607" s="234">
        <f>IFERROR(__xludf.DUMMYFUNCTION("""COMPUTED_VALUE"""),106440.0)</f>
        <v>106440</v>
      </c>
      <c r="B1607" s="235" t="str">
        <f>IFERROR(__xludf.DUMMYFUNCTION("""COMPUTED_VALUE"""),"CHRISTON CORBEZA")</f>
        <v>CHRISTON CORBEZA</v>
      </c>
      <c r="C1607" s="235" t="str">
        <f>IFERROR(__xludf.DUMMYFUNCTION("""COMPUTED_VALUE"""),"ADMIN - MUNICH")</f>
        <v>ADMIN - MUNICH</v>
      </c>
      <c r="D1607" s="196" t="str">
        <f>IFERROR(__xludf.DUMMYFUNCTION("""COMPUTED_VALUE"""),"CHRISTMAS LIGHTS RIXE LIGHTS
15 PCS WARM WHITE WITH SELECTOR SWITCH
15 PCS WHITE LIGHT WITH SELECTOR SWITCH")</f>
        <v>CHRISTMAS LIGHTS RIXE LIGHTS
15 PCS WARM WHITE WITH SELECTOR SWITCH
15 PCS WHITE LIGHT WITH SELECTOR SWITCH</v>
      </c>
      <c r="E1607" s="196" t="str">
        <f>IFERROR(__xludf.DUMMYFUNCTION("""COMPUTED_VALUE"""),"FOR CHRISTMAS DECORATION MUNICH CAMPUS")</f>
        <v>FOR CHRISTMAS DECORATION MUNICH CAMPUS</v>
      </c>
    </row>
    <row r="1608">
      <c r="A1608" s="234">
        <f>IFERROR(__xludf.DUMMYFUNCTION("""COMPUTED_VALUE"""),106441.0)</f>
        <v>106441</v>
      </c>
      <c r="B1608" s="235" t="str">
        <f>IFERROR(__xludf.DUMMYFUNCTION("""COMPUTED_VALUE"""),"JESUIT CHRISTIAN GALICIA")</f>
        <v>JESUIT CHRISTIAN GALICIA</v>
      </c>
      <c r="C1608" s="235" t="str">
        <f>IFERROR(__xludf.DUMMYFUNCTION("""COMPUTED_VALUE"""),"AMD")</f>
        <v>AMD</v>
      </c>
      <c r="D1608" s="196" t="str">
        <f>IFERROR(__xludf.DUMMYFUNCTION("""COMPUTED_VALUE"""),"4 BOXES BELDEN CAT6 CABLE BLUE
25 PCS A4TECH HU 10 HEADSET")</f>
        <v>4 BOXES BELDEN CAT6 CABLE BLUE
25 PCS A4TECH HU 10 HEADSET</v>
      </c>
      <c r="E1608" s="196" t="str">
        <f>IFERROR(__xludf.DUMMYFUNCTION("""COMPUTED_VALUE"""),"MIS WAREHOUSE STOCK REPLENISHMENT")</f>
        <v>MIS WAREHOUSE STOCK REPLENISHMENT</v>
      </c>
    </row>
    <row r="1609">
      <c r="A1609" s="234">
        <f>IFERROR(__xludf.DUMMYFUNCTION("""COMPUTED_VALUE"""),106442.0)</f>
        <v>106442</v>
      </c>
      <c r="B1609" s="235" t="str">
        <f>IFERROR(__xludf.DUMMYFUNCTION("""COMPUTED_VALUE"""),"JESUIT CHRISTIAN GALICIA")</f>
        <v>JESUIT CHRISTIAN GALICIA</v>
      </c>
      <c r="C1609" s="235" t="str">
        <f>IFERROR(__xludf.DUMMYFUNCTION("""COMPUTED_VALUE"""),"AMD")</f>
        <v>AMD</v>
      </c>
      <c r="D1609" s="196" t="str">
        <f>IFERROR(__xludf.DUMMYFUNCTION("""COMPUTED_VALUE"""),"6 CANS BOSTIK VULCASEAL 1/2L
10 PCS WD40 MULTIPURPOSE LUBRICANT 382 ML")</f>
        <v>6 CANS BOSTIK VULCASEAL 1/2L
10 PCS WD40 MULTIPURPOSE LUBRICANT 382 ML</v>
      </c>
      <c r="E1609" s="196" t="str">
        <f>IFERROR(__xludf.DUMMYFUNCTION("""COMPUTED_VALUE"""),"ENGR WAREHOUSE REPLENISHMENT")</f>
        <v>ENGR WAREHOUSE REPLENISHMENT</v>
      </c>
    </row>
    <row r="1610">
      <c r="A1610" s="234">
        <f>IFERROR(__xludf.DUMMYFUNCTION("""COMPUTED_VALUE"""),106443.0)</f>
        <v>106443</v>
      </c>
      <c r="B1610" s="235" t="str">
        <f>IFERROR(__xludf.DUMMYFUNCTION("""COMPUTED_VALUE"""),"CHARLES LEBECO DONOR")</f>
        <v>CHARLES LEBECO DONOR</v>
      </c>
      <c r="C1610" s="235" t="str">
        <f>IFERROR(__xludf.DUMMYFUNCTION("""COMPUTED_VALUE"""),"AMD")</f>
        <v>AMD</v>
      </c>
      <c r="D1610" s="196" t="str">
        <f>IFERROR(__xludf.DUMMYFUNCTION("""COMPUTED_VALUE"""),"500 PCS. Plastic, OPP Self Adhesive Resealable")</f>
        <v>500 PCS. Plastic, OPP Self Adhesive Resealable</v>
      </c>
      <c r="E1610" s="196" t="str">
        <f>IFERROR(__xludf.DUMMYFUNCTION("""COMPUTED_VALUE"""),"OSSUP REPLENISHMENTS")</f>
        <v>OSSUP REPLENISHMENTS</v>
      </c>
    </row>
    <row r="1611">
      <c r="A1611" s="234">
        <f>IFERROR(__xludf.DUMMYFUNCTION("""COMPUTED_VALUE"""),106444.0)</f>
        <v>106444</v>
      </c>
      <c r="B1611" s="235" t="str">
        <f>IFERROR(__xludf.DUMMYFUNCTION("""COMPUTED_VALUE"""),"CHARLES LEBECO DONOR")</f>
        <v>CHARLES LEBECO DONOR</v>
      </c>
      <c r="C1611" s="235" t="str">
        <f>IFERROR(__xludf.DUMMYFUNCTION("""COMPUTED_VALUE"""),"AMD")</f>
        <v>AMD</v>
      </c>
      <c r="D1611" s="196" t="str">
        <f>IFERROR(__xludf.DUMMYFUNCTION("""COMPUTED_VALUE"""),"1488 Battery, Energizer Size AA
200 Battery, Maxwell CR2032")</f>
        <v>1488 Battery, Energizer Size AA
200 Battery, Maxwell CR2032</v>
      </c>
      <c r="E1611" s="196" t="str">
        <f>IFERROR(__xludf.DUMMYFUNCTION("""COMPUTED_VALUE"""),"OSSUP REPLENISHMENTS")</f>
        <v>OSSUP REPLENISHMENTS</v>
      </c>
    </row>
    <row r="1612">
      <c r="A1612" s="234">
        <f>IFERROR(__xludf.DUMMYFUNCTION("""COMPUTED_VALUE"""),106445.0)</f>
        <v>106445</v>
      </c>
      <c r="B1612" s="235" t="str">
        <f>IFERROR(__xludf.DUMMYFUNCTION("""COMPUTED_VALUE"""),"CHARLES LEBECO DONOR")</f>
        <v>CHARLES LEBECO DONOR</v>
      </c>
      <c r="C1612" s="235" t="str">
        <f>IFERROR(__xludf.DUMMYFUNCTION("""COMPUTED_VALUE"""),"AMD")</f>
        <v>AMD</v>
      </c>
      <c r="D1612" s="196" t="str">
        <f>IFERROR(__xludf.DUMMYFUNCTION("""COMPUTED_VALUE"""),"1700 Folder, Pressboard Green Long Plain")</f>
        <v>1700 Folder, Pressboard Green Long Plain</v>
      </c>
      <c r="E1612" s="196" t="str">
        <f>IFERROR(__xludf.DUMMYFUNCTION("""COMPUTED_VALUE"""),"OSSUP REPLENISHMENTS")</f>
        <v>OSSUP REPLENISHMENTS</v>
      </c>
    </row>
    <row r="1613">
      <c r="A1613" s="234">
        <f>IFERROR(__xludf.DUMMYFUNCTION("""COMPUTED_VALUE"""),106446.0)</f>
        <v>106446</v>
      </c>
      <c r="B1613" s="235" t="str">
        <f>IFERROR(__xludf.DUMMYFUNCTION("""COMPUTED_VALUE"""),"CHARLES LEBECO DONOR")</f>
        <v>CHARLES LEBECO DONOR</v>
      </c>
      <c r="C1613" s="235" t="str">
        <f>IFERROR(__xludf.DUMMYFUNCTION("""COMPUTED_VALUE"""),"AMD")</f>
        <v>AMD</v>
      </c>
      <c r="D1613" s="196" t="str">
        <f>IFERROR(__xludf.DUMMYFUNCTION("""COMPUTED_VALUE"""),"500 - Paper, Copy-Laser Sub. 20 Long White
700 - Paper, Copy-Laser Sub. 20 Short White")</f>
        <v>500 - Paper, Copy-Laser Sub. 20 Long White
700 - Paper, Copy-Laser Sub. 20 Short White</v>
      </c>
      <c r="E1613" s="196" t="str">
        <f>IFERROR(__xludf.DUMMYFUNCTION("""COMPUTED_VALUE"""),"OSSUP REPLENISHMENTS")</f>
        <v>OSSUP REPLENISHMENTS</v>
      </c>
    </row>
    <row r="1614">
      <c r="A1614" s="234">
        <f>IFERROR(__xludf.DUMMYFUNCTION("""COMPUTED_VALUE"""),106447.0)</f>
        <v>106447</v>
      </c>
      <c r="B1614" s="235" t="str">
        <f>IFERROR(__xludf.DUMMYFUNCTION("""COMPUTED_VALUE"""),"MYRNA RULONA")</f>
        <v>MYRNA RULONA</v>
      </c>
      <c r="C1614" s="235" t="str">
        <f>IFERROR(__xludf.DUMMYFUNCTION("""COMPUTED_VALUE"""),"LANDSCAPING")</f>
        <v>LANDSCAPING</v>
      </c>
      <c r="D1614" s="196" t="str">
        <f>IFERROR(__xludf.DUMMYFUNCTION("""COMPUTED_VALUE"""),"70 PECARA
60 BOSTON FERN
50 ORLANDO
150 HELICONIA")</f>
        <v>70 PECARA
60 BOSTON FERN
50 ORLANDO
150 HELICONIA</v>
      </c>
      <c r="E1614" s="196" t="str">
        <f>IFERROR(__xludf.DUMMYFUNCTION("""COMPUTED_VALUE"""),"ADDITIONAL PLANTS FOR GREEN WALL MONARCHS PARK")</f>
        <v>ADDITIONAL PLANTS FOR GREEN WALL MONARCHS PARK</v>
      </c>
    </row>
    <row r="1615">
      <c r="A1615" s="234">
        <f>IFERROR(__xludf.DUMMYFUNCTION("""COMPUTED_VALUE"""),106448.0)</f>
        <v>106448</v>
      </c>
      <c r="B1615" s="235" t="str">
        <f>IFERROR(__xludf.DUMMYFUNCTION("""COMPUTED_VALUE"""),"ALFA DE LEON")</f>
        <v>ALFA DE LEON</v>
      </c>
      <c r="C1615" s="235" t="str">
        <f>IFERROR(__xludf.DUMMYFUNCTION("""COMPUTED_VALUE"""),"ADMIN - MUNICH")</f>
        <v>ADMIN - MUNICH</v>
      </c>
      <c r="D1615" s="196" t="str">
        <f>IFERROR(__xludf.DUMMYFUNCTION("""COMPUTED_VALUE"""),"6 CHRISTMAS DECORS LEAVES GOLD/SILVER
3 LEAVES SILVER / GOLD
6 FLOWERS GOLD/SILVER")</f>
        <v>6 CHRISTMAS DECORS LEAVES GOLD/SILVER
3 LEAVES SILVER / GOLD
6 FLOWERS GOLD/SILVER</v>
      </c>
      <c r="E1615" s="196" t="str">
        <f>IFERROR(__xludf.DUMMYFUNCTION("""COMPUTED_VALUE"""),"CHRISTMAS DECORATION")</f>
        <v>CHRISTMAS DECORATION</v>
      </c>
    </row>
    <row r="1616">
      <c r="A1616" s="234">
        <f>IFERROR(__xludf.DUMMYFUNCTION("""COMPUTED_VALUE"""),106449.0)</f>
        <v>106449</v>
      </c>
      <c r="B1616" s="235" t="str">
        <f>IFERROR(__xludf.DUMMYFUNCTION("""COMPUTED_VALUE"""),"OWIE PAR")</f>
        <v>OWIE PAR</v>
      </c>
      <c r="C1616" s="235" t="str">
        <f>IFERROR(__xludf.DUMMYFUNCTION("""COMPUTED_VALUE"""),"ADMIN")</f>
        <v>ADMIN</v>
      </c>
      <c r="D1616" s="196" t="str">
        <f>IFERROR(__xludf.DUMMYFUNCTION("""COMPUTED_VALUE"""),"1 ROLL THHN #12
4 SETS PANASONIC WIDE SERIES OUTLET 2 GANG
5 LENGTHS PVC MOUNDING 3/4
1 ROLL FLEXIBLE CONDUIT PIPE 1/2 50 MTR
3 CONTAINER NO MORE NAILS PASTE")</f>
        <v>1 ROLL THHN #12
4 SETS PANASONIC WIDE SERIES OUTLET 2 GANG
5 LENGTHS PVC MOUNDING 3/4
1 ROLL FLEXIBLE CONDUIT PIPE 1/2 50 MTR
3 CONTAINER NO MORE NAILS PASTE</v>
      </c>
      <c r="E1616" s="196" t="str">
        <f>IFERROR(__xludf.DUMMYFUNCTION("""COMPUTED_VALUE"""),"FOR LUX HALL TECH BOOTH")</f>
        <v>FOR LUX HALL TECH BOOTH</v>
      </c>
    </row>
    <row r="1617">
      <c r="A1617" s="234">
        <f>IFERROR(__xludf.DUMMYFUNCTION("""COMPUTED_VALUE"""),106450.0)</f>
        <v>106450</v>
      </c>
      <c r="B1617" s="235" t="str">
        <f>IFERROR(__xludf.DUMMYFUNCTION("""COMPUTED_VALUE"""),"MYRNA RULONA")</f>
        <v>MYRNA RULONA</v>
      </c>
      <c r="C1617" s="235" t="str">
        <f>IFERROR(__xludf.DUMMYFUNCTION("""COMPUTED_VALUE"""),"LANDSCAPING")</f>
        <v>LANDSCAPING</v>
      </c>
      <c r="D1617" s="196" t="str">
        <f>IFERROR(__xludf.DUMMYFUNCTION("""COMPUTED_VALUE"""),"20 EUGENIA 
30 PHILODENDRON SELLOUM
40 CALATHEA LUTEA
10 EUGENIA")</f>
        <v>20 EUGENIA 
30 PHILODENDRON SELLOUM
40 CALATHEA LUTEA
10 EUGENIA</v>
      </c>
      <c r="E1617" s="196" t="str">
        <f>IFERROR(__xludf.DUMMYFUNCTION("""COMPUTED_VALUE"""),"ADDITIONAL PLANTS WILL BE REPLACED IN MONARCHS PARK")</f>
        <v>ADDITIONAL PLANTS WILL BE REPLACED IN MONARCHS PARK</v>
      </c>
    </row>
    <row r="1618">
      <c r="A1618" s="234">
        <f>IFERROR(__xludf.DUMMYFUNCTION("""COMPUTED_VALUE"""),106451.0)</f>
        <v>106451</v>
      </c>
      <c r="B1618" s="235" t="str">
        <f>IFERROR(__xludf.DUMMYFUNCTION("""COMPUTED_VALUE"""),"RODRIGO CUSTODIO")</f>
        <v>RODRIGO CUSTODIO</v>
      </c>
      <c r="C1618" s="235" t="str">
        <f>IFERROR(__xludf.DUMMYFUNCTION("""COMPUTED_VALUE"""),"AMD")</f>
        <v>AMD</v>
      </c>
      <c r="D1618" s="196" t="str">
        <f>IFERROR(__xludf.DUMMYFUNCTION("""COMPUTED_VALUE"""),"200 PACKS CHLORINE 1 KG PER PACK")</f>
        <v>200 PACKS CHLORINE 1 KG PER PACK</v>
      </c>
      <c r="E1618" s="196" t="str">
        <f>IFERROR(__xludf.DUMMYFUNCTION("""COMPUTED_VALUE"""),"HOUSEKEEPING STOCK REPLENISHMENT")</f>
        <v>HOUSEKEEPING STOCK REPLENISHMENT</v>
      </c>
    </row>
    <row r="1619">
      <c r="A1619" s="234">
        <f>IFERROR(__xludf.DUMMYFUNCTION("""COMPUTED_VALUE"""),106452.0)</f>
        <v>106452</v>
      </c>
      <c r="B1619" s="235" t="str">
        <f>IFERROR(__xludf.DUMMYFUNCTION("""COMPUTED_VALUE"""),"CHRISTON CORBEZA")</f>
        <v>CHRISTON CORBEZA</v>
      </c>
      <c r="C1619" s="235" t="str">
        <f>IFERROR(__xludf.DUMMYFUNCTION("""COMPUTED_VALUE"""),"ADMIN - MUNICH")</f>
        <v>ADMIN - MUNICH</v>
      </c>
      <c r="D1619" s="196" t="str">
        <f>IFERROR(__xludf.DUMMYFUNCTION("""COMPUTED_VALUE"""),"4 PCS CIGNUS TWO WAY RADIO MODEL V85 PRO")</f>
        <v>4 PCS CIGNUS TWO WAY RADIO MODEL V85 PRO</v>
      </c>
      <c r="E1619" s="196" t="str">
        <f>IFERROR(__xludf.DUMMYFUNCTION("""COMPUTED_VALUE"""),"REPLACEMENT FOR THE DEFECTIVE RADIO")</f>
        <v>REPLACEMENT FOR THE DEFECTIVE RADIO</v>
      </c>
    </row>
    <row r="1620">
      <c r="A1620" s="234">
        <f>IFERROR(__xludf.DUMMYFUNCTION("""COMPUTED_VALUE"""),106453.0)</f>
        <v>106453</v>
      </c>
      <c r="B1620" s="235" t="str">
        <f>IFERROR(__xludf.DUMMYFUNCTION("""COMPUTED_VALUE"""),"JORGE BALELA")</f>
        <v>JORGE BALELA</v>
      </c>
      <c r="C1620" s="235" t="str">
        <f>IFERROR(__xludf.DUMMYFUNCTION("""COMPUTED_VALUE"""),"ADMIN")</f>
        <v>ADMIN</v>
      </c>
      <c r="D1620" s="196" t="str">
        <f>IFERROR(__xludf.DUMMYFUNCTION("""COMPUTED_VALUE"""),"1 PCS BRASS PLATE FOR THE CHESS PIECE")</f>
        <v>1 PCS BRASS PLATE FOR THE CHESS PIECE</v>
      </c>
      <c r="E1620" s="196" t="str">
        <f>IFERROR(__xludf.DUMMYFUNCTION("""COMPUTED_VALUE"""),"FOR ALUMNI AWARDS TROPHY")</f>
        <v>FOR ALUMNI AWARDS TROPHY</v>
      </c>
    </row>
    <row r="1621">
      <c r="A1621" s="234">
        <f>IFERROR(__xludf.DUMMYFUNCTION("""COMPUTED_VALUE"""),106454.0)</f>
        <v>106454</v>
      </c>
      <c r="B1621" s="235" t="str">
        <f>IFERROR(__xludf.DUMMYFUNCTION("""COMPUTED_VALUE"""),"SHEREE ESPINOSA")</f>
        <v>SHEREE ESPINOSA</v>
      </c>
      <c r="C1621" s="235" t="str">
        <f>IFERROR(__xludf.DUMMYFUNCTION("""COMPUTED_VALUE"""),"ADMIN")</f>
        <v>ADMIN</v>
      </c>
      <c r="D1621" s="196" t="str">
        <f>IFERROR(__xludf.DUMMYFUNCTION("""COMPUTED_VALUE"""),"1 ASSORTED DECORS
8 GARLAND")</f>
        <v>1 ASSORTED DECORS
8 GARLAND</v>
      </c>
      <c r="E1621" s="196" t="str">
        <f>IFERROR(__xludf.DUMMYFUNCTION("""COMPUTED_VALUE"""),"CHRISTMAS DECORS COLLEGE AND TROP CAMPUS")</f>
        <v>CHRISTMAS DECORS COLLEGE AND TROP CAMPUS</v>
      </c>
    </row>
    <row r="1622">
      <c r="A1622" s="234">
        <f>IFERROR(__xludf.DUMMYFUNCTION("""COMPUTED_VALUE"""),106455.0)</f>
        <v>106455</v>
      </c>
      <c r="B1622" s="235" t="str">
        <f>IFERROR(__xludf.DUMMYFUNCTION("""COMPUTED_VALUE"""),"SHEREE ESPINOSA")</f>
        <v>SHEREE ESPINOSA</v>
      </c>
      <c r="C1622" s="235" t="str">
        <f>IFERROR(__xludf.DUMMYFUNCTION("""COMPUTED_VALUE"""),"ADMIN")</f>
        <v>ADMIN</v>
      </c>
      <c r="D1622" s="196" t="str">
        <f>IFERROR(__xludf.DUMMYFUNCTION("""COMPUTED_VALUE"""),"1 ASSORTED CHRISTMAS DECORS")</f>
        <v>1 ASSORTED CHRISTMAS DECORS</v>
      </c>
      <c r="E1622" s="196" t="str">
        <f>IFERROR(__xludf.DUMMYFUNCTION("""COMPUTED_VALUE"""),"CHRISTMAS DECORS FOR KEY AREAS NEW THEME")</f>
        <v>CHRISTMAS DECORS FOR KEY AREAS NEW THEME</v>
      </c>
    </row>
    <row r="1623">
      <c r="A1623" s="234">
        <f>IFERROR(__xludf.DUMMYFUNCTION("""COMPUTED_VALUE"""),106456.0)</f>
        <v>106456</v>
      </c>
      <c r="B1623" s="235" t="str">
        <f>IFERROR(__xludf.DUMMYFUNCTION("""COMPUTED_VALUE"""),"CHARLES LEBECO DONOR")</f>
        <v>CHARLES LEBECO DONOR</v>
      </c>
      <c r="C1623" s="235" t="str">
        <f>IFERROR(__xludf.DUMMYFUNCTION("""COMPUTED_VALUE"""),"AMD")</f>
        <v>AMD</v>
      </c>
      <c r="D1623" s="196" t="str">
        <f>IFERROR(__xludf.DUMMYFUNCTION("""COMPUTED_VALUE"""),"3900 - Envelope, Expanding Plastic-Long, Adventurer")</f>
        <v>3900 - Envelope, Expanding Plastic-Long, Adventurer</v>
      </c>
      <c r="E1623" s="196" t="str">
        <f>IFERROR(__xludf.DUMMYFUNCTION("""COMPUTED_VALUE"""),"OSSUP REPLENISHMENTS")</f>
        <v>OSSUP REPLENISHMENTS</v>
      </c>
    </row>
    <row r="1624">
      <c r="A1624" s="234">
        <f>IFERROR(__xludf.DUMMYFUNCTION("""COMPUTED_VALUE"""),106457.0)</f>
        <v>106457</v>
      </c>
      <c r="B1624" s="235" t="str">
        <f>IFERROR(__xludf.DUMMYFUNCTION("""COMPUTED_VALUE"""),"CHARLES LEBECO DONOR")</f>
        <v>CHARLES LEBECO DONOR</v>
      </c>
      <c r="C1624" s="235" t="str">
        <f>IFERROR(__xludf.DUMMYFUNCTION("""COMPUTED_VALUE"""),"AMD")</f>
        <v>AMD</v>
      </c>
      <c r="D1624" s="196" t="str">
        <f>IFERROR(__xludf.DUMMYFUNCTION("""COMPUTED_VALUE"""),"16 - Box of Paper, Continuous - 11 X 9.5 4ply")</f>
        <v>16 - Box of Paper, Continuous - 11 X 9.5 4ply</v>
      </c>
      <c r="E1624" s="196" t="str">
        <f>IFERROR(__xludf.DUMMYFUNCTION("""COMPUTED_VALUE"""),"OSSUP REPLENISHMENTS")</f>
        <v>OSSUP REPLENISHMENTS</v>
      </c>
    </row>
    <row r="1625">
      <c r="A1625" s="234">
        <f>IFERROR(__xludf.DUMMYFUNCTION("""COMPUTED_VALUE"""),106458.0)</f>
        <v>106458</v>
      </c>
      <c r="B1625" s="235" t="str">
        <f>IFERROR(__xludf.DUMMYFUNCTION("""COMPUTED_VALUE"""),"CHARLES LEBECO DONOR")</f>
        <v>CHARLES LEBECO DONOR</v>
      </c>
      <c r="C1625" s="235" t="str">
        <f>IFERROR(__xludf.DUMMYFUNCTION("""COMPUTED_VALUE"""),"AMD")</f>
        <v>AMD</v>
      </c>
      <c r="D1625" s="196" t="str">
        <f>IFERROR(__xludf.DUMMYFUNCTION("""COMPUTED_VALUE"""),"240 - Paper, Carbon Paper Long, blue")</f>
        <v>240 - Paper, Carbon Paper Long, blue</v>
      </c>
      <c r="E1625" s="196" t="str">
        <f>IFERROR(__xludf.DUMMYFUNCTION("""COMPUTED_VALUE"""),"OSSUP REPLENISHMENTS")</f>
        <v>OSSUP REPLENISHMENTS</v>
      </c>
    </row>
    <row r="1626">
      <c r="A1626" s="234">
        <f>IFERROR(__xludf.DUMMYFUNCTION("""COMPUTED_VALUE"""),106459.0)</f>
        <v>106459</v>
      </c>
      <c r="B1626" s="235" t="str">
        <f>IFERROR(__xludf.DUMMYFUNCTION("""COMPUTED_VALUE"""),"CHARLES LEBECO DONOR")</f>
        <v>CHARLES LEBECO DONOR</v>
      </c>
      <c r="C1626" s="235" t="str">
        <f>IFERROR(__xludf.DUMMYFUNCTION("""COMPUTED_VALUE"""),"AMD")</f>
        <v>AMD</v>
      </c>
      <c r="D1626" s="196" t="str">
        <f>IFERROR(__xludf.DUMMYFUNCTION("""COMPUTED_VALUE"""),"1550 - Paper, Parchment - 8.5 x 11 Ordinary")</f>
        <v>1550 - Paper, Parchment - 8.5 x 11 Ordinary</v>
      </c>
      <c r="E1626" s="196" t="str">
        <f>IFERROR(__xludf.DUMMYFUNCTION("""COMPUTED_VALUE"""),"OSSUP REPLENISHMENTS")</f>
        <v>OSSUP REPLENISHMENTS</v>
      </c>
    </row>
    <row r="1627">
      <c r="A1627" s="234">
        <f>IFERROR(__xludf.DUMMYFUNCTION("""COMPUTED_VALUE"""),106460.0)</f>
        <v>106460</v>
      </c>
      <c r="B1627" s="235" t="str">
        <f>IFERROR(__xludf.DUMMYFUNCTION("""COMPUTED_VALUE"""),"CHARLES LEBECO DONOR")</f>
        <v>CHARLES LEBECO DONOR</v>
      </c>
      <c r="C1627" s="235" t="str">
        <f>IFERROR(__xludf.DUMMYFUNCTION("""COMPUTED_VALUE"""),"AMD")</f>
        <v>AMD</v>
      </c>
      <c r="D1627" s="196" t="str">
        <f>IFERROR(__xludf.DUMMYFUNCTION("""COMPUTED_VALUE"""),"187 - Tape, Double Adhesive W/ Foam 1X1M")</f>
        <v>187 - Tape, Double Adhesive W/ Foam 1X1M</v>
      </c>
      <c r="E1627" s="196" t="str">
        <f>IFERROR(__xludf.DUMMYFUNCTION("""COMPUTED_VALUE"""),"OSSUP REPLENISHMENTS")</f>
        <v>OSSUP REPLENISHMENTS</v>
      </c>
    </row>
    <row r="1628">
      <c r="A1628" s="234">
        <f>IFERROR(__xludf.DUMMYFUNCTION("""COMPUTED_VALUE"""),106461.0)</f>
        <v>106461</v>
      </c>
      <c r="B1628" s="235" t="str">
        <f>IFERROR(__xludf.DUMMYFUNCTION("""COMPUTED_VALUE"""),"CHARLES LEBECO DONOR")</f>
        <v>CHARLES LEBECO DONOR</v>
      </c>
      <c r="C1628" s="235" t="str">
        <f>IFERROR(__xludf.DUMMYFUNCTION("""COMPUTED_VALUE"""),"AMD")</f>
        <v>AMD</v>
      </c>
      <c r="D1628" s="196" t="str">
        <f>IFERROR(__xludf.DUMMYFUNCTION("""COMPUTED_VALUE"""),"3000 - Towel, Microfiber - Dual Sided Plush Cloth")</f>
        <v>3000 - Towel, Microfiber - Dual Sided Plush Cloth</v>
      </c>
      <c r="E1628" s="196" t="str">
        <f>IFERROR(__xludf.DUMMYFUNCTION("""COMPUTED_VALUE"""),"OSSUP REPLENISHMENTS")</f>
        <v>OSSUP REPLENISHMENTS</v>
      </c>
    </row>
    <row r="1629">
      <c r="A1629" s="234">
        <f>IFERROR(__xludf.DUMMYFUNCTION("""COMPUTED_VALUE"""),106462.0)</f>
        <v>106462</v>
      </c>
      <c r="B1629" s="235" t="str">
        <f>IFERROR(__xludf.DUMMYFUNCTION("""COMPUTED_VALUE"""),"SHEREE ESPINOSA")</f>
        <v>SHEREE ESPINOSA</v>
      </c>
      <c r="C1629" s="235" t="str">
        <f>IFERROR(__xludf.DUMMYFUNCTION("""COMPUTED_VALUE"""),"ADMIN")</f>
        <v>ADMIN</v>
      </c>
      <c r="D1629" s="196" t="str">
        <f>IFERROR(__xludf.DUMMYFUNCTION("""COMPUTED_VALUE"""),"11 PC CAPIZ STAR")</f>
        <v>11 PC CAPIZ STAR</v>
      </c>
      <c r="E1629" s="196" t="str">
        <f>IFERROR(__xludf.DUMMYFUNCTION("""COMPUTED_VALUE"""),"FOR 15FT CHRISTMAS TREE IN FLAG POLE MONARCHS PARK")</f>
        <v>FOR 15FT CHRISTMAS TREE IN FLAG POLE MONARCHS PARK</v>
      </c>
    </row>
    <row r="1630">
      <c r="A1630" s="234">
        <f>IFERROR(__xludf.DUMMYFUNCTION("""COMPUTED_VALUE"""),106463.0)</f>
        <v>106463</v>
      </c>
      <c r="B1630" s="235" t="str">
        <f>IFERROR(__xludf.DUMMYFUNCTION("""COMPUTED_VALUE"""),"SHEREE ESPINOSA")</f>
        <v>SHEREE ESPINOSA</v>
      </c>
      <c r="C1630" s="235" t="str">
        <f>IFERROR(__xludf.DUMMYFUNCTION("""COMPUTED_VALUE"""),"ADMIN")</f>
        <v>ADMIN</v>
      </c>
      <c r="D1630" s="196" t="str">
        <f>IFERROR(__xludf.DUMMYFUNCTION("""COMPUTED_VALUE"""),"1LOT CHRISTMAS TREE ASSORTED CHRISTMAS DECOR")</f>
        <v>1LOT CHRISTMAS TREE ASSORTED CHRISTMAS DECOR</v>
      </c>
      <c r="E1630" s="196" t="str">
        <f>IFERROR(__xludf.DUMMYFUNCTION("""COMPUTED_VALUE"""),"CHRISTMAS DECOR CEM/ PRESIDENTS OFFICE")</f>
        <v>CHRISTMAS DECOR CEM/ PRESIDENTS OFFICE</v>
      </c>
    </row>
    <row r="1631">
      <c r="A1631" s="234">
        <f>IFERROR(__xludf.DUMMYFUNCTION("""COMPUTED_VALUE"""),106464.0)</f>
        <v>106464</v>
      </c>
      <c r="B1631" s="235" t="str">
        <f>IFERROR(__xludf.DUMMYFUNCTION("""COMPUTED_VALUE"""),"SHEREE ESPINOSA")</f>
        <v>SHEREE ESPINOSA</v>
      </c>
      <c r="C1631" s="235" t="str">
        <f>IFERROR(__xludf.DUMMYFUNCTION("""COMPUTED_VALUE"""),"ADMIN")</f>
        <v>ADMIN</v>
      </c>
      <c r="D1631" s="196" t="str">
        <f>IFERROR(__xludf.DUMMYFUNCTION("""COMPUTED_VALUE"""),"ASSORTED APPLIANCES
-BRGY BF P'QUE
-BFP LAS PINAS
-BFP CAVITE
-HEALTH OFFICE
-TRAFFIC OFFICE")</f>
        <v>ASSORTED APPLIANCES
-BRGY BF P'QUE
-BFP LAS PINAS
-BFP CAVITE
-HEALTH OFFICE
-TRAFFIC OFFICE</v>
      </c>
      <c r="E1631" s="196" t="str">
        <f>IFERROR(__xludf.DUMMYFUNCTION("""COMPUTED_VALUE"""),"CHRISTMAS RAFFLE FOR OUR CONTACT LGU")</f>
        <v>CHRISTMAS RAFFLE FOR OUR CONTACT LGU</v>
      </c>
    </row>
    <row r="1632">
      <c r="A1632" s="234">
        <f>IFERROR(__xludf.DUMMYFUNCTION("""COMPUTED_VALUE"""),106465.0)</f>
        <v>106465</v>
      </c>
      <c r="B1632" s="235" t="str">
        <f>IFERROR(__xludf.DUMMYFUNCTION("""COMPUTED_VALUE"""),"CHRISTON CORBEZA")</f>
        <v>CHRISTON CORBEZA</v>
      </c>
      <c r="C1632" s="235" t="str">
        <f>IFERROR(__xludf.DUMMYFUNCTION("""COMPUTED_VALUE"""),"ADMIN")</f>
        <v>ADMIN</v>
      </c>
      <c r="D1632" s="196" t="str">
        <f>IFERROR(__xludf.DUMMYFUNCTION("""COMPUTED_VALUE"""),"1 SANTA CLAUS AIR BALLOON 
1 SANTACLAUS PARACHUTE
1 SANTA CLAUS MOON")</f>
        <v>1 SANTA CLAUS AIR BALLOON 
1 SANTACLAUS PARACHUTE
1 SANTA CLAUS MOON</v>
      </c>
      <c r="E1632" s="196" t="str">
        <f>IFERROR(__xludf.DUMMYFUNCTION("""COMPUTED_VALUE"""),"CHRISTMAS DECORATION MUNICH")</f>
        <v>CHRISTMAS DECORATION MUNICH</v>
      </c>
    </row>
    <row r="1633">
      <c r="A1633" s="234">
        <f>IFERROR(__xludf.DUMMYFUNCTION("""COMPUTED_VALUE"""),106466.0)</f>
        <v>106466</v>
      </c>
      <c r="B1633" s="235" t="str">
        <f>IFERROR(__xludf.DUMMYFUNCTION("""COMPUTED_VALUE"""),"JORDAN JORDAN")</f>
        <v>JORDAN JORDAN</v>
      </c>
      <c r="C1633" s="235" t="str">
        <f>IFERROR(__xludf.DUMMYFUNCTION("""COMPUTED_VALUE"""),"ADMIN")</f>
        <v>ADMIN</v>
      </c>
      <c r="D1633" s="196" t="str">
        <f>IFERROR(__xludf.DUMMYFUNCTION("""COMPUTED_VALUE"""),"1 BOX THHN THWN #12 3.5MM
1 BOX THHN THWN #14 2.0MM")</f>
        <v>1 BOX THHN THWN #12 3.5MM
1 BOX THHN THWN #14 2.0MM</v>
      </c>
      <c r="E1633" s="196" t="str">
        <f>IFERROR(__xludf.DUMMYFUNCTION("""COMPUTED_VALUE"""),"FOR ACU CONNECTION NEW MANAGEMENT HOUSE")</f>
        <v>FOR ACU CONNECTION NEW MANAGEMENT HOUSE</v>
      </c>
    </row>
    <row r="1634">
      <c r="A1634" s="234">
        <f>IFERROR(__xludf.DUMMYFUNCTION("""COMPUTED_VALUE"""),106467.0)</f>
        <v>106467</v>
      </c>
      <c r="B1634" s="235" t="str">
        <f>IFERROR(__xludf.DUMMYFUNCTION("""COMPUTED_VALUE"""),"JORGEBALELA/ JOSEPH ASOY")</f>
        <v>JORGEBALELA/ JOSEPH ASOY</v>
      </c>
      <c r="C1634" s="235" t="str">
        <f>IFERROR(__xludf.DUMMYFUNCTION("""COMPUTED_VALUE"""),"K12")</f>
        <v>K12</v>
      </c>
      <c r="D1634" s="196" t="str">
        <f>IFERROR(__xludf.DUMMYFUNCTION("""COMPUTED_VALUE"""),"2 PCS BRASS PLATE FOR MR AND MS INTRAMS CHESS PIECES")</f>
        <v>2 PCS BRASS PLATE FOR MR AND MS INTRAMS CHESS PIECES</v>
      </c>
      <c r="E1634" s="196" t="str">
        <f>IFERROR(__xludf.DUMMYFUNCTION("""COMPUTED_VALUE"""),"FOR MS AND MR INTRAMS 35TH FOUNDATION CHESS PIECE")</f>
        <v>FOR MS AND MR INTRAMS 35TH FOUNDATION CHESS PIECE</v>
      </c>
    </row>
    <row r="1635">
      <c r="A1635" s="234">
        <f>IFERROR(__xludf.DUMMYFUNCTION("""COMPUTED_VALUE"""),106468.0)</f>
        <v>106468</v>
      </c>
      <c r="B1635" s="235" t="str">
        <f>IFERROR(__xludf.DUMMYFUNCTION("""COMPUTED_VALUE"""),"JESUIT CHRISTIAN GALICIA")</f>
        <v>JESUIT CHRISTIAN GALICIA</v>
      </c>
      <c r="C1635" s="235" t="str">
        <f>IFERROR(__xludf.DUMMYFUNCTION("""COMPUTED_VALUE"""),"AMD")</f>
        <v>AMD</v>
      </c>
      <c r="D1635" s="196" t="str">
        <f>IFERROR(__xludf.DUMMYFUNCTION("""COMPUTED_VALUE"""),"25 PCS PADLOCK 55MM YALE
25 PCS PADLOCK 25MM YALE")</f>
        <v>25 PCS PADLOCK 55MM YALE
25 PCS PADLOCK 25MM YALE</v>
      </c>
      <c r="E1635" s="196" t="str">
        <f>IFERROR(__xludf.DUMMYFUNCTION("""COMPUTED_VALUE"""),"ENGR WAREHOUSE REPLENISHMENT")</f>
        <v>ENGR WAREHOUSE REPLENISHMENT</v>
      </c>
    </row>
    <row r="1636">
      <c r="A1636" s="234">
        <f>IFERROR(__xludf.DUMMYFUNCTION("""COMPUTED_VALUE"""),106469.0)</f>
        <v>106469</v>
      </c>
      <c r="B1636" s="235" t="str">
        <f>IFERROR(__xludf.DUMMYFUNCTION("""COMPUTED_VALUE"""),"MARIA PATRICIA BELLEZA")</f>
        <v>MARIA PATRICIA BELLEZA</v>
      </c>
      <c r="C1636" s="235" t="str">
        <f>IFERROR(__xludf.DUMMYFUNCTION("""COMPUTED_VALUE"""),"STUDENT AFFAIRS BED")</f>
        <v>STUDENT AFFAIRS BED</v>
      </c>
      <c r="D1636" s="196" t="str">
        <f>IFERROR(__xludf.DUMMYFUNCTION("""COMPUTED_VALUE"""),"1 FUNERAL FLOWERA FOR ALUMNUS")</f>
        <v>1 FUNERAL FLOWERA FOR ALUMNUS</v>
      </c>
      <c r="E1636" s="196" t="str">
        <f>IFERROR(__xludf.DUMMYFUNCTION("""COMPUTED_VALUE"""),"FOR THE WAKE OF AN ALUMNUS")</f>
        <v>FOR THE WAKE OF AN ALUMNUS</v>
      </c>
    </row>
    <row r="1637">
      <c r="A1637" s="234">
        <f>IFERROR(__xludf.DUMMYFUNCTION("""COMPUTED_VALUE"""),106470.0)</f>
        <v>106470</v>
      </c>
      <c r="B1637" s="235" t="str">
        <f>IFERROR(__xludf.DUMMYFUNCTION("""COMPUTED_VALUE"""),"ARNEL MONTABLAN")</f>
        <v>ARNEL MONTABLAN</v>
      </c>
      <c r="C1637" s="235" t="str">
        <f>IFERROR(__xludf.DUMMYFUNCTION("""COMPUTED_VALUE"""),"FOUNDER SCHOLARS")</f>
        <v>FOUNDER SCHOLARS</v>
      </c>
      <c r="D1637" s="196" t="str">
        <f>IFERROR(__xludf.DUMMYFUNCTION("""COMPUTED_VALUE"""),"ADVIL 18PCS
AGUA AXINADA 1 BOTTLE
BACTIDOL 1BOTTLE
BAND AID 3BOXES
BETADINE 2BOTTLES
BIOGESIC 251PCS
CETIRIZINE 61PCS
COTTON BALLS 2BAGS
DIATABS 64PCS
KREMIL S 36PCS
MEFINAMIC 62PCS
NEOZEP 159PCS
SOLMUX 134PCS
VICS OITMENT BIG 2PCS
FACEMASK 3BOXES")</f>
        <v>ADVIL 18PCS
AGUA AXINADA 1 BOTTLE
BACTIDOL 1BOTTLE
BAND AID 3BOXES
BETADINE 2BOTTLES
BIOGESIC 251PCS
CETIRIZINE 61PCS
COTTON BALLS 2BAGS
DIATABS 64PCS
KREMIL S 36PCS
MEFINAMIC 62PCS
NEOZEP 159PCS
SOLMUX 134PCS
VICS OITMENT BIG 2PCS
FACEMASK 3BOXES</v>
      </c>
      <c r="E1637" s="196" t="str">
        <f>IFERROR(__xludf.DUMMYFUNCTION("""COMPUTED_VALUE"""),"MEDICINE REPLENISHMENT FOR SCHOLARS")</f>
        <v>MEDICINE REPLENISHMENT FOR SCHOLARS</v>
      </c>
    </row>
    <row r="1638">
      <c r="A1638" s="234">
        <f>IFERROR(__xludf.DUMMYFUNCTION("""COMPUTED_VALUE"""),106471.0)</f>
        <v>106471</v>
      </c>
      <c r="B1638" s="235" t="str">
        <f>IFERROR(__xludf.DUMMYFUNCTION("""COMPUTED_VALUE"""),"ABIGAIL TOBALADO")</f>
        <v>ABIGAIL TOBALADO</v>
      </c>
      <c r="C1638" s="235" t="str">
        <f>IFERROR(__xludf.DUMMYFUNCTION("""COMPUTED_VALUE"""),"PR &amp; MARKETING")</f>
        <v>PR &amp; MARKETING</v>
      </c>
      <c r="D1638" s="196" t="str">
        <f>IFERROR(__xludf.DUMMYFUNCTION("""COMPUTED_VALUE"""),"1 STEAL CABINET")</f>
        <v>1 STEAL CABINET</v>
      </c>
      <c r="E1638" s="196" t="str">
        <f>IFERROR(__xludf.DUMMYFUNCTION("""COMPUTED_VALUE"""),"FOR NEW EMPLOYEE")</f>
        <v>FOR NEW EMPLOYEE</v>
      </c>
    </row>
    <row r="1639">
      <c r="A1639" s="234">
        <f>IFERROR(__xludf.DUMMYFUNCTION("""COMPUTED_VALUE"""),106472.0)</f>
        <v>106472</v>
      </c>
      <c r="B1639" s="235" t="str">
        <f>IFERROR(__xludf.DUMMYFUNCTION("""COMPUTED_VALUE"""),"FRANCESKA ORTEGA")</f>
        <v>FRANCESKA ORTEGA</v>
      </c>
      <c r="C1639" s="235" t="str">
        <f>IFERROR(__xludf.DUMMYFUNCTION("""COMPUTED_VALUE"""),"PRESIDENT'S OFFICE")</f>
        <v>PRESIDENT'S OFFICE</v>
      </c>
      <c r="D1639" s="196" t="str">
        <f>IFERROR(__xludf.DUMMYFUNCTION("""COMPUTED_VALUE"""),"FRAMING OF BEAD ARTWORK")</f>
        <v>FRAMING OF BEAD ARTWORK</v>
      </c>
      <c r="E1639" s="196" t="str">
        <f>IFERROR(__xludf.DUMMYFUNCTION("""COMPUTED_VALUE"""),"NURSING BEAD ARTWORK")</f>
        <v>NURSING BEAD ARTWORK</v>
      </c>
    </row>
    <row r="1640">
      <c r="A1640" s="234">
        <f>IFERROR(__xludf.DUMMYFUNCTION("""COMPUTED_VALUE"""),106473.0)</f>
        <v>106473</v>
      </c>
      <c r="B1640" s="235" t="str">
        <f>IFERROR(__xludf.DUMMYFUNCTION("""COMPUTED_VALUE"""),"MARC VINCENT VITTO")</f>
        <v>MARC VINCENT VITTO</v>
      </c>
      <c r="C1640" s="235" t="str">
        <f>IFERROR(__xludf.DUMMYFUNCTION("""COMPUTED_VALUE"""),"PR &amp; MARKETING")</f>
        <v>PR &amp; MARKETING</v>
      </c>
      <c r="D1640" s="196" t="str">
        <f>IFERROR(__xludf.DUMMYFUNCTION("""COMPUTED_VALUE"""),"1 ISAC VOLLEYBALL 2025 W= 184 IN X H= 77 IN ADD SEAMING AND EYELET ALLOVER")</f>
        <v>1 ISAC VOLLEYBALL 2025 W= 184 IN X H= 77 IN ADD SEAMING AND EYELET ALLOVER</v>
      </c>
      <c r="E1640" s="196" t="str">
        <f>IFERROR(__xludf.DUMMYFUNCTION("""COMPUTED_VALUE"""),"CONGRATULATORY TARP")</f>
        <v>CONGRATULATORY TARP</v>
      </c>
    </row>
    <row r="1641">
      <c r="A1641" s="234">
        <f>IFERROR(__xludf.DUMMYFUNCTION("""COMPUTED_VALUE"""),106474.0)</f>
        <v>106474</v>
      </c>
      <c r="B1641" s="235" t="str">
        <f>IFERROR(__xludf.DUMMYFUNCTION("""COMPUTED_VALUE"""),"CHARLES LEBECO DONOR")</f>
        <v>CHARLES LEBECO DONOR</v>
      </c>
      <c r="C1641" s="235" t="str">
        <f>IFERROR(__xludf.DUMMYFUNCTION("""COMPUTED_VALUE"""),"AMD")</f>
        <v>AMD</v>
      </c>
      <c r="D1641" s="196" t="str">
        <f>IFERROR(__xludf.DUMMYFUNCTION("""COMPUTED_VALUE"""),"50 Illustration Board - Blk/Wh (1/2) 20X30
10 Illustration Board - Blk/Wh 1 whole")</f>
        <v>50 Illustration Board - Blk/Wh (1/2) 20X30
10 Illustration Board - Blk/Wh 1 whole</v>
      </c>
      <c r="E1641" s="196" t="str">
        <f>IFERROR(__xludf.DUMMYFUNCTION("""COMPUTED_VALUE"""),"OSSUP REPLENISHMENTS")</f>
        <v>OSSUP REPLENISHMENTS</v>
      </c>
    </row>
    <row r="1642">
      <c r="A1642" s="234">
        <f>IFERROR(__xludf.DUMMYFUNCTION("""COMPUTED_VALUE"""),106475.0)</f>
        <v>106475</v>
      </c>
      <c r="B1642" s="235" t="str">
        <f>IFERROR(__xludf.DUMMYFUNCTION("""COMPUTED_VALUE"""),"CHARLES LEBECO DONOR")</f>
        <v>CHARLES LEBECO DONOR</v>
      </c>
      <c r="C1642" s="235" t="str">
        <f>IFERROR(__xludf.DUMMYFUNCTION("""COMPUTED_VALUE"""),"AMD")</f>
        <v>AMD</v>
      </c>
      <c r="D1642" s="196" t="str">
        <f>IFERROR(__xludf.DUMMYFUNCTION("""COMPUTED_VALUE"""),"2028 pcs Clip, Binder Joy 1"" (Medium)
2400 pcs Clip, Binder Joy 3/4"" (Small)")</f>
        <v>2028 pcs Clip, Binder Joy 1" (Medium)
2400 pcs Clip, Binder Joy 3/4" (Small)</v>
      </c>
      <c r="E1642" s="196" t="str">
        <f>IFERROR(__xludf.DUMMYFUNCTION("""COMPUTED_VALUE"""),"OSSUP REPLENISHMENTS")</f>
        <v>OSSUP REPLENISHMENTS</v>
      </c>
    </row>
    <row r="1643">
      <c r="A1643" s="234">
        <f>IFERROR(__xludf.DUMMYFUNCTION("""COMPUTED_VALUE"""),106476.0)</f>
        <v>106476</v>
      </c>
      <c r="B1643" s="235" t="str">
        <f>IFERROR(__xludf.DUMMYFUNCTION("""COMPUTED_VALUE"""),"CHARLES LEBECO DONOR")</f>
        <v>CHARLES LEBECO DONOR</v>
      </c>
      <c r="C1643" s="235" t="str">
        <f>IFERROR(__xludf.DUMMYFUNCTION("""COMPUTED_VALUE"""),"AMD")</f>
        <v>AMD</v>
      </c>
      <c r="D1643" s="196" t="str">
        <f>IFERROR(__xludf.DUMMYFUNCTION("""COMPUTED_VALUE"""),"200 Frame, Certificate Wood 8.5x11
57 Frame, Certificate Glass 11x14")</f>
        <v>200 Frame, Certificate Wood 8.5x11
57 Frame, Certificate Glass 11x14</v>
      </c>
      <c r="E1643" s="196" t="str">
        <f>IFERROR(__xludf.DUMMYFUNCTION("""COMPUTED_VALUE"""),"OSSUP REPLENISHMENTS")</f>
        <v>OSSUP REPLENISHMENTS</v>
      </c>
    </row>
    <row r="1644">
      <c r="A1644" s="234">
        <f>IFERROR(__xludf.DUMMYFUNCTION("""COMPUTED_VALUE"""),106477.0)</f>
        <v>106477</v>
      </c>
      <c r="B1644" s="235" t="str">
        <f>IFERROR(__xludf.DUMMYFUNCTION("""COMPUTED_VALUE"""),"CHARLES LEBECO DONOR")</f>
        <v>CHARLES LEBECO DONOR</v>
      </c>
      <c r="C1644" s="235" t="str">
        <f>IFERROR(__xludf.DUMMYFUNCTION("""COMPUTED_VALUE"""),"AMD")</f>
        <v>AMD</v>
      </c>
      <c r="D1644" s="196" t="str">
        <f>IFERROR(__xludf.DUMMYFUNCTION("""COMPUTED_VALUE"""),"600 Ballpen, Dong-A My Gel Black 0.5")</f>
        <v>600 Ballpen, Dong-A My Gel Black 0.5</v>
      </c>
      <c r="E1644" s="196" t="str">
        <f>IFERROR(__xludf.DUMMYFUNCTION("""COMPUTED_VALUE"""),"OSSUP REPLENISHMENTS")</f>
        <v>OSSUP REPLENISHMENTS</v>
      </c>
    </row>
    <row r="1645">
      <c r="A1645" s="234">
        <f>IFERROR(__xludf.DUMMYFUNCTION("""COMPUTED_VALUE"""),106478.0)</f>
        <v>106478</v>
      </c>
      <c r="B1645" s="235" t="str">
        <f>IFERROR(__xludf.DUMMYFUNCTION("""COMPUTED_VALUE"""),"CHARLES LEBECO DONOR")</f>
        <v>CHARLES LEBECO DONOR</v>
      </c>
      <c r="C1645" s="235" t="str">
        <f>IFERROR(__xludf.DUMMYFUNCTION("""COMPUTED_VALUE"""),"AMD")</f>
        <v>AMD</v>
      </c>
      <c r="D1645" s="196" t="str">
        <f>IFERROR(__xludf.DUMMYFUNCTION("""COMPUTED_VALUE"""),"3150 Board, Vellum Long , (10pcs per pack)
2278 Board, Vellum Short, (10pcs per pack)")</f>
        <v>3150 Board, Vellum Long , (10pcs per pack)
2278 Board, Vellum Short, (10pcs per pack)</v>
      </c>
      <c r="E1645" s="196" t="str">
        <f>IFERROR(__xludf.DUMMYFUNCTION("""COMPUTED_VALUE"""),"OSSUP REPLENISHMENTS")</f>
        <v>OSSUP REPLENISHMENTS</v>
      </c>
    </row>
    <row r="1646">
      <c r="A1646" s="234">
        <f>IFERROR(__xludf.DUMMYFUNCTION("""COMPUTED_VALUE"""),106479.0)</f>
        <v>106479</v>
      </c>
      <c r="B1646" s="235" t="str">
        <f>IFERROR(__xludf.DUMMYFUNCTION("""COMPUTED_VALUE"""),"JANCEL PRADILLADA")</f>
        <v>JANCEL PRADILLADA</v>
      </c>
      <c r="C1646" s="235" t="str">
        <f>IFERROR(__xludf.DUMMYFUNCTION("""COMPUTED_VALUE"""),"MIS/ICT")</f>
        <v>MIS/ICT</v>
      </c>
      <c r="D1646" s="196" t="str">
        <f>IFERROR(__xludf.DUMMYFUNCTION("""COMPUTED_VALUE"""),"5 PCS RCA PLUG
50 METERS FLATCORD
7 PCS PLUG SWING
7 PCS 4G SOCKET")</f>
        <v>5 PCS RCA PLUG
50 METERS FLATCORD
7 PCS PLUG SWING
7 PCS 4G SOCKET</v>
      </c>
      <c r="E1646" s="196" t="str">
        <f>IFERROR(__xludf.DUMMYFUNCTION("""COMPUTED_VALUE"""),"FOR MONARCHS HUB COMPUTER AND TV SETUP FOR MIXER")</f>
        <v>FOR MONARCHS HUB COMPUTER AND TV SETUP FOR MIXER</v>
      </c>
    </row>
    <row r="1647">
      <c r="A1647" s="234">
        <f>IFERROR(__xludf.DUMMYFUNCTION("""COMPUTED_VALUE"""),106480.0)</f>
        <v>106480</v>
      </c>
      <c r="B1647" s="235" t="str">
        <f>IFERROR(__xludf.DUMMYFUNCTION("""COMPUTED_VALUE"""),"JANCEL PRADILLADA")</f>
        <v>JANCEL PRADILLADA</v>
      </c>
      <c r="C1647" s="235" t="str">
        <f>IFERROR(__xludf.DUMMYFUNCTION("""COMPUTED_VALUE"""),"MIS/ICT")</f>
        <v>MIS/ICT</v>
      </c>
      <c r="D1647" s="196" t="str">
        <f>IFERROR(__xludf.DUMMYFUNCTION("""COMPUTED_VALUE"""),"15 SETS XGR MALE AND FEMALE ADAPTER
5 PCS NEUTRIK POWER CORD")</f>
        <v>15 SETS XGR MALE AND FEMALE ADAPTER
5 PCS NEUTRIK POWER CORD</v>
      </c>
      <c r="E1647" s="196" t="str">
        <f>IFERROR(__xludf.DUMMYFUNCTION("""COMPUTED_VALUE"""),"FOR REWIRING OF AUDIO CABLES IN LUXHALL")</f>
        <v>FOR REWIRING OF AUDIO CABLES IN LUXHALL</v>
      </c>
    </row>
    <row r="1648">
      <c r="A1648" s="234">
        <f>IFERROR(__xludf.DUMMYFUNCTION("""COMPUTED_VALUE"""),106481.0)</f>
        <v>106481</v>
      </c>
      <c r="B1648" s="235" t="str">
        <f>IFERROR(__xludf.DUMMYFUNCTION("""COMPUTED_VALUE"""),"CHARLES LEBECO DONOR")</f>
        <v>CHARLES LEBECO DONOR</v>
      </c>
      <c r="C1648" s="235" t="str">
        <f>IFERROR(__xludf.DUMMYFUNCTION("""COMPUTED_VALUE"""),"AMD")</f>
        <v>AMD</v>
      </c>
      <c r="D1648" s="196" t="str">
        <f>IFERROR(__xludf.DUMMYFUNCTION("""COMPUTED_VALUE"""),"5000 Envelope, SISC Letter Colored w/o Window")</f>
        <v>5000 Envelope, SISC Letter Colored w/o Window</v>
      </c>
      <c r="E1648" s="196" t="str">
        <f>IFERROR(__xludf.DUMMYFUNCTION("""COMPUTED_VALUE"""),"OSSUP REPLENISHMENTS")</f>
        <v>OSSUP REPLENISHMENTS</v>
      </c>
    </row>
    <row r="1649">
      <c r="A1649" s="234">
        <f>IFERROR(__xludf.DUMMYFUNCTION("""COMPUTED_VALUE"""),106482.0)</f>
        <v>106482</v>
      </c>
      <c r="B1649" s="235" t="str">
        <f>IFERROR(__xludf.DUMMYFUNCTION("""COMPUTED_VALUE"""),"CHRISTON CORBEZA")</f>
        <v>CHRISTON CORBEZA</v>
      </c>
      <c r="C1649" s="235" t="str">
        <f>IFERROR(__xludf.DUMMYFUNCTION("""COMPUTED_VALUE"""),"ADMIN")</f>
        <v>ADMIN</v>
      </c>
      <c r="D1649" s="196" t="str">
        <f>IFERROR(__xludf.DUMMYFUNCTION("""COMPUTED_VALUE"""),"1 BOX ELECTRICAL WIRE STRANDED THHN 3.5MM BLACK")</f>
        <v>1 BOX ELECTRICAL WIRE STRANDED THHN 3.5MM BLACK</v>
      </c>
      <c r="E1649" s="196" t="str">
        <f>IFERROR(__xludf.DUMMYFUNCTION("""COMPUTED_VALUE"""),"FOR EMERGENCY LIGHT WIRING NEW")</f>
        <v>FOR EMERGENCY LIGHT WIRING NEW</v>
      </c>
    </row>
    <row r="1650">
      <c r="A1650" s="234">
        <f>IFERROR(__xludf.DUMMYFUNCTION("""COMPUTED_VALUE"""),106483.0)</f>
        <v>106483</v>
      </c>
      <c r="B1650" s="235" t="str">
        <f>IFERROR(__xludf.DUMMYFUNCTION("""COMPUTED_VALUE"""),"RACHEL PAMATIAN")</f>
        <v>RACHEL PAMATIAN</v>
      </c>
      <c r="C1650" s="235" t="str">
        <f>IFERROR(__xludf.DUMMYFUNCTION("""COMPUTED_VALUE"""),"ADMIN - STAR")</f>
        <v>ADMIN - STAR</v>
      </c>
      <c r="D1650" s="196" t="str">
        <f>IFERROR(__xludf.DUMMYFUNCTION("""COMPUTED_VALUE"""),"3 SETS SOCKS CHRISTMAS DECOR COLOR GOLD AND RED
2 DOZENS FLOWER SILVER
3 PCS STAR FOR CHRISTMAS TREES")</f>
        <v>3 SETS SOCKS CHRISTMAS DECOR COLOR GOLD AND RED
2 DOZENS FLOWER SILVER
3 PCS STAR FOR CHRISTMAS TREES</v>
      </c>
      <c r="E1650" s="196" t="str">
        <f>IFERROR(__xludf.DUMMYFUNCTION("""COMPUTED_VALUE"""),"ADDITIONAL CHRISTMAS DECORS FOR STAR CAMPUS")</f>
        <v>ADDITIONAL CHRISTMAS DECORS FOR STAR CAMPUS</v>
      </c>
    </row>
    <row r="1651">
      <c r="A1651" s="234">
        <f>IFERROR(__xludf.DUMMYFUNCTION("""COMPUTED_VALUE"""),106484.0)</f>
        <v>106484</v>
      </c>
      <c r="B1651" s="235" t="str">
        <f>IFERROR(__xludf.DUMMYFUNCTION("""COMPUTED_VALUE"""),"MARC VINCENT VITTO")</f>
        <v>MARC VINCENT VITTO</v>
      </c>
      <c r="C1651" s="235" t="str">
        <f>IFERROR(__xludf.DUMMYFUNCTION("""COMPUTED_VALUE"""),"PR &amp; MARKETING")</f>
        <v>PR &amp; MARKETING</v>
      </c>
      <c r="D1651" s="196" t="str">
        <f>IFERROR(__xludf.DUMMYFUNCTION("""COMPUTED_VALUE"""),"1 NEW FACILITIES TARP SIZE 110 IN X H 110IN THICKNESS 18OZ ADD SEAMING AND EYELET ALL OVER")</f>
        <v>1 NEW FACILITIES TARP SIZE 110 IN X H 110IN THICKNESS 18OZ ADD SEAMING AND EYELET ALL OVER</v>
      </c>
      <c r="E1651" s="196" t="str">
        <f>IFERROR(__xludf.DUMMYFUNCTION("""COMPUTED_VALUE"""),"FACILITIES OPENING/BLESSING")</f>
        <v>FACILITIES OPENING/BLESSING</v>
      </c>
    </row>
    <row r="1652">
      <c r="A1652" s="234">
        <f>IFERROR(__xludf.DUMMYFUNCTION("""COMPUTED_VALUE"""),106485.0)</f>
        <v>106485</v>
      </c>
      <c r="B1652" s="235" t="str">
        <f>IFERROR(__xludf.DUMMYFUNCTION("""COMPUTED_VALUE"""),"CHARLES LEBECO DONOR")</f>
        <v>CHARLES LEBECO DONOR</v>
      </c>
      <c r="C1652" s="235" t="str">
        <f>IFERROR(__xludf.DUMMYFUNCTION("""COMPUTED_VALUE"""),"AMD")</f>
        <v>AMD</v>
      </c>
      <c r="D1652" s="196" t="str">
        <f>IFERROR(__xludf.DUMMYFUNCTION("""COMPUTED_VALUE"""),"20 PCS. BALLPEN &amp; PENCIL HOLDER
CONTAINER (BOX) BLACK
10 SETS. PLASTIC TRAY (1 SET - 3 SIZES)
[SMALL, MEDIUM, LARGE]")</f>
        <v>20 PCS. BALLPEN &amp; PENCIL HOLDER
CONTAINER (BOX) BLACK
10 SETS. PLASTIC TRAY (1 SET - 3 SIZES)
[SMALL, MEDIUM, LARGE]</v>
      </c>
      <c r="E1652" s="196" t="str">
        <f>IFERROR(__xludf.DUMMYFUNCTION("""COMPUTED_VALUE"""),"Office Supplies organizer / storage")</f>
        <v>Office Supplies organizer / storage</v>
      </c>
    </row>
    <row r="1653">
      <c r="A1653" s="234">
        <f>IFERROR(__xludf.DUMMYFUNCTION("""COMPUTED_VALUE"""),106486.0)</f>
        <v>106486</v>
      </c>
      <c r="B1653" s="235" t="str">
        <f>IFERROR(__xludf.DUMMYFUNCTION("""COMPUTED_VALUE"""),"SHEREE ESPINOSA")</f>
        <v>SHEREE ESPINOSA</v>
      </c>
      <c r="C1653" s="235" t="str">
        <f>IFERROR(__xludf.DUMMYFUNCTION("""COMPUTED_VALUE"""),"ADMIN")</f>
        <v>ADMIN</v>
      </c>
      <c r="D1653" s="196" t="str">
        <f>IFERROR(__xludf.DUMMYFUNCTION("""COMPUTED_VALUE"""),"12 CAPIZ STARS 
1 STAR 18""
1 STAR 24""")</f>
        <v>12 CAPIZ STARS 
1 STAR 18"
1 STAR 24"</v>
      </c>
      <c r="E1653" s="196" t="str">
        <f>IFERROR(__xludf.DUMMYFUNCTION("""COMPUTED_VALUE"""),"15FT CHRISTMAS TREE DECORATION")</f>
        <v>15FT CHRISTMAS TREE DECORATION</v>
      </c>
    </row>
    <row r="1654">
      <c r="A1654" s="234">
        <f>IFERROR(__xludf.DUMMYFUNCTION("""COMPUTED_VALUE"""),106487.0)</f>
        <v>106487</v>
      </c>
      <c r="B1654" s="235" t="str">
        <f>IFERROR(__xludf.DUMMYFUNCTION("""COMPUTED_VALUE"""),"RODRIGO CUSTODIO")</f>
        <v>RODRIGO CUSTODIO</v>
      </c>
      <c r="C1654" s="235" t="str">
        <f>IFERROR(__xludf.DUMMYFUNCTION("""COMPUTED_VALUE"""),"AMD")</f>
        <v>AMD</v>
      </c>
      <c r="D1654" s="196" t="str">
        <f>IFERROR(__xludf.DUMMYFUNCTION("""COMPUTED_VALUE"""),"25 BOTTLES HIGIENECO PREMIUM ODOR COUNTERACTANT ANTIBACTERIAL SPRAY GREEN TEA SCENT
25 BOTTLES HIGIENECO PREMIUM ODOR COUNTERACTANT ANTIBACTERIAL SPRAY LAVENDER SCENT")</f>
        <v>25 BOTTLES HIGIENECO PREMIUM ODOR COUNTERACTANT ANTIBACTERIAL SPRAY GREEN TEA SCENT
25 BOTTLES HIGIENECO PREMIUM ODOR COUNTERACTANT ANTIBACTERIAL SPRAY LAVENDER SCENT</v>
      </c>
      <c r="E1654" s="196" t="str">
        <f>IFERROR(__xludf.DUMMYFUNCTION("""COMPUTED_VALUE"""),"HOUSEKEEPING STOCK REPLENISHMENT")</f>
        <v>HOUSEKEEPING STOCK REPLENISHMENT</v>
      </c>
    </row>
    <row r="1655">
      <c r="A1655" s="234">
        <f>IFERROR(__xludf.DUMMYFUNCTION("""COMPUTED_VALUE"""),106488.0)</f>
        <v>106488</v>
      </c>
      <c r="B1655" s="235" t="str">
        <f>IFERROR(__xludf.DUMMYFUNCTION("""COMPUTED_VALUE"""),"LYKA PERALTA")</f>
        <v>LYKA PERALTA</v>
      </c>
      <c r="C1655" s="235" t="str">
        <f>IFERROR(__xludf.DUMMYFUNCTION("""COMPUTED_VALUE"""),"AMD")</f>
        <v>AMD</v>
      </c>
      <c r="D1655" s="196" t="str">
        <f>IFERROR(__xludf.DUMMYFUNCTION("""COMPUTED_VALUE"""),"50 PCS POWERBANK SISC BLACK
50 PCS POWERBANK BAMBOO SISC")</f>
        <v>50 PCS POWERBANK SISC BLACK
50 PCS POWERBANK BAMBOO SISC</v>
      </c>
      <c r="E1655" s="196" t="str">
        <f>IFERROR(__xludf.DUMMYFUNCTION("""COMPUTED_VALUE"""),"TOKEN REPLENISHMENT")</f>
        <v>TOKEN REPLENISHMENT</v>
      </c>
    </row>
    <row r="1656">
      <c r="A1656" s="234">
        <f>IFERROR(__xludf.DUMMYFUNCTION("""COMPUTED_VALUE"""),106489.0)</f>
        <v>106489</v>
      </c>
      <c r="B1656" s="235" t="str">
        <f>IFERROR(__xludf.DUMMYFUNCTION("""COMPUTED_VALUE"""),"NHYSSA ADAOAG/RHOEL ILAGAN")</f>
        <v>NHYSSA ADAOAG/RHOEL ILAGAN</v>
      </c>
      <c r="C1656" s="235" t="str">
        <f>IFERROR(__xludf.DUMMYFUNCTION("""COMPUTED_VALUE"""),"AUDIT")</f>
        <v>AUDIT</v>
      </c>
      <c r="D1656" s="196" t="str">
        <f>IFERROR(__xludf.DUMMYFUNCTION("""COMPUTED_VALUE"""),"1 PC TRODAT NAME RHOEL ILAGAN 
1 BOX CALLING CARD ")</f>
        <v>1 PC TRODAT NAME RHOEL ILAGAN 
1 BOX CALLING CARD </v>
      </c>
      <c r="E1656" s="196" t="str">
        <f>IFERROR(__xludf.DUMMYFUNCTION("""COMPUTED_VALUE"""),"FOR OFFICE USE")</f>
        <v>FOR OFFICE USE</v>
      </c>
    </row>
    <row r="1657">
      <c r="A1657" s="234">
        <f>IFERROR(__xludf.DUMMYFUNCTION("""COMPUTED_VALUE"""),106490.0)</f>
        <v>106490</v>
      </c>
      <c r="B1657" s="235" t="str">
        <f>IFERROR(__xludf.DUMMYFUNCTION("""COMPUTED_VALUE"""),"SHARJAN GATCHALIAN")</f>
        <v>SHARJAN GATCHALIAN</v>
      </c>
      <c r="C1657" s="235" t="str">
        <f>IFERROR(__xludf.DUMMYFUNCTION("""COMPUTED_VALUE"""),"MIS/ICT")</f>
        <v>MIS/ICT</v>
      </c>
      <c r="D1657" s="196" t="str">
        <f>IFERROR(__xludf.DUMMYFUNCTION("""COMPUTED_VALUE"""),"1 3GANG LAN POP UP FLOOR OUTLET")</f>
        <v>1 3GANG LAN POP UP FLOOR OUTLET</v>
      </c>
      <c r="E1657" s="196" t="str">
        <f>IFERROR(__xludf.DUMMYFUNCTION("""COMPUTED_VALUE""")," 3 GANG LAN POP UP FLOOR OUTLET FOR MONARCHS HUB FACULTY")</f>
        <v> 3 GANG LAN POP UP FLOOR OUTLET FOR MONARCHS HUB FACULTY</v>
      </c>
    </row>
    <row r="1658">
      <c r="A1658" s="234">
        <f>IFERROR(__xludf.DUMMYFUNCTION("""COMPUTED_VALUE"""),106491.0)</f>
        <v>106491</v>
      </c>
      <c r="B1658" s="235" t="str">
        <f>IFERROR(__xludf.DUMMYFUNCTION("""COMPUTED_VALUE"""),"EVA NECOSIA")</f>
        <v>EVA NECOSIA</v>
      </c>
      <c r="C1658" s="235" t="str">
        <f>IFERROR(__xludf.DUMMYFUNCTION("""COMPUTED_VALUE"""),"FINANCE &amp; ACCOUNTING")</f>
        <v>FINANCE &amp; ACCOUNTING</v>
      </c>
      <c r="D1658" s="196" t="str">
        <f>IFERROR(__xludf.DUMMYFUNCTION("""COMPUTED_VALUE"""),"200 ACKNOWLEDGEMENT RECEIPT LUX")</f>
        <v>200 ACKNOWLEDGEMENT RECEIPT LUX</v>
      </c>
      <c r="E1658" s="196" t="str">
        <f>IFERROR(__xludf.DUMMYFUNCTION("""COMPUTED_VALUE"""),"22 BOOKLETS LEFT")</f>
        <v>22 BOOKLETS LEFT</v>
      </c>
    </row>
    <row r="1659">
      <c r="A1659" s="234">
        <f>IFERROR(__xludf.DUMMYFUNCTION("""COMPUTED_VALUE"""),106492.0)</f>
        <v>106492</v>
      </c>
      <c r="B1659" s="235" t="str">
        <f>IFERROR(__xludf.DUMMYFUNCTION("""COMPUTED_VALUE"""),"JEREMIAH TIROL")</f>
        <v>JEREMIAH TIROL</v>
      </c>
      <c r="C1659" s="235" t="str">
        <f>IFERROR(__xludf.DUMMYFUNCTION("""COMPUTED_VALUE"""),"SCIENCE LAB COLLEGE")</f>
        <v>SCIENCE LAB COLLEGE</v>
      </c>
      <c r="D1659" s="196" t="str">
        <f>IFERROR(__xludf.DUMMYFUNCTION("""COMPUTED_VALUE"""),"1 PC ADVANCED MULTIPURPOSE VENOUS TRAINING ARM
10 PCS STAINLESS TRAY WITH COVER RECTANGULAR")</f>
        <v>1 PC ADVANCED MULTIPURPOSE VENOUS TRAINING ARM
10 PCS STAINLESS TRAY WITH COVER RECTANGULAR</v>
      </c>
      <c r="E1659" s="196" t="str">
        <f>IFERROR(__xludf.DUMMYFUNCTION("""COMPUTED_VALUE"""),"IN PREPARATION FOR MONARCHS HUB")</f>
        <v>IN PREPARATION FOR MONARCHS HUB</v>
      </c>
    </row>
    <row r="1660">
      <c r="A1660" s="234">
        <f>IFERROR(__xludf.DUMMYFUNCTION("""COMPUTED_VALUE"""),106493.0)</f>
        <v>106493</v>
      </c>
      <c r="B1660" s="235" t="str">
        <f>IFERROR(__xludf.DUMMYFUNCTION("""COMPUTED_VALUE"""),"SHEREE ESPINOSA")</f>
        <v>SHEREE ESPINOSA</v>
      </c>
      <c r="C1660" s="235" t="str">
        <f>IFERROR(__xludf.DUMMYFUNCTION("""COMPUTED_VALUE"""),"ADMIN")</f>
        <v>ADMIN</v>
      </c>
      <c r="D1660" s="196" t="str">
        <f>IFERROR(__xludf.DUMMYFUNCTION("""COMPUTED_VALUE"""),"2 BALLS 10 CM
2 BALLS 8 CM
4 LEAVES 
4 GARLAND
2 STAR")</f>
        <v>2 BALLS 10 CM
2 BALLS 8 CM
4 LEAVES 
4 GARLAND
2 STAR</v>
      </c>
      <c r="E1660" s="196" t="str">
        <f>IFERROR(__xludf.DUMMYFUNCTION("""COMPUTED_VALUE"""),"MONARCHS CHRISTMAS DECORS ADDITIONAL")</f>
        <v>MONARCHS CHRISTMAS DECORS ADDITIONAL</v>
      </c>
    </row>
    <row r="1661">
      <c r="A1661" s="234">
        <f>IFERROR(__xludf.DUMMYFUNCTION("""COMPUTED_VALUE"""),106494.0)</f>
        <v>106494</v>
      </c>
      <c r="B1661" s="235" t="str">
        <f>IFERROR(__xludf.DUMMYFUNCTION("""COMPUTED_VALUE"""),"RODRIGO CUSTODIO")</f>
        <v>RODRIGO CUSTODIO</v>
      </c>
      <c r="C1661" s="235" t="str">
        <f>IFERROR(__xludf.DUMMYFUNCTION("""COMPUTED_VALUE"""),"AMD")</f>
        <v>AMD</v>
      </c>
      <c r="D1661" s="196" t="str">
        <f>IFERROR(__xludf.DUMMYFUNCTION("""COMPUTED_VALUE"""),"100 PACKS TRASH BAG XXL 37"" X 40"" CLEAR
17 GALS ZONROX BLEACH 1 GALLON")</f>
        <v>100 PACKS TRASH BAG XXL 37" X 40" CLEAR
17 GALS ZONROX BLEACH 1 GALLON</v>
      </c>
      <c r="E1661" s="196" t="str">
        <f>IFERROR(__xludf.DUMMYFUNCTION("""COMPUTED_VALUE"""),"HOUSEKEEPING STOCK REPLENISHMENT")</f>
        <v>HOUSEKEEPING STOCK REPLENISHMENT</v>
      </c>
    </row>
    <row r="1662">
      <c r="A1662" s="234">
        <f>IFERROR(__xludf.DUMMYFUNCTION("""COMPUTED_VALUE"""),106495.0)</f>
        <v>106495</v>
      </c>
      <c r="B1662" s="235" t="str">
        <f>IFERROR(__xludf.DUMMYFUNCTION("""COMPUTED_VALUE"""),"MARC VINCENT VITTO")</f>
        <v>MARC VINCENT VITTO</v>
      </c>
      <c r="C1662" s="235" t="str">
        <f>IFERROR(__xludf.DUMMYFUNCTION("""COMPUTED_VALUE"""),"PR &amp; MARKETING")</f>
        <v>PR &amp; MARKETING</v>
      </c>
      <c r="D1662" s="196" t="str">
        <f>IFERROR(__xludf.DUMMYFUNCTION("""COMPUTED_VALUE"""),"1 SOUTHVILLE ALUMNI AWARDS 2025 PULL UP BANNER W 3FT X H 6.5 FT ADD STRUCTURE")</f>
        <v>1 SOUTHVILLE ALUMNI AWARDS 2025 PULL UP BANNER W 3FT X H 6.5 FT ADD STRUCTURE</v>
      </c>
      <c r="E1662" s="196" t="str">
        <f>IFERROR(__xludf.DUMMYFUNCTION("""COMPUTED_VALUE"""),"FOR ALUMNI AWARD 2025")</f>
        <v>FOR ALUMNI AWARD 2025</v>
      </c>
    </row>
    <row r="1663">
      <c r="A1663" s="234">
        <f>IFERROR(__xludf.DUMMYFUNCTION("""COMPUTED_VALUE"""),106496.0)</f>
        <v>106496</v>
      </c>
      <c r="B1663" s="235" t="str">
        <f>IFERROR(__xludf.DUMMYFUNCTION("""COMPUTED_VALUE"""),"MARC VINCENT VITTO")</f>
        <v>MARC VINCENT VITTO</v>
      </c>
      <c r="C1663" s="235" t="str">
        <f>IFERROR(__xludf.DUMMYFUNCTION("""COMPUTED_VALUE"""),"PR &amp; MARKETING")</f>
        <v>PR &amp; MARKETING</v>
      </c>
      <c r="D1663" s="196" t="str">
        <f>IFERROR(__xludf.DUMMYFUNCTION("""COMPUTED_VALUE"""),"BUSINESS TARP 2025
1 BIDA 2025 W 144 IN X 72 IN
1 ALSA BERDE 2025 W 144 IN H 72 IN
1 JUANDER CONFERENCE 2025 W 144 IN X H 72 IN
1 CPA PASSERS 2025 W 240 IN X 120 IN")</f>
        <v>BUSINESS TARP 2025
1 BIDA 2025 W 144 IN X 72 IN
1 ALSA BERDE 2025 W 144 IN H 72 IN
1 JUANDER CONFERENCE 2025 W 144 IN X H 72 IN
1 CPA PASSERS 2025 W 240 IN X 120 IN</v>
      </c>
      <c r="E1663" s="196" t="str">
        <f>IFERROR(__xludf.DUMMYFUNCTION("""COMPUTED_VALUE"""),"CONGRATULATORY TARP")</f>
        <v>CONGRATULATORY TARP</v>
      </c>
    </row>
    <row r="1664">
      <c r="A1664" s="234">
        <f>IFERROR(__xludf.DUMMYFUNCTION("""COMPUTED_VALUE"""),106497.0)</f>
        <v>106497</v>
      </c>
      <c r="B1664" s="235" t="str">
        <f>IFERROR(__xludf.DUMMYFUNCTION("""COMPUTED_VALUE"""),"MARC VINCENT VITTO")</f>
        <v>MARC VINCENT VITTO</v>
      </c>
      <c r="C1664" s="235" t="str">
        <f>IFERROR(__xludf.DUMMYFUNCTION("""COMPUTED_VALUE"""),"PR &amp; MARKETING")</f>
        <v>PR &amp; MARKETING</v>
      </c>
      <c r="D1664" s="196" t="str">
        <f>IFERROR(__xludf.DUMMYFUNCTION("""COMPUTED_VALUE"""),"1 SISC BACKDROP W 7.5 FT X H 7.5 FT THICKNESS 18OZ ADD SEAMING AND EYELET ALL OVER")</f>
        <v>1 SISC BACKDROP W 7.5 FT X H 7.5 FT THICKNESS 18OZ ADD SEAMING AND EYELET ALL OVER</v>
      </c>
      <c r="E1664" s="196" t="str">
        <f>IFERROR(__xludf.DUMMYFUNCTION("""COMPUTED_VALUE"""),"FOR ALUMNI AWARDS ")</f>
        <v>FOR ALUMNI AWARDS </v>
      </c>
    </row>
    <row r="1665">
      <c r="A1665" s="234">
        <f>IFERROR(__xludf.DUMMYFUNCTION("""COMPUTED_VALUE"""),106498.0)</f>
        <v>106498</v>
      </c>
      <c r="B1665" s="235" t="str">
        <f>IFERROR(__xludf.DUMMYFUNCTION("""COMPUTED_VALUE"""),"RACHEL PAMATIAN")</f>
        <v>RACHEL PAMATIAN</v>
      </c>
      <c r="C1665" s="235" t="str">
        <f>IFERROR(__xludf.DUMMYFUNCTION("""COMPUTED_VALUE"""),"ADMIN - STAR")</f>
        <v>ADMIN - STAR</v>
      </c>
      <c r="D1665" s="196" t="str">
        <f>IFERROR(__xludf.DUMMYFUNCTION("""COMPUTED_VALUE"""),"1 PC 35MF N70ZL MOTOLITE BATTERY")</f>
        <v>1 PC 35MF N70ZL MOTOLITE BATTERY</v>
      </c>
      <c r="E1665" s="196" t="str">
        <f>IFERROR(__xludf.DUMMYFUNCTION("""COMPUTED_VALUE"""),"FOR STAR CAMPUS GENSET ADDITIONAL")</f>
        <v>FOR STAR CAMPUS GENSET ADDITIONAL</v>
      </c>
    </row>
    <row r="1666">
      <c r="A1666" s="234">
        <f>IFERROR(__xludf.DUMMYFUNCTION("""COMPUTED_VALUE"""),106499.0)</f>
        <v>106499</v>
      </c>
      <c r="B1666" s="235" t="str">
        <f>IFERROR(__xludf.DUMMYFUNCTION("""COMPUTED_VALUE"""),"JORGE BALELA")</f>
        <v>JORGE BALELA</v>
      </c>
      <c r="C1666" s="235" t="str">
        <f>IFERROR(__xludf.DUMMYFUNCTION("""COMPUTED_VALUE"""),"ADMIN")</f>
        <v>ADMIN</v>
      </c>
      <c r="D1666" s="196" t="str">
        <f>IFERROR(__xludf.DUMMYFUNCTION("""COMPUTED_VALUE"""),"2 BRASS PLATE W/PLAIN COATING ")</f>
        <v>2 BRASS PLATE W/PLAIN COATING </v>
      </c>
      <c r="E1666" s="196" t="str">
        <f>IFERROR(__xludf.DUMMYFUNCTION("""COMPUTED_VALUE"""),"FOR MISS AND MISTER INTRAMURALS")</f>
        <v>FOR MISS AND MISTER INTRAMURALS</v>
      </c>
    </row>
    <row r="1667">
      <c r="A1667" s="234">
        <f>IFERROR(__xludf.DUMMYFUNCTION("""COMPUTED_VALUE"""),106500.0)</f>
        <v>106500</v>
      </c>
      <c r="B1667" s="235" t="str">
        <f>IFERROR(__xludf.DUMMYFUNCTION("""COMPUTED_VALUE"""),"CHARLES LEBECO DONOR")</f>
        <v>CHARLES LEBECO DONOR</v>
      </c>
      <c r="C1667" s="235" t="str">
        <f>IFERROR(__xludf.DUMMYFUNCTION("""COMPUTED_VALUE"""),"AMD")</f>
        <v>AMD</v>
      </c>
      <c r="D1667" s="196" t="str">
        <f>IFERROR(__xludf.DUMMYFUNCTION("""COMPUTED_VALUE"""),"15 Inks, Trodat Red
15 Inks, Trodat Purple
15 Inks, Trodat Black")</f>
        <v>15 Inks, Trodat Red
15 Inks, Trodat Purple
15 Inks, Trodat Black</v>
      </c>
      <c r="E1667" s="196" t="str">
        <f>IFERROR(__xludf.DUMMYFUNCTION("""COMPUTED_VALUE"""),"OSSUP REPLENISHMENTS")</f>
        <v>OSSUP REPLENISHMENTS</v>
      </c>
    </row>
    <row r="1668">
      <c r="A1668" s="234">
        <f>IFERROR(__xludf.DUMMYFUNCTION("""COMPUTED_VALUE"""),106501.0)</f>
        <v>106501</v>
      </c>
      <c r="B1668" s="235" t="str">
        <f>IFERROR(__xludf.DUMMYFUNCTION("""COMPUTED_VALUE"""),"JESUIT CHRISTIAN GALICIA")</f>
        <v>JESUIT CHRISTIAN GALICIA</v>
      </c>
      <c r="C1668" s="235" t="str">
        <f>IFERROR(__xludf.DUMMYFUNCTION("""COMPUTED_VALUE"""),"AMD")</f>
        <v>AMD</v>
      </c>
      <c r="D1668" s="196" t="str">
        <f>IFERROR(__xludf.DUMMYFUNCTION("""COMPUTED_VALUE"""),"50 PCS ECO POWER AVR")</f>
        <v>50 PCS ECO POWER AVR</v>
      </c>
      <c r="E1668" s="196" t="str">
        <f>IFERROR(__xludf.DUMMYFUNCTION("""COMPUTED_VALUE"""),"MIS WAREHOUSE STOCK REPLENISHMENT")</f>
        <v>MIS WAREHOUSE STOCK REPLENISHMENT</v>
      </c>
    </row>
    <row r="1669">
      <c r="A1669" s="234">
        <f>IFERROR(__xludf.DUMMYFUNCTION("""COMPUTED_VALUE"""),106502.0)</f>
        <v>106502</v>
      </c>
      <c r="B1669" s="235" t="str">
        <f>IFERROR(__xludf.DUMMYFUNCTION("""COMPUTED_VALUE"""),"DR. GENEVIEVE LEDESMA LAUREL")</f>
        <v>DR. GENEVIEVE LEDESMA LAUREL</v>
      </c>
      <c r="C1669" s="235" t="str">
        <f>IFERROR(__xludf.DUMMYFUNCTION("""COMPUTED_VALUE"""),"CEM OFFICE")</f>
        <v>CEM OFFICE</v>
      </c>
      <c r="D1669" s="196" t="str">
        <f>IFERROR(__xludf.DUMMYFUNCTION("""COMPUTED_VALUE"""),"1 TV FOR EMO'S OFFICE DR GENE'S CEM OFFICE 65"" TV TCL")</f>
        <v>1 TV FOR EMO'S OFFICE DR GENE'S CEM OFFICE 65" TV TCL</v>
      </c>
      <c r="E1669" s="196" t="str">
        <f>IFERROR(__xludf.DUMMYFUNCTION("""COMPUTED_VALUE"""),"TO TUNE IN TO PROGRAMS ")</f>
        <v>TO TUNE IN TO PROGRAMS </v>
      </c>
    </row>
    <row r="1670">
      <c r="A1670" s="234">
        <f>IFERROR(__xludf.DUMMYFUNCTION("""COMPUTED_VALUE"""),106503.0)</f>
        <v>106503</v>
      </c>
      <c r="B1670" s="235" t="str">
        <f>IFERROR(__xludf.DUMMYFUNCTION("""COMPUTED_VALUE"""),"JESUIT CHRISTIAN GALICIA")</f>
        <v>JESUIT CHRISTIAN GALICIA</v>
      </c>
      <c r="C1670" s="235" t="str">
        <f>IFERROR(__xludf.DUMMYFUNCTION("""COMPUTED_VALUE"""),"AMD")</f>
        <v>AMD</v>
      </c>
      <c r="D1670" s="196" t="str">
        <f>IFERROR(__xludf.DUMMYFUNCTION("""COMPUTED_VALUE"""),"30 PCS GOOSE NECK FAUCET CRESTON ")</f>
        <v>30 PCS GOOSE NECK FAUCET CRESTON </v>
      </c>
      <c r="E1670" s="196" t="str">
        <f>IFERROR(__xludf.DUMMYFUNCTION("""COMPUTED_VALUE"""),"ENGR WAREHOUSE REPLENISHMENT")</f>
        <v>ENGR WAREHOUSE REPLENISHMENT</v>
      </c>
    </row>
    <row r="1671">
      <c r="A1671" s="234">
        <f>IFERROR(__xludf.DUMMYFUNCTION("""COMPUTED_VALUE"""),106504.0)</f>
        <v>106504</v>
      </c>
      <c r="B1671" s="235" t="str">
        <f>IFERROR(__xludf.DUMMYFUNCTION("""COMPUTED_VALUE"""),"ARNEL MONTABLAN")</f>
        <v>ARNEL MONTABLAN</v>
      </c>
      <c r="C1671" s="235" t="str">
        <f>IFERROR(__xludf.DUMMYFUNCTION("""COMPUTED_VALUE"""),"FOUNDER SCHOLAR")</f>
        <v>FOUNDER SCHOLAR</v>
      </c>
      <c r="D1671" s="196" t="str">
        <f>IFERROR(__xludf.DUMMYFUNCTION("""COMPUTED_VALUE"""),"12 PCS BLANKETS")</f>
        <v>12 PCS BLANKETS</v>
      </c>
      <c r="E1671" s="196" t="str">
        <f>IFERROR(__xludf.DUMMYFUNCTION("""COMPUTED_VALUE"""),"BLANKETS FOR NEW SCHOLARS")</f>
        <v>BLANKETS FOR NEW SCHOLARS</v>
      </c>
    </row>
    <row r="1672">
      <c r="A1672" s="234">
        <f>IFERROR(__xludf.DUMMYFUNCTION("""COMPUTED_VALUE"""),106505.0)</f>
        <v>106505</v>
      </c>
      <c r="B1672" s="235" t="str">
        <f>IFERROR(__xludf.DUMMYFUNCTION("""COMPUTED_VALUE"""),"MARC VINCENT VITTO")</f>
        <v>MARC VINCENT VITTO</v>
      </c>
      <c r="C1672" s="235" t="str">
        <f>IFERROR(__xludf.DUMMYFUNCTION("""COMPUTED_VALUE"""),"PR &amp; MARKETING")</f>
        <v>PR &amp; MARKETING</v>
      </c>
      <c r="D1672" s="196" t="str">
        <f>IFERROR(__xludf.DUMMYFUNCTION("""COMPUTED_VALUE"""),"5000 PCS RE ORDER SISC GENERIC FLYER AY 24-25 SIZE W=5.5 IN H=8.5 IN")</f>
        <v>5000 PCS RE ORDER SISC GENERIC FLYER AY 24-25 SIZE W=5.5 IN H=8.5 IN</v>
      </c>
      <c r="E1672" s="196" t="str">
        <f>IFERROR(__xludf.DUMMYFUNCTION("""COMPUTED_VALUE"""),"FOR ADVERTISEMENT / MARKETING")</f>
        <v>FOR ADVERTISEMENT / MARKETING</v>
      </c>
    </row>
    <row r="1673">
      <c r="A1673" s="234">
        <f>IFERROR(__xludf.DUMMYFUNCTION("""COMPUTED_VALUE"""),106506.0)</f>
        <v>106506</v>
      </c>
      <c r="B1673" s="235" t="str">
        <f>IFERROR(__xludf.DUMMYFUNCTION("""COMPUTED_VALUE"""),"RONALDO VERDE")</f>
        <v>RONALDO VERDE</v>
      </c>
      <c r="C1673" s="235" t="str">
        <f>IFERROR(__xludf.DUMMYFUNCTION("""COMPUTED_VALUE"""),"ADMIN")</f>
        <v>ADMIN</v>
      </c>
      <c r="D1673" s="196" t="str">
        <f>IFERROR(__xludf.DUMMYFUNCTION("""COMPUTED_VALUE"""),"1 UNIT ORBIT FAN #16"" STANDARD")</f>
        <v>1 UNIT ORBIT FAN #16" STANDARD</v>
      </c>
      <c r="E1673" s="196" t="str">
        <f>IFERROR(__xludf.DUMMYFUNCTION("""COMPUTED_VALUE"""),"FOR FOOD COURT")</f>
        <v>FOR FOOD COURT</v>
      </c>
    </row>
    <row r="1674">
      <c r="A1674" s="234">
        <f>IFERROR(__xludf.DUMMYFUNCTION("""COMPUTED_VALUE"""),106507.0)</f>
        <v>106507</v>
      </c>
      <c r="B1674" s="235" t="str">
        <f>IFERROR(__xludf.DUMMYFUNCTION("""COMPUTED_VALUE"""),"RODRIGO CUSTODIO")</f>
        <v>RODRIGO CUSTODIO</v>
      </c>
      <c r="C1674" s="235" t="str">
        <f>IFERROR(__xludf.DUMMYFUNCTION("""COMPUTED_VALUE"""),"AMD")</f>
        <v>AMD</v>
      </c>
      <c r="D1674" s="196" t="str">
        <f>IFERROR(__xludf.DUMMYFUNCTION("""COMPUTED_VALUE"""),"1200 PCS TISSUE JUMBO ROLL 200 METERS
100 PCS MOP HEAD")</f>
        <v>1200 PCS TISSUE JUMBO ROLL 200 METERS
100 PCS MOP HEAD</v>
      </c>
      <c r="E1674" s="196" t="str">
        <f>IFERROR(__xludf.DUMMYFUNCTION("""COMPUTED_VALUE"""),"HOUSEKEEPING STOCK REPLENISHMENT")</f>
        <v>HOUSEKEEPING STOCK REPLENISHMENT</v>
      </c>
    </row>
    <row r="1675">
      <c r="A1675" s="234">
        <f>IFERROR(__xludf.DUMMYFUNCTION("""COMPUTED_VALUE"""),106508.0)</f>
        <v>106508</v>
      </c>
      <c r="B1675" s="235" t="str">
        <f>IFERROR(__xludf.DUMMYFUNCTION("""COMPUTED_VALUE"""),"LUCILLE BEYER")</f>
        <v>LUCILLE BEYER</v>
      </c>
      <c r="C1675" s="235" t="str">
        <f>IFERROR(__xludf.DUMMYFUNCTION("""COMPUTED_VALUE"""),"MEDICAL")</f>
        <v>MEDICAL</v>
      </c>
      <c r="D1675" s="196" t="str">
        <f>IFERROR(__xludf.DUMMYFUNCTION("""COMPUTED_VALUE"""),"1 REFURBISHED RECONDITIONED DENTAL CHAIR")</f>
        <v>1 REFURBISHED RECONDITIONED DENTAL CHAIR</v>
      </c>
      <c r="E1675" s="196" t="str">
        <f>IFERROR(__xludf.DUMMYFUNCTION("""COMPUTED_VALUE"""),"PACUCOA RECOMMENDATION TO REPLACE W/ MODERN DESIGNED UNIT TO ENHANCE QUALITY OF SERVICE")</f>
        <v>PACUCOA RECOMMENDATION TO REPLACE W/ MODERN DESIGNED UNIT TO ENHANCE QUALITY OF SERVICE</v>
      </c>
    </row>
    <row r="1676">
      <c r="A1676" s="234">
        <f>IFERROR(__xludf.DUMMYFUNCTION("""COMPUTED_VALUE"""),106509.0)</f>
        <v>106509</v>
      </c>
      <c r="B1676" s="235" t="str">
        <f>IFERROR(__xludf.DUMMYFUNCTION("""COMPUTED_VALUE"""),"JESUIT CHRISTIAN GALICIA")</f>
        <v>JESUIT CHRISTIAN GALICIA</v>
      </c>
      <c r="C1676" s="235" t="str">
        <f>IFERROR(__xludf.DUMMYFUNCTION("""COMPUTED_VALUE"""),"AMD")</f>
        <v>AMD</v>
      </c>
      <c r="D1676" s="196" t="str">
        <f>IFERROR(__xludf.DUMMYFUNCTION("""COMPUTED_VALUE"""),"5 PCS PANASONIC WIRED TELEPHONE
5 PCS PANASONIC WIRELESS TELEPHONE SINGLE
5 PCS PANASONIC WIRELESS TELEPHONE 2N1")</f>
        <v>5 PCS PANASONIC WIRED TELEPHONE
5 PCS PANASONIC WIRELESS TELEPHONE SINGLE
5 PCS PANASONIC WIRELESS TELEPHONE 2N1</v>
      </c>
      <c r="E1676" s="196" t="str">
        <f>IFERROR(__xludf.DUMMYFUNCTION("""COMPUTED_VALUE"""),"MIS WAREHOUSE STOCK REPLENISHMENT")</f>
        <v>MIS WAREHOUSE STOCK REPLENISHMENT</v>
      </c>
    </row>
    <row r="1677">
      <c r="A1677" s="234">
        <f>IFERROR(__xludf.DUMMYFUNCTION("""COMPUTED_VALUE"""),106510.0)</f>
        <v>106510</v>
      </c>
      <c r="B1677" s="235" t="str">
        <f>IFERROR(__xludf.DUMMYFUNCTION("""COMPUTED_VALUE"""),"JESUIT CHRISTIAN GALICIA")</f>
        <v>JESUIT CHRISTIAN GALICIA</v>
      </c>
      <c r="C1677" s="235" t="str">
        <f>IFERROR(__xludf.DUMMYFUNCTION("""COMPUTED_VALUE"""),"AMD")</f>
        <v>AMD</v>
      </c>
      <c r="D1677" s="196" t="str">
        <f>IFERROR(__xludf.DUMMYFUNCTION("""COMPUTED_VALUE"""),"50 PCS OMNI SUFACE OUTLET 2GANG")</f>
        <v>50 PCS OMNI SUFACE OUTLET 2GANG</v>
      </c>
      <c r="E1677" s="196" t="str">
        <f>IFERROR(__xludf.DUMMYFUNCTION("""COMPUTED_VALUE"""),"MIS WAREHOUSE STOCK REPLENISHMENT")</f>
        <v>MIS WAREHOUSE STOCK REPLENISHMENT</v>
      </c>
    </row>
    <row r="1678">
      <c r="A1678" s="234">
        <f>IFERROR(__xludf.DUMMYFUNCTION("""COMPUTED_VALUE"""),106511.0)</f>
        <v>106511</v>
      </c>
      <c r="B1678" s="235" t="str">
        <f>IFERROR(__xludf.DUMMYFUNCTION("""COMPUTED_VALUE"""),"CHRISTON CORBEZA")</f>
        <v>CHRISTON CORBEZA</v>
      </c>
      <c r="C1678" s="235" t="str">
        <f>IFERROR(__xludf.DUMMYFUNCTION("""COMPUTED_VALUE"""),"ADMIN")</f>
        <v>ADMIN</v>
      </c>
      <c r="D1678" s="196" t="str">
        <f>IFERROR(__xludf.DUMMYFUNCTION("""COMPUTED_VALUE"""),"3 PCS PRESSURE WASHER ")</f>
        <v>3 PCS PRESSURE WASHER </v>
      </c>
      <c r="E1678" s="196" t="str">
        <f>IFERROR(__xludf.DUMMYFUNCTION("""COMPUTED_VALUE"""),"PRESSURE WASHER FOR LUX MUNICH STAR CAMPUS")</f>
        <v>PRESSURE WASHER FOR LUX MUNICH STAR CAMPUS</v>
      </c>
    </row>
    <row r="1679">
      <c r="A1679" s="234">
        <f>IFERROR(__xludf.DUMMYFUNCTION("""COMPUTED_VALUE"""),106512.0)</f>
        <v>106512</v>
      </c>
      <c r="B1679" s="235" t="str">
        <f>IFERROR(__xludf.DUMMYFUNCTION("""COMPUTED_VALUE"""),"ANTON FAMADOR")</f>
        <v>ANTON FAMADOR</v>
      </c>
      <c r="C1679" s="235" t="str">
        <f>IFERROR(__xludf.DUMMYFUNCTION("""COMPUTED_VALUE"""),"MIS/ICT")</f>
        <v>MIS/ICT</v>
      </c>
      <c r="D1679" s="196" t="str">
        <f>IFERROR(__xludf.DUMMYFUNCTION("""COMPUTED_VALUE"""),"4 VIEWSONIC MONITOR")</f>
        <v>4 VIEWSONIC MONITOR</v>
      </c>
      <c r="E1679" s="196" t="str">
        <f>IFERROR(__xludf.DUMMYFUNCTION("""COMPUTED_VALUE"""),"FOR REPLACEMENT")</f>
        <v>FOR REPLACEMENT</v>
      </c>
    </row>
    <row r="1680">
      <c r="A1680" s="234">
        <f>IFERROR(__xludf.DUMMYFUNCTION("""COMPUTED_VALUE"""),106513.0)</f>
        <v>106513</v>
      </c>
      <c r="B1680" s="235" t="str">
        <f>IFERROR(__xludf.DUMMYFUNCTION("""COMPUTED_VALUE"""),"CHARLES LEBECO DONOR")</f>
        <v>CHARLES LEBECO DONOR</v>
      </c>
      <c r="C1680" s="235" t="str">
        <f>IFERROR(__xludf.DUMMYFUNCTION("""COMPUTED_VALUE"""),"AMD")</f>
        <v>AMD</v>
      </c>
      <c r="D1680" s="196" t="str">
        <f>IFERROR(__xludf.DUMMYFUNCTION("""COMPUTED_VALUE"""),"2 Toner, Cartridge CF500A Black
2 Toner, Cartridge CF501A Cyan
2 Toner, Cartridge CF502A Yellow
2 Toner, Cartridge CF503A Magenta")</f>
        <v>2 Toner, Cartridge CF500A Black
2 Toner, Cartridge CF501A Cyan
2 Toner, Cartridge CF502A Yellow
2 Toner, Cartridge CF503A Magenta</v>
      </c>
      <c r="E1680" s="196" t="str">
        <f>IFERROR(__xludf.DUMMYFUNCTION("""COMPUTED_VALUE"""),"OSSUP REPLENISHMENTS")</f>
        <v>OSSUP REPLENISHMENTS</v>
      </c>
    </row>
    <row r="1681">
      <c r="A1681" s="234">
        <f>IFERROR(__xludf.DUMMYFUNCTION("""COMPUTED_VALUE"""),106514.0)</f>
        <v>106514</v>
      </c>
      <c r="B1681" s="235" t="str">
        <f>IFERROR(__xludf.DUMMYFUNCTION("""COMPUTED_VALUE"""),"MARC VINCENT VITTO")</f>
        <v>MARC VINCENT VITTO</v>
      </c>
      <c r="C1681" s="235" t="str">
        <f>IFERROR(__xludf.DUMMYFUNCTION("""COMPUTED_VALUE"""),"PR &amp; MARKETING")</f>
        <v>PR &amp; MARKETING</v>
      </c>
      <c r="D1681" s="196" t="str">
        <f>IFERROR(__xludf.DUMMYFUNCTION("""COMPUTED_VALUE"""),"10000 GENERIC FLYER")</f>
        <v>10000 GENERIC FLYER</v>
      </c>
      <c r="E1681" s="196" t="str">
        <f>IFERROR(__xludf.DUMMYFUNCTION("""COMPUTED_VALUE"""),"SCHOOL PRESENTATION IN MANDALUYONG")</f>
        <v>SCHOOL PRESENTATION IN MANDALUYONG</v>
      </c>
    </row>
    <row r="1682">
      <c r="A1682" s="234">
        <f>IFERROR(__xludf.DUMMYFUNCTION("""COMPUTED_VALUE"""),106515.0)</f>
        <v>106515</v>
      </c>
      <c r="B1682" s="235" t="str">
        <f>IFERROR(__xludf.DUMMYFUNCTION("""COMPUTED_VALUE"""),"SHEILA MAE MAJAIT")</f>
        <v>SHEILA MAE MAJAIT</v>
      </c>
      <c r="C1682" s="235" t="str">
        <f>IFERROR(__xludf.DUMMYFUNCTION("""COMPUTED_VALUE"""),"PR &amp; MARKETING")</f>
        <v>PR &amp; MARKETING</v>
      </c>
      <c r="D1682" s="196" t="str">
        <f>IFERROR(__xludf.DUMMYFUNCTION("""COMPUTED_VALUE"""),"1 K12 AND IB MUNICH TARP H 13FT X W 54FT THICKNESS 18OZ ADD SEAMING AND EYELET ALL OVER")</f>
        <v>1 K12 AND IB MUNICH TARP H 13FT X W 54FT THICKNESS 18OZ ADD SEAMING AND EYELET ALL OVER</v>
      </c>
      <c r="E1682" s="196" t="str">
        <f>IFERROR(__xludf.DUMMYFUNCTION("""COMPUTED_VALUE"""),"ADVERTISEMENT + MARKETING")</f>
        <v>ADVERTISEMENT + MARKETING</v>
      </c>
    </row>
    <row r="1683">
      <c r="A1683" s="234">
        <f>IFERROR(__xludf.DUMMYFUNCTION("""COMPUTED_VALUE"""),106516.0)</f>
        <v>106516</v>
      </c>
      <c r="B1683" s="235" t="str">
        <f>IFERROR(__xludf.DUMMYFUNCTION("""COMPUTED_VALUE"""),"MARVIN MARASIGAN")</f>
        <v>MARVIN MARASIGAN</v>
      </c>
      <c r="C1683" s="235" t="str">
        <f>IFERROR(__xludf.DUMMYFUNCTION("""COMPUTED_VALUE"""),"PR &amp; MARKETING")</f>
        <v>PR &amp; MARKETING</v>
      </c>
      <c r="D1683" s="196" t="str">
        <f>IFERROR(__xludf.DUMMYFUNCTION("""COMPUTED_VALUE"""),"1 TARPAULINE ACHIEVERS 12.3FT X 6FT 13OZ W/SEAMING AND EYELET ALL OVER")</f>
        <v>1 TARPAULINE ACHIEVERS 12.3FT X 6FT 13OZ W/SEAMING AND EYELET ALL OVER</v>
      </c>
      <c r="E1683" s="196" t="str">
        <f>IFERROR(__xludf.DUMMYFUNCTION("""COMPUTED_VALUE"""),"MARKETING")</f>
        <v>MARKETING</v>
      </c>
    </row>
    <row r="1684">
      <c r="A1684" s="234">
        <f>IFERROR(__xludf.DUMMYFUNCTION("""COMPUTED_VALUE"""),106517.0)</f>
        <v>106517</v>
      </c>
      <c r="B1684" s="235" t="str">
        <f>IFERROR(__xludf.DUMMYFUNCTION("""COMPUTED_VALUE"""),"MELISSA ODONO")</f>
        <v>MELISSA ODONO</v>
      </c>
      <c r="C1684" s="235" t="str">
        <f>IFERROR(__xludf.DUMMYFUNCTION("""COMPUTED_VALUE"""),"LIBRARY MUNICH")</f>
        <v>LIBRARY MUNICH</v>
      </c>
      <c r="D1684" s="196" t="str">
        <f>IFERROR(__xludf.DUMMYFUNCTION("""COMPUTED_VALUE"""),"THE LIGHTING OF A FIRE TRANSFORMING LIVES FOR A SUSTAINABLE FUTURE
2 PCS EACH:
SMC, SISFU, SSLC, SSISM, SSISB
1 PC SMIS")</f>
        <v>THE LIGHTING OF A FIRE TRANSFORMING LIVES FOR A SUSTAINABLE FUTURE
2 PCS EACH:
SMC, SISFU, SSLC, SSISM, SSISB
1 PC SMIS</v>
      </c>
      <c r="E1684" s="196" t="str">
        <f>IFERROR(__xludf.DUMMYFUNCTION("""COMPUTED_VALUE"""),"LIBRARY'S COPY")</f>
        <v>LIBRARY'S COPY</v>
      </c>
    </row>
    <row r="1685">
      <c r="A1685" s="234">
        <f>IFERROR(__xludf.DUMMYFUNCTION("""COMPUTED_VALUE"""),106518.0)</f>
        <v>106518</v>
      </c>
      <c r="B1685" s="235" t="str">
        <f>IFERROR(__xludf.DUMMYFUNCTION("""COMPUTED_VALUE"""),"MELISSA ODONO")</f>
        <v>MELISSA ODONO</v>
      </c>
      <c r="C1685" s="235" t="str">
        <f>IFERROR(__xludf.DUMMYFUNCTION("""COMPUTED_VALUE"""),"LIBRARY MUNICH")</f>
        <v>LIBRARY MUNICH</v>
      </c>
      <c r="D1685" s="196" t="str">
        <f>IFERROR(__xludf.DUMMYFUNCTION("""COMPUTED_VALUE"""),"8 PCS THE LIGHTING OF A FIRE TRANSFORMING LIVES FOR A SUSTAINABLE FUTURE")</f>
        <v>8 PCS THE LIGHTING OF A FIRE TRANSFORMING LIVES FOR A SUSTAINABLE FUTURE</v>
      </c>
      <c r="E1685" s="196" t="str">
        <f>IFERROR(__xludf.DUMMYFUNCTION("""COMPUTED_VALUE"""),"LIBRARY'S COPY")</f>
        <v>LIBRARY'S COPY</v>
      </c>
    </row>
    <row r="1686">
      <c r="A1686" s="234">
        <f>IFERROR(__xludf.DUMMYFUNCTION("""COMPUTED_VALUE"""),106519.0)</f>
        <v>106519</v>
      </c>
      <c r="B1686" s="235" t="str">
        <f>IFERROR(__xludf.DUMMYFUNCTION("""COMPUTED_VALUE"""),"MELISSA ODONO")</f>
        <v>MELISSA ODONO</v>
      </c>
      <c r="C1686" s="235" t="str">
        <f>IFERROR(__xludf.DUMMYFUNCTION("""COMPUTED_VALUE"""),"LIBRARY MUNICH")</f>
        <v>LIBRARY MUNICH</v>
      </c>
      <c r="D1686" s="196" t="str">
        <f>IFERROR(__xludf.DUMMYFUNCTION("""COMPUTED_VALUE"""),"1 EACH
National Geographic Kids                                        
Junior Encyclopedia                                        
Sesame Street Welcome to the Neighborhood                                        
Ecology for Kids                         "&amp;"               
Unicorns and Rainbows                                        
Vehicles                                        
How do you feel?                                        
Odd Jobs                                        
Chutes and Ladders    "&amp;"                                    
Aesop's Fables                                        
Pop-Up Planet Oceans                                        
A Mighty Marvel Chapter Book Collection                                        
Brave Like Me         "&amp;"                               
Unofficial Battle Station Prime Set                                        
What's the point of Math and Science  
1					The Books of Clash					
2					Geronimo Stilton Graphic Novels 					
1					Worlds Most Mysterious Pl"&amp;"aces					
1					Journey Through Space					
1 EACH
Peek-a-flap Dino					
Peek-a-flap Words					
Peek-a-flap Zoo					
Peek-a-flap ABC					
Lift a Flap-an Look &amp; Find					
How to stay happy					
Maker Lab Science &amp; Math					
Pop-Up Planet Animals			"&amp;"		
Berenstein Bears School Days					
See, Touch, Feel, Create					                                      ")</f>
        <v>1 EACH
National Geographic Kids                                        
Junior Encyclopedia                                        
Sesame Street Welcome to the Neighborhood                                        
Ecology for Kids                                        
Unicorns and Rainbows                                        
Vehicles                                        
How do you feel?                                        
Odd Jobs                                        
Chutes and Ladders                                        
Aesop's Fables                                        
Pop-Up Planet Oceans                                        
A Mighty Marvel Chapter Book Collection                                        
Brave Like Me                                        
Unofficial Battle Station Prime Set                                        
What's the point of Math and Science  
1					The Books of Clash					
2					Geronimo Stilton Graphic Novels 					
1					Worlds Most Mysterious Places					
1					Journey Through Space					
1 EACH
Peek-a-flap Dino					
Peek-a-flap Words					
Peek-a-flap Zoo					
Peek-a-flap ABC					
Lift a Flap-an Look &amp; Find					
How to stay happy					
Maker Lab Science &amp; Math					
Pop-Up Planet Animals					
Berenstein Bears School Days					
See, Touch, Feel, Create					                                      </v>
      </c>
      <c r="E1686" s="196" t="str">
        <f>IFERROR(__xludf.DUMMYFUNCTION("""COMPUTED_VALUE"""),"LIBRARY'S COPY")</f>
        <v>LIBRARY'S COPY</v>
      </c>
    </row>
    <row r="1687">
      <c r="A1687" s="234">
        <f>IFERROR(__xludf.DUMMYFUNCTION("""COMPUTED_VALUE"""),106520.0)</f>
        <v>106520</v>
      </c>
      <c r="B1687" s="235" t="str">
        <f>IFERROR(__xludf.DUMMYFUNCTION("""COMPUTED_VALUE"""),"MELISSA ODONO")</f>
        <v>MELISSA ODONO</v>
      </c>
      <c r="C1687" s="235" t="str">
        <f>IFERROR(__xludf.DUMMYFUNCTION("""COMPUTED_VALUE"""),"LIBRARY MUNICH")</f>
        <v>LIBRARY MUNICH</v>
      </c>
      <c r="D1687" s="196" t="str">
        <f>IFERROR(__xludf.DUMMYFUNCTION("""COMPUTED_VALUE"""),"1 EACH
I am not very brave					
Sweet Dreams I love you					
Little chick					
Little snow flake					
Little pumpkin					
I love you to the moon and beyond					
The power of love					
Just one more hug					
Snugggle up tight					
Little acorn					
Little "&amp;"caterpillar					
Little raindrop					
1 EACH
Little sunflower					
Goodnight sleepy fairy					
Little bear					
I love more than					
Watch out little narwal					
Unicorn and me					
Llamas go bananas					
Goodnight, sleep tight					
When a trex comes to "&amp;"play					
I am not a sleepy sloth					
Too shy to sing					
Too clumsy to climb					
1 EACH
Too timid to talk					
Too tall to twirl					
I love my mommy					
Love goes a long way					
When tiger tells the truth					
When cheetah makes good choices					
W"&amp;"hen whale wont wait					
When shark learns to share					
When monkey feels sad					
When llama learns to listen					
When meerkat learns some manners					
When fox feels happy					
1 EACH
When panda feels small					
When lipon feels shy					
When hippo ge"&amp;"ts angry					
When bears feels worried					
When owls feels scared					
Can predicting the weather saves lives?					
How do oceans help us breathe?					
Is this the biggest dinosaur ever?					
Can trees talk to each  other?					
Is there alien life outer "&amp;"space?					
Can mushrooms saves the world?					
Are birds modern-day dinosaurs?					
1 EACH
Are whales and dolphins smarter than humans?					
Are bees nature's tiny heroes?					
Can snakes predict earthquakes?					
Will we ever live on the moon?					
"&amp;"Can volcanoes turn the moon blue?					
Elephant learns to share					
Giraffe is left out					
Hippo owns up					
Lion's in a flap					
Tiger has a tantrums 					
Sloth gets busy					
Gecko is frustrated					
1 EACH
Kiwi tidies up					
Lemur feels "&amp;"let down					
Monkey needs to listen					
Crocs need to wait					
Flamingo is brave					
Llama stops teasing					
Panda feels jealous					
Wolf thinks of others					
Zebra can cope					
I hate everything					
I don't want to wait					
I'm not ha"&amp;"ppy					
1 EACH
Why should I?					
Not fair to share					
I want to win					
I didn't do it					
Who feels scared					
Take a deep breath					
I don't want to play nicely					
But why can't I?					
But what if?					
Harry and Dinosaurs united				"&amp;"	
Harry and Dinosaurs go wild					
Harry and Dinosaurs have a happy birthday					
Harry and Dinoasurs at the museum					
Harry and Dinosaurs say raahh					
Harry and Dinosaur go on holiday					")</f>
        <v>1 EACH
I am not very brave					
Sweet Dreams I love you					
Little chick					
Little snow flake					
Little pumpkin					
I love you to the moon and beyond					
The power of love					
Just one more hug					
Snugggle up tight					
Little acorn					
Little caterpillar					
Little raindrop					
1 EACH
Little sunflower					
Goodnight sleepy fairy					
Little bear					
I love more than					
Watch out little narwal					
Unicorn and me					
Llamas go bananas					
Goodnight, sleep tight					
When a trex comes to play					
I am not a sleepy sloth					
Too shy to sing					
Too clumsy to climb					
1 EACH
Too timid to talk					
Too tall to twirl					
I love my mommy					
Love goes a long way					
When tiger tells the truth					
When cheetah makes good choices					
When whale wont wait					
When shark learns to share					
When monkey feels sad					
When llama learns to listen					
When meerkat learns some manners					
When fox feels happy					
1 EACH
When panda feels small					
When lipon feels shy					
When hippo gets angry					
When bears feels worried					
When owls feels scared					
Can predicting the weather saves lives?					
How do oceans help us breathe?					
Is this the biggest dinosaur ever?					
Can trees talk to each  other?					
Is there alien life outer space?					
Can mushrooms saves the world?					
Are birds modern-day dinosaurs?					
1 EACH
Are whales and dolphins smarter than humans?					
Are bees nature's tiny heroes?					
Can snakes predict earthquakes?					
Will we ever live on the moon?					
Can volcanoes turn the moon blue?					
Elephant learns to share					
Giraffe is left out					
Hippo owns up					
Lion's in a flap					
Tiger has a tantrums 					
Sloth gets busy					
Gecko is frustrated					
1 EACH
Kiwi tidies up					
Lemur feels let down					
Monkey needs to listen					
Crocs need to wait					
Flamingo is brave					
Llama stops teasing					
Panda feels jealous					
Wolf thinks of others					
Zebra can cope					
I hate everything					
I don't want to wait					
I'm not happy					
1 EACH
Why should I?					
Not fair to share					
I want to win					
I didn't do it					
Who feels scared					
Take a deep breath					
I don't want to play nicely					
But why can't I?					
But what if?					
Harry and Dinosaurs united					
Harry and Dinosaurs go wild					
Harry and Dinosaurs have a happy birthday					
Harry and Dinoasurs at the museum					
Harry and Dinosaurs say raahh					
Harry and Dinosaur go on holiday					</v>
      </c>
      <c r="E1687" s="196" t="str">
        <f>IFERROR(__xludf.DUMMYFUNCTION("""COMPUTED_VALUE"""),"LIBRARY'S COPY")</f>
        <v>LIBRARY'S COPY</v>
      </c>
    </row>
    <row r="1688">
      <c r="A1688" s="234">
        <f>IFERROR(__xludf.DUMMYFUNCTION("""COMPUTED_VALUE"""),106521.0)</f>
        <v>106521</v>
      </c>
      <c r="B1688" s="235" t="str">
        <f>IFERROR(__xludf.DUMMYFUNCTION("""COMPUTED_VALUE"""),"MELISSA ODONO")</f>
        <v>MELISSA ODONO</v>
      </c>
      <c r="C1688" s="235" t="str">
        <f>IFERROR(__xludf.DUMMYFUNCTION("""COMPUTED_VALUE"""),"LIBRARY MUNICH")</f>
        <v>LIBRARY MUNICH</v>
      </c>
      <c r="D1688" s="196" t="str">
        <f>IFERROR(__xludf.DUMMYFUNCTION("""COMPUTED_VALUE"""),"1 EACH
Mahal ko ang Pilipinas					
May Gadget ako, May Libro ako					
I'm Bored! 					
Family Stories					
Ako'y Masayang-masaya					
Alkansiya ni Lolong					
Tatlong Matitipid na Langgam					
Ang Alaga Kong Lolo					
Sandosenang Sorpresa					
1 E"&amp;"ACH
I Say Thank You					
My Chest Feels Heavy					
Thousands Paper Cranes (Sanlibong Tagak na Papel)					
Premyadong Kuwentong Pambata - Salu- Salo					
God Talks With Me About Thankfulness					
God Talks With Me About Overcoming Fears					
God Talk"&amp;"s With Me About Friendship					
English With Values: Obedience					
English With Values: Boldness					
English With Values: Love					
Enhlish With Values: Anger					
Little Life Lessons on...Kindness					
1 EACH
Little Life Lessons on...Obedience				"&amp;"	
Little Life Lessons on...Respect					
Little Life Lesson on...Love					
Little Life Lessons on...Courage					
Little Life Lessons on...Honesty					
Little Life Lessons on...Patience					
Littl Life Lessons on...Perseverance					
Little Life Lesso"&amp;"ns on...Responsibility					
Little Life Lessons on...Shyness					
Little Life Lessons on...Finding Solutions					")</f>
        <v>1 EACH
Mahal ko ang Pilipinas					
May Gadget ako, May Libro ako					
I'm Bored! 					
Family Stories					
Ako'y Masayang-masaya					
Alkansiya ni Lolong					
Tatlong Matitipid na Langgam					
Ang Alaga Kong Lolo					
Sandosenang Sorpresa					
1 EACH
I Say Thank You					
My Chest Feels Heavy					
Thousands Paper Cranes (Sanlibong Tagak na Papel)					
Premyadong Kuwentong Pambata - Salu- Salo					
God Talks With Me About Thankfulness					
God Talks With Me About Overcoming Fears					
God Talks With Me About Friendship					
English With Values: Obedience					
English With Values: Boldness					
English With Values: Love					
Enhlish With Values: Anger					
Little Life Lessons on...Kindness					
1 EACH
Little Life Lessons on...Obedience					
Little Life Lessons on...Respect					
Little Life Lesson on...Love					
Little Life Lessons on...Courage					
Little Life Lessons on...Honesty					
Little Life Lessons on...Patience					
Littl Life Lessons on...Perseverance					
Little Life Lessons on...Responsibility					
Little Life Lessons on...Shyness					
Little Life Lessons on...Finding Solutions					</v>
      </c>
      <c r="E1688" s="196" t="str">
        <f>IFERROR(__xludf.DUMMYFUNCTION("""COMPUTED_VALUE"""),"LIBRARY'S COPY")</f>
        <v>LIBRARY'S COPY</v>
      </c>
    </row>
    <row r="1689">
      <c r="A1689" s="234">
        <f>IFERROR(__xludf.DUMMYFUNCTION("""COMPUTED_VALUE"""),106522.0)</f>
        <v>106522</v>
      </c>
      <c r="B1689" s="235" t="str">
        <f>IFERROR(__xludf.DUMMYFUNCTION("""COMPUTED_VALUE"""),"MELISSA ODONO")</f>
        <v>MELISSA ODONO</v>
      </c>
      <c r="C1689" s="235" t="str">
        <f>IFERROR(__xludf.DUMMYFUNCTION("""COMPUTED_VALUE"""),"LIBRARY MUNICH")</f>
        <v>LIBRARY MUNICH</v>
      </c>
      <c r="D1689" s="196" t="str">
        <f>IFERROR(__xludf.DUMMYFUNCTION("""COMPUTED_VALUE"""),"1 EACH
Splatoon  Book 4					
Splatoon  Book 10					
Splatoon  Book 12					
Splatoon  Book 13					
Splatoon  Book 14					
Captain underpants and revolting revenge					
Dogman: fetch -22					
Dog man: brawl of the wild					
Dogman: mothering heights"&amp;"					
Dogman: crime and punishment					
Danny Dingles: fantastic finds: the farts of gratitude					
Danny Dingles: fantastic finds: the jet of justice					
Danny Dingles: fantastic finds: the jet of justice: the mighty iron foot					
1 EACH
Dork diari"&amp;"es: holiday heartbreak					
Dork diaries:TV star					
Dork diariescrush catastrophe					
Dork diaries:OMG					
Geronimo Stilton: get your paws off our sea!  book 4					
Geronimo Stilton: clea operation!					
Geronimo Stilton: the reasure of the dark"&amp;" forest!					
Geronimo Stilton: a bat for a friend!					
Sakamoto days : vol 14					
Sakamoto days: 15					
Sakamoto days: vol 17					
Sakamoto days: vol 18					
One piece : vols. 1-2-3					
One piece : vols. 4-5-6					")</f>
        <v>1 EACH
Splatoon  Book 4					
Splatoon  Book 10					
Splatoon  Book 12					
Splatoon  Book 13					
Splatoon  Book 14					
Captain underpants and revolting revenge					
Dogman: fetch -22					
Dog man: brawl of the wild					
Dogman: mothering heights					
Dogman: crime and punishment					
Danny Dingles: fantastic finds: the farts of gratitude					
Danny Dingles: fantastic finds: the jet of justice					
Danny Dingles: fantastic finds: the jet of justice: the mighty iron foot					
1 EACH
Dork diaries: holiday heartbreak					
Dork diaries:TV star					
Dork diariescrush catastrophe					
Dork diaries:OMG					
Geronimo Stilton: get your paws off our sea!  book 4					
Geronimo Stilton: clea operation!					
Geronimo Stilton: the reasure of the dark forest!					
Geronimo Stilton: a bat for a friend!					
Sakamoto days : vol 14					
Sakamoto days: 15					
Sakamoto days: vol 17					
Sakamoto days: vol 18					
One piece : vols. 1-2-3					
One piece : vols. 4-5-6					</v>
      </c>
      <c r="E1689" s="196" t="str">
        <f>IFERROR(__xludf.DUMMYFUNCTION("""COMPUTED_VALUE"""),"LIBRARY'S COPY")</f>
        <v>LIBRARY'S COPY</v>
      </c>
    </row>
    <row r="1690">
      <c r="A1690" s="234">
        <f>IFERROR(__xludf.DUMMYFUNCTION("""COMPUTED_VALUE"""),106523.0)</f>
        <v>106523</v>
      </c>
      <c r="B1690" s="235" t="str">
        <f>IFERROR(__xludf.DUMMYFUNCTION("""COMPUTED_VALUE"""),"MELISSA ODONO")</f>
        <v>MELISSA ODONO</v>
      </c>
      <c r="C1690" s="235" t="str">
        <f>IFERROR(__xludf.DUMMYFUNCTION("""COMPUTED_VALUE"""),"LIBRARY STAR")</f>
        <v>LIBRARY STAR</v>
      </c>
      <c r="D1690" s="196" t="str">
        <f>IFERROR(__xludf.DUMMYFUNCTION("""COMPUTED_VALUE"""),"1 EACH
The World's Most Mysterious Places					
National Geographic for Kids Almanac 2026					
Journey through Space					
Odd Jobs					
How do you feel?					
Pop-Planet Animals					
Pop-Planet Oceans					
Peek-a-flap Zoo					
Peek-a-flap ABC					
"&amp;"Peek-a-flap DINO					
See, Feel, Touch, Create					
Brave Like Me					
1 EACH
Lift a Flap Look and Find					
How to stay happy					
Ecology for Kids					
Aesop's Fables					
Chutes and Ladders					
What's the point of Math &amp; Science					
Maker Lab"&amp;" Science and Math					
The Unofficial Battle Station Prime Set					
A Mighty Marvel Chapter Book Collection					
Berenstein Bears School Days Collection					
1 EACH
Welcome to the Neighborhood Sesame Street					
Junior Encyclopedia					
The Books oF "&amp;"Clash					
Unicorns and Rainbows					
Peek-flap-flap Words					
Vehicles					")</f>
        <v>1 EACH
The World's Most Mysterious Places					
National Geographic for Kids Almanac 2026					
Journey through Space					
Odd Jobs					
How do you feel?					
Pop-Planet Animals					
Pop-Planet Oceans					
Peek-a-flap Zoo					
Peek-a-flap ABC					
Peek-a-flap DINO					
See, Feel, Touch, Create					
Brave Like Me					
1 EACH
Lift a Flap Look and Find					
How to stay happy					
Ecology for Kids					
Aesop's Fables					
Chutes and Ladders					
What's the point of Math &amp; Science					
Maker Lab Science and Math					
The Unofficial Battle Station Prime Set					
A Mighty Marvel Chapter Book Collection					
Berenstein Bears School Days Collection					
1 EACH
Welcome to the Neighborhood Sesame Street					
Junior Encyclopedia					
The Books oF Clash					
Unicorns and Rainbows					
Peek-flap-flap Words					
Vehicles					</v>
      </c>
      <c r="E1690" s="196" t="str">
        <f>IFERROR(__xludf.DUMMYFUNCTION("""COMPUTED_VALUE"""),"LIBRARY'S COPY")</f>
        <v>LIBRARY'S COPY</v>
      </c>
    </row>
    <row r="1691">
      <c r="A1691" s="234">
        <f>IFERROR(__xludf.DUMMYFUNCTION("""COMPUTED_VALUE"""),106524.0)</f>
        <v>106524</v>
      </c>
      <c r="B1691" s="235" t="str">
        <f>IFERROR(__xludf.DUMMYFUNCTION("""COMPUTED_VALUE"""),"MELISSA ODONO")</f>
        <v>MELISSA ODONO</v>
      </c>
      <c r="C1691" s="235" t="str">
        <f>IFERROR(__xludf.DUMMYFUNCTION("""COMPUTED_VALUE"""),"LIBRARY STAR")</f>
        <v>LIBRARY STAR</v>
      </c>
      <c r="D1691" s="196" t="str">
        <f>IFERROR(__xludf.DUMMYFUNCTION("""COMPUTED_VALUE"""),"1 EACH
I am not very brave					
Sweet Dreams I love you					
Little chick					
Little snow flake					
Little pumpkin					
I love you to the moon and beyond					
The power of love					
Just one more hug					
Snugggle up tight					
Little acorn					
Little "&amp;"caterpillar					
Little raindrop					
1 EACH
Little sunflower					
Goodnight sleepy fairy					
Little bear					
I love more than					
Watch out little narwal					
Unicorn and me					
Llamas go bananas					
Goodnight, sleep tight					
When a trex c"&amp;"omes to play					
I am not a sleepy sloth					
Too shy to sing					
Too clumsy to climb					
1 EACH
Too timid to talk					
Too tall to twirl					
I love my mommy					
Love goes a long way					
When tiger tells the truth					
When cheetah makes goo"&amp;"d choices					
When whale wont wait					
When shark learns to share					
When monkey feels sad					
When llama learns to listen					
When meerkat learns some manners					
When fox feels happy					
1 EACH
When panda feels small					
When lipon feels"&amp;" shy					
When hippo gets angry					
When bears feels worried					
When owls feels scared					
Can predicting the weather saves lives?					
How do oceans help us breathe?					
Is this the biggest dinosaur ever?					
Can trees talk to each  other?		"&amp;"			
Is there alien life outer space?					
Can mushrooms saves the world?					
Are birds modern-day dinosaurs?					
1 EACH
Are whales and dolphins smarter than humans?					
Are bees nature's tiny heroes?					
Can snakes predict earthquakes?					
Will"&amp;" we ever live on the moon?					
Can volcanoes turn the moon blue?					
Elephant learns to share					
Giraffe is left out					
Hippo owns up					
Lion's in a flap					
Tiger has a tantrums 					
Sloth gets busy					
Gecko is frustrated					
1 EACH
"&amp;"Kiwi tidies up					
Lemur feels let down					
Monkey needs to listen					
Crocs need to wait					
Flamingo is brave					
Llama stops teasing					
Panda feels jealous					
Wolf thinks of others					
Zebra can cope					
I hate everything					
I do"&amp;"n't want to wait					
I'm not happy					
1 EACH
Why should I?					
Not fair to share					
I want to win					
I didn't do it					
Who feels scared					
Take a deep breath					
I don't want to play nicely					
But why can't I?					
But what if?				"&amp;"	
Harry and Dinosaurs united					
Harry and Dinosaurs go wild					
Harry and Dinosaurs have a happy birthday					
Harry and Dinoasurs at the museum					
Harry and Dinosaurs say raahh					
Harry and Dinosaur go on holiday					
1 EACH 
Ultimate Questi"&amp;"ons &amp; Answers Human Body					
Ultimate Questions &amp; Answers History and Culture					
Ultimate Questions &amp; Answers Animal and Nature					
Ultimate Questions &amp; Answers Planet Earth					
Ultimate Questions &amp; Answers Space					
Ultimate Questions and Answ"&amp;"ers Science					
Ultimate Questions and Answers Science					")</f>
        <v>1 EACH
I am not very brave					
Sweet Dreams I love you					
Little chick					
Little snow flake					
Little pumpkin					
I love you to the moon and beyond					
The power of love					
Just one more hug					
Snugggle up tight					
Little acorn					
Little caterpillar					
Little raindrop					
1 EACH
Little sunflower					
Goodnight sleepy fairy					
Little bear					
I love more than					
Watch out little narwal					
Unicorn and me					
Llamas go bananas					
Goodnight, sleep tight					
When a trex comes to play					
I am not a sleepy sloth					
Too shy to sing					
Too clumsy to climb					
1 EACH
Too timid to talk					
Too tall to twirl					
I love my mommy					
Love goes a long way					
When tiger tells the truth					
When cheetah makes good choices					
When whale wont wait					
When shark learns to share					
When monkey feels sad					
When llama learns to listen					
When meerkat learns some manners					
When fox feels happy					
1 EACH
When panda feels small					
When lipon feels shy					
When hippo gets angry					
When bears feels worried					
When owls feels scared					
Can predicting the weather saves lives?					
How do oceans help us breathe?					
Is this the biggest dinosaur ever?					
Can trees talk to each  other?					
Is there alien life outer space?					
Can mushrooms saves the world?					
Are birds modern-day dinosaurs?					
1 EACH
Are whales and dolphins smarter than humans?					
Are bees nature's tiny heroes?					
Can snakes predict earthquakes?					
Will we ever live on the moon?					
Can volcanoes turn the moon blue?					
Elephant learns to share					
Giraffe is left out					
Hippo owns up					
Lion's in a flap					
Tiger has a tantrums 					
Sloth gets busy					
Gecko is frustrated					
1 EACH
Kiwi tidies up					
Lemur feels let down					
Monkey needs to listen					
Crocs need to wait					
Flamingo is brave					
Llama stops teasing					
Panda feels jealous					
Wolf thinks of others					
Zebra can cope					
I hate everything					
I don't want to wait					
I'm not happy					
1 EACH
Why should I?					
Not fair to share					
I want to win					
I didn't do it					
Who feels scared					
Take a deep breath					
I don't want to play nicely					
But why can't I?					
But what if?					
Harry and Dinosaurs united					
Harry and Dinosaurs go wild					
Harry and Dinosaurs have a happy birthday					
Harry and Dinoasurs at the museum					
Harry and Dinosaurs say raahh					
Harry and Dinosaur go on holiday					
1 EACH 
Ultimate Questions &amp; Answers Human Body					
Ultimate Questions &amp; Answers History and Culture					
Ultimate Questions &amp; Answers Animal and Nature					
Ultimate Questions &amp; Answers Planet Earth					
Ultimate Questions &amp; Answers Space					
Ultimate Questions and Answers Science					
Ultimate Questions and Answers Science					</v>
      </c>
      <c r="E1691" s="196" t="str">
        <f>IFERROR(__xludf.DUMMYFUNCTION("""COMPUTED_VALUE"""),"LIBRARY'S COPY")</f>
        <v>LIBRARY'S COPY</v>
      </c>
    </row>
    <row r="1692">
      <c r="A1692" s="234">
        <f>IFERROR(__xludf.DUMMYFUNCTION("""COMPUTED_VALUE"""),106525.0)</f>
        <v>106525</v>
      </c>
      <c r="B1692" s="235" t="str">
        <f>IFERROR(__xludf.DUMMYFUNCTION("""COMPUTED_VALUE"""),"MELISSA ODONO")</f>
        <v>MELISSA ODONO</v>
      </c>
      <c r="C1692" s="235" t="str">
        <f>IFERROR(__xludf.DUMMYFUNCTION("""COMPUTED_VALUE"""),"LIBRARY STAR")</f>
        <v>LIBRARY STAR</v>
      </c>
      <c r="D1692" s="196" t="str">
        <f>IFERROR(__xludf.DUMMYFUNCTION("""COMPUTED_VALUE"""),"1 EACH
Splatoon  Book 4					
Splatoon  Book 4					
Splatoon  Book 6					
Splatoon  Book 8					
Splatoon  Book 9					
Splatoon  Book 10					
Pokemone:sword &amp; shield book 3					
Pokemone:sword &amp; shield book 4					
Dogman					
Dogman : brawl the wil"&amp;"d					
Dogman: Lord of the fleas					
Dogman Comic club					
Captain underpants and  big bad battle of the bionic bodge boy..					
Captain underpants and  big bad battle of the bionic bodge boy..					
1 EACH
Number the star					
Island of the blue do"&amp;"lphins					
The princess swap: Snow white and the dragon					
The princess swap: Cinderella and the beast					
Geronimo Stilton: get your paws off our sea!  book 4					
Geronimo Stilton: clea operation!					
Geronimo Stilton: the reasure of the dark "&amp;"forest!					
Geronimo Stilton: a bat for a friend!					
Roald Dahl: danny the champion of the world					
Roald Dahl: Cahrlie and the great glass					
Roald Dahl:Boy					
Roald Dahl: Esio trot					
Roald Dahl:Going Solo					
Roald Dahl:James and the"&amp;" giant peach					")</f>
        <v>1 EACH
Splatoon  Book 4					
Splatoon  Book 4					
Splatoon  Book 6					
Splatoon  Book 8					
Splatoon  Book 9					
Splatoon  Book 10					
Pokemone:sword &amp; shield book 3					
Pokemone:sword &amp; shield book 4					
Dogman					
Dogman : brawl the wild					
Dogman: Lord of the fleas					
Dogman Comic club					
Captain underpants and  big bad battle of the bionic bodge boy..					
Captain underpants and  big bad battle of the bionic bodge boy..					
1 EACH
Number the star					
Island of the blue dolphins					
The princess swap: Snow white and the dragon					
The princess swap: Cinderella and the beast					
Geronimo Stilton: get your paws off our sea!  book 4					
Geronimo Stilton: clea operation!					
Geronimo Stilton: the reasure of the dark forest!					
Geronimo Stilton: a bat for a friend!					
Roald Dahl: danny the champion of the world					
Roald Dahl: Cahrlie and the great glass					
Roald Dahl:Boy					
Roald Dahl: Esio trot					
Roald Dahl:Going Solo					
Roald Dahl:James and the giant peach					</v>
      </c>
      <c r="E1692" s="196" t="str">
        <f>IFERROR(__xludf.DUMMYFUNCTION("""COMPUTED_VALUE"""),"LIBRARY'S COPY")</f>
        <v>LIBRARY'S COPY</v>
      </c>
    </row>
    <row r="1693">
      <c r="A1693" s="234">
        <f>IFERROR(__xludf.DUMMYFUNCTION("""COMPUTED_VALUE"""),106526.0)</f>
        <v>106526</v>
      </c>
      <c r="B1693" s="235" t="str">
        <f>IFERROR(__xludf.DUMMYFUNCTION("""COMPUTED_VALUE"""),"MELISSA ODONO")</f>
        <v>MELISSA ODONO</v>
      </c>
      <c r="C1693" s="235" t="str">
        <f>IFERROR(__xludf.DUMMYFUNCTION("""COMPUTED_VALUE"""),"LIBRARY BASIC ED")</f>
        <v>LIBRARY BASIC ED</v>
      </c>
      <c r="D1693" s="196" t="str">
        <f>IFERROR(__xludf.DUMMYFUNCTION("""COMPUTED_VALUE"""),"1 EACH
Advance Mandarin Language Course					
First Aid and Emergency Services &amp; Responses					")</f>
        <v>1 EACH
Advance Mandarin Language Course					
First Aid and Emergency Services &amp; Responses					</v>
      </c>
      <c r="E1693" s="196" t="str">
        <f>IFERROR(__xludf.DUMMYFUNCTION("""COMPUTED_VALUE"""),"LIBRARY'S COPY")</f>
        <v>LIBRARY'S COPY</v>
      </c>
    </row>
    <row r="1694">
      <c r="A1694" s="234">
        <f>IFERROR(__xludf.DUMMYFUNCTION("""COMPUTED_VALUE"""),106527.0)</f>
        <v>106527</v>
      </c>
      <c r="B1694" s="235" t="str">
        <f>IFERROR(__xludf.DUMMYFUNCTION("""COMPUTED_VALUE"""),"MELISSA ODONO")</f>
        <v>MELISSA ODONO</v>
      </c>
      <c r="C1694" s="235" t="str">
        <f>IFERROR(__xludf.DUMMYFUNCTION("""COMPUTED_VALUE"""),"LIBRARY BASIC ED")</f>
        <v>LIBRARY BASIC ED</v>
      </c>
      <c r="D1694" s="196" t="str">
        <f>IFERROR(__xludf.DUMMYFUNCTION("""COMPUTED_VALUE"""),"1 EACH
Demon Slayer :  book 1					
Demon Slayer :  book 5					
Demon Slayer :  book7					
Demon Slayer :  book 10					
Demon Slayer :  book 11					
The isle of the lost (novel) : book 1					
Return to the  isle of the lost (novel) : book 2					
Ris"&amp;"e of the  isle of the lost (novel) : book 3					
Jujutsu Kaisen: book 2					
Jujutsu Kaisen: book 3					
Jujutsu Kaisen: book4					
Jujutsu Kaisen: book 5					
Jujutsu Kaisen: book 13					
Jujutsu Kaisen: book 15					
Jujutsu Kaisen: book 24					
1"&amp;" EACH
One piece : vols. 19-20-21					
One piece : vols. 25-26-27					
One piece : vols. 49-50-51					
Sakamoto days: 15					
Sakamoto days: vol 17					
Sakamoto days: vol 18					
Spy Family book 3					
Spy Family book4					
Spy Family book 6					
"&amp;"
Spy Family book 7					
Spy Family book 8					
Jujutsu Kaisen: book 5					
Jujutsu Kaisen: book 13					
Jujutsu Kaisen: book 15					
Jujutsu Kaisen: book 24					")</f>
        <v>1 EACH
Demon Slayer :  book 1					
Demon Slayer :  book 5					
Demon Slayer :  book7					
Demon Slayer :  book 10					
Demon Slayer :  book 11					
The isle of the lost (novel) : book 1					
Return to the  isle of the lost (novel) : book 2					
Rise of the  isle of the lost (novel) : book 3					
Jujutsu Kaisen: book 2					
Jujutsu Kaisen: book 3					
Jujutsu Kaisen: book4					
Jujutsu Kaisen: book 5					
Jujutsu Kaisen: book 13					
Jujutsu Kaisen: book 15					
Jujutsu Kaisen: book 24					
1 EACH
One piece : vols. 19-20-21					
One piece : vols. 25-26-27					
One piece : vols. 49-50-51					
Sakamoto days: 15					
Sakamoto days: vol 17					
Sakamoto days: vol 18					
Spy Family book 3					
Spy Family book4					
Spy Family book 6					
Spy Family book 7					
Spy Family book 8					
Jujutsu Kaisen: book 5					
Jujutsu Kaisen: book 13					
Jujutsu Kaisen: book 15					
Jujutsu Kaisen: book 24					</v>
      </c>
      <c r="E1694" s="196" t="str">
        <f>IFERROR(__xludf.DUMMYFUNCTION("""COMPUTED_VALUE"""),"LIBRARY'S COPY")</f>
        <v>LIBRARY'S COPY</v>
      </c>
    </row>
    <row r="1695">
      <c r="A1695" s="234">
        <f>IFERROR(__xludf.DUMMYFUNCTION("""COMPUTED_VALUE"""),106528.0)</f>
        <v>106528</v>
      </c>
      <c r="B1695" s="235" t="str">
        <f>IFERROR(__xludf.DUMMYFUNCTION("""COMPUTED_VALUE"""),"MELISSA ODONO")</f>
        <v>MELISSA ODONO</v>
      </c>
      <c r="C1695" s="235" t="str">
        <f>IFERROR(__xludf.DUMMYFUNCTION("""COMPUTED_VALUE"""),"LIBRARY BASIC ED")</f>
        <v>LIBRARY BASIC ED</v>
      </c>
      <c r="D1695" s="196" t="str">
        <f>IFERROR(__xludf.DUMMYFUNCTION("""COMPUTED_VALUE"""),"1 EACH
Percy Jackson and the Olympians: The Lightning Thief					
Generation Anxiety					
""Attention Span: A GroundBreaking Way to Restore Balance					""					
Your Pocket Theraspist					
Cinder: The Collector's Edition					
Last Violent Call					
Ps"&amp;"ych: The Story of The Human Mind					
The Farewell Tour					
The Iron Vow					
Every Stars That Fall					
Fall of Ruin and Wrath					
Lies We Sing To The Sea					
1 EACH
The National Gallery: Alia's Adventures in Wonderland					
The Vampire Slayer's"&amp;" Survival Guide					
A Thousand Steps Into Night					
Prophet Song					
The Grandest Game					
Someone Else's Shoes					
City of Bones					
The Half King					
Foul Lady Fortune					
What Would Harry Do?					
Emotional Intelligence: Game Changers	"&amp;"				
The Dark Psychology Playbook					")</f>
        <v>1 EACH
Percy Jackson and the Olympians: The Lightning Thief					
Generation Anxiety					
"Attention Span: A GroundBreaking Way to Restore Balance					"					
Your Pocket Theraspist					
Cinder: The Collector's Edition					
Last Violent Call					
Psych: The Story of The Human Mind					
The Farewell Tour					
The Iron Vow					
Every Stars That Fall					
Fall of Ruin and Wrath					
Lies We Sing To The Sea					
1 EACH
The National Gallery: Alia's Adventures in Wonderland					
The Vampire Slayer's Survival Guide					
A Thousand Steps Into Night					
Prophet Song					
The Grandest Game					
Someone Else's Shoes					
City of Bones					
The Half King					
Foul Lady Fortune					
What Would Harry Do?					
Emotional Intelligence: Game Changers					
The Dark Psychology Playbook					</v>
      </c>
      <c r="E1695" s="196" t="str">
        <f>IFERROR(__xludf.DUMMYFUNCTION("""COMPUTED_VALUE"""),"LIBRARY'S COPY")</f>
        <v>LIBRARY'S COPY</v>
      </c>
    </row>
    <row r="1696">
      <c r="A1696" s="234">
        <f>IFERROR(__xludf.DUMMYFUNCTION("""COMPUTED_VALUE"""),106529.0)</f>
        <v>106529</v>
      </c>
      <c r="B1696" s="235" t="str">
        <f>IFERROR(__xludf.DUMMYFUNCTION("""COMPUTED_VALUE"""),"MELISSA ODONO")</f>
        <v>MELISSA ODONO</v>
      </c>
      <c r="C1696" s="235" t="str">
        <f>IFERROR(__xludf.DUMMYFUNCTION("""COMPUTED_VALUE"""),"LIBRARY BASIC ED")</f>
        <v>LIBRARY BASIC ED</v>
      </c>
      <c r="D1696" s="196" t="str">
        <f>IFERROR(__xludf.DUMMYFUNCTION("""COMPUTED_VALUE"""),"1 EACH
Planning Your Essay					
Korean Conversation Gambits; Developing Spoken Language					")</f>
        <v>1 EACH
Planning Your Essay					
Korean Conversation Gambits; Developing Spoken Language					</v>
      </c>
      <c r="E1696" s="196" t="str">
        <f>IFERROR(__xludf.DUMMYFUNCTION("""COMPUTED_VALUE"""),"LIBRARY'S COPY")</f>
        <v>LIBRARY'S COPY</v>
      </c>
    </row>
    <row r="1697">
      <c r="A1697" s="234">
        <f>IFERROR(__xludf.DUMMYFUNCTION("""COMPUTED_VALUE"""),106530.0)</f>
        <v>106530</v>
      </c>
      <c r="B1697" s="235" t="str">
        <f>IFERROR(__xludf.DUMMYFUNCTION("""COMPUTED_VALUE"""),"MELISSA ODONO")</f>
        <v>MELISSA ODONO</v>
      </c>
      <c r="C1697" s="235" t="str">
        <f>IFERROR(__xludf.DUMMYFUNCTION("""COMPUTED_VALUE"""),"LIBRARY BASIC ED")</f>
        <v>LIBRARY BASIC ED</v>
      </c>
      <c r="D1697" s="196" t="str">
        <f>IFERROR(__xludf.DUMMYFUNCTION("""COMPUTED_VALUE"""),"1 EACH
The Cia World Factbook 2025-2026					
Guiness World Records Gamer's ED 2026					
The Sports Book					
Machines					
Amazing Space					
The Vietnam War					
STAR WARS ENCYCLOPEDIA
EYE WITNESS FLIGHT
EARTH KNOWLEDGE GENIUS
PLANET EARTH
OCEAN
HIS"&amp;"TORY OF BRITAIN AND IRELAND
MENTAL HEALTH IN A DIGITAL AGE: SOCIAL MEDIA AND STRESS")</f>
        <v>1 EACH
The Cia World Factbook 2025-2026					
Guiness World Records Gamer's ED 2026					
The Sports Book					
Machines					
Amazing Space					
The Vietnam War					
STAR WARS ENCYCLOPEDIA
EYE WITNESS FLIGHT
EARTH KNOWLEDGE GENIUS
PLANET EARTH
OCEAN
HISTORY OF BRITAIN AND IRELAND
MENTAL HEALTH IN A DIGITAL AGE: SOCIAL MEDIA AND STRESS</v>
      </c>
      <c r="E1697" s="196" t="str">
        <f>IFERROR(__xludf.DUMMYFUNCTION("""COMPUTED_VALUE"""),"LIBRARY'S COPY")</f>
        <v>LIBRARY'S COPY</v>
      </c>
    </row>
    <row r="1698">
      <c r="A1698" s="234">
        <f>IFERROR(__xludf.DUMMYFUNCTION("""COMPUTED_VALUE"""),106531.0)</f>
        <v>106531</v>
      </c>
      <c r="B1698" s="235" t="str">
        <f>IFERROR(__xludf.DUMMYFUNCTION("""COMPUTED_VALUE"""),"OWIE PAR")</f>
        <v>OWIE PAR</v>
      </c>
      <c r="C1698" s="235" t="str">
        <f>IFERROR(__xludf.DUMMYFUNCTION("""COMPUTED_VALUE"""),"ENGINEERING")</f>
        <v>ENGINEERING</v>
      </c>
      <c r="D1698" s="196" t="str">
        <f>IFERROR(__xludf.DUMMYFUNCTION("""COMPUTED_VALUE"""),"10 PCS LED LIGHTS 10 WATTS")</f>
        <v>10 PCS LED LIGHTS 10 WATTS</v>
      </c>
      <c r="E1698" s="196" t="str">
        <f>IFERROR(__xludf.DUMMYFUNCTION("""COMPUTED_VALUE"""),"FOR PARKING AND TARPAULINE LIGHTS ")</f>
        <v>FOR PARKING AND TARPAULINE LIGHTS </v>
      </c>
    </row>
    <row r="1699">
      <c r="A1699" s="234">
        <f>IFERROR(__xludf.DUMMYFUNCTION("""COMPUTED_VALUE"""),106532.0)</f>
        <v>106532</v>
      </c>
      <c r="B1699" s="235" t="str">
        <f>IFERROR(__xludf.DUMMYFUNCTION("""COMPUTED_VALUE"""),"OWIE PAR")</f>
        <v>OWIE PAR</v>
      </c>
      <c r="C1699" s="235" t="str">
        <f>IFERROR(__xludf.DUMMYFUNCTION("""COMPUTED_VALUE"""),"ENGINEERING")</f>
        <v>ENGINEERING</v>
      </c>
      <c r="D1699" s="196" t="str">
        <f>IFERROR(__xludf.DUMMYFUNCTION("""COMPUTED_VALUE"""),"10 PCS T-5 DAYLIGHT 18W")</f>
        <v>10 PCS T-5 DAYLIGHT 18W</v>
      </c>
      <c r="E1699" s="196" t="str">
        <f>IFERROR(__xludf.DUMMYFUNCTION("""COMPUTED_VALUE"""),"FOR MMA")</f>
        <v>FOR MMA</v>
      </c>
    </row>
    <row r="1700">
      <c r="A1700" s="234">
        <f>IFERROR(__xludf.DUMMYFUNCTION("""COMPUTED_VALUE"""),106533.0)</f>
        <v>106533</v>
      </c>
      <c r="B1700" s="235" t="str">
        <f>IFERROR(__xludf.DUMMYFUNCTION("""COMPUTED_VALUE"""),"RODRIGO CUSTODIO")</f>
        <v>RODRIGO CUSTODIO</v>
      </c>
      <c r="C1700" s="235" t="str">
        <f>IFERROR(__xludf.DUMMYFUNCTION("""COMPUTED_VALUE"""),"AMD")</f>
        <v>AMD</v>
      </c>
      <c r="D1700" s="196" t="str">
        <f>IFERROR(__xludf.DUMMYFUNCTION("""COMPUTED_VALUE"""),"70 PCS STICK BROOM
72 PCS SOFT SOFT BROOM 3M")</f>
        <v>70 PCS STICK BROOM
72 PCS SOFT SOFT BROOM 3M</v>
      </c>
      <c r="E1700" s="196" t="str">
        <f>IFERROR(__xludf.DUMMYFUNCTION("""COMPUTED_VALUE"""),"HOUSEKEEPING STOCK REPLENISHMENT")</f>
        <v>HOUSEKEEPING STOCK REPLENISHMENT</v>
      </c>
    </row>
    <row r="1701">
      <c r="A1701" s="234">
        <f>IFERROR(__xludf.DUMMYFUNCTION("""COMPUTED_VALUE"""),106534.0)</f>
        <v>106534</v>
      </c>
      <c r="B1701" s="235" t="str">
        <f>IFERROR(__xludf.DUMMYFUNCTION("""COMPUTED_VALUE"""),"RONALDO VERDE")</f>
        <v>RONALDO VERDE</v>
      </c>
      <c r="C1701" s="235" t="str">
        <f>IFERROR(__xludf.DUMMYFUNCTION("""COMPUTED_VALUE"""),"ADMIN")</f>
        <v>ADMIN</v>
      </c>
      <c r="D1701" s="196" t="str">
        <f>IFERROR(__xludf.DUMMYFUNCTION("""COMPUTED_VALUE"""),"2 UNIT 3 SMF MOTOLITE BATTERY GOLD")</f>
        <v>2 UNIT 3 SMF MOTOLITE BATTERY GOLD</v>
      </c>
      <c r="E1701" s="196" t="str">
        <f>IFERROR(__xludf.DUMMYFUNCTION("""COMPUTED_VALUE"""),"FOR SISC VAN")</f>
        <v>FOR SISC VAN</v>
      </c>
    </row>
    <row r="1702">
      <c r="A1702" s="234">
        <f>IFERROR(__xludf.DUMMYFUNCTION("""COMPUTED_VALUE"""),106535.0)</f>
        <v>106535</v>
      </c>
      <c r="B1702" s="235" t="str">
        <f>IFERROR(__xludf.DUMMYFUNCTION("""COMPUTED_VALUE"""),"RORY MANSBRIDGE")</f>
        <v>RORY MANSBRIDGE</v>
      </c>
      <c r="C1702" s="235" t="str">
        <f>IFERROR(__xludf.DUMMYFUNCTION("""COMPUTED_VALUE"""),"ATHLETICS")</f>
        <v>ATHLETICS</v>
      </c>
      <c r="D1702" s="196" t="str">
        <f>IFERROR(__xludf.DUMMYFUNCTION("""COMPUTED_VALUE"""),"6 FOOTBALL SET EXTRA JERSEY FOR FOOTBALL GIRLS
6 FOOTBALL SET EXTRA JERSEY FOR FOOTBALL BOYS")</f>
        <v>6 FOOTBALL SET EXTRA JERSEY FOR FOOTBALL GIRLS
6 FOOTBALL SET EXTRA JERSEY FOR FOOTBALL BOYS</v>
      </c>
      <c r="E1702" s="196" t="str">
        <f>IFERROR(__xludf.DUMMYFUNCTION("""COMPUTED_VALUE"""),"EXTRA JERSEYS")</f>
        <v>EXTRA JERSEYS</v>
      </c>
    </row>
    <row r="1703">
      <c r="A1703" s="234">
        <f>IFERROR(__xludf.DUMMYFUNCTION("""COMPUTED_VALUE"""),106536.0)</f>
        <v>106536</v>
      </c>
      <c r="B1703" s="235" t="str">
        <f>IFERROR(__xludf.DUMMYFUNCTION("""COMPUTED_VALUE"""),"LUCILLE BEYER")</f>
        <v>LUCILLE BEYER</v>
      </c>
      <c r="C1703" s="235" t="str">
        <f>IFERROR(__xludf.DUMMYFUNCTION("""COMPUTED_VALUE"""),"MEDICAL")</f>
        <v>MEDICAL</v>
      </c>
      <c r="D1703" s="196" t="str">
        <f>IFERROR(__xludf.DUMMYFUNCTION("""COMPUTED_VALUE"""),"30 PCS PROME COMB ELASTIC BANDAGES 3"" 4""")</f>
        <v>30 PCS PROME COMB ELASTIC BANDAGES 3" 4"</v>
      </c>
      <c r="E1703" s="196" t="str">
        <f>IFERROR(__xludf.DUMMYFUNCTION("""COMPUTED_VALUE"""),"REPLENISHMENT OF CLINIX MATERIALS")</f>
        <v>REPLENISHMENT OF CLINIX MATERIALS</v>
      </c>
    </row>
    <row r="1704">
      <c r="A1704" s="234">
        <f>IFERROR(__xludf.DUMMYFUNCTION("""COMPUTED_VALUE"""),106537.0)</f>
        <v>106537</v>
      </c>
      <c r="B1704" s="235" t="str">
        <f>IFERROR(__xludf.DUMMYFUNCTION("""COMPUTED_VALUE"""),"JESUIT CHRISTIAN GALICIA")</f>
        <v>JESUIT CHRISTIAN GALICIA</v>
      </c>
      <c r="C1704" s="235" t="str">
        <f>IFERROR(__xludf.DUMMYFUNCTION("""COMPUTED_VALUE"""),"AMD")</f>
        <v>AMD</v>
      </c>
      <c r="D1704" s="196" t="str">
        <f>IFERROR(__xludf.DUMMYFUNCTION("""COMPUTED_VALUE"""),"200 PCS LED BULB 8W DAYLIGHT PHILIPS")</f>
        <v>200 PCS LED BULB 8W DAYLIGHT PHILIPS</v>
      </c>
      <c r="E1704" s="196" t="str">
        <f>IFERROR(__xludf.DUMMYFUNCTION("""COMPUTED_VALUE"""),"ENGR WAREHOUSE REPLENISHMENT")</f>
        <v>ENGR WAREHOUSE REPLENISHMENT</v>
      </c>
    </row>
    <row r="1705">
      <c r="A1705" s="234">
        <f>IFERROR(__xludf.DUMMYFUNCTION("""COMPUTED_VALUE"""),106538.0)</f>
        <v>106538</v>
      </c>
      <c r="B1705" s="235" t="str">
        <f>IFERROR(__xludf.DUMMYFUNCTION("""COMPUTED_VALUE"""),"ELMIE LAUDIATO")</f>
        <v>ELMIE LAUDIATO</v>
      </c>
      <c r="C1705" s="235" t="str">
        <f>IFERROR(__xludf.DUMMYFUNCTION("""COMPUTED_VALUE"""),"HRMD")</f>
        <v>HRMD</v>
      </c>
      <c r="D1705" s="196" t="str">
        <f>IFERROR(__xludf.DUMMYFUNCTION("""COMPUTED_VALUE"""),"RUNNING PLAQUE")</f>
        <v>RUNNING PLAQUE</v>
      </c>
      <c r="E1705" s="196" t="str">
        <f>IFERROR(__xludf.DUMMYFUNCTION("""COMPUTED_VALUE"""),"SGEN FSAM CHRISTMAS PARTY RUNNING PLAQUE")</f>
        <v>SGEN FSAM CHRISTMAS PARTY RUNNING PLAQUE</v>
      </c>
    </row>
    <row r="1706">
      <c r="A1706" s="234">
        <f>IFERROR(__xludf.DUMMYFUNCTION("""COMPUTED_VALUE"""),106539.0)</f>
        <v>106539</v>
      </c>
      <c r="B1706" s="235" t="str">
        <f>IFERROR(__xludf.DUMMYFUNCTION("""COMPUTED_VALUE"""),"KRISTEN GABUTERO ")</f>
        <v>KRISTEN GABUTERO </v>
      </c>
      <c r="C1706" s="235" t="str">
        <f>IFERROR(__xludf.DUMMYFUNCTION("""COMPUTED_VALUE"""),"AB COMM/MMA")</f>
        <v>AB COMM/MMA</v>
      </c>
      <c r="D1706" s="196" t="str">
        <f>IFERROR(__xludf.DUMMYFUNCTION("""COMPUTED_VALUE"""),"4 SMALL TOM PAPER SORTING CONTAINER CLEAR
2 LARGE TOM PAPER SORTING CONTAINER CLEAR")</f>
        <v>4 SMALL TOM PAPER SORTING CONTAINER CLEAR
2 LARGE TOM PAPER SORTING CONTAINER CLEAR</v>
      </c>
      <c r="E1706" s="196" t="str">
        <f>IFERROR(__xludf.DUMMYFUNCTION("""COMPUTED_VALUE"""),"OFFICE USE DOCUMENT AND FORMS")</f>
        <v>OFFICE USE DOCUMENT AND FORMS</v>
      </c>
    </row>
    <row r="1707">
      <c r="A1707" s="234">
        <f>IFERROR(__xludf.DUMMYFUNCTION("""COMPUTED_VALUE"""),106540.0)</f>
        <v>106540</v>
      </c>
      <c r="B1707" s="235" t="str">
        <f>IFERROR(__xludf.DUMMYFUNCTION("""COMPUTED_VALUE"""),"JORDAN JORDAN")</f>
        <v>JORDAN JORDAN</v>
      </c>
      <c r="C1707" s="235" t="str">
        <f>IFERROR(__xludf.DUMMYFUNCTION("""COMPUTED_VALUE"""),"ADMIN")</f>
        <v>ADMIN</v>
      </c>
      <c r="D1707" s="196" t="str">
        <f>IFERROR(__xludf.DUMMYFUNCTION("""COMPUTED_VALUE"""),"2 PCS UFO EMERGENCY LIGHT ECOSHIFT")</f>
        <v>2 PCS UFO EMERGENCY LIGHT ECOSHIFT</v>
      </c>
      <c r="E1707" s="196" t="str">
        <f>IFERROR(__xludf.DUMMYFUNCTION("""COMPUTED_VALUE"""),"FOR MONARCHS HUB")</f>
        <v>FOR MONARCHS HUB</v>
      </c>
    </row>
    <row r="1708">
      <c r="A1708" s="234">
        <f>IFERROR(__xludf.DUMMYFUNCTION("""COMPUTED_VALUE"""),106541.0)</f>
        <v>106541</v>
      </c>
      <c r="B1708" s="235" t="str">
        <f>IFERROR(__xludf.DUMMYFUNCTION("""COMPUTED_VALUE"""),"JORDAN JORDAN")</f>
        <v>JORDAN JORDAN</v>
      </c>
      <c r="C1708" s="235" t="str">
        <f>IFERROR(__xludf.DUMMYFUNCTION("""COMPUTED_VALUE"""),"ADMIN")</f>
        <v>ADMIN</v>
      </c>
      <c r="D1708" s="196" t="str">
        <f>IFERROR(__xludf.DUMMYFUNCTION("""COMPUTED_VALUE"""),"2 PCS STOCKHOLDER 2025
1 PC NYMANE
1 PC KABOMBA
2 PCS WALL LAMP
1 PC GARDEN LAMP")</f>
        <v>2 PCS STOCKHOLDER 2025
1 PC NYMANE
1 PC KABOMBA
2 PCS WALL LAMP
1 PC GARDEN LAMP</v>
      </c>
      <c r="E1708" s="196" t="str">
        <f>IFERROR(__xludf.DUMMYFUNCTION("""COMPUTED_VALUE"""),"FOR SUNFLOWER HOUSE")</f>
        <v>FOR SUNFLOWER HOUSE</v>
      </c>
    </row>
    <row r="1709">
      <c r="A1709" s="234">
        <f>IFERROR(__xludf.DUMMYFUNCTION("""COMPUTED_VALUE"""),106542.0)</f>
        <v>106542</v>
      </c>
      <c r="B1709" s="235" t="str">
        <f>IFERROR(__xludf.DUMMYFUNCTION("""COMPUTED_VALUE"""),"OWIE PAR")</f>
        <v>OWIE PAR</v>
      </c>
      <c r="C1709" s="235" t="str">
        <f>IFERROR(__xludf.DUMMYFUNCTION("""COMPUTED_VALUE"""),"ENGINEERING")</f>
        <v>ENGINEERING</v>
      </c>
      <c r="D1709" s="196" t="str">
        <f>IFERROR(__xludf.DUMMYFUNCTION("""COMPUTED_VALUE"""),"2.5 HP WALL MOUNTED TYPE INVERTER DAIKEN")</f>
        <v>2.5 HP WALL MOUNTED TYPE INVERTER DAIKEN</v>
      </c>
      <c r="E1709" s="196" t="str">
        <f>IFERROR(__xludf.DUMMYFUNCTION("""COMPUTED_VALUE"""),"FOR MMA 5TH FLOOR FACULTY")</f>
        <v>FOR MMA 5TH FLOOR FACULTY</v>
      </c>
    </row>
    <row r="1710">
      <c r="A1710" s="234">
        <f>IFERROR(__xludf.DUMMYFUNCTION("""COMPUTED_VALUE"""),106543.0)</f>
        <v>106543</v>
      </c>
      <c r="B1710" s="235" t="str">
        <f>IFERROR(__xludf.DUMMYFUNCTION("""COMPUTED_VALUE"""),"RONALDO VERDE")</f>
        <v>RONALDO VERDE</v>
      </c>
      <c r="C1710" s="235" t="str">
        <f>IFERROR(__xludf.DUMMYFUNCTION("""COMPUTED_VALUE"""),"ADMIN")</f>
        <v>ADMIN</v>
      </c>
      <c r="D1710" s="196" t="str">
        <f>IFERROR(__xludf.DUMMYFUNCTION("""COMPUTED_VALUE"""),"1 ORBIT FAN #16"" ")</f>
        <v>1 ORBIT FAN #16" </v>
      </c>
      <c r="E1710" s="196" t="str">
        <f>IFERROR(__xludf.DUMMYFUNCTION("""COMPUTED_VALUE"""),"FOR VENTILATION PURPOSES")</f>
        <v>FOR VENTILATION PURPOSES</v>
      </c>
    </row>
    <row r="1711">
      <c r="A1711" s="234">
        <f>IFERROR(__xludf.DUMMYFUNCTION("""COMPUTED_VALUE"""),106544.0)</f>
        <v>106544</v>
      </c>
      <c r="B1711" s="235" t="str">
        <f>IFERROR(__xludf.DUMMYFUNCTION("""COMPUTED_VALUE"""),"JOCELYN TIZON")</f>
        <v>JOCELYN TIZON</v>
      </c>
      <c r="C1711" s="235" t="str">
        <f>IFERROR(__xludf.DUMMYFUNCTION("""COMPUTED_VALUE"""),"PRESIDENT'S OFFICE")</f>
        <v>PRESIDENT'S OFFICE</v>
      </c>
      <c r="D1711" s="196" t="str">
        <f>IFERROR(__xludf.DUMMYFUNCTION("""COMPUTED_VALUE"""),"1 2"" MATBOARD WHITE PLEXI GLASS PLYWOOD BACKING ")</f>
        <v>1 2" MATBOARD WHITE PLEXI GLASS PLYWOOD BACKING </v>
      </c>
      <c r="E1711" s="196" t="str">
        <f>IFERROR(__xludf.DUMMYFUNCTION("""COMPUTED_VALUE"""),"FRAMING OF DR JO'S DIAMOND PAINTING")</f>
        <v>FRAMING OF DR JO'S DIAMOND PAINTING</v>
      </c>
    </row>
    <row r="1712">
      <c r="A1712" s="234">
        <f>IFERROR(__xludf.DUMMYFUNCTION("""COMPUTED_VALUE"""),106545.0)</f>
        <v>106545</v>
      </c>
      <c r="B1712" s="235" t="str">
        <f>IFERROR(__xludf.DUMMYFUNCTION("""COMPUTED_VALUE"""),"SHEREE ESPINOSA")</f>
        <v>SHEREE ESPINOSA</v>
      </c>
      <c r="C1712" s="235" t="str">
        <f>IFERROR(__xludf.DUMMYFUNCTION("""COMPUTED_VALUE"""),"ADMIN")</f>
        <v>ADMIN</v>
      </c>
      <c r="D1712" s="196" t="str">
        <f>IFERROR(__xludf.DUMMYFUNCTION("""COMPUTED_VALUE"""),"1 BOX ROPE LIGHT 
24 BOX CHRISTMAS LIGHTS
1 LOT ASSORTED DECORS")</f>
        <v>1 BOX ROPE LIGHT 
24 BOX CHRISTMAS LIGHTS
1 LOT ASSORTED DECORS</v>
      </c>
      <c r="E1712" s="196" t="str">
        <f>IFERROR(__xludf.DUMMYFUNCTION("""COMPUTED_VALUE"""),"ADDITIONAL DECORS FOR CHRISTMAS KANTA-TA 2025")</f>
        <v>ADDITIONAL DECORS FOR CHRISTMAS KANTA-TA 2025</v>
      </c>
    </row>
    <row r="1713">
      <c r="A1713" s="234">
        <f>IFERROR(__xludf.DUMMYFUNCTION("""COMPUTED_VALUE"""),106546.0)</f>
        <v>106546</v>
      </c>
      <c r="B1713" s="235" t="str">
        <f>IFERROR(__xludf.DUMMYFUNCTION("""COMPUTED_VALUE"""),"MARY SANTOS")</f>
        <v>MARY SANTOS</v>
      </c>
      <c r="C1713" s="235" t="str">
        <f>IFERROR(__xludf.DUMMYFUNCTION("""COMPUTED_VALUE"""),"VPAR / RESEARCH")</f>
        <v>VPAR / RESEARCH</v>
      </c>
      <c r="D1713" s="196" t="str">
        <f>IFERROR(__xludf.DUMMYFUNCTION("""COMPUTED_VALUE"""),"30 BOOKS EACH:
COLLEGE OF NURSING VOL 8
COLLEGE OF BUSINESS VOL 8
COLLEGE OF COMM AND MMA VOL 9
COLLEGE OF ARTS SCIENCES AND EDUC VOL 9
COLLEGE OF ITE VOL 9
COLLEGE OF PSYCHOLOGY VOL 11
COLLEGE OF TOURISM VOL 4")</f>
        <v>30 BOOKS EACH:
COLLEGE OF NURSING VOL 8
COLLEGE OF BUSINESS VOL 8
COLLEGE OF COMM AND MMA VOL 9
COLLEGE OF ARTS SCIENCES AND EDUC VOL 9
COLLEGE OF ITE VOL 9
COLLEGE OF PSYCHOLOGY VOL 11
COLLEGE OF TOURISM VOL 4</v>
      </c>
      <c r="E1713" s="196" t="str">
        <f>IFERROR(__xludf.DUMMYFUNCTION("""COMPUTED_VALUE"""),"KAIZEN JOURNAL 2022-2023")</f>
        <v>KAIZEN JOURNAL 2022-2023</v>
      </c>
    </row>
    <row r="1714">
      <c r="A1714" s="234">
        <f>IFERROR(__xludf.DUMMYFUNCTION("""COMPUTED_VALUE"""),106547.0)</f>
        <v>106547</v>
      </c>
      <c r="B1714" s="235" t="str">
        <f>IFERROR(__xludf.DUMMYFUNCTION("""COMPUTED_VALUE"""),"MYRNA RULONA")</f>
        <v>MYRNA RULONA</v>
      </c>
      <c r="C1714" s="235" t="str">
        <f>IFERROR(__xludf.DUMMYFUNCTION("""COMPUTED_VALUE"""),"ADMIN")</f>
        <v>ADMIN</v>
      </c>
      <c r="D1714" s="196" t="str">
        <f>IFERROR(__xludf.DUMMYFUNCTION("""COMPUTED_VALUE"""),"2 FLAT TIP SHOVEL
2 POINTED TIP SHOVEL
250 HELICONIA PLANTS
20 REGULAR SIZE PLASTIC POTS 
20 CERAMIC POTS FOR BERKINS PLANTS
4 SEALED SAFETY GOGGLES
50 SQM FROG GRASS")</f>
        <v>2 FLAT TIP SHOVEL
2 POINTED TIP SHOVEL
250 HELICONIA PLANTS
20 REGULAR SIZE PLASTIC POTS 
20 CERAMIC POTS FOR BERKINS PLANTS
4 SEALED SAFETY GOGGLES
50 SQM FROG GRASS</v>
      </c>
      <c r="E1714" s="196" t="str">
        <f>IFERROR(__xludf.DUMMYFUNCTION("""COMPUTED_VALUE"""),"ADDITIONAL PLANTS FOR MONARCHS HUB")</f>
        <v>ADDITIONAL PLANTS FOR MONARCHS HUB</v>
      </c>
    </row>
    <row r="1715">
      <c r="A1715" s="234">
        <f>IFERROR(__xludf.DUMMYFUNCTION("""COMPUTED_VALUE"""),106548.0)</f>
        <v>106548</v>
      </c>
      <c r="B1715" s="235" t="str">
        <f>IFERROR(__xludf.DUMMYFUNCTION("""COMPUTED_VALUE"""),"MARC VINCENT VITTO")</f>
        <v>MARC VINCENT VITTO</v>
      </c>
      <c r="C1715" s="235" t="str">
        <f>IFERROR(__xludf.DUMMYFUNCTION("""COMPUTED_VALUE"""),"PR &amp; MARKETING")</f>
        <v>PR &amp; MARKETING</v>
      </c>
      <c r="D1715" s="196" t="str">
        <f>IFERROR(__xludf.DUMMYFUNCTION("""COMPUTED_VALUE"""),"10 SHS JOURNEY POSTER SIZE W 36 CM X H 48 CM ")</f>
        <v>10 SHS JOURNEY POSTER SIZE W 36 CM X H 48 CM </v>
      </c>
      <c r="E1715" s="196" t="str">
        <f>IFERROR(__xludf.DUMMYFUNCTION("""COMPUTED_VALUE"""),"PROMOTE COLLEGE AND SGEN SHS")</f>
        <v>PROMOTE COLLEGE AND SGEN SHS</v>
      </c>
    </row>
    <row r="1716">
      <c r="A1716" s="234">
        <f>IFERROR(__xludf.DUMMYFUNCTION("""COMPUTED_VALUE"""),106549.0)</f>
        <v>106549</v>
      </c>
      <c r="B1716" s="235" t="str">
        <f>IFERROR(__xludf.DUMMYFUNCTION("""COMPUTED_VALUE"""),"SHEILA MAE MAJAIT")</f>
        <v>SHEILA MAE MAJAIT</v>
      </c>
      <c r="C1716" s="235" t="str">
        <f>IFERROR(__xludf.DUMMYFUNCTION("""COMPUTED_VALUE"""),"PR &amp; MARKETING")</f>
        <v>PR &amp; MARKETING</v>
      </c>
      <c r="D1716" s="196" t="str">
        <f>IFERROR(__xludf.DUMMYFUNCTION("""COMPUTED_VALUE"""),"2 LEARNING VILLAGE ROOF TARP H 10 FT X W 20 FT THICKNESS 18 OZ
LEARNING VILLAGE ALONG THE HIGHWAY TARP H 10FT X W 17FT 18 OZ ADD SEAMING AND EYELET ALL OVER")</f>
        <v>2 LEARNING VILLAGE ROOF TARP H 10 FT X W 20 FT THICKNESS 18 OZ
LEARNING VILLAGE ALONG THE HIGHWAY TARP H 10FT X W 17FT 18 OZ ADD SEAMING AND EYELET ALL OVER</v>
      </c>
      <c r="E1716" s="196" t="str">
        <f>IFERROR(__xludf.DUMMYFUNCTION("""COMPUTED_VALUE"""),"ADVERTISEMENT + MARKETING")</f>
        <v>ADVERTISEMENT + MARKETING</v>
      </c>
    </row>
    <row r="1717">
      <c r="A1717" s="234">
        <f>IFERROR(__xludf.DUMMYFUNCTION("""COMPUTED_VALUE"""),106550.0)</f>
        <v>106550</v>
      </c>
      <c r="B1717" s="235" t="str">
        <f>IFERROR(__xludf.DUMMYFUNCTION("""COMPUTED_VALUE"""),"SHEREE ESPINOSA")</f>
        <v>SHEREE ESPINOSA</v>
      </c>
      <c r="C1717" s="235" t="str">
        <f>IFERROR(__xludf.DUMMYFUNCTION("""COMPUTED_VALUE"""),"ADMIN - STAR")</f>
        <v>ADMIN - STAR</v>
      </c>
      <c r="D1717" s="196" t="str">
        <f>IFERROR(__xludf.DUMMYFUNCTION("""COMPUTED_VALUE"""),"1 GAL RUGBY ")</f>
        <v>1 GAL RUGBY </v>
      </c>
      <c r="E1717" s="196" t="str">
        <f>IFERROR(__xludf.DUMMYFUNCTION("""COMPUTED_VALUE"""),"REPAIRS AND MAINTENANCE FOR STAR CAMPUS")</f>
        <v>REPAIRS AND MAINTENANCE FOR STAR CAMPUS</v>
      </c>
    </row>
    <row r="1718">
      <c r="A1718" s="234">
        <f>IFERROR(__xludf.DUMMYFUNCTION("""COMPUTED_VALUE"""),106551.0)</f>
        <v>106551</v>
      </c>
      <c r="B1718" s="235" t="str">
        <f>IFERROR(__xludf.DUMMYFUNCTION("""COMPUTED_VALUE"""),"CHRISTON CORBEZA")</f>
        <v>CHRISTON CORBEZA</v>
      </c>
      <c r="C1718" s="235" t="str">
        <f>IFERROR(__xludf.DUMMYFUNCTION("""COMPUTED_VALUE"""),"ADMIN")</f>
        <v>ADMIN</v>
      </c>
      <c r="D1718" s="196" t="str">
        <f>IFERROR(__xludf.DUMMYFUNCTION("""COMPUTED_VALUE"""),"1 PC CHAINSAW ")</f>
        <v>1 PC CHAINSAW </v>
      </c>
      <c r="E1718" s="196" t="str">
        <f>IFERROR(__xludf.DUMMYFUNCTION("""COMPUTED_VALUE"""),"FOR TRIMMING OF TREES")</f>
        <v>FOR TRIMMING OF TREES</v>
      </c>
    </row>
    <row r="1719">
      <c r="A1719" s="234">
        <f>IFERROR(__xludf.DUMMYFUNCTION("""COMPUTED_VALUE"""),106552.0)</f>
        <v>106552</v>
      </c>
      <c r="B1719" s="235" t="str">
        <f>IFERROR(__xludf.DUMMYFUNCTION("""COMPUTED_VALUE"""),"CHRISTON CORBEZA")</f>
        <v>CHRISTON CORBEZA</v>
      </c>
      <c r="C1719" s="235" t="str">
        <f>IFERROR(__xludf.DUMMYFUNCTION("""COMPUTED_VALUE"""),"ADMIN")</f>
        <v>ADMIN</v>
      </c>
      <c r="D1719" s="196" t="str">
        <f>IFERROR(__xludf.DUMMYFUNCTION("""COMPUTED_VALUE"""),"2 PCS ELECTRIC FAN WALL FAN")</f>
        <v>2 PCS ELECTRIC FAN WALL FAN</v>
      </c>
      <c r="E1719" s="196" t="str">
        <f>IFERROR(__xludf.DUMMYFUNCTION("""COMPUTED_VALUE"""),"ADDITIONAL FAN AT YAYA'S WAITING AREA")</f>
        <v>ADDITIONAL FAN AT YAYA'S WAITING AREA</v>
      </c>
    </row>
    <row r="1720">
      <c r="A1720" s="234">
        <f>IFERROR(__xludf.DUMMYFUNCTION("""COMPUTED_VALUE"""),106553.0)</f>
        <v>106553</v>
      </c>
      <c r="B1720" s="235" t="str">
        <f>IFERROR(__xludf.DUMMYFUNCTION("""COMPUTED_VALUE"""),"RODRIGO CUSTODIO")</f>
        <v>RODRIGO CUSTODIO</v>
      </c>
      <c r="C1720" s="235" t="str">
        <f>IFERROR(__xludf.DUMMYFUNCTION("""COMPUTED_VALUE"""),"AMD")</f>
        <v>AMD</v>
      </c>
      <c r="D1720" s="196" t="str">
        <f>IFERROR(__xludf.DUMMYFUNCTION("""COMPUTED_VALUE"""),"84 BOTTLES ZIM GLASS CLEANER 500 ML")</f>
        <v>84 BOTTLES ZIM GLASS CLEANER 500 ML</v>
      </c>
      <c r="E1720" s="196" t="str">
        <f>IFERROR(__xludf.DUMMYFUNCTION("""COMPUTED_VALUE"""),"HOUSEKEEPING STOCK REPLENISHMENT")</f>
        <v>HOUSEKEEPING STOCK REPLENISHMENT</v>
      </c>
    </row>
    <row r="1721">
      <c r="A1721" s="234">
        <f>IFERROR(__xludf.DUMMYFUNCTION("""COMPUTED_VALUE"""),106554.0)</f>
        <v>106554</v>
      </c>
      <c r="B1721" s="235" t="str">
        <f>IFERROR(__xludf.DUMMYFUNCTION("""COMPUTED_VALUE"""),"MARYNEILLA CARAMOAN AND ELYDIA REYES")</f>
        <v>MARYNEILLA CARAMOAN AND ELYDIA REYES</v>
      </c>
      <c r="C1721" s="235" t="str">
        <f>IFERROR(__xludf.DUMMYFUNCTION("""COMPUTED_VALUE"""),"PR &amp; MARKETING")</f>
        <v>PR &amp; MARKETING</v>
      </c>
      <c r="D1721" s="196" t="str">
        <f>IFERROR(__xludf.DUMMYFUNCTION("""COMPUTED_VALUE"""),"60 INCHES TV SMART TV")</f>
        <v>60 INCHES TV SMART TV</v>
      </c>
      <c r="E1721" s="196" t="str">
        <f>IFERROR(__xludf.DUMMYFUNCTION("""COMPUTED_VALUE"""),"FOR MARKETING")</f>
        <v>FOR MARKETING</v>
      </c>
    </row>
    <row r="1722">
      <c r="A1722" s="234">
        <f>IFERROR(__xludf.DUMMYFUNCTION("""COMPUTED_VALUE"""),106555.0)</f>
        <v>106555</v>
      </c>
      <c r="B1722" s="235" t="str">
        <f>IFERROR(__xludf.DUMMYFUNCTION("""COMPUTED_VALUE"""),"OWIE PAR")</f>
        <v>OWIE PAR</v>
      </c>
      <c r="C1722" s="235" t="str">
        <f>IFERROR(__xludf.DUMMYFUNCTION("""COMPUTED_VALUE"""),"ENGINEERING")</f>
        <v>ENGINEERING</v>
      </c>
      <c r="D1722" s="196" t="str">
        <f>IFERROR(__xludf.DUMMYFUNCTION("""COMPUTED_VALUE"""),"2 PAILS STATE GREASE BGONE")</f>
        <v>2 PAILS STATE GREASE BGONE</v>
      </c>
      <c r="E1722" s="196" t="str">
        <f>IFERROR(__xludf.DUMMYFUNCTION("""COMPUTED_VALUE"""),"FOR GREASE TRAP CLEANING")</f>
        <v>FOR GREASE TRAP CLEANING</v>
      </c>
    </row>
    <row r="1723">
      <c r="A1723" s="234">
        <f>IFERROR(__xludf.DUMMYFUNCTION("""COMPUTED_VALUE"""),106556.0)</f>
        <v>106556</v>
      </c>
      <c r="B1723" s="235" t="str">
        <f>IFERROR(__xludf.DUMMYFUNCTION("""COMPUTED_VALUE"""),"SHEREE ESPINOSA")</f>
        <v>SHEREE ESPINOSA</v>
      </c>
      <c r="C1723" s="235" t="str">
        <f>IFERROR(__xludf.DUMMYFUNCTION("""COMPUTED_VALUE"""),"ADMIN - STAR")</f>
        <v>ADMIN - STAR</v>
      </c>
      <c r="D1723" s="196" t="str">
        <f>IFERROR(__xludf.DUMMYFUNCTION("""COMPUTED_VALUE"""),"5 PCS WATER BOTTLE 5 GALLS ")</f>
        <v>5 PCS WATER BOTTLE 5 GALLS </v>
      </c>
      <c r="E1723" s="196" t="str">
        <f>IFERROR(__xludf.DUMMYFUNCTION("""COMPUTED_VALUE"""),"REPLACEMENT OF OLD AND BROKEN WATER BOTTLE")</f>
        <v>REPLACEMENT OF OLD AND BROKEN WATER BOTTLE</v>
      </c>
    </row>
    <row r="1724">
      <c r="A1724" s="234">
        <f>IFERROR(__xludf.DUMMYFUNCTION("""COMPUTED_VALUE"""),106557.0)</f>
        <v>106557</v>
      </c>
      <c r="B1724" s="235" t="str">
        <f>IFERROR(__xludf.DUMMYFUNCTION("""COMPUTED_VALUE"""),"MARC VINCENT VITTO")</f>
        <v>MARC VINCENT VITTO</v>
      </c>
      <c r="C1724" s="235" t="str">
        <f>IFERROR(__xludf.DUMMYFUNCTION("""COMPUTED_VALUE"""),"PR &amp; MARKETING")</f>
        <v>PR &amp; MARKETING</v>
      </c>
      <c r="D1724" s="196" t="str">
        <f>IFERROR(__xludf.DUMMYFUNCTION("""COMPUTED_VALUE"""),"ADMISSION AND CLASS SCHEDULE AY 26-27
1 SIZE W:13FT X H 13FT THICKNESS 18OZ
1 SIZE W: 430CM X H 368 CM THICKNESS 18OZ")</f>
        <v>ADMISSION AND CLASS SCHEDULE AY 26-27
1 SIZE W:13FT X H 13FT THICKNESS 18OZ
1 SIZE W: 430CM X H 368 CM THICKNESS 18OZ</v>
      </c>
      <c r="E1724" s="196" t="str">
        <f>IFERROR(__xludf.DUMMYFUNCTION("""COMPUTED_VALUE"""),"FOR ADMISSION AY 26-27")</f>
        <v>FOR ADMISSION AY 26-27</v>
      </c>
    </row>
    <row r="1725">
      <c r="A1725" s="234">
        <f>IFERROR(__xludf.DUMMYFUNCTION("""COMPUTED_VALUE"""),106558.0)</f>
        <v>106558</v>
      </c>
      <c r="B1725" s="235" t="str">
        <f>IFERROR(__xludf.DUMMYFUNCTION("""COMPUTED_VALUE"""),"ANA HIRANG")</f>
        <v>ANA HIRANG</v>
      </c>
      <c r="C1725" s="235" t="str">
        <f>IFERROR(__xludf.DUMMYFUNCTION("""COMPUTED_VALUE"""),"LIBRARY BASIC ED")</f>
        <v>LIBRARY BASIC ED</v>
      </c>
      <c r="D1725" s="196" t="str">
        <f>IFERROR(__xludf.DUMMYFUNCTION("""COMPUTED_VALUE"""),"4 CCTV CAMERAS")</f>
        <v>4 CCTV CAMERAS</v>
      </c>
      <c r="E1725" s="196" t="str">
        <f>IFERROR(__xludf.DUMMYFUNCTION("""COMPUTED_VALUE"""),"ENHANCE SECURITY AND MONITORING")</f>
        <v>ENHANCE SECURITY AND MONITORING</v>
      </c>
    </row>
    <row r="1726">
      <c r="A1726" s="234">
        <f>IFERROR(__xludf.DUMMYFUNCTION("""COMPUTED_VALUE"""),106559.0)</f>
        <v>106559</v>
      </c>
      <c r="B1726" s="235" t="str">
        <f>IFERROR(__xludf.DUMMYFUNCTION("""COMPUTED_VALUE"""),"MARC VINCENT VITTO")</f>
        <v>MARC VINCENT VITTO</v>
      </c>
      <c r="C1726" s="235" t="str">
        <f>IFERROR(__xludf.DUMMYFUNCTION("""COMPUTED_VALUE"""),"PR &amp; MARKETING")</f>
        <v>PR &amp; MARKETING</v>
      </c>
      <c r="D1726" s="196" t="str">
        <f>IFERROR(__xludf.DUMMYFUNCTION("""COMPUTED_VALUE"""),"ADMISSION AY 26-27 EXTERNAL TARP
-1 GATCHALIAN 10 X 10FT
-1 KENCARE 4FT X 8FT
-1 LOPEZ 8FT X 8FT
-1 MUNICH PARKING 13FT X 65FT 
-1 TREX 7FT X 10FT")</f>
        <v>ADMISSION AY 26-27 EXTERNAL TARP
-1 GATCHALIAN 10 X 10FT
-1 KENCARE 4FT X 8FT
-1 LOPEZ 8FT X 8FT
-1 MUNICH PARKING 13FT X 65FT 
-1 TREX 7FT X 10FT</v>
      </c>
      <c r="E1726" s="196" t="str">
        <f>IFERROR(__xludf.DUMMYFUNCTION("""COMPUTED_VALUE"""),"FOR ADMISSION AY 26-27")</f>
        <v>FOR ADMISSION AY 26-27</v>
      </c>
    </row>
    <row r="1727">
      <c r="A1727" s="234">
        <f>IFERROR(__xludf.DUMMYFUNCTION("""COMPUTED_VALUE"""),106560.0)</f>
        <v>106560</v>
      </c>
      <c r="B1727" s="235" t="str">
        <f>IFERROR(__xludf.DUMMYFUNCTION("""COMPUTED_VALUE"""),"RODRIGO CUSTODIO")</f>
        <v>RODRIGO CUSTODIO</v>
      </c>
      <c r="C1727" s="235" t="str">
        <f>IFERROR(__xludf.DUMMYFUNCTION("""COMPUTED_VALUE"""),"AMD")</f>
        <v>AMD</v>
      </c>
      <c r="D1727" s="196" t="str">
        <f>IFERROR(__xludf.DUMMYFUNCTION("""COMPUTED_VALUE"""),"20 PCS LYSOL AIR FRESHENER ")</f>
        <v>20 PCS LYSOL AIR FRESHENER </v>
      </c>
      <c r="E1727" s="196" t="str">
        <f>IFERROR(__xludf.DUMMYFUNCTION("""COMPUTED_VALUE"""),"HOUSEKEEPING STOCK REPLENISHMENT")</f>
        <v>HOUSEKEEPING STOCK REPLENISHMENT</v>
      </c>
    </row>
    <row r="1728">
      <c r="A1728" s="234">
        <f>IFERROR(__xludf.DUMMYFUNCTION("""COMPUTED_VALUE"""),106561.0)</f>
        <v>106561</v>
      </c>
      <c r="B1728" s="235" t="str">
        <f>IFERROR(__xludf.DUMMYFUNCTION("""COMPUTED_VALUE"""),"LUCILLE BEYER")</f>
        <v>LUCILLE BEYER</v>
      </c>
      <c r="C1728" s="235" t="str">
        <f>IFERROR(__xludf.DUMMYFUNCTION("""COMPUTED_VALUE"""),"MEDICAL")</f>
        <v>MEDICAL</v>
      </c>
      <c r="D1728" s="196" t="str">
        <f>IFERROR(__xludf.DUMMYFUNCTION("""COMPUTED_VALUE"""),"300 pcs – Biogesic
200 pcs – Neozep non drowse
150 pcs – Solmux
150 pcs – Diatabs
100 pcs – Bonamine
150 pcs – Cetirizine 10 mg
150 pcs – Alaxan
200 pcs – Bioflu
100 pcs – Decolgen (non drowse)
50 pcs – Catapres
300 ADVIL
150 pcs – Mefenamic Acid
Other Su"&amp;"pplies
10 boxes – Disposable face masks
10 boxes/10s – Salonpas
20 pcs – Hydrite (apple flavor)
20 pcs – Calmosipine cream
3 tubes/10g – Bactifree (Mupirocin)
5 bots/500ml – Bactidol
20 BOXES BAND AID
5 300 balls/pack – Cotton balls
10 8/pack – Strepsils "&amp;"(Orange &amp; Lemon Flavor)
5 200 tips/pack – Babyflo
2 100mg/5ml – Ibuprofen (Advil Syrup)
5 50g/bot – Vicks vaporub
3 BOTS LYSOL 
3 BOTS JOY DISHWASHING LIQUID
10 BAGS ICE BAGS
10 BAGS ICE CANDY")</f>
        <v>300 pcs – Biogesic
200 pcs – Neozep non drowse
150 pcs – Solmux
150 pcs – Diatabs
100 pcs – Bonamine
150 pcs – Cetirizine 10 mg
150 pcs – Alaxan
200 pcs – Bioflu
100 pcs – Decolgen (non drowse)
50 pcs – Catapres
300 ADVIL
150 pcs – Mefenamic Acid
Other Supplies
10 boxes – Disposable face masks
10 boxes/10s – Salonpas
20 pcs – Hydrite (apple flavor)
20 pcs – Calmosipine cream
3 tubes/10g – Bactifree (Mupirocin)
5 bots/500ml – Bactidol
20 BOXES BAND AID
5 300 balls/pack – Cotton balls
10 8/pack – Strepsils (Orange &amp; Lemon Flavor)
5 200 tips/pack – Babyflo
2 100mg/5ml – Ibuprofen (Advil Syrup)
5 50g/bot – Vicks vaporub
3 BOTS LYSOL 
3 BOTS JOY DISHWASHING LIQUID
10 BAGS ICE BAGS
10 BAGS ICE CANDY</v>
      </c>
      <c r="E1728" s="196" t="str">
        <f>IFERROR(__xludf.DUMMYFUNCTION("""COMPUTED_VALUE"""),"REPLENISHMENT OF CLINIX MATERIALS")</f>
        <v>REPLENISHMENT OF CLINIX MATERIALS</v>
      </c>
    </row>
    <row r="1729">
      <c r="A1729" s="234">
        <f>IFERROR(__xludf.DUMMYFUNCTION("""COMPUTED_VALUE"""),106562.0)</f>
        <v>106562</v>
      </c>
      <c r="B1729" s="235" t="str">
        <f>IFERROR(__xludf.DUMMYFUNCTION("""COMPUTED_VALUE"""),"MYRNA RULONA")</f>
        <v>MYRNA RULONA</v>
      </c>
      <c r="C1729" s="235" t="str">
        <f>IFERROR(__xludf.DUMMYFUNCTION("""COMPUTED_VALUE"""),"LANDSCAPING")</f>
        <v>LANDSCAPING</v>
      </c>
      <c r="D1729" s="196" t="str">
        <f>IFERROR(__xludf.DUMMYFUNCTION("""COMPUTED_VALUE"""),"1 HEAVY DUTY LEAVES SHREDDER")</f>
        <v>1 HEAVY DUTY LEAVES SHREDDER</v>
      </c>
      <c r="E1729" s="196" t="str">
        <f>IFERROR(__xludf.DUMMYFUNCTION("""COMPUTED_VALUE"""),"REPLACEMENT OF LEAVES SHREDDER")</f>
        <v>REPLACEMENT OF LEAVES SHREDDER</v>
      </c>
    </row>
    <row r="1730">
      <c r="A1730" s="234">
        <f>IFERROR(__xludf.DUMMYFUNCTION("""COMPUTED_VALUE"""),106563.0)</f>
        <v>106563</v>
      </c>
      <c r="B1730" s="235" t="str">
        <f>IFERROR(__xludf.DUMMYFUNCTION("""COMPUTED_VALUE"""),"SHEREE ESPINOSA")</f>
        <v>SHEREE ESPINOSA</v>
      </c>
      <c r="C1730" s="235" t="str">
        <f>IFERROR(__xludf.DUMMYFUNCTION("""COMPUTED_VALUE"""),"ADMIN - STAR")</f>
        <v>ADMIN - STAR</v>
      </c>
      <c r="D1730" s="196" t="str">
        <f>IFERROR(__xludf.DUMMYFUNCTION("""COMPUTED_VALUE"""),"4 PANEL LIGHT 40W 200V ALPHALUX")</f>
        <v>4 PANEL LIGHT 40W 200V ALPHALUX</v>
      </c>
      <c r="E1730" s="196" t="str">
        <f>IFERROR(__xludf.DUMMYFUNCTION("""COMPUTED_VALUE"""),"BUSTED LIGHTS")</f>
        <v>BUSTED LIGHTS</v>
      </c>
    </row>
    <row r="1731">
      <c r="A1731" s="234">
        <f>IFERROR(__xludf.DUMMYFUNCTION("""COMPUTED_VALUE"""),106564.0)</f>
        <v>106564</v>
      </c>
      <c r="B1731" s="235" t="str">
        <f>IFERROR(__xludf.DUMMYFUNCTION("""COMPUTED_VALUE"""),"GLENN IAN RAFAEL CUENCA")</f>
        <v>GLENN IAN RAFAEL CUENCA</v>
      </c>
      <c r="C1731" s="235" t="str">
        <f>IFERROR(__xludf.DUMMYFUNCTION("""COMPUTED_VALUE"""),"HRMD")</f>
        <v>HRMD</v>
      </c>
      <c r="D1731" s="196" t="str">
        <f>IFERROR(__xludf.DUMMYFUNCTION("""COMPUTED_VALUE"""),"14 ALPHALUX LED PANEL LIGHT 40 WATTS")</f>
        <v>14 ALPHALUX LED PANEL LIGHT 40 WATTS</v>
      </c>
      <c r="E1731" s="196" t="str">
        <f>IFERROR(__xludf.DUMMYFUNCTION("""COMPUTED_VALUE"""),"REPLACEMENT OF HR AND TCPD LIGHTS")</f>
        <v>REPLACEMENT OF HR AND TCPD LIGHTS</v>
      </c>
    </row>
    <row r="1732">
      <c r="A1732" s="234">
        <f>IFERROR(__xludf.DUMMYFUNCTION("""COMPUTED_VALUE"""),106565.0)</f>
        <v>106565</v>
      </c>
      <c r="B1732" s="235" t="str">
        <f>IFERROR(__xludf.DUMMYFUNCTION("""COMPUTED_VALUE"""),"MYRNA RULONA")</f>
        <v>MYRNA RULONA</v>
      </c>
      <c r="C1732" s="235" t="str">
        <f>IFERROR(__xludf.DUMMYFUNCTION("""COMPUTED_VALUE"""),"ADMIN")</f>
        <v>ADMIN</v>
      </c>
      <c r="D1732" s="196" t="str">
        <f>IFERROR(__xludf.DUMMYFUNCTION("""COMPUTED_VALUE"""),"GARDENING SOIL (BY TRUCK)")</f>
        <v>GARDENING SOIL (BY TRUCK)</v>
      </c>
      <c r="E1732" s="196" t="str">
        <f>IFERROR(__xludf.DUMMYFUNCTION("""COMPUTED_VALUE"""),"GROUND COVER ALONG LIMA PARKING")</f>
        <v>GROUND COVER ALONG LIMA PARKING</v>
      </c>
    </row>
    <row r="1733">
      <c r="A1733" s="234">
        <f>IFERROR(__xludf.DUMMYFUNCTION("""COMPUTED_VALUE"""),106566.0)</f>
        <v>106566</v>
      </c>
      <c r="B1733" s="235" t="str">
        <f>IFERROR(__xludf.DUMMYFUNCTION("""COMPUTED_VALUE"""),"MARVIN MARASIGAN")</f>
        <v>MARVIN MARASIGAN</v>
      </c>
      <c r="C1733" s="235" t="str">
        <f>IFERROR(__xludf.DUMMYFUNCTION("""COMPUTED_VALUE"""),"PR &amp; MARKETING")</f>
        <v>PR &amp; MARKETING</v>
      </c>
      <c r="D1733" s="196" t="str">
        <f>IFERROR(__xludf.DUMMYFUNCTION("""COMPUTED_VALUE"""),"1 TARP 15.5 X 6.5 W/ SEAMING AND EYELET ALLOVER 
1 DELIVERY FEE")</f>
        <v>1 TARP 15.5 X 6.5 W/ SEAMING AND EYELET ALLOVER 
1 DELIVERY FEE</v>
      </c>
      <c r="E1733" s="196" t="str">
        <f>IFERROR(__xludf.DUMMYFUNCTION("""COMPUTED_VALUE"""),"REIMBURSEMENT OF TARP PURCHASE SURING HOLIDAYS")</f>
        <v>REIMBURSEMENT OF TARP PURCHASE SURING HOLIDAYS</v>
      </c>
    </row>
    <row r="1734">
      <c r="A1734" s="234">
        <f>IFERROR(__xludf.DUMMYFUNCTION("""COMPUTED_VALUE"""),106567.0)</f>
        <v>106567</v>
      </c>
      <c r="B1734" s="235" t="str">
        <f>IFERROR(__xludf.DUMMYFUNCTION("""COMPUTED_VALUE"""),"MARVIN MARASIGAN")</f>
        <v>MARVIN MARASIGAN</v>
      </c>
      <c r="C1734" s="235" t="str">
        <f>IFERROR(__xludf.DUMMYFUNCTION("""COMPUTED_VALUE"""),"PR &amp; MARKETING")</f>
        <v>PR &amp; MARKETING</v>
      </c>
      <c r="D1734" s="196" t="str">
        <f>IFERROR(__xludf.DUMMYFUNCTION("""COMPUTED_VALUE"""),"1 TARP 184 X 77 IN W/ SEAMING AND EYELET ALLOVER 13OZ")</f>
        <v>1 TARP 184 X 77 IN W/ SEAMING AND EYELET ALLOVER 13OZ</v>
      </c>
      <c r="E1734" s="196" t="str">
        <f>IFERROR(__xludf.DUMMYFUNCTION("""COMPUTED_VALUE"""),"FOR PROMOTION")</f>
        <v>FOR PROMOTION</v>
      </c>
    </row>
    <row r="1735">
      <c r="A1735" s="234">
        <f>IFERROR(__xludf.DUMMYFUNCTION("""COMPUTED_VALUE"""),106568.0)</f>
        <v>106568</v>
      </c>
      <c r="B1735" s="235" t="str">
        <f>IFERROR(__xludf.DUMMYFUNCTION("""COMPUTED_VALUE"""),"RODRIGO CUSTODIO")</f>
        <v>RODRIGO CUSTODIO</v>
      </c>
      <c r="C1735" s="235" t="str">
        <f>IFERROR(__xludf.DUMMYFUNCTION("""COMPUTED_VALUE"""),"AMD")</f>
        <v>AMD</v>
      </c>
      <c r="D1735" s="196" t="str">
        <f>IFERROR(__xludf.DUMMYFUNCTION("""COMPUTED_VALUE"""),"23 GALS DRAIN MAINTAINER AND DEODORIZER STATE D-STROY 1 U.S GAL")</f>
        <v>23 GALS DRAIN MAINTAINER AND DEODORIZER STATE D-STROY 1 U.S GAL</v>
      </c>
      <c r="E1735" s="196" t="str">
        <f>IFERROR(__xludf.DUMMYFUNCTION("""COMPUTED_VALUE"""),"HOUSEKEEPING STOCK REPLENISHMENT")</f>
        <v>HOUSEKEEPING STOCK REPLENISHMENT</v>
      </c>
    </row>
    <row r="1736">
      <c r="A1736" s="234">
        <f>IFERROR(__xludf.DUMMYFUNCTION("""COMPUTED_VALUE"""),106569.0)</f>
        <v>106569</v>
      </c>
      <c r="B1736" s="235" t="str">
        <f>IFERROR(__xludf.DUMMYFUNCTION("""COMPUTED_VALUE"""),"RODRIGO CUSTODIO")</f>
        <v>RODRIGO CUSTODIO</v>
      </c>
      <c r="C1736" s="235" t="str">
        <f>IFERROR(__xludf.DUMMYFUNCTION("""COMPUTED_VALUE"""),"AMD")</f>
        <v>AMD</v>
      </c>
      <c r="D1736" s="196" t="str">
        <f>IFERROR(__xludf.DUMMYFUNCTION("""COMPUTED_VALUE"""),"10 GALS FLOOR FINISH MIGHTY SPARKLE DIAMOND 25 1 U.S GAL")</f>
        <v>10 GALS FLOOR FINISH MIGHTY SPARKLE DIAMOND 25 1 U.S GAL</v>
      </c>
      <c r="E1736" s="196" t="str">
        <f>IFERROR(__xludf.DUMMYFUNCTION("""COMPUTED_VALUE"""),"HOUSEKEEPING STOCK REPLENISHMENT")</f>
        <v>HOUSEKEEPING STOCK REPLENISHMENT</v>
      </c>
    </row>
    <row r="1737">
      <c r="A1737" s="234">
        <f>IFERROR(__xludf.DUMMYFUNCTION("""COMPUTED_VALUE"""),106570.0)</f>
        <v>106570</v>
      </c>
      <c r="B1737" s="235" t="str">
        <f>IFERROR(__xludf.DUMMYFUNCTION("""COMPUTED_VALUE"""),"JEREMIAH TIROL")</f>
        <v>JEREMIAH TIROL</v>
      </c>
      <c r="C1737" s="235" t="str">
        <f>IFERROR(__xludf.DUMMYFUNCTION("""COMPUTED_VALUE"""),"SCIENCE LAB COLLEGE")</f>
        <v>SCIENCE LAB COLLEGE</v>
      </c>
      <c r="D1737" s="196" t="str">
        <f>IFERROR(__xludf.DUMMYFUNCTION("""COMPUTED_VALUE"""),"2 PCS BASIC TRACHEOSTOMY CARE KIT
2 PCS SHILEY TRACHEOSTOMY TUBE 
2 PCS MEDICAL OXYGEN REGULATOR 
1 PC FETAL DOPPLER 
1 PC OPTHALMOSCOPE AND OTOSCOPE 
1 PC SKIN FOLD CALINER
3 PCS ONE TOUCH ULTRA EASY GLUCOSE MONITORING SYSTEM
1 PC BLOOD PRESSURE ANEROID "&amp;"WITH STAND METAL BASE ")</f>
        <v>2 PCS BASIC TRACHEOSTOMY CARE KIT
2 PCS SHILEY TRACHEOSTOMY TUBE 
2 PCS MEDICAL OXYGEN REGULATOR 
1 PC FETAL DOPPLER 
1 PC OPTHALMOSCOPE AND OTOSCOPE 
1 PC SKIN FOLD CALINER
3 PCS ONE TOUCH ULTRA EASY GLUCOSE MONITORING SYSTEM
1 PC BLOOD PRESSURE ANEROID WITH STAND METAL BASE </v>
      </c>
      <c r="E1737" s="196" t="str">
        <f>IFERROR(__xludf.DUMMYFUNCTION("""COMPUTED_VALUE"""),"IN PREPARATION FOR 2ND SEM AY 25-26")</f>
        <v>IN PREPARATION FOR 2ND SEM AY 25-26</v>
      </c>
    </row>
    <row r="1738">
      <c r="A1738" s="234">
        <f>IFERROR(__xludf.DUMMYFUNCTION("""COMPUTED_VALUE"""),106571.0)</f>
        <v>106571</v>
      </c>
      <c r="B1738" s="235" t="str">
        <f>IFERROR(__xludf.DUMMYFUNCTION("""COMPUTED_VALUE"""),"JEREMIAH TIROL")</f>
        <v>JEREMIAH TIROL</v>
      </c>
      <c r="C1738" s="235" t="str">
        <f>IFERROR(__xludf.DUMMYFUNCTION("""COMPUTED_VALUE"""),"SCIENCE LAB COLLEGE")</f>
        <v>SCIENCE LAB COLLEGE</v>
      </c>
      <c r="D1738" s="196" t="str">
        <f>IFERROR(__xludf.DUMMYFUNCTION("""COMPUTED_VALUE"""),"20 PCS NEEDLE SIZE #26
3 PCS LEUKOPLAST 
1 PC AMBULATORY BA6 FOR PEDIA 
1 PC AMBULATORY BA6 FOR ADULT 
20 PCS SURGICAL BLADES SIZE #4 TYPE OF BLADE #10
1 BOX NITRILE GLOVES LARGE SIZE
1 BOX FACEMASK")</f>
        <v>20 PCS NEEDLE SIZE #26
3 PCS LEUKOPLAST 
1 PC AMBULATORY BA6 FOR PEDIA 
1 PC AMBULATORY BA6 FOR ADULT 
20 PCS SURGICAL BLADES SIZE #4 TYPE OF BLADE #10
1 BOX NITRILE GLOVES LARGE SIZE
1 BOX FACEMASK</v>
      </c>
      <c r="E1738" s="196" t="str">
        <f>IFERROR(__xludf.DUMMYFUNCTION("""COMPUTED_VALUE"""),"IN PREPARATION FOR 2ND SEM AY 25-26")</f>
        <v>IN PREPARATION FOR 2ND SEM AY 25-26</v>
      </c>
    </row>
    <row r="1739">
      <c r="A1739" s="234">
        <f>IFERROR(__xludf.DUMMYFUNCTION("""COMPUTED_VALUE"""),106572.0)</f>
        <v>106572</v>
      </c>
      <c r="B1739" s="235" t="str">
        <f>IFERROR(__xludf.DUMMYFUNCTION("""COMPUTED_VALUE"""),"OWIE PAR")</f>
        <v>OWIE PAR</v>
      </c>
      <c r="C1739" s="235" t="str">
        <f>IFERROR(__xludf.DUMMYFUNCTION("""COMPUTED_VALUE"""),"ENGINEERING")</f>
        <v>ENGINEERING</v>
      </c>
      <c r="D1739" s="196" t="str">
        <f>IFERROR(__xludf.DUMMYFUNCTION("""COMPUTED_VALUE"""),"100 KGS ALUMINUM SULFATE 
50 KGS ANFLOC POLYMETR
10 SACKS ACTIVATED CARBON")</f>
        <v>100 KGS ALUMINUM SULFATE 
50 KGS ANFLOC POLYMETR
10 SACKS ACTIVATED CARBON</v>
      </c>
      <c r="E1739" s="196" t="str">
        <f>IFERROR(__xludf.DUMMYFUNCTION("""COMPUTED_VALUE"""),"FOR WASTE WATER TREATMENT")</f>
        <v>FOR WASTE WATER TREATMENT</v>
      </c>
    </row>
    <row r="1740">
      <c r="A1740" s="234">
        <f>IFERROR(__xludf.DUMMYFUNCTION("""COMPUTED_VALUE"""),106573.0)</f>
        <v>106573</v>
      </c>
      <c r="B1740" s="235" t="str">
        <f>IFERROR(__xludf.DUMMYFUNCTION("""COMPUTED_VALUE"""),"SANDRA SHANE CLATO")</f>
        <v>SANDRA SHANE CLATO</v>
      </c>
      <c r="C1740" s="235" t="str">
        <f>IFERROR(__xludf.DUMMYFUNCTION("""COMPUTED_VALUE"""),"PRINCIPAL'S OFFICE")</f>
        <v>PRINCIPAL'S OFFICE</v>
      </c>
      <c r="D1740" s="196" t="str">
        <f>IFERROR(__xludf.DUMMYFUNCTION("""COMPUTED_VALUE"""),"1 TRODAT STAMP 4913 22MMX 58MM")</f>
        <v>1 TRODAT STAMP 4913 22MMX 58MM</v>
      </c>
      <c r="E1740" s="196" t="str">
        <f>IFERROR(__xludf.DUMMYFUNCTION("""COMPUTED_VALUE"""),"OFFICE SUPPLY")</f>
        <v>OFFICE SUPPLY</v>
      </c>
    </row>
    <row r="1741">
      <c r="A1741" s="234">
        <f>IFERROR(__xludf.DUMMYFUNCTION("""COMPUTED_VALUE"""),106574.0)</f>
        <v>106574</v>
      </c>
      <c r="B1741" s="235" t="str">
        <f>IFERROR(__xludf.DUMMYFUNCTION("""COMPUTED_VALUE"""),"MARC VINCENT VITTO")</f>
        <v>MARC VINCENT VITTO</v>
      </c>
      <c r="C1741" s="235" t="str">
        <f>IFERROR(__xludf.DUMMYFUNCTION("""COMPUTED_VALUE"""),"PR &amp; MARKETING")</f>
        <v>PR &amp; MARKETING</v>
      </c>
      <c r="D1741" s="196" t="str">
        <f>IFERROR(__xludf.DUMMYFUNCTION("""COMPUTED_VALUE"""),"1 ADMISSION TARP 13FT X 13FT 18 OZ ADD SEAMING AND EYELET ALL OVER")</f>
        <v>1 ADMISSION TARP 13FT X 13FT 18 OZ ADD SEAMING AND EYELET ALL OVER</v>
      </c>
      <c r="E1741" s="196" t="str">
        <f>IFERROR(__xludf.DUMMYFUNCTION("""COMPUTED_VALUE"""),"FOR ADMISSION AY 26-27")</f>
        <v>FOR ADMISSION AY 26-27</v>
      </c>
    </row>
    <row r="1742">
      <c r="A1742" s="234">
        <f>IFERROR(__xludf.DUMMYFUNCTION("""COMPUTED_VALUE"""),106575.0)</f>
        <v>106575</v>
      </c>
      <c r="B1742" s="235" t="str">
        <f>IFERROR(__xludf.DUMMYFUNCTION("""COMPUTED_VALUE"""),"JANELLE ILAO")</f>
        <v>JANELLE ILAO</v>
      </c>
      <c r="C1742" s="235" t="str">
        <f>IFERROR(__xludf.DUMMYFUNCTION("""COMPUTED_VALUE"""),"HRMD")</f>
        <v>HRMD</v>
      </c>
      <c r="D1742" s="196" t="str">
        <f>IFERROR(__xludf.DUMMYFUNCTION("""COMPUTED_VALUE"""),"FLOWER WREATH ")</f>
        <v>FLOWER WREATH </v>
      </c>
      <c r="E1742" s="196" t="str">
        <f>IFERROR(__xludf.DUMMYFUNCTION("""COMPUTED_VALUE"""),"FLOWER WREATH FOR MS. LUMBRE'S MOTHER")</f>
        <v>FLOWER WREATH FOR MS. LUMBRE'S MOTHER</v>
      </c>
    </row>
    <row r="1743">
      <c r="A1743" s="234">
        <f>IFERROR(__xludf.DUMMYFUNCTION("""COMPUTED_VALUE"""),106576.0)</f>
        <v>106576</v>
      </c>
      <c r="B1743" s="235" t="str">
        <f>IFERROR(__xludf.DUMMYFUNCTION("""COMPUTED_VALUE"""),"CHRISTON CORBEZA")</f>
        <v>CHRISTON CORBEZA</v>
      </c>
      <c r="C1743" s="235" t="str">
        <f>IFERROR(__xludf.DUMMYFUNCTION("""COMPUTED_VALUE"""),"ADMIN - MUNICH")</f>
        <v>ADMIN - MUNICH</v>
      </c>
      <c r="D1743" s="196" t="str">
        <f>IFERROR(__xludf.DUMMYFUNCTION("""COMPUTED_VALUE"""),"6 PCS BALANCE BENCH
2 PCS DUAL ACTION BALL PUMP AND PRESSURE GAUGE WITH HOSE
4 PCS ESSENTIAL 3.20 M FOOTBALL AGILITY LADDER 
10 PCS RYTHMIC GYMNASTICS 65 CM HOOP
6 PCS 50 MULTI PURPOSE WHISTLE AND ORIENTEERING COMPASS")</f>
        <v>6 PCS BALANCE BENCH
2 PCS DUAL ACTION BALL PUMP AND PRESSURE GAUGE WITH HOSE
4 PCS ESSENTIAL 3.20 M FOOTBALL AGILITY LADDER 
10 PCS RYTHMIC GYMNASTICS 65 CM HOOP
6 PCS 50 MULTI PURPOSE WHISTLE AND ORIENTEERING COMPASS</v>
      </c>
      <c r="E1743" s="196" t="str">
        <f>IFERROR(__xludf.DUMMYFUNCTION("""COMPUTED_VALUE"""),"FOR MUNICH PE AREA")</f>
        <v>FOR MUNICH PE AREA</v>
      </c>
    </row>
    <row r="1744">
      <c r="A1744" s="234">
        <f>IFERROR(__xludf.DUMMYFUNCTION("""COMPUTED_VALUE"""),106577.0)</f>
        <v>106577</v>
      </c>
      <c r="B1744" s="235" t="str">
        <f>IFERROR(__xludf.DUMMYFUNCTION("""COMPUTED_VALUE"""),"CHRISTON CORBEZA")</f>
        <v>CHRISTON CORBEZA</v>
      </c>
      <c r="C1744" s="235" t="str">
        <f>IFERROR(__xludf.DUMMYFUNCTION("""COMPUTED_VALUE"""),"ADMIN - MUNICH")</f>
        <v>ADMIN - MUNICH</v>
      </c>
      <c r="D1744" s="196" t="str">
        <f>IFERROR(__xludf.DUMMYFUNCTION("""COMPUTED_VALUE"""),"6 PCS BASKETBALL RUBBER COVER 
6 PCS MOLTEN BGG 
8 PCS FUTSAL MOLTEN F9N2000 SIZE 4
8 PCS FOOTBALL F4N 2000 SIZE 4
8 PCS F3N1000 TRAINING BALL SIZE 3
10 PCS MIKASA V330W TRAINING BALL
1 PC VOLLEYBALL NET WITH STAND")</f>
        <v>6 PCS BASKETBALL RUBBER COVER 
6 PCS MOLTEN BGG 
8 PCS FUTSAL MOLTEN F9N2000 SIZE 4
8 PCS FOOTBALL F4N 2000 SIZE 4
8 PCS F3N1000 TRAINING BALL SIZE 3
10 PCS MIKASA V330W TRAINING BALL
1 PC VOLLEYBALL NET WITH STAND</v>
      </c>
      <c r="E1744" s="196" t="str">
        <f>IFERROR(__xludf.DUMMYFUNCTION("""COMPUTED_VALUE"""),"FOR PE EQUIPMENT")</f>
        <v>FOR PE EQUIPMENT</v>
      </c>
    </row>
    <row r="1745">
      <c r="A1745" s="234">
        <f>IFERROR(__xludf.DUMMYFUNCTION("""COMPUTED_VALUE"""),106578.0)</f>
        <v>106578</v>
      </c>
      <c r="B1745" s="235" t="str">
        <f>IFERROR(__xludf.DUMMYFUNCTION("""COMPUTED_VALUE"""),"MARC VINCENT VITTO")</f>
        <v>MARC VINCENT VITTO</v>
      </c>
      <c r="C1745" s="235" t="str">
        <f>IFERROR(__xludf.DUMMYFUNCTION("""COMPUTED_VALUE"""),"PR &amp; MARKETING")</f>
        <v>PR &amp; MARKETING</v>
      </c>
      <c r="D1745" s="196" t="str">
        <f>IFERROR(__xludf.DUMMYFUNCTION("""COMPUTED_VALUE"""),"1 GLOBAL JAYA TARP SIZE W=184 IN X 77 IN 18OZ ADD SEAMING AND EYELET ALL OVER")</f>
        <v>1 GLOBAL JAYA TARP SIZE W=184 IN X 77 IN 18OZ ADD SEAMING AND EYELET ALL OVER</v>
      </c>
      <c r="E1745" s="196" t="str">
        <f>IFERROR(__xludf.DUMMYFUNCTION("""COMPUTED_VALUE"""),"CONGRATULATORY TARP")</f>
        <v>CONGRATULATORY TARP</v>
      </c>
    </row>
    <row r="1746">
      <c r="A1746" s="234">
        <f>IFERROR(__xludf.DUMMYFUNCTION("""COMPUTED_VALUE"""),106579.0)</f>
        <v>106579</v>
      </c>
      <c r="B1746" s="235" t="str">
        <f>IFERROR(__xludf.DUMMYFUNCTION("""COMPUTED_VALUE"""),"JANCEL PRADILLADA")</f>
        <v>JANCEL PRADILLADA</v>
      </c>
      <c r="C1746" s="235" t="str">
        <f>IFERROR(__xludf.DUMMYFUNCTION("""COMPUTED_VALUE"""),"MIS/ICT")</f>
        <v>MIS/ICT</v>
      </c>
      <c r="D1746" s="196" t="str">
        <f>IFERROR(__xludf.DUMMYFUNCTION("""COMPUTED_VALUE"""),"20 PCS BATTERY 3.7 VOLTS 1400 M4H BRAND BFN
4 PCS BATTERY CHARGING STATION FOR 3.7 VOLTS ")</f>
        <v>20 PCS BATTERY 3.7 VOLTS 1400 M4H BRAND BFN
4 PCS BATTERY CHARGING STATION FOR 3.7 VOLTS </v>
      </c>
      <c r="E1746" s="196" t="str">
        <f>IFERROR(__xludf.DUMMYFUNCTION("""COMPUTED_VALUE"""),"FOR LUX HALL AND MONARCHS HUB MICROPHONES")</f>
        <v>FOR LUX HALL AND MONARCHS HUB MICROPHONES</v>
      </c>
    </row>
    <row r="1747">
      <c r="A1747" s="234">
        <f>IFERROR(__xludf.DUMMYFUNCTION("""COMPUTED_VALUE"""),106580.0)</f>
        <v>106580</v>
      </c>
      <c r="B1747" s="235" t="str">
        <f>IFERROR(__xludf.DUMMYFUNCTION("""COMPUTED_VALUE"""),"DR ARIS IGNACIO")</f>
        <v>DR ARIS IGNACIO</v>
      </c>
      <c r="C1747" s="235" t="str">
        <f>IFERROR(__xludf.DUMMYFUNCTION("""COMPUTED_VALUE"""),"CITE")</f>
        <v>CITE</v>
      </c>
      <c r="D1747" s="196" t="str">
        <f>IFERROR(__xludf.DUMMYFUNCTION("""COMPUTED_VALUE"""),"1 TV STAND")</f>
        <v>1 TV STAND</v>
      </c>
      <c r="E1747" s="196" t="str">
        <f>IFERROR(__xludf.DUMMYFUNCTION("""COMPUTED_VALUE"""),"FOR TV BULLETIN IT LOBBY")</f>
        <v>FOR TV BULLETIN IT LOBBY</v>
      </c>
    </row>
    <row r="1748">
      <c r="A1748" s="234">
        <f>IFERROR(__xludf.DUMMYFUNCTION("""COMPUTED_VALUE"""),106581.0)</f>
        <v>106581</v>
      </c>
      <c r="B1748" s="235" t="str">
        <f>IFERROR(__xludf.DUMMYFUNCTION("""COMPUTED_VALUE"""),"SHEREE ESPINOSA")</f>
        <v>SHEREE ESPINOSA</v>
      </c>
      <c r="C1748" s="235" t="str">
        <f>IFERROR(__xludf.DUMMYFUNCTION("""COMPUTED_VALUE"""),"ADMIN")</f>
        <v>ADMIN</v>
      </c>
      <c r="D1748" s="196" t="str">
        <f>IFERROR(__xludf.DUMMYFUNCTION("""COMPUTED_VALUE"""),"35 PCS CHRISTMAS DECOR")</f>
        <v>35 PCS CHRISTMAS DECOR</v>
      </c>
      <c r="E1748" s="196" t="str">
        <f>IFERROR(__xludf.DUMMYFUNCTION("""COMPUTED_VALUE"""),"ADDITIONAL CHRISTMAS DECOR FOR NEXT AY")</f>
        <v>ADDITIONAL CHRISTMAS DECOR FOR NEXT AY</v>
      </c>
    </row>
    <row r="1749">
      <c r="A1749" s="234">
        <f>IFERROR(__xludf.DUMMYFUNCTION("""COMPUTED_VALUE"""),106582.0)</f>
        <v>106582</v>
      </c>
      <c r="B1749" s="235" t="str">
        <f>IFERROR(__xludf.DUMMYFUNCTION("""COMPUTED_VALUE"""),"RODRIGO CUSTODIO")</f>
        <v>RODRIGO CUSTODIO</v>
      </c>
      <c r="C1749" s="235" t="str">
        <f>IFERROR(__xludf.DUMMYFUNCTION("""COMPUTED_VALUE"""),"AMD")</f>
        <v>AMD</v>
      </c>
      <c r="D1749" s="196" t="str">
        <f>IFERROR(__xludf.DUMMYFUNCTION("""COMPUTED_VALUE"""),"20 PCS DEL FABRIC SOFTENER
408 PCS ALL PURPOSE POWDER 800 GRAMS PER PACK CHAMPION
5 PCS DUST MOP HANDLE AND FRAME WITH MOP HEAD #30")</f>
        <v>20 PCS DEL FABRIC SOFTENER
408 PCS ALL PURPOSE POWDER 800 GRAMS PER PACK CHAMPION
5 PCS DUST MOP HANDLE AND FRAME WITH MOP HEAD #30</v>
      </c>
      <c r="E1749" s="196" t="str">
        <f>IFERROR(__xludf.DUMMYFUNCTION("""COMPUTED_VALUE"""),"HOUSEKEEPING STOCK REPLENISHMENT")</f>
        <v>HOUSEKEEPING STOCK REPLENISHMENT</v>
      </c>
    </row>
    <row r="1750">
      <c r="A1750" s="234">
        <f>IFERROR(__xludf.DUMMYFUNCTION("""COMPUTED_VALUE"""),106583.0)</f>
        <v>106583</v>
      </c>
      <c r="B1750" s="235" t="str">
        <f>IFERROR(__xludf.DUMMYFUNCTION("""COMPUTED_VALUE"""),"FELESE ANGELINE FAMADOR")</f>
        <v>FELESE ANGELINE FAMADOR</v>
      </c>
      <c r="C1750" s="235" t="str">
        <f>IFERROR(__xludf.DUMMYFUNCTION("""COMPUTED_VALUE"""),"MEDICAL")</f>
        <v>MEDICAL</v>
      </c>
      <c r="D1750" s="196" t="str">
        <f>IFERROR(__xludf.DUMMYFUNCTION("""COMPUTED_VALUE"""),"Athletic Tape (Mueller or AQ) — 15
Pro wrap tape — 5
Kinesiology Tape — 15
Salonpas Pain Relief Spray — 5
Kinetiq Spray (for muscle recovery) — 2
Kinetiq Wax (for muscle fatigue) — 2
Iodine — 20 pcs
Salonpas Patch — 5
Prime Elastic Bandage (2, 3 &amp;"&amp;" 4 inches) — 15 pcs each (3 boxes)
Mediplant Waterproof Bandage — 3 boxes
Aseptic — 20
Alcohol — 20
Asean — 20
Mefenamic — 20
Neozep — 20
Decolgen — 20
Tuseran — 20
Solmux — 20
Cetirizine — 20
Diatabs — 20")</f>
        <v>Athletic Tape (Mueller or AQ) — 15
Pro wrap tape — 5
Kinesiology Tape — 15
Salonpas Pain Relief Spray — 5
Kinetiq Spray (for muscle recovery) — 2
Kinetiq Wax (for muscle fatigue) — 2
Iodine — 20 pcs
Salonpas Patch — 5
Prime Elastic Bandage (2, 3 &amp; 4 inches) — 15 pcs each (3 boxes)
Mediplant Waterproof Bandage — 3 boxes
Aseptic — 20
Alcohol — 20
Asean — 20
Mefenamic — 20
Neozep — 20
Decolgen — 20
Tuseran — 20
Solmux — 20
Cetirizine — 20
Diatabs — 20</v>
      </c>
      <c r="E1750" s="196" t="str">
        <f>IFERROR(__xludf.DUMMYFUNCTION("""COMPUTED_VALUE"""),"DIFFERENT LEAGUES ON GOING ")</f>
        <v>DIFFERENT LEAGUES ON GOING </v>
      </c>
    </row>
    <row r="1751">
      <c r="A1751" s="234">
        <f>IFERROR(__xludf.DUMMYFUNCTION("""COMPUTED_VALUE"""),106584.0)</f>
        <v>106584</v>
      </c>
      <c r="B1751" s="235" t="str">
        <f>IFERROR(__xludf.DUMMYFUNCTION("""COMPUTED_VALUE"""),"RACHEL PAMATIAN")</f>
        <v>RACHEL PAMATIAN</v>
      </c>
      <c r="C1751" s="235" t="str">
        <f>IFERROR(__xludf.DUMMYFUNCTION("""COMPUTED_VALUE"""),"ADMIN - STAR")</f>
        <v>ADMIN - STAR</v>
      </c>
      <c r="D1751" s="196" t="str">
        <f>IFERROR(__xludf.DUMMYFUNCTION("""COMPUTED_VALUE"""),"3 SUPER K BASKETBALL HEAVY DUTY RING NET NYLON MULTI COLOR ")</f>
        <v>3 SUPER K BASKETBALL HEAVY DUTY RING NET NYLON MULTI COLOR </v>
      </c>
      <c r="E1751" s="196" t="str">
        <f>IFERROR(__xludf.DUMMYFUNCTION("""COMPUTED_VALUE"""),"BASKETBALL RING NET FOR STAR CAMPUS")</f>
        <v>BASKETBALL RING NET FOR STAR CAMPUS</v>
      </c>
    </row>
    <row r="1752">
      <c r="A1752" s="234">
        <f>IFERROR(__xludf.DUMMYFUNCTION("""COMPUTED_VALUE"""),106585.0)</f>
        <v>106585</v>
      </c>
      <c r="B1752" s="235" t="str">
        <f>IFERROR(__xludf.DUMMYFUNCTION("""COMPUTED_VALUE"""),"OWIE PAR")</f>
        <v>OWIE PAR</v>
      </c>
      <c r="C1752" s="235" t="str">
        <f>IFERROR(__xludf.DUMMYFUNCTION("""COMPUTED_VALUE"""),"ENGINEERING")</f>
        <v>ENGINEERING</v>
      </c>
      <c r="D1752" s="196" t="str">
        <f>IFERROR(__xludf.DUMMYFUNCTION("""COMPUTED_VALUE"""),"1 UNIT 1.5 HP WALL MOUNTED TYPE INVERTER PANASONIC")</f>
        <v>1 UNIT 1.5 HP WALL MOUNTED TYPE INVERTER PANASONIC</v>
      </c>
      <c r="E1752" s="196" t="str">
        <f>IFERROR(__xludf.DUMMYFUNCTION("""COMPUTED_VALUE"""),"FOR ICT FACULTY")</f>
        <v>FOR ICT FACULTY</v>
      </c>
    </row>
    <row r="1753">
      <c r="A1753" s="234">
        <f>IFERROR(__xludf.DUMMYFUNCTION("""COMPUTED_VALUE"""),106586.0)</f>
        <v>106586</v>
      </c>
      <c r="B1753" s="235" t="str">
        <f>IFERROR(__xludf.DUMMYFUNCTION("""COMPUTED_VALUE"""),"JESUIT CHRISTIAN GALICIA")</f>
        <v>JESUIT CHRISTIAN GALICIA</v>
      </c>
      <c r="C1753" s="235" t="str">
        <f>IFERROR(__xludf.DUMMYFUNCTION("""COMPUTED_VALUE"""),"AMD")</f>
        <v>AMD</v>
      </c>
      <c r="D1753" s="196" t="str">
        <f>IFERROR(__xludf.DUMMYFUNCTION("""COMPUTED_VALUE"""),"30 PCS FAUCET TANSO 
15 PCS TANK FITTINGS")</f>
        <v>30 PCS FAUCET TANSO 
15 PCS TANK FITTINGS</v>
      </c>
      <c r="E1753" s="196" t="str">
        <f>IFERROR(__xludf.DUMMYFUNCTION("""COMPUTED_VALUE"""),"ENGR WAREHOUSE REPLENISHMENT")</f>
        <v>ENGR WAREHOUSE REPLENISHMENT</v>
      </c>
    </row>
    <row r="1754">
      <c r="A1754" s="234">
        <f>IFERROR(__xludf.DUMMYFUNCTION("""COMPUTED_VALUE"""),106587.0)</f>
        <v>106587</v>
      </c>
      <c r="B1754" s="235" t="str">
        <f>IFERROR(__xludf.DUMMYFUNCTION("""COMPUTED_VALUE"""),"RODRIGO CUSTODIO")</f>
        <v>RODRIGO CUSTODIO</v>
      </c>
      <c r="C1754" s="235" t="str">
        <f>IFERROR(__xludf.DUMMYFUNCTION("""COMPUTED_VALUE"""),"AMD")</f>
        <v>AMD</v>
      </c>
      <c r="D1754" s="196" t="str">
        <f>IFERROR(__xludf.DUMMYFUNCTION("""COMPUTED_VALUE"""),"120 BOTTLES BAYGON WATERBASED MULTI INSECT KILLER 500ML BOTTLE")</f>
        <v>120 BOTTLES BAYGON WATERBASED MULTI INSECT KILLER 500ML BOTTLE</v>
      </c>
      <c r="E1754" s="196" t="str">
        <f>IFERROR(__xludf.DUMMYFUNCTION("""COMPUTED_VALUE"""),"HOUSEKEEPING STOCK REPLENISHMENT")</f>
        <v>HOUSEKEEPING STOCK REPLENISHMENT</v>
      </c>
    </row>
    <row r="1755">
      <c r="A1755" s="234">
        <f>IFERROR(__xludf.DUMMYFUNCTION("""COMPUTED_VALUE"""),106588.0)</f>
        <v>106588</v>
      </c>
      <c r="B1755" s="235" t="str">
        <f>IFERROR(__xludf.DUMMYFUNCTION("""COMPUTED_VALUE"""),"LYKA PERALTA")</f>
        <v>LYKA PERALTA</v>
      </c>
      <c r="C1755" s="235" t="str">
        <f>IFERROR(__xludf.DUMMYFUNCTION("""COMPUTED_VALUE"""),"ABU")</f>
        <v>ABU</v>
      </c>
      <c r="D1755" s="196" t="str">
        <f>IFERROR(__xludf.DUMMYFUNCTION("""COMPUTED_VALUE"""),"1 PC WATER METER")</f>
        <v>1 PC WATER METER</v>
      </c>
      <c r="E1755" s="196" t="str">
        <f>IFERROR(__xludf.DUMMYFUNCTION("""COMPUTED_VALUE"""),"REPLACEMENT FOR HIDDEN CHEF")</f>
        <v>REPLACEMENT FOR HIDDEN CHEF</v>
      </c>
    </row>
    <row r="1756">
      <c r="A1756" s="234">
        <f>IFERROR(__xludf.DUMMYFUNCTION("""COMPUTED_VALUE"""),106589.0)</f>
        <v>106589</v>
      </c>
      <c r="B1756" s="235" t="str">
        <f>IFERROR(__xludf.DUMMYFUNCTION("""COMPUTED_VALUE"""),"RODRIGO CUSTODIO")</f>
        <v>RODRIGO CUSTODIO</v>
      </c>
      <c r="C1756" s="235" t="str">
        <f>IFERROR(__xludf.DUMMYFUNCTION("""COMPUTED_VALUE"""),"AMD")</f>
        <v>AMD</v>
      </c>
      <c r="D1756" s="196" t="str">
        <f>IFERROR(__xludf.DUMMYFUNCTION("""COMPUTED_VALUE"""),"288 PCS TISSUE ROLL BATH 2PLY SANICARE")</f>
        <v>288 PCS TISSUE ROLL BATH 2PLY SANICARE</v>
      </c>
      <c r="E1756" s="196" t="str">
        <f>IFERROR(__xludf.DUMMYFUNCTION("""COMPUTED_VALUE"""),"HOUSEKEEPING STOCK REPLENISHMENT")</f>
        <v>HOUSEKEEPING STOCK REPLENISHMENT</v>
      </c>
    </row>
    <row r="1757">
      <c r="A1757" s="234">
        <f>IFERROR(__xludf.DUMMYFUNCTION("""COMPUTED_VALUE"""),106590.0)</f>
        <v>106590</v>
      </c>
      <c r="B1757" s="235" t="str">
        <f>IFERROR(__xludf.DUMMYFUNCTION("""COMPUTED_VALUE"""),"JORDAN JORDAN")</f>
        <v>JORDAN JORDAN</v>
      </c>
      <c r="C1757" s="235" t="str">
        <f>IFERROR(__xludf.DUMMYFUNCTION("""COMPUTED_VALUE"""),"ADMIN")</f>
        <v>ADMIN</v>
      </c>
      <c r="D1757" s="196" t="str">
        <f>IFERROR(__xludf.DUMMYFUNCTION("""COMPUTED_VALUE"""),"8 PCS DOWNLIGHT 9W DAYLIGHT ALPHALUXX
1 BOX THHN THWN #12 ELECTRICAL WIRE")</f>
        <v>8 PCS DOWNLIGHT 9W DAYLIGHT ALPHALUXX
1 BOX THHN THWN #12 ELECTRICAL WIRE</v>
      </c>
      <c r="E1757" s="196" t="str">
        <f>IFERROR(__xludf.DUMMYFUNCTION("""COMPUTED_VALUE"""),"FOR REPLACEMENT/ INSTALLATION SUNFLOWER HOUSE")</f>
        <v>FOR REPLACEMENT/ INSTALLATION SUNFLOWER HOUSE</v>
      </c>
    </row>
    <row r="1758">
      <c r="A1758" s="234">
        <f>IFERROR(__xludf.DUMMYFUNCTION("""COMPUTED_VALUE"""),106591.0)</f>
        <v>106591</v>
      </c>
      <c r="B1758" s="235" t="str">
        <f>IFERROR(__xludf.DUMMYFUNCTION("""COMPUTED_VALUE"""),"CHARLES LEBECO DONOR")</f>
        <v>CHARLES LEBECO DONOR</v>
      </c>
      <c r="C1758" s="235" t="str">
        <f>IFERROR(__xludf.DUMMYFUNCTION("""COMPUTED_VALUE"""),"AM")</f>
        <v>AM</v>
      </c>
      <c r="D1758" s="196" t="str">
        <f>IFERROR(__xludf.DUMMYFUNCTION("""COMPUTED_VALUE"""),"Ballpen, Panda Black        PENS-PAN-10-0001        875 pcs.
Ballpen, Panda Blue        PENS-PAN-10-0002        375 pcs.
Pen, Overhead Projector - Pilot Black        PENS-PIL-10-0006        20 pcs.
Pencil, Mongol Regular No. 1 (OSSUP)        PENC-MGL-10-0"&amp;"001        60 pcs.
Clearbook, Unrefillable 40's Long        CLBK-GEN-10-0006        30 pcs.
Clearbook, Unrefillable 40's Short        CLBK-GEN-10-0008        12 pcs.
Cartolina, Black        CART-GEN-10-0001        700 pcs.
Cartolina, Pink        CART-GEN-"&amp;"10-0005        200 pcs.
Cartolina, Red        CART-GEN-10-0006        200 pcs.
Cartolina, White        CART-GEN-10-0007        200 pcs.
Cartolina, Neon Blue        CART-GEN-10-0009        300 pcs.
Cartolina, Neon Green        CART-GEN-10-0010        400 p"&amp;"cs.
Cartolina, Neon Yellow        CART-GEN-10-0013        400 pcs.")</f>
        <v>Ballpen, Panda Black        PENS-PAN-10-0001        875 pcs.
Ballpen, Panda Blue        PENS-PAN-10-0002        375 pcs.
Pen, Overhead Projector - Pilot Black        PENS-PIL-10-0006        20 pcs.
Pencil, Mongol Regular No. 1 (OSSUP)        PENC-MGL-10-0001        60 pcs.
Clearbook, Unrefillable 40's Long        CLBK-GEN-10-0006        30 pcs.
Clearbook, Unrefillable 40's Short        CLBK-GEN-10-0008        12 pcs.
Cartolina, Black        CART-GEN-10-0001        700 pcs.
Cartolina, Pink        CART-GEN-10-0005        200 pcs.
Cartolina, Red        CART-GEN-10-0006        200 pcs.
Cartolina, White        CART-GEN-10-0007        200 pcs.
Cartolina, Neon Blue        CART-GEN-10-0009        300 pcs.
Cartolina, Neon Green        CART-GEN-10-0010        400 pcs.
Cartolina, Neon Yellow        CART-GEN-10-0013        400 pcs.</v>
      </c>
      <c r="E1758" s="196" t="str">
        <f>IFERROR(__xludf.DUMMYFUNCTION("""COMPUTED_VALUE"""),"OSSUP REPLENISHMENTS")</f>
        <v>OSSUP REPLENISHMENTS</v>
      </c>
    </row>
    <row r="1759">
      <c r="A1759" s="234">
        <f>IFERROR(__xludf.DUMMYFUNCTION("""COMPUTED_VALUE"""),106592.0)</f>
        <v>106592</v>
      </c>
      <c r="B1759" s="235" t="str">
        <f>IFERROR(__xludf.DUMMYFUNCTION("""COMPUTED_VALUE"""),"MELISSA ODONO")</f>
        <v>MELISSA ODONO</v>
      </c>
      <c r="C1759" s="235" t="str">
        <f>IFERROR(__xludf.DUMMYFUNCTION("""COMPUTED_VALUE"""),"LIBRARY COLLEGE")</f>
        <v>LIBRARY COLLEGE</v>
      </c>
      <c r="D1759" s="196" t="str">
        <f>IFERROR(__xludf.DUMMYFUNCTION("""COMPUTED_VALUE"""),"3 EACH:
Beyond Borders: A Worktext on The Contemporary World					
Contemporary World					
The Contemporary World					
The Contemporary World					
Transcendence: Understanding Contemporary Global Dynamics, Issues, and Challenges					")</f>
        <v>3 EACH:
Beyond Borders: A Worktext on The Contemporary World					
Contemporary World					
The Contemporary World					
The Contemporary World					
Transcendence: Understanding Contemporary Global Dynamics, Issues, and Challenges					</v>
      </c>
      <c r="E1759" s="196" t="str">
        <f>IFERROR(__xludf.DUMMYFUNCTION("""COMPUTED_VALUE"""),"FOR PACUCOA COMPLIANCE")</f>
        <v>FOR PACUCOA COMPLIANCE</v>
      </c>
    </row>
    <row r="1760">
      <c r="A1760" s="234">
        <f>IFERROR(__xludf.DUMMYFUNCTION("""COMPUTED_VALUE"""),106593.0)</f>
        <v>106593</v>
      </c>
      <c r="B1760" s="235" t="str">
        <f>IFERROR(__xludf.DUMMYFUNCTION("""COMPUTED_VALUE"""),"MELISSA ODONO")</f>
        <v>MELISSA ODONO</v>
      </c>
      <c r="C1760" s="235" t="str">
        <f>IFERROR(__xludf.DUMMYFUNCTION("""COMPUTED_VALUE"""),"LIBRARY COLLEGE")</f>
        <v>LIBRARY COLLEGE</v>
      </c>
      <c r="D1760" s="196" t="str">
        <f>IFERROR(__xludf.DUMMYFUNCTION("""COMPUTED_VALUE"""),"3 EACH:
PATH FIT 1) Physical Activity Towards Health and Fitness 1 Health &amp; Wellness Movement Educ. &amp; Exercise Program					
PATH FIT 1: Movement Competency Training					
PATH FIT 4 SPORTS) Menu of Sports					
PATH-FIT 3) MENU OF DANCE : Physical Activi"&amp;"ty Towards Health and Fitness					
Physical Activities Towards Health and Fitness PATHFit (Basketball)					
Physical Activities Towards Health and Fitness PATHFit (Recreational Activities and Outdoor Adventure)					
Physical Activities Towards Health a"&amp;"nd Fitness PATHFit (Volleyball)					
Pickball for Beginners A Handbook for P.E. Teachers &amp; Students					
Physical Activities Towards Health and Fitness PATHFit 1 (Movement Competency Training)					
Physical Activities Towards Health and Fitness PATHFit"&amp;" 2 (Exercise-Based Fitness Activities)					
Physical Activities Towards Health and Fitness PATHFit 2 (Exercise-Based Fitness Activities), 2nd edition					
Physical Activities Towards Health and Fitness PATHFit 3 (Dance, Fitness, and Tradition)					
Phy"&amp;"sical Activities Towards Health and Fitness PATHFit 4 (Ballroom Dance)					
Physical Activities Towards Health and Fitness PATHFit (Arnis)					
Physical Activities Towards Health and Fitness PATHFit (Badminton)					
A Textbook of Physical Education 1		"&amp;"			")</f>
        <v>3 EACH:
PATH FIT 1) Physical Activity Towards Health and Fitness 1 Health &amp; Wellness Movement Educ. &amp; Exercise Program					
PATH FIT 1: Movement Competency Training					
PATH FIT 4 SPORTS) Menu of Sports					
PATH-FIT 3) MENU OF DANCE : Physical Activity Towards Health and Fitness					
Physical Activities Towards Health and Fitness PATHFit (Basketball)					
Physical Activities Towards Health and Fitness PATHFit (Recreational Activities and Outdoor Adventure)					
Physical Activities Towards Health and Fitness PATHFit (Volleyball)					
Pickball for Beginners A Handbook for P.E. Teachers &amp; Students					
Physical Activities Towards Health and Fitness PATHFit 1 (Movement Competency Training)					
Physical Activities Towards Health and Fitness PATHFit 2 (Exercise-Based Fitness Activities)					
Physical Activities Towards Health and Fitness PATHFit 2 (Exercise-Based Fitness Activities), 2nd edition					
Physical Activities Towards Health and Fitness PATHFit 3 (Dance, Fitness, and Tradition)					
Physical Activities Towards Health and Fitness PATHFit 4 (Ballroom Dance)					
Physical Activities Towards Health and Fitness PATHFit (Arnis)					
Physical Activities Towards Health and Fitness PATHFit (Badminton)					
A Textbook of Physical Education 1					</v>
      </c>
      <c r="E1760" s="196" t="str">
        <f>IFERROR(__xludf.DUMMYFUNCTION("""COMPUTED_VALUE"""),"FOR PACUCOA COMPLIANCE")</f>
        <v>FOR PACUCOA COMPLIANCE</v>
      </c>
    </row>
    <row r="1761">
      <c r="A1761" s="234">
        <f>IFERROR(__xludf.DUMMYFUNCTION("""COMPUTED_VALUE"""),106594.0)</f>
        <v>106594</v>
      </c>
      <c r="B1761" s="235" t="str">
        <f>IFERROR(__xludf.DUMMYFUNCTION("""COMPUTED_VALUE"""),"MELISSA ODONO")</f>
        <v>MELISSA ODONO</v>
      </c>
      <c r="C1761" s="235" t="str">
        <f>IFERROR(__xludf.DUMMYFUNCTION("""COMPUTED_VALUE"""),"LIBRARY COLLEGE")</f>
        <v>LIBRARY COLLEGE</v>
      </c>
      <c r="D1761" s="196" t="str">
        <f>IFERROR(__xludf.DUMMYFUNCTION("""COMPUTED_VALUE"""),"3 EACH:
Introduction to Research					
Research and Thesis Writing with tips in Oral Presentation					
Journalism Approach to Teaching and Learning Communication in English, rev.ed.					
Modules in Teaching Multigrade Classes					
Language Research 1: "&amp;"A Comprehensive Guide to Language Research Methodology					
Methods of Research in Business Education, 3e					
Qualitative Research					
Research &amp; Statistcswith Thesis &amp; Dissertation					
Teaching and Assessment of Grammar					")</f>
        <v>3 EACH:
Introduction to Research					
Research and Thesis Writing with tips in Oral Presentation					
Journalism Approach to Teaching and Learning Communication in English, rev.ed.					
Modules in Teaching Multigrade Classes					
Language Research 1: A Comprehensive Guide to Language Research Methodology					
Methods of Research in Business Education, 3e					
Qualitative Research					
Research &amp; Statistcswith Thesis &amp; Dissertation					
Teaching and Assessment of Grammar					</v>
      </c>
      <c r="E1761" s="196" t="str">
        <f>IFERROR(__xludf.DUMMYFUNCTION("""COMPUTED_VALUE"""),"FOR PACUCOA COMPLIANCE")</f>
        <v>FOR PACUCOA COMPLIANCE</v>
      </c>
    </row>
    <row r="1762">
      <c r="A1762" s="234">
        <f>IFERROR(__xludf.DUMMYFUNCTION("""COMPUTED_VALUE"""),106595.0)</f>
        <v>106595</v>
      </c>
      <c r="B1762" s="235" t="str">
        <f>IFERROR(__xludf.DUMMYFUNCTION("""COMPUTED_VALUE"""),"MELISSA ODONO")</f>
        <v>MELISSA ODONO</v>
      </c>
      <c r="C1762" s="235" t="str">
        <f>IFERROR(__xludf.DUMMYFUNCTION("""COMPUTED_VALUE"""),"LIBRARY COLLEGE")</f>
        <v>LIBRARY COLLEGE</v>
      </c>
      <c r="D1762" s="196" t="str">
        <f>IFERROR(__xludf.DUMMYFUNCTION("""COMPUTED_VALUE"""),"3 EACH:
Fifty Years of Philippine Independence Stories from a Half Century					
Gender and Society					
Introduction to Philippine Indigenous Communities					
Introduction to Philippine Politics &amp; Government with Basic Constitutional Provisions					
P"&amp;"olitics &amp; Governance with Phil Constitution					
Readings in Philippine History /Revised Edition					
Understanding Society &amp; Culture					
Stories from the Other Side and Other Narratives, 2nd ed.					")</f>
        <v>3 EACH:
Fifty Years of Philippine Independence Stories from a Half Century					
Gender and Society					
Introduction to Philippine Indigenous Communities					
Introduction to Philippine Politics &amp; Government with Basic Constitutional Provisions					
Politics &amp; Governance with Phil Constitution					
Readings in Philippine History /Revised Edition					
Understanding Society &amp; Culture					
Stories from the Other Side and Other Narratives, 2nd ed.					</v>
      </c>
      <c r="E1762" s="196" t="str">
        <f>IFERROR(__xludf.DUMMYFUNCTION("""COMPUTED_VALUE"""),"FOR PACUCOA COMPLIANCE")</f>
        <v>FOR PACUCOA COMPLIANCE</v>
      </c>
    </row>
    <row r="1763">
      <c r="A1763" s="234">
        <f>IFERROR(__xludf.DUMMYFUNCTION("""COMPUTED_VALUE"""),106596.0)</f>
        <v>106596</v>
      </c>
      <c r="B1763" s="235" t="str">
        <f>IFERROR(__xludf.DUMMYFUNCTION("""COMPUTED_VALUE"""),"MELISSA ODONO")</f>
        <v>MELISSA ODONO</v>
      </c>
      <c r="C1763" s="235" t="str">
        <f>IFERROR(__xludf.DUMMYFUNCTION("""COMPUTED_VALUE"""),"LIBRARY COLLEGE")</f>
        <v>LIBRARY COLLEGE</v>
      </c>
      <c r="D1763" s="196" t="str">
        <f>IFERROR(__xludf.DUMMYFUNCTION("""COMPUTED_VALUE"""),"3 EACH:
Empowerment Technologies					
Advanced Research Methods					
""Assessment in Learning 1: Traditional Assessment (Outcome-
Based Education Approach)""					
Assessment of Learning 1					
Assessment of Learning 2					
Competency Appraisal 1 Prof"&amp;"essional Education A Comprehensive Reviewer					
Building and Enhancing New Literacies Across the Curriculum					
Writing Research in the IMRaD Format: A College Researcher's Essential Guide					
Teaching and Assessment of Grammar					
The Teacher and"&amp;" The School Curriculum					
The Teaching Profession					
The Teaching Profession in the 21st Century					
Lesson Planning Made Easy					
Facilitating Student-Centered Teaching &amp; Learning					
Understanding Research Design and Methods, 2e					")</f>
        <v>3 EACH:
Empowerment Technologies					
Advanced Research Methods					
"Assessment in Learning 1: Traditional Assessment (Outcome-
Based Education Approach)"					
Assessment of Learning 1					
Assessment of Learning 2					
Competency Appraisal 1 Professional Education A Comprehensive Reviewer					
Building and Enhancing New Literacies Across the Curriculum					
Writing Research in the IMRaD Format: A College Researcher's Essential Guide					
Teaching and Assessment of Grammar					
The Teacher and The School Curriculum					
The Teaching Profession					
The Teaching Profession in the 21st Century					
Lesson Planning Made Easy					
Facilitating Student-Centered Teaching &amp; Learning					
Understanding Research Design and Methods, 2e					</v>
      </c>
      <c r="E1763" s="196" t="str">
        <f>IFERROR(__xludf.DUMMYFUNCTION("""COMPUTED_VALUE"""),"FOR PACUCOA COMPLIANCE")</f>
        <v>FOR PACUCOA COMPLIANCE</v>
      </c>
    </row>
    <row r="1764">
      <c r="A1764" s="234">
        <f>IFERROR(__xludf.DUMMYFUNCTION("""COMPUTED_VALUE"""),106597.0)</f>
        <v>106597</v>
      </c>
      <c r="B1764" s="235" t="str">
        <f>IFERROR(__xludf.DUMMYFUNCTION("""COMPUTED_VALUE"""),"MELISSA ODONO")</f>
        <v>MELISSA ODONO</v>
      </c>
      <c r="C1764" s="235" t="str">
        <f>IFERROR(__xludf.DUMMYFUNCTION("""COMPUTED_VALUE"""),"LIBRARY COLLEGE")</f>
        <v>LIBRARY COLLEGE</v>
      </c>
      <c r="D1764" s="196" t="str">
        <f>IFERROR(__xludf.DUMMYFUNCTION("""COMPUTED_VALUE"""),"3 EACH:
Art Appreciation                                        
Art Appreciation                                        
Art Appreciation for College Students                                         
Communicate to Create: Redefining Purposive Communicat"&amp;"ion in the AI Age
Essentials of Organizational Communication					
Upscaling Oral Communication Skills					
Pantulong sa Kontekstwalisadong Komunikasyon sa Kalakarang New Normal					
Purposive Communication					")</f>
        <v>3 EACH:
Art Appreciation                                        
Art Appreciation                                        
Art Appreciation for College Students                                         
Communicate to Create: Redefining Purposive Communication in the AI Age
Essentials of Organizational Communication					
Upscaling Oral Communication Skills					
Pantulong sa Kontekstwalisadong Komunikasyon sa Kalakarang New Normal					
Purposive Communication					</v>
      </c>
      <c r="E1764" s="196" t="str">
        <f>IFERROR(__xludf.DUMMYFUNCTION("""COMPUTED_VALUE"""),"FOR PACUCOA COMPLIANCE")</f>
        <v>FOR PACUCOA COMPLIANCE</v>
      </c>
    </row>
    <row r="1765">
      <c r="A1765" s="234">
        <f>IFERROR(__xludf.DUMMYFUNCTION("""COMPUTED_VALUE"""),106598.0)</f>
        <v>106598</v>
      </c>
      <c r="B1765" s="235" t="str">
        <f>IFERROR(__xludf.DUMMYFUNCTION("""COMPUTED_VALUE"""),"MELISSA ODONO")</f>
        <v>MELISSA ODONO</v>
      </c>
      <c r="C1765" s="235" t="str">
        <f>IFERROR(__xludf.DUMMYFUNCTION("""COMPUTED_VALUE"""),"LIBRARY COLLEGE")</f>
        <v>LIBRARY COLLEGE</v>
      </c>
      <c r="D1765" s="196" t="str">
        <f>IFERROR(__xludf.DUMMYFUNCTION("""COMPUTED_VALUE"""),"3 EACH:
Philippine Pop Culture					
Understanding The Self					
Understanding the Self					
Understanding the Self: A Multi-disciplinary Approach to Personal Growth					
Understanding the Self: New Normal Edition					
Unraveling the Absolute Moral Pri"&amp;"nciple: Ethics for College Students, rev.ed.					
A College Textbook on Understanding the Self					
Beyond Politics Foundations of Political philosophy					
Estruktura ng Wikang Filipino					
Structure of Filipino					
Filipino sa Iba't Ibang Disiplin"&amp;"a					
Filipino sa Piling Larangan					")</f>
        <v>3 EACH:
Philippine Pop Culture					
Understanding The Self					
Understanding the Self					
Understanding the Self: A Multi-disciplinary Approach to Personal Growth					
Understanding the Self: New Normal Edition					
Unraveling the Absolute Moral Principle: Ethics for College Students, rev.ed.					
A College Textbook on Understanding the Self					
Beyond Politics Foundations of Political philosophy					
Estruktura ng Wikang Filipino					
Structure of Filipino					
Filipino sa Iba't Ibang Disiplina					
Filipino sa Piling Larangan					</v>
      </c>
      <c r="E1765" s="196" t="str">
        <f>IFERROR(__xludf.DUMMYFUNCTION("""COMPUTED_VALUE"""),"FOR PACUCOA COMPLIANCE")</f>
        <v>FOR PACUCOA COMPLIANCE</v>
      </c>
    </row>
    <row r="1766">
      <c r="A1766" s="234">
        <f>IFERROR(__xludf.DUMMYFUNCTION("""COMPUTED_VALUE"""),106599.0)</f>
        <v>106599</v>
      </c>
      <c r="B1766" s="235" t="str">
        <f>IFERROR(__xludf.DUMMYFUNCTION("""COMPUTED_VALUE"""),"MELISSA ODONO")</f>
        <v>MELISSA ODONO</v>
      </c>
      <c r="C1766" s="235" t="str">
        <f>IFERROR(__xludf.DUMMYFUNCTION("""COMPUTED_VALUE"""),"LIBRARY COLLEGE")</f>
        <v>LIBRARY COLLEGE</v>
      </c>
      <c r="D1766" s="196" t="str">
        <f>IFERROR(__xludf.DUMMYFUNCTION("""COMPUTED_VALUE"""),"3 EACH:
Ecology and Environment					
Environmental Science, 2e					
Biochemistry and Organic Chemistry Laboratory Manual: Unlocking the Secret of Life: A Chemistry Laboratory Manual					
Gen Chemistry 1					
Gen Chemistry 2					
General Zoology					
"&amp;"Modern Physics					
Laboratory Manual in Chemistry Part 1					
Laboratory Manual in Physics					
I Am Jose Rizal: Filipino Social Influencer					
The Life and Works of Rizal					
Jose Rizal: The Man and the Hero (Facts, Legacies &amp; Controversies)					
"&amp;"
Life and Works of Dr. Jose P. Rizal Revised Edition					")</f>
        <v>3 EACH:
Ecology and Environment					
Environmental Science, 2e					
Biochemistry and Organic Chemistry Laboratory Manual: Unlocking the Secret of Life: A Chemistry Laboratory Manual					
Gen Chemistry 1					
Gen Chemistry 2					
General Zoology					
Modern Physics					
Laboratory Manual in Chemistry Part 1					
Laboratory Manual in Physics					
I Am Jose Rizal: Filipino Social Influencer					
The Life and Works of Rizal					
Jose Rizal: The Man and the Hero (Facts, Legacies &amp; Controversies)					
Life and Works of Dr. Jose P. Rizal Revised Edition					</v>
      </c>
      <c r="E1766" s="196" t="str">
        <f>IFERROR(__xludf.DUMMYFUNCTION("""COMPUTED_VALUE"""),"FOR PACUCOA COMPLIANCE")</f>
        <v>FOR PACUCOA COMPLIANCE</v>
      </c>
    </row>
    <row r="1767">
      <c r="A1767" s="234">
        <f>IFERROR(__xludf.DUMMYFUNCTION("""COMPUTED_VALUE"""),106600.0)</f>
        <v>106600</v>
      </c>
      <c r="B1767" s="235" t="str">
        <f>IFERROR(__xludf.DUMMYFUNCTION("""COMPUTED_VALUE"""),"MELISSA ODONO")</f>
        <v>MELISSA ODONO</v>
      </c>
      <c r="C1767" s="235" t="str">
        <f>IFERROR(__xludf.DUMMYFUNCTION("""COMPUTED_VALUE"""),"LIBRARY COLLEGE")</f>
        <v>LIBRARY COLLEGE</v>
      </c>
      <c r="D1767" s="196" t="str">
        <f>IFERROR(__xludf.DUMMYFUNCTION("""COMPUTED_VALUE"""),"3 EACH:
Clinical Psychology: Current Trends in Philippine Research and Practice
Essentials of Psychological Statistics					
Theories of Personality					")</f>
        <v>3 EACH:
Clinical Psychology: Current Trends in Philippine Research and Practice
Essentials of Psychological Statistics					
Theories of Personality					</v>
      </c>
      <c r="E1767" s="196" t="str">
        <f>IFERROR(__xludf.DUMMYFUNCTION("""COMPUTED_VALUE"""),"FOR PACUCOA COMPLIANCE")</f>
        <v>FOR PACUCOA COMPLIANCE</v>
      </c>
    </row>
    <row r="1768">
      <c r="A1768" s="234">
        <f>IFERROR(__xludf.DUMMYFUNCTION("""COMPUTED_VALUE"""),106601.0)</f>
        <v>106601</v>
      </c>
      <c r="B1768" s="235" t="str">
        <f>IFERROR(__xludf.DUMMYFUNCTION("""COMPUTED_VALUE"""),"MELISSA ODONO")</f>
        <v>MELISSA ODONO</v>
      </c>
      <c r="C1768" s="235" t="str">
        <f>IFERROR(__xludf.DUMMYFUNCTION("""COMPUTED_VALUE"""),"LIBRARY COLLEGE")</f>
        <v>LIBRARY COLLEGE</v>
      </c>
      <c r="D1768" s="196" t="str">
        <f>IFERROR(__xludf.DUMMYFUNCTION("""COMPUTED_VALUE"""),"3 EACH:
Corporate Social Responsibility, Good Governance, and Environmental Accountability, 2e					
21st Century Risk Management with Sanitation					
NSTP - LTS 1, Second Edition					
NSTP 2 Guide in Civic Welfare Training Services					
National Devel"&amp;"opment via National Service Training Program (RA 9163) Common Modules for CWTS, LTS and ROTC, 2nd Edition					
Reserve Officers' Training Corps (Military Science 1)					
Promoting Community Change through Civic Welfare Training Service 2					
Ethics				"&amp;"	
Ethics :A Heuristics Approach					
Ethics for the Modern Student					
Ethics: A Practical Philosophy for Would-Be Professionals in the Third Millennium					
Learning Ethics					")</f>
        <v>3 EACH:
Corporate Social Responsibility, Good Governance, and Environmental Accountability, 2e					
21st Century Risk Management with Sanitation					
NSTP - LTS 1, Second Edition					
NSTP 2 Guide in Civic Welfare Training Services					
National Development via National Service Training Program (RA 9163) Common Modules for CWTS, LTS and ROTC, 2nd Edition					
Reserve Officers' Training Corps (Military Science 1)					
Promoting Community Change through Civic Welfare Training Service 2					
Ethics					
Ethics :A Heuristics Approach					
Ethics for the Modern Student					
Ethics: A Practical Philosophy for Would-Be Professionals in the Third Millennium					
Learning Ethics					</v>
      </c>
      <c r="E1768" s="196" t="str">
        <f>IFERROR(__xludf.DUMMYFUNCTION("""COMPUTED_VALUE"""),"FOR PACUCOA COMPLIANCE")</f>
        <v>FOR PACUCOA COMPLIANCE</v>
      </c>
    </row>
    <row r="1769">
      <c r="A1769" s="234">
        <f>IFERROR(__xludf.DUMMYFUNCTION("""COMPUTED_VALUE"""),106602.0)</f>
        <v>106602</v>
      </c>
      <c r="B1769" s="235" t="str">
        <f>IFERROR(__xludf.DUMMYFUNCTION("""COMPUTED_VALUE"""),"CHARLES LEBECO DONOR")</f>
        <v>CHARLES LEBECO DONOR</v>
      </c>
      <c r="C1769" s="235" t="str">
        <f>IFERROR(__xludf.DUMMYFUNCTION("""COMPUTED_VALUE"""),"AMD")</f>
        <v>AMD</v>
      </c>
      <c r="D1769" s="196" t="str">
        <f>IFERROR(__xludf.DUMMYFUNCTION("""COMPUTED_VALUE"""),"555 Alcohol, 70% Isophropyl Gallon
")</f>
        <v>555 Alcohol, 70% Isophropyl Gallon
</v>
      </c>
      <c r="E1769" s="196" t="str">
        <f>IFERROR(__xludf.DUMMYFUNCTION("""COMPUTED_VALUE"""),"OSSUP REPLENISHMENTS")</f>
        <v>OSSUP REPLENISHMENTS</v>
      </c>
    </row>
    <row r="1770">
      <c r="A1770" s="234">
        <f>IFERROR(__xludf.DUMMYFUNCTION("""COMPUTED_VALUE"""),106603.0)</f>
        <v>106603</v>
      </c>
      <c r="B1770" s="235" t="str">
        <f>IFERROR(__xludf.DUMMYFUNCTION("""COMPUTED_VALUE"""),"CHARLES LEBECO DONOR")</f>
        <v>CHARLES LEBECO DONOR</v>
      </c>
      <c r="C1770" s="235" t="str">
        <f>IFERROR(__xludf.DUMMYFUNCTION("""COMPUTED_VALUE"""),"AMD")</f>
        <v>AMD</v>
      </c>
      <c r="D1770" s="196" t="str">
        <f>IFERROR(__xludf.DUMMYFUNCTION("""COMPUTED_VALUE"""),"8 Toner, Cartridge CF500A Black
8 Toner, Cartridge CF501A Cyan
8 Toner, Cartridge CF502A Yellow
8 Toner, Cartridge CF503A Magenta")</f>
        <v>8 Toner, Cartridge CF500A Black
8 Toner, Cartridge CF501A Cyan
8 Toner, Cartridge CF502A Yellow
8 Toner, Cartridge CF503A Magenta</v>
      </c>
      <c r="E1770" s="196" t="str">
        <f>IFERROR(__xludf.DUMMYFUNCTION("""COMPUTED_VALUE"""),"OSSUP REPLENISHMENTS")</f>
        <v>OSSUP REPLENISHMENTS</v>
      </c>
    </row>
    <row r="1771">
      <c r="A1771" s="234">
        <f>IFERROR(__xludf.DUMMYFUNCTION("""COMPUTED_VALUE"""),106604.0)</f>
        <v>106604</v>
      </c>
      <c r="B1771" s="235" t="str">
        <f>IFERROR(__xludf.DUMMYFUNCTION("""COMPUTED_VALUE"""),"SHEREE ESPINOSA")</f>
        <v>SHEREE ESPINOSA</v>
      </c>
      <c r="C1771" s="235" t="str">
        <f>IFERROR(__xludf.DUMMYFUNCTION("""COMPUTED_VALUE"""),"ADMIN")</f>
        <v>ADMIN</v>
      </c>
      <c r="D1771" s="196" t="str">
        <f>IFERROR(__xludf.DUMMYFUNCTION("""COMPUTED_VALUE"""),"50 PCS NON WOVEN BUFFING WHEEL DISC
50 PCS GRAY AND WHITE ")</f>
        <v>50 PCS NON WOVEN BUFFING WHEEL DISC
50 PCS GRAY AND WHITE </v>
      </c>
      <c r="E1771" s="196" t="str">
        <f>IFERROR(__xludf.DUMMYFUNCTION("""COMPUTED_VALUE"""),"FOR ANGLE GRINDER BUFFING DISC")</f>
        <v>FOR ANGLE GRINDER BUFFING DISC</v>
      </c>
    </row>
    <row r="1772">
      <c r="A1772" s="234">
        <f>IFERROR(__xludf.DUMMYFUNCTION("""COMPUTED_VALUE"""),106605.0)</f>
        <v>106605</v>
      </c>
      <c r="B1772" s="235" t="str">
        <f>IFERROR(__xludf.DUMMYFUNCTION("""COMPUTED_VALUE"""),"SHEREE ESPINOSA")</f>
        <v>SHEREE ESPINOSA</v>
      </c>
      <c r="C1772" s="235" t="str">
        <f>IFERROR(__xludf.DUMMYFUNCTION("""COMPUTED_VALUE"""),"ADMIN")</f>
        <v>ADMIN</v>
      </c>
      <c r="D1772" s="196" t="str">
        <f>IFERROR(__xludf.DUMMYFUNCTION("""COMPUTED_VALUE"""),"1 PC ANGLE GRINDER")</f>
        <v>1 PC ANGLE GRINDER</v>
      </c>
      <c r="E1772" s="196" t="str">
        <f>IFERROR(__xludf.DUMMYFUNCTION("""COMPUTED_VALUE"""),"INTENDED FOR USE IN MAINTENANCE")</f>
        <v>INTENDED FOR USE IN MAINTENANCE</v>
      </c>
    </row>
    <row r="1773">
      <c r="A1773" s="234">
        <f>IFERROR(__xludf.DUMMYFUNCTION("""COMPUTED_VALUE"""),106606.0)</f>
        <v>106606</v>
      </c>
      <c r="B1773" s="235" t="str">
        <f>IFERROR(__xludf.DUMMYFUNCTION("""COMPUTED_VALUE"""),"OWIE PAR")</f>
        <v>OWIE PAR</v>
      </c>
      <c r="C1773" s="235" t="str">
        <f>IFERROR(__xludf.DUMMYFUNCTION("""COMPUTED_VALUE"""),"ENGINEERING")</f>
        <v>ENGINEERING</v>
      </c>
      <c r="D1773" s="196" t="str">
        <f>IFERROR(__xludf.DUMMYFUNCTION("""COMPUTED_VALUE"""),"1 UNIT 3.0 HP WALL MOUNTED TYPE INVERTER PANASONIC")</f>
        <v>1 UNIT 3.0 HP WALL MOUNTED TYPE INVERTER PANASONIC</v>
      </c>
      <c r="E1773" s="196" t="str">
        <f>IFERROR(__xludf.DUMMYFUNCTION("""COMPUTED_VALUE"""),"RM 405 ")</f>
        <v>RM 405 </v>
      </c>
    </row>
    <row r="1774">
      <c r="A1774" s="234">
        <f>IFERROR(__xludf.DUMMYFUNCTION("""COMPUTED_VALUE"""),106607.0)</f>
        <v>106607</v>
      </c>
      <c r="B1774" s="235" t="str">
        <f>IFERROR(__xludf.DUMMYFUNCTION("""COMPUTED_VALUE"""),"CHARLES LEBECO DONOR")</f>
        <v>CHARLES LEBECO DONOR</v>
      </c>
      <c r="C1774" s="235" t="str">
        <f>IFERROR(__xludf.DUMMYFUNCTION("""COMPUTED_VALUE"""),"AMD")</f>
        <v>AMD</v>
      </c>
      <c r="D1774" s="196" t="str">
        <f>IFERROR(__xludf.DUMMYFUNCTION("""COMPUTED_VALUE"""),"200 Frame, Certificate Wood Black 8.5 x 11 | deivered- 53
66 Corkboard - 2 X 3 (1/4T)mmmm w/ Frame
200 Thumb Tacks - Mitsuya /box No. 153 20g
100 Glue, Mighty Bond
600 Tape, 3M Masking Tape Big (1"")
400 Tape, Duct Tape (2in x 10m) - Optima Brand
125 Tape"&amp;", Packaging Tape (2"") - complete")</f>
        <v>200 Frame, Certificate Wood Black 8.5 x 11 | deivered- 53
66 Corkboard - 2 X 3 (1/4T)mmmm w/ Frame
200 Thumb Tacks - Mitsuya /box No. 153 20g
100 Glue, Mighty Bond
600 Tape, 3M Masking Tape Big (1")
400 Tape, Duct Tape (2in x 10m) - Optima Brand
125 Tape, Packaging Tape (2") - complete</v>
      </c>
      <c r="E1774" s="196" t="str">
        <f>IFERROR(__xludf.DUMMYFUNCTION("""COMPUTED_VALUE"""),"OSSUP REPLENISHMENTS")</f>
        <v>OSSUP REPLENISHMENTS</v>
      </c>
    </row>
    <row r="1775">
      <c r="A1775" s="234">
        <f>IFERROR(__xludf.DUMMYFUNCTION("""COMPUTED_VALUE"""),106608.0)</f>
        <v>106608</v>
      </c>
      <c r="B1775" s="235" t="str">
        <f>IFERROR(__xludf.DUMMYFUNCTION("""COMPUTED_VALUE"""),"LYKA PERALTA")</f>
        <v>LYKA PERALTA</v>
      </c>
      <c r="C1775" s="235" t="str">
        <f>IFERROR(__xludf.DUMMYFUNCTION("""COMPUTED_VALUE"""),"AMD")</f>
        <v>AMD</v>
      </c>
      <c r="D1775" s="196" t="str">
        <f>IFERROR(__xludf.DUMMYFUNCTION("""COMPUTED_VALUE"""),"200 PCS ECO BAG SMALL 35TH LOGO")</f>
        <v>200 PCS ECO BAG SMALL 35TH LOGO</v>
      </c>
      <c r="E1775" s="196" t="str">
        <f>IFERROR(__xludf.DUMMYFUNCTION("""COMPUTED_VALUE"""),"TOKEN REPLENISHMENT")</f>
        <v>TOKEN REPLENISHMENT</v>
      </c>
    </row>
    <row r="1776">
      <c r="A1776" s="234">
        <f>IFERROR(__xludf.DUMMYFUNCTION("""COMPUTED_VALUE"""),106609.0)</f>
        <v>106609</v>
      </c>
      <c r="B1776" s="235" t="str">
        <f>IFERROR(__xludf.DUMMYFUNCTION("""COMPUTED_VALUE"""),"CHARLES LEBECO DONOR")</f>
        <v>CHARLES LEBECO DONOR</v>
      </c>
      <c r="C1776" s="235" t="str">
        <f>IFERROR(__xludf.DUMMYFUNCTION("""COMPUTED_VALUE"""),"AMD")</f>
        <v>AMD</v>
      </c>
      <c r="D1776" s="196" t="str">
        <f>IFERROR(__xludf.DUMMYFUNCTION("""COMPUTED_VALUE"""),"1300 Marker, Pilot Whiteboard - Black
700 Marker, Pilot Whiteboard - Blue
600 Marker, Pilot Whiteboard - Red
240 Tape, Double Adhesive w/ Foam - Polar Bear
500 Tape, Double Sided w/o Foam - Polar Bear
120 Push Pins 30'S
40 Notebook, Spiral Corona 8.5X11
8"&amp;"00 Correction Tape, Joy
50 Cutter, Handy-Big L-300 GRP
2350 Envelope, Brown Short
25 Sharpener, Pencil - Carl Angel 5")</f>
        <v>1300 Marker, Pilot Whiteboard - Black
700 Marker, Pilot Whiteboard - Blue
600 Marker, Pilot Whiteboard - Red
240 Tape, Double Adhesive w/ Foam - Polar Bear
500 Tape, Double Sided w/o Foam - Polar Bear
120 Push Pins 30'S
40 Notebook, Spiral Corona 8.5X11
800 Correction Tape, Joy
50 Cutter, Handy-Big L-300 GRP
2350 Envelope, Brown Short
25 Sharpener, Pencil - Carl Angel 5</v>
      </c>
      <c r="E1776" s="196" t="str">
        <f>IFERROR(__xludf.DUMMYFUNCTION("""COMPUTED_VALUE"""),"OSSUP REPLENISHMENTS")</f>
        <v>OSSUP REPLENISHMENTS</v>
      </c>
    </row>
    <row r="1777">
      <c r="A1777" s="234">
        <f>IFERROR(__xludf.DUMMYFUNCTION("""COMPUTED_VALUE"""),106610.0)</f>
        <v>106610</v>
      </c>
      <c r="B1777" s="235" t="str">
        <f>IFERROR(__xludf.DUMMYFUNCTION("""COMPUTED_VALUE"""),"SHEREE ESPINOSA / CHARLES LEBECO DONOR")</f>
        <v>SHEREE ESPINOSA / CHARLES LEBECO DONOR</v>
      </c>
      <c r="C1777" s="235" t="str">
        <f>IFERROR(__xludf.DUMMYFUNCTION("""COMPUTED_VALUE"""),"ADMIN / AMD")</f>
        <v>ADMIN / AMD</v>
      </c>
      <c r="D1777" s="196" t="str">
        <f>IFERROR(__xludf.DUMMYFUNCTION("""COMPUTED_VALUE"""),"50 PCS - DUCT TAPE ARMAK BRAND BROWN COLOR")</f>
        <v>50 PCS - DUCT TAPE ARMAK BRAND BROWN COLOR</v>
      </c>
      <c r="E1777" s="196" t="str">
        <f>IFERROR(__xludf.DUMMYFUNCTION("""COMPUTED_VALUE"""),"FOR LUX HALL FLOORING - OSSUP REPLENISHMENTS")</f>
        <v>FOR LUX HALL FLOORING - OSSUP REPLENISHMENTS</v>
      </c>
    </row>
    <row r="1778">
      <c r="A1778" s="234">
        <f>IFERROR(__xludf.DUMMYFUNCTION("""COMPUTED_VALUE"""),106611.0)</f>
        <v>106611</v>
      </c>
      <c r="B1778" s="235" t="str">
        <f>IFERROR(__xludf.DUMMYFUNCTION("""COMPUTED_VALUE"""),"MARC VINCENT VITTO")</f>
        <v>MARC VINCENT VITTO</v>
      </c>
      <c r="C1778" s="235" t="str">
        <f>IFERROR(__xludf.DUMMYFUNCTION("""COMPUTED_VALUE"""),"PR &amp; MARKETING")</f>
        <v>PR &amp; MARKETING</v>
      </c>
      <c r="D1778" s="196" t="str">
        <f>IFERROR(__xludf.DUMMYFUNCTION("""COMPUTED_VALUE"""),"1 REORDER OF K 12 AND IB MUNICH TARP 
W 54FT X H 13FT 20 OZ WITH ROPE SEAMING AND EYELET ALLOVER")</f>
        <v>1 REORDER OF K 12 AND IB MUNICH TARP 
W 54FT X H 13FT 20 OZ WITH ROPE SEAMING AND EYELET ALLOVER</v>
      </c>
      <c r="E1778" s="196" t="str">
        <f>IFERROR(__xludf.DUMMYFUNCTION("""COMPUTED_VALUE"""),"REORDER")</f>
        <v>REORDER</v>
      </c>
    </row>
    <row r="1779">
      <c r="A1779" s="234">
        <f>IFERROR(__xludf.DUMMYFUNCTION("""COMPUTED_VALUE"""),106612.0)</f>
        <v>106612</v>
      </c>
      <c r="B1779" s="235" t="str">
        <f>IFERROR(__xludf.DUMMYFUNCTION("""COMPUTED_VALUE"""),"MARYNEILLA CARAMOAN AND JAYVEN POBLETE")</f>
        <v>MARYNEILLA CARAMOAN AND JAYVEN POBLETE</v>
      </c>
      <c r="C1779" s="235" t="str">
        <f>IFERROR(__xludf.DUMMYFUNCTION("""COMPUTED_VALUE"""),"PR &amp; MARKETING")</f>
        <v>PR &amp; MARKETING</v>
      </c>
      <c r="D1779" s="196" t="str">
        <f>IFERROR(__xludf.DUMMYFUNCTION("""COMPUTED_VALUE"""),"2 SPIN THE WHEEL STANDING H 158CM WHEEL 40.64 CM
1 FISHBOWL PLASTIC LARGE")</f>
        <v>2 SPIN THE WHEEL STANDING H 158CM WHEEL 40.64 CM
1 FISHBOWL PLASTIC LARGE</v>
      </c>
      <c r="E1779" s="196" t="str">
        <f>IFERROR(__xludf.DUMMYFUNCTION("""COMPUTED_VALUE"""),"FOR SCHOOL PRESENTATION  PURPOSES CAREER FAIR BOOTH")</f>
        <v>FOR SCHOOL PRESENTATION  PURPOSES CAREER FAIR BOOTH</v>
      </c>
    </row>
    <row r="1780">
      <c r="A1780" s="234">
        <f>IFERROR(__xludf.DUMMYFUNCTION("""COMPUTED_VALUE"""),106613.0)</f>
        <v>106613</v>
      </c>
      <c r="B1780" s="235" t="str">
        <f>IFERROR(__xludf.DUMMYFUNCTION("""COMPUTED_VALUE"""),"CHARLES LEBECO DONOR")</f>
        <v>CHARLES LEBECO DONOR</v>
      </c>
      <c r="C1780" s="235" t="str">
        <f>IFERROR(__xludf.DUMMYFUNCTION("""COMPUTED_VALUE"""),"AMD")</f>
        <v>AMD</v>
      </c>
      <c r="D1780" s="196" t="str">
        <f>IFERROR(__xludf.DUMMYFUNCTION("""COMPUTED_VALUE"""),"200 Scissors, Stanford - Maped Stainless")</f>
        <v>200 Scissors, Stanford - Maped Stainless</v>
      </c>
      <c r="E1780" s="196" t="str">
        <f>IFERROR(__xludf.DUMMYFUNCTION("""COMPUTED_VALUE"""),"OSSUP REPLENISHMENTS")</f>
        <v>OSSUP REPLENISHMENTS</v>
      </c>
    </row>
    <row r="1781">
      <c r="A1781" s="234">
        <f>IFERROR(__xludf.DUMMYFUNCTION("""COMPUTED_VALUE"""),106614.0)</f>
        <v>106614</v>
      </c>
      <c r="B1781" s="235" t="str">
        <f>IFERROR(__xludf.DUMMYFUNCTION("""COMPUTED_VALUE"""),"RODRIGO CUSTODIO")</f>
        <v>RODRIGO CUSTODIO</v>
      </c>
      <c r="C1781" s="235" t="str">
        <f>IFERROR(__xludf.DUMMYFUNCTION("""COMPUTED_VALUE"""),"AMD")</f>
        <v>AMD</v>
      </c>
      <c r="D1781" s="196" t="str">
        <f>IFERROR(__xludf.DUMMYFUNCTION("""COMPUTED_VALUE"""),"15 PCS MOP HANDLE 4FT YELLOW
13 PCS MOP HANDLE 4FT RED")</f>
        <v>15 PCS MOP HANDLE 4FT YELLOW
13 PCS MOP HANDLE 4FT RED</v>
      </c>
      <c r="E1781" s="196" t="str">
        <f>IFERROR(__xludf.DUMMYFUNCTION("""COMPUTED_VALUE"""),"HOUSEKEEPING MATERIALS STOCK REPLENISHMENT")</f>
        <v>HOUSEKEEPING MATERIALS STOCK REPLENISHMENT</v>
      </c>
    </row>
    <row r="1782">
      <c r="A1782" s="234">
        <f>IFERROR(__xludf.DUMMYFUNCTION("""COMPUTED_VALUE"""),106615.0)</f>
        <v>106615</v>
      </c>
      <c r="B1782" s="235" t="str">
        <f>IFERROR(__xludf.DUMMYFUNCTION("""COMPUTED_VALUE"""),"JESUIT CHRISTIAN GALICIA")</f>
        <v>JESUIT CHRISTIAN GALICIA</v>
      </c>
      <c r="C1782" s="235" t="str">
        <f>IFERROR(__xludf.DUMMYFUNCTION("""COMPUTED_VALUE"""),"AMD")</f>
        <v>AMD</v>
      </c>
      <c r="D1782" s="196" t="str">
        <f>IFERROR(__xludf.DUMMYFUNCTION("""COMPUTED_VALUE"""),"6 ROLLS FLAT CORD #16
6 ROLLS FLAT CORD #18")</f>
        <v>6 ROLLS FLAT CORD #16
6 ROLLS FLAT CORD #18</v>
      </c>
      <c r="E1782" s="196" t="str">
        <f>IFERROR(__xludf.DUMMYFUNCTION("""COMPUTED_VALUE"""),"ENGR WAREHOUSE STOCK REPLENISHMENT")</f>
        <v>ENGR WAREHOUSE STOCK REPLENISHMENT</v>
      </c>
    </row>
    <row r="1783">
      <c r="A1783" s="234">
        <f>IFERROR(__xludf.DUMMYFUNCTION("""COMPUTED_VALUE"""),106616.0)</f>
        <v>106616</v>
      </c>
      <c r="B1783" s="235" t="str">
        <f>IFERROR(__xludf.DUMMYFUNCTION("""COMPUTED_VALUE"""),"CHRISTON CORBEZA")</f>
        <v>CHRISTON CORBEZA</v>
      </c>
      <c r="C1783" s="235" t="str">
        <f>IFERROR(__xludf.DUMMYFUNCTION("""COMPUTED_VALUE"""),"ADMIN")</f>
        <v>ADMIN</v>
      </c>
      <c r="D1783" s="196" t="str">
        <f>IFERROR(__xludf.DUMMYFUNCTION("""COMPUTED_VALUE"""),"ESSD BOARD ADJUSTABLE WEIGHT H 180CM")</f>
        <v>ESSD BOARD ADJUSTABLE WEIGHT H 180CM</v>
      </c>
      <c r="E1783" s="196" t="str">
        <f>IFERROR(__xludf.DUMMYFUNCTION("""COMPUTED_VALUE"""),"FOR PAINTING WITH FAMILY EVENT")</f>
        <v>FOR PAINTING WITH FAMILY EVENT</v>
      </c>
    </row>
    <row r="1784">
      <c r="A1784" s="234">
        <f>IFERROR(__xludf.DUMMYFUNCTION("""COMPUTED_VALUE"""),106617.0)</f>
        <v>106617</v>
      </c>
      <c r="B1784" s="235" t="str">
        <f>IFERROR(__xludf.DUMMYFUNCTION("""COMPUTED_VALUE"""),"RONALDO VERDE")</f>
        <v>RONALDO VERDE</v>
      </c>
      <c r="C1784" s="235" t="str">
        <f>IFERROR(__xludf.DUMMYFUNCTION("""COMPUTED_VALUE"""),"ADMIN")</f>
        <v>ADMIN</v>
      </c>
      <c r="D1784" s="196" t="str">
        <f>IFERROR(__xludf.DUMMYFUNCTION("""COMPUTED_VALUE"""),"4 PCS TIRE 7.50-15LT W/TUBE ")</f>
        <v>4 PCS TIRE 7.50-15LT W/TUBE </v>
      </c>
      <c r="E1784" s="196" t="str">
        <f>IFERROR(__xludf.DUMMYFUNCTION("""COMPUTED_VALUE"""),"PM OF SISC VAN ")</f>
        <v>PM OF SISC VAN </v>
      </c>
    </row>
    <row r="1785">
      <c r="A1785" s="234">
        <f>IFERROR(__xludf.DUMMYFUNCTION("""COMPUTED_VALUE"""),106618.0)</f>
        <v>106618</v>
      </c>
      <c r="B1785" s="235" t="str">
        <f>IFERROR(__xludf.DUMMYFUNCTION("""COMPUTED_VALUE"""),"JORGE BALELA")</f>
        <v>JORGE BALELA</v>
      </c>
      <c r="C1785" s="235" t="str">
        <f>IFERROR(__xludf.DUMMYFUNCTION("""COMPUTED_VALUE"""),"ADMIN")</f>
        <v>ADMIN</v>
      </c>
      <c r="D1785" s="196" t="str">
        <f>IFERROR(__xludf.DUMMYFUNCTION("""COMPUTED_VALUE"""),"MASTER OF MASTER BOARD GAME")</f>
        <v>MASTER OF MASTER BOARD GAME</v>
      </c>
      <c r="E1785" s="196" t="str">
        <f>IFERROR(__xludf.DUMMYFUNCTION("""COMPUTED_VALUE"""),"FOR DISASTER MANAGEMENT BOARD SAMPLE")</f>
        <v>FOR DISASTER MANAGEMENT BOARD SAMPLE</v>
      </c>
    </row>
    <row r="1786">
      <c r="A1786" s="234">
        <f>IFERROR(__xludf.DUMMYFUNCTION("""COMPUTED_VALUE"""),106619.0)</f>
        <v>106619</v>
      </c>
      <c r="B1786" s="235" t="str">
        <f>IFERROR(__xludf.DUMMYFUNCTION("""COMPUTED_VALUE"""),"JESUIT CHRISTIAN GALICIA")</f>
        <v>JESUIT CHRISTIAN GALICIA</v>
      </c>
      <c r="C1786" s="235" t="str">
        <f>IFERROR(__xludf.DUMMYFUNCTION("""COMPUTED_VALUE"""),"AMD")</f>
        <v>AMD</v>
      </c>
      <c r="D1786" s="196" t="str">
        <f>IFERROR(__xludf.DUMMYFUNCTION("""COMPUTED_VALUE"""),"20 PCS FILL VALVE WASSERNISON NJ 206")</f>
        <v>20 PCS FILL VALVE WASSERNISON NJ 206</v>
      </c>
      <c r="E1786" s="196" t="str">
        <f>IFERROR(__xludf.DUMMYFUNCTION("""COMPUTED_VALUE"""),"ENGR WAREHOUSE STOCK REPLENISHMENT")</f>
        <v>ENGR WAREHOUSE STOCK REPLENISHMENT</v>
      </c>
    </row>
    <row r="1787">
      <c r="A1787" s="234">
        <f>IFERROR(__xludf.DUMMYFUNCTION("""COMPUTED_VALUE"""),106620.0)</f>
        <v>106620</v>
      </c>
      <c r="B1787" s="235" t="str">
        <f>IFERROR(__xludf.DUMMYFUNCTION("""COMPUTED_VALUE"""),"RODRIGO CUSTODIO")</f>
        <v>RODRIGO CUSTODIO</v>
      </c>
      <c r="C1787" s="235" t="str">
        <f>IFERROR(__xludf.DUMMYFUNCTION("""COMPUTED_VALUE"""),"AMD")</f>
        <v>AMD</v>
      </c>
      <c r="D1787" s="196" t="str">
        <f>IFERROR(__xludf.DUMMYFUNCTION("""COMPUTED_VALUE"""),"33 PLEDGE METAL POLISH 150 ML")</f>
        <v>33 PLEDGE METAL POLISH 150 ML</v>
      </c>
      <c r="E1787" s="196" t="str">
        <f>IFERROR(__xludf.DUMMYFUNCTION("""COMPUTED_VALUE"""),"HOUSEKEEPING MATERIALS STOCK REPLENISHMENT")</f>
        <v>HOUSEKEEPING MATERIALS STOCK REPLENISHMENT</v>
      </c>
    </row>
    <row r="1788">
      <c r="A1788" s="234">
        <f>IFERROR(__xludf.DUMMYFUNCTION("""COMPUTED_VALUE"""),106621.0)</f>
        <v>106621</v>
      </c>
      <c r="B1788" s="235" t="str">
        <f>IFERROR(__xludf.DUMMYFUNCTION("""COMPUTED_VALUE"""),"LYKA PERALTA")</f>
        <v>LYKA PERALTA</v>
      </c>
      <c r="C1788" s="235" t="str">
        <f>IFERROR(__xludf.DUMMYFUNCTION("""COMPUTED_VALUE"""),"ABU")</f>
        <v>ABU</v>
      </c>
      <c r="D1788" s="196" t="str">
        <f>IFERROR(__xludf.DUMMYFUNCTION("""COMPUTED_VALUE"""),"20 PCS PLANT POT 12/WHITE
10 PCS SQUEGEE BLACK
20 PCS WHITE POTS SMALL
1 PC FRAME 61 X 91")</f>
        <v>20 PCS PLANT POT 12/WHITE
10 PCS SQUEGEE BLACK
20 PCS WHITE POTS SMALL
1 PC FRAME 61 X 91</v>
      </c>
      <c r="E1788" s="196" t="str">
        <f>IFERROR(__xludf.DUMMYFUNCTION("""COMPUTED_VALUE"""),"FOR CAFETERIA")</f>
        <v>FOR CAFETERIA</v>
      </c>
    </row>
    <row r="1789">
      <c r="A1789" s="234">
        <f>IFERROR(__xludf.DUMMYFUNCTION("""COMPUTED_VALUE"""),106622.0)</f>
        <v>106622</v>
      </c>
      <c r="B1789" s="235" t="str">
        <f>IFERROR(__xludf.DUMMYFUNCTION("""COMPUTED_VALUE"""),"MELISSA NAVAL ODONO")</f>
        <v>MELISSA NAVAL ODONO</v>
      </c>
      <c r="C1789" s="235" t="str">
        <f>IFERROR(__xludf.DUMMYFUNCTION("""COMPUTED_VALUE"""),"IB LIBRARY")</f>
        <v>IB LIBRARY</v>
      </c>
      <c r="D1789" s="196" t="str">
        <f>IFERROR(__xludf.DUMMYFUNCTION("""COMPUTED_VALUE"""),"1 EACH CHINESE BOOKS MANDARIN VENUS LIU CHI FAI 1 AND 2 TEXTBOOK")</f>
        <v>1 EACH CHINESE BOOKS MANDARIN VENUS LIU CHI FAI 1 AND 2 TEXTBOOK</v>
      </c>
      <c r="E1789" s="196" t="str">
        <f>IFERROR(__xludf.DUMMYFUNCTION("""COMPUTED_VALUE"""),"FOR LIBRARY COPY")</f>
        <v>FOR LIBRARY COPY</v>
      </c>
    </row>
    <row r="1790">
      <c r="A1790" s="234">
        <f>IFERROR(__xludf.DUMMYFUNCTION("""COMPUTED_VALUE"""),106623.0)</f>
        <v>106623</v>
      </c>
      <c r="B1790" s="235" t="str">
        <f>IFERROR(__xludf.DUMMYFUNCTION("""COMPUTED_VALUE"""),"JESUIT CHRISTIAN GALICIA")</f>
        <v>JESUIT CHRISTIAN GALICIA</v>
      </c>
      <c r="C1790" s="235" t="str">
        <f>IFERROR(__xludf.DUMMYFUNCTION("""COMPUTED_VALUE"""),"AMD")</f>
        <v>AMD</v>
      </c>
      <c r="D1790" s="196" t="str">
        <f>IFERROR(__xludf.DUMMYFUNCTION("""COMPUTED_VALUE"""),"20 PCS KINGSTON SOLID STATE DRIVE 512GB
10 PCS VIDEOCARD 2GB DDR3 64BIT NVIDIA")</f>
        <v>20 PCS KINGSTON SOLID STATE DRIVE 512GB
10 PCS VIDEOCARD 2GB DDR3 64BIT NVIDIA</v>
      </c>
      <c r="E1790" s="196" t="str">
        <f>IFERROR(__xludf.DUMMYFUNCTION("""COMPUTED_VALUE"""),"MIS WAREHOUSE STOCK REPLENISHMENT")</f>
        <v>MIS WAREHOUSE STOCK REPLENISHMENT</v>
      </c>
    </row>
    <row r="1791">
      <c r="A1791" s="234">
        <f>IFERROR(__xludf.DUMMYFUNCTION("""COMPUTED_VALUE"""),106624.0)</f>
        <v>106624</v>
      </c>
      <c r="B1791" s="235" t="str">
        <f>IFERROR(__xludf.DUMMYFUNCTION("""COMPUTED_VALUE"""),"LYKA PERALTA")</f>
        <v>LYKA PERALTA</v>
      </c>
      <c r="C1791" s="235" t="str">
        <f>IFERROR(__xludf.DUMMYFUNCTION("""COMPUTED_VALUE"""),"ABU")</f>
        <v>ABU</v>
      </c>
      <c r="D1791" s="196" t="str">
        <f>IFERROR(__xludf.DUMMYFUNCTION("""COMPUTED_VALUE"""),"20 PCS SOJABONA PLANT POT WHITE 12 CM
20 PCS PLASTIC WHITE POTS SMALL")</f>
        <v>20 PCS SOJABONA PLANT POT WHITE 12 CM
20 PCS PLASTIC WHITE POTS SMALL</v>
      </c>
      <c r="E1791" s="196" t="str">
        <f>IFERROR(__xludf.DUMMYFUNCTION("""COMPUTED_VALUE"""),"FOR CAFETERIA")</f>
        <v>FOR CAFETERIA</v>
      </c>
    </row>
    <row r="1792">
      <c r="A1792" s="234">
        <f>IFERROR(__xludf.DUMMYFUNCTION("""COMPUTED_VALUE"""),106625.0)</f>
        <v>106625</v>
      </c>
      <c r="B1792" s="235" t="str">
        <f>IFERROR(__xludf.DUMMYFUNCTION("""COMPUTED_VALUE"""),"DARABETH SALIBIO")</f>
        <v>DARABETH SALIBIO</v>
      </c>
      <c r="C1792" s="235" t="str">
        <f>IFERROR(__xludf.DUMMYFUNCTION("""COMPUTED_VALUE"""),"IB")</f>
        <v>IB</v>
      </c>
      <c r="D1792" s="196" t="str">
        <f>IFERROR(__xludf.DUMMYFUNCTION("""COMPUTED_VALUE"""),"1 HAND PAPER TOWEL DISPENSER GRAY
10 WOODEN EASEL")</f>
        <v>1 HAND PAPER TOWEL DISPENSER GRAY
10 WOODEN EASEL</v>
      </c>
      <c r="E1792" s="196" t="str">
        <f>IFERROR(__xludf.DUMMYFUNCTION("""COMPUTED_VALUE"""),"FOR IB VISUAL ARTS CLASS")</f>
        <v>FOR IB VISUAL ARTS CLASS</v>
      </c>
    </row>
    <row r="1793">
      <c r="A1793" s="234">
        <f>IFERROR(__xludf.DUMMYFUNCTION("""COMPUTED_VALUE"""),106626.0)</f>
        <v>106626</v>
      </c>
      <c r="B1793" s="235" t="str">
        <f>IFERROR(__xludf.DUMMYFUNCTION("""COMPUTED_VALUE"""),"DARABETH SALIBIO")</f>
        <v>DARABETH SALIBIO</v>
      </c>
      <c r="C1793" s="235" t="str">
        <f>IFERROR(__xludf.DUMMYFUNCTION("""COMPUTED_VALUE"""),"IB")</f>
        <v>IB</v>
      </c>
      <c r="D1793" s="196" t="str">
        <f>IFERROR(__xludf.DUMMYFUNCTION("""COMPUTED_VALUE"""),"1 SET COLORED PENCILS
1 SET SKETCH DRAWING PENCIL
5 PCS KNEADABLE ERASER 
1 SET DETAIL BRUSH
1 BOTTLE ACRYLIC GLOSS
2 PCS NYLON FLAT PAINT BRUSH #3
2 PCS NYLON FLAT PAINT BRUSH #4
2 PCS NYLON FLAT PAINT BRUSH #5
1 SET PAINT SPATULA/SCRAPER
2 BOT ACRYLIC P"&amp;"AINT ULTRAMARINE BLUE
2 BOT ACRYLIC PAINT RED
2 BOT ACRYLIC PAINT LEMON YELLOW
1 BOT ACRYLIC PAINT GOLD
1 BOT ACRYLIC PAINT SILVER
2 BOT ACRYLIC PAINT MARS BLACK
2 BOT ACRYLIC PAINT TITANIUM WHITE
1 SET NAIL ROUND BRUSHES
1 SET SPIKE HEAD BRUSHES
1 SET MI"&amp;"X HEAD BRUSHES
1 SWT WATERCOLOR
10 PCS MULTIPURPOSE BRUSH WATER BUCKET MIXING PALETTE")</f>
        <v>1 SET COLORED PENCILS
1 SET SKETCH DRAWING PENCIL
5 PCS KNEADABLE ERASER 
1 SET DETAIL BRUSH
1 BOTTLE ACRYLIC GLOSS
2 PCS NYLON FLAT PAINT BRUSH #3
2 PCS NYLON FLAT PAINT BRUSH #4
2 PCS NYLON FLAT PAINT BRUSH #5
1 SET PAINT SPATULA/SCRAPER
2 BOT ACRYLIC PAINT ULTRAMARINE BLUE
2 BOT ACRYLIC PAINT RED
2 BOT ACRYLIC PAINT LEMON YELLOW
1 BOT ACRYLIC PAINT GOLD
1 BOT ACRYLIC PAINT SILVER
2 BOT ACRYLIC PAINT MARS BLACK
2 BOT ACRYLIC PAINT TITANIUM WHITE
1 SET NAIL ROUND BRUSHES
1 SET SPIKE HEAD BRUSHES
1 SET MIX HEAD BRUSHES
1 SWT WATERCOLOR
10 PCS MULTIPURPOSE BRUSH WATER BUCKET MIXING PALETTE</v>
      </c>
      <c r="E1793" s="196" t="str">
        <f>IFERROR(__xludf.DUMMYFUNCTION("""COMPUTED_VALUE"""),"FOR IB VISUAL ARTS CLASS")</f>
        <v>FOR IB VISUAL ARTS CLASS</v>
      </c>
    </row>
    <row r="1794">
      <c r="A1794" s="234">
        <f>IFERROR(__xludf.DUMMYFUNCTION("""COMPUTED_VALUE"""),106627.0)</f>
        <v>106627</v>
      </c>
      <c r="B1794" s="235" t="str">
        <f>IFERROR(__xludf.DUMMYFUNCTION("""COMPUTED_VALUE"""),"SHEREE ESPINOSA")</f>
        <v>SHEREE ESPINOSA</v>
      </c>
      <c r="C1794" s="235" t="str">
        <f>IFERROR(__xludf.DUMMYFUNCTION("""COMPUTED_VALUE"""),"ADMIN")</f>
        <v>ADMIN</v>
      </c>
      <c r="D1794" s="196" t="str">
        <f>IFERROR(__xludf.DUMMYFUNCTION("""COMPUTED_VALUE"""),"1 PC WHITEBOARD W/STAND")</f>
        <v>1 PC WHITEBOARD W/STAND</v>
      </c>
      <c r="E1794" s="196" t="str">
        <f>IFERROR(__xludf.DUMMYFUNCTION("""COMPUTED_VALUE"""),"FOR CEM BOARD ROOM USE")</f>
        <v>FOR CEM BOARD ROOM USE</v>
      </c>
    </row>
    <row r="1795">
      <c r="A1795" s="234">
        <f>IFERROR(__xludf.DUMMYFUNCTION("""COMPUTED_VALUE"""),106628.0)</f>
        <v>106628</v>
      </c>
      <c r="B1795" s="235" t="str">
        <f>IFERROR(__xludf.DUMMYFUNCTION("""COMPUTED_VALUE"""),"SHEREE ESPINOSA")</f>
        <v>SHEREE ESPINOSA</v>
      </c>
      <c r="C1795" s="235" t="str">
        <f>IFERROR(__xludf.DUMMYFUNCTION("""COMPUTED_VALUE"""),"ADMIN")</f>
        <v>ADMIN</v>
      </c>
      <c r="D1795" s="196" t="str">
        <f>IFERROR(__xludf.DUMMYFUNCTION("""COMPUTED_VALUE"""),"10 PCS POLY BOXES MEGABOX 120 L")</f>
        <v>10 PCS POLY BOXES MEGABOX 120 L</v>
      </c>
      <c r="E1795" s="196" t="str">
        <f>IFERROR(__xludf.DUMMYFUNCTION("""COMPUTED_VALUE"""),"CHRISTMAS DECORS STORAGE BOX")</f>
        <v>CHRISTMAS DECORS STORAGE BOX</v>
      </c>
    </row>
    <row r="1796">
      <c r="A1796" s="234">
        <f>IFERROR(__xludf.DUMMYFUNCTION("""COMPUTED_VALUE"""),106629.0)</f>
        <v>106629</v>
      </c>
      <c r="B1796" s="235" t="str">
        <f>IFERROR(__xludf.DUMMYFUNCTION("""COMPUTED_VALUE"""),"CHRISTON CORBEZA")</f>
        <v>CHRISTON CORBEZA</v>
      </c>
      <c r="C1796" s="235" t="str">
        <f>IFERROR(__xludf.DUMMYFUNCTION("""COMPUTED_VALUE"""),"ADMIN")</f>
        <v>ADMIN</v>
      </c>
      <c r="D1796" s="196" t="str">
        <f>IFERROR(__xludf.DUMMYFUNCTION("""COMPUTED_VALUE"""),"2 PCS TISSUE DISPENSER JUMBO ROLL")</f>
        <v>2 PCS TISSUE DISPENSER JUMBO ROLL</v>
      </c>
      <c r="E1796" s="196" t="str">
        <f>IFERROR(__xludf.DUMMYFUNCTION("""COMPUTED_VALUE"""),"FOR REPLACEMENT OF DAMAGE DISPENSER ")</f>
        <v>FOR REPLACEMENT OF DAMAGE DISPENSER </v>
      </c>
    </row>
    <row r="1797">
      <c r="A1797" s="234">
        <f>IFERROR(__xludf.DUMMYFUNCTION("""COMPUTED_VALUE"""),106630.0)</f>
        <v>106630</v>
      </c>
      <c r="B1797" s="235" t="str">
        <f>IFERROR(__xludf.DUMMYFUNCTION("""COMPUTED_VALUE"""),"JAYVEN POBLETE")</f>
        <v>JAYVEN POBLETE</v>
      </c>
      <c r="C1797" s="235" t="str">
        <f>IFERROR(__xludf.DUMMYFUNCTION("""COMPUTED_VALUE"""),"PR &amp; MARKETING")</f>
        <v>PR &amp; MARKETING</v>
      </c>
      <c r="D1797" s="196" t="str">
        <f>IFERROR(__xludf.DUMMYFUNCTION("""COMPUTED_VALUE"""),"2 MACBOOK M2 ")</f>
        <v>2 MACBOOK M2 </v>
      </c>
      <c r="E1797" s="196" t="str">
        <f>IFERROR(__xludf.DUMMYFUNCTION("""COMPUTED_VALUE"""),"MARKETING PURPOSES")</f>
        <v>MARKETING PURPOSES</v>
      </c>
    </row>
    <row r="1798">
      <c r="A1798" s="234">
        <f>IFERROR(__xludf.DUMMYFUNCTION("""COMPUTED_VALUE"""),106631.0)</f>
        <v>106631</v>
      </c>
      <c r="B1798" s="235" t="str">
        <f>IFERROR(__xludf.DUMMYFUNCTION("""COMPUTED_VALUE"""),"JANELLE ILAO")</f>
        <v>JANELLE ILAO</v>
      </c>
      <c r="C1798" s="235" t="str">
        <f>IFERROR(__xludf.DUMMYFUNCTION("""COMPUTED_VALUE"""),"HRMD")</f>
        <v>HRMD</v>
      </c>
      <c r="D1798" s="196" t="str">
        <f>IFERROR(__xludf.DUMMYFUNCTION("""COMPUTED_VALUE"""),"1 FLOWER WREATH ")</f>
        <v>1 FLOWER WREATH </v>
      </c>
      <c r="E1798" s="196" t="str">
        <f>IFERROR(__xludf.DUMMYFUNCTION("""COMPUTED_VALUE"""),"FLOWER WREATH FOR MS SAMEYA GARCIA'S BROTHER")</f>
        <v>FLOWER WREATH FOR MS SAMEYA GARCIA'S BROTHER</v>
      </c>
    </row>
    <row r="1799">
      <c r="A1799" s="234">
        <f>IFERROR(__xludf.DUMMYFUNCTION("""COMPUTED_VALUE"""),106632.0)</f>
        <v>106632</v>
      </c>
      <c r="B1799" s="235" t="str">
        <f>IFERROR(__xludf.DUMMYFUNCTION("""COMPUTED_VALUE"""),"OWIE PAR")</f>
        <v>OWIE PAR</v>
      </c>
      <c r="C1799" s="235" t="str">
        <f>IFERROR(__xludf.DUMMYFUNCTION("""COMPUTED_VALUE"""),"ENGINEERING")</f>
        <v>ENGINEERING</v>
      </c>
      <c r="D1799" s="196" t="str">
        <f>IFERROR(__xludf.DUMMYFUNCTION("""COMPUTED_VALUE"""),"1 PC FORMIC A ")</f>
        <v>1 PC FORMIC A </v>
      </c>
      <c r="E1799" s="196" t="str">
        <f>IFERROR(__xludf.DUMMYFUNCTION("""COMPUTED_VALUE"""),"FOR REPAIR OF WATER DISPENSER CABINETS")</f>
        <v>FOR REPAIR OF WATER DISPENSER CABINETS</v>
      </c>
    </row>
    <row r="1800">
      <c r="A1800" s="234">
        <f>IFERROR(__xludf.DUMMYFUNCTION("""COMPUTED_VALUE"""),106633.0)</f>
        <v>106633</v>
      </c>
      <c r="B1800" s="235" t="str">
        <f>IFERROR(__xludf.DUMMYFUNCTION("""COMPUTED_VALUE"""),"CHRISTON CORBEZA")</f>
        <v>CHRISTON CORBEZA</v>
      </c>
      <c r="C1800" s="235" t="str">
        <f>IFERROR(__xludf.DUMMYFUNCTION("""COMPUTED_VALUE"""),"ADMIN")</f>
        <v>ADMIN</v>
      </c>
      <c r="D1800" s="196" t="str">
        <f>IFERROR(__xludf.DUMMYFUNCTION("""COMPUTED_VALUE"""),"2 PCS GLASSDOOR LOCK FOR LIB AND MAIN ENTRANCE")</f>
        <v>2 PCS GLASSDOOR LOCK FOR LIB AND MAIN ENTRANCE</v>
      </c>
      <c r="E1800" s="196" t="str">
        <f>IFERROR(__xludf.DUMMYFUNCTION("""COMPUTED_VALUE"""),"FOR REPLACEMENT ")</f>
        <v>FOR REPLACEMENT </v>
      </c>
    </row>
    <row r="1801">
      <c r="A1801" s="234">
        <f>IFERROR(__xludf.DUMMYFUNCTION("""COMPUTED_VALUE"""),106634.0)</f>
        <v>106634</v>
      </c>
      <c r="B1801" s="235" t="str">
        <f>IFERROR(__xludf.DUMMYFUNCTION("""COMPUTED_VALUE"""),"CHRISTON CORBEZA")</f>
        <v>CHRISTON CORBEZA</v>
      </c>
      <c r="C1801" s="235" t="str">
        <f>IFERROR(__xludf.DUMMYFUNCTION("""COMPUTED_VALUE"""),"ADMIN")</f>
        <v>ADMIN</v>
      </c>
      <c r="D1801" s="196" t="str">
        <f>IFERROR(__xludf.DUMMYFUNCTION("""COMPUTED_VALUE"""),"20 PCS LAVATORY SINK STRAINER 
20 PCS DOOR STOPPER 
5 PCS TOILET TANK FLUSH VALVE")</f>
        <v>20 PCS LAVATORY SINK STRAINER 
20 PCS DOOR STOPPER 
5 PCS TOILET TANK FLUSH VALVE</v>
      </c>
      <c r="E1801" s="196"/>
    </row>
    <row r="1802">
      <c r="A1802" s="234">
        <f>IFERROR(__xludf.DUMMYFUNCTION("""COMPUTED_VALUE"""),106635.0)</f>
        <v>106635</v>
      </c>
      <c r="B1802" s="235" t="str">
        <f>IFERROR(__xludf.DUMMYFUNCTION("""COMPUTED_VALUE"""),"RODRIGO CUSTODIO")</f>
        <v>RODRIGO CUSTODIO</v>
      </c>
      <c r="C1802" s="235" t="str">
        <f>IFERROR(__xludf.DUMMYFUNCTION("""COMPUTED_VALUE"""),"AMD")</f>
        <v>AMD</v>
      </c>
      <c r="D1802" s="196" t="str">
        <f>IFERROR(__xludf.DUMMYFUNCTION("""COMPUTED_VALUE"""),"12 PCS DIPPER OROCAN WHITE
7 PCS PAIL OROCAN WHITE")</f>
        <v>12 PCS DIPPER OROCAN WHITE
7 PCS PAIL OROCAN WHITE</v>
      </c>
      <c r="E1802" s="196" t="str">
        <f>IFERROR(__xludf.DUMMYFUNCTION("""COMPUTED_VALUE"""),"HOUSEKEEPING MATERIALS STOCK REPLENISHMENT")</f>
        <v>HOUSEKEEPING MATERIALS STOCK REPLENISHMENT</v>
      </c>
    </row>
    <row r="1803">
      <c r="A1803" s="234">
        <f>IFERROR(__xludf.DUMMYFUNCTION("""COMPUTED_VALUE"""),106636.0)</f>
        <v>106636</v>
      </c>
      <c r="B1803" s="235" t="str">
        <f>IFERROR(__xludf.DUMMYFUNCTION("""COMPUTED_VALUE"""),"JOVIT MANTALA")</f>
        <v>JOVIT MANTALA</v>
      </c>
      <c r="C1803" s="235" t="str">
        <f>IFERROR(__xludf.DUMMYFUNCTION("""COMPUTED_VALUE"""),"FINANCE &amp; ACCOUNTING")</f>
        <v>FINANCE &amp; ACCOUNTING</v>
      </c>
      <c r="D1803" s="196" t="str">
        <f>IFERROR(__xludf.DUMMYFUNCTION("""COMPUTED_VALUE"""),"1COLOR PRINTER 53 DATER")</f>
        <v>1COLOR PRINTER 53 DATER</v>
      </c>
      <c r="E1803" s="196" t="str">
        <f>IFERROR(__xludf.DUMMYFUNCTION("""COMPUTED_VALUE"""),"TO STAMP PAID DOCS")</f>
        <v>TO STAMP PAID DOCS</v>
      </c>
    </row>
    <row r="1804">
      <c r="A1804" s="234">
        <f>IFERROR(__xludf.DUMMYFUNCTION("""COMPUTED_VALUE"""),106637.0)</f>
        <v>106637</v>
      </c>
      <c r="B1804" s="235" t="str">
        <f>IFERROR(__xludf.DUMMYFUNCTION("""COMPUTED_VALUE"""),"EVA NECOSIA")</f>
        <v>EVA NECOSIA</v>
      </c>
      <c r="C1804" s="235" t="str">
        <f>IFERROR(__xludf.DUMMYFUNCTION("""COMPUTED_VALUE"""),"FINANCE &amp; ACCOUNTING")</f>
        <v>FINANCE &amp; ACCOUNTING</v>
      </c>
      <c r="D1804" s="196" t="str">
        <f>IFERROR(__xludf.DUMMYFUNCTION("""COMPUTED_VALUE"""),"1 MONEY COUNTER")</f>
        <v>1 MONEY COUNTER</v>
      </c>
      <c r="E1804" s="196" t="str">
        <f>IFERROR(__xludf.DUMMYFUNCTION("""COMPUTED_VALUE"""),"FOR COUNTING COLLECTION TO IDENTIFY FAKE MONEY")</f>
        <v>FOR COUNTING COLLECTION TO IDENTIFY FAKE MONEY</v>
      </c>
    </row>
    <row r="1805">
      <c r="A1805" s="234">
        <f>IFERROR(__xludf.DUMMYFUNCTION("""COMPUTED_VALUE"""),106638.0)</f>
        <v>106638</v>
      </c>
      <c r="B1805" s="235" t="str">
        <f>IFERROR(__xludf.DUMMYFUNCTION("""COMPUTED_VALUE"""),"LYKA PERALTA")</f>
        <v>LYKA PERALTA</v>
      </c>
      <c r="C1805" s="235" t="str">
        <f>IFERROR(__xludf.DUMMYFUNCTION("""COMPUTED_VALUE"""),"ABU")</f>
        <v>ABU</v>
      </c>
      <c r="D1805" s="196" t="str">
        <f>IFERROR(__xludf.DUMMYFUNCTION("""COMPUTED_VALUE"""),"1 SACK DRIED MOSS")</f>
        <v>1 SACK DRIED MOSS</v>
      </c>
      <c r="E1805" s="196" t="str">
        <f>IFERROR(__xludf.DUMMYFUNCTION("""COMPUTED_VALUE"""),"FOR THE PLANTS IN THE CAFETERIA")</f>
        <v>FOR THE PLANTS IN THE CAFETERIA</v>
      </c>
    </row>
    <row r="1806">
      <c r="A1806" s="234">
        <f>IFERROR(__xludf.DUMMYFUNCTION("""COMPUTED_VALUE"""),106639.0)</f>
        <v>106639</v>
      </c>
      <c r="B1806" s="235" t="str">
        <f>IFERROR(__xludf.DUMMYFUNCTION("""COMPUTED_VALUE"""),"OWIE PAR")</f>
        <v>OWIE PAR</v>
      </c>
      <c r="C1806" s="235" t="str">
        <f>IFERROR(__xludf.DUMMYFUNCTION("""COMPUTED_VALUE"""),"ENGINEERING")</f>
        <v>ENGINEERING</v>
      </c>
      <c r="D1806" s="196" t="str">
        <f>IFERROR(__xludf.DUMMYFUNCTION("""COMPUTED_VALUE"""),"1 LENGTH PVC PIPE #1 BLUE
2 PCS PVC COUPLING # 1 BLUE
1 PC PVC TEE #1 BLUE
1 PC PVC COUPLING REDUCER 1 X 1/2 
4 PCS PVC MALE ADAPTOR 1/2
2 LENGTH PVC PIPE 1/2 BLUE
2 PCS PVC TEE 1/2
2 PCS PVC ELBOW W/THREAD 1/2 
4 PCS PVC ELBOW 1/2
4 PCS TEPLON TAPE 3/4
1"&amp;" CAN SOLVENT CEMENT 400CC")</f>
        <v>1 LENGTH PVC PIPE #1 BLUE
2 PCS PVC COUPLING # 1 BLUE
1 PC PVC TEE #1 BLUE
1 PC PVC COUPLING REDUCER 1 X 1/2 
4 PCS PVC MALE ADAPTOR 1/2
2 LENGTH PVC PIPE 1/2 BLUE
2 PCS PVC TEE 1/2
2 PCS PVC ELBOW W/THREAD 1/2 
4 PCS PVC ELBOW 1/2
4 PCS TEPLON TAPE 3/4
1 CAN SOLVENT CEMENT 400CC</v>
      </c>
      <c r="E1806" s="196" t="str">
        <f>IFERROR(__xludf.DUMMYFUNCTION("""COMPUTED_VALUE"""),"FOR REPIPING OF LUX CANTEEN HIDDEN CHEF")</f>
        <v>FOR REPIPING OF LUX CANTEEN HIDDEN CHEF</v>
      </c>
    </row>
    <row r="1807">
      <c r="A1807" s="234">
        <f>IFERROR(__xludf.DUMMYFUNCTION("""COMPUTED_VALUE"""),106640.0)</f>
        <v>106640</v>
      </c>
      <c r="B1807" s="235" t="str">
        <f>IFERROR(__xludf.DUMMYFUNCTION("""COMPUTED_VALUE"""),"OWIE PAR")</f>
        <v>OWIE PAR</v>
      </c>
      <c r="C1807" s="235" t="str">
        <f>IFERROR(__xludf.DUMMYFUNCTION("""COMPUTED_VALUE"""),"ENGINEERING")</f>
        <v>ENGINEERING</v>
      </c>
      <c r="D1807" s="196" t="str">
        <f>IFERROR(__xludf.DUMMYFUNCTION("""COMPUTED_VALUE"""),"8 LENGTH PPR PIPE 1/2
2 PCS PPR TEE 1/2
4 PCS PPR MALE ADAPTOR
10 PCS PPR COUPLING 1/2
15 PCS PPR ELBOW 1/2
2 PCS PPR FEMALE ADAPTOR 1/2
5 ROLLS TEPLON TAPE 
1 PC BALL VALVE 1/2
10 KGS CEMENT
2 PCS GARDEN FAUCET")</f>
        <v>8 LENGTH PPR PIPE 1/2
2 PCS PPR TEE 1/2
4 PCS PPR MALE ADAPTOR
10 PCS PPR COUPLING 1/2
15 PCS PPR ELBOW 1/2
2 PCS PPR FEMALE ADAPTOR 1/2
5 ROLLS TEPLON TAPE 
1 PC BALL VALVE 1/2
10 KGS CEMENT
2 PCS GARDEN FAUCET</v>
      </c>
      <c r="E1807" s="196" t="str">
        <f>IFERROR(__xludf.DUMMYFUNCTION("""COMPUTED_VALUE"""),"FOR INSTALLATION OF FAUCET AT MUNICH PARKING LIMA")</f>
        <v>FOR INSTALLATION OF FAUCET AT MUNICH PARKING LIMA</v>
      </c>
    </row>
    <row r="1808">
      <c r="A1808" s="234">
        <f>IFERROR(__xludf.DUMMYFUNCTION("""COMPUTED_VALUE"""),106641.0)</f>
        <v>106641</v>
      </c>
      <c r="B1808" s="235" t="str">
        <f>IFERROR(__xludf.DUMMYFUNCTION("""COMPUTED_VALUE"""),"MARVIN MARASIGAN")</f>
        <v>MARVIN MARASIGAN</v>
      </c>
      <c r="C1808" s="235" t="str">
        <f>IFERROR(__xludf.DUMMYFUNCTION("""COMPUTED_VALUE"""),"PR &amp; MARKETING")</f>
        <v>PR &amp; MARKETING</v>
      </c>
      <c r="D1808" s="196" t="str">
        <f>IFERROR(__xludf.DUMMYFUNCTION("""COMPUTED_VALUE"""),"100 PCS CALLING CARD FOR CARLOTA MARIQUINA AND MARYNEILLA CARAMOAN")</f>
        <v>100 PCS CALLING CARD FOR CARLOTA MARIQUINA AND MARYNEILLA CARAMOAN</v>
      </c>
      <c r="E1808" s="196" t="str">
        <f>IFERROR(__xludf.DUMMYFUNCTION("""COMPUTED_VALUE"""),"FOR NETWORKING AND MARKETING PURPOSES")</f>
        <v>FOR NETWORKING AND MARKETING PURPOSES</v>
      </c>
    </row>
    <row r="1809">
      <c r="A1809" s="234">
        <f>IFERROR(__xludf.DUMMYFUNCTION("""COMPUTED_VALUE"""),106642.0)</f>
        <v>106642</v>
      </c>
      <c r="B1809" s="235" t="str">
        <f>IFERROR(__xludf.DUMMYFUNCTION("""COMPUTED_VALUE"""),"OWIE PAR")</f>
        <v>OWIE PAR</v>
      </c>
      <c r="C1809" s="235" t="str">
        <f>IFERROR(__xludf.DUMMYFUNCTION("""COMPUTED_VALUE"""),"ENGINEERING")</f>
        <v>ENGINEERING</v>
      </c>
      <c r="D1809" s="196" t="str">
        <f>IFERROR(__xludf.DUMMYFUNCTION("""COMPUTED_VALUE"""),"5 FIXTURE T-5 JS-CLT 520 DAYLIGHT")</f>
        <v>5 FIXTURE T-5 JS-CLT 520 DAYLIGHT</v>
      </c>
      <c r="E1809" s="196" t="str">
        <f>IFERROR(__xludf.DUMMYFUNCTION("""COMPUTED_VALUE"""),"FOR PR")</f>
        <v>FOR PR</v>
      </c>
    </row>
    <row r="1810">
      <c r="A1810" s="234">
        <f>IFERROR(__xludf.DUMMYFUNCTION("""COMPUTED_VALUE"""),106643.0)</f>
        <v>106643</v>
      </c>
      <c r="B1810" s="235" t="str">
        <f>IFERROR(__xludf.DUMMYFUNCTION("""COMPUTED_VALUE"""),"MARC VINCENT VITTO")</f>
        <v>MARC VINCENT VITTO</v>
      </c>
      <c r="C1810" s="235" t="str">
        <f>IFERROR(__xludf.DUMMYFUNCTION("""COMPUTED_VALUE"""),"PR &amp; MARKETING")</f>
        <v>PR &amp; MARKETING</v>
      </c>
      <c r="D1810" s="196" t="str">
        <f>IFERROR(__xludf.DUMMYFUNCTION("""COMPUTED_VALUE"""),"1 SUMMER FEST 2026 W 207 IN X H 77 IN 18 OZ
1 WURI TARP 2026 W 206 IN X H 77 IN 18 OZ ADD SEAMING AND EYELET ALLOVER")</f>
        <v>1 SUMMER FEST 2026 W 207 IN X H 77 IN 18 OZ
1 WURI TARP 2026 W 206 IN X H 77 IN 18 OZ ADD SEAMING AND EYELET ALLOVER</v>
      </c>
      <c r="E1810" s="196" t="str">
        <f>IFERROR(__xludf.DUMMYFUNCTION("""COMPUTED_VALUE"""),"OPEN HOUSE")</f>
        <v>OPEN HOUSE</v>
      </c>
    </row>
    <row r="1811">
      <c r="A1811" s="234">
        <f>IFERROR(__xludf.DUMMYFUNCTION("""COMPUTED_VALUE"""),106644.0)</f>
        <v>106644</v>
      </c>
      <c r="B1811" s="235" t="str">
        <f>IFERROR(__xludf.DUMMYFUNCTION("""COMPUTED_VALUE"""),"MARC VINCENT VITTO")</f>
        <v>MARC VINCENT VITTO</v>
      </c>
      <c r="C1811" s="235" t="str">
        <f>IFERROR(__xludf.DUMMYFUNCTION("""COMPUTED_VALUE"""),"PR &amp; MARKETING")</f>
        <v>PR &amp; MARKETING</v>
      </c>
      <c r="D1811" s="196" t="str">
        <f>IFERROR(__xludf.DUMMYFUNCTION("""COMPUTED_VALUE"""),"1 WURI GIANT TARP W 54FT X H 13 FT 0 OZ ADD SEAMING AND EYELET ALLOVER AND ROPE")</f>
        <v>1 WURI GIANT TARP W 54FT X H 13 FT 0 OZ ADD SEAMING AND EYELET ALLOVER AND ROPE</v>
      </c>
      <c r="E1811" s="196" t="str">
        <f>IFERROR(__xludf.DUMMYFUNCTION("""COMPUTED_VALUE"""),"ADVERTISEMENT")</f>
        <v>ADVERTISEMENT</v>
      </c>
    </row>
    <row r="1812">
      <c r="A1812" s="234">
        <f>IFERROR(__xludf.DUMMYFUNCTION("""COMPUTED_VALUE"""),106645.0)</f>
        <v>106645</v>
      </c>
      <c r="B1812" s="235" t="str">
        <f>IFERROR(__xludf.DUMMYFUNCTION("""COMPUTED_VALUE"""),"OWIE PAR")</f>
        <v>OWIE PAR</v>
      </c>
      <c r="C1812" s="235" t="str">
        <f>IFERROR(__xludf.DUMMYFUNCTION("""COMPUTED_VALUE"""),"ENGINEERING")</f>
        <v>ENGINEERING</v>
      </c>
      <c r="D1812" s="196" t="str">
        <f>IFERROR(__xludf.DUMMYFUNCTION("""COMPUTED_VALUE"""),"2 PCS ANGLE BAR 3/16 X 1 1/2
2 PCS STEEL MATTING 4 X 8 
2 LITER EPOXY PRIMER W/ HARDINER
2KGS WELDING ROD SPECIAL
2 PCS PAINT BRUSH #2
1 BOTTLE LACQUER THINNER")</f>
        <v>2 PCS ANGLE BAR 3/16 X 1 1/2
2 PCS STEEL MATTING 4 X 8 
2 LITER EPOXY PRIMER W/ HARDINER
2KGS WELDING ROD SPECIAL
2 PCS PAINT BRUSH #2
1 BOTTLE LACQUER THINNER</v>
      </c>
      <c r="E1812" s="196" t="str">
        <f>IFERROR(__xludf.DUMMYFUNCTION("""COMPUTED_VALUE"""),"FOR STAR CAMPUS COVERING OF GENSET")</f>
        <v>FOR STAR CAMPUS COVERING OF GENSET</v>
      </c>
    </row>
    <row r="1813">
      <c r="A1813" s="234">
        <f>IFERROR(__xludf.DUMMYFUNCTION("""COMPUTED_VALUE"""),106646.0)</f>
        <v>106646</v>
      </c>
      <c r="B1813" s="235" t="str">
        <f>IFERROR(__xludf.DUMMYFUNCTION("""COMPUTED_VALUE"""),"RAM BUENA")</f>
        <v>RAM BUENA</v>
      </c>
      <c r="C1813" s="235" t="str">
        <f>IFERROR(__xludf.DUMMYFUNCTION("""COMPUTED_VALUE"""),"TOURISM")</f>
        <v>TOURISM</v>
      </c>
      <c r="D1813" s="196" t="str">
        <f>IFERROR(__xludf.DUMMYFUNCTION("""COMPUTED_VALUE"""),"50 PCS SOUTHVILLE CONTRACT FOLDER FOR PROTOTYPE")</f>
        <v>50 PCS SOUTHVILLE CONTRACT FOLDER FOR PROTOTYPE</v>
      </c>
      <c r="E1813" s="196" t="str">
        <f>IFERROR(__xludf.DUMMYFUNCTION("""COMPUTED_VALUE"""),"CONTRACT FOLDER FOR PARTNERSHIP")</f>
        <v>CONTRACT FOLDER FOR PARTNERSHIP</v>
      </c>
    </row>
    <row r="1814">
      <c r="A1814" s="234">
        <f>IFERROR(__xludf.DUMMYFUNCTION("""COMPUTED_VALUE"""),106647.0)</f>
        <v>106647</v>
      </c>
      <c r="B1814" s="235" t="str">
        <f>IFERROR(__xludf.DUMMYFUNCTION("""COMPUTED_VALUE"""),"ANN DELA ISLA")</f>
        <v>ANN DELA ISLA</v>
      </c>
      <c r="C1814" s="235" t="str">
        <f>IFERROR(__xludf.DUMMYFUNCTION("""COMPUTED_VALUE"""),"IB")</f>
        <v>IB</v>
      </c>
      <c r="D1814" s="196" t="str">
        <f>IFERROR(__xludf.DUMMYFUNCTION("""COMPUTED_VALUE"""),"6 CHAIRS
2 TABLES")</f>
        <v>6 CHAIRS
2 TABLES</v>
      </c>
      <c r="E1814" s="196" t="str">
        <f>IFERROR(__xludf.DUMMYFUNCTION("""COMPUTED_VALUE"""),"FOR IB LEARNING MATERIALS")</f>
        <v>FOR IB LEARNING MATERIALS</v>
      </c>
    </row>
    <row r="1815">
      <c r="A1815" s="234">
        <f>IFERROR(__xludf.DUMMYFUNCTION("""COMPUTED_VALUE"""),106648.0)</f>
        <v>106648</v>
      </c>
      <c r="B1815" s="235" t="str">
        <f>IFERROR(__xludf.DUMMYFUNCTION("""COMPUTED_VALUE"""),"EVA NECOSIA")</f>
        <v>EVA NECOSIA</v>
      </c>
      <c r="C1815" s="235" t="str">
        <f>IFERROR(__xludf.DUMMYFUNCTION("""COMPUTED_VALUE"""),"FINANCE &amp; ACCOUNTING")</f>
        <v>FINANCE &amp; ACCOUNTING</v>
      </c>
      <c r="D1815" s="196" t="str">
        <f>IFERROR(__xludf.DUMMYFUNCTION("""COMPUTED_VALUE"""),"20 BOX CASH INVOICE")</f>
        <v>20 BOX CASH INVOICE</v>
      </c>
      <c r="E1815" s="196"/>
    </row>
    <row r="1816">
      <c r="A1816" s="234">
        <f>IFERROR(__xludf.DUMMYFUNCTION("""COMPUTED_VALUE"""),106649.0)</f>
        <v>106649</v>
      </c>
      <c r="B1816" s="235" t="str">
        <f>IFERROR(__xludf.DUMMYFUNCTION("""COMPUTED_VALUE"""),"RODRIGO CUSTODIO")</f>
        <v>RODRIGO CUSTODIO</v>
      </c>
      <c r="C1816" s="235" t="str">
        <f>IFERROR(__xludf.DUMMYFUNCTION("""COMPUTED_VALUE"""),"AMD")</f>
        <v>AMD</v>
      </c>
      <c r="D1816" s="196" t="str">
        <f>IFERROR(__xludf.DUMMYFUNCTION("""COMPUTED_VALUE"""),"75 PCS MR. MUSCLE TOILET BOWL CLEANER 750ML")</f>
        <v>75 PCS MR. MUSCLE TOILET BOWL CLEANER 750ML</v>
      </c>
      <c r="E1816" s="196" t="str">
        <f>IFERROR(__xludf.DUMMYFUNCTION("""COMPUTED_VALUE"""),"HOUSEKEEPING MATERIALS STOCK REPLENISHMENT")</f>
        <v>HOUSEKEEPING MATERIALS STOCK REPLENISHMENT</v>
      </c>
    </row>
    <row r="1817">
      <c r="A1817" s="234">
        <f>IFERROR(__xludf.DUMMYFUNCTION("""COMPUTED_VALUE"""),106650.0)</f>
        <v>106650</v>
      </c>
      <c r="B1817" s="235" t="str">
        <f>IFERROR(__xludf.DUMMYFUNCTION("""COMPUTED_VALUE"""),"JOHNY QUIQUI")</f>
        <v>JOHNY QUIQUI</v>
      </c>
      <c r="C1817" s="235" t="str">
        <f>IFERROR(__xludf.DUMMYFUNCTION("""COMPUTED_VALUE"""),"STUFFSHOP")</f>
        <v>STUFFSHOP</v>
      </c>
      <c r="D1817" s="196" t="str">
        <f>IFERROR(__xludf.DUMMYFUNCTION("""COMPUTED_VALUE"""),"1 PC EPSON TM-U220D 180 IMPACT RECEIPT PRINTER USB INTERFACE")</f>
        <v>1 PC EPSON TM-U220D 180 IMPACT RECEIPT PRINTER USB INTERFACE</v>
      </c>
      <c r="E1817" s="196" t="str">
        <f>IFERROR(__xludf.DUMMYFUNCTION("""COMPUTED_VALUE"""),"REPLACEMENT OF RECEIPT PRINTER")</f>
        <v>REPLACEMENT OF RECEIPT PRINTER</v>
      </c>
    </row>
    <row r="1818">
      <c r="A1818" s="234">
        <f>IFERROR(__xludf.DUMMYFUNCTION("""COMPUTED_VALUE"""),106651.0)</f>
        <v>106651</v>
      </c>
      <c r="B1818" s="235" t="str">
        <f>IFERROR(__xludf.DUMMYFUNCTION("""COMPUTED_VALUE"""),"JORDAN JORDAN")</f>
        <v>JORDAN JORDAN</v>
      </c>
      <c r="C1818" s="235" t="str">
        <f>IFERROR(__xludf.DUMMYFUNCTION("""COMPUTED_VALUE"""),"ADMIN")</f>
        <v>ADMIN</v>
      </c>
      <c r="D1818" s="196" t="str">
        <f>IFERROR(__xludf.DUMMYFUNCTION("""COMPUTED_VALUE"""),"12 PCS ALPHALUX LED SLIM DOWNLIGHT 9W DAYLIGHT")</f>
        <v>12 PCS ALPHALUX LED SLIM DOWNLIGHT 9W DAYLIGHT</v>
      </c>
      <c r="E1818" s="196" t="str">
        <f>IFERROR(__xludf.DUMMYFUNCTION("""COMPUTED_VALUE"""),"FOR 2ND FLOOR REPLACEMENT OF BUSTED LIGHTS ")</f>
        <v>FOR 2ND FLOOR REPLACEMENT OF BUSTED LIGHTS </v>
      </c>
    </row>
    <row r="1819">
      <c r="A1819" s="234">
        <f>IFERROR(__xludf.DUMMYFUNCTION("""COMPUTED_VALUE"""),106652.0)</f>
        <v>106652</v>
      </c>
      <c r="B1819" s="235" t="str">
        <f>IFERROR(__xludf.DUMMYFUNCTION("""COMPUTED_VALUE"""),"JORDAN JORDAN")</f>
        <v>JORDAN JORDAN</v>
      </c>
      <c r="C1819" s="235" t="str">
        <f>IFERROR(__xludf.DUMMYFUNCTION("""COMPUTED_VALUE"""),"ADMIN")</f>
        <v>ADMIN</v>
      </c>
      <c r="D1819" s="196" t="str">
        <f>IFERROR(__xludf.DUMMYFUNCTION("""COMPUTED_VALUE"""),"8 PCS ALPHALUX LED SLIM DOWNLIGHT 9W WARM WHITE")</f>
        <v>8 PCS ALPHALUX LED SLIM DOWNLIGHT 9W WARM WHITE</v>
      </c>
      <c r="E1819" s="196" t="str">
        <f>IFERROR(__xludf.DUMMYFUNCTION("""COMPUTED_VALUE"""),"MANAGEMENT HOUSE")</f>
        <v>MANAGEMENT HOUSE</v>
      </c>
    </row>
    <row r="1820">
      <c r="A1820" s="234">
        <f>IFERROR(__xludf.DUMMYFUNCTION("""COMPUTED_VALUE"""),106653.0)</f>
        <v>106653</v>
      </c>
      <c r="B1820" s="235" t="str">
        <f>IFERROR(__xludf.DUMMYFUNCTION("""COMPUTED_VALUE"""),"RORY MONSBRIDGE")</f>
        <v>RORY MONSBRIDGE</v>
      </c>
      <c r="C1820" s="235" t="str">
        <f>IFERROR(__xludf.DUMMYFUNCTION("""COMPUTED_VALUE"""),"ATHLETICS")</f>
        <v>ATHLETICS</v>
      </c>
      <c r="D1820" s="196" t="str">
        <f>IFERROR(__xludf.DUMMYFUNCTION("""COMPUTED_VALUE"""),"6 22 LITERS WATER COVER COLOR PURPLE OR BLUE")</f>
        <v>6 22 LITERS WATER COVER COLOR PURPLE OR BLUE</v>
      </c>
      <c r="E1820" s="196" t="str">
        <f>IFERROR(__xludf.DUMMYFUNCTION("""COMPUTED_VALUE"""),"FOR INTERNATIONAL BRANDING")</f>
        <v>FOR INTERNATIONAL BRANDING</v>
      </c>
    </row>
    <row r="1821">
      <c r="A1821" s="234">
        <f>IFERROR(__xludf.DUMMYFUNCTION("""COMPUTED_VALUE"""),106654.0)</f>
        <v>106654</v>
      </c>
      <c r="B1821" s="235" t="str">
        <f>IFERROR(__xludf.DUMMYFUNCTION("""COMPUTED_VALUE"""),"OWIE PAR")</f>
        <v>OWIE PAR</v>
      </c>
      <c r="C1821" s="235" t="str">
        <f>IFERROR(__xludf.DUMMYFUNCTION("""COMPUTED_VALUE"""),"ENGINEERING")</f>
        <v>ENGINEERING</v>
      </c>
      <c r="D1821" s="196" t="str">
        <f>IFERROR(__xludf.DUMMYFUNCTION("""COMPUTED_VALUE"""),"2 PCS GUTTER
1 PC DRILL BIT
100 PCS BLIND REVITS
1LITER VULCA SEAL")</f>
        <v>2 PCS GUTTER
1 PC DRILL BIT
100 PCS BLIND REVITS
1LITER VULCA SEAL</v>
      </c>
      <c r="E1821" s="196" t="str">
        <f>IFERROR(__xludf.DUMMYFUNCTION("""COMPUTED_VALUE"""),"LUX CAFETERIA BACK DOOR HALLWAY")</f>
        <v>LUX CAFETERIA BACK DOOR HALLWAY</v>
      </c>
    </row>
    <row r="1822">
      <c r="A1822" s="234">
        <f>IFERROR(__xludf.DUMMYFUNCTION("""COMPUTED_VALUE"""),106655.0)</f>
        <v>106655</v>
      </c>
      <c r="B1822" s="235" t="str">
        <f>IFERROR(__xludf.DUMMYFUNCTION("""COMPUTED_VALUE"""),"FATIMA JONDOC")</f>
        <v>FATIMA JONDOC</v>
      </c>
      <c r="C1822" s="235" t="str">
        <f>IFERROR(__xludf.DUMMYFUNCTION("""COMPUTED_VALUE"""),"LIBRARY COLLEGE")</f>
        <v>LIBRARY COLLEGE</v>
      </c>
      <c r="D1822" s="196" t="str">
        <f>IFERROR(__xludf.DUMMYFUNCTION("""COMPUTED_VALUE"""),"6 PLASTIC STRAW ")</f>
        <v>6 PLASTIC STRAW </v>
      </c>
      <c r="E1822" s="196" t="str">
        <f>IFERROR(__xludf.DUMMYFUNCTION("""COMPUTED_VALUE"""),"FOR THE USE OF LIBRARY TRANSFER")</f>
        <v>FOR THE USE OF LIBRARY TRANSFER</v>
      </c>
    </row>
    <row r="1823">
      <c r="A1823" s="234">
        <f>IFERROR(__xludf.DUMMYFUNCTION("""COMPUTED_VALUE"""),106656.0)</f>
        <v>106656</v>
      </c>
      <c r="B1823" s="235" t="str">
        <f>IFERROR(__xludf.DUMMYFUNCTION("""COMPUTED_VALUE"""),"RODRIGO CUSTODIO")</f>
        <v>RODRIGO CUSTODIO</v>
      </c>
      <c r="C1823" s="235" t="str">
        <f>IFERROR(__xludf.DUMMYFUNCTION("""COMPUTED_VALUE"""),"AMD")</f>
        <v>AMD</v>
      </c>
      <c r="D1823" s="196" t="str">
        <f>IFERROR(__xludf.DUMMYFUNCTION("""COMPUTED_VALUE"""),"36 PCS TOILET BOWL / TUB CLEANER STATE SHARK 1 US QUART 946ML")</f>
        <v>36 PCS TOILET BOWL / TUB CLEANER STATE SHARK 1 US QUART 946ML</v>
      </c>
      <c r="E1823" s="196" t="str">
        <f>IFERROR(__xludf.DUMMYFUNCTION("""COMPUTED_VALUE"""),"HOUSEKEEPING MATERIALS STOCK REPLENISHMENT")</f>
        <v>HOUSEKEEPING MATERIALS STOCK REPLENISHMENT</v>
      </c>
    </row>
    <row r="1824">
      <c r="A1824" s="234">
        <f>IFERROR(__xludf.DUMMYFUNCTION("""COMPUTED_VALUE"""),106657.0)</f>
        <v>106657</v>
      </c>
      <c r="B1824" s="235" t="str">
        <f>IFERROR(__xludf.DUMMYFUNCTION("""COMPUTED_VALUE"""),"ALFA DE LEON")</f>
        <v>ALFA DE LEON</v>
      </c>
      <c r="C1824" s="235" t="str">
        <f>IFERROR(__xludf.DUMMYFUNCTION("""COMPUTED_VALUE"""),"ADMIN - STAR")</f>
        <v>ADMIN - STAR</v>
      </c>
      <c r="D1824" s="196" t="str">
        <f>IFERROR(__xludf.DUMMYFUNCTION("""COMPUTED_VALUE"""),"1 LEAF BLOWER")</f>
        <v>1 LEAF BLOWER</v>
      </c>
      <c r="E1824" s="196" t="str">
        <f>IFERROR(__xludf.DUMMYFUNCTION("""COMPUTED_VALUE"""),"TO HELP IN CLEANING PERIMETERS ")</f>
        <v>TO HELP IN CLEANING PERIMETERS </v>
      </c>
    </row>
    <row r="1825">
      <c r="A1825" s="234">
        <f>IFERROR(__xludf.DUMMYFUNCTION("""COMPUTED_VALUE"""),106658.0)</f>
        <v>106658</v>
      </c>
      <c r="B1825" s="235" t="str">
        <f>IFERROR(__xludf.DUMMYFUNCTION("""COMPUTED_VALUE"""),"ALFA DE LEON")</f>
        <v>ALFA DE LEON</v>
      </c>
      <c r="C1825" s="235" t="str">
        <f>IFERROR(__xludf.DUMMYFUNCTION("""COMPUTED_VALUE"""),"ADMIN - STAR")</f>
        <v>ADMIN - STAR</v>
      </c>
      <c r="D1825" s="196" t="str">
        <f>IFERROR(__xludf.DUMMYFUNCTION("""COMPUTED_VALUE"""),"1 SACK KUSOT")</f>
        <v>1 SACK KUSOT</v>
      </c>
      <c r="E1825" s="196" t="str">
        <f>IFERROR(__xludf.DUMMYFUNCTION("""COMPUTED_VALUE"""),"FOR THE POTTED PLANTS FOR STAR CAMPUS")</f>
        <v>FOR THE POTTED PLANTS FOR STAR CAMPUS</v>
      </c>
    </row>
    <row r="1826">
      <c r="A1826" s="234">
        <f>IFERROR(__xludf.DUMMYFUNCTION("""COMPUTED_VALUE"""),106659.0)</f>
        <v>106659</v>
      </c>
      <c r="B1826" s="235" t="str">
        <f>IFERROR(__xludf.DUMMYFUNCTION("""COMPUTED_VALUE"""),"CHRISTON CORBEZA")</f>
        <v>CHRISTON CORBEZA</v>
      </c>
      <c r="C1826" s="235" t="str">
        <f>IFERROR(__xludf.DUMMYFUNCTION("""COMPUTED_VALUE"""),"ADMIN")</f>
        <v>ADMIN</v>
      </c>
      <c r="D1826" s="196" t="str">
        <f>IFERROR(__xludf.DUMMYFUNCTION("""COMPUTED_VALUE"""),"4 GAL BOYSEN ROOFGUARD 
2 PCS PAINT BRUSH 4""
2 PCS BABY ROLLER")</f>
        <v>4 GAL BOYSEN ROOFGUARD 
2 PCS PAINT BRUSH 4"
2 PCS BABY ROLLER</v>
      </c>
      <c r="E1826" s="196" t="str">
        <f>IFERROR(__xludf.DUMMYFUNCTION("""COMPUTED_VALUE"""),"MAIN ENTRANCE BRICK AREA FOR REPAINT")</f>
        <v>MAIN ENTRANCE BRICK AREA FOR REPAINT</v>
      </c>
    </row>
    <row r="1827">
      <c r="A1827" s="234">
        <f>IFERROR(__xludf.DUMMYFUNCTION("""COMPUTED_VALUE"""),106660.0)</f>
        <v>106660</v>
      </c>
      <c r="B1827" s="235" t="str">
        <f>IFERROR(__xludf.DUMMYFUNCTION("""COMPUTED_VALUE"""),"MARC VINCENT VITTO")</f>
        <v>MARC VINCENT VITTO</v>
      </c>
      <c r="C1827" s="235" t="str">
        <f>IFERROR(__xludf.DUMMYFUNCTION("""COMPUTED_VALUE"""),"PR &amp; MARKETING")</f>
        <v>PR &amp; MARKETING</v>
      </c>
      <c r="D1827" s="196" t="str">
        <f>IFERROR(__xludf.DUMMYFUNCTION("""COMPUTED_VALUE"""),"1 SISC GLOBAL RANKING BILLBOARD 2026
50FT X 50FT W/ SEAMING AND EYELET ")</f>
        <v>1 SISC GLOBAL RANKING BILLBOARD 2026
50FT X 50FT W/ SEAMING AND EYELET </v>
      </c>
      <c r="E1827" s="196" t="str">
        <f>IFERROR(__xludf.DUMMYFUNCTION("""COMPUTED_VALUE"""),"MARKETING GLOBAL ")</f>
        <v>MARKETING GLOBAL </v>
      </c>
    </row>
    <row r="1828">
      <c r="A1828" s="234">
        <f>IFERROR(__xludf.DUMMYFUNCTION("""COMPUTED_VALUE"""),106661.0)</f>
        <v>106661</v>
      </c>
      <c r="B1828" s="235" t="str">
        <f>IFERROR(__xludf.DUMMYFUNCTION("""COMPUTED_VALUE"""),"JOHNY QUIQUI")</f>
        <v>JOHNY QUIQUI</v>
      </c>
      <c r="C1828" s="235" t="str">
        <f>IFERROR(__xludf.DUMMYFUNCTION("""COMPUTED_VALUE"""),"STUFFSHOP")</f>
        <v>STUFFSHOP</v>
      </c>
      <c r="D1828" s="196" t="str">
        <f>IFERROR(__xludf.DUMMYFUNCTION("""COMPUTED_VALUE"""),"5PCS CURSIVE WRITING GRADE 5")</f>
        <v>5PCS CURSIVE WRITING GRADE 5</v>
      </c>
      <c r="E1828" s="196" t="str">
        <f>IFERROR(__xludf.DUMMYFUNCTION("""COMPUTED_VALUE"""),"FOR SALE IN STUFFSHOP")</f>
        <v>FOR SALE IN STUFFSHOP</v>
      </c>
    </row>
    <row r="1829">
      <c r="A1829" s="234">
        <f>IFERROR(__xludf.DUMMYFUNCTION("""COMPUTED_VALUE"""),106662.0)</f>
        <v>106662</v>
      </c>
      <c r="B1829" s="235" t="str">
        <f>IFERROR(__xludf.DUMMYFUNCTION("""COMPUTED_VALUE"""),"MARC VINCENT VITTO")</f>
        <v>MARC VINCENT VITTO</v>
      </c>
      <c r="C1829" s="235" t="str">
        <f>IFERROR(__xludf.DUMMYFUNCTION("""COMPUTED_VALUE"""),"PR &amp; MARKETING")</f>
        <v>PR &amp; MARKETING</v>
      </c>
      <c r="D1829" s="196" t="str">
        <f>IFERROR(__xludf.DUMMYFUNCTION("""COMPUTED_VALUE"""),"1 AISAC WELCOME TARP 13 FT X 13 FT 18 OZ
2 AISAC 2026 BANNER 13 FT X 6.5 FT 18 OZ 
ADD SEAMING AND EYELET ALL OVER")</f>
        <v>1 AISAC WELCOME TARP 13 FT X 13 FT 18 OZ
2 AISAC 2026 BANNER 13 FT X 6.5 FT 18 OZ 
ADD SEAMING AND EYELET ALL OVER</v>
      </c>
      <c r="E1829" s="196" t="str">
        <f>IFERROR(__xludf.DUMMYFUNCTION("""COMPUTED_VALUE"""),"WELCOME TARP AISAC 2026")</f>
        <v>WELCOME TARP AISAC 2026</v>
      </c>
    </row>
    <row r="1830">
      <c r="A1830" s="234">
        <f>IFERROR(__xludf.DUMMYFUNCTION("""COMPUTED_VALUE"""),106663.0)</f>
        <v>106663</v>
      </c>
      <c r="B1830" s="235" t="str">
        <f>IFERROR(__xludf.DUMMYFUNCTION("""COMPUTED_VALUE"""),"RONALDO VERDE")</f>
        <v>RONALDO VERDE</v>
      </c>
      <c r="C1830" s="235" t="str">
        <f>IFERROR(__xludf.DUMMYFUNCTION("""COMPUTED_VALUE"""),"ADMIN")</f>
        <v>ADMIN</v>
      </c>
      <c r="D1830" s="196" t="str">
        <f>IFERROR(__xludf.DUMMYFUNCTION("""COMPUTED_VALUE"""),"30 PCS JUNCTION BOX FOR MONARCHS PARK ELECTRICALS")</f>
        <v>30 PCS JUNCTION BOX FOR MONARCHS PARK ELECTRICALS</v>
      </c>
      <c r="E1830" s="196" t="str">
        <f>IFERROR(__xludf.DUMMYFUNCTION("""COMPUTED_VALUE"""),"FOR WIRING AT MONARCHS PARK SAFETY ")</f>
        <v>FOR WIRING AT MONARCHS PARK SAFETY </v>
      </c>
    </row>
    <row r="1831">
      <c r="A1831" s="234">
        <f>IFERROR(__xludf.DUMMYFUNCTION("""COMPUTED_VALUE"""),106664.0)</f>
        <v>106664</v>
      </c>
      <c r="B1831" s="235" t="str">
        <f>IFERROR(__xludf.DUMMYFUNCTION("""COMPUTED_VALUE"""),"RORY MONSBRIDGE")</f>
        <v>RORY MONSBRIDGE</v>
      </c>
      <c r="C1831" s="235" t="str">
        <f>IFERROR(__xludf.DUMMYFUNCTION("""COMPUTED_VALUE"""),"ATHLETICS")</f>
        <v>ATHLETICS</v>
      </c>
      <c r="D1831" s="196" t="str">
        <f>IFERROR(__xludf.DUMMYFUNCTION("""COMPUTED_VALUE"""),"12 BASKETBALL WHITE
12 BASKETBALL PURPLE")</f>
        <v>12 BASKETBALL WHITE
12 BASKETBALL PURPLE</v>
      </c>
      <c r="E1831" s="196" t="str">
        <f>IFERROR(__xludf.DUMMYFUNCTION("""COMPUTED_VALUE"""),"VARSITY")</f>
        <v>VARSITY</v>
      </c>
    </row>
    <row r="1832">
      <c r="A1832" s="234">
        <f>IFERROR(__xludf.DUMMYFUNCTION("""COMPUTED_VALUE"""),106665.0)</f>
        <v>106665</v>
      </c>
      <c r="B1832" s="235" t="str">
        <f>IFERROR(__xludf.DUMMYFUNCTION("""COMPUTED_VALUE"""),"RORY MONSBRIDGE")</f>
        <v>RORY MONSBRIDGE</v>
      </c>
      <c r="C1832" s="235" t="str">
        <f>IFERROR(__xludf.DUMMYFUNCTION("""COMPUTED_VALUE"""),"ATHLETICS")</f>
        <v>ATHLETICS</v>
      </c>
      <c r="D1832" s="196" t="str">
        <f>IFERROR(__xludf.DUMMYFUNCTION("""COMPUTED_VALUE"""),"2 FULL SUBLIMATED TOP")</f>
        <v>2 FULL SUBLIMATED TOP</v>
      </c>
      <c r="E1832" s="196" t="str">
        <f>IFERROR(__xludf.DUMMYFUNCTION("""COMPUTED_VALUE"""),"VARSITY")</f>
        <v>VARSITY</v>
      </c>
    </row>
    <row r="1833">
      <c r="A1833" s="234">
        <f>IFERROR(__xludf.DUMMYFUNCTION("""COMPUTED_VALUE"""),106666.0)</f>
        <v>106666</v>
      </c>
      <c r="B1833" s="235" t="str">
        <f>IFERROR(__xludf.DUMMYFUNCTION("""COMPUTED_VALUE"""),"RORY MONSBRIDGE")</f>
        <v>RORY MONSBRIDGE</v>
      </c>
      <c r="C1833" s="235" t="str">
        <f>IFERROR(__xludf.DUMMYFUNCTION("""COMPUTED_VALUE"""),"ATHLETICS")</f>
        <v>ATHLETICS</v>
      </c>
      <c r="D1833" s="196" t="str">
        <f>IFERROR(__xludf.DUMMYFUNCTION("""COMPUTED_VALUE"""),"13 TRAVELING SHIRT
10 FOOTBALL SHIRT SET 
2 FOOTBALL SHIRT SUBLITOP
4 BASKETBALL SHIRT SET")</f>
        <v>13 TRAVELING SHIRT
10 FOOTBALL SHIRT SET 
2 FOOTBALL SHIRT SUBLITOP
4 BASKETBALL SHIRT SET</v>
      </c>
      <c r="E1833" s="196" t="str">
        <f>IFERROR(__xludf.DUMMYFUNCTION("""COMPUTED_VALUE"""),"VARSITY")</f>
        <v>VARSITY</v>
      </c>
    </row>
    <row r="1834">
      <c r="A1834" s="234">
        <f>IFERROR(__xludf.DUMMYFUNCTION("""COMPUTED_VALUE"""),106667.0)</f>
        <v>106667</v>
      </c>
      <c r="B1834" s="235" t="str">
        <f>IFERROR(__xludf.DUMMYFUNCTION("""COMPUTED_VALUE"""),"DANIE GARCIA")</f>
        <v>DANIE GARCIA</v>
      </c>
      <c r="C1834" s="235" t="str">
        <f>IFERROR(__xludf.DUMMYFUNCTION("""COMPUTED_VALUE"""),"IRO")</f>
        <v>IRO</v>
      </c>
      <c r="D1834" s="196" t="str">
        <f>IFERROR(__xludf.DUMMYFUNCTION("""COMPUTED_VALUE"""),"30 BOOKS EACH 
-COLLEGE OF NURSING
-COLLEGE OF COMMA
-COLLEGE OF EDUC 
-COLLEGE OF TOURISM
-COLLEGE OF ITE
-COLLEGE OF PSYCHOLOGY 
-COLLEGE OF BUSINESS")</f>
        <v>30 BOOKS EACH 
-COLLEGE OF NURSING
-COLLEGE OF COMMA
-COLLEGE OF EDUC 
-COLLEGE OF TOURISM
-COLLEGE OF ITE
-COLLEGE OF PSYCHOLOGY 
-COLLEGE OF BUSINESS</v>
      </c>
      <c r="E1834" s="196" t="str">
        <f>IFERROR(__xludf.DUMMYFUNCTION("""COMPUTED_VALUE"""),"KAIZEN 23-24")</f>
        <v>KAIZEN 23-24</v>
      </c>
    </row>
    <row r="1835">
      <c r="A1835" s="234">
        <f>IFERROR(__xludf.DUMMYFUNCTION("""COMPUTED_VALUE"""),106668.0)</f>
        <v>106668</v>
      </c>
      <c r="B1835" s="235" t="str">
        <f>IFERROR(__xludf.DUMMYFUNCTION("""COMPUTED_VALUE"""),"RODRIGO CUSTODIO")</f>
        <v>RODRIGO CUSTODIO</v>
      </c>
      <c r="C1835" s="235" t="str">
        <f>IFERROR(__xludf.DUMMYFUNCTION("""COMPUTED_VALUE"""),"AMD")</f>
        <v>AMD</v>
      </c>
      <c r="D1835" s="196" t="str">
        <f>IFERROR(__xludf.DUMMYFUNCTION("""COMPUTED_VALUE"""),"120 GALS HAND SOAP ANTIBACTERIAL
200 KILOS CHLORINE 1KG PER PACK")</f>
        <v>120 GALS HAND SOAP ANTIBACTERIAL
200 KILOS CHLORINE 1KG PER PACK</v>
      </c>
      <c r="E1835" s="196" t="str">
        <f>IFERROR(__xludf.DUMMYFUNCTION("""COMPUTED_VALUE"""),"HOUSEKEEPING MATERIALS STOCK REPLENISHMENT")</f>
        <v>HOUSEKEEPING MATERIALS STOCK REPLENISHMENT</v>
      </c>
    </row>
    <row r="1836">
      <c r="A1836" s="234">
        <f>IFERROR(__xludf.DUMMYFUNCTION("""COMPUTED_VALUE"""),106669.0)</f>
        <v>106669</v>
      </c>
      <c r="B1836" s="235" t="str">
        <f>IFERROR(__xludf.DUMMYFUNCTION("""COMPUTED_VALUE"""),"OSCAR AGORILLA")</f>
        <v>OSCAR AGORILLA</v>
      </c>
      <c r="C1836" s="235" t="str">
        <f>IFERROR(__xludf.DUMMYFUNCTION("""COMPUTED_VALUE"""),"REGISTRATION")</f>
        <v>REGISTRATION</v>
      </c>
      <c r="D1836" s="196" t="str">
        <f>IFERROR(__xludf.DUMMYFUNCTION("""COMPUTED_VALUE"""),"2000 A4 SIZE LETTER HEAD
1 BOX (1000 PCS )  SOUTHVILLE LETTER ENVELOPE")</f>
        <v>2000 A4 SIZE LETTER HEAD
1 BOX (1000 PCS )  SOUTHVILLE LETTER ENVELOPE</v>
      </c>
      <c r="E1836" s="196" t="str">
        <f>IFERROR(__xludf.DUMMYFUNCTION("""COMPUTED_VALUE"""),"OFFICE USE")</f>
        <v>OFFICE USE</v>
      </c>
    </row>
    <row r="1837">
      <c r="A1837" s="234">
        <f>IFERROR(__xludf.DUMMYFUNCTION("""COMPUTED_VALUE"""),106670.0)</f>
        <v>106670</v>
      </c>
      <c r="B1837" s="235" t="str">
        <f>IFERROR(__xludf.DUMMYFUNCTION("""COMPUTED_VALUE"""),"CHRISTON CORBEZA")</f>
        <v>CHRISTON CORBEZA</v>
      </c>
      <c r="C1837" s="235" t="str">
        <f>IFERROR(__xludf.DUMMYFUNCTION("""COMPUTED_VALUE"""),"ADMIN - MUNICH")</f>
        <v>ADMIN - MUNICH</v>
      </c>
      <c r="D1837" s="196" t="str">
        <f>IFERROR(__xludf.DUMMYFUNCTION("""COMPUTED_VALUE"""),"1 PC MAKITA HAMMER DRILL W/EASE ")</f>
        <v>1 PC MAKITA HAMMER DRILL W/EASE </v>
      </c>
      <c r="E1837" s="196" t="str">
        <f>IFERROR(__xludf.DUMMYFUNCTION("""COMPUTED_VALUE"""),"FOR REPLACEMENT")</f>
        <v>FOR REPLACEMENT</v>
      </c>
    </row>
    <row r="1838">
      <c r="A1838" s="234">
        <f>IFERROR(__xludf.DUMMYFUNCTION("""COMPUTED_VALUE"""),106671.0)</f>
        <v>106671</v>
      </c>
      <c r="B1838" s="235" t="str">
        <f>IFERROR(__xludf.DUMMYFUNCTION("""COMPUTED_VALUE"""),"RODRIGO CUSTODIO")</f>
        <v>RODRIGO CUSTODIO</v>
      </c>
      <c r="C1838" s="235" t="str">
        <f>IFERROR(__xludf.DUMMYFUNCTION("""COMPUTED_VALUE"""),"AMD")</f>
        <v>AMD</v>
      </c>
      <c r="D1838" s="196" t="str">
        <f>IFERROR(__xludf.DUMMYFUNCTION("""COMPUTED_VALUE"""),"15 PCS MOP HANDLE 4FT GREEN
70 PACKS TRASH BAG LARGE 26 X 32 CLEAR")</f>
        <v>15 PCS MOP HANDLE 4FT GREEN
70 PACKS TRASH BAG LARGE 26 X 32 CLEAR</v>
      </c>
      <c r="E1838" s="196" t="str">
        <f>IFERROR(__xludf.DUMMYFUNCTION("""COMPUTED_VALUE"""),"HOUSEKEEPING MATERIALS STOCK REPLENISHMENT")</f>
        <v>HOUSEKEEPING MATERIALS STOCK REPLENISHMENT</v>
      </c>
    </row>
    <row r="1839">
      <c r="A1839" s="234">
        <f>IFERROR(__xludf.DUMMYFUNCTION("""COMPUTED_VALUE"""),106672.0)</f>
        <v>106672</v>
      </c>
      <c r="B1839" s="235" t="str">
        <f>IFERROR(__xludf.DUMMYFUNCTION("""COMPUTED_VALUE"""),"SHEREE ESPINOSA")</f>
        <v>SHEREE ESPINOSA</v>
      </c>
      <c r="C1839" s="235" t="str">
        <f>IFERROR(__xludf.DUMMYFUNCTION("""COMPUTED_VALUE"""),"ADMIN")</f>
        <v>ADMIN</v>
      </c>
      <c r="D1839" s="196" t="str">
        <f>IFERROR(__xludf.DUMMYFUNCTION("""COMPUTED_VALUE"""),"ELECTRIC FANS 14 PCS")</f>
        <v>ELECTRIC FANS 14 PCS</v>
      </c>
      <c r="E1839" s="196" t="str">
        <f>IFERROR(__xludf.DUMMYFUNCTION("""COMPUTED_VALUE"""),"CONGRATULATORY TARP")</f>
        <v>CONGRATULATORY TARP</v>
      </c>
    </row>
    <row r="1840">
      <c r="A1840" s="234">
        <f>IFERROR(__xludf.DUMMYFUNCTION("""COMPUTED_VALUE"""),106673.0)</f>
        <v>106673</v>
      </c>
      <c r="B1840" s="235" t="str">
        <f>IFERROR(__xludf.DUMMYFUNCTION("""COMPUTED_VALUE"""),"JESUIT CHRISTIAN GALICIA")</f>
        <v>JESUIT CHRISTIAN GALICIA</v>
      </c>
      <c r="C1840" s="235" t="str">
        <f>IFERROR(__xludf.DUMMYFUNCTION("""COMPUTED_VALUE"""),"AMD")</f>
        <v>AMD</v>
      </c>
      <c r="D1840" s="196" t="str">
        <f>IFERROR(__xludf.DUMMYFUNCTION("""COMPUTED_VALUE"""),"11 PCS DOUBLE ACTION VALVE 1/2 X 1/2 X 1/4")</f>
        <v>11 PCS DOUBLE ACTION VALVE 1/2 X 1/2 X 1/4</v>
      </c>
      <c r="E1840" s="196" t="str">
        <f>IFERROR(__xludf.DUMMYFUNCTION("""COMPUTED_VALUE"""),"ENGR WAREHOUSE STOCK REPLENISHMENT")</f>
        <v>ENGR WAREHOUSE STOCK REPLENISHMENT</v>
      </c>
    </row>
    <row r="1841">
      <c r="A1841" s="234">
        <f>IFERROR(__xludf.DUMMYFUNCTION("""COMPUTED_VALUE"""),106674.0)</f>
        <v>106674</v>
      </c>
      <c r="B1841" s="235" t="str">
        <f>IFERROR(__xludf.DUMMYFUNCTION("""COMPUTED_VALUE"""),"ROY RECOMENDABLE")</f>
        <v>ROY RECOMENDABLE</v>
      </c>
      <c r="C1841" s="235" t="str">
        <f>IFERROR(__xludf.DUMMYFUNCTION("""COMPUTED_VALUE"""),"REGISTRATION")</f>
        <v>REGISTRATION</v>
      </c>
      <c r="D1841" s="196" t="str">
        <f>IFERROR(__xludf.DUMMYFUNCTION("""COMPUTED_VALUE"""),"2 REAMS REGISTRATION FORM VIOLET
1 REAM REGISTRATION FORM  PINK
1 REAM REGISTRATION FORM YELLOW")</f>
        <v>2 REAMS REGISTRATION FORM VIOLET
1 REAM REGISTRATION FORM  PINK
1 REAM REGISTRATION FORM YELLOW</v>
      </c>
      <c r="E1841" s="196" t="str">
        <f>IFERROR(__xludf.DUMMYFUNCTION("""COMPUTED_VALUE"""),"FOR ENROLLMENT")</f>
        <v>FOR ENROLLMENT</v>
      </c>
    </row>
    <row r="1842">
      <c r="A1842" s="234">
        <f>IFERROR(__xludf.DUMMYFUNCTION("""COMPUTED_VALUE"""),106675.0)</f>
        <v>106675</v>
      </c>
      <c r="B1842" s="235" t="str">
        <f>IFERROR(__xludf.DUMMYFUNCTION("""COMPUTED_VALUE"""),"ROY RECOMENDABLE")</f>
        <v>ROY RECOMENDABLE</v>
      </c>
      <c r="C1842" s="235" t="str">
        <f>IFERROR(__xludf.DUMMYFUNCTION("""COMPUTED_VALUE"""),"REGISTRATION")</f>
        <v>REGISTRATION</v>
      </c>
      <c r="D1842" s="196" t="str">
        <f>IFERROR(__xludf.DUMMYFUNCTION("""COMPUTED_VALUE"""),"650 REPORT CARD HOLDER 
500 PCS DIPLOMA HOLDER LETTER SIZE
500 PCS DIPLOMA HOLDER A4
500 PCS GRADE SCHOOL REPORT CARD")</f>
        <v>650 REPORT CARD HOLDER 
500 PCS DIPLOMA HOLDER LETTER SIZE
500 PCS DIPLOMA HOLDER A4
500 PCS GRADE SCHOOL REPORT CARD</v>
      </c>
      <c r="E1842" s="196" t="str">
        <f>IFERROR(__xludf.DUMMYFUNCTION("""COMPUTED_VALUE"""),"FOR GRADUATION AND PTC")</f>
        <v>FOR GRADUATION AND PTC</v>
      </c>
    </row>
    <row r="1843">
      <c r="A1843" s="234">
        <f>IFERROR(__xludf.DUMMYFUNCTION("""COMPUTED_VALUE"""),106676.0)</f>
        <v>106676</v>
      </c>
      <c r="B1843" s="235" t="str">
        <f>IFERROR(__xludf.DUMMYFUNCTION("""COMPUTED_VALUE"""),"MYRNA RULONA")</f>
        <v>MYRNA RULONA</v>
      </c>
      <c r="C1843" s="235" t="str">
        <f>IFERROR(__xludf.DUMMYFUNCTION("""COMPUTED_VALUE"""),"LANDSCAPING")</f>
        <v>LANDSCAPING</v>
      </c>
      <c r="D1843" s="196" t="str">
        <f>IFERROR(__xludf.DUMMYFUNCTION("""COMPUTED_VALUE"""),"50 PICARA PLANT
50 FORGET ME NOT 
60 GOLDEN DURANTA
250 GOLDEN POTHOS")</f>
        <v>50 PICARA PLANT
50 FORGET ME NOT 
60 GOLDEN DURANTA
250 GOLDEN POTHOS</v>
      </c>
      <c r="E1843" s="196" t="str">
        <f>IFERROR(__xludf.DUMMYFUNCTION("""COMPUTED_VALUE"""),"MONARCHS PARK, TROP AND LIMA ST.")</f>
        <v>MONARCHS PARK, TROP AND LIMA ST.</v>
      </c>
    </row>
    <row r="1844">
      <c r="A1844" s="234">
        <f>IFERROR(__xludf.DUMMYFUNCTION("""COMPUTED_VALUE"""),106677.0)</f>
        <v>106677</v>
      </c>
      <c r="B1844" s="235" t="str">
        <f>IFERROR(__xludf.DUMMYFUNCTION("""COMPUTED_VALUE"""),"PETER JOHN DOMINCIL")</f>
        <v>PETER JOHN DOMINCIL</v>
      </c>
      <c r="C1844" s="235" t="str">
        <f>IFERROR(__xludf.DUMMYFUNCTION("""COMPUTED_VALUE"""),"AV/MIS")</f>
        <v>AV/MIS</v>
      </c>
      <c r="D1844" s="196" t="str">
        <f>IFERROR(__xludf.DUMMYFUNCTION("""COMPUTED_VALUE"""),"2 PCS ASUS VIVOBOOK 15 INTEL CORE 5 LAPTOP ")</f>
        <v>2 PCS ASUS VIVOBOOK 15 INTEL CORE 5 LAPTOP </v>
      </c>
      <c r="E1844" s="196" t="str">
        <f>IFERROR(__xludf.DUMMYFUNCTION("""COMPUTED_VALUE"""),"FOR SOFTWARE DEVELOPMENT TEAM")</f>
        <v>FOR SOFTWARE DEVELOPMENT TEAM</v>
      </c>
    </row>
    <row r="1845">
      <c r="A1845" s="234">
        <f>IFERROR(__xludf.DUMMYFUNCTION("""COMPUTED_VALUE"""),106678.0)</f>
        <v>106678</v>
      </c>
      <c r="B1845" s="235" t="str">
        <f>IFERROR(__xludf.DUMMYFUNCTION("""COMPUTED_VALUE"""),"OSCAR AGORILLA")</f>
        <v>OSCAR AGORILLA</v>
      </c>
      <c r="C1845" s="235" t="str">
        <f>IFERROR(__xludf.DUMMYFUNCTION("""COMPUTED_VALUE"""),"REGISTRATION")</f>
        <v>REGISTRATION</v>
      </c>
      <c r="D1845" s="196" t="str">
        <f>IFERROR(__xludf.DUMMYFUNCTION("""COMPUTED_VALUE"""),"1 ShREDDING MACHINE S-A3000 ")</f>
        <v>1 ShREDDING MACHINE S-A3000 </v>
      </c>
      <c r="E1845" s="196" t="str">
        <f>IFERROR(__xludf.DUMMYFUNCTION("""COMPUTED_VALUE"""),"FOR OFFICE USE")</f>
        <v>FOR OFFICE USE</v>
      </c>
    </row>
    <row r="1846">
      <c r="A1846" s="234">
        <f>IFERROR(__xludf.DUMMYFUNCTION("""COMPUTED_VALUE"""),106679.0)</f>
        <v>106679</v>
      </c>
      <c r="B1846" s="235" t="str">
        <f>IFERROR(__xludf.DUMMYFUNCTION("""COMPUTED_VALUE"""),"MARVIN MARASIGAN")</f>
        <v>MARVIN MARASIGAN</v>
      </c>
      <c r="C1846" s="235" t="str">
        <f>IFERROR(__xludf.DUMMYFUNCTION("""COMPUTED_VALUE"""),"PR &amp; MARKETING")</f>
        <v>PR &amp; MARKETING</v>
      </c>
      <c r="D1846" s="196" t="str">
        <f>IFERROR(__xludf.DUMMYFUNCTION("""COMPUTED_VALUE"""),"1 10 X 20 FT 3 OZ TARP W/ SEAMING AND EYELET ALL OVER NURSING TARP")</f>
        <v>1 10 X 20 FT 3 OZ TARP W/ SEAMING AND EYELET ALL OVER NURSING TARP</v>
      </c>
      <c r="E1846" s="196" t="str">
        <f>IFERROR(__xludf.DUMMYFUNCTION("""COMPUTED_VALUE"""),"MARKETING")</f>
        <v>MARKETING</v>
      </c>
    </row>
    <row r="1847">
      <c r="A1847" s="234">
        <f>IFERROR(__xludf.DUMMYFUNCTION("""COMPUTED_VALUE"""),106680.0)</f>
        <v>106680</v>
      </c>
      <c r="B1847" s="235" t="str">
        <f>IFERROR(__xludf.DUMMYFUNCTION("""COMPUTED_VALUE"""),"OWIE PAR")</f>
        <v>OWIE PAR</v>
      </c>
      <c r="C1847" s="235" t="str">
        <f>IFERROR(__xludf.DUMMYFUNCTION("""COMPUTED_VALUE"""),"ENGINEERING")</f>
        <v>ENGINEERING</v>
      </c>
      <c r="D1847" s="196" t="str">
        <f>IFERROR(__xludf.DUMMYFUNCTION("""COMPUTED_VALUE"""),"8 PCS HYDRAULIC DOOR CLOSER FOR GLASS DOOR")</f>
        <v>8 PCS HYDRAULIC DOOR CLOSER FOR GLASS DOOR</v>
      </c>
      <c r="E1847" s="196" t="str">
        <f>IFERROR(__xludf.DUMMYFUNCTION("""COMPUTED_VALUE"""),"FOR LUX TROP AND MUNICH")</f>
        <v>FOR LUX TROP AND MUNICH</v>
      </c>
    </row>
    <row r="1848">
      <c r="A1848" s="234">
        <f>IFERROR(__xludf.DUMMYFUNCTION("""COMPUTED_VALUE"""),106681.0)</f>
        <v>106681</v>
      </c>
      <c r="B1848" s="235" t="str">
        <f>IFERROR(__xludf.DUMMYFUNCTION("""COMPUTED_VALUE"""),"JANELLE ILAO")</f>
        <v>JANELLE ILAO</v>
      </c>
      <c r="C1848" s="235" t="str">
        <f>IFERROR(__xludf.DUMMYFUNCTION("""COMPUTED_VALUE"""),"HRMD")</f>
        <v>HRMD</v>
      </c>
      <c r="D1848" s="196" t="str">
        <f>IFERROR(__xludf.DUMMYFUNCTION("""COMPUTED_VALUE"""),"1 FLOWER WREATH")</f>
        <v>1 FLOWER WREATH</v>
      </c>
      <c r="E1848" s="196" t="str">
        <f>IFERROR(__xludf.DUMMYFUNCTION("""COMPUTED_VALUE"""),"FLOWER WREATH FOR MS KILAPKILAP'S SISTER")</f>
        <v>FLOWER WREATH FOR MS KILAPKILAP'S SISTER</v>
      </c>
    </row>
    <row r="1849">
      <c r="A1849" s="234">
        <f>IFERROR(__xludf.DUMMYFUNCTION("""COMPUTED_VALUE"""),106682.0)</f>
        <v>106682</v>
      </c>
      <c r="B1849" s="235" t="str">
        <f>IFERROR(__xludf.DUMMYFUNCTION("""COMPUTED_VALUE"""),"RODRIGO CUSTODIO")</f>
        <v>RODRIGO CUSTODIO</v>
      </c>
      <c r="C1849" s="235" t="str">
        <f>IFERROR(__xludf.DUMMYFUNCTION("""COMPUTED_VALUE"""),"AMD")</f>
        <v>AMD</v>
      </c>
      <c r="D1849" s="196" t="str">
        <f>IFERROR(__xludf.DUMMYFUNCTION("""COMPUTED_VALUE"""),"60 PCS SPOTLESS HOUSEHOLD CLEANING PASTE ")</f>
        <v>60 PCS SPOTLESS HOUSEHOLD CLEANING PASTE </v>
      </c>
      <c r="E1849" s="196" t="str">
        <f>IFERROR(__xludf.DUMMYFUNCTION("""COMPUTED_VALUE"""),"HOUSEKEEPING MATERIALS STOCK REPLENISHMENT")</f>
        <v>HOUSEKEEPING MATERIALS STOCK REPLENISHMENT</v>
      </c>
    </row>
    <row r="1850">
      <c r="A1850" s="234">
        <f>IFERROR(__xludf.DUMMYFUNCTION("""COMPUTED_VALUE"""),106683.0)</f>
        <v>106683</v>
      </c>
      <c r="B1850" s="235" t="str">
        <f>IFERROR(__xludf.DUMMYFUNCTION("""COMPUTED_VALUE"""),"RODRIGO CUSTODIO")</f>
        <v>RODRIGO CUSTODIO</v>
      </c>
      <c r="C1850" s="235" t="str">
        <f>IFERROR(__xludf.DUMMYFUNCTION("""COMPUTED_VALUE"""),"AMD")</f>
        <v>AMD</v>
      </c>
      <c r="D1850" s="196" t="str">
        <f>IFERROR(__xludf.DUMMYFUNCTION("""COMPUTED_VALUE"""),"804 PCS TISSUE JUMBO ROLL 200 METERS")</f>
        <v>804 PCS TISSUE JUMBO ROLL 200 METERS</v>
      </c>
      <c r="E1850" s="196" t="str">
        <f>IFERROR(__xludf.DUMMYFUNCTION("""COMPUTED_VALUE"""),"HOUSEKEEPING MATERIALS STOCK REPLENISHMENT")</f>
        <v>HOUSEKEEPING MATERIALS STOCK REPLENISHMENT</v>
      </c>
    </row>
    <row r="1851">
      <c r="A1851" s="234">
        <f>IFERROR(__xludf.DUMMYFUNCTION("""COMPUTED_VALUE"""),106684.0)</f>
        <v>106684</v>
      </c>
      <c r="B1851" s="235" t="str">
        <f>IFERROR(__xludf.DUMMYFUNCTION("""COMPUTED_VALUE"""),"RODRIGO CUSTODIO")</f>
        <v>RODRIGO CUSTODIO</v>
      </c>
      <c r="C1851" s="235" t="str">
        <f>IFERROR(__xludf.DUMMYFUNCTION("""COMPUTED_VALUE"""),"AMD")</f>
        <v>AMD</v>
      </c>
      <c r="D1851" s="196" t="str">
        <f>IFERROR(__xludf.DUMMYFUNCTION("""COMPUTED_VALUE"""),"40 PCS SPATULA SMALL 
30 PCS TOILET RUBBER PUMP MULTICOLORED")</f>
        <v>40 PCS SPATULA SMALL 
30 PCS TOILET RUBBER PUMP MULTICOLORED</v>
      </c>
      <c r="E1851" s="196" t="str">
        <f>IFERROR(__xludf.DUMMYFUNCTION("""COMPUTED_VALUE"""),"HOUSEKEEPING MATERIALS STOCK REPLENISHMENT")</f>
        <v>HOUSEKEEPING MATERIALS STOCK REPLENISHMENT</v>
      </c>
    </row>
    <row r="1852">
      <c r="A1852" s="234">
        <f>IFERROR(__xludf.DUMMYFUNCTION("""COMPUTED_VALUE"""),106685.0)</f>
        <v>106685</v>
      </c>
      <c r="B1852" s="235" t="str">
        <f>IFERROR(__xludf.DUMMYFUNCTION("""COMPUTED_VALUE"""),"JOMARI TORRES")</f>
        <v>JOMARI TORRES</v>
      </c>
      <c r="C1852" s="235" t="str">
        <f>IFERROR(__xludf.DUMMYFUNCTION("""COMPUTED_VALUE"""),"ACCOUNTING AFFILIATES")</f>
        <v>ACCOUNTING AFFILIATES</v>
      </c>
      <c r="D1852" s="196" t="str">
        <f>IFERROR(__xludf.DUMMYFUNCTION("""COMPUTED_VALUE"""),"1 OFFICE CHAIR")</f>
        <v>1 OFFICE CHAIR</v>
      </c>
      <c r="E1852" s="196" t="str">
        <f>IFERROR(__xludf.DUMMYFUNCTION("""COMPUTED_VALUE"""),"REPLACE THE OLD CHAIR")</f>
        <v>REPLACE THE OLD CHAIR</v>
      </c>
    </row>
    <row r="1853">
      <c r="A1853" s="234">
        <f>IFERROR(__xludf.DUMMYFUNCTION("""COMPUTED_VALUE"""),106686.0)</f>
        <v>106686</v>
      </c>
      <c r="B1853" s="235" t="str">
        <f>IFERROR(__xludf.DUMMYFUNCTION("""COMPUTED_VALUE"""),"MARC VINCENT VITTO")</f>
        <v>MARC VINCENT VITTO</v>
      </c>
      <c r="C1853" s="235" t="str">
        <f>IFERROR(__xludf.DUMMYFUNCTION("""COMPUTED_VALUE"""),"PR &amp; MARKETING")</f>
        <v>PR &amp; MARKETING</v>
      </c>
      <c r="D1853" s="196" t="str">
        <f>IFERROR(__xludf.DUMMYFUNCTION("""COMPUTED_VALUE"""),"1 35TH GIANT TARP 78 X 13FT 24 OZ ADD SEAMING AND EYELET ALL OVER")</f>
        <v>1 35TH GIANT TARP 78 X 13FT 24 OZ ADD SEAMING AND EYELET ALL OVER</v>
      </c>
      <c r="E1853" s="196" t="str">
        <f>IFERROR(__xludf.DUMMYFUNCTION("""COMPUTED_VALUE"""),"REORDER")</f>
        <v>REORDER</v>
      </c>
    </row>
    <row r="1854">
      <c r="A1854" s="234">
        <f>IFERROR(__xludf.DUMMYFUNCTION("""COMPUTED_VALUE"""),106687.0)</f>
        <v>106687</v>
      </c>
      <c r="B1854" s="235" t="str">
        <f>IFERROR(__xludf.DUMMYFUNCTION("""COMPUTED_VALUE"""),"MARC VINCENT VITTO")</f>
        <v>MARC VINCENT VITTO</v>
      </c>
      <c r="C1854" s="235" t="str">
        <f>IFERROR(__xludf.DUMMYFUNCTION("""COMPUTED_VALUE"""),"PR &amp; MARKETING")</f>
        <v>PR &amp; MARKETING</v>
      </c>
      <c r="D1854" s="196" t="str">
        <f>IFERROR(__xludf.DUMMYFUNCTION("""COMPUTED_VALUE"""),"8000 SISFU SISC FLYER FLEX 5.5 IN X 8.5 IN ")</f>
        <v>8000 SISFU SISC FLYER FLEX 5.5 IN X 8.5 IN </v>
      </c>
      <c r="E1854" s="196" t="str">
        <f>IFERROR(__xludf.DUMMYFUNCTION("""COMPUTED_VALUE"""),"ADVERTISMENT/MARKETING")</f>
        <v>ADVERTISMENT/MARKETING</v>
      </c>
    </row>
    <row r="1855">
      <c r="A1855" s="234">
        <f>IFERROR(__xludf.DUMMYFUNCTION("""COMPUTED_VALUE"""),106688.0)</f>
        <v>106688</v>
      </c>
      <c r="B1855" s="235" t="str">
        <f>IFERROR(__xludf.DUMMYFUNCTION("""COMPUTED_VALUE"""),"OWIE PAR")</f>
        <v>OWIE PAR</v>
      </c>
      <c r="C1855" s="235" t="str">
        <f>IFERROR(__xludf.DUMMYFUNCTION("""COMPUTED_VALUE"""),"ENGINEERING")</f>
        <v>ENGINEERING</v>
      </c>
      <c r="D1855" s="196" t="str">
        <f>IFERROR(__xludf.DUMMYFUNCTION("""COMPUTED_VALUE"""),"3 UNIT STAND FAN 
1 UNIT ORBIT FAN ")</f>
        <v>3 UNIT STAND FAN 
1 UNIT ORBIT FAN </v>
      </c>
      <c r="E1855" s="196" t="str">
        <f>IFERROR(__xludf.DUMMYFUNCTION("""COMPUTED_VALUE"""),"FOR YOKOHAMA DORM")</f>
        <v>FOR YOKOHAMA DORM</v>
      </c>
    </row>
    <row r="1856">
      <c r="A1856" s="234">
        <f>IFERROR(__xludf.DUMMYFUNCTION("""COMPUTED_VALUE"""),106689.0)</f>
        <v>106689</v>
      </c>
      <c r="B1856" s="235" t="str">
        <f>IFERROR(__xludf.DUMMYFUNCTION("""COMPUTED_VALUE"""),"OWIE PAR")</f>
        <v>OWIE PAR</v>
      </c>
      <c r="C1856" s="235" t="str">
        <f>IFERROR(__xludf.DUMMYFUNCTION("""COMPUTED_VALUE"""),"ADMIN")</f>
        <v>ADMIN</v>
      </c>
      <c r="D1856" s="196" t="str">
        <f>IFERROR(__xludf.DUMMYFUNCTION("""COMPUTED_VALUE"""),"50 PCS ALUMINUM STAIR NOSING SILVER 20 FT
10 PACKS MORE NAIL")</f>
        <v>50 PCS ALUMINUM STAIR NOSING SILVER 20 FT
10 PACKS MORE NAIL</v>
      </c>
      <c r="E1856" s="196" t="str">
        <f>IFERROR(__xludf.DUMMYFUNCTION("""COMPUTED_VALUE"""),"REPLACEMENT FOR STAR")</f>
        <v>REPLACEMENT FOR STAR</v>
      </c>
    </row>
    <row r="1857">
      <c r="A1857" s="234">
        <f>IFERROR(__xludf.DUMMYFUNCTION("""COMPUTED_VALUE"""),106690.0)</f>
        <v>106690</v>
      </c>
      <c r="B1857" s="235" t="str">
        <f>IFERROR(__xludf.DUMMYFUNCTION("""COMPUTED_VALUE"""),"SHEREE ESPINOSA")</f>
        <v>SHEREE ESPINOSA</v>
      </c>
      <c r="C1857" s="235" t="str">
        <f>IFERROR(__xludf.DUMMYFUNCTION("""COMPUTED_VALUE"""),"ADMIN")</f>
        <v>ADMIN</v>
      </c>
      <c r="D1857" s="196" t="str">
        <f>IFERROR(__xludf.DUMMYFUNCTION("""COMPUTED_VALUE"""),"50 PCS FRAMES")</f>
        <v>50 PCS FRAMES</v>
      </c>
      <c r="E1857" s="196" t="str">
        <f>IFERROR(__xludf.DUMMYFUNCTION("""COMPUTED_VALUE"""),"FOR GROWTH MINDSET QUOTES")</f>
        <v>FOR GROWTH MINDSET QUOTES</v>
      </c>
    </row>
    <row r="1858">
      <c r="A1858" s="234">
        <f>IFERROR(__xludf.DUMMYFUNCTION("""COMPUTED_VALUE"""),106691.0)</f>
        <v>106691</v>
      </c>
      <c r="B1858" s="235" t="str">
        <f>IFERROR(__xludf.DUMMYFUNCTION("""COMPUTED_VALUE"""),"ALFA DE LEON")</f>
        <v>ALFA DE LEON</v>
      </c>
      <c r="C1858" s="235" t="str">
        <f>IFERROR(__xludf.DUMMYFUNCTION("""COMPUTED_VALUE"""),"ADMIN - STAR")</f>
        <v>ADMIN - STAR</v>
      </c>
      <c r="D1858" s="196" t="str">
        <f>IFERROR(__xludf.DUMMYFUNCTION("""COMPUTED_VALUE"""),"3 5 GALLONS")</f>
        <v>3 5 GALLONS</v>
      </c>
      <c r="E1858" s="196" t="str">
        <f>IFERROR(__xludf.DUMMYFUNCTION("""COMPUTED_VALUE"""),"ADDITIONAL")</f>
        <v>ADDITIONAL</v>
      </c>
    </row>
    <row r="1859">
      <c r="A1859" s="234">
        <f>IFERROR(__xludf.DUMMYFUNCTION("""COMPUTED_VALUE"""),106692.0)</f>
        <v>106692</v>
      </c>
      <c r="B1859" s="235" t="str">
        <f>IFERROR(__xludf.DUMMYFUNCTION("""COMPUTED_VALUE"""),"SHEREE ESPINOSA")</f>
        <v>SHEREE ESPINOSA</v>
      </c>
      <c r="C1859" s="235" t="str">
        <f>IFERROR(__xludf.DUMMYFUNCTION("""COMPUTED_VALUE"""),"ADMIN")</f>
        <v>ADMIN</v>
      </c>
      <c r="D1859" s="196" t="str">
        <f>IFERROR(__xludf.DUMMYFUNCTION("""COMPUTED_VALUE"""),"90 TABLES
90 CHAIRS")</f>
        <v>90 TABLES
90 CHAIRS</v>
      </c>
      <c r="E1859" s="196" t="str">
        <f>IFERROR(__xludf.DUMMYFUNCTION("""COMPUTED_VALUE"""),"UPGRADE OF IB TABLES AND CHAIRS")</f>
        <v>UPGRADE OF IB TABLES AND CHAIRS</v>
      </c>
    </row>
    <row r="1860">
      <c r="A1860" s="234">
        <f>IFERROR(__xludf.DUMMYFUNCTION("""COMPUTED_VALUE"""),106693.0)</f>
        <v>106693</v>
      </c>
      <c r="B1860" s="235" t="str">
        <f>IFERROR(__xludf.DUMMYFUNCTION("""COMPUTED_VALUE"""),"ALFA DE LEON")</f>
        <v>ALFA DE LEON</v>
      </c>
      <c r="C1860" s="235" t="str">
        <f>IFERROR(__xludf.DUMMYFUNCTION("""COMPUTED_VALUE"""),"ADMIN - STAR")</f>
        <v>ADMIN - STAR</v>
      </c>
      <c r="D1860" s="196" t="str">
        <f>IFERROR(__xludf.DUMMYFUNCTION("""COMPUTED_VALUE"""),"45 TABACCO
40 BEACH LILY
20 SELLOUM
20 HELICONIA")</f>
        <v>45 TABACCO
40 BEACH LILY
20 SELLOUM
20 HELICONIA</v>
      </c>
      <c r="E1860" s="196" t="str">
        <f>IFERROR(__xludf.DUMMYFUNCTION("""COMPUTED_VALUE"""),"OVERGROWN PLANTS FOR PROPAGATION")</f>
        <v>OVERGROWN PLANTS FOR PROPAGATION</v>
      </c>
    </row>
    <row r="1861">
      <c r="A1861" s="234">
        <f>IFERROR(__xludf.DUMMYFUNCTION("""COMPUTED_VALUE"""),106694.0)</f>
        <v>106694</v>
      </c>
      <c r="B1861" s="235" t="str">
        <f>IFERROR(__xludf.DUMMYFUNCTION("""COMPUTED_VALUE"""),"JOHN JERICHO VENUS")</f>
        <v>JOHN JERICHO VENUS</v>
      </c>
      <c r="C1861" s="235" t="str">
        <f>IFERROR(__xludf.DUMMYFUNCTION("""COMPUTED_VALUE"""),"ADMIN")</f>
        <v>ADMIN</v>
      </c>
      <c r="D1861" s="196" t="str">
        <f>IFERROR(__xludf.DUMMYFUNCTION("""COMPUTED_VALUE"""),"1 SINTRA BOARD SHORT BONDPAPER
1 ACRYLIC BOARD W/ PRINTOUT SHORT BONDPAPER AND STAINLESS STEEL BOLTS
1 SINTRABOARD DOUBLE CROWN W/FRAME
1 ACRYLIC BOARD W/ PRINTOUT DOUBLE CROWN AND STAINLESS STEEL BOLTS")</f>
        <v>1 SINTRA BOARD SHORT BONDPAPER
1 ACRYLIC BOARD W/ PRINTOUT SHORT BONDPAPER AND STAINLESS STEEL BOLTS
1 SINTRABOARD DOUBLE CROWN W/FRAME
1 ACRYLIC BOARD W/ PRINTOUT DOUBLE CROWN AND STAINLESS STEEL BOLTS</v>
      </c>
      <c r="E1861" s="196" t="str">
        <f>IFERROR(__xludf.DUMMYFUNCTION("""COMPUTED_VALUE"""),"SAMPLE BEFORE MASS PRODUCTION")</f>
        <v>SAMPLE BEFORE MASS PRODUCTION</v>
      </c>
    </row>
    <row r="1862">
      <c r="A1862" s="234">
        <f>IFERROR(__xludf.DUMMYFUNCTION("""COMPUTED_VALUE"""),106695.0)</f>
        <v>106695</v>
      </c>
      <c r="B1862" s="235" t="str">
        <f>IFERROR(__xludf.DUMMYFUNCTION("""COMPUTED_VALUE"""),"ALFA DE LEON")</f>
        <v>ALFA DE LEON</v>
      </c>
      <c r="C1862" s="235" t="str">
        <f>IFERROR(__xludf.DUMMYFUNCTION("""COMPUTED_VALUE"""),"ADMIN - STAR")</f>
        <v>ADMIN - STAR</v>
      </c>
      <c r="D1862" s="196" t="str">
        <f>IFERROR(__xludf.DUMMYFUNCTION("""COMPUTED_VALUE"""),"1 LLAVE TUBO
1 METRO")</f>
        <v>1 LLAVE TUBO
1 METRO</v>
      </c>
      <c r="E1862" s="196" t="str">
        <f>IFERROR(__xludf.DUMMYFUNCTION("""COMPUTED_VALUE"""),"FOR IMMEDIATE REPAIRS")</f>
        <v>FOR IMMEDIATE REPAIRS</v>
      </c>
    </row>
    <row r="1863">
      <c r="A1863" s="234">
        <f>IFERROR(__xludf.DUMMYFUNCTION("""COMPUTED_VALUE"""),106696.0)</f>
        <v>106696</v>
      </c>
      <c r="B1863" s="235" t="str">
        <f>IFERROR(__xludf.DUMMYFUNCTION("""COMPUTED_VALUE"""),"RODRIGO CUSTODIO")</f>
        <v>RODRIGO CUSTODIO</v>
      </c>
      <c r="C1863" s="235" t="str">
        <f>IFERROR(__xludf.DUMMYFUNCTION("""COMPUTED_VALUE"""),"AMD")</f>
        <v>AMD</v>
      </c>
      <c r="D1863" s="196" t="str">
        <f>IFERROR(__xludf.DUMMYFUNCTION("""COMPUTED_VALUE"""),"15 PCS RAIN BOOTS MEN
7 PCS RAIN BOOTS FEMALE
11 PCS RAINCOAT ")</f>
        <v>15 PCS RAIN BOOTS MEN
7 PCS RAIN BOOTS FEMALE
11 PCS RAINCOAT </v>
      </c>
      <c r="E1863" s="196" t="str">
        <f>IFERROR(__xludf.DUMMYFUNCTION("""COMPUTED_VALUE"""),"HOUSEKEEPING MATERIALS STOCK REPLENISHMENT")</f>
        <v>HOUSEKEEPING MATERIALS STOCK REPLENISHMENT</v>
      </c>
    </row>
    <row r="1864">
      <c r="A1864" s="234">
        <f>IFERROR(__xludf.DUMMYFUNCTION("""COMPUTED_VALUE"""),106697.0)</f>
        <v>106697</v>
      </c>
      <c r="B1864" s="235" t="str">
        <f>IFERROR(__xludf.DUMMYFUNCTION("""COMPUTED_VALUE"""),"ALFA DE LEON")</f>
        <v>ALFA DE LEON</v>
      </c>
      <c r="C1864" s="235" t="str">
        <f>IFERROR(__xludf.DUMMYFUNCTION("""COMPUTED_VALUE"""),"ADMIN - STAR")</f>
        <v>ADMIN - STAR</v>
      </c>
      <c r="D1864" s="196" t="str">
        <f>IFERROR(__xludf.DUMMYFUNCTION("""COMPUTED_VALUE"""),"20  BULB WARM WHITE 
20 LED SPOTLIGHT WARM WHITE ")</f>
        <v>20  BULB WARM WHITE 
20 LED SPOTLIGHT WARM WHITE </v>
      </c>
      <c r="E1864" s="196" t="str">
        <f>IFERROR(__xludf.DUMMYFUNCTION("""COMPUTED_VALUE"""),"REPLACEMENT OF BUSTED LIGHTS")</f>
        <v>REPLACEMENT OF BUSTED LIGHTS</v>
      </c>
    </row>
    <row r="1865">
      <c r="A1865" s="234">
        <f>IFERROR(__xludf.DUMMYFUNCTION("""COMPUTED_VALUE"""),106698.0)</f>
        <v>106698</v>
      </c>
      <c r="B1865" s="235" t="str">
        <f>IFERROR(__xludf.DUMMYFUNCTION("""COMPUTED_VALUE"""),"RODRIGO CUSTODIO")</f>
        <v>RODRIGO CUSTODIO</v>
      </c>
      <c r="C1865" s="235" t="str">
        <f>IFERROR(__xludf.DUMMYFUNCTION("""COMPUTED_VALUE"""),"AMD")</f>
        <v>AMD</v>
      </c>
      <c r="D1865" s="196" t="str">
        <f>IFERROR(__xludf.DUMMYFUNCTION("""COMPUTED_VALUE"""),"52PCS BIDET RINSE TECH THE HERITAGE CREAM")</f>
        <v>52PCS BIDET RINSE TECH THE HERITAGE CREAM</v>
      </c>
      <c r="E1865" s="196" t="str">
        <f>IFERROR(__xludf.DUMMYFUNCTION("""COMPUTED_VALUE"""),"HOUSEKEEPING MATERIALS STOCK REPLENISHMENT")</f>
        <v>HOUSEKEEPING MATERIALS STOCK REPLENISHMENT</v>
      </c>
    </row>
    <row r="1866">
      <c r="A1866" s="234">
        <f>IFERROR(__xludf.DUMMYFUNCTION("""COMPUTED_VALUE"""),106699.0)</f>
        <v>106699</v>
      </c>
      <c r="B1866" s="235" t="str">
        <f>IFERROR(__xludf.DUMMYFUNCTION("""COMPUTED_VALUE"""),"MELISSA ODONO")</f>
        <v>MELISSA ODONO</v>
      </c>
      <c r="C1866" s="235" t="str">
        <f>IFERROR(__xludf.DUMMYFUNCTION("""COMPUTED_VALUE"""),"LIBRARY COLLEGE")</f>
        <v>LIBRARY COLLEGE</v>
      </c>
      <c r="D1866" s="196" t="str">
        <f>IFERROR(__xludf.DUMMYFUNCTION("""COMPUTED_VALUE"""),"1 EACH:
Academic Writing Skill for International Students					
Acing GCSE O Level Chemistry: Your Complete guide and Practice Resource Book 1					
Acing GCSE O Level Chemistry: Your Complete Guide and Practice Resource Book 2					
A Practical Guide for"&amp;" Middle and Hgh School History Instruction:  Make History					
Becoming a Teacher-Research: A Guide to Your Research Journey					
Coaching For Multilingual Excellence: Strategies for Vocabulary, Reading And Writing Across Disciplines					
Computing and"&amp;" Digital Learning For Primary Teachers					
English-Medium Instruction Practices in Higher Education: International Perpectives					
Emerging Literacy: Unlocking Instruction for Every Child					
Encyclopedia of Science and Technology					
How to Plan "&amp;"Primary Lessons: Essential Practice And Theory For New Teachers					
Interpreting Music, Engaging Culture: An Introduction to Music Criticism					
Interweaving Equitable Participation and Deep Mathematics					
Knowledge					
Mildestones in Music Educa"&amp;"tion					")</f>
        <v>1 EACH:
Academic Writing Skill for International Students					
Acing GCSE O Level Chemistry: Your Complete guide and Practice Resource Book 1					
Acing GCSE O Level Chemistry: Your Complete Guide and Practice Resource Book 2					
A Practical Guide for Middle and Hgh School History Instruction:  Make History					
Becoming a Teacher-Research: A Guide to Your Research Journey					
Coaching For Multilingual Excellence: Strategies for Vocabulary, Reading And Writing Across Disciplines					
Computing and Digital Learning For Primary Teachers					
English-Medium Instruction Practices in Higher Education: International Perpectives					
Emerging Literacy: Unlocking Instruction for Every Child					
Encyclopedia of Science and Technology					
How to Plan Primary Lessons: Essential Practice And Theory For New Teachers					
Interpreting Music, Engaging Culture: An Introduction to Music Criticism					
Interweaving Equitable Participation and Deep Mathematics					
Knowledge					
Mildestones in Music Education					</v>
      </c>
      <c r="E1866" s="196" t="str">
        <f>IFERROR(__xludf.DUMMYFUNCTION("""COMPUTED_VALUE"""),"FOR LIBRARY'S COPY")</f>
        <v>FOR LIBRARY'S COPY</v>
      </c>
    </row>
    <row r="1867">
      <c r="A1867" s="234">
        <f>IFERROR(__xludf.DUMMYFUNCTION("""COMPUTED_VALUE"""),106700.0)</f>
        <v>106700</v>
      </c>
      <c r="B1867" s="235" t="str">
        <f>IFERROR(__xludf.DUMMYFUNCTION("""COMPUTED_VALUE"""),"MELISSA ODONO")</f>
        <v>MELISSA ODONO</v>
      </c>
      <c r="C1867" s="235" t="str">
        <f>IFERROR(__xludf.DUMMYFUNCTION("""COMPUTED_VALUE"""),"LIBRARY COLLEGE")</f>
        <v>LIBRARY COLLEGE</v>
      </c>
      <c r="D1867" s="196" t="str">
        <f>IFERROR(__xludf.DUMMYFUNCTION("""COMPUTED_VALUE"""),"1 EACH:
Navigating English Grammar					
Introduction to Physical Education, Exercise Science, and Sport					
Powerful Teaching					
Race, Racism,  and Antiracism in Language Eduaction					
Research Design: Qualitative, Quantitative, and Mixed Methods "&amp;"Approaches					
Statistical Literacy: A Beginner's Guide					
Teaching Excellence? Universities In An Age Of Student Consumerism					
Technical Writing					
The Biopsychology Colouring Book					
The Future of Syntax: Asian Perspectives in am AI Age		"&amp;"			
Applying Color Theory to Digital Media and Visualization					
Aesthetics of Pop Music					
Teacher Leadership in High-Performing Schools: A Blueprint for Excellence					")</f>
        <v>1 EACH:
Navigating English Grammar					
Introduction to Physical Education, Exercise Science, and Sport					
Powerful Teaching					
Race, Racism,  and Antiracism in Language Eduaction					
Research Design: Qualitative, Quantitative, and Mixed Methods Approaches					
Statistical Literacy: A Beginner's Guide					
Teaching Excellence? Universities In An Age Of Student Consumerism					
Technical Writing					
The Biopsychology Colouring Book					
The Future of Syntax: Asian Perspectives in am AI Age					
Applying Color Theory to Digital Media and Visualization					
Aesthetics of Pop Music					
Teacher Leadership in High-Performing Schools: A Blueprint for Excellence					</v>
      </c>
      <c r="E1867" s="196" t="str">
        <f>IFERROR(__xludf.DUMMYFUNCTION("""COMPUTED_VALUE"""),"FOR LIBRARY'S COPY")</f>
        <v>FOR LIBRARY'S COPY</v>
      </c>
    </row>
    <row r="1868">
      <c r="A1868" s="234">
        <f>IFERROR(__xludf.DUMMYFUNCTION("""COMPUTED_VALUE"""),106701.0)</f>
        <v>106701</v>
      </c>
      <c r="B1868" s="235" t="str">
        <f>IFERROR(__xludf.DUMMYFUNCTION("""COMPUTED_VALUE"""),"ALFA DE LEON")</f>
        <v>ALFA DE LEON</v>
      </c>
      <c r="C1868" s="235" t="str">
        <f>IFERROR(__xludf.DUMMYFUNCTION("""COMPUTED_VALUE"""),"ADMIN - STAR")</f>
        <v>ADMIN - STAR</v>
      </c>
      <c r="D1868" s="196" t="str">
        <f>IFERROR(__xludf.DUMMYFUNCTION("""COMPUTED_VALUE"""),"1 ORBIT FAN 16"" COLOR GRAY")</f>
        <v>1 ORBIT FAN 16" COLOR GRAY</v>
      </c>
      <c r="E1868" s="196" t="str">
        <f>IFERROR(__xludf.DUMMYFUNCTION("""COMPUTED_VALUE"""),"REPLACEMENT OF BROKEN ORBIT FAN IN THE FRONT GATE")</f>
        <v>REPLACEMENT OF BROKEN ORBIT FAN IN THE FRONT GATE</v>
      </c>
    </row>
    <row r="1869">
      <c r="A1869" s="234">
        <f>IFERROR(__xludf.DUMMYFUNCTION("""COMPUTED_VALUE"""),106702.0)</f>
        <v>106702</v>
      </c>
      <c r="B1869" s="235" t="str">
        <f>IFERROR(__xludf.DUMMYFUNCTION("""COMPUTED_VALUE"""),"OWIE PAR")</f>
        <v>OWIE PAR</v>
      </c>
      <c r="C1869" s="235" t="str">
        <f>IFERROR(__xludf.DUMMYFUNCTION("""COMPUTED_VALUE"""),"ENGINEERING")</f>
        <v>ENGINEERING</v>
      </c>
      <c r="D1869" s="196" t="str">
        <f>IFERROR(__xludf.DUMMYFUNCTION("""COMPUTED_VALUE"""),"2 ROLLS COPPERTUBE 5/8 .28
2 ROLLS COPPERTUBE 3/8 .28
10 PCS RUBBER INSULATION 5/8 X 1/2
10 PCS RUBBER INSULATION 3/8 X 1/2
5 PCS WHITE TAPE
1 ROLL FLEXIBLE PIPE 75 METER
15 METERS THHN #14 RED
15 METERS THHN #14  BLUE
15 METERS THHN #14  BLACK
15 METERS "&amp;"THHN #14  WHITE
15 METERS THHN #14  GREEN
1 ROLL ELECTRICAL TAPE 
8 PCS DYNA BOLT 3/8
1KG GI WIRE #16
2 CONTAINER R410A 2.8KGS")</f>
        <v>2 ROLLS COPPERTUBE 5/8 .28
2 ROLLS COPPERTUBE 3/8 .28
10 PCS RUBBER INSULATION 5/8 X 1/2
10 PCS RUBBER INSULATION 3/8 X 1/2
5 PCS WHITE TAPE
1 ROLL FLEXIBLE PIPE 75 METER
15 METERS THHN #14 RED
15 METERS THHN #14  BLUE
15 METERS THHN #14  BLACK
15 METERS THHN #14  WHITE
15 METERS THHN #14  GREEN
1 ROLL ELECTRICAL TAPE 
8 PCS DYNA BOLT 3/8
1KG GI WIRE #16
2 CONTAINER R410A 2.8KGS</v>
      </c>
      <c r="E1869" s="196" t="str">
        <f>IFERROR(__xludf.DUMMYFUNCTION("""COMPUTED_VALUE"""),"ACU INSTALLATION FOR LUX CAFETERIA")</f>
        <v>ACU INSTALLATION FOR LUX CAFETERIA</v>
      </c>
    </row>
    <row r="1870">
      <c r="A1870" s="234">
        <f>IFERROR(__xludf.DUMMYFUNCTION("""COMPUTED_VALUE"""),106703.0)</f>
        <v>106703</v>
      </c>
      <c r="B1870" s="235" t="str">
        <f>IFERROR(__xludf.DUMMYFUNCTION("""COMPUTED_VALUE"""),"MARC VINCENT VITTO")</f>
        <v>MARC VINCENT VITTO</v>
      </c>
      <c r="C1870" s="235" t="str">
        <f>IFERROR(__xludf.DUMMYFUNCTION("""COMPUTED_VALUE"""),"PR &amp; MARKETING")</f>
        <v>PR &amp; MARKETING</v>
      </c>
      <c r="D1870" s="196" t="str">
        <f>IFERROR(__xludf.DUMMYFUNCTION("""COMPUTED_VALUE"""),"2 FARINA WELCOME BANNER 2.5FT X 6 FT 13OZ ADD SEAMING AND EYLET ALLOVER")</f>
        <v>2 FARINA WELCOME BANNER 2.5FT X 6 FT 13OZ ADD SEAMING AND EYLET ALLOVER</v>
      </c>
      <c r="E1870" s="196" t="str">
        <f>IFERROR(__xludf.DUMMYFUNCTION("""COMPUTED_VALUE"""),"CONGRATULATORY X STAND")</f>
        <v>CONGRATULATORY X STAND</v>
      </c>
    </row>
    <row r="1871">
      <c r="A1871" s="234">
        <f>IFERROR(__xludf.DUMMYFUNCTION("""COMPUTED_VALUE"""),106704.0)</f>
        <v>106704</v>
      </c>
      <c r="B1871" s="235" t="str">
        <f>IFERROR(__xludf.DUMMYFUNCTION("""COMPUTED_VALUE"""),"LUCILLE BEYER")</f>
        <v>LUCILLE BEYER</v>
      </c>
      <c r="C1871" s="235" t="str">
        <f>IFERROR(__xludf.DUMMYFUNCTION("""COMPUTED_VALUE"""),"MEDICAL")</f>
        <v>MEDICAL</v>
      </c>
      <c r="D1871" s="196" t="str">
        <f>IFERROR(__xludf.DUMMYFUNCTION("""COMPUTED_VALUE"""),"60 PCS ELASTIC BANDAGES 3"" + 4"" 
20 DISPOSABLE MASKS ")</f>
        <v>60 PCS ELASTIC BANDAGES 3" + 4" 
20 DISPOSABLE MASKS </v>
      </c>
      <c r="E1871" s="196" t="str">
        <f>IFERROR(__xludf.DUMMYFUNCTION("""COMPUTED_VALUE"""),"REPLENISHMENT OF CLINIC FIRST AID MATERIALS")</f>
        <v>REPLENISHMENT OF CLINIC FIRST AID MATERIALS</v>
      </c>
    </row>
    <row r="1872">
      <c r="A1872" s="234">
        <f>IFERROR(__xludf.DUMMYFUNCTION("""COMPUTED_VALUE"""),106705.0)</f>
        <v>106705</v>
      </c>
      <c r="B1872" s="235" t="str">
        <f>IFERROR(__xludf.DUMMYFUNCTION("""COMPUTED_VALUE"""),"JORDAN JORDAN")</f>
        <v>JORDAN JORDAN</v>
      </c>
      <c r="C1872" s="235" t="str">
        <f>IFERROR(__xludf.DUMMYFUNCTION("""COMPUTED_VALUE"""),"ADMIN")</f>
        <v>ADMIN</v>
      </c>
      <c r="D1872" s="196" t="str">
        <f>IFERROR(__xludf.DUMMYFUNCTION("""COMPUTED_VALUE"""),"4 PCS 12"" AEF -12C AKARI CEILING MOUNTED EXHAUST FAN")</f>
        <v>4 PCS 12" AEF -12C AKARI CEILING MOUNTED EXHAUST FAN</v>
      </c>
      <c r="E1872" s="196" t="str">
        <f>IFERROR(__xludf.DUMMYFUNCTION("""COMPUTED_VALUE"""),"REPLACEMENT OF DEFECTIVE FAN COLLEGE RESTROOM")</f>
        <v>REPLACEMENT OF DEFECTIVE FAN COLLEGE RESTROOM</v>
      </c>
    </row>
    <row r="1873">
      <c r="A1873" s="234">
        <f>IFERROR(__xludf.DUMMYFUNCTION("""COMPUTED_VALUE"""),106706.0)</f>
        <v>106706</v>
      </c>
      <c r="B1873" s="235" t="str">
        <f>IFERROR(__xludf.DUMMYFUNCTION("""COMPUTED_VALUE"""),"JANCEL PRADILLADA")</f>
        <v>JANCEL PRADILLADA</v>
      </c>
      <c r="C1873" s="235" t="str">
        <f>IFERROR(__xludf.DUMMYFUNCTION("""COMPUTED_VALUE"""),"AV/MIS")</f>
        <v>AV/MIS</v>
      </c>
      <c r="D1873" s="196" t="str">
        <f>IFERROR(__xludf.DUMMYFUNCTION("""COMPUTED_VALUE"""),"20 PCS EXTENSION WIRE SOCKET 2 GANG
20 PCS EXTENSION WIRE SOCKET 3 GANG 
20 PCS EXTENSION PLUG AWING TYPE
1 ROLL EXTENSION CABLE / WIRE ")</f>
        <v>20 PCS EXTENSION WIRE SOCKET 2 GANG
20 PCS EXTENSION WIRE SOCKET 3 GANG 
20 PCS EXTENSION PLUG AWING TYPE
1 ROLL EXTENSION CABLE / WIRE </v>
      </c>
      <c r="E1873" s="196" t="str">
        <f>IFERROR(__xludf.DUMMYFUNCTION("""COMPUTED_VALUE"""),"EXTENSION WIRES FOR VENTS")</f>
        <v>EXTENSION WIRES FOR VENTS</v>
      </c>
    </row>
    <row r="1874">
      <c r="A1874" s="234">
        <f>IFERROR(__xludf.DUMMYFUNCTION("""COMPUTED_VALUE"""),106707.0)</f>
        <v>106707</v>
      </c>
      <c r="B1874" s="235" t="str">
        <f>IFERROR(__xludf.DUMMYFUNCTION("""COMPUTED_VALUE"""),"RODRIGO CUSTODIO")</f>
        <v>RODRIGO CUSTODIO</v>
      </c>
      <c r="C1874" s="235" t="str">
        <f>IFERROR(__xludf.DUMMYFUNCTION("""COMPUTED_VALUE"""),"AMD")</f>
        <v>AMD</v>
      </c>
      <c r="D1874" s="196" t="str">
        <f>IFERROR(__xludf.DUMMYFUNCTION("""COMPUTED_VALUE"""),"204 SPRAY GUN")</f>
        <v>204 SPRAY GUN</v>
      </c>
      <c r="E1874" s="196" t="str">
        <f>IFERROR(__xludf.DUMMYFUNCTION("""COMPUTED_VALUE"""),"HOUSEKEEPING MATERIALS STOCK REPLENISHMENT")</f>
        <v>HOUSEKEEPING MATERIALS STOCK REPLENISHMENT</v>
      </c>
    </row>
    <row r="1875">
      <c r="A1875" s="234">
        <f>IFERROR(__xludf.DUMMYFUNCTION("""COMPUTED_VALUE"""),106708.0)</f>
        <v>106708</v>
      </c>
      <c r="B1875" s="235" t="str">
        <f>IFERROR(__xludf.DUMMYFUNCTION("""COMPUTED_VALUE"""),"LUCILLE BEYER")</f>
        <v>LUCILLE BEYER</v>
      </c>
      <c r="C1875" s="235" t="str">
        <f>IFERROR(__xludf.DUMMYFUNCTION("""COMPUTED_VALUE"""),"MEDICAL")</f>
        <v>MEDICAL</v>
      </c>
      <c r="D1875" s="196" t="str">
        <f>IFERROR(__xludf.DUMMYFUNCTION("""COMPUTED_VALUE"""),"500 pcs – Biogesic
200 pcs – Neozep non drowse
200 100 – Cetirizine 10 mg
30 pcs – Catapres
100 pcs – Mefenamic Acid
10 boxes – Disposable face masks
40 boxes/10s – Salonpas
40 pcs – Hydrite (apple flavor)
20 pcs – Calmoseptine cream
3 tubes/10g – Bactifr"&amp;"ee (Mupirocin)
2 bots/500ml – Bactidol
40 boxes – Band aid (Mediplast) Bantam
5 300 balls/pack – Cotton balls
10 8/pack – Strepsils (Orange &amp; Lemon Flavor)
5 200 tips/pack – Babyflo
1 250mg/5ml syrup – Paracetamol Tempra
2 100mg/5ml – Alnix
3 bots – Lysol"&amp;" (Orange/crisp linen) 681 ml
3 bots – Joy dishwashing liquid 475 ml
3 50g/Bot. – Vicks vaporub
3 100 pcs/box – Disposable clean gloves (Med &amp; Large) (Nitrile)
1 100s/box – Lancet needles one touch delica Plus flex
1 25s/box – Test strips (one touch ultra "&amp;"flex)")</f>
        <v>500 pcs – Biogesic
200 pcs – Neozep non drowse
200 100 – Cetirizine 10 mg
30 pcs – Catapres
100 pcs – Mefenamic Acid
10 boxes – Disposable face masks
40 boxes/10s – Salonpas
40 pcs – Hydrite (apple flavor)
20 pcs – Calmoseptine cream
3 tubes/10g – Bactifree (Mupirocin)
2 bots/500ml – Bactidol
40 boxes – Band aid (Mediplast) Bantam
5 300 balls/pack – Cotton balls
10 8/pack – Strepsils (Orange &amp; Lemon Flavor)
5 200 tips/pack – Babyflo
1 250mg/5ml syrup – Paracetamol Tempra
2 100mg/5ml – Alnix
3 bots – Lysol (Orange/crisp linen) 681 ml
3 bots – Joy dishwashing liquid 475 ml
3 50g/Bot. – Vicks vaporub
3 100 pcs/box – Disposable clean gloves (Med &amp; Large) (Nitrile)
1 100s/box – Lancet needles one touch delica Plus flex
1 25s/box – Test strips (one touch ultra flex)</v>
      </c>
      <c r="E1875" s="196" t="str">
        <f>IFERROR(__xludf.DUMMYFUNCTION("""COMPUTED_VALUE"""),"REPLENISHMENT OF CLINIC MATERIALS + MEDICINE FOR 3 CLINICS FOR THE MONTH OF FEB + MARCH")</f>
        <v>REPLENISHMENT OF CLINIC MATERIALS + MEDICINE FOR 3 CLINICS FOR THE MONTH OF FEB + MARCH</v>
      </c>
    </row>
    <row r="1876">
      <c r="A1876" s="234">
        <f>IFERROR(__xludf.DUMMYFUNCTION("""COMPUTED_VALUE"""),106709.0)</f>
        <v>106709</v>
      </c>
      <c r="B1876" s="235" t="str">
        <f>IFERROR(__xludf.DUMMYFUNCTION("""COMPUTED_VALUE"""),"MARC VINCENT VITTO")</f>
        <v>MARC VINCENT VITTO</v>
      </c>
      <c r="C1876" s="235" t="str">
        <f>IFERROR(__xludf.DUMMYFUNCTION("""COMPUTED_VALUE"""),"PR &amp; MARKETING")</f>
        <v>PR &amp; MARKETING</v>
      </c>
      <c r="D1876" s="196" t="str">
        <f>IFERROR(__xludf.DUMMYFUNCTION("""COMPUTED_VALUE"""),"1 COLLEGE PROGRAM PULL UP BANNER 3FT X 6.5 FT ADD STRUCTURE AND ASSEMBLE")</f>
        <v>1 COLLEGE PROGRAM PULL UP BANNER 3FT X 6.5 FT ADD STRUCTURE AND ASSEMBLE</v>
      </c>
      <c r="E1876" s="196" t="str">
        <f>IFERROR(__xludf.DUMMYFUNCTION("""COMPUTED_VALUE"""),"ADVERTISMENT/MARKETING")</f>
        <v>ADVERTISMENT/MARKETING</v>
      </c>
    </row>
    <row r="1877">
      <c r="A1877" s="234">
        <f>IFERROR(__xludf.DUMMYFUNCTION("""COMPUTED_VALUE"""),106710.0)</f>
        <v>106710</v>
      </c>
      <c r="B1877" s="235" t="str">
        <f>IFERROR(__xludf.DUMMYFUNCTION("""COMPUTED_VALUE"""),"MARC VINCENT VITTO")</f>
        <v>MARC VINCENT VITTO</v>
      </c>
      <c r="C1877" s="235" t="str">
        <f>IFERROR(__xludf.DUMMYFUNCTION("""COMPUTED_VALUE"""),"PR &amp; MARKETING")</f>
        <v>PR &amp; MARKETING</v>
      </c>
      <c r="D1877" s="196" t="str">
        <f>IFERROR(__xludf.DUMMYFUNCTION("""COMPUTED_VALUE"""),"1 GATCHALIAN TARP 2026 10 FT X 10 FT 18 OZ
ADD SEAMING AND EYELET ALL OVER")</f>
        <v>1 GATCHALIAN TARP 2026 10 FT X 10 FT 18 OZ
ADD SEAMING AND EYELET ALL OVER</v>
      </c>
      <c r="E1877" s="196" t="str">
        <f>IFERROR(__xludf.DUMMYFUNCTION("""COMPUTED_VALUE"""),"ADVERTISMENT/MARKETING")</f>
        <v>ADVERTISMENT/MARKETING</v>
      </c>
    </row>
    <row r="1878">
      <c r="A1878" s="234">
        <f>IFERROR(__xludf.DUMMYFUNCTION("""COMPUTED_VALUE"""),106711.0)</f>
        <v>106711</v>
      </c>
      <c r="B1878" s="235" t="str">
        <f>IFERROR(__xludf.DUMMYFUNCTION("""COMPUTED_VALUE"""),"RODRIGO CUSTODIO")</f>
        <v>RODRIGO CUSTODIO</v>
      </c>
      <c r="C1878" s="235" t="str">
        <f>IFERROR(__xludf.DUMMYFUNCTION("""COMPUTED_VALUE"""),"AMD")</f>
        <v>AMD</v>
      </c>
      <c r="D1878" s="196" t="str">
        <f>IFERROR(__xludf.DUMMYFUNCTION("""COMPUTED_VALUE"""),"30 GALS ZONROX BLEACH 1 GALLON")</f>
        <v>30 GALS ZONROX BLEACH 1 GALLON</v>
      </c>
      <c r="E1878" s="196" t="str">
        <f>IFERROR(__xludf.DUMMYFUNCTION("""COMPUTED_VALUE"""),"HOUSEKEEPING MATERIALS STOCK REPLENISHMENT")</f>
        <v>HOUSEKEEPING MATERIALS STOCK REPLENISHMENT</v>
      </c>
    </row>
    <row r="1879">
      <c r="A1879" s="234">
        <f>IFERROR(__xludf.DUMMYFUNCTION("""COMPUTED_VALUE"""),106712.0)</f>
        <v>106712</v>
      </c>
      <c r="B1879" s="235" t="str">
        <f>IFERROR(__xludf.DUMMYFUNCTION("""COMPUTED_VALUE"""),"OWIE PAR")</f>
        <v>OWIE PAR</v>
      </c>
      <c r="C1879" s="235" t="str">
        <f>IFERROR(__xludf.DUMMYFUNCTION("""COMPUTED_VALUE"""),"ENGINEERING")</f>
        <v>ENGINEERING</v>
      </c>
      <c r="D1879" s="196" t="str">
        <f>IFERROR(__xludf.DUMMYFUNCTION("""COMPUTED_VALUE"""),"2 ROLLS COPPER TUBE 5/8 .28
3 ROLLS COPPER TUBE 1/4
1 ROLLS COPPER TUBE 1/2
15 PCS RUBBER INSTALLATION 5/8 X 1/2
15 PCS RUBBER INSTALLATION 1/2 X 1/2 
20 PCS RUBBER INSTALLATION 1/4 X 1/2
5 PCS WHITE FILM
2 ROLLS AERO TAPE 
10 PCS SILVER ROD
1 SET MOP GAS"&amp;" NOZZLE
2 CYLINDER MOP GAS
2 CONTAINER NITRO GAS
2 CONTAINER R-32 3KGS
2 CONTAINER R-410A 2.8KG
1 ROLL THHN #10
2 ROLLS THHN #14
2 ROLLS FLEXIBLE PIPE 1/2 75 METER
1 KG GI WIRE #16
10 PCS COPPER ELBOW 5/8
30 PCS BOLT NUTS W/WASHERS 3/8
50 PCS CHIPPING GUN"&amp;" BIT
5 PCS PVC PIPE 3/4 BLUE
10 PCS PVC PIPE ELBOW 3/4 BLUE
1 CAN PVC SOLVENT CEMENT 
2 PAIR CIRCUIT BREAKER 30 AMP PLUG IN")</f>
        <v>2 ROLLS COPPER TUBE 5/8 .28
3 ROLLS COPPER TUBE 1/4
1 ROLLS COPPER TUBE 1/2
15 PCS RUBBER INSTALLATION 5/8 X 1/2
15 PCS RUBBER INSTALLATION 1/2 X 1/2 
20 PCS RUBBER INSTALLATION 1/4 X 1/2
5 PCS WHITE FILM
2 ROLLS AERO TAPE 
10 PCS SILVER ROD
1 SET MOP GAS NOZZLE
2 CYLINDER MOP GAS
2 CONTAINER NITRO GAS
2 CONTAINER R-32 3KGS
2 CONTAINER R-410A 2.8KG
1 ROLL THHN #10
2 ROLLS THHN #14
2 ROLLS FLEXIBLE PIPE 1/2 75 METER
1 KG GI WIRE #16
10 PCS COPPER ELBOW 5/8
30 PCS BOLT NUTS W/WASHERS 3/8
50 PCS CHIPPING GUN BIT
5 PCS PVC PIPE 3/4 BLUE
10 PCS PVC PIPE ELBOW 3/4 BLUE
1 CAN PVC SOLVENT CEMENT 
2 PAIR CIRCUIT BREAKER 30 AMP PLUG IN</v>
      </c>
      <c r="E1879" s="196" t="str">
        <f>IFERROR(__xludf.DUMMYFUNCTION("""COMPUTED_VALUE"""),"FOR LIMA CENTER ACU INSTALLATION 5 UNITS ")</f>
        <v>FOR LIMA CENTER ACU INSTALLATION 5 UNITS </v>
      </c>
    </row>
    <row r="1880">
      <c r="A1880" s="234">
        <f>IFERROR(__xludf.DUMMYFUNCTION("""COMPUTED_VALUE"""),106713.0)</f>
        <v>106713</v>
      </c>
      <c r="B1880" s="235" t="str">
        <f>IFERROR(__xludf.DUMMYFUNCTION("""COMPUTED_VALUE"""),"EDGAR REBELLON")</f>
        <v>EDGAR REBELLON</v>
      </c>
      <c r="C1880" s="235" t="str">
        <f>IFERROR(__xludf.DUMMYFUNCTION("""COMPUTED_VALUE"""),"AMD")</f>
        <v>AMD</v>
      </c>
      <c r="D1880" s="196" t="str">
        <f>IFERROR(__xludf.DUMMYFUNCTION("""COMPUTED_VALUE"""),"1283 UMBRELLA FOLDABLE AUTOMATIC SISC 
213 TUMBLER SISC VACCUM FLASK EACH COLOR
-BLACK
-PINK
-WHITE
215 PURPLE TUMBLER SISC VACCUM FLASK")</f>
        <v>1283 UMBRELLA FOLDABLE AUTOMATIC SISC 
213 TUMBLER SISC VACCUM FLASK EACH COLOR
-BLACK
-PINK
-WHITE
215 PURPLE TUMBLER SISC VACCUM FLASK</v>
      </c>
      <c r="E1880" s="196" t="str">
        <f>IFERROR(__xludf.DUMMYFUNCTION("""COMPUTED_VALUE"""),"WELCOME TOKEN FOR STUDENTS FOR AY 26-27")</f>
        <v>WELCOME TOKEN FOR STUDENTS FOR AY 26-27</v>
      </c>
    </row>
    <row r="1881">
      <c r="A1881" s="234">
        <f>IFERROR(__xludf.DUMMYFUNCTION("""COMPUTED_VALUE"""),106714.0)</f>
        <v>106714</v>
      </c>
      <c r="B1881" s="235" t="str">
        <f>IFERROR(__xludf.DUMMYFUNCTION("""COMPUTED_VALUE"""),"JESUIT CHRISTIAN GALICIA")</f>
        <v>JESUIT CHRISTIAN GALICIA</v>
      </c>
      <c r="C1881" s="235" t="str">
        <f>IFERROR(__xludf.DUMMYFUNCTION("""COMPUTED_VALUE"""),"AMD")</f>
        <v>AMD</v>
      </c>
      <c r="D1881" s="196" t="str">
        <f>IFERROR(__xludf.DUMMYFUNCTION("""COMPUTED_VALUE"""),"10 PCS HDMI CABLE 5M UGREEN 
5 PCS HARD DISK 2TB
10 PCS CAT6 IO JACK
30 PCS RJ45 CAT6 CONNERCTOR")</f>
        <v>10 PCS HDMI CABLE 5M UGREEN 
5 PCS HARD DISK 2TB
10 PCS CAT6 IO JACK
30 PCS RJ45 CAT6 CONNERCTOR</v>
      </c>
      <c r="E1881" s="196" t="str">
        <f>IFERROR(__xludf.DUMMYFUNCTION("""COMPUTED_VALUE"""),"MIS WAREHOUSE STOCK REPLENISHMENT")</f>
        <v>MIS WAREHOUSE STOCK REPLENISHMENT</v>
      </c>
    </row>
    <row r="1882">
      <c r="A1882" s="234">
        <f>IFERROR(__xludf.DUMMYFUNCTION("""COMPUTED_VALUE"""),106715.0)</f>
        <v>106715</v>
      </c>
      <c r="B1882" s="235" t="str">
        <f>IFERROR(__xludf.DUMMYFUNCTION("""COMPUTED_VALUE"""),"MARC VINCENT VITTO")</f>
        <v>MARC VINCENT VITTO</v>
      </c>
      <c r="C1882" s="235" t="str">
        <f>IFERROR(__xludf.DUMMYFUNCTION("""COMPUTED_VALUE"""),"PR &amp; MARKETING")</f>
        <v>PR &amp; MARKETING</v>
      </c>
      <c r="D1882" s="196" t="str">
        <f>IFERROR(__xludf.DUMMYFUNCTION("""COMPUTED_VALUE"""),"1 SISC MEN'S FOOTBALL AISAC 2026 184 X 77 IN ADD SEAMING AND EYELET ALLOVER")</f>
        <v>1 SISC MEN'S FOOTBALL AISAC 2026 184 X 77 IN ADD SEAMING AND EYELET ALLOVER</v>
      </c>
      <c r="E1882" s="196" t="str">
        <f>IFERROR(__xludf.DUMMYFUNCTION("""COMPUTED_VALUE"""),"COGRATULATORY ")</f>
        <v>COGRATULATORY </v>
      </c>
    </row>
    <row r="1883">
      <c r="A1883" s="234">
        <f>IFERROR(__xludf.DUMMYFUNCTION("""COMPUTED_VALUE"""),106716.0)</f>
        <v>106716</v>
      </c>
      <c r="B1883" s="235" t="str">
        <f>IFERROR(__xludf.DUMMYFUNCTION("""COMPUTED_VALUE"""),"MYRNA RULONA")</f>
        <v>MYRNA RULONA</v>
      </c>
      <c r="C1883" s="235" t="str">
        <f>IFERROR(__xludf.DUMMYFUNCTION("""COMPUTED_VALUE"""),"LANDSCAPING")</f>
        <v>LANDSCAPING</v>
      </c>
      <c r="D1883" s="196" t="str">
        <f>IFERROR(__xludf.DUMMYFUNCTION("""COMPUTED_VALUE"""),"1 GARDENING SOIL 
2 SICKLE
2 BOLO KNIFE
1 LOT FROG GRASS 
2 UNITS PRESSURE SPRAYER
1 PAIR RUBBER BOTA
10 PCS BIG POTS")</f>
        <v>1 GARDENING SOIL 
2 SICKLE
2 BOLO KNIFE
1 LOT FROG GRASS 
2 UNITS PRESSURE SPRAYER
1 PAIR RUBBER BOTA
10 PCS BIG POTS</v>
      </c>
      <c r="E1883" s="196" t="str">
        <f>IFERROR(__xludf.DUMMYFUNCTION("""COMPUTED_VALUE"""),"MATERIALS FOR GARDENING")</f>
        <v>MATERIALS FOR GARDENING</v>
      </c>
    </row>
    <row r="1884">
      <c r="A1884" s="234">
        <f>IFERROR(__xludf.DUMMYFUNCTION("""COMPUTED_VALUE"""),106717.0)</f>
        <v>106717</v>
      </c>
      <c r="B1884" s="235" t="str">
        <f>IFERROR(__xludf.DUMMYFUNCTION("""COMPUTED_VALUE"""),"MYRNA RULONA")</f>
        <v>MYRNA RULONA</v>
      </c>
      <c r="C1884" s="235" t="str">
        <f>IFERROR(__xludf.DUMMYFUNCTION("""COMPUTED_VALUE"""),"LANDSCAPING")</f>
        <v>LANDSCAPING</v>
      </c>
      <c r="D1884" s="196" t="str">
        <f>IFERROR(__xludf.DUMMYFUNCTION("""COMPUTED_VALUE"""),"13 MUNICH FLAGS 
13 LUX FLAGS 
12 COLLEGE FLAGS")</f>
        <v>13 MUNICH FLAGS 
13 LUX FLAGS 
12 COLLEGE FLAGS</v>
      </c>
      <c r="E1884" s="196" t="str">
        <f>IFERROR(__xludf.DUMMYFUNCTION("""COMPUTED_VALUE"""),"REPLACEMENT OF FLAGS IN SOUTHVILLE ")</f>
        <v>REPLACEMENT OF FLAGS IN SOUTHVILLE </v>
      </c>
    </row>
    <row r="1885">
      <c r="A1885" s="234">
        <f>IFERROR(__xludf.DUMMYFUNCTION("""COMPUTED_VALUE"""),106718.0)</f>
        <v>106718</v>
      </c>
      <c r="B1885" s="235" t="str">
        <f>IFERROR(__xludf.DUMMYFUNCTION("""COMPUTED_VALUE"""),"ALFA DE LEON")</f>
        <v>ALFA DE LEON</v>
      </c>
      <c r="C1885" s="235" t="str">
        <f>IFERROR(__xludf.DUMMYFUNCTION("""COMPUTED_VALUE"""),"ADMIN - STAR")</f>
        <v>ADMIN - STAR</v>
      </c>
      <c r="D1885" s="196" t="str">
        <f>IFERROR(__xludf.DUMMYFUNCTION("""COMPUTED_VALUE"""),"3 FLOOR FAN ")</f>
        <v>3 FLOOR FAN </v>
      </c>
      <c r="E1885" s="196" t="str">
        <f>IFERROR(__xludf.DUMMYFUNCTION("""COMPUTED_VALUE"""),"ADDITIONAL FAN FOR YM AND WAITING AREA, FRONT GATE ")</f>
        <v>ADDITIONAL FAN FOR YM AND WAITING AREA, FRONT GATE </v>
      </c>
    </row>
    <row r="1886">
      <c r="A1886" s="234">
        <f>IFERROR(__xludf.DUMMYFUNCTION("""COMPUTED_VALUE"""),106719.0)</f>
        <v>106719</v>
      </c>
      <c r="B1886" s="235" t="str">
        <f>IFERROR(__xludf.DUMMYFUNCTION("""COMPUTED_VALUE"""),"SHARJAN GATCHALIAN")</f>
        <v>SHARJAN GATCHALIAN</v>
      </c>
      <c r="C1886" s="235" t="str">
        <f>IFERROR(__xludf.DUMMYFUNCTION("""COMPUTED_VALUE"""),"AV/MIS")</f>
        <v>AV/MIS</v>
      </c>
      <c r="D1886" s="196" t="str">
        <f>IFERROR(__xludf.DUMMYFUNCTION("""COMPUTED_VALUE"""),"30 PCS USB WIRELESS ADAPTER")</f>
        <v>30 PCS USB WIRELESS ADAPTER</v>
      </c>
      <c r="E1886" s="196" t="str">
        <f>IFERROR(__xludf.DUMMYFUNCTION("""COMPUTED_VALUE"""),"FOR INTERNET CONNECTION AT LIMA CENTER")</f>
        <v>FOR INTERNET CONNECTION AT LIMA CENTER</v>
      </c>
    </row>
    <row r="1887">
      <c r="A1887" s="234">
        <f>IFERROR(__xludf.DUMMYFUNCTION("""COMPUTED_VALUE"""),106720.0)</f>
        <v>106720</v>
      </c>
      <c r="B1887" s="235" t="str">
        <f>IFERROR(__xludf.DUMMYFUNCTION("""COMPUTED_VALUE"""),"JASTINE JANE DELIOLA ")</f>
        <v>JASTINE JANE DELIOLA </v>
      </c>
      <c r="C1887" s="235" t="str">
        <f>IFERROR(__xludf.DUMMYFUNCTION("""COMPUTED_VALUE"""),"FINANCE &amp; ACCOUNTING")</f>
        <v>FINANCE &amp; ACCOUNTING</v>
      </c>
      <c r="D1887" s="196" t="str">
        <f>IFERROR(__xludf.DUMMYFUNCTION("""COMPUTED_VALUE"""),"1 BROTHER DCP - T820DW INK TANK PRINTER")</f>
        <v>1 BROTHER DCP - T820DW INK TANK PRINTER</v>
      </c>
      <c r="E1887" s="196" t="str">
        <f>IFERROR(__xludf.DUMMYFUNCTION("""COMPUTED_VALUE"""),"OFFICE USE")</f>
        <v>OFFICE USE</v>
      </c>
    </row>
    <row r="1888">
      <c r="A1888" s="234">
        <f>IFERROR(__xludf.DUMMYFUNCTION("""COMPUTED_VALUE"""),106721.0)</f>
        <v>106721</v>
      </c>
      <c r="B1888" s="235" t="str">
        <f>IFERROR(__xludf.DUMMYFUNCTION("""COMPUTED_VALUE"""),"LYKA PERALTA")</f>
        <v>LYKA PERALTA</v>
      </c>
      <c r="C1888" s="235" t="str">
        <f>IFERROR(__xludf.DUMMYFUNCTION("""COMPUTED_VALUE"""),"AMD")</f>
        <v>AMD</v>
      </c>
      <c r="D1888" s="196" t="str">
        <f>IFERROR(__xludf.DUMMYFUNCTION("""COMPUTED_VALUE"""),"360	Eraser, Maped (Big)
542	Pad paper, Fortune Quiz Pad Whole, Intermediate (80 leaves)
1149	Paper, Oslo (Drawing) Fortune (20's)
1325	Paper, Construction -Asstd. Color (20pcs)
371	Paper, Book Long 20/pk
141	Ballpen, HBW Ballpoint Stick 2000 Black Fi"&amp;"ne (Grade 5 Only)
232	Illustration Board - Blk/Wh (1/8) 10X15")</f>
        <v>360	Eraser, Maped (Big)
542	Pad paper, Fortune Quiz Pad Whole, Intermediate (80 leaves)
1149	Paper, Oslo (Drawing) Fortune (20's)
1325	Paper, Construction -Asstd. Color (20pcs)
371	Paper, Book Long 20/pk
141	Ballpen, HBW Ballpoint Stick 2000 Black Fine (Grade 5 Only)
232	Illustration Board - Blk/Wh (1/8) 10X15</v>
      </c>
      <c r="E1888" s="196" t="str">
        <f>IFERROR(__xludf.DUMMYFUNCTION("""COMPUTED_VALUE"""),"STUDENT MATERIALS FOR AY 26-27")</f>
        <v>STUDENT MATERIALS FOR AY 26-27</v>
      </c>
    </row>
    <row r="1889">
      <c r="A1889" s="234">
        <f>IFERROR(__xludf.DUMMYFUNCTION("""COMPUTED_VALUE"""),106722.0)</f>
        <v>106722</v>
      </c>
      <c r="B1889" s="235" t="str">
        <f>IFERROR(__xludf.DUMMYFUNCTION("""COMPUTED_VALUE"""),"LYKA PERALTA")</f>
        <v>LYKA PERALTA</v>
      </c>
      <c r="C1889" s="235" t="str">
        <f>IFERROR(__xludf.DUMMYFUNCTION("""COMPUTED_VALUE"""),"AMD")</f>
        <v>AMD</v>
      </c>
      <c r="D1889" s="196" t="str">
        <f>IFERROR(__xludf.DUMMYFUNCTION("""COMPUTED_VALUE"""),"134	Clay, Modelling Clay Dong-A 6's Assorted Colors
763	Lil Hand Modelling Clay Scented Neon Colors 10s 180g
303	Map, World (big) Political
868	Paper, Best Buy Colored Assorted 9""x11""
2858	Pencil, SISC Purple (SKIT)
398	Pencil, Faber Castel Colored"&amp;" (12s)
1146	Pen, Colored Faber Castel (10s)
141	Periodic Table of Elements, Big
506	Ruler, Plastic - Faber Castle
783	Ruler, Plastic- Orion 12 inches
232	Ruler, Protractor-Orion
119	Sketch Book, 9x12
211	Water Color, Prang 8's")</f>
        <v>134	Clay, Modelling Clay Dong-A 6's Assorted Colors
763	Lil Hand Modelling Clay Scented Neon Colors 10s 180g
303	Map, World (big) Political
868	Paper, Best Buy Colored Assorted 9"x11"
2858	Pencil, SISC Purple (SKIT)
398	Pencil, Faber Castel Colored (12s)
1146	Pen, Colored Faber Castel (10s)
141	Periodic Table of Elements, Big
506	Ruler, Plastic - Faber Castle
783	Ruler, Plastic- Orion 12 inches
232	Ruler, Protractor-Orion
119	Sketch Book, 9x12
211	Water Color, Prang 8's</v>
      </c>
      <c r="E1889" s="196" t="str">
        <f>IFERROR(__xludf.DUMMYFUNCTION("""COMPUTED_VALUE"""),"STUDENT MATERIALS FOR AY 26-27")</f>
        <v>STUDENT MATERIALS FOR AY 26-27</v>
      </c>
    </row>
    <row r="1890">
      <c r="A1890" s="234">
        <f>IFERROR(__xludf.DUMMYFUNCTION("""COMPUTED_VALUE"""),106723.0)</f>
        <v>106723</v>
      </c>
      <c r="B1890" s="235" t="str">
        <f>IFERROR(__xludf.DUMMYFUNCTION("""COMPUTED_VALUE"""),"LYKA PERALTA")</f>
        <v>LYKA PERALTA</v>
      </c>
      <c r="C1890" s="235" t="str">
        <f>IFERROR(__xludf.DUMMYFUNCTION("""COMPUTED_VALUE"""),"AMD")</f>
        <v>AMD</v>
      </c>
      <c r="D1890" s="196" t="str">
        <f>IFERROR(__xludf.DUMMYFUNCTION("""COMPUTED_VALUE"""),"618	Notebook, High School Mathematics Abstract Small SQ.
741	Notebook, Grade School Mathematics Abstract Big SQ.
124	Notebook, Grade School Mathematics Abstract, Small Sq.
613	Notebook, High School Composition Purple
705	Notebook, Grade School Composi"&amp;"tion SISC Blue Lines Purple
2749	Notebook, Writing SISC R/B Lines Purple Portrait
565	Notebooklet, Writing SISC Landscape Purple
330	Notebook, SISC Leatherette - Lacoste Violet (SKIT)
209	Diary, Grade 1 &amp; 2
103	Diary, Preparatory (Pre-K to SK)
1048	"&amp;"Diary, Grade 3-10 Set A Silver August to January
1042	Diary, Grade 3-10 Set B Gold February to July
7135	Folder, Plastic Cover Long
7135	Folder, White Long w/ SISC Logo
502	Spelling Booklet")</f>
        <v>618	Notebook, High School Mathematics Abstract Small SQ.
741	Notebook, Grade School Mathematics Abstract Big SQ.
124	Notebook, Grade School Mathematics Abstract, Small Sq.
613	Notebook, High School Composition Purple
705	Notebook, Grade School Composition SISC Blue Lines Purple
2749	Notebook, Writing SISC R/B Lines Purple Portrait
565	Notebooklet, Writing SISC Landscape Purple
330	Notebook, SISC Leatherette - Lacoste Violet (SKIT)
209	Diary, Grade 1 &amp; 2
103	Diary, Preparatory (Pre-K to SK)
1048	Diary, Grade 3-10 Set A Silver August to January
1042	Diary, Grade 3-10 Set B Gold February to July
7135	Folder, Plastic Cover Long
7135	Folder, White Long w/ SISC Logo
502	Spelling Booklet</v>
      </c>
      <c r="E1890" s="196" t="str">
        <f>IFERROR(__xludf.DUMMYFUNCTION("""COMPUTED_VALUE"""),"STUDENT MATERIALS FOR AY 26-27")</f>
        <v>STUDENT MATERIALS FOR AY 26-27</v>
      </c>
    </row>
    <row r="1891">
      <c r="A1891" s="234">
        <f>IFERROR(__xludf.DUMMYFUNCTION("""COMPUTED_VALUE"""),106724.0)</f>
        <v>106724</v>
      </c>
      <c r="B1891" s="235" t="str">
        <f>IFERROR(__xludf.DUMMYFUNCTION("""COMPUTED_VALUE"""),"LYKA PERALTA")</f>
        <v>LYKA PERALTA</v>
      </c>
      <c r="C1891" s="235" t="str">
        <f>IFERROR(__xludf.DUMMYFUNCTION("""COMPUTED_VALUE"""),"AMD")</f>
        <v>AMD</v>
      </c>
      <c r="D1891" s="196" t="str">
        <f>IFERROR(__xludf.DUMMYFUNCTION("""COMPUTED_VALUE"""),"422	Clearbook, Spiral Refillable 20's Black Long
104	Box of Chalk, Colored- Corona 12S")</f>
        <v>422	Clearbook, Spiral Refillable 20's Black Long
104	Box of Chalk, Colored- Corona 12S</v>
      </c>
      <c r="E1891" s="196" t="str">
        <f>IFERROR(__xludf.DUMMYFUNCTION("""COMPUTED_VALUE"""),"STUDENT MATERIALS FOR AY 26-27")</f>
        <v>STUDENT MATERIALS FOR AY 26-27</v>
      </c>
    </row>
    <row r="1892">
      <c r="A1892" s="234">
        <f>IFERROR(__xludf.DUMMYFUNCTION("""COMPUTED_VALUE"""),106725.0)</f>
        <v>106725</v>
      </c>
      <c r="B1892" s="235" t="str">
        <f>IFERROR(__xludf.DUMMYFUNCTION("""COMPUTED_VALUE"""),"LYKA PERALTA")</f>
        <v>LYKA PERALTA</v>
      </c>
      <c r="C1892" s="235" t="str">
        <f>IFERROR(__xludf.DUMMYFUNCTION("""COMPUTED_VALUE"""),"AMD")</f>
        <v>AMD</v>
      </c>
      <c r="D1892" s="196" t="str">
        <f>IFERROR(__xludf.DUMMYFUNCTION("""COMPUTED_VALUE"""),"743        Envelope, leather SISC Long w/handle (purple)
610        Envelope, leather SISC long w/ Handle navy blue")</f>
        <v>743        Envelope, leather SISC Long w/handle (purple)
610        Envelope, leather SISC long w/ Handle navy blue</v>
      </c>
      <c r="E1892" s="196" t="str">
        <f>IFERROR(__xludf.DUMMYFUNCTION("""COMPUTED_VALUE"""),"STUDENT MATERIALS FOR AY 26-27")</f>
        <v>STUDENT MATERIALS FOR AY 26-27</v>
      </c>
    </row>
    <row r="1893">
      <c r="A1893" s="234">
        <f>IFERROR(__xludf.DUMMYFUNCTION("""COMPUTED_VALUE"""),106726.0)</f>
        <v>106726</v>
      </c>
      <c r="B1893" s="235" t="str">
        <f>IFERROR(__xludf.DUMMYFUNCTION("""COMPUTED_VALUE"""),"LYKA PERALTA")</f>
        <v>LYKA PERALTA</v>
      </c>
      <c r="C1893" s="235" t="str">
        <f>IFERROR(__xludf.DUMMYFUNCTION("""COMPUTED_VALUE"""),"AMD")</f>
        <v>AMD</v>
      </c>
      <c r="D1893" s="196" t="str">
        <f>IFERROR(__xludf.DUMMYFUNCTION("""COMPUTED_VALUE"""),"202	Paint brush - Nylon Soft Brush Flat #10
729	Glue, Elmer's - 130gs (SKIT)
27	Paint Pallete, Small
645	Scissors, Students 5', Maped")</f>
        <v>202	Paint brush - Nylon Soft Brush Flat #10
729	Glue, Elmer's - 130gs (SKIT)
27	Paint Pallete, Small
645	Scissors, Students 5', Maped</v>
      </c>
      <c r="E1893" s="196" t="str">
        <f>IFERROR(__xludf.DUMMYFUNCTION("""COMPUTED_VALUE"""),"STUDENT MATERIALS FOR AY 26-27")</f>
        <v>STUDENT MATERIALS FOR AY 26-27</v>
      </c>
    </row>
    <row r="1894">
      <c r="A1894" s="234">
        <f>IFERROR(__xludf.DUMMYFUNCTION("""COMPUTED_VALUE"""),106727.0)</f>
        <v>106727</v>
      </c>
      <c r="B1894" s="235" t="str">
        <f>IFERROR(__xludf.DUMMYFUNCTION("""COMPUTED_VALUE"""),"LYKA PERALTA")</f>
        <v>LYKA PERALTA</v>
      </c>
      <c r="C1894" s="235" t="str">
        <f>IFERROR(__xludf.DUMMYFUNCTION("""COMPUTED_VALUE"""),"AMD")</f>
        <v>AMD</v>
      </c>
      <c r="D1894" s="196" t="str">
        <f>IFERROR(__xludf.DUMMYFUNCTION("""COMPUTED_VALUE"""),"88	Box of Color Poster Paints - Mightee Brilliant 20ML 12's")</f>
        <v>88	Box of Color Poster Paints - Mightee Brilliant 20ML 12's</v>
      </c>
      <c r="E1894" s="196" t="str">
        <f>IFERROR(__xludf.DUMMYFUNCTION("""COMPUTED_VALUE"""),"STUDENT MATERIALS FOR AY 26-27")</f>
        <v>STUDENT MATERIALS FOR AY 26-27</v>
      </c>
    </row>
    <row r="1895">
      <c r="A1895" s="234">
        <f>IFERROR(__xludf.DUMMYFUNCTION("""COMPUTED_VALUE"""),106728.0)</f>
        <v>106728</v>
      </c>
      <c r="B1895" s="235" t="str">
        <f>IFERROR(__xludf.DUMMYFUNCTION("""COMPUTED_VALUE"""),"LYKA PERALTA")</f>
        <v>LYKA PERALTA</v>
      </c>
      <c r="C1895" s="235" t="str">
        <f>IFERROR(__xludf.DUMMYFUNCTION("""COMPUTED_VALUE"""),"AMD")</f>
        <v>AMD</v>
      </c>
      <c r="D1895" s="196" t="str">
        <f>IFERROR(__xludf.DUMMYFUNCTION("""COMPUTED_VALUE"""),"88	Beads with big hole
1392	Box of Crayons - Crayola Double (16pcs)
662	Marker, Pilot Permanent Fine Black (SKIT)
312	Marker, Whiteboard-Pilot black (SKIT)
199	Paper, Water Color Paper Canson A4 (10pcs/pack)
1970	Paper bond, 8.5""x11"" 50/pk
423	Pen"&amp;"cil, Colored (12's) Li'l Hands
56	Popsicle Stick, pack (100 sticks)
255	Water Color Lilhands 12s
140	Staedtler blending stumps size 1,4,6,8 (pack)
120	Tape, Scotch 3M 1 inch (SKIT)
2093	Whistle, SISC Gold")</f>
        <v>88	Beads with big hole
1392	Box of Crayons - Crayola Double (16pcs)
662	Marker, Pilot Permanent Fine Black (SKIT)
312	Marker, Whiteboard-Pilot black (SKIT)
199	Paper, Water Color Paper Canson A4 (10pcs/pack)
1970	Paper bond, 8.5"x11" 50/pk
423	Pencil, Colored (12's) Li'l Hands
56	Popsicle Stick, pack (100 sticks)
255	Water Color Lilhands 12s
140	Staedtler blending stumps size 1,4,6,8 (pack)
120	Tape, Scotch 3M 1 inch (SKIT)
2093	Whistle, SISC Gold</v>
      </c>
      <c r="E1895" s="196" t="str">
        <f>IFERROR(__xludf.DUMMYFUNCTION("""COMPUTED_VALUE"""),"STUDENT MATERIALS FOR AY 26-27")</f>
        <v>STUDENT MATERIALS FOR AY 26-27</v>
      </c>
    </row>
    <row r="1896">
      <c r="A1896" s="234">
        <f>IFERROR(__xludf.DUMMYFUNCTION("""COMPUTED_VALUE"""),106729.0)</f>
        <v>106729</v>
      </c>
      <c r="B1896" s="235" t="str">
        <f>IFERROR(__xludf.DUMMYFUNCTION("""COMPUTED_VALUE"""),"JESUIT CHRISTIAN GALICIA")</f>
        <v>JESUIT CHRISTIAN GALICIA</v>
      </c>
      <c r="C1896" s="235" t="str">
        <f>IFERROR(__xludf.DUMMYFUNCTION("""COMPUTED_VALUE"""),"AMD")</f>
        <v>AMD</v>
      </c>
      <c r="D1896" s="196" t="str">
        <f>IFERROR(__xludf.DUMMYFUNCTION("""COMPUTED_VALUE"""),"5 PCS DOOR CLOSER 
50 PCS MALE PLUG 
25 PCS UNIVERSAL ADAPTOR
10 PCS TANK BOWL BOLTS W/ RUBBER SPUDS
100 PCS LED TUBE 16W DAYLIGHT PHILIPS")</f>
        <v>5 PCS DOOR CLOSER 
50 PCS MALE PLUG 
25 PCS UNIVERSAL ADAPTOR
10 PCS TANK BOWL BOLTS W/ RUBBER SPUDS
100 PCS LED TUBE 16W DAYLIGHT PHILIPS</v>
      </c>
      <c r="E1896" s="196" t="str">
        <f>IFERROR(__xludf.DUMMYFUNCTION("""COMPUTED_VALUE"""),"ENGR WAREHOUSE STOCK REPLENISHMENT")</f>
        <v>ENGR WAREHOUSE STOCK REPLENISHMENT</v>
      </c>
    </row>
    <row r="1897">
      <c r="A1897" s="234">
        <f>IFERROR(__xludf.DUMMYFUNCTION("""COMPUTED_VALUE"""),106730.0)</f>
        <v>106730</v>
      </c>
      <c r="B1897" s="235" t="str">
        <f>IFERROR(__xludf.DUMMYFUNCTION("""COMPUTED_VALUE"""),"CHARLES LEBECO DONOR")</f>
        <v>CHARLES LEBECO DONOR</v>
      </c>
      <c r="C1897" s="235" t="str">
        <f>IFERROR(__xludf.DUMMYFUNCTION("""COMPUTED_VALUE"""),"AMD")</f>
        <v>AMD</v>
      </c>
      <c r="D1897" s="196" t="str">
        <f>IFERROR(__xludf.DUMMYFUNCTION("""COMPUTED_VALUE"""),"Pad Paper, Yellow (per pad)        PAPR-GEN-10-0032        132 pads
Paper, Carbon Paper Long, blue        PAPR-GEN-10-0038        50 pcs.
Paper, Colored Fortune Green        PAPR-AVI-10-0002        4 reams.
Paper, Colored Fortune Red        PAPR-AVI-10-00"&amp;"04        2 reams.
Marker, Pilot Permanent Fine - Black        MARK-PIL-10-0011        180 pcs.")</f>
        <v>Pad Paper, Yellow (per pad)        PAPR-GEN-10-0032        132 pads
Paper, Carbon Paper Long, blue        PAPR-GEN-10-0038        50 pcs.
Paper, Colored Fortune Green        PAPR-AVI-10-0002        4 reams.
Paper, Colored Fortune Red        PAPR-AVI-10-0004        2 reams.
Marker, Pilot Permanent Fine - Black        MARK-PIL-10-0011        180 pcs.</v>
      </c>
      <c r="E1897" s="196" t="str">
        <f>IFERROR(__xludf.DUMMYFUNCTION("""COMPUTED_VALUE"""),"OSSUP REPLENISHMENTS")</f>
        <v>OSSUP REPLENISHMENTS</v>
      </c>
    </row>
    <row r="1898">
      <c r="A1898" s="234">
        <f>IFERROR(__xludf.DUMMYFUNCTION("""COMPUTED_VALUE"""),106731.0)</f>
        <v>106731</v>
      </c>
      <c r="B1898" s="235" t="str">
        <f>IFERROR(__xludf.DUMMYFUNCTION("""COMPUTED_VALUE"""),"OWIE PAR")</f>
        <v>OWIE PAR</v>
      </c>
      <c r="C1898" s="235" t="str">
        <f>IFERROR(__xludf.DUMMYFUNCTION("""COMPUTED_VALUE"""),"ENGINEERING")</f>
        <v>ENGINEERING</v>
      </c>
      <c r="D1898" s="196" t="str">
        <f>IFERROR(__xludf.DUMMYFUNCTION("""COMPUTED_VALUE"""),"I UNIT BATTERY")</f>
        <v>I UNIT BATTERY</v>
      </c>
      <c r="E1898" s="196" t="str">
        <f>IFERROR(__xludf.DUMMYFUNCTION("""COMPUTED_VALUE"""),"FOR 25R 972")</f>
        <v>FOR 25R 972</v>
      </c>
    </row>
    <row r="1899">
      <c r="A1899" s="234">
        <f>IFERROR(__xludf.DUMMYFUNCTION("""COMPUTED_VALUE"""),106732.0)</f>
        <v>106732</v>
      </c>
      <c r="B1899" s="235" t="str">
        <f>IFERROR(__xludf.DUMMYFUNCTION("""COMPUTED_VALUE"""),"OWIE PAR")</f>
        <v>OWIE PAR</v>
      </c>
      <c r="C1899" s="235" t="str">
        <f>IFERROR(__xludf.DUMMYFUNCTION("""COMPUTED_VALUE"""),"ENGINEERING")</f>
        <v>ENGINEERING</v>
      </c>
      <c r="D1899" s="196" t="str">
        <f>IFERROR(__xludf.DUMMYFUNCTION("""COMPUTED_VALUE"""),"1 UNIT 3.0 HP WALL MOUNTED TYPE INVERTER PANASONIC")</f>
        <v>1 UNIT 3.0 HP WALL MOUNTED TYPE INVERTER PANASONIC</v>
      </c>
      <c r="E1899" s="196" t="str">
        <f>IFERROR(__xludf.DUMMYFUNCTION("""COMPUTED_VALUE"""),"REPLACEMENT OF GROUNDED UNIT LUX RM 309")</f>
        <v>REPLACEMENT OF GROUNDED UNIT LUX RM 309</v>
      </c>
    </row>
    <row r="1900">
      <c r="A1900" s="234">
        <f>IFERROR(__xludf.DUMMYFUNCTION("""COMPUTED_VALUE"""),106733.0)</f>
        <v>106733</v>
      </c>
      <c r="B1900" s="235" t="str">
        <f>IFERROR(__xludf.DUMMYFUNCTION("""COMPUTED_VALUE"""),"OWIE PAR")</f>
        <v>OWIE PAR</v>
      </c>
      <c r="C1900" s="235" t="str">
        <f>IFERROR(__xludf.DUMMYFUNCTION("""COMPUTED_VALUE"""),"ENGINEERING")</f>
        <v>ENGINEERING</v>
      </c>
      <c r="D1900" s="196" t="str">
        <f>IFERROR(__xludf.DUMMYFUNCTION("""COMPUTED_VALUE"""),"THHN #12 
-1 ROLL EACH COLOR:
-BLACK, RED, WHITE")</f>
        <v>THHN #12 
-1 ROLL EACH COLOR:
-BLACK, RED, WHITE</v>
      </c>
      <c r="E1900" s="196" t="str">
        <f>IFERROR(__xludf.DUMMYFUNCTION("""COMPUTED_VALUE"""),"FOR LIMA PARKING PERIMETER LIGHTS")</f>
        <v>FOR LIMA PARKING PERIMETER LIGHTS</v>
      </c>
    </row>
    <row r="1901">
      <c r="A1901" s="234">
        <f>IFERROR(__xludf.DUMMYFUNCTION("""COMPUTED_VALUE"""),106734.0)</f>
        <v>106734</v>
      </c>
      <c r="B1901" s="235" t="str">
        <f>IFERROR(__xludf.DUMMYFUNCTION("""COMPUTED_VALUE"""),"DANIE GARCIA")</f>
        <v>DANIE GARCIA</v>
      </c>
      <c r="C1901" s="235" t="str">
        <f>IFERROR(__xludf.DUMMYFUNCTION("""COMPUTED_VALUE"""),"VPAR / RESEARCH")</f>
        <v>VPAR / RESEARCH</v>
      </c>
      <c r="D1901" s="196" t="str">
        <f>IFERROR(__xludf.DUMMYFUNCTION("""COMPUTED_VALUE"""),"5 PCS BIG CERTIFICATE FRAME A3 ")</f>
        <v>5 PCS BIG CERTIFICATE FRAME A3 </v>
      </c>
      <c r="E1901" s="196" t="str">
        <f>IFERROR(__xludf.DUMMYFUNCTION("""COMPUTED_VALUE"""),"CERTIFICATE COTS IRFC")</f>
        <v>CERTIFICATE COTS IRFC</v>
      </c>
    </row>
    <row r="1902">
      <c r="A1902" s="234">
        <f>IFERROR(__xludf.DUMMYFUNCTION("""COMPUTED_VALUE"""),106735.0)</f>
        <v>106735</v>
      </c>
      <c r="B1902" s="235" t="str">
        <f>IFERROR(__xludf.DUMMYFUNCTION("""COMPUTED_VALUE"""),"CHRISTON CORBEZA")</f>
        <v>CHRISTON CORBEZA</v>
      </c>
      <c r="C1902" s="235" t="str">
        <f>IFERROR(__xludf.DUMMYFUNCTION("""COMPUTED_VALUE"""),"ADMIN - MUNICH")</f>
        <v>ADMIN - MUNICH</v>
      </c>
      <c r="D1902" s="196" t="str">
        <f>IFERROR(__xludf.DUMMYFUNCTION("""COMPUTED_VALUE"""),"14 PCS LED 40W PANEL LIGHT ")</f>
        <v>14 PCS LED 40W PANEL LIGHT </v>
      </c>
      <c r="E1902" s="196" t="str">
        <f>IFERROR(__xludf.DUMMYFUNCTION("""COMPUTED_VALUE"""),"REPLACE OLD LIGHTING FIXTURE WITH LED PANEL LIGHTS IN CAFETERIA")</f>
        <v>REPLACE OLD LIGHTING FIXTURE WITH LED PANEL LIGHTS IN CAFETERIA</v>
      </c>
    </row>
    <row r="1903">
      <c r="A1903" s="234">
        <f>IFERROR(__xludf.DUMMYFUNCTION("""COMPUTED_VALUE"""),106736.0)</f>
        <v>106736</v>
      </c>
      <c r="B1903" s="235" t="str">
        <f>IFERROR(__xludf.DUMMYFUNCTION("""COMPUTED_VALUE"""),"MARC VINCENT VITTO")</f>
        <v>MARC VINCENT VITTO</v>
      </c>
      <c r="C1903" s="235" t="str">
        <f>IFERROR(__xludf.DUMMYFUNCTION("""COMPUTED_VALUE"""),"PR &amp; MARKETING")</f>
        <v>PR &amp; MARKETING</v>
      </c>
      <c r="D1903" s="196" t="str">
        <f>IFERROR(__xludf.DUMMYFUNCTION("""COMPUTED_VALUE"""),"1 ADMISSION TARP PERPETUAL VILLAGE 2026 5FT X 9.5FT 18 OZ ADD SEAMING AND EYELET ALL OVER")</f>
        <v>1 ADMISSION TARP PERPETUAL VILLAGE 2026 5FT X 9.5FT 18 OZ ADD SEAMING AND EYELET ALL OVER</v>
      </c>
      <c r="E1903" s="196" t="str">
        <f>IFERROR(__xludf.DUMMYFUNCTION("""COMPUTED_VALUE"""),"ADMISSION")</f>
        <v>ADMISSION</v>
      </c>
    </row>
    <row r="1904">
      <c r="A1904" s="234">
        <f>IFERROR(__xludf.DUMMYFUNCTION("""COMPUTED_VALUE"""),106737.0)</f>
        <v>106737</v>
      </c>
      <c r="B1904" s="235" t="str">
        <f>IFERROR(__xludf.DUMMYFUNCTION("""COMPUTED_VALUE"""),"LYKA PERALTA")</f>
        <v>LYKA PERALTA</v>
      </c>
      <c r="C1904" s="235" t="str">
        <f>IFERROR(__xludf.DUMMYFUNCTION("""COMPUTED_VALUE"""),"AMD")</f>
        <v>AMD</v>
      </c>
      <c r="D1904" s="196" t="str">
        <f>IFERROR(__xludf.DUMMYFUNCTION("""COMPUTED_VALUE"""),"88 BEADS WITH BIG HOLES")</f>
        <v>88 BEADS WITH BIG HOLES</v>
      </c>
      <c r="E1904" s="196" t="str">
        <f>IFERROR(__xludf.DUMMYFUNCTION("""COMPUTED_VALUE"""),"STUDENT MATERIALS FOR AY 26-27")</f>
        <v>STUDENT MATERIALS FOR AY 26-27</v>
      </c>
    </row>
    <row r="1905">
      <c r="A1905" s="234">
        <f>IFERROR(__xludf.DUMMYFUNCTION("""COMPUTED_VALUE"""),106738.0)</f>
        <v>106738</v>
      </c>
      <c r="B1905" s="235" t="str">
        <f>IFERROR(__xludf.DUMMYFUNCTION("""COMPUTED_VALUE"""),"LYKA PERALTA")</f>
        <v>LYKA PERALTA</v>
      </c>
      <c r="C1905" s="235" t="str">
        <f>IFERROR(__xludf.DUMMYFUNCTION("""COMPUTED_VALUE"""),"AMD")</f>
        <v>AMD</v>
      </c>
      <c r="D1905" s="196" t="str">
        <f>IFERROR(__xludf.DUMMYFUNCTION("""COMPUTED_VALUE"""),"140 STAEDTLER BLENDING STUMPS SIZE 1,4,6,8 PACK")</f>
        <v>140 STAEDTLER BLENDING STUMPS SIZE 1,4,6,8 PACK</v>
      </c>
      <c r="E1905" s="196" t="str">
        <f>IFERROR(__xludf.DUMMYFUNCTION("""COMPUTED_VALUE"""),"STUDENT MATERIALS FOR AY 26-27")</f>
        <v>STUDENT MATERIALS FOR AY 26-27</v>
      </c>
    </row>
    <row r="1906">
      <c r="A1906" s="234">
        <f>IFERROR(__xludf.DUMMYFUNCTION("""COMPUTED_VALUE"""),106739.0)</f>
        <v>106739</v>
      </c>
      <c r="B1906" s="235" t="str">
        <f>IFERROR(__xludf.DUMMYFUNCTION("""COMPUTED_VALUE"""),"LYKA PERALTA")</f>
        <v>LYKA PERALTA</v>
      </c>
      <c r="C1906" s="235" t="str">
        <f>IFERROR(__xludf.DUMMYFUNCTION("""COMPUTED_VALUE"""),"AMD")</f>
        <v>AMD</v>
      </c>
      <c r="D1906" s="196" t="str">
        <f>IFERROR(__xludf.DUMMYFUNCTION("""COMPUTED_VALUE"""),"2093 WHISTLE SISC GOLD")</f>
        <v>2093 WHISTLE SISC GOLD</v>
      </c>
      <c r="E1906" s="196" t="str">
        <f>IFERROR(__xludf.DUMMYFUNCTION("""COMPUTED_VALUE"""),"STUDENT MATERIALS FOR AY 26-27")</f>
        <v>STUDENT MATERIALS FOR AY 26-27</v>
      </c>
    </row>
    <row r="1907">
      <c r="A1907" s="234">
        <f>IFERROR(__xludf.DUMMYFUNCTION("""COMPUTED_VALUE"""),106740.0)</f>
        <v>106740</v>
      </c>
      <c r="B1907" s="235" t="str">
        <f>IFERROR(__xludf.DUMMYFUNCTION("""COMPUTED_VALUE"""),"LYKA PERALTA")</f>
        <v>LYKA PERALTA</v>
      </c>
      <c r="C1907" s="235" t="str">
        <f>IFERROR(__xludf.DUMMYFUNCTION("""COMPUTED_VALUE"""),"AMD")</f>
        <v>AMD</v>
      </c>
      <c r="D1907" s="196" t="str">
        <f>IFERROR(__xludf.DUMMYFUNCTION("""COMPUTED_VALUE"""),"3 PCS TRASH BIN ")</f>
        <v>3 PCS TRASH BIN </v>
      </c>
      <c r="E1907" s="196" t="str">
        <f>IFERROR(__xludf.DUMMYFUNCTION("""COMPUTED_VALUE"""),"FOR CAFETERIA")</f>
        <v>FOR CAFETERIA</v>
      </c>
    </row>
    <row r="1908">
      <c r="A1908" s="234">
        <f>IFERROR(__xludf.DUMMYFUNCTION("""COMPUTED_VALUE"""),106741.0)</f>
        <v>106741</v>
      </c>
      <c r="B1908" s="235" t="str">
        <f>IFERROR(__xludf.DUMMYFUNCTION("""COMPUTED_VALUE"""),"MARVIN MARASIGAN")</f>
        <v>MARVIN MARASIGAN</v>
      </c>
      <c r="C1908" s="235" t="str">
        <f>IFERROR(__xludf.DUMMYFUNCTION("""COMPUTED_VALUE"""),"PR &amp; MARKETING")</f>
        <v>PR &amp; MARKETING</v>
      </c>
      <c r="D1908" s="196" t="str">
        <f>IFERROR(__xludf.DUMMYFUNCTION("""COMPUTED_VALUE"""),"1 TARP EYELET ALLOVER W/SEAMING 187X78IN")</f>
        <v>1 TARP EYELET ALLOVER W/SEAMING 187X78IN</v>
      </c>
      <c r="E1908" s="196" t="str">
        <f>IFERROR(__xludf.DUMMYFUNCTION("""COMPUTED_VALUE"""),"MARKETING PROMOTION")</f>
        <v>MARKETING PROMOTION</v>
      </c>
    </row>
    <row r="1909">
      <c r="A1909" s="234">
        <f>IFERROR(__xludf.DUMMYFUNCTION("""COMPUTED_VALUE"""),106742.0)</f>
        <v>106742</v>
      </c>
      <c r="B1909" s="235" t="str">
        <f>IFERROR(__xludf.DUMMYFUNCTION("""COMPUTED_VALUE"""),"EDGAR REBELLON")</f>
        <v>EDGAR REBELLON</v>
      </c>
      <c r="C1909" s="235" t="str">
        <f>IFERROR(__xludf.DUMMYFUNCTION("""COMPUTED_VALUE"""),"ABU")</f>
        <v>ABU</v>
      </c>
      <c r="D1909" s="196" t="str">
        <f>IFERROR(__xludf.DUMMYFUNCTION("""COMPUTED_VALUE"""),"5 FOOD ART AND QUOTES PRINTED IN SINTRA BOARD 24"" X 36""")</f>
        <v>5 FOOD ART AND QUOTES PRINTED IN SINTRA BOARD 24" X 36"</v>
      </c>
      <c r="E1909" s="196" t="str">
        <f>IFERROR(__xludf.DUMMYFUNCTION("""COMPUTED_VALUE"""),"ENHANCEMENT OF LUX DINING AREA ")</f>
        <v>ENHANCEMENT OF LUX DINING AREA </v>
      </c>
    </row>
    <row r="1910">
      <c r="A1910" s="234">
        <f>IFERROR(__xludf.DUMMYFUNCTION("""COMPUTED_VALUE"""),106743.0)</f>
        <v>106743</v>
      </c>
      <c r="B1910" s="235" t="str">
        <f>IFERROR(__xludf.DUMMYFUNCTION("""COMPUTED_VALUE"""),"EDGAR REBELLON")</f>
        <v>EDGAR REBELLON</v>
      </c>
      <c r="C1910" s="235" t="str">
        <f>IFERROR(__xludf.DUMMYFUNCTION("""COMPUTED_VALUE"""),"ABU")</f>
        <v>ABU</v>
      </c>
      <c r="D1910" s="196" t="str">
        <f>IFERROR(__xludf.DUMMYFUNCTION("""COMPUTED_VALUE"""),"5 IKEA FRAMES 24"" X 36"" COLOR BLACK")</f>
        <v>5 IKEA FRAMES 24" X 36" COLOR BLACK</v>
      </c>
      <c r="E1910" s="196" t="str">
        <f>IFERROR(__xludf.DUMMYFUNCTION("""COMPUTED_VALUE"""),"ENHANCEMENT OF LUX DINING AREA ")</f>
        <v>ENHANCEMENT OF LUX DINING AREA </v>
      </c>
    </row>
    <row r="1911">
      <c r="A1911" s="234">
        <f>IFERROR(__xludf.DUMMYFUNCTION("""COMPUTED_VALUE"""),106744.0)</f>
        <v>106744</v>
      </c>
      <c r="B1911" s="235" t="str">
        <f>IFERROR(__xludf.DUMMYFUNCTION("""COMPUTED_VALUE"""),"LYKA PERALTA")</f>
        <v>LYKA PERALTA</v>
      </c>
      <c r="C1911" s="235" t="str">
        <f>IFERROR(__xludf.DUMMYFUNCTION("""COMPUTED_VALUE"""),"AMD")</f>
        <v>AMD</v>
      </c>
      <c r="D1911" s="196" t="str">
        <f>IFERROR(__xludf.DUMMYFUNCTION("""COMPUTED_VALUE"""),"ID CASE BED AND COLLEGE COLOR WHITE
500 PCS LANYARD COLLEGE
2100 PCS LANYARD BED")</f>
        <v>ID CASE BED AND COLLEGE COLOR WHITE
500 PCS LANYARD COLLEGE
2100 PCS LANYARD BED</v>
      </c>
      <c r="E1911" s="196" t="str">
        <f>IFERROR(__xludf.DUMMYFUNCTION("""COMPUTED_VALUE"""),"ID CASE FOR BED AND COLLEGE")</f>
        <v>ID CASE FOR BED AND COLLEGE</v>
      </c>
    </row>
    <row r="1912">
      <c r="A1912" s="234">
        <f>IFERROR(__xludf.DUMMYFUNCTION("""COMPUTED_VALUE"""),106745.0)</f>
        <v>106745</v>
      </c>
      <c r="B1912" s="235" t="str">
        <f>IFERROR(__xludf.DUMMYFUNCTION("""COMPUTED_VALUE"""),"JANELLE ILAO")</f>
        <v>JANELLE ILAO</v>
      </c>
      <c r="C1912" s="235" t="str">
        <f>IFERROR(__xludf.DUMMYFUNCTION("""COMPUTED_VALUE"""),"HRMD")</f>
        <v>HRMD</v>
      </c>
      <c r="D1912" s="196" t="str">
        <f>IFERROR(__xludf.DUMMYFUNCTION("""COMPUTED_VALUE"""),"FLOWER WREATH ")</f>
        <v>FLOWER WREATH </v>
      </c>
      <c r="E1912" s="196" t="str">
        <f>IFERROR(__xludf.DUMMYFUNCTION("""COMPUTED_VALUE"""),"FLOWER WREATH FOR DEAN CARMEL'S BROTHER")</f>
        <v>FLOWER WREATH FOR DEAN CARMEL'S BROTHER</v>
      </c>
    </row>
    <row r="1913">
      <c r="A1913" s="234">
        <f>IFERROR(__xludf.DUMMYFUNCTION("""COMPUTED_VALUE"""),106746.0)</f>
        <v>106746</v>
      </c>
      <c r="B1913" s="235" t="str">
        <f>IFERROR(__xludf.DUMMYFUNCTION("""COMPUTED_VALUE"""),"DEXTER BODOSO")</f>
        <v>DEXTER BODOSO</v>
      </c>
      <c r="C1913" s="235" t="str">
        <f>IFERROR(__xludf.DUMMYFUNCTION("""COMPUTED_VALUE"""),"PR &amp; MARKETING")</f>
        <v>PR &amp; MARKETING</v>
      </c>
      <c r="D1913" s="196" t="str">
        <f>IFERROR(__xludf.DUMMYFUNCTION("""COMPUTED_VALUE"""),"2 BOXES EACH CALLING CARD: (REORDER)
-JAYVEN 
-ELYDS
-DEXTER
-ALY")</f>
        <v>2 BOXES EACH CALLING CARD: (REORDER)
-JAYVEN 
-ELYDS
-DEXTER
-ALY</v>
      </c>
      <c r="E1913" s="196" t="str">
        <f>IFERROR(__xludf.DUMMYFUNCTION("""COMPUTED_VALUE"""),"MARKETING")</f>
        <v>MARKETING</v>
      </c>
    </row>
    <row r="1914">
      <c r="A1914" s="234">
        <f>IFERROR(__xludf.DUMMYFUNCTION("""COMPUTED_VALUE"""),106747.0)</f>
        <v>106747</v>
      </c>
      <c r="B1914" s="235" t="str">
        <f>IFERROR(__xludf.DUMMYFUNCTION("""COMPUTED_VALUE"""),"JESUIT CHRISTIAN GALICIA")</f>
        <v>JESUIT CHRISTIAN GALICIA</v>
      </c>
      <c r="C1914" s="235" t="str">
        <f>IFERROR(__xludf.DUMMYFUNCTION("""COMPUTED_VALUE"""),"AMD")</f>
        <v>AMD</v>
      </c>
      <c r="D1914" s="196" t="str">
        <f>IFERROR(__xludf.DUMMYFUNCTION("""COMPUTED_VALUE"""),"30 PCS ELECTRICAL TAPE 3M
15 PCS LAVATORY FAUCET (SHORT)
20 PCS DOOR KNOB
20 PCS NO MORE NAILS")</f>
        <v>30 PCS ELECTRICAL TAPE 3M
15 PCS LAVATORY FAUCET (SHORT)
20 PCS DOOR KNOB
20 PCS NO MORE NAILS</v>
      </c>
      <c r="E1914" s="196" t="str">
        <f>IFERROR(__xludf.DUMMYFUNCTION("""COMPUTED_VALUE"""),"ENGR WAREHOUSE STOCK REPLENISHMENT")</f>
        <v>ENGR WAREHOUSE STOCK REPLENISHMENT</v>
      </c>
    </row>
    <row r="1915">
      <c r="A1915" s="234">
        <f>IFERROR(__xludf.DUMMYFUNCTION("""COMPUTED_VALUE"""),106748.0)</f>
        <v>106748</v>
      </c>
      <c r="B1915" s="235" t="str">
        <f>IFERROR(__xludf.DUMMYFUNCTION("""COMPUTED_VALUE"""),"FELESE ANGELINE FAMADOR")</f>
        <v>FELESE ANGELINE FAMADOR</v>
      </c>
      <c r="C1915" s="235" t="str">
        <f>IFERROR(__xludf.DUMMYFUNCTION("""COMPUTED_VALUE"""),"MEDICAL")</f>
        <v>MEDICAL</v>
      </c>
      <c r="D1915" s="196" t="str">
        <f>IFERROR(__xludf.DUMMYFUNCTION("""COMPUTED_VALUE"""),"15 ATHLETIC TAPE
5 PRE-WRAP TAPE
10 KINESIOLOGY TAPE
5 KATINKO SPRAY
1 KINETIQQ SPRAY 
1 KINETIQQ WAX
10 TIGERBALM PATCH
10 EACH SIZE ELASTIC BANDAGES
3 MEDIPLAST WATERPROOF BANDAGE")</f>
        <v>15 ATHLETIC TAPE
5 PRE-WRAP TAPE
10 KINESIOLOGY TAPE
5 KATINKO SPRAY
1 KINETIQQ SPRAY 
1 KINETIQQ WAX
10 TIGERBALM PATCH
10 EACH SIZE ELASTIC BANDAGES
3 MEDIPLAST WATERPROOF BANDAGE</v>
      </c>
      <c r="E1915" s="196" t="str">
        <f>IFERROR(__xludf.DUMMYFUNCTION("""COMPUTED_VALUE"""),"FOR ISAC 3 BAGUIO AND SGEN CUP BATANGAS ")</f>
        <v>FOR ISAC 3 BAGUIO AND SGEN CUP BATANGAS </v>
      </c>
    </row>
    <row r="1916">
      <c r="A1916" s="234">
        <f>IFERROR(__xludf.DUMMYFUNCTION("""COMPUTED_VALUE"""),106749.0)</f>
        <v>106749</v>
      </c>
      <c r="B1916" s="235" t="str">
        <f>IFERROR(__xludf.DUMMYFUNCTION("""COMPUTED_VALUE"""),"OWIE PAR")</f>
        <v>OWIE PAR</v>
      </c>
      <c r="C1916" s="235" t="str">
        <f>IFERROR(__xludf.DUMMYFUNCTION("""COMPUTED_VALUE"""),"ENGINEERING")</f>
        <v>ENGINEERING</v>
      </c>
      <c r="D1916" s="196" t="str">
        <f>IFERROR(__xludf.DUMMYFUNCTION("""COMPUTED_VALUE"""),"2 UNITS ORBIT FAN #16")</f>
        <v>2 UNITS ORBIT FAN #16</v>
      </c>
      <c r="E1916" s="196" t="str">
        <f>IFERROR(__xludf.DUMMYFUNCTION("""COMPUTED_VALUE"""),"FOR LUX 215 AND 310")</f>
        <v>FOR LUX 215 AND 310</v>
      </c>
    </row>
    <row r="1917">
      <c r="A1917" s="234">
        <f>IFERROR(__xludf.DUMMYFUNCTION("""COMPUTED_VALUE"""),106750.0)</f>
        <v>106750</v>
      </c>
      <c r="B1917" s="235" t="str">
        <f>IFERROR(__xludf.DUMMYFUNCTION("""COMPUTED_VALUE"""),"MARC VINCENT VITTO")</f>
        <v>MARC VINCENT VITTO</v>
      </c>
      <c r="C1917" s="235" t="str">
        <f>IFERROR(__xludf.DUMMYFUNCTION("""COMPUTED_VALUE"""),"PR &amp; MARKETING")</f>
        <v>PR &amp; MARKETING</v>
      </c>
      <c r="D1917" s="196" t="str">
        <f>IFERROR(__xludf.DUMMYFUNCTION("""COMPUTED_VALUE"""),"16 SISC COURSES BANNER 2026 32 IN X 62.5 IN 13 OZ ADD SEAMING ONLY")</f>
        <v>16 SISC COURSES BANNER 2026 32 IN X 62.5 IN 13 OZ ADD SEAMING ONLY</v>
      </c>
      <c r="E1917" s="196" t="str">
        <f>IFERROR(__xludf.DUMMYFUNCTION("""COMPUTED_VALUE"""),"FOR OPEN HOUSE")</f>
        <v>FOR OPEN HOUSE</v>
      </c>
    </row>
    <row r="1918">
      <c r="A1918" s="234">
        <f>IFERROR(__xludf.DUMMYFUNCTION("""COMPUTED_VALUE"""),106751.0)</f>
        <v>106751</v>
      </c>
      <c r="B1918" s="235" t="str">
        <f>IFERROR(__xludf.DUMMYFUNCTION("""COMPUTED_VALUE"""),"MARC VINCENT VITTO")</f>
        <v>MARC VINCENT VITTO</v>
      </c>
      <c r="C1918" s="235" t="str">
        <f>IFERROR(__xludf.DUMMYFUNCTION("""COMPUTED_VALUE"""),"PR &amp; MARKETING")</f>
        <v>PR &amp; MARKETING</v>
      </c>
      <c r="D1918" s="196" t="str">
        <f>IFERROR(__xludf.DUMMYFUNCTION("""COMPUTED_VALUE"""),"1 SUMMER FEST 2026 BACKDROP 7.5 X 7.5X FT 13OZ ADD SEAMING AND EYELET ALLOVER")</f>
        <v>1 SUMMER FEST 2026 BACKDROP 7.5 X 7.5X FT 13OZ ADD SEAMING AND EYELET ALLOVER</v>
      </c>
      <c r="E1918" s="196" t="str">
        <f>IFERROR(__xludf.DUMMYFUNCTION("""COMPUTED_VALUE"""),"FOR OPEN HOUSE")</f>
        <v>FOR OPEN HOUSE</v>
      </c>
    </row>
    <row r="1919">
      <c r="A1919" s="234">
        <f>IFERROR(__xludf.DUMMYFUNCTION("""COMPUTED_VALUE"""),106752.0)</f>
        <v>106752</v>
      </c>
      <c r="B1919" s="235" t="str">
        <f>IFERROR(__xludf.DUMMYFUNCTION("""COMPUTED_VALUE"""),"JOHN JERICHO VENUS")</f>
        <v>JOHN JERICHO VENUS</v>
      </c>
      <c r="C1919" s="235" t="str">
        <f>IFERROR(__xludf.DUMMYFUNCTION("""COMPUTED_VALUE"""),"ADMIN")</f>
        <v>ADMIN</v>
      </c>
      <c r="D1919" s="196" t="str">
        <f>IFERROR(__xludf.DUMMYFUNCTION("""COMPUTED_VALUE"""),"33 KAIZEN 40W DUN PANEL LIGHT ROUND 4000K WHITE
3 KAIZEN 12W PORTER ROUND LED DOWNLIGHT
2 KAIZEN 10W CARTER LED DOWN LIGHT 3000K WARM WHITE
2 ALPHALUX SPOTLIGHT SERIES LED DIRECTIONAL SPOTLIGHT 5W/7W
10 ALPHALUX 9W CW SWIVEL DOWN LIGHT")</f>
        <v>33 KAIZEN 40W DUN PANEL LIGHT ROUND 4000K WHITE
3 KAIZEN 12W PORTER ROUND LED DOWNLIGHT
2 KAIZEN 10W CARTER LED DOWN LIGHT 3000K WARM WHITE
2 ALPHALUX SPOTLIGHT SERIES LED DIRECTIONAL SPOTLIGHT 5W/7W
10 ALPHALUX 9W CW SWIVEL DOWN LIGHT</v>
      </c>
      <c r="E1919" s="196" t="str">
        <f>IFERROR(__xludf.DUMMYFUNCTION("""COMPUTED_VALUE"""),"LIGHTS FOR LUX HALL IMPROVEMENT")</f>
        <v>LIGHTS FOR LUX HALL IMPROVEMENT</v>
      </c>
    </row>
    <row r="1920">
      <c r="A1920" s="234">
        <f>IFERROR(__xludf.DUMMYFUNCTION("""COMPUTED_VALUE"""),106753.0)</f>
        <v>106753</v>
      </c>
      <c r="B1920" s="235" t="str">
        <f>IFERROR(__xludf.DUMMYFUNCTION("""COMPUTED_VALUE"""),"JORDAN JORDAN")</f>
        <v>JORDAN JORDAN</v>
      </c>
      <c r="C1920" s="235" t="str">
        <f>IFERROR(__xludf.DUMMYFUNCTION("""COMPUTED_VALUE"""),"ADMIN")</f>
        <v>ADMIN</v>
      </c>
      <c r="D1920" s="196" t="str">
        <f>IFERROR(__xludf.DUMMYFUNCTION("""COMPUTED_VALUE"""),"15 PCS RUBBER NOZING ")</f>
        <v>15 PCS RUBBER NOZING </v>
      </c>
      <c r="E1920" s="196" t="str">
        <f>IFERROR(__xludf.DUMMYFUNCTION("""COMPUTED_VALUE"""),"FOR REPLACEMENT OF BROKEN RUBBER NOZING")</f>
        <v>FOR REPLACEMENT OF BROKEN RUBBER NOZING</v>
      </c>
    </row>
    <row r="1921">
      <c r="A1921" s="234">
        <f>IFERROR(__xludf.DUMMYFUNCTION("""COMPUTED_VALUE"""),106754.0)</f>
        <v>106754</v>
      </c>
      <c r="B1921" s="235" t="str">
        <f>IFERROR(__xludf.DUMMYFUNCTION("""COMPUTED_VALUE"""),"CARLITO DELA VEGA")</f>
        <v>CARLITO DELA VEGA</v>
      </c>
      <c r="C1921" s="235" t="str">
        <f>IFERROR(__xludf.DUMMYFUNCTION("""COMPUTED_VALUE"""),"SECURITY")</f>
        <v>SECURITY</v>
      </c>
      <c r="D1921" s="196" t="str">
        <f>IFERROR(__xludf.DUMMYFUNCTION("""COMPUTED_VALUE"""),"12 PCS IMOU BULLET CAMERA 4MP IP-NON POE WIRELESS 2.8MM AUDIO IPC F42FEN D
12 PCS IMOU SD CARD 256GB")</f>
        <v>12 PCS IMOU BULLET CAMERA 4MP IP-NON POE WIRELESS 2.8MM AUDIO IPC F42FEN D
12 PCS IMOU SD CARD 256GB</v>
      </c>
      <c r="E1921" s="196" t="str">
        <f>IFERROR(__xludf.DUMMYFUNCTION("""COMPUTED_VALUE"""),"FOR LIMA HOUSE COLLGE LIBRARY ")</f>
        <v>FOR LIMA HOUSE COLLGE LIBRARY </v>
      </c>
    </row>
    <row r="1922">
      <c r="A1922" s="234">
        <f>IFERROR(__xludf.DUMMYFUNCTION("""COMPUTED_VALUE"""),106755.0)</f>
        <v>106755</v>
      </c>
      <c r="B1922" s="235" t="str">
        <f>IFERROR(__xludf.DUMMYFUNCTION("""COMPUTED_VALUE"""),"OWIE PAR")</f>
        <v>OWIE PAR</v>
      </c>
      <c r="C1922" s="235" t="str">
        <f>IFERROR(__xludf.DUMMYFUNCTION("""COMPUTED_VALUE"""),"ENGINEERING")</f>
        <v>ENGINEERING</v>
      </c>
      <c r="D1922" s="196" t="str">
        <f>IFERROR(__xludf.DUMMYFUNCTION("""COMPUTED_VALUE"""),"1 UNIT 2.0HP WALL MOUNTED TYPE INVERTE")</f>
        <v>1 UNIT 2.0HP WALL MOUNTED TYPE INVERTE</v>
      </c>
      <c r="E1922" s="196" t="str">
        <f>IFERROR(__xludf.DUMMYFUNCTION("""COMPUTED_VALUE"""),"FOR DEAN COLLEGE OF PSY")</f>
        <v>FOR DEAN COLLEGE OF PSY</v>
      </c>
    </row>
    <row r="1923">
      <c r="A1923" s="234">
        <f>IFERROR(__xludf.DUMMYFUNCTION("""COMPUTED_VALUE"""),106756.0)</f>
        <v>106756</v>
      </c>
      <c r="B1923" s="235" t="str">
        <f>IFERROR(__xludf.DUMMYFUNCTION("""COMPUTED_VALUE"""),"JESUIT CHRISTIAN GALICIA")</f>
        <v>JESUIT CHRISTIAN GALICIA</v>
      </c>
      <c r="C1923" s="235" t="str">
        <f>IFERROR(__xludf.DUMMYFUNCTION("""COMPUTED_VALUE"""),"AMD")</f>
        <v>AMD</v>
      </c>
      <c r="D1923" s="196" t="str">
        <f>IFERROR(__xludf.DUMMYFUNCTION("""COMPUTED_VALUE"""),"10 PCS TP LINK SWITCH HUB 4 PORT
35 PCS ECO POWER AVR")</f>
        <v>10 PCS TP LINK SWITCH HUB 4 PORT
35 PCS ECO POWER AVR</v>
      </c>
      <c r="E1923" s="196" t="str">
        <f>IFERROR(__xludf.DUMMYFUNCTION("""COMPUTED_VALUE"""),"MIS WAREHOUSE STOCK REPLENISHMENT")</f>
        <v>MIS WAREHOUSE STOCK REPLENISHMENT</v>
      </c>
    </row>
    <row r="1924">
      <c r="A1924" s="234">
        <f>IFERROR(__xludf.DUMMYFUNCTION("""COMPUTED_VALUE"""),106757.0)</f>
        <v>106757</v>
      </c>
      <c r="B1924" s="235" t="str">
        <f>IFERROR(__xludf.DUMMYFUNCTION("""COMPUTED_VALUE"""),"DANIE GARCIA")</f>
        <v>DANIE GARCIA</v>
      </c>
      <c r="C1924" s="235" t="str">
        <f>IFERROR(__xludf.DUMMYFUNCTION("""COMPUTED_VALUE"""),"VPAR / RESEARCH")</f>
        <v>VPAR / RESEARCH</v>
      </c>
      <c r="D1924" s="196" t="str">
        <f>IFERROR(__xludf.DUMMYFUNCTION("""COMPUTED_VALUE"""),"4 TARPS 2X5 FT FOR RESEARCH PRESENTATION")</f>
        <v>4 TARPS 2X5 FT FOR RESEARCH PRESENTATION</v>
      </c>
      <c r="E1924" s="196" t="str">
        <f>IFERROR(__xludf.DUMMYFUNCTION("""COMPUTED_VALUE"""),"FOR RESEARCH PRESENTATION")</f>
        <v>FOR RESEARCH PRESENTATION</v>
      </c>
    </row>
    <row r="1925">
      <c r="A1925" s="234">
        <f>IFERROR(__xludf.DUMMYFUNCTION("""COMPUTED_VALUE"""),106758.0)</f>
        <v>106758</v>
      </c>
      <c r="B1925" s="235" t="str">
        <f>IFERROR(__xludf.DUMMYFUNCTION("""COMPUTED_VALUE"""),"OWIE PAR")</f>
        <v>OWIE PAR</v>
      </c>
      <c r="C1925" s="235" t="str">
        <f>IFERROR(__xludf.DUMMYFUNCTION("""COMPUTED_VALUE"""),"ADMIN")</f>
        <v>ADMIN</v>
      </c>
      <c r="D1925" s="196" t="str">
        <f>IFERROR(__xludf.DUMMYFUNCTION("""COMPUTED_VALUE"""),"2 PCS GI ELBOW #1 
2PCS GI NIPPLE #1X2
1 PC FLOAT VALVE #1
2 PCS PVC MALE ADAPTOR #3/4
2 PCS PVC FEMALE ADAPTOR #3/4 
1 LENGTH PVC PIPE #3/4 BLUE
2 ROLLS TEPLON TAPE #3/4 
1 CAN SOLVENT CEMENT 100CC")</f>
        <v>2 PCS GI ELBOW #1 
2PCS GI NIPPLE #1X2
1 PC FLOAT VALVE #1
2 PCS PVC MALE ADAPTOR #3/4
2 PCS PVC FEMALE ADAPTOR #3/4 
1 LENGTH PVC PIPE #3/4 BLUE
2 ROLLS TEPLON TAPE #3/4 
1 CAN SOLVENT CEMENT 100CC</v>
      </c>
      <c r="E1925" s="196" t="str">
        <f>IFERROR(__xludf.DUMMYFUNCTION("""COMPUTED_VALUE"""),"FOR LIMA CENTER WATER TO PREVENT OVERFLOWING OF OVERHEAD TANK")</f>
        <v>FOR LIMA CENTER WATER TO PREVENT OVERFLOWING OF OVERHEAD TANK</v>
      </c>
    </row>
    <row r="1926">
      <c r="A1926" s="234">
        <f>IFERROR(__xludf.DUMMYFUNCTION("""COMPUTED_VALUE"""),106759.0)</f>
        <v>106759</v>
      </c>
      <c r="B1926" s="235" t="str">
        <f>IFERROR(__xludf.DUMMYFUNCTION("""COMPUTED_VALUE"""),"SARY ESCUREL ")</f>
        <v>SARY ESCUREL </v>
      </c>
      <c r="C1926" s="235" t="str">
        <f>IFERROR(__xludf.DUMMYFUNCTION("""COMPUTED_VALUE"""),"CEM OFFICE")</f>
        <v>CEM OFFICE</v>
      </c>
      <c r="D1926" s="196" t="str">
        <f>IFERROR(__xludf.DUMMYFUNCTION("""COMPUTED_VALUE"""),"1 CULTIVATOR MACHINE ")</f>
        <v>1 CULTIVATOR MACHINE </v>
      </c>
      <c r="E1926" s="196" t="str">
        <f>IFERROR(__xludf.DUMMYFUNCTION("""COMPUTED_VALUE"""),"FOR THE FARM USE AND FOR UBE PURPLE PROJECT")</f>
        <v>FOR THE FARM USE AND FOR UBE PURPLE PROJECT</v>
      </c>
    </row>
    <row r="1927">
      <c r="A1927" s="234">
        <f>IFERROR(__xludf.DUMMYFUNCTION("""COMPUTED_VALUE"""),106760.0)</f>
        <v>106760</v>
      </c>
      <c r="B1927" s="235" t="str">
        <f>IFERROR(__xludf.DUMMYFUNCTION("""COMPUTED_VALUE"""),"ELYDIA REYES")</f>
        <v>ELYDIA REYES</v>
      </c>
      <c r="C1927" s="235" t="str">
        <f>IFERROR(__xludf.DUMMYFUNCTION("""COMPUTED_VALUE"""),"PR &amp; MARKETING")</f>
        <v>PR &amp; MARKETING</v>
      </c>
      <c r="D1927" s="196" t="str">
        <f>IFERROR(__xludf.DUMMYFUNCTION("""COMPUTED_VALUE"""),"1 2X5FT PULL UP BANNER")</f>
        <v>1 2X5FT PULL UP BANNER</v>
      </c>
      <c r="E1927" s="196" t="str">
        <f>IFERROR(__xludf.DUMMYFUNCTION("""COMPUTED_VALUE"""),"DUMAGUETE / CEBU BANNER")</f>
        <v>DUMAGUETE / CEBU BANNER</v>
      </c>
    </row>
    <row r="1928">
      <c r="A1928" s="234">
        <f>IFERROR(__xludf.DUMMYFUNCTION("""COMPUTED_VALUE"""),106761.0)</f>
        <v>106761</v>
      </c>
      <c r="B1928" s="235" t="str">
        <f>IFERROR(__xludf.DUMMYFUNCTION("""COMPUTED_VALUE"""),"MARC VINCENT VITTO")</f>
        <v>MARC VINCENT VITTO</v>
      </c>
      <c r="C1928" s="235" t="str">
        <f>IFERROR(__xludf.DUMMYFUNCTION("""COMPUTED_VALUE"""),"PR &amp; MARKETING")</f>
        <v>PR &amp; MARKETING</v>
      </c>
      <c r="D1928" s="196" t="str">
        <f>IFERROR(__xludf.DUMMYFUNCTION("""COMPUTED_VALUE"""),"1 STEEL CABINET")</f>
        <v>1 STEEL CABINET</v>
      </c>
      <c r="E1928" s="196" t="str">
        <f>IFERROR(__xludf.DUMMYFUNCTION("""COMPUTED_VALUE"""),"FOR STORAGE")</f>
        <v>FOR STORAGE</v>
      </c>
    </row>
    <row r="1929">
      <c r="A1929" s="234">
        <f>IFERROR(__xludf.DUMMYFUNCTION("""COMPUTED_VALUE"""),106762.0)</f>
        <v>106762</v>
      </c>
      <c r="B1929" s="235" t="str">
        <f>IFERROR(__xludf.DUMMYFUNCTION("""COMPUTED_VALUE"""),"JESUIT CHRISTIAN GALICIA")</f>
        <v>JESUIT CHRISTIAN GALICIA</v>
      </c>
      <c r="C1929" s="235" t="str">
        <f>IFERROR(__xludf.DUMMYFUNCTION("""COMPUTED_VALUE"""),"AMD")</f>
        <v>AMD</v>
      </c>
      <c r="D1929" s="196" t="str">
        <f>IFERROR(__xludf.DUMMYFUNCTION("""COMPUTED_VALUE"""),"3PCS VIEWSONIC VA2215-H 22""MONITOR ")</f>
        <v>3PCS VIEWSONIC VA2215-H 22"MONITOR </v>
      </c>
      <c r="E1929" s="196" t="str">
        <f>IFERROR(__xludf.DUMMYFUNCTION("""COMPUTED_VALUE"""),"MIS WAREHOUSE STOCK REPLENISHMENT")</f>
        <v>MIS WAREHOUSE STOCK REPLENISHMENT</v>
      </c>
    </row>
    <row r="1930">
      <c r="A1930" s="234">
        <f>IFERROR(__xludf.DUMMYFUNCTION("""COMPUTED_VALUE"""),106763.0)</f>
        <v>106763</v>
      </c>
      <c r="B1930" s="235" t="str">
        <f>IFERROR(__xludf.DUMMYFUNCTION("""COMPUTED_VALUE"""),"CHARLES LEBECO DONOR")</f>
        <v>CHARLES LEBECO DONOR</v>
      </c>
      <c r="C1930" s="235" t="str">
        <f>IFERROR(__xludf.DUMMYFUNCTION("""COMPUTED_VALUE"""),"AMD")</f>
        <v>AMD</v>
      </c>
      <c r="D1930" s="196" t="str">
        <f>IFERROR(__xludf.DUMMYFUNCTION("""COMPUTED_VALUE"""),"Paper, SISC Letterhead Colored A4        PAPR-SIS-10-0002        6 reams.")</f>
        <v>Paper, SISC Letterhead Colored A4        PAPR-SIS-10-0002        6 reams.</v>
      </c>
      <c r="E1930" s="196" t="str">
        <f>IFERROR(__xludf.DUMMYFUNCTION("""COMPUTED_VALUE"""),"OSSUP REPLENISHMENTS")</f>
        <v>OSSUP REPLENISHMENTS</v>
      </c>
    </row>
    <row r="1931">
      <c r="A1931" s="234">
        <f>IFERROR(__xludf.DUMMYFUNCTION("""COMPUTED_VALUE"""),106764.0)</f>
        <v>106764</v>
      </c>
      <c r="B1931" s="235" t="str">
        <f>IFERROR(__xludf.DUMMYFUNCTION("""COMPUTED_VALUE"""),"CHARLES LEBECO DONOR")</f>
        <v>CHARLES LEBECO DONOR</v>
      </c>
      <c r="C1931" s="235" t="str">
        <f>IFERROR(__xludf.DUMMYFUNCTION("""COMPUTED_VALUE"""),"AMD")</f>
        <v>AMD</v>
      </c>
      <c r="D1931" s="196" t="str">
        <f>IFERROR(__xludf.DUMMYFUNCTION("""COMPUTED_VALUE"""),"Frame, Certificate Glass 11 x 14        FRAM-GEN-10-0002        35 pcs.
Frame, Certificate Ordinary Brown A3        FRAM-GEN-10-0004        30 pcs.")</f>
        <v>Frame, Certificate Glass 11 x 14        FRAM-GEN-10-0002        35 pcs.
Frame, Certificate Ordinary Brown A3        FRAM-GEN-10-0004        30 pcs.</v>
      </c>
      <c r="E1931" s="196" t="str">
        <f>IFERROR(__xludf.DUMMYFUNCTION("""COMPUTED_VALUE"""),"OSSUP REPLENISHMENTS")</f>
        <v>OSSUP REPLENISHMENTS</v>
      </c>
    </row>
    <row r="1932">
      <c r="A1932" s="234">
        <f>IFERROR(__xludf.DUMMYFUNCTION("""COMPUTED_VALUE"""),106765.0)</f>
        <v>106765</v>
      </c>
      <c r="B1932" s="235" t="str">
        <f>IFERROR(__xludf.DUMMYFUNCTION("""COMPUTED_VALUE"""),"JANCEL PRADILLADA")</f>
        <v>JANCEL PRADILLADA</v>
      </c>
      <c r="C1932" s="235" t="str">
        <f>IFERROR(__xludf.DUMMYFUNCTION("""COMPUTED_VALUE"""),"AV/MIS")</f>
        <v>AV/MIS</v>
      </c>
      <c r="D1932" s="196" t="str">
        <f>IFERROR(__xludf.DUMMYFUNCTION("""COMPUTED_VALUE"""),"1 PC TV HOLDER
3 PCS TV STAND")</f>
        <v>1 PC TV HOLDER
3 PCS TV STAND</v>
      </c>
      <c r="E1932" s="196" t="str">
        <f>IFERROR(__xludf.DUMMYFUNCTION("""COMPUTED_VALUE"""),"TV HOLDER FOR PR LOBBY / MOBILE TV STAND FOR DIGILAB AND AND MOBILE UNITS")</f>
        <v>TV HOLDER FOR PR LOBBY / MOBILE TV STAND FOR DIGILAB AND AND MOBILE UNITS</v>
      </c>
    </row>
    <row r="1933">
      <c r="A1933" s="234">
        <f>IFERROR(__xludf.DUMMYFUNCTION("""COMPUTED_VALUE"""),106766.0)</f>
        <v>106766</v>
      </c>
      <c r="B1933" s="235" t="str">
        <f>IFERROR(__xludf.DUMMYFUNCTION("""COMPUTED_VALUE"""),"JANELLE ILAO")</f>
        <v>JANELLE ILAO</v>
      </c>
      <c r="C1933" s="235" t="str">
        <f>IFERROR(__xludf.DUMMYFUNCTION("""COMPUTED_VALUE"""),"HRMD")</f>
        <v>HRMD</v>
      </c>
      <c r="D1933" s="196" t="str">
        <f>IFERROR(__xludf.DUMMYFUNCTION("""COMPUTED_VALUE"""),"FLOWER WREATH ")</f>
        <v>FLOWER WREATH </v>
      </c>
      <c r="E1933" s="196" t="str">
        <f>IFERROR(__xludf.DUMMYFUNCTION("""COMPUTED_VALUE"""),"FLOWER WREATH FOR MS. THALEAH'S FATHER")</f>
        <v>FLOWER WREATH FOR MS. THALEAH'S FATHER</v>
      </c>
    </row>
    <row r="1934">
      <c r="A1934" s="234">
        <f>IFERROR(__xludf.DUMMYFUNCTION("""COMPUTED_VALUE"""),106767.0)</f>
        <v>106767</v>
      </c>
      <c r="B1934" s="235" t="str">
        <f>IFERROR(__xludf.DUMMYFUNCTION("""COMPUTED_VALUE"""),"MARC VINCENT VITTO")</f>
        <v>MARC VINCENT VITTO</v>
      </c>
      <c r="C1934" s="235" t="str">
        <f>IFERROR(__xludf.DUMMYFUNCTION("""COMPUTED_VALUE"""),"PR &amp; MARKETING")</f>
        <v>PR &amp; MARKETING</v>
      </c>
      <c r="D1934" s="196" t="str">
        <f>IFERROR(__xludf.DUMMYFUNCTION("""COMPUTED_VALUE"""),"1 TROPICAL ENTRANCE TARP 110 IN X 110 IN 18 OZ ADD SEAMING AND EYELET ALLOVER")</f>
        <v>1 TROPICAL ENTRANCE TARP 110 IN X 110 IN 18 OZ ADD SEAMING AND EYELET ALLOVER</v>
      </c>
      <c r="E1934" s="196" t="str">
        <f>IFERROR(__xludf.DUMMYFUNCTION("""COMPUTED_VALUE"""),"FOR TROPICAL ENTRANCE")</f>
        <v>FOR TROPICAL ENTRANCE</v>
      </c>
    </row>
    <row r="1935">
      <c r="A1935" s="234">
        <f>IFERROR(__xludf.DUMMYFUNCTION("""COMPUTED_VALUE"""),106768.0)</f>
        <v>106768</v>
      </c>
      <c r="B1935" s="235" t="str">
        <f>IFERROR(__xludf.DUMMYFUNCTION("""COMPUTED_VALUE"""),"OWIE PAR")</f>
        <v>OWIE PAR</v>
      </c>
      <c r="C1935" s="235" t="str">
        <f>IFERROR(__xludf.DUMMYFUNCTION("""COMPUTED_VALUE"""),"ENGINEERING")</f>
        <v>ENGINEERING</v>
      </c>
      <c r="D1935" s="196" t="str">
        <f>IFERROR(__xludf.DUMMYFUNCTION("""COMPUTED_VALUE"""),"1 UNIT 3.0 HP WALL MOUNTED TYPE INVERTER PANASONIC")</f>
        <v>1 UNIT 3.0 HP WALL MOUNTED TYPE INVERTER PANASONIC</v>
      </c>
      <c r="E1935" s="196" t="str">
        <f>IFERROR(__xludf.DUMMYFUNCTION("""COMPUTED_VALUE"""),"REPLACEMENT OF OLD UNIT")</f>
        <v>REPLACEMENT OF OLD UNIT</v>
      </c>
    </row>
    <row r="1936">
      <c r="A1936" s="234">
        <f>IFERROR(__xludf.DUMMYFUNCTION("""COMPUTED_VALUE"""),106769.0)</f>
        <v>106769</v>
      </c>
      <c r="B1936" s="235" t="str">
        <f>IFERROR(__xludf.DUMMYFUNCTION("""COMPUTED_VALUE"""),"SAMEYA GARCIA")</f>
        <v>SAMEYA GARCIA</v>
      </c>
      <c r="C1936" s="235" t="str">
        <f>IFERROR(__xludf.DUMMYFUNCTION("""COMPUTED_VALUE"""),"ADMIN")</f>
        <v>ADMIN</v>
      </c>
      <c r="D1936" s="196" t="str">
        <f>IFERROR(__xludf.DUMMYFUNCTION("""COMPUTED_VALUE"""),"TRODAT 1 EACH:
-SHEREE ESPINOSA
-RONALDO VERDE
-JORDAN JORDAN
-JORGE BALELA
-JAKE VENUS
-SAMEYA GARCIA")</f>
        <v>TRODAT 1 EACH:
-SHEREE ESPINOSA
-RONALDO VERDE
-JORDAN JORDAN
-JORGE BALELA
-JAKE VENUS
-SAMEYA GARCIA</v>
      </c>
      <c r="E1936" s="196" t="str">
        <f>IFERROR(__xludf.DUMMYFUNCTION("""COMPUTED_VALUE"""),"FOR OFFICE NAME STAMP")</f>
        <v>FOR OFFICE NAME STAMP</v>
      </c>
    </row>
    <row r="1937">
      <c r="A1937" s="234">
        <f>IFERROR(__xludf.DUMMYFUNCTION("""COMPUTED_VALUE"""),106770.0)</f>
        <v>106770</v>
      </c>
      <c r="B1937" s="235" t="str">
        <f>IFERROR(__xludf.DUMMYFUNCTION("""COMPUTED_VALUE"""),"JORDAN JORDAN")</f>
        <v>JORDAN JORDAN</v>
      </c>
      <c r="C1937" s="235" t="str">
        <f>IFERROR(__xludf.DUMMYFUNCTION("""COMPUTED_VALUE"""),"ADMIN")</f>
        <v>ADMIN</v>
      </c>
      <c r="D1937" s="196" t="str">
        <f>IFERROR(__xludf.DUMMYFUNCTION("""COMPUTED_VALUE"""),"100PCS CUTTING DISC 4""
1 SET ROTARY HAMMER 
1 SET FLARING TOOL SET 
6 SET SCREW DRIVER SET")</f>
        <v>100PCS CUTTING DISC 4"
1 SET ROTARY HAMMER 
1 SET FLARING TOOL SET 
6 SET SCREW DRIVER SET</v>
      </c>
      <c r="E1937" s="196" t="str">
        <f>IFERROR(__xludf.DUMMYFUNCTION("""COMPUTED_VALUE"""),"TOOLS FOR REPAIR")</f>
        <v>TOOLS FOR REPAIR</v>
      </c>
    </row>
    <row r="1938">
      <c r="A1938" s="234">
        <f>IFERROR(__xludf.DUMMYFUNCTION("""COMPUTED_VALUE"""),106771.0)</f>
        <v>106771</v>
      </c>
      <c r="B1938" s="235" t="str">
        <f>IFERROR(__xludf.DUMMYFUNCTION("""COMPUTED_VALUE"""),"ALFA DE LEON")</f>
        <v>ALFA DE LEON</v>
      </c>
      <c r="C1938" s="235" t="str">
        <f>IFERROR(__xludf.DUMMYFUNCTION("""COMPUTED_VALUE"""),"ADMIN - STAR")</f>
        <v>ADMIN - STAR</v>
      </c>
      <c r="D1938" s="196" t="str">
        <f>IFERROR(__xludf.DUMMYFUNCTION("""COMPUTED_VALUE"""),"1 SPRAYER FOR FERTILIZER")</f>
        <v>1 SPRAYER FOR FERTILIZER</v>
      </c>
      <c r="E1938" s="196" t="str">
        <f>IFERROR(__xludf.DUMMYFUNCTION("""COMPUTED_VALUE"""),"BROKEN SPRAYER FOR FERTILIZER")</f>
        <v>BROKEN SPRAYER FOR FERTILIZER</v>
      </c>
    </row>
    <row r="1939">
      <c r="A1939" s="234">
        <f>IFERROR(__xludf.DUMMYFUNCTION("""COMPUTED_VALUE"""),106772.0)</f>
        <v>106772</v>
      </c>
      <c r="B1939" s="235" t="str">
        <f>IFERROR(__xludf.DUMMYFUNCTION("""COMPUTED_VALUE"""),"CHRISTON CORBEZA")</f>
        <v>CHRISTON CORBEZA</v>
      </c>
      <c r="C1939" s="235" t="str">
        <f>IFERROR(__xludf.DUMMYFUNCTION("""COMPUTED_VALUE"""),"ADMIN")</f>
        <v>ADMIN</v>
      </c>
      <c r="D1939" s="196" t="str">
        <f>IFERROR(__xludf.DUMMYFUNCTION("""COMPUTED_VALUE"""),"3 PCS EXHAUST FAN WALL TYPE 12IN")</f>
        <v>3 PCS EXHAUST FAN WALL TYPE 12IN</v>
      </c>
      <c r="E1939" s="196" t="str">
        <f>IFERROR(__xludf.DUMMYFUNCTION("""COMPUTED_VALUE"""),"FOR REPLACEMENT")</f>
        <v>FOR REPLACEMENT</v>
      </c>
    </row>
    <row r="1940">
      <c r="A1940" s="234">
        <f>IFERROR(__xludf.DUMMYFUNCTION("""COMPUTED_VALUE"""),106773.0)</f>
        <v>106773</v>
      </c>
      <c r="B1940" s="235" t="str">
        <f>IFERROR(__xludf.DUMMYFUNCTION("""COMPUTED_VALUE"""),"RONALDO VERDE")</f>
        <v>RONALDO VERDE</v>
      </c>
      <c r="C1940" s="235" t="str">
        <f>IFERROR(__xludf.DUMMYFUNCTION("""COMPUTED_VALUE"""),"ADMIN")</f>
        <v>ADMIN</v>
      </c>
      <c r="D1940" s="196" t="str">
        <f>IFERROR(__xludf.DUMMYFUNCTION("""COMPUTED_VALUE"""),"STAIR NOZING OF WOOD DECK 
-10 LENGTH GOLD 
-10 LENGTH SILVER")</f>
        <v>STAIR NOZING OF WOOD DECK 
-10 LENGTH GOLD 
-10 LENGTH SILVER</v>
      </c>
      <c r="E1940" s="196" t="str">
        <f>IFERROR(__xludf.DUMMYFUNCTION("""COMPUTED_VALUE"""),"SAFETY OF STUDENTS AND STAFF")</f>
        <v>SAFETY OF STUDENTS AND STAFF</v>
      </c>
    </row>
    <row r="1941">
      <c r="A1941" s="234">
        <f>IFERROR(__xludf.DUMMYFUNCTION("""COMPUTED_VALUE"""),106774.0)</f>
        <v>106774</v>
      </c>
      <c r="B1941" s="235" t="str">
        <f>IFERROR(__xludf.DUMMYFUNCTION("""COMPUTED_VALUE"""),"RONALDO VERDE")</f>
        <v>RONALDO VERDE</v>
      </c>
      <c r="C1941" s="235" t="str">
        <f>IFERROR(__xludf.DUMMYFUNCTION("""COMPUTED_VALUE"""),"ADMIN")</f>
        <v>ADMIN</v>
      </c>
      <c r="D1941" s="196" t="str">
        <f>IFERROR(__xludf.DUMMYFUNCTION("""COMPUTED_VALUE"""),"2 CAT FOODS FOR STRAY CATS")</f>
        <v>2 CAT FOODS FOR STRAY CATS</v>
      </c>
      <c r="E1941" s="196" t="str">
        <f>IFERROR(__xludf.DUMMYFUNCTION("""COMPUTED_VALUE"""),"DONATION FOR PIFFHAI STRAY CATS FOOD")</f>
        <v>DONATION FOR PIFFHAI STRAY CATS FOOD</v>
      </c>
    </row>
    <row r="1942">
      <c r="A1942" s="234">
        <f>IFERROR(__xludf.DUMMYFUNCTION("""COMPUTED_VALUE"""),106775.0)</f>
        <v>106775</v>
      </c>
      <c r="B1942" s="235" t="str">
        <f>IFERROR(__xludf.DUMMYFUNCTION("""COMPUTED_VALUE"""),"RODRIGO CUSTODIO")</f>
        <v>RODRIGO CUSTODIO</v>
      </c>
      <c r="C1942" s="235" t="str">
        <f>IFERROR(__xludf.DUMMYFUNCTION("""COMPUTED_VALUE"""),"AMD")</f>
        <v>AMD</v>
      </c>
      <c r="D1942" s="196" t="str">
        <f>IFERROR(__xludf.DUMMYFUNCTION("""COMPUTED_VALUE"""),"105 PACKS TRASHBAG MEDIUM 22"" X 24"" CLEAR")</f>
        <v>105 PACKS TRASHBAG MEDIUM 22" X 24" CLEAR</v>
      </c>
      <c r="E1942" s="196" t="str">
        <f>IFERROR(__xludf.DUMMYFUNCTION("""COMPUTED_VALUE"""),"HOUSEKEEPING MATERIALS STOCK REPLENISHMENT")</f>
        <v>HOUSEKEEPING MATERIALS STOCK REPLENISHMENT</v>
      </c>
    </row>
    <row r="1943">
      <c r="A1943" s="234">
        <f>IFERROR(__xludf.DUMMYFUNCTION("""COMPUTED_VALUE"""),106776.0)</f>
        <v>106776</v>
      </c>
      <c r="B1943" s="235" t="str">
        <f>IFERROR(__xludf.DUMMYFUNCTION("""COMPUTED_VALUE"""),"RODRIGO CUSTODIO")</f>
        <v>RODRIGO CUSTODIO</v>
      </c>
      <c r="C1943" s="235" t="str">
        <f>IFERROR(__xludf.DUMMYFUNCTION("""COMPUTED_VALUE"""),"AMD")</f>
        <v>AMD</v>
      </c>
      <c r="D1943" s="196" t="str">
        <f>IFERROR(__xludf.DUMMYFUNCTION("""COMPUTED_VALUE"""),"150 PACKS TRASH BAG XXL 37"" X 40"" CLEAR")</f>
        <v>150 PACKS TRASH BAG XXL 37" X 40" CLEAR</v>
      </c>
      <c r="E1943" s="196" t="str">
        <f>IFERROR(__xludf.DUMMYFUNCTION("""COMPUTED_VALUE"""),"HOUSEKEEPING MATERIALS STOCK REPLENISHMENT")</f>
        <v>HOUSEKEEPING MATERIALS STOCK REPLENISHMENT</v>
      </c>
    </row>
    <row r="1944">
      <c r="A1944" s="234">
        <f>IFERROR(__xludf.DUMMYFUNCTION("""COMPUTED_VALUE"""),106777.0)</f>
        <v>106777</v>
      </c>
      <c r="B1944" s="235" t="str">
        <f>IFERROR(__xludf.DUMMYFUNCTION("""COMPUTED_VALUE"""),"MARC VINCENT VITTO")</f>
        <v>MARC VINCENT VITTO</v>
      </c>
      <c r="C1944" s="235" t="str">
        <f>IFERROR(__xludf.DUMMYFUNCTION("""COMPUTED_VALUE"""),"PR &amp; MARKETING")</f>
        <v>PR &amp; MARKETING</v>
      </c>
      <c r="D1944" s="196" t="str">
        <f>IFERROR(__xludf.DUMMYFUNCTION("""COMPUTED_VALUE"""),"5000 SISC GENERIC FLYER 8.5 IN X 5.5 IN")</f>
        <v>5000 SISC GENERIC FLYER 8.5 IN X 5.5 IN</v>
      </c>
      <c r="E1944" s="196" t="str">
        <f>IFERROR(__xludf.DUMMYFUNCTION("""COMPUTED_VALUE"""),"SCHOOL PRESENTATION")</f>
        <v>SCHOOL PRESENTATION</v>
      </c>
    </row>
    <row r="1945">
      <c r="A1945" s="234">
        <f>IFERROR(__xludf.DUMMYFUNCTION("""COMPUTED_VALUE"""),106778.0)</f>
        <v>106778</v>
      </c>
      <c r="B1945" s="235" t="str">
        <f>IFERROR(__xludf.DUMMYFUNCTION("""COMPUTED_VALUE"""),"MARIA SENIZ CALMA")</f>
        <v>MARIA SENIZ CALMA</v>
      </c>
      <c r="C1945" s="235" t="str">
        <f>IFERROR(__xludf.DUMMYFUNCTION("""COMPUTED_VALUE"""),"NURSING")</f>
        <v>NURSING</v>
      </c>
      <c r="D1945" s="196" t="str">
        <f>IFERROR(__xludf.DUMMYFUNCTION("""COMPUTED_VALUE"""),"112 CEREMONIAL LAMPS W/ CANDLES ")</f>
        <v>112 CEREMONIAL LAMPS W/ CANDLES </v>
      </c>
      <c r="E1945" s="196" t="str">
        <f>IFERROR(__xludf.DUMMYFUNCTION("""COMPUTED_VALUE"""),"21ST BSN2 CANDLE LIGHTING AND PINNING CEREMONY")</f>
        <v>21ST BSN2 CANDLE LIGHTING AND PINNING CEREMONY</v>
      </c>
    </row>
    <row r="1946">
      <c r="A1946" s="234">
        <f>IFERROR(__xludf.DUMMYFUNCTION("""COMPUTED_VALUE"""),106779.0)</f>
        <v>106779</v>
      </c>
      <c r="B1946" s="235" t="str">
        <f>IFERROR(__xludf.DUMMYFUNCTION("""COMPUTED_VALUE"""),"MARIA SENIZ CALMA")</f>
        <v>MARIA SENIZ CALMA</v>
      </c>
      <c r="C1946" s="235" t="str">
        <f>IFERROR(__xludf.DUMMYFUNCTION("""COMPUTED_VALUE"""),"NURSING")</f>
        <v>NURSING</v>
      </c>
      <c r="D1946" s="196" t="str">
        <f>IFERROR(__xludf.DUMMYFUNCTION("""COMPUTED_VALUE"""),"1LOT FLOWER (25,000) WHITE FLOWERS ROSE AND BABY'S BREATH")</f>
        <v>1LOT FLOWER (25,000) WHITE FLOWERS ROSE AND BABY'S BREATH</v>
      </c>
      <c r="E1946" s="196" t="str">
        <f>IFERROR(__xludf.DUMMYFUNCTION("""COMPUTED_VALUE"""),"21ST BSN2 CANDLE LIGHTING AND PINNING CEREMONY")</f>
        <v>21ST BSN2 CANDLE LIGHTING AND PINNING CEREMONY</v>
      </c>
    </row>
    <row r="1947">
      <c r="A1947" s="234">
        <f>IFERROR(__xludf.DUMMYFUNCTION("""COMPUTED_VALUE"""),106780.0)</f>
        <v>106780</v>
      </c>
      <c r="B1947" s="235" t="str">
        <f>IFERROR(__xludf.DUMMYFUNCTION("""COMPUTED_VALUE"""),"MARIA SENIZ CALMA")</f>
        <v>MARIA SENIZ CALMA</v>
      </c>
      <c r="C1947" s="235" t="str">
        <f>IFERROR(__xludf.DUMMYFUNCTION("""COMPUTED_VALUE"""),"NURSING")</f>
        <v>NURSING</v>
      </c>
      <c r="D1947" s="196" t="str">
        <f>IFERROR(__xludf.DUMMYFUNCTION("""COMPUTED_VALUE"""),"112 NURSING PINS 
112 INVITATIONS 8.5 IN X 11IN FOLDED INTO HALF")</f>
        <v>112 NURSING PINS 
112 INVITATIONS 8.5 IN X 11IN FOLDED INTO HALF</v>
      </c>
      <c r="E1947" s="196" t="str">
        <f>IFERROR(__xludf.DUMMYFUNCTION("""COMPUTED_VALUE"""),"21ST BSN2 CANDLE LIGHTING AND PINNING CEREMONY")</f>
        <v>21ST BSN2 CANDLE LIGHTING AND PINNING CEREMONY</v>
      </c>
    </row>
    <row r="1948">
      <c r="A1948" s="234">
        <f>IFERROR(__xludf.DUMMYFUNCTION("""COMPUTED_VALUE"""),106781.0)</f>
        <v>106781</v>
      </c>
      <c r="B1948" s="235" t="str">
        <f>IFERROR(__xludf.DUMMYFUNCTION("""COMPUTED_VALUE"""),"MARIA PATRICIA BELLEZA")</f>
        <v>MARIA PATRICIA BELLEZA</v>
      </c>
      <c r="C1948" s="235" t="str">
        <f>IFERROR(__xludf.DUMMYFUNCTION("""COMPUTED_VALUE"""),"K12")</f>
        <v>K12</v>
      </c>
      <c r="D1948" s="196" t="str">
        <f>IFERROR(__xludf.DUMMYFUNCTION("""COMPUTED_VALUE"""),"CLASS PICTURE PER CLASS 1PC FORMAL AND WACKY PICTURE")</f>
        <v>CLASS PICTURE PER CLASS 1PC FORMAL AND WACKY PICTURE</v>
      </c>
      <c r="E1948" s="196" t="str">
        <f>IFERROR(__xludf.DUMMYFUNCTION("""COMPUTED_VALUE"""),"CLASS PICTURE AY 25-26")</f>
        <v>CLASS PICTURE AY 25-26</v>
      </c>
    </row>
    <row r="1949">
      <c r="A1949" s="234">
        <f>IFERROR(__xludf.DUMMYFUNCTION("""COMPUTED_VALUE"""),106782.0)</f>
        <v>106782</v>
      </c>
      <c r="B1949" s="235" t="str">
        <f>IFERROR(__xludf.DUMMYFUNCTION("""COMPUTED_VALUE"""),"MARIA PATRICIA BELLEZA")</f>
        <v>MARIA PATRICIA BELLEZA</v>
      </c>
      <c r="C1949" s="235" t="str">
        <f>IFERROR(__xludf.DUMMYFUNCTION("""COMPUTED_VALUE"""),"K12")</f>
        <v>K12</v>
      </c>
      <c r="D1949" s="196" t="str">
        <f>IFERROR(__xludf.DUMMYFUNCTION("""COMPUTED_VALUE"""),"YEARBOOK:
-67 SENIOR KINDER
-91 GRADE 6
-202 GRADE 12
-38 IB2
-12 MANAGEMENT")</f>
        <v>YEARBOOK:
-67 SENIOR KINDER
-91 GRADE 6
-202 GRADE 12
-38 IB2
-12 MANAGEMENT</v>
      </c>
      <c r="E1949" s="196" t="str">
        <f>IFERROR(__xludf.DUMMYFUNCTION("""COMPUTED_VALUE"""),"YEARBOOK AY 25-26")</f>
        <v>YEARBOOK AY 25-26</v>
      </c>
    </row>
    <row r="1950">
      <c r="A1950" s="234">
        <f>IFERROR(__xludf.DUMMYFUNCTION("""COMPUTED_VALUE"""),106783.0)</f>
        <v>106783</v>
      </c>
      <c r="B1950" s="235" t="str">
        <f>IFERROR(__xludf.DUMMYFUNCTION("""COMPUTED_VALUE"""),"JESUIT CHRISTIAN GALICIA")</f>
        <v>JESUIT CHRISTIAN GALICIA</v>
      </c>
      <c r="C1950" s="235" t="str">
        <f>IFERROR(__xludf.DUMMYFUNCTION("""COMPUTED_VALUE"""),"AMD")</f>
        <v>AMD</v>
      </c>
      <c r="D1950" s="196" t="str">
        <f>IFERROR(__xludf.DUMMYFUNCTION("""COMPUTED_VALUE"""),"20 PCS MERCUSYS MU6H AC650 WIFI USB ADAPTER")</f>
        <v>20 PCS MERCUSYS MU6H AC650 WIFI USB ADAPTER</v>
      </c>
      <c r="E1950" s="196" t="str">
        <f>IFERROR(__xludf.DUMMYFUNCTION("""COMPUTED_VALUE"""),"MIS WAREHOUSE STOCK REPLENISHMENT")</f>
        <v>MIS WAREHOUSE STOCK REPLENISHMENT</v>
      </c>
    </row>
    <row r="1951">
      <c r="A1951" s="234">
        <f>IFERROR(__xludf.DUMMYFUNCTION("""COMPUTED_VALUE"""),106784.0)</f>
        <v>106784</v>
      </c>
      <c r="B1951" s="235" t="str">
        <f>IFERROR(__xludf.DUMMYFUNCTION("""COMPUTED_VALUE"""),"MELISSA ODOÑO ")</f>
        <v>MELISSA ODOÑO </v>
      </c>
      <c r="C1951" s="235" t="str">
        <f>IFERROR(__xludf.DUMMYFUNCTION("""COMPUTED_VALUE"""),"LIBRARY COLLEGE")</f>
        <v>LIBRARY COLLEGE</v>
      </c>
      <c r="D1951" s="196" t="str">
        <f>IFERROR(__xludf.DUMMYFUNCTION("""COMPUTED_VALUE"""),"11 ISSUES Journal of Nursing Administration  (JONA)					")</f>
        <v>11 ISSUES Journal of Nursing Administration  (JONA)					</v>
      </c>
      <c r="E1951" s="196" t="str">
        <f>IFERROR(__xludf.DUMMYFUNCTION("""COMPUTED_VALUE"""),"FOR PACUCOA COMPLIANCE")</f>
        <v>FOR PACUCOA COMPLIANCE</v>
      </c>
    </row>
    <row r="1952">
      <c r="A1952" s="234">
        <f>IFERROR(__xludf.DUMMYFUNCTION("""COMPUTED_VALUE"""),106785.0)</f>
        <v>106785</v>
      </c>
      <c r="B1952" s="235" t="str">
        <f>IFERROR(__xludf.DUMMYFUNCTION("""COMPUTED_VALUE"""),"MELISSA ODOÑO ")</f>
        <v>MELISSA ODOÑO </v>
      </c>
      <c r="C1952" s="235" t="str">
        <f>IFERROR(__xludf.DUMMYFUNCTION("""COMPUTED_VALUE"""),"LIBRARY COLLEGE")</f>
        <v>LIBRARY COLLEGE</v>
      </c>
      <c r="D1952" s="196" t="str">
        <f>IFERROR(__xludf.DUMMYFUNCTION("""COMPUTED_VALUE"""),"2 ISSUES MALAY DISYEMBRE &amp; HUNYO					
2 ISSUES ASIA PACIFIC SOCIAL SCIENCE REVIEW					
1 ISSUES PHIL STATISTICIAN					")</f>
        <v>2 ISSUES MALAY DISYEMBRE &amp; HUNYO					
2 ISSUES ASIA PACIFIC SOCIAL SCIENCE REVIEW					
1 ISSUES PHIL STATISTICIAN					</v>
      </c>
      <c r="E1952" s="196" t="str">
        <f>IFERROR(__xludf.DUMMYFUNCTION("""COMPUTED_VALUE"""),"FOR PACUCOA COMPLIANCE")</f>
        <v>FOR PACUCOA COMPLIANCE</v>
      </c>
    </row>
    <row r="1953">
      <c r="A1953" s="234">
        <f>IFERROR(__xludf.DUMMYFUNCTION("""COMPUTED_VALUE"""),106786.0)</f>
        <v>106786</v>
      </c>
      <c r="B1953" s="235" t="str">
        <f>IFERROR(__xludf.DUMMYFUNCTION("""COMPUTED_VALUE"""),"JANELLE ILAO")</f>
        <v>JANELLE ILAO</v>
      </c>
      <c r="C1953" s="235" t="str">
        <f>IFERROR(__xludf.DUMMYFUNCTION("""COMPUTED_VALUE"""),"HRMD")</f>
        <v>HRMD</v>
      </c>
      <c r="D1953" s="196" t="str">
        <f>IFERROR(__xludf.DUMMYFUNCTION("""COMPUTED_VALUE"""),"FLOWER WREATH ")</f>
        <v>FLOWER WREATH </v>
      </c>
      <c r="E1953" s="196" t="str">
        <f>IFERROR(__xludf.DUMMYFUNCTION("""COMPUTED_VALUE"""),"FLOWER WREATH FOR SIR ARNOLD CHENG'S MOTHER")</f>
        <v>FLOWER WREATH FOR SIR ARNOLD CHENG'S MOTHER</v>
      </c>
    </row>
    <row r="1954">
      <c r="A1954" s="234">
        <f>IFERROR(__xludf.DUMMYFUNCTION("""COMPUTED_VALUE"""),106787.0)</f>
        <v>106787</v>
      </c>
      <c r="B1954" s="235" t="str">
        <f>IFERROR(__xludf.DUMMYFUNCTION("""COMPUTED_VALUE"""),"MYRNA RULONA")</f>
        <v>MYRNA RULONA</v>
      </c>
      <c r="C1954" s="235" t="str">
        <f>IFERROR(__xludf.DUMMYFUNCTION("""COMPUTED_VALUE"""),"LANDSCAPING")</f>
        <v>LANDSCAPING</v>
      </c>
      <c r="D1954" s="196" t="str">
        <f>IFERROR(__xludf.DUMMYFUNCTION("""COMPUTED_VALUE"""),"30 POTS BIG WHITE
30 POTS SMALL BLACK
120 HANGING POTS SMALL")</f>
        <v>30 POTS BIG WHITE
30 POTS SMALL BLACK
120 HANGING POTS SMALL</v>
      </c>
      <c r="E1954" s="196" t="str">
        <f>IFERROR(__xludf.DUMMYFUNCTION("""COMPUTED_VALUE"""),"MATERIALS FOR GARDENING")</f>
        <v>MATERIALS FOR GARDENING</v>
      </c>
    </row>
    <row r="1955">
      <c r="A1955" s="234">
        <f>IFERROR(__xludf.DUMMYFUNCTION("""COMPUTED_VALUE"""),106788.0)</f>
        <v>106788</v>
      </c>
      <c r="B1955" s="235" t="str">
        <f>IFERROR(__xludf.DUMMYFUNCTION("""COMPUTED_VALUE"""),"FATIMA JANDOC")</f>
        <v>FATIMA JANDOC</v>
      </c>
      <c r="C1955" s="235" t="str">
        <f>IFERROR(__xludf.DUMMYFUNCTION("""COMPUTED_VALUE"""),"LIBRARY BASIC ED")</f>
        <v>LIBRARY BASIC ED</v>
      </c>
      <c r="D1955" s="196" t="str">
        <f>IFERROR(__xludf.DUMMYFUNCTION("""COMPUTED_VALUE"""),"2 PCS THREE FOLDED BED SINGLE")</f>
        <v>2 PCS THREE FOLDED BED SINGLE</v>
      </c>
      <c r="E1955" s="196" t="str">
        <f>IFERROR(__xludf.DUMMYFUNCTION("""COMPUTED_VALUE"""),"TO BE USED BY THE SCHOLARS WHO WILL STAY AT NIGHT IN LIMA BLDG")</f>
        <v>TO BE USED BY THE SCHOLARS WHO WILL STAY AT NIGHT IN LIMA BLDG</v>
      </c>
    </row>
    <row r="1956">
      <c r="A1956" s="234">
        <f>IFERROR(__xludf.DUMMYFUNCTION("""COMPUTED_VALUE"""),106789.0)</f>
        <v>106789</v>
      </c>
      <c r="B1956" s="235" t="str">
        <f>IFERROR(__xludf.DUMMYFUNCTION("""COMPUTED_VALUE"""),"OWIE PAR")</f>
        <v>OWIE PAR</v>
      </c>
      <c r="C1956" s="235" t="str">
        <f>IFERROR(__xludf.DUMMYFUNCTION("""COMPUTED_VALUE"""),"ENGINEERING")</f>
        <v>ENGINEERING</v>
      </c>
      <c r="D1956" s="196" t="str">
        <f>IFERROR(__xludf.DUMMYFUNCTION("""COMPUTED_VALUE"""),"2 BOXES THHN #12")</f>
        <v>2 BOXES THHN #12</v>
      </c>
      <c r="E1956" s="196" t="str">
        <f>IFERROR(__xludf.DUMMYFUNCTION("""COMPUTED_VALUE"""),"FOR REWIRING OF LUX PERIMETER LIGHTINGS")</f>
        <v>FOR REWIRING OF LUX PERIMETER LIGHTINGS</v>
      </c>
    </row>
    <row r="1957">
      <c r="A1957" s="234">
        <f>IFERROR(__xludf.DUMMYFUNCTION("""COMPUTED_VALUE"""),106790.0)</f>
        <v>106790</v>
      </c>
      <c r="B1957" s="235" t="str">
        <f>IFERROR(__xludf.DUMMYFUNCTION("""COMPUTED_VALUE"""),"ALFA DE LEON")</f>
        <v>ALFA DE LEON</v>
      </c>
      <c r="C1957" s="235" t="str">
        <f>IFERROR(__xludf.DUMMYFUNCTION("""COMPUTED_VALUE"""),"ADMIN - STAR")</f>
        <v>ADMIN - STAR</v>
      </c>
      <c r="D1957" s="196" t="str">
        <f>IFERROR(__xludf.DUMMYFUNCTION("""COMPUTED_VALUE"""),"1 EXHAUST FAN")</f>
        <v>1 EXHAUST FAN</v>
      </c>
      <c r="E1957" s="196" t="str">
        <f>IFERROR(__xludf.DUMMYFUNCTION("""COMPUTED_VALUE"""),"REPLACEMENT OF BROKEN EXHAUST FAN ")</f>
        <v>REPLACEMENT OF BROKEN EXHAUST FAN </v>
      </c>
    </row>
    <row r="1958">
      <c r="A1958" s="234">
        <f>IFERROR(__xludf.DUMMYFUNCTION("""COMPUTED_VALUE"""),106791.0)</f>
        <v>106791</v>
      </c>
      <c r="B1958" s="235" t="str">
        <f>IFERROR(__xludf.DUMMYFUNCTION("""COMPUTED_VALUE"""),"ALFA DE LEON")</f>
        <v>ALFA DE LEON</v>
      </c>
      <c r="C1958" s="235" t="str">
        <f>IFERROR(__xludf.DUMMYFUNCTION("""COMPUTED_VALUE"""),"ADMIN - STAR")</f>
        <v>ADMIN - STAR</v>
      </c>
      <c r="D1958" s="196" t="str">
        <f>IFERROR(__xludf.DUMMYFUNCTION("""COMPUTED_VALUE"""),"3 PCS CART WHEEL 7""")</f>
        <v>3 PCS CART WHEEL 7"</v>
      </c>
      <c r="E1958" s="196" t="str">
        <f>IFERROR(__xludf.DUMMYFUNCTION("""COMPUTED_VALUE"""),"CART WHEEL BROKEN")</f>
        <v>CART WHEEL BROKEN</v>
      </c>
    </row>
    <row r="1959">
      <c r="A1959" s="234">
        <f>IFERROR(__xludf.DUMMYFUNCTION("""COMPUTED_VALUE"""),106792.0)</f>
        <v>106792</v>
      </c>
      <c r="B1959" s="235" t="str">
        <f>IFERROR(__xludf.DUMMYFUNCTION("""COMPUTED_VALUE"""),"ALFA DE LEON")</f>
        <v>ALFA DE LEON</v>
      </c>
      <c r="C1959" s="235" t="str">
        <f>IFERROR(__xludf.DUMMYFUNCTION("""COMPUTED_VALUE"""),"ADMIN - STAR")</f>
        <v>ADMIN - STAR</v>
      </c>
      <c r="D1959" s="196" t="str">
        <f>IFERROR(__xludf.DUMMYFUNCTION("""COMPUTED_VALUE"""),"1 GAL RUGBY")</f>
        <v>1 GAL RUGBY</v>
      </c>
      <c r="E1959" s="196" t="str">
        <f>IFERROR(__xludf.DUMMYFUNCTION("""COMPUTED_VALUE"""),"FOR REPAIR + MAINTENANCE USE")</f>
        <v>FOR REPAIR + MAINTENANCE USE</v>
      </c>
    </row>
    <row r="1960">
      <c r="A1960" s="234">
        <f>IFERROR(__xludf.DUMMYFUNCTION("""COMPUTED_VALUE"""),106793.0)</f>
        <v>106793</v>
      </c>
      <c r="B1960" s="235" t="str">
        <f>IFERROR(__xludf.DUMMYFUNCTION("""COMPUTED_VALUE"""),"ELMIE LAUDIATO")</f>
        <v>ELMIE LAUDIATO</v>
      </c>
      <c r="C1960" s="235" t="str">
        <f>IFERROR(__xludf.DUMMYFUNCTION("""COMPUTED_VALUE"""),"HRMD")</f>
        <v>HRMD</v>
      </c>
      <c r="D1960" s="196" t="str">
        <f>IFERROR(__xludf.DUMMYFUNCTION("""COMPUTED_VALUE"""),"1 LOT EMPLOYEE UNIFORM FOR AY 25-26 3RD BATCH")</f>
        <v>1 LOT EMPLOYEE UNIFORM FOR AY 25-26 3RD BATCH</v>
      </c>
      <c r="E1960" s="196" t="str">
        <f>IFERROR(__xludf.DUMMYFUNCTION("""COMPUTED_VALUE"""),"EMPLOYEE UNIFORM FOR AY 25-26 3RD BATCH")</f>
        <v>EMPLOYEE UNIFORM FOR AY 25-26 3RD BATCH</v>
      </c>
    </row>
    <row r="1961">
      <c r="A1961" s="234">
        <f>IFERROR(__xludf.DUMMYFUNCTION("""COMPUTED_VALUE"""),106794.0)</f>
        <v>106794</v>
      </c>
      <c r="B1961" s="235" t="str">
        <f>IFERROR(__xludf.DUMMYFUNCTION("""COMPUTED_VALUE"""),"ELMIE LAUDIATO")</f>
        <v>ELMIE LAUDIATO</v>
      </c>
      <c r="C1961" s="235" t="str">
        <f>IFERROR(__xludf.DUMMYFUNCTION("""COMPUTED_VALUE"""),"HRMD")</f>
        <v>HRMD</v>
      </c>
      <c r="D1961" s="196" t="str">
        <f>IFERROR(__xludf.DUMMYFUNCTION("""COMPUTED_VALUE"""),"1 LOT EMPLOYEE UNIFORM FOR AY 25-26 4TH BATCH")</f>
        <v>1 LOT EMPLOYEE UNIFORM FOR AY 25-26 4TH BATCH</v>
      </c>
      <c r="E1961" s="196" t="str">
        <f>IFERROR(__xludf.DUMMYFUNCTION("""COMPUTED_VALUE"""),"EMPLOYEE UNIFORM FOR AY 25-26 4TH BATCH")</f>
        <v>EMPLOYEE UNIFORM FOR AY 25-26 4TH BATCH</v>
      </c>
    </row>
    <row r="1962">
      <c r="A1962" s="234">
        <f>IFERROR(__xludf.DUMMYFUNCTION("""COMPUTED_VALUE"""),106795.0)</f>
        <v>106795</v>
      </c>
      <c r="B1962" s="235" t="str">
        <f>IFERROR(__xludf.DUMMYFUNCTION("""COMPUTED_VALUE"""),"ELMIE LAUDIATO")</f>
        <v>ELMIE LAUDIATO</v>
      </c>
      <c r="C1962" s="235" t="str">
        <f>IFERROR(__xludf.DUMMYFUNCTION("""COMPUTED_VALUE"""),"HRMD")</f>
        <v>HRMD</v>
      </c>
      <c r="D1962" s="196" t="str">
        <f>IFERROR(__xludf.DUMMYFUNCTION("""COMPUTED_VALUE"""),"1 LOT EMPLOYEE UNIFORM FOR AY 25-26 2ND BATCH")</f>
        <v>1 LOT EMPLOYEE UNIFORM FOR AY 25-26 2ND BATCH</v>
      </c>
      <c r="E1962" s="196" t="str">
        <f>IFERROR(__xludf.DUMMYFUNCTION("""COMPUTED_VALUE"""),"EMPLOYEE UNIFORM FOR AY 25-26 2ND BATCH")</f>
        <v>EMPLOYEE UNIFORM FOR AY 25-26 2ND BATCH</v>
      </c>
    </row>
    <row r="1963">
      <c r="A1963" s="234">
        <f>IFERROR(__xludf.DUMMYFUNCTION("""COMPUTED_VALUE"""),106796.0)</f>
        <v>106796</v>
      </c>
      <c r="B1963" s="235" t="str">
        <f>IFERROR(__xludf.DUMMYFUNCTION("""COMPUTED_VALUE"""),"MARC VINCENT VITTO")</f>
        <v>MARC VINCENT VITTO</v>
      </c>
      <c r="C1963" s="235" t="str">
        <f>IFERROR(__xludf.DUMMYFUNCTION("""COMPUTED_VALUE"""),"PR &amp; MARKETING")</f>
        <v>PR &amp; MARKETING</v>
      </c>
      <c r="D1963" s="196" t="str">
        <f>IFERROR(__xludf.DUMMYFUNCTION("""COMPUTED_VALUE"""),"500 K12 INFO POCKET W/ GRAPHICS AND LAYOUTING")</f>
        <v>500 K12 INFO POCKET W/ GRAPHICS AND LAYOUTING</v>
      </c>
      <c r="E1963" s="196" t="str">
        <f>IFERROR(__xludf.DUMMYFUNCTION("""COMPUTED_VALUE"""),"REORDER W/MINOR CHANGES")</f>
        <v>REORDER W/MINOR CHANGES</v>
      </c>
    </row>
    <row r="1964">
      <c r="A1964" s="234">
        <f>IFERROR(__xludf.DUMMYFUNCTION("""COMPUTED_VALUE"""),106797.0)</f>
        <v>106797</v>
      </c>
      <c r="B1964" s="235" t="str">
        <f>IFERROR(__xludf.DUMMYFUNCTION("""COMPUTED_VALUE"""),"JESUIT CHRISTIAN GALICIA")</f>
        <v>JESUIT CHRISTIAN GALICIA</v>
      </c>
      <c r="C1964" s="235" t="str">
        <f>IFERROR(__xludf.DUMMYFUNCTION("""COMPUTED_VALUE"""),"AMD")</f>
        <v>AMD</v>
      </c>
      <c r="D1964" s="196" t="str">
        <f>IFERROR(__xludf.DUMMYFUNCTION("""COMPUTED_VALUE"""),"30 PCS T-5 18W DAYLIGHT ( ALPHALUX SK3CLBT-18W )")</f>
        <v>30 PCS T-5 18W DAYLIGHT ( ALPHALUX SK3CLBT-18W )</v>
      </c>
      <c r="E1964" s="196" t="str">
        <f>IFERROR(__xludf.DUMMYFUNCTION("""COMPUTED_VALUE"""),"ENGR WAREHOUSE STOCK REPLENISHMENT")</f>
        <v>ENGR WAREHOUSE STOCK REPLENISHMENT</v>
      </c>
    </row>
    <row r="1965">
      <c r="A1965" s="234">
        <f>IFERROR(__xludf.DUMMYFUNCTION("""COMPUTED_VALUE"""),106798.0)</f>
        <v>106798</v>
      </c>
      <c r="B1965" s="235" t="str">
        <f>IFERROR(__xludf.DUMMYFUNCTION("""COMPUTED_VALUE"""),"OWIE PAR")</f>
        <v>OWIE PAR</v>
      </c>
      <c r="C1965" s="235" t="str">
        <f>IFERROR(__xludf.DUMMYFUNCTION("""COMPUTED_VALUE"""),"ENGINEERING")</f>
        <v>ENGINEERING</v>
      </c>
      <c r="D1965" s="196" t="str">
        <f>IFERROR(__xludf.DUMMYFUNCTION("""COMPUTED_VALUE"""),"3 UNITS ORBIT FAN #16")</f>
        <v>3 UNITS ORBIT FAN #16</v>
      </c>
      <c r="E1965" s="196" t="str">
        <f>IFERROR(__xludf.DUMMYFUNCTION("""COMPUTED_VALUE"""),"FOR COLLEGE NSK OR")</f>
        <v>FOR COLLEGE NSK OR</v>
      </c>
    </row>
    <row r="1966">
      <c r="A1966" s="234">
        <f>IFERROR(__xludf.DUMMYFUNCTION("""COMPUTED_VALUE"""),106799.0)</f>
        <v>106799</v>
      </c>
      <c r="B1966" s="235" t="str">
        <f>IFERROR(__xludf.DUMMYFUNCTION("""COMPUTED_VALUE"""),"SHEREE ESPINOSA")</f>
        <v>SHEREE ESPINOSA</v>
      </c>
      <c r="C1966" s="235" t="str">
        <f>IFERROR(__xludf.DUMMYFUNCTION("""COMPUTED_VALUE"""),"ADMIN")</f>
        <v>ADMIN</v>
      </c>
      <c r="D1966" s="196" t="str">
        <f>IFERROR(__xludf.DUMMYFUNCTION("""COMPUTED_VALUE"""),"100 CREEPING CHARLIE 
30 SCHEFFLERA")</f>
        <v>100 CREEPING CHARLIE 
30 SCHEFFLERA</v>
      </c>
      <c r="E1966" s="196" t="str">
        <f>IFERROR(__xludf.DUMMYFUNCTION("""COMPUTED_VALUE"""),"FOR SUNFLOWER HOUSE ")</f>
        <v>FOR SUNFLOWER HOUSE </v>
      </c>
    </row>
    <row r="1967">
      <c r="A1967" s="234">
        <f>IFERROR(__xludf.DUMMYFUNCTION("""COMPUTED_VALUE"""),106800.0)</f>
        <v>106800</v>
      </c>
      <c r="B1967" s="235" t="str">
        <f>IFERROR(__xludf.DUMMYFUNCTION("""COMPUTED_VALUE"""),"JESUIT CHRISTIAN GALICIA")</f>
        <v>JESUIT CHRISTIAN GALICIA</v>
      </c>
      <c r="C1967" s="235" t="str">
        <f>IFERROR(__xludf.DUMMYFUNCTION("""COMPUTED_VALUE"""),"AMD")</f>
        <v>AMD</v>
      </c>
      <c r="D1967" s="196" t="str">
        <f>IFERROR(__xludf.DUMMYFUNCTION("""COMPUTED_VALUE"""),"30 PCS FLEXIBLE HOSE 1/2 X 1/2 X 18 INCHES LONG 
1 PC NITROGEN CYLINDER")</f>
        <v>30 PCS FLEXIBLE HOSE 1/2 X 1/2 X 18 INCHES LONG 
1 PC NITROGEN CYLINDER</v>
      </c>
      <c r="E1967" s="196" t="str">
        <f>IFERROR(__xludf.DUMMYFUNCTION("""COMPUTED_VALUE"""),"ENGR WAREHOUSE STOCK REPLENISHMENT")</f>
        <v>ENGR WAREHOUSE STOCK REPLENISHMENT</v>
      </c>
    </row>
    <row r="1968">
      <c r="A1968" s="234">
        <f>IFERROR(__xludf.DUMMYFUNCTION("""COMPUTED_VALUE"""),106801.0)</f>
        <v>106801</v>
      </c>
      <c r="B1968" s="235" t="str">
        <f>IFERROR(__xludf.DUMMYFUNCTION("""COMPUTED_VALUE"""),"CHRISTON CORBEZA")</f>
        <v>CHRISTON CORBEZA</v>
      </c>
      <c r="C1968" s="235" t="str">
        <f>IFERROR(__xludf.DUMMYFUNCTION("""COMPUTED_VALUE"""),"ADMIN - MUNICH")</f>
        <v>ADMIN - MUNICH</v>
      </c>
      <c r="D1968" s="196" t="str">
        <f>IFERROR(__xludf.DUMMYFUNCTION("""COMPUTED_VALUE"""),"3 PCS TRASH CAN 60CM X 35CM")</f>
        <v>3 PCS TRASH CAN 60CM X 35CM</v>
      </c>
      <c r="E1968" s="196" t="str">
        <f>IFERROR(__xludf.DUMMYFUNCTION("""COMPUTED_VALUE"""),"CRACKED OR BROKEN TRASH CAN REPLACEMENT")</f>
        <v>CRACKED OR BROKEN TRASH CAN REPLACEMENT</v>
      </c>
    </row>
    <row r="1969">
      <c r="A1969" s="234">
        <f>IFERROR(__xludf.DUMMYFUNCTION("""COMPUTED_VALUE"""),106802.0)</f>
        <v>106802</v>
      </c>
      <c r="B1969" s="235" t="str">
        <f>IFERROR(__xludf.DUMMYFUNCTION("""COMPUTED_VALUE"""),"RORY MONSBRIDGE")</f>
        <v>RORY MONSBRIDGE</v>
      </c>
      <c r="C1969" s="235" t="str">
        <f>IFERROR(__xludf.DUMMYFUNCTION("""COMPUTED_VALUE"""),"ATHLETICS")</f>
        <v>ATHLETICS</v>
      </c>
      <c r="D1969" s="196" t="str">
        <f>IFERROR(__xludf.DUMMYFUNCTION("""COMPUTED_VALUE"""),"11 METAL NAMEPLATES")</f>
        <v>11 METAL NAMEPLATES</v>
      </c>
      <c r="E1969" s="196" t="str">
        <f>IFERROR(__xludf.DUMMYFUNCTION("""COMPUTED_VALUE"""),"NAMEPLATES FOR TROPHIES")</f>
        <v>NAMEPLATES FOR TROPHIES</v>
      </c>
    </row>
    <row r="1970">
      <c r="A1970" s="234">
        <f>IFERROR(__xludf.DUMMYFUNCTION("""COMPUTED_VALUE"""),106803.0)</f>
        <v>106803</v>
      </c>
      <c r="B1970" s="235" t="str">
        <f>IFERROR(__xludf.DUMMYFUNCTION("""COMPUTED_VALUE"""),"ALFA DE LEON")</f>
        <v>ALFA DE LEON</v>
      </c>
      <c r="C1970" s="235" t="str">
        <f>IFERROR(__xludf.DUMMYFUNCTION("""COMPUTED_VALUE"""),"ADMIN - STAR")</f>
        <v>ADMIN - STAR</v>
      </c>
      <c r="D1970" s="196" t="str">
        <f>IFERROR(__xludf.DUMMYFUNCTION("""COMPUTED_VALUE"""),"1 ADDITIONAL PLAY EQUIPMENT")</f>
        <v>1 ADDITIONAL PLAY EQUIPMENT</v>
      </c>
      <c r="E1970" s="196" t="str">
        <f>IFERROR(__xludf.DUMMYFUNCTION("""COMPUTED_VALUE"""),"PLAYGROUND ENHANCEMENT")</f>
        <v>PLAYGROUND ENHANCEMENT</v>
      </c>
    </row>
    <row r="1971">
      <c r="A1971" s="234">
        <f>IFERROR(__xludf.DUMMYFUNCTION("""COMPUTED_VALUE"""),106804.0)</f>
        <v>106804</v>
      </c>
      <c r="B1971" s="235" t="str">
        <f>IFERROR(__xludf.DUMMYFUNCTION("""COMPUTED_VALUE"""),"RODRIGO CUSTODIO")</f>
        <v>RODRIGO CUSTODIO</v>
      </c>
      <c r="C1971" s="235" t="str">
        <f>IFERROR(__xludf.DUMMYFUNCTION("""COMPUTED_VALUE"""),"AMD")</f>
        <v>AMD</v>
      </c>
      <c r="D1971" s="196" t="str">
        <f>IFERROR(__xludf.DUMMYFUNCTION("""COMPUTED_VALUE"""),"1716 PCS TISSUE JUMBO ROLL 200 METERS")</f>
        <v>1716 PCS TISSUE JUMBO ROLL 200 METERS</v>
      </c>
      <c r="E1971" s="196" t="str">
        <f>IFERROR(__xludf.DUMMYFUNCTION("""COMPUTED_VALUE"""),"HOUSEKEEPING MATERIALS STOCK REPLENISHMENT")</f>
        <v>HOUSEKEEPING MATERIALS STOCK REPLENISHMENT</v>
      </c>
    </row>
    <row r="1972">
      <c r="A1972" s="234">
        <f>IFERROR(__xludf.DUMMYFUNCTION("""COMPUTED_VALUE"""),106805.0)</f>
        <v>106805</v>
      </c>
      <c r="B1972" s="235" t="str">
        <f>IFERROR(__xludf.DUMMYFUNCTION("""COMPUTED_VALUE"""),"LYKA PERALTA")</f>
        <v>LYKA PERALTA</v>
      </c>
      <c r="C1972" s="235" t="str">
        <f>IFERROR(__xludf.DUMMYFUNCTION("""COMPUTED_VALUE"""),"AMD")</f>
        <v>AMD</v>
      </c>
      <c r="D1972" s="196" t="str">
        <f>IFERROR(__xludf.DUMMYFUNCTION("""COMPUTED_VALUE"""),"3000 PCS ID CASE BED AND COLLEGE WHITE")</f>
        <v>3000 PCS ID CASE BED AND COLLEGE WHITE</v>
      </c>
      <c r="E1972" s="196" t="str">
        <f>IFERROR(__xludf.DUMMYFUNCTION("""COMPUTED_VALUE"""),"ID CASE FOR BED AND COLLEGE")</f>
        <v>ID CASE FOR BED AND COLLEGE</v>
      </c>
    </row>
    <row r="1973">
      <c r="A1973" s="234">
        <f>IFERROR(__xludf.DUMMYFUNCTION("""COMPUTED_VALUE"""),106806.0)</f>
        <v>106806</v>
      </c>
      <c r="B1973" s="235" t="str">
        <f>IFERROR(__xludf.DUMMYFUNCTION("""COMPUTED_VALUE"""),"RODRIGO CUSTODIO")</f>
        <v>RODRIGO CUSTODIO</v>
      </c>
      <c r="C1973" s="235" t="str">
        <f>IFERROR(__xludf.DUMMYFUNCTION("""COMPUTED_VALUE"""),"AMD")</f>
        <v>AMD</v>
      </c>
      <c r="D1973" s="196" t="str">
        <f>IFERROR(__xludf.DUMMYFUNCTION("""COMPUTED_VALUE"""),"20 PCS HIGIENECO PREMIUM ODOR COUNTERACTANT ANTIBACTERIAL SPRAY 3000 SHOTS 300ML GREEN TEA SCENT
20 PCS HIGIENECO PREMIUM ODOR COUNTERACTANT ANTIBACTERIAL SPRAY 3000 SHOTS 300ML LAVENDER SCENT")</f>
        <v>20 PCS HIGIENECO PREMIUM ODOR COUNTERACTANT ANTIBACTERIAL SPRAY 3000 SHOTS 300ML GREEN TEA SCENT
20 PCS HIGIENECO PREMIUM ODOR COUNTERACTANT ANTIBACTERIAL SPRAY 3000 SHOTS 300ML LAVENDER SCENT</v>
      </c>
      <c r="E1973" s="196" t="str">
        <f>IFERROR(__xludf.DUMMYFUNCTION("""COMPUTED_VALUE"""),"HOUSEKEEPING MATERIALS STOCK REPLENISHMENT")</f>
        <v>HOUSEKEEPING MATERIALS STOCK REPLENISHMENT</v>
      </c>
    </row>
    <row r="1974">
      <c r="A1974" s="234">
        <f>IFERROR(__xludf.DUMMYFUNCTION("""COMPUTED_VALUE"""),106807.0)</f>
        <v>106807</v>
      </c>
      <c r="B1974" s="235" t="str">
        <f>IFERROR(__xludf.DUMMYFUNCTION("""COMPUTED_VALUE"""),"CHARLES LEBECO DONOR")</f>
        <v>CHARLES LEBECO DONOR</v>
      </c>
      <c r="C1974" s="235" t="str">
        <f>IFERROR(__xludf.DUMMYFUNCTION("""COMPUTED_VALUE"""),"AMD")</f>
        <v>AMD</v>
      </c>
      <c r="D1974" s="196" t="str">
        <f>IFERROR(__xludf.DUMMYFUNCTION("""COMPUTED_VALUE"""),"3000 PCS. - BIG BROWN PAPER BAG SIZE 14X10X15.75
300 PCS. - BIG BLUE PLASTIC BAG XXXL
*Please refer to PRF 105703")</f>
        <v>3000 PCS. - BIG BROWN PAPER BAG SIZE 14X10X15.75
300 PCS. - BIG BLUE PLASTIC BAG XXXL
*Please refer to PRF 105703</v>
      </c>
      <c r="E1974" s="196" t="str">
        <f>IFERROR(__xludf.DUMMYFUNCTION("""COMPUTED_VALUE"""),"For Office Supplies releasing of items
")</f>
        <v>For Office Supplies releasing of items
</v>
      </c>
    </row>
    <row r="1975">
      <c r="A1975" s="234">
        <f>IFERROR(__xludf.DUMMYFUNCTION("""COMPUTED_VALUE"""),106808.0)</f>
        <v>106808</v>
      </c>
      <c r="B1975" s="235" t="str">
        <f>IFERROR(__xludf.DUMMYFUNCTION("""COMPUTED_VALUE"""),"MELISSA ODOÑO ")</f>
        <v>MELISSA ODOÑO </v>
      </c>
      <c r="C1975" s="235" t="str">
        <f>IFERROR(__xludf.DUMMYFUNCTION("""COMPUTED_VALUE"""),"LIBRARY COLLEGE")</f>
        <v>LIBRARY COLLEGE</v>
      </c>
      <c r="D1975" s="196" t="str">
        <f>IFERROR(__xludf.DUMMYFUNCTION("""COMPUTED_VALUE"""),"1 EACH:
Housekeeping Operations					
Housekeeping Operations, 2e					
Legal aspects in Tourism &amp; Hospitality (Outcome-based Education Approach), 3e					
Macro Perspectives of Tourism and Hospitality, 2e					
Mastering Supply Chains for Tourism and Hos"&amp;"pitality Industry					
Micro Perspective in Tourism and Hospitality					
Multicultural Diversity in the Tourism and Hospitality Workplace					
Practicum Manual: College of Hospitality &amp; Tourism Industry					
Room Division Management and Cost Control 	"&amp;"				
Research Writing in Tourism and Hospitality with Applied Data Analysis					
Research in Tourism and Hospitality: A Comprehensive Guide for College Students					
Strategic Management in Tourism &amp; Hospitality Industry					
Sustainable Toursim: A Co"&amp;"mprehensive Guide to Promoting Responsible Travel					
Supply Chain Management in Hospitality Industry					
Tourism Policy, Planning, and Development: In the Context of Philippine Tourism					")</f>
        <v>1 EACH:
Housekeeping Operations					
Housekeeping Operations, 2e					
Legal aspects in Tourism &amp; Hospitality (Outcome-based Education Approach), 3e					
Macro Perspectives of Tourism and Hospitality, 2e					
Mastering Supply Chains for Tourism and Hospitality Industry					
Micro Perspective in Tourism and Hospitality					
Multicultural Diversity in the Tourism and Hospitality Workplace					
Practicum Manual: College of Hospitality &amp; Tourism Industry					
Room Division Management and Cost Control 					
Research Writing in Tourism and Hospitality with Applied Data Analysis					
Research in Tourism and Hospitality: A Comprehensive Guide for College Students					
Strategic Management in Tourism &amp; Hospitality Industry					
Sustainable Toursim: A Comprehensive Guide to Promoting Responsible Travel					
Supply Chain Management in Hospitality Industry					
Tourism Policy, Planning, and Development: In the Context of Philippine Tourism					</v>
      </c>
      <c r="E1975" s="196" t="str">
        <f>IFERROR(__xludf.DUMMYFUNCTION("""COMPUTED_VALUE"""),"PACUCOA COMPLIANCE")</f>
        <v>PACUCOA COMPLIANCE</v>
      </c>
    </row>
    <row r="1976">
      <c r="A1976" s="234">
        <f>IFERROR(__xludf.DUMMYFUNCTION("""COMPUTED_VALUE"""),106809.0)</f>
        <v>106809</v>
      </c>
      <c r="B1976" s="235" t="str">
        <f>IFERROR(__xludf.DUMMYFUNCTION("""COMPUTED_VALUE"""),"MELISSA ODOÑO ")</f>
        <v>MELISSA ODOÑO </v>
      </c>
      <c r="C1976" s="235" t="str">
        <f>IFERROR(__xludf.DUMMYFUNCTION("""COMPUTED_VALUE"""),"LIBRARY COLLEGE")</f>
        <v>LIBRARY COLLEGE</v>
      </c>
      <c r="D1976" s="196" t="str">
        <f>IFERROR(__xludf.DUMMYFUNCTION("""COMPUTED_VALUE"""),"1 EACH:
Practicum Manual for Tourism and Hospitality  Management/ Revised Edition					
Philippines Gastronomic Tourism					
Bread &amp; Pastry Production (Cake-Making)					
Culinary Nutrition: Food Science, Healthy Options, Mindful Eating					
Events Mana"&amp;"gement, 2e					
Front Office Systems and Procedures / Revised Edition					
Global Geography, Culture, and Travel Tourism					
Heritage Tourism: A Comprehensive  Discussion in the Philippine Setting					
Entrepreneurship for Hospitality and Tourism				"&amp;"	
Multicultural Diversity In Workplace for Tourism Professional					
Revenue Management in the Tourism and Hospitality Industry					
Applied Business Tools and Technologies in Tourism and Hospitality					")</f>
        <v>1 EACH:
Practicum Manual for Tourism and Hospitality  Management/ Revised Edition					
Philippines Gastronomic Tourism					
Bread &amp; Pastry Production (Cake-Making)					
Culinary Nutrition: Food Science, Healthy Options, Mindful Eating					
Events Management, 2e					
Front Office Systems and Procedures / Revised Edition					
Global Geography, Culture, and Travel Tourism					
Heritage Tourism: A Comprehensive  Discussion in the Philippine Setting					
Entrepreneurship for Hospitality and Tourism					
Multicultural Diversity In Workplace for Tourism Professional					
Revenue Management in the Tourism and Hospitality Industry					
Applied Business Tools and Technologies in Tourism and Hospitality					</v>
      </c>
      <c r="E1976" s="196" t="str">
        <f>IFERROR(__xludf.DUMMYFUNCTION("""COMPUTED_VALUE"""),"PACUCOA COMPLIANCE")</f>
        <v>PACUCOA COMPLIANCE</v>
      </c>
    </row>
    <row r="1977">
      <c r="A1977" s="234">
        <f>IFERROR(__xludf.DUMMYFUNCTION("""COMPUTED_VALUE"""),106810.0)</f>
        <v>106810</v>
      </c>
      <c r="B1977" s="235" t="str">
        <f>IFERROR(__xludf.DUMMYFUNCTION("""COMPUTED_VALUE"""),"MELISSA ODOÑO ")</f>
        <v>MELISSA ODOÑO </v>
      </c>
      <c r="C1977" s="235" t="str">
        <f>IFERROR(__xludf.DUMMYFUNCTION("""COMPUTED_VALUE"""),"LIBRARY COLLEGE")</f>
        <v>LIBRARY COLLEGE</v>
      </c>
      <c r="D1977" s="196" t="str">
        <f>IFERROR(__xludf.DUMMYFUNCTION("""COMPUTED_VALUE"""),"1 EACH:
Journal of Engineering, computing and Technology					
The journal of computational innovations and engineering applications					
Philippine computing Journal					")</f>
        <v>1 EACH:
Journal of Engineering, computing and Technology					
The journal of computational innovations and engineering applications					
Philippine computing Journal					</v>
      </c>
      <c r="E1977" s="196" t="str">
        <f>IFERROR(__xludf.DUMMYFUNCTION("""COMPUTED_VALUE"""),"PACUCOA COMPLIANCE")</f>
        <v>PACUCOA COMPLIANCE</v>
      </c>
    </row>
    <row r="1978">
      <c r="A1978" s="234">
        <f>IFERROR(__xludf.DUMMYFUNCTION("""COMPUTED_VALUE"""),106811.0)</f>
        <v>106811</v>
      </c>
      <c r="B1978" s="235" t="str">
        <f>IFERROR(__xludf.DUMMYFUNCTION("""COMPUTED_VALUE"""),"MELISSA ODOÑO ")</f>
        <v>MELISSA ODOÑO </v>
      </c>
      <c r="C1978" s="235" t="str">
        <f>IFERROR(__xludf.DUMMYFUNCTION("""COMPUTED_VALUE"""),"LIBRARY COLLEGE")</f>
        <v>LIBRARY COLLEGE</v>
      </c>
      <c r="D1978" s="196" t="str">
        <f>IFERROR(__xludf.DUMMYFUNCTION("""COMPUTED_VALUE"""),"1 each:
Business &amp; Economic Review 2026					
Philippine Management Review					")</f>
        <v>1 each:
Business &amp; Economic Review 2026					
Philippine Management Review					</v>
      </c>
      <c r="E1978" s="196" t="str">
        <f>IFERROR(__xludf.DUMMYFUNCTION("""COMPUTED_VALUE"""),"PACUCOA COMPLIANCE")</f>
        <v>PACUCOA COMPLIANCE</v>
      </c>
    </row>
    <row r="1979">
      <c r="A1979" s="234">
        <f>IFERROR(__xludf.DUMMYFUNCTION("""COMPUTED_VALUE"""),106812.0)</f>
        <v>106812</v>
      </c>
      <c r="B1979" s="235" t="str">
        <f>IFERROR(__xludf.DUMMYFUNCTION("""COMPUTED_VALUE"""),"MELISSA ODOÑO ")</f>
        <v>MELISSA ODOÑO </v>
      </c>
      <c r="C1979" s="235" t="str">
        <f>IFERROR(__xludf.DUMMYFUNCTION("""COMPUTED_VALUE"""),"LIBRARY COLLEGE")</f>
        <v>LIBRARY COLLEGE</v>
      </c>
      <c r="D1979" s="196" t="str">
        <f>IFERROR(__xludf.DUMMYFUNCTION("""COMPUTED_VALUE"""),"1 EACH:
3x3 The magazine of Contemporary Illustrations (2x/year)					
American Music Perspectives (2x/year)					
Cook's Illustrated (6x/year)					
Communication Research Trends (4x/year)					")</f>
        <v>1 EACH:
3x3 The magazine of Contemporary Illustrations (2x/year)					
American Music Perspectives (2x/year)					
Cook's Illustrated (6x/year)					
Communication Research Trends (4x/year)					</v>
      </c>
      <c r="E1979" s="196" t="str">
        <f>IFERROR(__xludf.DUMMYFUNCTION("""COMPUTED_VALUE"""),"PACUCOA COMPLIANCE")</f>
        <v>PACUCOA COMPLIANCE</v>
      </c>
    </row>
    <row r="1980">
      <c r="A1980" s="234">
        <f>IFERROR(__xludf.DUMMYFUNCTION("""COMPUTED_VALUE"""),106813.0)</f>
        <v>106813</v>
      </c>
      <c r="B1980" s="235" t="str">
        <f>IFERROR(__xludf.DUMMYFUNCTION("""COMPUTED_VALUE"""),"MELISSA ODOÑO ")</f>
        <v>MELISSA ODOÑO </v>
      </c>
      <c r="C1980" s="235" t="str">
        <f>IFERROR(__xludf.DUMMYFUNCTION("""COMPUTED_VALUE"""),"LIBRARY COLLEGE")</f>
        <v>LIBRARY COLLEGE</v>
      </c>
      <c r="D1980" s="196" t="str">
        <f>IFERROR(__xludf.DUMMYFUNCTION("""COMPUTED_VALUE"""),"1 EACH:
Journal of Information System (3x/year)					
Computer Magazine, IEE					
Coomunication of the ACM					")</f>
        <v>1 EACH:
Journal of Information System (3x/year)					
Computer Magazine, IEE					
Coomunication of the ACM					</v>
      </c>
      <c r="E1980" s="196" t="str">
        <f>IFERROR(__xludf.DUMMYFUNCTION("""COMPUTED_VALUE"""),"PACUCOA COMPLIANCE")</f>
        <v>PACUCOA COMPLIANCE</v>
      </c>
    </row>
    <row r="1981">
      <c r="A1981" s="234">
        <f>IFERROR(__xludf.DUMMYFUNCTION("""COMPUTED_VALUE"""),106814.0)</f>
        <v>106814</v>
      </c>
      <c r="B1981" s="235" t="str">
        <f>IFERROR(__xludf.DUMMYFUNCTION("""COMPUTED_VALUE"""),"MELISSA ODOÑO ")</f>
        <v>MELISSA ODOÑO </v>
      </c>
      <c r="C1981" s="235" t="str">
        <f>IFERROR(__xludf.DUMMYFUNCTION("""COMPUTED_VALUE"""),"LIBRARY COLLEGE")</f>
        <v>LIBRARY COLLEGE</v>
      </c>
      <c r="D1981" s="196" t="str">
        <f>IFERROR(__xludf.DUMMYFUNCTION("""COMPUTED_VALUE"""),"1 EACH:
Strategic Operations Management, 2nd Edition					
Business Statistics with Probability Concepts					
ACCOUNTING: The Language Of Business (A Simplified Approach)					
Achieving Excellence: Integrating Total Quality Management and Operations Man"&amp;"agement					
Advanced Managerial Economics and Public Policy					
Franchising					
Fundamentals of Advertising 					
Legal Aspects for Business					
Microeconomics: Theories and Practice					
Navigating Business Research From Data To Decision					
"&amp;"Obligations and Contracts, 2nd Edition					
Productivity and Quality Tools for Enhanced Performance					
Productivity and Quality Management, 2nd Edition					
Retail Management ""Philippines"" Retail Industry Driven With Best Practices""					
Producti"&amp;"vity and Quality Tools for Enhanced Performance					")</f>
        <v>1 EACH:
Strategic Operations Management, 2nd Edition					
Business Statistics with Probability Concepts					
ACCOUNTING: The Language Of Business (A Simplified Approach)					
Achieving Excellence: Integrating Total Quality Management and Operations Management					
Advanced Managerial Economics and Public Policy					
Franchising					
Fundamentals of Advertising 					
Legal Aspects for Business					
Microeconomics: Theories and Practice					
Navigating Business Research From Data To Decision					
Obligations and Contracts, 2nd Edition					
Productivity and Quality Tools for Enhanced Performance					
Productivity and Quality Management, 2nd Edition					
Retail Management "Philippines" Retail Industry Driven With Best Practices"					
Productivity and Quality Tools for Enhanced Performance					</v>
      </c>
      <c r="E1981" s="196" t="str">
        <f>IFERROR(__xludf.DUMMYFUNCTION("""COMPUTED_VALUE"""),"PACUCOA COMPLIANCE")</f>
        <v>PACUCOA COMPLIANCE</v>
      </c>
    </row>
    <row r="1982">
      <c r="A1982" s="234">
        <f>IFERROR(__xludf.DUMMYFUNCTION("""COMPUTED_VALUE"""),106815.0)</f>
        <v>106815</v>
      </c>
      <c r="B1982" s="235" t="str">
        <f>IFERROR(__xludf.DUMMYFUNCTION("""COMPUTED_VALUE"""),"MELISSA ODOÑO ")</f>
        <v>MELISSA ODOÑO </v>
      </c>
      <c r="C1982" s="235" t="str">
        <f>IFERROR(__xludf.DUMMYFUNCTION("""COMPUTED_VALUE"""),"LIBRARY COLLEGE")</f>
        <v>LIBRARY COLLEGE</v>
      </c>
      <c r="D1982" s="196" t="str">
        <f>IFERROR(__xludf.DUMMYFUNCTION("""COMPUTED_VALUE"""),"1 each:
Advanced Theory and Practice in Public Administration					
Advanced Strategic Management					
Banking and Financial Institutions					
Basic Income Taxation					
Basics of Microeconomics					
Business Principles and Merchandising Accounting			"&amp;"		
Financial Analysis and Reporting					
Fundamentals of Accounting Volume II: Partnership and Corporation					
Fundamentals of Accounting Volume I: Service and Merchandise					
Fundamentals of Financial Management					
Bairan, Bonifacio P.         	"&amp;"				
Financial Markets					
Labor Relations Management and Negotiations, 2e					
Labor Laws and Legislation, 2e					
Introductory Accounting, 4e					")</f>
        <v>1 each:
Advanced Theory and Practice in Public Administration					
Advanced Strategic Management					
Banking and Financial Institutions					
Basic Income Taxation					
Basics of Microeconomics					
Business Principles and Merchandising Accounting					
Financial Analysis and Reporting					
Fundamentals of Accounting Volume II: Partnership and Corporation					
Fundamentals of Accounting Volume I: Service and Merchandise					
Fundamentals of Financial Management					
Bairan, Bonifacio P.         					
Financial Markets					
Labor Relations Management and Negotiations, 2e					
Labor Laws and Legislation, 2e					
Introductory Accounting, 4e					</v>
      </c>
      <c r="E1982" s="196" t="str">
        <f>IFERROR(__xludf.DUMMYFUNCTION("""COMPUTED_VALUE"""),"PACUCOA COMPLIANCE")</f>
        <v>PACUCOA COMPLIANCE</v>
      </c>
    </row>
    <row r="1983">
      <c r="A1983" s="234">
        <f>IFERROR(__xludf.DUMMYFUNCTION("""COMPUTED_VALUE"""),106816.0)</f>
        <v>106816</v>
      </c>
      <c r="B1983" s="235" t="str">
        <f>IFERROR(__xludf.DUMMYFUNCTION("""COMPUTED_VALUE"""),"MELISSA ODOÑO ")</f>
        <v>MELISSA ODOÑO </v>
      </c>
      <c r="C1983" s="235" t="str">
        <f>IFERROR(__xludf.DUMMYFUNCTION("""COMPUTED_VALUE"""),"LIBRARY COLLEGE")</f>
        <v>LIBRARY COLLEGE</v>
      </c>
      <c r="D1983" s="196" t="str">
        <f>IFERROR(__xludf.DUMMYFUNCTION("""COMPUTED_VALUE"""),"1 EACH:
Retail and Wholesale Enterprises					
Total Quality Management: An Introduction 					
Strategic Management: Philippine Business Landscape					
Sales Management					
The Evolving Landscape of Strategic Management and Leadership					
Strategic "&amp;"Marketing Management: Integrating Insight, Innovation, and Execution fro Sustained Competitive Advantage 					
Strategic Marketing Management					
Strategic Human Resource Management, 2e					
Business Plan Preparation					
Entrepreneurial Management 	"&amp;"				
Capital Markets					
Destination  Management and Marketing					
Facilities Planning &amp; Management, 2e					
Franchising Concepts, Operations, and Growth Strategies					
Administrative Office Management, Revised edition					")</f>
        <v>1 EACH:
Retail and Wholesale Enterprises					
Total Quality Management: An Introduction 					
Strategic Management: Philippine Business Landscape					
Sales Management					
The Evolving Landscape of Strategic Management and Leadership					
Strategic Marketing Management: Integrating Insight, Innovation, and Execution fro Sustained Competitive Advantage 					
Strategic Marketing Management					
Strategic Human Resource Management, 2e					
Business Plan Preparation					
Entrepreneurial Management 					
Capital Markets					
Destination  Management and Marketing					
Facilities Planning &amp; Management, 2e					
Franchising Concepts, Operations, and Growth Strategies					
Administrative Office Management, Revised edition					</v>
      </c>
      <c r="E1983" s="196" t="str">
        <f>IFERROR(__xludf.DUMMYFUNCTION("""COMPUTED_VALUE"""),"PACUCOA COMPLIANCE")</f>
        <v>PACUCOA COMPLIANCE</v>
      </c>
    </row>
    <row r="1984">
      <c r="A1984" s="234">
        <f>IFERROR(__xludf.DUMMYFUNCTION("""COMPUTED_VALUE"""),106817.0)</f>
        <v>106817</v>
      </c>
      <c r="B1984" s="235" t="str">
        <f>IFERROR(__xludf.DUMMYFUNCTION("""COMPUTED_VALUE"""),"MELISSA ODOÑO ")</f>
        <v>MELISSA ODOÑO </v>
      </c>
      <c r="C1984" s="235" t="str">
        <f>IFERROR(__xludf.DUMMYFUNCTION("""COMPUTED_VALUE"""),"LIBRARY COLLEGE")</f>
        <v>LIBRARY COLLEGE</v>
      </c>
      <c r="D1984" s="196" t="str">
        <f>IFERROR(__xludf.DUMMYFUNCTION("""COMPUTED_VALUE"""),"1 EACH:
Introduction to Consumer Behavior					
Intelligent Leadership Resilience					
Management Science: Harnessing Quantitative Methods fo Organizational Success					
Managerial Statistics					
Module in Managing Service Enterprise					
Navigating "&amp;"Human Behavior in Organizations					
Principles of Economics					
Operations Management					
Operations Management: Strategies and Practice for Efficiency and Excellence					
Treasury Management					
Understanding Marketing Research					
Entrepreneu"&amp;"rial Behavior Growth Mindset and Fixed Mindset					
Enterprise Development: Strategies for Building and Growing Successful Ventures					
Enterprise Risk Management: Creating Stronger Governance &amp; Competitive Edge, 2e					
Supply Chain and Logistics Man"&amp;"agement: Enhancing Competitive Edge &amp; Customer Satisfaction, Second edition 					")</f>
        <v>1 EACH:
Introduction to Consumer Behavior					
Intelligent Leadership Resilience					
Management Science: Harnessing Quantitative Methods fo Organizational Success					
Managerial Statistics					
Module in Managing Service Enterprise					
Navigating Human Behavior in Organizations					
Principles of Economics					
Operations Management					
Operations Management: Strategies and Practice for Efficiency and Excellence					
Treasury Management					
Understanding Marketing Research					
Entrepreneurial Behavior Growth Mindset and Fixed Mindset					
Enterprise Development: Strategies for Building and Growing Successful Ventures					
Enterprise Risk Management: Creating Stronger Governance &amp; Competitive Edge, 2e					
Supply Chain and Logistics Management: Enhancing Competitive Edge &amp; Customer Satisfaction, Second edition 					</v>
      </c>
      <c r="E1984" s="196" t="str">
        <f>IFERROR(__xludf.DUMMYFUNCTION("""COMPUTED_VALUE"""),"PACUCOA COMPLIANCE")</f>
        <v>PACUCOA COMPLIANCE</v>
      </c>
    </row>
    <row r="1985">
      <c r="A1985" s="234">
        <f>IFERROR(__xludf.DUMMYFUNCTION("""COMPUTED_VALUE"""),106818.0)</f>
        <v>106818</v>
      </c>
      <c r="B1985" s="235" t="str">
        <f>IFERROR(__xludf.DUMMYFUNCTION("""COMPUTED_VALUE"""),"MELISSA ODOÑO ")</f>
        <v>MELISSA ODOÑO </v>
      </c>
      <c r="C1985" s="235" t="str">
        <f>IFERROR(__xludf.DUMMYFUNCTION("""COMPUTED_VALUE"""),"LIBRARY COLLEGE")</f>
        <v>LIBRARY COLLEGE</v>
      </c>
      <c r="D1985" s="196" t="str">
        <f>IFERROR(__xludf.DUMMYFUNCTION("""COMPUTED_VALUE"""),"1 EACH:
Global Ventures: A Guide to International Business and Trades for Entrepreneurs					
Human Resource Management					
Advanced Human Resource Management for Private and Government Institutions					
Advanced Leadership Effectiveness and Business E"&amp;"thics					
Advanced Marketing Management					
Business Opportunities: A Strategic Guide to Entrepreneurial Success from Insight to Impact					
Cooperative Management: Strategies for Success in the 21st Century					
Concepts and Approaches in Inventory"&amp;" Management and Control					
Strategic Management					
Strategic Management Essentials (Tools, Techniques and Best Practices)					
Principles of Market Research					
Product Management Essentials: Fron Concept to Launch					
Advanced Production and O"&amp;"perations Management					
Advanced Organizational Management					
Consumer Behavior: Dynamics, Dimensions, &amp; Models, 2e					")</f>
        <v>1 EACH:
Global Ventures: A Guide to International Business and Trades for Entrepreneurs					
Human Resource Management					
Advanced Human Resource Management for Private and Government Institutions					
Advanced Leadership Effectiveness and Business Ethics					
Advanced Marketing Management					
Business Opportunities: A Strategic Guide to Entrepreneurial Success from Insight to Impact					
Cooperative Management: Strategies for Success in the 21st Century					
Concepts and Approaches in Inventory Management and Control					
Strategic Management					
Strategic Management Essentials (Tools, Techniques and Best Practices)					
Principles of Market Research					
Product Management Essentials: Fron Concept to Launch					
Advanced Production and Operations Management					
Advanced Organizational Management					
Consumer Behavior: Dynamics, Dimensions, &amp; Models, 2e					</v>
      </c>
      <c r="E1985" s="196" t="str">
        <f>IFERROR(__xludf.DUMMYFUNCTION("""COMPUTED_VALUE"""),"PACUCOA COMPLIANCE")</f>
        <v>PACUCOA COMPLIANCE</v>
      </c>
    </row>
    <row r="1986">
      <c r="A1986" s="234">
        <f>IFERROR(__xludf.DUMMYFUNCTION("""COMPUTED_VALUE"""),106819.0)</f>
        <v>106819</v>
      </c>
      <c r="B1986" s="235" t="str">
        <f>IFERROR(__xludf.DUMMYFUNCTION("""COMPUTED_VALUE"""),"MELISSA ODOÑO ")</f>
        <v>MELISSA ODOÑO </v>
      </c>
      <c r="C1986" s="235" t="str">
        <f>IFERROR(__xludf.DUMMYFUNCTION("""COMPUTED_VALUE"""),"LIBRARY COLLEGE")</f>
        <v>LIBRARY COLLEGE</v>
      </c>
      <c r="D1986" s="196" t="str">
        <f>IFERROR(__xludf.DUMMYFUNCTION("""COMPUTED_VALUE"""),"1 EACH:
""Formulating and Implementing Policy &amp; Strategy In Business: An Analytic Approach to
Concepts and Cases / Revised Edition""					
Foundations of Operations Management: A Practical Guide for Higher Learning					
Fundamentals of Business Analytics"&amp;"					
Global Deals: Navigating International Business Agreements					
Investment Portfolio and Management					
Industrial Marketing					
Income &amp; Business Taxation					
Modern Marketing Management: Techniques for the Digital Age					
Navigating the "&amp;"Landscape of Marketing Research					
Principles of Total Quality Management					
Global and International Trade					
Mathematics of Business and Investment					")</f>
        <v>1 EACH:
"Formulating and Implementing Policy &amp; Strategy In Business: An Analytic Approach to
Concepts and Cases / Revised Edition"					
Foundations of Operations Management: A Practical Guide for Higher Learning					
Fundamentals of Business Analytics					
Global Deals: Navigating International Business Agreements					
Investment Portfolio and Management					
Industrial Marketing					
Income &amp; Business Taxation					
Modern Marketing Management: Techniques for the Digital Age					
Navigating the Landscape of Marketing Research					
Principles of Total Quality Management					
Global and International Trade					
Mathematics of Business and Investment					</v>
      </c>
      <c r="E1986" s="196" t="str">
        <f>IFERROR(__xludf.DUMMYFUNCTION("""COMPUTED_VALUE"""),"PACUCOA COMPLIANCE")</f>
        <v>PACUCOA COMPLIANCE</v>
      </c>
    </row>
    <row r="1987">
      <c r="A1987" s="234">
        <f>IFERROR(__xludf.DUMMYFUNCTION("""COMPUTED_VALUE"""),106820.0)</f>
        <v>106820</v>
      </c>
      <c r="B1987" s="235" t="str">
        <f>IFERROR(__xludf.DUMMYFUNCTION("""COMPUTED_VALUE"""),"MELISSA ODOÑO ")</f>
        <v>MELISSA ODOÑO </v>
      </c>
      <c r="C1987" s="235" t="str">
        <f>IFERROR(__xludf.DUMMYFUNCTION("""COMPUTED_VALUE"""),"LIBRARY COLLEGE")</f>
        <v>LIBRARY COLLEGE</v>
      </c>
      <c r="D1987" s="196" t="str">
        <f>IFERROR(__xludf.DUMMYFUNCTION("""COMPUTED_VALUE"""),"1 EACH:
Fundamentals of Technology-Based Entrepreneurship					
Lesson Planning Made Easy					
Research and Thesis Writing					
The Guidebook for Managing Logistic &amp; Distribution					
Advanced Financial Management: Financial Strategy and Corporate Fina"&amp;"nce					
Business Ethics and Social Responsibility, 2nd Edition					
Executive Leadership Supervisory &amp; Development					
Entrepreneurship for Senior High School- Academic Cluster					
Human Resource Forecasting and Planning					
Introduction to Taxat"&amp;"ion					
Legacy and Leadership In Family Business Management					
Quantitative Research					
The Basics of Income and Business Taxation					
The Entrepreneurial Mindset Blueprint: From Self-Awareness To Startup Action					
Empowering Change Through S"&amp;"ocial Entrepreneurship					")</f>
        <v>1 EACH:
Fundamentals of Technology-Based Entrepreneurship					
Lesson Planning Made Easy					
Research and Thesis Writing					
The Guidebook for Managing Logistic &amp; Distribution					
Advanced Financial Management: Financial Strategy and Corporate Finance					
Business Ethics and Social Responsibility, 2nd Edition					
Executive Leadership Supervisory &amp; Development					
Entrepreneurship for Senior High School- Academic Cluster					
Human Resource Forecasting and Planning					
Introduction to Taxation					
Legacy and Leadership In Family Business Management					
Quantitative Research					
The Basics of Income and Business Taxation					
The Entrepreneurial Mindset Blueprint: From Self-Awareness To Startup Action					
Empowering Change Through Social Entrepreneurship					</v>
      </c>
      <c r="E1987" s="196" t="str">
        <f>IFERROR(__xludf.DUMMYFUNCTION("""COMPUTED_VALUE"""),"PACUCOA COMPLIANCE")</f>
        <v>PACUCOA COMPLIANCE</v>
      </c>
    </row>
    <row r="1988">
      <c r="A1988" s="234">
        <f>IFERROR(__xludf.DUMMYFUNCTION("""COMPUTED_VALUE"""),106821.0)</f>
        <v>106821</v>
      </c>
      <c r="B1988" s="235" t="str">
        <f>IFERROR(__xludf.DUMMYFUNCTION("""COMPUTED_VALUE"""),"MELISSA ODOÑO ")</f>
        <v>MELISSA ODOÑO </v>
      </c>
      <c r="C1988" s="235" t="str">
        <f>IFERROR(__xludf.DUMMYFUNCTION("""COMPUTED_VALUE"""),"LIBRARY COLLEGE")</f>
        <v>LIBRARY COLLEGE</v>
      </c>
      <c r="D1988" s="196" t="str">
        <f>IFERROR(__xludf.DUMMYFUNCTION("""COMPUTED_VALUE"""),"1 EACH:
Labor Economics, 2e					
Tools in Policy Analysis in the Philippine Context					
Quantitative Techniques in Business: Leveraging Data-Driven Insights for Strategic Decision-Making					
Legal Frameworks: Navigating Business Law and Taxation in t"&amp;"he Philippines					
Strategic Insights in Advanced Managerial Accounting: Tools for Decision-Making and Performance Optimization					
Advanced Public Fiscal Management, Finance and Accountability					
PROJECT MASTERY: A Comprehensive Guide to Successfu"&amp;"l Project Management					
Microeconomics Numerical and Computational Approach					
Mastering Pricing and Costing: Strategies for Profitable Business Growth					
Mastering the Art of Professional Salesmanship					
Mastering Services Marketing Strategie"&amp;"s for Success in a Dynamic Marketplace					
Mastering Advertising: Foundations and Techniques for the Modern Age					
Advanced Human Behavior Organization with Ethics					
Human Resource Management: Current Directions and New Challenges with Overviewin"&amp;"g, 2e					")</f>
        <v>1 EACH:
Labor Economics, 2e					
Tools in Policy Analysis in the Philippine Context					
Quantitative Techniques in Business: Leveraging Data-Driven Insights for Strategic Decision-Making					
Legal Frameworks: Navigating Business Law and Taxation in the Philippines					
Strategic Insights in Advanced Managerial Accounting: Tools for Decision-Making and Performance Optimization					
Advanced Public Fiscal Management, Finance and Accountability					
PROJECT MASTERY: A Comprehensive Guide to Successful Project Management					
Microeconomics Numerical and Computational Approach					
Mastering Pricing and Costing: Strategies for Profitable Business Growth					
Mastering the Art of Professional Salesmanship					
Mastering Services Marketing Strategies for Success in a Dynamic Marketplace					
Mastering Advertising: Foundations and Techniques for the Modern Age					
Advanced Human Behavior Organization with Ethics					
Human Resource Management: Current Directions and New Challenges with Overviewing, 2e					</v>
      </c>
      <c r="E1988" s="196" t="str">
        <f>IFERROR(__xludf.DUMMYFUNCTION("""COMPUTED_VALUE"""),"PACUCOA COMPLIANCE")</f>
        <v>PACUCOA COMPLIANCE</v>
      </c>
    </row>
    <row r="1989">
      <c r="A1989" s="234">
        <f>IFERROR(__xludf.DUMMYFUNCTION("""COMPUTED_VALUE"""),106822.0)</f>
        <v>106822</v>
      </c>
      <c r="B1989" s="235" t="str">
        <f>IFERROR(__xludf.DUMMYFUNCTION("""COMPUTED_VALUE"""),"RONALDO VERDE")</f>
        <v>RONALDO VERDE</v>
      </c>
      <c r="C1989" s="235" t="str">
        <f>IFERROR(__xludf.DUMMYFUNCTION("""COMPUTED_VALUE"""),"ADMIN")</f>
        <v>ADMIN</v>
      </c>
      <c r="D1989" s="196" t="str">
        <f>IFERROR(__xludf.DUMMYFUNCTION("""COMPUTED_VALUE"""),"2 UNITS AIR COMPRESSOR W/ COMPLETE ACCESSORIES")</f>
        <v>2 UNITS AIR COMPRESSOR W/ COMPLETE ACCESSORIES</v>
      </c>
      <c r="E1989" s="196" t="str">
        <f>IFERROR(__xludf.DUMMYFUNCTION("""COMPUTED_VALUE"""),"FOR SISC VEHICLES")</f>
        <v>FOR SISC VEHICLES</v>
      </c>
    </row>
    <row r="1990">
      <c r="A1990" s="234">
        <f>IFERROR(__xludf.DUMMYFUNCTION("""COMPUTED_VALUE"""),106823.0)</f>
        <v>106823</v>
      </c>
      <c r="B1990" s="235" t="str">
        <f>IFERROR(__xludf.DUMMYFUNCTION("""COMPUTED_VALUE"""),"RONALDO VERDE")</f>
        <v>RONALDO VERDE</v>
      </c>
      <c r="C1990" s="235" t="str">
        <f>IFERROR(__xludf.DUMMYFUNCTION("""COMPUTED_VALUE"""),"ADMIN")</f>
        <v>ADMIN</v>
      </c>
      <c r="D1990" s="196" t="str">
        <f>IFERROR(__xludf.DUMMYFUNCTION("""COMPUTED_VALUE"""),"6 SETS TOOL SETS FOR SISC VEHICLES")</f>
        <v>6 SETS TOOL SETS FOR SISC VEHICLES</v>
      </c>
      <c r="E1990" s="196" t="str">
        <f>IFERROR(__xludf.DUMMYFUNCTION("""COMPUTED_VALUE"""),"TOOL SET FOR SISC VEHICLES")</f>
        <v>TOOL SET FOR SISC VEHICLES</v>
      </c>
    </row>
    <row r="1991">
      <c r="A1991" s="234">
        <f>IFERROR(__xludf.DUMMYFUNCTION("""COMPUTED_VALUE"""),106824.0)</f>
        <v>106824</v>
      </c>
      <c r="B1991" s="235" t="str">
        <f>IFERROR(__xludf.DUMMYFUNCTION("""COMPUTED_VALUE"""),"OWIE PAR")</f>
        <v>OWIE PAR</v>
      </c>
      <c r="C1991" s="235" t="str">
        <f>IFERROR(__xludf.DUMMYFUNCTION("""COMPUTED_VALUE"""),"ENGINEERING")</f>
        <v>ENGINEERING</v>
      </c>
      <c r="D1991" s="196" t="str">
        <f>IFERROR(__xludf.DUMMYFUNCTION("""COMPUTED_VALUE"""),"2 PCS ORBIT FAN #16")</f>
        <v>2 PCS ORBIT FAN #16</v>
      </c>
      <c r="E1991" s="196" t="str">
        <f>IFERROR(__xludf.DUMMYFUNCTION("""COMPUTED_VALUE"""),"FOR LUX 213 AND 310")</f>
        <v>FOR LUX 213 AND 310</v>
      </c>
    </row>
    <row r="1992">
      <c r="A1992" s="234">
        <f>IFERROR(__xludf.DUMMYFUNCTION("""COMPUTED_VALUE"""),106825.0)</f>
        <v>106825</v>
      </c>
      <c r="B1992" s="235" t="str">
        <f>IFERROR(__xludf.DUMMYFUNCTION("""COMPUTED_VALUE"""),"OWIE PAR")</f>
        <v>OWIE PAR</v>
      </c>
      <c r="C1992" s="235" t="str">
        <f>IFERROR(__xludf.DUMMYFUNCTION("""COMPUTED_VALUE"""),"ENGINEERING")</f>
        <v>ENGINEERING</v>
      </c>
      <c r="D1992" s="196" t="str">
        <f>IFERROR(__xludf.DUMMYFUNCTION("""COMPUTED_VALUE"""),"5 UNITS LED SOLAR UFO TYPE PARKING LIGHTS W/ SENSOR")</f>
        <v>5 UNITS LED SOLAR UFO TYPE PARKING LIGHTS W/ SENSOR</v>
      </c>
      <c r="E1992" s="196" t="str">
        <f>IFERROR(__xludf.DUMMYFUNCTION("""COMPUTED_VALUE"""),"FOR LUX PARKING AND TROPICAL VACANT LOT PARKING")</f>
        <v>FOR LUX PARKING AND TROPICAL VACANT LOT PARKING</v>
      </c>
    </row>
    <row r="1993">
      <c r="A1993" s="234">
        <f>IFERROR(__xludf.DUMMYFUNCTION("""COMPUTED_VALUE"""),106826.0)</f>
        <v>106826</v>
      </c>
      <c r="B1993" s="235" t="str">
        <f>IFERROR(__xludf.DUMMYFUNCTION("""COMPUTED_VALUE"""),"JORDAN JORDAN")</f>
        <v>JORDAN JORDAN</v>
      </c>
      <c r="C1993" s="235" t="str">
        <f>IFERROR(__xludf.DUMMYFUNCTION("""COMPUTED_VALUE"""),"ADMIN")</f>
        <v>ADMIN</v>
      </c>
      <c r="D1993" s="196" t="str">
        <f>IFERROR(__xludf.DUMMYFUNCTION("""COMPUTED_VALUE"""),"2 BOX THHN THWN #14 ELECTRICAL WIRE
10 PCS ALPHALUX LED SMD GU10 7W 
10 PCS LANDLITE  HALOGEN LAMP
2 PCS STEP LIGHT LED KAIZEN")</f>
        <v>2 BOX THHN THWN #14 ELECTRICAL WIRE
10 PCS ALPHALUX LED SMD GU10 7W 
10 PCS LANDLITE  HALOGEN LAMP
2 PCS STEP LIGHT LED KAIZEN</v>
      </c>
      <c r="E1993" s="196" t="str">
        <f>IFERROR(__xludf.DUMMYFUNCTION("""COMPUTED_VALUE"""),"REPLACEMENT OF BUSTED LIGHTS/ REWIRING DUE TO LOW INSULATION COLLEGE BLDG")</f>
        <v>REPLACEMENT OF BUSTED LIGHTS/ REWIRING DUE TO LOW INSULATION COLLEGE BLDG</v>
      </c>
    </row>
    <row r="1994">
      <c r="A1994" s="234">
        <f>IFERROR(__xludf.DUMMYFUNCTION("""COMPUTED_VALUE"""),106827.0)</f>
        <v>106827</v>
      </c>
      <c r="B1994" s="235" t="str">
        <f>IFERROR(__xludf.DUMMYFUNCTION("""COMPUTED_VALUE"""),"CHARLES LEBECO DONOR")</f>
        <v>CHARLES LEBECO DONOR</v>
      </c>
      <c r="C1994" s="235" t="str">
        <f>IFERROR(__xludf.DUMMYFUNCTION("""COMPUTED_VALUE"""),"AMD")</f>
        <v>AMD</v>
      </c>
      <c r="D1994" s="196" t="str">
        <f>IFERROR(__xludf.DUMMYFUNCTION("""COMPUTED_VALUE"""),"Clip, Binder Joy 2"" (Large)        CLIP-JOY-10-0002        12 bxs.
Clip, Paper (120gms/box), Prince - Big        CLIP-PRI-10-0001        105 bxs.
Glue Stick Big (for glue gun)        GLUE-STF-10-0001        72 pcs.
Ribbon, Cartridge Epson LX310 SO15632  "&amp;"      RIBB-EPS-10-0003        21 pcs.")</f>
        <v>Clip, Binder Joy 2" (Large)        CLIP-JOY-10-0002        12 bxs.
Clip, Paper (120gms/box), Prince - Big        CLIP-PRI-10-0001        105 bxs.
Glue Stick Big (for glue gun)        GLUE-STF-10-0001        72 pcs.
Ribbon, Cartridge Epson LX310 SO15632        RIBB-EPS-10-0003        21 pcs.</v>
      </c>
      <c r="E1994" s="196" t="str">
        <f>IFERROR(__xludf.DUMMYFUNCTION("""COMPUTED_VALUE"""),"OSSUP REPLENISHMENTS")</f>
        <v>OSSUP REPLENISHMENTS</v>
      </c>
    </row>
    <row r="1995">
      <c r="A1995" s="234">
        <f>IFERROR(__xludf.DUMMYFUNCTION("""COMPUTED_VALUE"""),106828.0)</f>
        <v>106828</v>
      </c>
      <c r="B1995" s="235" t="str">
        <f>IFERROR(__xludf.DUMMYFUNCTION("""COMPUTED_VALUE"""),"ALYSA POHSARAN")</f>
        <v>ALYSA POHSARAN</v>
      </c>
      <c r="C1995" s="235" t="str">
        <f>IFERROR(__xludf.DUMMYFUNCTION("""COMPUTED_VALUE"""),"PR &amp; MARKETING")</f>
        <v>PR &amp; MARKETING</v>
      </c>
      <c r="D1995" s="196" t="str">
        <f>IFERROR(__xludf.DUMMYFUNCTION("""COMPUTED_VALUE"""),"1 EASTER EGG HUNT BACKDROP 7.5FTX7.5FT 13OZ")</f>
        <v>1 EASTER EGG HUNT BACKDROP 7.5FTX7.5FT 13OZ</v>
      </c>
      <c r="E1995" s="196" t="str">
        <f>IFERROR(__xludf.DUMMYFUNCTION("""COMPUTED_VALUE"""),"FOR EASTER EGG HUNT")</f>
        <v>FOR EASTER EGG HUNT</v>
      </c>
    </row>
    <row r="1996">
      <c r="A1996" s="234">
        <f>IFERROR(__xludf.DUMMYFUNCTION("""COMPUTED_VALUE"""),106829.0)</f>
        <v>106829</v>
      </c>
      <c r="B1996" s="235" t="str">
        <f>IFERROR(__xludf.DUMMYFUNCTION("""COMPUTED_VALUE"""),"CHRISTON CORBEZA")</f>
        <v>CHRISTON CORBEZA</v>
      </c>
      <c r="C1996" s="235" t="str">
        <f>IFERROR(__xludf.DUMMYFUNCTION("""COMPUTED_VALUE"""),"ADMIN")</f>
        <v>ADMIN</v>
      </c>
      <c r="D1996" s="196" t="str">
        <f>IFERROR(__xludf.DUMMYFUNCTION("""COMPUTED_VALUE"""),"10 PCS FRAME FOR SINTRA BOARD")</f>
        <v>10 PCS FRAME FOR SINTRA BOARD</v>
      </c>
      <c r="E1996" s="196" t="str">
        <f>IFERROR(__xludf.DUMMYFUNCTION("""COMPUTED_VALUE"""),"FRAME FOR SINTRA BOARD")</f>
        <v>FRAME FOR SINTRA BOARD</v>
      </c>
    </row>
    <row r="1997">
      <c r="A1997" s="234">
        <f>IFERROR(__xludf.DUMMYFUNCTION("""COMPUTED_VALUE"""),106830.0)</f>
        <v>106830</v>
      </c>
      <c r="B1997" s="235" t="str">
        <f>IFERROR(__xludf.DUMMYFUNCTION("""COMPUTED_VALUE"""),"OSCAR AGORILLA")</f>
        <v>OSCAR AGORILLA</v>
      </c>
      <c r="C1997" s="235" t="str">
        <f>IFERROR(__xludf.DUMMYFUNCTION("""COMPUTED_VALUE"""),"REGISTRATION")</f>
        <v>REGISTRATION</v>
      </c>
      <c r="D1997" s="196" t="str">
        <f>IFERROR(__xludf.DUMMYFUNCTION("""COMPUTED_VALUE"""),"2000 SOUTHVILLE LETTER ENVELOPE SMALL")</f>
        <v>2000 SOUTHVILLE LETTER ENVELOPE SMALL</v>
      </c>
      <c r="E1997" s="196" t="str">
        <f>IFERROR(__xludf.DUMMYFUNCTION("""COMPUTED_VALUE"""),"OFFICE USE AND TERM PTC")</f>
        <v>OFFICE USE AND TERM PTC</v>
      </c>
    </row>
    <row r="1998">
      <c r="A1998" s="234">
        <f>IFERROR(__xludf.DUMMYFUNCTION("""COMPUTED_VALUE"""),106831.0)</f>
        <v>106831</v>
      </c>
      <c r="B1998" s="235" t="str">
        <f>IFERROR(__xludf.DUMMYFUNCTION("""COMPUTED_VALUE"""),"OWIE PAR")</f>
        <v>OWIE PAR</v>
      </c>
      <c r="C1998" s="235" t="str">
        <f>IFERROR(__xludf.DUMMYFUNCTION("""COMPUTED_VALUE"""),"ENGINEERING")</f>
        <v>ENGINEERING</v>
      </c>
      <c r="D1998" s="196" t="str">
        <f>IFERROR(__xludf.DUMMYFUNCTION("""COMPUTED_VALUE"""),"1 SET TOILET LAVATORY ")</f>
        <v>1 SET TOILET LAVATORY </v>
      </c>
      <c r="E1998" s="196" t="str">
        <f>IFERROR(__xludf.DUMMYFUNCTION("""COMPUTED_VALUE"""),"FOR LIMA CENTER G/F CR")</f>
        <v>FOR LIMA CENTER G/F CR</v>
      </c>
    </row>
    <row r="1999">
      <c r="A1999" s="234">
        <f>IFERROR(__xludf.DUMMYFUNCTION("""COMPUTED_VALUE"""),106832.0)</f>
        <v>106832</v>
      </c>
      <c r="B1999" s="235" t="str">
        <f>IFERROR(__xludf.DUMMYFUNCTION("""COMPUTED_VALUE"""),"MARVIN MARASIGAN")</f>
        <v>MARVIN MARASIGAN</v>
      </c>
      <c r="C1999" s="235" t="str">
        <f>IFERROR(__xludf.DUMMYFUNCTION("""COMPUTED_VALUE"""),"PR &amp; MARKETING")</f>
        <v>PR &amp; MARKETING</v>
      </c>
      <c r="D1999" s="196" t="str">
        <f>IFERROR(__xludf.DUMMYFUNCTION("""COMPUTED_VALUE"""),"1 ELEVATOR POSTER 19.9 IN X 23 IN ")</f>
        <v>1 ELEVATOR POSTER 19.9 IN X 23 IN </v>
      </c>
      <c r="E1999" s="196" t="str">
        <f>IFERROR(__xludf.DUMMYFUNCTION("""COMPUTED_VALUE"""),"MARKETING")</f>
        <v>MARKETING</v>
      </c>
    </row>
    <row r="2000">
      <c r="A2000" s="234">
        <f>IFERROR(__xludf.DUMMYFUNCTION("""COMPUTED_VALUE"""),106833.0)</f>
        <v>106833</v>
      </c>
      <c r="B2000" s="235" t="str">
        <f>IFERROR(__xludf.DUMMYFUNCTION("""COMPUTED_VALUE"""),"ALFA DE LEON")</f>
        <v>ALFA DE LEON</v>
      </c>
      <c r="C2000" s="235" t="str">
        <f>IFERROR(__xludf.DUMMYFUNCTION("""COMPUTED_VALUE"""),"ADMIN - STAR")</f>
        <v>ADMIN - STAR</v>
      </c>
      <c r="D2000" s="196" t="str">
        <f>IFERROR(__xludf.DUMMYFUNCTION("""COMPUTED_VALUE"""),"15 SACKS GARDEN SOIL
2 SACKS KUSOT")</f>
        <v>15 SACKS GARDEN SOIL
2 SACKS KUSOT</v>
      </c>
      <c r="E2000" s="196" t="str">
        <f>IFERROR(__xludf.DUMMYFUNCTION("""COMPUTED_VALUE"""),"PLANT MAINTENANCE")</f>
        <v>PLANT MAINTENANCE</v>
      </c>
    </row>
    <row r="2001">
      <c r="A2001" s="234">
        <f>IFERROR(__xludf.DUMMYFUNCTION("""COMPUTED_VALUE"""),106834.0)</f>
        <v>106834</v>
      </c>
      <c r="B2001" s="235" t="str">
        <f>IFERROR(__xludf.DUMMYFUNCTION("""COMPUTED_VALUE"""),"ALFA DE LEON")</f>
        <v>ALFA DE LEON</v>
      </c>
      <c r="C2001" s="235" t="str">
        <f>IFERROR(__xludf.DUMMYFUNCTION("""COMPUTED_VALUE"""),"ADMIN - STAR")</f>
        <v>ADMIN - STAR</v>
      </c>
      <c r="D2001" s="196" t="str">
        <f>IFERROR(__xludf.DUMMYFUNCTION("""COMPUTED_VALUE"""),"130 PCS HANGING POTS BLACK")</f>
        <v>130 PCS HANGING POTS BLACK</v>
      </c>
      <c r="E2001" s="196" t="str">
        <f>IFERROR(__xludf.DUMMYFUNCTION("""COMPUTED_VALUE"""),"TO BE INSTALLED IN THE GESSET AREA")</f>
        <v>TO BE INSTALLED IN THE GESSET AREA</v>
      </c>
    </row>
    <row r="2002">
      <c r="A2002" s="234">
        <f>IFERROR(__xludf.DUMMYFUNCTION("""COMPUTED_VALUE"""),106835.0)</f>
        <v>106835</v>
      </c>
      <c r="B2002" s="235" t="str">
        <f>IFERROR(__xludf.DUMMYFUNCTION("""COMPUTED_VALUE"""),"RONALDO VERDE")</f>
        <v>RONALDO VERDE</v>
      </c>
      <c r="C2002" s="235" t="str">
        <f>IFERROR(__xludf.DUMMYFUNCTION("""COMPUTED_VALUE"""),"ADMIN")</f>
        <v>ADMIN</v>
      </c>
      <c r="D2002" s="196" t="str">
        <f>IFERROR(__xludf.DUMMYFUNCTION("""COMPUTED_VALUE"""),"4 PCS YOKOHAMA TIRES 195 R 15C")</f>
        <v>4 PCS YOKOHAMA TIRES 195 R 15C</v>
      </c>
      <c r="E2002" s="196" t="str">
        <f>IFERROR(__xludf.DUMMYFUNCTION("""COMPUTED_VALUE"""),"RM OF VEHICLE ")</f>
        <v>RM OF VEHICLE </v>
      </c>
    </row>
    <row r="2003">
      <c r="A2003" s="234">
        <f>IFERROR(__xludf.DUMMYFUNCTION("""COMPUTED_VALUE"""),106836.0)</f>
        <v>106836</v>
      </c>
      <c r="B2003" s="235" t="str">
        <f>IFERROR(__xludf.DUMMYFUNCTION("""COMPUTED_VALUE"""),"JORGE BALELA/ JORDAN JORDAN")</f>
        <v>JORGE BALELA/ JORDAN JORDAN</v>
      </c>
      <c r="C2003" s="235" t="str">
        <f>IFERROR(__xludf.DUMMYFUNCTION("""COMPUTED_VALUE"""),"ADMIN")</f>
        <v>ADMIN</v>
      </c>
      <c r="D2003" s="196" t="str">
        <f>IFERROR(__xludf.DUMMYFUNCTION("""COMPUTED_VALUE"""),"10 PCS LCD ELECTRIC TEMPERATURE ")</f>
        <v>10 PCS LCD ELECTRIC TEMPERATURE </v>
      </c>
      <c r="E2003" s="196" t="str">
        <f>IFERROR(__xludf.DUMMYFUNCTION("""COMPUTED_VALUE"""),"FOR CHECKING OF TEMPERATURE IN ROOMS ACU")</f>
        <v>FOR CHECKING OF TEMPERATURE IN ROOMS ACU</v>
      </c>
    </row>
    <row r="2004">
      <c r="A2004" s="234">
        <f>IFERROR(__xludf.DUMMYFUNCTION("""COMPUTED_VALUE"""),106837.0)</f>
        <v>106837</v>
      </c>
      <c r="B2004" s="235" t="str">
        <f>IFERROR(__xludf.DUMMYFUNCTION("""COMPUTED_VALUE"""),"OWIE PAR")</f>
        <v>OWIE PAR</v>
      </c>
      <c r="C2004" s="235" t="str">
        <f>IFERROR(__xludf.DUMMYFUNCTION("""COMPUTED_VALUE"""),"ENGINEERING")</f>
        <v>ENGINEERING</v>
      </c>
      <c r="D2004" s="196" t="str">
        <f>IFERROR(__xludf.DUMMYFUNCTION("""COMPUTED_VALUE"""),"2 ROLLS THHN#8
30 LENGTHS PVC PIPE 3/4 ORANGE")</f>
        <v>2 ROLLS THHN#8
30 LENGTHS PVC PIPE 3/4 ORANGE</v>
      </c>
      <c r="E2004" s="196" t="str">
        <f>IFERROR(__xludf.DUMMYFUNCTION("""COMPUTED_VALUE"""),"FOR MUNICH PERIMETER ELECT'L POWER")</f>
        <v>FOR MUNICH PERIMETER ELECT'L POWER</v>
      </c>
    </row>
    <row r="2005">
      <c r="A2005" s="234">
        <f>IFERROR(__xludf.DUMMYFUNCTION("""COMPUTED_VALUE"""),106838.0)</f>
        <v>106838</v>
      </c>
      <c r="B2005" s="235" t="str">
        <f>IFERROR(__xludf.DUMMYFUNCTION("""COMPUTED_VALUE"""),"ANGELICA LAGDAMEO /  JEREMIAH TIROL")</f>
        <v>ANGELICA LAGDAMEO /  JEREMIAH TIROL</v>
      </c>
      <c r="C2005" s="235" t="str">
        <f>IFERROR(__xludf.DUMMYFUNCTION("""COMPUTED_VALUE"""),"SCIENCE LAB COLLEGE")</f>
        <v>SCIENCE LAB COLLEGE</v>
      </c>
      <c r="D2005" s="196" t="str">
        <f>IFERROR(__xludf.DUMMYFUNCTION("""COMPUTED_VALUE"""),"1 PC FILTER FOR ACID BASE CABINET")</f>
        <v>1 PC FILTER FOR ACID BASE CABINET</v>
      </c>
      <c r="E2005" s="196" t="str">
        <f>IFERROR(__xludf.DUMMYFUNCTION("""COMPUTED_VALUE"""),"ACID BASE CABINET")</f>
        <v>ACID BASE CABINET</v>
      </c>
    </row>
    <row r="2006">
      <c r="A2006" s="234">
        <f>IFERROR(__xludf.DUMMYFUNCTION("""COMPUTED_VALUE"""),106839.0)</f>
        <v>106839</v>
      </c>
      <c r="B2006" s="235" t="str">
        <f>IFERROR(__xludf.DUMMYFUNCTION("""COMPUTED_VALUE"""),"MELISSA ODOÑO ")</f>
        <v>MELISSA ODOÑO </v>
      </c>
      <c r="C2006" s="235" t="str">
        <f>IFERROR(__xludf.DUMMYFUNCTION("""COMPUTED_VALUE"""),"LIBRARY COLLEGE")</f>
        <v>LIBRARY COLLEGE</v>
      </c>
      <c r="D2006" s="196" t="str">
        <f>IFERROR(__xludf.DUMMYFUNCTION("""COMPUTED_VALUE"""),"1 EACH:
Jouirnal of Counselling Pyschology					
Group Dynamics: Theory, Research &amp; Practice (APA)  					
Journal of Psychotherapy Integration (APA) 					
Psychological Review 					
American Journal of Psychology					
Psychology Today					")</f>
        <v>1 EACH:
Jouirnal of Counselling Pyschology					
Group Dynamics: Theory, Research &amp; Practice (APA)  					
Journal of Psychotherapy Integration (APA) 					
Psychological Review 					
American Journal of Psychology					
Psychology Today					</v>
      </c>
      <c r="E2006" s="196" t="str">
        <f>IFERROR(__xludf.DUMMYFUNCTION("""COMPUTED_VALUE"""),"PACUCOA COMPLIANCE")</f>
        <v>PACUCOA COMPLIANCE</v>
      </c>
    </row>
    <row r="2007">
      <c r="A2007" s="234">
        <f>IFERROR(__xludf.DUMMYFUNCTION("""COMPUTED_VALUE"""),106840.0)</f>
        <v>106840</v>
      </c>
      <c r="B2007" s="235" t="str">
        <f>IFERROR(__xludf.DUMMYFUNCTION("""COMPUTED_VALUE"""),"MELISSA ODOÑO ")</f>
        <v>MELISSA ODOÑO </v>
      </c>
      <c r="C2007" s="235" t="str">
        <f>IFERROR(__xludf.DUMMYFUNCTION("""COMPUTED_VALUE"""),"LIBRARY COLLEGE")</f>
        <v>LIBRARY COLLEGE</v>
      </c>
      <c r="D2007" s="196" t="str">
        <f>IFERROR(__xludf.DUMMYFUNCTION("""COMPUTED_VALUE"""),"1 EACH:
Nursing Care of the Older Person  					
Psychiatric Nursing					
Supreme Nursing Mnemonics Playbook      					")</f>
        <v>1 EACH:
Nursing Care of the Older Person  					
Psychiatric Nursing					
Supreme Nursing Mnemonics Playbook      					</v>
      </c>
      <c r="E2007" s="196" t="str">
        <f>IFERROR(__xludf.DUMMYFUNCTION("""COMPUTED_VALUE"""),"PACUCOA COMPLIANCE")</f>
        <v>PACUCOA COMPLIANCE</v>
      </c>
    </row>
    <row r="2008">
      <c r="A2008" s="234">
        <f>IFERROR(__xludf.DUMMYFUNCTION("""COMPUTED_VALUE"""),106841.0)</f>
        <v>106841</v>
      </c>
      <c r="B2008" s="235" t="str">
        <f>IFERROR(__xludf.DUMMYFUNCTION("""COMPUTED_VALUE"""),"MELISSA ODOÑO ")</f>
        <v>MELISSA ODOÑO </v>
      </c>
      <c r="C2008" s="235" t="str">
        <f>IFERROR(__xludf.DUMMYFUNCTION("""COMPUTED_VALUE"""),"LIBRARY COLLEGE")</f>
        <v>LIBRARY COLLEGE</v>
      </c>
      <c r="D2008" s="196" t="str">
        <f>IFERROR(__xludf.DUMMYFUNCTION("""COMPUTED_VALUE"""),"1 EACH:
Hotel Management					
Food &amp; Travel					
Travel + Leisure					")</f>
        <v>1 EACH:
Hotel Management					
Food &amp; Travel					
Travel + Leisure					</v>
      </c>
      <c r="E2008" s="196" t="str">
        <f>IFERROR(__xludf.DUMMYFUNCTION("""COMPUTED_VALUE"""),"PACUCOA COMPLIANCE")</f>
        <v>PACUCOA COMPLIANCE</v>
      </c>
    </row>
    <row r="2009">
      <c r="A2009" s="234">
        <f>IFERROR(__xludf.DUMMYFUNCTION("""COMPUTED_VALUE"""),106842.0)</f>
        <v>106842</v>
      </c>
      <c r="B2009" s="235" t="str">
        <f>IFERROR(__xludf.DUMMYFUNCTION("""COMPUTED_VALUE"""),"MICHAEL GRAVAMEN / JULIUS PAGDATO")</f>
        <v>MICHAEL GRAVAMEN / JULIUS PAGDATO</v>
      </c>
      <c r="C2009" s="235" t="str">
        <f>IFERROR(__xludf.DUMMYFUNCTION("""COMPUTED_VALUE"""),"MIS/ICT")</f>
        <v>MIS/ICT</v>
      </c>
      <c r="D2009" s="196" t="str">
        <f>IFERROR(__xludf.DUMMYFUNCTION("""COMPUTED_VALUE"""),"CLOUDSWYFT FRS SKU 386 STUDENTS
DOWNPAYMENT
FULLPAYMENT")</f>
        <v>CLOUDSWYFT FRS SKU 386 STUDENTS
DOWNPAYMENT
FULLPAYMENT</v>
      </c>
      <c r="E2009" s="196" t="str">
        <f>IFERROR(__xludf.DUMMYFUNCTION("""COMPUTED_VALUE"""),"SUBSCRIPTION FOR CLOUDSWYFT FRS SKU")</f>
        <v>SUBSCRIPTION FOR CLOUDSWYFT FRS SKU</v>
      </c>
    </row>
    <row r="2010">
      <c r="A2010" s="234">
        <f>IFERROR(__xludf.DUMMYFUNCTION("""COMPUTED_VALUE"""),106843.0)</f>
        <v>106843</v>
      </c>
      <c r="B2010" s="235" t="str">
        <f>IFERROR(__xludf.DUMMYFUNCTION("""COMPUTED_VALUE"""),"VYE REVOLTAR")</f>
        <v>VYE REVOLTAR</v>
      </c>
      <c r="C2010" s="235" t="str">
        <f>IFERROR(__xludf.DUMMYFUNCTION("""COMPUTED_VALUE"""),"CEM")</f>
        <v>CEM</v>
      </c>
      <c r="D2010" s="196" t="str">
        <f>IFERROR(__xludf.DUMMYFUNCTION("""COMPUTED_VALUE"""),"BROTHER DCP - T820DW INK TANK		2 SETS
COLORED PRINTER")</f>
        <v>BROTHER DCP - T820DW INK TANK		2 SETS
COLORED PRINTER</v>
      </c>
      <c r="E2010" s="196" t="str">
        <f>IFERROR(__xludf.DUMMYFUNCTION("""COMPUTED_VALUE"""),"FOR DOC GENE")</f>
        <v>FOR DOC GENE</v>
      </c>
    </row>
    <row r="2011">
      <c r="A2011" s="234">
        <f>IFERROR(__xludf.DUMMYFUNCTION("""COMPUTED_VALUE"""),106844.0)</f>
        <v>106844</v>
      </c>
      <c r="B2011" s="235" t="str">
        <f>IFERROR(__xludf.DUMMYFUNCTION("""COMPUTED_VALUE"""),"JORGE BALELA")</f>
        <v>JORGE BALELA</v>
      </c>
      <c r="C2011" s="235" t="str">
        <f>IFERROR(__xludf.DUMMYFUNCTION("""COMPUTED_VALUE"""),"Admin- Lux")</f>
        <v>Admin- Lux</v>
      </c>
      <c r="D2011" s="196" t="str">
        <f>IFERROR(__xludf.DUMMYFUNCTION("""COMPUTED_VALUE"""),"FLOWERS FOR SIR RODOLFO C. SOBONG")</f>
        <v>FLOWERS FOR SIR RODOLFO C. SOBONG</v>
      </c>
      <c r="E2011" s="196" t="str">
        <f>IFERROR(__xludf.DUMMYFUNCTION("""COMPUTED_VALUE"""),"FLOWERS FOR SIR RODOLFO C. SOBONG")</f>
        <v>FLOWERS FOR SIR RODOLFO C. SOBONG</v>
      </c>
    </row>
    <row r="2012">
      <c r="A2012" s="234">
        <f>IFERROR(__xludf.DUMMYFUNCTION("""COMPUTED_VALUE"""),106845.0)</f>
        <v>106845</v>
      </c>
      <c r="B2012" s="235" t="str">
        <f>IFERROR(__xludf.DUMMYFUNCTION("""COMPUTED_VALUE"""),"MYRNA RULONA")</f>
        <v>MYRNA RULONA</v>
      </c>
      <c r="C2012" s="235" t="str">
        <f>IFERROR(__xludf.DUMMYFUNCTION("""COMPUTED_VALUE"""),"LANDSCAPING")</f>
        <v>LANDSCAPING</v>
      </c>
      <c r="D2012" s="196" t="str">
        <f>IFERROR(__xludf.DUMMYFUNCTION("""COMPUTED_VALUE"""),"70 METERS WATERHOSE
1 PC GARDEN SPRINKLER HEAD
8 PCS SPRINKLER PIPE GAP 
30 PCS FORGET ME NOT 
1 UNIT PORTABLE GARDEN WATER HOSE REEL BRACKET CART
5 PCS WATERING CANS KETTLE LONG SPOUT 1L")</f>
        <v>70 METERS WATERHOSE
1 PC GARDEN SPRINKLER HEAD
8 PCS SPRINKLER PIPE GAP 
30 PCS FORGET ME NOT 
1 UNIT PORTABLE GARDEN WATER HOSE REEL BRACKET CART
5 PCS WATERING CANS KETTLE LONG SPOUT 1L</v>
      </c>
      <c r="E2012" s="196" t="str">
        <f>IFERROR(__xludf.DUMMYFUNCTION("""COMPUTED_VALUE"""),"SUPPLIES FOR THE GARDENING")</f>
        <v>SUPPLIES FOR THE GARDENING</v>
      </c>
    </row>
    <row r="2013">
      <c r="A2013" s="234">
        <f>IFERROR(__xludf.DUMMYFUNCTION("""COMPUTED_VALUE"""),106846.0)</f>
        <v>106846</v>
      </c>
      <c r="B2013" s="235" t="str">
        <f>IFERROR(__xludf.DUMMYFUNCTION("""COMPUTED_VALUE"""),"FRANCESKA ORTEGA")</f>
        <v>FRANCESKA ORTEGA</v>
      </c>
      <c r="C2013" s="235" t="str">
        <f>IFERROR(__xludf.DUMMYFUNCTION("""COMPUTED_VALUE"""),"CEM OFFICE")</f>
        <v>CEM OFFICE</v>
      </c>
      <c r="D2013" s="196" t="str">
        <f>IFERROR(__xludf.DUMMYFUNCTION("""COMPUTED_VALUE"""),"100 RESEARCH GUIDEBOOK COVER")</f>
        <v>100 RESEARCH GUIDEBOOK COVER</v>
      </c>
      <c r="E2013" s="196" t="str">
        <f>IFERROR(__xludf.DUMMYFUNCTION("""COMPUTED_VALUE"""),"RESEARCH GUIDEBOOK COVER")</f>
        <v>RESEARCH GUIDEBOOK COVER</v>
      </c>
    </row>
    <row r="2014">
      <c r="A2014" s="234">
        <f>IFERROR(__xludf.DUMMYFUNCTION("""COMPUTED_VALUE"""),106847.0)</f>
        <v>106847</v>
      </c>
      <c r="B2014" s="235" t="str">
        <f>IFERROR(__xludf.DUMMYFUNCTION("""COMPUTED_VALUE"""),"MELISSA NAVAL ODOÑO / VICTOR MANABAT")</f>
        <v>MELISSA NAVAL ODOÑO / VICTOR MANABAT</v>
      </c>
      <c r="C2014" s="235" t="str">
        <f>IFERROR(__xludf.DUMMYFUNCTION("""COMPUTED_VALUE"""),"LIBRARY COLLEGE")</f>
        <v>LIBRARY COLLEGE</v>
      </c>
      <c r="D2014" s="196" t="str">
        <f>IFERROR(__xludf.DUMMYFUNCTION("""COMPUTED_VALUE"""),"2 EACH:
Accounting for Business Combination ( A Comprehensive Approach) by Binaluyo, c2025, Loc					
Accounting for Special Transactions (A Comprehensive Approach) by Binaluyo, et.,al.,c2025, Loc					
Basic Financial Management					
Excellent Intermedi"&amp;"ate Accounting Volume 1					
Fundamentals of Accounting Volume 2 Partnership and Corporation					
Global International Trade					
Hornbook on Customs Tariff Classification Volume 1					
Hornbook on Customs Tariff Classification Volume 2					
Intermed"&amp;"iate Accounting Volume 1					
Intermediate Accounting Volume 2					
Intermediate Accounting Volume 3					
Obligations and Contracts, 2e					
Risk Management as Applied to Safety, Security, &amp; Sanitation, 2e					
Simplified Income Taxation 					
Simpl"&amp;"ified Transfer and Business Taxation, 2ed					")</f>
        <v>2 EACH:
Accounting for Business Combination ( A Comprehensive Approach) by Binaluyo, c2025, Loc					
Accounting for Special Transactions (A Comprehensive Approach) by Binaluyo, et.,al.,c2025, Loc					
Basic Financial Management					
Excellent Intermediate Accounting Volume 1					
Fundamentals of Accounting Volume 2 Partnership and Corporation					
Global International Trade					
Hornbook on Customs Tariff Classification Volume 1					
Hornbook on Customs Tariff Classification Volume 2					
Intermediate Accounting Volume 1					
Intermediate Accounting Volume 2					
Intermediate Accounting Volume 3					
Obligations and Contracts, 2e					
Risk Management as Applied to Safety, Security, &amp; Sanitation, 2e					
Simplified Income Taxation 					
Simplified Transfer and Business Taxation, 2ed					</v>
      </c>
      <c r="E2014" s="196" t="str">
        <f>IFERROR(__xludf.DUMMYFUNCTION("""COMPUTED_VALUE"""),"FOR PACUCOA COMPLIANCE")</f>
        <v>FOR PACUCOA COMPLIANCE</v>
      </c>
    </row>
    <row r="2015">
      <c r="A2015" s="234">
        <f>IFERROR(__xludf.DUMMYFUNCTION("""COMPUTED_VALUE"""),106848.0)</f>
        <v>106848</v>
      </c>
      <c r="B2015" s="235" t="str">
        <f>IFERROR(__xludf.DUMMYFUNCTION("""COMPUTED_VALUE"""),"MELISSA NAVAL ODOÑO / VICTOR MANABAT")</f>
        <v>MELISSA NAVAL ODOÑO / VICTOR MANABAT</v>
      </c>
      <c r="C2015" s="235" t="str">
        <f>IFERROR(__xludf.DUMMYFUNCTION("""COMPUTED_VALUE"""),"LIBRARY COLLEGE")</f>
        <v>LIBRARY COLLEGE</v>
      </c>
      <c r="D2015" s="196" t="str">
        <f>IFERROR(__xludf.DUMMYFUNCTION("""COMPUTED_VALUE"""),"2 EACH:
Strategic Business Analysis with Management					
Strategic Insights in Advanced Managerial Accounting					
The “Must Know” Basic Key Concepts in Taxation (For Commerce Students)					
Total Quality Management: An introduction					
Environmental"&amp;" Management: Concepts, Principles, and Practices with Introduction to Philippine EIS System, 2e					
Essentials of Risk Management					
Financial Accounting and Reporting					
Formulating and Implementing Policy &amp; Strategy In Business: An Analytic Appr"&amp;"oach to Concepts and Cases / Revised Edition					
Fundamentals of Accounting Volume 2 Partnership and Corporation					
Fundamentals of Advertising, Revised Edition					
Fundamentals of Business Analytics					
Introduction to Business Communication				"&amp;"	
Methods of Research in Business Education, 3e					
Microeconomics Theories and Practices					
Navigating Business Research From Data to Decision					")</f>
        <v>2 EACH:
Strategic Business Analysis with Management					
Strategic Insights in Advanced Managerial Accounting					
The “Must Know” Basic Key Concepts in Taxation (For Commerce Students)					
Total Quality Management: An introduction					
Environmental Management: Concepts, Principles, and Practices with Introduction to Philippine EIS System, 2e					
Essentials of Risk Management					
Financial Accounting and Reporting					
Formulating and Implementing Policy &amp; Strategy In Business: An Analytic Approach to Concepts and Cases / Revised Edition					
Fundamentals of Accounting Volume 2 Partnership and Corporation					
Fundamentals of Advertising, Revised Edition					
Fundamentals of Business Analytics					
Introduction to Business Communication					
Methods of Research in Business Education, 3e					
Microeconomics Theories and Practices					
Navigating Business Research From Data to Decision					</v>
      </c>
      <c r="E2015" s="196" t="str">
        <f>IFERROR(__xludf.DUMMYFUNCTION("""COMPUTED_VALUE"""),"FOR PACUCOA COMPLIANCE")</f>
        <v>FOR PACUCOA COMPLIANCE</v>
      </c>
    </row>
    <row r="2016">
      <c r="A2016" s="234">
        <f>IFERROR(__xludf.DUMMYFUNCTION("""COMPUTED_VALUE"""),106849.0)</f>
        <v>106849</v>
      </c>
      <c r="B2016" s="235" t="str">
        <f>IFERROR(__xludf.DUMMYFUNCTION("""COMPUTED_VALUE"""),"MELISSA NAVAL ODOÑO / VICTOR MANABAT")</f>
        <v>MELISSA NAVAL ODOÑO / VICTOR MANABAT</v>
      </c>
      <c r="C2016" s="235" t="str">
        <f>IFERROR(__xludf.DUMMYFUNCTION("""COMPUTED_VALUE"""),"LIBRARY COLLEGE")</f>
        <v>LIBRARY COLLEGE</v>
      </c>
      <c r="D2016" s="196" t="str">
        <f>IFERROR(__xludf.DUMMYFUNCTION("""COMPUTED_VALUE"""),"2 EACH:
Personal Finance: Towards Financial Freedom					
Principles of Market Research					
Professional Salesmanship					
Retail and Wholesale Enterprises					
Retail Management					
Simplified Transfer and Business Taxation, 2ed					
Synergizing e"&amp;"-Commerce, Social Media, and Drop shipping					
The Ultimate Guide to E-Commerce: From Start-up to Scale-up					
Understanding Marketing Research					
Work Ethics and Accountability in PUBLIC SERVICE in the Phils.,					")</f>
        <v>2 EACH:
Personal Finance: Towards Financial Freedom					
Principles of Market Research					
Professional Salesmanship					
Retail and Wholesale Enterprises					
Retail Management					
Simplified Transfer and Business Taxation, 2ed					
Synergizing e-Commerce, Social Media, and Drop shipping					
The Ultimate Guide to E-Commerce: From Start-up to Scale-up					
Understanding Marketing Research					
Work Ethics and Accountability in PUBLIC SERVICE in the Phils.,					</v>
      </c>
      <c r="E2016" s="196" t="str">
        <f>IFERROR(__xludf.DUMMYFUNCTION("""COMPUTED_VALUE"""),"FOR PACUCOA COMPLIANCE")</f>
        <v>FOR PACUCOA COMPLIANCE</v>
      </c>
    </row>
    <row r="2017">
      <c r="A2017" s="234">
        <f>IFERROR(__xludf.DUMMYFUNCTION("""COMPUTED_VALUE"""),106850.0)</f>
        <v>106850</v>
      </c>
      <c r="B2017" s="235" t="str">
        <f>IFERROR(__xludf.DUMMYFUNCTION("""COMPUTED_VALUE"""),"MELISSA NAVAL ODOÑO / KEI GABUTERO")</f>
        <v>MELISSA NAVAL ODOÑO / KEI GABUTERO</v>
      </c>
      <c r="C2017" s="235" t="str">
        <f>IFERROR(__xludf.DUMMYFUNCTION("""COMPUTED_VALUE"""),"LIBRARY COLLEGE")</f>
        <v>LIBRARY COLLEGE</v>
      </c>
      <c r="D2017" s="196" t="str">
        <f>IFERROR(__xludf.DUMMYFUNCTION("""COMPUTED_VALUE"""),"1 EACH:
Fact Check: 21st Century Technical Communication       (NOTE 4DAVID SUPPLIER)                                 
Speech and Theater Arts                                          (NOTE 4DAVID SUPPLIER) 
Introduction to Mass Communication: 2026 Releas"&amp;"e                                        
Media and Society                                        
Social Media Management                                        
Strategic Copywriting                                        
Film Art: Introduction       "&amp;"                                 
Directing the Story                                        
Cinematography Beyond Technique                                        
The Fundamentals of Film Making                                        
Theatre Brief, 14"&amp;"E                                        
Theater Arts: Acting, Staging, and Scripts                                        
Scriptwriting for Theatre and Screen                                        
Social Interaction and Dramatic Performance          "&amp;"                              
The Technique of Film and Video Editing, 7e                                        ")</f>
        <v>1 EACH:
Fact Check: 21st Century Technical Communication       (NOTE 4DAVID SUPPLIER)                                 
Speech and Theater Arts                                          (NOTE 4DAVID SUPPLIER) 
Introduction to Mass Communication: 2026 Release                                        
Media and Society                                        
Social Media Management                                        
Strategic Copywriting                                        
Film Art: Introduction                                        
Directing the Story                                        
Cinematography Beyond Technique                                        
The Fundamentals of Film Making                                        
Theatre Brief, 14E                                        
Theater Arts: Acting, Staging, and Scripts                                        
Scriptwriting for Theatre and Screen                                        
Social Interaction and Dramatic Performance                                        
The Technique of Film and Video Editing, 7e                                        </v>
      </c>
      <c r="E2017" s="196" t="str">
        <f>IFERROR(__xludf.DUMMYFUNCTION("""COMPUTED_VALUE"""),"FOR PACUCOA COMPLIANCE")</f>
        <v>FOR PACUCOA COMPLIANCE</v>
      </c>
    </row>
    <row r="2018">
      <c r="A2018" s="234">
        <f>IFERROR(__xludf.DUMMYFUNCTION("""COMPUTED_VALUE"""),106851.0)</f>
        <v>106851</v>
      </c>
      <c r="B2018" s="235" t="str">
        <f>IFERROR(__xludf.DUMMYFUNCTION("""COMPUTED_VALUE"""),"MELISSA NAVAL ODOÑO / KEI GABUTERO")</f>
        <v>MELISSA NAVAL ODOÑO / KEI GABUTERO</v>
      </c>
      <c r="C2018" s="235" t="str">
        <f>IFERROR(__xludf.DUMMYFUNCTION("""COMPUTED_VALUE"""),"LIBRARY COLLEGE")</f>
        <v>LIBRARY COLLEGE</v>
      </c>
      <c r="D2018" s="196" t="str">
        <f>IFERROR(__xludf.DUMMYFUNCTION("""COMPUTED_VALUE"""),"1 EACH:
Videography: Camera Angles and Storytelling					
The VES Handbook of Visual Effects, 4e					
Sound Reproduction, 4e					
Shaping Sound in the Studio and Beyond, 2e					
Media Planning and Strategy					
Marketing and Social Media					
Entrepr"&amp;"eneurship in Media and Entertainment					
Digital Storytelling: Creating Responsible Multimedia Content					
Videography: Camera Angles and Storytelling					
AI for Creative Media: Generative Art, Audio, and Video					
Writing and Editing for Digital "&amp;"Media, 6e					
Marketing in Creative Industries					
The end of information: Media, knowledge and education in a post-truth age					
Entrepreneurship in Media and Entertainment					
Purpose-Driven Documentaries					
Scheduling and Budgeting Your Film"&amp;", 3e					")</f>
        <v>1 EACH:
Videography: Camera Angles and Storytelling					
The VES Handbook of Visual Effects, 4e					
Sound Reproduction, 4e					
Shaping Sound in the Studio and Beyond, 2e					
Media Planning and Strategy					
Marketing and Social Media					
Entrepreneurship in Media and Entertainment					
Digital Storytelling: Creating Responsible Multimedia Content					
Videography: Camera Angles and Storytelling					
AI for Creative Media: Generative Art, Audio, and Video					
Writing and Editing for Digital Media, 6e					
Marketing in Creative Industries					
The end of information: Media, knowledge and education in a post-truth age					
Entrepreneurship in Media and Entertainment					
Purpose-Driven Documentaries					
Scheduling and Budgeting Your Film, 3e					</v>
      </c>
      <c r="E2018" s="196" t="str">
        <f>IFERROR(__xludf.DUMMYFUNCTION("""COMPUTED_VALUE"""),"FOR PACUCOA COMPLIANCE")</f>
        <v>FOR PACUCOA COMPLIANCE</v>
      </c>
    </row>
    <row r="2019">
      <c r="A2019" s="234">
        <f>IFERROR(__xludf.DUMMYFUNCTION("""COMPUTED_VALUE"""),106852.0)</f>
        <v>106852</v>
      </c>
      <c r="B2019" s="235" t="str">
        <f>IFERROR(__xludf.DUMMYFUNCTION("""COMPUTED_VALUE"""),"OWIE PAR")</f>
        <v>OWIE PAR</v>
      </c>
      <c r="C2019" s="235" t="str">
        <f>IFERROR(__xludf.DUMMYFUNCTION("""COMPUTED_VALUE"""),"ENGINEERING")</f>
        <v>ENGINEERING</v>
      </c>
      <c r="D2019" s="196" t="str">
        <f>IFERROR(__xludf.DUMMYFUNCTION("""COMPUTED_VALUE"""),"2 UNITS 3.0 HP WALL MOUNTED TYPE INVERTER PANASONIC")</f>
        <v>2 UNITS 3.0 HP WALL MOUNTED TYPE INVERTER PANASONIC</v>
      </c>
      <c r="E2019" s="196" t="str">
        <f>IFERROR(__xludf.DUMMYFUNCTION("""COMPUTED_VALUE"""),"LUX EAST WING 2/F CLASS RM EXPANSION RM 201 AND 203")</f>
        <v>LUX EAST WING 2/F CLASS RM EXPANSION RM 201 AND 203</v>
      </c>
    </row>
    <row r="2020">
      <c r="A2020" s="234">
        <f>IFERROR(__xludf.DUMMYFUNCTION("""COMPUTED_VALUE"""),106853.0)</f>
        <v>106853</v>
      </c>
      <c r="B2020" s="235" t="str">
        <f>IFERROR(__xludf.DUMMYFUNCTION("""COMPUTED_VALUE"""),"ALFA DE LEON")</f>
        <v>ALFA DE LEON</v>
      </c>
      <c r="C2020" s="235" t="str">
        <f>IFERROR(__xludf.DUMMYFUNCTION("""COMPUTED_VALUE"""),"ADMIN - STAR")</f>
        <v>ADMIN - STAR</v>
      </c>
      <c r="D2020" s="196" t="str">
        <f>IFERROR(__xludf.DUMMYFUNCTION("""COMPUTED_VALUE"""),"6 TOWER FAN")</f>
        <v>6 TOWER FAN</v>
      </c>
      <c r="E2020" s="196" t="str">
        <f>IFERROR(__xludf.DUMMYFUNCTION("""COMPUTED_VALUE"""),"PR PR LV CLINIC LIB ADMIN AND DP")</f>
        <v>PR PR LV CLINIC LIB ADMIN AND DP</v>
      </c>
    </row>
    <row r="2021">
      <c r="A2021" s="234">
        <f>IFERROR(__xludf.DUMMYFUNCTION("""COMPUTED_VALUE"""),106854.0)</f>
        <v>106854</v>
      </c>
      <c r="B2021" s="235" t="str">
        <f>IFERROR(__xludf.DUMMYFUNCTION("""COMPUTED_VALUE"""),"RODRIGO CUSTODIO")</f>
        <v>RODRIGO CUSTODIO</v>
      </c>
      <c r="C2021" s="235" t="str">
        <f>IFERROR(__xludf.DUMMYFUNCTION("""COMPUTED_VALUE"""),"AMD")</f>
        <v>AMD</v>
      </c>
      <c r="D2021" s="196" t="str">
        <f>IFERROR(__xludf.DUMMYFUNCTION("""COMPUTED_VALUE"""),"20 PCS MOP HANDLE 4FT BLUE MANSION
4 PCS STRIPPER PAD RED 3M")</f>
        <v>20 PCS MOP HANDLE 4FT BLUE MANSION
4 PCS STRIPPER PAD RED 3M</v>
      </c>
      <c r="E2021" s="196" t="str">
        <f>IFERROR(__xludf.DUMMYFUNCTION("""COMPUTED_VALUE"""),"HOUSEKEEPING MATERIALS STOCK REPLENISHMENT")</f>
        <v>HOUSEKEEPING MATERIALS STOCK REPLENISHMENT</v>
      </c>
    </row>
    <row r="2022">
      <c r="A2022" s="234">
        <f>IFERROR(__xludf.DUMMYFUNCTION("""COMPUTED_VALUE"""),106855.0)</f>
        <v>106855</v>
      </c>
      <c r="B2022" s="235" t="str">
        <f>IFERROR(__xludf.DUMMYFUNCTION("""COMPUTED_VALUE"""),"LYKA PERALTA")</f>
        <v>LYKA PERALTA</v>
      </c>
      <c r="C2022" s="235" t="str">
        <f>IFERROR(__xludf.DUMMYFUNCTION("""COMPUTED_VALUE"""),"AMD")</f>
        <v>AMD</v>
      </c>
      <c r="D2022" s="196" t="str">
        <f>IFERROR(__xludf.DUMMYFUNCTION("""COMPUTED_VALUE"""),"100 PCS SISC BUSINESS CARD HOLDER CASE PURPLE
100 PCS SISC BUSINESS CARD HOLDER CASE BLACK")</f>
        <v>100 PCS SISC BUSINESS CARD HOLDER CASE PURPLE
100 PCS SISC BUSINESS CARD HOLDER CASE BLACK</v>
      </c>
      <c r="E2022" s="196" t="str">
        <f>IFERROR(__xludf.DUMMYFUNCTION("""COMPUTED_VALUE"""),"TOKEN")</f>
        <v>TOKEN</v>
      </c>
    </row>
    <row r="2023">
      <c r="A2023" s="234">
        <f>IFERROR(__xludf.DUMMYFUNCTION("""COMPUTED_VALUE"""),106856.0)</f>
        <v>106856</v>
      </c>
      <c r="B2023" s="235" t="str">
        <f>IFERROR(__xludf.DUMMYFUNCTION("""COMPUTED_VALUE"""),"CHANA PHOEBE CHUA")</f>
        <v>CHANA PHOEBE CHUA</v>
      </c>
      <c r="C2023" s="235" t="str">
        <f>IFERROR(__xludf.DUMMYFUNCTION("""COMPUTED_VALUE"""),"PR &amp; MARKETING")</f>
        <v>PR &amp; MARKETING</v>
      </c>
      <c r="D2023" s="196" t="str">
        <f>IFERROR(__xludf.DUMMYFUNCTION("""COMPUTED_VALUE"""),"NEW TOYS FOR SGEN LEARNING VILLAGE ")</f>
        <v>NEW TOYS FOR SGEN LEARNING VILLAGE </v>
      </c>
      <c r="E2023" s="196" t="str">
        <f>IFERROR(__xludf.DUMMYFUNCTION("""COMPUTED_VALUE"""),"NEW TOYS FOR SGEN LEARNING VILLAGE ")</f>
        <v>NEW TOYS FOR SGEN LEARNING VILLAGE </v>
      </c>
    </row>
    <row r="2024">
      <c r="A2024" s="234">
        <f>IFERROR(__xludf.DUMMYFUNCTION("""COMPUTED_VALUE"""),106857.0)</f>
        <v>106857</v>
      </c>
      <c r="B2024" s="235" t="str">
        <f>IFERROR(__xludf.DUMMYFUNCTION("""COMPUTED_VALUE"""),"OWIE PAR")</f>
        <v>OWIE PAR</v>
      </c>
      <c r="C2024" s="235" t="str">
        <f>IFERROR(__xludf.DUMMYFUNCTION("""COMPUTED_VALUE"""),"ENGINEERING")</f>
        <v>ENGINEERING</v>
      </c>
      <c r="D2024" s="196" t="str">
        <f>IFERROR(__xludf.DUMMYFUNCTION("""COMPUTED_VALUE"""),"12 PCS CASTER WHEEL")</f>
        <v>12 PCS CASTER WHEEL</v>
      </c>
      <c r="E2024" s="196" t="str">
        <f>IFERROR(__xludf.DUMMYFUNCTION("""COMPUTED_VALUE"""),"TROP GYM BADMINTON STAND")</f>
        <v>TROP GYM BADMINTON STAND</v>
      </c>
    </row>
    <row r="2025">
      <c r="A2025" s="234">
        <f>IFERROR(__xludf.DUMMYFUNCTION("""COMPUTED_VALUE"""),106858.0)</f>
        <v>106858</v>
      </c>
      <c r="B2025" s="235" t="str">
        <f>IFERROR(__xludf.DUMMYFUNCTION("""COMPUTED_VALUE"""),"MELISSA ODOÑO ")</f>
        <v>MELISSA ODOÑO </v>
      </c>
      <c r="C2025" s="235" t="str">
        <f>IFERROR(__xludf.DUMMYFUNCTION("""COMPUTED_VALUE"""),"LIBRARY COLLEGE")</f>
        <v>LIBRARY COLLEGE</v>
      </c>
      <c r="D2025" s="196" t="str">
        <f>IFERROR(__xludf.DUMMYFUNCTION("""COMPUTED_VALUE"""),"2 EACH:
A Course Module for Teaching of Science (2025 Edition)					
A Course Module for: Art Appreciation (2023 Edition)					
A Course Module Science in Early Childhood Education					
Assessment in Learning 1: Traditional Assessment (Outcome-Based Educ"&amp;"ation Approach)					
Assessment Learning 1 : A Modular Approach, 2ed					
Assessment Learning 2 : A Modular Approach					
Assessment of Learning 1					
Assessment of Learning 2					
Blueprints: For Learning					
Breakthrough: Becoming who you were m"&amp;"eant to be					
Building and Enhancing New Literacies Across the Curriculum					
Building And Enhancing New Literacies Across The Curriculum OBE &amp; PPST-Based					
Building and Enhancing New Literacies Skills Across The Curriculum (2025 Edition)					
C"&amp;"hildhood Journey: Helping Children and Teens Fight Their Battles					
Competency Appraisal 1 - Professional Education: A Comprehensive Reviewer					")</f>
        <v>2 EACH:
A Course Module for Teaching of Science (2025 Edition)					
A Course Module for: Art Appreciation (2023 Edition)					
A Course Module Science in Early Childhood Education					
Assessment in Learning 1: Traditional Assessment (Outcome-Based Education Approach)					
Assessment Learning 1 : A Modular Approach, 2ed					
Assessment Learning 2 : A Modular Approach					
Assessment of Learning 1					
Assessment of Learning 2					
Blueprints: For Learning					
Breakthrough: Becoming who you were meant to be					
Building and Enhancing New Literacies Across the Curriculum					
Building And Enhancing New Literacies Across The Curriculum OBE &amp; PPST-Based					
Building and Enhancing New Literacies Skills Across The Curriculum (2025 Edition)					
Childhood Journey: Helping Children and Teens Fight Their Battles					
Competency Appraisal 1 - Professional Education: A Comprehensive Reviewer					</v>
      </c>
      <c r="E2025" s="196" t="str">
        <f>IFERROR(__xludf.DUMMYFUNCTION("""COMPUTED_VALUE"""),"PACUCOA COMPLIANCE")</f>
        <v>PACUCOA COMPLIANCE</v>
      </c>
    </row>
    <row r="2026">
      <c r="A2026" s="234">
        <f>IFERROR(__xludf.DUMMYFUNCTION("""COMPUTED_VALUE"""),106859.0)</f>
        <v>106859</v>
      </c>
      <c r="B2026" s="235" t="str">
        <f>IFERROR(__xludf.DUMMYFUNCTION("""COMPUTED_VALUE"""),"MELISSA ODOÑO ")</f>
        <v>MELISSA ODOÑO </v>
      </c>
      <c r="C2026" s="235" t="str">
        <f>IFERROR(__xludf.DUMMYFUNCTION("""COMPUTED_VALUE"""),"LIBRARY COLLEGE")</f>
        <v>LIBRARY COLLEGE</v>
      </c>
      <c r="D2026" s="196" t="str">
        <f>IFERROR(__xludf.DUMMYFUNCTION("""COMPUTED_VALUE"""),"2 EACH:
Facilitating Learner-Centered Teaching					
Facilitating Student-Centered Teaching &amp; Learning					
Field Study 1 (2nd Edition) Observations of Teaching-Learning in Actual School Environment					
Field Study 2					
Foundations of Special and In"&amp;"clusive Education					
Inclusive Education in Early Childhood Settings					
Lesson Planning Made Easy					
Modules in Teaching Multigrade Classes					
Structure of Filipino					
Teaching English in the Elementary Grade (Language Arts)					
Teaching "&amp;"Internship					
Teaching Internship OBE - &amp; PPST - Based					
Teaching Multigrade Classes					
Technology for Teaching and Learning 1					
The Student-Trainee's Guide to the Internship Program: An Outcomes-Based Education Approach					")</f>
        <v>2 EACH:
Facilitating Learner-Centered Teaching					
Facilitating Student-Centered Teaching &amp; Learning					
Field Study 1 (2nd Edition) Observations of Teaching-Learning in Actual School Environment					
Field Study 2					
Foundations of Special and Inclusive Education					
Inclusive Education in Early Childhood Settings					
Lesson Planning Made Easy					
Modules in Teaching Multigrade Classes					
Structure of Filipino					
Teaching English in the Elementary Grade (Language Arts)					
Teaching Internship					
Teaching Internship OBE - &amp; PPST - Based					
Teaching Multigrade Classes					
Technology for Teaching and Learning 1					
The Student-Trainee's Guide to the Internship Program: An Outcomes-Based Education Approach					</v>
      </c>
      <c r="E2026" s="196" t="str">
        <f>IFERROR(__xludf.DUMMYFUNCTION("""COMPUTED_VALUE"""),"PACUCOA COMPLIANCE")</f>
        <v>PACUCOA COMPLIANCE</v>
      </c>
    </row>
    <row r="2027">
      <c r="A2027" s="234">
        <f>IFERROR(__xludf.DUMMYFUNCTION("""COMPUTED_VALUE"""),106860.0)</f>
        <v>106860</v>
      </c>
      <c r="B2027" s="235" t="str">
        <f>IFERROR(__xludf.DUMMYFUNCTION("""COMPUTED_VALUE"""),"MELISSA ODOÑO ")</f>
        <v>MELISSA ODOÑO </v>
      </c>
      <c r="C2027" s="235" t="str">
        <f>IFERROR(__xludf.DUMMYFUNCTION("""COMPUTED_VALUE"""),"LIBRARY COLLEGE")</f>
        <v>LIBRARY COLLEGE</v>
      </c>
      <c r="D2027" s="196" t="str">
        <f>IFERROR(__xludf.DUMMYFUNCTION("""COMPUTED_VALUE"""),"2 EACH:
The Teacher and School Curriculum (2025 Edition)					
The Teacher and The Community, School Culture and Organizational Leadership (2025 Edition)					
The Teacher and the Community, School Culture, and Organizational Leadership					
The Teacher "&amp;"and the School Curriculum					
The Teacher and The School Curriculum					
The Teaching and Assessment of Literature Studies					
The Teaching Profession					
The Teaching Profession					
The Teaching Profession in the 21st Century					
Understanding"&amp;" the Self: A Teaching and Learning Resources					
Values Education: Legal and Ethical Perspective, 2e					
Exploring Children's Literature to Enhance Literacy in the Elementary Grades					
Spanish for Beginners, 2nd edition					")</f>
        <v>2 EACH:
The Teacher and School Curriculum (2025 Edition)					
The Teacher and The Community, School Culture and Organizational Leadership (2025 Edition)					
The Teacher and the Community, School Culture, and Organizational Leadership					
The Teacher and the School Curriculum					
The Teacher and The School Curriculum					
The Teaching and Assessment of Literature Studies					
The Teaching Profession					
The Teaching Profession					
The Teaching Profession in the 21st Century					
Understanding the Self: A Teaching and Learning Resources					
Values Education: Legal and Ethical Perspective, 2e					
Exploring Children's Literature to Enhance Literacy in the Elementary Grades					
Spanish for Beginners, 2nd edition					</v>
      </c>
      <c r="E2027" s="196" t="str">
        <f>IFERROR(__xludf.DUMMYFUNCTION("""COMPUTED_VALUE"""),"PACUCOA COMPLIANCE")</f>
        <v>PACUCOA COMPLIANCE</v>
      </c>
    </row>
    <row r="2028">
      <c r="A2028" s="234">
        <f>IFERROR(__xludf.DUMMYFUNCTION("""COMPUTED_VALUE"""),106861.0)</f>
        <v>106861</v>
      </c>
      <c r="B2028" s="235" t="str">
        <f>IFERROR(__xludf.DUMMYFUNCTION("""COMPUTED_VALUE"""),"MELISSA ODOÑO ")</f>
        <v>MELISSA ODOÑO </v>
      </c>
      <c r="C2028" s="235" t="str">
        <f>IFERROR(__xludf.DUMMYFUNCTION("""COMPUTED_VALUE"""),"LIBRARY COLLEGE")</f>
        <v>LIBRARY COLLEGE</v>
      </c>
      <c r="D2028" s="196" t="str">
        <f>IFERROR(__xludf.DUMMYFUNCTION("""COMPUTED_VALUE"""),"2 EACH:
Jose Rizal: In the Lens of the Modern Lens					
The Life and Works of Jose Rizal					
The History of Economic Thoughts					
The Journey Within: Understanding and Embracing the Self					
Exploring the Contemporary World					
The Contemporary W"&amp;"orld					
The Contemporary World: A Social Science Perspective					
The Contemporary World (2025 Edition)					")</f>
        <v>2 EACH:
Jose Rizal: In the Lens of the Modern Lens					
The Life and Works of Jose Rizal					
The History of Economic Thoughts					
The Journey Within: Understanding and Embracing the Self					
Exploring the Contemporary World					
The Contemporary World					
The Contemporary World: A Social Science Perspective					
The Contemporary World (2025 Edition)					</v>
      </c>
      <c r="E2028" s="196" t="str">
        <f>IFERROR(__xludf.DUMMYFUNCTION("""COMPUTED_VALUE"""),"PACUCOA COMPLIANCE")</f>
        <v>PACUCOA COMPLIANCE</v>
      </c>
    </row>
    <row r="2029">
      <c r="A2029" s="234">
        <f>IFERROR(__xludf.DUMMYFUNCTION("""COMPUTED_VALUE"""),106862.0)</f>
        <v>106862</v>
      </c>
      <c r="B2029" s="235" t="str">
        <f>IFERROR(__xludf.DUMMYFUNCTION("""COMPUTED_VALUE"""),"MELISSA ODOÑO ")</f>
        <v>MELISSA ODOÑO </v>
      </c>
      <c r="C2029" s="235" t="str">
        <f>IFERROR(__xludf.DUMMYFUNCTION("""COMPUTED_VALUE"""),"LIBRARY COLLEGE")</f>
        <v>LIBRARY COLLEGE</v>
      </c>
      <c r="D2029" s="196" t="str">
        <f>IFERROR(__xludf.DUMMYFUNCTION("""COMPUTED_VALUE"""),"2 EACH:
Foundation of Social Studies					
Foundations of Social Studies					
Gender Society: An Introduction					
Gender and Society with Peace Education Towards an All- encompassing Higher Education Perspective Second Edition					
Gender and Society	"&amp;"				
Religion, Religious Experiences, and Spirituality					
Trends and Issues in Social Studies					
Readings in Philippine History					")</f>
        <v>2 EACH:
Foundation of Social Studies					
Foundations of Social Studies					
Gender Society: An Introduction					
Gender and Society with Peace Education Towards an All- encompassing Higher Education Perspective Second Edition					
Gender and Society					
Religion, Religious Experiences, and Spirituality					
Trends and Issues in Social Studies					
Readings in Philippine History					</v>
      </c>
      <c r="E2029" s="196" t="str">
        <f>IFERROR(__xludf.DUMMYFUNCTION("""COMPUTED_VALUE"""),"PACUCOA COMPLIANCE")</f>
        <v>PACUCOA COMPLIANCE</v>
      </c>
    </row>
    <row r="2030">
      <c r="A2030" s="234">
        <f>IFERROR(__xludf.DUMMYFUNCTION("""COMPUTED_VALUE"""),106863.0)</f>
        <v>106863</v>
      </c>
      <c r="B2030" s="235" t="str">
        <f>IFERROR(__xludf.DUMMYFUNCTION("""COMPUTED_VALUE"""),"MELISSA ODOÑO ")</f>
        <v>MELISSA ODOÑO </v>
      </c>
      <c r="C2030" s="235" t="str">
        <f>IFERROR(__xludf.DUMMYFUNCTION("""COMPUTED_VALUE"""),"LIBRARY COLLEGE")</f>
        <v>LIBRARY COLLEGE</v>
      </c>
      <c r="D2030" s="196" t="str">
        <f>IFERROR(__xludf.DUMMYFUNCTION("""COMPUTED_VALUE"""),"2 EACH:
Basic ROTC Handbook Based in the latest program of instruction					
Disaster Readiness (2023 Edition)					
Human Person Gearing Towards Social Development: NSTP-CWTS 1 A Worktext for College Students (Updated Edition)					
Service-learning and "&amp;"Immersion Towards Community Building: NSTP-CWTS 2 A Worktext for College Students (Updated Edition)					
Structure of Filipino					
Ethics					
Foundations of Ethics					")</f>
        <v>2 EACH:
Basic ROTC Handbook Based in the latest program of instruction					
Disaster Readiness (2023 Edition)					
Human Person Gearing Towards Social Development: NSTP-CWTS 1 A Worktext for College Students (Updated Edition)					
Service-learning and Immersion Towards Community Building: NSTP-CWTS 2 A Worktext for College Students (Updated Edition)					
Structure of Filipino					
Ethics					
Foundations of Ethics					</v>
      </c>
      <c r="E2030" s="196" t="str">
        <f>IFERROR(__xludf.DUMMYFUNCTION("""COMPUTED_VALUE"""),"PACUCOA COMPLIANCE")</f>
        <v>PACUCOA COMPLIANCE</v>
      </c>
    </row>
    <row r="2031">
      <c r="A2031" s="234">
        <f>IFERROR(__xludf.DUMMYFUNCTION("""COMPUTED_VALUE"""),106864.0)</f>
        <v>106864</v>
      </c>
      <c r="B2031" s="235" t="str">
        <f>IFERROR(__xludf.DUMMYFUNCTION("""COMPUTED_VALUE"""),"MELISSA ODOÑO ")</f>
        <v>MELISSA ODOÑO </v>
      </c>
      <c r="C2031" s="235" t="str">
        <f>IFERROR(__xludf.DUMMYFUNCTION("""COMPUTED_VALUE"""),"LIBRARY COLLEGE")</f>
        <v>LIBRARY COLLEGE</v>
      </c>
      <c r="D2031" s="196" t="str">
        <f>IFERROR(__xludf.DUMMYFUNCTION("""COMPUTED_VALUE"""),"2 EACH:
Articulate to Innovate Purposive Communication in the AI Epoch					
Communicate to Create: Redefining Purposive Communication in the AI Age					
#Borderless Purposive Communication in the 21st Century					
Communicate to Create: Redefining Purp"&amp;"osive Communication in the AI Age					
Effective Communication: Charting Through Meaning Across Contexts					
EPR: English Proficiency for Empowered Professionals					
English for Purposive Communication ( A Modular Approach) Rev. Ed.					
Essentials "&amp;"of Purposive Communication					
Journalism Approach to Teaching and Learning Communication in English, rev.ed.					
Language Research 1: A Comprehensive Guide to Language Research Methodology					")</f>
        <v>2 EACH:
Articulate to Innovate Purposive Communication in the AI Epoch					
Communicate to Create: Redefining Purposive Communication in the AI Age					
#Borderless Purposive Communication in the 21st Century					
Communicate to Create: Redefining Purposive Communication in the AI Age					
Effective Communication: Charting Through Meaning Across Contexts					
EPR: English Proficiency for Empowered Professionals					
English for Purposive Communication ( A Modular Approach) Rev. Ed.					
Essentials of Purposive Communication					
Journalism Approach to Teaching and Learning Communication in English, rev.ed.					
Language Research 1: A Comprehensive Guide to Language Research Methodology					</v>
      </c>
      <c r="E2031" s="196" t="str">
        <f>IFERROR(__xludf.DUMMYFUNCTION("""COMPUTED_VALUE"""),"PACUCOA COMPLIANCE")</f>
        <v>PACUCOA COMPLIANCE</v>
      </c>
    </row>
    <row r="2032">
      <c r="A2032" s="234">
        <f>IFERROR(__xludf.DUMMYFUNCTION("""COMPUTED_VALUE"""),106865.0)</f>
        <v>106865</v>
      </c>
      <c r="B2032" s="235" t="str">
        <f>IFERROR(__xludf.DUMMYFUNCTION("""COMPUTED_VALUE"""),"MELISSA ODOÑO ")</f>
        <v>MELISSA ODOÑO </v>
      </c>
      <c r="C2032" s="235" t="str">
        <f>IFERROR(__xludf.DUMMYFUNCTION("""COMPUTED_VALUE"""),"LIBRARY COLLEGE")</f>
        <v>LIBRARY COLLEGE</v>
      </c>
      <c r="D2032" s="196" t="str">
        <f>IFERROR(__xludf.DUMMYFUNCTION("""COMPUTED_VALUE"""),"2 EACH:
Purposive Communication					
Purposive Communication					
Purposive Communication in Diverse contexts					
Purposive Communication in the NOW, 2nd edition					
Purposive Communication, Revised Edition					
Reading and Writing Skills, 2e					
"&amp;"
Upscaling Oral Communication Skills					")</f>
        <v>2 EACH:
Purposive Communication					
Purposive Communication					
Purposive Communication in Diverse contexts					
Purposive Communication in the NOW, 2nd edition					
Purposive Communication, Revised Edition					
Reading and Writing Skills, 2e					
Upscaling Oral Communication Skills					</v>
      </c>
      <c r="E2032" s="196" t="str">
        <f>IFERROR(__xludf.DUMMYFUNCTION("""COMPUTED_VALUE"""),"PACUCOA COMPLIANCE")</f>
        <v>PACUCOA COMPLIANCE</v>
      </c>
    </row>
    <row r="2033">
      <c r="A2033" s="234">
        <f>IFERROR(__xludf.DUMMYFUNCTION("""COMPUTED_VALUE"""),106866.0)</f>
        <v>106866</v>
      </c>
      <c r="B2033" s="235" t="str">
        <f>IFERROR(__xludf.DUMMYFUNCTION("""COMPUTED_VALUE"""),"MELISSA ODOÑO ")</f>
        <v>MELISSA ODOÑO </v>
      </c>
      <c r="C2033" s="235" t="str">
        <f>IFERROR(__xludf.DUMMYFUNCTION("""COMPUTED_VALUE"""),"LIBRARY COLLEGE")</f>
        <v>LIBRARY COLLEGE</v>
      </c>
      <c r="D2033" s="196" t="str">
        <f>IFERROR(__xludf.DUMMYFUNCTION("""COMPUTED_VALUE"""),"2 EACH:
A Worktext in Mathematics in the Modern World From Numbers to Networks A Modern Exploration of Mathematics 					
Calculus: Comprehensive Beginner's Guide to Advanced Perspective					
The Wonderful Applications of Mathematics in the Modern world	"&amp;"				
Teaching and Assessment of Literature Studies					")</f>
        <v>2 EACH:
A Worktext in Mathematics in the Modern World From Numbers to Networks A Modern Exploration of Mathematics 					
Calculus: Comprehensive Beginner's Guide to Advanced Perspective					
The Wonderful Applications of Mathematics in the Modern world					
Teaching and Assessment of Literature Studies					</v>
      </c>
      <c r="E2033" s="196" t="str">
        <f>IFERROR(__xludf.DUMMYFUNCTION("""COMPUTED_VALUE"""),"PACUCOA COMPLIANCE")</f>
        <v>PACUCOA COMPLIANCE</v>
      </c>
    </row>
    <row r="2034">
      <c r="A2034" s="234">
        <f>IFERROR(__xludf.DUMMYFUNCTION("""COMPUTED_VALUE"""),106867.0)</f>
        <v>106867</v>
      </c>
      <c r="B2034" s="235" t="str">
        <f>IFERROR(__xludf.DUMMYFUNCTION("""COMPUTED_VALUE"""),"MELISSA ODOÑO ")</f>
        <v>MELISSA ODOÑO </v>
      </c>
      <c r="C2034" s="235" t="str">
        <f>IFERROR(__xludf.DUMMYFUNCTION("""COMPUTED_VALUE"""),"LIBRARY COLLEGE")</f>
        <v>LIBRARY COLLEGE</v>
      </c>
      <c r="D2034" s="196" t="str">
        <f>IFERROR(__xludf.DUMMYFUNCTION("""COMPUTED_VALUE"""),"2 EACH:
A Course Module for Teaching of Science (2025 Edition)					
College Physics: A Strategic Approach, Global Edition					
""Mathematics, Science, and Technology People and Earth's
Ecosystem""					
Science, Technology &amp; Society 2e					
A Course Mo"&amp;"dule for: Art Appreciation (2023 Edition)					
Reading Visual Arts					")</f>
        <v>2 EACH:
A Course Module for Teaching of Science (2025 Edition)					
College Physics: A Strategic Approach, Global Edition					
"Mathematics, Science, and Technology People and Earth's
Ecosystem"					
Science, Technology &amp; Society 2e					
A Course Module for: Art Appreciation (2023 Edition)					
Reading Visual Arts					</v>
      </c>
      <c r="E2034" s="196" t="str">
        <f>IFERROR(__xludf.DUMMYFUNCTION("""COMPUTED_VALUE"""),"PACUCOA COMPLIANCE")</f>
        <v>PACUCOA COMPLIANCE</v>
      </c>
    </row>
    <row r="2035">
      <c r="A2035" s="234">
        <f>IFERROR(__xludf.DUMMYFUNCTION("""COMPUTED_VALUE"""),106868.0)</f>
        <v>106868</v>
      </c>
      <c r="B2035" s="235" t="str">
        <f>IFERROR(__xludf.DUMMYFUNCTION("""COMPUTED_VALUE"""),"MELISSA ODOÑO ")</f>
        <v>MELISSA ODOÑO </v>
      </c>
      <c r="C2035" s="235" t="str">
        <f>IFERROR(__xludf.DUMMYFUNCTION("""COMPUTED_VALUE"""),"LIBRARY COLLEGE")</f>
        <v>LIBRARY COLLEGE</v>
      </c>
      <c r="D2035" s="196" t="str">
        <f>IFERROR(__xludf.DUMMYFUNCTION("""COMPUTED_VALUE"""),"2 EACH:
Research and Thesis Writing with tips in Oral Presentation					
Research Series Monograph 101					
Research Writing Made Easy					
Thesis and Dissertation Writing Made Easy					
Understanding Research Design and Methods, 2e					
Writing Resea"&amp;"rch in the IMRaD Format: A College Researcher's Essential Guide					
Drills and Exercises for Intensive English					
Teaching and Assessment of Grammar					
Teaching and Assessment of Grammar					")</f>
        <v>2 EACH:
Research and Thesis Writing with tips in Oral Presentation					
Research Series Monograph 101					
Research Writing Made Easy					
Thesis and Dissertation Writing Made Easy					
Understanding Research Design and Methods, 2e					
Writing Research in the IMRaD Format: A College Researcher's Essential Guide					
Drills and Exercises for Intensive English					
Teaching and Assessment of Grammar					
Teaching and Assessment of Grammar					</v>
      </c>
      <c r="E2035" s="196" t="str">
        <f>IFERROR(__xludf.DUMMYFUNCTION("""COMPUTED_VALUE"""),"PACUCOA COMPLIANCE")</f>
        <v>PACUCOA COMPLIANCE</v>
      </c>
    </row>
    <row r="2036">
      <c r="A2036" s="234">
        <f>IFERROR(__xludf.DUMMYFUNCTION("""COMPUTED_VALUE"""),106869.0)</f>
        <v>106869</v>
      </c>
      <c r="B2036" s="235" t="str">
        <f>IFERROR(__xludf.DUMMYFUNCTION("""COMPUTED_VALUE"""),"MELISSA ODOÑO ")</f>
        <v>MELISSA ODOÑO </v>
      </c>
      <c r="C2036" s="235" t="str">
        <f>IFERROR(__xludf.DUMMYFUNCTION("""COMPUTED_VALUE"""),"LIBRARY COLLEGE")</f>
        <v>LIBRARY COLLEGE</v>
      </c>
      <c r="D2036" s="196" t="str">
        <f>IFERROR(__xludf.DUMMYFUNCTION("""COMPUTED_VALUE"""),"2 EACH:
A Modular Approach in Advanced Writing					
A Modular Approach To Teaching Grammar and Composition 1 - Form, Meaning and Use					
Advanced Research Methods					
Basics and Beyond in Professional Business Writing					
Business and Research Writ"&amp;"ing Manual					
English for Global Professionals for College Students					
Introduction to Research					
Learning Modules for Research Writing					
Learning Research The Easy Way Revised Edition					
Practical Research 1 (2022 Edition)					
Qualitat"&amp;"ive Research					
Quantitative Research					
Research 101					
Research 101 Notes and Style Guide in Thesis and Dissertation Writing for the Filipino					
Research and Statistics with Thesis and Dissertation Writing, Revised Edition					")</f>
        <v>2 EACH:
A Modular Approach in Advanced Writing					
A Modular Approach To Teaching Grammar and Composition 1 - Form, Meaning and Use					
Advanced Research Methods					
Basics and Beyond in Professional Business Writing					
Business and Research Writing Manual					
English for Global Professionals for College Students					
Introduction to Research					
Learning Modules for Research Writing					
Learning Research The Easy Way Revised Edition					
Practical Research 1 (2022 Edition)					
Qualitative Research					
Quantitative Research					
Research 101					
Research 101 Notes and Style Guide in Thesis and Dissertation Writing for the Filipino					
Research and Statistics with Thesis and Dissertation Writing, Revised Edition					</v>
      </c>
      <c r="E2036" s="196" t="str">
        <f>IFERROR(__xludf.DUMMYFUNCTION("""COMPUTED_VALUE"""),"PACUCOA COMPLIANCE")</f>
        <v>PACUCOA COMPLIANCE</v>
      </c>
    </row>
    <row r="2037">
      <c r="A2037" s="234">
        <f>IFERROR(__xludf.DUMMYFUNCTION("""COMPUTED_VALUE"""),106870.0)</f>
        <v>106870</v>
      </c>
      <c r="B2037" s="235" t="str">
        <f>IFERROR(__xludf.DUMMYFUNCTION("""COMPUTED_VALUE"""),"JESUIT CHRISTIAN GALICIA")</f>
        <v>JESUIT CHRISTIAN GALICIA</v>
      </c>
      <c r="C2037" s="235" t="str">
        <f>IFERROR(__xludf.DUMMYFUNCTION("""COMPUTED_VALUE"""),"AMD")</f>
        <v>AMD</v>
      </c>
      <c r="D2037" s="196" t="str">
        <f>IFERROR(__xludf.DUMMYFUNCTION("""COMPUTED_VALUE"""),"10 PCS DOOR CLOSER YALE")</f>
        <v>10 PCS DOOR CLOSER YALE</v>
      </c>
      <c r="E2037" s="196" t="str">
        <f>IFERROR(__xludf.DUMMYFUNCTION("""COMPUTED_VALUE"""),"ENGR WAREHOUSE STOCK REPLENISHMENT")</f>
        <v>ENGR WAREHOUSE STOCK REPLENISHMENT</v>
      </c>
    </row>
    <row r="2038">
      <c r="A2038" s="234">
        <f>IFERROR(__xludf.DUMMYFUNCTION("""COMPUTED_VALUE"""),106871.0)</f>
        <v>106871</v>
      </c>
      <c r="B2038" s="235" t="str">
        <f>IFERROR(__xludf.DUMMYFUNCTION("""COMPUTED_VALUE"""),"RAQUELYN NUÑEZ")</f>
        <v>RAQUELYN NUÑEZ</v>
      </c>
      <c r="C2038" s="235" t="str">
        <f>IFERROR(__xludf.DUMMYFUNCTION("""COMPUTED_VALUE"""),"SISC")</f>
        <v>SISC</v>
      </c>
      <c r="D2038" s="196" t="str">
        <f>IFERROR(__xludf.DUMMYFUNCTION("""COMPUTED_VALUE"""),"HOME ADDRESS ACRYLIC SIGN 6X12 BLACK/ SILVER 
1 NARRA RESIDENCES - BLK 5 12A
1 LAURELS  RESIDENCES - BLK 4 L5 
1 KATMON RESIDENCES - BLK 3 L11
1 HEART RESIDENCES - BLK 4 L 35B
1 STARS RESIDENCES - BLK 4 L13 C")</f>
        <v>HOME ADDRESS ACRYLIC SIGN 6X12 BLACK/ SILVER 
1 NARRA RESIDENCES - BLK 5 12A
1 LAURELS  RESIDENCES - BLK 4 L5 
1 KATMON RESIDENCES - BLK 3 L11
1 HEART RESIDENCES - BLK 4 L 35B
1 STARS RESIDENCES - BLK 4 L13 C</v>
      </c>
      <c r="E2038" s="196" t="str">
        <f>IFERROR(__xludf.DUMMYFUNCTION("""COMPUTED_VALUE"""),"RESIDENCES HOUSE NAMEPLATE")</f>
        <v>RESIDENCES HOUSE NAMEPLATE</v>
      </c>
    </row>
    <row r="2039">
      <c r="A2039" s="234">
        <f>IFERROR(__xludf.DUMMYFUNCTION("""COMPUTED_VALUE"""),106872.0)</f>
        <v>106872</v>
      </c>
      <c r="B2039" s="235" t="str">
        <f>IFERROR(__xludf.DUMMYFUNCTION("""COMPUTED_VALUE"""),"RONALDO VERDE")</f>
        <v>RONALDO VERDE</v>
      </c>
      <c r="C2039" s="235" t="str">
        <f>IFERROR(__xludf.DUMMYFUNCTION("""COMPUTED_VALUE"""),"ADMIN")</f>
        <v>ADMIN</v>
      </c>
      <c r="D2039" s="196" t="str">
        <f>IFERROR(__xludf.DUMMYFUNCTION("""COMPUTED_VALUE"""),"2 PCS MOTOLITE GOLD 35 M FOR SISC COASTER")</f>
        <v>2 PCS MOTOLITE GOLD 35 M FOR SISC COASTER</v>
      </c>
      <c r="E2039" s="196" t="str">
        <f>IFERROR(__xludf.DUMMYFUNCTION("""COMPUTED_VALUE"""),"PM VEHICLE BATTERY")</f>
        <v>PM VEHICLE BATTERY</v>
      </c>
    </row>
    <row r="2040">
      <c r="A2040" s="234">
        <f>IFERROR(__xludf.DUMMYFUNCTION("""COMPUTED_VALUE"""),106873.0)</f>
        <v>106873</v>
      </c>
      <c r="B2040" s="235" t="str">
        <f>IFERROR(__xludf.DUMMYFUNCTION("""COMPUTED_VALUE"""),"RONALDO VERDE")</f>
        <v>RONALDO VERDE</v>
      </c>
      <c r="C2040" s="235" t="str">
        <f>IFERROR(__xludf.DUMMYFUNCTION("""COMPUTED_VALUE"""),"ADMIN")</f>
        <v>ADMIN</v>
      </c>
      <c r="D2040" s="196" t="str">
        <f>IFERROR(__xludf.DUMMYFUNCTION("""COMPUTED_VALUE"""),"1PC MOTOLITE BATTERY 35M FOR SISC VAN ")</f>
        <v>1PC MOTOLITE BATTERY 35M FOR SISC VAN </v>
      </c>
      <c r="E2040" s="196" t="str">
        <f>IFERROR(__xludf.DUMMYFUNCTION("""COMPUTED_VALUE"""),"PM VEHICLE")</f>
        <v>PM VEHICLE</v>
      </c>
    </row>
    <row r="2041">
      <c r="A2041" s="234">
        <f>IFERROR(__xludf.DUMMYFUNCTION("""COMPUTED_VALUE"""),106874.0)</f>
        <v>106874</v>
      </c>
      <c r="B2041" s="235" t="str">
        <f>IFERROR(__xludf.DUMMYFUNCTION("""COMPUTED_VALUE"""),"CHRISTON CORBEZA")</f>
        <v>CHRISTON CORBEZA</v>
      </c>
      <c r="C2041" s="235" t="str">
        <f>IFERROR(__xludf.DUMMYFUNCTION("""COMPUTED_VALUE"""),"ADMIN - MUNICH")</f>
        <v>ADMIN - MUNICH</v>
      </c>
      <c r="D2041" s="196" t="str">
        <f>IFERROR(__xludf.DUMMYFUNCTION("""COMPUTED_VALUE"""),"2 PCS FLOOR FAN 
1 PC WALL FAN")</f>
        <v>2 PCS FLOOR FAN 
1 PC WALL FAN</v>
      </c>
      <c r="E2041" s="196" t="str">
        <f>IFERROR(__xludf.DUMMYFUNCTION("""COMPUTED_VALUE"""),"REPLACEMENT OF DEFECTIVE FAN")</f>
        <v>REPLACEMENT OF DEFECTIVE FAN</v>
      </c>
    </row>
    <row r="2042">
      <c r="A2042" s="234">
        <f>IFERROR(__xludf.DUMMYFUNCTION("""COMPUTED_VALUE"""),106875.0)</f>
        <v>106875</v>
      </c>
      <c r="B2042" s="235" t="str">
        <f>IFERROR(__xludf.DUMMYFUNCTION("""COMPUTED_VALUE"""),"RODRIGO CUSTODIO")</f>
        <v>RODRIGO CUSTODIO</v>
      </c>
      <c r="C2042" s="235" t="str">
        <f>IFERROR(__xludf.DUMMYFUNCTION("""COMPUTED_VALUE"""),"AMD")</f>
        <v>AMD</v>
      </c>
      <c r="D2042" s="196" t="str">
        <f>IFERROR(__xludf.DUMMYFUNCTION("""COMPUTED_VALUE"""),"46 PCS DEL FABRIC SOFTENER 1000ML")</f>
        <v>46 PCS DEL FABRIC SOFTENER 1000ML</v>
      </c>
      <c r="E2042" s="196" t="str">
        <f>IFERROR(__xludf.DUMMYFUNCTION("""COMPUTED_VALUE"""),"HOUSEKEEPING MATERIALS STOCK REPLENISHMENT")</f>
        <v>HOUSEKEEPING MATERIALS STOCK REPLENISHMENT</v>
      </c>
    </row>
    <row r="2043">
      <c r="A2043" s="234">
        <f>IFERROR(__xludf.DUMMYFUNCTION("""COMPUTED_VALUE"""),106876.0)</f>
        <v>106876</v>
      </c>
      <c r="B2043" s="235" t="str">
        <f>IFERROR(__xludf.DUMMYFUNCTION("""COMPUTED_VALUE"""),"FATIMA JANDOC")</f>
        <v>FATIMA JANDOC</v>
      </c>
      <c r="C2043" s="235" t="str">
        <f>IFERROR(__xludf.DUMMYFUNCTION("""COMPUTED_VALUE"""),"LIBRARY COLLEGE")</f>
        <v>LIBRARY COLLEGE</v>
      </c>
      <c r="D2043" s="196" t="str">
        <f>IFERROR(__xludf.DUMMYFUNCTION("""COMPUTED_VALUE"""),"4 AKARI 5 GANG EXTENSION CORD 3M WIRE")</f>
        <v>4 AKARI 5 GANG EXTENSION CORD 3M WIRE</v>
      </c>
      <c r="E2043" s="196" t="str">
        <f>IFERROR(__xludf.DUMMYFUNCTION("""COMPUTED_VALUE"""),"ADDITIONAL POWER ACCESS FOR STUDENTS' LAPTOP DEVICES")</f>
        <v>ADDITIONAL POWER ACCESS FOR STUDENTS' LAPTOP DEVICES</v>
      </c>
    </row>
    <row r="2044">
      <c r="A2044" s="234">
        <f>IFERROR(__xludf.DUMMYFUNCTION("""COMPUTED_VALUE"""),106877.0)</f>
        <v>106877</v>
      </c>
      <c r="B2044" s="235" t="str">
        <f>IFERROR(__xludf.DUMMYFUNCTION("""COMPUTED_VALUE"""),"JOHN JERICHO VENUS")</f>
        <v>JOHN JERICHO VENUS</v>
      </c>
      <c r="C2044" s="235" t="str">
        <f>IFERROR(__xludf.DUMMYFUNCTION("""COMPUTED_VALUE"""),"ADMIN")</f>
        <v>ADMIN</v>
      </c>
      <c r="D2044" s="196" t="str">
        <f>IFERROR(__xludf.DUMMYFUNCTION("""COMPUTED_VALUE"""),"3FT X 6FT TARPAULIN
3FT X 5FT TARPAULIN
2FT X 5FT TARPAULIN")</f>
        <v>3FT X 6FT TARPAULIN
3FT X 5FT TARPAULIN
2FT X 5FT TARPAULIN</v>
      </c>
      <c r="E2044" s="196" t="str">
        <f>IFERROR(__xludf.DUMMYFUNCTION("""COMPUTED_VALUE"""),"FOR LIMA LIBRARY ENTRANCE SIGNANE")</f>
        <v>FOR LIMA LIBRARY ENTRANCE SIGNANE</v>
      </c>
    </row>
    <row r="2045">
      <c r="A2045" s="234">
        <f>IFERROR(__xludf.DUMMYFUNCTION("""COMPUTED_VALUE"""),106878.0)</f>
        <v>106878</v>
      </c>
      <c r="B2045" s="235" t="str">
        <f>IFERROR(__xludf.DUMMYFUNCTION("""COMPUTED_VALUE"""),"SHEREE ESPINOSA")</f>
        <v>SHEREE ESPINOSA</v>
      </c>
      <c r="C2045" s="235" t="str">
        <f>IFERROR(__xludf.DUMMYFUNCTION("""COMPUTED_VALUE"""),"ADMIN")</f>
        <v>ADMIN</v>
      </c>
      <c r="D2045" s="196" t="str">
        <f>IFERROR(__xludf.DUMMYFUNCTION("""COMPUTED_VALUE"""),"14 PCS ELECTRIC FANS")</f>
        <v>14 PCS ELECTRIC FANS</v>
      </c>
      <c r="E2045" s="196" t="str">
        <f>IFERROR(__xludf.DUMMYFUNCTION("""COMPUTED_VALUE"""),"FOR THOSE OFFICES WITH FEWER 5 PERSONNEL FOR ENERGY CONSUMPTION")</f>
        <v>FOR THOSE OFFICES WITH FEWER 5 PERSONNEL FOR ENERGY CONSUMPTION</v>
      </c>
    </row>
    <row r="2046">
      <c r="A2046" s="234">
        <f>IFERROR(__xludf.DUMMYFUNCTION("""COMPUTED_VALUE"""),106879.0)</f>
        <v>106879</v>
      </c>
      <c r="B2046" s="235" t="str">
        <f>IFERROR(__xludf.DUMMYFUNCTION("""COMPUTED_VALUE"""),"SHEREE ESPINOSA")</f>
        <v>SHEREE ESPINOSA</v>
      </c>
      <c r="C2046" s="235" t="str">
        <f>IFERROR(__xludf.DUMMYFUNCTION("""COMPUTED_VALUE"""),"ADMIN")</f>
        <v>ADMIN</v>
      </c>
      <c r="D2046" s="196" t="str">
        <f>IFERROR(__xludf.DUMMYFUNCTION("""COMPUTED_VALUE"""),"1 WATER DISPENSER BOTTOM LOAD")</f>
        <v>1 WATER DISPENSER BOTTOM LOAD</v>
      </c>
      <c r="E2046" s="196" t="str">
        <f>IFERROR(__xludf.DUMMYFUNCTION("""COMPUTED_VALUE"""),"FOR MONARCHS HUB LOUNGE")</f>
        <v>FOR MONARCHS HUB LOUNGE</v>
      </c>
    </row>
    <row r="2047">
      <c r="A2047" s="234">
        <f>IFERROR(__xludf.DUMMYFUNCTION("""COMPUTED_VALUE"""),106880.0)</f>
        <v>106880</v>
      </c>
      <c r="B2047" s="235" t="str">
        <f>IFERROR(__xludf.DUMMYFUNCTION("""COMPUTED_VALUE"""),"RODRIGO CUSTODIO")</f>
        <v>RODRIGO CUSTODIO</v>
      </c>
      <c r="C2047" s="235" t="str">
        <f>IFERROR(__xludf.DUMMYFUNCTION("""COMPUTED_VALUE"""),"AMD")</f>
        <v>AMD</v>
      </c>
      <c r="D2047" s="196" t="str">
        <f>IFERROR(__xludf.DUMMYFUNCTION("""COMPUTED_VALUE"""),"274 PCS TISSUE ROLL BATH 2 PLY SANICARE")</f>
        <v>274 PCS TISSUE ROLL BATH 2 PLY SANICARE</v>
      </c>
      <c r="E2047" s="196" t="str">
        <f>IFERROR(__xludf.DUMMYFUNCTION("""COMPUTED_VALUE"""),"HOUSEKEEPING MATERIALS STOCK REPLENISHMENT")</f>
        <v>HOUSEKEEPING MATERIALS STOCK REPLENISHMENT</v>
      </c>
    </row>
    <row r="2048">
      <c r="A2048" s="234">
        <f>IFERROR(__xludf.DUMMYFUNCTION("""COMPUTED_VALUE"""),106881.0)</f>
        <v>106881</v>
      </c>
      <c r="B2048" s="235" t="str">
        <f>IFERROR(__xludf.DUMMYFUNCTION("""COMPUTED_VALUE"""),"MELISSA ODOÑO ")</f>
        <v>MELISSA ODOÑO </v>
      </c>
      <c r="C2048" s="235" t="str">
        <f>IFERROR(__xludf.DUMMYFUNCTION("""COMPUTED_VALUE"""),"LIBRARY COLLEGE")</f>
        <v>LIBRARY COLLEGE</v>
      </c>
      <c r="D2048" s="196" t="str">
        <f>IFERROR(__xludf.DUMMYFUNCTION("""COMPUTED_VALUE"""),"4 (Advanced Mandarin Language Course) 汉语进阶课 2nd Edition					
2 EACH:
A Comprehensive Guide to Travel Writing and Photography					
Applied Business Tools and Technologies in HRM (2023 Edition) (Paper Bound)					
Applied Business Tools and Technologies in"&amp;" Tourism and Hospitality					
Applied Business Tools and Technologies in Tourism and Hospitality					
Bar And Beverage Management, 2ed					
Beyond Conventional: Critiques and Insights for Navigating Philippine Realities					
Business Marketing					
C"&amp;"omprehensive Fundamentals of Lodging Operations					
Destination Management and Marketing					
Entrepreneurship for Hospitality and Tourism					
Entrepreneurship in Tourism and Hospitality					
Global Geography, Culture, and Travel Tourism					
Hajim"&amp;"emashou: Learn Basic Japanese					
Cost Control in Hospitality Industry					")</f>
        <v>4 (Advanced Mandarin Language Course) 汉语进阶课 2nd Edition					
2 EACH:
A Comprehensive Guide to Travel Writing and Photography					
Applied Business Tools and Technologies in HRM (2023 Edition) (Paper Bound)					
Applied Business Tools and Technologies in Tourism and Hospitality					
Applied Business Tools and Technologies in Tourism and Hospitality					
Bar And Beverage Management, 2ed					
Beyond Conventional: Critiques and Insights for Navigating Philippine Realities					
Business Marketing					
Comprehensive Fundamentals of Lodging Operations					
Destination Management and Marketing					
Entrepreneurship for Hospitality and Tourism					
Entrepreneurship in Tourism and Hospitality					
Global Geography, Culture, and Travel Tourism					
Hajimemashou: Learn Basic Japanese					
Cost Control in Hospitality Industry					</v>
      </c>
      <c r="E2048" s="196" t="str">
        <f>IFERROR(__xludf.DUMMYFUNCTION("""COMPUTED_VALUE"""),"PACUCOA COMPLIANCE")</f>
        <v>PACUCOA COMPLIANCE</v>
      </c>
    </row>
    <row r="2049">
      <c r="A2049" s="234">
        <f>IFERROR(__xludf.DUMMYFUNCTION("""COMPUTED_VALUE"""),106882.0)</f>
        <v>106882</v>
      </c>
      <c r="B2049" s="235" t="str">
        <f>IFERROR(__xludf.DUMMYFUNCTION("""COMPUTED_VALUE"""),"MELISSA ODOÑO ")</f>
        <v>MELISSA ODOÑO </v>
      </c>
      <c r="C2049" s="235" t="str">
        <f>IFERROR(__xludf.DUMMYFUNCTION("""COMPUTED_VALUE"""),"LIBRARY COLLEGE")</f>
        <v>LIBRARY COLLEGE</v>
      </c>
      <c r="D2049" s="196" t="str">
        <f>IFERROR(__xludf.DUMMYFUNCTION("""COMPUTED_VALUE"""),"2 EACH:
Heritage Tourism: A comprehensive  discussion in the Philippine Setting					
Introduction to Spanish Language					
Legal Aspects in Tourism &amp; Hospitality (The Philippine Tourisms Laws Simplified)					
Leisure and Recreation Management for Touri"&amp;"sm and Hospitality Industry					
Macroperspective in Tourism &amp; Hospitality Industry					
MANDARIN for Hospitality and Tourism in the Philippines					
Mastering Modern Supply Chains for Tourism and Hospitality Industry					
Micro Perspective in Tourism"&amp;" and Hospitality					
Micro Perspectives of Tourism and Hospitality					
Micro Perspectives of Tourism and Hospitality, Second Edition					
Multicultural Diversity In Workplace for the Tourism Professional (bookpaper)					
Multicultural Diversity in W"&amp;"orkplace for Tourism Professional					
Multicultural Diversity in Workplace for Tourism Professionals					
Operations Management in Tourism and Hospitality					
Operations Management in Tourism and Hospitality Industry					")</f>
        <v>2 EACH:
Heritage Tourism: A comprehensive  discussion in the Philippine Setting					
Introduction to Spanish Language					
Legal Aspects in Tourism &amp; Hospitality (The Philippine Tourisms Laws Simplified)					
Leisure and Recreation Management for Tourism and Hospitality Industry					
Macroperspective in Tourism &amp; Hospitality Industry					
MANDARIN for Hospitality and Tourism in the Philippines					
Mastering Modern Supply Chains for Tourism and Hospitality Industry					
Micro Perspective in Tourism and Hospitality					
Micro Perspectives of Tourism and Hospitality					
Micro Perspectives of Tourism and Hospitality, Second Edition					
Multicultural Diversity In Workplace for the Tourism Professional (bookpaper)					
Multicultural Diversity in Workplace for Tourism Professional					
Multicultural Diversity in Workplace for Tourism Professionals					
Operations Management in Tourism and Hospitality					
Operations Management in Tourism and Hospitality Industry					</v>
      </c>
      <c r="E2049" s="196" t="str">
        <f>IFERROR(__xludf.DUMMYFUNCTION("""COMPUTED_VALUE"""),"PACUCOA COMPLIANCE")</f>
        <v>PACUCOA COMPLIANCE</v>
      </c>
    </row>
    <row r="2050">
      <c r="A2050" s="234">
        <f>IFERROR(__xludf.DUMMYFUNCTION("""COMPUTED_VALUE"""),106883.0)</f>
        <v>106883</v>
      </c>
      <c r="B2050" s="235" t="str">
        <f>IFERROR(__xludf.DUMMYFUNCTION("""COMPUTED_VALUE"""),"MELISSA ODOÑO ")</f>
        <v>MELISSA ODOÑO </v>
      </c>
      <c r="C2050" s="235" t="str">
        <f>IFERROR(__xludf.DUMMYFUNCTION("""COMPUTED_VALUE"""),"LIBRARY COLLEGE")</f>
        <v>LIBRARY COLLEGE</v>
      </c>
      <c r="D2050" s="196" t="str">
        <f>IFERROR(__xludf.DUMMYFUNCTION("""COMPUTED_VALUE"""),"4 Practicum Manual College of Hospitality and Tourism Management					
2 EACH:
Operations Management: For Hospitality and Tourism Management					
Professional Development A Guide to Career Success					
Professional Development and applied Ethics					
Pro"&amp;"fessional Development and Applied Ethics (2023 Edition) (Paper Bound)					
Professional Development and applied Ethics in the Tourism and Hospitality Industry					
Professional Development and Applied Ethics: For Hospitality and Tourism Management					
"&amp;"
Quality Service Management in Tourism and Hospitality					
Quality Service Managment in Tourism and Hospitality					
Research in Tourism and Hospitality					
Research Writing in Tourism and Hospitality with Applied Data Analysis					
Strategic Manage"&amp;"ment: For Hospitality and Tourism Management					
Sustainable Communities and Tourism					
Sustainable Hospitality Management					
Sustainable Tourism					")</f>
        <v>4 Practicum Manual College of Hospitality and Tourism Management					
2 EACH:
Operations Management: For Hospitality and Tourism Management					
Professional Development A Guide to Career Success					
Professional Development and applied Ethics					
Professional Development and Applied Ethics (2023 Edition) (Paper Bound)					
Professional Development and applied Ethics in the Tourism and Hospitality Industry					
Professional Development and Applied Ethics: For Hospitality and Tourism Management					
Quality Service Management in Tourism and Hospitality					
Quality Service Managment in Tourism and Hospitality					
Research in Tourism and Hospitality					
Research Writing in Tourism and Hospitality with Applied Data Analysis					
Strategic Management: For Hospitality and Tourism Management					
Sustainable Communities and Tourism					
Sustainable Hospitality Management					
Sustainable Tourism					</v>
      </c>
      <c r="E2050" s="196" t="str">
        <f>IFERROR(__xludf.DUMMYFUNCTION("""COMPUTED_VALUE"""),"PACUCOA COMPLIANCE")</f>
        <v>PACUCOA COMPLIANCE</v>
      </c>
    </row>
    <row r="2051">
      <c r="A2051" s="234">
        <f>IFERROR(__xludf.DUMMYFUNCTION("""COMPUTED_VALUE"""),106884.0)</f>
        <v>106884</v>
      </c>
      <c r="B2051" s="235" t="str">
        <f>IFERROR(__xludf.DUMMYFUNCTION("""COMPUTED_VALUE"""),"MELISSA ODOÑO ")</f>
        <v>MELISSA ODOÑO </v>
      </c>
      <c r="C2051" s="235" t="str">
        <f>IFERROR(__xludf.DUMMYFUNCTION("""COMPUTED_VALUE"""),"LIBRARY COLLEGE")</f>
        <v>LIBRARY COLLEGE</v>
      </c>
      <c r="D2051" s="196" t="str">
        <f>IFERROR(__xludf.DUMMYFUNCTION("""COMPUTED_VALUE"""),"2 EACH:
Sustainable Tourism:					
Total Quality Management for Tourism and Hospitality					
Tourism &amp; Hospitality Research					
Tourism Research Methods					
Tourism, Hospitality and The Law - A Textbook On The Legal Aspect in Tourism and Hospitality	"&amp;"				
Transportation Management					
Travel &amp; Tour Management					")</f>
        <v>2 EACH:
Sustainable Tourism:					
Total Quality Management for Tourism and Hospitality					
Tourism &amp; Hospitality Research					
Tourism Research Methods					
Tourism, Hospitality and The Law - A Textbook On The Legal Aspect in Tourism and Hospitality					
Transportation Management					
Travel &amp; Tour Management					</v>
      </c>
      <c r="E2051" s="196" t="str">
        <f>IFERROR(__xludf.DUMMYFUNCTION("""COMPUTED_VALUE"""),"PACUCOA COMPLIANCE")</f>
        <v>PACUCOA COMPLIANCE</v>
      </c>
    </row>
    <row r="2052">
      <c r="A2052" s="234">
        <f>IFERROR(__xludf.DUMMYFUNCTION("""COMPUTED_VALUE"""),106885.0)</f>
        <v>106885</v>
      </c>
      <c r="B2052" s="235" t="str">
        <f>IFERROR(__xludf.DUMMYFUNCTION("""COMPUTED_VALUE"""),"JESUIT CHRISTIAN GALICIA")</f>
        <v>JESUIT CHRISTIAN GALICIA</v>
      </c>
      <c r="C2052" s="235" t="str">
        <f>IFERROR(__xludf.DUMMYFUNCTION("""COMPUTED_VALUE"""),"AMD")</f>
        <v>AMD</v>
      </c>
      <c r="D2052" s="196" t="str">
        <f>IFERROR(__xludf.DUMMYFUNCTION("""COMPUTED_VALUE"""),"15 PACKS CABLE TIE 200MM")</f>
        <v>15 PACKS CABLE TIE 200MM</v>
      </c>
      <c r="E2052" s="196" t="str">
        <f>IFERROR(__xludf.DUMMYFUNCTION("""COMPUTED_VALUE"""),"MIS WAREHOUSE STOCK REPLENISHMENT")</f>
        <v>MIS WAREHOUSE STOCK REPLENISHMENT</v>
      </c>
    </row>
    <row r="2053">
      <c r="A2053" s="234">
        <f>IFERROR(__xludf.DUMMYFUNCTION("""COMPUTED_VALUE"""),106886.0)</f>
        <v>106886</v>
      </c>
      <c r="B2053" s="235" t="str">
        <f>IFERROR(__xludf.DUMMYFUNCTION("""COMPUTED_VALUE"""),"LUCILLE BEYER")</f>
        <v>LUCILLE BEYER</v>
      </c>
      <c r="C2053" s="235" t="str">
        <f>IFERROR(__xludf.DUMMYFUNCTION("""COMPUTED_VALUE"""),"MEDICAL")</f>
        <v>MEDICAL</v>
      </c>
      <c r="D2053" s="196" t="str">
        <f>IFERROR(__xludf.DUMMYFUNCTION("""COMPUTED_VALUE"""),"400 — tablets — Biogesic
100 — tablets — Ceterizine 10mg
2 — bots — Alnix 5mg/5 ml/30 ml
2 — bots — Disudrin 120ml
2 — bots — Calpol Syrup 120mg/5 ml/60 ml
2 — bots — Tempra 250mg/5ml/120ml
200 — tablets — Kremil S
25 — pcs — Elastic bandages 4 inches
25 "&amp;"— pcs — Elastic bandages 3 inches
20 — boxes — Disposable mask
4 — tubes — Voltaren gel
20 — pcs — Bantam Bandaid
5 — packs — 300 balls/pack (cleene)")</f>
        <v>400 — tablets — Biogesic
100 — tablets — Ceterizine 10mg
2 — bots — Alnix 5mg/5 ml/30 ml
2 — bots — Disudrin 120ml
2 — bots — Calpol Syrup 120mg/5 ml/60 ml
2 — bots — Tempra 250mg/5ml/120ml
200 — tablets — Kremil S
25 — pcs — Elastic bandages 4 inches
25 — pcs — Elastic bandages 3 inches
20 — boxes — Disposable mask
4 — tubes — Voltaren gel
20 — pcs — Bantam Bandaid
5 — packs — 300 balls/pack (cleene)</v>
      </c>
      <c r="E2053" s="196" t="str">
        <f>IFERROR(__xludf.DUMMYFUNCTION("""COMPUTED_VALUE"""),"REPLENISHMENT OF CLINIC MED AND SUPPLIES FOR 3 CLINICS FOR MONTH OF APR AND MAY 2026")</f>
        <v>REPLENISHMENT OF CLINIC MED AND SUPPLIES FOR 3 CLINICS FOR MONTH OF APR AND MAY 2026</v>
      </c>
    </row>
    <row r="2054">
      <c r="A2054" s="234">
        <f>IFERROR(__xludf.DUMMYFUNCTION("""COMPUTED_VALUE"""),106887.0)</f>
        <v>106887</v>
      </c>
      <c r="B2054" s="235" t="str">
        <f>IFERROR(__xludf.DUMMYFUNCTION("""COMPUTED_VALUE"""),"RODRIGO CUSTODIO")</f>
        <v>RODRIGO CUSTODIO</v>
      </c>
      <c r="C2054" s="235" t="str">
        <f>IFERROR(__xludf.DUMMYFUNCTION("""COMPUTED_VALUE"""),"AMD")</f>
        <v>AMD</v>
      </c>
      <c r="D2054" s="196" t="str">
        <f>IFERROR(__xludf.DUMMYFUNCTION("""COMPUTED_VALUE"""),"30 GALS SOLVENT RUST AND SCALE REMOVER STATE LIME")</f>
        <v>30 GALS SOLVENT RUST AND SCALE REMOVER STATE LIME</v>
      </c>
      <c r="E2054" s="196" t="str">
        <f>IFERROR(__xludf.DUMMYFUNCTION("""COMPUTED_VALUE"""),"HOUSEKEEPING MATERIALS STOCK REPLENISHMENT")</f>
        <v>HOUSEKEEPING MATERIALS STOCK REPLENISHMENT</v>
      </c>
    </row>
    <row r="2055">
      <c r="A2055" s="234">
        <f>IFERROR(__xludf.DUMMYFUNCTION("""COMPUTED_VALUE"""),106888.0)</f>
        <v>106888</v>
      </c>
      <c r="B2055" s="235" t="str">
        <f>IFERROR(__xludf.DUMMYFUNCTION("""COMPUTED_VALUE"""),"RODRIGO CUSTODIO")</f>
        <v>RODRIGO CUSTODIO</v>
      </c>
      <c r="C2055" s="235" t="str">
        <f>IFERROR(__xludf.DUMMYFUNCTION("""COMPUTED_VALUE"""),"AMD")</f>
        <v>AMD</v>
      </c>
      <c r="D2055" s="196" t="str">
        <f>IFERROR(__xludf.DUMMYFUNCTION("""COMPUTED_VALUE"""),"130 PAIRS GLOVES HEAVY DUTY")</f>
        <v>130 PAIRS GLOVES HEAVY DUTY</v>
      </c>
      <c r="E2055" s="196" t="str">
        <f>IFERROR(__xludf.DUMMYFUNCTION("""COMPUTED_VALUE"""),"HOUSEKEEPING MATERIALS STOCK REPLENISHMENT")</f>
        <v>HOUSEKEEPING MATERIALS STOCK REPLENISHMENT</v>
      </c>
    </row>
    <row r="2056">
      <c r="A2056" s="234">
        <f>IFERROR(__xludf.DUMMYFUNCTION("""COMPUTED_VALUE"""),106889.0)</f>
        <v>106889</v>
      </c>
      <c r="B2056" s="235" t="str">
        <f>IFERROR(__xludf.DUMMYFUNCTION("""COMPUTED_VALUE"""),"JOHN JERICHO VENUS")</f>
        <v>JOHN JERICHO VENUS</v>
      </c>
      <c r="C2056" s="235" t="str">
        <f>IFERROR(__xludf.DUMMYFUNCTION("""COMPUTED_VALUE"""),"ADMIN")</f>
        <v>ADMIN</v>
      </c>
      <c r="D2056" s="196" t="str">
        <f>IFERROR(__xludf.DUMMYFUNCTION("""COMPUTED_VALUE"""),"2 pcs — Full Threaded Round Bar
8 pcs — Expansion Bolt
16 pair — Nut &amp; Washer
3 kg — R-32
2 roll — Copper Tube 5/8
2 roll — Copper Tube 3/8
10 pcs — Insulation 5/8
10 pcs — Insulation 3/8
1 roll — THHN #12
50 m — Flexible Pipe 1/2
10 PCS SILVER ROD 
5 PCS"&amp;" COPPER ELBOW 5/8")</f>
        <v>2 pcs — Full Threaded Round Bar
8 pcs — Expansion Bolt
16 pair — Nut &amp; Washer
3 kg — R-32
2 roll — Copper Tube 5/8
2 roll — Copper Tube 3/8
10 pcs — Insulation 5/8
10 pcs — Insulation 3/8
1 roll — THHN #12
50 m — Flexible Pipe 1/2
10 PCS SILVER ROD 
5 PCS COPPER ELBOW 5/8</v>
      </c>
      <c r="E2056" s="196" t="str">
        <f>IFERROR(__xludf.DUMMYFUNCTION("""COMPUTED_VALUE"""),"MATERIALS FOR ADDITIONAL AIRCON AT LIMA CENTER")</f>
        <v>MATERIALS FOR ADDITIONAL AIRCON AT LIMA CENTER</v>
      </c>
    </row>
    <row r="2057">
      <c r="A2057" s="234">
        <f>IFERROR(__xludf.DUMMYFUNCTION("""COMPUTED_VALUE"""),106890.0)</f>
        <v>106890</v>
      </c>
      <c r="B2057" s="235" t="str">
        <f>IFERROR(__xludf.DUMMYFUNCTION("""COMPUTED_VALUE"""),"OWIE PAR")</f>
        <v>OWIE PAR</v>
      </c>
      <c r="C2057" s="235" t="str">
        <f>IFERROR(__xludf.DUMMYFUNCTION("""COMPUTED_VALUE"""),"ADMIN")</f>
        <v>ADMIN</v>
      </c>
      <c r="D2057" s="196" t="str">
        <f>IFERROR(__xludf.DUMMYFUNCTION("""COMPUTED_VALUE"""),"1PC PURMIKA LAMINATING SHEET
2 BOTTLE RUGBY ")</f>
        <v>1PC PURMIKA LAMINATING SHEET
2 BOTTLE RUGBY </v>
      </c>
      <c r="E2057" s="196" t="str">
        <f>IFERROR(__xludf.DUMMYFUNCTION("""COMPUTED_VALUE"""),"FOR HR OFFICE")</f>
        <v>FOR HR OFFICE</v>
      </c>
    </row>
    <row r="2058">
      <c r="A2058" s="234">
        <f>IFERROR(__xludf.DUMMYFUNCTION("""COMPUTED_VALUE"""),106891.0)</f>
        <v>106891</v>
      </c>
      <c r="B2058" s="235" t="str">
        <f>IFERROR(__xludf.DUMMYFUNCTION("""COMPUTED_VALUE"""),"MARK PABUSTAN")</f>
        <v>MARK PABUSTAN</v>
      </c>
      <c r="C2058" s="235" t="str">
        <f>IFERROR(__xludf.DUMMYFUNCTION("""COMPUTED_VALUE"""),"ROBOTICS")</f>
        <v>ROBOTICS</v>
      </c>
      <c r="D2058" s="196" t="str">
        <f>IFERROR(__xludf.DUMMYFUNCTION("""COMPUTED_VALUE"""),"36 pcs — Black — Anti-Static Field Tiles (INTERLOCKING)
2 pcs — Grey — Esun PLA+ Filament
2 pcs — Black — Esun PLA+ Filament
2 pcs — White — Esun PLA+ Filament
2 pcs — Purple — Esun PLA+ Filament
2 pcs — RGB green — Esun PLA+ Filament
2 pcs — Brown — Esun"&amp;" PLA+ Filament
2 pcs — Red — Esun PLA+ Filament
2 pcs — Orange — Esun PLA+ Filament
2 pcs — Blue — Esun PLA+ Filament
2 pcs — Beige — Esun PLA+ Filament
1 pc — White — Bambu Lab PTFE Tube compatible with All Series")</f>
        <v>36 pcs — Black — Anti-Static Field Tiles (INTERLOCKING)
2 pcs — Grey — Esun PLA+ Filament
2 pcs — Black — Esun PLA+ Filament
2 pcs — White — Esun PLA+ Filament
2 pcs — Purple — Esun PLA+ Filament
2 pcs — RGB green — Esun PLA+ Filament
2 pcs — Brown — Esun PLA+ Filament
2 pcs — Red — Esun PLA+ Filament
2 pcs — Orange — Esun PLA+ Filament
2 pcs — Blue — Esun PLA+ Filament
2 pcs — Beige — Esun PLA+ Filament
1 pc — White — Bambu Lab PTFE Tube compatible with All Series</v>
      </c>
      <c r="E2058" s="196" t="str">
        <f>IFERROR(__xludf.DUMMYFUNCTION("""COMPUTED_VALUE"""),"FOR REPLENISHMENT AND ADDITIONAL MATERIALS FOR ROBOTICS LAB")</f>
        <v>FOR REPLENISHMENT AND ADDITIONAL MATERIALS FOR ROBOTICS LAB</v>
      </c>
    </row>
    <row r="2059">
      <c r="A2059" s="234">
        <f>IFERROR(__xludf.DUMMYFUNCTION("""COMPUTED_VALUE"""),106892.0)</f>
        <v>106892</v>
      </c>
      <c r="B2059" s="235" t="str">
        <f>IFERROR(__xludf.DUMMYFUNCTION("""COMPUTED_VALUE"""),"MARK PABUSTAN")</f>
        <v>MARK PABUSTAN</v>
      </c>
      <c r="C2059" s="235" t="str">
        <f>IFERROR(__xludf.DUMMYFUNCTION("""COMPUTED_VALUE"""),"ROBOTICS")</f>
        <v>ROBOTICS</v>
      </c>
      <c r="D2059" s="196" t="str">
        <f>IFERROR(__xludf.DUMMYFUNCTION("""COMPUTED_VALUE"""),"2 3D PRINTER P2S")</f>
        <v>2 3D PRINTER P2S</v>
      </c>
      <c r="E2059" s="196" t="str">
        <f>IFERROR(__xludf.DUMMYFUNCTION("""COMPUTED_VALUE"""),"ADDITIONAL EQUIPMENT")</f>
        <v>ADDITIONAL EQUIPMENT</v>
      </c>
    </row>
    <row r="2060">
      <c r="A2060" s="234">
        <f>IFERROR(__xludf.DUMMYFUNCTION("""COMPUTED_VALUE"""),106893.0)</f>
        <v>106893</v>
      </c>
      <c r="B2060" s="235" t="str">
        <f>IFERROR(__xludf.DUMMYFUNCTION("""COMPUTED_VALUE"""),"RAQUELYN NUÑEZ /  OWIE PAR")</f>
        <v>RAQUELYN NUÑEZ /  OWIE PAR</v>
      </c>
      <c r="C2060" s="235" t="str">
        <f>IFERROR(__xludf.DUMMYFUNCTION("""COMPUTED_VALUE"""),"TREX")</f>
        <v>TREX</v>
      </c>
      <c r="D2060" s="196" t="str">
        <f>IFERROR(__xludf.DUMMYFUNCTION("""COMPUTED_VALUE"""),"1 PANASONIC CW NI 220VPHN 1.5HP")</f>
        <v>1 PANASONIC CW NI 220VPHN 1.5HP</v>
      </c>
      <c r="E2060" s="196" t="str">
        <f>IFERROR(__xludf.DUMMYFUNCTION("""COMPUTED_VALUE"""),"REPLACEMENT OF DAMAGE ACU IN NARRA")</f>
        <v>REPLACEMENT OF DAMAGE ACU IN NARRA</v>
      </c>
    </row>
    <row r="2061">
      <c r="A2061" s="234">
        <f>IFERROR(__xludf.DUMMYFUNCTION("""COMPUTED_VALUE"""),106894.0)</f>
        <v>106894</v>
      </c>
      <c r="B2061" s="235" t="str">
        <f>IFERROR(__xludf.DUMMYFUNCTION("""COMPUTED_VALUE"""),"VIOLETA REVOLTAR")</f>
        <v>VIOLETA REVOLTAR</v>
      </c>
      <c r="C2061" s="235" t="str">
        <f>IFERROR(__xludf.DUMMYFUNCTION("""COMPUTED_VALUE"""),"CEM OFFICE")</f>
        <v>CEM OFFICE</v>
      </c>
      <c r="D2061" s="196" t="str">
        <f>IFERROR(__xludf.DUMMYFUNCTION("""COMPUTED_VALUE"""),"VELLUM PAPER 20 EACH COLOR
GREEN
YELLOW")</f>
        <v>VELLUM PAPER 20 EACH COLOR
GREEN
YELLOW</v>
      </c>
      <c r="E2061" s="196" t="str">
        <f>IFERROR(__xludf.DUMMYFUNCTION("""COMPUTED_VALUE"""),"FOR THE PUBLICATION OF THE CHRONICLES")</f>
        <v>FOR THE PUBLICATION OF THE CHRONICLES</v>
      </c>
    </row>
    <row r="2062">
      <c r="A2062" s="234">
        <f>IFERROR(__xludf.DUMMYFUNCTION("""COMPUTED_VALUE"""),106895.0)</f>
        <v>106895</v>
      </c>
      <c r="B2062" s="235" t="str">
        <f>IFERROR(__xludf.DUMMYFUNCTION("""COMPUTED_VALUE"""),"SHEREE ESPINOSA")</f>
        <v>SHEREE ESPINOSA</v>
      </c>
      <c r="C2062" s="235" t="str">
        <f>IFERROR(__xludf.DUMMYFUNCTION("""COMPUTED_VALUE"""),"ADMIN")</f>
        <v>ADMIN</v>
      </c>
      <c r="D2062" s="196" t="str">
        <f>IFERROR(__xludf.DUMMYFUNCTION("""COMPUTED_VALUE"""),"9 PCS PANEL LIGHTS 40 WATTS 60 HZ 220V ALPHALUX")</f>
        <v>9 PCS PANEL LIGHTS 40 WATTS 60 HZ 220V ALPHALUX</v>
      </c>
      <c r="E2062" s="196" t="str">
        <f>IFERROR(__xludf.DUMMYFUNCTION("""COMPUTED_VALUE"""),"FOR FINANCE OFFICE IMPROVEMENT OF LIGHTS")</f>
        <v>FOR FINANCE OFFICE IMPROVEMENT OF LIGHTS</v>
      </c>
    </row>
    <row r="2063">
      <c r="A2063" s="234">
        <f>IFERROR(__xludf.DUMMYFUNCTION("""COMPUTED_VALUE"""),106896.0)</f>
        <v>106896</v>
      </c>
      <c r="B2063" s="235" t="str">
        <f>IFERROR(__xludf.DUMMYFUNCTION("""COMPUTED_VALUE""")," LYKA PERALTA")</f>
        <v> LYKA PERALTA</v>
      </c>
      <c r="C2063" s="235" t="str">
        <f>IFERROR(__xludf.DUMMYFUNCTION("""COMPUTED_VALUE"""),"ABU")</f>
        <v>ABU</v>
      </c>
      <c r="D2063" s="196" t="str">
        <f>IFERROR(__xludf.DUMMYFUNCTION("""COMPUTED_VALUE"""),"1 PC CLAYGO PRINTED SINTRA BOARD 24"" X 36""
1 PC MISSION STATEMENT IN SINTRA BOARD 24"" X 36""
2 PCS IKEA FRAMES 24"" X 36"" COLOR BLACK")</f>
        <v>1 PC CLAYGO PRINTED SINTRA BOARD 24" X 36"
1 PC MISSION STATEMENT IN SINTRA BOARD 24" X 36"
2 PCS IKEA FRAMES 24" X 36" COLOR BLACK</v>
      </c>
      <c r="E2063" s="196" t="str">
        <f>IFERROR(__xludf.DUMMYFUNCTION("""COMPUTED_VALUE"""),"FOR ENHANCEMENT OF LUX DINING AREA")</f>
        <v>FOR ENHANCEMENT OF LUX DINING AREA</v>
      </c>
    </row>
    <row r="2064">
      <c r="A2064" s="234">
        <f>IFERROR(__xludf.DUMMYFUNCTION("""COMPUTED_VALUE"""),106897.0)</f>
        <v>106897</v>
      </c>
      <c r="B2064" s="235" t="str">
        <f>IFERROR(__xludf.DUMMYFUNCTION("""COMPUTED_VALUE"""),"CHARLES LEBECO DONOR")</f>
        <v>CHARLES LEBECO DONOR</v>
      </c>
      <c r="C2064" s="235" t="str">
        <f>IFERROR(__xludf.DUMMYFUNCTION("""COMPUTED_VALUE"""),"AMD")</f>
        <v>AMD</v>
      </c>
      <c r="D2064" s="196" t="str">
        <f>IFERROR(__xludf.DUMMYFUNCTION("""COMPUTED_VALUE"""),"Sticker Paper Glossy, Letter Size - FSI        STKR-GEN-10-0003        112 pcs.")</f>
        <v>Sticker Paper Glossy, Letter Size - FSI        STKR-GEN-10-0003        112 pcs.</v>
      </c>
      <c r="E2064" s="196" t="str">
        <f>IFERROR(__xludf.DUMMYFUNCTION("""COMPUTED_VALUE"""),"OSSUP REPLENISHMENTS")</f>
        <v>OSSUP REPLENISHMENTS</v>
      </c>
    </row>
    <row r="2065">
      <c r="A2065" s="234">
        <f>IFERROR(__xludf.DUMMYFUNCTION("""COMPUTED_VALUE"""),106898.0)</f>
        <v>106898</v>
      </c>
      <c r="B2065" s="235" t="str">
        <f>IFERROR(__xludf.DUMMYFUNCTION("""COMPUTED_VALUE"""),"CHARLES LEBECO DONOR")</f>
        <v>CHARLES LEBECO DONOR</v>
      </c>
      <c r="C2065" s="235" t="str">
        <f>IFERROR(__xludf.DUMMYFUNCTION("""COMPUTED_VALUE"""),"AMD")</f>
        <v>AMD</v>
      </c>
      <c r="D2065" s="196" t="str">
        <f>IFERROR(__xludf.DUMMYFUNCTION("""COMPUTED_VALUE"""),"Dispenser, Tape Big	DISP-GEN-10-0001	7 PCS.
")</f>
        <v>Dispenser, Tape Big	DISP-GEN-10-0001	7 PCS.
</v>
      </c>
      <c r="E2065" s="196" t="str">
        <f>IFERROR(__xludf.DUMMYFUNCTION("""COMPUTED_VALUE"""),"OSSUP REPLENISHMENTS")</f>
        <v>OSSUP REPLENISHMENTS</v>
      </c>
    </row>
    <row r="2066">
      <c r="A2066" s="234">
        <f>IFERROR(__xludf.DUMMYFUNCTION("""COMPUTED_VALUE"""),106899.0)</f>
        <v>106899</v>
      </c>
      <c r="B2066" s="235" t="str">
        <f>IFERROR(__xludf.DUMMYFUNCTION("""COMPUTED_VALUE"""),"CHARLES LEBECO DONOR")</f>
        <v>CHARLES LEBECO DONOR</v>
      </c>
      <c r="C2066" s="235" t="str">
        <f>IFERROR(__xludf.DUMMYFUNCTION("""COMPUTED_VALUE"""),"AMD")</f>
        <v>AMD</v>
      </c>
      <c r="D2066" s="196" t="str">
        <f>IFERROR(__xludf.DUMMYFUNCTION("""COMPUTED_VALUE"""),"Toner, Cartridge CF500A Black        TONR-JMD-10-0016        10 pcs.")</f>
        <v>Toner, Cartridge CF500A Black        TONR-JMD-10-0016        10 pcs.</v>
      </c>
      <c r="E2066" s="196" t="str">
        <f>IFERROR(__xludf.DUMMYFUNCTION("""COMPUTED_VALUE"""),"OSSUP REPLENISHMENTS")</f>
        <v>OSSUP REPLENISHMENTS</v>
      </c>
    </row>
    <row r="2067">
      <c r="A2067" s="234">
        <f>IFERROR(__xludf.DUMMYFUNCTION("""COMPUTED_VALUE"""),106900.0)</f>
        <v>106900</v>
      </c>
      <c r="B2067" s="235" t="str">
        <f>IFERROR(__xludf.DUMMYFUNCTION("""COMPUTED_VALUE"""),"ELMIE LAUDIATO")</f>
        <v>ELMIE LAUDIATO</v>
      </c>
      <c r="C2067" s="235" t="str">
        <f>IFERROR(__xludf.DUMMYFUNCTION("""COMPUTED_VALUE"""),"HRMD")</f>
        <v>HRMD</v>
      </c>
      <c r="D2067" s="196" t="str">
        <f>IFERROR(__xludf.DUMMYFUNCTION("""COMPUTED_VALUE"""),"FLOWER WREATH ")</f>
        <v>FLOWER WREATH </v>
      </c>
      <c r="E2067" s="196" t="str">
        <f>IFERROR(__xludf.DUMMYFUNCTION("""COMPUTED_VALUE"""),"FLOWER WREATH FOR THE FATHER OF MS VIOLA VILLENA")</f>
        <v>FLOWER WREATH FOR THE FATHER OF MS VIOLA VILLENA</v>
      </c>
    </row>
    <row r="2068">
      <c r="A2068" s="234">
        <f>IFERROR(__xludf.DUMMYFUNCTION("""COMPUTED_VALUE"""),106901.0)</f>
        <v>106901</v>
      </c>
      <c r="B2068" s="235" t="str">
        <f>IFERROR(__xludf.DUMMYFUNCTION("""COMPUTED_VALUE"""),"JESUIT CHRISTIAN GALICIA")</f>
        <v>JESUIT CHRISTIAN GALICIA</v>
      </c>
      <c r="C2068" s="235" t="str">
        <f>IFERROR(__xludf.DUMMYFUNCTION("""COMPUTED_VALUE"""),"AMD")</f>
        <v>AMD</v>
      </c>
      <c r="D2068" s="196" t="str">
        <f>IFERROR(__xludf.DUMMYFUNCTION("""COMPUTED_VALUE"""),"20 PCS TANK FITTINGS 
20 PCS FAUCET TANSO
15 PCS DRAWER LOCK 
10 PCS CAPACITOR 2.5 UF")</f>
        <v>20 PCS TANK FITTINGS 
20 PCS FAUCET TANSO
15 PCS DRAWER LOCK 
10 PCS CAPACITOR 2.5 UF</v>
      </c>
      <c r="E2068" s="196" t="str">
        <f>IFERROR(__xludf.DUMMYFUNCTION("""COMPUTED_VALUE"""),"ENGR WAREHOUSE STOCK REPLENISHMENT")</f>
        <v>ENGR WAREHOUSE STOCK REPLENISHMENT</v>
      </c>
    </row>
    <row r="2069">
      <c r="A2069" s="234">
        <f>IFERROR(__xludf.DUMMYFUNCTION("""COMPUTED_VALUE"""),106902.0)</f>
        <v>106902</v>
      </c>
      <c r="B2069" s="235" t="str">
        <f>IFERROR(__xludf.DUMMYFUNCTION("""COMPUTED_VALUE"""),"JESUIT CHRISTIAN GALICIA")</f>
        <v>JESUIT CHRISTIAN GALICIA</v>
      </c>
      <c r="C2069" s="235" t="str">
        <f>IFERROR(__xludf.DUMMYFUNCTION("""COMPUTED_VALUE"""),"AMD")</f>
        <v>AMD</v>
      </c>
      <c r="D2069" s="196" t="str">
        <f>IFERROR(__xludf.DUMMYFUNCTION("""COMPUTED_VALUE"""),"100 PCS LED BULB 8W DAYLIGHT ")</f>
        <v>100 PCS LED BULB 8W DAYLIGHT </v>
      </c>
      <c r="E2069" s="196" t="str">
        <f>IFERROR(__xludf.DUMMYFUNCTION("""COMPUTED_VALUE"""),"ENGR WAREHOUSE STOCK REPLENISHMENT")</f>
        <v>ENGR WAREHOUSE STOCK REPLENISHMENT</v>
      </c>
    </row>
    <row r="2070">
      <c r="A2070" s="234">
        <f>IFERROR(__xludf.DUMMYFUNCTION("""COMPUTED_VALUE"""),106903.0)</f>
        <v>106903</v>
      </c>
      <c r="B2070" s="235" t="str">
        <f>IFERROR(__xludf.DUMMYFUNCTION("""COMPUTED_VALUE"""),"RODRIGO CUSTODIO")</f>
        <v>RODRIGO CUSTODIO</v>
      </c>
      <c r="C2070" s="235" t="str">
        <f>IFERROR(__xludf.DUMMYFUNCTION("""COMPUTED_VALUE"""),"AMD")</f>
        <v>AMD</v>
      </c>
      <c r="D2070" s="196" t="str">
        <f>IFERROR(__xludf.DUMMYFUNCTION("""COMPUTED_VALUE"""),"11 PCS PEST OFF RAT CATCHER GLUE BOARD")</f>
        <v>11 PCS PEST OFF RAT CATCHER GLUE BOARD</v>
      </c>
      <c r="E2070" s="196" t="str">
        <f>IFERROR(__xludf.DUMMYFUNCTION("""COMPUTED_VALUE"""),"HOUSEKEEPING MATERIALS STOCK REPLENISHMENT")</f>
        <v>HOUSEKEEPING MATERIALS STOCK REPLENISHMENT</v>
      </c>
    </row>
    <row r="2071">
      <c r="A2071" s="234">
        <f>IFERROR(__xludf.DUMMYFUNCTION("""COMPUTED_VALUE"""),106904.0)</f>
        <v>106904</v>
      </c>
      <c r="B2071" s="235" t="str">
        <f>IFERROR(__xludf.DUMMYFUNCTION("""COMPUTED_VALUE"""),"SHEREE ESPINOSA")</f>
        <v>SHEREE ESPINOSA</v>
      </c>
      <c r="C2071" s="235" t="str">
        <f>IFERROR(__xludf.DUMMYFUNCTION("""COMPUTED_VALUE"""),"ADMIN")</f>
        <v>ADMIN</v>
      </c>
      <c r="D2071" s="196" t="str">
        <f>IFERROR(__xludf.DUMMYFUNCTION("""COMPUTED_VALUE"""),"100 PCS SELF ADHESIVE HOOK")</f>
        <v>100 PCS SELF ADHESIVE HOOK</v>
      </c>
      <c r="E2071" s="196" t="str">
        <f>IFERROR(__xludf.DUMMYFUNCTION("""COMPUTED_VALUE"""),"FOR THE GROWTH MINDSET FRAMES")</f>
        <v>FOR THE GROWTH MINDSET FRAMES</v>
      </c>
    </row>
    <row r="2072">
      <c r="A2072" s="234">
        <f>IFERROR(__xludf.DUMMYFUNCTION("""COMPUTED_VALUE"""),106905.0)</f>
        <v>106905</v>
      </c>
      <c r="B2072" s="235" t="str">
        <f>IFERROR(__xludf.DUMMYFUNCTION("""COMPUTED_VALUE"""),"OWIE PAR")</f>
        <v>OWIE PAR</v>
      </c>
      <c r="C2072" s="235" t="str">
        <f>IFERROR(__xludf.DUMMYFUNCTION("""COMPUTED_VALUE"""),"ENGINEERING")</f>
        <v>ENGINEERING</v>
      </c>
      <c r="D2072" s="196" t="str">
        <f>IFERROR(__xludf.DUMMYFUNCTION("""COMPUTED_VALUE"""),"2 PCS ROUND BAR 10MM
1KG WELDING ROD
1 LITER EPOXY PRIMER
1 LITER GLDE WHITE
1 TINTING COLOR THALO BLUE
1 BOTTLE LAQUER THINNER
2 PCS PAINT BRUSH")</f>
        <v>2 PCS ROUND BAR 10MM
1KG WELDING ROD
1 LITER EPOXY PRIMER
1 LITER GLDE WHITE
1 TINTING COLOR THALO BLUE
1 BOTTLE LAQUER THINNER
2 PCS PAINT BRUSH</v>
      </c>
      <c r="E2072" s="196" t="str">
        <f>IFERROR(__xludf.DUMMYFUNCTION("""COMPUTED_VALUE"""),"FOR STAR CAMPUS BACK GATE REPAIR")</f>
        <v>FOR STAR CAMPUS BACK GATE REPAIR</v>
      </c>
    </row>
    <row r="2073">
      <c r="A2073" s="234">
        <f>IFERROR(__xludf.DUMMYFUNCTION("""COMPUTED_VALUE"""),106906.0)</f>
        <v>106906</v>
      </c>
      <c r="B2073" s="235" t="str">
        <f>IFERROR(__xludf.DUMMYFUNCTION("""COMPUTED_VALUE"""),"RODRIGO CUSTODIO")</f>
        <v>RODRIGO CUSTODIO</v>
      </c>
      <c r="C2073" s="235" t="str">
        <f>IFERROR(__xludf.DUMMYFUNCTION("""COMPUTED_VALUE"""),"AMD")</f>
        <v>AMD</v>
      </c>
      <c r="D2073" s="196" t="str">
        <f>IFERROR(__xludf.DUMMYFUNCTION("""COMPUTED_VALUE"""),"12 BOTTLES LYSOL FRESH AIR FRESHENER 340G
36 PCS DUST PAN ")</f>
        <v>12 BOTTLES LYSOL FRESH AIR FRESHENER 340G
36 PCS DUST PAN </v>
      </c>
      <c r="E2073" s="196" t="str">
        <f>IFERROR(__xludf.DUMMYFUNCTION("""COMPUTED_VALUE"""),"HOUSEKEEPING MATERIALS STOCK REPLENISHMENT")</f>
        <v>HOUSEKEEPING MATERIALS STOCK REPLENISHMENT</v>
      </c>
    </row>
    <row r="2074">
      <c r="A2074" s="234">
        <f>IFERROR(__xludf.DUMMYFUNCTION("""COMPUTED_VALUE"""),106907.0)</f>
        <v>106907</v>
      </c>
      <c r="B2074" s="235" t="str">
        <f>IFERROR(__xludf.DUMMYFUNCTION("""COMPUTED_VALUE"""),"JOHN JERICHO VENUS")</f>
        <v>JOHN JERICHO VENUS</v>
      </c>
      <c r="C2074" s="235" t="str">
        <f>IFERROR(__xludf.DUMMYFUNCTION("""COMPUTED_VALUE"""),"ADMIN")</f>
        <v>ADMIN</v>
      </c>
      <c r="D2074" s="196" t="str">
        <f>IFERROR(__xludf.DUMMYFUNCTION("""COMPUTED_VALUE"""),".2M X 6M ARTIFICIAL TURF GRASS ( PLASTIC LAWN)
.4M X 5M SUN SHADE (BEIGE)
NOMAD FLOOR MAT (GREEN)")</f>
        <v>.2M X 6M ARTIFICIAL TURF GRASS ( PLASTIC LAWN)
.4M X 5M SUN SHADE (BEIGE)
NOMAD FLOOR MAT (GREEN)</v>
      </c>
      <c r="E2074" s="196" t="str">
        <f>IFERROR(__xludf.DUMMYFUNCTION("""COMPUTED_VALUE"""),"ADDIDTIONAL DECORATION OF LIMA CENTER FOR IMPROVEMENT")</f>
        <v>ADDIDTIONAL DECORATION OF LIMA CENTER FOR IMPROVEMENT</v>
      </c>
    </row>
    <row r="2075">
      <c r="A2075" s="234">
        <f>IFERROR(__xludf.DUMMYFUNCTION("""COMPUTED_VALUE"""),106908.0)</f>
        <v>106908</v>
      </c>
      <c r="B2075" s="235" t="str">
        <f>IFERROR(__xludf.DUMMYFUNCTION("""COMPUTED_VALUE"""),"JESUIT CHRISTIAN GALICIA")</f>
        <v>JESUIT CHRISTIAN GALICIA</v>
      </c>
      <c r="C2075" s="235" t="str">
        <f>IFERROR(__xludf.DUMMYFUNCTION("""COMPUTED_VALUE"""),"AMD")</f>
        <v>AMD</v>
      </c>
      <c r="D2075" s="196" t="str">
        <f>IFERROR(__xludf.DUMMYFUNCTION("""COMPUTED_VALUE"""),"20 PCS A4TECH WEB CAM PK 980HA")</f>
        <v>20 PCS A4TECH WEB CAM PK 980HA</v>
      </c>
      <c r="E2075" s="196" t="str">
        <f>IFERROR(__xludf.DUMMYFUNCTION("""COMPUTED_VALUE"""),"MIS WAREHOUSE STOCK REPLENISHMENT")</f>
        <v>MIS WAREHOUSE STOCK REPLENISHMENT</v>
      </c>
    </row>
    <row r="2076">
      <c r="A2076" s="234">
        <f>IFERROR(__xludf.DUMMYFUNCTION("""COMPUTED_VALUE"""),106909.0)</f>
        <v>106909</v>
      </c>
      <c r="B2076" s="235" t="str">
        <f>IFERROR(__xludf.DUMMYFUNCTION("""COMPUTED_VALUE"""),"JESUIT CHRISTIAN GALICIA")</f>
        <v>JESUIT CHRISTIAN GALICIA</v>
      </c>
      <c r="C2076" s="235" t="str">
        <f>IFERROR(__xludf.DUMMYFUNCTION("""COMPUTED_VALUE"""),"AMD")</f>
        <v>AMD</v>
      </c>
      <c r="D2076" s="196" t="str">
        <f>IFERROR(__xludf.DUMMYFUNCTION("""COMPUTED_VALUE"""),"50 PCS USB MOUSE ( LOGITECH M100R )
5 PCS PANASONIC WIRELESS TELEPHONE ( SINGLE) 
5 PCS TELEPHONE WIRELESS (2N1)
5 PCS TP LINK SWITCH HUB 8 PORT 
5 PCS FLASHDRIVE USB 64GB SANDISK ULTRA 3.0")</f>
        <v>50 PCS USB MOUSE ( LOGITECH M100R )
5 PCS PANASONIC WIRELESS TELEPHONE ( SINGLE) 
5 PCS TELEPHONE WIRELESS (2N1)
5 PCS TP LINK SWITCH HUB 8 PORT 
5 PCS FLASHDRIVE USB 64GB SANDISK ULTRA 3.0</v>
      </c>
      <c r="E2076" s="196" t="str">
        <f>IFERROR(__xludf.DUMMYFUNCTION("""COMPUTED_VALUE"""),"MIS WAREHOUSE STOCK REPLENISHMENT")</f>
        <v>MIS WAREHOUSE STOCK REPLENISHMENT</v>
      </c>
    </row>
    <row r="2077">
      <c r="A2077" s="234">
        <f>IFERROR(__xludf.DUMMYFUNCTION("""COMPUTED_VALUE"""),106910.0)</f>
        <v>106910</v>
      </c>
      <c r="B2077" s="235" t="str">
        <f>IFERROR(__xludf.DUMMYFUNCTION("""COMPUTED_VALUE"""),"KRISTEL ROSALEJOS")</f>
        <v>KRISTEL ROSALEJOS</v>
      </c>
      <c r="C2077" s="235" t="str">
        <f>IFERROR(__xludf.DUMMYFUNCTION("""COMPUTED_VALUE"""),"COLLEGE DIRECTOR")</f>
        <v>COLLEGE DIRECTOR</v>
      </c>
      <c r="D2077" s="196" t="str">
        <f>IFERROR(__xludf.DUMMYFUNCTION("""COMPUTED_VALUE"""),"3 IN AND OUT THREE LAYER TRAY")</f>
        <v>3 IN AND OUT THREE LAYER TRAY</v>
      </c>
      <c r="E2077" s="196" t="str">
        <f>IFERROR(__xludf.DUMMYFUNCTION("""COMPUTED_VALUE"""),"OFFICE USE FOR OCD")</f>
        <v>OFFICE USE FOR OCD</v>
      </c>
    </row>
    <row r="2078">
      <c r="A2078" s="234">
        <f>IFERROR(__xludf.DUMMYFUNCTION("""COMPUTED_VALUE"""),106911.0)</f>
        <v>106911</v>
      </c>
      <c r="B2078" s="235" t="str">
        <f>IFERROR(__xludf.DUMMYFUNCTION("""COMPUTED_VALUE"""),"GEN OLIVA")</f>
        <v>GEN OLIVA</v>
      </c>
      <c r="C2078" s="235" t="str">
        <f>IFERROR(__xludf.DUMMYFUNCTION("""COMPUTED_VALUE"""),"FINANCE &amp; ACCOUNTING")</f>
        <v>FINANCE &amp; ACCOUNTING</v>
      </c>
      <c r="D2078" s="196" t="str">
        <f>IFERROR(__xludf.DUMMYFUNCTION("""COMPUTED_VALUE"""),"20 MAGAZINE BOX VERTICAL BLACK
20 MEGABOX 70L
1 CLOSED STAMP")</f>
        <v>20 MAGAZINE BOX VERTICAL BLACK
20 MEGABOX 70L
1 CLOSED STAMP</v>
      </c>
      <c r="E2078" s="196" t="str">
        <f>IFERROR(__xludf.DUMMYFUNCTION("""COMPUTED_VALUE"""),"OFFICE USE")</f>
        <v>OFFICE USE</v>
      </c>
    </row>
    <row r="2079">
      <c r="A2079" s="234">
        <f>IFERROR(__xludf.DUMMYFUNCTION("""COMPUTED_VALUE"""),106912.0)</f>
        <v>106912</v>
      </c>
      <c r="B2079" s="235" t="str">
        <f>IFERROR(__xludf.DUMMYFUNCTION("""COMPUTED_VALUE"""),"RODRIGO CUSTODIO")</f>
        <v>RODRIGO CUSTODIO</v>
      </c>
      <c r="C2079" s="235" t="str">
        <f>IFERROR(__xludf.DUMMYFUNCTION("""COMPUTED_VALUE"""),"AMD")</f>
        <v>AMD</v>
      </c>
      <c r="D2079" s="196" t="str">
        <f>IFERROR(__xludf.DUMMYFUNCTION("""COMPUTED_VALUE"""),"72 GALS TOILET BOWL CLEANER BOWL CARE ")</f>
        <v>72 GALS TOILET BOWL CLEANER BOWL CARE </v>
      </c>
      <c r="E2079" s="196" t="str">
        <f>IFERROR(__xludf.DUMMYFUNCTION("""COMPUTED_VALUE"""),"HOUSEKEEPING MATERIALS STOCK REPLENISHMENT")</f>
        <v>HOUSEKEEPING MATERIALS STOCK REPLENISHMENT</v>
      </c>
    </row>
    <row r="2080">
      <c r="A2080" s="234">
        <f>IFERROR(__xludf.DUMMYFUNCTION("""COMPUTED_VALUE"""),106913.0)</f>
        <v>106913</v>
      </c>
      <c r="B2080" s="235" t="str">
        <f>IFERROR(__xludf.DUMMYFUNCTION("""COMPUTED_VALUE"""),"MELISSA ODOÑO ")</f>
        <v>MELISSA ODOÑO </v>
      </c>
      <c r="C2080" s="235" t="str">
        <f>IFERROR(__xludf.DUMMYFUNCTION("""COMPUTED_VALUE"""),"LIBRARY COLLEGE")</f>
        <v>LIBRARY COLLEGE</v>
      </c>
      <c r="D2080" s="196" t="str">
        <f>IFERROR(__xludf.DUMMYFUNCTION("""COMPUTED_VALUE"""),"1 PC INDUCTION COOKER
1 PC POT
1 PC PAN")</f>
        <v>1 PC INDUCTION COOKER
1 PC POT
1 PC PAN</v>
      </c>
      <c r="E2080" s="196" t="str">
        <f>IFERROR(__xludf.DUMMYFUNCTION("""COMPUTED_VALUE"""),"FOR GLL SCHOLARS' USE AT LIMA CENTER")</f>
        <v>FOR GLL SCHOLARS' USE AT LIMA CENTER</v>
      </c>
    </row>
    <row r="2081">
      <c r="A2081" s="234">
        <f>IFERROR(__xludf.DUMMYFUNCTION("""COMPUTED_VALUE"""),106914.0)</f>
        <v>106914</v>
      </c>
      <c r="B2081" s="235" t="str">
        <f>IFERROR(__xludf.DUMMYFUNCTION("""COMPUTED_VALUE"""),"MARC VINCENT VITTO")</f>
        <v>MARC VINCENT VITTO</v>
      </c>
      <c r="C2081" s="235" t="str">
        <f>IFERROR(__xludf.DUMMYFUNCTION("""COMPUTED_VALUE"""),"PR &amp; MARKETING")</f>
        <v>PR &amp; MARKETING</v>
      </c>
      <c r="D2081" s="196" t="str">
        <f>IFERROR(__xludf.DUMMYFUNCTION("""COMPUTED_VALUE"""),"1 SISC PANAFLEX TARP 1300CM X 150 CM W/ SCAFFOLDING AND INSTALLATION")</f>
        <v>1 SISC PANAFLEX TARP 1300CM X 150 CM W/ SCAFFOLDING AND INSTALLATION</v>
      </c>
      <c r="E2081" s="196" t="str">
        <f>IFERROR(__xludf.DUMMYFUNCTION("""COMPUTED_VALUE"""),"ADVERTISEMENT")</f>
        <v>ADVERTISEMENT</v>
      </c>
    </row>
    <row r="2082">
      <c r="A2082" s="234">
        <f>IFERROR(__xludf.DUMMYFUNCTION("""COMPUTED_VALUE"""),106915.0)</f>
        <v>106915</v>
      </c>
      <c r="B2082" s="235" t="str">
        <f>IFERROR(__xludf.DUMMYFUNCTION("""COMPUTED_VALUE"""),"OWIE PAR")</f>
        <v>OWIE PAR</v>
      </c>
      <c r="C2082" s="235" t="str">
        <f>IFERROR(__xludf.DUMMYFUNCTION("""COMPUTED_VALUE"""),"ENGINEERING")</f>
        <v>ENGINEERING</v>
      </c>
      <c r="D2082" s="196" t="str">
        <f>IFERROR(__xludf.DUMMYFUNCTION("""COMPUTED_VALUE"""),"10 PCS T5 DAYLIGHT FIXTURES 12W ALED T512DL ")</f>
        <v>10 PCS T5 DAYLIGHT FIXTURES 12W ALED T512DL </v>
      </c>
      <c r="E2082" s="196" t="str">
        <f>IFERROR(__xludf.DUMMYFUNCTION("""COMPUTED_VALUE"""),"FOR FOOD COURT")</f>
        <v>FOR FOOD COURT</v>
      </c>
    </row>
    <row r="2083">
      <c r="A2083" s="234">
        <f>IFERROR(__xludf.DUMMYFUNCTION("""COMPUTED_VALUE"""),106916.0)</f>
        <v>106916</v>
      </c>
      <c r="B2083" s="235" t="str">
        <f>IFERROR(__xludf.DUMMYFUNCTION("""COMPUTED_VALUE"""),"ALFA DE LEON")</f>
        <v>ALFA DE LEON</v>
      </c>
      <c r="C2083" s="235" t="str">
        <f>IFERROR(__xludf.DUMMYFUNCTION("""COMPUTED_VALUE"""),"ADMIN - STAR")</f>
        <v>ADMIN - STAR</v>
      </c>
      <c r="D2083" s="196" t="str">
        <f>IFERROR(__xludf.DUMMYFUNCTION("""COMPUTED_VALUE"""),"2 INFRARED THERMOMETER")</f>
        <v>2 INFRARED THERMOMETER</v>
      </c>
      <c r="E2083" s="196" t="str">
        <f>IFERROR(__xludf.DUMMYFUNCTION("""COMPUTED_VALUE"""),"TEMPERATURE FOR CHECKING STUDENTS")</f>
        <v>TEMPERATURE FOR CHECKING STUDENTS</v>
      </c>
    </row>
    <row r="2084">
      <c r="A2084" s="234">
        <f>IFERROR(__xludf.DUMMYFUNCTION("""COMPUTED_VALUE"""),106917.0)</f>
        <v>106917</v>
      </c>
      <c r="B2084" s="235" t="str">
        <f>IFERROR(__xludf.DUMMYFUNCTION("""COMPUTED_VALUE"""),"CHARLES LEBECO DONOR")</f>
        <v>CHARLES LEBECO DONOR</v>
      </c>
      <c r="C2084" s="235" t="str">
        <f>IFERROR(__xludf.DUMMYFUNCTION("""COMPUTED_VALUE"""),"AMD")</f>
        <v>AMD</v>
      </c>
      <c r="D2084" s="196" t="str">
        <f>IFERROR(__xludf.DUMMYFUNCTION("""COMPUTED_VALUE"""),"Paper, Fortune Groundwove Mimeo Long	PAPR-FOR-10-0012	5 rms.
")</f>
        <v>Paper, Fortune Groundwove Mimeo Long	PAPR-FOR-10-0012	5 rms.
</v>
      </c>
      <c r="E2084" s="196" t="str">
        <f>IFERROR(__xludf.DUMMYFUNCTION("""COMPUTED_VALUE"""),"OSSUP REPLENISHMENTS")</f>
        <v>OSSUP REPLENISHMENTS</v>
      </c>
    </row>
    <row r="2085">
      <c r="A2085" s="234">
        <f>IFERROR(__xludf.DUMMYFUNCTION("""COMPUTED_VALUE"""),106918.0)</f>
        <v>106918</v>
      </c>
      <c r="B2085" s="235" t="str">
        <f>IFERROR(__xludf.DUMMYFUNCTION("""COMPUTED_VALUE"""),"RODRIGO CUSTODIO")</f>
        <v>RODRIGO CUSTODIO</v>
      </c>
      <c r="C2085" s="235" t="str">
        <f>IFERROR(__xludf.DUMMYFUNCTION("""COMPUTED_VALUE"""),"AMD")</f>
        <v>AMD</v>
      </c>
      <c r="D2085" s="196" t="str">
        <f>IFERROR(__xludf.DUMMYFUNCTION("""COMPUTED_VALUE"""),"2 PCS WINDOW SQUEEGEE W/ WXTENDABLE HANDLE")</f>
        <v>2 PCS WINDOW SQUEEGEE W/ WXTENDABLE HANDLE</v>
      </c>
      <c r="E2085" s="196" t="str">
        <f>IFERROR(__xludf.DUMMYFUNCTION("""COMPUTED_VALUE"""),"HOUSEKEEPING MATERIALS STOCK REPLENISHMENT")</f>
        <v>HOUSEKEEPING MATERIALS STOCK REPLENISHMENT</v>
      </c>
    </row>
    <row r="2086">
      <c r="A2086" s="234">
        <f>IFERROR(__xludf.DUMMYFUNCTION("""COMPUTED_VALUE"""),106919.0)</f>
        <v>106919</v>
      </c>
      <c r="B2086" s="235" t="str">
        <f>IFERROR(__xludf.DUMMYFUNCTION("""COMPUTED_VALUE"""),"ANGELIE MADANLOG")</f>
        <v>ANGELIE MADANLOG</v>
      </c>
      <c r="C2086" s="235" t="str">
        <f>IFERROR(__xludf.DUMMYFUNCTION("""COMPUTED_VALUE"""),"FINANCE &amp; ACCOUNTING")</f>
        <v>FINANCE &amp; ACCOUNTING</v>
      </c>
      <c r="D2086" s="196" t="str">
        <f>IFERROR(__xludf.DUMMYFUNCTION("""COMPUTED_VALUE"""),"10 BOX ASSESSMENT FORM")</f>
        <v>10 BOX ASSESSMENT FORM</v>
      </c>
      <c r="E2086" s="196" t="str">
        <f>IFERROR(__xludf.DUMMYFUNCTION("""COMPUTED_VALUE"""),"FOR ENROLLMENT AY 26-27")</f>
        <v>FOR ENROLLMENT AY 26-27</v>
      </c>
    </row>
    <row r="2087">
      <c r="A2087" s="234">
        <f>IFERROR(__xludf.DUMMYFUNCTION("""COMPUTED_VALUE"""),106920.0)</f>
        <v>106920</v>
      </c>
      <c r="B2087" s="235" t="str">
        <f>IFERROR(__xludf.DUMMYFUNCTION("""COMPUTED_VALUE"""),"SHERYL MANALO")</f>
        <v>SHERYL MANALO</v>
      </c>
      <c r="C2087" s="235" t="str">
        <f>IFERROR(__xludf.DUMMYFUNCTION("""COMPUTED_VALUE"""),"ADMIN - MUNICH")</f>
        <v>ADMIN - MUNICH</v>
      </c>
      <c r="D2087" s="196" t="str">
        <f>IFERROR(__xludf.DUMMYFUNCTION("""COMPUTED_VALUE"""),"3 GENERAL SCHOLASTIC MEDAL AWARD GOLD
3 GENERAL SCHOLASTIC MEDAL AWARD SILVER
3 GENERAL SCHOLASTIC MEDAL AWARD BRONZE 
30 SUBJECT EXCELLENCE 
8 SPECIAL AWARDS
40 ACADEMIC EXCELLENCE GOLD
40 ACADEMIC EXCELLENCE SILVER
20 ACADEMIC EXCELLENCE BRONZE
20 VALUE"&amp;"S EXCELLENCE")</f>
        <v>3 GENERAL SCHOLASTIC MEDAL AWARD GOLD
3 GENERAL SCHOLASTIC MEDAL AWARD SILVER
3 GENERAL SCHOLASTIC MEDAL AWARD BRONZE 
30 SUBJECT EXCELLENCE 
8 SPECIAL AWARDS
40 ACADEMIC EXCELLENCE GOLD
40 ACADEMIC EXCELLENCE SILVER
20 ACADEMIC EXCELLENCE BRONZE
20 VALUES EXCELLENCE</v>
      </c>
      <c r="E2087" s="196" t="str">
        <f>IFERROR(__xludf.DUMMYFUNCTION("""COMPUTED_VALUE"""),"GRADE 6 GRADUATION")</f>
        <v>GRADE 6 GRADUATION</v>
      </c>
    </row>
    <row r="2088">
      <c r="A2088" s="234">
        <f>IFERROR(__xludf.DUMMYFUNCTION("""COMPUTED_VALUE"""),106921.0)</f>
        <v>106921</v>
      </c>
      <c r="B2088" s="235" t="str">
        <f>IFERROR(__xludf.DUMMYFUNCTION("""COMPUTED_VALUE"""),"SHERYL MANALO")</f>
        <v>SHERYL MANALO</v>
      </c>
      <c r="C2088" s="235" t="str">
        <f>IFERROR(__xludf.DUMMYFUNCTION("""COMPUTED_VALUE"""),"ADMIN - MUNICH")</f>
        <v>ADMIN - MUNICH</v>
      </c>
      <c r="D2088" s="196" t="str">
        <f>IFERROR(__xludf.DUMMYFUNCTION("""COMPUTED_VALUE"""),"150 ACADEMIC EXCELLENCE GOLD
70 ACADEMIC EXCELLENCE SILVER
65 ACADEMIC EXCELLENCE BRONZE
150 VALUES EXCELLENCE 
40 PERFECT ATTENDANCE")</f>
        <v>150 ACADEMIC EXCELLENCE GOLD
70 ACADEMIC EXCELLENCE SILVER
65 ACADEMIC EXCELLENCE BRONZE
150 VALUES EXCELLENCE 
40 PERFECT ATTENDANCE</v>
      </c>
      <c r="E2088" s="196" t="str">
        <f>IFERROR(__xludf.DUMMYFUNCTION("""COMPUTED_VALUE"""),"GR 3 TO 5 GRADUATION")</f>
        <v>GR 3 TO 5 GRADUATION</v>
      </c>
    </row>
    <row r="2089">
      <c r="A2089" s="234">
        <f>IFERROR(__xludf.DUMMYFUNCTION("""COMPUTED_VALUE"""),106922.0)</f>
        <v>106922</v>
      </c>
      <c r="B2089" s="235" t="str">
        <f>IFERROR(__xludf.DUMMYFUNCTION("""COMPUTED_VALUE"""),"SHERYL MANALO")</f>
        <v>SHERYL MANALO</v>
      </c>
      <c r="C2089" s="235" t="str">
        <f>IFERROR(__xludf.DUMMYFUNCTION("""COMPUTED_VALUE"""),"ADMIN - MUNICH")</f>
        <v>ADMIN - MUNICH</v>
      </c>
      <c r="D2089" s="196" t="str">
        <f>IFERROR(__xludf.DUMMYFUNCTION("""COMPUTED_VALUE"""),"30 ACADEMIC EXCELLENCE
15 ACADEMIC ACHIEVEMENT 
20 SUBJECT EXCELLENCE
20 SPECIAL AWARDS
15 VALUES EXCELLENCE")</f>
        <v>30 ACADEMIC EXCELLENCE
15 ACADEMIC ACHIEVEMENT 
20 SUBJECT EXCELLENCE
20 SPECIAL AWARDS
15 VALUES EXCELLENCE</v>
      </c>
      <c r="E2089" s="196" t="str">
        <f>IFERROR(__xludf.DUMMYFUNCTION("""COMPUTED_VALUE"""),"SENIOR KINDER GRADUATION AY 25-26")</f>
        <v>SENIOR KINDER GRADUATION AY 25-26</v>
      </c>
    </row>
    <row r="2090">
      <c r="A2090" s="234">
        <f>IFERROR(__xludf.DUMMYFUNCTION("""COMPUTED_VALUE"""),106923.0)</f>
        <v>106923</v>
      </c>
      <c r="B2090" s="235" t="str">
        <f>IFERROR(__xludf.DUMMYFUNCTION("""COMPUTED_VALUE"""),"SHERYL MANALO")</f>
        <v>SHERYL MANALO</v>
      </c>
      <c r="C2090" s="235" t="str">
        <f>IFERROR(__xludf.DUMMYFUNCTION("""COMPUTED_VALUE"""),"ADMIN - MUNICH")</f>
        <v>ADMIN - MUNICH</v>
      </c>
      <c r="D2090" s="196" t="str">
        <f>IFERROR(__xludf.DUMMYFUNCTION("""COMPUTED_VALUE"""),"100 ACADEMIC EXCELLENCE GOLD
40 ACADEMIC EXCELLENCE SILVER
30 ACADEMIC EXCELLENCE BRONZE
100 VALUES EXCELLENCE
30 PERFECT ATTENDANCE")</f>
        <v>100 ACADEMIC EXCELLENCE GOLD
40 ACADEMIC EXCELLENCE SILVER
30 ACADEMIC EXCELLENCE BRONZE
100 VALUES EXCELLENCE
30 PERFECT ATTENDANCE</v>
      </c>
      <c r="E2090" s="196" t="str">
        <f>IFERROR(__xludf.DUMMYFUNCTION("""COMPUTED_VALUE"""),"GR 1 AND 2 RECOGNITION AY 25-26")</f>
        <v>GR 1 AND 2 RECOGNITION AY 25-26</v>
      </c>
    </row>
    <row r="2091">
      <c r="A2091" s="234">
        <f>IFERROR(__xludf.DUMMYFUNCTION("""COMPUTED_VALUE"""),106924.0)</f>
        <v>106924</v>
      </c>
      <c r="B2091" s="235" t="str">
        <f>IFERROR(__xludf.DUMMYFUNCTION("""COMPUTED_VALUE"""),"OWIE PAR")</f>
        <v>OWIE PAR</v>
      </c>
      <c r="C2091" s="235" t="str">
        <f>IFERROR(__xludf.DUMMYFUNCTION("""COMPUTED_VALUE"""),"ENGINEERING")</f>
        <v>ENGINEERING</v>
      </c>
      <c r="D2091" s="196" t="str">
        <f>IFERROR(__xludf.DUMMYFUNCTION("""COMPUTED_VALUE"""),"5 BOXES HOMOGENOUS TILE R12 NON SKID 60 X 60 X 10MM COLOR MEGALITO GRIGIO")</f>
        <v>5 BOXES HOMOGENOUS TILE R12 NON SKID 60 X 60 X 10MM COLOR MEGALITO GRIGIO</v>
      </c>
      <c r="E2091" s="196" t="str">
        <f>IFERROR(__xludf.DUMMYFUNCTION("""COMPUTED_VALUE"""),"FOR REPAIR OF FLOORING AT LUX FRONT AREA")</f>
        <v>FOR REPAIR OF FLOORING AT LUX FRONT AREA</v>
      </c>
    </row>
    <row r="2092">
      <c r="A2092" s="234">
        <f>IFERROR(__xludf.DUMMYFUNCTION("""COMPUTED_VALUE"""),106925.0)</f>
        <v>106925</v>
      </c>
      <c r="B2092" s="235" t="str">
        <f>IFERROR(__xludf.DUMMYFUNCTION("""COMPUTED_VALUE"""),"OWIE PAR")</f>
        <v>OWIE PAR</v>
      </c>
      <c r="C2092" s="235" t="str">
        <f>IFERROR(__xludf.DUMMYFUNCTION("""COMPUTED_VALUE"""),"ENGINEERING")</f>
        <v>ENGINEERING</v>
      </c>
      <c r="D2092" s="196" t="str">
        <f>IFERROR(__xludf.DUMMYFUNCTION("""COMPUTED_VALUE"""),"1 UNIT 6.0 HP CEILING CASSETTE TYPE INVERTER PNASONIC ")</f>
        <v>1 UNIT 6.0 HP CEILING CASSETTE TYPE INVERTER PNASONIC </v>
      </c>
      <c r="E2092" s="196" t="str">
        <f>IFERROR(__xludf.DUMMYFUNCTION("""COMPUTED_VALUE"""),"ACU FOR MUNICH CARES CAFE")</f>
        <v>ACU FOR MUNICH CARES CAFE</v>
      </c>
    </row>
    <row r="2093">
      <c r="A2093" s="234">
        <f>IFERROR(__xludf.DUMMYFUNCTION("""COMPUTED_VALUE"""),106926.0)</f>
        <v>106926</v>
      </c>
      <c r="B2093" s="235" t="str">
        <f>IFERROR(__xludf.DUMMYFUNCTION("""COMPUTED_VALUE"""),"MARC VINCENT VITTO")</f>
        <v>MARC VINCENT VITTO</v>
      </c>
      <c r="C2093" s="235" t="str">
        <f>IFERROR(__xludf.DUMMYFUNCTION("""COMPUTED_VALUE"""),"PR &amp; MARKETING")</f>
        <v>PR &amp; MARKETING</v>
      </c>
      <c r="D2093" s="196" t="str">
        <f>IFERROR(__xludf.DUMMYFUNCTION("""COMPUTED_VALUE"""),"1 ADMISSION TARP AY 26-27 13FT X 13FT 18 OZ ADD SEAMING AND EYELET ALLOVER")</f>
        <v>1 ADMISSION TARP AY 26-27 13FT X 13FT 18 OZ ADD SEAMING AND EYELET ALLOVER</v>
      </c>
      <c r="E2093" s="196" t="str">
        <f>IFERROR(__xludf.DUMMYFUNCTION("""COMPUTED_VALUE"""),"ADMISSION AY 26-27")</f>
        <v>ADMISSION AY 26-27</v>
      </c>
    </row>
    <row r="2094">
      <c r="A2094" s="234">
        <f>IFERROR(__xludf.DUMMYFUNCTION("""COMPUTED_VALUE"""),106927.0)</f>
        <v>106927</v>
      </c>
      <c r="B2094" s="235" t="str">
        <f>IFERROR(__xludf.DUMMYFUNCTION("""COMPUTED_VALUE"""),"VYE REVOLTAR")</f>
        <v>VYE REVOLTAR</v>
      </c>
      <c r="C2094" s="235" t="str">
        <f>IFERROR(__xludf.DUMMYFUNCTION("""COMPUTED_VALUE"""),"CEM OFFICE")</f>
        <v>CEM OFFICE</v>
      </c>
      <c r="D2094" s="196" t="str">
        <f>IFERROR(__xludf.DUMMYFUNCTION("""COMPUTED_VALUE"""),"10 PCS RED FILE BOX")</f>
        <v>10 PCS RED FILE BOX</v>
      </c>
      <c r="E2094" s="196" t="str">
        <f>IFERROR(__xludf.DUMMYFUNCTION("""COMPUTED_VALUE"""),"TO ORGANIZE DOCUMENTS")</f>
        <v>TO ORGANIZE DOCUMENTS</v>
      </c>
    </row>
    <row r="2095">
      <c r="A2095" s="234">
        <f>IFERROR(__xludf.DUMMYFUNCTION("""COMPUTED_VALUE"""),106928.0)</f>
        <v>106928</v>
      </c>
      <c r="B2095" s="235" t="str">
        <f>IFERROR(__xludf.DUMMYFUNCTION("""COMPUTED_VALUE"""),"RORY MONSBRIDGE")</f>
        <v>RORY MONSBRIDGE</v>
      </c>
      <c r="C2095" s="235" t="str">
        <f>IFERROR(__xludf.DUMMYFUNCTION("""COMPUTED_VALUE"""),"ATHLETICS")</f>
        <v>ATHLETICS</v>
      </c>
      <c r="D2095" s="196" t="str">
        <f>IFERROR(__xludf.DUMMYFUNCTION("""COMPUTED_VALUE"""),"55 PCS VARSITY UNIFORMS FOR GRADE SHOOL")</f>
        <v>55 PCS VARSITY UNIFORMS FOR GRADE SHOOL</v>
      </c>
      <c r="E2095" s="196" t="str">
        <f>IFERROR(__xludf.DUMMYFUNCTION("""COMPUTED_VALUE"""),"SHIRT")</f>
        <v>SHIRT</v>
      </c>
    </row>
    <row r="2096">
      <c r="A2096" s="234">
        <f>IFERROR(__xludf.DUMMYFUNCTION("""COMPUTED_VALUE"""),106929.0)</f>
        <v>106929</v>
      </c>
      <c r="B2096" s="235" t="str">
        <f>IFERROR(__xludf.DUMMYFUNCTION("""COMPUTED_VALUE"""),"RODRIGO CUSTODIO")</f>
        <v>RODRIGO CUSTODIO</v>
      </c>
      <c r="C2096" s="235" t="str">
        <f>IFERROR(__xludf.DUMMYFUNCTION("""COMPUTED_VALUE"""),"AMD")</f>
        <v>AMD</v>
      </c>
      <c r="D2096" s="196" t="str">
        <f>IFERROR(__xludf.DUMMYFUNCTION("""COMPUTED_VALUE"""),"200 KLS CHLORINE 1 KG PER PACK")</f>
        <v>200 KLS CHLORINE 1 KG PER PACK</v>
      </c>
      <c r="E2096" s="196" t="str">
        <f>IFERROR(__xludf.DUMMYFUNCTION("""COMPUTED_VALUE"""),"HOUSEKEEPING MATERIALS STOCK REPLENISHMENT")</f>
        <v>HOUSEKEEPING MATERIALS STOCK REPLENISHMENT</v>
      </c>
    </row>
    <row r="2097">
      <c r="A2097" s="234">
        <f>IFERROR(__xludf.DUMMYFUNCTION("""COMPUTED_VALUE"""),106930.0)</f>
        <v>106930</v>
      </c>
      <c r="B2097" s="235" t="str">
        <f>IFERROR(__xludf.DUMMYFUNCTION("""COMPUTED_VALUE"""),"OWIE PAR")</f>
        <v>OWIE PAR</v>
      </c>
      <c r="C2097" s="235" t="str">
        <f>IFERROR(__xludf.DUMMYFUNCTION("""COMPUTED_VALUE"""),"ENGINEERING")</f>
        <v>ENGINEERING</v>
      </c>
      <c r="D2097" s="196" t="str">
        <f>IFERROR(__xludf.DUMMYFUNCTION("""COMPUTED_VALUE"""),"1 UNIT 4.0 HP CEILING CASSETTE INVERTER DAIKEN")</f>
        <v>1 UNIT 4.0 HP CEILING CASSETTE INVERTER DAIKEN</v>
      </c>
      <c r="E2097" s="196" t="str">
        <f>IFERROR(__xludf.DUMMYFUNCTION("""COMPUTED_VALUE"""),"LUX COMLAB 2")</f>
        <v>LUX COMLAB 2</v>
      </c>
    </row>
    <row r="2098">
      <c r="A2098" s="234">
        <f>IFERROR(__xludf.DUMMYFUNCTION("""COMPUTED_VALUE"""),106931.0)</f>
        <v>106931</v>
      </c>
      <c r="B2098" s="235" t="str">
        <f>IFERROR(__xludf.DUMMYFUNCTION("""COMPUTED_VALUE"""),"OWIE PAR")</f>
        <v>OWIE PAR</v>
      </c>
      <c r="C2098" s="235" t="str">
        <f>IFERROR(__xludf.DUMMYFUNCTION("""COMPUTED_VALUE"""),"ENGINEERING")</f>
        <v>ENGINEERING</v>
      </c>
      <c r="D2098" s="196" t="str">
        <f>IFERROR(__xludf.DUMMYFUNCTION("""COMPUTED_VALUE"""),"1 UNIT 1.0 HP WALL TYPE INVERTER")</f>
        <v>1 UNIT 1.0 HP WALL TYPE INVERTER</v>
      </c>
      <c r="E2098" s="196" t="str">
        <f>IFERROR(__xludf.DUMMYFUNCTION("""COMPUTED_VALUE"""),"REGISTRATION HEAD REPLACEMENT OF ACU")</f>
        <v>REGISTRATION HEAD REPLACEMENT OF ACU</v>
      </c>
    </row>
    <row r="2099">
      <c r="A2099" s="234">
        <f>IFERROR(__xludf.DUMMYFUNCTION("""COMPUTED_VALUE"""),106932.0)</f>
        <v>106932</v>
      </c>
      <c r="B2099" s="235" t="str">
        <f>IFERROR(__xludf.DUMMYFUNCTION("""COMPUTED_VALUE"""),"LYKA PERALTA")</f>
        <v>LYKA PERALTA</v>
      </c>
      <c r="C2099" s="235" t="str">
        <f>IFERROR(__xludf.DUMMYFUNCTION("""COMPUTED_VALUE"""),"ABU")</f>
        <v>ABU</v>
      </c>
      <c r="D2099" s="196" t="str">
        <f>IFERROR(__xludf.DUMMYFUNCTION("""COMPUTED_VALUE"""),"2 PCS FORMICA FOR TABLE TOP - ok
24PCS RUBBER FOOTING FOR HIGH CHAIR")</f>
        <v>2 PCS FORMICA FOR TABLE TOP - ok
24PCS RUBBER FOOTING FOR HIGH CHAIR</v>
      </c>
      <c r="E2099" s="196" t="str">
        <f>IFERROR(__xludf.DUMMYFUNCTION("""COMPUTED_VALUE"""),"FOR ENHANCEMENT OF LUX DINING AREA")</f>
        <v>FOR ENHANCEMENT OF LUX DINING AREA</v>
      </c>
    </row>
    <row r="2100">
      <c r="A2100" s="234">
        <f>IFERROR(__xludf.DUMMYFUNCTION("""COMPUTED_VALUE"""),106933.0)</f>
        <v>106933</v>
      </c>
      <c r="B2100" s="235" t="str">
        <f>IFERROR(__xludf.DUMMYFUNCTION("""COMPUTED_VALUE"""),"MARK PABUSTAN")</f>
        <v>MARK PABUSTAN</v>
      </c>
      <c r="C2100" s="235" t="str">
        <f>IFERROR(__xludf.DUMMYFUNCTION("""COMPUTED_VALUE"""),"MIS/ ROBOTICS")</f>
        <v>MIS/ ROBOTICS</v>
      </c>
      <c r="D2100" s="196" t="str">
        <f>IFERROR(__xludf.DUMMYFUNCTION("""COMPUTED_VALUE"""),"36 PCS ANTI STATIC FIELD TILES 600X600MM")</f>
        <v>36 PCS ANTI STATIC FIELD TILES 600X600MM</v>
      </c>
      <c r="E2100" s="196" t="str">
        <f>IFERROR(__xludf.DUMMYFUNCTION("""COMPUTED_VALUE"""),"FOR VEX V5 COMPETITION FIELD")</f>
        <v>FOR VEX V5 COMPETITION FIELD</v>
      </c>
    </row>
    <row r="2101">
      <c r="A2101" s="234">
        <f>IFERROR(__xludf.DUMMYFUNCTION("""COMPUTED_VALUE"""),106934.0)</f>
        <v>106934</v>
      </c>
      <c r="B2101" s="235" t="str">
        <f>IFERROR(__xludf.DUMMYFUNCTION("""COMPUTED_VALUE"""),"RODRIGO CUSTODIO")</f>
        <v>RODRIGO CUSTODIO</v>
      </c>
      <c r="C2101" s="235" t="str">
        <f>IFERROR(__xludf.DUMMYFUNCTION("""COMPUTED_VALUE"""),"AMD")</f>
        <v>AMD</v>
      </c>
      <c r="D2101" s="196" t="str">
        <f>IFERROR(__xludf.DUMMYFUNCTION("""COMPUTED_VALUE"""),"120 GALS HAND SOAP ANTIBACTERIAL YELLOW")</f>
        <v>120 GALS HAND SOAP ANTIBACTERIAL YELLOW</v>
      </c>
      <c r="E2101" s="196" t="str">
        <f>IFERROR(__xludf.DUMMYFUNCTION("""COMPUTED_VALUE"""),"HOUSEKEEPING MATERIALS STOCK REPLENISHMENT")</f>
        <v>HOUSEKEEPING MATERIALS STOCK REPLENISHMENT</v>
      </c>
    </row>
    <row r="2102">
      <c r="A2102" s="234">
        <f>IFERROR(__xludf.DUMMYFUNCTION("""COMPUTED_VALUE"""),106935.0)</f>
        <v>106935</v>
      </c>
      <c r="B2102" s="235" t="str">
        <f>IFERROR(__xludf.DUMMYFUNCTION("""COMPUTED_VALUE"""),"JESUIT CHRISTIAN GALICIA")</f>
        <v>JESUIT CHRISTIAN GALICIA</v>
      </c>
      <c r="C2102" s="235" t="str">
        <f>IFERROR(__xludf.DUMMYFUNCTION("""COMPUTED_VALUE"""),"AMD")</f>
        <v>AMD</v>
      </c>
      <c r="D2102" s="196" t="str">
        <f>IFERROR(__xludf.DUMMYFUNCTION("""COMPUTED_VALUE"""),"30 PCS MERCURYS MU6H WIFI USB ADAPTER")</f>
        <v>30 PCS MERCURYS MU6H WIFI USB ADAPTER</v>
      </c>
      <c r="E2102" s="196" t="str">
        <f>IFERROR(__xludf.DUMMYFUNCTION("""COMPUTED_VALUE"""),"MIS WAREHOUSE STOCK REPLENISHMENT")</f>
        <v>MIS WAREHOUSE STOCK REPLENISHMENT</v>
      </c>
    </row>
    <row r="2103">
      <c r="A2103" s="234">
        <f>IFERROR(__xludf.DUMMYFUNCTION("""COMPUTED_VALUE"""),106936.0)</f>
        <v>106936</v>
      </c>
      <c r="B2103" s="235" t="str">
        <f>IFERROR(__xludf.DUMMYFUNCTION("""COMPUTED_VALUE"""),"RONALDO VERDE")</f>
        <v>RONALDO VERDE</v>
      </c>
      <c r="C2103" s="235" t="str">
        <f>IFERROR(__xludf.DUMMYFUNCTION("""COMPUTED_VALUE"""),"ADMIN")</f>
        <v>ADMIN</v>
      </c>
      <c r="D2103" s="196" t="str">
        <f>IFERROR(__xludf.DUMMYFUNCTION("""COMPUTED_VALUE"""),"1 UNIT 1.5 HP WINDOW TYPE ACU")</f>
        <v>1 UNIT 1.5 HP WINDOW TYPE ACU</v>
      </c>
      <c r="E2103" s="196" t="str">
        <f>IFERROR(__xludf.DUMMYFUNCTION("""COMPUTED_VALUE"""),"ACU DONATION FOR BFP LAS PIÑAS")</f>
        <v>ACU DONATION FOR BFP LAS PIÑAS</v>
      </c>
    </row>
    <row r="2104">
      <c r="A2104" s="234">
        <f>IFERROR(__xludf.DUMMYFUNCTION("""COMPUTED_VALUE"""),106937.0)</f>
        <v>106937</v>
      </c>
      <c r="B2104" s="235" t="str">
        <f>IFERROR(__xludf.DUMMYFUNCTION("""COMPUTED_VALUE"""),"RODRIGO CUSTODIO")</f>
        <v>RODRIGO CUSTODIO</v>
      </c>
      <c r="C2104" s="235" t="str">
        <f>IFERROR(__xludf.DUMMYFUNCTION("""COMPUTED_VALUE"""),"AMD")</f>
        <v>AMD</v>
      </c>
      <c r="D2104" s="196" t="str">
        <f>IFERROR(__xludf.DUMMYFUNCTION("""COMPUTED_VALUE"""),"456 PCS ALL PURPOSE POWDER 800 GRAMS PER PACK W/ FABCON")</f>
        <v>456 PCS ALL PURPOSE POWDER 800 GRAMS PER PACK W/ FABCON</v>
      </c>
      <c r="E2104" s="196" t="str">
        <f>IFERROR(__xludf.DUMMYFUNCTION("""COMPUTED_VALUE"""),"HOUSEKEEPING MATERIALS STOCK REPLENISHMENT")</f>
        <v>HOUSEKEEPING MATERIALS STOCK REPLENISHMENT</v>
      </c>
    </row>
    <row r="2105">
      <c r="A2105" s="234">
        <f>IFERROR(__xludf.DUMMYFUNCTION("""COMPUTED_VALUE"""),106938.0)</f>
        <v>106938</v>
      </c>
      <c r="B2105" s="235" t="str">
        <f>IFERROR(__xludf.DUMMYFUNCTION("""COMPUTED_VALUE"""),"RODRIGO CUSTODIO")</f>
        <v>RODRIGO CUSTODIO</v>
      </c>
      <c r="C2105" s="235" t="str">
        <f>IFERROR(__xludf.DUMMYFUNCTION("""COMPUTED_VALUE"""),"AMD")</f>
        <v>AMD</v>
      </c>
      <c r="D2105" s="196" t="str">
        <f>IFERROR(__xludf.DUMMYFUNCTION("""COMPUTED_VALUE"""),"60 PCS SOFT BROOM 3M")</f>
        <v>60 PCS SOFT BROOM 3M</v>
      </c>
      <c r="E2105" s="196" t="str">
        <f>IFERROR(__xludf.DUMMYFUNCTION("""COMPUTED_VALUE"""),"HOUSEKEEPING MATERIALS STOCK REPLENISHMENT")</f>
        <v>HOUSEKEEPING MATERIALS STOCK REPLENISHMENT</v>
      </c>
    </row>
    <row r="2106">
      <c r="A2106" s="234">
        <f>IFERROR(__xludf.DUMMYFUNCTION("""COMPUTED_VALUE"""),106939.0)</f>
        <v>106939</v>
      </c>
      <c r="B2106" s="235" t="str">
        <f>IFERROR(__xludf.DUMMYFUNCTION("""COMPUTED_VALUE"""),"JOHNY QUIQUI")</f>
        <v>JOHNY QUIQUI</v>
      </c>
      <c r="C2106" s="235" t="str">
        <f>IFERROR(__xludf.DUMMYFUNCTION("""COMPUTED_VALUE"""),"SISC")</f>
        <v>SISC</v>
      </c>
      <c r="D2106" s="196" t="str">
        <f>IFERROR(__xludf.DUMMYFUNCTION("""COMPUTED_VALUE"""),"2 FIRETRUCK NURSERY
23 I LIKE STARS PRE KINDER
22 BIG EGG JUNIOR KINDER
22 I'M A CATERPILLAR JUNIOR KINDER
70 WAKE UP SUN SENIOR KINDER
69 MY LOOSE TOOTH SENIOR KINDER")</f>
        <v>2 FIRETRUCK NURSERY
23 I LIKE STARS PRE KINDER
22 BIG EGG JUNIOR KINDER
22 I'M A CATERPILLAR JUNIOR KINDER
70 WAKE UP SUN SENIOR KINDER
69 MY LOOSE TOOTH SENIOR KINDER</v>
      </c>
      <c r="E2106" s="196" t="str">
        <f>IFERROR(__xludf.DUMMYFUNCTION("""COMPUTED_VALUE"""),"FOR SALE IN STUFFSHOP")</f>
        <v>FOR SALE IN STUFFSHOP</v>
      </c>
    </row>
    <row r="2107">
      <c r="A2107" s="234">
        <f>IFERROR(__xludf.DUMMYFUNCTION("""COMPUTED_VALUE"""),106940.0)</f>
        <v>106940</v>
      </c>
      <c r="B2107" s="235" t="str">
        <f>IFERROR(__xludf.DUMMYFUNCTION("""COMPUTED_VALUE"""),"JOHNY QUIQUI")</f>
        <v>JOHNY QUIQUI</v>
      </c>
      <c r="C2107" s="235" t="str">
        <f>IFERROR(__xludf.DUMMYFUNCTION("""COMPUTED_VALUE"""),"SISC")</f>
        <v>SISC</v>
      </c>
      <c r="D2107" s="196" t="str">
        <f>IFERROR(__xludf.DUMMYFUNCTION("""COMPUTED_VALUE"""),"8 STANFORD SKILLBOOK MATH B KINDER NEW EDITION
18 SKILLBOOK STANFORD READING C JUNIOR PREP NEW EDITION
25 STANFORD SKILLBOOK MATH C JK NEW EDITION
79 PS SKILLBOOK STANFORD READING D SENIOR PREP 
76 STANFORD SKILLBOOK MATH D SK NEW EDITION")</f>
        <v>8 STANFORD SKILLBOOK MATH B KINDER NEW EDITION
18 SKILLBOOK STANFORD READING C JUNIOR PREP NEW EDITION
25 STANFORD SKILLBOOK MATH C JK NEW EDITION
79 PS SKILLBOOK STANFORD READING D SENIOR PREP 
76 STANFORD SKILLBOOK MATH D SK NEW EDITION</v>
      </c>
      <c r="E2107" s="196" t="str">
        <f>IFERROR(__xludf.DUMMYFUNCTION("""COMPUTED_VALUE"""),"FOR SATE IN STUFFSHOP")</f>
        <v>FOR SATE IN STUFFSHOP</v>
      </c>
    </row>
    <row r="2108">
      <c r="A2108" s="234">
        <f>IFERROR(__xludf.DUMMYFUNCTION("""COMPUTED_VALUE"""),106941.0)</f>
        <v>106941</v>
      </c>
      <c r="B2108" s="235" t="str">
        <f>IFERROR(__xludf.DUMMYFUNCTION("""COMPUTED_VALUE"""),"ROY MARK RECOMENDABLE")</f>
        <v>ROY MARK RECOMENDABLE</v>
      </c>
      <c r="C2108" s="235" t="str">
        <f>IFERROR(__xludf.DUMMYFUNCTION("""COMPUTED_VALUE"""),"REGISTRATION")</f>
        <v>REGISTRATION</v>
      </c>
      <c r="D2108" s="196" t="str">
        <f>IFERROR(__xludf.DUMMYFUNCTION("""COMPUTED_VALUE"""),"4 REAM LETTERHEAD A4 
2 REAM LETTER HEAD LETTER SIZE ")</f>
        <v>4 REAM LETTERHEAD A4 
2 REAM LETTER HEAD LETTER SIZE </v>
      </c>
      <c r="E2108" s="196" t="str">
        <f>IFERROR(__xludf.DUMMYFUNCTION("""COMPUTED_VALUE"""),"FOR CREDENTIAL REQUEST")</f>
        <v>FOR CREDENTIAL REQUEST</v>
      </c>
    </row>
    <row r="2109">
      <c r="A2109" s="234">
        <f>IFERROR(__xludf.DUMMYFUNCTION("""COMPUTED_VALUE"""),106942.0)</f>
        <v>106942</v>
      </c>
      <c r="B2109" s="235" t="str">
        <f>IFERROR(__xludf.DUMMYFUNCTION("""COMPUTED_VALUE"""),"DOMINIC JAVIER")</f>
        <v>DOMINIC JAVIER</v>
      </c>
      <c r="C2109" s="235" t="str">
        <f>IFERROR(__xludf.DUMMYFUNCTION("""COMPUTED_VALUE"""),"VPAR / RESEARCH")</f>
        <v>VPAR / RESEARCH</v>
      </c>
      <c r="D2109" s="196" t="str">
        <f>IFERROR(__xludf.DUMMYFUNCTION("""COMPUTED_VALUE"""),"1 SINTRA BOARD W/ PRINT 23.18 IN X 30 IN")</f>
        <v>1 SINTRA BOARD W/ PRINT 23.18 IN X 30 IN</v>
      </c>
      <c r="E2109" s="196" t="str">
        <f>IFERROR(__xludf.DUMMYFUNCTION("""COMPUTED_VALUE"""),"FOR THE BOOK LAUNCH OF SGEN RESEARCH STANDARD")</f>
        <v>FOR THE BOOK LAUNCH OF SGEN RESEARCH STANDARD</v>
      </c>
    </row>
    <row r="2110">
      <c r="A2110" s="234">
        <f>IFERROR(__xludf.DUMMYFUNCTION("""COMPUTED_VALUE"""),106943.0)</f>
        <v>106943</v>
      </c>
      <c r="B2110" s="235" t="str">
        <f>IFERROR(__xludf.DUMMYFUNCTION("""COMPUTED_VALUE"""),"ARLYNNE DELOS REYES")</f>
        <v>ARLYNNE DELOS REYES</v>
      </c>
      <c r="C2110" s="235" t="str">
        <f>IFERROR(__xludf.DUMMYFUNCTION("""COMPUTED_VALUE"""),"TCPD")</f>
        <v>TCPD</v>
      </c>
      <c r="D2110" s="196" t="str">
        <f>IFERROR(__xludf.DUMMYFUNCTION("""COMPUTED_VALUE"""),"3 REAM BLUE LONG PAPER
3 REAM YELLOW LONG PAPER")</f>
        <v>3 REAM BLUE LONG PAPER
3 REAM YELLOW LONG PAPER</v>
      </c>
      <c r="E2110" s="196" t="str">
        <f>IFERROR(__xludf.DUMMYFUNCTION("""COMPUTED_VALUE"""),"FOR THE PRINITING OF ACE EVALUATION FORM OF NTE")</f>
        <v>FOR THE PRINITING OF ACE EVALUATION FORM OF NTE</v>
      </c>
    </row>
    <row r="2111">
      <c r="A2111" s="234">
        <f>IFERROR(__xludf.DUMMYFUNCTION("""COMPUTED_VALUE"""),106944.0)</f>
        <v>106944</v>
      </c>
      <c r="B2111" s="235" t="str">
        <f>IFERROR(__xludf.DUMMYFUNCTION("""COMPUTED_VALUE"""),"SHEREE ESPINOSA")</f>
        <v>SHEREE ESPINOSA</v>
      </c>
      <c r="C2111" s="235" t="str">
        <f>IFERROR(__xludf.DUMMYFUNCTION("""COMPUTED_VALUE"""),"ADMIN")</f>
        <v>ADMIN</v>
      </c>
      <c r="D2111" s="196" t="str">
        <f>IFERROR(__xludf.DUMMYFUNCTION("""COMPUTED_VALUE"""),"1 LONG BENCH 3 SEATER BEIGE ")</f>
        <v>1 LONG BENCH 3 SEATER BEIGE </v>
      </c>
      <c r="E2111" s="196" t="str">
        <f>IFERROR(__xludf.DUMMYFUNCTION("""COMPUTED_VALUE"""),"FOR FINANCE OFFICE")</f>
        <v>FOR FINANCE OFFICE</v>
      </c>
    </row>
    <row r="2112">
      <c r="A2112" s="234">
        <f>IFERROR(__xludf.DUMMYFUNCTION("""COMPUTED_VALUE"""),106945.0)</f>
        <v>106945</v>
      </c>
      <c r="B2112" s="235" t="str">
        <f>IFERROR(__xludf.DUMMYFUNCTION("""COMPUTED_VALUE"""),"RODRIGO CUSTODIO")</f>
        <v>RODRIGO CUSTODIO</v>
      </c>
      <c r="C2112" s="235" t="str">
        <f>IFERROR(__xludf.DUMMYFUNCTION("""COMPUTED_VALUE"""),"AMD")</f>
        <v>AMD</v>
      </c>
      <c r="D2112" s="196" t="str">
        <f>IFERROR(__xludf.DUMMYFUNCTION("""COMPUTED_VALUE"""),"75PCS MR MUSCLE SUPER TOILET BOWL CLEANER 750ML")</f>
        <v>75PCS MR MUSCLE SUPER TOILET BOWL CLEANER 750ML</v>
      </c>
      <c r="E2112" s="196" t="str">
        <f>IFERROR(__xludf.DUMMYFUNCTION("""COMPUTED_VALUE"""),"HOUSEKEEPING MATERIALS STOCK REPLENISHMENT")</f>
        <v>HOUSEKEEPING MATERIALS STOCK REPLENISHMENT</v>
      </c>
    </row>
    <row r="2113">
      <c r="A2113" s="234">
        <f>IFERROR(__xludf.DUMMYFUNCTION("""COMPUTED_VALUE"""),106946.0)</f>
        <v>106946</v>
      </c>
      <c r="B2113" s="235" t="str">
        <f>IFERROR(__xludf.DUMMYFUNCTION("""COMPUTED_VALUE"""),"ANN DELA ISLA ")</f>
        <v>ANN DELA ISLA </v>
      </c>
      <c r="C2113" s="235" t="str">
        <f>IFERROR(__xludf.DUMMYFUNCTION("""COMPUTED_VALUE"""),"IB")</f>
        <v>IB</v>
      </c>
      <c r="D2113" s="196" t="str">
        <f>IFERROR(__xludf.DUMMYFUNCTION("""COMPUTED_VALUE"""),"10 ACADEMIC EXCELLENCE GOLD / GREEN LACE
10 ACADEMIC EXCELLENCE SILVER PURPLE LACE
10 LOYALTY TRI COLOR LACE
20 SUBJECT EXCELLENCE TRI COLOR LACE")</f>
        <v>10 ACADEMIC EXCELLENCE GOLD / GREEN LACE
10 ACADEMIC EXCELLENCE SILVER PURPLE LACE
10 LOYALTY TRI COLOR LACE
20 SUBJECT EXCELLENCE TRI COLOR LACE</v>
      </c>
      <c r="E2113" s="196" t="str">
        <f>IFERROR(__xludf.DUMMYFUNCTION("""COMPUTED_VALUE"""),"IB GRADUATION")</f>
        <v>IB GRADUATION</v>
      </c>
    </row>
    <row r="2114">
      <c r="A2114" s="234">
        <f>IFERROR(__xludf.DUMMYFUNCTION("""COMPUTED_VALUE"""),106947.0)</f>
        <v>106947</v>
      </c>
      <c r="B2114" s="235" t="str">
        <f>IFERROR(__xludf.DUMMYFUNCTION("""COMPUTED_VALUE"""),"JOMEL ESPIGOL")</f>
        <v>JOMEL ESPIGOL</v>
      </c>
      <c r="C2114" s="235" t="str">
        <f>IFERROR(__xludf.DUMMYFUNCTION("""COMPUTED_VALUE"""),"HRMD")</f>
        <v>HRMD</v>
      </c>
      <c r="D2114" s="196" t="str">
        <f>IFERROR(__xludf.DUMMYFUNCTION("""COMPUTED_VALUE"""),"300 ARCHIVE BOX BLACK")</f>
        <v>300 ARCHIVE BOX BLACK</v>
      </c>
      <c r="E2114" s="196" t="str">
        <f>IFERROR(__xludf.DUMMYFUNCTION("""COMPUTED_VALUE"""),"WILL BE USED TO STORE STUDENT AND EMPLOYEE RECORDS IN ARCHIVE")</f>
        <v>WILL BE USED TO STORE STUDENT AND EMPLOYEE RECORDS IN ARCHIVE</v>
      </c>
    </row>
    <row r="2115">
      <c r="A2115" s="234">
        <f>IFERROR(__xludf.DUMMYFUNCTION("""COMPUTED_VALUE"""),106948.0)</f>
        <v>106948</v>
      </c>
      <c r="B2115" s="235" t="str">
        <f>IFERROR(__xludf.DUMMYFUNCTION("""COMPUTED_VALUE"""),"OWIE PAR")</f>
        <v>OWIE PAR</v>
      </c>
      <c r="C2115" s="235" t="str">
        <f>IFERROR(__xludf.DUMMYFUNCTION("""COMPUTED_VALUE"""),"ENGINEERING")</f>
        <v>ENGINEERING</v>
      </c>
      <c r="D2115" s="196" t="str">
        <f>IFERROR(__xludf.DUMMYFUNCTION("""COMPUTED_VALUE"""),"2 PCS GUTTER BEIGE GUAGE 24")</f>
        <v>2 PCS GUTTER BEIGE GUAGE 24</v>
      </c>
      <c r="E2115" s="196" t="str">
        <f>IFERROR(__xludf.DUMMYFUNCTION("""COMPUTED_VALUE"""),"FOR GATE 1 ")</f>
        <v>FOR GATE 1 </v>
      </c>
    </row>
    <row r="2116">
      <c r="A2116" s="234">
        <f>IFERROR(__xludf.DUMMYFUNCTION("""COMPUTED_VALUE"""),106949.0)</f>
        <v>106949</v>
      </c>
      <c r="B2116" s="235" t="str">
        <f>IFERROR(__xludf.DUMMYFUNCTION("""COMPUTED_VALUE"""),"SANDRA SHAINE GUATLO")</f>
        <v>SANDRA SHAINE GUATLO</v>
      </c>
      <c r="C2116" s="235" t="str">
        <f>IFERROR(__xludf.DUMMYFUNCTION("""COMPUTED_VALUE"""),"PR &amp; MARKETING")</f>
        <v>PR &amp; MARKETING</v>
      </c>
      <c r="D2116" s="196" t="str">
        <f>IFERROR(__xludf.DUMMYFUNCTION("""COMPUTED_VALUE"""),"3X2 SPB 2024-2025 PERFECT BOUND")</f>
        <v>3X2 SPB 2024-2025 PERFECT BOUND</v>
      </c>
      <c r="E2116" s="196" t="str">
        <f>IFERROR(__xludf.DUMMYFUNCTION("""COMPUTED_VALUE"""),"FOR DISPLAY AT SISC OFFICES PR")</f>
        <v>FOR DISPLAY AT SISC OFFICES PR</v>
      </c>
    </row>
    <row r="2117">
      <c r="A2117" s="234">
        <f>IFERROR(__xludf.DUMMYFUNCTION("""COMPUTED_VALUE"""),106950.0)</f>
        <v>106950</v>
      </c>
      <c r="B2117" s="235" t="str">
        <f>IFERROR(__xludf.DUMMYFUNCTION("""COMPUTED_VALUE"""),"ARNEL MONTABLAN")</f>
        <v>ARNEL MONTABLAN</v>
      </c>
      <c r="C2117" s="235" t="str">
        <f>IFERROR(__xludf.DUMMYFUNCTION("""COMPUTED_VALUE"""),"CEM OFFICE")</f>
        <v>CEM OFFICE</v>
      </c>
      <c r="D2117" s="196" t="str">
        <f>IFERROR(__xludf.DUMMYFUNCTION("""COMPUTED_VALUE"""),"10 PCS PILLOW 
10 PCS PILLOW CASE
10 PCS LIGHT BLANKET")</f>
        <v>10 PCS PILLOW 
10 PCS PILLOW CASE
10 PCS LIGHT BLANKET</v>
      </c>
      <c r="E2117" s="196" t="str">
        <f>IFERROR(__xludf.DUMMYFUNCTION("""COMPUTED_VALUE"""),"FOR INCOMING SCHOLARS")</f>
        <v>FOR INCOMING SCHOLARS</v>
      </c>
    </row>
    <row r="2118">
      <c r="A2118" s="234">
        <f>IFERROR(__xludf.DUMMYFUNCTION("""COMPUTED_VALUE"""),106951.0)</f>
        <v>106951</v>
      </c>
      <c r="B2118" s="235" t="str">
        <f>IFERROR(__xludf.DUMMYFUNCTION("""COMPUTED_VALUE"""),"MARC VINCENT VITTO")</f>
        <v>MARC VINCENT VITTO</v>
      </c>
      <c r="C2118" s="235" t="str">
        <f>IFERROR(__xludf.DUMMYFUNCTION("""COMPUTED_VALUE"""),"PR &amp; MARKETING")</f>
        <v>PR &amp; MARKETING</v>
      </c>
      <c r="D2118" s="196" t="str">
        <f>IFERROR(__xludf.DUMMYFUNCTION("""COMPUTED_VALUE"""),"1 BOOK LAUNCH TARP 13FT X 13FT 13 OZ
4 BOOK LAUNCH X STAND 6FT X 2.5FT 13 OZ ADD SEAMING AND EYELET ALLOVER")</f>
        <v>1 BOOK LAUNCH TARP 13FT X 13FT 13 OZ
4 BOOK LAUNCH X STAND 6FT X 2.5FT 13 OZ ADD SEAMING AND EYELET ALLOVER</v>
      </c>
      <c r="E2118" s="196" t="str">
        <f>IFERROR(__xludf.DUMMYFUNCTION("""COMPUTED_VALUE"""),"FOR OFFICE BOOK LAUNCH")</f>
        <v>FOR OFFICE BOOK LAUNCH</v>
      </c>
    </row>
    <row r="2119">
      <c r="A2119" s="234">
        <f>IFERROR(__xludf.DUMMYFUNCTION("""COMPUTED_VALUE"""),106952.0)</f>
        <v>106952</v>
      </c>
      <c r="B2119" s="235" t="str">
        <f>IFERROR(__xludf.DUMMYFUNCTION("""COMPUTED_VALUE"""),"JESSABEL ARICSON")</f>
        <v>JESSABEL ARICSON</v>
      </c>
      <c r="C2119" s="235" t="str">
        <f>IFERROR(__xludf.DUMMYFUNCTION("""COMPUTED_VALUE"""),"PURCHASING")</f>
        <v>PURCHASING</v>
      </c>
      <c r="D2119" s="196" t="str">
        <f>IFERROR(__xludf.DUMMYFUNCTION("""COMPUTED_VALUE"""),"2 AIR COMDITIONER WIND SHIELD")</f>
        <v>2 AIR COMDITIONER WIND SHIELD</v>
      </c>
      <c r="E2119" s="196" t="str">
        <f>IFERROR(__xludf.DUMMYFUNCTION("""COMPUTED_VALUE"""),"FOR PURCHASING OFFICE")</f>
        <v>FOR PURCHASING OFFICE</v>
      </c>
    </row>
    <row r="2120">
      <c r="A2120" s="234">
        <f>IFERROR(__xludf.DUMMYFUNCTION("""COMPUTED_VALUE"""),106953.0)</f>
        <v>106953</v>
      </c>
      <c r="B2120" s="235" t="str">
        <f>IFERROR(__xludf.DUMMYFUNCTION("""COMPUTED_VALUE"""),"RODRIGO CUSTODIO")</f>
        <v>RODRIGO CUSTODIO</v>
      </c>
      <c r="C2120" s="235" t="str">
        <f>IFERROR(__xludf.DUMMYFUNCTION("""COMPUTED_VALUE"""),"AMD")</f>
        <v>AMD</v>
      </c>
      <c r="D2120" s="196" t="str">
        <f>IFERROR(__xludf.DUMMYFUNCTION("""COMPUTED_VALUE"""),"100 PACKS TRASH BAG SMALL 18 X 18 CLEAR 
5 PCS PAIL OROCAN WHITE")</f>
        <v>100 PACKS TRASH BAG SMALL 18 X 18 CLEAR 
5 PCS PAIL OROCAN WHITE</v>
      </c>
      <c r="E2120" s="196" t="str">
        <f>IFERROR(__xludf.DUMMYFUNCTION("""COMPUTED_VALUE"""),"HOUSEKEEPING MATERIALS STOCK REPLENISHMENT")</f>
        <v>HOUSEKEEPING MATERIALS STOCK REPLENISHMENT</v>
      </c>
    </row>
    <row r="2121">
      <c r="A2121" s="234">
        <f>IFERROR(__xludf.DUMMYFUNCTION("""COMPUTED_VALUE"""),106954.0)</f>
        <v>106954</v>
      </c>
      <c r="B2121" s="235" t="str">
        <f>IFERROR(__xludf.DUMMYFUNCTION("""COMPUTED_VALUE"""),"MARVIN MARASIGAN")</f>
        <v>MARVIN MARASIGAN</v>
      </c>
      <c r="C2121" s="235" t="str">
        <f>IFERROR(__xludf.DUMMYFUNCTION("""COMPUTED_VALUE"""),"PR &amp; MARKETING")</f>
        <v>PR &amp; MARKETING</v>
      </c>
      <c r="D2121" s="196" t="str">
        <f>IFERROR(__xludf.DUMMYFUNCTION("""COMPUTED_VALUE"""),"CHARACTER ORG POSTER GOLD (2FT X 3FT)
CHARACTER ORG POSTER SILVER (2FT X 3FT)
SINTRA BOARD MATERIAL")</f>
        <v>CHARACTER ORG POSTER GOLD (2FT X 3FT)
CHARACTER ORG POSTER SILVER (2FT X 3FT)
SINTRA BOARD MATERIAL</v>
      </c>
      <c r="E2121" s="196" t="str">
        <f>IFERROR(__xludf.DUMMYFUNCTION("""COMPUTED_VALUE"""),"FOR MEETING WITH CONGRESSMAN SANTOS")</f>
        <v>FOR MEETING WITH CONGRESSMAN SANTOS</v>
      </c>
    </row>
    <row r="2122">
      <c r="A2122" s="234">
        <f>IFERROR(__xludf.DUMMYFUNCTION("""COMPUTED_VALUE"""),106955.0)</f>
        <v>106955</v>
      </c>
      <c r="B2122" s="235" t="str">
        <f>IFERROR(__xludf.DUMMYFUNCTION("""COMPUTED_VALUE"""),"OWIE PAR")</f>
        <v>OWIE PAR</v>
      </c>
      <c r="C2122" s="235" t="str">
        <f>IFERROR(__xludf.DUMMYFUNCTION("""COMPUTED_VALUE"""),"ENGINEERING")</f>
        <v>ENGINEERING</v>
      </c>
      <c r="D2122" s="196" t="str">
        <f>IFERROR(__xludf.DUMMYFUNCTION("""COMPUTED_VALUE"""),"2 UNITS 1.0 HP WINDOW TYPE PANASONIC ")</f>
        <v>2 UNITS 1.0 HP WINDOW TYPE PANASONIC </v>
      </c>
      <c r="E2122" s="196" t="str">
        <f>IFERROR(__xludf.DUMMYFUNCTION("""COMPUTED_VALUE"""),"FOR SCI LAB STORAGE RM AND PR DIGILAB")</f>
        <v>FOR SCI LAB STORAGE RM AND PR DIGILAB</v>
      </c>
    </row>
    <row r="2123">
      <c r="A2123" s="234">
        <f>IFERROR(__xludf.DUMMYFUNCTION("""COMPUTED_VALUE"""),106956.0)</f>
        <v>106956</v>
      </c>
      <c r="B2123" s="235" t="str">
        <f>IFERROR(__xludf.DUMMYFUNCTION("""COMPUTED_VALUE"""),"OWIE PAR")</f>
        <v>OWIE PAR</v>
      </c>
      <c r="C2123" s="235" t="str">
        <f>IFERROR(__xludf.DUMMYFUNCTION("""COMPUTED_VALUE"""),"ENGINEERING")</f>
        <v>ENGINEERING</v>
      </c>
      <c r="D2123" s="196" t="str">
        <f>IFERROR(__xludf.DUMMYFUNCTION("""COMPUTED_VALUE"""),"3 UNITS 3.0HP WALL MOUNTED TYPE INVERTER PANASONIC")</f>
        <v>3 UNITS 3.0HP WALL MOUNTED TYPE INVERTER PANASONIC</v>
      </c>
      <c r="E2123" s="196" t="str">
        <f>IFERROR(__xludf.DUMMYFUNCTION("""COMPUTED_VALUE"""),"FOR LUX 209 312 315 REPLACEMENT OF ACU")</f>
        <v>FOR LUX 209 312 315 REPLACEMENT OF ACU</v>
      </c>
    </row>
    <row r="2124">
      <c r="A2124" s="234">
        <f>IFERROR(__xludf.DUMMYFUNCTION("""COMPUTED_VALUE"""),106957.0)</f>
        <v>106957</v>
      </c>
      <c r="B2124" s="235" t="str">
        <f>IFERROR(__xludf.DUMMYFUNCTION("""COMPUTED_VALUE"""),"OWIE PAR")</f>
        <v>OWIE PAR</v>
      </c>
      <c r="C2124" s="235" t="str">
        <f>IFERROR(__xludf.DUMMYFUNCTION("""COMPUTED_VALUE"""),"ENGINEERING")</f>
        <v>ENGINEERING</v>
      </c>
      <c r="D2124" s="196" t="str">
        <f>IFERROR(__xludf.DUMMYFUNCTION("""COMPUTED_VALUE"""),"1 UNIT 1.5HP WALL MOUNTED TYPE INVERTER PANASONIC")</f>
        <v>1 UNIT 1.5HP WALL MOUNTED TYPE INVERTER PANASONIC</v>
      </c>
      <c r="E2124" s="196" t="str">
        <f>IFERROR(__xludf.DUMMYFUNCTION("""COMPUTED_VALUE"""),"FOR PRINCIPALS OFFICE LUX CAMPUS")</f>
        <v>FOR PRINCIPALS OFFICE LUX CAMPUS</v>
      </c>
    </row>
    <row r="2125">
      <c r="A2125" s="234">
        <f>IFERROR(__xludf.DUMMYFUNCTION("""COMPUTED_VALUE"""),106958.0)</f>
        <v>106958</v>
      </c>
      <c r="B2125" s="235" t="str">
        <f>IFERROR(__xludf.DUMMYFUNCTION("""COMPUTED_VALUE"""),"JESUIT CHRISTIAN GALICIA")</f>
        <v>JESUIT CHRISTIAN GALICIA</v>
      </c>
      <c r="C2125" s="235" t="str">
        <f>IFERROR(__xludf.DUMMYFUNCTION("""COMPUTED_VALUE"""),"AMD")</f>
        <v>AMD</v>
      </c>
      <c r="D2125" s="196" t="str">
        <f>IFERROR(__xludf.DUMMYFUNCTION("""COMPUTED_VALUE"""),"35 PCS CAT6 IO JACK")</f>
        <v>35 PCS CAT6 IO JACK</v>
      </c>
      <c r="E2125" s="196" t="str">
        <f>IFERROR(__xludf.DUMMYFUNCTION("""COMPUTED_VALUE"""),"MIS WAREHOUSE STOCK REPLENISHMENT")</f>
        <v>MIS WAREHOUSE STOCK REPLENISHMENT</v>
      </c>
    </row>
    <row r="2126">
      <c r="A2126" s="234">
        <f>IFERROR(__xludf.DUMMYFUNCTION("""COMPUTED_VALUE"""),106959.0)</f>
        <v>106959</v>
      </c>
      <c r="B2126" s="235" t="str">
        <f>IFERROR(__xludf.DUMMYFUNCTION("""COMPUTED_VALUE"""),"CHRISTON CORBEZA")</f>
        <v>CHRISTON CORBEZA</v>
      </c>
      <c r="C2126" s="235" t="str">
        <f>IFERROR(__xludf.DUMMYFUNCTION("""COMPUTED_VALUE"""),"ADMIN - MUNICH")</f>
        <v>ADMIN - MUNICH</v>
      </c>
      <c r="D2126" s="196" t="str">
        <f>IFERROR(__xludf.DUMMYFUNCTION("""COMPUTED_VALUE"""),"1PC CEILING TYPE EXHAUST FAN 24CM 
2 PCS WALL TYPE EXHAUST FAN 12 IN ")</f>
        <v>1PC CEILING TYPE EXHAUST FAN 24CM 
2 PCS WALL TYPE EXHAUST FAN 12 IN </v>
      </c>
      <c r="E2126" s="196" t="str">
        <f>IFERROR(__xludf.DUMMYFUNCTION("""COMPUTED_VALUE"""),"FOR INSTALLATION AND REPLACEMENT")</f>
        <v>FOR INSTALLATION AND REPLACEMENT</v>
      </c>
    </row>
    <row r="2127">
      <c r="A2127" s="234">
        <f>IFERROR(__xludf.DUMMYFUNCTION("""COMPUTED_VALUE"""),106960.0)</f>
        <v>106960</v>
      </c>
      <c r="B2127" s="235" t="str">
        <f>IFERROR(__xludf.DUMMYFUNCTION("""COMPUTED_VALUE"""),"JEREMIAH TIROL")</f>
        <v>JEREMIAH TIROL</v>
      </c>
      <c r="C2127" s="235" t="str">
        <f>IFERROR(__xludf.DUMMYFUNCTION("""COMPUTED_VALUE"""),"SCIENCE LAB COLLEGE")</f>
        <v>SCIENCE LAB COLLEGE</v>
      </c>
      <c r="D2127" s="196" t="str">
        <f>IFERROR(__xludf.DUMMYFUNCTION("""COMPUTED_VALUE"""),"1 PC MEDICAL OXYGEN TANK REFILL")</f>
        <v>1 PC MEDICAL OXYGEN TANK REFILL</v>
      </c>
      <c r="E2127" s="196" t="str">
        <f>IFERROR(__xludf.DUMMYFUNCTION("""COMPUTED_VALUE"""),"FOR REFILL MEDICAL OXYGEN TANK 50LBS FOR RETDEM NURSING CLASSES")</f>
        <v>FOR REFILL MEDICAL OXYGEN TANK 50LBS FOR RETDEM NURSING CLASSES</v>
      </c>
    </row>
    <row r="2128">
      <c r="A2128" s="234">
        <f>IFERROR(__xludf.DUMMYFUNCTION("""COMPUTED_VALUE"""),106961.0)</f>
        <v>106961</v>
      </c>
      <c r="B2128" s="235" t="str">
        <f>IFERROR(__xludf.DUMMYFUNCTION("""COMPUTED_VALUE"""),"RODRIGO CUSTODIO")</f>
        <v>RODRIGO CUSTODIO</v>
      </c>
      <c r="C2128" s="235" t="str">
        <f>IFERROR(__xludf.DUMMYFUNCTION("""COMPUTED_VALUE"""),"AMD")</f>
        <v>AMD</v>
      </c>
      <c r="D2128" s="196" t="str">
        <f>IFERROR(__xludf.DUMMYFUNCTION("""COMPUTED_VALUE"""),"6 PCS DUST MOP HANDLE AND FRAME WITH MOP HEAD #30")</f>
        <v>6 PCS DUST MOP HANDLE AND FRAME WITH MOP HEAD #30</v>
      </c>
      <c r="E2128" s="196" t="str">
        <f>IFERROR(__xludf.DUMMYFUNCTION("""COMPUTED_VALUE"""),"HOUSEKEEPING MATERIALS STOCK REPLENISHMENT")</f>
        <v>HOUSEKEEPING MATERIALS STOCK REPLENISHMENT</v>
      </c>
    </row>
    <row r="2129">
      <c r="A2129" s="234">
        <f>IFERROR(__xludf.DUMMYFUNCTION("""COMPUTED_VALUE"""),106962.0)</f>
        <v>106962</v>
      </c>
      <c r="B2129" s="235" t="str">
        <f>IFERROR(__xludf.DUMMYFUNCTION("""COMPUTED_VALUE"""),"JANUARY GUTIERREZ")</f>
        <v>JANUARY GUTIERREZ</v>
      </c>
      <c r="C2129" s="235" t="str">
        <f>IFERROR(__xludf.DUMMYFUNCTION("""COMPUTED_VALUE"""),"CAPS BED")</f>
        <v>CAPS BED</v>
      </c>
      <c r="D2129" s="196" t="str">
        <f>IFERROR(__xludf.DUMMYFUNCTION("""COMPUTED_VALUE"""),"4 BLACK AND COLORED INK CANON PIXMA MG3070 S WIRELESS PRINTER")</f>
        <v>4 BLACK AND COLORED INK CANON PIXMA MG3070 S WIRELESS PRINTER</v>
      </c>
      <c r="E2129" s="196" t="str">
        <f>IFERROR(__xludf.DUMMYFUNCTION("""COMPUTED_VALUE"""),"FOR OFFICE USE")</f>
        <v>FOR OFFICE USE</v>
      </c>
    </row>
    <row r="2130">
      <c r="A2130" s="234">
        <f>IFERROR(__xludf.DUMMYFUNCTION("""COMPUTED_VALUE"""),106963.0)</f>
        <v>106963</v>
      </c>
      <c r="B2130" s="235" t="str">
        <f>IFERROR(__xludf.DUMMYFUNCTION("""COMPUTED_VALUE"""),"OWIE PAR")</f>
        <v>OWIE PAR</v>
      </c>
      <c r="C2130" s="235" t="str">
        <f>IFERROR(__xludf.DUMMYFUNCTION("""COMPUTED_VALUE"""),"ENGINEERING")</f>
        <v>ENGINEERING</v>
      </c>
      <c r="D2130" s="196" t="str">
        <f>IFERROR(__xludf.DUMMYFUNCTION("""COMPUTED_VALUE"""),"2 LENGTHS STAINLESS FLAT BAR 2 X 3/16
1KG STAINLESS WELDING ROD")</f>
        <v>2 LENGTHS STAINLESS FLAT BAR 2 X 3/16
1KG STAINLESS WELDING ROD</v>
      </c>
      <c r="E2130" s="196" t="str">
        <f>IFERROR(__xludf.DUMMYFUNCTION("""COMPUTED_VALUE"""),"REPLACEMENT OF GRILL MANHOLE COVER AT THE FRONT OF LUX HALL")</f>
        <v>REPLACEMENT OF GRILL MANHOLE COVER AT THE FRONT OF LUX HALL</v>
      </c>
    </row>
    <row r="2131">
      <c r="A2131" s="234">
        <f>IFERROR(__xludf.DUMMYFUNCTION("""COMPUTED_VALUE"""),106964.0)</f>
        <v>106964</v>
      </c>
      <c r="B2131" s="235" t="str">
        <f>IFERROR(__xludf.DUMMYFUNCTION("""COMPUTED_VALUE"""),"ANGELO PARAS")</f>
        <v>ANGELO PARAS</v>
      </c>
      <c r="C2131" s="235" t="str">
        <f>IFERROR(__xludf.DUMMYFUNCTION("""COMPUTED_VALUE"""),"SCIENCE LAB COLLEGE")</f>
        <v>SCIENCE LAB COLLEGE</v>
      </c>
      <c r="D2131" s="196" t="str">
        <f>IFERROR(__xludf.DUMMYFUNCTION("""COMPUTED_VALUE"""),"2 PCS MAKE ROSCOPES CLASSROOM KIT ")</f>
        <v>2 PCS MAKE ROSCOPES CLASSROOM KIT </v>
      </c>
      <c r="E2131" s="196" t="str">
        <f>IFERROR(__xludf.DUMMYFUNCTION("""COMPUTED_VALUE"""),"FOR USE IN BIOLOGY CLASSES")</f>
        <v>FOR USE IN BIOLOGY CLASSES</v>
      </c>
    </row>
    <row r="2132">
      <c r="A2132" s="234">
        <f>IFERROR(__xludf.DUMMYFUNCTION("""COMPUTED_VALUE"""),106965.0)</f>
        <v>106965</v>
      </c>
      <c r="B2132" s="235" t="str">
        <f>IFERROR(__xludf.DUMMYFUNCTION("""COMPUTED_VALUE"""),"PATRICIA BELLEZA")</f>
        <v>PATRICIA BELLEZA</v>
      </c>
      <c r="C2132" s="235" t="str">
        <f>IFERROR(__xludf.DUMMYFUNCTION("""COMPUTED_VALUE"""),"STUDENT AFFAIRS BED")</f>
        <v>STUDENT AFFAIRS BED</v>
      </c>
      <c r="D2132" s="196" t="str">
        <f>IFERROR(__xludf.DUMMYFUNCTION("""COMPUTED_VALUE"""),"FUNERAL FLOWERS ")</f>
        <v>FUNERAL FLOWERS </v>
      </c>
      <c r="E2132" s="196" t="str">
        <f>IFERROR(__xludf.DUMMYFUNCTION("""COMPUTED_VALUE"""),"FUNERAL FLOWERS FOR MR DANTE ANG")</f>
        <v>FUNERAL FLOWERS FOR MR DANTE ANG</v>
      </c>
    </row>
    <row r="2133">
      <c r="A2133" s="234">
        <f>IFERROR(__xludf.DUMMYFUNCTION("""COMPUTED_VALUE"""),106966.0)</f>
        <v>106966</v>
      </c>
      <c r="B2133" s="235" t="str">
        <f>IFERROR(__xludf.DUMMYFUNCTION("""COMPUTED_VALUE"""),"OWIE PAR")</f>
        <v>OWIE PAR</v>
      </c>
      <c r="C2133" s="235" t="str">
        <f>IFERROR(__xludf.DUMMYFUNCTION("""COMPUTED_VALUE"""),"ENGINEERING")</f>
        <v>ENGINEERING</v>
      </c>
      <c r="D2133" s="196" t="str">
        <f>IFERROR(__xludf.DUMMYFUNCTION("""COMPUTED_VALUE"""),"1PC GI TEE 1/2 
1PC PVC MALE ADAPTOR 1/2 BLUE
1PC PVC COU[LING REDUCER 3/4 X 1/2 BLUE
12 LENGTHS PVC PIPE 3/4 BLUE
8PCS PVC ELBOW 3/4 BLUE
4PCS PVC MALE ADAPTOR 3/4 BLUE
2PCS BRASS SPRING VALVE 3/4 KITZ
1 CAN PVC SOLVENT CEMENT 400 CC NEATEX
3 ROLLS TEPLO"&amp;"N TAPE 3/4
2 GAL BOYSEN COOL SHADE HEAT REFLECTIVE ROOF COATING")</f>
        <v>1PC GI TEE 1/2 
1PC PVC MALE ADAPTOR 1/2 BLUE
1PC PVC COU[LING REDUCER 3/4 X 1/2 BLUE
12 LENGTHS PVC PIPE 3/4 BLUE
8PCS PVC ELBOW 3/4 BLUE
4PCS PVC MALE ADAPTOR 3/4 BLUE
2PCS BRASS SPRING VALVE 3/4 KITZ
1 CAN PVC SOLVENT CEMENT 400 CC NEATEX
3 ROLLS TEPLON TAPE 3/4
2 GAL BOYSEN COOL SHADE HEAT REFLECTIVE ROOF COATING</v>
      </c>
      <c r="E2133" s="196" t="str">
        <f>IFERROR(__xludf.DUMMYFUNCTION("""COMPUTED_VALUE"""),"TAPPING OF WATER FROM MUNICH TO LIMA CENTRER")</f>
        <v>TAPPING OF WATER FROM MUNICH TO LIMA CENTRER</v>
      </c>
    </row>
    <row r="2134">
      <c r="A2134" s="234">
        <f>IFERROR(__xludf.DUMMYFUNCTION("""COMPUTED_VALUE"""),106967.0)</f>
        <v>106967</v>
      </c>
      <c r="B2134" s="235" t="str">
        <f>IFERROR(__xludf.DUMMYFUNCTION("""COMPUTED_VALUE"""),"MYRNA RULONA")</f>
        <v>MYRNA RULONA</v>
      </c>
      <c r="C2134" s="235" t="str">
        <f>IFERROR(__xludf.DUMMYFUNCTION("""COMPUTED_VALUE"""),"PRESIDENT'S OFFICE")</f>
        <v>PRESIDENT'S OFFICE</v>
      </c>
      <c r="D2134" s="196" t="str">
        <f>IFERROR(__xludf.DUMMYFUNCTION("""COMPUTED_VALUE"""),"1 POTTED 3 STEMS FLOWER")</f>
        <v>1 POTTED 3 STEMS FLOWER</v>
      </c>
      <c r="E2134" s="196" t="str">
        <f>IFERROR(__xludf.DUMMYFUNCTION("""COMPUTED_VALUE"""),"TOKEN OF APPRECIATION FOR COLLEGE DEPT WURI")</f>
        <v>TOKEN OF APPRECIATION FOR COLLEGE DEPT WURI</v>
      </c>
    </row>
    <row r="2135">
      <c r="A2135" s="234">
        <f>IFERROR(__xludf.DUMMYFUNCTION("""COMPUTED_VALUE"""),106968.0)</f>
        <v>106968</v>
      </c>
      <c r="B2135" s="235" t="str">
        <f>IFERROR(__xludf.DUMMYFUNCTION("""COMPUTED_VALUE"""),"EVA NECOSIA")</f>
        <v>EVA NECOSIA</v>
      </c>
      <c r="C2135" s="235" t="str">
        <f>IFERROR(__xludf.DUMMYFUNCTION("""COMPUTED_VALUE"""),"FINANCE &amp; ACCOUNTING")</f>
        <v>FINANCE &amp; ACCOUNTING</v>
      </c>
      <c r="D2135" s="196" t="str">
        <f>IFERROR(__xludf.DUMMYFUNCTION("""COMPUTED_VALUE"""),"1 MONEY COUNTER")</f>
        <v>1 MONEY COUNTER</v>
      </c>
      <c r="E2135" s="196" t="str">
        <f>IFERROR(__xludf.DUMMYFUNCTION("""COMPUTED_VALUE"""),"FOR COUNTING MONEY ")</f>
        <v>FOR COUNTING MONEY </v>
      </c>
    </row>
    <row r="2136">
      <c r="A2136" s="234">
        <f>IFERROR(__xludf.DUMMYFUNCTION("""COMPUTED_VALUE"""),106969.0)</f>
        <v>106969</v>
      </c>
      <c r="B2136" s="235" t="str">
        <f>IFERROR(__xludf.DUMMYFUNCTION("""COMPUTED_VALUE"""),"RODRIGO CUSTODIO")</f>
        <v>RODRIGO CUSTODIO</v>
      </c>
      <c r="C2136" s="235" t="str">
        <f>IFERROR(__xludf.DUMMYFUNCTION("""COMPUTED_VALUE"""),"AMD")</f>
        <v>AMD</v>
      </c>
      <c r="D2136" s="196" t="str">
        <f>IFERROR(__xludf.DUMMYFUNCTION("""COMPUTED_VALUE"""),"20 PCS SVAVO SOAP DISPENSER")</f>
        <v>20 PCS SVAVO SOAP DISPENSER</v>
      </c>
      <c r="E2136" s="196" t="str">
        <f>IFERROR(__xludf.DUMMYFUNCTION("""COMPUTED_VALUE"""),"HOUSEKEEPING MATERIALS STOCK REPLENISHMENT")</f>
        <v>HOUSEKEEPING MATERIALS STOCK REPLENISHMENT</v>
      </c>
    </row>
    <row r="2137">
      <c r="A2137" s="234">
        <f>IFERROR(__xludf.DUMMYFUNCTION("""COMPUTED_VALUE"""),106970.0)</f>
        <v>106970</v>
      </c>
      <c r="B2137" s="235" t="str">
        <f>IFERROR(__xludf.DUMMYFUNCTION("""COMPUTED_VALUE"""),"RORY MONSBRIDGE")</f>
        <v>RORY MONSBRIDGE</v>
      </c>
      <c r="C2137" s="235" t="str">
        <f>IFERROR(__xludf.DUMMYFUNCTION("""COMPUTED_VALUE"""),"ATHLETICS")</f>
        <v>ATHLETICS</v>
      </c>
      <c r="D2137" s="196" t="str">
        <f>IFERROR(__xludf.DUMMYFUNCTION("""COMPUTED_VALUE"""),"76 ISAC CHAMPION SHIRT")</f>
        <v>76 ISAC CHAMPION SHIRT</v>
      </c>
      <c r="E2137" s="196" t="str">
        <f>IFERROR(__xludf.DUMMYFUNCTION("""COMPUTED_VALUE"""),"VARSITY UNIFORMS")</f>
        <v>VARSITY UNIFORMS</v>
      </c>
    </row>
    <row r="2138">
      <c r="A2138" s="234">
        <f>IFERROR(__xludf.DUMMYFUNCTION("""COMPUTED_VALUE"""),106971.0)</f>
        <v>106971</v>
      </c>
      <c r="B2138" s="235" t="str">
        <f>IFERROR(__xludf.DUMMYFUNCTION("""COMPUTED_VALUE"""),"RORY MONSBRIDGE")</f>
        <v>RORY MONSBRIDGE</v>
      </c>
      <c r="C2138" s="235" t="str">
        <f>IFERROR(__xludf.DUMMYFUNCTION("""COMPUTED_VALUE"""),"ATHLETICS")</f>
        <v>ATHLETICS</v>
      </c>
      <c r="D2138" s="196" t="str">
        <f>IFERROR(__xludf.DUMMYFUNCTION("""COMPUTED_VALUE"""),"2 1/4"" THICK RECTANGULAR PLAQUE MOUNTED 3/8"" THICK BRONZE GLASS BASE W/ 1/8"" THICK MIRROR ON TOP W/ FULL DETAILS 9"" TALL
69 1/4"" THICK ROUND GLASS MEDAL W/ ONE COLOR LANYARD W/ UV PRINT OF DETAILS 2.5"" TALL
102 1/4"" THICK ACRYLIC MEDAL W/ ONE COLOR"&amp;" LANYARD W/ UV PRINT OF DETAILS 2.5"" TALL")</f>
        <v>2 1/4" THICK RECTANGULAR PLAQUE MOUNTED 3/8" THICK BRONZE GLASS BASE W/ 1/8" THICK MIRROR ON TOP W/ FULL DETAILS 9" TALL
69 1/4" THICK ROUND GLASS MEDAL W/ ONE COLOR LANYARD W/ UV PRINT OF DETAILS 2.5" TALL
102 1/4" THICK ACRYLIC MEDAL W/ ONE COLOR LANYARD W/ UV PRINT OF DETAILS 2.5" TALL</v>
      </c>
      <c r="E2138" s="196" t="str">
        <f>IFERROR(__xludf.DUMMYFUNCTION("""COMPUTED_VALUE"""),"VARSITY NIGHTS MEDAL")</f>
        <v>VARSITY NIGHTS MEDAL</v>
      </c>
    </row>
    <row r="2139">
      <c r="A2139" s="234">
        <f>IFERROR(__xludf.DUMMYFUNCTION("""COMPUTED_VALUE"""),106972.0)</f>
        <v>106972</v>
      </c>
      <c r="B2139" s="235" t="str">
        <f>IFERROR(__xludf.DUMMYFUNCTION("""COMPUTED_VALUE"""),"ANN VILLARUZ")</f>
        <v>ANN VILLARUZ</v>
      </c>
      <c r="C2139" s="235" t="str">
        <f>IFERROR(__xludf.DUMMYFUNCTION("""COMPUTED_VALUE"""),"ACCREDITATION")</f>
        <v>ACCREDITATION</v>
      </c>
      <c r="D2139" s="196" t="str">
        <f>IFERROR(__xludf.DUMMYFUNCTION("""COMPUTED_VALUE"""),"53 IQA AUDITORS SHIRT")</f>
        <v>53 IQA AUDITORS SHIRT</v>
      </c>
      <c r="E2139" s="196" t="str">
        <f>IFERROR(__xludf.DUMMYFUNCTION("""COMPUTED_VALUE"""),"IQA AUDITORS")</f>
        <v>IQA AUDITORS</v>
      </c>
    </row>
    <row r="2140">
      <c r="A2140" s="234">
        <f>IFERROR(__xludf.DUMMYFUNCTION("""COMPUTED_VALUE"""),106973.0)</f>
        <v>106973</v>
      </c>
      <c r="B2140" s="235" t="str">
        <f>IFERROR(__xludf.DUMMYFUNCTION("""COMPUTED_VALUE"""),"SHERYL MANALO")</f>
        <v>SHERYL MANALO</v>
      </c>
      <c r="C2140" s="235" t="str">
        <f>IFERROR(__xludf.DUMMYFUNCTION("""COMPUTED_VALUE"""),"ADMIN - MUNICH")</f>
        <v>ADMIN - MUNICH</v>
      </c>
      <c r="D2140" s="196" t="str">
        <f>IFERROR(__xludf.DUMMYFUNCTION("""COMPUTED_VALUE"""),"FLOWERS
180 LONG STEMMED ROSES")</f>
        <v>FLOWERS
180 LONG STEMMED ROSES</v>
      </c>
      <c r="E2140" s="196" t="str">
        <f>IFERROR(__xludf.DUMMYFUNCTION("""COMPUTED_VALUE"""),"SK AND  GR 6 GRADUATION DAY")</f>
        <v>SK AND  GR 6 GRADUATION DAY</v>
      </c>
    </row>
    <row r="2141">
      <c r="A2141" s="234">
        <f>IFERROR(__xludf.DUMMYFUNCTION("""COMPUTED_VALUE"""),106974.0)</f>
        <v>106974</v>
      </c>
      <c r="B2141" s="235" t="str">
        <f>IFERROR(__xludf.DUMMYFUNCTION("""COMPUTED_VALUE"""),"MARVIN MARASIGAN")</f>
        <v>MARVIN MARASIGAN</v>
      </c>
      <c r="C2141" s="235" t="str">
        <f>IFERROR(__xludf.DUMMYFUNCTION("""COMPUTED_VALUE"""),"PR &amp; MARKETING")</f>
        <v>PR &amp; MARKETING</v>
      </c>
      <c r="D2141" s="196" t="str">
        <f>IFERROR(__xludf.DUMMYFUNCTION("""COMPUTED_VALUE"""),"TARP PRINTING 187 IN X 78 IN CINEMULAN TARP")</f>
        <v>TARP PRINTING 187 IN X 78 IN CINEMULAN TARP</v>
      </c>
      <c r="E2141" s="196" t="str">
        <f>IFERROR(__xludf.DUMMYFUNCTION("""COMPUTED_VALUE"""),"PROMOTION OF COMMA EVENT")</f>
        <v>PROMOTION OF COMMA EVENT</v>
      </c>
    </row>
    <row r="2142">
      <c r="A2142" s="234">
        <f>IFERROR(__xludf.DUMMYFUNCTION("""COMPUTED_VALUE"""),106975.0)</f>
        <v>106975</v>
      </c>
      <c r="B2142" s="235" t="str">
        <f>IFERROR(__xludf.DUMMYFUNCTION("""COMPUTED_VALUE"""),"LUCILLE BEYER")</f>
        <v>LUCILLE BEYER</v>
      </c>
      <c r="C2142" s="235" t="str">
        <f>IFERROR(__xludf.DUMMYFUNCTION("""COMPUTED_VALUE"""),"MEDICAL")</f>
        <v>MEDICAL</v>
      </c>
      <c r="D2142" s="196" t="str">
        <f>IFERROR(__xludf.DUMMYFUNCTION("""COMPUTED_VALUE"""),"2 — InfraRed Ear thermometer (Indo)
3 — Thermometer (armpit) Omron digital (for kits)
2 — Pulse Oximeter (med depot)
1 — Wheelchair (adult) 24 inches (heavy duty)
20 boxes — Disposable face mask
5 — Cold compress (gel) Rexi care
6 — Cold compress ba"&amp;"g
10 — Hot compress bag 600 ml/ rubber
10 — POVIDONE IODINE 500ml
5 — Hydrogen Peroxide
6 — Disposable gloves (medium &amp; large)
10 — Isopropyl Alcohol 70%
2 — BP apparatus (Digital and manual)
3 — STERISTRIPS 3M
6 — Transpore tape 3M 1.5 inches
1 "&amp;"box — Glucose test strips
3 — Pen light
50 — Sterile medical eye pad
10 — Mask and tubing for nebulizer (media &amp; adult) 5 pedias, 5 adults
60 — Elastic Bandage size 3 &amp; 4 (30/size) Honeycomb velcro
180/ boxes — Burn ointment
20 BOXES — Gauze Pad 4x4"&amp;"
10 PACKS — Cotton Balls 300s/pack")</f>
        <v>2 — InfraRed Ear thermometer (Indo)
3 — Thermometer (armpit) Omron digital (for kits)
2 — Pulse Oximeter (med depot)
1 — Wheelchair (adult) 24 inches (heavy duty)
20 boxes — Disposable face mask
5 — Cold compress (gel) Rexi care
6 — Cold compress bag
10 — Hot compress bag 600 ml/ rubber
10 — POVIDONE IODINE 500ml
5 — Hydrogen Peroxide
6 — Disposable gloves (medium &amp; large)
10 — Isopropyl Alcohol 70%
2 — BP apparatus (Digital and manual)
3 — STERISTRIPS 3M
6 — Transpore tape 3M 1.5 inches
1 box — Glucose test strips
3 — Pen light
50 — Sterile medical eye pad
10 — Mask and tubing for nebulizer (media &amp; adult) 5 pedias, 5 adults
60 — Elastic Bandage size 3 &amp; 4 (30/size) Honeycomb velcro
180/ boxes — Burn ointment
20 BOXES — Gauze Pad 4x4
10 PACKS — Cotton Balls 300s/pack</v>
      </c>
      <c r="E2142" s="196" t="str">
        <f>IFERROR(__xludf.DUMMYFUNCTION("""COMPUTED_VALUE"""),"ANNUAL PURCHASE OF CLINIC SUPPLIES / MATERIALS FOR PREPARATION OF AY 26-27 FOR 3 CLINICS")</f>
        <v>ANNUAL PURCHASE OF CLINIC SUPPLIES / MATERIALS FOR PREPARATION OF AY 26-27 FOR 3 CLINICS</v>
      </c>
    </row>
    <row r="2143">
      <c r="A2143" s="234">
        <f>IFERROR(__xludf.DUMMYFUNCTION("""COMPUTED_VALUE"""),106976.0)</f>
        <v>106976</v>
      </c>
      <c r="B2143" s="235" t="str">
        <f>IFERROR(__xludf.DUMMYFUNCTION("""COMPUTED_VALUE"""),"OWIE PAR")</f>
        <v>OWIE PAR</v>
      </c>
      <c r="C2143" s="235" t="str">
        <f>IFERROR(__xludf.DUMMYFUNCTION("""COMPUTED_VALUE"""),"ENGINEERING")</f>
        <v>ENGINEERING</v>
      </c>
      <c r="D2143" s="196" t="str">
        <f>IFERROR(__xludf.DUMMYFUNCTION("""COMPUTED_VALUE"""),"1 UNIT ORBIT FAN #16 STANDARD")</f>
        <v>1 UNIT ORBIT FAN #16 STANDARD</v>
      </c>
      <c r="E2143" s="196" t="str">
        <f>IFERROR(__xludf.DUMMYFUNCTION("""COMPUTED_VALUE"""),"FOR LUX RM 217 REPLACEMENT")</f>
        <v>FOR LUX RM 217 REPLACEMENT</v>
      </c>
    </row>
    <row r="2144">
      <c r="A2144" s="234">
        <f>IFERROR(__xludf.DUMMYFUNCTION("""COMPUTED_VALUE"""),106977.0)</f>
        <v>106977</v>
      </c>
      <c r="B2144" s="235" t="str">
        <f>IFERROR(__xludf.DUMMYFUNCTION("""COMPUTED_VALUE"""),"MYRNA RULONA")</f>
        <v>MYRNA RULONA</v>
      </c>
      <c r="C2144" s="235" t="str">
        <f>IFERROR(__xludf.DUMMYFUNCTION("""COMPUTED_VALUE"""),"LANDSCAPING")</f>
        <v>LANDSCAPING</v>
      </c>
      <c r="D2144" s="196" t="str">
        <f>IFERROR(__xludf.DUMMYFUNCTION("""COMPUTED_VALUE"""),"2 TRUCKS TOPSOIL
1,200 SQM CARABAO GRASS
")</f>
        <v>2 TRUCKS TOPSOIL
1,200 SQM CARABAO GRASS
</v>
      </c>
      <c r="E2144" s="196" t="str">
        <f>IFERROR(__xludf.DUMMYFUNCTION("""COMPUTED_VALUE"""),"SOCCERFIELD REHABILITATION PROPOSAL")</f>
        <v>SOCCERFIELD REHABILITATION PROPOSAL</v>
      </c>
    </row>
    <row r="2145">
      <c r="A2145" s="234">
        <f>IFERROR(__xludf.DUMMYFUNCTION("""COMPUTED_VALUE"""),106978.0)</f>
        <v>106978</v>
      </c>
      <c r="B2145" s="235" t="str">
        <f>IFERROR(__xludf.DUMMYFUNCTION("""COMPUTED_VALUE"""),"RODRIGO CUSTODIO")</f>
        <v>RODRIGO CUSTODIO</v>
      </c>
      <c r="C2145" s="235" t="str">
        <f>IFERROR(__xludf.DUMMYFUNCTION("""COMPUTED_VALUE"""),"AMD")</f>
        <v>AMD</v>
      </c>
      <c r="D2145" s="196" t="str">
        <f>IFERROR(__xludf.DUMMYFUNCTION("""COMPUTED_VALUE"""),"48 GALS LIQUID DEODORIZER")</f>
        <v>48 GALS LIQUID DEODORIZER</v>
      </c>
      <c r="E2145" s="196" t="str">
        <f>IFERROR(__xludf.DUMMYFUNCTION("""COMPUTED_VALUE"""),"HOUSEKEEPING MATERIALS STOCK REPLENISHMENT")</f>
        <v>HOUSEKEEPING MATERIALS STOCK REPLENISHMENT</v>
      </c>
    </row>
    <row r="2146">
      <c r="A2146" s="234">
        <f>IFERROR(__xludf.DUMMYFUNCTION("""COMPUTED_VALUE"""),106979.0)</f>
        <v>106979</v>
      </c>
      <c r="B2146" s="235" t="str">
        <f>IFERROR(__xludf.DUMMYFUNCTION("""COMPUTED_VALUE"""),"SHERYL MANALO")</f>
        <v>SHERYL MANALO</v>
      </c>
      <c r="C2146" s="235" t="str">
        <f>IFERROR(__xludf.DUMMYFUNCTION("""COMPUTED_VALUE"""),"DP MUNICH")</f>
        <v>DP MUNICH</v>
      </c>
      <c r="D2146" s="196" t="str">
        <f>IFERROR(__xludf.DUMMYFUNCTION("""COMPUTED_VALUE"""),"1 MICOWAVE OVEN")</f>
        <v>1 MICOWAVE OVEN</v>
      </c>
      <c r="E2146" s="196" t="str">
        <f>IFERROR(__xludf.DUMMYFUNCTION("""COMPUTED_VALUE"""),"FOR MUNICH HE")</f>
        <v>FOR MUNICH HE</v>
      </c>
    </row>
    <row r="2147">
      <c r="A2147" s="234">
        <f>IFERROR(__xludf.DUMMYFUNCTION("""COMPUTED_VALUE"""),106980.0)</f>
        <v>106980</v>
      </c>
      <c r="B2147" s="235" t="str">
        <f>IFERROR(__xludf.DUMMYFUNCTION("""COMPUTED_VALUE"""),"ABIGAIL CENDAÑA")</f>
        <v>ABIGAIL CENDAÑA</v>
      </c>
      <c r="C2147" s="235" t="str">
        <f>IFERROR(__xludf.DUMMYFUNCTION("""COMPUTED_VALUE"""),"K12")</f>
        <v>K12</v>
      </c>
      <c r="D2147" s="196" t="str">
        <f>IFERROR(__xludf.DUMMYFUNCTION("""COMPUTED_VALUE"""),"1 EPSON SHORT THROW PROJECTOR ")</f>
        <v>1 EPSON SHORT THROW PROJECTOR </v>
      </c>
      <c r="E2147" s="196" t="str">
        <f>IFERROR(__xludf.DUMMYFUNCTION("""COMPUTED_VALUE"""),"FOR K12 USE")</f>
        <v>FOR K12 USE</v>
      </c>
    </row>
    <row r="2148">
      <c r="A2148" s="234">
        <f>IFERROR(__xludf.DUMMYFUNCTION("""COMPUTED_VALUE"""),106981.0)</f>
        <v>106981</v>
      </c>
      <c r="B2148" s="235" t="str">
        <f>IFERROR(__xludf.DUMMYFUNCTION("""COMPUTED_VALUE"""),"PATRICIA BELLEZA")</f>
        <v>PATRICIA BELLEZA</v>
      </c>
      <c r="C2148" s="235" t="str">
        <f>IFERROR(__xludf.DUMMYFUNCTION("""COMPUTED_VALUE"""),"STUDENT AFFAIRS BED")</f>
        <v>STUDENT AFFAIRS BED</v>
      </c>
      <c r="D2148" s="196" t="str">
        <f>IFERROR(__xludf.DUMMYFUNCTION("""COMPUTED_VALUE"""),"1 FUNERAL FLOWERS")</f>
        <v>1 FUNERAL FLOWERS</v>
      </c>
      <c r="E2148" s="196" t="str">
        <f>IFERROR(__xludf.DUMMYFUNCTION("""COMPUTED_VALUE"""),"FUNERAL FLOWERS FOR ALUMNI PARENT")</f>
        <v>FUNERAL FLOWERS FOR ALUMNI PARENT</v>
      </c>
    </row>
    <row r="2149">
      <c r="A2149" s="234">
        <f>IFERROR(__xludf.DUMMYFUNCTION("""COMPUTED_VALUE"""),106982.0)</f>
        <v>106982</v>
      </c>
      <c r="B2149" s="235" t="str">
        <f>IFERROR(__xludf.DUMMYFUNCTION("""COMPUTED_VALUE"""),"PATRICIA BELLEZA")</f>
        <v>PATRICIA BELLEZA</v>
      </c>
      <c r="C2149" s="235" t="str">
        <f>IFERROR(__xludf.DUMMYFUNCTION("""COMPUTED_VALUE"""),"STUDENT AFFAIRS BED")</f>
        <v>STUDENT AFFAIRS BED</v>
      </c>
      <c r="D2149" s="196" t="str">
        <f>IFERROR(__xludf.DUMMYFUNCTION("""COMPUTED_VALUE"""),"1 FUNERAL FLOWERS ")</f>
        <v>1 FUNERAL FLOWERS </v>
      </c>
      <c r="E2149" s="196" t="str">
        <f>IFERROR(__xludf.DUMMYFUNCTION("""COMPUTED_VALUE"""),"FUNERAL FLOWERS FOR ALUMNI PARENT")</f>
        <v>FUNERAL FLOWERS FOR ALUMNI PARENT</v>
      </c>
    </row>
    <row r="2150">
      <c r="A2150" s="234">
        <f>IFERROR(__xludf.DUMMYFUNCTION("""COMPUTED_VALUE"""),106983.0)</f>
        <v>106983</v>
      </c>
      <c r="B2150" s="235" t="str">
        <f>IFERROR(__xludf.DUMMYFUNCTION("""COMPUTED_VALUE"""),"MYRNA RULONA")</f>
        <v>MYRNA RULONA</v>
      </c>
      <c r="C2150" s="235" t="str">
        <f>IFERROR(__xludf.DUMMYFUNCTION("""COMPUTED_VALUE"""),"LANDSCAPING")</f>
        <v>LANDSCAPING</v>
      </c>
      <c r="D2150" s="196" t="str">
        <f>IFERROR(__xludf.DUMMYFUNCTION("""COMPUTED_VALUE"""),"1 POTTED 3 STEMS FLOWERS ORCHIDS")</f>
        <v>1 POTTED 3 STEMS FLOWERS ORCHIDS</v>
      </c>
      <c r="E2150" s="196" t="str">
        <f>IFERROR(__xludf.DUMMYFUNCTION("""COMPUTED_VALUE"""),"GET WELL SOON FLOWERS FOR MS JENNY")</f>
        <v>GET WELL SOON FLOWERS FOR MS JENNY</v>
      </c>
    </row>
    <row r="2151">
      <c r="A2151" s="234">
        <f>IFERROR(__xludf.DUMMYFUNCTION("""COMPUTED_VALUE"""),106984.0)</f>
        <v>106984</v>
      </c>
      <c r="B2151" s="235" t="str">
        <f>IFERROR(__xludf.DUMMYFUNCTION("""COMPUTED_VALUE"""),"JHON PAUL SAWALI")</f>
        <v>JHON PAUL SAWALI</v>
      </c>
      <c r="C2151" s="235" t="str">
        <f>IFERROR(__xludf.DUMMYFUNCTION("""COMPUTED_VALUE"""),"FINANCE &amp; ACCOUNTING")</f>
        <v>FINANCE &amp; ACCOUNTING</v>
      </c>
      <c r="D2151" s="196" t="str">
        <f>IFERROR(__xludf.DUMMYFUNCTION("""COMPUTED_VALUE"""),"80 BUNDLES EXAM PERMITS FOR COLLEGE")</f>
        <v>80 BUNDLES EXAM PERMITS FOR COLLEGE</v>
      </c>
      <c r="E2151" s="196" t="str">
        <f>IFERROR(__xludf.DUMMYFUNCTION("""COMPUTED_VALUE"""),"FOR EXAM OF COLLEGE STUDENTS")</f>
        <v>FOR EXAM OF COLLEGE STUDENTS</v>
      </c>
    </row>
    <row r="2152">
      <c r="A2152" s="234">
        <f>IFERROR(__xludf.DUMMYFUNCTION("""COMPUTED_VALUE"""),106985.0)</f>
        <v>106985</v>
      </c>
      <c r="B2152" s="235" t="str">
        <f>IFERROR(__xludf.DUMMYFUNCTION("""COMPUTED_VALUE"""),"OWIE PAR")</f>
        <v>OWIE PAR</v>
      </c>
      <c r="C2152" s="235" t="str">
        <f>IFERROR(__xludf.DUMMYFUNCTION("""COMPUTED_VALUE"""),"ADMIN - LUX")</f>
        <v>ADMIN - LUX</v>
      </c>
      <c r="D2152" s="196" t="str">
        <f>IFERROR(__xludf.DUMMYFUNCTION("""COMPUTED_VALUE"""),"ORBIT FAN #16 STANDAR 1 UNIT
STAND FAN #16 STANDARD 3 UNITS
WALL FAN #1 STANDARD 2 UNITS")</f>
        <v>ORBIT FAN #16 STANDAR 1 UNIT
STAND FAN #16 STANDARD 3 UNITS
WALL FAN #1 STANDARD 2 UNITS</v>
      </c>
      <c r="E2152" s="196" t="str">
        <f>IFERROR(__xludf.DUMMYFUNCTION("""COMPUTED_VALUE"""),"FOR SCHOLAR'S HOUSE GIRLS DORM")</f>
        <v>FOR SCHOLAR'S HOUSE GIRLS DORM</v>
      </c>
    </row>
    <row r="2153">
      <c r="A2153" s="234">
        <f>IFERROR(__xludf.DUMMYFUNCTION("""COMPUTED_VALUE"""),106986.0)</f>
        <v>106986</v>
      </c>
      <c r="B2153" s="235" t="str">
        <f>IFERROR(__xludf.DUMMYFUNCTION("""COMPUTED_VALUE"""),"SHERYL MANALO")</f>
        <v>SHERYL MANALO</v>
      </c>
      <c r="C2153" s="235" t="str">
        <f>IFERROR(__xludf.DUMMYFUNCTION("""COMPUTED_VALUE"""),"DP MUNICH")</f>
        <v>DP MUNICH</v>
      </c>
      <c r="D2153" s="196" t="str">
        <f>IFERROR(__xludf.DUMMYFUNCTION("""COMPUTED_VALUE"""),"INVITATION PAPER
INVITATION COVER SK 130 G6 170
INVITATION ENVELOPES (PURPLE)")</f>
        <v>INVITATION PAPER
INVITATION COVER SK 130 G6 170
INVITATION ENVELOPES (PURPLE)</v>
      </c>
      <c r="E2153" s="196" t="str">
        <f>IFERROR(__xludf.DUMMYFUNCTION("""COMPUTED_VALUE"""),"SENIOR KINDER AND GRADE 6 GRADUATION")</f>
        <v>SENIOR KINDER AND GRADE 6 GRADUATION</v>
      </c>
    </row>
    <row r="2154">
      <c r="A2154" s="234">
        <f>IFERROR(__xludf.DUMMYFUNCTION("""COMPUTED_VALUE"""),106987.0)</f>
        <v>106987</v>
      </c>
      <c r="B2154" s="235" t="str">
        <f>IFERROR(__xludf.DUMMYFUNCTION("""COMPUTED_VALUE"""),"JANCEL PRADILLADA")</f>
        <v>JANCEL PRADILLADA</v>
      </c>
      <c r="C2154" s="235" t="str">
        <f>IFERROR(__xludf.DUMMYFUNCTION("""COMPUTED_VALUE"""),"MIS/ICT")</f>
        <v>MIS/ICT</v>
      </c>
      <c r="D2154" s="196" t="str">
        <f>IFERROR(__xludf.DUMMYFUNCTION("""COMPUTED_VALUE"""),"10 PCS. TV (65"")
9 PCS. HDMI 5 METERES
5 PCS. HDMI WALLPART - 2 PARTS
1 PC. TV STAND (MOBILE)")</f>
        <v>10 PCS. TV (65")
9 PCS. HDMI 5 METERES
5 PCS. HDMI WALLPART - 2 PARTS
1 PC. TV STAND (MOBILE)</v>
      </c>
      <c r="E2154" s="196" t="str">
        <f>IFERROR(__xludf.DUMMYFUNCTION("""COMPUTED_VALUE"""),"EQUIPMENTS FOR LUX 4TH FLOOR NEW CLASSROOM")</f>
        <v>EQUIPMENTS FOR LUX 4TH FLOOR NEW CLASSROOM</v>
      </c>
    </row>
    <row r="2155">
      <c r="A2155" s="234">
        <f>IFERROR(__xludf.DUMMYFUNCTION("""COMPUTED_VALUE"""),106988.0)</f>
        <v>106988</v>
      </c>
      <c r="B2155" s="235" t="str">
        <f>IFERROR(__xludf.DUMMYFUNCTION("""COMPUTED_VALUE"""),"PAUL ARAÑA")</f>
        <v>PAUL ARAÑA</v>
      </c>
      <c r="C2155" s="235" t="str">
        <f>IFERROR(__xludf.DUMMYFUNCTION("""COMPUTED_VALUE"""),"MIS/ICT")</f>
        <v>MIS/ICT</v>
      </c>
      <c r="D2155" s="196" t="str">
        <f>IFERROR(__xludf.DUMMYFUNCTION("""COMPUTED_VALUE"""),"5 PCS COMPUTER SET (CLONED PC)
10 PCS MONITOR 24""
5 PCS AVR
5 PCS EDIFIER - ok
10 PCS WEBCAM - ok
5 PCS CONFERENCE MICROPHONE
5 PCS HDMI SPLITTER - ok")</f>
        <v>5 PCS COMPUTER SET (CLONED PC)
10 PCS MONITOR 24"
5 PCS AVR
5 PCS EDIFIER - ok
10 PCS WEBCAM - ok
5 PCS CONFERENCE MICROPHONE
5 PCS HDMI SPLITTER - ok</v>
      </c>
      <c r="E2155" s="196" t="str">
        <f>IFERROR(__xludf.DUMMYFUNCTION("""COMPUTED_VALUE"""),"EQUIPMENTS FOR LUX 4TH FLOOR NEW CLASSROOM")</f>
        <v>EQUIPMENTS FOR LUX 4TH FLOOR NEW CLASSROOM</v>
      </c>
    </row>
    <row r="2156">
      <c r="A2156" s="234">
        <f>IFERROR(__xludf.DUMMYFUNCTION("""COMPUTED_VALUE"""),106989.0)</f>
        <v>106989</v>
      </c>
      <c r="B2156" s="235" t="str">
        <f>IFERROR(__xludf.DUMMYFUNCTION("""COMPUTED_VALUE"""),"LYKA PERALTA")</f>
        <v>LYKA PERALTA</v>
      </c>
      <c r="C2156" s="235" t="str">
        <f>IFERROR(__xludf.DUMMYFUNCTION("""COMPUTED_VALUE"""),"AMD")</f>
        <v>AMD</v>
      </c>
      <c r="D2156" s="196" t="str">
        <f>IFERROR(__xludf.DUMMYFUNCTION("""COMPUTED_VALUE"""),"POUCH FOR ADAPTOR - SMALL")</f>
        <v>POUCH FOR ADAPTOR - SMALL</v>
      </c>
      <c r="E2156" s="196" t="str">
        <f>IFERROR(__xludf.DUMMYFUNCTION("""COMPUTED_VALUE"""),"NEW TOKEN")</f>
        <v>NEW TOKEN</v>
      </c>
    </row>
    <row r="2157">
      <c r="A2157" s="234">
        <f>IFERROR(__xludf.DUMMYFUNCTION("""COMPUTED_VALUE"""),106990.0)</f>
        <v>106990</v>
      </c>
      <c r="B2157" s="235" t="str">
        <f>IFERROR(__xludf.DUMMYFUNCTION("""COMPUTED_VALUE"""),"LYKA PERALTA")</f>
        <v>LYKA PERALTA</v>
      </c>
      <c r="C2157" s="235" t="str">
        <f>IFERROR(__xludf.DUMMYFUNCTION("""COMPUTED_VALUE"""),"AMD")</f>
        <v>AMD</v>
      </c>
      <c r="D2157" s="196" t="str">
        <f>IFERROR(__xludf.DUMMYFUNCTION("""COMPUTED_VALUE"""),"PENS, EXECUTIVE PURPLE SISC PRINT WITH BOX
PENS, EXECUTIVE SILVER SISC PRINT WITH BOX
PENS, EXECUTIVE GOLD SISC PRINT WITH BOX")</f>
        <v>PENS, EXECUTIVE PURPLE SISC PRINT WITH BOX
PENS, EXECUTIVE SILVER SISC PRINT WITH BOX
PENS, EXECUTIVE GOLD SISC PRINT WITH BOX</v>
      </c>
      <c r="E2157" s="196" t="str">
        <f>IFERROR(__xludf.DUMMYFUNCTION("""COMPUTED_VALUE"""),"NEW TOKEN")</f>
        <v>NEW TOKEN</v>
      </c>
    </row>
    <row r="2158">
      <c r="A2158" s="234">
        <f>IFERROR(__xludf.DUMMYFUNCTION("""COMPUTED_VALUE"""),106991.0)</f>
        <v>106991</v>
      </c>
      <c r="B2158" s="235" t="str">
        <f>IFERROR(__xludf.DUMMYFUNCTION("""COMPUTED_VALUE"""),"SHEREE ESPINOSA")</f>
        <v>SHEREE ESPINOSA</v>
      </c>
      <c r="C2158" s="235" t="str">
        <f>IFERROR(__xludf.DUMMYFUNCTION("""COMPUTED_VALUE"""),"ADMIN")</f>
        <v>ADMIN</v>
      </c>
      <c r="D2158" s="196" t="str">
        <f>IFERROR(__xludf.DUMMYFUNCTION("""COMPUTED_VALUE"""),"WATER DISPENSER 
3 BOTTON LOAD (STUDENT LOUNGE - GF COLLEGE, 5F, TAO)
6 TOP LOAD (COLLEGE 2F, LUX, TROP)")</f>
        <v>WATER DISPENSER 
3 BOTTON LOAD (STUDENT LOUNGE - GF COLLEGE, 5F, TAO)
6 TOP LOAD (COLLEGE 2F, LUX, TROP)</v>
      </c>
      <c r="E2158" s="196" t="str">
        <f>IFERROR(__xludf.DUMMYFUNCTION("""COMPUTED_VALUE"""),"ADDITIONAL AND REPLACEMENT FOR VARIOUS AREAS")</f>
        <v>ADDITIONAL AND REPLACEMENT FOR VARIOUS AREAS</v>
      </c>
    </row>
    <row r="2159">
      <c r="A2159" s="234">
        <f>IFERROR(__xludf.DUMMYFUNCTION("""COMPUTED_VALUE"""),106992.0)</f>
        <v>106992</v>
      </c>
      <c r="B2159" s="235" t="str">
        <f>IFERROR(__xludf.DUMMYFUNCTION("""COMPUTED_VALUE"""),"SHEREE ESPINOSA")</f>
        <v>SHEREE ESPINOSA</v>
      </c>
      <c r="C2159" s="235" t="str">
        <f>IFERROR(__xludf.DUMMYFUNCTION("""COMPUTED_VALUE"""),"ADMIN")</f>
        <v>ADMIN</v>
      </c>
      <c r="D2159" s="196" t="str">
        <f>IFERROR(__xludf.DUMMYFUNCTION("""COMPUTED_VALUE"""),"TRASH BINS
4 HALLWAYS/ LOUNGE (50L)
4 CLASSROOMS (25L)
RESTROOMS (GRAY)
3 30L
3 10.5L
COLOR: GRAY (COVER)
BLACK (BODY)")</f>
        <v>TRASH BINS
4 HALLWAYS/ LOUNGE (50L)
4 CLASSROOMS (25L)
RESTROOMS (GRAY)
3 30L
3 10.5L
COLOR: GRAY (COVER)
BLACK (BODY)</v>
      </c>
      <c r="E2159" s="196" t="str">
        <f>IFERROR(__xludf.DUMMYFUNCTION("""COMPUTED_VALUE"""),"FOR MONARCHS HUB CLASSROOMS, HALLWAYS AND RESTROOM")</f>
        <v>FOR MONARCHS HUB CLASSROOMS, HALLWAYS AND RESTROOM</v>
      </c>
    </row>
    <row r="2160">
      <c r="A2160" s="234">
        <f>IFERROR(__xludf.DUMMYFUNCTION("""COMPUTED_VALUE"""),106993.0)</f>
        <v>106993</v>
      </c>
      <c r="B2160" s="235" t="str">
        <f>IFERROR(__xludf.DUMMYFUNCTION("""COMPUTED_VALUE"""),"SHEREE ESPINOSA")</f>
        <v>SHEREE ESPINOSA</v>
      </c>
      <c r="C2160" s="235" t="str">
        <f>IFERROR(__xludf.DUMMYFUNCTION("""COMPUTED_VALUE"""),"ADMIN")</f>
        <v>ADMIN</v>
      </c>
      <c r="D2160" s="196" t="str">
        <f>IFERROR(__xludf.DUMMYFUNCTION("""COMPUTED_VALUE"""),"IWATA FANS
10 LIBRARY (LIMA CENTER/OTHER OFFICES)
1 MONACHS HALL TECH BOOTH
1 SGEN DIGITAL OFFICE
1 MONARCHS HUB LOUNGE
1 DP'S OFFICE LUX")</f>
        <v>IWATA FANS
10 LIBRARY (LIMA CENTER/OTHER OFFICES)
1 MONACHS HALL TECH BOOTH
1 SGEN DIGITAL OFFICE
1 MONARCHS HUB LOUNGE
1 DP'S OFFICE LUX</v>
      </c>
      <c r="E2160" s="196" t="str">
        <f>IFERROR(__xludf.DUMMYFUNCTION("""COMPUTED_VALUE"""),"PROVIDING VENTILATION AND AIR CIRCULATION IN AN AREA (ACU NOT IN USE)")</f>
        <v>PROVIDING VENTILATION AND AIR CIRCULATION IN AN AREA (ACU NOT IN USE)</v>
      </c>
    </row>
    <row r="2161">
      <c r="A2161" s="234">
        <f>IFERROR(__xludf.DUMMYFUNCTION("""COMPUTED_VALUE"""),106994.0)</f>
        <v>106994</v>
      </c>
      <c r="B2161" s="235" t="str">
        <f>IFERROR(__xludf.DUMMYFUNCTION("""COMPUTED_VALUE"""),"SHEREE ESPINOSA")</f>
        <v>SHEREE ESPINOSA</v>
      </c>
      <c r="C2161" s="235" t="str">
        <f>IFERROR(__xludf.DUMMYFUNCTION("""COMPUTED_VALUE"""),"ADMIN")</f>
        <v>ADMIN</v>
      </c>
      <c r="D2161" s="196" t="str">
        <f>IFERROR(__xludf.DUMMYFUNCTION("""COMPUTED_VALUE"""),"5 TEACHER'S CHAIR
SWIVEL CHAIR")</f>
        <v>5 TEACHER'S CHAIR
SWIVEL CHAIR</v>
      </c>
      <c r="E2161" s="196" t="str">
        <f>IFERROR(__xludf.DUMMYFUNCTION("""COMPUTED_VALUE"""),"FOR 4F NEW CLASSROOMS IN LUX BLDG (L SHAPE)")</f>
        <v>FOR 4F NEW CLASSROOMS IN LUX BLDG (L SHAPE)</v>
      </c>
    </row>
    <row r="2162">
      <c r="A2162" s="234">
        <f>IFERROR(__xludf.DUMMYFUNCTION("""COMPUTED_VALUE"""),106995.0)</f>
        <v>106995</v>
      </c>
      <c r="B2162" s="235" t="str">
        <f>IFERROR(__xludf.DUMMYFUNCTION("""COMPUTED_VALUE"""),"SHEREE ESPINOSA")</f>
        <v>SHEREE ESPINOSA</v>
      </c>
      <c r="C2162" s="235" t="str">
        <f>IFERROR(__xludf.DUMMYFUNCTION("""COMPUTED_VALUE"""),"ADMIN")</f>
        <v>ADMIN</v>
      </c>
      <c r="D2162" s="196" t="str">
        <f>IFERROR(__xludf.DUMMYFUNCTION("""COMPUTED_VALUE"""),"5 PCS TEACHER'S TABLE")</f>
        <v>5 PCS TEACHER'S TABLE</v>
      </c>
      <c r="E2162" s="196" t="str">
        <f>IFERROR(__xludf.DUMMYFUNCTION("""COMPUTED_VALUE"""),"FOR NEW CLASSROOM IN 4F - LSHAPE (LUX CAMPUS)")</f>
        <v>FOR NEW CLASSROOM IN 4F - LSHAPE (LUX CAMPUS)</v>
      </c>
    </row>
    <row r="2163">
      <c r="A2163" s="234">
        <f>IFERROR(__xludf.DUMMYFUNCTION("""COMPUTED_VALUE"""),106996.0)</f>
        <v>106996</v>
      </c>
      <c r="B2163" s="235" t="str">
        <f>IFERROR(__xludf.DUMMYFUNCTION("""COMPUTED_VALUE"""),"SHEREE ESPINOSA")</f>
        <v>SHEREE ESPINOSA</v>
      </c>
      <c r="C2163" s="235" t="str">
        <f>IFERROR(__xludf.DUMMYFUNCTION("""COMPUTED_VALUE"""),"ADMIN")</f>
        <v>ADMIN</v>
      </c>
      <c r="D2163" s="196" t="str">
        <f>IFERROR(__xludf.DUMMYFUNCTION("""COMPUTED_VALUE"""),"10 CONVENTIONAL URINAL
TOILET BOWL")</f>
        <v>10 CONVENTIONAL URINAL
TOILET BOWL</v>
      </c>
      <c r="E2163" s="196" t="str">
        <f>IFERROR(__xludf.DUMMYFUNCTION("""COMPUTED_VALUE"""),"IMPROVEMENT OF URINALS AND TOILET BOWLS IN TROPICAL BLDG.")</f>
        <v>IMPROVEMENT OF URINALS AND TOILET BOWLS IN TROPICAL BLDG.</v>
      </c>
    </row>
    <row r="2164">
      <c r="A2164" s="234">
        <f>IFERROR(__xludf.DUMMYFUNCTION("""COMPUTED_VALUE"""),106997.0)</f>
        <v>106997</v>
      </c>
      <c r="B2164" s="235" t="str">
        <f>IFERROR(__xludf.DUMMYFUNCTION("""COMPUTED_VALUE"""),"MARVIN MARASIGAN")</f>
        <v>MARVIN MARASIGAN</v>
      </c>
      <c r="C2164" s="235" t="str">
        <f>IFERROR(__xludf.DUMMYFUNCTION("""COMPUTED_VALUE"""),"PR &amp; MARKETING")</f>
        <v>PR &amp; MARKETING</v>
      </c>
      <c r="D2164" s="196" t="str">
        <f>IFERROR(__xludf.DUMMYFUNCTION("""COMPUTED_VALUE"""),"2 GREEN SCREEN COLLAPSIBLE 200X200 CM WITH STAND")</f>
        <v>2 GREEN SCREEN COLLAPSIBLE 200X200 CM WITH STAND</v>
      </c>
      <c r="E2164" s="196" t="str">
        <f>IFERROR(__xludf.DUMMYFUNCTION("""COMPUTED_VALUE"""),"FOR MARKETING MATERIAL PRODUCTION")</f>
        <v>FOR MARKETING MATERIAL PRODUCTION</v>
      </c>
    </row>
    <row r="2165">
      <c r="A2165" s="234">
        <f>IFERROR(__xludf.DUMMYFUNCTION("""COMPUTED_VALUE"""),106998.0)</f>
        <v>106998</v>
      </c>
      <c r="B2165" s="235" t="str">
        <f>IFERROR(__xludf.DUMMYFUNCTION("""COMPUTED_VALUE"""),"RODRIGO CUSTODIO")</f>
        <v>RODRIGO CUSTODIO</v>
      </c>
      <c r="C2165" s="235" t="str">
        <f>IFERROR(__xludf.DUMMYFUNCTION("""COMPUTED_VALUE"""),"AMD")</f>
        <v>AMD</v>
      </c>
      <c r="D2165" s="196" t="str">
        <f>IFERROR(__xludf.DUMMYFUNCTION("""COMPUTED_VALUE"""),"10 GALS FLOOR FINISH (STATE) MIGHTY SPARKLE DIAMOND 25 1 U.S GAL")</f>
        <v>10 GALS FLOOR FINISH (STATE) MIGHTY SPARKLE DIAMOND 25 1 U.S GAL</v>
      </c>
      <c r="E2165" s="196" t="str">
        <f>IFERROR(__xludf.DUMMYFUNCTION("""COMPUTED_VALUE"""),"HOUSEKEEPING MATERIALS STOCK REPLENISHMENT")</f>
        <v>HOUSEKEEPING MATERIALS STOCK REPLENISHMENT</v>
      </c>
    </row>
    <row r="2166">
      <c r="A2166" s="234">
        <f>IFERROR(__xludf.DUMMYFUNCTION("""COMPUTED_VALUE"""),106999.0)</f>
        <v>106999</v>
      </c>
      <c r="B2166" s="235" t="str">
        <f>IFERROR(__xludf.DUMMYFUNCTION("""COMPUTED_VALUE"""),"LYKA PERALTA")</f>
        <v>LYKA PERALTA</v>
      </c>
      <c r="C2166" s="235" t="str">
        <f>IFERROR(__xludf.DUMMYFUNCTION("""COMPUTED_VALUE"""),"AMD")</f>
        <v>AMD</v>
      </c>
      <c r="D2166" s="196" t="str">
        <f>IFERROR(__xludf.DUMMYFUNCTION("""COMPUTED_VALUE"""),"Pouch Canvas 2 Zip Leather Beige with SISC Print - 50 pcs
Pouch Canvas 2 zip Leather Brown with SISC Print - 50 pcs
Pouch Canvas Wristlet Fish Under Sea with SISC Print - 50 pcs
")</f>
        <v>Pouch Canvas 2 Zip Leather Beige with SISC Print - 50 pcs
Pouch Canvas 2 zip Leather Brown with SISC Print - 50 pcs
Pouch Canvas Wristlet Fish Under Sea with SISC Print - 50 pcs
</v>
      </c>
      <c r="E2166" s="196" t="str">
        <f>IFERROR(__xludf.DUMMYFUNCTION("""COMPUTED_VALUE"""),"TOKEN REPLENISHMENT")</f>
        <v>TOKEN REPLENISHMENT</v>
      </c>
    </row>
    <row r="2167">
      <c r="A2167" s="234">
        <f>IFERROR(__xludf.DUMMYFUNCTION("""COMPUTED_VALUE"""),107000.0)</f>
        <v>107000</v>
      </c>
      <c r="B2167" s="235" t="str">
        <f>IFERROR(__xludf.DUMMYFUNCTION("""COMPUTED_VALUE"""),"RONALDO VERDE")</f>
        <v>RONALDO VERDE</v>
      </c>
      <c r="C2167" s="235" t="str">
        <f>IFERROR(__xludf.DUMMYFUNCTION("""COMPUTED_VALUE"""),"ADMIN")</f>
        <v>ADMIN</v>
      </c>
      <c r="D2167" s="196" t="str">
        <f>IFERROR(__xludf.DUMMYFUNCTION("""COMPUTED_VALUE"""),"1 ROLL COPPER TUBE 5/8
1 ROLL COPPER TUBE 1/2
10 PCS INSULATION 5/8
10 PCS INSULATION 1/2
2 PCS WHITE TAPE AIR CONDITIONER
2 BOXES THHN THWN #12
7 CM FLEXIBLE PIPE 1/2
10 PCS SILVER ROD")</f>
        <v>1 ROLL COPPER TUBE 5/8
1 ROLL COPPER TUBE 1/2
10 PCS INSULATION 5/8
10 PCS INSULATION 1/2
2 PCS WHITE TAPE AIR CONDITIONER
2 BOXES THHN THWN #12
7 CM FLEXIBLE PIPE 1/2
10 PCS SILVER ROD</v>
      </c>
      <c r="E2167" s="196" t="str">
        <f>IFERROR(__xludf.DUMMYFUNCTION("""COMPUTED_VALUE"""),"REPLACEMENT OF COPPERTUBE DUE TO LEAKAGE ROOM 217")</f>
        <v>REPLACEMENT OF COPPERTUBE DUE TO LEAKAGE ROOM 217</v>
      </c>
    </row>
    <row r="2168">
      <c r="A2168" s="234">
        <f>IFERROR(__xludf.DUMMYFUNCTION("""COMPUTED_VALUE"""),107001.0)</f>
        <v>107001</v>
      </c>
      <c r="B2168" s="235" t="str">
        <f>IFERROR(__xludf.DUMMYFUNCTION("""COMPUTED_VALUE"""),"SHEREE ESPINOSA")</f>
        <v>SHEREE ESPINOSA</v>
      </c>
      <c r="C2168" s="235" t="str">
        <f>IFERROR(__xludf.DUMMYFUNCTION("""COMPUTED_VALUE"""),"ADMIN")</f>
        <v>ADMIN</v>
      </c>
      <c r="D2168" s="196" t="str">
        <f>IFERROR(__xludf.DUMMYFUNCTION("""COMPUTED_VALUE"""),"15 PCS CENTER PULL TISSUE DISPENSER
15 CASES CENTER PULL TISSUE (12 ROLLES / CASE)
LOCATIONS: (HIGH FOOT TRAFFIC AREAS)
LUX (GF RESTOOMS)
TROPICAL (2F, 3F, CEM)
COLLEGE (GF, 2F, 5F (FEMALE)")</f>
        <v>15 PCS CENTER PULL TISSUE DISPENSER
15 CASES CENTER PULL TISSUE (12 ROLLES / CASE)
LOCATIONS: (HIGH FOOT TRAFFIC AREAS)
LUX (GF RESTOOMS)
TROPICAL (2F, 3F, CEM)
COLLEGE (GF, 2F, 5F (FEMALE)</v>
      </c>
      <c r="E2168" s="196" t="str">
        <f>IFERROR(__xludf.DUMMYFUNCTION("""COMPUTED_VALUE"""),"FOR TRIAL IN SELECTED KEY AREAS ONLY FOR NOW TO ASSES THE POSSIBLE TRANSITION TO A DIFFERENT TYPE OF TISSUE HOLDER AND TISSUE THAT MAY HELP REDUCE USAGE COSTS. (LUX, TROPICAL AND COLLEGE AREAS)")</f>
        <v>FOR TRIAL IN SELECTED KEY AREAS ONLY FOR NOW TO ASSES THE POSSIBLE TRANSITION TO A DIFFERENT TYPE OF TISSUE HOLDER AND TISSUE THAT MAY HELP REDUCE USAGE COSTS. (LUX, TROPICAL AND COLLEGE AREAS)</v>
      </c>
    </row>
    <row r="2169">
      <c r="A2169" s="234">
        <f>IFERROR(__xludf.DUMMYFUNCTION("""COMPUTED_VALUE"""),107002.0)</f>
        <v>107002</v>
      </c>
      <c r="B2169" s="235" t="str">
        <f>IFERROR(__xludf.DUMMYFUNCTION("""COMPUTED_VALUE"""),"SHEREE ESPINOSA")</f>
        <v>SHEREE ESPINOSA</v>
      </c>
      <c r="C2169" s="235" t="str">
        <f>IFERROR(__xludf.DUMMYFUNCTION("""COMPUTED_VALUE"""),"ADMIN")</f>
        <v>ADMIN</v>
      </c>
      <c r="D2169" s="196" t="str">
        <f>IFERROR(__xludf.DUMMYFUNCTION("""COMPUTED_VALUE"""),"URINAL SANITIZER
15 LUX
3 TROP
10 COLLEGE
3 MONARCHS HUB")</f>
        <v>URINAL SANITIZER
15 LUX
3 TROP
10 COLLEGE
3 MONARCHS HUB</v>
      </c>
      <c r="E2169" s="196" t="str">
        <f>IFERROR(__xludf.DUMMYFUNCTION("""COMPUTED_VALUE"""),"FOR WATERLESS URINAL - LUX, TROPICAL AND COLLEGE  AND MONARCHS HUB")</f>
        <v>FOR WATERLESS URINAL - LUX, TROPICAL AND COLLEGE  AND MONARCHS HUB</v>
      </c>
    </row>
    <row r="2170">
      <c r="A2170" s="234">
        <f>IFERROR(__xludf.DUMMYFUNCTION("""COMPUTED_VALUE"""),107003.0)</f>
        <v>107003</v>
      </c>
      <c r="B2170" s="235" t="str">
        <f>IFERROR(__xludf.DUMMYFUNCTION("""COMPUTED_VALUE"""),"RORY MONSBRIDGE")</f>
        <v>RORY MONSBRIDGE</v>
      </c>
      <c r="C2170" s="235" t="str">
        <f>IFERROR(__xludf.DUMMYFUNCTION("""COMPUTED_VALUE"""),"ATHLETICS")</f>
        <v>ATHLETICS</v>
      </c>
      <c r="D2170" s="196" t="str">
        <f>IFERROR(__xludf.DUMMYFUNCTION("""COMPUTED_VALUE"""),"76 PCS. MOLDED BRASS MEDAL WITH UV PRINT AT THE BACK 2"" DIA MODL FEE")</f>
        <v>76 PCS. MOLDED BRASS MEDAL WITH UV PRINT AT THE BACK 2" DIA MODL FEE</v>
      </c>
      <c r="E2170" s="196" t="str">
        <f>IFERROR(__xludf.DUMMYFUNCTION("""COMPUTED_VALUE"""),"OVERALL CHAMPION MEDAL FOR VARSITY ATHLETES")</f>
        <v>OVERALL CHAMPION MEDAL FOR VARSITY ATHLETES</v>
      </c>
    </row>
    <row r="2171">
      <c r="A2171" s="234">
        <f>IFERROR(__xludf.DUMMYFUNCTION("""COMPUTED_VALUE"""),107004.0)</f>
        <v>107004</v>
      </c>
      <c r="B2171" s="235" t="str">
        <f>IFERROR(__xludf.DUMMYFUNCTION("""COMPUTED_VALUE"""),"CHRISTON CORBEZA")</f>
        <v>CHRISTON CORBEZA</v>
      </c>
      <c r="C2171" s="235" t="str">
        <f>IFERROR(__xludf.DUMMYFUNCTION("""COMPUTED_VALUE"""),"ADMIN - MUNICH")</f>
        <v>ADMIN - MUNICH</v>
      </c>
      <c r="D2171" s="196" t="str">
        <f>IFERROR(__xludf.DUMMYFUNCTION("""COMPUTED_VALUE"""),"1 QUART EPOXY PRIMER GRAY
1 QUART QDE WHITE
1 TIN TINTING COLOR RAW SIENNA
1 QUART QDE INT'L RED
1 STEEL BRUSH
1 METER SAND PAPER 100
2 PCS. PAINT BRUSH #2
1 BOTTLE LAQUER THINNER
1 GI TEE #1
1 GI BRUSHING REDUCER 1X1/2
1 BALL VALVE #1
1 GI NIPPLE 1X2
1 G"&amp;"ARDEN FAUCET WITH HOSE BIBB
3 ROLL TEPLON TAPE
2 PCS BLUE PVC TEE #1
2 PCS BLUE PVC ELBOW #1
6 PCS BLUE PVC PIPE #1
1 CAN SOLVENT")</f>
        <v>1 QUART EPOXY PRIMER GRAY
1 QUART QDE WHITE
1 TIN TINTING COLOR RAW SIENNA
1 QUART QDE INT'L RED
1 STEEL BRUSH
1 METER SAND PAPER 100
2 PCS. PAINT BRUSH #2
1 BOTTLE LAQUER THINNER
1 GI TEE #1
1 GI BRUSHING REDUCER 1X1/2
1 BALL VALVE #1
1 GI NIPPLE 1X2
1 GARDEN FAUCET WITH HOSE BIBB
3 ROLL TEPLON TAPE
2 PCS BLUE PVC TEE #1
2 PCS BLUE PVC ELBOW #1
6 PCS BLUE PVC PIPE #1
1 CAN SOLVENT</v>
      </c>
      <c r="E2171" s="196" t="str">
        <f>IFERROR(__xludf.DUMMYFUNCTION("""COMPUTED_VALUE"""),"PMS FOR MUNICH WATER TANK AND ACU DRAIN")</f>
        <v>PMS FOR MUNICH WATER TANK AND ACU DRAIN</v>
      </c>
    </row>
    <row r="2172">
      <c r="A2172" s="234">
        <f>IFERROR(__xludf.DUMMYFUNCTION("""COMPUTED_VALUE"""),107005.0)</f>
        <v>107005</v>
      </c>
      <c r="B2172" s="235" t="str">
        <f>IFERROR(__xludf.DUMMYFUNCTION("""COMPUTED_VALUE"""),"MARC VINCENT VITTO")</f>
        <v>MARC VINCENT VITTO</v>
      </c>
      <c r="C2172" s="235" t="str">
        <f>IFERROR(__xludf.DUMMYFUNCTION("""COMPUTED_VALUE"""),"PR &amp; MARKETING")</f>
        <v>PR &amp; MARKETING</v>
      </c>
      <c r="D2172" s="196" t="str">
        <f>IFERROR(__xludf.DUMMYFUNCTION("""COMPUTED_VALUE"""),"1 KENCARE TARP
SIZE: 8 FT X 4 FT
THICKNESS: 18 OZ
* ADD SEEMING AND EYELET ALL OVER")</f>
        <v>1 KENCARE TARP
SIZE: 8 FT X 4 FT
THICKNESS: 18 OZ
* ADD SEEMING AND EYELET ALL OVER</v>
      </c>
      <c r="E2172" s="196" t="str">
        <f>IFERROR(__xludf.DUMMYFUNCTION("""COMPUTED_VALUE"""),"OUTSOURCE TARP LOCATED AT KENCARE, BF RESORT, LAS PIÑAS")</f>
        <v>OUTSOURCE TARP LOCATED AT KENCARE, BF RESORT, LAS PIÑAS</v>
      </c>
    </row>
    <row r="2173">
      <c r="A2173" s="234">
        <f>IFERROR(__xludf.DUMMYFUNCTION("""COMPUTED_VALUE"""),107006.0)</f>
        <v>107006</v>
      </c>
      <c r="B2173" s="235" t="str">
        <f>IFERROR(__xludf.DUMMYFUNCTION("""COMPUTED_VALUE"""),"SHEREE ESPINOSA / JORDAN JORDAN")</f>
        <v>SHEREE ESPINOSA / JORDAN JORDAN</v>
      </c>
      <c r="C2173" s="235" t="str">
        <f>IFERROR(__xludf.DUMMYFUNCTION("""COMPUTED_VALUE"""),"ADMIN")</f>
        <v>ADMIN</v>
      </c>
      <c r="D2173" s="196" t="str">
        <f>IFERROR(__xludf.DUMMYFUNCTION("""COMPUTED_VALUE"""),"HAND DRYER
1 PC  BIRKE MACO
2 PCS DUAL SET
4 PCS WATER CLOSET (ORDER FROM 4TH FLR MONARCHS HUB)
3 PCS/SET KOHLER UNDERMOUNT LAVATORY
3 SETS METERING FAUCET (HCG) (ORDER FROM 4TH FLR MONARCHS HUB)
70 PCS ALPHALUX PANEL LIGHT 60X60")</f>
        <v>HAND DRYER
1 PC  BIRKE MACO
2 PCS DUAL SET
4 PCS WATER CLOSET (ORDER FROM 4TH FLR MONARCHS HUB)
3 PCS/SET KOHLER UNDERMOUNT LAVATORY
3 SETS METERING FAUCET (HCG) (ORDER FROM 4TH FLR MONARCHS HUB)
70 PCS ALPHALUX PANEL LIGHT 60X60</v>
      </c>
      <c r="E2173" s="196" t="str">
        <f>IFERROR(__xludf.DUMMYFUNCTION("""COMPUTED_VALUE"""),"FOR THE CONSTRUCTION OF 4TH FLR CLASSROOMS")</f>
        <v>FOR THE CONSTRUCTION OF 4TH FLR CLASSROOMS</v>
      </c>
    </row>
    <row r="2174">
      <c r="A2174" s="234">
        <f>IFERROR(__xludf.DUMMYFUNCTION("""COMPUTED_VALUE"""),107007.0)</f>
        <v>107007</v>
      </c>
      <c r="B2174" s="235" t="str">
        <f>IFERROR(__xludf.DUMMYFUNCTION("""COMPUTED_VALUE"""),"SHEREE ESPINOSA / JORDAN JORDAN")</f>
        <v>SHEREE ESPINOSA / JORDAN JORDAN</v>
      </c>
      <c r="C2174" s="235" t="str">
        <f>IFERROR(__xludf.DUMMYFUNCTION("""COMPUTED_VALUE"""),"ADMIN")</f>
        <v>ADMIN</v>
      </c>
      <c r="D2174" s="196" t="str">
        <f>IFERROR(__xludf.DUMMYFUNCTION("""COMPUTED_VALUE"""),"60 BOXES ACOUSTIC TILE 60X60 CEILING TILE PANEL")</f>
        <v>60 BOXES ACOUSTIC TILE 60X60 CEILING TILE PANEL</v>
      </c>
      <c r="E2174" s="196" t="str">
        <f>IFERROR(__xludf.DUMMYFUNCTION("""COMPUTED_VALUE"""),"FOR THE CONSTRUCTION OF 4TH FLR CLASSROOMS")</f>
        <v>FOR THE CONSTRUCTION OF 4TH FLR CLASSROOMS</v>
      </c>
    </row>
    <row r="2175">
      <c r="A2175" s="234">
        <f>IFERROR(__xludf.DUMMYFUNCTION("""COMPUTED_VALUE"""),107008.0)</f>
        <v>107008</v>
      </c>
      <c r="B2175" s="235" t="str">
        <f>IFERROR(__xludf.DUMMYFUNCTION("""COMPUTED_VALUE"""),"SHEREE ESPINOSA / JORDAN JORDAN")</f>
        <v>SHEREE ESPINOSA / JORDAN JORDAN</v>
      </c>
      <c r="C2175" s="235" t="str">
        <f>IFERROR(__xludf.DUMMYFUNCTION("""COMPUTED_VALUE"""),"ADMIN")</f>
        <v>ADMIN</v>
      </c>
      <c r="D2175" s="196" t="str">
        <f>IFERROR(__xludf.DUMMYFUNCTION("""COMPUTED_VALUE"""),"TILES
1500 PCS PRISMACER 20X120
200 PCS SAIGRES BACENTINA MOKA 60X60
60 PCS ARTE CERAMICHE CISCO 60X60
270 PCS SOL CERAMICA YAGO 30X60
1600PCS CIFRE NAUTALIS 5X25
100 PCS ABC GROUT
200 PCS ADHESIVE ")</f>
        <v>TILES
1500 PCS PRISMACER 20X120
200 PCS SAIGRES BACENTINA MOKA 60X60
60 PCS ARTE CERAMICHE CISCO 60X60
270 PCS SOL CERAMICA YAGO 30X60
1600PCS CIFRE NAUTALIS 5X25
100 PCS ABC GROUT
200 PCS ADHESIVE </v>
      </c>
      <c r="E2175" s="196"/>
    </row>
    <row r="2176">
      <c r="A2176" s="234">
        <f>IFERROR(__xludf.DUMMYFUNCTION("""COMPUTED_VALUE"""),107009.0)</f>
        <v>107009</v>
      </c>
      <c r="B2176" s="235" t="str">
        <f>IFERROR(__xludf.DUMMYFUNCTION("""COMPUTED_VALUE"""),"CHARLES LEBECO DONOR")</f>
        <v>CHARLES LEBECO DONOR</v>
      </c>
      <c r="C2176" s="235" t="str">
        <f>IFERROR(__xludf.DUMMYFUNCTION("""COMPUTED_VALUE"""),"AMD")</f>
        <v>AMD</v>
      </c>
      <c r="D2176" s="196" t="str">
        <f>IFERROR(__xludf.DUMMYFUNCTION("""COMPUTED_VALUE"""),"Battery, Energizer Size AAA	BATT-ENE-10-0003	361 PCS.
Tape, 3M Masking Tape Big (1"")	TAPE-GEN-10-0002	857 PCS.
Plastic, Clear L - Type Folder Long	FLDR-GEN-10-0009	20 PCS.
Envelope, Brown Long	ENVE-GEN-10-0001	1150 PCS.")</f>
        <v>Battery, Energizer Size AAA	BATT-ENE-10-0003	361 PCS.
Tape, 3M Masking Tape Big (1")	TAPE-GEN-10-0002	857 PCS.
Plastic, Clear L - Type Folder Long	FLDR-GEN-10-0009	20 PCS.
Envelope, Brown Long	ENVE-GEN-10-0001	1150 PCS.</v>
      </c>
      <c r="E2176" s="196" t="str">
        <f>IFERROR(__xludf.DUMMYFUNCTION("""COMPUTED_VALUE"""),"OSSUP REPLENISHMENT")</f>
        <v>OSSUP REPLENISHMENT</v>
      </c>
    </row>
    <row r="2177">
      <c r="A2177" s="234">
        <f>IFERROR(__xludf.DUMMYFUNCTION("""COMPUTED_VALUE"""),107010.0)</f>
        <v>107010</v>
      </c>
      <c r="B2177" s="235" t="str">
        <f>IFERROR(__xludf.DUMMYFUNCTION("""COMPUTED_VALUE"""),"CHARLES LEBECO DONOR")</f>
        <v>CHARLES LEBECO DONOR</v>
      </c>
      <c r="C2177" s="235" t="str">
        <f>IFERROR(__xludf.DUMMYFUNCTION("""COMPUTED_VALUE"""),"AMD")</f>
        <v>AMD</v>
      </c>
      <c r="D2177" s="196" t="str">
        <f>IFERROR(__xludf.DUMMYFUNCTION("""COMPUTED_VALUE"""),"Pen, Sign - Pilot BX-V5 Black	PENS-PIL-10-0007	600 PCS.
")</f>
        <v>Pen, Sign - Pilot BX-V5 Black	PENS-PIL-10-0007	600 PCS.
</v>
      </c>
      <c r="E2177" s="196" t="str">
        <f>IFERROR(__xludf.DUMMYFUNCTION("""COMPUTED_VALUE"""),"OSSUP REPLENISHMENT")</f>
        <v>OSSUP REPLENISHMENT</v>
      </c>
    </row>
    <row r="2178">
      <c r="A2178" s="234">
        <f>IFERROR(__xludf.DUMMYFUNCTION("""COMPUTED_VALUE"""),107011.0)</f>
        <v>107011</v>
      </c>
      <c r="B2178" s="235" t="str">
        <f>IFERROR(__xludf.DUMMYFUNCTION("""COMPUTED_VALUE"""),"RONALDO VERDE")</f>
        <v>RONALDO VERDE</v>
      </c>
      <c r="C2178" s="235" t="str">
        <f>IFERROR(__xludf.DUMMYFUNCTION("""COMPUTED_VALUE"""),"ADMIN")</f>
        <v>ADMIN</v>
      </c>
      <c r="D2178" s="196" t="str">
        <f>IFERROR(__xludf.DUMMYFUNCTION("""COMPUTED_VALUE"""),"70 PCS EMERGENCY LIGHT BATTERIES")</f>
        <v>70 PCS EMERGENCY LIGHT BATTERIES</v>
      </c>
      <c r="E2178" s="196" t="str">
        <f>IFERROR(__xludf.DUMMYFUNCTION("""COMPUTED_VALUE"""),"PM OF EMERGENCY LIGHT AT LUX BLDG")</f>
        <v>PM OF EMERGENCY LIGHT AT LUX BLDG</v>
      </c>
    </row>
    <row r="2179">
      <c r="A2179" s="234">
        <f>IFERROR(__xludf.DUMMYFUNCTION("""COMPUTED_VALUE"""),107012.0)</f>
        <v>107012</v>
      </c>
      <c r="B2179" s="235" t="str">
        <f>IFERROR(__xludf.DUMMYFUNCTION("""COMPUTED_VALUE"""),"SHEREE ESPINOSA")</f>
        <v>SHEREE ESPINOSA</v>
      </c>
      <c r="C2179" s="235" t="str">
        <f>IFERROR(__xludf.DUMMYFUNCTION("""COMPUTED_VALUE"""),"ADMIN")</f>
        <v>ADMIN</v>
      </c>
      <c r="D2179" s="196" t="str">
        <f>IFERROR(__xludf.DUMMYFUNCTION("""COMPUTED_VALUE"""),"3 PCS GUN TACKER
30 PCS STAPLE WIRES")</f>
        <v>3 PCS GUN TACKER
30 PCS STAPLE WIRES</v>
      </c>
      <c r="E2179" s="196" t="str">
        <f>IFERROR(__xludf.DUMMYFUNCTION("""COMPUTED_VALUE"""),"TO BE USED O=FOR VARIOUS EVENTS")</f>
        <v>TO BE USED O=FOR VARIOUS EVENTS</v>
      </c>
    </row>
    <row r="2180">
      <c r="A2180" s="234">
        <f>IFERROR(__xludf.DUMMYFUNCTION("""COMPUTED_VALUE"""),107013.0)</f>
        <v>107013</v>
      </c>
      <c r="B2180" s="235" t="str">
        <f>IFERROR(__xludf.DUMMYFUNCTION("""COMPUTED_VALUE"""),"SHEREE ESPINOSA")</f>
        <v>SHEREE ESPINOSA</v>
      </c>
      <c r="C2180" s="235" t="str">
        <f>IFERROR(__xludf.DUMMYFUNCTION("""COMPUTED_VALUE"""),"ADMIN")</f>
        <v>ADMIN</v>
      </c>
      <c r="D2180" s="196" t="str">
        <f>IFERROR(__xludf.DUMMYFUNCTION("""COMPUTED_VALUE"""),"160 STUDENT CHAIRS")</f>
        <v>160 STUDENT CHAIRS</v>
      </c>
      <c r="E2180" s="196" t="str">
        <f>IFERROR(__xludf.DUMMYFUNCTION("""COMPUTED_VALUE"""),"FOR NEW CLASSROOMS IN 4F LUX CAMPUS")</f>
        <v>FOR NEW CLASSROOMS IN 4F LUX CAMPUS</v>
      </c>
    </row>
    <row r="2181">
      <c r="A2181" s="234">
        <f>IFERROR(__xludf.DUMMYFUNCTION("""COMPUTED_VALUE"""),107014.0)</f>
        <v>107014</v>
      </c>
      <c r="B2181" s="235" t="str">
        <f>IFERROR(__xludf.DUMMYFUNCTION("""COMPUTED_VALUE"""),"SHEREE ESPINOSA")</f>
        <v>SHEREE ESPINOSA</v>
      </c>
      <c r="C2181" s="235" t="str">
        <f>IFERROR(__xludf.DUMMYFUNCTION("""COMPUTED_VALUE"""),"ADMIN")</f>
        <v>ADMIN</v>
      </c>
      <c r="D2181" s="196" t="str">
        <f>IFERROR(__xludf.DUMMYFUNCTION("""COMPUTED_VALUE"""),"18 PCS ARM CHAIRS COLOR GREEN FIBER GLASS")</f>
        <v>18 PCS ARM CHAIRS COLOR GREEN FIBER GLASS</v>
      </c>
      <c r="E2181" s="196" t="str">
        <f>IFERROR(__xludf.DUMMYFUNCTION("""COMPUTED_VALUE"""),"FOR TESTING / SMALL CLASSROOM IN 4F LUX")</f>
        <v>FOR TESTING / SMALL CLASSROOM IN 4F LUX</v>
      </c>
    </row>
    <row r="2182">
      <c r="A2182" s="234">
        <f>IFERROR(__xludf.DUMMYFUNCTION("""COMPUTED_VALUE"""),107015.0)</f>
        <v>107015</v>
      </c>
      <c r="B2182" s="235" t="str">
        <f>IFERROR(__xludf.DUMMYFUNCTION("""COMPUTED_VALUE"""),"SHEREE ESPINOSA")</f>
        <v>SHEREE ESPINOSA</v>
      </c>
      <c r="C2182" s="235" t="str">
        <f>IFERROR(__xludf.DUMMYFUNCTION("""COMPUTED_VALUE"""),"ADMIN")</f>
        <v>ADMIN</v>
      </c>
      <c r="D2182" s="196" t="str">
        <f>IFERROR(__xludf.DUMMYFUNCTION("""COMPUTED_VALUE"""),"160 STUDENT TABLES")</f>
        <v>160 STUDENT TABLES</v>
      </c>
      <c r="E2182" s="196" t="str">
        <f>IFERROR(__xludf.DUMMYFUNCTION("""COMPUTED_VALUE"""),"FOR NEW CLASSROOMS IN 4F LUX CAMPUS")</f>
        <v>FOR NEW CLASSROOMS IN 4F LUX CAMPUS</v>
      </c>
    </row>
    <row r="2183">
      <c r="A2183" s="234">
        <f>IFERROR(__xludf.DUMMYFUNCTION("""COMPUTED_VALUE"""),107016.0)</f>
        <v>107016</v>
      </c>
      <c r="B2183" s="235" t="str">
        <f>IFERROR(__xludf.DUMMYFUNCTION("""COMPUTED_VALUE"""),"SHEREE ESPINOSA")</f>
        <v>SHEREE ESPINOSA</v>
      </c>
      <c r="C2183" s="235" t="str">
        <f>IFERROR(__xludf.DUMMYFUNCTION("""COMPUTED_VALUE"""),"ADMIN")</f>
        <v>ADMIN</v>
      </c>
      <c r="D2183" s="196" t="str">
        <f>IFERROR(__xludf.DUMMYFUNCTION("""COMPUTED_VALUE"""),"2 PCS VACUUM")</f>
        <v>2 PCS VACUUM</v>
      </c>
      <c r="E2183" s="196" t="str">
        <f>IFERROR(__xludf.DUMMYFUNCTION("""COMPUTED_VALUE"""),"FOR MAINTENANCE OF FABRIC CHAIRS IN MONARCHS HALL AND FOR LUX, TROP, COLLEGE AREAS")</f>
        <v>FOR MAINTENANCE OF FABRIC CHAIRS IN MONARCHS HALL AND FOR LUX, TROP, COLLEGE AREAS</v>
      </c>
    </row>
    <row r="2184">
      <c r="A2184" s="234">
        <f>IFERROR(__xludf.DUMMYFUNCTION("""COMPUTED_VALUE"""),107017.0)</f>
        <v>107017</v>
      </c>
      <c r="B2184" s="235" t="str">
        <f>IFERROR(__xludf.DUMMYFUNCTION("""COMPUTED_VALUE"""),"SHEREE ESPINOSA")</f>
        <v>SHEREE ESPINOSA</v>
      </c>
      <c r="C2184" s="235" t="str">
        <f>IFERROR(__xludf.DUMMYFUNCTION("""COMPUTED_VALUE"""),"ADMIN")</f>
        <v>ADMIN</v>
      </c>
      <c r="D2184" s="196" t="str">
        <f>IFERROR(__xludf.DUMMYFUNCTION("""COMPUTED_VALUE"""),"1 PC RED CARPET 25 METERS LONG")</f>
        <v>1 PC RED CARPET 25 METERS LONG</v>
      </c>
      <c r="E2184" s="196" t="str">
        <f>IFERROR(__xludf.DUMMYFUNCTION("""COMPUTED_VALUE"""),"FOR RECOGNITION AND GRADUATION AND OTHER EVENTS IN LUX HALL")</f>
        <v>FOR RECOGNITION AND GRADUATION AND OTHER EVENTS IN LUX HALL</v>
      </c>
    </row>
    <row r="2185">
      <c r="A2185" s="234">
        <f>IFERROR(__xludf.DUMMYFUNCTION("""COMPUTED_VALUE"""),107018.0)</f>
        <v>107018</v>
      </c>
      <c r="B2185" s="235" t="str">
        <f>IFERROR(__xludf.DUMMYFUNCTION("""COMPUTED_VALUE"""),"OWIE PAR")</f>
        <v>OWIE PAR</v>
      </c>
      <c r="C2185" s="235" t="str">
        <f>IFERROR(__xludf.DUMMYFUNCTION("""COMPUTED_VALUE"""),"ENGINEERING")</f>
        <v>ENGINEERING</v>
      </c>
      <c r="D2185" s="196" t="str">
        <f>IFERROR(__xludf.DUMMYFUNCTION("""COMPUTED_VALUE"""),"1 UNIT 1.5HP WALL MOUNTED TYPE INVERTER ")</f>
        <v>1 UNIT 1.5HP WALL MOUNTED TYPE INVERTER </v>
      </c>
      <c r="E2185" s="196" t="str">
        <f>IFERROR(__xludf.DUMMYFUNCTION("""COMPUTED_VALUE"""),"FOR COLLEGE CHEMICAL STORAGE RM")</f>
        <v>FOR COLLEGE CHEMICAL STORAGE RM</v>
      </c>
    </row>
    <row r="2186">
      <c r="A2186" s="234">
        <f>IFERROR(__xludf.DUMMYFUNCTION("""COMPUTED_VALUE"""),107019.0)</f>
        <v>107019</v>
      </c>
      <c r="B2186" s="235" t="str">
        <f>IFERROR(__xludf.DUMMYFUNCTION("""COMPUTED_VALUE"""),"OWIE PAR")</f>
        <v>OWIE PAR</v>
      </c>
      <c r="C2186" s="235" t="str">
        <f>IFERROR(__xludf.DUMMYFUNCTION("""COMPUTED_VALUE"""),"ENGINEERING")</f>
        <v>ENGINEERING</v>
      </c>
      <c r="D2186" s="196" t="str">
        <f>IFERROR(__xludf.DUMMYFUNCTION("""COMPUTED_VALUE"""),"1 UNIT 6.0 HP CEILING CONCELLED DUCTED TYPE")</f>
        <v>1 UNIT 6.0 HP CEILING CONCELLED DUCTED TYPE</v>
      </c>
      <c r="E2186" s="196" t="str">
        <f>IFERROR(__xludf.DUMMYFUNCTION("""COMPUTED_VALUE"""),"REPLACEMENT OF ACU TROP GYM ACU #7")</f>
        <v>REPLACEMENT OF ACU TROP GYM ACU #7</v>
      </c>
    </row>
    <row r="2187">
      <c r="A2187" s="234">
        <f>IFERROR(__xludf.DUMMYFUNCTION("""COMPUTED_VALUE"""),107020.0)</f>
        <v>107020</v>
      </c>
      <c r="B2187" s="235" t="str">
        <f>IFERROR(__xludf.DUMMYFUNCTION("""COMPUTED_VALUE"""),"JOHNY QUIQUI")</f>
        <v>JOHNY QUIQUI</v>
      </c>
      <c r="C2187" s="235" t="str">
        <f>IFERROR(__xludf.DUMMYFUNCTION("""COMPUTED_VALUE"""),"SISC")</f>
        <v>SISC</v>
      </c>
      <c r="D2187" s="196" t="str">
        <f>IFERROR(__xludf.DUMMYFUNCTION("""COMPUTED_VALUE"""),"106 GR1 EQ AND ACT
103 GR 2 EQ AND ACT
78 GR3 EQ AND ACT
72 GR 4 EQ AND ACT
120 GR 5 EQ AND ACT
116 GR 6 EQ AND ACT
150 GR 7 EQ AND ACT
155 GR 8 EQ AND ACT
146 GR 9 EQ AND ACT
159 GR 10 EQ AND ACT")</f>
        <v>106 GR1 EQ AND ACT
103 GR 2 EQ AND ACT
78 GR3 EQ AND ACT
72 GR 4 EQ AND ACT
120 GR 5 EQ AND ACT
116 GR 6 EQ AND ACT
150 GR 7 EQ AND ACT
155 GR 8 EQ AND ACT
146 GR 9 EQ AND ACT
159 GR 10 EQ AND ACT</v>
      </c>
      <c r="E2187" s="196" t="str">
        <f>IFERROR(__xludf.DUMMYFUNCTION("""COMPUTED_VALUE"""),"FOR SALE IN STUFFSHOP")</f>
        <v>FOR SALE IN STUFFSHOP</v>
      </c>
    </row>
    <row r="2188">
      <c r="A2188" s="234">
        <f>IFERROR(__xludf.DUMMYFUNCTION("""COMPUTED_VALUE"""),107021.0)</f>
        <v>107021</v>
      </c>
      <c r="B2188" s="235" t="str">
        <f>IFERROR(__xludf.DUMMYFUNCTION("""COMPUTED_VALUE"""),"JOHNY QUIQUI")</f>
        <v>JOHNY QUIQUI</v>
      </c>
      <c r="C2188" s="235" t="str">
        <f>IFERROR(__xludf.DUMMYFUNCTION("""COMPUTED_VALUE"""),"SISC")</f>
        <v>SISC</v>
      </c>
      <c r="D2188" s="196" t="str">
        <f>IFERROR(__xludf.DUMMYFUNCTION("""COMPUTED_VALUE"""),"106 G1 TOWPEP
83 G2 TOWPEP
78 G3 TOWPEP
72 G4 TOWPEP
141 G5 TOWPEP
115 G6 TOWPEP
123 G7 TOWPEP
156 G8 TOWPEP
132 G9 TOWPEP
166 G10 TOWPEP")</f>
        <v>106 G1 TOWPEP
83 G2 TOWPEP
78 G3 TOWPEP
72 G4 TOWPEP
141 G5 TOWPEP
115 G6 TOWPEP
123 G7 TOWPEP
156 G8 TOWPEP
132 G9 TOWPEP
166 G10 TOWPEP</v>
      </c>
      <c r="E2188" s="196" t="str">
        <f>IFERROR(__xludf.DUMMYFUNCTION("""COMPUTED_VALUE"""),"FOR SALE IN STUFFSHOP")</f>
        <v>FOR SALE IN STUFFSHOP</v>
      </c>
    </row>
    <row r="2189">
      <c r="A2189" s="234">
        <f>IFERROR(__xludf.DUMMYFUNCTION("""COMPUTED_VALUE"""),107022.0)</f>
        <v>107022</v>
      </c>
      <c r="B2189" s="235" t="str">
        <f>IFERROR(__xludf.DUMMYFUNCTION("""COMPUTED_VALUE"""),"JOHNY QUIQUI")</f>
        <v>JOHNY QUIQUI</v>
      </c>
      <c r="C2189" s="235" t="str">
        <f>IFERROR(__xludf.DUMMYFUNCTION("""COMPUTED_VALUE"""),"SISC")</f>
        <v>SISC</v>
      </c>
      <c r="D2189" s="196" t="str">
        <f>IFERROR(__xludf.DUMMYFUNCTION("""COMPUTED_VALUE"""),"279 G11 TOWPEP AND EQ-ACT
178 G12 TOWPEP AND EQ-ACT")</f>
        <v>279 G11 TOWPEP AND EQ-ACT
178 G12 TOWPEP AND EQ-ACT</v>
      </c>
      <c r="E2189" s="196" t="str">
        <f>IFERROR(__xludf.DUMMYFUNCTION("""COMPUTED_VALUE"""),"FOR SALE IN STUFFSHOP")</f>
        <v>FOR SALE IN STUFFSHOP</v>
      </c>
    </row>
    <row r="2190">
      <c r="A2190" s="234">
        <f>IFERROR(__xludf.DUMMYFUNCTION("""COMPUTED_VALUE"""),107023.0)</f>
        <v>107023</v>
      </c>
      <c r="B2190" s="235" t="str">
        <f>IFERROR(__xludf.DUMMYFUNCTION("""COMPUTED_VALUE"""),"JOHNY QUIQUI")</f>
        <v>JOHNY QUIQUI</v>
      </c>
      <c r="C2190" s="235" t="str">
        <f>IFERROR(__xludf.DUMMYFUNCTION("""COMPUTED_VALUE"""),"SISC")</f>
        <v>SISC</v>
      </c>
      <c r="D2190" s="196" t="str">
        <f>IFERROR(__xludf.DUMMYFUNCTION("""COMPUTED_VALUE"""),"90 CURSIVE WRITING 3
103 G4 CURSIVE WRITING
150 G5 CURSIVE WRITING
118 G6 CURSIVE WRITING")</f>
        <v>90 CURSIVE WRITING 3
103 G4 CURSIVE WRITING
150 G5 CURSIVE WRITING
118 G6 CURSIVE WRITING</v>
      </c>
      <c r="E2190" s="196" t="str">
        <f>IFERROR(__xludf.DUMMYFUNCTION("""COMPUTED_VALUE"""),"FOR SALE IN STUFFSHOP")</f>
        <v>FOR SALE IN STUFFSHOP</v>
      </c>
    </row>
    <row r="2191">
      <c r="A2191" s="234">
        <f>IFERROR(__xludf.DUMMYFUNCTION("""COMPUTED_VALUE"""),107024.0)</f>
        <v>107024</v>
      </c>
      <c r="B2191" s="235" t="str">
        <f>IFERROR(__xludf.DUMMYFUNCTION("""COMPUTED_VALUE"""),"MARIA PATRICIA BELLEZA")</f>
        <v>MARIA PATRICIA BELLEZA</v>
      </c>
      <c r="C2191" s="235" t="str">
        <f>IFERROR(__xludf.DUMMYFUNCTION("""COMPUTED_VALUE"""),"STUDENT AFFAIRS BED")</f>
        <v>STUDENT AFFAIRS BED</v>
      </c>
      <c r="D2191" s="196" t="str">
        <f>IFERROR(__xludf.DUMMYFUNCTION("""COMPUTED_VALUE"""),"ALUMNI SYMPATHY FLOWERS")</f>
        <v>ALUMNI SYMPATHY FLOWERS</v>
      </c>
      <c r="E2191" s="196" t="str">
        <f>IFERROR(__xludf.DUMMYFUNCTION("""COMPUTED_VALUE"""),"ALUMNI SYMPATHY FLOWERS")</f>
        <v>ALUMNI SYMPATHY FLOWERS</v>
      </c>
    </row>
    <row r="2192">
      <c r="A2192" s="234">
        <f>IFERROR(__xludf.DUMMYFUNCTION("""COMPUTED_VALUE"""),107025.0)</f>
        <v>107025</v>
      </c>
      <c r="B2192" s="235" t="str">
        <f>IFERROR(__xludf.DUMMYFUNCTION("""COMPUTED_VALUE"""),"MELISSA ODOÑO ")</f>
        <v>MELISSA ODOÑO </v>
      </c>
      <c r="C2192" s="235" t="str">
        <f>IFERROR(__xludf.DUMMYFUNCTION("""COMPUTED_VALUE"""),"LIBRARY BASIC ED")</f>
        <v>LIBRARY BASIC ED</v>
      </c>
      <c r="D2192" s="196" t="str">
        <f>IFERROR(__xludf.DUMMYFUNCTION("""COMPUTED_VALUE"""),"1 EACH
Standard level and Higher level chemistry for the IB diploma programme.					
Standard level and Highher level physics for the IB diploma programme.					
Mathematics: analysis and approaches (higher level)					
Mathematics: analysis and approache"&amp;"s (standard level)					
Mathematics: Applications and interpretation (higher level)					
Mathematics: Applications and interpretation (standard level)					
Power starters					")</f>
        <v>1 EACH
Standard level and Higher level chemistry for the IB diploma programme.					
Standard level and Highher level physics for the IB diploma programme.					
Mathematics: analysis and approaches (higher level)					
Mathematics: analysis and approaches (standard level)					
Mathematics: Applications and interpretation (higher level)					
Mathematics: Applications and interpretation (standard level)					
Power starters					</v>
      </c>
      <c r="E2192" s="196" t="str">
        <f>IFERROR(__xludf.DUMMYFUNCTION("""COMPUTED_VALUE"""),"LIBRARY'S COPY")</f>
        <v>LIBRARY'S COPY</v>
      </c>
    </row>
    <row r="2193">
      <c r="A2193" s="234">
        <f>IFERROR(__xludf.DUMMYFUNCTION("""COMPUTED_VALUE"""),107026.0)</f>
        <v>107026</v>
      </c>
      <c r="B2193" s="235" t="str">
        <f>IFERROR(__xludf.DUMMYFUNCTION("""COMPUTED_VALUE"""),"NESSIE LUMBRES")</f>
        <v>NESSIE LUMBRES</v>
      </c>
      <c r="C2193" s="235" t="str">
        <f>IFERROR(__xludf.DUMMYFUNCTION("""COMPUTED_VALUE"""),"SHS DEPT")</f>
        <v>SHS DEPT</v>
      </c>
      <c r="D2193" s="196" t="str">
        <f>IFERROR(__xludf.DUMMYFUNCTION("""COMPUTED_VALUE"""),"45 VALUES EXCELLENCE
23 PERFECT ATTENDANCE 
30 LOYALTY MEDAL 
50 SUBJECT EXCELLENCE
80 ACADEMIC EXCELLENCE GOLD
101 ACADEMIC EXCELLENCE SILVER
40 ACADEMIC EXCELLENCE BRONZE
25 GENERAL SCHOLASTIC AWARD 
1 ATHLETIC OF THE YEAR")</f>
        <v>45 VALUES EXCELLENCE
23 PERFECT ATTENDANCE 
30 LOYALTY MEDAL 
50 SUBJECT EXCELLENCE
80 ACADEMIC EXCELLENCE GOLD
101 ACADEMIC EXCELLENCE SILVER
40 ACADEMIC EXCELLENCE BRONZE
25 GENERAL SCHOLASTIC AWARD 
1 ATHLETIC OF THE YEAR</v>
      </c>
      <c r="E2193" s="196" t="str">
        <f>IFERROR(__xludf.DUMMYFUNCTION("""COMPUTED_VALUE"""),"SHS GRADUATION AY 25-26 MEDALS")</f>
        <v>SHS GRADUATION AY 25-26 MEDALS</v>
      </c>
    </row>
    <row r="2194">
      <c r="A2194" s="234">
        <f>IFERROR(__xludf.DUMMYFUNCTION("""COMPUTED_VALUE"""),107027.0)</f>
        <v>107027</v>
      </c>
      <c r="B2194" s="235" t="str">
        <f>IFERROR(__xludf.DUMMYFUNCTION("""COMPUTED_VALUE"""),"ANGELO PARAS")</f>
        <v>ANGELO PARAS</v>
      </c>
      <c r="C2194" s="235" t="str">
        <f>IFERROR(__xludf.DUMMYFUNCTION("""COMPUTED_VALUE"""),"SCIENCE LAB BASIC ED.")</f>
        <v>SCIENCE LAB BASIC ED.</v>
      </c>
      <c r="D2194" s="196" t="str">
        <f>IFERROR(__xludf.DUMMYFUNCTION("""COMPUTED_VALUE"""),"15 PCS BEAKER 10 PCS 250 ML 5 PCS 500ML
6 PCS GRADUATED CYLINDERS 100 ML
6 SETS MEASURING CUPS SET PLASTIC
6 PCS ERLENMEYOR FLASK
40 PCS TEST TUBES 
4 PCS TEST TUBES ROCK 
100 PCS PLASTIC DROPPER
6 PCS WASH BOTTLES
10 PCS FUNNELS PLASTIC
10 PCS STIRRING R"&amp;"OD")</f>
        <v>15 PCS BEAKER 10 PCS 250 ML 5 PCS 500ML
6 PCS GRADUATED CYLINDERS 100 ML
6 SETS MEASURING CUPS SET PLASTIC
6 PCS ERLENMEYOR FLASK
40 PCS TEST TUBES 
4 PCS TEST TUBES ROCK 
100 PCS PLASTIC DROPPER
6 PCS WASH BOTTLES
10 PCS FUNNELS PLASTIC
10 PCS STIRRING ROD</v>
      </c>
      <c r="E2194" s="196" t="str">
        <f>IFERROR(__xludf.DUMMYFUNCTION("""COMPUTED_VALUE"""),"REPLENISHMENT OF CHEMICALS IN CHEM LAB")</f>
        <v>REPLENISHMENT OF CHEMICALS IN CHEM LAB</v>
      </c>
    </row>
    <row r="2195">
      <c r="A2195" s="234">
        <f>IFERROR(__xludf.DUMMYFUNCTION("""COMPUTED_VALUE"""),107028.0)</f>
        <v>107028</v>
      </c>
      <c r="B2195" s="235" t="str">
        <f>IFERROR(__xludf.DUMMYFUNCTION("""COMPUTED_VALUE"""),"SHEREE ESPINOSA")</f>
        <v>SHEREE ESPINOSA</v>
      </c>
      <c r="C2195" s="235" t="str">
        <f>IFERROR(__xludf.DUMMYFUNCTION("""COMPUTED_VALUE"""),"ADMIN")</f>
        <v>ADMIN</v>
      </c>
      <c r="D2195" s="196" t="str">
        <f>IFERROR(__xludf.DUMMYFUNCTION("""COMPUTED_VALUE"""),"10 PCS FRAMES 85 CM X 60 CM")</f>
        <v>10 PCS FRAMES 85 CM X 60 CM</v>
      </c>
      <c r="E2195" s="196" t="str">
        <f>IFERROR(__xludf.DUMMYFUNCTION("""COMPUTED_VALUE"""),"FOR 5CS SINTRA BOARDS")</f>
        <v>FOR 5CS SINTRA BOARDS</v>
      </c>
    </row>
    <row r="2196">
      <c r="A2196" s="234">
        <f>IFERROR(__xludf.DUMMYFUNCTION("""COMPUTED_VALUE"""),107029.0)</f>
        <v>107029</v>
      </c>
      <c r="B2196" s="235" t="str">
        <f>IFERROR(__xludf.DUMMYFUNCTION("""COMPUTED_VALUE"""),"JESSA PACURI")</f>
        <v>JESSA PACURI</v>
      </c>
      <c r="C2196" s="235" t="str">
        <f>IFERROR(__xludf.DUMMYFUNCTION("""COMPUTED_VALUE"""),"REGISTRATION")</f>
        <v>REGISTRATION</v>
      </c>
      <c r="D2196" s="196" t="str">
        <f>IFERROR(__xludf.DUMMYFUNCTION("""COMPUTED_VALUE"""),"15 BOXES FORTUNE GREEN PRESSBOARD FOLDER PLAIN LONG")</f>
        <v>15 BOXES FORTUNE GREEN PRESSBOARD FOLDER PLAIN LONG</v>
      </c>
      <c r="E2196" s="196" t="str">
        <f>IFERROR(__xludf.DUMMYFUNCTION("""COMPUTED_VALUE"""),"FOR ARCHIVE PROJECT AND BED 201 FILES")</f>
        <v>FOR ARCHIVE PROJECT AND BED 201 FILES</v>
      </c>
    </row>
    <row r="2197">
      <c r="A2197" s="234">
        <f>IFERROR(__xludf.DUMMYFUNCTION("""COMPUTED_VALUE"""),107030.0)</f>
        <v>107030</v>
      </c>
      <c r="B2197" s="235" t="str">
        <f>IFERROR(__xludf.DUMMYFUNCTION("""COMPUTED_VALUE"""),"OWIE PAR")</f>
        <v>OWIE PAR</v>
      </c>
      <c r="C2197" s="235" t="str">
        <f>IFERROR(__xludf.DUMMYFUNCTION("""COMPUTED_VALUE"""),"ENGINEERING")</f>
        <v>ENGINEERING</v>
      </c>
      <c r="D2197" s="196" t="str">
        <f>IFERROR(__xludf.DUMMYFUNCTION("""COMPUTED_VALUE"""),"1 PC FORMICA 
1 GAL RUGBY")</f>
        <v>1 PC FORMICA 
1 GAL RUGBY</v>
      </c>
      <c r="E2197" s="196" t="str">
        <f>IFERROR(__xludf.DUMMYFUNCTION("""COMPUTED_VALUE"""),"FOR MONARCH GYM COACHES RM. REPAIR OF MAINDOOR")</f>
        <v>FOR MONARCH GYM COACHES RM. REPAIR OF MAINDOOR</v>
      </c>
    </row>
    <row r="2198">
      <c r="A2198" s="234">
        <f>IFERROR(__xludf.DUMMYFUNCTION("""COMPUTED_VALUE"""),107031.0)</f>
        <v>107031</v>
      </c>
      <c r="B2198" s="235" t="str">
        <f>IFERROR(__xludf.DUMMYFUNCTION("""COMPUTED_VALUE"""),"OWIE PAR")</f>
        <v>OWIE PAR</v>
      </c>
      <c r="C2198" s="235" t="str">
        <f>IFERROR(__xludf.DUMMYFUNCTION("""COMPUTED_VALUE"""),"ENGINEERING")</f>
        <v>ENGINEERING</v>
      </c>
      <c r="D2198" s="196" t="str">
        <f>IFERROR(__xludf.DUMMYFUNCTION("""COMPUTED_VALUE"""),"2 GALS BOSNY ROOF SEALER GRAY
2 PCS PAINT BRUSH #2
2 LITERS VULCA SEAL")</f>
        <v>2 GALS BOSNY ROOF SEALER GRAY
2 PCS PAINT BRUSH #2
2 LITERS VULCA SEAL</v>
      </c>
      <c r="E2198" s="196" t="str">
        <f>IFERROR(__xludf.DUMMYFUNCTION("""COMPUTED_VALUE"""),"FOR LIMA CENTER REPAIR OF ROOF LEAKS")</f>
        <v>FOR LIMA CENTER REPAIR OF ROOF LEAKS</v>
      </c>
    </row>
    <row r="2199">
      <c r="A2199" s="234">
        <f>IFERROR(__xludf.DUMMYFUNCTION("""COMPUTED_VALUE"""),107032.0)</f>
        <v>107032</v>
      </c>
      <c r="B2199" s="235" t="str">
        <f>IFERROR(__xludf.DUMMYFUNCTION("""COMPUTED_VALUE"""),"JESUIT CHRISTIAN GALICIA")</f>
        <v>JESUIT CHRISTIAN GALICIA</v>
      </c>
      <c r="C2199" s="235" t="str">
        <f>IFERROR(__xludf.DUMMYFUNCTION("""COMPUTED_VALUE"""),"AMD")</f>
        <v>AMD</v>
      </c>
      <c r="D2199" s="196" t="str">
        <f>IFERROR(__xludf.DUMMYFUNCTION("""COMPUTED_VALUE"""),"10 PCS WD40 MULTI PURPOSE LUBRICANT 412ML
10 PCS CAPACITOR 30UF
10 PCS DOOR CLOSER YALE
20 PCS GOOSE NECK FAUCET CRESTON 
20 PCS DOOR KNOB YALE
10 LAVATORY FAUCET (CRESTON SHORT)")</f>
        <v>10 PCS WD40 MULTI PURPOSE LUBRICANT 412ML
10 PCS CAPACITOR 30UF
10 PCS DOOR CLOSER YALE
20 PCS GOOSE NECK FAUCET CRESTON 
20 PCS DOOR KNOB YALE
10 LAVATORY FAUCET (CRESTON SHORT)</v>
      </c>
      <c r="E2199" s="196" t="str">
        <f>IFERROR(__xludf.DUMMYFUNCTION("""COMPUTED_VALUE"""),"ENGR WAREHOUSE STOCK REPLENISHMENT")</f>
        <v>ENGR WAREHOUSE STOCK REPLENISHMENT</v>
      </c>
    </row>
    <row r="2200">
      <c r="A2200" s="234">
        <f>IFERROR(__xludf.DUMMYFUNCTION("""COMPUTED_VALUE"""),107033.0)</f>
        <v>107033</v>
      </c>
      <c r="B2200" s="235" t="str">
        <f>IFERROR(__xludf.DUMMYFUNCTION("""COMPUTED_VALUE"""),"MARC VINCENT VITTO")</f>
        <v>MARC VINCENT VITTO</v>
      </c>
      <c r="C2200" s="235" t="str">
        <f>IFERROR(__xludf.DUMMYFUNCTION("""COMPUTED_VALUE"""),"PR &amp; MARKETING")</f>
        <v>PR &amp; MARKETING</v>
      </c>
      <c r="D2200" s="196" t="str">
        <f>IFERROR(__xludf.DUMMYFUNCTION("""COMPUTED_VALUE"""),"1 REORDER ACCOUNTANCY TARP 20 X 10 FT 18 OZ")</f>
        <v>1 REORDER ACCOUNTANCY TARP 20 X 10 FT 18 OZ</v>
      </c>
      <c r="E2200" s="196" t="str">
        <f>IFERROR(__xludf.DUMMYFUNCTION("""COMPUTED_VALUE"""),"REORDER OF ACCOUNTANCY TARP")</f>
        <v>REORDER OF ACCOUNTANCY TARP</v>
      </c>
    </row>
    <row r="2201">
      <c r="A2201" s="234">
        <f>IFERROR(__xludf.DUMMYFUNCTION("""COMPUTED_VALUE"""),107034.0)</f>
        <v>107034</v>
      </c>
      <c r="B2201" s="235" t="str">
        <f>IFERROR(__xludf.DUMMYFUNCTION("""COMPUTED_VALUE"""),"LIZA JIMENEZ")</f>
        <v>LIZA JIMENEZ</v>
      </c>
      <c r="C2201" s="235" t="str">
        <f>IFERROR(__xludf.DUMMYFUNCTION("""COMPUTED_VALUE"""),"NURSING")</f>
        <v>NURSING</v>
      </c>
      <c r="D2201" s="196" t="str">
        <f>IFERROR(__xludf.DUMMYFUNCTION("""COMPUTED_VALUE"""),"3 PCS HOSPITAL HEADBOARD WITH CONNECED O2 SUCTION LIGHT")</f>
        <v>3 PCS HOSPITAL HEADBOARD WITH CONNECED O2 SUCTION LIGHT</v>
      </c>
      <c r="E2201" s="196" t="str">
        <f>IFERROR(__xludf.DUMMYFUNCTION("""COMPUTED_VALUE"""),"FOR OUR NSK LAB")</f>
        <v>FOR OUR NSK LAB</v>
      </c>
    </row>
    <row r="2202">
      <c r="A2202" s="234">
        <f>IFERROR(__xludf.DUMMYFUNCTION("""COMPUTED_VALUE"""),107035.0)</f>
        <v>107035</v>
      </c>
      <c r="B2202" s="235" t="str">
        <f>IFERROR(__xludf.DUMMYFUNCTION("""COMPUTED_VALUE"""),"OWIE PAR")</f>
        <v>OWIE PAR</v>
      </c>
      <c r="C2202" s="235" t="str">
        <f>IFERROR(__xludf.DUMMYFUNCTION("""COMPUTED_VALUE"""),"ENGINEERING")</f>
        <v>ENGINEERING</v>
      </c>
      <c r="D2202" s="196" t="str">
        <f>IFERROR(__xludf.DUMMYFUNCTION("""COMPUTED_VALUE"""),"2 UNITS WATER PURIFIER MEMBRANE")</f>
        <v>2 UNITS WATER PURIFIER MEMBRANE</v>
      </c>
      <c r="E2202" s="196" t="str">
        <f>IFERROR(__xludf.DUMMYFUNCTION("""COMPUTED_VALUE"""),"FOR WATER PURIFIER")</f>
        <v>FOR WATER PURIFIER</v>
      </c>
    </row>
    <row r="2203">
      <c r="A2203" s="234">
        <f>IFERROR(__xludf.DUMMYFUNCTION("""COMPUTED_VALUE"""),107036.0)</f>
        <v>107036</v>
      </c>
      <c r="B2203" s="235" t="str">
        <f>IFERROR(__xludf.DUMMYFUNCTION("""COMPUTED_VALUE"""),"RODRIGO CUSTODIO")</f>
        <v>RODRIGO CUSTODIO</v>
      </c>
      <c r="C2203" s="235" t="str">
        <f>IFERROR(__xludf.DUMMYFUNCTION("""COMPUTED_VALUE"""),"AMD")</f>
        <v>AMD</v>
      </c>
      <c r="D2203" s="196" t="str">
        <f>IFERROR(__xludf.DUMMYFUNCTION("""COMPUTED_VALUE"""),"26 PCS SVAVO SOAP DISPENSER")</f>
        <v>26 PCS SVAVO SOAP DISPENSER</v>
      </c>
      <c r="E2203" s="196" t="str">
        <f>IFERROR(__xludf.DUMMYFUNCTION("""COMPUTED_VALUE"""),"HOUSEKEEPING MATERIALS STOCK REPLENISHMENT")</f>
        <v>HOUSEKEEPING MATERIALS STOCK REPLENISHMENT</v>
      </c>
    </row>
    <row r="2204">
      <c r="A2204" s="234">
        <f>IFERROR(__xludf.DUMMYFUNCTION("""COMPUTED_VALUE"""),107037.0)</f>
        <v>107037</v>
      </c>
      <c r="B2204" s="235" t="str">
        <f>IFERROR(__xludf.DUMMYFUNCTION("""COMPUTED_VALUE"""),"ANGELO PARAS")</f>
        <v>ANGELO PARAS</v>
      </c>
      <c r="C2204" s="235" t="str">
        <f>IFERROR(__xludf.DUMMYFUNCTION("""COMPUTED_VALUE"""),"SCIENCE LAB BASIC ED.")</f>
        <v>SCIENCE LAB BASIC ED.</v>
      </c>
      <c r="D2204" s="196" t="str">
        <f>IFERROR(__xludf.DUMMYFUNCTION("""COMPUTED_VALUE"""),"30 PCS RULERS
10 PCS STOPWATCH
300 PCS PH PAPER / UNIVERSAL INDICATOR
10 PCS MAGNIFYING GLASS
3 PCS DIGITAL/ELECTRONIC WEIGHING SCALE
10 BOXES DISPOSABLE NITRILE GLOVES
5 PCS FIRST AID KIT
6 PCS PLASTIC STORAGE BINS
30 PCS PETRIDISH PLASTIC
5 PCS PH METER"&amp;" ")</f>
        <v>30 PCS RULERS
10 PCS STOPWATCH
300 PCS PH PAPER / UNIVERSAL INDICATOR
10 PCS MAGNIFYING GLASS
3 PCS DIGITAL/ELECTRONIC WEIGHING SCALE
10 BOXES DISPOSABLE NITRILE GLOVES
5 PCS FIRST AID KIT
6 PCS PLASTIC STORAGE BINS
30 PCS PETRIDISH PLASTIC
5 PCS PH METER </v>
      </c>
      <c r="E2204" s="196" t="str">
        <f>IFERROR(__xludf.DUMMYFUNCTION("""COMPUTED_VALUE"""),"LAB MATERIALS FOR MUNIC")</f>
        <v>LAB MATERIALS FOR MUNIC</v>
      </c>
    </row>
    <row r="2205">
      <c r="A2205" s="234">
        <f>IFERROR(__xludf.DUMMYFUNCTION("""COMPUTED_VALUE"""),107038.0)</f>
        <v>107038</v>
      </c>
      <c r="B2205" s="235" t="str">
        <f>IFERROR(__xludf.DUMMYFUNCTION("""COMPUTED_VALUE"""),"ANGELO PARAS")</f>
        <v>ANGELO PARAS</v>
      </c>
      <c r="C2205" s="235" t="str">
        <f>IFERROR(__xludf.DUMMYFUNCTION("""COMPUTED_VALUE"""),"SCIENCE LAB BASIC ED.")</f>
        <v>SCIENCE LAB BASIC ED.</v>
      </c>
      <c r="D2205" s="196" t="str">
        <f>IFERROR(__xludf.DUMMYFUNCTION("""COMPUTED_VALUE"""),"1KG CALCIUM CHLORIDE
1 KG CALCIUM CARBONATE
200 G POTASSIUM IODIDE LAB GRADE
20 BOTTLES LIQUID HAND SOAP
3 LITERS DISHWASHING LIQUID 
30 BOXES NITRILE GLOVES POWDER FREE 
20 PACKS INTERFOLD PAPER TOWEL 
3 LITERS VINEGAR 
1 KG YEAST")</f>
        <v>1KG CALCIUM CHLORIDE
1 KG CALCIUM CARBONATE
200 G POTASSIUM IODIDE LAB GRADE
20 BOTTLES LIQUID HAND SOAP
3 LITERS DISHWASHING LIQUID 
30 BOXES NITRILE GLOVES POWDER FREE 
20 PACKS INTERFOLD PAPER TOWEL 
3 LITERS VINEGAR 
1 KG YEAST</v>
      </c>
      <c r="E2205" s="196" t="str">
        <f>IFERROR(__xludf.DUMMYFUNCTION("""COMPUTED_VALUE"""),"LAB MATERIALS FOR MUNIC")</f>
        <v>LAB MATERIALS FOR MUNIC</v>
      </c>
    </row>
    <row r="2206">
      <c r="A2206" s="234">
        <f>IFERROR(__xludf.DUMMYFUNCTION("""COMPUTED_VALUE"""),107039.0)</f>
        <v>107039</v>
      </c>
      <c r="B2206" s="235" t="str">
        <f>IFERROR(__xludf.DUMMYFUNCTION("""COMPUTED_VALUE"""),"ANGELO PARAS")</f>
        <v>ANGELO PARAS</v>
      </c>
      <c r="C2206" s="235" t="str">
        <f>IFERROR(__xludf.DUMMYFUNCTION("""COMPUTED_VALUE"""),"SCIENCE LAB BASIC ED.")</f>
        <v>SCIENCE LAB BASIC ED.</v>
      </c>
      <c r="D2206" s="196" t="str">
        <f>IFERROR(__xludf.DUMMYFUNCTION("""COMPUTED_VALUE"""),"70 LITERS DISTILLED WATER 
10 LITERS ETHYL ALCOHOL 
5 LITERS DENURATED ALCOHOL
2 LITERS HYDROGEN PEROXIDE 30%
1 LITER PENOLPHTHALEN INDICATOR
1 LITER BENEDICT'S SOLUTION
3 LITERS HYDROCHLORIC ACID")</f>
        <v>70 LITERS DISTILLED WATER 
10 LITERS ETHYL ALCOHOL 
5 LITERS DENURATED ALCOHOL
2 LITERS HYDROGEN PEROXIDE 30%
1 LITER PENOLPHTHALEN INDICATOR
1 LITER BENEDICT'S SOLUTION
3 LITERS HYDROCHLORIC ACID</v>
      </c>
      <c r="E2206" s="196" t="str">
        <f>IFERROR(__xludf.DUMMYFUNCTION("""COMPUTED_VALUE"""),"LAB MATERIALS FOR MUNIC")</f>
        <v>LAB MATERIALS FOR MUNIC</v>
      </c>
    </row>
    <row r="2207">
      <c r="A2207" s="234">
        <f>IFERROR(__xludf.DUMMYFUNCTION("""COMPUTED_VALUE"""),107040.0)</f>
        <v>107040</v>
      </c>
      <c r="B2207" s="235" t="str">
        <f>IFERROR(__xludf.DUMMYFUNCTION("""COMPUTED_VALUE"""),"OWIE PAR")</f>
        <v>OWIE PAR</v>
      </c>
      <c r="C2207" s="235" t="str">
        <f>IFERROR(__xludf.DUMMYFUNCTION("""COMPUTED_VALUE"""),"ENGINEERING")</f>
        <v>ENGINEERING</v>
      </c>
      <c r="D2207" s="196" t="str">
        <f>IFERROR(__xludf.DUMMYFUNCTION("""COMPUTED_VALUE"""),"1 UNIT ORBIT FAN #16 STANDARD")</f>
        <v>1 UNIT ORBIT FAN #16 STANDARD</v>
      </c>
      <c r="E2207" s="196" t="str">
        <f>IFERROR(__xludf.DUMMYFUNCTION("""COMPUTED_VALUE"""),"FOR SCHOLARS HOUSE LAUREL DORM")</f>
        <v>FOR SCHOLARS HOUSE LAUREL DORM</v>
      </c>
    </row>
    <row r="2208">
      <c r="A2208" s="234">
        <f>IFERROR(__xludf.DUMMYFUNCTION("""COMPUTED_VALUE"""),107041.0)</f>
        <v>107041</v>
      </c>
      <c r="B2208" s="235" t="str">
        <f>IFERROR(__xludf.DUMMYFUNCTION("""COMPUTED_VALUE"""),"CHRISTON CORBEZA")</f>
        <v>CHRISTON CORBEZA</v>
      </c>
      <c r="C2208" s="235" t="str">
        <f>IFERROR(__xludf.DUMMYFUNCTION("""COMPUTED_VALUE"""),"ADMIN - MUNICH")</f>
        <v>ADMIN - MUNICH</v>
      </c>
      <c r="D2208" s="196" t="str">
        <f>IFERROR(__xludf.DUMMYFUNCTION("""COMPUTED_VALUE"""),"ENAMEL PAINT
- 2 GAL GREEN
- 1 GAL YELLOW
- 1 GAL PURPLE
- 4 GAL VANILLA ICE
- 2 GAL CHOCOLATE BROWN
- 2 GAL GRAY")</f>
        <v>ENAMEL PAINT
- 2 GAL GREEN
- 1 GAL YELLOW
- 1 GAL PURPLE
- 4 GAL VANILLA ICE
- 2 GAL CHOCOLATE BROWN
- 2 GAL GRAY</v>
      </c>
      <c r="E2208" s="196" t="str">
        <f>IFERROR(__xludf.DUMMYFUNCTION("""COMPUTED_VALUE"""),"FOR PM'S OF CLASSROOM REPAINTING ")</f>
        <v>FOR PM'S OF CLASSROOM REPAINTING </v>
      </c>
    </row>
    <row r="2209">
      <c r="A2209" s="234">
        <f>IFERROR(__xludf.DUMMYFUNCTION("""COMPUTED_VALUE"""),107042.0)</f>
        <v>107042</v>
      </c>
      <c r="B2209" s="235" t="str">
        <f>IFERROR(__xludf.DUMMYFUNCTION("""COMPUTED_VALUE"""),"JESUIT CHRISTIAN GALICIA")</f>
        <v>JESUIT CHRISTIAN GALICIA</v>
      </c>
      <c r="C2209" s="235" t="str">
        <f>IFERROR(__xludf.DUMMYFUNCTION("""COMPUTED_VALUE"""),"AMD")</f>
        <v>AMD</v>
      </c>
      <c r="D2209" s="196" t="str">
        <f>IFERROR(__xludf.DUMMYFUNCTION("""COMPUTED_VALUE"""),"2 PCS CUSTOMIZED TRODAT PRINTI 4926")</f>
        <v>2 PCS CUSTOMIZED TRODAT PRINTI 4926</v>
      </c>
      <c r="E2209" s="196" t="str">
        <f>IFERROR(__xludf.DUMMYFUNCTION("""COMPUTED_VALUE"""),"FOR AMD OFFICE RECEIVING AND DOCUMENTATION USE")</f>
        <v>FOR AMD OFFICE RECEIVING AND DOCUMENTATION USE</v>
      </c>
    </row>
    <row r="2210">
      <c r="A2210" s="234">
        <f>IFERROR(__xludf.DUMMYFUNCTION("""COMPUTED_VALUE"""),107043.0)</f>
        <v>107043</v>
      </c>
      <c r="B2210" s="235" t="str">
        <f>IFERROR(__xludf.DUMMYFUNCTION("""COMPUTED_VALUE"""),"RODRIGO CUSTODIO")</f>
        <v>RODRIGO CUSTODIO</v>
      </c>
      <c r="C2210" s="235" t="str">
        <f>IFERROR(__xludf.DUMMYFUNCTION("""COMPUTED_VALUE"""),"AMD")</f>
        <v>AMD</v>
      </c>
      <c r="D2210" s="196" t="str">
        <f>IFERROR(__xludf.DUMMYFUNCTION("""COMPUTED_VALUE"""),"100 PACKS TRASH BAG LARGE 26"" X 32"" CLEAR 
120 PACKS TRASH BAG XL 36"" X 40"" / 30"" X 37"" CLEAR")</f>
        <v>100 PACKS TRASH BAG LARGE 26" X 32" CLEAR 
120 PACKS TRASH BAG XL 36" X 40" / 30" X 37" CLEAR</v>
      </c>
      <c r="E2210" s="196" t="str">
        <f>IFERROR(__xludf.DUMMYFUNCTION("""COMPUTED_VALUE"""),"HOUSEKEEPING MATERIALS STOCK REPLENISHMENT")</f>
        <v>HOUSEKEEPING MATERIALS STOCK REPLENISHMENT</v>
      </c>
    </row>
    <row r="2211">
      <c r="A2211" s="234">
        <f>IFERROR(__xludf.DUMMYFUNCTION("""COMPUTED_VALUE"""),107044.0)</f>
        <v>107044</v>
      </c>
      <c r="B2211" s="235" t="str">
        <f>IFERROR(__xludf.DUMMYFUNCTION("""COMPUTED_VALUE"""),"CHARLES LEBECO DONOR")</f>
        <v>CHARLES LEBECO DONOR</v>
      </c>
      <c r="C2211" s="235" t="str">
        <f>IFERROR(__xludf.DUMMYFUNCTION("""COMPUTED_VALUE"""),"AMD")</f>
        <v>AMD</v>
      </c>
      <c r="D2211" s="196" t="str">
        <f>IFERROR(__xludf.DUMMYFUNCTION("""COMPUTED_VALUE"""),"Toner, Cartridge CF500A Black        TONR-JMD-10-0016        26 PCS.
Toner, Cartridge CF501A Cyan        TONR-JMD-10-0017        26 PCS.
Toner, Cartridge CF502A Yellow        TONR-JMD-10-0018        12 PCS.
Toner, Cartridge CF503A Magenta        TONR-JMD-"&amp;"10-0019        12 PCS.")</f>
        <v>Toner, Cartridge CF500A Black        TONR-JMD-10-0016        26 PCS.
Toner, Cartridge CF501A Cyan        TONR-JMD-10-0017        26 PCS.
Toner, Cartridge CF502A Yellow        TONR-JMD-10-0018        12 PCS.
Toner, Cartridge CF503A Magenta        TONR-JMD-10-0019        12 PCS.</v>
      </c>
      <c r="E2211" s="196" t="str">
        <f>IFERROR(__xludf.DUMMYFUNCTION("""COMPUTED_VALUE"""),"OSSUP REPLENISHMENT")</f>
        <v>OSSUP REPLENISHMENT</v>
      </c>
    </row>
    <row r="2212">
      <c r="A2212" s="234">
        <f>IFERROR(__xludf.DUMMYFUNCTION("""COMPUTED_VALUE"""),107045.0)</f>
        <v>107045</v>
      </c>
      <c r="B2212" s="235" t="str">
        <f>IFERROR(__xludf.DUMMYFUNCTION("""COMPUTED_VALUE"""),"JEVY TIUBANGAN")</f>
        <v>JEVY TIUBANGAN</v>
      </c>
      <c r="C2212" s="235" t="str">
        <f>IFERROR(__xludf.DUMMYFUNCTION("""COMPUTED_VALUE"""),"HRMD")</f>
        <v>HRMD</v>
      </c>
      <c r="D2212" s="196" t="str">
        <f>IFERROR(__xludf.DUMMYFUNCTION("""COMPUTED_VALUE"""),"FLOWER WREATH ")</f>
        <v>FLOWER WREATH </v>
      </c>
      <c r="E2212" s="196" t="str">
        <f>IFERROR(__xludf.DUMMYFUNCTION("""COMPUTED_VALUE"""),"FLOWER WREATH FOR THE MOTHER OF MS JULI-ANN BALMONTE")</f>
        <v>FLOWER WREATH FOR THE MOTHER OF MS JULI-ANN BALMONTE</v>
      </c>
    </row>
    <row r="2213">
      <c r="A2213" s="234">
        <f>IFERROR(__xludf.DUMMYFUNCTION("""COMPUTED_VALUE"""),107046.0)</f>
        <v>107046</v>
      </c>
      <c r="B2213" s="235" t="str">
        <f>IFERROR(__xludf.DUMMYFUNCTION("""COMPUTED_VALUE"""),"RONALDO VERDE")</f>
        <v>RONALDO VERDE</v>
      </c>
      <c r="C2213" s="235" t="str">
        <f>IFERROR(__xludf.DUMMYFUNCTION("""COMPUTED_VALUE"""),"ADMIN")</f>
        <v>ADMIN</v>
      </c>
      <c r="D2213" s="196" t="str">
        <f>IFERROR(__xludf.DUMMYFUNCTION("""COMPUTED_VALUE"""),"5 PCS EACH GE CIRCUIT BREAKER 
20 A 
30 A
40 A
60 A")</f>
        <v>5 PCS EACH GE CIRCUIT BREAKER 
20 A 
30 A
40 A
60 A</v>
      </c>
      <c r="E2213" s="196" t="str">
        <f>IFERROR(__xludf.DUMMYFUNCTION("""COMPUTED_VALUE"""),"FOR ENGINEERING USE")</f>
        <v>FOR ENGINEERING USE</v>
      </c>
    </row>
    <row r="2214">
      <c r="A2214" s="234">
        <f>IFERROR(__xludf.DUMMYFUNCTION("""COMPUTED_VALUE"""),107047.0)</f>
        <v>107047</v>
      </c>
      <c r="B2214" s="235" t="str">
        <f>IFERROR(__xludf.DUMMYFUNCTION("""COMPUTED_VALUE"""),"MARIA PATRICIA BELLEZA")</f>
        <v>MARIA PATRICIA BELLEZA</v>
      </c>
      <c r="C2214" s="235" t="str">
        <f>IFERROR(__xludf.DUMMYFUNCTION("""COMPUTED_VALUE"""),"STUDENT AFFAIRS BED")</f>
        <v>STUDENT AFFAIRS BED</v>
      </c>
      <c r="D2214" s="196" t="str">
        <f>IFERROR(__xludf.DUMMYFUNCTION("""COMPUTED_VALUE"""),"PVC CARD FOR ID 
202 GRADE 12
38 IB2 ")</f>
        <v>PVC CARD FOR ID 
202 GRADE 12
38 IB2 </v>
      </c>
      <c r="E2214" s="196" t="str">
        <f>IFERROR(__xludf.DUMMYFUNCTION("""COMPUTED_VALUE"""),"ALUMNI ID AY 25-26")</f>
        <v>ALUMNI ID AY 25-26</v>
      </c>
    </row>
    <row r="2215">
      <c r="A2215" s="234">
        <f>IFERROR(__xludf.DUMMYFUNCTION("""COMPUTED_VALUE"""),107048.0)</f>
        <v>107048</v>
      </c>
      <c r="B2215" s="235" t="str">
        <f>IFERROR(__xludf.DUMMYFUNCTION("""COMPUTED_VALUE"""),"MELISSA ODOÑO ")</f>
        <v>MELISSA ODOÑO </v>
      </c>
      <c r="C2215" s="235" t="str">
        <f>IFERROR(__xludf.DUMMYFUNCTION("""COMPUTED_VALUE"""),"LIBRARY BASIC ED")</f>
        <v>LIBRARY BASIC ED</v>
      </c>
      <c r="D2215" s="196" t="str">
        <f>IFERROR(__xludf.DUMMYFUNCTION("""COMPUTED_VALUE"""),"1 EACH:
A Very Dinosaur Birthday					
Priddy Books Pop-up Places Farm					
Pop-up Places Trucks					
Priddy Book Funny Faces Dizzy Dragon					
Priddy Book Funny Faces Rocky Dog					
Priddy Books My First ABC					
The Last Comics on Earth					
Dunge"&amp;"on Academy Last Best Hope					
Sofia Days MVP Kids					")</f>
        <v>1 EACH:
A Very Dinosaur Birthday					
Priddy Books Pop-up Places Farm					
Pop-up Places Trucks					
Priddy Book Funny Faces Dizzy Dragon					
Priddy Book Funny Faces Rocky Dog					
Priddy Books My First ABC					
The Last Comics on Earth					
Dungeon Academy Last Best Hope					
Sofia Days MVP Kids					</v>
      </c>
      <c r="E2215" s="196" t="str">
        <f>IFERROR(__xludf.DUMMYFUNCTION("""COMPUTED_VALUE"""),"LIBRARY'S COPY")</f>
        <v>LIBRARY'S COPY</v>
      </c>
    </row>
    <row r="2216">
      <c r="A2216" s="234">
        <f>IFERROR(__xludf.DUMMYFUNCTION("""COMPUTED_VALUE"""),107049.0)</f>
        <v>107049</v>
      </c>
      <c r="B2216" s="235" t="str">
        <f>IFERROR(__xludf.DUMMYFUNCTION("""COMPUTED_VALUE"""),"MELISSA ODOÑO ")</f>
        <v>MELISSA ODOÑO </v>
      </c>
      <c r="C2216" s="235" t="str">
        <f>IFERROR(__xludf.DUMMYFUNCTION("""COMPUTED_VALUE"""),"LIBRARY BASIC ED")</f>
        <v>LIBRARY BASIC ED</v>
      </c>
      <c r="D2216" s="196" t="str">
        <f>IFERROR(__xludf.DUMMYFUNCTION("""COMPUTED_VALUE"""),"1 EACH:
Priddy Learning My First ABC					
How to Catch A Dinosaur					
Inside Out T Rex					
Inside Out Human Body					
Inside Out Volcano					
Where's Willy's Welly?					
Priddy Books Follow me Fairy Tales					
Priddy Books Helpful Heroes Rescue		"&amp;"			
Priddy Books Pop-up Animals					
My First 100 Bibles Words					
A Very Dinosaur Birthday					
Baby Shark's Finn-Credible Family					
Priddy Books on the Farm					
My Love, God is Everywhere					
Priddy Books What's that Truck					
Sophia Days "&amp;"MVP Kids					
Priddy Books Funny Faces Rocky Dog					")</f>
        <v>1 EACH:
Priddy Learning My First ABC					
How to Catch A Dinosaur					
Inside Out T Rex					
Inside Out Human Body					
Inside Out Volcano					
Where's Willy's Welly?					
Priddy Books Follow me Fairy Tales					
Priddy Books Helpful Heroes Rescue					
Priddy Books Pop-up Animals					
My First 100 Bibles Words					
A Very Dinosaur Birthday					
Baby Shark's Finn-Credible Family					
Priddy Books on the Farm					
My Love, God is Everywhere					
Priddy Books What's that Truck					
Sophia Days MVP Kids					
Priddy Books Funny Faces Rocky Dog					</v>
      </c>
      <c r="E2216" s="196" t="str">
        <f>IFERROR(__xludf.DUMMYFUNCTION("""COMPUTED_VALUE"""),"LIBRARY'S COPY")</f>
        <v>LIBRARY'S COPY</v>
      </c>
    </row>
    <row r="2217">
      <c r="A2217" s="234">
        <f>IFERROR(__xludf.DUMMYFUNCTION("""COMPUTED_VALUE"""),107050.0)</f>
        <v>107050</v>
      </c>
      <c r="B2217" s="235" t="str">
        <f>IFERROR(__xludf.DUMMYFUNCTION("""COMPUTED_VALUE"""),"MELISSA ODOÑO ")</f>
        <v>MELISSA ODOÑO </v>
      </c>
      <c r="C2217" s="235" t="str">
        <f>IFERROR(__xludf.DUMMYFUNCTION("""COMPUTED_VALUE"""),"LIBRARY BASIC ED")</f>
        <v>LIBRARY BASIC ED</v>
      </c>
      <c r="D2217" s="196" t="str">
        <f>IFERROR(__xludf.DUMMYFUNCTION("""COMPUTED_VALUE"""),"1 EACH:
The Exhibition Game TOK in the World (#2682BF4)					
Questionbank - Mathematics (12 Months/10-user access) (#1428WN5)					
Extended essay course companion (#2709NG5) (Paperback)					
Visual arts : course companion (#2709PGX) (Paperback)					
I"&amp;"nThinking subscription (https://inthinking.net)					")</f>
        <v>1 EACH:
The Exhibition Game TOK in the World (#2682BF4)					
Questionbank - Mathematics (12 Months/10-user access) (#1428WN5)					
Extended essay course companion (#2709NG5) (Paperback)					
Visual arts : course companion (#2709PGX) (Paperback)					
InThinking subscription (https://inthinking.net)					</v>
      </c>
      <c r="E2217" s="196" t="str">
        <f>IFERROR(__xludf.DUMMYFUNCTION("""COMPUTED_VALUE"""),"LIBRARY'S COPY")</f>
        <v>LIBRARY'S COPY</v>
      </c>
    </row>
    <row r="2218">
      <c r="A2218" s="234">
        <f>IFERROR(__xludf.DUMMYFUNCTION("""COMPUTED_VALUE"""),107051.0)</f>
        <v>107051</v>
      </c>
      <c r="B2218" s="235" t="str">
        <f>IFERROR(__xludf.DUMMYFUNCTION("""COMPUTED_VALUE"""),"RAQUELYN NUÑEZ")</f>
        <v>RAQUELYN NUÑEZ</v>
      </c>
      <c r="C2218" s="235" t="str">
        <f>IFERROR(__xludf.DUMMYFUNCTION("""COMPUTED_VALUE"""),"ADMIN")</f>
        <v>ADMIN</v>
      </c>
      <c r="D2218" s="196" t="str">
        <f>IFERROR(__xludf.DUMMYFUNCTION("""COMPUTED_VALUE"""),"3 PANASONIC STANDARD WINDOW TYPE 1HP ACU")</f>
        <v>3 PANASONIC STANDARD WINDOW TYPE 1HP ACU</v>
      </c>
      <c r="E2218" s="196" t="str">
        <f>IFERROR(__xludf.DUMMYFUNCTION("""COMPUTED_VALUE"""),"FOR ANNEX RESIDENCES")</f>
        <v>FOR ANNEX RESIDENCES</v>
      </c>
    </row>
    <row r="2219">
      <c r="A2219" s="234">
        <f>IFERROR(__xludf.DUMMYFUNCTION("""COMPUTED_VALUE"""),107052.0)</f>
        <v>107052</v>
      </c>
      <c r="B2219" s="235" t="str">
        <f>IFERROR(__xludf.DUMMYFUNCTION("""COMPUTED_VALUE"""),"MELISSA ODOÑO ")</f>
        <v>MELISSA ODOÑO </v>
      </c>
      <c r="C2219" s="235" t="str">
        <f>IFERROR(__xludf.DUMMYFUNCTION("""COMPUTED_VALUE"""),"LIBRARY BASIC ED")</f>
        <v>LIBRARY BASIC ED</v>
      </c>
      <c r="D2219" s="196" t="str">
        <f>IFERROR(__xludf.DUMMYFUNCTION("""COMPUTED_VALUE"""),"1 EACH:
The Stolen Heir Boxed Set					
Mastering Manga Art with the Pros					
Dungeons and Dragons: Lore &amp; Legends					")</f>
        <v>1 EACH:
The Stolen Heir Boxed Set					
Mastering Manga Art with the Pros					
Dungeons and Dragons: Lore &amp; Legends					</v>
      </c>
      <c r="E2219" s="196" t="str">
        <f>IFERROR(__xludf.DUMMYFUNCTION("""COMPUTED_VALUE"""),"LIBRARY'S COPY")</f>
        <v>LIBRARY'S COPY</v>
      </c>
    </row>
    <row r="2220">
      <c r="A2220" s="234">
        <f>IFERROR(__xludf.DUMMYFUNCTION("""COMPUTED_VALUE"""),107053.0)</f>
        <v>107053</v>
      </c>
      <c r="B2220" s="235" t="str">
        <f>IFERROR(__xludf.DUMMYFUNCTION("""COMPUTED_VALUE"""),"LIZA JIMENEZ")</f>
        <v>LIZA JIMENEZ</v>
      </c>
      <c r="C2220" s="235" t="str">
        <f>IFERROR(__xludf.DUMMYFUNCTION("""COMPUTED_VALUE"""),"NURSING")</f>
        <v>NURSING</v>
      </c>
      <c r="D2220" s="196" t="str">
        <f>IFERROR(__xludf.DUMMYFUNCTION("""COMPUTED_VALUE"""),"2 PCS 3 RING BINDER LONG BLACK
5 PACKS 3 RING BINDER PLASTIC REFILL CLEARSHEET LONG")</f>
        <v>2 PCS 3 RING BINDER LONG BLACK
5 PACKS 3 RING BINDER PLASTIC REFILL CLEARSHEET LONG</v>
      </c>
      <c r="E2220" s="196" t="str">
        <f>IFERROR(__xludf.DUMMYFUNCTION("""COMPUTED_VALUE"""),"FILLING OF MOA'S")</f>
        <v>FILLING OF MOA'S</v>
      </c>
    </row>
    <row r="2221">
      <c r="A2221" s="234">
        <f>IFERROR(__xludf.DUMMYFUNCTION("""COMPUTED_VALUE"""),107054.0)</f>
        <v>107054</v>
      </c>
      <c r="B2221" s="235" t="str">
        <f>IFERROR(__xludf.DUMMYFUNCTION("""COMPUTED_VALUE"""),"JOHNNY QUIQUI")</f>
        <v>JOHNNY QUIQUI</v>
      </c>
      <c r="C2221" s="235" t="str">
        <f>IFERROR(__xludf.DUMMYFUNCTION("""COMPUTED_VALUE"""),"SISC")</f>
        <v>SISC</v>
      </c>
      <c r="D2221" s="196" t="str">
        <f>IFERROR(__xludf.DUMMYFUNCTION("""COMPUTED_VALUE"""),"117 GR1 SCHOOL HOUSE
112 GR 2 SRA 
92 GR 3 SRA
104 GR 4 SRA
156 GR 5 SRA
125 GR 6 SRA")</f>
        <v>117 GR1 SCHOOL HOUSE
112 GR 2 SRA 
92 GR 3 SRA
104 GR 4 SRA
156 GR 5 SRA
125 GR 6 SRA</v>
      </c>
      <c r="E2221" s="196" t="str">
        <f>IFERROR(__xludf.DUMMYFUNCTION("""COMPUTED_VALUE"""),"FOR SALE IN STUFFSHOP")</f>
        <v>FOR SALE IN STUFFSHOP</v>
      </c>
    </row>
    <row r="2222">
      <c r="A2222" s="234">
        <f>IFERROR(__xludf.DUMMYFUNCTION("""COMPUTED_VALUE"""),107055.0)</f>
        <v>107055</v>
      </c>
      <c r="B2222" s="235" t="str">
        <f>IFERROR(__xludf.DUMMYFUNCTION("""COMPUTED_VALUE"""),"AISHA CASTRO")</f>
        <v>AISHA CASTRO</v>
      </c>
      <c r="C2222" s="235" t="str">
        <f>IFERROR(__xludf.DUMMYFUNCTION("""COMPUTED_VALUE"""),"ILPO")</f>
        <v>ILPO</v>
      </c>
      <c r="D2222" s="196" t="str">
        <f>IFERROR(__xludf.DUMMYFUNCTION("""COMPUTED_VALUE"""),"2 BXS CALLING CARD")</f>
        <v>2 BXS CALLING CARD</v>
      </c>
      <c r="E2222" s="196" t="str">
        <f>IFERROR(__xludf.DUMMYFUNCTION("""COMPUTED_VALUE"""),"CALLING CARD FOR DR NANCY")</f>
        <v>CALLING CARD FOR DR NANCY</v>
      </c>
    </row>
    <row r="2223">
      <c r="A2223" s="234">
        <f>IFERROR(__xludf.DUMMYFUNCTION("""COMPUTED_VALUE"""),107056.0)</f>
        <v>107056</v>
      </c>
      <c r="B2223" s="235" t="str">
        <f>IFERROR(__xludf.DUMMYFUNCTION("""COMPUTED_VALUE"""),"PATRICIA BELLEZA")</f>
        <v>PATRICIA BELLEZA</v>
      </c>
      <c r="C2223" s="235" t="str">
        <f>IFERROR(__xludf.DUMMYFUNCTION("""COMPUTED_VALUE"""),"STUDENT AFFAIRS BED")</f>
        <v>STUDENT AFFAIRS BED</v>
      </c>
      <c r="D2223" s="196" t="str">
        <f>IFERROR(__xludf.DUMMYFUNCTION("""COMPUTED_VALUE"""),"GRADUATION PICTURES / FRAMES 
77 SENIOR KINDER
100 GRADE6 
206 GRADE 12
38 IB 2")</f>
        <v>GRADUATION PICTURES / FRAMES 
77 SENIOR KINDER
100 GRADE6 
206 GRADE 12
38 IB 2</v>
      </c>
      <c r="E2223" s="196" t="str">
        <f>IFERROR(__xludf.DUMMYFUNCTION("""COMPUTED_VALUE"""),"GRADUATION PICTURES")</f>
        <v>GRADUATION PICTURES</v>
      </c>
    </row>
    <row r="2224">
      <c r="A2224" s="234">
        <f>IFERROR(__xludf.DUMMYFUNCTION("""COMPUTED_VALUE"""),107057.0)</f>
        <v>107057</v>
      </c>
      <c r="B2224" s="235" t="str">
        <f>IFERROR(__xludf.DUMMYFUNCTION("""COMPUTED_VALUE"""),"YSA PANGANIBAN")</f>
        <v>YSA PANGANIBAN</v>
      </c>
      <c r="C2224" s="235" t="str">
        <f>IFERROR(__xludf.DUMMYFUNCTION("""COMPUTED_VALUE"""),"STUDENT AFFAIRS COLLEGE")</f>
        <v>STUDENT AFFAIRS COLLEGE</v>
      </c>
      <c r="D2224" s="196" t="str">
        <f>IFERROR(__xludf.DUMMYFUNCTION("""COMPUTED_VALUE"""),"BATCH 1 OF REQUEST FOR MEDALS")</f>
        <v>BATCH 1 OF REQUEST FOR MEDALS</v>
      </c>
      <c r="E2224" s="196" t="str">
        <f>IFERROR(__xludf.DUMMYFUNCTION("""COMPUTED_VALUE"""),"COLLGE RECOGNITION AND GRADUATION")</f>
        <v>COLLGE RECOGNITION AND GRADUATION</v>
      </c>
    </row>
    <row r="2225">
      <c r="A2225" s="234">
        <f>IFERROR(__xludf.DUMMYFUNCTION("""COMPUTED_VALUE"""),107058.0)</f>
        <v>107058</v>
      </c>
      <c r="B2225" s="235" t="str">
        <f>IFERROR(__xludf.DUMMYFUNCTION("""COMPUTED_VALUE"""),"YSA PANGANIBAN")</f>
        <v>YSA PANGANIBAN</v>
      </c>
      <c r="C2225" s="235" t="str">
        <f>IFERROR(__xludf.DUMMYFUNCTION("""COMPUTED_VALUE"""),"STUDENT AFFAIRS COLLEGE")</f>
        <v>STUDENT AFFAIRS COLLEGE</v>
      </c>
      <c r="D2225" s="196" t="str">
        <f>IFERROR(__xludf.DUMMYFUNCTION("""COMPUTED_VALUE"""),"7 CLOTH FOR THE LAI")</f>
        <v>7 CLOTH FOR THE LAI</v>
      </c>
      <c r="E2225" s="196" t="str">
        <f>IFERROR(__xludf.DUMMYFUNCTION("""COMPUTED_VALUE"""),"COLLEGE GRADUATION")</f>
        <v>COLLEGE GRADUATION</v>
      </c>
    </row>
    <row r="2226">
      <c r="A2226" s="234">
        <f>IFERROR(__xludf.DUMMYFUNCTION("""COMPUTED_VALUE"""),107059.0)</f>
        <v>107059</v>
      </c>
      <c r="B2226" s="235" t="str">
        <f>IFERROR(__xludf.DUMMYFUNCTION("""COMPUTED_VALUE"""),"YSA PANGANIBAN")</f>
        <v>YSA PANGANIBAN</v>
      </c>
      <c r="C2226" s="235" t="str">
        <f>IFERROR(__xludf.DUMMYFUNCTION("""COMPUTED_VALUE"""),"STUDENT AFFAIRS COLLEGE")</f>
        <v>STUDENT AFFAIRS COLLEGE</v>
      </c>
      <c r="D2226" s="196" t="str">
        <f>IFERROR(__xludf.DUMMYFUNCTION("""COMPUTED_VALUE"""),"650 GRAD SOUVENIR PROGRAM
650 GRAD SOUVENIR PROGRAM ENVELOPE
650 GRAD INVITATION
300 RECOGNITION INVITATION
100 NURSING CLINICAL GRAD INVITATION CARD")</f>
        <v>650 GRAD SOUVENIR PROGRAM
650 GRAD SOUVENIR PROGRAM ENVELOPE
650 GRAD INVITATION
300 RECOGNITION INVITATION
100 NURSING CLINICAL GRAD INVITATION CARD</v>
      </c>
      <c r="E2226" s="196" t="str">
        <f>IFERROR(__xludf.DUMMYFUNCTION("""COMPUTED_VALUE"""),"COLLEGE RECOGNITION AND GRADUATION")</f>
        <v>COLLEGE RECOGNITION AND GRADUATION</v>
      </c>
    </row>
    <row r="2227">
      <c r="A2227" s="234">
        <f>IFERROR(__xludf.DUMMYFUNCTION("""COMPUTED_VALUE"""),107060.0)</f>
        <v>107060</v>
      </c>
      <c r="B2227" s="235" t="str">
        <f>IFERROR(__xludf.DUMMYFUNCTION("""COMPUTED_VALUE"""),"RODRIGO CUSTODIO")</f>
        <v>RODRIGO CUSTODIO</v>
      </c>
      <c r="C2227" s="235" t="str">
        <f>IFERROR(__xludf.DUMMYFUNCTION("""COMPUTED_VALUE"""),"AMD")</f>
        <v>AMD</v>
      </c>
      <c r="D2227" s="196" t="str">
        <f>IFERROR(__xludf.DUMMYFUNCTION("""COMPUTED_VALUE"""),"22 GALS DRAIN MAINTAINER AND DEODORIZER STATE D-STROY 1 US GAL")</f>
        <v>22 GALS DRAIN MAINTAINER AND DEODORIZER STATE D-STROY 1 US GAL</v>
      </c>
      <c r="E2227" s="196" t="str">
        <f>IFERROR(__xludf.DUMMYFUNCTION("""COMPUTED_VALUE"""),"HOUSEKEEPING MATERIALS STOCK REPLENISHMENT")</f>
        <v>HOUSEKEEPING MATERIALS STOCK REPLENISHMENT</v>
      </c>
    </row>
    <row r="2228">
      <c r="A2228" s="234">
        <f>IFERROR(__xludf.DUMMYFUNCTION("""COMPUTED_VALUE"""),107061.0)</f>
        <v>107061</v>
      </c>
      <c r="B2228" s="235" t="str">
        <f>IFERROR(__xludf.DUMMYFUNCTION("""COMPUTED_VALUE"""),"RODRIGO CUSTODIO")</f>
        <v>RODRIGO CUSTODIO</v>
      </c>
      <c r="C2228" s="235" t="str">
        <f>IFERROR(__xludf.DUMMYFUNCTION("""COMPUTED_VALUE"""),"AMD")</f>
        <v>AMD</v>
      </c>
      <c r="D2228" s="196" t="str">
        <f>IFERROR(__xludf.DUMMYFUNCTION("""COMPUTED_VALUE"""),"75 PCS ZIM GLASS CLEANER 500ML")</f>
        <v>75 PCS ZIM GLASS CLEANER 500ML</v>
      </c>
      <c r="E2228" s="196" t="str">
        <f>IFERROR(__xludf.DUMMYFUNCTION("""COMPUTED_VALUE"""),"HOUSEKEEPING MATERIALS STOCK REPLENISHMENT")</f>
        <v>HOUSEKEEPING MATERIALS STOCK REPLENISHMENT</v>
      </c>
    </row>
    <row r="2229">
      <c r="A2229" s="234">
        <f>IFERROR(__xludf.DUMMYFUNCTION("""COMPUTED_VALUE"""),107062.0)</f>
        <v>107062</v>
      </c>
      <c r="B2229" s="235" t="str">
        <f>IFERROR(__xludf.DUMMYFUNCTION("""COMPUTED_VALUE"""),"RODRIGO CUSTODIO")</f>
        <v>RODRIGO CUSTODIO</v>
      </c>
      <c r="C2229" s="235" t="str">
        <f>IFERROR(__xludf.DUMMYFUNCTION("""COMPUTED_VALUE"""),"AMD")</f>
        <v>AMD</v>
      </c>
      <c r="D2229" s="196" t="str">
        <f>IFERROR(__xludf.DUMMYFUNCTION("""COMPUTED_VALUE"""),"35 GALS ZONROX BLEACH 1 GALLON 
15 PCS RAIN COAT 1 PC
10 PCS STRIPPER PAD BLACK 3 M")</f>
        <v>35 GALS ZONROX BLEACH 1 GALLON 
15 PCS RAIN COAT 1 PC
10 PCS STRIPPER PAD BLACK 3 M</v>
      </c>
      <c r="E2229" s="196" t="str">
        <f>IFERROR(__xludf.DUMMYFUNCTION("""COMPUTED_VALUE"""),"HOUSEKEEPING MATERIALS STOCK REPLENISHMENT")</f>
        <v>HOUSEKEEPING MATERIALS STOCK REPLENISHMENT</v>
      </c>
    </row>
    <row r="2230">
      <c r="A2230" s="234">
        <f>IFERROR(__xludf.DUMMYFUNCTION("""COMPUTED_VALUE"""),107063.0)</f>
        <v>107063</v>
      </c>
      <c r="B2230" s="235" t="str">
        <f>IFERROR(__xludf.DUMMYFUNCTION("""COMPUTED_VALUE"""),"JEREMIAH TIROL")</f>
        <v>JEREMIAH TIROL</v>
      </c>
      <c r="C2230" s="235" t="str">
        <f>IFERROR(__xludf.DUMMYFUNCTION("""COMPUTED_VALUE"""),"SCIENCE LAB COLLEGE")</f>
        <v>SCIENCE LAB COLLEGE</v>
      </c>
      <c r="D2230" s="196" t="str">
        <f>IFERROR(__xludf.DUMMYFUNCTION("""COMPUTED_VALUE"""),"1 PC 15 LBS OXYGEN TANK FOR REFILL")</f>
        <v>1 PC 15 LBS OXYGEN TANK FOR REFILL</v>
      </c>
      <c r="E2230" s="196" t="str">
        <f>IFERROR(__xludf.DUMMYFUNCTION("""COMPUTED_VALUE"""),"FOR RETDEM NURSING CLASSES")</f>
        <v>FOR RETDEM NURSING CLASSES</v>
      </c>
    </row>
    <row r="2231">
      <c r="A2231" s="234">
        <f>IFERROR(__xludf.DUMMYFUNCTION("""COMPUTED_VALUE"""),107064.0)</f>
        <v>107064</v>
      </c>
      <c r="B2231" s="235" t="str">
        <f>IFERROR(__xludf.DUMMYFUNCTION("""COMPUTED_VALUE"""),"SHEILA MAE MAJAIT")</f>
        <v>SHEILA MAE MAJAIT</v>
      </c>
      <c r="C2231" s="235" t="str">
        <f>IFERROR(__xludf.DUMMYFUNCTION("""COMPUTED_VALUE"""),"PR &amp; MARKETING")</f>
        <v>PR &amp; MARKETING</v>
      </c>
      <c r="D2231" s="196" t="str">
        <f>IFERROR(__xludf.DUMMYFUNCTION("""COMPUTED_VALUE"""),"1 COLLEGE PERIMETER WALL TARP #1
1 COLLEGE PERIMETER WALL TARP #2 
1 COLLEGE PERIMETER WALL TARP #3
1 COLLEGE PERIMETER WALL TARP #4
1 GRADUATE PROGRAMS TARP ")</f>
        <v>1 COLLEGE PERIMETER WALL TARP #1
1 COLLEGE PERIMETER WALL TARP #2 
1 COLLEGE PERIMETER WALL TARP #3
1 COLLEGE PERIMETER WALL TARP #4
1 GRADUATE PROGRAMS TARP </v>
      </c>
      <c r="E2231" s="196" t="str">
        <f>IFERROR(__xludf.DUMMYFUNCTION("""COMPUTED_VALUE"""),"ADVERTISEMENT/ MARKETING")</f>
        <v>ADVERTISEMENT/ MARKETING</v>
      </c>
    </row>
    <row r="2232">
      <c r="A2232" s="234">
        <f>IFERROR(__xludf.DUMMYFUNCTION("""COMPUTED_VALUE"""),107065.0)</f>
        <v>107065</v>
      </c>
      <c r="B2232" s="235" t="str">
        <f>IFERROR(__xludf.DUMMYFUNCTION("""COMPUTED_VALUE"""),"MARC VINCENT VITTO")</f>
        <v>MARC VINCENT VITTO</v>
      </c>
      <c r="C2232" s="235" t="str">
        <f>IFERROR(__xludf.DUMMYFUNCTION("""COMPUTED_VALUE"""),"PR &amp; MARKETING")</f>
        <v>PR &amp; MARKETING</v>
      </c>
      <c r="D2232" s="196" t="str">
        <f>IFERROR(__xludf.DUMMYFUNCTION("""COMPUTED_VALUE"""),"1 CANON 80D BATTERY MODEL LP EGN 7.2 V 1865MAH 14WH")</f>
        <v>1 CANON 80D BATTERY MODEL LP EGN 7.2 V 1865MAH 14WH</v>
      </c>
      <c r="E2232" s="196" t="str">
        <f>IFERROR(__xludf.DUMMYFUNCTION("""COMPUTED_VALUE"""),"FOR EXTRA BATTERY")</f>
        <v>FOR EXTRA BATTERY</v>
      </c>
    </row>
    <row r="2233">
      <c r="A2233" s="234">
        <f>IFERROR(__xludf.DUMMYFUNCTION("""COMPUTED_VALUE"""),107066.0)</f>
        <v>107066</v>
      </c>
      <c r="B2233" s="235" t="str">
        <f>IFERROR(__xludf.DUMMYFUNCTION("""COMPUTED_VALUE"""),"KRISTEL ROSALEJOS")</f>
        <v>KRISTEL ROSALEJOS</v>
      </c>
      <c r="C2233" s="235" t="str">
        <f>IFERROR(__xludf.DUMMYFUNCTION("""COMPUTED_VALUE"""),"COLLEGE DIRECTOR")</f>
        <v>COLLEGE DIRECTOR</v>
      </c>
      <c r="D2233" s="196" t="str">
        <f>IFERROR(__xludf.DUMMYFUNCTION("""COMPUTED_VALUE"""),"2 BOXES CALLING CARD")</f>
        <v>2 BOXES CALLING CARD</v>
      </c>
      <c r="E2233" s="196" t="str">
        <f>IFERROR(__xludf.DUMMYFUNCTION("""COMPUTED_VALUE"""),"DR ASTRID CALLING CARDS")</f>
        <v>DR ASTRID CALLING CARDS</v>
      </c>
    </row>
    <row r="2234">
      <c r="A2234" s="234">
        <f>IFERROR(__xludf.DUMMYFUNCTION("""COMPUTED_VALUE"""),107067.0)</f>
        <v>107067</v>
      </c>
      <c r="B2234" s="235" t="str">
        <f>IFERROR(__xludf.DUMMYFUNCTION("""COMPUTED_VALUE"""),"ANNABEL VASQUEZ")</f>
        <v>ANNABEL VASQUEZ</v>
      </c>
      <c r="C2234" s="235" t="str">
        <f>IFERROR(__xludf.DUMMYFUNCTION("""COMPUTED_VALUE"""),"DISCIPLINE BED")</f>
        <v>DISCIPLINE BED</v>
      </c>
      <c r="D2234" s="196" t="str">
        <f>IFERROR(__xludf.DUMMYFUNCTION("""COMPUTED_VALUE"""),"4 REAMS A4 SPECIAL PAPER 2000 PCS
2000 PCS A4 LAMINATING FIL 
1 LAMINATOR OR LAMINATING MACHINE")</f>
        <v>4 REAMS A4 SPECIAL PAPER 2000 PCS
2000 PCS A4 LAMINATING FIL 
1 LAMINATOR OR LAMINATING MACHINE</v>
      </c>
      <c r="E2234" s="196" t="str">
        <f>IFERROR(__xludf.DUMMYFUNCTION("""COMPUTED_VALUE"""),"MATERIALS FOR PRINTING AND LAMINATING ")</f>
        <v>MATERIALS FOR PRINTING AND LAMINATING </v>
      </c>
    </row>
    <row r="2235">
      <c r="A2235" s="234">
        <f>IFERROR(__xludf.DUMMYFUNCTION("""COMPUTED_VALUE"""),107068.0)</f>
        <v>107068</v>
      </c>
      <c r="B2235" s="235" t="str">
        <f>IFERROR(__xludf.DUMMYFUNCTION("""COMPUTED_VALUE"""),"OWIE PAR")</f>
        <v>OWIE PAR</v>
      </c>
      <c r="C2235" s="235" t="str">
        <f>IFERROR(__xludf.DUMMYFUNCTION("""COMPUTED_VALUE"""),"ENGINEERING")</f>
        <v>ENGINEERING</v>
      </c>
      <c r="D2235" s="196" t="str">
        <f>IFERROR(__xludf.DUMMYFUNCTION("""COMPUTED_VALUE"""),"2 UNITS 3.0 HP PANASONIC CEILING CASSETTE TYPE ")</f>
        <v>2 UNITS 3.0 HP PANASONIC CEILING CASSETTE TYPE </v>
      </c>
      <c r="E2235" s="196" t="str">
        <f>IFERROR(__xludf.DUMMYFUNCTION("""COMPUTED_VALUE"""),"FOR TROPICAL GYM CRS")</f>
        <v>FOR TROPICAL GYM CRS</v>
      </c>
    </row>
    <row r="2236">
      <c r="A2236" s="234">
        <f>IFERROR(__xludf.DUMMYFUNCTION("""COMPUTED_VALUE"""),107069.0)</f>
        <v>107069</v>
      </c>
      <c r="B2236" s="235" t="str">
        <f>IFERROR(__xludf.DUMMYFUNCTION("""COMPUTED_VALUE"""),"OWIE PAR")</f>
        <v>OWIE PAR</v>
      </c>
      <c r="C2236" s="235" t="str">
        <f>IFERROR(__xludf.DUMMYFUNCTION("""COMPUTED_VALUE"""),"ENGINEERING")</f>
        <v>ENGINEERING</v>
      </c>
      <c r="D2236" s="196" t="str">
        <f>IFERROR(__xludf.DUMMYFUNCTION("""COMPUTED_VALUE"""),"4 PAILS AIRCON COIL CLEANER")</f>
        <v>4 PAILS AIRCON COIL CLEANER</v>
      </c>
      <c r="E2236" s="196" t="str">
        <f>IFERROR(__xludf.DUMMYFUNCTION("""COMPUTED_VALUE"""),"ENGR USE")</f>
        <v>ENGR USE</v>
      </c>
    </row>
    <row r="2237">
      <c r="A2237" s="234">
        <f>IFERROR(__xludf.DUMMYFUNCTION("""COMPUTED_VALUE"""),107070.0)</f>
        <v>107070</v>
      </c>
      <c r="B2237" s="235" t="str">
        <f>IFERROR(__xludf.DUMMYFUNCTION("""COMPUTED_VALUE"""),"NESSIE LUMBRES")</f>
        <v>NESSIE LUMBRES</v>
      </c>
      <c r="C2237" s="235" t="str">
        <f>IFERROR(__xludf.DUMMYFUNCTION("""COMPUTED_VALUE"""),"DP'S OFFICE")</f>
        <v>DP'S OFFICE</v>
      </c>
      <c r="D2237" s="196" t="str">
        <f>IFERROR(__xludf.DUMMYFUNCTION("""COMPUTED_VALUE"""),"300 VALUES EXCELLENCE
130 PERFECT ATTENDANCE
368 ACADEMIC EXCELLENCE GOLD
185 ACADEMIC EXCELLENCE SILVER
169 ACADEMIC EXCELLENCE BRONZE")</f>
        <v>300 VALUES EXCELLENCE
130 PERFECT ATTENDANCE
368 ACADEMIC EXCELLENCE GOLD
185 ACADEMIC EXCELLENCE SILVER
169 ACADEMIC EXCELLENCE BRONZE</v>
      </c>
      <c r="E2237" s="196" t="str">
        <f>IFERROR(__xludf.DUMMYFUNCTION("""COMPUTED_VALUE"""),"GR7-11 MEDALS FOR RECOGNITION DAY 2026")</f>
        <v>GR7-11 MEDALS FOR RECOGNITION DAY 2026</v>
      </c>
    </row>
    <row r="2238">
      <c r="A2238" s="234">
        <f>IFERROR(__xludf.DUMMYFUNCTION("""COMPUTED_VALUE"""),107071.0)</f>
        <v>107071</v>
      </c>
      <c r="B2238" s="235" t="str">
        <f>IFERROR(__xludf.DUMMYFUNCTION("""COMPUTED_VALUE"""),"MYRNA RULONA")</f>
        <v>MYRNA RULONA</v>
      </c>
      <c r="C2238" s="235" t="str">
        <f>IFERROR(__xludf.DUMMYFUNCTION("""COMPUTED_VALUE"""),"PRESIDENT'S OFFICE")</f>
        <v>PRESIDENT'S OFFICE</v>
      </c>
      <c r="D2238" s="196" t="str">
        <f>IFERROR(__xludf.DUMMYFUNCTION("""COMPUTED_VALUE"""),"3 STEMS PHALAENOPSIS ORCHID DISH GARDEN FOR GLL,  3 STEMS PHALAENOPSIS ORCHID DISH GARDEN FOR DR. JO")</f>
        <v>3 STEMS PHALAENOPSIS ORCHID DISH GARDEN FOR GLL,  3 STEMS PHALAENOPSIS ORCHID DISH GARDEN FOR DR. JO</v>
      </c>
      <c r="E2238" s="196" t="str">
        <f>IFERROR(__xludf.DUMMYFUNCTION("""COMPUTED_VALUE"""),"BIRTHDAY GIVE FOR DR. GLL")</f>
        <v>BIRTHDAY GIVE FOR DR. GLL</v>
      </c>
    </row>
    <row r="2239">
      <c r="A2239" s="234">
        <f>IFERROR(__xludf.DUMMYFUNCTION("""COMPUTED_VALUE"""),107072.0)</f>
        <v>107072</v>
      </c>
      <c r="B2239" s="235" t="str">
        <f>IFERROR(__xludf.DUMMYFUNCTION("""COMPUTED_VALUE"""),"MELISSA ODOÑO ")</f>
        <v>MELISSA ODOÑO </v>
      </c>
      <c r="C2239" s="235" t="str">
        <f>IFERROR(__xludf.DUMMYFUNCTION("""COMPUTED_VALUE"""),"LIBRARY STAR")</f>
        <v>LIBRARY STAR</v>
      </c>
      <c r="D2239" s="196" t="str">
        <f>IFERROR(__xludf.DUMMYFUNCTION("""COMPUTED_VALUE"""),"1 EACH
Inside Out T Rex					
Inside Out Volcano					
Inside Out Butterfly					
Inside Out Human Body					
Priddy Books Follow Me Fairy Tales					
Priddy Books Pop-up Animals					
My First 100 Words Bible					
Where's Willy's Welly					
Priddy Book"&amp;"s Helpful Heroes					
Baby Shark's Finn-Credible Family					
How to Catch a Dinosaur					
Kids Ask About Dinosaurs					
Unicorn Carriage					
Priddy Books What's that Truck					
My Love, God is Everywhere					")</f>
        <v>1 EACH
Inside Out T Rex					
Inside Out Volcano					
Inside Out Butterfly					
Inside Out Human Body					
Priddy Books Follow Me Fairy Tales					
Priddy Books Pop-up Animals					
My First 100 Words Bible					
Where's Willy's Welly					
Priddy Books Helpful Heroes					
Baby Shark's Finn-Credible Family					
How to Catch a Dinosaur					
Kids Ask About Dinosaurs					
Unicorn Carriage					
Priddy Books What's that Truck					
My Love, God is Everywhere					</v>
      </c>
      <c r="E2239" s="196" t="str">
        <f>IFERROR(__xludf.DUMMYFUNCTION("""COMPUTED_VALUE"""),"LIBRARY'S COPY")</f>
        <v>LIBRARY'S COPY</v>
      </c>
    </row>
    <row r="2240">
      <c r="A2240" s="234">
        <f>IFERROR(__xludf.DUMMYFUNCTION("""COMPUTED_VALUE"""),107073.0)</f>
        <v>107073</v>
      </c>
      <c r="B2240" s="235" t="str">
        <f>IFERROR(__xludf.DUMMYFUNCTION("""COMPUTED_VALUE"""),"MARK PABUSTAN")</f>
        <v>MARK PABUSTAN</v>
      </c>
      <c r="C2240" s="235" t="str">
        <f>IFERROR(__xludf.DUMMYFUNCTION("""COMPUTED_VALUE"""),"ROBOTICS")</f>
        <v>ROBOTICS</v>
      </c>
      <c r="D2240" s="196" t="str">
        <f>IFERROR(__xludf.DUMMYFUNCTION("""COMPUTED_VALUE"""),"1 CRICUT CUTTING MACHINE 
1 MINIHEAT PRESS MACHINE
1 HEAT GUN 300W
1 CUTTING MAT 60X90 CM")</f>
        <v>1 CRICUT CUTTING MACHINE 
1 MINIHEAT PRESS MACHINE
1 HEAT GUN 300W
1 CUTTING MAT 60X90 CM</v>
      </c>
      <c r="E2240" s="196" t="str">
        <f>IFERROR(__xludf.DUMMYFUNCTION("""COMPUTED_VALUE"""),"ADDITIONAL EQUIPMENT  FOR AI ICT LABS AND ROBOTICS")</f>
        <v>ADDITIONAL EQUIPMENT  FOR AI ICT LABS AND ROBOTICS</v>
      </c>
    </row>
    <row r="2241">
      <c r="A2241" s="234">
        <f>IFERROR(__xludf.DUMMYFUNCTION("""COMPUTED_VALUE"""),107074.0)</f>
        <v>107074</v>
      </c>
      <c r="B2241" s="235" t="str">
        <f>IFERROR(__xludf.DUMMYFUNCTION("""COMPUTED_VALUE"""),"SHEREE ESPINOSA")</f>
        <v>SHEREE ESPINOSA</v>
      </c>
      <c r="C2241" s="235" t="str">
        <f>IFERROR(__xludf.DUMMYFUNCTION("""COMPUTED_VALUE"""),"ADMIN")</f>
        <v>ADMIN</v>
      </c>
      <c r="D2241" s="196" t="str">
        <f>IFERROR(__xludf.DUMMYFUNCTION("""COMPUTED_VALUE"""),"4 PCS 3 SEATER BENCH COLOR BEIGE / BROWN")</f>
        <v>4 PCS 3 SEATER BENCH COLOR BEIGE / BROWN</v>
      </c>
      <c r="E2241" s="196" t="str">
        <f>IFERROR(__xludf.DUMMYFUNCTION("""COMPUTED_VALUE"""),"ADDITIONAL CHAIRS FOR FINANCE/ACCTNG OFFICE")</f>
        <v>ADDITIONAL CHAIRS FOR FINANCE/ACCTNG OFFICE</v>
      </c>
    </row>
    <row r="2242">
      <c r="A2242" s="234">
        <f>IFERROR(__xludf.DUMMYFUNCTION("""COMPUTED_VALUE"""),107075.0)</f>
        <v>107075</v>
      </c>
      <c r="B2242" s="235" t="str">
        <f>IFERROR(__xludf.DUMMYFUNCTION("""COMPUTED_VALUE"""),"SHEREE ESPINOSA")</f>
        <v>SHEREE ESPINOSA</v>
      </c>
      <c r="C2242" s="235" t="str">
        <f>IFERROR(__xludf.DUMMYFUNCTION("""COMPUTED_VALUE"""),"ADMIN")</f>
        <v>ADMIN</v>
      </c>
      <c r="D2242" s="196" t="str">
        <f>IFERROR(__xludf.DUMMYFUNCTION("""COMPUTED_VALUE"""),"2 PCS WASHING MACHINE ")</f>
        <v>2 PCS WASHING MACHINE </v>
      </c>
      <c r="E2242" s="196" t="str">
        <f>IFERROR(__xludf.DUMMYFUNCTION("""COMPUTED_VALUE"""),"REPLACEMENT OF DEFECTIVE WASHING MACHINE")</f>
        <v>REPLACEMENT OF DEFECTIVE WASHING MACHINE</v>
      </c>
    </row>
    <row r="2243">
      <c r="A2243" s="234">
        <f>IFERROR(__xludf.DUMMYFUNCTION("""COMPUTED_VALUE"""),107076.0)</f>
        <v>107076</v>
      </c>
      <c r="B2243" s="235" t="str">
        <f>IFERROR(__xludf.DUMMYFUNCTION("""COMPUTED_VALUE"""),"SHEREE ESPINOSA")</f>
        <v>SHEREE ESPINOSA</v>
      </c>
      <c r="C2243" s="235" t="str">
        <f>IFERROR(__xludf.DUMMYFUNCTION("""COMPUTED_VALUE"""),"ADMIN")</f>
        <v>ADMIN</v>
      </c>
      <c r="D2243" s="196" t="str">
        <f>IFERROR(__xludf.DUMMYFUNCTION("""COMPUTED_VALUE"""),"10 HAND HELD RADIO")</f>
        <v>10 HAND HELD RADIO</v>
      </c>
      <c r="E2243" s="196" t="str">
        <f>IFERROR(__xludf.DUMMYFUNCTION("""COMPUTED_VALUE"""),"DEFECTIVE UNITS OF RADIO FOR REPLACEMENT")</f>
        <v>DEFECTIVE UNITS OF RADIO FOR REPLACEMENT</v>
      </c>
    </row>
    <row r="2244">
      <c r="A2244" s="234">
        <f>IFERROR(__xludf.DUMMYFUNCTION("""COMPUTED_VALUE"""),107077.0)</f>
        <v>107077</v>
      </c>
      <c r="B2244" s="235" t="str">
        <f>IFERROR(__xludf.DUMMYFUNCTION("""COMPUTED_VALUE"""),"SHEREE ESPINOSA")</f>
        <v>SHEREE ESPINOSA</v>
      </c>
      <c r="C2244" s="235" t="str">
        <f>IFERROR(__xludf.DUMMYFUNCTION("""COMPUTED_VALUE"""),"ADMIN")</f>
        <v>ADMIN</v>
      </c>
      <c r="D2244" s="196" t="str">
        <f>IFERROR(__xludf.DUMMYFUNCTION("""COMPUTED_VALUE"""),"10 SETS STANCHIONS")</f>
        <v>10 SETS STANCHIONS</v>
      </c>
      <c r="E2244" s="196" t="str">
        <f>IFERROR(__xludf.DUMMYFUNCTION("""COMPUTED_VALUE"""),"FOR RECOGNITION, GRADUATION AND OTHER EVENTS")</f>
        <v>FOR RECOGNITION, GRADUATION AND OTHER EVENTS</v>
      </c>
    </row>
    <row r="2245">
      <c r="A2245" s="234">
        <f>IFERROR(__xludf.DUMMYFUNCTION("""COMPUTED_VALUE"""),107078.0)</f>
        <v>107078</v>
      </c>
      <c r="B2245" s="235" t="str">
        <f>IFERROR(__xludf.DUMMYFUNCTION("""COMPUTED_VALUE"""),"JORDAN JORDAN")</f>
        <v>JORDAN JORDAN</v>
      </c>
      <c r="C2245" s="235" t="str">
        <f>IFERROR(__xludf.DUMMYFUNCTION("""COMPUTED_VALUE"""),"ADMIN")</f>
        <v>ADMIN</v>
      </c>
      <c r="D2245" s="196" t="str">
        <f>IFERROR(__xludf.DUMMYFUNCTION("""COMPUTED_VALUE"""),"12 PCS LED PANEL LIGHT 60X60 40WATTS  60HZ DAYLIGHT ALPHALUX ")</f>
        <v>12 PCS LED PANEL LIGHT 60X60 40WATTS  60HZ DAYLIGHT ALPHALUX </v>
      </c>
      <c r="E2245" s="196" t="str">
        <f>IFERROR(__xludf.DUMMYFUNCTION("""COMPUTED_VALUE"""),"ADDITIONAL LED PANEL FOR CLASSROOM 201-206")</f>
        <v>ADDITIONAL LED PANEL FOR CLASSROOM 201-206</v>
      </c>
    </row>
    <row r="2246">
      <c r="A2246" s="234">
        <f>IFERROR(__xludf.DUMMYFUNCTION("""COMPUTED_VALUE"""),107079.0)</f>
        <v>107079</v>
      </c>
      <c r="B2246" s="235" t="str">
        <f>IFERROR(__xludf.DUMMYFUNCTION("""COMPUTED_VALUE"""),"RONALDO VERDE")</f>
        <v>RONALDO VERDE</v>
      </c>
      <c r="C2246" s="235" t="str">
        <f>IFERROR(__xludf.DUMMYFUNCTION("""COMPUTED_VALUE"""),"ADMIN")</f>
        <v>ADMIN</v>
      </c>
      <c r="D2246" s="196" t="str">
        <f>IFERROR(__xludf.DUMMYFUNCTION("""COMPUTED_VALUE"""),"350 PCS ACOUSTIC BOARD 2X4 FINE FISSURED ")</f>
        <v>350 PCS ACOUSTIC BOARD 2X4 FINE FISSURED </v>
      </c>
      <c r="E2246" s="196" t="str">
        <f>IFERROR(__xludf.DUMMYFUNCTION("""COMPUTED_VALUE"""),"FOR L-SHAPE LUX AND COLLEGE BLDG")</f>
        <v>FOR L-SHAPE LUX AND COLLEGE BLDG</v>
      </c>
    </row>
    <row r="2247">
      <c r="A2247" s="234">
        <f>IFERROR(__xludf.DUMMYFUNCTION("""COMPUTED_VALUE"""),107080.0)</f>
        <v>107080</v>
      </c>
      <c r="B2247" s="235" t="str">
        <f>IFERROR(__xludf.DUMMYFUNCTION("""COMPUTED_VALUE"""),"JERICHO MEDINA")</f>
        <v>JERICHO MEDINA</v>
      </c>
      <c r="C2247" s="235" t="str">
        <f>IFERROR(__xludf.DUMMYFUNCTION("""COMPUTED_VALUE"""),"STUDENT AFFAIRS BED")</f>
        <v>STUDENT AFFAIRS BED</v>
      </c>
      <c r="D2247" s="196" t="str">
        <f>IFERROR(__xludf.DUMMYFUNCTION("""COMPUTED_VALUE"""),"2 OFFICE CHAIRS")</f>
        <v>2 OFFICE CHAIRS</v>
      </c>
      <c r="E2247" s="196" t="str">
        <f>IFERROR(__xludf.DUMMYFUNCTION("""COMPUTED_VALUE"""),"THE EXISTING OFFICE CHAIR NO LONGER PROVIDE ERGONOMIC SUPPORT")</f>
        <v>THE EXISTING OFFICE CHAIR NO LONGER PROVIDE ERGONOMIC SUPPORT</v>
      </c>
    </row>
    <row r="2248">
      <c r="A2248" s="234">
        <f>IFERROR(__xludf.DUMMYFUNCTION("""COMPUTED_VALUE"""),107081.0)</f>
        <v>107081</v>
      </c>
      <c r="B2248" s="235" t="str">
        <f>IFERROR(__xludf.DUMMYFUNCTION("""COMPUTED_VALUE"""),"RODRIGO CUSTODIO")</f>
        <v>RODRIGO CUSTODIO</v>
      </c>
      <c r="C2248" s="235" t="str">
        <f>IFERROR(__xludf.DUMMYFUNCTION("""COMPUTED_VALUE"""),"AMD")</f>
        <v>AMD</v>
      </c>
      <c r="D2248" s="196" t="str">
        <f>IFERROR(__xludf.DUMMYFUNCTION("""COMPUTED_VALUE"""),"50 PCS FALCON WATERLESS URINAL CARTRIDGE")</f>
        <v>50 PCS FALCON WATERLESS URINAL CARTRIDGE</v>
      </c>
      <c r="E2248" s="196" t="str">
        <f>IFERROR(__xludf.DUMMYFUNCTION("""COMPUTED_VALUE"""),"HOUSEKEEPING MATERIALS STOCK REPLENISHMENT")</f>
        <v>HOUSEKEEPING MATERIALS STOCK REPLENISHMENT</v>
      </c>
    </row>
    <row r="2249">
      <c r="A2249" s="234">
        <f>IFERROR(__xludf.DUMMYFUNCTION("""COMPUTED_VALUE"""),107082.0)</f>
        <v>107082</v>
      </c>
      <c r="B2249" s="235" t="str">
        <f>IFERROR(__xludf.DUMMYFUNCTION("""COMPUTED_VALUE"""),"RODRIGO CUSTODIO")</f>
        <v>RODRIGO CUSTODIO</v>
      </c>
      <c r="C2249" s="235" t="str">
        <f>IFERROR(__xludf.DUMMYFUNCTION("""COMPUTED_VALUE"""),"AMD")</f>
        <v>AMD</v>
      </c>
      <c r="D2249" s="196" t="str">
        <f>IFERROR(__xludf.DUMMYFUNCTION("""COMPUTED_VALUE"""),"30 GALS ODOR MASCANT WISE CHOICE PLEASANT AEROSENSE")</f>
        <v>30 GALS ODOR MASCANT WISE CHOICE PLEASANT AEROSENSE</v>
      </c>
      <c r="E2249" s="196" t="str">
        <f>IFERROR(__xludf.DUMMYFUNCTION("""COMPUTED_VALUE"""),"HOUSEKEEPING MATERIALS STOCK REPLENISHMENT")</f>
        <v>HOUSEKEEPING MATERIALS STOCK REPLENISHMENT</v>
      </c>
    </row>
    <row r="2250">
      <c r="A2250" s="234">
        <f>IFERROR(__xludf.DUMMYFUNCTION("""COMPUTED_VALUE"""),107083.0)</f>
        <v>107083</v>
      </c>
      <c r="B2250" s="235" t="str">
        <f>IFERROR(__xludf.DUMMYFUNCTION("""COMPUTED_VALUE"""),"LYKA PERALTA")</f>
        <v>LYKA PERALTA</v>
      </c>
      <c r="C2250" s="235" t="str">
        <f>IFERROR(__xludf.DUMMYFUNCTION("""COMPUTED_VALUE"""),"AMD")</f>
        <v>AMD</v>
      </c>
      <c r="D2250" s="196" t="str">
        <f>IFERROR(__xludf.DUMMYFUNCTION("""COMPUTED_VALUE"""),"200 PCS UNIVERSAL ADAPTOR AC MAX6A 250VAC USB MAX2.1A 5VDC WITH SISC PRINT STICKER")</f>
        <v>200 PCS UNIVERSAL ADAPTOR AC MAX6A 250VAC USB MAX2.1A 5VDC WITH SISC PRINT STICKER</v>
      </c>
      <c r="E2250" s="196" t="str">
        <f>IFERROR(__xludf.DUMMYFUNCTION("""COMPUTED_VALUE"""),"TOKEN REPLENISHMENT")</f>
        <v>TOKEN REPLENISHMENT</v>
      </c>
    </row>
    <row r="2251">
      <c r="A2251" s="234">
        <f>IFERROR(__xludf.DUMMYFUNCTION("""COMPUTED_VALUE"""),107084.0)</f>
        <v>107084</v>
      </c>
      <c r="B2251" s="235" t="str">
        <f>IFERROR(__xludf.DUMMYFUNCTION("""COMPUTED_VALUE"""),"JEVY TIMBANGAN ")</f>
        <v>JEVY TIMBANGAN </v>
      </c>
      <c r="C2251" s="235" t="str">
        <f>IFERROR(__xludf.DUMMYFUNCTION("""COMPUTED_VALUE"""),"HRMD")</f>
        <v>HRMD</v>
      </c>
      <c r="D2251" s="196" t="str">
        <f>IFERROR(__xludf.DUMMYFUNCTION("""COMPUTED_VALUE"""),"FLOWER WREATH - FOR MR. EDUARDO PARAS ( FATHER OF SIR ANGELO PARAS) ")</f>
        <v>FLOWER WREATH - FOR MR. EDUARDO PARAS ( FATHER OF SIR ANGELO PARAS) </v>
      </c>
      <c r="E2251" s="196" t="str">
        <f>IFERROR(__xludf.DUMMYFUNCTION("""COMPUTED_VALUE"""),"BEREAVEMENT ASSISTANCE - EMLOYEE CARE")</f>
        <v>BEREAVEMENT ASSISTANCE - EMLOYEE CARE</v>
      </c>
    </row>
    <row r="2252">
      <c r="A2252" s="234">
        <f>IFERROR(__xludf.DUMMYFUNCTION("""COMPUTED_VALUE"""),107085.0)</f>
        <v>107085</v>
      </c>
      <c r="B2252" s="235" t="str">
        <f>IFERROR(__xludf.DUMMYFUNCTION("""COMPUTED_VALUE"""),"OWE PAR")</f>
        <v>OWE PAR</v>
      </c>
      <c r="C2252" s="235" t="str">
        <f>IFERROR(__xludf.DUMMYFUNCTION("""COMPUTED_VALUE"""),"ENGINEERING")</f>
        <v>ENGINEERING</v>
      </c>
      <c r="D2252" s="196" t="str">
        <f>IFERROR(__xludf.DUMMYFUNCTION("""COMPUTED_VALUE"""),"1 FORMICA WHITE, 1 GAL RUGBY CEMENT ")</f>
        <v>1 FORMICA WHITE, 1 GAL RUGBY CEMENT </v>
      </c>
      <c r="E2252" s="196" t="str">
        <f>IFERROR(__xludf.DUMMYFUNCTION("""COMPUTED_VALUE"""),"FOR COLLEGE REPAIR OF PODIUM")</f>
        <v>FOR COLLEGE REPAIR OF PODIUM</v>
      </c>
    </row>
    <row r="2253">
      <c r="A2253" s="234">
        <f>IFERROR(__xludf.DUMMYFUNCTION("""COMPUTED_VALUE"""),107086.0)</f>
        <v>107086</v>
      </c>
      <c r="B2253" s="235" t="str">
        <f>IFERROR(__xludf.DUMMYFUNCTION("""COMPUTED_VALUE"""),"OWE PAR")</f>
        <v>OWE PAR</v>
      </c>
      <c r="C2253" s="235" t="str">
        <f>IFERROR(__xludf.DUMMYFUNCTION("""COMPUTED_VALUE"""),"ENGINEERING")</f>
        <v>ENGINEERING</v>
      </c>
      <c r="D2253" s="196" t="str">
        <f>IFERROR(__xludf.DUMMYFUNCTION("""COMPUTED_VALUE"""),"1 UNIT ORBIT FAN STANDARD")</f>
        <v>1 UNIT ORBIT FAN STANDARD</v>
      </c>
      <c r="E2253" s="196" t="str">
        <f>IFERROR(__xludf.DUMMYFUNCTION("""COMPUTED_VALUE"""),"REPLACEMENT FOR CHEMICAL STORAGE COLLEGE LAB")</f>
        <v>REPLACEMENT FOR CHEMICAL STORAGE COLLEGE LAB</v>
      </c>
    </row>
    <row r="2254">
      <c r="A2254" s="234">
        <f>IFERROR(__xludf.DUMMYFUNCTION("""COMPUTED_VALUE"""),107087.0)</f>
        <v>107087</v>
      </c>
      <c r="B2254" s="235" t="str">
        <f>IFERROR(__xludf.DUMMYFUNCTION("""COMPUTED_VALUE"""),"JOHNNY QUIQUI")</f>
        <v>JOHNNY QUIQUI</v>
      </c>
      <c r="C2254" s="235" t="str">
        <f>IFERROR(__xludf.DUMMYFUNCTION("""COMPUTED_VALUE"""),"STUFFSHOP")</f>
        <v>STUFFSHOP</v>
      </c>
      <c r="D2254" s="196" t="str">
        <f>IFERROR(__xludf.DUMMYFUNCTION("""COMPUTED_VALUE"""),"158 PCS. EQ-ACT 11 ONE BIG LEAP
162 pcs. EQ- ACT 12 SOARING HIGH")</f>
        <v>158 PCS. EQ-ACT 11 ONE BIG LEAP
162 pcs. EQ- ACT 12 SOARING HIGH</v>
      </c>
      <c r="E2254" s="196" t="str">
        <f>IFERROR(__xludf.DUMMYFUNCTION("""COMPUTED_VALUE"""),"FOR SALE IN STUFFSHOP  AND FOR ONE STOP SHOP ENROLMENT")</f>
        <v>FOR SALE IN STUFFSHOP  AND FOR ONE STOP SHOP ENROLMENT</v>
      </c>
    </row>
    <row r="2255">
      <c r="A2255" s="234">
        <f>IFERROR(__xludf.DUMMYFUNCTION("""COMPUTED_VALUE"""),107088.0)</f>
        <v>107088</v>
      </c>
      <c r="B2255" s="235" t="str">
        <f>IFERROR(__xludf.DUMMYFUNCTION("""COMPUTED_VALUE"""),"FATIMA MAY A. JANDOC")</f>
        <v>FATIMA MAY A. JANDOC</v>
      </c>
      <c r="C2255" s="235" t="str">
        <f>IFERROR(__xludf.DUMMYFUNCTION("""COMPUTED_VALUE"""),"LIBRARY COLLEGE")</f>
        <v>LIBRARY COLLEGE</v>
      </c>
      <c r="D2255" s="196" t="str">
        <f>IFERROR(__xludf.DUMMYFUNCTION("""COMPUTED_VALUE"""),"1 PC. OWNERSHIP STAMP TRODAT, 1 PC. ACCESSION NUMBER STAMP TRODAT 1 PC. ")</f>
        <v>1 PC. OWNERSHIP STAMP TRODAT, 1 PC. ACCESSION NUMBER STAMP TRODAT 1 PC. </v>
      </c>
      <c r="E2255" s="196" t="str">
        <f>IFERROR(__xludf.DUMMYFUNCTION("""COMPUTED_VALUE"""),"FOR PROCESSING AND CATALOGINGOF NEWLY ACQUIRED BOOKS")</f>
        <v>FOR PROCESSING AND CATALOGINGOF NEWLY ACQUIRED BOOKS</v>
      </c>
    </row>
    <row r="2256">
      <c r="A2256" s="234">
        <f>IFERROR(__xludf.DUMMYFUNCTION("""COMPUTED_VALUE"""),107089.0)</f>
        <v>107089</v>
      </c>
      <c r="B2256" s="235" t="str">
        <f>IFERROR(__xludf.DUMMYFUNCTION("""COMPUTED_VALUE"""),"MARVIN MARASIGAN")</f>
        <v>MARVIN MARASIGAN</v>
      </c>
      <c r="C2256" s="235" t="str">
        <f>IFERROR(__xludf.DUMMYFUNCTION("""COMPUTED_VALUE"""),"PR &amp; MARKETING")</f>
        <v>PR &amp; MARKETING</v>
      </c>
      <c r="D2256" s="196" t="str">
        <f>IFERROR(__xludf.DUMMYFUNCTION("""COMPUTED_VALUE"""),"120 SGEN MEDALOF EXCELLENCE GOLD 
50 SGEN MEDALOF EXCELLENCE SILVER
50 SGEN MEDALOF EXCELLENCE BRONZE")</f>
        <v>120 SGEN MEDALOF EXCELLENCE GOLD 
50 SGEN MEDALOF EXCELLENCE SILVER
50 SGEN MEDALOF EXCELLENCE BRONZE</v>
      </c>
      <c r="E2256" s="196" t="str">
        <f>IFERROR(__xludf.DUMMYFUNCTION("""COMPUTED_VALUE"""),"SGEN MEDAL OF EXCELLENCE")</f>
        <v>SGEN MEDAL OF EXCELLENCE</v>
      </c>
    </row>
    <row r="2257">
      <c r="A2257" s="234">
        <f>IFERROR(__xludf.DUMMYFUNCTION("""COMPUTED_VALUE"""),107090.0)</f>
        <v>107090</v>
      </c>
      <c r="B2257" s="235" t="str">
        <f>IFERROR(__xludf.DUMMYFUNCTION("""COMPUTED_VALUE"""),"MARC VINCENT VITTO")</f>
        <v>MARC VINCENT VITTO</v>
      </c>
      <c r="C2257" s="235" t="str">
        <f>IFERROR(__xludf.DUMMYFUNCTION("""COMPUTED_VALUE"""),"PR &amp; MARKETING")</f>
        <v>PR &amp; MARKETING</v>
      </c>
      <c r="D2257" s="196" t="str">
        <f>IFERROR(__xludf.DUMMYFUNCTION("""COMPUTED_VALUE"""),"1 SISC BACKDROP")</f>
        <v>1 SISC BACKDROP</v>
      </c>
      <c r="E2257" s="196" t="str">
        <f>IFERROR(__xludf.DUMMYFUNCTION("""COMPUTED_VALUE"""),"MARKETING")</f>
        <v>MARKETING</v>
      </c>
    </row>
    <row r="2258">
      <c r="A2258" s="234">
        <f>IFERROR(__xludf.DUMMYFUNCTION("""COMPUTED_VALUE"""),107091.0)</f>
        <v>107091</v>
      </c>
      <c r="B2258" s="235" t="str">
        <f>IFERROR(__xludf.DUMMYFUNCTION("""COMPUTED_VALUE"""),"CARLITO DELA VEGA")</f>
        <v>CARLITO DELA VEGA</v>
      </c>
      <c r="C2258" s="235" t="str">
        <f>IFERROR(__xludf.DUMMYFUNCTION("""COMPUTED_VALUE"""),"SECURITY")</f>
        <v>SECURITY</v>
      </c>
      <c r="D2258" s="196" t="str">
        <f>IFERROR(__xludf.DUMMYFUNCTION("""COMPUTED_VALUE"""),"15 ENTRY ALARM HOME SAFE MAGNETIC SWITCH
36 BATTERY CELL LR44")</f>
        <v>15 ENTRY ALARM HOME SAFE MAGNETIC SWITCH
36 BATTERY CELL LR44</v>
      </c>
      <c r="E2258" s="196" t="str">
        <f>IFERROR(__xludf.DUMMYFUNCTION("""COMPUTED_VALUE"""),"ALL CAMPUS EMERGENCY EXIT DOOR")</f>
        <v>ALL CAMPUS EMERGENCY EXIT DOOR</v>
      </c>
    </row>
    <row r="2259">
      <c r="A2259" s="234">
        <f>IFERROR(__xludf.DUMMYFUNCTION("""COMPUTED_VALUE"""),107092.0)</f>
        <v>107092</v>
      </c>
      <c r="B2259" s="235" t="str">
        <f>IFERROR(__xludf.DUMMYFUNCTION("""COMPUTED_VALUE"""),"RODRIGO CUSTODIO")</f>
        <v>RODRIGO CUSTODIO</v>
      </c>
      <c r="C2259" s="235" t="str">
        <f>IFERROR(__xludf.DUMMYFUNCTION("""COMPUTED_VALUE"""),"AMD")</f>
        <v>AMD</v>
      </c>
      <c r="D2259" s="196" t="str">
        <f>IFERROR(__xludf.DUMMYFUNCTION("""COMPUTED_VALUE"""),"20 BOTTLES HIGIENECO PREMIUM ODOR COUNTERACTANT ANTIBACTERIAL SPRAY LAVENDER SCENT")</f>
        <v>20 BOTTLES HIGIENECO PREMIUM ODOR COUNTERACTANT ANTIBACTERIAL SPRAY LAVENDER SCENT</v>
      </c>
      <c r="E2259" s="196" t="str">
        <f>IFERROR(__xludf.DUMMYFUNCTION("""COMPUTED_VALUE"""),"HOUSEKEEPING MATERIALS STOCK REPLENISHMENT")</f>
        <v>HOUSEKEEPING MATERIALS STOCK REPLENISHMENT</v>
      </c>
    </row>
    <row r="2260">
      <c r="A2260" s="234">
        <f>IFERROR(__xludf.DUMMYFUNCTION("""COMPUTED_VALUE"""),107093.0)</f>
        <v>107093</v>
      </c>
      <c r="B2260" s="235" t="str">
        <f>IFERROR(__xludf.DUMMYFUNCTION("""COMPUTED_VALUE"""),"MARC VINCENT VITTO")</f>
        <v>MARC VINCENT VITTO</v>
      </c>
      <c r="C2260" s="235" t="str">
        <f>IFERROR(__xludf.DUMMYFUNCTION("""COMPUTED_VALUE"""),"PR &amp; MARKETING")</f>
        <v>PR &amp; MARKETING</v>
      </c>
      <c r="D2260" s="196" t="str">
        <f>IFERROR(__xludf.DUMMYFUNCTION("""COMPUTED_VALUE"""),"1 WINDING TRAILS TARP 187 X 78 IN 18 OZ")</f>
        <v>1 WINDING TRAILS TARP 187 X 78 IN 18 OZ</v>
      </c>
      <c r="E2260" s="196" t="str">
        <f>IFERROR(__xludf.DUMMYFUNCTION("""COMPUTED_VALUE"""),"EVENT PROMOTION")</f>
        <v>EVENT PROMOTION</v>
      </c>
    </row>
    <row r="2261">
      <c r="A2261" s="234">
        <f>IFERROR(__xludf.DUMMYFUNCTION("""COMPUTED_VALUE"""),107094.0)</f>
        <v>107094</v>
      </c>
      <c r="B2261" s="235" t="str">
        <f>IFERROR(__xludf.DUMMYFUNCTION("""COMPUTED_VALUE"""),"CARLITO DELA VEGA")</f>
        <v>CARLITO DELA VEGA</v>
      </c>
      <c r="C2261" s="235" t="str">
        <f>IFERROR(__xludf.DUMMYFUNCTION("""COMPUTED_VALUE"""),"ADMIN")</f>
        <v>ADMIN</v>
      </c>
      <c r="D2261" s="196" t="str">
        <f>IFERROR(__xludf.DUMMYFUNCTION("""COMPUTED_VALUE"""),"16 PCS IMOU 5MP WIFI CAMERA 2.8MM 1PC K3DN 5HOWF
16 PCS IMOU 256 GB SDCARD CLASS 10")</f>
        <v>16 PCS IMOU 5MP WIFI CAMERA 2.8MM 1PC K3DN 5HOWF
16 PCS IMOU 256 GB SDCARD CLASS 10</v>
      </c>
      <c r="E2261" s="196" t="str">
        <f>IFERROR(__xludf.DUMMYFUNCTION("""COMPUTED_VALUE"""),"FOR LEARNING VILLAGE CAMERA UPGRADE")</f>
        <v>FOR LEARNING VILLAGE CAMERA UPGRADE</v>
      </c>
    </row>
    <row r="2262">
      <c r="A2262" s="234">
        <f>IFERROR(__xludf.DUMMYFUNCTION("""COMPUTED_VALUE"""),107095.0)</f>
        <v>107095</v>
      </c>
      <c r="B2262" s="235" t="str">
        <f>IFERROR(__xludf.DUMMYFUNCTION("""COMPUTED_VALUE"""),"CARLITO DELA VEGA")</f>
        <v>CARLITO DELA VEGA</v>
      </c>
      <c r="C2262" s="235" t="str">
        <f>IFERROR(__xludf.DUMMYFUNCTION("""COMPUTED_VALUE"""),"SECURITY")</f>
        <v>SECURITY</v>
      </c>
      <c r="D2262" s="196" t="str">
        <f>IFERROR(__xludf.DUMMYFUNCTION("""COMPUTED_VALUE"""),"72 PCS BIG UMBRELLA ")</f>
        <v>72 PCS BIG UMBRELLA </v>
      </c>
      <c r="E2262" s="196" t="str">
        <f>IFERROR(__xludf.DUMMYFUNCTION("""COMPUTED_VALUE"""),"SY 26-27 USE FOR GATES")</f>
        <v>SY 26-27 USE FOR GATES</v>
      </c>
    </row>
    <row r="2263">
      <c r="A2263" s="234">
        <f>IFERROR(__xludf.DUMMYFUNCTION("""COMPUTED_VALUE"""),107096.0)</f>
        <v>107096</v>
      </c>
      <c r="B2263" s="235" t="str">
        <f>IFERROR(__xludf.DUMMYFUNCTION("""COMPUTED_VALUE"""),"JOHN JERICHO VENUS")</f>
        <v>JOHN JERICHO VENUS</v>
      </c>
      <c r="C2263" s="235" t="str">
        <f>IFERROR(__xludf.DUMMYFUNCTION("""COMPUTED_VALUE"""),"ADMIN")</f>
        <v>ADMIN</v>
      </c>
      <c r="D2263" s="196" t="str">
        <f>IFERROR(__xludf.DUMMYFUNCTION("""COMPUTED_VALUE"""),"1 22 FT W X 9FT H TARP")</f>
        <v>1 22 FT W X 9FT H TARP</v>
      </c>
      <c r="E2263" s="196" t="str">
        <f>IFERROR(__xludf.DUMMYFUNCTION("""COMPUTED_VALUE"""),"TO COVER BOARD UP AT WALKWAY OF LUX")</f>
        <v>TO COVER BOARD UP AT WALKWAY OF LUX</v>
      </c>
    </row>
    <row r="2264">
      <c r="A2264" s="234">
        <f>IFERROR(__xludf.DUMMYFUNCTION("""COMPUTED_VALUE"""),107097.0)</f>
        <v>107097</v>
      </c>
      <c r="B2264" s="235" t="str">
        <f>IFERROR(__xludf.DUMMYFUNCTION("""COMPUTED_VALUE"""),"MARK M. PABUSTAN")</f>
        <v>MARK M. PABUSTAN</v>
      </c>
      <c r="C2264" s="235" t="str">
        <f>IFERROR(__xludf.DUMMYFUNCTION("""COMPUTED_VALUE"""),"ROBOTICS")</f>
        <v>ROBOTICS</v>
      </c>
      <c r="D2264" s="196" t="str">
        <f>IFERROR(__xludf.DUMMYFUNCTION("""COMPUTED_VALUE"""),"6 TABLES WHITE")</f>
        <v>6 TABLES WHITE</v>
      </c>
      <c r="E2264" s="196" t="str">
        <f>IFERROR(__xludf.DUMMYFUNCTION("""COMPUTED_VALUE"""),"FOR 212 LSHAPE CHROMELAB LUX")</f>
        <v>FOR 212 LSHAPE CHROMELAB LUX</v>
      </c>
    </row>
    <row r="2265">
      <c r="A2265" s="234">
        <f>IFERROR(__xludf.DUMMYFUNCTION("""COMPUTED_VALUE"""),107098.0)</f>
        <v>107098</v>
      </c>
      <c r="B2265" s="235" t="str">
        <f>IFERROR(__xludf.DUMMYFUNCTION("""COMPUTED_VALUE"""),"MARK M. PABUSTAN")</f>
        <v>MARK M. PABUSTAN</v>
      </c>
      <c r="C2265" s="235" t="str">
        <f>IFERROR(__xludf.DUMMYFUNCTION("""COMPUTED_VALUE"""),"ROBOTICS")</f>
        <v>ROBOTICS</v>
      </c>
      <c r="D2265" s="196" t="str">
        <f>IFERROR(__xludf.DUMMYFUNCTION("""COMPUTED_VALUE"""),"6 TABLES WHITE")</f>
        <v>6 TABLES WHITE</v>
      </c>
      <c r="E2265" s="196" t="str">
        <f>IFERROR(__xludf.DUMMYFUNCTION("""COMPUTED_VALUE"""),"FOR BCL 3 CHROMELAB LUX ")</f>
        <v>FOR BCL 3 CHROMELAB LUX </v>
      </c>
    </row>
    <row r="2266">
      <c r="A2266" s="234">
        <f>IFERROR(__xludf.DUMMYFUNCTION("""COMPUTED_VALUE"""),107099.0)</f>
        <v>107099</v>
      </c>
      <c r="B2266" s="235" t="str">
        <f>IFERROR(__xludf.DUMMYFUNCTION("""COMPUTED_VALUE"""),"ELMIE LAUDIATO")</f>
        <v>ELMIE LAUDIATO</v>
      </c>
      <c r="C2266" s="235" t="str">
        <f>IFERROR(__xludf.DUMMYFUNCTION("""COMPUTED_VALUE"""),"HRMD")</f>
        <v>HRMD</v>
      </c>
      <c r="D2266" s="196" t="str">
        <f>IFERROR(__xludf.DUMMYFUNCTION("""COMPUTED_VALUE"""),"SERVICE
16 5YEARS
7 10 YEARS
1 15YEARS
1 20 YEARS
1 25YEARS
3 30YEARS
SERVICE APPRECIATION
2 5YEARS
1 15 YEARS")</f>
        <v>SERVICE
16 5YEARS
7 10 YEARS
1 15YEARS
1 20 YEARS
1 25YEARS
3 30YEARS
SERVICE APPRECIATION
2 5YEARS
1 15 YEARS</v>
      </c>
      <c r="E2266" s="196" t="str">
        <f>IFERROR(__xludf.DUMMYFUNCTION("""COMPUTED_VALUE"""),"PLAQUES FOR SERVICE AWARD 2026")</f>
        <v>PLAQUES FOR SERVICE AWARD 2026</v>
      </c>
    </row>
    <row r="2267">
      <c r="A2267" s="234">
        <f>IFERROR(__xludf.DUMMYFUNCTION("""COMPUTED_VALUE"""),107100.0)</f>
        <v>107100</v>
      </c>
      <c r="B2267" s="235" t="str">
        <f>IFERROR(__xludf.DUMMYFUNCTION("""COMPUTED_VALUE"""),"JESUIT CHRISTIAN GALICIA")</f>
        <v>JESUIT CHRISTIAN GALICIA</v>
      </c>
      <c r="C2267" s="235" t="str">
        <f>IFERROR(__xludf.DUMMYFUNCTION("""COMPUTED_VALUE"""),"AMD")</f>
        <v>AMD</v>
      </c>
      <c r="D2267" s="196" t="str">
        <f>IFERROR(__xludf.DUMMYFUNCTION("""COMPUTED_VALUE"""),"10 PCS TOILET SEAT COVER 17""
3 PCS BOSTIK RUGBY 1 GALLON
30 PCS ELECTRICAL TAPE 3M
20 PCS TEFLON TAPE")</f>
        <v>10 PCS TOILET SEAT COVER 17"
3 PCS BOSTIK RUGBY 1 GALLON
30 PCS ELECTRICAL TAPE 3M
20 PCS TEFLON TAPE</v>
      </c>
      <c r="E2267" s="196" t="str">
        <f>IFERROR(__xludf.DUMMYFUNCTION("""COMPUTED_VALUE"""),"ENGR WAREHOUSE STOCK REPLENISHMENT")</f>
        <v>ENGR WAREHOUSE STOCK REPLENISHMENT</v>
      </c>
    </row>
    <row r="2268">
      <c r="A2268" s="234">
        <f>IFERROR(__xludf.DUMMYFUNCTION("""COMPUTED_VALUE"""),107101.0)</f>
        <v>107101</v>
      </c>
      <c r="B2268" s="235" t="str">
        <f>IFERROR(__xludf.DUMMYFUNCTION("""COMPUTED_VALUE"""),"ALFA DE LEON")</f>
        <v>ALFA DE LEON</v>
      </c>
      <c r="C2268" s="235" t="str">
        <f>IFERROR(__xludf.DUMMYFUNCTION("""COMPUTED_VALUE"""),"ADMIN - STAR")</f>
        <v>ADMIN - STAR</v>
      </c>
      <c r="D2268" s="196" t="str">
        <f>IFERROR(__xludf.DUMMYFUNCTION("""COMPUTED_VALUE"""),"15 ARMAK BAG SEAL TAPE RED 1/4""
12 ARMAK BAG SEAL TAPE BLUE 1/4""")</f>
        <v>15 ARMAK BAG SEAL TAPE RED 1/4"
12 ARMAK BAG SEAL TAPE BLUE 1/4"</v>
      </c>
      <c r="E2268" s="196" t="str">
        <f>IFERROR(__xludf.DUMMYFUNCTION("""COMPUTED_VALUE"""),"WRITING LINES ON THE WHITE CLASSBOARDS INSIDE PRE SCHOOL TO GRADE 3")</f>
        <v>WRITING LINES ON THE WHITE CLASSBOARDS INSIDE PRE SCHOOL TO GRADE 3</v>
      </c>
    </row>
    <row r="2269">
      <c r="A2269" s="234">
        <f>IFERROR(__xludf.DUMMYFUNCTION("""COMPUTED_VALUE"""),107102.0)</f>
        <v>107102</v>
      </c>
      <c r="B2269" s="235" t="str">
        <f>IFERROR(__xludf.DUMMYFUNCTION("""COMPUTED_VALUE"""),"ALFA DE LEON")</f>
        <v>ALFA DE LEON</v>
      </c>
      <c r="C2269" s="235" t="str">
        <f>IFERROR(__xludf.DUMMYFUNCTION("""COMPUTED_VALUE"""),"ADMIN - STAR")</f>
        <v>ADMIN - STAR</v>
      </c>
      <c r="D2269" s="196" t="str">
        <f>IFERROR(__xludf.DUMMYFUNCTION("""COMPUTED_VALUE"""),"10 LIFETIME TABLES ")</f>
        <v>10 LIFETIME TABLES </v>
      </c>
      <c r="E2269" s="196" t="str">
        <f>IFERROR(__xludf.DUMMYFUNCTION("""COMPUTED_VALUE"""),"ADDITIONAL TABLES FOR SCHOOL EVENTS")</f>
        <v>ADDITIONAL TABLES FOR SCHOOL EVENTS</v>
      </c>
    </row>
    <row r="2270">
      <c r="A2270" s="234">
        <f>IFERROR(__xludf.DUMMYFUNCTION("""COMPUTED_VALUE"""),107103.0)</f>
        <v>107103</v>
      </c>
      <c r="B2270" s="235" t="str">
        <f>IFERROR(__xludf.DUMMYFUNCTION("""COMPUTED_VALUE"""),"ALFA DE LEON")</f>
        <v>ALFA DE LEON</v>
      </c>
      <c r="C2270" s="235" t="str">
        <f>IFERROR(__xludf.DUMMYFUNCTION("""COMPUTED_VALUE"""),"ADMIN - STAR")</f>
        <v>ADMIN - STAR</v>
      </c>
      <c r="D2270" s="196" t="str">
        <f>IFERROR(__xludf.DUMMYFUNCTION("""COMPUTED_VALUE"""),"4 SETS RETRACTABLE BELT STANCHION SILVER 
BELT COLOR RED")</f>
        <v>4 SETS RETRACTABLE BELT STANCHION SILVER 
BELT COLOR RED</v>
      </c>
      <c r="E2270" s="196" t="str">
        <f>IFERROR(__xludf.DUMMYFUNCTION("""COMPUTED_VALUE"""),"ADDITIONAL SANCHION FOR SCHOOL EVENTS")</f>
        <v>ADDITIONAL SANCHION FOR SCHOOL EVENTS</v>
      </c>
    </row>
    <row r="2271">
      <c r="A2271" s="234">
        <f>IFERROR(__xludf.DUMMYFUNCTION("""COMPUTED_VALUE"""),107104.0)</f>
        <v>107104</v>
      </c>
      <c r="B2271" s="235" t="str">
        <f>IFERROR(__xludf.DUMMYFUNCTION("""COMPUTED_VALUE"""),"ALFA DE LEON")</f>
        <v>ALFA DE LEON</v>
      </c>
      <c r="C2271" s="235" t="str">
        <f>IFERROR(__xludf.DUMMYFUNCTION("""COMPUTED_VALUE"""),"ADMIN - STAR")</f>
        <v>ADMIN - STAR</v>
      </c>
      <c r="D2271" s="196" t="str">
        <f>IFERROR(__xludf.DUMMYFUNCTION("""COMPUTED_VALUE"""),"1 ORBIT FAN 16"" GRAY")</f>
        <v>1 ORBIT FAN 16" GRAY</v>
      </c>
      <c r="E2271" s="196" t="str">
        <f>IFERROR(__xludf.DUMMYFUNCTION("""COMPUTED_VALUE"""),"REPLACEMENT OF ORBIT FAN AT ROOM 303")</f>
        <v>REPLACEMENT OF ORBIT FAN AT ROOM 303</v>
      </c>
    </row>
    <row r="2272">
      <c r="A2272" s="234">
        <f>IFERROR(__xludf.DUMMYFUNCTION("""COMPUTED_VALUE"""),107105.0)</f>
        <v>107105</v>
      </c>
      <c r="B2272" s="235" t="str">
        <f>IFERROR(__xludf.DUMMYFUNCTION("""COMPUTED_VALUE"""),"CHARLES LEBECO DONOR")</f>
        <v>CHARLES LEBECO DONOR</v>
      </c>
      <c r="C2272" s="235" t="str">
        <f>IFERROR(__xludf.DUMMYFUNCTION("""COMPUTED_VALUE"""),"AMD")</f>
        <v>AMD</v>
      </c>
      <c r="D2272" s="196" t="str">
        <f>IFERROR(__xludf.DUMMYFUNCTION("""COMPUTED_VALUE"""),"Toner, Cartridge Inkonvert LBP6000 85A        TONR-INK-10-0001        30 PCS.
Toner, Cartridge Inkonvert TN660        TONR-INK-10-0002        30 PCS.")</f>
        <v>Toner, Cartridge Inkonvert LBP6000 85A        TONR-INK-10-0001        30 PCS.
Toner, Cartridge Inkonvert TN660        TONR-INK-10-0002        30 PCS.</v>
      </c>
      <c r="E2272" s="196" t="str">
        <f>IFERROR(__xludf.DUMMYFUNCTION("""COMPUTED_VALUE"""),"OSSUP REPLENISHMENT")</f>
        <v>OSSUP REPLENISHMENT</v>
      </c>
    </row>
    <row r="2273">
      <c r="A2273" s="234">
        <f>IFERROR(__xludf.DUMMYFUNCTION("""COMPUTED_VALUE"""),107106.0)</f>
        <v>107106</v>
      </c>
      <c r="B2273" s="235" t="str">
        <f>IFERROR(__xludf.DUMMYFUNCTION("""COMPUTED_VALUE"""),"ALFA DE LEON")</f>
        <v>ALFA DE LEON</v>
      </c>
      <c r="C2273" s="235" t="str">
        <f>IFERROR(__xludf.DUMMYFUNCTION("""COMPUTED_VALUE"""),"ADMIN - STAR")</f>
        <v>ADMIN - STAR</v>
      </c>
      <c r="D2273" s="196" t="str">
        <f>IFERROR(__xludf.DUMMYFUNCTION("""COMPUTED_VALUE"""),"18 RADIO CIGNUS V85 PRO")</f>
        <v>18 RADIO CIGNUS V85 PRO</v>
      </c>
      <c r="E2273" s="196" t="str">
        <f>IFERROR(__xludf.DUMMYFUNCTION("""COMPUTED_VALUE"""),"CAMPUS SECURITY PREPAREDNESS")</f>
        <v>CAMPUS SECURITY PREPAREDNESS</v>
      </c>
    </row>
    <row r="2274">
      <c r="A2274" s="234">
        <f>IFERROR(__xludf.DUMMYFUNCTION("""COMPUTED_VALUE"""),107107.0)</f>
        <v>107107</v>
      </c>
      <c r="B2274" s="235" t="str">
        <f>IFERROR(__xludf.DUMMYFUNCTION("""COMPUTED_VALUE"""),"JOHN JERICHO VENUS")</f>
        <v>JOHN JERICHO VENUS</v>
      </c>
      <c r="C2274" s="235" t="str">
        <f>IFERROR(__xludf.DUMMYFUNCTION("""COMPUTED_VALUE"""),"ADMIN")</f>
        <v>ADMIN</v>
      </c>
      <c r="D2274" s="196" t="str">
        <f>IFERROR(__xludf.DUMMYFUNCTION("""COMPUTED_VALUE"""),"1 CHINO LSHAPE 4 SEAT WITH CHAISE 
1 OMARI COFFEE TABLE")</f>
        <v>1 CHINO LSHAPE 4 SEAT WITH CHAISE 
1 OMARI COFFEE TABLE</v>
      </c>
      <c r="E2274" s="196" t="str">
        <f>IFERROR(__xludf.DUMMYFUNCTION("""COMPUTED_VALUE"""),"TO PROVIDE LOUNGE AREA AT 3F TROPICAL")</f>
        <v>TO PROVIDE LOUNGE AREA AT 3F TROPICAL</v>
      </c>
    </row>
    <row r="2275">
      <c r="A2275" s="234">
        <f>IFERROR(__xludf.DUMMYFUNCTION("""COMPUTED_VALUE"""),107108.0)</f>
        <v>107108</v>
      </c>
      <c r="B2275" s="235" t="str">
        <f>IFERROR(__xludf.DUMMYFUNCTION("""COMPUTED_VALUE"""),"PAUL ARAÑA")</f>
        <v>PAUL ARAÑA</v>
      </c>
      <c r="C2275" s="235" t="str">
        <f>IFERROR(__xludf.DUMMYFUNCTION("""COMPUTED_VALUE"""),"AV/MIS")</f>
        <v>AV/MIS</v>
      </c>
      <c r="D2275" s="196" t="str">
        <f>IFERROR(__xludf.DUMMYFUNCTION("""COMPUTED_VALUE"""),"4 TCL 65 INCH SMART TV")</f>
        <v>4 TCL 65 INCH SMART TV</v>
      </c>
      <c r="E2275" s="196" t="str">
        <f>IFERROR(__xludf.DUMMYFUNCTION("""COMPUTED_VALUE"""),"NEW TV FOR 2ND FLOOR CLASSROOMS EXPANSION")</f>
        <v>NEW TV FOR 2ND FLOOR CLASSROOMS EXPANSION</v>
      </c>
    </row>
    <row r="2276">
      <c r="A2276" s="234">
        <f>IFERROR(__xludf.DUMMYFUNCTION("""COMPUTED_VALUE"""),107109.0)</f>
        <v>107109</v>
      </c>
      <c r="B2276" s="235" t="str">
        <f>IFERROR(__xludf.DUMMYFUNCTION("""COMPUTED_VALUE"""),"RONALDO VERDE")</f>
        <v>RONALDO VERDE</v>
      </c>
      <c r="C2276" s="235" t="str">
        <f>IFERROR(__xludf.DUMMYFUNCTION("""COMPUTED_VALUE"""),"Admin- Lux")</f>
        <v>Admin- Lux</v>
      </c>
      <c r="D2276" s="196" t="str">
        <f>IFERROR(__xludf.DUMMYFUNCTION("""COMPUTED_VALUE"""),"36 SEATER SEVICE MINIBUS")</f>
        <v>36 SEATER SEVICE MINIBUS</v>
      </c>
      <c r="E2276" s="196" t="str">
        <f>IFERROR(__xludf.DUMMYFUNCTION("""COMPUTED_VALUE"""),"TO REPLACE THE OLD COASTER 2013 MODEL")</f>
        <v>TO REPLACE THE OLD COASTER 2013 MODEL</v>
      </c>
    </row>
    <row r="2277">
      <c r="A2277" s="234">
        <f>IFERROR(__xludf.DUMMYFUNCTION("""COMPUTED_VALUE"""),107110.0)</f>
        <v>107110</v>
      </c>
      <c r="B2277" s="235" t="str">
        <f>IFERROR(__xludf.DUMMYFUNCTION("""COMPUTED_VALUE"""),"MELISSA ODOÑO ")</f>
        <v>MELISSA ODOÑO </v>
      </c>
      <c r="C2277" s="235" t="str">
        <f>IFERROR(__xludf.DUMMYFUNCTION("""COMPUTED_VALUE"""),"LIBRARY BASIC ED")</f>
        <v>LIBRARY BASIC ED</v>
      </c>
      <c r="D2277" s="196" t="str">
        <f>IFERROR(__xludf.DUMMYFUNCTION("""COMPUTED_VALUE"""),"1 EACH:
THE WE ENTREPRENEUR
ENTREPRENEURSHIP THE FOUR GATE MODEL
PRINCIPLES AND PRACTICES IN MARKETING IN THE PH SETTING
UNDERSTANDING BUSINESS")</f>
        <v>1 EACH:
THE WE ENTREPRENEUR
ENTREPRENEURSHIP THE FOUR GATE MODEL
PRINCIPLES AND PRACTICES IN MARKETING IN THE PH SETTING
UNDERSTANDING BUSINESS</v>
      </c>
      <c r="E2277" s="196" t="str">
        <f>IFERROR(__xludf.DUMMYFUNCTION("""COMPUTED_VALUE"""),"FACULTY USE")</f>
        <v>FACULTY USE</v>
      </c>
    </row>
    <row r="2278">
      <c r="A2278" s="234">
        <f>IFERROR(__xludf.DUMMYFUNCTION("""COMPUTED_VALUE"""),107111.0)</f>
        <v>107111</v>
      </c>
      <c r="B2278" s="235" t="str">
        <f>IFERROR(__xludf.DUMMYFUNCTION("""COMPUTED_VALUE"""),"MELISSA ODOÑO ")</f>
        <v>MELISSA ODOÑO </v>
      </c>
      <c r="C2278" s="235" t="str">
        <f>IFERROR(__xludf.DUMMYFUNCTION("""COMPUTED_VALUE"""),"LIBRARY BASIC ED")</f>
        <v>LIBRARY BASIC ED</v>
      </c>
      <c r="D2278" s="196" t="str">
        <f>IFERROR(__xludf.DUMMYFUNCTION("""COMPUTED_VALUE"""),"1 2023 NATIONAL BUSINESS EDUCATION STANDARDS DIGITAL EDITION")</f>
        <v>1 2023 NATIONAL BUSINESS EDUCATION STANDARDS DIGITAL EDITION</v>
      </c>
      <c r="E2278" s="196" t="str">
        <f>IFERROR(__xludf.DUMMYFUNCTION("""COMPUTED_VALUE"""),"LIBRARY'S COPY")</f>
        <v>LIBRARY'S COPY</v>
      </c>
    </row>
    <row r="2279">
      <c r="A2279" s="234">
        <f>IFERROR(__xludf.DUMMYFUNCTION("""COMPUTED_VALUE"""),107112.0)</f>
        <v>107112</v>
      </c>
      <c r="B2279" s="235" t="str">
        <f>IFERROR(__xludf.DUMMYFUNCTION("""COMPUTED_VALUE"""),"DABERETH SALIBIO")</f>
        <v>DABERETH SALIBIO</v>
      </c>
      <c r="C2279" s="235" t="str">
        <f>IFERROR(__xludf.DUMMYFUNCTION("""COMPUTED_VALUE"""),"I.B.")</f>
        <v>I.B.</v>
      </c>
      <c r="D2279" s="196" t="str">
        <f>IFERROR(__xludf.DUMMYFUNCTION("""COMPUTED_VALUE"""),"2 MEIJI EXTENSION CORD")</f>
        <v>2 MEIJI EXTENSION CORD</v>
      </c>
      <c r="E2279" s="196" t="str">
        <f>IFERROR(__xludf.DUMMYFUNCTION("""COMPUTED_VALUE"""),"FOR VISUAL ARTS CLASS USE")</f>
        <v>FOR VISUAL ARTS CLASS USE</v>
      </c>
    </row>
    <row r="2280">
      <c r="A2280" s="234">
        <f>IFERROR(__xludf.DUMMYFUNCTION("""COMPUTED_VALUE"""),107113.0)</f>
        <v>107113</v>
      </c>
      <c r="B2280" s="235" t="str">
        <f>IFERROR(__xludf.DUMMYFUNCTION("""COMPUTED_VALUE"""),"ROY MARK RECOMENDABLE")</f>
        <v>ROY MARK RECOMENDABLE</v>
      </c>
      <c r="C2280" s="235" t="str">
        <f>IFERROR(__xludf.DUMMYFUNCTION("""COMPUTED_VALUE"""),"REGISTRATION")</f>
        <v>REGISTRATION</v>
      </c>
      <c r="D2280" s="196" t="str">
        <f>IFERROR(__xludf.DUMMYFUNCTION("""COMPUTED_VALUE"""),"3 REAMS RLE PAPER LEGAL ")</f>
        <v>3 REAMS RLE PAPER LEGAL </v>
      </c>
      <c r="E2280" s="196" t="str">
        <f>IFERROR(__xludf.DUMMYFUNCTION("""COMPUTED_VALUE"""),"FOR OFFICE USE")</f>
        <v>FOR OFFICE USE</v>
      </c>
    </row>
    <row r="2281">
      <c r="A2281" s="234">
        <f>IFERROR(__xludf.DUMMYFUNCTION("""COMPUTED_VALUE"""),107114.0)</f>
        <v>107114</v>
      </c>
      <c r="B2281" s="235" t="str">
        <f>IFERROR(__xludf.DUMMYFUNCTION("""COMPUTED_VALUE"""),"RODRIGO CUSTODIO")</f>
        <v>RODRIGO CUSTODIO</v>
      </c>
      <c r="C2281" s="235" t="str">
        <f>IFERROR(__xludf.DUMMYFUNCTION("""COMPUTED_VALUE"""),"AMD")</f>
        <v>AMD</v>
      </c>
      <c r="D2281" s="196" t="str">
        <f>IFERROR(__xludf.DUMMYFUNCTION("""COMPUTED_VALUE"""),"20 GALS BOARD EXPECTRUM DISINFECTANT ECOLUTION 1 US GAL")</f>
        <v>20 GALS BOARD EXPECTRUM DISINFECTANT ECOLUTION 1 US GAL</v>
      </c>
      <c r="E2281" s="196" t="str">
        <f>IFERROR(__xludf.DUMMYFUNCTION("""COMPUTED_VALUE"""),"HOUSEKEEPING MATERIALS STOCK REPLENISHMENT")</f>
        <v>HOUSEKEEPING MATERIALS STOCK REPLENISHMENT</v>
      </c>
    </row>
    <row r="2282">
      <c r="A2282" s="234">
        <f>IFERROR(__xludf.DUMMYFUNCTION("""COMPUTED_VALUE"""),107115.0)</f>
        <v>107115</v>
      </c>
      <c r="B2282" s="235" t="str">
        <f>IFERROR(__xludf.DUMMYFUNCTION("""COMPUTED_VALUE"""),"MYLYN BOTALON")</f>
        <v>MYLYN BOTALON</v>
      </c>
      <c r="C2282" s="235" t="str">
        <f>IFERROR(__xludf.DUMMYFUNCTION("""COMPUTED_VALUE"""),"I.B.")</f>
        <v>I.B.</v>
      </c>
      <c r="D2282" s="196" t="str">
        <f>IFERROR(__xludf.DUMMYFUNCTION("""COMPUTED_VALUE"""),"6 unit - Light microscopes
5 small boxes (100 pcs per box) - monoculars and headset coverslips
20 units - Dissecting kit surgical set (Biology student lab tool)
6 pcs - Microscope eyepiece with pointer
1 box - Microscope glass slides
1 box - Microsco"&amp;"pe glass slides with cavity
30 ml - Microscope Immersion Oil
1 box - Microscope lens paper
5 pcs - Volumetric flask (100 ml)
10 pcs - Volumetric flask (250 ml)
5 pcs - Volumetric flask (500 ml)
4 pcs - Electronic balance
1 liter - Potassium hydroge"&amp;"n phthalate
1 liter - Biuret solution
4 boxes - Wattman pH indicator strips
3 boxes - Surgical gloves
3 boxes - Surgical masks
1 box - Wattman filter paper (90 mm size)
1 box - Wattman filter paper (110 mm size)
10 pcs - Glass rod
6 pcs - Magnetic"&amp;" compass
1 pc - Solenoid
2 pcs - Inductor
5 pcs - contact speaker
5 pcs - stopwatch
2 units - sandpaper
1 unit - Water bath
1 pc - Roller coaster model track
2 pcs - Vernier caliper
15 pcs - Graduated cylinder or any cylindrical tall glass contai"&amp;"ner
5 sets - Safety goggles for laser
1 pc - Solar panels (6V 8.5W)")</f>
        <v>6 unit - Light microscopes
5 small boxes (100 pcs per box) - monoculars and headset coverslips
20 units - Dissecting kit surgical set (Biology student lab tool)
6 pcs - Microscope eyepiece with pointer
1 box - Microscope glass slides
1 box - Microscope glass slides with cavity
30 ml - Microscope Immersion Oil
1 box - Microscope lens paper
5 pcs - Volumetric flask (100 ml)
10 pcs - Volumetric flask (250 ml)
5 pcs - Volumetric flask (500 ml)
4 pcs - Electronic balance
1 liter - Potassium hydrogen phthalate
1 liter - Biuret solution
4 boxes - Wattman pH indicator strips
3 boxes - Surgical gloves
3 boxes - Surgical masks
1 box - Wattman filter paper (90 mm size)
1 box - Wattman filter paper (110 mm size)
10 pcs - Glass rod
6 pcs - Magnetic compass
1 pc - Solenoid
2 pcs - Inductor
5 pcs - contact speaker
5 pcs - stopwatch
2 units - sandpaper
1 unit - Water bath
1 pc - Roller coaster model track
2 pcs - Vernier caliper
15 pcs - Graduated cylinder or any cylindrical tall glass container
5 sets - Safety goggles for laser
1 pc - Solar panels (6V 8.5W)</v>
      </c>
      <c r="E2282" s="196" t="str">
        <f>IFERROR(__xludf.DUMMYFUNCTION("""COMPUTED_VALUE"""),"FOR LABORATORY USE")</f>
        <v>FOR LABORATORY USE</v>
      </c>
    </row>
    <row r="2283">
      <c r="A2283" s="234">
        <f>IFERROR(__xludf.DUMMYFUNCTION("""COMPUTED_VALUE"""),107116.0)</f>
        <v>107116</v>
      </c>
      <c r="B2283" s="235" t="str">
        <f>IFERROR(__xludf.DUMMYFUNCTION("""COMPUTED_VALUE"""),"CHRISTON CORBEZA")</f>
        <v>CHRISTON CORBEZA</v>
      </c>
      <c r="C2283" s="235" t="str">
        <f>IFERROR(__xludf.DUMMYFUNCTION("""COMPUTED_VALUE"""),"ADMIN")</f>
        <v>ADMIN</v>
      </c>
      <c r="D2283" s="196" t="str">
        <f>IFERROR(__xludf.DUMMYFUNCTION("""COMPUTED_VALUE"""),"11 PCS STACKABLE CHAIRS BLUE
12 PCS SWIVEL CHAIR")</f>
        <v>11 PCS STACKABLE CHAIRS BLUE
12 PCS SWIVEL CHAIR</v>
      </c>
      <c r="E2283" s="196" t="str">
        <f>IFERROR(__xludf.DUMMYFUNCTION("""COMPUTED_VALUE"""),"FOR REPLACEMENT OF DAMAGED CHAIRS")</f>
        <v>FOR REPLACEMENT OF DAMAGED CHAIRS</v>
      </c>
    </row>
    <row r="2284">
      <c r="A2284" s="234">
        <f>IFERROR(__xludf.DUMMYFUNCTION("""COMPUTED_VALUE"""),107117.0)</f>
        <v>107117</v>
      </c>
      <c r="B2284" s="235" t="str">
        <f>IFERROR(__xludf.DUMMYFUNCTION("""COMPUTED_VALUE"""),"RONALDO VERDE")</f>
        <v>RONALDO VERDE</v>
      </c>
      <c r="C2284" s="235" t="str">
        <f>IFERROR(__xludf.DUMMYFUNCTION("""COMPUTED_VALUE"""),"ADMIN")</f>
        <v>ADMIN</v>
      </c>
      <c r="D2284" s="196" t="str">
        <f>IFERROR(__xludf.DUMMYFUNCTION("""COMPUTED_VALUE"""),"2 PCS PLASTIC MOLDING 3/4
1 BOX THHN WIRE #12 
3 PCS OUTLET SURFACE TYPE")</f>
        <v>2 PCS PLASTIC MOLDING 3/4
1 BOX THHN WIRE #12 
3 PCS OUTLET SURFACE TYPE</v>
      </c>
      <c r="E2284" s="196" t="str">
        <f>IFERROR(__xludf.DUMMYFUNCTION("""COMPUTED_VALUE"""),"FOR IB VISUAL ARTS ROOM")</f>
        <v>FOR IB VISUAL ARTS ROOM</v>
      </c>
    </row>
    <row r="2285">
      <c r="A2285" s="234">
        <f>IFERROR(__xludf.DUMMYFUNCTION("""COMPUTED_VALUE"""),107118.0)</f>
        <v>107118</v>
      </c>
      <c r="B2285" s="235" t="str">
        <f>IFERROR(__xludf.DUMMYFUNCTION("""COMPUTED_VALUE"""),"RONALDO VERDE")</f>
        <v>RONALDO VERDE</v>
      </c>
      <c r="C2285" s="235" t="str">
        <f>IFERROR(__xludf.DUMMYFUNCTION("""COMPUTED_VALUE"""),"ADMIN")</f>
        <v>ADMIN</v>
      </c>
      <c r="D2285" s="196" t="str">
        <f>IFERROR(__xludf.DUMMYFUNCTION("""COMPUTED_VALUE"""),"2 PCS FORMICA
1 GALLON ADHESIVE RUGBY")</f>
        <v>2 PCS FORMICA
1 GALLON ADHESIVE RUGBY</v>
      </c>
      <c r="E2285" s="196" t="str">
        <f>IFERROR(__xludf.DUMMYFUNCTION("""COMPUTED_VALUE"""),"FOR COLLEGE WALKWAY")</f>
        <v>FOR COLLEGE WALKWAY</v>
      </c>
    </row>
    <row r="2286">
      <c r="A2286" s="234">
        <f>IFERROR(__xludf.DUMMYFUNCTION("""COMPUTED_VALUE"""),107119.0)</f>
        <v>107119</v>
      </c>
      <c r="B2286" s="235"/>
      <c r="C2286" s="235"/>
      <c r="D2286" s="196"/>
      <c r="E2286" s="196"/>
    </row>
    <row r="2287">
      <c r="A2287" s="234">
        <f>IFERROR(__xludf.DUMMYFUNCTION("""COMPUTED_VALUE"""),107120.0)</f>
        <v>107120</v>
      </c>
      <c r="B2287" s="235" t="str">
        <f>IFERROR(__xludf.DUMMYFUNCTION("""COMPUTED_VALUE"""),"ELMIE LAUDIATO")</f>
        <v>ELMIE LAUDIATO</v>
      </c>
      <c r="C2287" s="235" t="str">
        <f>IFERROR(__xludf.DUMMYFUNCTION("""COMPUTED_VALUE"""),"HRMD")</f>
        <v>HRMD</v>
      </c>
      <c r="D2287" s="196" t="str">
        <f>IFERROR(__xludf.DUMMYFUNCTION("""COMPUTED_VALUE"""),"1 10 YEARS SERVICE AWARD ")</f>
        <v>1 10 YEARS SERVICE AWARD </v>
      </c>
      <c r="E2287" s="196" t="str">
        <f>IFERROR(__xludf.DUMMYFUNCTION("""COMPUTED_VALUE"""),"PEOPLE AWARDS PLAQUE SERVICE AWARDEE")</f>
        <v>PEOPLE AWARDS PLAQUE SERVICE AWARDEE</v>
      </c>
    </row>
    <row r="2288">
      <c r="A2288" s="234">
        <f>IFERROR(__xludf.DUMMYFUNCTION("""COMPUTED_VALUE"""),107121.0)</f>
        <v>107121</v>
      </c>
      <c r="B2288" s="235" t="str">
        <f>IFERROR(__xludf.DUMMYFUNCTION("""COMPUTED_VALUE"""),"ANGELO PARAS")</f>
        <v>ANGELO PARAS</v>
      </c>
      <c r="C2288" s="235" t="str">
        <f>IFERROR(__xludf.DUMMYFUNCTION("""COMPUTED_VALUE"""),"SCIENCE LAB BASIC ED.")</f>
        <v>SCIENCE LAB BASIC ED.</v>
      </c>
      <c r="D2288" s="196" t="str">
        <f>IFERROR(__xludf.DUMMYFUNCTION("""COMPUTED_VALUE"""),"10 SETS SLOTTED WEIGHT SET WITH HANGER 100 G
10 PCS VERNIER CALIPER
10 PCS RECHARGEABLE BATTERY AA
1 UNIT SKELETON HUMAN MODEL
5 UNIT TRIPLE BEAN BALANCE
3 UNITS COMPOUND MICROSCOPE")</f>
        <v>10 SETS SLOTTED WEIGHT SET WITH HANGER 100 G
10 PCS VERNIER CALIPER
10 PCS RECHARGEABLE BATTERY AA
1 UNIT SKELETON HUMAN MODEL
5 UNIT TRIPLE BEAN BALANCE
3 UNITS COMPOUND MICROSCOPE</v>
      </c>
      <c r="E2288" s="196" t="str">
        <f>IFERROR(__xludf.DUMMYFUNCTION("""COMPUTED_VALUE"""),"MATERIALS FOR PHYSICS LAB / MUNICH")</f>
        <v>MATERIALS FOR PHYSICS LAB / MUNICH</v>
      </c>
    </row>
    <row r="2289">
      <c r="A2289" s="234">
        <f>IFERROR(__xludf.DUMMYFUNCTION("""COMPUTED_VALUE"""),107122.0)</f>
        <v>107122</v>
      </c>
      <c r="B2289" s="235" t="str">
        <f>IFERROR(__xludf.DUMMYFUNCTION("""COMPUTED_VALUE"""),"ANGELO PARAS")</f>
        <v>ANGELO PARAS</v>
      </c>
      <c r="C2289" s="235" t="str">
        <f>IFERROR(__xludf.DUMMYFUNCTION("""COMPUTED_VALUE"""),"SCIENCE LAB BASIC ED.")</f>
        <v>SCIENCE LAB BASIC ED.</v>
      </c>
      <c r="D2289" s="196" t="str">
        <f>IFERROR(__xludf.DUMMYFUNCTION("""COMPUTED_VALUE"""),"1 TANK LPG TANK 22KG FIESTA BRAND 
10 PCS ALCOHOL LAMP WICK 15MM")</f>
        <v>1 TANK LPG TANK 22KG FIESTA BRAND 
10 PCS ALCOHOL LAMP WICK 15MM</v>
      </c>
      <c r="E2289" s="196" t="str">
        <f>IFERROR(__xludf.DUMMYFUNCTION("""COMPUTED_VALUE"""),"FOR OPERATING THE GAS LINES IN THE SCIENCE LAB")</f>
        <v>FOR OPERATING THE GAS LINES IN THE SCIENCE LAB</v>
      </c>
    </row>
    <row r="2290">
      <c r="A2290" s="234">
        <f>IFERROR(__xludf.DUMMYFUNCTION("""COMPUTED_VALUE"""),107123.0)</f>
        <v>107123</v>
      </c>
      <c r="B2290" s="235" t="str">
        <f>IFERROR(__xludf.DUMMYFUNCTION("""COMPUTED_VALUE"""),"JOHNY QUIQUI")</f>
        <v>JOHNY QUIQUI</v>
      </c>
      <c r="C2290" s="235" t="str">
        <f>IFERROR(__xludf.DUMMYFUNCTION("""COMPUTED_VALUE"""),"ABU")</f>
        <v>ABU</v>
      </c>
      <c r="D2290" s="196" t="str">
        <f>IFERROR(__xludf.DUMMYFUNCTION("""COMPUTED_VALUE"""),"2 MESH OFFICE SWIVEL CHAIR WITH ARMREST")</f>
        <v>2 MESH OFFICE SWIVEL CHAIR WITH ARMREST</v>
      </c>
      <c r="E2290" s="196" t="str">
        <f>IFERROR(__xludf.DUMMYFUNCTION("""COMPUTED_VALUE"""),"REPLACEMENT CHAIR FROM STUFFSHOP")</f>
        <v>REPLACEMENT CHAIR FROM STUFFSHOP</v>
      </c>
    </row>
    <row r="2291">
      <c r="A2291" s="234">
        <f>IFERROR(__xludf.DUMMYFUNCTION("""COMPUTED_VALUE"""),107124.0)</f>
        <v>107124</v>
      </c>
      <c r="B2291" s="235" t="str">
        <f>IFERROR(__xludf.DUMMYFUNCTION("""COMPUTED_VALUE"""),"ALFA DE LEON")</f>
        <v>ALFA DE LEON</v>
      </c>
      <c r="C2291" s="235" t="str">
        <f>IFERROR(__xludf.DUMMYFUNCTION("""COMPUTED_VALUE"""),"ADMIN - STAR")</f>
        <v>ADMIN - STAR</v>
      </c>
      <c r="D2291" s="196" t="str">
        <f>IFERROR(__xludf.DUMMYFUNCTION("""COMPUTED_VALUE"""),"1 KARATE FERTILIZER")</f>
        <v>1 KARATE FERTILIZER</v>
      </c>
      <c r="E2291" s="196" t="str">
        <f>IFERROR(__xludf.DUMMYFUNCTION("""COMPUTED_VALUE"""),"PM FOR GARDEN")</f>
        <v>PM FOR GARDEN</v>
      </c>
    </row>
    <row r="2292">
      <c r="A2292" s="234">
        <f>IFERROR(__xludf.DUMMYFUNCTION("""COMPUTED_VALUE"""),107125.0)</f>
        <v>107125</v>
      </c>
      <c r="B2292" s="235" t="str">
        <f>IFERROR(__xludf.DUMMYFUNCTION("""COMPUTED_VALUE"""),"RODRIGO CUSTODIO")</f>
        <v>RODRIGO CUSTODIO</v>
      </c>
      <c r="C2292" s="235" t="str">
        <f>IFERROR(__xludf.DUMMYFUNCTION("""COMPUTED_VALUE"""),"AMD")</f>
        <v>AMD</v>
      </c>
      <c r="D2292" s="196" t="str">
        <f>IFERROR(__xludf.DUMMYFUNCTION("""COMPUTED_VALUE"""),"28 GALS GLOW FURNITURE CLEANER AND POLISH ")</f>
        <v>28 GALS GLOW FURNITURE CLEANER AND POLISH </v>
      </c>
      <c r="E2292" s="196" t="str">
        <f>IFERROR(__xludf.DUMMYFUNCTION("""COMPUTED_VALUE"""),"HOUSEKEEPING MATERIALS STOCK REPLENISHMENT")</f>
        <v>HOUSEKEEPING MATERIALS STOCK REPLENISHMENT</v>
      </c>
    </row>
    <row r="2293">
      <c r="A2293" s="234">
        <f>IFERROR(__xludf.DUMMYFUNCTION("""COMPUTED_VALUE"""),107126.0)</f>
        <v>107126</v>
      </c>
      <c r="B2293" s="235" t="str">
        <f>IFERROR(__xludf.DUMMYFUNCTION("""COMPUTED_VALUE"""),"MARYNEILLA CARAMOAN/JAYVEN POBLETE")</f>
        <v>MARYNEILLA CARAMOAN/JAYVEN POBLETE</v>
      </c>
      <c r="C2293" s="235" t="str">
        <f>IFERROR(__xludf.DUMMYFUNCTION("""COMPUTED_VALUE"""),"PR &amp; MARKETING")</f>
        <v>PR &amp; MARKETING</v>
      </c>
      <c r="D2293" s="196" t="str">
        <f>IFERROR(__xludf.DUMMYFUNCTION("""COMPUTED_VALUE"""),"2 SOUTHVILLE COLLAPSIBLE BOOTH STANDARD SIZE ")</f>
        <v>2 SOUTHVILLE COLLAPSIBLE BOOTH STANDARD SIZE </v>
      </c>
      <c r="E2293" s="196" t="str">
        <f>IFERROR(__xludf.DUMMYFUNCTION("""COMPUTED_VALUE"""),"FOR SCHOOL PRESENTATION BOOTH")</f>
        <v>FOR SCHOOL PRESENTATION BOOTH</v>
      </c>
    </row>
    <row r="2294">
      <c r="A2294" s="234">
        <f>IFERROR(__xludf.DUMMYFUNCTION("""COMPUTED_VALUE"""),107127.0)</f>
        <v>107127</v>
      </c>
      <c r="B2294" s="235" t="str">
        <f>IFERROR(__xludf.DUMMYFUNCTION("""COMPUTED_VALUE"""),"JESSA PACURI")</f>
        <v>JESSA PACURI</v>
      </c>
      <c r="C2294" s="235" t="str">
        <f>IFERROR(__xludf.DUMMYFUNCTION("""COMPUTED_VALUE"""),"REGISTRATION")</f>
        <v>REGISTRATION</v>
      </c>
      <c r="D2294" s="196" t="str">
        <f>IFERROR(__xludf.DUMMYFUNCTION("""COMPUTED_VALUE"""),"50 PCS BLACK BOX")</f>
        <v>50 PCS BLACK BOX</v>
      </c>
      <c r="E2294" s="196" t="str">
        <f>IFERROR(__xludf.DUMMYFUNCTION("""COMPUTED_VALUE"""),"FOR 201 FILES")</f>
        <v>FOR 201 FILES</v>
      </c>
    </row>
    <row r="2295">
      <c r="A2295" s="234">
        <f>IFERROR(__xludf.DUMMYFUNCTION("""COMPUTED_VALUE"""),107128.0)</f>
        <v>107128</v>
      </c>
      <c r="B2295" s="235" t="str">
        <f>IFERROR(__xludf.DUMMYFUNCTION("""COMPUTED_VALUE"""),"JESUIT CHRISTIAN GALICIA")</f>
        <v>JESUIT CHRISTIAN GALICIA</v>
      </c>
      <c r="C2295" s="235" t="str">
        <f>IFERROR(__xludf.DUMMYFUNCTION("""COMPUTED_VALUE"""),"AMD")</f>
        <v>AMD</v>
      </c>
      <c r="D2295" s="196" t="str">
        <f>IFERROR(__xludf.DUMMYFUNCTION("""COMPUTED_VALUE"""),"2 REAMS QUAFF LAMINATING FILM 250 MICRONS LONG
3 REAMS QUAFF LAMINATING FILM 250 MICRONS SHORT
3 REAMS QUAFF LAMINATING FILM 250 MICRONS A4
2 REAMS QUAFF LAMINATING FILM 125 MICRONS LONG 
2 REAMS QUAFF LAMINATING FILM 125 MICRONS SHORT
2 REAMS QUAFF LAMIN"&amp;"ATING FILM 125 MICRONS A4")</f>
        <v>2 REAMS QUAFF LAMINATING FILM 250 MICRONS LONG
3 REAMS QUAFF LAMINATING FILM 250 MICRONS SHORT
3 REAMS QUAFF LAMINATING FILM 250 MICRONS A4
2 REAMS QUAFF LAMINATING FILM 125 MICRONS LONG 
2 REAMS QUAFF LAMINATING FILM 125 MICRONS SHORT
2 REAMS QUAFF LAMINATING FILM 125 MICRONS A4</v>
      </c>
      <c r="E2295" s="196" t="str">
        <f>IFERROR(__xludf.DUMMYFUNCTION("""COMPUTED_VALUE"""),"AMD OFFICE USE FOR LAMINATING")</f>
        <v>AMD OFFICE USE FOR LAMINATING</v>
      </c>
    </row>
    <row r="2296">
      <c r="A2296" s="234">
        <f>IFERROR(__xludf.DUMMYFUNCTION("""COMPUTED_VALUE"""),107129.0)</f>
        <v>107129</v>
      </c>
      <c r="B2296" s="235" t="str">
        <f>IFERROR(__xludf.DUMMYFUNCTION("""COMPUTED_VALUE"""),"JESUIT CHRISTIAN GALICIA")</f>
        <v>JESUIT CHRISTIAN GALICIA</v>
      </c>
      <c r="C2296" s="235" t="str">
        <f>IFERROR(__xludf.DUMMYFUNCTION("""COMPUTED_VALUE"""),"AMD")</f>
        <v>AMD</v>
      </c>
      <c r="D2296" s="196" t="str">
        <f>IFERROR(__xludf.DUMMYFUNCTION("""COMPUTED_VALUE"""),"2 PCS SOUTHVILLE FLAG 3FT X 5FT")</f>
        <v>2 PCS SOUTHVILLE FLAG 3FT X 5FT</v>
      </c>
      <c r="E2296" s="196" t="str">
        <f>IFERROR(__xludf.DUMMYFUNCTION("""COMPUTED_VALUE"""),"STANDBY OFFICE STOCK FOR TEACHERS' LENDING AND SCHOOL EVENTS")</f>
        <v>STANDBY OFFICE STOCK FOR TEACHERS' LENDING AND SCHOOL EVENTS</v>
      </c>
    </row>
    <row r="2297">
      <c r="A2297" s="234">
        <f>IFERROR(__xludf.DUMMYFUNCTION("""COMPUTED_VALUE"""),107130.0)</f>
        <v>107130</v>
      </c>
      <c r="B2297" s="235" t="str">
        <f>IFERROR(__xludf.DUMMYFUNCTION("""COMPUTED_VALUE"""),"RODRIGO CUSTODIO")</f>
        <v>RODRIGO CUSTODIO</v>
      </c>
      <c r="C2297" s="235" t="str">
        <f>IFERROR(__xludf.DUMMYFUNCTION("""COMPUTED_VALUE"""),"AMD")</f>
        <v>AMD</v>
      </c>
      <c r="D2297" s="196" t="str">
        <f>IFERROR(__xludf.DUMMYFUNCTION("""COMPUTED_VALUE"""),"10 GALS FLOOR FINISH MIGHTY SPARKLE DIAMOND 25 1 US GAL")</f>
        <v>10 GALS FLOOR FINISH MIGHTY SPARKLE DIAMOND 25 1 US GAL</v>
      </c>
      <c r="E2297" s="196" t="str">
        <f>IFERROR(__xludf.DUMMYFUNCTION("""COMPUTED_VALUE"""),"HOUSEKEEPING MATERIALS STOCK REPLENISHMENT")</f>
        <v>HOUSEKEEPING MATERIALS STOCK REPLENISHMENT</v>
      </c>
    </row>
    <row r="2298">
      <c r="A2298" s="234">
        <f>IFERROR(__xludf.DUMMYFUNCTION("""COMPUTED_VALUE"""),107131.0)</f>
        <v>107131</v>
      </c>
      <c r="B2298" s="235" t="str">
        <f>IFERROR(__xludf.DUMMYFUNCTION("""COMPUTED_VALUE"""),"ALFA DE LEON")</f>
        <v>ALFA DE LEON</v>
      </c>
      <c r="C2298" s="235" t="str">
        <f>IFERROR(__xludf.DUMMYFUNCTION("""COMPUTED_VALUE"""),"ADMIN - STAR")</f>
        <v>ADMIN - STAR</v>
      </c>
      <c r="D2298" s="196" t="str">
        <f>IFERROR(__xludf.DUMMYFUNCTION("""COMPUTED_VALUE"""),"10 TABLE CLOTH")</f>
        <v>10 TABLE CLOTH</v>
      </c>
      <c r="E2298" s="196" t="str">
        <f>IFERROR(__xludf.DUMMYFUNCTION("""COMPUTED_VALUE"""),"FOR THE ADDITIONAL TABLE")</f>
        <v>FOR THE ADDITIONAL TABLE</v>
      </c>
    </row>
    <row r="2299">
      <c r="A2299" s="234">
        <f>IFERROR(__xludf.DUMMYFUNCTION("""COMPUTED_VALUE"""),107132.0)</f>
        <v>107132</v>
      </c>
      <c r="B2299" s="235" t="str">
        <f>IFERROR(__xludf.DUMMYFUNCTION("""COMPUTED_VALUE"""),"JORDAN JORDAN")</f>
        <v>JORDAN JORDAN</v>
      </c>
      <c r="C2299" s="235" t="str">
        <f>IFERROR(__xludf.DUMMYFUNCTION("""COMPUTED_VALUE"""),"ADMIN")</f>
        <v>ADMIN</v>
      </c>
      <c r="D2299" s="196" t="str">
        <f>IFERROR(__xludf.DUMMYFUNCTION("""COMPUTED_VALUE"""),"1 BOX THHN THWN #14 PHELP DODGE
1 BOX THHN  THWN #12 PHELP DODGE
2 ROLLS ROPE LIGHT W/ADAPTOR ")</f>
        <v>1 BOX THHN THWN #14 PHELP DODGE
1 BOX THHN  THWN #12 PHELP DODGE
2 ROLLS ROPE LIGHT W/ADAPTOR </v>
      </c>
      <c r="E2299" s="196" t="str">
        <f>IFERROR(__xludf.DUMMYFUNCTION("""COMPUTED_VALUE"""),"FOR INSTALLATION OF NEW ROPE LIGHTS FOR BASIC ED WALKWAY")</f>
        <v>FOR INSTALLATION OF NEW ROPE LIGHTS FOR BASIC ED WALKWAY</v>
      </c>
    </row>
    <row r="2300">
      <c r="A2300" s="234">
        <f>IFERROR(__xludf.DUMMYFUNCTION("""COMPUTED_VALUE"""),107133.0)</f>
        <v>107133</v>
      </c>
      <c r="B2300" s="235" t="str">
        <f>IFERROR(__xludf.DUMMYFUNCTION("""COMPUTED_VALUE"""),"OWIE PAR")</f>
        <v>OWIE PAR</v>
      </c>
      <c r="C2300" s="235" t="str">
        <f>IFERROR(__xludf.DUMMYFUNCTION("""COMPUTED_VALUE"""),"ENGINEERING")</f>
        <v>ENGINEERING</v>
      </c>
      <c r="D2300" s="196" t="str">
        <f>IFERROR(__xludf.DUMMYFUNCTION("""COMPUTED_VALUE"""),"1 UNIT 1.0 HP WALL MOUNTED TYPE INVERTER PANASONIC")</f>
        <v>1 UNIT 1.0 HP WALL MOUNTED TYPE INVERTER PANASONIC</v>
      </c>
      <c r="E2300" s="196" t="str">
        <f>IFERROR(__xludf.DUMMYFUNCTION("""COMPUTED_VALUE"""),"ADDITIONAL ACU FOR CITE OFFICE SIR ARIS CUBICLE")</f>
        <v>ADDITIONAL ACU FOR CITE OFFICE SIR ARIS CUBICLE</v>
      </c>
    </row>
    <row r="2301">
      <c r="A2301" s="234">
        <f>IFERROR(__xludf.DUMMYFUNCTION("""COMPUTED_VALUE"""),107134.0)</f>
        <v>107134</v>
      </c>
      <c r="B2301" s="235" t="str">
        <f>IFERROR(__xludf.DUMMYFUNCTION("""COMPUTED_VALUE"""),"VYE REVOLTAR")</f>
        <v>VYE REVOLTAR</v>
      </c>
      <c r="C2301" s="235" t="str">
        <f>IFERROR(__xludf.DUMMYFUNCTION("""COMPUTED_VALUE"""),"CEM OFFICE")</f>
        <v>CEM OFFICE</v>
      </c>
      <c r="D2301" s="196" t="str">
        <f>IFERROR(__xludf.DUMMYFUNCTION("""COMPUTED_VALUE"""),"MONARCHS DIGEST COLORED  (QTY WILL BE DETERMINED ONCE THERE ARE QUOTATIONS FOR 500 PCS, 1000 PCS. AND 1500 PCS. BASED ON THE SPECS) ")</f>
        <v>MONARCHS DIGEST COLORED  (QTY WILL BE DETERMINED ONCE THERE ARE QUOTATIONS FOR 500 PCS, 1000 PCS. AND 1500 PCS. BASED ON THE SPECS) </v>
      </c>
      <c r="E2301" s="196" t="str">
        <f>IFERROR(__xludf.DUMMYFUNCTION("""COMPUTED_VALUE"""),"FOR SAMPLE")</f>
        <v>FOR SAMPLE</v>
      </c>
    </row>
    <row r="2302">
      <c r="A2302" s="234">
        <f>IFERROR(__xludf.DUMMYFUNCTION("""COMPUTED_VALUE"""),107135.0)</f>
        <v>107135</v>
      </c>
      <c r="B2302" s="235" t="str">
        <f>IFERROR(__xludf.DUMMYFUNCTION("""COMPUTED_VALUE"""),"CHARLES LEBECO DONOR")</f>
        <v>CHARLES LEBECO DONOR</v>
      </c>
      <c r="C2302" s="235" t="str">
        <f>IFERROR(__xludf.DUMMYFUNCTION("""COMPUTED_VALUE"""),"AMD")</f>
        <v>AMD</v>
      </c>
      <c r="D2302" s="196" t="str">
        <f>IFERROR(__xludf.DUMMYFUNCTION("""COMPUTED_VALUE"""),"PENS-PAN-10-0001        Ballpen, Panda Black        240        PCS.
PENS-PAN-10-0002        Ballpen, Panda Blue        240        PCS.
PENS-PAN-10-0003        Ballpen, Panda Red        240        PCS.
PENS-PAN-10-0004        Ballpen, Panda Green        24"&amp;"0        PCS.
ERAS-STE-10-0001        Eraser, Whiteboard - Sterling        155        PCS.
ERAS-JOY-10-0001        Correction Tape, Joy        240        PCS.
PAPR-GEN-10-0032        Pad Paper, Yellow (per pad)        230        PADS
PENS-PIL-10-0007     "&amp;"   Pen, Sign - Pilot BX-V5 Black        240        PCS.
PENS-PIL-10-0012        Pen, Sign - Pilot BX-V5 Green        240        PCS.")</f>
        <v>PENS-PAN-10-0001        Ballpen, Panda Black        240        PCS.
PENS-PAN-10-0002        Ballpen, Panda Blue        240        PCS.
PENS-PAN-10-0003        Ballpen, Panda Red        240        PCS.
PENS-PAN-10-0004        Ballpen, Panda Green        240        PCS.
ERAS-STE-10-0001        Eraser, Whiteboard - Sterling        155        PCS.
ERAS-JOY-10-0001        Correction Tape, Joy        240        PCS.
PAPR-GEN-10-0032        Pad Paper, Yellow (per pad)        230        PADS
PENS-PIL-10-0007        Pen, Sign - Pilot BX-V5 Black        240        PCS.
PENS-PIL-10-0012        Pen, Sign - Pilot BX-V5 Green        240        PCS.</v>
      </c>
      <c r="E2302" s="196" t="str">
        <f>IFERROR(__xludf.DUMMYFUNCTION("""COMPUTED_VALUE"""),"FOR TEACHERS SUPPLIES")</f>
        <v>FOR TEACHERS SUPPLIES</v>
      </c>
    </row>
    <row r="2303">
      <c r="A2303" s="234">
        <f>IFERROR(__xludf.DUMMYFUNCTION("""COMPUTED_VALUE"""),107136.0)</f>
        <v>107136</v>
      </c>
      <c r="B2303" s="235" t="str">
        <f>IFERROR(__xludf.DUMMYFUNCTION("""COMPUTED_VALUE"""),"CHARLES LEBECO DONOR")</f>
        <v>CHARLES LEBECO DONOR</v>
      </c>
      <c r="C2303" s="235" t="str">
        <f>IFERROR(__xludf.DUMMYFUNCTION("""COMPUTED_VALUE"""),"AMD")</f>
        <v>AMD</v>
      </c>
      <c r="D2303" s="196" t="str">
        <f>IFERROR(__xludf.DUMMYFUNCTION("""COMPUTED_VALUE"""),"INKS-PIL-10-0004        Ink, Whiteboard Marker - Pilot Black        25        PCS.
INKS-PIL-10-0005        Ink, Whiteboard Marker - Pilot Blue        25        PCS.
INKS-PIL-10-0006        Ink, Whiteboard Marker - Pilot Red        25        PCS.
INKS-PIL-"&amp;"10-0001        Ink, Permanent Marker - Pilot Black        25        PCS.
INKS-PIL-10-0002        Ink, Permanent Marker - Pilot Blue        25        PCS.
INKS-PIL-10-0003        Ink, Permanent Marker - Pilot Red        25        PCS.")</f>
        <v>INKS-PIL-10-0004        Ink, Whiteboard Marker - Pilot Black        25        PCS.
INKS-PIL-10-0005        Ink, Whiteboard Marker - Pilot Blue        25        PCS.
INKS-PIL-10-0006        Ink, Whiteboard Marker - Pilot Red        25        PCS.
INKS-PIL-10-0001        Ink, Permanent Marker - Pilot Black        25        PCS.
INKS-PIL-10-0002        Ink, Permanent Marker - Pilot Blue        25        PCS.
INKS-PIL-10-0003        Ink, Permanent Marker - Pilot Red        25        PCS.</v>
      </c>
      <c r="E2303" s="196" t="str">
        <f>IFERROR(__xludf.DUMMYFUNCTION("""COMPUTED_VALUE"""),"FOR TEACHERS SUPPLIES")</f>
        <v>FOR TEACHERS SUPPLIES</v>
      </c>
    </row>
    <row r="2304">
      <c r="A2304" s="234">
        <f>IFERROR(__xludf.DUMMYFUNCTION("""COMPUTED_VALUE"""),107137.0)</f>
        <v>107137</v>
      </c>
      <c r="B2304" s="235" t="str">
        <f>IFERROR(__xludf.DUMMYFUNCTION("""COMPUTED_VALUE"""),"CHARLES LEBECO DONOR")</f>
        <v>CHARLES LEBECO DONOR</v>
      </c>
      <c r="C2304" s="235" t="str">
        <f>IFERROR(__xludf.DUMMYFUNCTION("""COMPUTED_VALUE"""),"AMD")</f>
        <v>AMD</v>
      </c>
      <c r="D2304" s="196" t="str">
        <f>IFERROR(__xludf.DUMMYFUNCTION("""COMPUTED_VALUE"""),"MARK-PIL-10-0001        Marker, Pilot Permanent Broad - Black        230        PCS.
MARK-PIL-10-0002        Marker, Pilot Permanent Broad - Blue        230        PCS.
MARK-PIL-10-0003        Marker, Pilot Permanent Broad - Red        230        PCS.
MAR"&amp;"K-PIL-10-0005        Marker, Pilot Permanent Fine - Blue        230        PCS.
MARK-PIL-10-0006        Marker, Pilot Permanent Fine - Red        230        PCS.
MARK-PIL-10-0007        Marker, Pilot Whiteboard - Black        250        PCS.
MARK-PIL-10-0"&amp;"008        Marker, Pilot Whiteboard - Blue        250        PADS
MARK-PIL-10-0009        Marker, Pilot Whiteboard - Red        250        PCS.
MARK-PIL-10-0011        Marker, Pilot Permanent Fine - Black        230        PCS.")</f>
        <v>MARK-PIL-10-0001        Marker, Pilot Permanent Broad - Black        230        PCS.
MARK-PIL-10-0002        Marker, Pilot Permanent Broad - Blue        230        PCS.
MARK-PIL-10-0003        Marker, Pilot Permanent Broad - Red        230        PCS.
MARK-PIL-10-0005        Marker, Pilot Permanent Fine - Blue        230        PCS.
MARK-PIL-10-0006        Marker, Pilot Permanent Fine - Red        230        PCS.
MARK-PIL-10-0007        Marker, Pilot Whiteboard - Black        250        PCS.
MARK-PIL-10-0008        Marker, Pilot Whiteboard - Blue        250        PADS
MARK-PIL-10-0009        Marker, Pilot Whiteboard - Red        250        PCS.
MARK-PIL-10-0011        Marker, Pilot Permanent Fine - Black        230        PCS.</v>
      </c>
      <c r="E2304" s="196" t="str">
        <f>IFERROR(__xludf.DUMMYFUNCTION("""COMPUTED_VALUE"""),"FOR TEACHERS SUPPLIES")</f>
        <v>FOR TEACHERS SUPPLIES</v>
      </c>
    </row>
    <row r="2305">
      <c r="A2305" s="234">
        <f>IFERROR(__xludf.DUMMYFUNCTION("""COMPUTED_VALUE"""),107138.0)</f>
        <v>107138</v>
      </c>
      <c r="B2305" s="235" t="str">
        <f>IFERROR(__xludf.DUMMYFUNCTION("""COMPUTED_VALUE"""),"CHARLES LEBECO DONOR")</f>
        <v>CHARLES LEBECO DONOR</v>
      </c>
      <c r="C2305" s="235" t="str">
        <f>IFERROR(__xludf.DUMMYFUNCTION("""COMPUTED_VALUE"""),"AMD")</f>
        <v>AMD</v>
      </c>
      <c r="D2305" s="196" t="str">
        <f>IFERROR(__xludf.DUMMYFUNCTION("""COMPUTED_VALUE"""),"PAPR-AVI-10-0001        Paper, Colored Fortune Blue        510        PCS.
PAPR-AVI-10-0002        Paper, Colored Fortune Green        510        PCS.
PAPR-AVI-10-0003        Paper, Colored Fortune Orange        510        PCS.
PAPR-AVI-10-0004        Pap"&amp;"er, Colored Fortune Red        510        PCS.
PAPR-AVI-10-0005        Paper, Colored Fortune Violet        510        PCS.
PAPR-AVI-10-0006        Paper, Colored Fortune Yellow        510        PCS.
PAPR-AVI-10-0007        Paper, Colored Fortune Pink   "&amp;"     510        PADS
CART-GEN-10-0001        Cartolina, Black        370        PCS.
CART-GEN-10-0007        Cartolina, White        370        PCS.
CART-GEN-10-0009        Cartolina, Neon Blue        370        PCS.
CART-GEN-10-0010        Cartolina, Neo"&amp;"n Green        370        PCS.
CART-GEN-10-0011        Cartolina, Neon Orange        370        PCS.
CART-GEN-10-0012        Cartolina, Neon Pink        370        PCS.
CART-GEN-10-0013        Cartolina, Neon Yellow        370        PCS.
GLUE-ELM-10-0003"&amp;"        Glue, Elmer's - 130gs (OSSUP)        90        PCS.
PAPR-GEN-10-0024        Paper, Manila - 37 X 45        450        PCS.
MARK-PIL-10-0011        Marker, Pilot Permanent Fine - Black        90        PCS.
MARK-PIL-10-0005        Marker, Pilot Per"&amp;"manent Fine - Blue        90        PCS.
MARK-PIL-10-0006        Marker, Pilot Permanent Fine - Red        90        PCS.
TAPE-GEN-10-0002        Tape, 3M Masking Tape Big (1"")        320        PCS.
COVR-GEN-10-0002        Plastic Cover, Gauge 4 48'W (p"&amp;"er meter)        320        PCS.
STPL-MAX-10-0002        Staple Wire, Max #35- 5M (Box of 5000pcs)        90        PCS.")</f>
        <v>PAPR-AVI-10-0001        Paper, Colored Fortune Blue        510        PCS.
PAPR-AVI-10-0002        Paper, Colored Fortune Green        510        PCS.
PAPR-AVI-10-0003        Paper, Colored Fortune Orange        510        PCS.
PAPR-AVI-10-0004        Paper, Colored Fortune Red        510        PCS.
PAPR-AVI-10-0005        Paper, Colored Fortune Violet        510        PCS.
PAPR-AVI-10-0006        Paper, Colored Fortune Yellow        510        PCS.
PAPR-AVI-10-0007        Paper, Colored Fortune Pink        510        PADS
CART-GEN-10-0001        Cartolina, Black        370        PCS.
CART-GEN-10-0007        Cartolina, White        370        PCS.
CART-GEN-10-0009        Cartolina, Neon Blue        370        PCS.
CART-GEN-10-0010        Cartolina, Neon Green        370        PCS.
CART-GEN-10-0011        Cartolina, Neon Orange        370        PCS.
CART-GEN-10-0012        Cartolina, Neon Pink        370        PCS.
CART-GEN-10-0013        Cartolina, Neon Yellow        370        PCS.
GLUE-ELM-10-0003        Glue, Elmer's - 130gs (OSSUP)        90        PCS.
PAPR-GEN-10-0024        Paper, Manila - 37 X 45        450        PCS.
MARK-PIL-10-0011        Marker, Pilot Permanent Fine - Black        90        PCS.
MARK-PIL-10-0005        Marker, Pilot Permanent Fine - Blue        90        PCS.
MARK-PIL-10-0006        Marker, Pilot Permanent Fine - Red        90        PCS.
TAPE-GEN-10-0002        Tape, 3M Masking Tape Big (1")        320        PCS.
COVR-GEN-10-0002        Plastic Cover, Gauge 4 48'W (per meter)        320        PCS.
STPL-MAX-10-0002        Staple Wire, Max #35- 5M (Box of 5000pcs)        90        PCS.</v>
      </c>
      <c r="E2305" s="196" t="str">
        <f>IFERROR(__xludf.DUMMYFUNCTION("""COMPUTED_VALUE"""),"FOR CLASSROOM DECORATIONS")</f>
        <v>FOR CLASSROOM DECORATIONS</v>
      </c>
    </row>
    <row r="2306">
      <c r="A2306" s="234">
        <f>IFERROR(__xludf.DUMMYFUNCTION("""COMPUTED_VALUE"""),107139.0)</f>
        <v>107139</v>
      </c>
      <c r="B2306" s="235" t="str">
        <f>IFERROR(__xludf.DUMMYFUNCTION("""COMPUTED_VALUE"""),"OWIE PAR")</f>
        <v>OWIE PAR</v>
      </c>
      <c r="C2306" s="235" t="str">
        <f>IFERROR(__xludf.DUMMYFUNCTION("""COMPUTED_VALUE"""),"ENGINEERING")</f>
        <v>ENGINEERING</v>
      </c>
      <c r="D2306" s="196" t="str">
        <f>IFERROR(__xludf.DUMMYFUNCTION("""COMPUTED_VALUE"""),"1 ROLL CHEMICAL BRAIDED HOSE #2")</f>
        <v>1 ROLL CHEMICAL BRAIDED HOSE #2</v>
      </c>
      <c r="E2306" s="196" t="str">
        <f>IFERROR(__xludf.DUMMYFUNCTION("""COMPUTED_VALUE"""),"FOR SUBMERSIBLE PUMP CLEANING OF CISTERN")</f>
        <v>FOR SUBMERSIBLE PUMP CLEANING OF CISTERN</v>
      </c>
    </row>
    <row r="2307">
      <c r="A2307" s="234">
        <f>IFERROR(__xludf.DUMMYFUNCTION("""COMPUTED_VALUE"""),107140.0)</f>
        <v>107140</v>
      </c>
      <c r="B2307" s="235" t="str">
        <f>IFERROR(__xludf.DUMMYFUNCTION("""COMPUTED_VALUE"""),"ARMIE ABABA")</f>
        <v>ARMIE ABABA</v>
      </c>
      <c r="C2307" s="235" t="str">
        <f>IFERROR(__xludf.DUMMYFUNCTION("""COMPUTED_VALUE"""),"IB")</f>
        <v>IB</v>
      </c>
      <c r="D2307" s="196" t="str">
        <f>IFERROR(__xludf.DUMMYFUNCTION("""COMPUTED_VALUE"""),"3 T1-84 TEXAS INSTRUMENTS")</f>
        <v>3 T1-84 TEXAS INSTRUMENTS</v>
      </c>
      <c r="E2307" s="196" t="str">
        <f>IFERROR(__xludf.DUMMYFUNCTION("""COMPUTED_VALUE"""),"IB MATH AND PHYSICS TEACHERS DO NOT HAVE THEIR OWN CALCULATORS THAT IS USED BY STUDENTS AND IN CLASS")</f>
        <v>IB MATH AND PHYSICS TEACHERS DO NOT HAVE THEIR OWN CALCULATORS THAT IS USED BY STUDENTS AND IN CLASS</v>
      </c>
    </row>
    <row r="2308">
      <c r="A2308" s="234">
        <f>IFERROR(__xludf.DUMMYFUNCTION("""COMPUTED_VALUE"""),107141.0)</f>
        <v>107141</v>
      </c>
      <c r="B2308" s="235" t="str">
        <f>IFERROR(__xludf.DUMMYFUNCTION("""COMPUTED_VALUE"""),"RODRIGO CUSTODIO")</f>
        <v>RODRIGO CUSTODIO</v>
      </c>
      <c r="C2308" s="235" t="str">
        <f>IFERROR(__xludf.DUMMYFUNCTION("""COMPUTED_VALUE"""),"AMD")</f>
        <v>AMD</v>
      </c>
      <c r="D2308" s="196" t="str">
        <f>IFERROR(__xludf.DUMMYFUNCTION("""COMPUTED_VALUE"""),"1440 ROLLS TISSUE JUMBO ROLL 200 METERS")</f>
        <v>1440 ROLLS TISSUE JUMBO ROLL 200 METERS</v>
      </c>
      <c r="E2308" s="196" t="str">
        <f>IFERROR(__xludf.DUMMYFUNCTION("""COMPUTED_VALUE"""),"HOUSEKEEPING MATERIALS STOCK REPLENISHMENT")</f>
        <v>HOUSEKEEPING MATERIALS STOCK REPLENISHMENT</v>
      </c>
    </row>
    <row r="2309">
      <c r="A2309" s="234">
        <f>IFERROR(__xludf.DUMMYFUNCTION("""COMPUTED_VALUE"""),107142.0)</f>
        <v>107142</v>
      </c>
      <c r="B2309" s="235" t="str">
        <f>IFERROR(__xludf.DUMMYFUNCTION("""COMPUTED_VALUE"""),"OWIE PAR")</f>
        <v>OWIE PAR</v>
      </c>
      <c r="C2309" s="235" t="str">
        <f>IFERROR(__xludf.DUMMYFUNCTION("""COMPUTED_VALUE"""),"ENGINEERING")</f>
        <v>ENGINEERING</v>
      </c>
      <c r="D2309" s="196" t="str">
        <f>IFERROR(__xludf.DUMMYFUNCTION("""COMPUTED_VALUE"""),"1 UNIT 3.0 HP WALL MOUNTED PANASONIC INVERTER R32 FOR 317
1 UNIT 2.0 HP CEILING CASSETTE TYPE PANASONIC INVERER R32 CAPS OFFICE")</f>
        <v>1 UNIT 3.0 HP WALL MOUNTED PANASONIC INVERTER R32 FOR 317
1 UNIT 2.0 HP CEILING CASSETTE TYPE PANASONIC INVERER R32 CAPS OFFICE</v>
      </c>
      <c r="E2309" s="196" t="str">
        <f>IFERROR(__xludf.DUMMYFUNCTION("""COMPUTED_VALUE"""),"LUX K-12 CAPS OFFICE LUX RM 317 REPLACEMENT")</f>
        <v>LUX K-12 CAPS OFFICE LUX RM 317 REPLACEMENT</v>
      </c>
    </row>
    <row r="2310">
      <c r="A2310" s="234">
        <f>IFERROR(__xludf.DUMMYFUNCTION("""COMPUTED_VALUE"""),107143.0)</f>
        <v>107143</v>
      </c>
      <c r="B2310" s="235" t="str">
        <f>IFERROR(__xludf.DUMMYFUNCTION("""COMPUTED_VALUE"""),"OWIE PAR")</f>
        <v>OWIE PAR</v>
      </c>
      <c r="C2310" s="235" t="str">
        <f>IFERROR(__xludf.DUMMYFUNCTION("""COMPUTED_VALUE"""),"ENGINEERING")</f>
        <v>ENGINEERING</v>
      </c>
      <c r="D2310" s="196" t="str">
        <f>IFERROR(__xludf.DUMMYFUNCTION("""COMPUTED_VALUE"""),"4 PCS PPR PIPE 1/2 
2 PCS PPR MALE ADAPTOR 1/2
2 PCS PPR ELBOW 1/2
2 PCS PPR COUPLING 1/2")</f>
        <v>4 PCS PPR PIPE 1/2 
2 PCS PPR MALE ADAPTOR 1/2
2 PCS PPR ELBOW 1/2
2 PCS PPR COUPLING 1/2</v>
      </c>
      <c r="E2310" s="196" t="str">
        <f>IFERROR(__xludf.DUMMYFUNCTION("""COMPUTED_VALUE"""),"MONRACH GYM REPAIR OF WATER LINE LEAKS")</f>
        <v>MONRACH GYM REPAIR OF WATER LINE LEAKS</v>
      </c>
    </row>
    <row r="2311">
      <c r="A2311" s="234">
        <f>IFERROR(__xludf.DUMMYFUNCTION("""COMPUTED_VALUE"""),107144.0)</f>
        <v>107144</v>
      </c>
      <c r="B2311" s="235" t="str">
        <f>IFERROR(__xludf.DUMMYFUNCTION("""COMPUTED_VALUE"""),"SHEREE ESPINOSA")</f>
        <v>SHEREE ESPINOSA</v>
      </c>
      <c r="C2311" s="235" t="str">
        <f>IFERROR(__xludf.DUMMYFUNCTION("""COMPUTED_VALUE"""),"ADMIN")</f>
        <v>ADMIN</v>
      </c>
      <c r="D2311" s="196" t="str">
        <f>IFERROR(__xludf.DUMMYFUNCTION("""COMPUTED_VALUE"""),"9 UNITS CANTILEVER UMBRELLA WITH LIGHT 3X3 METERS DARK GREEN - CANCEL ")</f>
        <v>9 UNITS CANTILEVER UMBRELLA WITH LIGHT 3X3 METERS DARK GREEN - CANCEL </v>
      </c>
      <c r="E2311" s="196" t="str">
        <f>IFERROR(__xludf.DUMMYFUNCTION("""COMPUTED_VALUE"""),"IMPROVEMENT OF PARASOL IN MONARCHS PARK ")</f>
        <v>IMPROVEMENT OF PARASOL IN MONARCHS PARK </v>
      </c>
    </row>
    <row r="2312">
      <c r="A2312" s="234">
        <f>IFERROR(__xludf.DUMMYFUNCTION("""COMPUTED_VALUE"""),107145.0)</f>
        <v>107145</v>
      </c>
      <c r="B2312" s="235" t="str">
        <f>IFERROR(__xludf.DUMMYFUNCTION("""COMPUTED_VALUE"""),"MYRNA RULONA")</f>
        <v>MYRNA RULONA</v>
      </c>
      <c r="C2312" s="235" t="str">
        <f>IFERROR(__xludf.DUMMYFUNCTION("""COMPUTED_VALUE"""),"LANDSCAPING")</f>
        <v>LANDSCAPING</v>
      </c>
      <c r="D2312" s="196" t="str">
        <f>IFERROR(__xludf.DUMMYFUNCTION("""COMPUTED_VALUE"""),"40 PCS FORGET ME NOT
4 PCS SCISSORS 
6 PCS RUBBER TREE 3FT
3 SACKS DRIED MOSS
50 SACKS SAND
2 LITERS WARATE INSECTICIDE")</f>
        <v>40 PCS FORGET ME NOT
4 PCS SCISSORS 
6 PCS RUBBER TREE 3FT
3 SACKS DRIED MOSS
50 SACKS SAND
2 LITERS WARATE INSECTICIDE</v>
      </c>
      <c r="E2312" s="196" t="str">
        <f>IFERROR(__xludf.DUMMYFUNCTION("""COMPUTED_VALUE"""),"PLANTS FOR TROPICAL CAMPUS, TROPICAL STREET")</f>
        <v>PLANTS FOR TROPICAL CAMPUS, TROPICAL STREET</v>
      </c>
    </row>
    <row r="2313">
      <c r="A2313" s="234">
        <f>IFERROR(__xludf.DUMMYFUNCTION("""COMPUTED_VALUE"""),107146.0)</f>
        <v>107146</v>
      </c>
      <c r="B2313" s="235" t="str">
        <f>IFERROR(__xludf.DUMMYFUNCTION("""COMPUTED_VALUE"""),"MYRNA RULONA")</f>
        <v>MYRNA RULONA</v>
      </c>
      <c r="C2313" s="235" t="str">
        <f>IFERROR(__xludf.DUMMYFUNCTION("""COMPUTED_VALUE"""),"LANDSCAPING")</f>
        <v>LANDSCAPING</v>
      </c>
      <c r="D2313" s="196" t="str">
        <f>IFERROR(__xludf.DUMMYFUNCTION("""COMPUTED_VALUE"""),"80 PCS PICARA PLANTS 
60 PCS MAKI PLANTS
70 PCS BOSTON FERN
30 PCS ORLANDO PLANTS
80 PCS SMOKE PLANTS 
60 PCS LIRIO GREEN")</f>
        <v>80 PCS PICARA PLANTS 
60 PCS MAKI PLANTS
70 PCS BOSTON FERN
30 PCS ORLANDO PLANTS
80 PCS SMOKE PLANTS 
60 PCS LIRIO GREEN</v>
      </c>
      <c r="E2313" s="196" t="str">
        <f>IFERROR(__xludf.DUMMYFUNCTION("""COMPUTED_VALUE"""),"ADDITIONAL PLANTS FOR THE SOUTHVILLE CAMPUS MONARCHS PARK")</f>
        <v>ADDITIONAL PLANTS FOR THE SOUTHVILLE CAMPUS MONARCHS PARK</v>
      </c>
    </row>
    <row r="2314">
      <c r="A2314" s="234">
        <f>IFERROR(__xludf.DUMMYFUNCTION("""COMPUTED_VALUE"""),107147.0)</f>
        <v>107147</v>
      </c>
      <c r="B2314" s="235" t="str">
        <f>IFERROR(__xludf.DUMMYFUNCTION("""COMPUTED_VALUE"""),"MYRNA RULONA")</f>
        <v>MYRNA RULONA</v>
      </c>
      <c r="C2314" s="235" t="str">
        <f>IFERROR(__xludf.DUMMYFUNCTION("""COMPUTED_VALUE"""),"LANDSCAPING")</f>
        <v>LANDSCAPING</v>
      </c>
      <c r="D2314" s="196" t="str">
        <f>IFERROR(__xludf.DUMMYFUNCTION("""COMPUTED_VALUE"""),"2 BOTTLES METAL POLISH 
50 PCS GOLDEN DURANTA PLANTS
20 PCS WHITE POTS SMALL
20 PCS WHITE POTS MEDIUM
20 PCS WHITE POTS LARGE")</f>
        <v>2 BOTTLES METAL POLISH 
50 PCS GOLDEN DURANTA PLANTS
20 PCS WHITE POTS SMALL
20 PCS WHITE POTS MEDIUM
20 PCS WHITE POTS LARGE</v>
      </c>
      <c r="E2314" s="196" t="str">
        <f>IFERROR(__xludf.DUMMYFUNCTION("""COMPUTED_VALUE"""),"SUPPLIES FOR THE LANDSCAPPING")</f>
        <v>SUPPLIES FOR THE LANDSCAPPING</v>
      </c>
    </row>
    <row r="2315">
      <c r="A2315" s="234">
        <f>IFERROR(__xludf.DUMMYFUNCTION("""COMPUTED_VALUE"""),107148.0)</f>
        <v>107148</v>
      </c>
      <c r="B2315" s="235" t="str">
        <f>IFERROR(__xludf.DUMMYFUNCTION("""COMPUTED_VALUE"""),"MYRNA RULONA")</f>
        <v>MYRNA RULONA</v>
      </c>
      <c r="C2315" s="235" t="str">
        <f>IFERROR(__xludf.DUMMYFUNCTION("""COMPUTED_VALUE"""),"LANDSCAPING")</f>
        <v>LANDSCAPING</v>
      </c>
      <c r="D2315" s="196" t="str">
        <f>IFERROR(__xludf.DUMMYFUNCTION("""COMPUTED_VALUE"""),"12 SM GIFT PASS
27 SM GIFT PASS ")</f>
        <v>12 SM GIFT PASS
27 SM GIFT PASS </v>
      </c>
      <c r="E2315" s="196" t="str">
        <f>IFERROR(__xludf.DUMMYFUNCTION("""COMPUTED_VALUE"""),"TOKEN OF APPRECIATION FOR THE 5 STAR AUDIT GUIDES AND AUDITORS FOR AY 25-26")</f>
        <v>TOKEN OF APPRECIATION FOR THE 5 STAR AUDIT GUIDES AND AUDITORS FOR AY 25-26</v>
      </c>
    </row>
    <row r="2316">
      <c r="A2316" s="234">
        <f>IFERROR(__xludf.DUMMYFUNCTION("""COMPUTED_VALUE"""),107149.0)</f>
        <v>107149</v>
      </c>
      <c r="B2316" s="235" t="str">
        <f>IFERROR(__xludf.DUMMYFUNCTION("""COMPUTED_VALUE"""),"CARLITO DELA VEGA")</f>
        <v>CARLITO DELA VEGA</v>
      </c>
      <c r="C2316" s="235" t="str">
        <f>IFERROR(__xludf.DUMMYFUNCTION("""COMPUTED_VALUE"""),"SECURITY")</f>
        <v>SECURITY</v>
      </c>
      <c r="D2316" s="196" t="str">
        <f>IFERROR(__xludf.DUMMYFUNCTION("""COMPUTED_VALUE"""),"11 UNIT WALK THROUGH METAL DETECTOR 18 ZONE SENSITIVITY W/ INSTALLATION ")</f>
        <v>11 UNIT WALK THROUGH METAL DETECTOR 18 ZONE SENSITIVITY W/ INSTALLATION </v>
      </c>
      <c r="E2316" s="196" t="str">
        <f>IFERROR(__xludf.DUMMYFUNCTION("""COMPUTED_VALUE"""),"SECURITY MANAGEMENT")</f>
        <v>SECURITY MANAGEMENT</v>
      </c>
    </row>
    <row r="2317">
      <c r="A2317" s="234">
        <f>IFERROR(__xludf.DUMMYFUNCTION("""COMPUTED_VALUE"""),107150.0)</f>
        <v>107150</v>
      </c>
      <c r="B2317" s="235" t="str">
        <f>IFERROR(__xludf.DUMMYFUNCTION("""COMPUTED_VALUE"""),"OWIE PAR")</f>
        <v>OWIE PAR</v>
      </c>
      <c r="C2317" s="235" t="str">
        <f>IFERROR(__xludf.DUMMYFUNCTION("""COMPUTED_VALUE"""),"ENGINEERING")</f>
        <v>ENGINEERING</v>
      </c>
      <c r="D2317" s="196" t="str">
        <f>IFERROR(__xludf.DUMMYFUNCTION("""COMPUTED_VALUE"""),"3 SET AIRCON OUTLET 
3 PCS UTILITY BOX
1ROLL THHN THWN #12
1ROLL FLEXSIBLE PIPE 75M 1/2
2 PCS FLAT BAR #1X3/16
2 PCS ANGLE BAR #1X3/16
1KG WELDING ROD
1 LITER EPOXY PRIMER W/ HARDENER 
1 BOTTLE LACQUER THINER
2PCS PAINT BRUSH # 11/2")</f>
        <v>3 SET AIRCON OUTLET 
3 PCS UTILITY BOX
1ROLL THHN THWN #12
1ROLL FLEXSIBLE PIPE 75M 1/2
2 PCS FLAT BAR #1X3/16
2 PCS ANGLE BAR #1X3/16
1KG WELDING ROD
1 LITER EPOXY PRIMER W/ HARDENER 
1 BOTTLE LACQUER THINER
2PCS PAINT BRUSH # 11/2</v>
      </c>
      <c r="E2317" s="196" t="str">
        <f>IFERROR(__xludf.DUMMYFUNCTION("""COMPUTED_VALUE"""),"FOR ACU INSTALLATION AT ANNEX STAR CAMPUS")</f>
        <v>FOR ACU INSTALLATION AT ANNEX STAR CAMPUS</v>
      </c>
    </row>
    <row r="2318">
      <c r="A2318" s="234">
        <f>IFERROR(__xludf.DUMMYFUNCTION("""COMPUTED_VALUE"""),107151.0)</f>
        <v>107151</v>
      </c>
      <c r="B2318" s="235" t="str">
        <f>IFERROR(__xludf.DUMMYFUNCTION("""COMPUTED_VALUE"""),"SHEREE ESPINOSA")</f>
        <v>SHEREE ESPINOSA</v>
      </c>
      <c r="C2318" s="235" t="str">
        <f>IFERROR(__xludf.DUMMYFUNCTION("""COMPUTED_VALUE"""),"ADMIN")</f>
        <v>ADMIN</v>
      </c>
      <c r="D2318" s="196" t="str">
        <f>IFERROR(__xludf.DUMMYFUNCTION("""COMPUTED_VALUE"""),"40 PCS SWIVEL CHAIRS")</f>
        <v>40 PCS SWIVEL CHAIRS</v>
      </c>
      <c r="E2318" s="196" t="str">
        <f>IFERROR(__xludf.DUMMYFUNCTION("""COMPUTED_VALUE"""),"FOR COLLEGE AND K12 FACULTY AND RESERVED")</f>
        <v>FOR COLLEGE AND K12 FACULTY AND RESERVED</v>
      </c>
    </row>
    <row r="2319">
      <c r="A2319" s="234">
        <f>IFERROR(__xludf.DUMMYFUNCTION("""COMPUTED_VALUE"""),107152.0)</f>
        <v>107152</v>
      </c>
      <c r="B2319" s="235" t="str">
        <f>IFERROR(__xludf.DUMMYFUNCTION("""COMPUTED_VALUE"""),"JEVY TIMBANGAN")</f>
        <v>JEVY TIMBANGAN</v>
      </c>
      <c r="C2319" s="235" t="str">
        <f>IFERROR(__xludf.DUMMYFUNCTION("""COMPUTED_VALUE"""),"HRMD")</f>
        <v>HRMD</v>
      </c>
      <c r="D2319" s="196" t="str">
        <f>IFERROR(__xludf.DUMMYFUNCTION("""COMPUTED_VALUE"""),"1 FLOWER WREATH ")</f>
        <v>1 FLOWER WREATH </v>
      </c>
      <c r="E2319" s="196" t="str">
        <f>IFERROR(__xludf.DUMMYFUNCTION("""COMPUTED_VALUE"""),"BEREAVEMENT ASSISTANCE FOR SHEILA MAJAIT MOTHER ")</f>
        <v>BEREAVEMENT ASSISTANCE FOR SHEILA MAJAIT MOTHER </v>
      </c>
    </row>
    <row r="2320">
      <c r="A2320" s="234">
        <f>IFERROR(__xludf.DUMMYFUNCTION("""COMPUTED_VALUE"""),107153.0)</f>
        <v>107153</v>
      </c>
      <c r="B2320" s="235" t="str">
        <f>IFERROR(__xludf.DUMMYFUNCTION("""COMPUTED_VALUE"""),"LUCILLE BEYER")</f>
        <v>LUCILLE BEYER</v>
      </c>
      <c r="C2320" s="235" t="str">
        <f>IFERROR(__xludf.DUMMYFUNCTION("""COMPUTED_VALUE"""),"MEDICAL")</f>
        <v>MEDICAL</v>
      </c>
      <c r="D2320" s="196" t="str">
        <f>IFERROR(__xludf.DUMMYFUNCTION("""COMPUTED_VALUE"""),"300 pcs Biogesic
200 pcs Neozep non drowse
200 100 Cetirizine 10 mg (Note: Unit appears as ""100"" in the image, likely meaning 100 tablets per pack, but Qty is 200)
30 pcs Catapres
100 pcs Advil
100 pcs Kremil S
100 pcs Mefenamic Acid
"&amp;"
10 boxes Disposable face masks
40 boxes/10s Salonpas
40 pcs Hydrite (apple flavor)
20 pcs Calmoseptine cream
3 tubes Bactifree (Mupirucin) 20 mg/g
40 boxes Band aid (Mediplast) Bantam
5 300 balls/pack Cotton balls (Note: Unit is ""300 "&amp;"balls/pack"")
10 8/pack Strepsils (Orange &amp; Lemon Flavor) (Note: Unit is ""8/pack"")
5 200 tips/pack Babyflo (Note: Unit is ""200 tips/pack"")
2 250mg/5ml syrup Paracetamol Tempra (age: 15 &amp; above) (Note: Unit is ""250mg/5ml syrup"")
5 bots Ly"&amp;"sol (Orange/crisp linen) 681 ml
3 bots Joy dishwashing liquid 475 ml
10 bots White flower 20 ml
10 pcs pedia face mask with tubings for nebulization
10 pcs adult face mask with tubings for nebulization
3 bots/500 ml plain NSS for nebulizati"&amp;"on
3 bots/500 ml 0.9 sodium chloride solution for cleaning
3 50g/Bot. Vicks vaporub
3 100 pcs/box Disposable clean gloves (Med &amp; Large) (Nitrile)
60 pcs Salbutamol nebul (Hivent) ampule
100 pcs Sterile tongue depressor (individually wrapped"&amp;")
1 25s/box Test strips (one touch ultra flex)
")</f>
        <v>300 pcs Biogesic
200 pcs Neozep non drowse
200 100 Cetirizine 10 mg (Note: Unit appears as "100" in the image, likely meaning 100 tablets per pack, but Qty is 200)
30 pcs Catapres
100 pcs Advil
100 pcs Kremil S
100 pcs Mefenamic Acid
10 boxes Disposable face masks
40 boxes/10s Salonpas
40 pcs Hydrite (apple flavor)
20 pcs Calmoseptine cream
3 tubes Bactifree (Mupirucin) 20 mg/g
40 boxes Band aid (Mediplast) Bantam
5 300 balls/pack Cotton balls (Note: Unit is "300 balls/pack")
10 8/pack Strepsils (Orange &amp; Lemon Flavor) (Note: Unit is "8/pack")
5 200 tips/pack Babyflo (Note: Unit is "200 tips/pack")
2 250mg/5ml syrup Paracetamol Tempra (age: 15 &amp; above) (Note: Unit is "250mg/5ml syrup")
5 bots Lysol (Orange/crisp linen) 681 ml
3 bots Joy dishwashing liquid 475 ml
10 bots White flower 20 ml
10 pcs pedia face mask with tubings for nebulization
10 pcs adult face mask with tubings for nebulization
3 bots/500 ml plain NSS for nebulization
3 bots/500 ml 0.9 sodium chloride solution for cleaning
3 50g/Bot. Vicks vaporub
3 100 pcs/box Disposable clean gloves (Med &amp; Large) (Nitrile)
60 pcs Salbutamol nebul (Hivent) ampule
100 pcs Sterile tongue depressor (individually wrapped)
1 25s/box Test strips (one touch ultra flex)
</v>
      </c>
      <c r="E2320" s="196" t="str">
        <f>IFERROR(__xludf.DUMMYFUNCTION("""COMPUTED_VALUE"""),"REPLENISHMENT OF CLINIC MEDS + SUPPLIES FOR THE MONTH OF AUG + SEPT")</f>
        <v>REPLENISHMENT OF CLINIC MEDS + SUPPLIES FOR THE MONTH OF AUG + SEPT</v>
      </c>
    </row>
    <row r="2321">
      <c r="A2321" s="234">
        <f>IFERROR(__xludf.DUMMYFUNCTION("""COMPUTED_VALUE"""),107154.0)</f>
        <v>107154</v>
      </c>
      <c r="B2321" s="235" t="str">
        <f>IFERROR(__xludf.DUMMYFUNCTION("""COMPUTED_VALUE"""),"JANNAH ARGOTE")</f>
        <v>JANNAH ARGOTE</v>
      </c>
      <c r="C2321" s="235" t="str">
        <f>IFERROR(__xludf.DUMMYFUNCTION("""COMPUTED_VALUE"""),"PR &amp; MARKETING")</f>
        <v>PR &amp; MARKETING</v>
      </c>
      <c r="D2321" s="196" t="str">
        <f>IFERROR(__xludf.DUMMYFUNCTION("""COMPUTED_VALUE"""),"1 ISAC SEASON 3 FOOTBALL GIRLS
1 ISAC SEASON 3 BASKETBALL BOYS
1 ISAC SEASON20 OVERALL 
SIZE 18OZ 184 IN X 77IN ADD SEAMING AND EYELET ALL OVER")</f>
        <v>1 ISAC SEASON 3 FOOTBALL GIRLS
1 ISAC SEASON 3 BASKETBALL BOYS
1 ISAC SEASON20 OVERALL 
SIZE 18OZ 184 IN X 77IN ADD SEAMING AND EYELET ALL OVER</v>
      </c>
      <c r="E2321" s="196" t="str">
        <f>IFERROR(__xludf.DUMMYFUNCTION("""COMPUTED_VALUE"""),"CONGRATULATORY TARP")</f>
        <v>CONGRATULATORY TARP</v>
      </c>
    </row>
    <row r="2322">
      <c r="A2322" s="234">
        <f>IFERROR(__xludf.DUMMYFUNCTION("""COMPUTED_VALUE"""),107155.0)</f>
        <v>107155</v>
      </c>
      <c r="B2322" s="235" t="str">
        <f>IFERROR(__xludf.DUMMYFUNCTION("""COMPUTED_VALUE"""),"ANNABEL VASQUEZ")</f>
        <v>ANNABEL VASQUEZ</v>
      </c>
      <c r="C2322" s="235" t="str">
        <f>IFERROR(__xludf.DUMMYFUNCTION("""COMPUTED_VALUE"""),"DISCIPLINE BED")</f>
        <v>DISCIPLINE BED</v>
      </c>
      <c r="D2322" s="196" t="str">
        <f>IFERROR(__xludf.DUMMYFUNCTION("""COMPUTED_VALUE"""),"1900 STUDENT HANDBOOK FOR K12 AND IB FOR AY 26-27")</f>
        <v>1900 STUDENT HANDBOOK FOR K12 AND IB FOR AY 26-27</v>
      </c>
      <c r="E2322" s="196" t="str">
        <f>IFERROR(__xludf.DUMMYFUNCTION("""COMPUTED_VALUE"""),"TO BE GIVEN TO STUDENTS UPON THE START OF CLASSES AND DURING NSPO")</f>
        <v>TO BE GIVEN TO STUDENTS UPON THE START OF CLASSES AND DURING NSPO</v>
      </c>
    </row>
    <row r="2323">
      <c r="A2323" s="234">
        <f>IFERROR(__xludf.DUMMYFUNCTION("""COMPUTED_VALUE"""),107156.0)</f>
        <v>107156</v>
      </c>
      <c r="B2323" s="235" t="str">
        <f>IFERROR(__xludf.DUMMYFUNCTION("""COMPUTED_VALUE"""),"ANN DELA ISLA")</f>
        <v>ANN DELA ISLA</v>
      </c>
      <c r="C2323" s="235" t="str">
        <f>IFERROR(__xludf.DUMMYFUNCTION("""COMPUTED_VALUE"""),"I.B.")</f>
        <v>I.B.</v>
      </c>
      <c r="D2323" s="196" t="str">
        <f>IFERROR(__xludf.DUMMYFUNCTION("""COMPUTED_VALUE"""),"1 MEDICINE CABINET W/ FIRST AID SUPPLIES FOR SCILAB")</f>
        <v>1 MEDICINE CABINET W/ FIRST AID SUPPLIES FOR SCILAB</v>
      </c>
      <c r="E2323" s="196" t="str">
        <f>IFERROR(__xludf.DUMMYFUNCTION("""COMPUTED_VALUE"""),"FOR SCIENCE LAB")</f>
        <v>FOR SCIENCE LAB</v>
      </c>
    </row>
    <row r="2324">
      <c r="A2324" s="234">
        <f>IFERROR(__xludf.DUMMYFUNCTION("""COMPUTED_VALUE"""),107157.0)</f>
        <v>107157</v>
      </c>
      <c r="B2324" s="235" t="str">
        <f>IFERROR(__xludf.DUMMYFUNCTION("""COMPUTED_VALUE"""),"OWIE PAR")</f>
        <v>OWIE PAR</v>
      </c>
      <c r="C2324" s="235" t="str">
        <f>IFERROR(__xludf.DUMMYFUNCTION("""COMPUTED_VALUE"""),"ENGINEERING")</f>
        <v>ENGINEERING</v>
      </c>
      <c r="D2324" s="196" t="str">
        <f>IFERROR(__xludf.DUMMYFUNCTION("""COMPUTED_VALUE"""),"2 SETS LED SQUARE LIGHTS
8 SETS T5 LED DAYLIGHT ")</f>
        <v>2 SETS LED SQUARE LIGHTS
8 SETS T5 LED DAYLIGHT </v>
      </c>
      <c r="E2324" s="196" t="str">
        <f>IFERROR(__xludf.DUMMYFUNCTION("""COMPUTED_VALUE"""),"FOR PACIFIC COAST UNIT 1J MONTEREY")</f>
        <v>FOR PACIFIC COAST UNIT 1J MONTEREY</v>
      </c>
    </row>
    <row r="2325">
      <c r="A2325" s="234">
        <f>IFERROR(__xludf.DUMMYFUNCTION("""COMPUTED_VALUE"""),107158.0)</f>
        <v>107158</v>
      </c>
      <c r="B2325" s="235" t="str">
        <f>IFERROR(__xludf.DUMMYFUNCTION("""COMPUTED_VALUE"""),"OWIE PAR")</f>
        <v>OWIE PAR</v>
      </c>
      <c r="C2325" s="235" t="str">
        <f>IFERROR(__xludf.DUMMYFUNCTION("""COMPUTED_VALUE"""),"ENGINEERING")</f>
        <v>ENGINEERING</v>
      </c>
      <c r="D2325" s="196" t="str">
        <f>IFERROR(__xludf.DUMMYFUNCTION("""COMPUTED_VALUE"""),"1 UNIT ACU WINDOW TYPE 3/4 HP INVERTER")</f>
        <v>1 UNIT ACU WINDOW TYPE 3/4 HP INVERTER</v>
      </c>
      <c r="E2325" s="196" t="str">
        <f>IFERROR(__xludf.DUMMYFUNCTION("""COMPUTED_VALUE"""),"FOR PACIFIC COAST UNIT 1J MONTEREY")</f>
        <v>FOR PACIFIC COAST UNIT 1J MONTEREY</v>
      </c>
    </row>
    <row r="2326">
      <c r="A2326" s="234">
        <f>IFERROR(__xludf.DUMMYFUNCTION("""COMPUTED_VALUE"""),107159.0)</f>
        <v>107159</v>
      </c>
      <c r="B2326" s="235" t="str">
        <f>IFERROR(__xludf.DUMMYFUNCTION("""COMPUTED_VALUE"""),"OWIE PAR")</f>
        <v>OWIE PAR</v>
      </c>
      <c r="C2326" s="235" t="str">
        <f>IFERROR(__xludf.DUMMYFUNCTION("""COMPUTED_VALUE"""),"ENGINEERING")</f>
        <v>ENGINEERING</v>
      </c>
      <c r="D2326" s="196" t="str">
        <f>IFERROR(__xludf.DUMMYFUNCTION("""COMPUTED_VALUE"""),"1 SET PANIC DOOR DEVISE")</f>
        <v>1 SET PANIC DOOR DEVISE</v>
      </c>
      <c r="E2326" s="196" t="str">
        <f>IFERROR(__xludf.DUMMYFUNCTION("""COMPUTED_VALUE"""),"L-SHAPE BLDG. GROUND FLR FIRE EXIT ")</f>
        <v>L-SHAPE BLDG. GROUND FLR FIRE EXIT </v>
      </c>
    </row>
    <row r="2327">
      <c r="A2327" s="234">
        <f>IFERROR(__xludf.DUMMYFUNCTION("""COMPUTED_VALUE"""),107160.0)</f>
        <v>107160</v>
      </c>
      <c r="B2327" s="235" t="str">
        <f>IFERROR(__xludf.DUMMYFUNCTION("""COMPUTED_VALUE"""),"JOHN BENEDICT CARANAY")</f>
        <v>JOHN BENEDICT CARANAY</v>
      </c>
      <c r="C2327" s="235" t="str">
        <f>IFERROR(__xludf.DUMMYFUNCTION("""COMPUTED_VALUE"""),"CAPS COLLEGE")</f>
        <v>CAPS COLLEGE</v>
      </c>
      <c r="D2327" s="196" t="str">
        <f>IFERROR(__xludf.DUMMYFUNCTION("""COMPUTED_VALUE"""),"1 MMPI TEST
1 COPS CAREER TEST")</f>
        <v>1 MMPI TEST
1 COPS CAREER TEST</v>
      </c>
      <c r="E2327" s="196" t="str">
        <f>IFERROR(__xludf.DUMMYFUNCTION("""COMPUTED_VALUE"""),"TEST MATERIALS FOR CAPS")</f>
        <v>TEST MATERIALS FOR CAPS</v>
      </c>
    </row>
    <row r="2328">
      <c r="A2328" s="234">
        <f>IFERROR(__xludf.DUMMYFUNCTION("""COMPUTED_VALUE"""),107161.0)</f>
        <v>107161</v>
      </c>
      <c r="B2328" s="235" t="str">
        <f>IFERROR(__xludf.DUMMYFUNCTION("""COMPUTED_VALUE"""),"EMELYN CUNANAN")</f>
        <v>EMELYN CUNANAN</v>
      </c>
      <c r="C2328" s="235" t="str">
        <f>IFERROR(__xludf.DUMMYFUNCTION("""COMPUTED_VALUE"""),"AI ICT DEPT")</f>
        <v>AI ICT DEPT</v>
      </c>
      <c r="D2328" s="196" t="str">
        <f>IFERROR(__xludf.DUMMYFUNCTION("""COMPUTED_VALUE"""),"2 ACER LAPTOP ASPIRE 15")</f>
        <v>2 ACER LAPTOP ASPIRE 15</v>
      </c>
      <c r="E2328" s="196" t="str">
        <f>IFERROR(__xludf.DUMMYFUNCTION("""COMPUTED_VALUE"""),"FOR ROBOTICS COMPETITIONS GRADE SCHOOL TEAM")</f>
        <v>FOR ROBOTICS COMPETITIONS GRADE SCHOOL TEAM</v>
      </c>
    </row>
    <row r="2329">
      <c r="A2329" s="234">
        <f>IFERROR(__xludf.DUMMYFUNCTION("""COMPUTED_VALUE"""),107162.0)</f>
        <v>107162</v>
      </c>
      <c r="B2329" s="235" t="str">
        <f>IFERROR(__xludf.DUMMYFUNCTION("""COMPUTED_VALUE"""),"LYKA PERALTA")</f>
        <v>LYKA PERALTA</v>
      </c>
      <c r="C2329" s="235" t="str">
        <f>IFERROR(__xludf.DUMMYFUNCTION("""COMPUTED_VALUE"""),"AMD")</f>
        <v>AMD</v>
      </c>
      <c r="D2329" s="196" t="str">
        <f>IFERROR(__xludf.DUMMYFUNCTION("""COMPUTED_VALUE"""),"1296 PCS FOLDER PLASTIC COVER LONG
1296 PCS FOLDER WHITE LONG W/ SISC LOGO")</f>
        <v>1296 PCS FOLDER PLASTIC COVER LONG
1296 PCS FOLDER WHITE LONG W/ SISC LOGO</v>
      </c>
      <c r="E2329" s="196" t="str">
        <f>IFERROR(__xludf.DUMMYFUNCTION("""COMPUTED_VALUE"""),"STUDENT MATERIALS FOR AY 26-27")</f>
        <v>STUDENT MATERIALS FOR AY 26-27</v>
      </c>
    </row>
    <row r="2330">
      <c r="A2330" s="234">
        <f>IFERROR(__xludf.DUMMYFUNCTION("""COMPUTED_VALUE"""),107163.0)</f>
        <v>107163</v>
      </c>
      <c r="B2330" s="235" t="str">
        <f>IFERROR(__xludf.DUMMYFUNCTION("""COMPUTED_VALUE"""),"JORDAN JORDAN")</f>
        <v>JORDAN JORDAN</v>
      </c>
      <c r="C2330" s="235" t="str">
        <f>IFERROR(__xludf.DUMMYFUNCTION("""COMPUTED_VALUE"""),"ADMIN")</f>
        <v>ADMIN</v>
      </c>
      <c r="D2330" s="196" t="str">
        <f>IFERROR(__xludf.DUMMYFUNCTION("""COMPUTED_VALUE"""),"160 60X60 SAIGRES BASENTINA MATTE FLOOR TILE
100 PCS 20X120 WOOD TILE
1PC URINAL")</f>
        <v>160 60X60 SAIGRES BASENTINA MATTE FLOOR TILE
100 PCS 20X120 WOOD TILE
1PC URINAL</v>
      </c>
      <c r="E2330" s="196" t="str">
        <f>IFERROR(__xludf.DUMMYFUNCTION("""COMPUTED_VALUE"""),"ADDITIONAL MATERIALS FOR 4TH FLOOR SHS CLASSROOM")</f>
        <v>ADDITIONAL MATERIALS FOR 4TH FLOOR SHS CLASSROOM</v>
      </c>
    </row>
    <row r="2331">
      <c r="A2331" s="234">
        <f>IFERROR(__xludf.DUMMYFUNCTION("""COMPUTED_VALUE"""),107164.0)</f>
        <v>107164</v>
      </c>
      <c r="B2331" s="235" t="str">
        <f>IFERROR(__xludf.DUMMYFUNCTION("""COMPUTED_VALUE"""),"JORDAN JORDAN")</f>
        <v>JORDAN JORDAN</v>
      </c>
      <c r="C2331" s="235" t="str">
        <f>IFERROR(__xludf.DUMMYFUNCTION("""COMPUTED_VALUE"""),"ADMIN")</f>
        <v>ADMIN</v>
      </c>
      <c r="D2331" s="196" t="str">
        <f>IFERROR(__xludf.DUMMYFUNCTION("""COMPUTED_VALUE"""),"3 PCS WATERCLOSET")</f>
        <v>3 PCS WATERCLOSET</v>
      </c>
      <c r="E2331" s="196" t="str">
        <f>IFERROR(__xludf.DUMMYFUNCTION("""COMPUTED_VALUE"""),"REPLACEMENT OF OLD RESTROOM FIXTURES ")</f>
        <v>REPLACEMENT OF OLD RESTROOM FIXTURES </v>
      </c>
    </row>
    <row r="2332">
      <c r="A2332" s="234">
        <f>IFERROR(__xludf.DUMMYFUNCTION("""COMPUTED_VALUE"""),107165.0)</f>
        <v>107165</v>
      </c>
      <c r="B2332" s="235" t="str">
        <f>IFERROR(__xludf.DUMMYFUNCTION("""COMPUTED_VALUE"""),"JANNAH ARGOTE")</f>
        <v>JANNAH ARGOTE</v>
      </c>
      <c r="C2332" s="235" t="str">
        <f>IFERROR(__xludf.DUMMYFUNCTION("""COMPUTED_VALUE"""),"PR &amp; MARKETING")</f>
        <v>PR &amp; MARKETING</v>
      </c>
      <c r="D2332" s="196" t="str">
        <f>IFERROR(__xludf.DUMMYFUNCTION("""COMPUTED_VALUE"""),"1 ENTRANCE 305 X 197 CM 
1 NEAR BACK GATE 201 X 208 CM 
1 PARKING AREA 260 X 144 CM 
1 ROOF 288 X 120 IN 
18 OZ ALL KINDLY ADD SEAMING AND EYELET ALL OVER")</f>
        <v>1 ENTRANCE 305 X 197 CM 
1 NEAR BACK GATE 201 X 208 CM 
1 PARKING AREA 260 X 144 CM 
1 ROOF 288 X 120 IN 
18 OZ ALL KINDLY ADD SEAMING AND EYELET ALL OVER</v>
      </c>
      <c r="E2332" s="196" t="str">
        <f>IFERROR(__xludf.DUMMYFUNCTION("""COMPUTED_VALUE"""),"FOR SMIS PARAÑAQUE ADMISSION AND OPENING OF CLASS")</f>
        <v>FOR SMIS PARAÑAQUE ADMISSION AND OPENING OF CLASS</v>
      </c>
    </row>
    <row r="2333">
      <c r="A2333" s="234">
        <f>IFERROR(__xludf.DUMMYFUNCTION("""COMPUTED_VALUE"""),107166.0)</f>
        <v>107166</v>
      </c>
      <c r="B2333" s="235" t="str">
        <f>IFERROR(__xludf.DUMMYFUNCTION("""COMPUTED_VALUE"""),"LYKA PERALTA")</f>
        <v>LYKA PERALTA</v>
      </c>
      <c r="C2333" s="235" t="str">
        <f>IFERROR(__xludf.DUMMYFUNCTION("""COMPUTED_VALUE"""),"AMD")</f>
        <v>AMD</v>
      </c>
      <c r="D2333" s="196" t="str">
        <f>IFERROR(__xludf.DUMMYFUNCTION("""COMPUTED_VALUE"""),"75 PCS NOTEBOOK HIGH SCHOOL MATH ABSTRACT SMALL SQ
190 PCS PENCIL FABER CASTLE COLORED 12S")</f>
        <v>75 PCS NOTEBOOK HIGH SCHOOL MATH ABSTRACT SMALL SQ
190 PCS PENCIL FABER CASTLE COLORED 12S</v>
      </c>
      <c r="E2333" s="196" t="str">
        <f>IFERROR(__xludf.DUMMYFUNCTION("""COMPUTED_VALUE"""),"ADDITIONAL FOR STUDENT MATERIALS AY 26-27")</f>
        <v>ADDITIONAL FOR STUDENT MATERIALS AY 26-27</v>
      </c>
    </row>
    <row r="2334">
      <c r="A2334" s="234">
        <f>IFERROR(__xludf.DUMMYFUNCTION("""COMPUTED_VALUE"""),107167.0)</f>
        <v>107167</v>
      </c>
      <c r="B2334" s="235" t="str">
        <f>IFERROR(__xludf.DUMMYFUNCTION("""COMPUTED_VALUE"""),"SHARJAN GATCHALIAN")</f>
        <v>SHARJAN GATCHALIAN</v>
      </c>
      <c r="C2334" s="235" t="str">
        <f>IFERROR(__xludf.DUMMYFUNCTION("""COMPUTED_VALUE"""),"MIS")</f>
        <v>MIS</v>
      </c>
      <c r="D2334" s="196" t="str">
        <f>IFERROR(__xludf.DUMMYFUNCTION("""COMPUTED_VALUE"""),"1 NETGATE 6100 MAX PFSENSE SECURITY GATEWAY")</f>
        <v>1 NETGATE 6100 MAX PFSENSE SECURITY GATEWAY</v>
      </c>
      <c r="E2334" s="196" t="str">
        <f>IFERROR(__xludf.DUMMYFUNCTION("""COMPUTED_VALUE"""),"SGEN PFSENSE BACK UP UNIT")</f>
        <v>SGEN PFSENSE BACK UP UNIT</v>
      </c>
    </row>
    <row r="2335">
      <c r="A2335" s="234">
        <f>IFERROR(__xludf.DUMMYFUNCTION("""COMPUTED_VALUE"""),107168.0)</f>
        <v>107168</v>
      </c>
      <c r="B2335" s="235" t="str">
        <f>IFERROR(__xludf.DUMMYFUNCTION("""COMPUTED_VALUE"""),"SHARJAN GATCHALIAN")</f>
        <v>SHARJAN GATCHALIAN</v>
      </c>
      <c r="C2335" s="235" t="str">
        <f>IFERROR(__xludf.DUMMYFUNCTION("""COMPUTED_VALUE"""),"MIS")</f>
        <v>MIS</v>
      </c>
      <c r="D2335" s="196" t="str">
        <f>IFERROR(__xludf.DUMMYFUNCTION("""COMPUTED_VALUE"""),"2 NETGATE 8300 MAX PFSENSE + SECURITY GATEWAY")</f>
        <v>2 NETGATE 8300 MAX PFSENSE + SECURITY GATEWAY</v>
      </c>
      <c r="E2335" s="196" t="str">
        <f>IFERROR(__xludf.DUMMYFUNCTION("""COMPUTED_VALUE"""),"PFSENSE UPGRADE")</f>
        <v>PFSENSE UPGRADE</v>
      </c>
    </row>
    <row r="2336">
      <c r="A2336" s="234">
        <f>IFERROR(__xludf.DUMMYFUNCTION("""COMPUTED_VALUE"""),107169.0)</f>
        <v>107169</v>
      </c>
      <c r="B2336" s="235" t="str">
        <f>IFERROR(__xludf.DUMMYFUNCTION("""COMPUTED_VALUE"""),"OWIE PAR")</f>
        <v>OWIE PAR</v>
      </c>
      <c r="C2336" s="235" t="str">
        <f>IFERROR(__xludf.DUMMYFUNCTION("""COMPUTED_VALUE"""),"ENGINEERING")</f>
        <v>ENGINEERING</v>
      </c>
      <c r="D2336" s="196" t="str">
        <f>IFERROR(__xludf.DUMMYFUNCTION("""COMPUTED_VALUE"""),"1 UNIT ORBIT FAN STANDARD")</f>
        <v>1 UNIT ORBIT FAN STANDARD</v>
      </c>
      <c r="E2336" s="196" t="str">
        <f>IFERROR(__xludf.DUMMYFUNCTION("""COMPUTED_VALUE"""),"FOR YOKOHAMA BOYS DORM")</f>
        <v>FOR YOKOHAMA BOYS DORM</v>
      </c>
    </row>
    <row r="2337">
      <c r="A2337" s="234">
        <f>IFERROR(__xludf.DUMMYFUNCTION("""COMPUTED_VALUE"""),107170.0)</f>
        <v>107170</v>
      </c>
      <c r="B2337" s="235" t="str">
        <f>IFERROR(__xludf.DUMMYFUNCTION("""COMPUTED_VALUE"""),"JANNAH ARGOTE")</f>
        <v>JANNAH ARGOTE</v>
      </c>
      <c r="C2337" s="235" t="str">
        <f>IFERROR(__xludf.DUMMYFUNCTION("""COMPUTED_VALUE"""),"PR &amp; MARKETING")</f>
        <v>PR &amp; MARKETING</v>
      </c>
      <c r="D2337" s="196" t="str">
        <f>IFERROR(__xludf.DUMMYFUNCTION("""COMPUTED_VALUE"""),"1 TREX TARP 14X20FT 18OZ")</f>
        <v>1 TREX TARP 14X20FT 18OZ</v>
      </c>
      <c r="E2337" s="196" t="str">
        <f>IFERROR(__xludf.DUMMYFUNCTION("""COMPUTED_VALUE"""),"FOR TARP")</f>
        <v>FOR TARP</v>
      </c>
    </row>
    <row r="2338">
      <c r="A2338" s="234">
        <f>IFERROR(__xludf.DUMMYFUNCTION("""COMPUTED_VALUE"""),107171.0)</f>
        <v>107171</v>
      </c>
      <c r="B2338" s="235" t="str">
        <f>IFERROR(__xludf.DUMMYFUNCTION("""COMPUTED_VALUE"""),"RHEI ANN SIBAYAN")</f>
        <v>RHEI ANN SIBAYAN</v>
      </c>
      <c r="C2338" s="235" t="str">
        <f>IFERROR(__xludf.DUMMYFUNCTION("""COMPUTED_VALUE"""),"MIS")</f>
        <v>MIS</v>
      </c>
      <c r="D2338" s="196" t="str">
        <f>IFERROR(__xludf.DUMMYFUNCTION("""COMPUTED_VALUE"""),"20 PCS FARGO HDP COLOR RIBBON HDP6600 -084921 YMCK 750 IMAGES")</f>
        <v>20 PCS FARGO HDP COLOR RIBBON HDP6600 -084921 YMCK 750 IMAGES</v>
      </c>
      <c r="E2338" s="196" t="str">
        <f>IFERROR(__xludf.DUMMYFUNCTION("""COMPUTED_VALUE"""),"ID PRINTER COLOR RIBBON REFILL")</f>
        <v>ID PRINTER COLOR RIBBON REFILL</v>
      </c>
    </row>
    <row r="2339">
      <c r="A2339" s="234">
        <f>IFERROR(__xludf.DUMMYFUNCTION("""COMPUTED_VALUE"""),107172.0)</f>
        <v>107172</v>
      </c>
      <c r="B2339" s="235" t="str">
        <f>IFERROR(__xludf.DUMMYFUNCTION("""COMPUTED_VALUE"""),"OWIE PAR")</f>
        <v>OWIE PAR</v>
      </c>
      <c r="C2339" s="235" t="str">
        <f>IFERROR(__xludf.DUMMYFUNCTION("""COMPUTED_VALUE"""),"ENGINEERING")</f>
        <v>ENGINEERING</v>
      </c>
      <c r="D2339" s="196" t="str">
        <f>IFERROR(__xludf.DUMMYFUNCTION("""COMPUTED_VALUE"""),"6 PCS PARKING LIGHTS 50WATTS")</f>
        <v>6 PCS PARKING LIGHTS 50WATTS</v>
      </c>
      <c r="E2339" s="196" t="str">
        <f>IFERROR(__xludf.DUMMYFUNCTION("""COMPUTED_VALUE"""),"FOR BIG TARP VACANT LOT PARKING")</f>
        <v>FOR BIG TARP VACANT LOT PARKING</v>
      </c>
    </row>
    <row r="2340">
      <c r="A2340" s="234">
        <f>IFERROR(__xludf.DUMMYFUNCTION("""COMPUTED_VALUE"""),107173.0)</f>
        <v>107173</v>
      </c>
      <c r="B2340" s="235" t="str">
        <f>IFERROR(__xludf.DUMMYFUNCTION("""COMPUTED_VALUE"""),"JORDAN JORDAN")</f>
        <v>JORDAN JORDAN</v>
      </c>
      <c r="C2340" s="235" t="str">
        <f>IFERROR(__xludf.DUMMYFUNCTION("""COMPUTED_VALUE"""),"ADMIN")</f>
        <v>ADMIN</v>
      </c>
      <c r="D2340" s="196" t="str">
        <f>IFERROR(__xludf.DUMMYFUNCTION("""COMPUTED_VALUE"""),"20 PCS ALPHALUX RML 39 9W DAYLIGHT 
20 PCS ALPHALUX MR16 GU10 7W COOL WHITE
2 PCS ALPHALUX PANEL LIGHT 40W DAYLIGHT 
1 BOX THHN THWN PD #14")</f>
        <v>20 PCS ALPHALUX RML 39 9W DAYLIGHT 
20 PCS ALPHALUX MR16 GU10 7W COOL WHITE
2 PCS ALPHALUX PANEL LIGHT 40W DAYLIGHT 
1 BOX THHN THWN PD #14</v>
      </c>
      <c r="E2340" s="196" t="str">
        <f>IFERROR(__xludf.DUMMYFUNCTION("""COMPUTED_VALUE"""),"FOR REPLACEMENT OF BUSTED LIGHT")</f>
        <v>FOR REPLACEMENT OF BUSTED LIGHT</v>
      </c>
    </row>
    <row r="2341">
      <c r="A2341" s="234">
        <f>IFERROR(__xludf.DUMMYFUNCTION("""COMPUTED_VALUE"""),107174.0)</f>
        <v>107174</v>
      </c>
      <c r="B2341" s="235" t="str">
        <f>IFERROR(__xludf.DUMMYFUNCTION("""COMPUTED_VALUE"""),"CHARLES LEBECO DONOR")</f>
        <v>CHARLES LEBECO DONOR</v>
      </c>
      <c r="C2341" s="235" t="str">
        <f>IFERROR(__xludf.DUMMYFUNCTION("""COMPUTED_VALUE"""),"AMD")</f>
        <v>AMD</v>
      </c>
      <c r="D2341" s="196" t="str">
        <f>IFERROR(__xludf.DUMMYFUNCTION("""COMPUTED_VALUE"""),"20 BXS. - MEGABOX STORAGE BOX
155 LITERS CLEAR BLUE MG-800")</f>
        <v>20 BXS. - MEGABOX STORAGE BOX
155 LITERS CLEAR BLUE MG-800</v>
      </c>
      <c r="E2341" s="196" t="str">
        <f>IFERROR(__xludf.DUMMYFUNCTION("""COMPUTED_VALUE"""),"FOR TOGA STORAGE BOXES")</f>
        <v>FOR TOGA STORAGE BOXES</v>
      </c>
    </row>
    <row r="2342">
      <c r="A2342" s="234">
        <f>IFERROR(__xludf.DUMMYFUNCTION("""COMPUTED_VALUE"""),107175.0)</f>
        <v>107175</v>
      </c>
      <c r="B2342" s="235" t="str">
        <f>IFERROR(__xludf.DUMMYFUNCTION("""COMPUTED_VALUE"""),"RAM BUENA")</f>
        <v>RAM BUENA</v>
      </c>
      <c r="C2342" s="235" t="str">
        <f>IFERROR(__xludf.DUMMYFUNCTION("""COMPUTED_VALUE"""),"TOURISM")</f>
        <v>TOURISM</v>
      </c>
      <c r="D2342" s="196" t="str">
        <f>IFERROR(__xludf.DUMMYFUNCTION("""COMPUTED_VALUE"""),"1 TV STAND WITH WHEELS")</f>
        <v>1 TV STAND WITH WHEELS</v>
      </c>
      <c r="E2342" s="196" t="str">
        <f>IFERROR(__xludf.DUMMYFUNCTION("""COMPUTED_VALUE"""),"TOURISM PROMOTIONAL MATERIALS")</f>
        <v>TOURISM PROMOTIONAL MATERIALS</v>
      </c>
    </row>
    <row r="2343">
      <c r="A2343" s="234">
        <f>IFERROR(__xludf.DUMMYFUNCTION("""COMPUTED_VALUE"""),107176.0)</f>
        <v>107176</v>
      </c>
      <c r="B2343" s="235" t="str">
        <f>IFERROR(__xludf.DUMMYFUNCTION("""COMPUTED_VALUE"""),"SHARJAN GATCHALIAN")</f>
        <v>SHARJAN GATCHALIAN</v>
      </c>
      <c r="C2343" s="235" t="str">
        <f>IFERROR(__xludf.DUMMYFUNCTION("""COMPUTED_VALUE"""),"MIS/ICT")</f>
        <v>MIS/ICT</v>
      </c>
      <c r="D2343" s="196" t="str">
        <f>IFERROR(__xludf.DUMMYFUNCTION("""COMPUTED_VALUE"""),"2 CISCO C9300 NM 8X NETWORK MODULE")</f>
        <v>2 CISCO C9300 NM 8X NETWORK MODULE</v>
      </c>
      <c r="E2343" s="196" t="str">
        <f>IFERROR(__xludf.DUMMYFUNCTION("""COMPUTED_VALUE"""),"CORE SWITCH 10G EXPANSION")</f>
        <v>CORE SWITCH 10G EXPANSION</v>
      </c>
    </row>
    <row r="2344">
      <c r="A2344" s="234">
        <f>IFERROR(__xludf.DUMMYFUNCTION("""COMPUTED_VALUE"""),107177.0)</f>
        <v>107177</v>
      </c>
      <c r="B2344" s="235" t="str">
        <f>IFERROR(__xludf.DUMMYFUNCTION("""COMPUTED_VALUE"""),"SHARJAN GATCHALIAN")</f>
        <v>SHARJAN GATCHALIAN</v>
      </c>
      <c r="C2344" s="235" t="str">
        <f>IFERROR(__xludf.DUMMYFUNCTION("""COMPUTED_VALUE"""),"MIS/ICT")</f>
        <v>MIS/ICT</v>
      </c>
      <c r="D2344" s="196" t="str">
        <f>IFERROR(__xludf.DUMMYFUNCTION("""COMPUTED_VALUE"""),"8 RUIJIE RG CS83 24GT4XS")</f>
        <v>8 RUIJIE RG CS83 24GT4XS</v>
      </c>
      <c r="E2344" s="196" t="str">
        <f>IFERROR(__xludf.DUMMYFUNCTION("""COMPUTED_VALUE"""),"DISTRIBUTION SWITCH UPGRADE")</f>
        <v>DISTRIBUTION SWITCH UPGRADE</v>
      </c>
    </row>
    <row r="2345">
      <c r="A2345" s="234">
        <f>IFERROR(__xludf.DUMMYFUNCTION("""COMPUTED_VALUE"""),107178.0)</f>
        <v>107178</v>
      </c>
      <c r="B2345" s="235" t="str">
        <f>IFERROR(__xludf.DUMMYFUNCTION("""COMPUTED_VALUE"""),"JANNAH ARGOTE")</f>
        <v>JANNAH ARGOTE</v>
      </c>
      <c r="C2345" s="235" t="str">
        <f>IFERROR(__xludf.DUMMYFUNCTION("""COMPUTED_VALUE"""),"PR &amp; MARKETING")</f>
        <v>PR &amp; MARKETING</v>
      </c>
      <c r="D2345" s="379" t="str">
        <f>IFERROR(__xludf.DUMMYFUNCTION("""COMPUTED_VALUE"""),"1 GWYN TANGOG 12 X 6FT 
1 GEN MARK TANNO 12 X 6FT 
1 CHARACTER.ORG 12 X 6FT 
18 OZ ALL ADD SEAMING AND EYELET ALLOVER")</f>
        <v>1 GWYN TANGOG 12 X 6FT 
1 GEN MARK TANNO 12 X 6FT 
1 CHARACTER.ORG 12 X 6FT 
18 OZ ALL ADD SEAMING AND EYELET ALLOVER</v>
      </c>
      <c r="E2345" s="196" t="str">
        <f>IFERROR(__xludf.DUMMYFUNCTION("""COMPUTED_VALUE"""),"CONGRATULATORY TARP")</f>
        <v>CONGRATULATORY TARP</v>
      </c>
    </row>
    <row r="2346">
      <c r="A2346" s="234">
        <f>IFERROR(__xludf.DUMMYFUNCTION("""COMPUTED_VALUE"""),107179.0)</f>
        <v>107179</v>
      </c>
      <c r="B2346" s="235" t="str">
        <f>IFERROR(__xludf.DUMMYFUNCTION("""COMPUTED_VALUE"""),"MARVIN MARASIGAN")</f>
        <v>MARVIN MARASIGAN</v>
      </c>
      <c r="C2346" s="235" t="str">
        <f>IFERROR(__xludf.DUMMYFUNCTION("""COMPUTED_VALUE"""),"PR &amp; MARKETING")</f>
        <v>PR &amp; MARKETING</v>
      </c>
      <c r="D2346" s="196" t="str">
        <f>IFERROR(__xludf.DUMMYFUNCTION("""COMPUTED_VALUE"""),"1 LIGHTNINF TO TYPE C CHARGER FOR IPHONE")</f>
        <v>1 LIGHTNINF TO TYPE C CHARGER FOR IPHONE</v>
      </c>
      <c r="E2346" s="196" t="str">
        <f>IFERROR(__xludf.DUMMYFUNCTION("""COMPUTED_VALUE"""),"FOR PR IPHONE CONTENT")</f>
        <v>FOR PR IPHONE CONTENT</v>
      </c>
    </row>
    <row r="2347">
      <c r="A2347" s="234">
        <f>IFERROR(__xludf.DUMMYFUNCTION("""COMPUTED_VALUE"""),107180.0)</f>
        <v>107180</v>
      </c>
      <c r="B2347" s="235" t="str">
        <f>IFERROR(__xludf.DUMMYFUNCTION("""COMPUTED_VALUE"""),"MARVIN MARASIGAN")</f>
        <v>MARVIN MARASIGAN</v>
      </c>
      <c r="C2347" s="235" t="str">
        <f>IFERROR(__xludf.DUMMYFUNCTION("""COMPUTED_VALUE"""),"PR &amp; MARKETING")</f>
        <v>PR &amp; MARKETING</v>
      </c>
      <c r="D2347" s="196" t="str">
        <f>IFERROR(__xludf.DUMMYFUNCTION("""COMPUTED_VALUE"""),"LAS PIÑAS CAMP POST BANNER
1 PSYCH, ACCNTG, NURSING 
2 TOURISM IT MMA
3 EDUC, COMPENG, COOM MARKETING, ENTREP REM, IM, HRM AND MANAGEMENT ACCOUNTING  
18OZ NO SEAMING")</f>
        <v>LAS PIÑAS CAMP POST BANNER
1 PSYCH, ACCNTG, NURSING 
2 TOURISM IT MMA
3 EDUC, COMPENG, COOM MARKETING, ENTREP REM, IM, HRM AND MANAGEMENT ACCOUNTING  
18OZ NO SEAMING</v>
      </c>
      <c r="E2347" s="196" t="str">
        <f>IFERROR(__xludf.DUMMYFUNCTION("""COMPUTED_VALUE"""),"FOR PROGRAM PROMOTION")</f>
        <v>FOR PROGRAM PROMOTION</v>
      </c>
    </row>
    <row r="2348">
      <c r="A2348" s="234">
        <f>IFERROR(__xludf.DUMMYFUNCTION("""COMPUTED_VALUE"""),107181.0)</f>
        <v>107181</v>
      </c>
      <c r="B2348" s="235" t="str">
        <f>IFERROR(__xludf.DUMMYFUNCTION("""COMPUTED_VALUE"""),"JEVY TIMBANGAN")</f>
        <v>JEVY TIMBANGAN</v>
      </c>
      <c r="C2348" s="235" t="str">
        <f>IFERROR(__xludf.DUMMYFUNCTION("""COMPUTED_VALUE"""),"HRMD")</f>
        <v>HRMD</v>
      </c>
      <c r="D2348" s="196" t="str">
        <f>IFERROR(__xludf.DUMMYFUNCTION("""COMPUTED_VALUE"""),"1 FLOWER WREATH FOR MS. CECILIA BELLEZA ")</f>
        <v>1 FLOWER WREATH FOR MS. CECILIA BELLEZA </v>
      </c>
      <c r="E2348" s="196" t="str">
        <f>IFERROR(__xludf.DUMMYFUNCTION("""COMPUTED_VALUE"""),"BEREAVEMENT ASSISTANCE - FLOWER WREATH")</f>
        <v>BEREAVEMENT ASSISTANCE - FLOWER WREATH</v>
      </c>
    </row>
    <row r="2349">
      <c r="A2349" s="234">
        <f>IFERROR(__xludf.DUMMYFUNCTION("""COMPUTED_VALUE"""),107182.0)</f>
        <v>107182</v>
      </c>
      <c r="B2349" s="235" t="str">
        <f>IFERROR(__xludf.DUMMYFUNCTION("""COMPUTED_VALUE"""),"CARLITO DELA VEGA")</f>
        <v>CARLITO DELA VEGA</v>
      </c>
      <c r="C2349" s="235" t="str">
        <f>IFERROR(__xludf.DUMMYFUNCTION("""COMPUTED_VALUE"""),"SECURITY")</f>
        <v>SECURITY</v>
      </c>
      <c r="D2349" s="196" t="str">
        <f>IFERROR(__xludf.DUMMYFUNCTION("""COMPUTED_VALUE"""),"2 PCS TARP PRINTING 188"" X 80"" ")</f>
        <v>2 PCS TARP PRINTING 188" X 80" </v>
      </c>
      <c r="E2349" s="196" t="str">
        <f>IFERROR(__xludf.DUMMYFUNCTION("""COMPUTED_VALUE"""),"TRAFFIC ADVISORY OPENING OF CLASSES")</f>
        <v>TRAFFIC ADVISORY OPENING OF CLASSES</v>
      </c>
    </row>
    <row r="2350">
      <c r="A2350" s="234">
        <f>IFERROR(__xludf.DUMMYFUNCTION("""COMPUTED_VALUE"""),107183.0)</f>
        <v>107183</v>
      </c>
      <c r="B2350" s="235" t="str">
        <f>IFERROR(__xludf.DUMMYFUNCTION("""COMPUTED_VALUE"""),"OWIE PAR")</f>
        <v>OWIE PAR</v>
      </c>
      <c r="C2350" s="235" t="str">
        <f>IFERROR(__xludf.DUMMYFUNCTION("""COMPUTED_VALUE"""),"ENGINEERING")</f>
        <v>ENGINEERING</v>
      </c>
      <c r="D2350" s="196" t="str">
        <f>IFERROR(__xludf.DUMMYFUNCTION("""COMPUTED_VALUE"""),"1 SET DOOR KNOB")</f>
        <v>1 SET DOOR KNOB</v>
      </c>
      <c r="E2350" s="196" t="str">
        <f>IFERROR(__xludf.DUMMYFUNCTION("""COMPUTED_VALUE"""),"FOR CEM MAIN DOOR")</f>
        <v>FOR CEM MAIN DOOR</v>
      </c>
    </row>
    <row r="2351">
      <c r="A2351" s="234">
        <f>IFERROR(__xludf.DUMMYFUNCTION("""COMPUTED_VALUE"""),107184.0)</f>
        <v>107184</v>
      </c>
      <c r="B2351" s="235" t="str">
        <f>IFERROR(__xludf.DUMMYFUNCTION("""COMPUTED_VALUE"""),"JESSA PACURI")</f>
        <v>JESSA PACURI</v>
      </c>
      <c r="C2351" s="235" t="str">
        <f>IFERROR(__xludf.DUMMYFUNCTION("""COMPUTED_VALUE"""),"REGISTRATION")</f>
        <v>REGISTRATION</v>
      </c>
      <c r="D2351" s="196" t="str">
        <f>IFERROR(__xludf.DUMMYFUNCTION("""COMPUTED_VALUE"""),"800 COLLEGE STUDENT JACKET")</f>
        <v>800 COLLEGE STUDENT JACKET</v>
      </c>
      <c r="E2351" s="196" t="str">
        <f>IFERROR(__xludf.DUMMYFUNCTION("""COMPUTED_VALUE"""),"FOR COLLEGE ENROLLMENT")</f>
        <v>FOR COLLEGE ENROLLMENT</v>
      </c>
    </row>
    <row r="2352">
      <c r="A2352" s="234">
        <f>IFERROR(__xludf.DUMMYFUNCTION("""COMPUTED_VALUE"""),107185.0)</f>
        <v>107185</v>
      </c>
      <c r="B2352" s="235" t="str">
        <f>IFERROR(__xludf.DUMMYFUNCTION("""COMPUTED_VALUE"""),"RODRIGO CUSTODIO")</f>
        <v>RODRIGO CUSTODIO</v>
      </c>
      <c r="C2352" s="235" t="str">
        <f>IFERROR(__xludf.DUMMYFUNCTION("""COMPUTED_VALUE"""),"AMD")</f>
        <v>AMD</v>
      </c>
      <c r="D2352" s="196" t="str">
        <f>IFERROR(__xludf.DUMMYFUNCTION("""COMPUTED_VALUE"""),"11 PCS FEATHER DUST RAINBOW
6 PCS POLISHER HEAD BRUSH 16"" WHITE 
90 PCS MOP HEAD")</f>
        <v>11 PCS FEATHER DUST RAINBOW
6 PCS POLISHER HEAD BRUSH 16" WHITE 
90 PCS MOP HEAD</v>
      </c>
      <c r="E2352" s="196" t="str">
        <f>IFERROR(__xludf.DUMMYFUNCTION("""COMPUTED_VALUE"""),"HOUSEKEEPING MATERIALS STOCK REPLENISHMENT")</f>
        <v>HOUSEKEEPING MATERIALS STOCK REPLENISHMENT</v>
      </c>
    </row>
    <row r="2353">
      <c r="A2353" s="234">
        <f>IFERROR(__xludf.DUMMYFUNCTION("""COMPUTED_VALUE"""),107186.0)</f>
        <v>107186</v>
      </c>
      <c r="B2353" s="235" t="str">
        <f>IFERROR(__xludf.DUMMYFUNCTION("""COMPUTED_VALUE"""),"RODRIGO CUSTODIO")</f>
        <v>RODRIGO CUSTODIO</v>
      </c>
      <c r="C2353" s="235" t="str">
        <f>IFERROR(__xludf.DUMMYFUNCTION("""COMPUTED_VALUE"""),"AMD")</f>
        <v>AMD</v>
      </c>
      <c r="D2353" s="196" t="str">
        <f>IFERROR(__xludf.DUMMYFUNCTION("""COMPUTED_VALUE"""),"33 PCS ARIEL WASHING DETERGENT POWDER 2.465 KG")</f>
        <v>33 PCS ARIEL WASHING DETERGENT POWDER 2.465 KG</v>
      </c>
      <c r="E2353" s="196" t="str">
        <f>IFERROR(__xludf.DUMMYFUNCTION("""COMPUTED_VALUE"""),"HOUSEKEEPING MATERIALS STOCK REPLENISHMENT")</f>
        <v>HOUSEKEEPING MATERIALS STOCK REPLENISHMENT</v>
      </c>
    </row>
    <row r="2354">
      <c r="A2354" s="234">
        <f>IFERROR(__xludf.DUMMYFUNCTION("""COMPUTED_VALUE"""),107187.0)</f>
        <v>107187</v>
      </c>
      <c r="B2354" s="235" t="str">
        <f>IFERROR(__xludf.DUMMYFUNCTION("""COMPUTED_VALUE"""),"RODRIGO CUSTODIO")</f>
        <v>RODRIGO CUSTODIO</v>
      </c>
      <c r="C2354" s="235" t="str">
        <f>IFERROR(__xludf.DUMMYFUNCTION("""COMPUTED_VALUE"""),"AMD")</f>
        <v>AMD</v>
      </c>
      <c r="D2354" s="196" t="str">
        <f>IFERROR(__xludf.DUMMYFUNCTION("""COMPUTED_VALUE"""),"12 PCS LONG HANDED SCRUB BRUSH")</f>
        <v>12 PCS LONG HANDED SCRUB BRUSH</v>
      </c>
      <c r="E2354" s="196" t="str">
        <f>IFERROR(__xludf.DUMMYFUNCTION("""COMPUTED_VALUE"""),"HOUSEKEEPING MATERIALS STOCK REPLENISHMENT")</f>
        <v>HOUSEKEEPING MATERIALS STOCK REPLENISHMENT</v>
      </c>
    </row>
    <row r="2355">
      <c r="A2355" s="234">
        <f>IFERROR(__xludf.DUMMYFUNCTION("""COMPUTED_VALUE"""),107188.0)</f>
        <v>107188</v>
      </c>
      <c r="B2355" s="235" t="str">
        <f>IFERROR(__xludf.DUMMYFUNCTION("""COMPUTED_VALUE"""),"RODRIGO CUSTODIO")</f>
        <v>RODRIGO CUSTODIO</v>
      </c>
      <c r="C2355" s="235" t="str">
        <f>IFERROR(__xludf.DUMMYFUNCTION("""COMPUTED_VALUE"""),"AMD")</f>
        <v>AMD</v>
      </c>
      <c r="D2355" s="196" t="str">
        <f>IFERROR(__xludf.DUMMYFUNCTION("""COMPUTED_VALUE"""),"160 PCS MICROFIBER TOWEL PINK")</f>
        <v>160 PCS MICROFIBER TOWEL PINK</v>
      </c>
      <c r="E2355" s="196" t="str">
        <f>IFERROR(__xludf.DUMMYFUNCTION("""COMPUTED_VALUE"""),"HOUSEKEEPING MATERIALS STOCK REPLENISHMENT")</f>
        <v>HOUSEKEEPING MATERIALS STOCK REPLENISHMENT</v>
      </c>
    </row>
    <row r="2356">
      <c r="A2356" s="234">
        <f>IFERROR(__xludf.DUMMYFUNCTION("""COMPUTED_VALUE"""),107189.0)</f>
        <v>107189</v>
      </c>
      <c r="B2356" s="235" t="str">
        <f>IFERROR(__xludf.DUMMYFUNCTION("""COMPUTED_VALUE"""),"ADOR MARINDA")</f>
        <v>ADOR MARINDA</v>
      </c>
      <c r="C2356" s="235" t="str">
        <f>IFERROR(__xludf.DUMMYFUNCTION("""COMPUTED_VALUE"""),"MIS/ICT")</f>
        <v>MIS/ICT</v>
      </c>
      <c r="D2356" s="196" t="str">
        <f>IFERROR(__xludf.DUMMYFUNCTION("""COMPUTED_VALUE"""),"1 QNAP T5-673A OR QNAP TV5-H674 I3 MODEL")</f>
        <v>1 QNAP T5-673A OR QNAP TV5-H674 I3 MODEL</v>
      </c>
      <c r="E2356" s="196" t="str">
        <f>IFERROR(__xludf.DUMMYFUNCTION("""COMPUTED_VALUE"""),"FILES SHARED STORAGE FOR SISC AND SGEN USE")</f>
        <v>FILES SHARED STORAGE FOR SISC AND SGEN USE</v>
      </c>
    </row>
    <row r="2357">
      <c r="A2357" s="234">
        <f>IFERROR(__xludf.DUMMYFUNCTION("""COMPUTED_VALUE"""),107190.0)</f>
        <v>107190</v>
      </c>
      <c r="B2357" s="235" t="str">
        <f>IFERROR(__xludf.DUMMYFUNCTION("""COMPUTED_VALUE"""),"PAUL ARAÑA")</f>
        <v>PAUL ARAÑA</v>
      </c>
      <c r="C2357" s="235" t="str">
        <f>IFERROR(__xludf.DUMMYFUNCTION("""COMPUTED_VALUE"""),"MIS/ICT")</f>
        <v>MIS/ICT</v>
      </c>
      <c r="D2357" s="196" t="str">
        <f>IFERROR(__xludf.DUMMYFUNCTION("""COMPUTED_VALUE"""),"10 ACER ALTOS DESKTOP COMPUTER")</f>
        <v>10 ACER ALTOS DESKTOP COMPUTER</v>
      </c>
      <c r="E2357" s="196" t="str">
        <f>IFERROR(__xludf.DUMMYFUNCTION("""COMPUTED_VALUE"""),"ROBOTICS LAB LUX COMPUTER UPGRADE")</f>
        <v>ROBOTICS LAB LUX COMPUTER UPGRADE</v>
      </c>
    </row>
    <row r="2358">
      <c r="A2358" s="234">
        <f>IFERROR(__xludf.DUMMYFUNCTION("""COMPUTED_VALUE"""),107191.0)</f>
        <v>107191</v>
      </c>
      <c r="B2358" s="235" t="str">
        <f>IFERROR(__xludf.DUMMYFUNCTION("""COMPUTED_VALUE"""),"PAUL ARAÑA")</f>
        <v>PAUL ARAÑA</v>
      </c>
      <c r="C2358" s="235" t="str">
        <f>IFERROR(__xludf.DUMMYFUNCTION("""COMPUTED_VALUE"""),"MIS/ICT")</f>
        <v>MIS/ICT</v>
      </c>
      <c r="D2358" s="196" t="str">
        <f>IFERROR(__xludf.DUMMYFUNCTION("""COMPUTED_VALUE"""),"6 ACER ALTOS DESKTOP COMPUTER")</f>
        <v>6 ACER ALTOS DESKTOP COMPUTER</v>
      </c>
      <c r="E2358" s="196" t="str">
        <f>IFERROR(__xludf.DUMMYFUNCTION("""COMPUTED_VALUE"""),"CMLC (FINLAB) COMPUTER UPGRADE")</f>
        <v>CMLC (FINLAB) COMPUTER UPGRADE</v>
      </c>
    </row>
    <row r="2359">
      <c r="A2359" s="234">
        <f>IFERROR(__xludf.DUMMYFUNCTION("""COMPUTED_VALUE"""),107192.0)</f>
        <v>107192</v>
      </c>
      <c r="B2359" s="235" t="str">
        <f>IFERROR(__xludf.DUMMYFUNCTION("""COMPUTED_VALUE"""),"PAUL ARAÑA")</f>
        <v>PAUL ARAÑA</v>
      </c>
      <c r="C2359" s="235" t="str">
        <f>IFERROR(__xludf.DUMMYFUNCTION("""COMPUTED_VALUE"""),"MIS/ICT")</f>
        <v>MIS/ICT</v>
      </c>
      <c r="D2359" s="196" t="str">
        <f>IFERROR(__xludf.DUMMYFUNCTION("""COMPUTED_VALUE"""),"116 VIEW SONIC MONITOR (VA240A SERIES)")</f>
        <v>116 VIEW SONIC MONITOR (VA240A SERIES)</v>
      </c>
      <c r="E2359" s="196" t="str">
        <f>IFERROR(__xludf.DUMMYFUNCTION("""COMPUTED_VALUE"""),"E-CLASSROOM MONITOR UPGRADE FOR LUX CAMPUS")</f>
        <v>E-CLASSROOM MONITOR UPGRADE FOR LUX CAMPUS</v>
      </c>
    </row>
    <row r="2360">
      <c r="A2360" s="234">
        <f>IFERROR(__xludf.DUMMYFUNCTION("""COMPUTED_VALUE"""),107193.0)</f>
        <v>107193</v>
      </c>
      <c r="B2360" s="235" t="str">
        <f>IFERROR(__xludf.DUMMYFUNCTION("""COMPUTED_VALUE"""),"PAUL ARAÑA")</f>
        <v>PAUL ARAÑA</v>
      </c>
      <c r="C2360" s="235" t="str">
        <f>IFERROR(__xludf.DUMMYFUNCTION("""COMPUTED_VALUE"""),"MIS/ICT")</f>
        <v>MIS/ICT</v>
      </c>
      <c r="D2360" s="196" t="str">
        <f>IFERROR(__xludf.DUMMYFUNCTION("""COMPUTED_VALUE"""),"3 MAC MINI M4 (16GB/512GB)")</f>
        <v>3 MAC MINI M4 (16GB/512GB)</v>
      </c>
      <c r="E2360" s="196" t="str">
        <f>IFERROR(__xludf.DUMMYFUNCTION("""COMPUTED_VALUE"""),"MAC MINI M3/M4 FOR PR CONTENT TEAM COMPUTER UPGRADE")</f>
        <v>MAC MINI M3/M4 FOR PR CONTENT TEAM COMPUTER UPGRADE</v>
      </c>
    </row>
    <row r="2361">
      <c r="A2361" s="234">
        <f>IFERROR(__xludf.DUMMYFUNCTION("""COMPUTED_VALUE"""),107194.0)</f>
        <v>107194</v>
      </c>
      <c r="B2361" s="235" t="str">
        <f>IFERROR(__xludf.DUMMYFUNCTION("""COMPUTED_VALUE"""),"JESUIT CHRISTIAN GALICIA")</f>
        <v>JESUIT CHRISTIAN GALICIA</v>
      </c>
      <c r="C2361" s="235" t="str">
        <f>IFERROR(__xludf.DUMMYFUNCTION("""COMPUTED_VALUE"""),"AMD")</f>
        <v>AMD</v>
      </c>
      <c r="D2361" s="196" t="str">
        <f>IFERROR(__xludf.DUMMYFUNCTION("""COMPUTED_VALUE"""),"50 PCS UNIVERSAL ADAPTOR OMNI
10 PCS PADLOCK YALE 50 MM
5 PCS PADLOCK YALE 25MM")</f>
        <v>50 PCS UNIVERSAL ADAPTOR OMNI
10 PCS PADLOCK YALE 50 MM
5 PCS PADLOCK YALE 25MM</v>
      </c>
      <c r="E2361" s="196" t="str">
        <f>IFERROR(__xludf.DUMMYFUNCTION("""COMPUTED_VALUE"""),"ENGR WAREHOUSE REPLENISHMENT")</f>
        <v>ENGR WAREHOUSE REPLENISHMENT</v>
      </c>
    </row>
    <row r="2362">
      <c r="A2362" s="234">
        <f>IFERROR(__xludf.DUMMYFUNCTION("""COMPUTED_VALUE"""),107195.0)</f>
        <v>107195</v>
      </c>
      <c r="B2362" s="235" t="str">
        <f>IFERROR(__xludf.DUMMYFUNCTION("""COMPUTED_VALUE"""),"ARNEL MONTABLAN")</f>
        <v>ARNEL MONTABLAN</v>
      </c>
      <c r="C2362" s="235" t="str">
        <f>IFERROR(__xludf.DUMMYFUNCTION("""COMPUTED_VALUE"""),"FOUNDER SCHOLAR")</f>
        <v>FOUNDER SCHOLAR</v>
      </c>
      <c r="D2362" s="196" t="str">
        <f>IFERROR(__xludf.DUMMYFUNCTION("""COMPUTED_VALUE"""),"14 PCS PILLOW B1T1 
28 PCS BEDSHEET 3 IN 1 W/PILLOWCASE
28 BLANKET")</f>
        <v>14 PCS PILLOW B1T1 
28 PCS BEDSHEET 3 IN 1 W/PILLOWCASE
28 BLANKET</v>
      </c>
      <c r="E2362" s="196" t="str">
        <f>IFERROR(__xludf.DUMMYFUNCTION("""COMPUTED_VALUE"""),"REPLACEMENT OF PILLOWS, PILLOWCASE AND BEDSHEET FOR CURRENT SCHOLARS")</f>
        <v>REPLACEMENT OF PILLOWS, PILLOWCASE AND BEDSHEET FOR CURRENT SCHOLARS</v>
      </c>
    </row>
    <row r="2363">
      <c r="A2363" s="234">
        <f>IFERROR(__xludf.DUMMYFUNCTION("""COMPUTED_VALUE"""),107196.0)</f>
        <v>107196</v>
      </c>
      <c r="B2363" s="235" t="str">
        <f>IFERROR(__xludf.DUMMYFUNCTION("""COMPUTED_VALUE"""),"RONALDO VERDE")</f>
        <v>RONALDO VERDE</v>
      </c>
      <c r="C2363" s="235" t="str">
        <f>IFERROR(__xludf.DUMMYFUNCTION("""COMPUTED_VALUE"""),"ADMIN")</f>
        <v>ADMIN</v>
      </c>
      <c r="D2363" s="196" t="str">
        <f>IFERROR(__xludf.DUMMYFUNCTION("""COMPUTED_VALUE"""),"200 PCS 60 X 60 TILES BEIGE
40 PCS 60 X 60 TILE 
10 GALLONS STICKWEL")</f>
        <v>200 PCS 60 X 60 TILES BEIGE
40 PCS 60 X 60 TILE 
10 GALLONS STICKWEL</v>
      </c>
      <c r="E2363" s="196" t="str">
        <f>IFERROR(__xludf.DUMMYFUNCTION("""COMPUTED_VALUE"""),"TILES FOR LUX CLASSROOMS AND MONARCHS PARK")</f>
        <v>TILES FOR LUX CLASSROOMS AND MONARCHS PARK</v>
      </c>
    </row>
    <row r="2364">
      <c r="A2364" s="234">
        <f>IFERROR(__xludf.DUMMYFUNCTION("""COMPUTED_VALUE"""),107197.0)</f>
        <v>107197</v>
      </c>
      <c r="B2364" s="235" t="str">
        <f>IFERROR(__xludf.DUMMYFUNCTION("""COMPUTED_VALUE"""),"JESUIT CHRISTIAN GALICIA")</f>
        <v>JESUIT CHRISTIAN GALICIA</v>
      </c>
      <c r="C2364" s="235" t="str">
        <f>IFERROR(__xludf.DUMMYFUNCTION("""COMPUTED_VALUE"""),"AMD")</f>
        <v>AMD</v>
      </c>
      <c r="D2364" s="196" t="str">
        <f>IFERROR(__xludf.DUMMYFUNCTION("""COMPUTED_VALUE"""),"10 PCS HDMI CABLE 10M UGREEN
5 PCS FLASHDRIVE USB 64GB 
30 PACKS CABLE TIE 200 MM 
15 PCS THERMAL PASTE")</f>
        <v>10 PCS HDMI CABLE 10M UGREEN
5 PCS FLASHDRIVE USB 64GB 
30 PACKS CABLE TIE 200 MM 
15 PCS THERMAL PASTE</v>
      </c>
      <c r="E2364" s="196" t="str">
        <f>IFERROR(__xludf.DUMMYFUNCTION("""COMPUTED_VALUE"""),"MIS WAREHOUSE STOCK")</f>
        <v>MIS WAREHOUSE STOCK</v>
      </c>
    </row>
    <row r="2365">
      <c r="A2365" s="234">
        <f>IFERROR(__xludf.DUMMYFUNCTION("""COMPUTED_VALUE"""),107198.0)</f>
        <v>107198</v>
      </c>
      <c r="B2365" s="235" t="str">
        <f>IFERROR(__xludf.DUMMYFUNCTION("""COMPUTED_VALUE"""),"JANNAH ARGOTE")</f>
        <v>JANNAH ARGOTE</v>
      </c>
      <c r="C2365" s="235" t="str">
        <f>IFERROR(__xludf.DUMMYFUNCTION("""COMPUTED_VALUE"""),"PR &amp; MARKETING")</f>
        <v>PR &amp; MARKETING</v>
      </c>
      <c r="D2365" s="196" t="str">
        <f>IFERROR(__xludf.DUMMYFUNCTION("""COMPUTED_VALUE"""),"1 DESK STEEL CABINET ")</f>
        <v>1 DESK STEEL CABINET </v>
      </c>
      <c r="E2365" s="196" t="str">
        <f>IFERROR(__xludf.DUMMYFUNCTION("""COMPUTED_VALUE"""),"FOR OFFICE USE")</f>
        <v>FOR OFFICE USE</v>
      </c>
    </row>
    <row r="2366">
      <c r="A2366" s="234">
        <f>IFERROR(__xludf.DUMMYFUNCTION("""COMPUTED_VALUE"""),107199.0)</f>
        <v>107199</v>
      </c>
      <c r="B2366" s="235" t="str">
        <f>IFERROR(__xludf.DUMMYFUNCTION("""COMPUTED_VALUE"""),"JANNAH ARGOTE")</f>
        <v>JANNAH ARGOTE</v>
      </c>
      <c r="C2366" s="235" t="str">
        <f>IFERROR(__xludf.DUMMYFUNCTION("""COMPUTED_VALUE"""),"PR &amp; MARKETING")</f>
        <v>PR &amp; MARKETING</v>
      </c>
      <c r="D2366" s="196" t="str">
        <f>IFERROR(__xludf.DUMMYFUNCTION("""COMPUTED_VALUE"""),"1 WELCOME BACK TARP TO2 13X13FT 
1 WELCOME BACK TARP C20 430 X 368 CM 18 OZ ALL ADD SEAMING AND EYELET ALL OVER")</f>
        <v>1 WELCOME BACK TARP TO2 13X13FT 
1 WELCOME BACK TARP C20 430 X 368 CM 18 OZ ALL ADD SEAMING AND EYELET ALL OVER</v>
      </c>
      <c r="E2366" s="196" t="str">
        <f>IFERROR(__xludf.DUMMYFUNCTION("""COMPUTED_VALUE"""),"FOR START OF CLASSES")</f>
        <v>FOR START OF CLASSES</v>
      </c>
    </row>
    <row r="2367">
      <c r="A2367" s="234">
        <f>IFERROR(__xludf.DUMMYFUNCTION("""COMPUTED_VALUE"""),107200.0)</f>
        <v>107200</v>
      </c>
      <c r="B2367" s="235" t="str">
        <f>IFERROR(__xludf.DUMMYFUNCTION("""COMPUTED_VALUE"""),"CHOY JAMIAS")</f>
        <v>CHOY JAMIAS</v>
      </c>
      <c r="C2367" s="235" t="str">
        <f>IFERROR(__xludf.DUMMYFUNCTION("""COMPUTED_VALUE"""),"STUDENT AFFAIRS COLLEGE")</f>
        <v>STUDENT AFFAIRS COLLEGE</v>
      </c>
      <c r="D2367" s="196" t="str">
        <f>IFERROR(__xludf.DUMMYFUNCTION("""COMPUTED_VALUE"""),"1 LOT ADDITIONAL MEDALS FOR GRADUATES")</f>
        <v>1 LOT ADDITIONAL MEDALS FOR GRADUATES</v>
      </c>
      <c r="E2367" s="196" t="str">
        <f>IFERROR(__xludf.DUMMYFUNCTION("""COMPUTED_VALUE"""),"ADDITIONAL MEDALS FOR GRADUATES")</f>
        <v>ADDITIONAL MEDALS FOR GRADUATES</v>
      </c>
    </row>
    <row r="2368">
      <c r="A2368" s="234">
        <f>IFERROR(__xludf.DUMMYFUNCTION("""COMPUTED_VALUE"""),107201.0)</f>
        <v>107201</v>
      </c>
      <c r="B2368" s="235" t="str">
        <f>IFERROR(__xludf.DUMMYFUNCTION("""COMPUTED_VALUE"""),"CHOY JAMIAS")</f>
        <v>CHOY JAMIAS</v>
      </c>
      <c r="C2368" s="235" t="str">
        <f>IFERROR(__xludf.DUMMYFUNCTION("""COMPUTED_VALUE"""),"STUDENT AFFAIRS COLLEGE")</f>
        <v>STUDENT AFFAIRS COLLEGE</v>
      </c>
      <c r="D2368" s="196" t="str">
        <f>IFERROR(__xludf.DUMMYFUNCTION("""COMPUTED_VALUE"""),"65 CLINICAL GRADUATION INVITATION CARD")</f>
        <v>65 CLINICAL GRADUATION INVITATION CARD</v>
      </c>
      <c r="E2368" s="196" t="str">
        <f>IFERROR(__xludf.DUMMYFUNCTION("""COMPUTED_VALUE"""),"BSN CLINICAL GRADUATION")</f>
        <v>BSN CLINICAL GRADUATION</v>
      </c>
    </row>
    <row r="2369">
      <c r="A2369" s="234">
        <f>IFERROR(__xludf.DUMMYFUNCTION("""COMPUTED_VALUE"""),107202.0)</f>
        <v>107202</v>
      </c>
      <c r="B2369" s="235" t="str">
        <f>IFERROR(__xludf.DUMMYFUNCTION("""COMPUTED_VALUE"""),"ANN VILLARUZ")</f>
        <v>ANN VILLARUZ</v>
      </c>
      <c r="C2369" s="235" t="str">
        <f>IFERROR(__xludf.DUMMYFUNCTION("""COMPUTED_VALUE"""),"STUDENT AFFAIRS COLLEGE")</f>
        <v>STUDENT AFFAIRS COLLEGE</v>
      </c>
      <c r="D2369" s="196" t="str">
        <f>IFERROR(__xludf.DUMMYFUNCTION("""COMPUTED_VALUE"""),"2 LOYALTY PLAQUE ")</f>
        <v>2 LOYALTY PLAQUE </v>
      </c>
      <c r="E2369" s="196" t="str">
        <f>IFERROR(__xludf.DUMMYFUNCTION("""COMPUTED_VALUE"""),"GRADUATION 2026")</f>
        <v>GRADUATION 2026</v>
      </c>
    </row>
    <row r="2370">
      <c r="A2370" s="234">
        <f>IFERROR(__xludf.DUMMYFUNCTION("""COMPUTED_VALUE"""),107203.0)</f>
        <v>107203</v>
      </c>
      <c r="B2370" s="235" t="str">
        <f>IFERROR(__xludf.DUMMYFUNCTION("""COMPUTED_VALUE"""),"ANN VILLARUZ")</f>
        <v>ANN VILLARUZ</v>
      </c>
      <c r="C2370" s="235" t="str">
        <f>IFERROR(__xludf.DUMMYFUNCTION("""COMPUTED_VALUE"""),"STUDENT AFFAIRS COLLEGE")</f>
        <v>STUDENT AFFAIRS COLLEGE</v>
      </c>
      <c r="D2370" s="196" t="str">
        <f>IFERROR(__xludf.DUMMYFUNCTION("""COMPUTED_VALUE"""),"INSTITUTIONAL PLAQUE FOR GRADUATION SPEAKER")</f>
        <v>INSTITUTIONAL PLAQUE FOR GRADUATION SPEAKER</v>
      </c>
      <c r="E2370" s="196" t="str">
        <f>IFERROR(__xludf.DUMMYFUNCTION("""COMPUTED_VALUE"""),"GRADUATION 2026")</f>
        <v>GRADUATION 2026</v>
      </c>
    </row>
    <row r="2371">
      <c r="A2371" s="234">
        <f>IFERROR(__xludf.DUMMYFUNCTION("""COMPUTED_VALUE"""),107204.0)</f>
        <v>107204</v>
      </c>
      <c r="B2371" s="235" t="str">
        <f>IFERROR(__xludf.DUMMYFUNCTION("""COMPUTED_VALUE"""),"JEVY TIMBANGAN")</f>
        <v>JEVY TIMBANGAN</v>
      </c>
      <c r="C2371" s="235" t="str">
        <f>IFERROR(__xludf.DUMMYFUNCTION("""COMPUTED_VALUE"""),"HRMD")</f>
        <v>HRMD</v>
      </c>
      <c r="D2371" s="196" t="str">
        <f>IFERROR(__xludf.DUMMYFUNCTION("""COMPUTED_VALUE"""),"1 FLOWER WREATH- MS MONET MASALONGA FOR THE DEMISE  OF HER FATHER RAMON MASALONGA")</f>
        <v>1 FLOWER WREATH- MS MONET MASALONGA FOR THE DEMISE  OF HER FATHER RAMON MASALONGA</v>
      </c>
      <c r="E2371" s="196" t="str">
        <f>IFERROR(__xludf.DUMMYFUNCTION("""COMPUTED_VALUE"""),"BEREAVEMENT ASSISTANCE")</f>
        <v>BEREAVEMENT ASSISTANCE</v>
      </c>
    </row>
    <row r="2372">
      <c r="A2372" s="234">
        <f>IFERROR(__xludf.DUMMYFUNCTION("""COMPUTED_VALUE"""),107205.0)</f>
        <v>107205</v>
      </c>
      <c r="B2372" s="235" t="str">
        <f>IFERROR(__xludf.DUMMYFUNCTION("""COMPUTED_VALUE"""),"JORDAN C. JORDAN")</f>
        <v>JORDAN C. JORDAN</v>
      </c>
      <c r="C2372" s="235" t="str">
        <f>IFERROR(__xludf.DUMMYFUNCTION("""COMPUTED_VALUE"""),"ADMIN")</f>
        <v>ADMIN</v>
      </c>
      <c r="D2372" s="196" t="str">
        <f>IFERROR(__xludf.DUMMYFUNCTION("""COMPUTED_VALUE"""),"2 ALPHALUX RECESSEO PANEL LIGHT 40W DAYLIGHT (60 X 60 CM)")</f>
        <v>2 ALPHALUX RECESSEO PANEL LIGHT 40W DAYLIGHT (60 X 60 CM)</v>
      </c>
      <c r="E2372" s="196" t="str">
        <f>IFERROR(__xludf.DUMMYFUNCTION("""COMPUTED_VALUE"""),"FOR AUDIT OFFICE LIGHTING")</f>
        <v>FOR AUDIT OFFICE LIGHTING</v>
      </c>
    </row>
    <row r="2373">
      <c r="A2373" s="234">
        <f>IFERROR(__xludf.DUMMYFUNCTION("""COMPUTED_VALUE"""),107206.0)</f>
        <v>107206</v>
      </c>
      <c r="B2373" s="235" t="str">
        <f>IFERROR(__xludf.DUMMYFUNCTION("""COMPUTED_VALUE"""),"JANNAH ARGOTE")</f>
        <v>JANNAH ARGOTE</v>
      </c>
      <c r="C2373" s="235" t="str">
        <f>IFERROR(__xludf.DUMMYFUNCTION("""COMPUTED_VALUE"""),"PR &amp; MARKETING")</f>
        <v>PR &amp; MARKETING</v>
      </c>
      <c r="D2373" s="196" t="str">
        <f>IFERROR(__xludf.DUMMYFUNCTION("""COMPUTED_VALUE"""),"SASHA LACUNA
SIZE: 147 IN X 77 IN
THICKNESS: 18 OZ
KINDLY ADD SEAMING AND EYELET ALL OVER")</f>
        <v>SASHA LACUNA
SIZE: 147 IN X 77 IN
THICKNESS: 18 OZ
KINDLY ADD SEAMING AND EYELET ALL OVER</v>
      </c>
      <c r="E2373" s="196" t="str">
        <f>IFERROR(__xludf.DUMMYFUNCTION("""COMPUTED_VALUE"""),"CONGRATULATORY TARP")</f>
        <v>CONGRATULATORY TARP</v>
      </c>
    </row>
    <row r="2374">
      <c r="A2374" s="234">
        <f>IFERROR(__xludf.DUMMYFUNCTION("""COMPUTED_VALUE"""),107207.0)</f>
        <v>107207</v>
      </c>
      <c r="B2374" s="235" t="str">
        <f>IFERROR(__xludf.DUMMYFUNCTION("""COMPUTED_VALUE"""),"SHARJAN GATCHALIAN")</f>
        <v>SHARJAN GATCHALIAN</v>
      </c>
      <c r="C2374" s="235" t="str">
        <f>IFERROR(__xludf.DUMMYFUNCTION("""COMPUTED_VALUE"""),"MIS/ICT")</f>
        <v>MIS/ICT</v>
      </c>
      <c r="D2374" s="196" t="str">
        <f>IFERROR(__xludf.DUMMYFUNCTION("""COMPUTED_VALUE"""),"6 PCS OF UBIQUITI AP REPLACEMENT MOUTING SYSTEM")</f>
        <v>6 PCS OF UBIQUITI AP REPLACEMENT MOUTING SYSTEM</v>
      </c>
      <c r="E2374" s="196" t="str">
        <f>IFERROR(__xludf.DUMMYFUNCTION("""COMPUTED_VALUE"""),"REPLACEMENT OF ACCESS POINTS CEILLING MOUNTING")</f>
        <v>REPLACEMENT OF ACCESS POINTS CEILLING MOUNTING</v>
      </c>
    </row>
    <row r="2375">
      <c r="A2375" s="234">
        <f>IFERROR(__xludf.DUMMYFUNCTION("""COMPUTED_VALUE"""),107208.0)</f>
        <v>107208</v>
      </c>
      <c r="B2375" s="235" t="str">
        <f>IFERROR(__xludf.DUMMYFUNCTION("""COMPUTED_VALUE"""),"RONALDO VERDE")</f>
        <v>RONALDO VERDE</v>
      </c>
      <c r="C2375" s="235" t="str">
        <f>IFERROR(__xludf.DUMMYFUNCTION("""COMPUTED_VALUE"""),"ADMIN")</f>
        <v>ADMIN</v>
      </c>
      <c r="D2375" s="196" t="str">
        <f>IFERROR(__xludf.DUMMYFUNCTION("""COMPUTED_VALUE"""),"1 SWF MOTOLITE BATTERY AVANZA ")</f>
        <v>1 SWF MOTOLITE BATTERY AVANZA </v>
      </c>
      <c r="E2375" s="196" t="str">
        <f>IFERROR(__xludf.DUMMYFUNCTION("""COMPUTED_VALUE"""),"PM FOR SISC VEHICLE")</f>
        <v>PM FOR SISC VEHICLE</v>
      </c>
    </row>
    <row r="2376">
      <c r="A2376" s="234">
        <f>IFERROR(__xludf.DUMMYFUNCTION("""COMPUTED_VALUE"""),107209.0)</f>
        <v>107209</v>
      </c>
      <c r="B2376" s="235" t="str">
        <f>IFERROR(__xludf.DUMMYFUNCTION("""COMPUTED_VALUE"""),"RONALDO VERDE")</f>
        <v>RONALDO VERDE</v>
      </c>
      <c r="C2376" s="235" t="str">
        <f>IFERROR(__xludf.DUMMYFUNCTION("""COMPUTED_VALUE"""),"ADMIN")</f>
        <v>ADMIN</v>
      </c>
      <c r="D2376" s="196" t="str">
        <f>IFERROR(__xludf.DUMMYFUNCTION("""COMPUTED_VALUE"""),"4 PCS OF YOKOHAMA TIRES FOR SISC AVANZA, 135/70 R14")</f>
        <v>4 PCS OF YOKOHAMA TIRES FOR SISC AVANZA, 135/70 R14</v>
      </c>
      <c r="E2376" s="196" t="str">
        <f>IFERROR(__xludf.DUMMYFUNCTION("""COMPUTED_VALUE"""),"PM FOR SISC VEHICLE")</f>
        <v>PM FOR SISC VEHICLE</v>
      </c>
    </row>
    <row r="2377">
      <c r="A2377" s="234">
        <f>IFERROR(__xludf.DUMMYFUNCTION("""COMPUTED_VALUE"""),107210.0)</f>
        <v>107210</v>
      </c>
      <c r="B2377" s="235" t="str">
        <f>IFERROR(__xludf.DUMMYFUNCTION("""COMPUTED_VALUE"""),"JANINA GARCHE")</f>
        <v>JANINA GARCHE</v>
      </c>
      <c r="C2377" s="235" t="str">
        <f>IFERROR(__xludf.DUMMYFUNCTION("""COMPUTED_VALUE"""),"AUDIT")</f>
        <v>AUDIT</v>
      </c>
      <c r="D2377" s="196" t="str">
        <f>IFERROR(__xludf.DUMMYFUNCTION("""COMPUTED_VALUE"""),"1 TRODAT")</f>
        <v>1 TRODAT</v>
      </c>
      <c r="E2377" s="196" t="str">
        <f>IFERROR(__xludf.DUMMYFUNCTION("""COMPUTED_VALUE"""),"FOR OFFICE USE")</f>
        <v>FOR OFFICE USE</v>
      </c>
    </row>
    <row r="2378">
      <c r="A2378" s="234">
        <f>IFERROR(__xludf.DUMMYFUNCTION("""COMPUTED_VALUE"""),107211.0)</f>
        <v>107211</v>
      </c>
      <c r="B2378" s="235" t="str">
        <f>IFERROR(__xludf.DUMMYFUNCTION("""COMPUTED_VALUE"""),"LYKA PERALTA")</f>
        <v>LYKA PERALTA</v>
      </c>
      <c r="C2378" s="235" t="str">
        <f>IFERROR(__xludf.DUMMYFUNCTION("""COMPUTED_VALUE"""),"AMD")</f>
        <v>AMD</v>
      </c>
      <c r="D2378" s="196" t="str">
        <f>IFERROR(__xludf.DUMMYFUNCTION("""COMPUTED_VALUE"""),"Box of Color Poster Paints - Mightee Brilliant 20ML 12's - 55 PCS")</f>
        <v>Box of Color Poster Paints - Mightee Brilliant 20ML 12's - 55 PCS</v>
      </c>
      <c r="E2378" s="196" t="str">
        <f>IFERROR(__xludf.DUMMYFUNCTION("""COMPUTED_VALUE"""),"ADDITIONAL STUDENT MATERIALS FOR AY 2026-2027")</f>
        <v>ADDITIONAL STUDENT MATERIALS FOR AY 2026-2027</v>
      </c>
    </row>
    <row r="2379">
      <c r="A2379" s="234">
        <f>IFERROR(__xludf.DUMMYFUNCTION("""COMPUTED_VALUE"""),107212.0)</f>
        <v>107212</v>
      </c>
      <c r="B2379" s="235" t="str">
        <f>IFERROR(__xludf.DUMMYFUNCTION("""COMPUTED_VALUE"""),"LYKA PERALTA")</f>
        <v>LYKA PERALTA</v>
      </c>
      <c r="C2379" s="235" t="str">
        <f>IFERROR(__xludf.DUMMYFUNCTION("""COMPUTED_VALUE"""),"AMD")</f>
        <v>AMD</v>
      </c>
      <c r="D2379" s="196" t="str">
        <f>IFERROR(__xludf.DUMMYFUNCTION("""COMPUTED_VALUE"""),"Popsicle sticks,pack (100 sticks) - 40 pcs")</f>
        <v>Popsicle sticks,pack (100 sticks) - 40 pcs</v>
      </c>
      <c r="E2379" s="196" t="str">
        <f>IFERROR(__xludf.DUMMYFUNCTION("""COMPUTED_VALUE"""),"ADDITIONAL STUDENT MATERIALS FOR AY 2026-2027")</f>
        <v>ADDITIONAL STUDENT MATERIALS FOR AY 2026-2027</v>
      </c>
    </row>
    <row r="2380">
      <c r="A2380" s="234">
        <f>IFERROR(__xludf.DUMMYFUNCTION("""COMPUTED_VALUE"""),107213.0)</f>
        <v>107213</v>
      </c>
      <c r="B2380" s="235" t="str">
        <f>IFERROR(__xludf.DUMMYFUNCTION("""COMPUTED_VALUE"""),"LYKA PERALTA")</f>
        <v>LYKA PERALTA</v>
      </c>
      <c r="C2380" s="235" t="str">
        <f>IFERROR(__xludf.DUMMYFUNCTION("""COMPUTED_VALUE"""),"AMD")</f>
        <v>AMD</v>
      </c>
      <c r="D2380" s="196" t="str">
        <f>IFERROR(__xludf.DUMMYFUNCTION("""COMPUTED_VALUE"""),"Scissors,Student 5 MAPED - 41 PCS")</f>
        <v>Scissors,Student 5 MAPED - 41 PCS</v>
      </c>
      <c r="E2380" s="196" t="str">
        <f>IFERROR(__xludf.DUMMYFUNCTION("""COMPUTED_VALUE"""),"ADDITIONAL STUDENT MATERIALS FOR AY 2026-2027")</f>
        <v>ADDITIONAL STUDENT MATERIALS FOR AY 2026-2027</v>
      </c>
    </row>
    <row r="2381">
      <c r="A2381" s="234">
        <f>IFERROR(__xludf.DUMMYFUNCTION("""COMPUTED_VALUE"""),107214.0)</f>
        <v>107214</v>
      </c>
      <c r="B2381" s="235" t="str">
        <f>IFERROR(__xludf.DUMMYFUNCTION("""COMPUTED_VALUE"""),"JOHN JERICO VENUS")</f>
        <v>JOHN JERICO VENUS</v>
      </c>
      <c r="C2381" s="235" t="str">
        <f>IFERROR(__xludf.DUMMYFUNCTION("""COMPUTED_VALUE"""),"ADMIN")</f>
        <v>ADMIN</v>
      </c>
      <c r="D2381" s="196" t="str">
        <f>IFERROR(__xludf.DUMMYFUNCTION("""COMPUTED_VALUE"""),"125, FLOOR CENTER 22AWI TILES
20 X 20 (GLOSSY, WHITE)")</f>
        <v>125, FLOOR CENTER 22AWI TILES
20 X 20 (GLOSSY, WHITE)</v>
      </c>
      <c r="E2381" s="196" t="str">
        <f>IFERROR(__xludf.DUMMYFUNCTION("""COMPUTED_VALUE"""),"FOR ADDITIONAL TILES OF COLLEGE OPEN PARKING CR")</f>
        <v>FOR ADDITIONAL TILES OF COLLEGE OPEN PARKING CR</v>
      </c>
    </row>
    <row r="2382">
      <c r="A2382" s="234">
        <f>IFERROR(__xludf.DUMMYFUNCTION("""COMPUTED_VALUE"""),107215.0)</f>
        <v>107215</v>
      </c>
      <c r="B2382" s="235" t="str">
        <f>IFERROR(__xludf.DUMMYFUNCTION("""COMPUTED_VALUE"""),"JOHN JERICO VENUS")</f>
        <v>JOHN JERICO VENUS</v>
      </c>
      <c r="C2382" s="235" t="str">
        <f>IFERROR(__xludf.DUMMYFUNCTION("""COMPUTED_VALUE"""),"ADMIN")</f>
        <v>ADMIN</v>
      </c>
      <c r="D2382" s="196" t="str">
        <f>IFERROR(__xludf.DUMMYFUNCTION("""COMPUTED_VALUE"""),"GLOW IN THE DARK SINTRA BOARD
274, SHORT BOND SIZE (11.5 X 8 IN)
20, A3 SIZE (11.7 X 16.5 IN)")</f>
        <v>GLOW IN THE DARK SINTRA BOARD
274, SHORT BOND SIZE (11.5 X 8 IN)
20, A3 SIZE (11.7 X 16.5 IN)</v>
      </c>
      <c r="E2382" s="196" t="str">
        <f>IFERROR(__xludf.DUMMYFUNCTION("""COMPUTED_VALUE"""),"TO UPDATE EMERGENCY EVACUATION PLANS")</f>
        <v>TO UPDATE EMERGENCY EVACUATION PLANS</v>
      </c>
    </row>
    <row r="2383">
      <c r="A2383" s="234">
        <f>IFERROR(__xludf.DUMMYFUNCTION("""COMPUTED_VALUE"""),107216.0)</f>
        <v>107216</v>
      </c>
      <c r="B2383" s="235" t="str">
        <f>IFERROR(__xludf.DUMMYFUNCTION("""COMPUTED_VALUE"""),"ELMIE LAUDIATO")</f>
        <v>ELMIE LAUDIATO</v>
      </c>
      <c r="C2383" s="235" t="str">
        <f>IFERROR(__xludf.DUMMYFUNCTION("""COMPUTED_VALUE"""),"HRMD")</f>
        <v>HRMD</v>
      </c>
      <c r="D2383" s="196" t="str">
        <f>IFERROR(__xludf.DUMMYFUNCTION("""COMPUTED_VALUE"""),"FLOWER WREATH")</f>
        <v>FLOWER WREATH</v>
      </c>
      <c r="E2383" s="196" t="str">
        <f>IFERROR(__xludf.DUMMYFUNCTION("""COMPUTED_VALUE"""),"FLOWER WREATH FOR THE MOTHER OF YVONNE GARCIA")</f>
        <v>FLOWER WREATH FOR THE MOTHER OF YVONNE GARCIA</v>
      </c>
    </row>
    <row r="2384">
      <c r="A2384" s="234">
        <f>IFERROR(__xludf.DUMMYFUNCTION("""COMPUTED_VALUE"""),107217.0)</f>
        <v>107217</v>
      </c>
      <c r="B2384" s="235" t="str">
        <f>IFERROR(__xludf.DUMMYFUNCTION("""COMPUTED_VALUE"""),"SHEILA MAE MAJAIT")</f>
        <v>SHEILA MAE MAJAIT</v>
      </c>
      <c r="C2384" s="235" t="str">
        <f>IFERROR(__xludf.DUMMYFUNCTION("""COMPUTED_VALUE"""),"PR &amp; MARKETING")</f>
        <v>PR &amp; MARKETING</v>
      </c>
      <c r="D2384" s="196" t="str">
        <f>IFERROR(__xludf.DUMMYFUNCTION("""COMPUTED_VALUE"""),"1 SMIS STAR WELCOME TARP H 183CM W 497CM 18 OZ ADD SEAMING AND EYELET ALL OVER")</f>
        <v>1 SMIS STAR WELCOME TARP H 183CM W 497CM 18 OZ ADD SEAMING AND EYELET ALL OVER</v>
      </c>
      <c r="E2384" s="196" t="str">
        <f>IFERROR(__xludf.DUMMYFUNCTION("""COMPUTED_VALUE"""),"ADVERTISEMENT/MARKETING")</f>
        <v>ADVERTISEMENT/MARKETING</v>
      </c>
    </row>
    <row r="2385">
      <c r="A2385" s="234">
        <f>IFERROR(__xludf.DUMMYFUNCTION("""COMPUTED_VALUE"""),107218.0)</f>
        <v>107218</v>
      </c>
      <c r="B2385" s="235" t="str">
        <f>IFERROR(__xludf.DUMMYFUNCTION("""COMPUTED_VALUE"""),"MARK M. PABUSTAN")</f>
        <v>MARK M. PABUSTAN</v>
      </c>
      <c r="C2385" s="235" t="str">
        <f>IFERROR(__xludf.DUMMYFUNCTION("""COMPUTED_VALUE"""),"ROBOTICS")</f>
        <v>ROBOTICS</v>
      </c>
      <c r="D2385" s="196" t="str">
        <f>IFERROR(__xludf.DUMMYFUNCTION("""COMPUTED_VALUE"""),"1 PC BAMBU LAB HIGH HOTEND WITH HARDENED STEEL NOZZLE FOR H2D, H2S P2S
1 PC BAMBU LAB COMPLETE HOTEND ASSEMBLY FOR P1 SERIES
2 PCS BAMBU LAB PETG TRANSLUCENT FILAMENT 1KG 1.75 MM
1 PCS 3D PRINTED MODEL POST PROCESSING TOOLKIT")</f>
        <v>1 PC BAMBU LAB HIGH HOTEND WITH HARDENED STEEL NOZZLE FOR H2D, H2S P2S
1 PC BAMBU LAB COMPLETE HOTEND ASSEMBLY FOR P1 SERIES
2 PCS BAMBU LAB PETG TRANSLUCENT FILAMENT 1KG 1.75 MM
1 PCS 3D PRINTED MODEL POST PROCESSING TOOLKIT</v>
      </c>
      <c r="E2385" s="196" t="str">
        <f>IFERROR(__xludf.DUMMYFUNCTION("""COMPUTED_VALUE"""),"FOR 3D PRINTER PARTS AND TOOLS")</f>
        <v>FOR 3D PRINTER PARTS AND TOOLS</v>
      </c>
    </row>
    <row r="2386">
      <c r="A2386" s="234">
        <f>IFERROR(__xludf.DUMMYFUNCTION("""COMPUTED_VALUE"""),107219.0)</f>
        <v>107219</v>
      </c>
      <c r="B2386" s="235" t="str">
        <f>IFERROR(__xludf.DUMMYFUNCTION("""COMPUTED_VALUE"""),"MARK M. PABUSTAN")</f>
        <v>MARK M. PABUSTAN</v>
      </c>
      <c r="C2386" s="235" t="str">
        <f>IFERROR(__xludf.DUMMYFUNCTION("""COMPUTED_VALUE"""),"ROBOTICS")</f>
        <v>ROBOTICS</v>
      </c>
      <c r="D2386" s="196" t="str">
        <f>IFERROR(__xludf.DUMMYFUNCTION("""COMPUTED_VALUE"""),"1 SET 2026-27 VEX IQ ROBOTICS COMPETITION LEVEL UP FULL GAME AND FIELD ELEMENT KIT 
1 SET V5 PNEUMATICS KIT
1 SET 2026-27 VEX IQ ROBOTICS COMPETITION OVERRIDE FULL GAME AND FIELD ELEMENT KIT 
1 SET IQ PNEUMATICS KIT
1 SET VEX IQ PNEUMATIC TUBING KIT 
1 SE"&amp;"T ALUMINUM STRUCTURE")</f>
        <v>1 SET 2026-27 VEX IQ ROBOTICS COMPETITION LEVEL UP FULL GAME AND FIELD ELEMENT KIT 
1 SET V5 PNEUMATICS KIT
1 SET 2026-27 VEX IQ ROBOTICS COMPETITION OVERRIDE FULL GAME AND FIELD ELEMENT KIT 
1 SET IQ PNEUMATICS KIT
1 SET VEX IQ PNEUMATIC TUBING KIT 
1 SET ALUMINUM STRUCTURE</v>
      </c>
      <c r="E2386" s="196" t="str">
        <f>IFERROR(__xludf.DUMMYFUNCTION("""COMPUTED_VALUE"""),"FOR COMPETITIONS")</f>
        <v>FOR COMPETITIONS</v>
      </c>
    </row>
    <row r="2387">
      <c r="A2387" s="234">
        <f>IFERROR(__xludf.DUMMYFUNCTION("""COMPUTED_VALUE"""),107220.0)</f>
        <v>107220</v>
      </c>
      <c r="B2387" s="235" t="str">
        <f>IFERROR(__xludf.DUMMYFUNCTION("""COMPUTED_VALUE"""),"TROY CLUTARIO")</f>
        <v>TROY CLUTARIO</v>
      </c>
      <c r="C2387" s="235" t="str">
        <f>IFERROR(__xludf.DUMMYFUNCTION("""COMPUTED_VALUE"""),"ADMIN - STAR")</f>
        <v>ADMIN - STAR</v>
      </c>
      <c r="D2387" s="196" t="str">
        <f>IFERROR(__xludf.DUMMYFUNCTION("""COMPUTED_VALUE"""),"TARPAULIN H 1.5FT X W 2.25FT 
32 MUNICH CAMPUS 
9 SMIS PAQUE STAR CAMPUS")</f>
        <v>TARPAULIN H 1.5FT X W 2.25FT 
32 MUNICH CAMPUS 
9 SMIS PAQUE STAR CAMPUS</v>
      </c>
      <c r="E2387" s="196" t="str">
        <f>IFERROR(__xludf.DUMMYFUNCTION("""COMPUTED_VALUE"""),"KRI TARGETS TARP FOR SISC MUNICH + SMIS PQUE STAR CAMPUS")</f>
        <v>KRI TARGETS TARP FOR SISC MUNICH + SMIS PQUE STAR CAMPUS</v>
      </c>
    </row>
    <row r="2388">
      <c r="A2388" s="234">
        <f>IFERROR(__xludf.DUMMYFUNCTION("""COMPUTED_VALUE"""),107221.0)</f>
        <v>107221</v>
      </c>
      <c r="B2388" s="235" t="str">
        <f>IFERROR(__xludf.DUMMYFUNCTION("""COMPUTED_VALUE"""),"DAPHNE ANGELEE BLANCO")</f>
        <v>DAPHNE ANGELEE BLANCO</v>
      </c>
      <c r="C2388" s="235" t="str">
        <f>IFERROR(__xludf.DUMMYFUNCTION("""COMPUTED_VALUE"""),"COLLEGE OF BUSINESS")</f>
        <v>COLLEGE OF BUSINESS</v>
      </c>
      <c r="D2388" s="196" t="str">
        <f>IFERROR(__xludf.DUMMYFUNCTION("""COMPUTED_VALUE"""),"2 PCS FILE CABINET")</f>
        <v>2 PCS FILE CABINET</v>
      </c>
      <c r="E2388" s="196" t="str">
        <f>IFERROR(__xludf.DUMMYFUNCTION("""COMPUTED_VALUE"""),"GRADUATION PHOTO AND FILE FILING -AY 2026-2027")</f>
        <v>GRADUATION PHOTO AND FILE FILING -AY 2026-2027</v>
      </c>
    </row>
    <row r="2389">
      <c r="A2389" s="234">
        <f>IFERROR(__xludf.DUMMYFUNCTION("""COMPUTED_VALUE"""),107222.0)</f>
        <v>107222</v>
      </c>
      <c r="B2389" s="235" t="str">
        <f>IFERROR(__xludf.DUMMYFUNCTION("""COMPUTED_VALUE"""),"ADOR MARINDA")</f>
        <v>ADOR MARINDA</v>
      </c>
      <c r="C2389" s="235" t="str">
        <f>IFERROR(__xludf.DUMMYFUNCTION("""COMPUTED_VALUE"""),"MIS/ICT")</f>
        <v>MIS/ICT</v>
      </c>
      <c r="D2389" s="196" t="str">
        <f>IFERROR(__xludf.DUMMYFUNCTION("""COMPUTED_VALUE"""),"3 UNITS HP SERVER 16GB MEMORY MODULE")</f>
        <v>3 UNITS HP SERVER 16GB MEMORY MODULE</v>
      </c>
      <c r="E2389" s="196" t="str">
        <f>IFERROR(__xludf.DUMMYFUNCTION("""COMPUTED_VALUE"""),"FOR SERVER MEMORY UPGRADE")</f>
        <v>FOR SERVER MEMORY UPGRADE</v>
      </c>
    </row>
    <row r="2390">
      <c r="A2390" s="234">
        <f>IFERROR(__xludf.DUMMYFUNCTION("""COMPUTED_VALUE"""),107223.0)</f>
        <v>107223</v>
      </c>
      <c r="B2390" s="235" t="str">
        <f>IFERROR(__xludf.DUMMYFUNCTION("""COMPUTED_VALUE"""),"TROY CLUTARIO")</f>
        <v>TROY CLUTARIO</v>
      </c>
      <c r="C2390" s="235" t="str">
        <f>IFERROR(__xludf.DUMMYFUNCTION("""COMPUTED_VALUE"""),"ADMIN - STAR")</f>
        <v>ADMIN - STAR</v>
      </c>
      <c r="D2390" s="196" t="str">
        <f>IFERROR(__xludf.DUMMYFUNCTION("""COMPUTED_VALUE"""),"140 ROUND RUBBER CHAIR LEG CAPS")</f>
        <v>140 ROUND RUBBER CHAIR LEG CAPS</v>
      </c>
      <c r="E2390" s="196" t="str">
        <f>IFERROR(__xludf.DUMMYFUNCTION("""COMPUTED_VALUE"""),"REPLACEMENT OF DAMAGED RUBBER CHAIR LEG CAPS ON SCI LAB")</f>
        <v>REPLACEMENT OF DAMAGED RUBBER CHAIR LEG CAPS ON SCI LAB</v>
      </c>
    </row>
    <row r="2391">
      <c r="A2391" s="234">
        <f>IFERROR(__xludf.DUMMYFUNCTION("""COMPUTED_VALUE"""),107224.0)</f>
        <v>107224</v>
      </c>
      <c r="B2391" s="235" t="str">
        <f>IFERROR(__xludf.DUMMYFUNCTION("""COMPUTED_VALUE"""),"CARLITO DELA VEGA")</f>
        <v>CARLITO DELA VEGA</v>
      </c>
      <c r="C2391" s="235" t="str">
        <f>IFERROR(__xludf.DUMMYFUNCTION("""COMPUTED_VALUE"""),"SECURITY")</f>
        <v>SECURITY</v>
      </c>
      <c r="D2391" s="196" t="str">
        <f>IFERROR(__xludf.DUMMYFUNCTION("""COMPUTED_VALUE"""),"1 ROLL ROPE ORANGE 3/4""")</f>
        <v>1 ROLL ROPE ORANGE 3/4"</v>
      </c>
      <c r="E2391" s="196" t="str">
        <f>IFERROR(__xludf.DUMMYFUNCTION("""COMPUTED_VALUE"""),"PARKING CORDON")</f>
        <v>PARKING CORDON</v>
      </c>
    </row>
    <row r="2392">
      <c r="A2392" s="234">
        <f>IFERROR(__xludf.DUMMYFUNCTION("""COMPUTED_VALUE"""),107225.0)</f>
        <v>107225</v>
      </c>
      <c r="B2392" s="235" t="str">
        <f>IFERROR(__xludf.DUMMYFUNCTION("""COMPUTED_VALUE"""),"RONALDO VERDE")</f>
        <v>RONALDO VERDE</v>
      </c>
      <c r="C2392" s="235" t="str">
        <f>IFERROR(__xludf.DUMMYFUNCTION("""COMPUTED_VALUE"""),"ADMIN")</f>
        <v>ADMIN</v>
      </c>
      <c r="D2392" s="196" t="str">
        <f>IFERROR(__xludf.DUMMYFUNCTION("""COMPUTED_VALUE"""),"350 PCS ACOUSTIC BOARD 2 X 4 FINE FISSURED ")</f>
        <v>350 PCS ACOUSTIC BOARD 2 X 4 FINE FISSURED </v>
      </c>
      <c r="E2392" s="196" t="str">
        <f>IFERROR(__xludf.DUMMYFUNCTION("""COMPUTED_VALUE"""),"ACOUSTIC BOARD FOR MUNICH STAR AND TROPICAL BLDG.")</f>
        <v>ACOUSTIC BOARD FOR MUNICH STAR AND TROPICAL BLDG.</v>
      </c>
    </row>
    <row r="2393">
      <c r="A2393" s="234">
        <f>IFERROR(__xludf.DUMMYFUNCTION("""COMPUTED_VALUE"""),107226.0)</f>
        <v>107226</v>
      </c>
      <c r="B2393" s="235" t="str">
        <f>IFERROR(__xludf.DUMMYFUNCTION("""COMPUTED_VALUE"""),"OWIE PAR")</f>
        <v>OWIE PAR</v>
      </c>
      <c r="C2393" s="235" t="str">
        <f>IFERROR(__xludf.DUMMYFUNCTION("""COMPUTED_VALUE"""),"ENGINEERING")</f>
        <v>ENGINEERING</v>
      </c>
      <c r="D2393" s="196" t="str">
        <f>IFERROR(__xludf.DUMMYFUNCTION("""COMPUTED_VALUE"""),"1 UNIT PRESSURE WASHER (NEW)")</f>
        <v>1 UNIT PRESSURE WASHER (NEW)</v>
      </c>
      <c r="E2393" s="196" t="str">
        <f>IFERROR(__xludf.DUMMYFUNCTION("""COMPUTED_VALUE"""),"ENGINEERING USE")</f>
        <v>ENGINEERING USE</v>
      </c>
    </row>
    <row r="2394">
      <c r="A2394" s="234">
        <f>IFERROR(__xludf.DUMMYFUNCTION("""COMPUTED_VALUE"""),107227.0)</f>
        <v>107227</v>
      </c>
      <c r="B2394" s="235" t="str">
        <f>IFERROR(__xludf.DUMMYFUNCTION("""COMPUTED_VALUE"""),"CHOY JAMIAS")</f>
        <v>CHOY JAMIAS</v>
      </c>
      <c r="C2394" s="235" t="str">
        <f>IFERROR(__xludf.DUMMYFUNCTION("""COMPUTED_VALUE"""),"STUDENT AFFAIRS COLLEGE")</f>
        <v>STUDENT AFFAIRS COLLEGE</v>
      </c>
      <c r="D2394" s="196" t="str">
        <f>IFERROR(__xludf.DUMMYFUNCTION("""COMPUTED_VALUE"""),"50 PCS, RECOGNITION MEDAL (LOGO W/ PURPLE RIBBON)")</f>
        <v>50 PCS, RECOGNITION MEDAL (LOGO W/ PURPLE RIBBON)</v>
      </c>
      <c r="E2394" s="196" t="str">
        <f>IFERROR(__xludf.DUMMYFUNCTION("""COMPUTED_VALUE"""),"ADDITIONAL MEDAL FOR RECOGNITION")</f>
        <v>ADDITIONAL MEDAL FOR RECOGNITION</v>
      </c>
    </row>
    <row r="2395">
      <c r="A2395" s="234">
        <f>IFERROR(__xludf.DUMMYFUNCTION("""COMPUTED_VALUE"""),107228.0)</f>
        <v>107228</v>
      </c>
      <c r="B2395" s="235" t="str">
        <f>IFERROR(__xludf.DUMMYFUNCTION("""COMPUTED_VALUE"""),"JAZZMIN BUENAVIDES")</f>
        <v>JAZZMIN BUENAVIDES</v>
      </c>
      <c r="C2395" s="235" t="str">
        <f>IFERROR(__xludf.DUMMYFUNCTION("""COMPUTED_VALUE"""),"TAYLOR CENTER (TCPD)")</f>
        <v>TAYLOR CENTER (TCPD)</v>
      </c>
      <c r="D2395" s="196" t="str">
        <f>IFERROR(__xludf.DUMMYFUNCTION("""COMPUTED_VALUE"""),"1 PERCOLATOR")</f>
        <v>1 PERCOLATOR</v>
      </c>
      <c r="E2395" s="196" t="str">
        <f>IFERROR(__xludf.DUMMYFUNCTION("""COMPUTED_VALUE"""),"LIP TRAINING, INSTITUTIONAL EVENT, PLANNING")</f>
        <v>LIP TRAINING, INSTITUTIONAL EVENT, PLANNING</v>
      </c>
    </row>
    <row r="2396">
      <c r="A2396" s="234">
        <f>IFERROR(__xludf.DUMMYFUNCTION("""COMPUTED_VALUE"""),107229.0)</f>
        <v>107229</v>
      </c>
      <c r="B2396" s="235" t="str">
        <f>IFERROR(__xludf.DUMMYFUNCTION("""COMPUTED_VALUE"""),"CLEA LOMIWES")</f>
        <v>CLEA LOMIWES</v>
      </c>
      <c r="C2396" s="235" t="str">
        <f>IFERROR(__xludf.DUMMYFUNCTION("""COMPUTED_VALUE"""),"LIBRARY COLLEGE")</f>
        <v>LIBRARY COLLEGE</v>
      </c>
      <c r="D2396" s="196" t="str">
        <f>IFERROR(__xludf.DUMMYFUNCTION("""COMPUTED_VALUE"""),"CLEAR PLASTIC COVER (GAUGE 4"")")</f>
        <v>CLEAR PLASTIC COVER (GAUGE 4")</v>
      </c>
      <c r="E2396" s="196" t="str">
        <f>IFERROR(__xludf.DUMMYFUNCTION("""COMPUTED_VALUE"""),"LIBRARY SUPPLIES AND FOR COVERING OF NEWLY ACQUIRED  BOOKS")</f>
        <v>LIBRARY SUPPLIES AND FOR COVERING OF NEWLY ACQUIRED  BOOKS</v>
      </c>
    </row>
    <row r="2397">
      <c r="A2397" s="234">
        <f>IFERROR(__xludf.DUMMYFUNCTION("""COMPUTED_VALUE"""),107230.0)</f>
        <v>107230</v>
      </c>
      <c r="B2397" s="235" t="str">
        <f>IFERROR(__xludf.DUMMYFUNCTION("""COMPUTED_VALUE"""),"MELISSA ODOÑO")</f>
        <v>MELISSA ODOÑO</v>
      </c>
      <c r="C2397" s="235" t="str">
        <f>IFERROR(__xludf.DUMMYFUNCTION("""COMPUTED_VALUE"""),"LIBRARY COLLEGE")</f>
        <v>LIBRARY COLLEGE</v>
      </c>
      <c r="D2397" s="196" t="str">
        <f>IFERROR(__xludf.DUMMYFUNCTION("""COMPUTED_VALUE"""),"COMPUTER ENGINEERING BOOKS
1 EACH:
Fundamentals of Electronics                                        
Differential Equations An Elementary Approach                                        
Embedded Systems                                        
Embedded "&amp;"Systems with Internet of Things                                         
Introduction to Electric Circuits                                        
Introduction to Programmable Logic Controllers (PLCS)                                        
Mathematics Fo"&amp;"r Engineers                                        
Fundamentals of Mixed Signals and Sensors")</f>
        <v>COMPUTER ENGINEERING BOOKS
1 EACH:
Fundamentals of Electronics                                        
Differential Equations An Elementary Approach                                        
Embedded Systems                                        
Embedded Systems with Internet of Things                                         
Introduction to Electric Circuits                                        
Introduction to Programmable Logic Controllers (PLCS)                                        
Mathematics For Engineers                                        
Fundamentals of Mixed Signals and Sensors</v>
      </c>
      <c r="E2397" s="196" t="str">
        <f>IFERROR(__xludf.DUMMYFUNCTION("""COMPUTED_VALUE"""),"LIBRARY BOOKS - PACUCOA COMPLIANT")</f>
        <v>LIBRARY BOOKS - PACUCOA COMPLIANT</v>
      </c>
    </row>
    <row r="2398">
      <c r="A2398" s="234">
        <f>IFERROR(__xludf.DUMMYFUNCTION("""COMPUTED_VALUE"""),107231.0)</f>
        <v>107231</v>
      </c>
      <c r="B2398" s="235" t="str">
        <f>IFERROR(__xludf.DUMMYFUNCTION("""COMPUTED_VALUE"""),"MELISSA ODOÑO")</f>
        <v>MELISSA ODOÑO</v>
      </c>
      <c r="C2398" s="235" t="str">
        <f>IFERROR(__xludf.DUMMYFUNCTION("""COMPUTED_VALUE"""),"LIBRARY COLLEGE")</f>
        <v>LIBRARY COLLEGE</v>
      </c>
      <c r="D2398" s="196" t="str">
        <f>IFERROR(__xludf.DUMMYFUNCTION("""COMPUTED_VALUE"""),"COMPUTER ENGINEERING BOOKS
1 EACH:
Computer Engineering Drafting and Designs                                         
Microprocessor and Microcontroller System                                        
Theory and Problems of Differential Calculus           "&amp;"                             
Statistical Analysis with Phyton                                        
Fundamentals of Electrical Engineering                                        
Engineering Statistics                                         
Computer "&amp;"Architecture in Engineering                                        ")</f>
        <v>COMPUTER ENGINEERING BOOKS
1 EACH:
Computer Engineering Drafting and Designs                                         
Microprocessor and Microcontroller System                                        
Theory and Problems of Differential Calculus                                        
Statistical Analysis with Phyton                                        
Fundamentals of Electrical Engineering                                        
Engineering Statistics                                         
Computer Architecture in Engineering                                        </v>
      </c>
      <c r="E2398" s="196" t="str">
        <f>IFERROR(__xludf.DUMMYFUNCTION("""COMPUTED_VALUE"""),"LIBRARY BOOKS - PACUCOA COMPLIANT")</f>
        <v>LIBRARY BOOKS - PACUCOA COMPLIANT</v>
      </c>
    </row>
    <row r="2399">
      <c r="A2399" s="234">
        <f>IFERROR(__xludf.DUMMYFUNCTION("""COMPUTED_VALUE"""),107232.0)</f>
        <v>107232</v>
      </c>
      <c r="B2399" s="235" t="str">
        <f>IFERROR(__xludf.DUMMYFUNCTION("""COMPUTED_VALUE"""),"MELISSA ODOÑO")</f>
        <v>MELISSA ODOÑO</v>
      </c>
      <c r="C2399" s="235" t="str">
        <f>IFERROR(__xludf.DUMMYFUNCTION("""COMPUTED_VALUE"""),"LIBRARY COLLEGE")</f>
        <v>LIBRARY COLLEGE</v>
      </c>
      <c r="D2399" s="196" t="str">
        <f>IFERROR(__xludf.DUMMYFUNCTION("""COMPUTED_VALUE"""),"COMPUTER ENGINEERING BOOKS
1 EACH:
Digital Circuits					
Fundamentals of Electric Circuits 					
Applied Calculus					
Digital Signal Processing					
Integrated Circuit Design 					
Logic Circuits and Designs					
Digital Signal Processing Fundament"&amp;"als					
Signals and Systems					")</f>
        <v>COMPUTER ENGINEERING BOOKS
1 EACH:
Digital Circuits					
Fundamentals of Electric Circuits 					
Applied Calculus					
Digital Signal Processing					
Integrated Circuit Design 					
Logic Circuits and Designs					
Digital Signal Processing Fundamentals					
Signals and Systems					</v>
      </c>
      <c r="E2399" s="196" t="str">
        <f>IFERROR(__xludf.DUMMYFUNCTION("""COMPUTED_VALUE"""),"LIBRARY BOOKS - PACUCOA COMPLIANT")</f>
        <v>LIBRARY BOOKS - PACUCOA COMPLIANT</v>
      </c>
    </row>
    <row r="2400">
      <c r="A2400" s="234">
        <f>IFERROR(__xludf.DUMMYFUNCTION("""COMPUTED_VALUE"""),107233.0)</f>
        <v>107233</v>
      </c>
      <c r="B2400" s="235" t="str">
        <f>IFERROR(__xludf.DUMMYFUNCTION("""COMPUTED_VALUE"""),"MELISSA ODOÑO")</f>
        <v>MELISSA ODOÑO</v>
      </c>
      <c r="C2400" s="235" t="str">
        <f>IFERROR(__xludf.DUMMYFUNCTION("""COMPUTED_VALUE"""),"LIBRARY COLLEGE")</f>
        <v>LIBRARY COLLEGE</v>
      </c>
      <c r="D2400" s="196" t="str">
        <f>IFERROR(__xludf.DUMMYFUNCTION("""COMPUTED_VALUE"""),"IT BOOKS
1 EACH:
Neural Networks and Deep Learning					
Agentic AI					
A Developer's Guide to Integrating Generative AI into Applications 					
Fundamentals of Statistics					
Data Engineering for Beginners					
Introduction to Data Science					
Fu"&amp;"ndamentals of Data Science					
Data Warehousing					")</f>
        <v>IT BOOKS
1 EACH:
Neural Networks and Deep Learning					
Agentic AI					
A Developer's Guide to Integrating Generative AI into Applications 					
Fundamentals of Statistics					
Data Engineering for Beginners					
Introduction to Data Science					
Fundamentals of Data Science					
Data Warehousing					</v>
      </c>
      <c r="E2400" s="196" t="str">
        <f>IFERROR(__xludf.DUMMYFUNCTION("""COMPUTED_VALUE"""),"LIBRARY BOOKS - PACUCOA COMPLIANT")</f>
        <v>LIBRARY BOOKS - PACUCOA COMPLIANT</v>
      </c>
    </row>
    <row r="2401">
      <c r="A2401" s="234">
        <f>IFERROR(__xludf.DUMMYFUNCTION("""COMPUTED_VALUE"""),107234.0)</f>
        <v>107234</v>
      </c>
      <c r="B2401" s="235" t="str">
        <f>IFERROR(__xludf.DUMMYFUNCTION("""COMPUTED_VALUE"""),"MELISSA ODOÑO")</f>
        <v>MELISSA ODOÑO</v>
      </c>
      <c r="C2401" s="235" t="str">
        <f>IFERROR(__xludf.DUMMYFUNCTION("""COMPUTED_VALUE"""),"LIBRARY COLLEGE")</f>
        <v>LIBRARY COLLEGE</v>
      </c>
      <c r="D2401" s="196" t="str">
        <f>IFERROR(__xludf.DUMMYFUNCTION("""COMPUTED_VALUE"""),"IT BOOKS
1 EACH:
Cloud Fundamentals and Cloud Security					
Hacking 					
Google Cloud Fundamentals Core Infrastructure					
Cybersecurity A Practical Introduction					
CompTIA Cloud+					
Data Structures and Algorithms					
Basic Computer Architect"&amp;"ure					")</f>
        <v>IT BOOKS
1 EACH:
Cloud Fundamentals and Cloud Security					
Hacking 					
Google Cloud Fundamentals Core Infrastructure					
Cybersecurity A Practical Introduction					
CompTIA Cloud+					
Data Structures and Algorithms					
Basic Computer Architecture					</v>
      </c>
      <c r="E2401" s="196" t="str">
        <f>IFERROR(__xludf.DUMMYFUNCTION("""COMPUTED_VALUE"""),"LIBRARY BOOKS - PACUCOA COMPLIANT")</f>
        <v>LIBRARY BOOKS - PACUCOA COMPLIANT</v>
      </c>
    </row>
    <row r="2402">
      <c r="A2402" s="234">
        <f>IFERROR(__xludf.DUMMYFUNCTION("""COMPUTED_VALUE"""),107235.0)</f>
        <v>107235</v>
      </c>
      <c r="B2402" s="235" t="str">
        <f>IFERROR(__xludf.DUMMYFUNCTION("""COMPUTED_VALUE"""),"MELISSA ODOÑO")</f>
        <v>MELISSA ODOÑO</v>
      </c>
      <c r="C2402" s="235" t="str">
        <f>IFERROR(__xludf.DUMMYFUNCTION("""COMPUTED_VALUE"""),"LIBRARY COLLEGE")</f>
        <v>LIBRARY COLLEGE</v>
      </c>
      <c r="D2402" s="196" t="str">
        <f>IFERROR(__xludf.DUMMYFUNCTION("""COMPUTED_VALUE"""),"IT BOOKS
1 EACH:
Web Systems and Technologies					
Discrete Mathematics					
Foundations of Sotware Engineering					
Advance Database Systems					
Web Programming					
AI Chatbots					
Fundamentsla of Machine Learning					
Elementary Linear Algebra"&amp;"					")</f>
        <v>IT BOOKS
1 EACH:
Web Systems and Technologies					
Discrete Mathematics					
Foundations of Sotware Engineering					
Advance Database Systems					
Web Programming					
AI Chatbots					
Fundamentsla of Machine Learning					
Elementary Linear Algebra					</v>
      </c>
      <c r="E2402" s="196" t="str">
        <f>IFERROR(__xludf.DUMMYFUNCTION("""COMPUTED_VALUE"""),"LIBRARY BOOKS - PACUCOA COMPLIANT")</f>
        <v>LIBRARY BOOKS - PACUCOA COMPLIANT</v>
      </c>
    </row>
    <row r="2403">
      <c r="A2403" s="234">
        <f>IFERROR(__xludf.DUMMYFUNCTION("""COMPUTED_VALUE"""),107236.0)</f>
        <v>107236</v>
      </c>
      <c r="B2403" s="235" t="str">
        <f>IFERROR(__xludf.DUMMYFUNCTION("""COMPUTED_VALUE"""),"MELISSA ODOÑO")</f>
        <v>MELISSA ODOÑO</v>
      </c>
      <c r="C2403" s="235" t="str">
        <f>IFERROR(__xludf.DUMMYFUNCTION("""COMPUTED_VALUE"""),"LIBRARY COLLEGE")</f>
        <v>LIBRARY COLLEGE</v>
      </c>
      <c r="D2403" s="196" t="str">
        <f>IFERROR(__xludf.DUMMYFUNCTION("""COMPUTED_VALUE"""),"IT BOOKS
1 EACH:
Introduction to Digital Networks 					
Machine Learning and Artificial Intelligence for Cybersecurity					
Networking Fundamentals					
Troubleshooting PCs					
Computing Essentials 					
Research Methods in Information Technology an"&amp;"d Information Systems					
Introduction to Artificial Intelligence A Business Perspective					
Ethics, Information, and Technology					")</f>
        <v>IT BOOKS
1 EACH:
Introduction to Digital Networks 					
Machine Learning and Artificial Intelligence for Cybersecurity					
Networking Fundamentals					
Troubleshooting PCs					
Computing Essentials 					
Research Methods in Information Technology and Information Systems					
Introduction to Artificial Intelligence A Business Perspective					
Ethics, Information, and Technology					</v>
      </c>
      <c r="E2403" s="196" t="str">
        <f>IFERROR(__xludf.DUMMYFUNCTION("""COMPUTED_VALUE"""),"LIBRARY BOOKS - PACUCOA COMPLIANT")</f>
        <v>LIBRARY BOOKS - PACUCOA COMPLIANT</v>
      </c>
    </row>
    <row r="2404">
      <c r="A2404" s="234">
        <f>IFERROR(__xludf.DUMMYFUNCTION("""COMPUTED_VALUE"""),107237.0)</f>
        <v>107237</v>
      </c>
      <c r="B2404" s="235" t="str">
        <f>IFERROR(__xludf.DUMMYFUNCTION("""COMPUTED_VALUE"""),"MELISSA ODOÑO")</f>
        <v>MELISSA ODOÑO</v>
      </c>
      <c r="C2404" s="235" t="str">
        <f>IFERROR(__xludf.DUMMYFUNCTION("""COMPUTED_VALUE"""),"LIBRARY COLLEGE")</f>
        <v>LIBRARY COLLEGE</v>
      </c>
      <c r="D2404" s="196" t="str">
        <f>IFERROR(__xludf.DUMMYFUNCTION("""COMPUTED_VALUE"""),"IT BOOKS
1 EACH:
Application Development and Emerging Technologies					
Azure Fundamentals Study Guide					
Project Management Theory and Practice					
Ethics in the Digital Domain					
Fundamentals of IT Governance and Security Planning")</f>
        <v>IT BOOKS
1 EACH:
Application Development and Emerging Technologies					
Azure Fundamentals Study Guide					
Project Management Theory and Practice					
Ethics in the Digital Domain					
Fundamentals of IT Governance and Security Planning</v>
      </c>
      <c r="E2404" s="196" t="str">
        <f>IFERROR(__xludf.DUMMYFUNCTION("""COMPUTED_VALUE"""),"LIBRARY BOOKS - PACUCOA COMPLIANT")</f>
        <v>LIBRARY BOOKS - PACUCOA COMPLIANT</v>
      </c>
    </row>
    <row r="2405">
      <c r="A2405" s="234">
        <f>IFERROR(__xludf.DUMMYFUNCTION("""COMPUTED_VALUE"""),107238.0)</f>
        <v>107238</v>
      </c>
      <c r="B2405" s="235" t="str">
        <f>IFERROR(__xludf.DUMMYFUNCTION("""COMPUTED_VALUE"""),"MELISSA ODOÑO")</f>
        <v>MELISSA ODOÑO</v>
      </c>
      <c r="C2405" s="235" t="str">
        <f>IFERROR(__xludf.DUMMYFUNCTION("""COMPUTED_VALUE"""),"LIBRARY COLLEGE")</f>
        <v>LIBRARY COLLEGE</v>
      </c>
      <c r="D2405" s="196" t="str">
        <f>IFERROR(__xludf.DUMMYFUNCTION("""COMPUTED_VALUE"""),"IT BOOKS
1 EACH:
Ethical Hacking and Defense strategy					
Fundamentals of Information Management					
Azure AI Fundamentals Study Guide					
CompTIA CySA+ Guide to Cybersecurity Analysis")</f>
        <v>IT BOOKS
1 EACH:
Ethical Hacking and Defense strategy					
Fundamentals of Information Management					
Azure AI Fundamentals Study Guide					
CompTIA CySA+ Guide to Cybersecurity Analysis</v>
      </c>
      <c r="E2405" s="196" t="str">
        <f>IFERROR(__xludf.DUMMYFUNCTION("""COMPUTED_VALUE"""),"LIBRARY BOOKS - PACUCOA COMPLIANT")</f>
        <v>LIBRARY BOOKS - PACUCOA COMPLIANT</v>
      </c>
    </row>
    <row r="2406">
      <c r="A2406" s="234">
        <f>IFERROR(__xludf.DUMMYFUNCTION("""COMPUTED_VALUE"""),107239.0)</f>
        <v>107239</v>
      </c>
      <c r="B2406" s="235" t="str">
        <f>IFERROR(__xludf.DUMMYFUNCTION("""COMPUTED_VALUE"""),"MELISSA ODOÑO")</f>
        <v>MELISSA ODOÑO</v>
      </c>
      <c r="C2406" s="235" t="str">
        <f>IFERROR(__xludf.DUMMYFUNCTION("""COMPUTED_VALUE"""),"LIBRARY COLLEGE")</f>
        <v>LIBRARY COLLEGE</v>
      </c>
      <c r="D2406" s="196" t="str">
        <f>IFERROR(__xludf.DUMMYFUNCTION("""COMPUTED_VALUE"""),"TOURISM BOOKS
1 EACH:
Understanding the Business of Tourism					
Fundamentals in Food Service Operations					
Bar and Beverages Management					
Cultural Geography Perspectives and Practices					
Fundamentals of Food Science and Technology					
Accomm"&amp;"odations Operations and Management					
Tourism Destination Management					
Sustainable Hospitality					
Front Office Equipments and Materials					")</f>
        <v>TOURISM BOOKS
1 EACH:
Understanding the Business of Tourism					
Fundamentals in Food Service Operations					
Bar and Beverages Management					
Cultural Geography Perspectives and Practices					
Fundamentals of Food Science and Technology					
Accommodations Operations and Management					
Tourism Destination Management					
Sustainable Hospitality					
Front Office Equipments and Materials					</v>
      </c>
      <c r="E2406" s="196" t="str">
        <f>IFERROR(__xludf.DUMMYFUNCTION("""COMPUTED_VALUE"""),"LIBRARY BOOKS - PACUCOA COMPLIANT")</f>
        <v>LIBRARY BOOKS - PACUCOA COMPLIANT</v>
      </c>
    </row>
    <row r="2407">
      <c r="A2407" s="234">
        <f>IFERROR(__xludf.DUMMYFUNCTION("""COMPUTED_VALUE"""),107240.0)</f>
        <v>107240</v>
      </c>
      <c r="B2407" s="235" t="str">
        <f>IFERROR(__xludf.DUMMYFUNCTION("""COMPUTED_VALUE"""),"MELISSA ODOÑO")</f>
        <v>MELISSA ODOÑO</v>
      </c>
      <c r="C2407" s="235" t="str">
        <f>IFERROR(__xludf.DUMMYFUNCTION("""COMPUTED_VALUE"""),"LIBRARY COLLEGE")</f>
        <v>LIBRARY COLLEGE</v>
      </c>
      <c r="D2407" s="196" t="str">
        <f>IFERROR(__xludf.DUMMYFUNCTION("""COMPUTED_VALUE"""),"TOURISM BOOKS
1 EACH:
Hospitality Management					
Ecotourism					
Hospitality Law					
Global Tourism, Geography and Culture					
Guest Service Management					
Menu Design and Revenue Management					
Information Technology in Tourism and Hospitality"&amp;"					
Hospitality Leadership and Applied Ethics					.")</f>
        <v>TOURISM BOOKS
1 EACH:
Hospitality Management					
Ecotourism					
Hospitality Law					
Global Tourism, Geography and Culture					
Guest Service Management					
Menu Design and Revenue Management					
Information Technology in Tourism and Hospitality					
Hospitality Leadership and Applied Ethics					.</v>
      </c>
      <c r="E2407" s="196" t="str">
        <f>IFERROR(__xludf.DUMMYFUNCTION("""COMPUTED_VALUE"""),"LIBRARY BOOKS - PACUCOA COMPLIANT")</f>
        <v>LIBRARY BOOKS - PACUCOA COMPLIANT</v>
      </c>
    </row>
    <row r="2408">
      <c r="A2408" s="234">
        <f>IFERROR(__xludf.DUMMYFUNCTION("""COMPUTED_VALUE"""),107241.0)</f>
        <v>107241</v>
      </c>
      <c r="B2408" s="235" t="str">
        <f>IFERROR(__xludf.DUMMYFUNCTION("""COMPUTED_VALUE"""),"MELISSA ODOÑO")</f>
        <v>MELISSA ODOÑO</v>
      </c>
      <c r="C2408" s="235" t="str">
        <f>IFERROR(__xludf.DUMMYFUNCTION("""COMPUTED_VALUE"""),"LIBRARY COLLEGE")</f>
        <v>LIBRARY COLLEGE</v>
      </c>
      <c r="D2408" s="196" t="str">
        <f>IFERROR(__xludf.DUMMYFUNCTION("""COMPUTED_VALUE"""),"TOURISM BOOKS
1 EACH:
Tourism Economics and Policy					
Tour Guiding					
Recreation and Leisure Management					
Adventure Tourism					
Kitchen Safety and Risk Management					
Event Management					
Catering and Banquet Operations					
Tourism Custo"&amp;"mer Behaviour 					
International Cases in Tourism Management					")</f>
        <v>TOURISM BOOKS
1 EACH:
Tourism Economics and Policy					
Tour Guiding					
Recreation and Leisure Management					
Adventure Tourism					
Kitchen Safety and Risk Management					
Event Management					
Catering and Banquet Operations					
Tourism Customer Behaviour 					
International Cases in Tourism Management					</v>
      </c>
      <c r="E2408" s="196" t="str">
        <f>IFERROR(__xludf.DUMMYFUNCTION("""COMPUTED_VALUE"""),"LIBRARY BOOKS - PACUCOA COMPLIANT")</f>
        <v>LIBRARY BOOKS - PACUCOA COMPLIANT</v>
      </c>
    </row>
    <row r="2409">
      <c r="A2409" s="234">
        <f>IFERROR(__xludf.DUMMYFUNCTION("""COMPUTED_VALUE"""),107242.0)</f>
        <v>107242</v>
      </c>
      <c r="B2409" s="235" t="str">
        <f>IFERROR(__xludf.DUMMYFUNCTION("""COMPUTED_VALUE"""),"MELISSA ODOÑO")</f>
        <v>MELISSA ODOÑO</v>
      </c>
      <c r="C2409" s="235" t="str">
        <f>IFERROR(__xludf.DUMMYFUNCTION("""COMPUTED_VALUE"""),"LIBRARY COLLEGE")</f>
        <v>LIBRARY COLLEGE</v>
      </c>
      <c r="D2409" s="196" t="str">
        <f>IFERROR(__xludf.DUMMYFUNCTION("""COMPUTED_VALUE"""),"TOURISM BOOKS
1 EACH:
Cross-Cultural Aspects of Tourism and Hospitality					
Ecotourism					
International Perspectives in Sport Tourism Management					
Hospitality Workforce					
The Practical Guide to Managing Human Resources in Hospitality, Hotels "&amp;"and Management					
Wellness Tourism and Lifestyle Integration					
Trends in Urban Tourism Management					")</f>
        <v>TOURISM BOOKS
1 EACH:
Cross-Cultural Aspects of Tourism and Hospitality					
Ecotourism					
International Perspectives in Sport Tourism Management					
Hospitality Workforce					
The Practical Guide to Managing Human Resources in Hospitality, Hotels and Management					
Wellness Tourism and Lifestyle Integration					
Trends in Urban Tourism Management					</v>
      </c>
      <c r="E2409" s="196" t="str">
        <f>IFERROR(__xludf.DUMMYFUNCTION("""COMPUTED_VALUE"""),"LIBRARY BOOKS - PACUCOA COMPLIANT")</f>
        <v>LIBRARY BOOKS - PACUCOA COMPLIANT</v>
      </c>
    </row>
    <row r="2410">
      <c r="A2410" s="234">
        <f>IFERROR(__xludf.DUMMYFUNCTION("""COMPUTED_VALUE"""),107243.0)</f>
        <v>107243</v>
      </c>
      <c r="B2410" s="235" t="str">
        <f>IFERROR(__xludf.DUMMYFUNCTION("""COMPUTED_VALUE"""),"MELISSA ODOÑO")</f>
        <v>MELISSA ODOÑO</v>
      </c>
      <c r="C2410" s="235" t="str">
        <f>IFERROR(__xludf.DUMMYFUNCTION("""COMPUTED_VALUE"""),"LIBRARY COLLEGE")</f>
        <v>LIBRARY COLLEGE</v>
      </c>
      <c r="D2410" s="196" t="str">
        <f>IFERROR(__xludf.DUMMYFUNCTION("""COMPUTED_VALUE"""),"TOURISM BOOKS
1 EACH:
Hospitality in the Age of Artifial Intelligence					
Tourism: Principles, Practices and Philosophies					
Hospitality Design and Guest Experiences					
Conferences and Conventions					
Environmental, Social. and Governance Strate"&amp;"gies in the Hospitality and Tourism Industry					
Crisis Management of Tourism and Hospitality Industry					")</f>
        <v>TOURISM BOOKS
1 EACH:
Hospitality in the Age of Artifial Intelligence					
Tourism: Principles, Practices and Philosophies					
Hospitality Design and Guest Experiences					
Conferences and Conventions					
Environmental, Social. and Governance Strategies in the Hospitality and Tourism Industry					
Crisis Management of Tourism and Hospitality Industry					</v>
      </c>
      <c r="E2410" s="196" t="str">
        <f>IFERROR(__xludf.DUMMYFUNCTION("""COMPUTED_VALUE"""),"LIBRARY BOOKS - PACUCOA COMPLIANT")</f>
        <v>LIBRARY BOOKS - PACUCOA COMPLIANT</v>
      </c>
    </row>
    <row r="2411">
      <c r="A2411" s="234">
        <f>IFERROR(__xludf.DUMMYFUNCTION("""COMPUTED_VALUE"""),107244.0)</f>
        <v>107244</v>
      </c>
      <c r="B2411" s="235" t="str">
        <f>IFERROR(__xludf.DUMMYFUNCTION("""COMPUTED_VALUE"""),"MELISSA ODOÑO")</f>
        <v>MELISSA ODOÑO</v>
      </c>
      <c r="C2411" s="235" t="str">
        <f>IFERROR(__xludf.DUMMYFUNCTION("""COMPUTED_VALUE"""),"LIBRARY COLLEGE")</f>
        <v>LIBRARY COLLEGE</v>
      </c>
      <c r="D2411" s="196" t="str">
        <f>IFERROR(__xludf.DUMMYFUNCTION("""COMPUTED_VALUE"""),"TOURISM BOOKS
1 EACH:
Event and Conference Management					
Tourism and Destination Management					
Inclusive Tourism 					
Customer Service in the Hospitality Industry					
Strategic Tourism Planning					
Doing Academic Research					
How to Read &amp; C"&amp;"ritique Research					")</f>
        <v>TOURISM BOOKS
1 EACH:
Event and Conference Management					
Tourism and Destination Management					
Inclusive Tourism 					
Customer Service in the Hospitality Industry					
Strategic Tourism Planning					
Doing Academic Research					
How to Read &amp; Critique Research					</v>
      </c>
      <c r="E2411" s="196" t="str">
        <f>IFERROR(__xludf.DUMMYFUNCTION("""COMPUTED_VALUE"""),"LIBRARY BOOKS - PACUCOA COMPLIANT")</f>
        <v>LIBRARY BOOKS - PACUCOA COMPLIANT</v>
      </c>
    </row>
    <row r="2412">
      <c r="A2412" s="234">
        <f>IFERROR(__xludf.DUMMYFUNCTION("""COMPUTED_VALUE"""),107245.0)</f>
        <v>107245</v>
      </c>
      <c r="B2412" s="235" t="str">
        <f>IFERROR(__xludf.DUMMYFUNCTION("""COMPUTED_VALUE"""),"MELISSA ODOÑO")</f>
        <v>MELISSA ODOÑO</v>
      </c>
      <c r="C2412" s="235" t="str">
        <f>IFERROR(__xludf.DUMMYFUNCTION("""COMPUTED_VALUE"""),"LIBRARY COLLEGE")</f>
        <v>LIBRARY COLLEGE</v>
      </c>
      <c r="D2412" s="196" t="str">
        <f>IFERROR(__xludf.DUMMYFUNCTION("""COMPUTED_VALUE"""),"TOURISM BOOKS
1 EACH:
Travel Writing and Photography					
Recreation and Leisure Management					
Toursim Policy and Regulation					
Tourism Development Policy and Planning					
Principles of Hospitality Management					")</f>
        <v>TOURISM BOOKS
1 EACH:
Travel Writing and Photography					
Recreation and Leisure Management					
Toursim Policy and Regulation					
Tourism Development Policy and Planning					
Principles of Hospitality Management					</v>
      </c>
      <c r="E2412" s="196" t="str">
        <f>IFERROR(__xludf.DUMMYFUNCTION("""COMPUTED_VALUE"""),"LIBRARY BOOKS - PACUCOA COMPLIANT")</f>
        <v>LIBRARY BOOKS - PACUCOA COMPLIANT</v>
      </c>
    </row>
    <row r="2413">
      <c r="A2413" s="234">
        <f>IFERROR(__xludf.DUMMYFUNCTION("""COMPUTED_VALUE"""),107246.0)</f>
        <v>107246</v>
      </c>
      <c r="B2413" s="235" t="str">
        <f>IFERROR(__xludf.DUMMYFUNCTION("""COMPUTED_VALUE"""),"MELISSA ODOÑO")</f>
        <v>MELISSA ODOÑO</v>
      </c>
      <c r="C2413" s="235" t="str">
        <f>IFERROR(__xludf.DUMMYFUNCTION("""COMPUTED_VALUE"""),"LIBRARY COLLEGE")</f>
        <v>LIBRARY COLLEGE</v>
      </c>
      <c r="D2413" s="196" t="str">
        <f>IFERROR(__xludf.DUMMYFUNCTION("""COMPUTED_VALUE"""),"TOURISM BOOKS
1 EACH:
The Floating Galley: Principles of Ships' Catering and Stewardship					
The Role of Festivals in Tourism					
The Master Planner Principles and Practices of Events Management					
Boundless Horizons: Principles of Travel, Tourism,"&amp;" and Tour Guiding					")</f>
        <v>TOURISM BOOKS
1 EACH:
The Floating Galley: Principles of Ships' Catering and Stewardship					
The Role of Festivals in Tourism					
The Master Planner Principles and Practices of Events Management					
Boundless Horizons: Principles of Travel, Tourism, and Tour Guiding					</v>
      </c>
      <c r="E2413" s="196" t="str">
        <f>IFERROR(__xludf.DUMMYFUNCTION("""COMPUTED_VALUE"""),"LIBRARY BOOKS - PACUCOA COMPLIANT")</f>
        <v>LIBRARY BOOKS - PACUCOA COMPLIANT</v>
      </c>
    </row>
    <row r="2414">
      <c r="A2414" s="234">
        <f>IFERROR(__xludf.DUMMYFUNCTION("""COMPUTED_VALUE"""),107247.0)</f>
        <v>107247</v>
      </c>
      <c r="B2414" s="235" t="str">
        <f>IFERROR(__xludf.DUMMYFUNCTION("""COMPUTED_VALUE"""),"MELISSA ODOÑO")</f>
        <v>MELISSA ODOÑO</v>
      </c>
      <c r="C2414" s="235" t="str">
        <f>IFERROR(__xludf.DUMMYFUNCTION("""COMPUTED_VALUE"""),"LIBRARY COLLEGE")</f>
        <v>LIBRARY COLLEGE</v>
      </c>
      <c r="D2414" s="196" t="str">
        <f>IFERROR(__xludf.DUMMYFUNCTION("""COMPUTED_VALUE"""),"COMMA BOOKS
1 EACH:
Media and Society					
Essential Journalism					
Critical Photojournalism					
The Fundamental of Film-Making					
Travel Writing and Photography					
The Technique of Film &amp; Video Editing					")</f>
        <v>COMMA BOOKS
1 EACH:
Media and Society					
Essential Journalism					
Critical Photojournalism					
The Fundamental of Film-Making					
Travel Writing and Photography					
The Technique of Film &amp; Video Editing					</v>
      </c>
      <c r="E2414" s="196" t="str">
        <f>IFERROR(__xludf.DUMMYFUNCTION("""COMPUTED_VALUE"""),"LIBRARY BOOKS - PACUCOA COMPLIANT")</f>
        <v>LIBRARY BOOKS - PACUCOA COMPLIANT</v>
      </c>
    </row>
    <row r="2415">
      <c r="A2415" s="234">
        <f>IFERROR(__xludf.DUMMYFUNCTION("""COMPUTED_VALUE"""),107248.0)</f>
        <v>107248</v>
      </c>
      <c r="B2415" s="235" t="str">
        <f>IFERROR(__xludf.DUMMYFUNCTION("""COMPUTED_VALUE"""),"MELISSA ODOÑO")</f>
        <v>MELISSA ODOÑO</v>
      </c>
      <c r="C2415" s="235" t="str">
        <f>IFERROR(__xludf.DUMMYFUNCTION("""COMPUTED_VALUE"""),"LIBRARY COLLEGE")</f>
        <v>LIBRARY COLLEGE</v>
      </c>
      <c r="D2415" s="196" t="str">
        <f>IFERROR(__xludf.DUMMYFUNCTION("""COMPUTED_VALUE"""),"COMMA BOOKS
1 EACH:
Nonfiction Filmmaking for the Screen					
Film Adaptation and the Real					
Strategic Copywriting					
Stand-Up Comedy and Contemporary Feminism					
Voice Training Through Acting and Movement 					
The Methuen Drama Handbook of G"&amp;"ender and Theatre					
Understanding Broadcast Journalism					")</f>
        <v>COMMA BOOKS
1 EACH:
Nonfiction Filmmaking for the Screen					
Film Adaptation and the Real					
Strategic Copywriting					
Stand-Up Comedy and Contemporary Feminism					
Voice Training Through Acting and Movement 					
The Methuen Drama Handbook of Gender and Theatre					
Understanding Broadcast Journalism					</v>
      </c>
      <c r="E2415" s="196" t="str">
        <f>IFERROR(__xludf.DUMMYFUNCTION("""COMPUTED_VALUE"""),"LIBRARY BOOKS - PACUCOA COMPLIANT")</f>
        <v>LIBRARY BOOKS - PACUCOA COMPLIANT</v>
      </c>
    </row>
    <row r="2416">
      <c r="A2416" s="234">
        <f>IFERROR(__xludf.DUMMYFUNCTION("""COMPUTED_VALUE"""),107249.0)</f>
        <v>107249</v>
      </c>
      <c r="B2416" s="235" t="str">
        <f>IFERROR(__xludf.DUMMYFUNCTION("""COMPUTED_VALUE"""),"MELISSA ODOÑO")</f>
        <v>MELISSA ODOÑO</v>
      </c>
      <c r="C2416" s="235" t="str">
        <f>IFERROR(__xludf.DUMMYFUNCTION("""COMPUTED_VALUE"""),"LIBRARY COLLEGE")</f>
        <v>LIBRARY COLLEGE</v>
      </c>
      <c r="D2416" s="196" t="str">
        <f>IFERROR(__xludf.DUMMYFUNCTION("""COMPUTED_VALUE"""),"COMMA BOOKS
1 EACH:
Navigating Media Laws and Ethics					
Film Bodies					
A First Look at Communication Theory					
Critical Media Structures					
Media Ethics					")</f>
        <v>COMMA BOOKS
1 EACH:
Navigating Media Laws and Ethics					
Film Bodies					
A First Look at Communication Theory					
Critical Media Structures					
Media Ethics					</v>
      </c>
      <c r="E2416" s="196" t="str">
        <f>IFERROR(__xludf.DUMMYFUNCTION("""COMPUTED_VALUE"""),"LIBRARY BOOKS - PACUCOA COMPLIANT")</f>
        <v>LIBRARY BOOKS - PACUCOA COMPLIANT</v>
      </c>
    </row>
    <row r="2417">
      <c r="A2417" s="234">
        <f>IFERROR(__xludf.DUMMYFUNCTION("""COMPUTED_VALUE"""),107250.0)</f>
        <v>107250</v>
      </c>
      <c r="B2417" s="235" t="str">
        <f>IFERROR(__xludf.DUMMYFUNCTION("""COMPUTED_VALUE"""),"MELISSA ODOÑO")</f>
        <v>MELISSA ODOÑO</v>
      </c>
      <c r="C2417" s="235" t="str">
        <f>IFERROR(__xludf.DUMMYFUNCTION("""COMPUTED_VALUE"""),"LIBRARY COLLEGE")</f>
        <v>LIBRARY COLLEGE</v>
      </c>
      <c r="D2417" s="196" t="str">
        <f>IFERROR(__xludf.DUMMYFUNCTION("""COMPUTED_VALUE"""),"COMMA BOOKS
1 EACH:
Introducing Communication Theory					
Scheduling and Budgeting Your Film					
The Dynamics of Modern Asian Design					
Digital Media Law					
Cinematography Beyond Technique					
Social Media Law and Ethics 					")</f>
        <v>COMMA BOOKS
1 EACH:
Introducing Communication Theory					
Scheduling and Budgeting Your Film					
The Dynamics of Modern Asian Design					
Digital Media Law					
Cinematography Beyond Technique					
Social Media Law and Ethics 					</v>
      </c>
      <c r="E2417" s="196" t="str">
        <f>IFERROR(__xludf.DUMMYFUNCTION("""COMPUTED_VALUE"""),"LIBRARY BOOKS - PACUCOA COMPLIANT")</f>
        <v>LIBRARY BOOKS - PACUCOA COMPLIANT</v>
      </c>
    </row>
    <row r="2418">
      <c r="A2418" s="234">
        <f>IFERROR(__xludf.DUMMYFUNCTION("""COMPUTED_VALUE"""),107251.0)</f>
        <v>107251</v>
      </c>
      <c r="B2418" s="235" t="str">
        <f>IFERROR(__xludf.DUMMYFUNCTION("""COMPUTED_VALUE"""),"MELISSA ODOÑO")</f>
        <v>MELISSA ODOÑO</v>
      </c>
      <c r="C2418" s="235" t="str">
        <f>IFERROR(__xludf.DUMMYFUNCTION("""COMPUTED_VALUE"""),"LIBRARY COLLEGE")</f>
        <v>LIBRARY COLLEGE</v>
      </c>
      <c r="D2418" s="196" t="str">
        <f>IFERROR(__xludf.DUMMYFUNCTION("""COMPUTED_VALUE"""),"1 EACH:
Directing the Story					
Designing Sound for Animation 					
Exploring Art					
The Audio Expert					
Visual Quality Assessment and Enhancement for Natural Images					
The History and Allure of Interactive Visual Novels					")</f>
        <v>1 EACH:
Directing the Story					
Designing Sound for Animation 					
Exploring Art					
The Audio Expert					
Visual Quality Assessment and Enhancement for Natural Images					
The History and Allure of Interactive Visual Novels					</v>
      </c>
      <c r="E2418" s="196" t="str">
        <f>IFERROR(__xludf.DUMMYFUNCTION("""COMPUTED_VALUE"""),"LIBRARY BOOKS - PACUCOA COMPLIANT")</f>
        <v>LIBRARY BOOKS - PACUCOA COMPLIANT</v>
      </c>
    </row>
    <row r="2419">
      <c r="A2419" s="234">
        <f>IFERROR(__xludf.DUMMYFUNCTION("""COMPUTED_VALUE"""),107252.0)</f>
        <v>107252</v>
      </c>
      <c r="B2419" s="235" t="str">
        <f>IFERROR(__xludf.DUMMYFUNCTION("""COMPUTED_VALUE"""),"MELISSA ODOÑO")</f>
        <v>MELISSA ODOÑO</v>
      </c>
      <c r="C2419" s="235" t="str">
        <f>IFERROR(__xludf.DUMMYFUNCTION("""COMPUTED_VALUE"""),"LIBRARY COLLEGE")</f>
        <v>LIBRARY COLLEGE</v>
      </c>
      <c r="D2419" s="196" t="str">
        <f>IFERROR(__xludf.DUMMYFUNCTION("""COMPUTED_VALUE"""),"1 EACH:
Acting A Backstage Guide					
Auditioning A Backstage Guide					
Acting Profesionally 					
Mobile and Social Media Journalism					
News Writing and Reporting for Today's Media 					
Inside the Newsroom: Journalism Today					
Reporting and E"&amp;"diting 					
Insights on Investigative Journalism					")</f>
        <v>1 EACH:
Acting A Backstage Guide					
Auditioning A Backstage Guide					
Acting Profesionally 					
Mobile and Social Media Journalism					
News Writing and Reporting for Today's Media 					
Inside the Newsroom: Journalism Today					
Reporting and Editing 					
Insights on Investigative Journalism					</v>
      </c>
      <c r="E2419" s="196" t="str">
        <f>IFERROR(__xludf.DUMMYFUNCTION("""COMPUTED_VALUE"""),"LIBRARY BOOKS - PACUCOA COMPLIANT")</f>
        <v>LIBRARY BOOKS - PACUCOA COMPLIANT</v>
      </c>
    </row>
    <row r="2420">
      <c r="A2420" s="234">
        <f>IFERROR(__xludf.DUMMYFUNCTION("""COMPUTED_VALUE"""),107253.0)</f>
        <v>107253</v>
      </c>
      <c r="B2420" s="235" t="str">
        <f>IFERROR(__xludf.DUMMYFUNCTION("""COMPUTED_VALUE"""),"MELISSA ODOÑO")</f>
        <v>MELISSA ODOÑO</v>
      </c>
      <c r="C2420" s="235" t="str">
        <f>IFERROR(__xludf.DUMMYFUNCTION("""COMPUTED_VALUE"""),"LIBRARY COLLEGE")</f>
        <v>LIBRARY COLLEGE</v>
      </c>
      <c r="D2420" s="196" t="str">
        <f>IFERROR(__xludf.DUMMYFUNCTION("""COMPUTED_VALUE"""),"1 EACH:
Managerial Accounting for dummies					
Engineering Management					
Operations and Supply Chain Management					
Economics					
Industrial Design A-Z					
Economics					
Supply Chain Analytics: Using Data to Optimise Supply Chain Processes				"&amp;"	")</f>
        <v>1 EACH:
Managerial Accounting for dummies					
Engineering Management					
Operations and Supply Chain Management					
Economics					
Industrial Design A-Z					
Economics					
Supply Chain Analytics: Using Data to Optimise Supply Chain Processes					</v>
      </c>
      <c r="E2420" s="196" t="str">
        <f>IFERROR(__xludf.DUMMYFUNCTION("""COMPUTED_VALUE"""),"LIBRARY BOOKS - PACUCOA COMPLIANT")</f>
        <v>LIBRARY BOOKS - PACUCOA COMPLIANT</v>
      </c>
    </row>
    <row r="2421">
      <c r="A2421" s="234">
        <f>IFERROR(__xludf.DUMMYFUNCTION("""COMPUTED_VALUE"""),107254.0)</f>
        <v>107254</v>
      </c>
      <c r="B2421" s="235" t="str">
        <f>IFERROR(__xludf.DUMMYFUNCTION("""COMPUTED_VALUE"""),"MELISSA ODOÑO")</f>
        <v>MELISSA ODOÑO</v>
      </c>
      <c r="C2421" s="235" t="str">
        <f>IFERROR(__xludf.DUMMYFUNCTION("""COMPUTED_VALUE"""),"LIBRARY COLLEGE")</f>
        <v>LIBRARY COLLEGE</v>
      </c>
      <c r="D2421" s="196" t="str">
        <f>IFERROR(__xludf.DUMMYFUNCTION("""COMPUTED_VALUE"""),"1 EACH:
Managerial Accounting: Creating Value in a Dynamic Business Environment                                        
Materials Science and Engineering                                        
Managerial Economics                                        
"&amp;" Understanding Workshop                                        
Basic Cutting Theory                                        
MIS, Twelfth Edition                                        ")</f>
        <v>1 EACH:
Managerial Accounting: Creating Value in a Dynamic Business Environment                                        
Materials Science and Engineering                                        
Managerial Economics                                        
 Understanding Workshop                                        
Basic Cutting Theory                                        
MIS, Twelfth Edition                                        </v>
      </c>
      <c r="E2421" s="196" t="str">
        <f>IFERROR(__xludf.DUMMYFUNCTION("""COMPUTED_VALUE"""),"LIBRARY BOOKS - PACUCOA COMPLIANT")</f>
        <v>LIBRARY BOOKS - PACUCOA COMPLIANT</v>
      </c>
    </row>
    <row r="2422">
      <c r="A2422" s="234">
        <f>IFERROR(__xludf.DUMMYFUNCTION("""COMPUTED_VALUE"""),107255.0)</f>
        <v>107255</v>
      </c>
      <c r="B2422" s="235" t="str">
        <f>IFERROR(__xludf.DUMMYFUNCTION("""COMPUTED_VALUE"""),"MELISSA ODOÑO")</f>
        <v>MELISSA ODOÑO</v>
      </c>
      <c r="C2422" s="235" t="str">
        <f>IFERROR(__xludf.DUMMYFUNCTION("""COMPUTED_VALUE"""),"LIBRARY COLLEGE")</f>
        <v>LIBRARY COLLEGE</v>
      </c>
      <c r="D2422" s="196" t="str">
        <f>IFERROR(__xludf.DUMMYFUNCTION("""COMPUTED_VALUE"""),"1 EACH:
Community Development and Disaster Risk Management 					
Real Estate Finance and Investments: Risk and Opportunities					
Real Estate Principles: A Value Approach					
Facilities Management and Corporate Real Estate Management					
Investment "&amp;"Strategies in Real Estate					")</f>
        <v>1 EACH:
Community Development and Disaster Risk Management 					
Real Estate Finance and Investments: Risk and Opportunities					
Real Estate Principles: A Value Approach					
Facilities Management and Corporate Real Estate Management					
Investment Strategies in Real Estate					</v>
      </c>
      <c r="E2422" s="196" t="str">
        <f>IFERROR(__xludf.DUMMYFUNCTION("""COMPUTED_VALUE"""),"LIBRARY BOOKS - PACUCOA COMPLIANT")</f>
        <v>LIBRARY BOOKS - PACUCOA COMPLIANT</v>
      </c>
    </row>
    <row r="2423">
      <c r="A2423" s="234">
        <f>IFERROR(__xludf.DUMMYFUNCTION("""COMPUTED_VALUE"""),107256.0)</f>
        <v>107256</v>
      </c>
      <c r="B2423" s="235" t="str">
        <f>IFERROR(__xludf.DUMMYFUNCTION("""COMPUTED_VALUE"""),"MELISSA ODOÑO")</f>
        <v>MELISSA ODOÑO</v>
      </c>
      <c r="C2423" s="235" t="str">
        <f>IFERROR(__xludf.DUMMYFUNCTION("""COMPUTED_VALUE"""),"LIBRARY COLLEGE")</f>
        <v>LIBRARY COLLEGE</v>
      </c>
      <c r="D2423" s="196" t="str">
        <f>IFERROR(__xludf.DUMMYFUNCTION("""COMPUTED_VALUE"""),"1 EACH:
Real Estate Planning: How to Buy a House					
Foundations of Real Estate Financial Modelling					
Foundations of Real Estate Financial Modelling					
Landlords, Tenants and Property Management					
Real Estate Economics					")</f>
        <v>1 EACH:
Real Estate Planning: How to Buy a House					
Foundations of Real Estate Financial Modelling					
Foundations of Real Estate Financial Modelling					
Landlords, Tenants and Property Management					
Real Estate Economics					</v>
      </c>
      <c r="E2423" s="196" t="str">
        <f>IFERROR(__xludf.DUMMYFUNCTION("""COMPUTED_VALUE"""),"LIBRARY BOOKS - PACUCOA COMPLIANT")</f>
        <v>LIBRARY BOOKS - PACUCOA COMPLIANT</v>
      </c>
    </row>
    <row r="2424">
      <c r="A2424" s="234">
        <f>IFERROR(__xludf.DUMMYFUNCTION("""COMPUTED_VALUE"""),107257.0)</f>
        <v>107257</v>
      </c>
      <c r="B2424" s="235" t="str">
        <f>IFERROR(__xludf.DUMMYFUNCTION("""COMPUTED_VALUE"""),"MELISSA ODOÑO")</f>
        <v>MELISSA ODOÑO</v>
      </c>
      <c r="C2424" s="235" t="str">
        <f>IFERROR(__xludf.DUMMYFUNCTION("""COMPUTED_VALUE"""),"LIBRARY COLLEGE")</f>
        <v>LIBRARY COLLEGE</v>
      </c>
      <c r="D2424" s="196" t="str">
        <f>IFERROR(__xludf.DUMMYFUNCTION("""COMPUTED_VALUE"""),"1 EACH:
Real Estate Fundamentals					
Real Estate Principles					
Residential Property Management					
Business Research Methods					
Real Estate Development and Planning					
Real Estate Marketing Techniques					")</f>
        <v>1 EACH:
Real Estate Fundamentals					
Real Estate Principles					
Residential Property Management					
Business Research Methods					
Real Estate Development and Planning					
Real Estate Marketing Techniques					</v>
      </c>
      <c r="E2424" s="196" t="str">
        <f>IFERROR(__xludf.DUMMYFUNCTION("""COMPUTED_VALUE"""),"LIBRARY BOOKS - PACUCOA COMPLIANT")</f>
        <v>LIBRARY BOOKS - PACUCOA COMPLIANT</v>
      </c>
    </row>
    <row r="2425">
      <c r="A2425" s="234">
        <f>IFERROR(__xludf.DUMMYFUNCTION("""COMPUTED_VALUE"""),107258.0)</f>
        <v>107258</v>
      </c>
      <c r="B2425" s="235" t="str">
        <f>IFERROR(__xludf.DUMMYFUNCTION("""COMPUTED_VALUE"""),"MELISSA ODOÑO")</f>
        <v>MELISSA ODOÑO</v>
      </c>
      <c r="C2425" s="235" t="str">
        <f>IFERROR(__xludf.DUMMYFUNCTION("""COMPUTED_VALUE"""),"LIBRARY COLLEGE")</f>
        <v>LIBRARY COLLEGE</v>
      </c>
      <c r="D2425" s="196" t="str">
        <f>IFERROR(__xludf.DUMMYFUNCTION("""COMPUTED_VALUE"""),"1 EACH:
Intrapreneurship Management					
Innovation Management					
Marketing Analytics					
Entrepreneurship and Innovation Management					")</f>
        <v>1 EACH:
Intrapreneurship Management					
Innovation Management					
Marketing Analytics					
Entrepreneurship and Innovation Management					</v>
      </c>
      <c r="E2425" s="196" t="str">
        <f>IFERROR(__xludf.DUMMYFUNCTION("""COMPUTED_VALUE"""),"LIBRARY BOOKS - PACUCOA COMPLIANT")</f>
        <v>LIBRARY BOOKS - PACUCOA COMPLIANT</v>
      </c>
    </row>
    <row r="2426">
      <c r="A2426" s="234">
        <f>IFERROR(__xludf.DUMMYFUNCTION("""COMPUTED_VALUE"""),107259.0)</f>
        <v>107259</v>
      </c>
      <c r="B2426" s="235" t="str">
        <f>IFERROR(__xludf.DUMMYFUNCTION("""COMPUTED_VALUE"""),"MELISSA ODOÑO")</f>
        <v>MELISSA ODOÑO</v>
      </c>
      <c r="C2426" s="235" t="str">
        <f>IFERROR(__xludf.DUMMYFUNCTION("""COMPUTED_VALUE"""),"LIBRARY COLLEGE")</f>
        <v>LIBRARY COLLEGE</v>
      </c>
      <c r="D2426" s="196" t="str">
        <f>IFERROR(__xludf.DUMMYFUNCTION("""COMPUTED_VALUE"""),"1 EACH
Corporate Communication					
Advertising in the Digital Age					
Modern Business Statistics					
Corporate Entrepreneurship and Innovation					")</f>
        <v>1 EACH
Corporate Communication					
Advertising in the Digital Age					
Modern Business Statistics					
Corporate Entrepreneurship and Innovation					</v>
      </c>
      <c r="E2426" s="196" t="str">
        <f>IFERROR(__xludf.DUMMYFUNCTION("""COMPUTED_VALUE"""),"LIBRARY BOOKS - PACUCOA COMPLIANT")</f>
        <v>LIBRARY BOOKS - PACUCOA COMPLIANT</v>
      </c>
    </row>
    <row r="2427">
      <c r="A2427" s="234">
        <f>IFERROR(__xludf.DUMMYFUNCTION("""COMPUTED_VALUE"""),107260.0)</f>
        <v>107260</v>
      </c>
      <c r="B2427" s="235" t="str">
        <f>IFERROR(__xludf.DUMMYFUNCTION("""COMPUTED_VALUE"""),"MELISSA ODOÑO")</f>
        <v>MELISSA ODOÑO</v>
      </c>
      <c r="C2427" s="235" t="str">
        <f>IFERROR(__xludf.DUMMYFUNCTION("""COMPUTED_VALUE"""),"LIBRARY COLLEGE")</f>
        <v>LIBRARY COLLEGE</v>
      </c>
      <c r="D2427" s="196" t="str">
        <f>IFERROR(__xludf.DUMMYFUNCTION("""COMPUTED_VALUE"""),"1 EACH
CFIN8: Corporate Finance					
M: Finance, 2026 Release					
Foundations of Investments, 2e					
Financial Economics					
Corporate Finance: Core Principles and Applications					
Fundamentals of Corporate Finance					")</f>
        <v>1 EACH
CFIN8: Corporate Finance					
M: Finance, 2026 Release					
Foundations of Investments, 2e					
Financial Economics					
Corporate Finance: Core Principles and Applications					
Fundamentals of Corporate Finance					</v>
      </c>
      <c r="E2427" s="196" t="str">
        <f>IFERROR(__xludf.DUMMYFUNCTION("""COMPUTED_VALUE"""),"LIBRARY BOOKS - PACUCOA COMPLIANT")</f>
        <v>LIBRARY BOOKS - PACUCOA COMPLIANT</v>
      </c>
    </row>
    <row r="2428">
      <c r="A2428" s="234">
        <f>IFERROR(__xludf.DUMMYFUNCTION("""COMPUTED_VALUE"""),107261.0)</f>
        <v>107261</v>
      </c>
      <c r="B2428" s="235" t="str">
        <f>IFERROR(__xludf.DUMMYFUNCTION("""COMPUTED_VALUE"""),"MELISSA ODOÑO")</f>
        <v>MELISSA ODOÑO</v>
      </c>
      <c r="C2428" s="235" t="str">
        <f>IFERROR(__xludf.DUMMYFUNCTION("""COMPUTED_VALUE"""),"LIBRARY COLLEGE")</f>
        <v>LIBRARY COLLEGE</v>
      </c>
      <c r="D2428" s="196" t="str">
        <f>IFERROR(__xludf.DUMMYFUNCTION("""COMPUTED_VALUE"""),"1 EACH
Stock Broking and Portfolio Management					
PFIN8: Personal Finance					
Personal Financial Planning					
Fundamentals of Investments: Valuation and Management					
International Corporate Finance					
Financial Information Analysis					")</f>
        <v>1 EACH
Stock Broking and Portfolio Management					
PFIN8: Personal Finance					
Personal Financial Planning					
Fundamentals of Investments: Valuation and Management					
International Corporate Finance					
Financial Information Analysis					</v>
      </c>
      <c r="E2428" s="196" t="str">
        <f>IFERROR(__xludf.DUMMYFUNCTION("""COMPUTED_VALUE"""),"LIBRARY BOOKS - PACUCOA COMPLIANT")</f>
        <v>LIBRARY BOOKS - PACUCOA COMPLIANT</v>
      </c>
    </row>
    <row r="2429">
      <c r="A2429" s="234">
        <f>IFERROR(__xludf.DUMMYFUNCTION("""COMPUTED_VALUE"""),107262.0)</f>
        <v>107262</v>
      </c>
      <c r="B2429" s="235" t="str">
        <f>IFERROR(__xludf.DUMMYFUNCTION("""COMPUTED_VALUE"""),"MELISSA ODOÑO")</f>
        <v>MELISSA ODOÑO</v>
      </c>
      <c r="C2429" s="235" t="str">
        <f>IFERROR(__xludf.DUMMYFUNCTION("""COMPUTED_VALUE"""),"LIBRARY COLLEGE")</f>
        <v>LIBRARY COLLEGE</v>
      </c>
      <c r="D2429" s="196" t="str">
        <f>IFERROR(__xludf.DUMMYFUNCTION("""COMPUTED_VALUE"""),"1 EACH
Analysis for Financial Management					
Finance and Budget Handling in Offices					
Finance Essentials for Managers					
Understanding Money, Banking, and Finance					
Financial Planning Essentials					")</f>
        <v>1 EACH
Analysis for Financial Management					
Finance and Budget Handling in Offices					
Finance Essentials for Managers					
Understanding Money, Banking, and Finance					
Financial Planning Essentials					</v>
      </c>
      <c r="E2429" s="196" t="str">
        <f>IFERROR(__xludf.DUMMYFUNCTION("""COMPUTED_VALUE"""),"LIBRARY BOOKS - PACUCOA COMPLIANT")</f>
        <v>LIBRARY BOOKS - PACUCOA COMPLIANT</v>
      </c>
    </row>
    <row r="2430">
      <c r="A2430" s="234">
        <f>IFERROR(__xludf.DUMMYFUNCTION("""COMPUTED_VALUE"""),107263.0)</f>
        <v>107263</v>
      </c>
      <c r="B2430" s="235" t="str">
        <f>IFERROR(__xludf.DUMMYFUNCTION("""COMPUTED_VALUE"""),"MELISSA ODOÑO")</f>
        <v>MELISSA ODOÑO</v>
      </c>
      <c r="C2430" s="235" t="str">
        <f>IFERROR(__xludf.DUMMYFUNCTION("""COMPUTED_VALUE"""),"LIBRARY COLLEGE")</f>
        <v>LIBRARY COLLEGE</v>
      </c>
      <c r="D2430" s="196" t="str">
        <f>IFERROR(__xludf.DUMMYFUNCTION("""COMPUTED_VALUE"""),"1 EACH
Advanced Financial Accounting					
Auditing &amp; Assurance Services					
Managerial Accounting					
Auditing					
Intermediate Accounting					")</f>
        <v>1 EACH
Advanced Financial Accounting					
Auditing &amp; Assurance Services					
Managerial Accounting					
Auditing					
Intermediate Accounting					</v>
      </c>
      <c r="E2430" s="196" t="str">
        <f>IFERROR(__xludf.DUMMYFUNCTION("""COMPUTED_VALUE"""),"LIBRARY BOOKS - PACUCOA COMPLIANT")</f>
        <v>LIBRARY BOOKS - PACUCOA COMPLIANT</v>
      </c>
    </row>
    <row r="2431">
      <c r="A2431" s="234">
        <f>IFERROR(__xludf.DUMMYFUNCTION("""COMPUTED_VALUE"""),107264.0)</f>
        <v>107264</v>
      </c>
      <c r="B2431" s="235" t="str">
        <f>IFERROR(__xludf.DUMMYFUNCTION("""COMPUTED_VALUE"""),"MELISSA ODOÑO")</f>
        <v>MELISSA ODOÑO</v>
      </c>
      <c r="C2431" s="235" t="str">
        <f>IFERROR(__xludf.DUMMYFUNCTION("""COMPUTED_VALUE"""),"LIBRARY COLLEGE")</f>
        <v>LIBRARY COLLEGE</v>
      </c>
      <c r="D2431" s="196" t="str">
        <f>IFERROR(__xludf.DUMMYFUNCTION("""COMPUTED_VALUE"""),"1 EACH
MIS 					
Managerial Accounting					
Fundamental Financial Accounting Concepts					
Principles of Auditing &amp; Other Assurance Services					
College Accounting					
Economics					
Managerial Accounting					")</f>
        <v>1 EACH
MIS 					
Managerial Accounting					
Fundamental Financial Accounting Concepts					
Principles of Auditing &amp; Other Assurance Services					
College Accounting					
Economics					
Managerial Accounting					</v>
      </c>
      <c r="E2431" s="196" t="str">
        <f>IFERROR(__xludf.DUMMYFUNCTION("""COMPUTED_VALUE"""),"LIBRARY BOOKS - PACUCOA COMPLIANT")</f>
        <v>LIBRARY BOOKS - PACUCOA COMPLIANT</v>
      </c>
    </row>
    <row r="2432">
      <c r="A2432" s="234">
        <f>IFERROR(__xludf.DUMMYFUNCTION("""COMPUTED_VALUE"""),107265.0)</f>
        <v>107265</v>
      </c>
      <c r="B2432" s="235" t="str">
        <f>IFERROR(__xludf.DUMMYFUNCTION("""COMPUTED_VALUE"""),"MELISSA ODOÑO")</f>
        <v>MELISSA ODOÑO</v>
      </c>
      <c r="C2432" s="235" t="str">
        <f>IFERROR(__xludf.DUMMYFUNCTION("""COMPUTED_VALUE"""),"LIBRARY COLLEGE")</f>
        <v>LIBRARY COLLEGE</v>
      </c>
      <c r="D2432" s="196" t="str">
        <f>IFERROR(__xludf.DUMMYFUNCTION("""COMPUTED_VALUE"""),"1 EACH
Strategic Analytics: Towards AI-Based Strategy Planning					
Ethics for Managers: Philosophical Foundations and Business..					
How to Measure Anything in Project Management					
Applied Research for Growth, Innovation, and Sustainable Impact			"&amp;"		
CB: Consumer Behavior					
Risk Assessment and Crisis Management					")</f>
        <v>1 EACH
Strategic Analytics: Towards AI-Based Strategy Planning					
Ethics for Managers: Philosophical Foundations and Business..					
How to Measure Anything in Project Management					
Applied Research for Growth, Innovation, and Sustainable Impact					
CB: Consumer Behavior					
Risk Assessment and Crisis Management					</v>
      </c>
      <c r="E2432" s="196" t="str">
        <f>IFERROR(__xludf.DUMMYFUNCTION("""COMPUTED_VALUE"""),"LIBRARY BOOKS - PACUCOA COMPLIANT")</f>
        <v>LIBRARY BOOKS - PACUCOA COMPLIANT</v>
      </c>
    </row>
    <row r="2433">
      <c r="A2433" s="234">
        <f>IFERROR(__xludf.DUMMYFUNCTION("""COMPUTED_VALUE"""),107266.0)</f>
        <v>107266</v>
      </c>
      <c r="B2433" s="235" t="str">
        <f>IFERROR(__xludf.DUMMYFUNCTION("""COMPUTED_VALUE"""),"MELISSA ODOÑO")</f>
        <v>MELISSA ODOÑO</v>
      </c>
      <c r="C2433" s="235" t="str">
        <f>IFERROR(__xludf.DUMMYFUNCTION("""COMPUTED_VALUE"""),"LIBRARY COLLEGE")</f>
        <v>LIBRARY COLLEGE</v>
      </c>
      <c r="D2433" s="196" t="str">
        <f>IFERROR(__xludf.DUMMYFUNCTION("""COMPUTED_VALUE"""),"1 EACH
Research Methods fro Business					
Competitive Strategy: Teachinf Techniques for Analyzing Industries and Competitors					
SPSS Basics: Techniques for a First Course in Statistics					
Essentials of Business Statistics Using Excel					
Getting "&amp;"Started in Consulting					
The Six Sigma Handbook: A Complete Guide for Green Belts, Black Belts, and Managers at All Levels					
Service Management: Operations, Strategy, Information Technology					'")</f>
        <v>1 EACH
Research Methods fro Business					
Competitive Strategy: Teachinf Techniques for Analyzing Industries and Competitors					
SPSS Basics: Techniques for a First Course in Statistics					
Essentials of Business Statistics Using Excel					
Getting Started in Consulting					
The Six Sigma Handbook: A Complete Guide for Green Belts, Black Belts, and Managers at All Levels					
Service Management: Operations, Strategy, Information Technology					'</v>
      </c>
      <c r="E2433" s="196" t="str">
        <f>IFERROR(__xludf.DUMMYFUNCTION("""COMPUTED_VALUE"""),"LIBRARY BOOKS - PACUCOA COMPLIANT")</f>
        <v>LIBRARY BOOKS - PACUCOA COMPLIANT</v>
      </c>
    </row>
    <row r="2434">
      <c r="A2434" s="234">
        <f>IFERROR(__xludf.DUMMYFUNCTION("""COMPUTED_VALUE"""),107267.0)</f>
        <v>107267</v>
      </c>
      <c r="B2434" s="235" t="str">
        <f>IFERROR(__xludf.DUMMYFUNCTION("""COMPUTED_VALUE"""),"MELISSA ODOÑO")</f>
        <v>MELISSA ODOÑO</v>
      </c>
      <c r="C2434" s="235" t="str">
        <f>IFERROR(__xludf.DUMMYFUNCTION("""COMPUTED_VALUE"""),"LIBRARY COLLEGE")</f>
        <v>LIBRARY COLLEGE</v>
      </c>
      <c r="D2434" s="196" t="str">
        <f>IFERROR(__xludf.DUMMYFUNCTION("""COMPUTED_VALUE"""),"1 EACH
An Introduction to Business &amp; Management Consultancy					
Strategic Management: Theory and Cases An Integrated Approach, 14e					
Navigating Qualitative Research: A Comprehensive Guide to Methods and Practices					
The Business of Analytics: An "&amp;"Introduction to Statistical Analysis in the Business Environment					
How to do Your Research Project: A Guide for Students, 5th Ed. 					
Essentials of Marketing Research					
Essentials of Marketing: A Marketing Strategy Planning Approach					")</f>
        <v>1 EACH
An Introduction to Business &amp; Management Consultancy					
Strategic Management: Theory and Cases An Integrated Approach, 14e					
Navigating Qualitative Research: A Comprehensive Guide to Methods and Practices					
The Business of Analytics: An Introduction to Statistical Analysis in the Business Environment					
How to do Your Research Project: A Guide for Students, 5th Ed. 					
Essentials of Marketing Research					
Essentials of Marketing: A Marketing Strategy Planning Approach					</v>
      </c>
      <c r="E2434" s="196" t="str">
        <f>IFERROR(__xludf.DUMMYFUNCTION("""COMPUTED_VALUE"""),"LIBRARY BOOKS - PACUCOA COMPLIANT")</f>
        <v>LIBRARY BOOKS - PACUCOA COMPLIANT</v>
      </c>
    </row>
    <row r="2435">
      <c r="A2435" s="234">
        <f>IFERROR(__xludf.DUMMYFUNCTION("""COMPUTED_VALUE"""),107268.0)</f>
        <v>107268</v>
      </c>
      <c r="B2435" s="235" t="str">
        <f>IFERROR(__xludf.DUMMYFUNCTION("""COMPUTED_VALUE"""),"MELISSA ODOÑO")</f>
        <v>MELISSA ODOÑO</v>
      </c>
      <c r="C2435" s="235" t="str">
        <f>IFERROR(__xludf.DUMMYFUNCTION("""COMPUTED_VALUE"""),"LIBRARY COLLEGE")</f>
        <v>LIBRARY COLLEGE</v>
      </c>
      <c r="D2435" s="196" t="str">
        <f>IFERROR(__xludf.DUMMYFUNCTION("""COMPUTED_VALUE"""),"1 EACH 
Performance Management Techniques					
Using SPSS for Research Methods abd Social Statistics					
Using Data Analytics to Drive Transformational Change					
Qualitative Research: The Essential Guide to Theory and Practice					
Strategic Manage"&amp;"ment, 2026 release					
Strategic Innovation in Global Enterprises					
Strategic Planning and Execution					
Transparent Leadership: Bridging the Trust Gap Between Senior..					")</f>
        <v>1 EACH 
Performance Management Techniques					
Using SPSS for Research Methods abd Social Statistics					
Using Data Analytics to Drive Transformational Change					
Qualitative Research: The Essential Guide to Theory and Practice					
Strategic Management, 2026 release					
Strategic Innovation in Global Enterprises					
Strategic Planning and Execution					
Transparent Leadership: Bridging the Trust Gap Between Senior..					</v>
      </c>
      <c r="E2435" s="196" t="str">
        <f>IFERROR(__xludf.DUMMYFUNCTION("""COMPUTED_VALUE"""),"LIBRARY BOOKS - PACUCOA COMPLIANT")</f>
        <v>LIBRARY BOOKS - PACUCOA COMPLIANT</v>
      </c>
    </row>
    <row r="2436">
      <c r="A2436" s="234">
        <f>IFERROR(__xludf.DUMMYFUNCTION("""COMPUTED_VALUE"""),107269.0)</f>
        <v>107269</v>
      </c>
      <c r="B2436" s="235" t="str">
        <f>IFERROR(__xludf.DUMMYFUNCTION("""COMPUTED_VALUE"""),"MELISSA ODOÑO")</f>
        <v>MELISSA ODOÑO</v>
      </c>
      <c r="C2436" s="235" t="str">
        <f>IFERROR(__xludf.DUMMYFUNCTION("""COMPUTED_VALUE"""),"LIBRARY COLLEGE")</f>
        <v>LIBRARY COLLEGE</v>
      </c>
      <c r="D2436" s="196" t="str">
        <f>IFERROR(__xludf.DUMMYFUNCTION("""COMPUTED_VALUE"""),"2 Teching methods and strategies					
1 EACH 
Development communication					
Teaching internship					
Thinking skills for teachers					
Assessment of children's development and learning					
Special education monitoring and evaluation					")</f>
        <v>2 Teching methods and strategies					
1 EACH 
Development communication					
Teaching internship					
Thinking skills for teachers					
Assessment of children's development and learning					
Special education monitoring and evaluation					</v>
      </c>
      <c r="E2436" s="196" t="str">
        <f>IFERROR(__xludf.DUMMYFUNCTION("""COMPUTED_VALUE"""),"LIBRARY BOOKS - PACUCOA COMPLIANT")</f>
        <v>LIBRARY BOOKS - PACUCOA COMPLIANT</v>
      </c>
    </row>
    <row r="2437">
      <c r="A2437" s="234">
        <f>IFERROR(__xludf.DUMMYFUNCTION("""COMPUTED_VALUE"""),107270.0)</f>
        <v>107270</v>
      </c>
      <c r="B2437" s="235" t="str">
        <f>IFERROR(__xludf.DUMMYFUNCTION("""COMPUTED_VALUE"""),"MELISSA ODOÑO")</f>
        <v>MELISSA ODOÑO</v>
      </c>
      <c r="C2437" s="235" t="str">
        <f>IFERROR(__xludf.DUMMYFUNCTION("""COMPUTED_VALUE"""),"LIBRARY COLLEGE")</f>
        <v>LIBRARY COLLEGE</v>
      </c>
      <c r="D2437" s="196" t="str">
        <f>IFERROR(__xludf.DUMMYFUNCTION("""COMPUTED_VALUE"""),"2 Understanding research methodology in education					
1 EACH
Early childhood pedagogy					
Multicultural education in preschool					
Inclusive practices in early education					
Understanding and using educational theories, 4th edition					
Special ed"&amp;"ucationalneeds, inclusion and diversity, 4th edition					")</f>
        <v>2 Understanding research methodology in education					
1 EACH
Early childhood pedagogy					
Multicultural education in preschool					
Inclusive practices in early education					
Understanding and using educational theories, 4th edition					
Special educationalneeds, inclusion and diversity, 4th edition					</v>
      </c>
      <c r="E2437" s="196" t="str">
        <f>IFERROR(__xludf.DUMMYFUNCTION("""COMPUTED_VALUE"""),"LIBRARY BOOKS - PACUCOA COMPLIANT")</f>
        <v>LIBRARY BOOKS - PACUCOA COMPLIANT</v>
      </c>
    </row>
    <row r="2438">
      <c r="A2438" s="234">
        <f>IFERROR(__xludf.DUMMYFUNCTION("""COMPUTED_VALUE"""),107271.0)</f>
        <v>107271</v>
      </c>
      <c r="B2438" s="235" t="str">
        <f>IFERROR(__xludf.DUMMYFUNCTION("""COMPUTED_VALUE"""),"MELISSA ODOÑO")</f>
        <v>MELISSA ODOÑO</v>
      </c>
      <c r="C2438" s="235" t="str">
        <f>IFERROR(__xludf.DUMMYFUNCTION("""COMPUTED_VALUE"""),"LIBRARY COLLEGE")</f>
        <v>LIBRARY COLLEGE</v>
      </c>
      <c r="D2438" s="196" t="str">
        <f>IFERROR(__xludf.DUMMYFUNCTION("""COMPUTED_VALUE"""),"1 EACH
The Sage handbook of higher education instructional design					
The Official act: mathematics guide, 3rd edition					
The Official act: reading guide, 3rd edition					
Instructional design and curriculum innovation					
Educational assessment a"&amp;"nd evaluation					")</f>
        <v>1 EACH
The Sage handbook of higher education instructional design					
The Official act: mathematics guide, 3rd edition					
The Official act: reading guide, 3rd edition					
Instructional design and curriculum innovation					
Educational assessment and evaluation					</v>
      </c>
      <c r="E2438" s="196" t="str">
        <f>IFERROR(__xludf.DUMMYFUNCTION("""COMPUTED_VALUE"""),"LIBRARY BOOKS - PACUCOA COMPLIANT")</f>
        <v>LIBRARY BOOKS - PACUCOA COMPLIANT</v>
      </c>
    </row>
    <row r="2439">
      <c r="A2439" s="234">
        <f>IFERROR(__xludf.DUMMYFUNCTION("""COMPUTED_VALUE"""),107272.0)</f>
        <v>107272</v>
      </c>
      <c r="B2439" s="235" t="str">
        <f>IFERROR(__xludf.DUMMYFUNCTION("""COMPUTED_VALUE"""),"MELISSA ODOÑO")</f>
        <v>MELISSA ODOÑO</v>
      </c>
      <c r="C2439" s="235" t="str">
        <f>IFERROR(__xludf.DUMMYFUNCTION("""COMPUTED_VALUE"""),"LIBRARY COLLEGE")</f>
        <v>LIBRARY COLLEGE</v>
      </c>
      <c r="D2439" s="196" t="str">
        <f>IFERROR(__xludf.DUMMYFUNCTION("""COMPUTED_VALUE"""),"1 EACH
Essentials of elementary social studies, 7th edition					
Online education: foundations, planning, and pedagogy, 2nd edition					
Principles of school management					
Research methods in education and psychology					
Teachers, schools, and soci"&amp;"ety: a brief introduction to education					
Technology in early childhood classrooms					")</f>
        <v>1 EACH
Essentials of elementary social studies, 7th edition					
Online education: foundations, planning, and pedagogy, 2nd edition					
Principles of school management					
Research methods in education and psychology					
Teachers, schools, and society: a brief introduction to education					
Technology in early childhood classrooms					</v>
      </c>
      <c r="E2439" s="196" t="str">
        <f>IFERROR(__xludf.DUMMYFUNCTION("""COMPUTED_VALUE"""),"LIBRARY BOOKS - PACUCOA COMPLIANT")</f>
        <v>LIBRARY BOOKS - PACUCOA COMPLIANT</v>
      </c>
    </row>
    <row r="2440">
      <c r="A2440" s="234">
        <f>IFERROR(__xludf.DUMMYFUNCTION("""COMPUTED_VALUE"""),107273.0)</f>
        <v>107273</v>
      </c>
      <c r="B2440" s="235" t="str">
        <f>IFERROR(__xludf.DUMMYFUNCTION("""COMPUTED_VALUE"""),"MELISSA ODOÑO")</f>
        <v>MELISSA ODOÑO</v>
      </c>
      <c r="C2440" s="235" t="str">
        <f>IFERROR(__xludf.DUMMYFUNCTION("""COMPUTED_VALUE"""),"LIBRARY COLLEGE")</f>
        <v>LIBRARY COLLEGE</v>
      </c>
      <c r="D2440" s="196" t="str">
        <f>IFERROR(__xludf.DUMMYFUNCTION("""COMPUTED_VALUE"""),"1 EACH
Classroom management strategies					
Differentiated instruction techniques					
Foundations of teacher education					
Curriculum design for educators					
Assessment in early childhood education					")</f>
        <v>1 EACH
Classroom management strategies					
Differentiated instruction techniques					
Foundations of teacher education					
Curriculum design for educators					
Assessment in early childhood education					</v>
      </c>
      <c r="E2440" s="196" t="str">
        <f>IFERROR(__xludf.DUMMYFUNCTION("""COMPUTED_VALUE"""),"LIBRARY BOOKS - PACUCOA COMPLIANT")</f>
        <v>LIBRARY BOOKS - PACUCOA COMPLIANT</v>
      </c>
    </row>
    <row r="2441">
      <c r="A2441" s="234">
        <f>IFERROR(__xludf.DUMMYFUNCTION("""COMPUTED_VALUE"""),107274.0)</f>
        <v>107274</v>
      </c>
      <c r="B2441" s="235" t="str">
        <f>IFERROR(__xludf.DUMMYFUNCTION("""COMPUTED_VALUE"""),"MELISSA ODOÑO")</f>
        <v>MELISSA ODOÑO</v>
      </c>
      <c r="C2441" s="235" t="str">
        <f>IFERROR(__xludf.DUMMYFUNCTION("""COMPUTED_VALUE"""),"LIBRARY COLLEGE")</f>
        <v>LIBRARY COLLEGE</v>
      </c>
      <c r="D2441" s="196" t="str">
        <f>IFERROR(__xludf.DUMMYFUNCTION("""COMPUTED_VALUE"""),"1 EACH
Supporting children with special needs					
Curriculum for early learners					
Emotional development in early learners					
The Handbook of peer tutoring					
Reflective teaching in higher education, 3rd edition					
Understanding and using ed"&amp;"ucational theories					")</f>
        <v>1 EACH
Supporting children with special needs					
Curriculum for early learners					
Emotional development in early learners					
The Handbook of peer tutoring					
Reflective teaching in higher education, 3rd edition					
Understanding and using educational theories					</v>
      </c>
      <c r="E2441" s="196" t="str">
        <f>IFERROR(__xludf.DUMMYFUNCTION("""COMPUTED_VALUE"""),"LIBRARY BOOKS - PACUCOA COMPLIANT")</f>
        <v>LIBRARY BOOKS - PACUCOA COMPLIANT</v>
      </c>
    </row>
    <row r="2442">
      <c r="A2442" s="234">
        <f>IFERROR(__xludf.DUMMYFUNCTION("""COMPUTED_VALUE"""),107275.0)</f>
        <v>107275</v>
      </c>
      <c r="B2442" s="235" t="str">
        <f>IFERROR(__xludf.DUMMYFUNCTION("""COMPUTED_VALUE"""),"MELISSA ODOÑO")</f>
        <v>MELISSA ODOÑO</v>
      </c>
      <c r="C2442" s="235" t="str">
        <f>IFERROR(__xludf.DUMMYFUNCTION("""COMPUTED_VALUE"""),"LIBRARY COLLEGE")</f>
        <v>LIBRARY COLLEGE</v>
      </c>
      <c r="D2442" s="196" t="str">
        <f>IFERROR(__xludf.DUMMYFUNCTION("""COMPUTED_VALUE"""),"1 EACH
Systematic reviews in educational research: a practical guide for research synthesis					
Every child deserves a special education: five mindframes that ensure all students learn					
Good teaching for children with send: a guide for primary teac"&amp;"her trainees and early career teachers					
How to read &amp; understand educational research					
Difference &amp; diversity in counselling &amp; psychotherapy, 2nd edition					
Academic writing, assessment, and neurodiversity: pedagogies for inclusion					
Intr"&amp;"oduction to university teaching, 2nd edition					
The Bloomsbury handbook of theories in childhood studies					
An Interpersonal perspective on classroom management: building teacher relational capacity					")</f>
        <v>1 EACH
Systematic reviews in educational research: a practical guide for research synthesis					
Every child deserves a special education: five mindframes that ensure all students learn					
Good teaching for children with send: a guide for primary teacher trainees and early career teachers					
How to read &amp; understand educational research					
Difference &amp; diversity in counselling &amp; psychotherapy, 2nd edition					
Academic writing, assessment, and neurodiversity: pedagogies for inclusion					
Introduction to university teaching, 2nd edition					
The Bloomsbury handbook of theories in childhood studies					
An Interpersonal perspective on classroom management: building teacher relational capacity					</v>
      </c>
      <c r="E2442" s="196" t="str">
        <f>IFERROR(__xludf.DUMMYFUNCTION("""COMPUTED_VALUE"""),"LIBRARY BOOKS - PACUCOA COMPLIANT")</f>
        <v>LIBRARY BOOKS - PACUCOA COMPLIANT</v>
      </c>
    </row>
    <row r="2443">
      <c r="A2443" s="234">
        <f>IFERROR(__xludf.DUMMYFUNCTION("""COMPUTED_VALUE"""),107276.0)</f>
        <v>107276</v>
      </c>
      <c r="B2443" s="235" t="str">
        <f>IFERROR(__xludf.DUMMYFUNCTION("""COMPUTED_VALUE"""),"MELISSA ODOÑO")</f>
        <v>MELISSA ODOÑO</v>
      </c>
      <c r="C2443" s="235" t="str">
        <f>IFERROR(__xludf.DUMMYFUNCTION("""COMPUTED_VALUE"""),"LIBRARY COLLEGE")</f>
        <v>LIBRARY COLLEGE</v>
      </c>
      <c r="D2443" s="196" t="str">
        <f>IFERROR(__xludf.DUMMYFUNCTION("""COMPUTED_VALUE"""),"1 EACH
Writing skills for university: from day 1 to dissertation					
Planning for adaptive teaching in the primary curriculum					
Remote learning and distance education: a reference handbook					
Educating the developing mind: a developmental theory "&amp;"of instruction					
Gamify your college classroom: strategies to foster critical thinking and life skills across disciplines					
Technical communication and the discipline of content: considerations for research, training, and career readiness					")</f>
        <v>1 EACH
Writing skills for university: from day 1 to dissertation					
Planning for adaptive teaching in the primary curriculum					
Remote learning and distance education: a reference handbook					
Educating the developing mind: a developmental theory of instruction					
Gamify your college classroom: strategies to foster critical thinking and life skills across disciplines					
Technical communication and the discipline of content: considerations for research, training, and career readiness					</v>
      </c>
      <c r="E2443" s="196" t="str">
        <f>IFERROR(__xludf.DUMMYFUNCTION("""COMPUTED_VALUE"""),"LIBRARY BOOKS - PACUCOA COMPLIANT")</f>
        <v>LIBRARY BOOKS - PACUCOA COMPLIANT</v>
      </c>
    </row>
    <row r="2444">
      <c r="A2444" s="234">
        <f>IFERROR(__xludf.DUMMYFUNCTION("""COMPUTED_VALUE"""),107277.0)</f>
        <v>107277</v>
      </c>
      <c r="B2444" s="235" t="str">
        <f>IFERROR(__xludf.DUMMYFUNCTION("""COMPUTED_VALUE"""),"MELISSA ODOÑO")</f>
        <v>MELISSA ODOÑO</v>
      </c>
      <c r="C2444" s="235" t="str">
        <f>IFERROR(__xludf.DUMMYFUNCTION("""COMPUTED_VALUE"""),"LIBRARY COLLEGE")</f>
        <v>LIBRARY COLLEGE</v>
      </c>
      <c r="D2444" s="196" t="str">
        <f>IFERROR(__xludf.DUMMYFUNCTION("""COMPUTED_VALUE"""),"1 EACH
International perspectives on educational administration using educational inquiry: conceptual and theoretical approaches					
Integrating sophisticated standards and systems of support for elementary readers					
Smart curriculum volume 4: artif"&amp;"icial intelligence, stories, and learning dimension					
Efficiency on education					
Specially designed instruction: the definitive guide					
Powerful classrooms: evidence-informed strategies and resources					
Systematic process of education					")</f>
        <v>1 EACH
International perspectives on educational administration using educational inquiry: conceptual and theoretical approaches					
Integrating sophisticated standards and systems of support for elementary readers					
Smart curriculum volume 4: artificial intelligence, stories, and learning dimension					
Efficiency on education					
Specially designed instruction: the definitive guide					
Powerful classrooms: evidence-informed strategies and resources					
Systematic process of education					</v>
      </c>
      <c r="E2444" s="196" t="str">
        <f>IFERROR(__xludf.DUMMYFUNCTION("""COMPUTED_VALUE"""),"LIBRARY BOOKS - PACUCOA COMPLIANT")</f>
        <v>LIBRARY BOOKS - PACUCOA COMPLIANT</v>
      </c>
    </row>
    <row r="2445">
      <c r="A2445" s="234">
        <f>IFERROR(__xludf.DUMMYFUNCTION("""COMPUTED_VALUE"""),107278.0)</f>
        <v>107278</v>
      </c>
      <c r="B2445" s="235" t="str">
        <f>IFERROR(__xludf.DUMMYFUNCTION("""COMPUTED_VALUE"""),"MELISSA ODOÑO")</f>
        <v>MELISSA ODOÑO</v>
      </c>
      <c r="C2445" s="235" t="str">
        <f>IFERROR(__xludf.DUMMYFUNCTION("""COMPUTED_VALUE"""),"LIBRARY COLLEGE")</f>
        <v>LIBRARY COLLEGE</v>
      </c>
      <c r="D2445" s="196" t="str">
        <f>IFERROR(__xludf.DUMMYFUNCTION("""COMPUTED_VALUE"""),"1 EACH
Quantum mechanics:from analytical mechanics to quantum mechanics, simulation, foundations, and engineering					
Biology as a natural science: the study of life in all its forms					
Ecosystems and food chains: understanding nature's balance					
"&amp;"
Physics for scientists and engineers with modern physics, 11th edition					
Psychology of eating: from biology to culture to policy, 3rd edition					
Fundamentals of environmental science					")</f>
        <v>1 EACH
Quantum mechanics:from analytical mechanics to quantum mechanics, simulation, foundations, and engineering					
Biology as a natural science: the study of life in all its forms					
Ecosystems and food chains: understanding nature's balance					
Physics for scientists and engineers with modern physics, 11th edition					
Psychology of eating: from biology to culture to policy, 3rd edition					
Fundamentals of environmental science					</v>
      </c>
      <c r="E2445" s="196" t="str">
        <f>IFERROR(__xludf.DUMMYFUNCTION("""COMPUTED_VALUE"""),"LIBRARY BOOKS - PACUCOA COMPLIANT")</f>
        <v>LIBRARY BOOKS - PACUCOA COMPLIANT</v>
      </c>
    </row>
    <row r="2446">
      <c r="A2446" s="234">
        <f>IFERROR(__xludf.DUMMYFUNCTION("""COMPUTED_VALUE"""),107279.0)</f>
        <v>107279</v>
      </c>
      <c r="B2446" s="235" t="str">
        <f>IFERROR(__xludf.DUMMYFUNCTION("""COMPUTED_VALUE"""),"MELISSA ODOÑO")</f>
        <v>MELISSA ODOÑO</v>
      </c>
      <c r="C2446" s="235" t="str">
        <f>IFERROR(__xludf.DUMMYFUNCTION("""COMPUTED_VALUE"""),"LIBRARY COLLEGE")</f>
        <v>LIBRARY COLLEGE</v>
      </c>
      <c r="D2446" s="196" t="str">
        <f>IFERROR(__xludf.DUMMYFUNCTION("""COMPUTED_VALUE"""),"1 EACH
Nuclear power					
Illustrated dictionary of physics, 4th edition					
Illustrated dictionary of biology, 4th edition					
Biochemical and molecular mechanisms of secondary metabolites in metabolic diseases					
Bacteriology					")</f>
        <v>1 EACH
Nuclear power					
Illustrated dictionary of physics, 4th edition					
Illustrated dictionary of biology, 4th edition					
Biochemical and molecular mechanisms of secondary metabolites in metabolic diseases					
Bacteriology					</v>
      </c>
      <c r="E2446" s="196" t="str">
        <f>IFERROR(__xludf.DUMMYFUNCTION("""COMPUTED_VALUE"""),"LIBRARY BOOKS - PACUCOA COMPLIANT")</f>
        <v>LIBRARY BOOKS - PACUCOA COMPLIANT</v>
      </c>
    </row>
    <row r="2447">
      <c r="A2447" s="234">
        <f>IFERROR(__xludf.DUMMYFUNCTION("""COMPUTED_VALUE"""),107280.0)</f>
        <v>107280</v>
      </c>
      <c r="B2447" s="235" t="str">
        <f>IFERROR(__xludf.DUMMYFUNCTION("""COMPUTED_VALUE"""),"MELISSA ODOÑO")</f>
        <v>MELISSA ODOÑO</v>
      </c>
      <c r="C2447" s="235" t="str">
        <f>IFERROR(__xludf.DUMMYFUNCTION("""COMPUTED_VALUE"""),"LIBRARY COLLEGE")</f>
        <v>LIBRARY COLLEGE</v>
      </c>
      <c r="D2447" s="196" t="str">
        <f>IFERROR(__xludf.DUMMYFUNCTION("""COMPUTED_VALUE"""),"1 EACH
Molecular biology and microbial genetics					
Biochemistry: a short cause					
Plant biochemistry					
Seafood biochemistry					
Current topics in biochemistry					
Role of enzymes in food processing					")</f>
        <v>1 EACH
Molecular biology and microbial genetics					
Biochemistry: a short cause					
Plant biochemistry					
Seafood biochemistry					
Current topics in biochemistry					
Role of enzymes in food processing					</v>
      </c>
      <c r="E2447" s="196" t="str">
        <f>IFERROR(__xludf.DUMMYFUNCTION("""COMPUTED_VALUE"""),"LIBRARY BOOKS - PACUCOA COMPLIANT")</f>
        <v>LIBRARY BOOKS - PACUCOA COMPLIANT</v>
      </c>
    </row>
    <row r="2448">
      <c r="A2448" s="234">
        <f>IFERROR(__xludf.DUMMYFUNCTION("""COMPUTED_VALUE"""),107281.0)</f>
        <v>107281</v>
      </c>
      <c r="B2448" s="235" t="str">
        <f>IFERROR(__xludf.DUMMYFUNCTION("""COMPUTED_VALUE"""),"MELISSA ODOÑO")</f>
        <v>MELISSA ODOÑO</v>
      </c>
      <c r="C2448" s="235" t="str">
        <f>IFERROR(__xludf.DUMMYFUNCTION("""COMPUTED_VALUE"""),"LIBRARY COLLEGE")</f>
        <v>LIBRARY COLLEGE</v>
      </c>
      <c r="D2448" s="196" t="str">
        <f>IFERROR(__xludf.DUMMYFUNCTION("""COMPUTED_VALUE"""),"1 EACH
Introductory chemistry problems: the chemistry and physics behind the numbers					
Physics I, 4th edition					
Waste management and utilization for a sustainable environment					
Diet planning and assessment					
Child health, safety and nutrit"&amp;"ion					
Advanced organic chemistry					")</f>
        <v>1 EACH
Introductory chemistry problems: the chemistry and physics behind the numbers					
Physics I, 4th edition					
Waste management and utilization for a sustainable environment					
Diet planning and assessment					
Child health, safety and nutrition					
Advanced organic chemistry					</v>
      </c>
      <c r="E2448" s="196" t="str">
        <f>IFERROR(__xludf.DUMMYFUNCTION("""COMPUTED_VALUE"""),"LIBRARY BOOKS - PACUCOA COMPLIANT")</f>
        <v>LIBRARY BOOKS - PACUCOA COMPLIANT</v>
      </c>
    </row>
    <row r="2449">
      <c r="A2449" s="234">
        <f>IFERROR(__xludf.DUMMYFUNCTION("""COMPUTED_VALUE"""),107282.0)</f>
        <v>107282</v>
      </c>
      <c r="B2449" s="235" t="str">
        <f>IFERROR(__xludf.DUMMYFUNCTION("""COMPUTED_VALUE"""),"MELISSA ODOÑO")</f>
        <v>MELISSA ODOÑO</v>
      </c>
      <c r="C2449" s="235" t="str">
        <f>IFERROR(__xludf.DUMMYFUNCTION("""COMPUTED_VALUE"""),"LIBRARY COLLEGE")</f>
        <v>LIBRARY COLLEGE</v>
      </c>
      <c r="D2449" s="196" t="str">
        <f>IFERROR(__xludf.DUMMYFUNCTION("""COMPUTED_VALUE"""),"1 EACH
Environmental and atmospheric chemistry					
Global warming and environmental toxicology					
Textile microplastics in the environment: sources, impacts, and solutions					
Common chemical reactions					
Introductory chemistry: an active learni"&amp;"ng approach, 8th edition					")</f>
        <v>1 EACH
Environmental and atmospheric chemistry					
Global warming and environmental toxicology					
Textile microplastics in the environment: sources, impacts, and solutions					
Common chemical reactions					
Introductory chemistry: an active learning approach, 8th edition					</v>
      </c>
      <c r="E2449" s="196" t="str">
        <f>IFERROR(__xludf.DUMMYFUNCTION("""COMPUTED_VALUE"""),"LIBRARY BOOKS - PACUCOA COMPLIANT")</f>
        <v>LIBRARY BOOKS - PACUCOA COMPLIANT</v>
      </c>
    </row>
    <row r="2450">
      <c r="A2450" s="234">
        <f>IFERROR(__xludf.DUMMYFUNCTION("""COMPUTED_VALUE"""),107283.0)</f>
        <v>107283</v>
      </c>
      <c r="B2450" s="235" t="str">
        <f>IFERROR(__xludf.DUMMYFUNCTION("""COMPUTED_VALUE"""),"MELISSA ODOÑO")</f>
        <v>MELISSA ODOÑO</v>
      </c>
      <c r="C2450" s="235" t="str">
        <f>IFERROR(__xludf.DUMMYFUNCTION("""COMPUTED_VALUE"""),"LIBRARY COLLEGE")</f>
        <v>LIBRARY COLLEGE</v>
      </c>
      <c r="D2450" s="196" t="str">
        <f>IFERROR(__xludf.DUMMYFUNCTION("""COMPUTED_VALUE"""),"1 EACH
Microplastics: transport, impacts, monitoring and mitigation					
Illustrated dictionary of chemistry, 4th edition					
Biotechnology for beginners, 3rd edition					
Advanced inorganic chemistry					
Introduction to chemical research methods			"&amp;"		")</f>
        <v>1 EACH
Microplastics: transport, impacts, monitoring and mitigation					
Illustrated dictionary of chemistry, 4th edition					
Biotechnology for beginners, 3rd edition					
Advanced inorganic chemistry					
Introduction to chemical research methods					</v>
      </c>
      <c r="E2450" s="196" t="str">
        <f>IFERROR(__xludf.DUMMYFUNCTION("""COMPUTED_VALUE"""),"LIBRARY BOOKS - PACUCOA COMPLIANT")</f>
        <v>LIBRARY BOOKS - PACUCOA COMPLIANT</v>
      </c>
    </row>
    <row r="2451">
      <c r="A2451" s="234">
        <f>IFERROR(__xludf.DUMMYFUNCTION("""COMPUTED_VALUE"""),107284.0)</f>
        <v>107284</v>
      </c>
      <c r="B2451" s="235" t="str">
        <f>IFERROR(__xludf.DUMMYFUNCTION("""COMPUTED_VALUE"""),"MELISSA ODOÑO")</f>
        <v>MELISSA ODOÑO</v>
      </c>
      <c r="C2451" s="235" t="str">
        <f>IFERROR(__xludf.DUMMYFUNCTION("""COMPUTED_VALUE"""),"LIBRARY COLLEGE")</f>
        <v>LIBRARY COLLEGE</v>
      </c>
      <c r="D2451" s="196" t="str">
        <f>IFERROR(__xludf.DUMMYFUNCTION("""COMPUTED_VALUE"""),"1 EACH
Fundamentals of biochemistry, 6th edition					
Williams' basic nutrition and diet therapy, 17th edition					
Recycling, a challenge for the circular economy					
Smart curriculum volume 3: curating content, frameworks, and thought experiments fo"&amp;"r the smart curriculum					")</f>
        <v>1 EACH
Fundamentals of biochemistry, 6th edition					
Williams' basic nutrition and diet therapy, 17th edition					
Recycling, a challenge for the circular economy					
Smart curriculum volume 3: curating content, frameworks, and thought experiments for the smart curriculum					</v>
      </c>
      <c r="E2451" s="196" t="str">
        <f>IFERROR(__xludf.DUMMYFUNCTION("""COMPUTED_VALUE"""),"LIBRARY BOOKS - PACUCOA COMPLIANT")</f>
        <v>LIBRARY BOOKS - PACUCOA COMPLIANT</v>
      </c>
    </row>
    <row r="2452">
      <c r="A2452" s="234">
        <f>IFERROR(__xludf.DUMMYFUNCTION("""COMPUTED_VALUE"""),107285.0)</f>
        <v>107285</v>
      </c>
      <c r="B2452" s="235" t="str">
        <f>IFERROR(__xludf.DUMMYFUNCTION("""COMPUTED_VALUE"""),"MELISSA ODOÑO")</f>
        <v>MELISSA ODOÑO</v>
      </c>
      <c r="C2452" s="235" t="str">
        <f>IFERROR(__xludf.DUMMYFUNCTION("""COMPUTED_VALUE"""),"LIBRARY COLLEGE")</f>
        <v>LIBRARY COLLEGE</v>
      </c>
      <c r="D2452" s="196" t="str">
        <f>IFERROR(__xludf.DUMMYFUNCTION("""COMPUTED_VALUE"""),"1 EACH
Conservation and environmentalism					
Food packaging and preservation					
Nutrition counseling techniques					
Nutrition and healthy cuisine					
Mechanical properties of solid polymers, 4th edition					
Chemistry of food and food products		"&amp;"			")</f>
        <v>1 EACH
Conservation and environmentalism					
Food packaging and preservation					
Nutrition counseling techniques					
Nutrition and healthy cuisine					
Mechanical properties of solid polymers, 4th edition					
Chemistry of food and food products					</v>
      </c>
      <c r="E2452" s="196" t="str">
        <f>IFERROR(__xludf.DUMMYFUNCTION("""COMPUTED_VALUE"""),"LIBRARY BOOKS - PACUCOA COMPLIANT")</f>
        <v>LIBRARY BOOKS - PACUCOA COMPLIANT</v>
      </c>
    </row>
    <row r="2453">
      <c r="A2453" s="234">
        <f>IFERROR(__xludf.DUMMYFUNCTION("""COMPUTED_VALUE"""),107286.0)</f>
        <v>107286</v>
      </c>
      <c r="B2453" s="235" t="str">
        <f>IFERROR(__xludf.DUMMYFUNCTION("""COMPUTED_VALUE"""),"MELISSA ODOÑO")</f>
        <v>MELISSA ODOÑO</v>
      </c>
      <c r="C2453" s="235" t="str">
        <f>IFERROR(__xludf.DUMMYFUNCTION("""COMPUTED_VALUE"""),"LIBRARY COLLEGE")</f>
        <v>LIBRARY COLLEGE</v>
      </c>
      <c r="D2453" s="196" t="str">
        <f>IFERROR(__xludf.DUMMYFUNCTION("""COMPUTED_VALUE"""),"1 EACH
Illustrated dictionary of science, 4th edition					
Illustrated dictionary of earth and life science, 3rd edition					
Food product development and innovation					
Plant-based diets and health benefits					
Ecology: concepts &amp; applications					"&amp;"
Pollution: an introductory text					
Polymer chemistry: an introduction					
Cyberpsychology					")</f>
        <v>1 EACH
Illustrated dictionary of science, 4th edition					
Illustrated dictionary of earth and life science, 3rd edition					
Food product development and innovation					
Plant-based diets and health benefits					
Ecology: concepts &amp; applications					
Pollution: an introductory text					
Polymer chemistry: an introduction					
Cyberpsychology					</v>
      </c>
      <c r="E2453" s="196" t="str">
        <f>IFERROR(__xludf.DUMMYFUNCTION("""COMPUTED_VALUE"""),"LIBRARY BOOKS - PACUCOA COMPLIANT")</f>
        <v>LIBRARY BOOKS - PACUCOA COMPLIANT</v>
      </c>
    </row>
    <row r="2454">
      <c r="A2454" s="234">
        <f>IFERROR(__xludf.DUMMYFUNCTION("""COMPUTED_VALUE"""),107287.0)</f>
        <v>107287</v>
      </c>
      <c r="B2454" s="235" t="str">
        <f>IFERROR(__xludf.DUMMYFUNCTION("""COMPUTED_VALUE"""),"MELISSA ODOÑO")</f>
        <v>MELISSA ODOÑO</v>
      </c>
      <c r="C2454" s="235" t="str">
        <f>IFERROR(__xludf.DUMMYFUNCTION("""COMPUTED_VALUE"""),"LIBRARY COLLEGE")</f>
        <v>LIBRARY COLLEGE</v>
      </c>
      <c r="D2454" s="196" t="str">
        <f>IFERROR(__xludf.DUMMYFUNCTION("""COMPUTED_VALUE"""),"1 EACH
Introduction to Polymer Science					
Advanced Inorganic Chemistry					
Advanced Organic Chemistry					
Analytical Chemistry					
Physical Chemistry					
Microplastics transport, Impacts, Monitoring and Mitigation					
Clinical Chemistry and I"&amp;"ts Recent Laboratory Techniques					")</f>
        <v>1 EACH
Introduction to Polymer Science					
Advanced Inorganic Chemistry					
Advanced Organic Chemistry					
Analytical Chemistry					
Physical Chemistry					
Microplastics transport, Impacts, Monitoring and Mitigation					
Clinical Chemistry and Its Recent Laboratory Techniques					</v>
      </c>
      <c r="E2454" s="196" t="str">
        <f>IFERROR(__xludf.DUMMYFUNCTION("""COMPUTED_VALUE"""),"LIBRARY BOOKS - PACUCOA COMPLIANT")</f>
        <v>LIBRARY BOOKS - PACUCOA COMPLIANT</v>
      </c>
    </row>
    <row r="2455">
      <c r="A2455" s="234">
        <f>IFERROR(__xludf.DUMMYFUNCTION("""COMPUTED_VALUE"""),107288.0)</f>
        <v>107288</v>
      </c>
      <c r="B2455" s="235" t="str">
        <f>IFERROR(__xludf.DUMMYFUNCTION("""COMPUTED_VALUE"""),"MELISSA ODOÑO")</f>
        <v>MELISSA ODOÑO</v>
      </c>
      <c r="C2455" s="235" t="str">
        <f>IFERROR(__xludf.DUMMYFUNCTION("""COMPUTED_VALUE"""),"LIBRARY COLLEGE")</f>
        <v>LIBRARY COLLEGE</v>
      </c>
      <c r="D2455" s="196" t="str">
        <f>IFERROR(__xludf.DUMMYFUNCTION("""COMPUTED_VALUE"""),"1 EACH
Sustainable Plastics: Environmental Assessments of Biobased,Biodegradable, and Recycled Plastics					
General, Organic, &amp; Biological Chemistry					
Introductory Chemistry: An Active Learning Approach					
Environmental Chemistry					
Experiment"&amp;"al Physics					")</f>
        <v>1 EACH
Sustainable Plastics: Environmental Assessments of Biobased,Biodegradable, and Recycled Plastics					
General, Organic, &amp; Biological Chemistry					
Introductory Chemistry: An Active Learning Approach					
Environmental Chemistry					
Experimental Physics					</v>
      </c>
      <c r="E2455" s="196" t="str">
        <f>IFERROR(__xludf.DUMMYFUNCTION("""COMPUTED_VALUE"""),"LIBRARY BOOKS - PACUCOA COMPLIANT")</f>
        <v>LIBRARY BOOKS - PACUCOA COMPLIANT</v>
      </c>
    </row>
    <row r="2456">
      <c r="A2456" s="234">
        <f>IFERROR(__xludf.DUMMYFUNCTION("""COMPUTED_VALUE"""),107289.0)</f>
        <v>107289</v>
      </c>
      <c r="B2456" s="235" t="str">
        <f>IFERROR(__xludf.DUMMYFUNCTION("""COMPUTED_VALUE"""),"MELISSA ODOÑO")</f>
        <v>MELISSA ODOÑO</v>
      </c>
      <c r="C2456" s="235" t="str">
        <f>IFERROR(__xludf.DUMMYFUNCTION("""COMPUTED_VALUE"""),"LIBRARY COLLEGE")</f>
        <v>LIBRARY COLLEGE</v>
      </c>
      <c r="D2456" s="196" t="str">
        <f>IFERROR(__xludf.DUMMYFUNCTION("""COMPUTED_VALUE"""),"1 EACH
Physics for Scientist and Engineers					
Fundamentals of Botany					
Foundations of genetics					
Microbiological Techniques					
Essentials of Biology					
BRS:Biochemistry, Molecular Bilogy and Genetics					")</f>
        <v>1 EACH
Physics for Scientist and Engineers					
Fundamentals of Botany					
Foundations of genetics					
Microbiological Techniques					
Essentials of Biology					
BRS:Biochemistry, Molecular Bilogy and Genetics					</v>
      </c>
      <c r="E2456" s="196" t="str">
        <f>IFERROR(__xludf.DUMMYFUNCTION("""COMPUTED_VALUE"""),"LIBRARY BOOKS - PACUCOA COMPLIANT")</f>
        <v>LIBRARY BOOKS - PACUCOA COMPLIANT</v>
      </c>
    </row>
    <row r="2457">
      <c r="A2457" s="234">
        <f>IFERROR(__xludf.DUMMYFUNCTION("""COMPUTED_VALUE"""),107290.0)</f>
        <v>107290</v>
      </c>
      <c r="B2457" s="235" t="str">
        <f>IFERROR(__xludf.DUMMYFUNCTION("""COMPUTED_VALUE"""),"MELISSA ODOÑO")</f>
        <v>MELISSA ODOÑO</v>
      </c>
      <c r="C2457" s="235" t="str">
        <f>IFERROR(__xludf.DUMMYFUNCTION("""COMPUTED_VALUE"""),"LIBRARY COLLEGE")</f>
        <v>LIBRARY COLLEGE</v>
      </c>
      <c r="D2457" s="196" t="str">
        <f>IFERROR(__xludf.DUMMYFUNCTION("""COMPUTED_VALUE"""),"1 EACH
Biology for Life: A guide to our Living World					
Microeconomics					
Economics					
Macroeconomics					")</f>
        <v>1 EACH
Biology for Life: A guide to our Living World					
Microeconomics					
Economics					
Macroeconomics					</v>
      </c>
      <c r="E2457" s="196" t="str">
        <f>IFERROR(__xludf.DUMMYFUNCTION("""COMPUTED_VALUE"""),"LIBRARY BOOKS - PACUCOA COMPLIANT")</f>
        <v>LIBRARY BOOKS - PACUCOA COMPLIANT</v>
      </c>
    </row>
    <row r="2458">
      <c r="A2458" s="234">
        <f>IFERROR(__xludf.DUMMYFUNCTION("""COMPUTED_VALUE"""),107291.0)</f>
        <v>107291</v>
      </c>
      <c r="B2458" s="235" t="str">
        <f>IFERROR(__xludf.DUMMYFUNCTION("""COMPUTED_VALUE"""),"MELISSA ODOÑO")</f>
        <v>MELISSA ODOÑO</v>
      </c>
      <c r="C2458" s="235" t="str">
        <f>IFERROR(__xludf.DUMMYFUNCTION("""COMPUTED_VALUE"""),"LIBRARY COLLEGE")</f>
        <v>LIBRARY COLLEGE</v>
      </c>
      <c r="D2458" s="196" t="str">
        <f>IFERROR(__xludf.DUMMYFUNCTION("""COMPUTED_VALUE"""),"1 EACH 
The Official act: english guide, 3rd edition					
COMM7					
The College writer: a guide to thinking, writing, and researching, 8th edition					
Steps to writing well with additional readings, 12th edition					
Academic writing &amp; research basi"&amp;"cs					
Reading comprehension: context clues and inference					
Creative writing: storytelling and essays					")</f>
        <v>1 EACH 
The Official act: english guide, 3rd edition					
COMM7					
The College writer: a guide to thinking, writing, and researching, 8th edition					
Steps to writing well with additional readings, 12th edition					
Academic writing &amp; research basics					
Reading comprehension: context clues and inference					
Creative writing: storytelling and essays					</v>
      </c>
      <c r="E2458" s="196" t="str">
        <f>IFERROR(__xludf.DUMMYFUNCTION("""COMPUTED_VALUE"""),"LIBRARY BOOKS - PACUCOA COMPLIANT")</f>
        <v>LIBRARY BOOKS - PACUCOA COMPLIANT</v>
      </c>
    </row>
    <row r="2459">
      <c r="A2459" s="234">
        <f>IFERROR(__xludf.DUMMYFUNCTION("""COMPUTED_VALUE"""),107292.0)</f>
        <v>107292</v>
      </c>
      <c r="B2459" s="235" t="str">
        <f>IFERROR(__xludf.DUMMYFUNCTION("""COMPUTED_VALUE"""),"MELISSA ODOÑO")</f>
        <v>MELISSA ODOÑO</v>
      </c>
      <c r="C2459" s="235" t="str">
        <f>IFERROR(__xludf.DUMMYFUNCTION("""COMPUTED_VALUE"""),"LIBRARY COLLEGE")</f>
        <v>LIBRARY COLLEGE</v>
      </c>
      <c r="D2459" s="196" t="str">
        <f>IFERROR(__xludf.DUMMYFUNCTION("""COMPUTED_VALUE"""),"1 EACH
Readings for writers, 17th edition					
Literature and creative writing					
English profeciency					
Literacy criticism and theory					
Ultimate academic writing hacks: simple strategies for better essays, reports and dissertations					
Read "&amp;"it, write it, love it: step up your planning to engage and inspire ELA students					")</f>
        <v>1 EACH
Readings for writers, 17th edition					
Literature and creative writing					
English profeciency					
Literacy criticism and theory					
Ultimate academic writing hacks: simple strategies for better essays, reports and dissertations					
Read it, write it, love it: step up your planning to engage and inspire ELA students					</v>
      </c>
      <c r="E2459" s="196" t="str">
        <f>IFERROR(__xludf.DUMMYFUNCTION("""COMPUTED_VALUE"""),"LIBRARY BOOKS - PACUCOA COMPLIANT")</f>
        <v>LIBRARY BOOKS - PACUCOA COMPLIANT</v>
      </c>
    </row>
    <row r="2460">
      <c r="A2460" s="234">
        <f>IFERROR(__xludf.DUMMYFUNCTION("""COMPUTED_VALUE"""),107293.0)</f>
        <v>107293</v>
      </c>
      <c r="B2460" s="235" t="str">
        <f>IFERROR(__xludf.DUMMYFUNCTION("""COMPUTED_VALUE"""),"MELISSA ODOÑO")</f>
        <v>MELISSA ODOÑO</v>
      </c>
      <c r="C2460" s="235" t="str">
        <f>IFERROR(__xludf.DUMMYFUNCTION("""COMPUTED_VALUE"""),"LIBRARY COLLEGE")</f>
        <v>LIBRARY COLLEGE</v>
      </c>
      <c r="D2460" s="196" t="str">
        <f>IFERROR(__xludf.DUMMYFUNCTION("""COMPUTED_VALUE"""),"1 EACH
Form and style in writing research					
Demystifying academic reading: a disciplinary literacy approach to reading across content areas					
Doing academic research: a practical guide to research methods and analysis, 2nd edition					
Research m"&amp;"ethods: the basics, 3rd edition					
Research methods for education and the social sciences: from surveys and fieldwork to statistical analysis					
World englishes, 4th edition					")</f>
        <v>1 EACH
Form and style in writing research					
Demystifying academic reading: a disciplinary literacy approach to reading across content areas					
Doing academic research: a practical guide to research methods and analysis, 2nd edition					
Research methods: the basics, 3rd edition					
Research methods for education and the social sciences: from surveys and fieldwork to statistical analysis					
World englishes, 4th edition					</v>
      </c>
      <c r="E2460" s="196" t="str">
        <f>IFERROR(__xludf.DUMMYFUNCTION("""COMPUTED_VALUE"""),"LIBRARY BOOKS - PACUCOA COMPLIANT")</f>
        <v>LIBRARY BOOKS - PACUCOA COMPLIANT</v>
      </c>
    </row>
    <row r="2461">
      <c r="A2461" s="234">
        <f>IFERROR(__xludf.DUMMYFUNCTION("""COMPUTED_VALUE"""),107294.0)</f>
        <v>107294</v>
      </c>
      <c r="B2461" s="235" t="str">
        <f>IFERROR(__xludf.DUMMYFUNCTION("""COMPUTED_VALUE"""),"MELISSA ODOÑO")</f>
        <v>MELISSA ODOÑO</v>
      </c>
      <c r="C2461" s="235" t="str">
        <f>IFERROR(__xludf.DUMMYFUNCTION("""COMPUTED_VALUE"""),"LIBRARY COLLEGE")</f>
        <v>LIBRARY COLLEGE</v>
      </c>
      <c r="D2461" s="196" t="str">
        <f>IFERROR(__xludf.DUMMYFUNCTION("""COMPUTED_VALUE"""),"1 EACH
Syntax: structure and meaning					
A Companion to critical and cultural theory					
Introduction to research: understanding and applying multiple strategies, 7th edition					
The Concise companion to language assessment					
Exploring creativit"&amp;"y through writing: a handbook for teachers					")</f>
        <v>1 EACH
Syntax: structure and meaning					
A Companion to critical and cultural theory					
Introduction to research: understanding and applying multiple strategies, 7th edition					
The Concise companion to language assessment					
Exploring creativity through writing: a handbook for teachers					</v>
      </c>
      <c r="E2461" s="196" t="str">
        <f>IFERROR(__xludf.DUMMYFUNCTION("""COMPUTED_VALUE"""),"LIBRARY BOOKS - PACUCOA COMPLIANT")</f>
        <v>LIBRARY BOOKS - PACUCOA COMPLIANT</v>
      </c>
    </row>
    <row r="2462">
      <c r="A2462" s="234">
        <f>IFERROR(__xludf.DUMMYFUNCTION("""COMPUTED_VALUE"""),107295.0)</f>
        <v>107295</v>
      </c>
      <c r="B2462" s="235" t="str">
        <f>IFERROR(__xludf.DUMMYFUNCTION("""COMPUTED_VALUE"""),"MELISSA ODOÑO")</f>
        <v>MELISSA ODOÑO</v>
      </c>
      <c r="C2462" s="235" t="str">
        <f>IFERROR(__xludf.DUMMYFUNCTION("""COMPUTED_VALUE"""),"LIBRARY COLLEGE")</f>
        <v>LIBRARY COLLEGE</v>
      </c>
      <c r="D2462" s="196" t="str">
        <f>IFERROR(__xludf.DUMMYFUNCTION("""COMPUTED_VALUE"""),"1 EACH
Systematic approaches to a successful literature review, 4th edition					
Public speaking matters					
College writing skills with readings					
The Cengage guide to research, 4th edition					
The Literature review: a step-by-step guide for stu"&amp;"dents, 3rd edition					")</f>
        <v>1 EACH
Systematic approaches to a successful literature review, 4th edition					
Public speaking matters					
College writing skills with readings					
The Cengage guide to research, 4th edition					
The Literature review: a step-by-step guide for students, 3rd edition					</v>
      </c>
      <c r="E2462" s="196" t="str">
        <f>IFERROR(__xludf.DUMMYFUNCTION("""COMPUTED_VALUE"""),"LIBRARY BOOKS - PACUCOA COMPLIANT")</f>
        <v>LIBRARY BOOKS - PACUCOA COMPLIANT</v>
      </c>
    </row>
    <row r="2463">
      <c r="A2463" s="234">
        <f>IFERROR(__xludf.DUMMYFUNCTION("""COMPUTED_VALUE"""),107296.0)</f>
        <v>107296</v>
      </c>
      <c r="B2463" s="235" t="str">
        <f>IFERROR(__xludf.DUMMYFUNCTION("""COMPUTED_VALUE"""),"MELISSA ODOÑO")</f>
        <v>MELISSA ODOÑO</v>
      </c>
      <c r="C2463" s="235" t="str">
        <f>IFERROR(__xludf.DUMMYFUNCTION("""COMPUTED_VALUE"""),"LIBRARY COLLEGE")</f>
        <v>LIBRARY COLLEGE</v>
      </c>
      <c r="D2463" s="196" t="str">
        <f>IFERROR(__xludf.DUMMYFUNCTION("""COMPUTED_VALUE"""),"1 EACH
Ethics, 2nd edition					
Media ethics: issues and cases, 11th edition					
Ethics in the digital domain, 2nd edition					
Ethics: an introduction through primary texts and short narratives					
")</f>
        <v>1 EACH
Ethics, 2nd edition					
Media ethics: issues and cases, 11th edition					
Ethics in the digital domain, 2nd edition					
Ethics: an introduction through primary texts and short narratives					
</v>
      </c>
      <c r="E2463" s="196" t="str">
        <f>IFERROR(__xludf.DUMMYFUNCTION("""COMPUTED_VALUE"""),"LIBRARY BOOKS - PACUCOA COMPLIANT")</f>
        <v>LIBRARY BOOKS - PACUCOA COMPLIANT</v>
      </c>
    </row>
    <row r="2464">
      <c r="A2464" s="234">
        <f>IFERROR(__xludf.DUMMYFUNCTION("""COMPUTED_VALUE"""),107297.0)</f>
        <v>107297</v>
      </c>
      <c r="B2464" s="235" t="str">
        <f>IFERROR(__xludf.DUMMYFUNCTION("""COMPUTED_VALUE"""),"MELISSA ODOÑO")</f>
        <v>MELISSA ODOÑO</v>
      </c>
      <c r="C2464" s="235" t="str">
        <f>IFERROR(__xludf.DUMMYFUNCTION("""COMPUTED_VALUE"""),"LIBRARY COLLEGE")</f>
        <v>LIBRARY COLLEGE</v>
      </c>
      <c r="D2464" s="196" t="str">
        <f>IFERROR(__xludf.DUMMYFUNCTION("""COMPUTED_VALUE"""),"1 each
Judgment and decision-making: in the lab and the world, 2nd edition					
Taking moral action					
The Elements of moral philosophy					
The Global climate crisis: what to do about it, 2nd edition					
The Critical thinking toolkit: your guide t"&amp;"o success in learning, thinking and writing at university					
Information ethics: copyright, fair use, and creative commons					")</f>
        <v>1 each
Judgment and decision-making: in the lab and the world, 2nd edition					
Taking moral action					
The Elements of moral philosophy					
The Global climate crisis: what to do about it, 2nd edition					
The Critical thinking toolkit: your guide to success in learning, thinking and writing at university					
Information ethics: copyright, fair use, and creative commons					</v>
      </c>
      <c r="E2464" s="196" t="str">
        <f>IFERROR(__xludf.DUMMYFUNCTION("""COMPUTED_VALUE"""),"LIBRARY BOOKS - PACUCOA COMPLIANT")</f>
        <v>LIBRARY BOOKS - PACUCOA COMPLIANT</v>
      </c>
    </row>
    <row r="2465">
      <c r="A2465" s="234">
        <f>IFERROR(__xludf.DUMMYFUNCTION("""COMPUTED_VALUE"""),107298.0)</f>
        <v>107298</v>
      </c>
      <c r="B2465" s="235" t="str">
        <f>IFERROR(__xludf.DUMMYFUNCTION("""COMPUTED_VALUE"""),"MELISSA ODOÑO")</f>
        <v>MELISSA ODOÑO</v>
      </c>
      <c r="C2465" s="235" t="str">
        <f>IFERROR(__xludf.DUMMYFUNCTION("""COMPUTED_VALUE"""),"LIBRARY COLLEGE")</f>
        <v>LIBRARY COLLEGE</v>
      </c>
      <c r="D2465" s="196" t="str">
        <f>IFERROR(__xludf.DUMMYFUNCTION("""COMPUTED_VALUE"""),"1 each
Philosophy: the power of ideas					
Equality begins with gender					
History of Asian civilization					
History of Southeast Asia					
Contemporary debates in the ethics of artificial intelligence					")</f>
        <v>1 each
Philosophy: the power of ideas					
Equality begins with gender					
History of Asian civilization					
History of Southeast Asia					
Contemporary debates in the ethics of artificial intelligence					</v>
      </c>
      <c r="E2465" s="196" t="str">
        <f>IFERROR(__xludf.DUMMYFUNCTION("""COMPUTED_VALUE"""),"LIBRARY BOOKS - PACUCOA COMPLIANT")</f>
        <v>LIBRARY BOOKS - PACUCOA COMPLIANT</v>
      </c>
    </row>
    <row r="2466">
      <c r="A2466" s="234">
        <f>IFERROR(__xludf.DUMMYFUNCTION("""COMPUTED_VALUE"""),107299.0)</f>
        <v>107299</v>
      </c>
      <c r="B2466" s="235" t="str">
        <f>IFERROR(__xludf.DUMMYFUNCTION("""COMPUTED_VALUE"""),"MELISSA ODOÑO")</f>
        <v>MELISSA ODOÑO</v>
      </c>
      <c r="C2466" s="235" t="str">
        <f>IFERROR(__xludf.DUMMYFUNCTION("""COMPUTED_VALUE"""),"LIBRARY COLLEGE")</f>
        <v>LIBRARY COLLEGE</v>
      </c>
      <c r="D2466" s="196" t="str">
        <f>IFERROR(__xludf.DUMMYFUNCTION("""COMPUTED_VALUE"""),"1 EACH
Ordinary differential equations					
A First course in probability					
First step to quantum computing: a practical guide for beginners					
500 act math questions to know by test day, 3rd edition					
Construction mathematics, 3rd edition				"&amp;"	
Regression analysis: a practical introduction, 3rd edition					
Probability, 2nd edition					")</f>
        <v>1 EACH
Ordinary differential equations					
A First course in probability					
First step to quantum computing: a practical guide for beginners					
500 act math questions to know by test day, 3rd edition					
Construction mathematics, 3rd edition					
Regression analysis: a practical introduction, 3rd edition					
Probability, 2nd edition					</v>
      </c>
      <c r="E2466" s="196" t="str">
        <f>IFERROR(__xludf.DUMMYFUNCTION("""COMPUTED_VALUE"""),"LIBRARY BOOKS - PACUCOA COMPLIANT")</f>
        <v>LIBRARY BOOKS - PACUCOA COMPLIANT</v>
      </c>
    </row>
    <row r="2467">
      <c r="A2467" s="234">
        <f>IFERROR(__xludf.DUMMYFUNCTION("""COMPUTED_VALUE"""),107300.0)</f>
        <v>107300</v>
      </c>
      <c r="B2467" s="235" t="str">
        <f>IFERROR(__xludf.DUMMYFUNCTION("""COMPUTED_VALUE"""),"MELISSA ODOÑO")</f>
        <v>MELISSA ODOÑO</v>
      </c>
      <c r="C2467" s="235" t="str">
        <f>IFERROR(__xludf.DUMMYFUNCTION("""COMPUTED_VALUE"""),"LIBRARY COLLEGE")</f>
        <v>LIBRARY COLLEGE</v>
      </c>
      <c r="D2467" s="196" t="str">
        <f>IFERROR(__xludf.DUMMYFUNCTION("""COMPUTED_VALUE"""),"1 EACH
Elementary statistics					
Discrete mathematics					
Statistics for people who (think they) hate statistics, 8th edition					
SPSS basics: techniques for a first course in statistics, 7th edition					")</f>
        <v>1 EACH
Elementary statistics					
Discrete mathematics					
Statistics for people who (think they) hate statistics, 8th edition					
SPSS basics: techniques for a first course in statistics, 7th edition					</v>
      </c>
      <c r="E2467" s="196" t="str">
        <f>IFERROR(__xludf.DUMMYFUNCTION("""COMPUTED_VALUE"""),"LIBRARY BOOKS - PACUCOA COMPLIANT")</f>
        <v>LIBRARY BOOKS - PACUCOA COMPLIANT</v>
      </c>
    </row>
    <row r="2468">
      <c r="A2468" s="234">
        <f>IFERROR(__xludf.DUMMYFUNCTION("""COMPUTED_VALUE"""),107301.0)</f>
        <v>107301</v>
      </c>
      <c r="B2468" s="235" t="str">
        <f>IFERROR(__xludf.DUMMYFUNCTION("""COMPUTED_VALUE"""),"MELISSA ODOÑO")</f>
        <v>MELISSA ODOÑO</v>
      </c>
      <c r="C2468" s="235" t="str">
        <f>IFERROR(__xludf.DUMMYFUNCTION("""COMPUTED_VALUE"""),"LIBRARY COLLEGE")</f>
        <v>LIBRARY COLLEGE</v>
      </c>
      <c r="D2468" s="196" t="str">
        <f>IFERROR(__xludf.DUMMYFUNCTION("""COMPUTED_VALUE"""),"1 EACH
Fundamentals of statistics					
Principles of mathematical analysis					
College algebra: with CalcChat and CalcView, 12 edition					
IBM SPSS for intermediate statistics: use and interpretation, 6th edition					
IBM SPSS for introductory stati"&amp;"stics: use and interpretation, 7th edition					")</f>
        <v>1 EACH
Fundamentals of statistics					
Principles of mathematical analysis					
College algebra: with CalcChat and CalcView, 12 edition					
IBM SPSS for intermediate statistics: use and interpretation, 6th edition					
IBM SPSS for introductory statistics: use and interpretation, 7th edition					</v>
      </c>
      <c r="E2468" s="196" t="str">
        <f>IFERROR(__xludf.DUMMYFUNCTION("""COMPUTED_VALUE"""),"LIBRARY BOOKS - PACUCOA COMPLIANT")</f>
        <v>LIBRARY BOOKS - PACUCOA COMPLIANT</v>
      </c>
    </row>
    <row r="2469">
      <c r="A2469" s="234">
        <f>IFERROR(__xludf.DUMMYFUNCTION("""COMPUTED_VALUE"""),107302.0)</f>
        <v>107302</v>
      </c>
      <c r="B2469" s="235" t="str">
        <f>IFERROR(__xludf.DUMMYFUNCTION("""COMPUTED_VALUE"""),"MELISSA ODOÑO")</f>
        <v>MELISSA ODOÑO</v>
      </c>
      <c r="C2469" s="235" t="str">
        <f>IFERROR(__xludf.DUMMYFUNCTION("""COMPUTED_VALUE"""),"LIBRARY COLLEGE")</f>
        <v>LIBRARY COLLEGE</v>
      </c>
      <c r="D2469" s="196" t="str">
        <f>IFERROR(__xludf.DUMMYFUNCTION("""COMPUTED_VALUE"""),"1 each
Physical Education and Social Skills Development					
Complete Guide to Sports Education					
Hip-hop Dance Grooves and Choreography					
Sports Psychology and Performance					
Basketball					
Chess Openings					")</f>
        <v>1 each
Physical Education and Social Skills Development					
Complete Guide to Sports Education					
Hip-hop Dance Grooves and Choreography					
Sports Psychology and Performance					
Basketball					
Chess Openings					</v>
      </c>
      <c r="E2469" s="196" t="str">
        <f>IFERROR(__xludf.DUMMYFUNCTION("""COMPUTED_VALUE"""),"LIBRARY BOOKS - PACUCOA COMPLIANT")</f>
        <v>LIBRARY BOOKS - PACUCOA COMPLIANT</v>
      </c>
    </row>
    <row r="2470">
      <c r="A2470" s="234">
        <f>IFERROR(__xludf.DUMMYFUNCTION("""COMPUTED_VALUE"""),107303.0)</f>
        <v>107303</v>
      </c>
      <c r="B2470" s="235" t="str">
        <f>IFERROR(__xludf.DUMMYFUNCTION("""COMPUTED_VALUE"""),"MELISSA ODOÑO")</f>
        <v>MELISSA ODOÑO</v>
      </c>
      <c r="C2470" s="235" t="str">
        <f>IFERROR(__xludf.DUMMYFUNCTION("""COMPUTED_VALUE"""),"LIBRARY COLLEGE")</f>
        <v>LIBRARY COLLEGE</v>
      </c>
      <c r="D2470" s="196" t="str">
        <f>IFERROR(__xludf.DUMMYFUNCTION("""COMPUTED_VALUE"""),"1 EACH
Foundations of Physical Education, Exercise Science, and Sport					
Administartion and Supervision of Physical Education					
Research in Physical Education					
Corbin's Concept of Fitness and Wellness: A Comprehensive Lifestyle Approach					")</f>
        <v>1 EACH
Foundations of Physical Education, Exercise Science, and Sport					
Administartion and Supervision of Physical Education					
Research in Physical Education					
Corbin's Concept of Fitness and Wellness: A Comprehensive Lifestyle Approach					</v>
      </c>
      <c r="E2470" s="196" t="str">
        <f>IFERROR(__xludf.DUMMYFUNCTION("""COMPUTED_VALUE"""),"LIBRARY BOOKS - PACUCOA COMPLIANT")</f>
        <v>LIBRARY BOOKS - PACUCOA COMPLIANT</v>
      </c>
    </row>
    <row r="2471">
      <c r="A2471" s="234">
        <f>IFERROR(__xludf.DUMMYFUNCTION("""COMPUTED_VALUE"""),107304.0)</f>
        <v>107304</v>
      </c>
      <c r="B2471" s="235" t="str">
        <f>IFERROR(__xludf.DUMMYFUNCTION("""COMPUTED_VALUE"""),"MELISSA ODOÑO")</f>
        <v>MELISSA ODOÑO</v>
      </c>
      <c r="C2471" s="235" t="str">
        <f>IFERROR(__xludf.DUMMYFUNCTION("""COMPUTED_VALUE"""),"LIBRARY COLLEGE")</f>
        <v>LIBRARY COLLEGE</v>
      </c>
      <c r="D2471" s="196" t="str">
        <f>IFERROR(__xludf.DUMMYFUNCTION("""COMPUTED_VALUE"""),"1 EACH
Essentials of Dance Psychology					
Rhythm and Motion: Mastery in Individual Sports, Team Sports, and Dance					
Complete Guide to Fitness &amp; Health					
Contemporary Dance: Expression and Movement					
Strength and Conditioning: Gym Workouts fo"&amp;"r Athletes					
Sports Psychology: Mental Toughness and Focus					
Physical Fitness Testing: BMI, Beep Test, and Flexibility					
Essentials of Athletic Injury Management					
Fitness and Wellness					")</f>
        <v>1 EACH
Essentials of Dance Psychology					
Rhythm and Motion: Mastery in Individual Sports, Team Sports, and Dance					
Complete Guide to Fitness &amp; Health					
Contemporary Dance: Expression and Movement					
Strength and Conditioning: Gym Workouts for Athletes					
Sports Psychology: Mental Toughness and Focus					
Physical Fitness Testing: BMI, Beep Test, and Flexibility					
Essentials of Athletic Injury Management					
Fitness and Wellness					</v>
      </c>
      <c r="E2471" s="196" t="str">
        <f>IFERROR(__xludf.DUMMYFUNCTION("""COMPUTED_VALUE"""),"LIBRARY BOOKS - PACUCOA COMPLIANT")</f>
        <v>LIBRARY BOOKS - PACUCOA COMPLIANT</v>
      </c>
    </row>
    <row r="2472">
      <c r="A2472" s="234">
        <f>IFERROR(__xludf.DUMMYFUNCTION("""COMPUTED_VALUE"""),107305.0)</f>
        <v>107305</v>
      </c>
      <c r="B2472" s="235" t="str">
        <f>IFERROR(__xludf.DUMMYFUNCTION("""COMPUTED_VALUE"""),"MELISSA ODOÑO")</f>
        <v>MELISSA ODOÑO</v>
      </c>
      <c r="C2472" s="235" t="str">
        <f>IFERROR(__xludf.DUMMYFUNCTION("""COMPUTED_VALUE"""),"LIBRARY COLLEGE")</f>
        <v>LIBRARY COLLEGE</v>
      </c>
      <c r="D2472" s="196" t="str">
        <f>IFERROR(__xludf.DUMMYFUNCTION("""COMPUTED_VALUE"""),"1 EACH
Technology, Sport and Recreation					
Advanced Fitness Assessment and Exercise Prescription					
Psychology of Sport and Exercise					
Adaptive Sports: PE for Students with Disabilities					
Physical Education in Early Childhood: Movement and D"&amp;"evelopment form 3 to 6 Years					
Nutrition for Sport, Exercise, and Health					")</f>
        <v>1 EACH
Technology, Sport and Recreation					
Advanced Fitness Assessment and Exercise Prescription					
Psychology of Sport and Exercise					
Adaptive Sports: PE for Students with Disabilities					
Physical Education in Early Childhood: Movement and Development form 3 to 6 Years					
Nutrition for Sport, Exercise, and Health					</v>
      </c>
      <c r="E2472" s="196" t="str">
        <f>IFERROR(__xludf.DUMMYFUNCTION("""COMPUTED_VALUE"""),"LIBRARY BOOKS - PACUCOA COMPLIANT")</f>
        <v>LIBRARY BOOKS - PACUCOA COMPLIANT</v>
      </c>
    </row>
    <row r="2473">
      <c r="A2473" s="234">
        <f>IFERROR(__xludf.DUMMYFUNCTION("""COMPUTED_VALUE"""),107306.0)</f>
        <v>107306</v>
      </c>
      <c r="B2473" s="235" t="str">
        <f>IFERROR(__xludf.DUMMYFUNCTION("""COMPUTED_VALUE"""),"MELISSA ODOÑO")</f>
        <v>MELISSA ODOÑO</v>
      </c>
      <c r="C2473" s="235" t="str">
        <f>IFERROR(__xludf.DUMMYFUNCTION("""COMPUTED_VALUE"""),"LIBRARY COLLEGE")</f>
        <v>LIBRARY COLLEGE</v>
      </c>
      <c r="D2473" s="196" t="str">
        <f>IFERROR(__xludf.DUMMYFUNCTION("""COMPUTED_VALUE"""),"1 EACH
Introduction to Adapted Aquatics					
Officiating and Refereeing Rules and Mechanics					
Basketball Anatomy					
Exercise Management for Persons with Chronic Diseases and Disabilities					
Sport Science and Physical Activity					")</f>
        <v>1 EACH
Introduction to Adapted Aquatics					
Officiating and Refereeing Rules and Mechanics					
Basketball Anatomy					
Exercise Management for Persons with Chronic Diseases and Disabilities					
Sport Science and Physical Activity					</v>
      </c>
      <c r="E2473" s="196" t="str">
        <f>IFERROR(__xludf.DUMMYFUNCTION("""COMPUTED_VALUE"""),"LIBRARY BOOKS - PACUCOA COMPLIANT")</f>
        <v>LIBRARY BOOKS - PACUCOA COMPLIANT</v>
      </c>
    </row>
    <row r="2474">
      <c r="A2474" s="234">
        <f>IFERROR(__xludf.DUMMYFUNCTION("""COMPUTED_VALUE"""),107307.0)</f>
        <v>107307</v>
      </c>
      <c r="B2474" s="235" t="str">
        <f>IFERROR(__xludf.DUMMYFUNCTION("""COMPUTED_VALUE"""),"MELISSA ODOÑO")</f>
        <v>MELISSA ODOÑO</v>
      </c>
      <c r="C2474" s="235" t="str">
        <f>IFERROR(__xludf.DUMMYFUNCTION("""COMPUTED_VALUE"""),"LIBRARY COLLEGE")</f>
        <v>LIBRARY COLLEGE</v>
      </c>
      <c r="D2474" s="196" t="str">
        <f>IFERROR(__xludf.DUMMYFUNCTION("""COMPUTED_VALUE"""),"1 EACH 
AI for  creative media: generative art, audio, and video					
The Illusion of life: principles of 2D and 3D animation (aligned to NCII)					
The Creative edge: mastering visual, literary, and media arts					
Drawing and sketching: perspective a"&amp;"nd shading					
Art history: from renaissance to modern art					
Digital illustration: procreate and photoshop					
Exploring art: a global, thematic approach, 6th edition					")</f>
        <v>1 EACH 
AI for  creative media: generative art, audio, and video					
The Illusion of life: principles of 2D and 3D animation (aligned to NCII)					
The Creative edge: mastering visual, literary, and media arts					
Drawing and sketching: perspective and shading					
Art history: from renaissance to modern art					
Digital illustration: procreate and photoshop					
Exploring art: a global, thematic approach, 6th edition					</v>
      </c>
      <c r="E2474" s="196" t="str">
        <f>IFERROR(__xludf.DUMMYFUNCTION("""COMPUTED_VALUE"""),"LIBRARY BOOKS - PACUCOA COMPLIANT")</f>
        <v>LIBRARY BOOKS - PACUCOA COMPLIANT</v>
      </c>
    </row>
    <row r="2475">
      <c r="A2475" s="234">
        <f>IFERROR(__xludf.DUMMYFUNCTION("""COMPUTED_VALUE"""),107308.0)</f>
        <v>107308</v>
      </c>
      <c r="B2475" s="235" t="str">
        <f>IFERROR(__xludf.DUMMYFUNCTION("""COMPUTED_VALUE"""),"MELISSA ODOÑO")</f>
        <v>MELISSA ODOÑO</v>
      </c>
      <c r="C2475" s="235" t="str">
        <f>IFERROR(__xludf.DUMMYFUNCTION("""COMPUTED_VALUE"""),"LIBRARY COLLEGE")</f>
        <v>LIBRARY COLLEGE</v>
      </c>
      <c r="D2475" s="196" t="str">
        <f>IFERROR(__xludf.DUMMYFUNCTION("""COMPUTED_VALUE"""),"1 EACH
Illustrated dictionary of visual arts					
Illustrated dictionary of media and information literacy, 2nd edition					
Global modern art: Europe, the Americas, Asia, and Africa					
Supporting classroom management for art teachers: effective stra"&amp;"tegies for k-12					
Humor in global contemporary art					")</f>
        <v>1 EACH
Illustrated dictionary of visual arts					
Illustrated dictionary of media and information literacy, 2nd edition					
Global modern art: Europe, the Americas, Asia, and Africa					
Supporting classroom management for art teachers: effective strategies for k-12					
Humor in global contemporary art					</v>
      </c>
      <c r="E2475" s="196" t="str">
        <f>IFERROR(__xludf.DUMMYFUNCTION("""COMPUTED_VALUE"""),"LIBRARY BOOKS - PACUCOA COMPLIANT")</f>
        <v>LIBRARY BOOKS - PACUCOA COMPLIANT</v>
      </c>
    </row>
    <row r="2476">
      <c r="A2476" s="234">
        <f>IFERROR(__xludf.DUMMYFUNCTION("""COMPUTED_VALUE"""),107309.0)</f>
        <v>107309</v>
      </c>
      <c r="B2476" s="235" t="str">
        <f>IFERROR(__xludf.DUMMYFUNCTION("""COMPUTED_VALUE"""),"MELISSA ODOÑO")</f>
        <v>MELISSA ODOÑO</v>
      </c>
      <c r="C2476" s="235" t="str">
        <f>IFERROR(__xludf.DUMMYFUNCTION("""COMPUTED_VALUE"""),"LIBRARY COLLEGE")</f>
        <v>LIBRARY COLLEGE</v>
      </c>
      <c r="D2476" s="196" t="str">
        <f>IFERROR(__xludf.DUMMYFUNCTION("""COMPUTED_VALUE"""),"1 EACH
Ethics: An Introduction Through Primary Texts and Short Narratives					
Foundations of Physical Education, Exercise Science, and Sport					
Foundations of Physical Education					
Advanced Experimental Inorganic Chemistry					
Introductory Chemi"&amp;"stry: An Active Learning Approach, 8e					
Physics for Scientists &amp; Engineers					")</f>
        <v>1 EACH
Ethics: An Introduction Through Primary Texts and Short Narratives					
Foundations of Physical Education, Exercise Science, and Sport					
Foundations of Physical Education					
Advanced Experimental Inorganic Chemistry					
Introductory Chemistry: An Active Learning Approach, 8e					
Physics for Scientists &amp; Engineers					</v>
      </c>
      <c r="E2476" s="196" t="str">
        <f>IFERROR(__xludf.DUMMYFUNCTION("""COMPUTED_VALUE"""),"LIBRARY BOOKS - PACUCOA COMPLIANT")</f>
        <v>LIBRARY BOOKS - PACUCOA COMPLIANT</v>
      </c>
    </row>
    <row r="2477">
      <c r="A2477" s="234">
        <f>IFERROR(__xludf.DUMMYFUNCTION("""COMPUTED_VALUE"""),107310.0)</f>
        <v>107310</v>
      </c>
      <c r="B2477" s="235" t="str">
        <f>IFERROR(__xludf.DUMMYFUNCTION("""COMPUTED_VALUE"""),"MELISSA ODOÑO")</f>
        <v>MELISSA ODOÑO</v>
      </c>
      <c r="C2477" s="235" t="str">
        <f>IFERROR(__xludf.DUMMYFUNCTION("""COMPUTED_VALUE"""),"LIBRARY COLLEGE")</f>
        <v>LIBRARY COLLEGE</v>
      </c>
      <c r="D2477" s="196" t="str">
        <f>IFERROR(__xludf.DUMMYFUNCTION("""COMPUTED_VALUE"""),"1 EACH
Community development planning					
Child abuse and social work practice					
Climate and society: transforming the future, 2nd edition					
Social work education and training					
Disaster management and environmental sustainability					
Sex "&amp;"and gender: a biopsychological approach, 2nd edition					")</f>
        <v>1 EACH
Community development planning					
Child abuse and social work practice					
Climate and society: transforming the future, 2nd edition					
Social work education and training					
Disaster management and environmental sustainability					
Sex and gender: a biopsychological approach, 2nd edition					</v>
      </c>
      <c r="E2477" s="196" t="str">
        <f>IFERROR(__xludf.DUMMYFUNCTION("""COMPUTED_VALUE"""),"LIBRARY BOOKS - PACUCOA COMPLIANT")</f>
        <v>LIBRARY BOOKS - PACUCOA COMPLIANT</v>
      </c>
    </row>
    <row r="2478">
      <c r="A2478" s="234">
        <f>IFERROR(__xludf.DUMMYFUNCTION("""COMPUTED_VALUE"""),107311.0)</f>
        <v>107311</v>
      </c>
      <c r="B2478" s="235" t="str">
        <f>IFERROR(__xludf.DUMMYFUNCTION("""COMPUTED_VALUE"""),"MELISSA ODOÑO")</f>
        <v>MELISSA ODOÑO</v>
      </c>
      <c r="C2478" s="235" t="str">
        <f>IFERROR(__xludf.DUMMYFUNCTION("""COMPUTED_VALUE"""),"LIBRARY COLLEGE")</f>
        <v>LIBRARY COLLEGE</v>
      </c>
      <c r="D2478" s="196" t="str">
        <f>IFERROR(__xludf.DUMMYFUNCTION("""COMPUTED_VALUE"""),"1 EACH
Violence and crime: a public health perspective					
Community development and disaster risk management					
Social problems and social policy					
Disaster risk reduction (DRR): preparedness for earthquakes/typhoons					
Handbook on poverty me"&amp;"asurement and policy: from counting the poor to multidimensional approaches					
Social works and mental health: a decolonised approach to theory and practice					")</f>
        <v>1 EACH
Violence and crime: a public health perspective					
Community development and disaster risk management					
Social problems and social policy					
Disaster risk reduction (DRR): preparedness for earthquakes/typhoons					
Handbook on poverty measurement and policy: from counting the poor to multidimensional approaches					
Social works and mental health: a decolonised approach to theory and practice					</v>
      </c>
      <c r="E2478" s="196" t="str">
        <f>IFERROR(__xludf.DUMMYFUNCTION("""COMPUTED_VALUE"""),"LIBRARY BOOKS - PACUCOA COMPLIANT")</f>
        <v>LIBRARY BOOKS - PACUCOA COMPLIANT</v>
      </c>
    </row>
    <row r="2479">
      <c r="A2479" s="234">
        <f>IFERROR(__xludf.DUMMYFUNCTION("""COMPUTED_VALUE"""),107312.0)</f>
        <v>107312</v>
      </c>
      <c r="B2479" s="235" t="str">
        <f>IFERROR(__xludf.DUMMYFUNCTION("""COMPUTED_VALUE"""),"MELISSA ODOÑO")</f>
        <v>MELISSA ODOÑO</v>
      </c>
      <c r="C2479" s="235" t="str">
        <f>IFERROR(__xludf.DUMMYFUNCTION("""COMPUTED_VALUE"""),"LIBRARY COLLEGE")</f>
        <v>LIBRARY COLLEGE</v>
      </c>
      <c r="D2479" s="196" t="str">
        <f>IFERROR(__xludf.DUMMYFUNCTION("""COMPUTED_VALUE"""),"1 EACH
Community development and social policy					
Community health assessment					
Family life and societal development					
Introduction to community development					
Well-being at school: a social problem					")</f>
        <v>1 EACH
Community development and social policy					
Community health assessment					
Family life and societal development					
Introduction to community development					
Well-being at school: a social problem					</v>
      </c>
      <c r="E2479" s="196" t="str">
        <f>IFERROR(__xludf.DUMMYFUNCTION("""COMPUTED_VALUE"""),"LIBRARY BOOKS - PACUCOA COMPLIANT")</f>
        <v>LIBRARY BOOKS - PACUCOA COMPLIANT</v>
      </c>
    </row>
    <row r="2480">
      <c r="A2480" s="234">
        <f>IFERROR(__xludf.DUMMYFUNCTION("""COMPUTED_VALUE"""),107313.0)</f>
        <v>107313</v>
      </c>
      <c r="B2480" s="235" t="str">
        <f>IFERROR(__xludf.DUMMYFUNCTION("""COMPUTED_VALUE"""),"MELISSA ODOÑO")</f>
        <v>MELISSA ODOÑO</v>
      </c>
      <c r="C2480" s="235" t="str">
        <f>IFERROR(__xludf.DUMMYFUNCTION("""COMPUTED_VALUE"""),"LIBRARY COLLEGE")</f>
        <v>LIBRARY COLLEGE</v>
      </c>
      <c r="D2480" s="196" t="str">
        <f>IFERROR(__xludf.DUMMYFUNCTION("""COMPUTED_VALUE"""),"1 EACH
All hazards disaster response: course manual, 2nd edition					
Foundations of social work					
Scientific literacy and critical thinking skills, 2nd edition					
Findamentals of firefighter skills and hazardous materials response: student workbo"&amp;"ok, 5th edition					
Natural hazards and disasters, 6th edition					
Disaster management: preparedness and mitigation					")</f>
        <v>1 EACH
All hazards disaster response: course manual, 2nd edition					
Foundations of social work					
Scientific literacy and critical thinking skills, 2nd edition					
Findamentals of firefighter skills and hazardous materials response: student workbook, 5th edition					
Natural hazards and disasters, 6th edition					
Disaster management: preparedness and mitigation					</v>
      </c>
      <c r="E2480" s="196" t="str">
        <f>IFERROR(__xludf.DUMMYFUNCTION("""COMPUTED_VALUE"""),"LIBRARY BOOKS - PACUCOA COMPLIANT")</f>
        <v>LIBRARY BOOKS - PACUCOA COMPLIANT</v>
      </c>
    </row>
    <row r="2481">
      <c r="A2481" s="234">
        <f>IFERROR(__xludf.DUMMYFUNCTION("""COMPUTED_VALUE"""),107314.0)</f>
        <v>107314</v>
      </c>
      <c r="B2481" s="235" t="str">
        <f>IFERROR(__xludf.DUMMYFUNCTION("""COMPUTED_VALUE"""),"MELISSA ODOÑO")</f>
        <v>MELISSA ODOÑO</v>
      </c>
      <c r="C2481" s="235" t="str">
        <f>IFERROR(__xludf.DUMMYFUNCTION("""COMPUTED_VALUE"""),"LIBRARY COLLEGE")</f>
        <v>LIBRARY COLLEGE</v>
      </c>
      <c r="D2481" s="196" t="str">
        <f>IFERROR(__xludf.DUMMYFUNCTION("""COMPUTED_VALUE"""),"1 EACH
Parental control: a guide to raising balanced kids in the digital era					
Cybercrime: key issues and debates, 3rd edition					
Using the law in social work, 10th edition					")</f>
        <v>1 EACH
Parental control: a guide to raising balanced kids in the digital era					
Cybercrime: key issues and debates, 3rd edition					
Using the law in social work, 10th edition					</v>
      </c>
      <c r="E2481" s="196" t="str">
        <f>IFERROR(__xludf.DUMMYFUNCTION("""COMPUTED_VALUE"""),"LIBRARY BOOKS - PACUCOA COMPLIANT")</f>
        <v>LIBRARY BOOKS - PACUCOA COMPLIANT</v>
      </c>
    </row>
    <row r="2482">
      <c r="A2482" s="234">
        <f>IFERROR(__xludf.DUMMYFUNCTION("""COMPUTED_VALUE"""),107315.0)</f>
        <v>107315</v>
      </c>
      <c r="B2482" s="235" t="str">
        <f>IFERROR(__xludf.DUMMYFUNCTION("""COMPUTED_VALUE"""),"MELISSA ODOÑO")</f>
        <v>MELISSA ODOÑO</v>
      </c>
      <c r="C2482" s="235" t="str">
        <f>IFERROR(__xludf.DUMMYFUNCTION("""COMPUTED_VALUE"""),"LIBRARY COLLEGE")</f>
        <v>LIBRARY COLLEGE</v>
      </c>
      <c r="D2482" s="196" t="str">
        <f>IFERROR(__xludf.DUMMYFUNCTION("""COMPUTED_VALUE"""),"1 EACH
Race, gender, and disability in puppetry and material performance					
Cybercrime and the autism spectrum: how the online world creates victims and offenders					
Sustainability, 3rd edition					
Youth deviance, crime, and justice: the neuro-psy"&amp;"cho-criminological perspective					
Human rights around the world: a reference handbook					
Drugs, society, and human behavior					")</f>
        <v>1 EACH
Race, gender, and disability in puppetry and material performance					
Cybercrime and the autism spectrum: how the online world creates victims and offenders					
Sustainability, 3rd edition					
Youth deviance, crime, and justice: the neuro-psycho-criminological perspective					
Human rights around the world: a reference handbook					
Drugs, society, and human behavior					</v>
      </c>
      <c r="E2482" s="196" t="str">
        <f>IFERROR(__xludf.DUMMYFUNCTION("""COMPUTED_VALUE"""),"LIBRARY BOOKS - PACUCOA COMPLIANT")</f>
        <v>LIBRARY BOOKS - PACUCOA COMPLIANT</v>
      </c>
    </row>
    <row r="2483">
      <c r="A2483" s="234">
        <f>IFERROR(__xludf.DUMMYFUNCTION("""COMPUTED_VALUE"""),107316.0)</f>
        <v>107316</v>
      </c>
      <c r="B2483" s="235" t="str">
        <f>IFERROR(__xludf.DUMMYFUNCTION("""COMPUTED_VALUE"""),"MELISSA ODOÑO")</f>
        <v>MELISSA ODOÑO</v>
      </c>
      <c r="C2483" s="235" t="str">
        <f>IFERROR(__xludf.DUMMYFUNCTION("""COMPUTED_VALUE"""),"LIBRARY COLLEGE")</f>
        <v>LIBRARY COLLEGE</v>
      </c>
      <c r="D2483" s="196" t="str">
        <f>IFERROR(__xludf.DUMMYFUNCTION("""COMPUTED_VALUE"""),"1 EACH
Global health and human rights: principles and practices					
Juvenile delinquency					
The Global climate crisis: what to do about it, 2nd edition					
Gendered lives: communication, gender, and culture, 14th edition					")</f>
        <v>1 EACH
Global health and human rights: principles and practices					
Juvenile delinquency					
The Global climate crisis: what to do about it, 2nd edition					
Gendered lives: communication, gender, and culture, 14th edition					</v>
      </c>
      <c r="E2483" s="196" t="str">
        <f>IFERROR(__xludf.DUMMYFUNCTION("""COMPUTED_VALUE"""),"LIBRARY BOOKS - PACUCOA COMPLIANT")</f>
        <v>LIBRARY BOOKS - PACUCOA COMPLIANT</v>
      </c>
    </row>
    <row r="2484">
      <c r="A2484" s="234">
        <f>IFERROR(__xludf.DUMMYFUNCTION("""COMPUTED_VALUE"""),107317.0)</f>
        <v>107317</v>
      </c>
      <c r="B2484" s="235" t="str">
        <f>IFERROR(__xludf.DUMMYFUNCTION("""COMPUTED_VALUE"""),"MELISSA ODOÑO")</f>
        <v>MELISSA ODOÑO</v>
      </c>
      <c r="C2484" s="235" t="str">
        <f>IFERROR(__xludf.DUMMYFUNCTION("""COMPUTED_VALUE"""),"LIBRARY COLLEGE")</f>
        <v>LIBRARY COLLEGE</v>
      </c>
      <c r="D2484" s="196" t="str">
        <f>IFERROR(__xludf.DUMMYFUNCTION("""COMPUTED_VALUE"""),"1 EACH
Global health and human rights: principles and practices					
Juvenile delinquency					
The Global climate crisis: what to do about it, 2nd edition					
Gendered lives: communication, gender, and culture, 14th edition					      ")</f>
        <v>1 EACH
Global health and human rights: principles and practices					
Juvenile delinquency					
The Global climate crisis: what to do about it, 2nd edition					
Gendered lives: communication, gender, and culture, 14th edition					      </v>
      </c>
      <c r="E2484" s="196" t="str">
        <f>IFERROR(__xludf.DUMMYFUNCTION("""COMPUTED_VALUE"""),"LIBRARY BOOKS - PACUCOA COMPLIANT")</f>
        <v>LIBRARY BOOKS - PACUCOA COMPLIANT</v>
      </c>
    </row>
    <row r="2485">
      <c r="A2485" s="234">
        <f>IFERROR(__xludf.DUMMYFUNCTION("""COMPUTED_VALUE"""),107318.0)</f>
        <v>107318</v>
      </c>
      <c r="B2485" s="235" t="str">
        <f>IFERROR(__xludf.DUMMYFUNCTION("""COMPUTED_VALUE"""),"MELISSA ODOÑO")</f>
        <v>MELISSA ODOÑO</v>
      </c>
      <c r="C2485" s="235" t="str">
        <f>IFERROR(__xludf.DUMMYFUNCTION("""COMPUTED_VALUE"""),"LIBRARY COLLEGE")</f>
        <v>LIBRARY COLLEGE</v>
      </c>
      <c r="D2485" s="196" t="str">
        <f>IFERROR(__xludf.DUMMYFUNCTION("""COMPUTED_VALUE"""),"1 EACH
""The LGBTQ+ Psychotherapy Treatment Planner
""					
""Psychology Statistics For Dummies, 2nd Edition
""					
""Clinical Applications of the DSM-5 Alternative Model for Personality Disorders
""					
Theories of Personality 					
Psychologic"&amp;"al Testing and Measurement					
Crisis Intervention and Trauma Recovery 					")</f>
        <v>1 EACH
"The LGBTQ+ Psychotherapy Treatment Planner
"					
"Psychology Statistics For Dummies, 2nd Edition
"					
"Clinical Applications of the DSM-5 Alternative Model for Personality Disorders
"					
Theories of Personality 					
Psychological Testing and Measurement					
Crisis Intervention and Trauma Recovery 					</v>
      </c>
      <c r="E2485" s="196" t="str">
        <f>IFERROR(__xludf.DUMMYFUNCTION("""COMPUTED_VALUE"""),"LIBRARY BOOKS - PACUCOA COMPLIANT")</f>
        <v>LIBRARY BOOKS - PACUCOA COMPLIANT</v>
      </c>
    </row>
    <row r="2486">
      <c r="A2486" s="234">
        <f>IFERROR(__xludf.DUMMYFUNCTION("""COMPUTED_VALUE"""),107319.0)</f>
        <v>107319</v>
      </c>
      <c r="B2486" s="235" t="str">
        <f>IFERROR(__xludf.DUMMYFUNCTION("""COMPUTED_VALUE"""),"MELISSA ODOÑO")</f>
        <v>MELISSA ODOÑO</v>
      </c>
      <c r="C2486" s="235" t="str">
        <f>IFERROR(__xludf.DUMMYFUNCTION("""COMPUTED_VALUE"""),"LIBRARY COLLEGE")</f>
        <v>LIBRARY COLLEGE</v>
      </c>
      <c r="D2486" s="196" t="str">
        <f>IFERROR(__xludf.DUMMYFUNCTION("""COMPUTED_VALUE"""),"1 EACH
Psychological Testing and Assessment					
Field Methods in Psychology					
Psychological Research Writing					
Industrial and Organizational Psychology: Research and Practice, 9th Edition
Theories of Personality					
An Introduction to P"&amp;"sychodynamic Counselling					")</f>
        <v>1 EACH
Psychological Testing and Assessment					
Field Methods in Psychology					
Psychological Research Writing					
Industrial and Organizational Psychology: Research and Practice, 9th Edition
Theories of Personality					
An Introduction to Psychodynamic Counselling					</v>
      </c>
      <c r="E2486" s="196" t="str">
        <f>IFERROR(__xludf.DUMMYFUNCTION("""COMPUTED_VALUE"""),"LIBRARY BOOKS - PACUCOA COMPLIANT")</f>
        <v>LIBRARY BOOKS - PACUCOA COMPLIANT</v>
      </c>
    </row>
    <row r="2487">
      <c r="A2487" s="234">
        <f>IFERROR(__xludf.DUMMYFUNCTION("""COMPUTED_VALUE"""),107320.0)</f>
        <v>107320</v>
      </c>
      <c r="B2487" s="235" t="str">
        <f>IFERROR(__xludf.DUMMYFUNCTION("""COMPUTED_VALUE"""),"ARNEL MONTABLAN")</f>
        <v>ARNEL MONTABLAN</v>
      </c>
      <c r="C2487" s="235" t="str">
        <f>IFERROR(__xludf.DUMMYFUNCTION("""COMPUTED_VALUE"""),"FOUNDER SCHOLARS")</f>
        <v>FOUNDER SCHOLARS</v>
      </c>
      <c r="D2487" s="196" t="str">
        <f>IFERROR(__xludf.DUMMYFUNCTION("""COMPUTED_VALUE"""),"150, ORESOL (4,15G)
251, BIOFLU
4, EFFICASCENT OIL (100ML)
50, ADUIL
1, AGUA OXINADA
4, BACTIDOL (500ML)
3, BAND AID
1, BETADINE (60ML)
135, BIOGESIC 
126, CETIRIZINE
2, COTTON BALLS (300 BALLS)
58, DIATABS
16, KREMIL-S 
98, MEFENAMIC
86, NEOZEP
61, SOLM"&amp;"UX
4, VICKY RUB OINTMENT BIG (100G)
3, FACE MASK BLUE")</f>
        <v>150, ORESOL (4,15G)
251, BIOFLU
4, EFFICASCENT OIL (100ML)
50, ADUIL
1, AGUA OXINADA
4, BACTIDOL (500ML)
3, BAND AID
1, BETADINE (60ML)
135, BIOGESIC 
126, CETIRIZINE
2, COTTON BALLS (300 BALLS)
58, DIATABS
16, KREMIL-S 
98, MEFENAMIC
86, NEOZEP
61, SOLMUX
4, VICKY RUB OINTMENT BIG (100G)
3, FACE MASK BLUE</v>
      </c>
      <c r="E2487" s="196" t="str">
        <f>IFERROR(__xludf.DUMMYFUNCTION("""COMPUTED_VALUE"""),"REPLENISHMENT OF MEDICINES FOR LAURELS, HEARTS, AND STARS RESIDENCES")</f>
        <v>REPLENISHMENT OF MEDICINES FOR LAURELS, HEARTS, AND STARS RESIDENCES</v>
      </c>
    </row>
    <row r="2488">
      <c r="A2488" s="234">
        <f>IFERROR(__xludf.DUMMYFUNCTION("""COMPUTED_VALUE"""),107321.0)</f>
        <v>107321</v>
      </c>
      <c r="B2488" s="235" t="str">
        <f>IFERROR(__xludf.DUMMYFUNCTION("""COMPUTED_VALUE"""),"CHARLES LEBECO DONOR")</f>
        <v>CHARLES LEBECO DONOR</v>
      </c>
      <c r="C2488" s="235" t="str">
        <f>IFERROR(__xludf.DUMMYFUNCTION("""COMPUTED_VALUE"""),"AMD")</f>
        <v>AMD</v>
      </c>
      <c r="D2488" s="196" t="str">
        <f>IFERROR(__xludf.DUMMYFUNCTION("""COMPUTED_VALUE"""),"Folder, Fortune White Long        FLDR-FOR-10-0001        500 pcs.
Folder, Pressboard Green Long Plain        FLDR-GEN-10-0005        500 pcs.
Paper, Manila - 37 X 45        PAPR-GEN-10-0024        300 pcs.
Highlighter, Stabilo Blue        HIGL-STB-10-000"&amp;"1        10 pcs.
Highlighter, Stabilo Orange        HIGL-STB-10-0003        10 pcs.
Highlighter, Stabilo Pink        HIGL-STB-10-0004        10 pcs.
Highlighter, Stabilo Yellow        HIGL-STB-10-0005        10 pcs.")</f>
        <v>Folder, Fortune White Long        FLDR-FOR-10-0001        500 pcs.
Folder, Pressboard Green Long Plain        FLDR-GEN-10-0005        500 pcs.
Paper, Manila - 37 X 45        PAPR-GEN-10-0024        300 pcs.
Highlighter, Stabilo Blue        HIGL-STB-10-0001        10 pcs.
Highlighter, Stabilo Orange        HIGL-STB-10-0003        10 pcs.
Highlighter, Stabilo Pink        HIGL-STB-10-0004        10 pcs.
Highlighter, Stabilo Yellow        HIGL-STB-10-0005        10 pcs.</v>
      </c>
      <c r="E2488" s="196" t="str">
        <f>IFERROR(__xludf.DUMMYFUNCTION("""COMPUTED_VALUE"""),"OSSUP REPLENISHMENT")</f>
        <v>OSSUP REPLENISHMENT</v>
      </c>
    </row>
    <row r="2489">
      <c r="A2489" s="234">
        <f>IFERROR(__xludf.DUMMYFUNCTION("""COMPUTED_VALUE"""),107322.0)</f>
        <v>107322</v>
      </c>
      <c r="B2489" s="235" t="str">
        <f>IFERROR(__xludf.DUMMYFUNCTION("""COMPUTED_VALUE"""),"LYKA PERALTA")</f>
        <v>LYKA PERALTA</v>
      </c>
      <c r="C2489" s="235" t="str">
        <f>IFERROR(__xludf.DUMMYFUNCTION("""COMPUTED_VALUE"""),"AMD")</f>
        <v>AMD</v>
      </c>
      <c r="D2489" s="196" t="str">
        <f>IFERROR(__xludf.DUMMYFUNCTION("""COMPUTED_VALUE"""),"300 PCS ECOBAG WHITE SMALL")</f>
        <v>300 PCS ECOBAG WHITE SMALL</v>
      </c>
      <c r="E2489" s="196" t="str">
        <f>IFERROR(__xludf.DUMMYFUNCTION("""COMPUTED_VALUE"""),"TOKEN REPLENISHMENT")</f>
        <v>TOKEN REPLENISHMENT</v>
      </c>
    </row>
    <row r="2490">
      <c r="A2490" s="234">
        <f>IFERROR(__xludf.DUMMYFUNCTION("""COMPUTED_VALUE"""),107323.0)</f>
        <v>107323</v>
      </c>
      <c r="B2490" s="235" t="str">
        <f>IFERROR(__xludf.DUMMYFUNCTION("""COMPUTED_VALUE"""),"JANNAH ARGOTE ")</f>
        <v>JANNAH ARGOTE </v>
      </c>
      <c r="C2490" s="235" t="str">
        <f>IFERROR(__xludf.DUMMYFUNCTION("""COMPUTED_VALUE"""),"PR &amp; MARKETING")</f>
        <v>PR &amp; MARKETING</v>
      </c>
      <c r="D2490" s="196" t="str">
        <f>IFERROR(__xludf.DUMMYFUNCTION("""COMPUTED_VALUE""")," 4 PCS ISO EOMS X STAND SIZE: W= 2.5 FT X H=6FT
2 PCS, PRB X STAND SIZE: W=2.5FT X H=6FT
THICKNESS: 13OZ
")</f>
        <v> 4 PCS ISO EOMS X STAND SIZE: W= 2.5 FT X H=6FT
2 PCS, PRB X STAND SIZE: W=2.5FT X H=6FT
THICKNESS: 13OZ
</v>
      </c>
      <c r="E2490" s="196" t="str">
        <f>IFERROR(__xludf.DUMMYFUNCTION("""COMPUTED_VALUE"""),"FOR VISITORS OF ISO AND PRB")</f>
        <v>FOR VISITORS OF ISO AND PRB</v>
      </c>
    </row>
    <row r="2491">
      <c r="A2491" s="234">
        <f>IFERROR(__xludf.DUMMYFUNCTION("""COMPUTED_VALUE"""),107324.0)</f>
        <v>107324</v>
      </c>
      <c r="B2491" s="235" t="str">
        <f>IFERROR(__xludf.DUMMYFUNCTION("""COMPUTED_VALUE"""),"OWIE PAR")</f>
        <v>OWIE PAR</v>
      </c>
      <c r="C2491" s="235" t="str">
        <f>IFERROR(__xludf.DUMMYFUNCTION("""COMPUTED_VALUE"""),"ENGINEERING")</f>
        <v>ENGINEERING</v>
      </c>
      <c r="D2491" s="196" t="str">
        <f>IFERROR(__xludf.DUMMYFUNCTION("""COMPUTED_VALUE"""),"1 UNIIT INDUSTRIAL FAN")</f>
        <v>1 UNIIT INDUSTRIAL FAN</v>
      </c>
      <c r="E2491" s="196" t="str">
        <f>IFERROR(__xludf.DUMMYFUNCTION("""COMPUTED_VALUE"""),"FOR MONARCH REPLACEMENT")</f>
        <v>FOR MONARCH REPLACEMENT</v>
      </c>
    </row>
    <row r="2492">
      <c r="A2492" s="234">
        <f>IFERROR(__xludf.DUMMYFUNCTION("""COMPUTED_VALUE"""),107325.0)</f>
        <v>107325</v>
      </c>
      <c r="B2492" s="235" t="str">
        <f>IFERROR(__xludf.DUMMYFUNCTION("""COMPUTED_VALUE"""),"OWIE PAR")</f>
        <v>OWIE PAR</v>
      </c>
      <c r="C2492" s="235" t="str">
        <f>IFERROR(__xludf.DUMMYFUNCTION("""COMPUTED_VALUE"""),"ENGINEERING")</f>
        <v>ENGINEERING</v>
      </c>
      <c r="D2492" s="196" t="str">
        <f>IFERROR(__xludf.DUMMYFUNCTION("""COMPUTED_VALUE"""),"16 PCS, CASTER WHEEL #2
8 PCS, CASTER WHEEL #3 W/LOCK")</f>
        <v>16 PCS, CASTER WHEEL #2
8 PCS, CASTER WHEEL #3 W/LOCK</v>
      </c>
      <c r="E2492" s="196" t="str">
        <f>IFERROR(__xludf.DUMMYFUNCTION("""COMPUTED_VALUE"""),"FOR MONARCH GYM BALL RACK AND MOVEABLE BASKET")</f>
        <v>FOR MONARCH GYM BALL RACK AND MOVEABLE BASKET</v>
      </c>
    </row>
    <row r="2493">
      <c r="A2493" s="234">
        <f>IFERROR(__xludf.DUMMYFUNCTION("""COMPUTED_VALUE"""),107326.0)</f>
        <v>107326</v>
      </c>
      <c r="B2493" s="235" t="str">
        <f>IFERROR(__xludf.DUMMYFUNCTION("""COMPUTED_VALUE"""),"MARVIN MARASIGAN")</f>
        <v>MARVIN MARASIGAN</v>
      </c>
      <c r="C2493" s="235" t="str">
        <f>IFERROR(__xludf.DUMMYFUNCTION("""COMPUTED_VALUE"""),"PR &amp; MARKETING")</f>
        <v>PR &amp; MARKETING</v>
      </c>
      <c r="D2493" s="196" t="str">
        <f>IFERROR(__xludf.DUMMYFUNCTION("""COMPUTED_VALUE"""),"2PCS, COLLEGE PROGRAMS TARP 4 X 8 FT W/ SEAMING
1PC, GRADUATION TARP W/METAL RAILING (EYELETS ON TOP)")</f>
        <v>2PCS, COLLEGE PROGRAMS TARP 4 X 8 FT W/ SEAMING
1PC, GRADUATION TARP W/METAL RAILING (EYELETS ON TOP)</v>
      </c>
      <c r="E2493" s="196" t="str">
        <f>IFERROR(__xludf.DUMMYFUNCTION("""COMPUTED_VALUE"""),"CLASS OPENING")</f>
        <v>CLASS OPENING</v>
      </c>
    </row>
    <row r="2494">
      <c r="A2494" s="234">
        <f>IFERROR(__xludf.DUMMYFUNCTION("""COMPUTED_VALUE"""),107327.0)</f>
        <v>107327</v>
      </c>
      <c r="B2494" s="235" t="str">
        <f>IFERROR(__xludf.DUMMYFUNCTION("""COMPUTED_VALUE"""),"OWIE PAR")</f>
        <v>OWIE PAR</v>
      </c>
      <c r="C2494" s="235" t="str">
        <f>IFERROR(__xludf.DUMMYFUNCTION("""COMPUTED_VALUE"""),"ENGINEERING")</f>
        <v>ENGINEERING</v>
      </c>
      <c r="D2494" s="196" t="str">
        <f>IFERROR(__xludf.DUMMYFUNCTION("""COMPUTED_VALUE"""),"1 UNIT INDUSTRIAL EXHAUST FAN ")</f>
        <v>1 UNIT INDUSTRIAL EXHAUST FAN </v>
      </c>
      <c r="E2494" s="196" t="str">
        <f>IFERROR(__xludf.DUMMYFUNCTION("""COMPUTED_VALUE"""),"FOR MONARCHS GYM REPLACEMENT")</f>
        <v>FOR MONARCHS GYM REPLACEMENT</v>
      </c>
    </row>
    <row r="2495">
      <c r="A2495" s="234">
        <f>IFERROR(__xludf.DUMMYFUNCTION("""COMPUTED_VALUE"""),107328.0)</f>
        <v>107328</v>
      </c>
      <c r="B2495" s="235" t="str">
        <f>IFERROR(__xludf.DUMMYFUNCTION("""COMPUTED_VALUE"""),"JESUIT CHRISTIAN GALICIA")</f>
        <v>JESUIT CHRISTIAN GALICIA</v>
      </c>
      <c r="C2495" s="235" t="str">
        <f>IFERROR(__xludf.DUMMYFUNCTION("""COMPUTED_VALUE"""),"AMD")</f>
        <v>AMD</v>
      </c>
      <c r="D2495" s="196" t="str">
        <f>IFERROR(__xludf.DUMMYFUNCTION("""COMPUTED_VALUE"""),"50 PCS, ECO POWER AVR
30 PCS, HDMI TO VGA CONVERTER
15 PCS, EZ LABELLER (12 MM)
15 PCS, HDMI CABLE 5M (UGREEN)
5 PCS, HDMI CABLE 10M (UGREEN)
30 PCS, CABLE TIE 100MM
15 PCS, CABLE TIE 200MM
50 PCS, UGREEN MOUSE PAD (LP 126 MODEL)
")</f>
        <v>50 PCS, ECO POWER AVR
30 PCS, HDMI TO VGA CONVERTER
15 PCS, EZ LABELLER (12 MM)
15 PCS, HDMI CABLE 5M (UGREEN)
5 PCS, HDMI CABLE 10M (UGREEN)
30 PCS, CABLE TIE 100MM
15 PCS, CABLE TIE 200MM
50 PCS, UGREEN MOUSE PAD (LP 126 MODEL)
</v>
      </c>
      <c r="E2495" s="196" t="str">
        <f>IFERROR(__xludf.DUMMYFUNCTION("""COMPUTED_VALUE"""),"MIS WAREHOUSE STOCK")</f>
        <v>MIS WAREHOUSE STOCK</v>
      </c>
    </row>
    <row r="2496">
      <c r="A2496" s="234">
        <f>IFERROR(__xludf.DUMMYFUNCTION("""COMPUTED_VALUE"""),107329.0)</f>
        <v>107329</v>
      </c>
      <c r="B2496" s="235" t="str">
        <f>IFERROR(__xludf.DUMMYFUNCTION("""COMPUTED_VALUE"""),"OWIE PAR")</f>
        <v>OWIE PAR</v>
      </c>
      <c r="C2496" s="235" t="str">
        <f>IFERROR(__xludf.DUMMYFUNCTION("""COMPUTED_VALUE"""),"ENGINEERING")</f>
        <v>ENGINEERING</v>
      </c>
      <c r="D2496" s="196" t="str">
        <f>IFERROR(__xludf.DUMMYFUNCTION("""COMPUTED_VALUE"""),"2 PAIRS, HOLIDAY EPOXY")</f>
        <v>2 PAIRS, HOLIDAY EPOXY</v>
      </c>
      <c r="E2496" s="196" t="str">
        <f>IFERROR(__xludf.DUMMYFUNCTION("""COMPUTED_VALUE"""),"FOR PLUMBING USE")</f>
        <v>FOR PLUMBING USE</v>
      </c>
    </row>
    <row r="2497">
      <c r="A2497" s="234">
        <f>IFERROR(__xludf.DUMMYFUNCTION("""COMPUTED_VALUE"""),107330.0)</f>
        <v>107330</v>
      </c>
      <c r="B2497" s="235" t="str">
        <f>IFERROR(__xludf.DUMMYFUNCTION("""COMPUTED_VALUE"""),"MARVIN MARASIGAN")</f>
        <v>MARVIN MARASIGAN</v>
      </c>
      <c r="C2497" s="235" t="str">
        <f>IFERROR(__xludf.DUMMYFUNCTION("""COMPUTED_VALUE"""),"PR &amp; MARKETING")</f>
        <v>PR &amp; MARKETING</v>
      </c>
      <c r="D2497" s="196" t="str">
        <f>IFERROR(__xludf.DUMMYFUNCTION("""COMPUTED_VALUE"""),"1 PC, SMIS STAR CAMPUIS TARP SIZE W = 447CM X H = 70CM
14 OC, W/ SEAMING")</f>
        <v>1 PC, SMIS STAR CAMPUIS TARP SIZE W = 447CM X H = 70CM
14 OC, W/ SEAMING</v>
      </c>
      <c r="E2497" s="196" t="str">
        <f>IFERROR(__xludf.DUMMYFUNCTION("""COMPUTED_VALUE"""),"REVISION/ UPDATING OF CAMPUS LOGO")</f>
        <v>REVISION/ UPDATING OF CAMPUS LOGO</v>
      </c>
    </row>
    <row r="2498">
      <c r="A2498" s="234">
        <f>IFERROR(__xludf.DUMMYFUNCTION("""COMPUTED_VALUE"""),107331.0)</f>
        <v>107331</v>
      </c>
      <c r="B2498" s="235" t="str">
        <f>IFERROR(__xludf.DUMMYFUNCTION("""COMPUTED_VALUE"""),"JESUIT CHRISTIAN GALICIA")</f>
        <v>JESUIT CHRISTIAN GALICIA</v>
      </c>
      <c r="C2498" s="235" t="str">
        <f>IFERROR(__xludf.DUMMYFUNCTION("""COMPUTED_VALUE"""),"AMD")</f>
        <v>AMD</v>
      </c>
      <c r="D2498" s="196" t="str">
        <f>IFERROR(__xludf.DUMMYFUNCTION("""COMPUTED_VALUE"""),"50 PCS, UNIVERSAL ADAPTOR (OMNI)
20 PCS, NO MORE NAILS
5 ROLLS, FLAT CORD #16
5 PCS, HOLIDAY EPOXY (4L SET 1GAL) 
30 PCS, LED BULB 3W MINI DAYLIGHT - PHILIPS 
15 PCS, PADLOCK 50MM (YALE)
10 PCS, PADLOCK 25MM (YALE)
5 PCS, BOSTIK VULCASEAL (1L)")</f>
        <v>50 PCS, UNIVERSAL ADAPTOR (OMNI)
20 PCS, NO MORE NAILS
5 ROLLS, FLAT CORD #16
5 PCS, HOLIDAY EPOXY (4L SET 1GAL) 
30 PCS, LED BULB 3W MINI DAYLIGHT - PHILIPS 
15 PCS, PADLOCK 50MM (YALE)
10 PCS, PADLOCK 25MM (YALE)
5 PCS, BOSTIK VULCASEAL (1L)</v>
      </c>
      <c r="E2498" s="196" t="str">
        <f>IFERROR(__xludf.DUMMYFUNCTION("""COMPUTED_VALUE"""),"ENGR WAREHOUSE STOCK")</f>
        <v>ENGR WAREHOUSE STOCK</v>
      </c>
    </row>
    <row r="2499">
      <c r="A2499" s="234">
        <f>IFERROR(__xludf.DUMMYFUNCTION("""COMPUTED_VALUE"""),107332.0)</f>
        <v>107332</v>
      </c>
      <c r="B2499" s="235" t="str">
        <f>IFERROR(__xludf.DUMMYFUNCTION("""COMPUTED_VALUE"""),"OWIE PAR")</f>
        <v>OWIE PAR</v>
      </c>
      <c r="C2499" s="235" t="str">
        <f>IFERROR(__xludf.DUMMYFUNCTION("""COMPUTED_VALUE"""),"ENGINEERING")</f>
        <v>ENGINEERING</v>
      </c>
      <c r="D2499" s="196" t="str">
        <f>IFERROR(__xludf.DUMMYFUNCTION("""COMPUTED_VALUE"""),"4  PCS, TRACK LIGHT (AS PER PICTURE ATTACHED)")</f>
        <v>4  PCS, TRACK LIGHT (AS PER PICTURE ATTACHED)</v>
      </c>
      <c r="E2499" s="196" t="str">
        <f>IFERROR(__xludf.DUMMYFUNCTION("""COMPUTED_VALUE"""),"FOR STAFFSHOP")</f>
        <v>FOR STAFFSHOP</v>
      </c>
    </row>
    <row r="2500">
      <c r="A2500" s="234">
        <f>IFERROR(__xludf.DUMMYFUNCTION("""COMPUTED_VALUE"""),107333.0)</f>
        <v>107333</v>
      </c>
      <c r="B2500" s="235" t="str">
        <f>IFERROR(__xludf.DUMMYFUNCTION("""COMPUTED_VALUE"""),"MHEMS MONFORT/ MS. NESSIE")</f>
        <v>MHEMS MONFORT/ MS. NESSIE</v>
      </c>
      <c r="C2500" s="235" t="str">
        <f>IFERROR(__xludf.DUMMYFUNCTION("""COMPUTED_VALUE"""),"DP'S OFFICE")</f>
        <v>DP'S OFFICE</v>
      </c>
      <c r="D2500" s="196" t="str">
        <f>IFERROR(__xludf.DUMMYFUNCTION("""COMPUTED_VALUE"""),"2 BOX, LAMINATING FILM A4")</f>
        <v>2 BOX, LAMINATING FILM A4</v>
      </c>
      <c r="E2500" s="196" t="str">
        <f>IFERROR(__xludf.DUMMYFUNCTION("""COMPUTED_VALUE"""),"FOR LAMINATING OF TRANSIT PASSES")</f>
        <v>FOR LAMINATING OF TRANSIT PASSES</v>
      </c>
    </row>
    <row r="2501">
      <c r="A2501" s="234">
        <f>IFERROR(__xludf.DUMMYFUNCTION("""COMPUTED_VALUE"""),107334.0)</f>
        <v>107334</v>
      </c>
      <c r="B2501" s="235" t="str">
        <f>IFERROR(__xludf.DUMMYFUNCTION("""COMPUTED_VALUE"""),"OWIE PAR")</f>
        <v>OWIE PAR</v>
      </c>
      <c r="C2501" s="235" t="str">
        <f>IFERROR(__xludf.DUMMYFUNCTION("""COMPUTED_VALUE"""),"ADMIN")</f>
        <v>ADMIN</v>
      </c>
      <c r="D2501" s="196" t="str">
        <f>IFERROR(__xludf.DUMMYFUNCTION("""COMPUTED_VALUE"""),"5 GALON, ROOF SEALER 4.5KG")</f>
        <v>5 GALON, ROOF SEALER 4.5KG</v>
      </c>
      <c r="E2501" s="196" t="str">
        <f>IFERROR(__xludf.DUMMYFUNCTION("""COMPUTED_VALUE"""),"FOR ROOF LEAKS")</f>
        <v>FOR ROOF LEAKS</v>
      </c>
    </row>
    <row r="2502">
      <c r="A2502" s="234">
        <f>IFERROR(__xludf.DUMMYFUNCTION("""COMPUTED_VALUE"""),107335.0)</f>
        <v>107335</v>
      </c>
      <c r="B2502" s="235" t="str">
        <f>IFERROR(__xludf.DUMMYFUNCTION("""COMPUTED_VALUE"""),"JANNAH L. ARGOTE")</f>
        <v>JANNAH L. ARGOTE</v>
      </c>
      <c r="C2502" s="235" t="str">
        <f>IFERROR(__xludf.DUMMYFUNCTION("""COMPUTED_VALUE"""),"PR &amp; MARKETING")</f>
        <v>PR &amp; MARKETING</v>
      </c>
      <c r="D2502" s="196" t="str">
        <f>IFERROR(__xludf.DUMMYFUNCTION("""COMPUTED_VALUE"""),"1, ISO EOMS X STAND
SIZE: W=2.5FT X H=6FT
THICKNESS: 13OZ
1, ISO EOMS BIG 
SIZE: 13X13 FT
THICKNESS: 18 OZ
ADD SEAMING AND EYELET ALL OVER CORNERS FOR XTAND")</f>
        <v>1, ISO EOMS X STAND
SIZE: W=2.5FT X H=6FT
THICKNESS: 13OZ
1, ISO EOMS BIG 
SIZE: 13X13 FT
THICKNESS: 18 OZ
ADD SEAMING AND EYELET ALL OVER CORNERS FOR XTAND</v>
      </c>
      <c r="E2502" s="196" t="str">
        <f>IFERROR(__xludf.DUMMYFUNCTION("""COMPUTED_VALUE"""),"FOR ISO EOMS VISIT")</f>
        <v>FOR ISO EOMS VISIT</v>
      </c>
    </row>
    <row r="2503">
      <c r="A2503" s="234">
        <f>IFERROR(__xludf.DUMMYFUNCTION("""COMPUTED_VALUE"""),107336.0)</f>
        <v>107336</v>
      </c>
      <c r="B2503" s="235" t="str">
        <f>IFERROR(__xludf.DUMMYFUNCTION("""COMPUTED_VALUE"""),"MARK M. PABUSTAN")</f>
        <v>MARK M. PABUSTAN</v>
      </c>
      <c r="C2503" s="235" t="str">
        <f>IFERROR(__xludf.DUMMYFUNCTION("""COMPUTED_VALUE"""),"MIS/ICT")</f>
        <v>MIS/ICT</v>
      </c>
      <c r="D2503" s="196" t="str">
        <f>IFERROR(__xludf.DUMMYFUNCTION("""COMPUTED_VALUE"""),"60 SET, ARDUINO KITS
100 PCS, LED LIGHTS
200 PCS, JUMPER WIRES
40 PCS, SERVO MOTOR
5 SET, RESISITORY
20 PCS, OBSTACLE AVOIDANCE SENSOR
1 KIT, ROTARY TOOL
5 PCS, FLEX SENSOR 4.5
3 PCS, SHORT FLEX SENSOR")</f>
        <v>60 SET, ARDUINO KITS
100 PCS, LED LIGHTS
200 PCS, JUMPER WIRES
40 PCS, SERVO MOTOR
5 SET, RESISITORY
20 PCS, OBSTACLE AVOIDANCE SENSOR
1 KIT, ROTARY TOOL
5 PCS, FLEX SENSOR 4.5
3 PCS, SHORT FLEX SENSOR</v>
      </c>
      <c r="E2503" s="196" t="str">
        <f>IFERROR(__xludf.DUMMYFUNCTION("""COMPUTED_VALUE"""),"ADDITIONAL ARDUINO KITS")</f>
        <v>ADDITIONAL ARDUINO KITS</v>
      </c>
    </row>
    <row r="2504">
      <c r="A2504" s="234">
        <f>IFERROR(__xludf.DUMMYFUNCTION("""COMPUTED_VALUE"""),107337.0)</f>
        <v>107337</v>
      </c>
      <c r="B2504" s="235" t="str">
        <f>IFERROR(__xludf.DUMMYFUNCTION("""COMPUTED_VALUE"""),"LUCILLE BEYER")</f>
        <v>LUCILLE BEYER</v>
      </c>
      <c r="C2504" s="235" t="str">
        <f>IFERROR(__xludf.DUMMYFUNCTION("""COMPUTED_VALUE"""),"MEDICAL")</f>
        <v>MEDICAL</v>
      </c>
      <c r="D2504" s="196" t="str">
        <f>IFERROR(__xludf.DUMMYFUNCTION("""COMPUTED_VALUE"""),"3 PCS, RADIAN HEART GUARDIAN 501 AED (HR-501)")</f>
        <v>3 PCS, RADIAN HEART GUARDIAN 501 AED (HR-501)</v>
      </c>
      <c r="E2504" s="196" t="str">
        <f>IFERROR(__xludf.DUMMYFUNCTION("""COMPUTED_VALUE"""),"WASC RECCOMENDATION: IMMEDIATE ACQUISITION FOR 3 CLINICS")</f>
        <v>WASC RECCOMENDATION: IMMEDIATE ACQUISITION FOR 3 CLINICS</v>
      </c>
    </row>
    <row r="2505">
      <c r="A2505" s="234">
        <f>IFERROR(__xludf.DUMMYFUNCTION("""COMPUTED_VALUE"""),107338.0)</f>
        <v>107338</v>
      </c>
      <c r="B2505" s="235" t="str">
        <f>IFERROR(__xludf.DUMMYFUNCTION("""COMPUTED_VALUE"""),"LUCILLE BEYER")</f>
        <v>LUCILLE BEYER</v>
      </c>
      <c r="C2505" s="235" t="str">
        <f>IFERROR(__xludf.DUMMYFUNCTION("""COMPUTED_VALUE"""),"MEDICAL")</f>
        <v>MEDICAL</v>
      </c>
      <c r="D2505" s="196" t="str">
        <f>IFERROR(__xludf.DUMMYFUNCTION("""COMPUTED_VALUE""")," 3 PCS, GLUCOMETER WITH COMPLETE SET-NEEDLES AND STRIPS
3 PCS, ADVIL SYRUP 100MG/5ML/60ML
2 PCS, SOLMUX SYRUP 200MG 60ML
3 PCS, DISUDRIN 120ML
100 PCS, TESURAN CAPSULE
100 PCS, ADVIL CAPSULE
100 PCS, BIOFLU TABS
4 PCS, PETROLEUM JELLY
6 PCS, EYE MO (RED) "&amp;"EYE DROPS
10 PCS, TRIANGULAR BANDAGE")</f>
        <v> 3 PCS, GLUCOMETER WITH COMPLETE SET-NEEDLES AND STRIPS
3 PCS, ADVIL SYRUP 100MG/5ML/60ML
2 PCS, SOLMUX SYRUP 200MG 60ML
3 PCS, DISUDRIN 120ML
100 PCS, TESURAN CAPSULE
100 PCS, ADVIL CAPSULE
100 PCS, BIOFLU TABS
4 PCS, PETROLEUM JELLY
6 PCS, EYE MO (RED) EYE DROPS
10 PCS, TRIANGULAR BANDAGE</v>
      </c>
      <c r="E2505" s="196" t="str">
        <f>IFERROR(__xludf.DUMMYFUNCTION("""COMPUTED_VALUE"""),"ADDITIONAL SUPPLIES FOR 3 CLINICS")</f>
        <v>ADDITIONAL SUPPLIES FOR 3 CLINICS</v>
      </c>
    </row>
    <row r="2506">
      <c r="A2506" s="234">
        <f>IFERROR(__xludf.DUMMYFUNCTION("""COMPUTED_VALUE"""),107339.0)</f>
        <v>107339</v>
      </c>
      <c r="B2506" s="235" t="str">
        <f>IFERROR(__xludf.DUMMYFUNCTION("""COMPUTED_VALUE"""),"JANSEL PRADILLADA ")</f>
        <v>JANSEL PRADILLADA </v>
      </c>
      <c r="C2506" s="235" t="str">
        <f>IFERROR(__xludf.DUMMYFUNCTION("""COMPUTED_VALUE"""),"MIS/ICT")</f>
        <v>MIS/ICT</v>
      </c>
      <c r="D2506" s="196" t="str">
        <f>IFERROR(__xludf.DUMMYFUNCTION("""COMPUTED_VALUE"""),"1 PC, EXTENSION LADDER HEIGHT 24FT
4 PCS, MOBILE TV STAND 
2 PCS, TV HOLDER CEILING MOUNT")</f>
        <v>1 PC, EXTENSION LADDER HEIGHT 24FT
4 PCS, MOBILE TV STAND 
2 PCS, TV HOLDER CEILING MOUNT</v>
      </c>
      <c r="E2506" s="196" t="str">
        <f>IFERROR(__xludf.DUMMYFUNCTION("""COMPUTED_VALUE"""),"FOR SET UP NEW CLASSROOMS LOBBY")</f>
        <v>FOR SET UP NEW CLASSROOMS LOBBY</v>
      </c>
    </row>
    <row r="2507">
      <c r="A2507" s="234">
        <f>IFERROR(__xludf.DUMMYFUNCTION("""COMPUTED_VALUE"""),107340.0)</f>
        <v>107340</v>
      </c>
      <c r="B2507" s="235" t="str">
        <f>IFERROR(__xludf.DUMMYFUNCTION("""COMPUTED_VALUE"""),"JANSEL PRADILLADA ")</f>
        <v>JANSEL PRADILLADA </v>
      </c>
      <c r="C2507" s="235" t="str">
        <f>IFERROR(__xludf.DUMMYFUNCTION("""COMPUTED_VALUE"""),"MIS/ICT")</f>
        <v>MIS/ICT</v>
      </c>
      <c r="D2507" s="196" t="str">
        <f>IFERROR(__xludf.DUMMYFUNCTION("""COMPUTED_VALUE"""),"3 PCS, PORTABLE SPEAKER SPECS: PLATINUM DK 65DUO")</f>
        <v>3 PCS, PORTABLE SPEAKER SPECS: PLATINUM DK 65DUO</v>
      </c>
      <c r="E2507" s="196" t="str">
        <f>IFERROR(__xludf.DUMMYFUNCTION("""COMPUTED_VALUE"""),"2 UNIT FOR SISC 1 UNIT FOR STAR CAMPUS")</f>
        <v>2 UNIT FOR SISC 1 UNIT FOR STAR CAMPUS</v>
      </c>
    </row>
    <row r="2508">
      <c r="A2508" s="234">
        <f>IFERROR(__xludf.DUMMYFUNCTION("""COMPUTED_VALUE"""),107341.0)</f>
        <v>107341</v>
      </c>
      <c r="B2508" s="235" t="str">
        <f>IFERROR(__xludf.DUMMYFUNCTION("""COMPUTED_VALUE"""),"MELISSA ODOÑO / MS ABI VELLENTE")</f>
        <v>MELISSA ODOÑO / MS ABI VELLENTE</v>
      </c>
      <c r="C2508" s="235" t="str">
        <f>IFERROR(__xludf.DUMMYFUNCTION("""COMPUTED_VALUE"""),"ADMIN - LUX")</f>
        <v>ADMIN - LUX</v>
      </c>
      <c r="D2508" s="196" t="str">
        <f>IFERROR(__xludf.DUMMYFUNCTION("""COMPUTED_VALUE"""),"1 LOT, BUSINESS BOOKS
1PC, PRINCIPLES MACROECONOMICS (11e)
1PC, PRINCIPLES MICROECONOMICS (11e)")</f>
        <v>1 LOT, BUSINESS BOOKS
1PC, PRINCIPLES MACROECONOMICS (11e)
1PC, PRINCIPLES MICROECONOMICS (11e)</v>
      </c>
      <c r="E2508" s="196" t="str">
        <f>IFERROR(__xludf.DUMMYFUNCTION("""COMPUTED_VALUE"""),"LIBRARYS COPY")</f>
        <v>LIBRARYS COPY</v>
      </c>
    </row>
    <row r="2509">
      <c r="A2509" s="234">
        <f>IFERROR(__xludf.DUMMYFUNCTION("""COMPUTED_VALUE"""),107342.0)</f>
        <v>107342</v>
      </c>
      <c r="B2509" s="235" t="str">
        <f>IFERROR(__xludf.DUMMYFUNCTION("""COMPUTED_VALUE"""),"MELISSA ODONO")</f>
        <v>MELISSA ODONO</v>
      </c>
      <c r="C2509" s="235" t="str">
        <f>IFERROR(__xludf.DUMMYFUNCTION("""COMPUTED_VALUE"""),"LIBRARY MUNICH")</f>
        <v>LIBRARY MUNICH</v>
      </c>
      <c r="D2509" s="196" t="str">
        <f>IFERROR(__xludf.DUMMYFUNCTION("""COMPUTED_VALUE"""),"1 LOT, ASSORTED TITLES 
1 PC, UNDERSTANDING AND AFFIRMING AUTISTIC CLIENTS 
1 PC, READING COMPREHENSION CONTEXT CLUES AND INFERENCE
1 PC, TEACHING MULTILINGUAL STUDENTS THROUGH CULTURE AND LANGUAGE
1 PC, SUPPORTING CHILDRENS SPEECH LANUAGE AND COMMUNICATI"&amp;"ON NEEDS
1 PC, GOOD TEACHING FOR CHILDREN WITH SEND
1PC, BIG PROJECT FOR LITTLE LEARNERS 
1PC, REFORMING EDUCATION SYSTEMS FOR INCLUSION AND EQUITY 
1PC, REFLECTIVE PARENTING RAISING EMOTIONALLY HEALTHY CHILDREN
1PC, INTEGRATIVE PERSON CENTERED COUNSELING"&amp;" 
1PC, SUPPORTING CHILDREN WITH SPECIAL NEEDS
1PC, A CLASSIC FAIRY TALE AND MODERN RETELLINGS
1PC, ADAPTIVE  TEACHING IN THE PRIMARY CURRICULUM")</f>
        <v>1 LOT, ASSORTED TITLES 
1 PC, UNDERSTANDING AND AFFIRMING AUTISTIC CLIENTS 
1 PC, READING COMPREHENSION CONTEXT CLUES AND INFERENCE
1 PC, TEACHING MULTILINGUAL STUDENTS THROUGH CULTURE AND LANGUAGE
1 PC, SUPPORTING CHILDRENS SPEECH LANUAGE AND COMMUNICATION NEEDS
1 PC, GOOD TEACHING FOR CHILDREN WITH SEND
1PC, BIG PROJECT FOR LITTLE LEARNERS 
1PC, REFORMING EDUCATION SYSTEMS FOR INCLUSION AND EQUITY 
1PC, REFLECTIVE PARENTING RAISING EMOTIONALLY HEALTHY CHILDREN
1PC, INTEGRATIVE PERSON CENTERED COUNSELING 
1PC, SUPPORTING CHILDREN WITH SPECIAL NEEDS
1PC, A CLASSIC FAIRY TALE AND MODERN RETELLINGS
1PC, ADAPTIVE  TEACHING IN THE PRIMARY CURRICULUM</v>
      </c>
      <c r="E2509" s="196" t="str">
        <f>IFERROR(__xludf.DUMMYFUNCTION("""COMPUTED_VALUE"""),"LIBRARYS COPY")</f>
        <v>LIBRARYS COPY</v>
      </c>
    </row>
    <row r="2510">
      <c r="A2510" s="234">
        <f>IFERROR(__xludf.DUMMYFUNCTION("""COMPUTED_VALUE"""),107343.0)</f>
        <v>107343</v>
      </c>
      <c r="B2510" s="235" t="str">
        <f>IFERROR(__xludf.DUMMYFUNCTION("""COMPUTED_VALUE"""),"MELLISA ODONO")</f>
        <v>MELLISA ODONO</v>
      </c>
      <c r="C2510" s="235" t="str">
        <f>IFERROR(__xludf.DUMMYFUNCTION("""COMPUTED_VALUE"""),"LIBRARY MUNICH")</f>
        <v>LIBRARY MUNICH</v>
      </c>
      <c r="D2510" s="196" t="str">
        <f>IFERROR(__xludf.DUMMYFUNCTION("""COMPUTED_VALUE"""),"1PC, ADVANCES IN DIGITAL MARKETING IN THE ERA OF ARTIFICIAL INTELLIGENCE 
1PC, AI FOR SUSTAINABLE BUSINESS
1PC, AI IN BUSINESS MANAGEMENT
1PC, ENTREPRENEURSHIP AND SMALL BUSINESS SKILLS
1PC, MARKETING MANAGEMENT (7E)
1PC, SUSTAINABLE BUSINESS STRATEGIES ")</f>
        <v>1PC, ADVANCES IN DIGITAL MARKETING IN THE ERA OF ARTIFICIAL INTELLIGENCE 
1PC, AI FOR SUSTAINABLE BUSINESS
1PC, AI IN BUSINESS MANAGEMENT
1PC, ENTREPRENEURSHIP AND SMALL BUSINESS SKILLS
1PC, MARKETING MANAGEMENT (7E)
1PC, SUSTAINABLE BUSINESS STRATEGIES </v>
      </c>
      <c r="E2510" s="196" t="str">
        <f>IFERROR(__xludf.DUMMYFUNCTION("""COMPUTED_VALUE"""),"LIBRARYS COPY")</f>
        <v>LIBRARYS COPY</v>
      </c>
    </row>
    <row r="2511">
      <c r="A2511" s="234">
        <f>IFERROR(__xludf.DUMMYFUNCTION("""COMPUTED_VALUE"""),107344.0)</f>
        <v>107344</v>
      </c>
      <c r="B2511" s="235" t="str">
        <f>IFERROR(__xludf.DUMMYFUNCTION("""COMPUTED_VALUE"""),"MELISSA ODONO/ MS ABI VALLENTE")</f>
        <v>MELISSA ODONO/ MS ABI VALLENTE</v>
      </c>
      <c r="C2511" s="235" t="str">
        <f>IFERROR(__xludf.DUMMYFUNCTION("""COMPUTED_VALUE"""),"ADMIN - LUX")</f>
        <v>ADMIN - LUX</v>
      </c>
      <c r="D2511" s="196" t="str">
        <f>IFERROR(__xludf.DUMMYFUNCTION("""COMPUTED_VALUE"""),"1 LOT, FINANCE BOOKS
1, FINANCIAL ACCOUNTING (18e) (Pb)
1, FOCUS ON PERSONAL FINANCE (Pb)
1, PERSONAL FINANCE (3E)
1, PRINCIPLES OF FINANCIAL ACCOUNTING (IFRS EDITION)")</f>
        <v>1 LOT, FINANCE BOOKS
1, FINANCIAL ACCOUNTING (18e) (Pb)
1, FOCUS ON PERSONAL FINANCE (Pb)
1, PERSONAL FINANCE (3E)
1, PRINCIPLES OF FINANCIAL ACCOUNTING (IFRS EDITION)</v>
      </c>
      <c r="E2511" s="196" t="str">
        <f>IFERROR(__xludf.DUMMYFUNCTION("""COMPUTED_VALUE"""),"LIBRARYS COPY")</f>
        <v>LIBRARYS COPY</v>
      </c>
    </row>
    <row r="2512">
      <c r="A2512" s="234">
        <f>IFERROR(__xludf.DUMMYFUNCTION("""COMPUTED_VALUE"""),107345.0)</f>
        <v>107345</v>
      </c>
      <c r="B2512" s="235" t="str">
        <f>IFERROR(__xludf.DUMMYFUNCTION("""COMPUTED_VALUE"""),"RODRIGO CUSTODIO")</f>
        <v>RODRIGO CUSTODIO</v>
      </c>
      <c r="C2512" s="235" t="str">
        <f>IFERROR(__xludf.DUMMYFUNCTION("""COMPUTED_VALUE"""),"AMD")</f>
        <v>AMD</v>
      </c>
      <c r="D2512" s="196" t="str">
        <f>IFERROR(__xludf.DUMMYFUNCTION("""COMPUTED_VALUE"""),"108 BOTTLES, BAYGON WATERBASED MULTI INSECT KILLER 500ML")</f>
        <v>108 BOTTLES, BAYGON WATERBASED MULTI INSECT KILLER 500ML</v>
      </c>
      <c r="E2512" s="196" t="str">
        <f>IFERROR(__xludf.DUMMYFUNCTION("""COMPUTED_VALUE"""),"HOUSEKEEPING MATERIALS STOCK REPLENISHMENT")</f>
        <v>HOUSEKEEPING MATERIALS STOCK REPLENISHMENT</v>
      </c>
    </row>
    <row r="2513">
      <c r="A2513" s="234">
        <f>IFERROR(__xludf.DUMMYFUNCTION("""COMPUTED_VALUE"""),107346.0)</f>
        <v>107346</v>
      </c>
      <c r="B2513" s="235" t="str">
        <f>IFERROR(__xludf.DUMMYFUNCTION("""COMPUTED_VALUE"""),"RODRIGO CUSTODIO")</f>
        <v>RODRIGO CUSTODIO</v>
      </c>
      <c r="C2513" s="235" t="str">
        <f>IFERROR(__xludf.DUMMYFUNCTION("""COMPUTED_VALUE"""),"AMD")</f>
        <v>AMD</v>
      </c>
      <c r="D2513" s="196" t="str">
        <f>IFERROR(__xludf.DUMMYFUNCTION("""COMPUTED_VALUE"""),"20 BOTTLES, HIGIENECO PREMIUM ODOR COUNTERACTANT ANTIBACTERIAL SPRAY, 3000 SHOTS, 300 ML APPLE QUAKE SCENT")</f>
        <v>20 BOTTLES, HIGIENECO PREMIUM ODOR COUNTERACTANT ANTIBACTERIAL SPRAY, 3000 SHOTS, 300 ML APPLE QUAKE SCENT</v>
      </c>
      <c r="E2513" s="196" t="str">
        <f>IFERROR(__xludf.DUMMYFUNCTION("""COMPUTED_VALUE"""),"HOUSEKEEPING MATERIALS STOCK REPLENISHMENT")</f>
        <v>HOUSEKEEPING MATERIALS STOCK REPLENISHMENT</v>
      </c>
    </row>
    <row r="2514">
      <c r="A2514" s="234">
        <f>IFERROR(__xludf.DUMMYFUNCTION("""COMPUTED_VALUE"""),107347.0)</f>
        <v>107347</v>
      </c>
      <c r="B2514" s="235" t="str">
        <f>IFERROR(__xludf.DUMMYFUNCTION("""COMPUTED_VALUE"""),"LYKA PERALTA")</f>
        <v>LYKA PERALTA</v>
      </c>
      <c r="C2514" s="235" t="str">
        <f>IFERROR(__xludf.DUMMYFUNCTION("""COMPUTED_VALUE"""),"AMD")</f>
        <v>AMD</v>
      </c>
      <c r="D2514" s="196" t="str">
        <f>IFERROR(__xludf.DUMMYFUNCTION("""COMPUTED_VALUE"""),"500 PCS, LANYARD COLLEGE SISC PRINT (NEW LOGO 20CM)
2000 PCS, K-12-IB LANYARD SISC PRINT (NEW LOGO 20CM)")</f>
        <v>500 PCS, LANYARD COLLEGE SISC PRINT (NEW LOGO 20CM)
2000 PCS, K-12-IB LANYARD SISC PRINT (NEW LOGO 20CM)</v>
      </c>
      <c r="E2514" s="196" t="str">
        <f>IFERROR(__xludf.DUMMYFUNCTION("""COMPUTED_VALUE"""),"STUDENT MATERIALS REPLENISHMENT
")</f>
        <v>STUDENT MATERIALS REPLENISHMENT
</v>
      </c>
    </row>
    <row r="2515">
      <c r="A2515" s="234">
        <f>IFERROR(__xludf.DUMMYFUNCTION("""COMPUTED_VALUE"""),107348.0)</f>
        <v>107348</v>
      </c>
      <c r="B2515" s="235" t="str">
        <f>IFERROR(__xludf.DUMMYFUNCTION("""COMPUTED_VALUE"""),"LYKA PERALTA")</f>
        <v>LYKA PERALTA</v>
      </c>
      <c r="C2515" s="235" t="str">
        <f>IFERROR(__xludf.DUMMYFUNCTION("""COMPUTED_VALUE"""),"AMD")</f>
        <v>AMD</v>
      </c>
      <c r="D2515" s="196" t="str">
        <f>IFERROR(__xludf.DUMMYFUNCTION("""COMPUTED_VALUE"""),"3000 PCS, ID CASE BE&amp;COLLEGE-WHITE")</f>
        <v>3000 PCS, ID CASE BE&amp;COLLEGE-WHITE</v>
      </c>
      <c r="E2515" s="196" t="str">
        <f>IFERROR(__xludf.DUMMYFUNCTION("""COMPUTED_VALUE"""),"STUDENT MATERIALS REPLENISHMENT
")</f>
        <v>STUDENT MATERIALS REPLENISHMENT
</v>
      </c>
    </row>
    <row r="2516">
      <c r="A2516" s="234">
        <f>IFERROR(__xludf.DUMMYFUNCTION("""COMPUTED_VALUE"""),107349.0)</f>
        <v>107349</v>
      </c>
      <c r="B2516" s="235"/>
      <c r="C2516" s="235"/>
      <c r="D2516" s="196"/>
      <c r="E2516" s="196"/>
    </row>
    <row r="2517">
      <c r="A2517" s="234">
        <f>IFERROR(__xludf.DUMMYFUNCTION("""COMPUTED_VALUE"""),107350.0)</f>
        <v>107350</v>
      </c>
      <c r="B2517" s="235" t="str">
        <f>IFERROR(__xludf.DUMMYFUNCTION("""COMPUTED_VALUE"""),"MELISSA NAVAL ODONO")</f>
        <v>MELISSA NAVAL ODONO</v>
      </c>
      <c r="C2517" s="235" t="str">
        <f>IFERROR(__xludf.DUMMYFUNCTION("""COMPUTED_VALUE"""),"LIBRARY MUNICH")</f>
        <v>LIBRARY MUNICH</v>
      </c>
      <c r="D2517" s="196" t="str">
        <f>IFERROR(__xludf.DUMMYFUNCTION("""COMPUTED_VALUE"""),"JAPANESE CHAIR")</f>
        <v>JAPANESE CHAIR</v>
      </c>
      <c r="E2517" s="196" t="str">
        <f>IFERROR(__xludf.DUMMYFUNCTION("""COMPUTED_VALUE"""),"STUDENT USE")</f>
        <v>STUDENT USE</v>
      </c>
    </row>
    <row r="2518">
      <c r="A2518" s="234">
        <f>IFERROR(__xludf.DUMMYFUNCTION("""COMPUTED_VALUE"""),107351.0)</f>
        <v>107351</v>
      </c>
      <c r="B2518" s="235" t="str">
        <f>IFERROR(__xludf.DUMMYFUNCTION("""COMPUTED_VALUE"""),"RODRIGO CUSTODIO")</f>
        <v>RODRIGO CUSTODIO</v>
      </c>
      <c r="C2518" s="235" t="str">
        <f>IFERROR(__xludf.DUMMYFUNCTION("""COMPUTED_VALUE"""),"AMD")</f>
        <v>AMD</v>
      </c>
      <c r="D2518" s="196" t="str">
        <f>IFERROR(__xludf.DUMMYFUNCTION("""COMPUTED_VALUE"""),"16 PCS, RAIN COAT 1-PC
35 PCS, TOILET RUBBER PUMP MULTICOLORED
24 PCS, MOP HANDLE, 4FT, YELLOW, MANSION
24 PCS, MOP HANDLE 4FT, RED, MANSION
24 PCS, MOD HANDLE 4FT, GREN MANSION
40 PCS, TOILET BOWL BRUSH WITH HOLDER")</f>
        <v>16 PCS, RAIN COAT 1-PC
35 PCS, TOILET RUBBER PUMP MULTICOLORED
24 PCS, MOP HANDLE, 4FT, YELLOW, MANSION
24 PCS, MOP HANDLE 4FT, RED, MANSION
24 PCS, MOD HANDLE 4FT, GREN MANSION
40 PCS, TOILET BOWL BRUSH WITH HOLDER</v>
      </c>
      <c r="E2518" s="196" t="str">
        <f>IFERROR(__xludf.DUMMYFUNCTION("""COMPUTED_VALUE"""),"HOUSEKEEPING MATERIALS STOCK REPLENISHMENT")</f>
        <v>HOUSEKEEPING MATERIALS STOCK REPLENISHMENT</v>
      </c>
    </row>
    <row r="2519">
      <c r="A2519" s="234">
        <f>IFERROR(__xludf.DUMMYFUNCTION("""COMPUTED_VALUE"""),107352.0)</f>
        <v>107352</v>
      </c>
      <c r="B2519" s="235" t="str">
        <f>IFERROR(__xludf.DUMMYFUNCTION("""COMPUTED_VALUE"""),"CHRISTAN CORBEZA")</f>
        <v>CHRISTAN CORBEZA</v>
      </c>
      <c r="C2519" s="235" t="str">
        <f>IFERROR(__xludf.DUMMYFUNCTION("""COMPUTED_VALUE"""),"ADMIN - MUNICH")</f>
        <v>ADMIN - MUNICH</v>
      </c>
      <c r="D2519" s="196" t="str">
        <f>IFERROR(__xludf.DUMMYFUNCTION("""COMPUTED_VALUE"""),"3 PCS, MOP WATER SQUEEZER 
2 PCS, TRASH CAN 50L
1 SET, PVC COIL MAT (2M X 5M)
10 PCS, ANTI SLIP TAPE")</f>
        <v>3 PCS, MOP WATER SQUEEZER 
2 PCS, TRASH CAN 50L
1 SET, PVC COIL MAT (2M X 5M)
10 PCS, ANTI SLIP TAPE</v>
      </c>
      <c r="E2519" s="196" t="str">
        <f>IFERROR(__xludf.DUMMYFUNCTION("""COMPUTED_VALUE"""),"ESSENTIAL HOUSEKEEPING AND SAFETY SUPPLIES")</f>
        <v>ESSENTIAL HOUSEKEEPING AND SAFETY SUPPLIES</v>
      </c>
    </row>
    <row r="2520">
      <c r="A2520" s="234">
        <f>IFERROR(__xludf.DUMMYFUNCTION("""COMPUTED_VALUE"""),107353.0)</f>
        <v>107353</v>
      </c>
      <c r="B2520" s="235" t="str">
        <f>IFERROR(__xludf.DUMMYFUNCTION("""COMPUTED_VALUE"""),"OWIE PAR")</f>
        <v>OWIE PAR</v>
      </c>
      <c r="C2520" s="235" t="str">
        <f>IFERROR(__xludf.DUMMYFUNCTION("""COMPUTED_VALUE"""),"ENGINEERING")</f>
        <v>ENGINEERING</v>
      </c>
      <c r="D2520" s="196" t="str">
        <f>IFERROR(__xludf.DUMMYFUNCTION("""COMPUTED_VALUE"""),"2 UNITS, 2.5HP WALL MOUNTED TYPE INVENTER")</f>
        <v>2 UNITS, 2.5HP WALL MOUNTED TYPE INVENTER</v>
      </c>
      <c r="E2520" s="196" t="str">
        <f>IFERROR(__xludf.DUMMYFUNCTION("""COMPUTED_VALUE"""),"FOR ARCHIVE RM ")</f>
        <v>FOR ARCHIVE RM </v>
      </c>
    </row>
    <row r="2521">
      <c r="A2521" s="234">
        <f>IFERROR(__xludf.DUMMYFUNCTION("""COMPUTED_VALUE"""),107354.0)</f>
        <v>107354</v>
      </c>
      <c r="B2521" s="235" t="str">
        <f>IFERROR(__xludf.DUMMYFUNCTION("""COMPUTED_VALUE"""),"JORDAN JORDAN")</f>
        <v>JORDAN JORDAN</v>
      </c>
      <c r="C2521" s="235" t="str">
        <f>IFERROR(__xludf.DUMMYFUNCTION("""COMPUTED_VALUE"""),"ADMIN")</f>
        <v>ADMIN</v>
      </c>
      <c r="D2521" s="196" t="str">
        <f>IFERROR(__xludf.DUMMYFUNCTION("""COMPUTED_VALUE"""),"8 PCS, WATER CLOSET
8 PCS, ANGLE VALAVE 
8 PCS, BIDET (HEAVY DUTY)")</f>
        <v>8 PCS, WATER CLOSET
8 PCS, ANGLE VALAVE 
8 PCS, BIDET (HEAVY DUTY)</v>
      </c>
      <c r="E2521" s="196" t="str">
        <f>IFERROR(__xludf.DUMMYFUNCTION("""COMPUTED_VALUE"""),"FOR REPLACEMENT OF WATER CLOSET")</f>
        <v>FOR REPLACEMENT OF WATER CLOSET</v>
      </c>
    </row>
    <row r="2522">
      <c r="A2522" s="234">
        <f>IFERROR(__xludf.DUMMYFUNCTION("""COMPUTED_VALUE"""),107355.0)</f>
        <v>107355</v>
      </c>
      <c r="B2522" s="235" t="str">
        <f>IFERROR(__xludf.DUMMYFUNCTION("""COMPUTED_VALUE"""),"OWIE PAR")</f>
        <v>OWIE PAR</v>
      </c>
      <c r="C2522" s="235" t="str">
        <f>IFERROR(__xludf.DUMMYFUNCTION("""COMPUTED_VALUE"""),"ENGINEERING")</f>
        <v>ENGINEERING</v>
      </c>
      <c r="D2522" s="196" t="str">
        <f>IFERROR(__xludf.DUMMYFUNCTION("""COMPUTED_VALUE"""),"1 UNIT, 2.5HP CEILING CASSETTE TYPE INVERTER
1 UNIT, 6.0HP FLOOR MOUNTED TYPE INVERTER")</f>
        <v>1 UNIT, 2.5HP CEILING CASSETTE TYPE INVERTER
1 UNIT, 6.0HP FLOOR MOUNTED TYPE INVERTER</v>
      </c>
      <c r="E2522" s="196" t="str">
        <f>IFERROR(__xludf.DUMMYFUNCTION("""COMPUTED_VALUE"""),"FOR MIS OFFICE AND SERVER ")</f>
        <v>FOR MIS OFFICE AND SERVER </v>
      </c>
    </row>
    <row r="2523">
      <c r="A2523" s="234">
        <f>IFERROR(__xludf.DUMMYFUNCTION("""COMPUTED_VALUE"""),107356.0)</f>
        <v>107356</v>
      </c>
      <c r="B2523" s="235" t="str">
        <f>IFERROR(__xludf.DUMMYFUNCTION("""COMPUTED_VALUE"""),"CHARLES LEBECO DONOR")</f>
        <v>CHARLES LEBECO DONOR</v>
      </c>
      <c r="C2523" s="235" t="str">
        <f>IFERROR(__xludf.DUMMYFUNCTION("""COMPUTED_VALUE"""),"AMD")</f>
        <v>AMD</v>
      </c>
      <c r="D2523" s="196" t="str">
        <f>IFERROR(__xludf.DUMMYFUNCTION("""COMPUTED_VALUE"""),"Toner, Cartridge CF500A Black        TONR-JMD-10-0016        5 pcs.
Toner, Cartridge CF501A Cyan        TONR-JMD-10-0017        5 pcs.
Toner, Cartridge CF502A Yellow        TONR-JMD-10-0018        26 pcs.
Toner, Cartridge CF503A Magenta        TONR-JMD-10"&amp;"-0019        26 pcs.")</f>
        <v>Toner, Cartridge CF500A Black        TONR-JMD-10-0016        5 pcs.
Toner, Cartridge CF501A Cyan        TONR-JMD-10-0017        5 pcs.
Toner, Cartridge CF502A Yellow        TONR-JMD-10-0018        26 pcs.
Toner, Cartridge CF503A Magenta        TONR-JMD-10-0019        26 pcs.</v>
      </c>
      <c r="E2523" s="196" t="str">
        <f>IFERROR(__xludf.DUMMYFUNCTION("""COMPUTED_VALUE"""),"OSSUP REPLENISHMENT")</f>
        <v>OSSUP REPLENISHMENT</v>
      </c>
    </row>
    <row r="2524">
      <c r="A2524" s="234">
        <f>IFERROR(__xludf.DUMMYFUNCTION("""COMPUTED_VALUE"""),107357.0)</f>
        <v>107357</v>
      </c>
      <c r="B2524" s="235" t="str">
        <f>IFERROR(__xludf.DUMMYFUNCTION("""COMPUTED_VALUE"""),"DR. MELISSA ODONO
")</f>
        <v>DR. MELISSA ODONO
</v>
      </c>
      <c r="C2524" s="235" t="str">
        <f>IFERROR(__xludf.DUMMYFUNCTION("""COMPUTED_VALUE"""),"LIBRARY STAR")</f>
        <v>LIBRARY STAR</v>
      </c>
      <c r="D2524" s="196" t="str">
        <f>IFERROR(__xludf.DUMMYFUNCTION("""COMPUTED_VALUE"""),"1, DIVERSIFIED TEACHING STRATEGIES FOR EARLY CHILDHOOD CLASSROOMS
1, ART AND MUSIC IN PRESCHOOL LEARNING
1, ADVANCED FITNESS ASSESSMENT AND EXERCISE PRESCRIPTION 
1, RESEARCH METHODS IN EDUCATION AND PSYCHOLOGY
1, FORM AND STYLE IN WRITING RESEARCH
1, HIS"&amp;"TORY OF SOUTHEAST ASIA 
1, PUBLIC HISTORY 
1, FOUNDATIONS OF EARLY CHILDHOOD EDUCATION")</f>
        <v>1, DIVERSIFIED TEACHING STRATEGIES FOR EARLY CHILDHOOD CLASSROOMS
1, ART AND MUSIC IN PRESCHOOL LEARNING
1, ADVANCED FITNESS ASSESSMENT AND EXERCISE PRESCRIPTION 
1, RESEARCH METHODS IN EDUCATION AND PSYCHOLOGY
1, FORM AND STYLE IN WRITING RESEARCH
1, HISTORY OF SOUTHEAST ASIA 
1, PUBLIC HISTORY 
1, FOUNDATIONS OF EARLY CHILDHOOD EDUCATION</v>
      </c>
      <c r="E2524" s="196" t="str">
        <f>IFERROR(__xludf.DUMMYFUNCTION("""COMPUTED_VALUE"""),"ADDITIONAL TITLES FOR SMIS-P (STAR CAMPUS)-FACULTY USE")</f>
        <v>ADDITIONAL TITLES FOR SMIS-P (STAR CAMPUS)-FACULTY USE</v>
      </c>
    </row>
    <row r="2525">
      <c r="A2525" s="234">
        <f>IFERROR(__xludf.DUMMYFUNCTION("""COMPUTED_VALUE"""),107358.0)</f>
        <v>107358</v>
      </c>
      <c r="B2525" s="235" t="str">
        <f>IFERROR(__xludf.DUMMYFUNCTION("""COMPUTED_VALUE"""),"DR. MELISSA ODONO
")</f>
        <v>DR. MELISSA ODONO
</v>
      </c>
      <c r="C2525" s="235" t="str">
        <f>IFERROR(__xludf.DUMMYFUNCTION("""COMPUTED_VALUE"""),"LIBRARY STAR")</f>
        <v>LIBRARY STAR</v>
      </c>
      <c r="D2525" s="196" t="str">
        <f>IFERROR(__xludf.DUMMYFUNCTION("""COMPUTED_VALUE"""),"1, THE CELL: FUNDAMENTALS OF LIFE
1, ECOSYSTEM MANAGEMENT
1, FUNDAMENTALS OF MATERIALS SCIENCE 
1, VISUALIZING PHYSICAL GEOGRAPHY
1, ASSESSING ACDEMIC LIBRARY COLLECTIONS FOR DIVERSITY, EQUITY, AND INCLUSION
1, PROMOTING LANGUAGE FOR LEARNERS WITH AUTISM "&amp;"SPECTRUM DISORDER
1, SMART CURRICULUM VOLUME 3
1, SMART CURRICULUM VOLUME 2
1, SMART CURRICULUM VOLUME 1
1, EDUCATIONAL PSYCHOCOLOGY: DEVELOPING LEARNERS 
1, LANGUAGE AND POWER RELATIONS ")</f>
        <v>1, THE CELL: FUNDAMENTALS OF LIFE
1, ECOSYSTEM MANAGEMENT
1, FUNDAMENTALS OF MATERIALS SCIENCE 
1, VISUALIZING PHYSICAL GEOGRAPHY
1, ASSESSING ACDEMIC LIBRARY COLLECTIONS FOR DIVERSITY, EQUITY, AND INCLUSION
1, PROMOTING LANGUAGE FOR LEARNERS WITH AUTISM SPECTRUM DISORDER
1, SMART CURRICULUM VOLUME 3
1, SMART CURRICULUM VOLUME 2
1, SMART CURRICULUM VOLUME 1
1, EDUCATIONAL PSYCHOCOLOGY: DEVELOPING LEARNERS 
1, LANGUAGE AND POWER RELATIONS </v>
      </c>
      <c r="E2525" s="196" t="str">
        <f>IFERROR(__xludf.DUMMYFUNCTION("""COMPUTED_VALUE"""),"ADDITIONAL TITLES FOR SMIS-P (STAR CAMPUS)-FACULTY USE")</f>
        <v>ADDITIONAL TITLES FOR SMIS-P (STAR CAMPUS)-FACULTY USE</v>
      </c>
    </row>
    <row r="2526">
      <c r="A2526" s="234">
        <f>IFERROR(__xludf.DUMMYFUNCTION("""COMPUTED_VALUE"""),107359.0)</f>
        <v>107359</v>
      </c>
      <c r="B2526" s="235" t="str">
        <f>IFERROR(__xludf.DUMMYFUNCTION("""COMPUTED_VALUE"""),"CHARLES LEBECO DONOR")</f>
        <v>CHARLES LEBECO DONOR</v>
      </c>
      <c r="C2526" s="235" t="str">
        <f>IFERROR(__xludf.DUMMYFUNCTION("""COMPUTED_VALUE"""),"AMD")</f>
        <v>AMD</v>
      </c>
      <c r="D2526" s="196" t="str">
        <f>IFERROR(__xludf.DUMMYFUNCTION("""COMPUTED_VALUE"""),"Wall Clock (Analog) CLOC-GEN-10-0001 15 PCS.")</f>
        <v>Wall Clock (Analog) CLOC-GEN-10-0001 15 PCS.</v>
      </c>
      <c r="E2526" s="196" t="str">
        <f>IFERROR(__xludf.DUMMYFUNCTION("""COMPUTED_VALUE"""),"OSSUP STOCK REPLENISHMENT")</f>
        <v>OSSUP STOCK REPLENISHMENT</v>
      </c>
    </row>
    <row r="2527">
      <c r="A2527" s="234">
        <f>IFERROR(__xludf.DUMMYFUNCTION("""COMPUTED_VALUE"""),107360.0)</f>
        <v>107360</v>
      </c>
      <c r="B2527" s="235" t="str">
        <f>IFERROR(__xludf.DUMMYFUNCTION("""COMPUTED_VALUE"""),"ARNEL MONTALBAN")</f>
        <v>ARNEL MONTALBAN</v>
      </c>
      <c r="C2527" s="235" t="str">
        <f>IFERROR(__xludf.DUMMYFUNCTION("""COMPUTED_VALUE"""),"ASSAT")</f>
        <v>ASSAT</v>
      </c>
      <c r="D2527" s="196" t="str">
        <f>IFERROR(__xludf.DUMMYFUNCTION("""COMPUTED_VALUE"""),"4, DOOR STOPPER
35, CABLE STAPLES
1, CLOTHES POOL HOOK
1, TABLE MANTEL FOR 7 SEATERS W: 35cm GRAY/BROWN)
3, KITCHEN MAT 
3, RAGS (1-SET-6PCS)
2, SMALL BASINS")</f>
        <v>4, DOOR STOPPER
35, CABLE STAPLES
1, CLOTHES POOL HOOK
1, TABLE MANTEL FOR 7 SEATERS W: 35cm GRAY/BROWN)
3, KITCHEN MAT 
3, RAGS (1-SET-6PCS)
2, SMALL BASINS</v>
      </c>
      <c r="E2527" s="196" t="str">
        <f>IFERROR(__xludf.DUMMYFUNCTION("""COMPUTED_VALUE"""),"FOR HOUSEHOLD PURPOSES")</f>
        <v>FOR HOUSEHOLD PURPOSES</v>
      </c>
    </row>
    <row r="2528">
      <c r="A2528" s="234">
        <f>IFERROR(__xludf.DUMMYFUNCTION("""COMPUTED_VALUE"""),107361.0)</f>
        <v>107361</v>
      </c>
      <c r="B2528" s="235" t="str">
        <f>IFERROR(__xludf.DUMMYFUNCTION("""COMPUTED_VALUE"""),"ARNEL MONTALBAN")</f>
        <v>ARNEL MONTALBAN</v>
      </c>
      <c r="C2528" s="235" t="str">
        <f>IFERROR(__xludf.DUMMYFUNCTION("""COMPUTED_VALUE"""),"ASSAT")</f>
        <v>ASSAT</v>
      </c>
      <c r="D2528" s="196" t="str">
        <f>IFERROR(__xludf.DUMMYFUNCTION("""COMPUTED_VALUE"""),"3, TURBO MAP
8, LONG BRUSH
3, SMALL TRASH BIN
1, LARGE TRASH BIN
1, SET OF LADLE
2, MONOBLOCK CHAIRS
17, DIPPER
1, KNIFE SET
12, HANDBRUSH 
1, MIRROR
")</f>
        <v>3, TURBO MAP
8, LONG BRUSH
3, SMALL TRASH BIN
1, LARGE TRASH BIN
1, SET OF LADLE
2, MONOBLOCK CHAIRS
17, DIPPER
1, KNIFE SET
12, HANDBRUSH 
1, MIRROR
</v>
      </c>
      <c r="E2528" s="196" t="str">
        <f>IFERROR(__xludf.DUMMYFUNCTION("""COMPUTED_VALUE"""),"FOR HOUSEHOLD PURPOSES")</f>
        <v>FOR HOUSEHOLD PURPOSES</v>
      </c>
    </row>
    <row r="2529">
      <c r="A2529" s="234">
        <f>IFERROR(__xludf.DUMMYFUNCTION("""COMPUTED_VALUE"""),107362.0)</f>
        <v>107362</v>
      </c>
      <c r="B2529" s="235" t="str">
        <f>IFERROR(__xludf.DUMMYFUNCTION("""COMPUTED_VALUE"""),"ARNEL MONTALBAN")</f>
        <v>ARNEL MONTALBAN</v>
      </c>
      <c r="C2529" s="235" t="str">
        <f>IFERROR(__xludf.DUMMYFUNCTION("""COMPUTED_VALUE"""),"ASSAT")</f>
        <v>ASSAT</v>
      </c>
      <c r="D2529" s="196" t="str">
        <f>IFERROR(__xludf.DUMMYFUNCTION("""COMPUTED_VALUE"""),"4, PAN WITH LID
6, CHOPPING BOARD(WOOD)
4, PAIL
1, STRAINER
3, FLAT IRON
3, IRONING BOARD (THICK)
3, CURTAINS (SET)
5, BASINS
8, MINI LAUNDRY STOOLS
1, LAUNDRY RAG (GREEN GRASS)")</f>
        <v>4, PAN WITH LID
6, CHOPPING BOARD(WOOD)
4, PAIL
1, STRAINER
3, FLAT IRON
3, IRONING BOARD (THICK)
3, CURTAINS (SET)
5, BASINS
8, MINI LAUNDRY STOOLS
1, LAUNDRY RAG (GREEN GRASS)</v>
      </c>
      <c r="E2529" s="196" t="str">
        <f>IFERROR(__xludf.DUMMYFUNCTION("""COMPUTED_VALUE"""),"HOUSEKEEPING MATERIALS STOCK REPLENISHMENT")</f>
        <v>HOUSEKEEPING MATERIALS STOCK REPLENISHMENT</v>
      </c>
    </row>
    <row r="2530">
      <c r="A2530" s="234">
        <f>IFERROR(__xludf.DUMMYFUNCTION("""COMPUTED_VALUE"""),107363.0)</f>
        <v>107363</v>
      </c>
      <c r="B2530" s="235" t="str">
        <f>IFERROR(__xludf.DUMMYFUNCTION("""COMPUTED_VALUE"""),"RODRIGO CUSTODIO")</f>
        <v>RODRIGO CUSTODIO</v>
      </c>
      <c r="C2530" s="235" t="str">
        <f>IFERROR(__xludf.DUMMYFUNCTION("""COMPUTED_VALUE"""),"AMD")</f>
        <v>AMD</v>
      </c>
      <c r="D2530" s="196" t="str">
        <f>IFERROR(__xludf.DUMMYFUNCTION("""COMPUTED_VALUE"""),"12 BOTTLES, LYSOL AIR FRESHENER DISINFECTANT, ANTI BACTERIAL, 340G)
150 PCS, MICROFIBER TOWEL BLUE
240 PCS, BABY OIL, 125ML (JOHNSON &amp; JOHNSON)
4PCS, STRIPPER PAD, RED (3M)")</f>
        <v>12 BOTTLES, LYSOL AIR FRESHENER DISINFECTANT, ANTI BACTERIAL, 340G)
150 PCS, MICROFIBER TOWEL BLUE
240 PCS, BABY OIL, 125ML (JOHNSON &amp; JOHNSON)
4PCS, STRIPPER PAD, RED (3M)</v>
      </c>
      <c r="E2530" s="196" t="str">
        <f>IFERROR(__xludf.DUMMYFUNCTION("""COMPUTED_VALUE"""),"HOUSEKEEPING MATERIALS STOCK REPLENISHMENT")</f>
        <v>HOUSEKEEPING MATERIALS STOCK REPLENISHMENT</v>
      </c>
    </row>
    <row r="2531">
      <c r="A2531" s="234">
        <f>IFERROR(__xludf.DUMMYFUNCTION("""COMPUTED_VALUE"""),107364.0)</f>
        <v>107364</v>
      </c>
      <c r="B2531" s="235" t="str">
        <f>IFERROR(__xludf.DUMMYFUNCTION("""COMPUTED_VALUE"""),"RODRIGO CUSTODIO")</f>
        <v>RODRIGO CUSTODIO</v>
      </c>
      <c r="C2531" s="235" t="str">
        <f>IFERROR(__xludf.DUMMYFUNCTION("""COMPUTED_VALUE"""),"AMD")</f>
        <v>AMD</v>
      </c>
      <c r="D2531" s="196" t="str">
        <f>IFERROR(__xludf.DUMMYFUNCTION("""COMPUTED_VALUE"""),"72 pcs, SOFT BROOM 3M
")</f>
        <v>72 pcs, SOFT BROOM 3M
</v>
      </c>
      <c r="E2531" s="196" t="str">
        <f>IFERROR(__xludf.DUMMYFUNCTION("""COMPUTED_VALUE"""),"HOUSEKEEPING MATERIALS STOCK REPLENISHMENT")</f>
        <v>HOUSEKEEPING MATERIALS STOCK REPLENISHMENT</v>
      </c>
    </row>
    <row r="2532">
      <c r="A2532" s="234">
        <f>IFERROR(__xludf.DUMMYFUNCTION("""COMPUTED_VALUE"""),107365.0)</f>
        <v>107365</v>
      </c>
      <c r="B2532" s="235" t="str">
        <f>IFERROR(__xludf.DUMMYFUNCTION("""COMPUTED_VALUE"""),"SHARJAN GATCHALIAN")</f>
        <v>SHARJAN GATCHALIAN</v>
      </c>
      <c r="C2532" s="235" t="str">
        <f>IFERROR(__xludf.DUMMYFUNCTION("""COMPUTED_VALUE"""),"MIS/ICT")</f>
        <v>MIS/ICT</v>
      </c>
      <c r="D2532" s="196" t="str">
        <f>IFERROR(__xludf.DUMMYFUNCTION("""COMPUTED_VALUE"""),"2, RUJIE RG-E210G-P-V3")</f>
        <v>2, RUJIE RG-E210G-P-V3</v>
      </c>
      <c r="E2532" s="196" t="str">
        <f>IFERROR(__xludf.DUMMYFUNCTION("""COMPUTED_VALUE"""),"SERVICE AND TEST UNITS")</f>
        <v>SERVICE AND TEST UNITS</v>
      </c>
    </row>
    <row r="2533">
      <c r="A2533" s="234">
        <f>IFERROR(__xludf.DUMMYFUNCTION("""COMPUTED_VALUE"""),107366.0)</f>
        <v>107366</v>
      </c>
      <c r="B2533" s="235" t="str">
        <f>IFERROR(__xludf.DUMMYFUNCTION("""COMPUTED_VALUE"""),"SHARJAN GATCHALIAN")</f>
        <v>SHARJAN GATCHALIAN</v>
      </c>
      <c r="C2533" s="235" t="str">
        <f>IFERROR(__xludf.DUMMYFUNCTION("""COMPUTED_VALUE"""),"MIS/ICT")</f>
        <v>MIS/ICT</v>
      </c>
      <c r="D2533" s="196" t="str">
        <f>IFERROR(__xludf.DUMMYFUNCTION("""COMPUTED_VALUE"""),"5, UBIQUITI U7-PRO ACCEESS POINT")</f>
        <v>5, UBIQUITI U7-PRO ACCEESS POINT</v>
      </c>
      <c r="E2533" s="196" t="str">
        <f>IFERROR(__xludf.DUMMYFUNCTION("""COMPUTED_VALUE"""),"ADDITIONAL ACESS POINTS ")</f>
        <v>ADDITIONAL ACESS POINTS </v>
      </c>
    </row>
    <row r="2534">
      <c r="A2534" s="234">
        <f>IFERROR(__xludf.DUMMYFUNCTION("""COMPUTED_VALUE"""),107367.0)</f>
        <v>107367</v>
      </c>
      <c r="B2534" s="235" t="str">
        <f>IFERROR(__xludf.DUMMYFUNCTION("""COMPUTED_VALUE"""),"TROY CLUTARIO")</f>
        <v>TROY CLUTARIO</v>
      </c>
      <c r="C2534" s="235" t="str">
        <f>IFERROR(__xludf.DUMMYFUNCTION("""COMPUTED_VALUE"""),"ADMIN - STAR")</f>
        <v>ADMIN - STAR</v>
      </c>
      <c r="D2534" s="196" t="str">
        <f>IFERROR(__xludf.DUMMYFUNCTION("""COMPUTED_VALUE"""),"2, MOTOR RUN CAPACITOR
CAPACITANCE: 540-648 4F
VOLTAGE: 110 VAC
FREQUENCY: 60 HZ
TEMPERATURE RATING: 85 C")</f>
        <v>2, MOTOR RUN CAPACITOR
CAPACITANCE: 540-648 4F
VOLTAGE: 110 VAC
FREQUENCY: 60 HZ
TEMPERATURE RATING: 85 C</v>
      </c>
      <c r="E2534" s="196" t="str">
        <f>IFERROR(__xludf.DUMMYFUNCTION("""COMPUTED_VALUE"""),"REPLACEMENT OF THE DEFECTIVE MOTOR RUN")</f>
        <v>REPLACEMENT OF THE DEFECTIVE MOTOR RUN</v>
      </c>
    </row>
    <row r="2535">
      <c r="A2535" s="234">
        <f>IFERROR(__xludf.DUMMYFUNCTION("""COMPUTED_VALUE"""),107368.0)</f>
        <v>107368</v>
      </c>
      <c r="B2535" s="235" t="str">
        <f>IFERROR(__xludf.DUMMYFUNCTION("""COMPUTED_VALUE"""),"SHEREE ESPINOSA")</f>
        <v>SHEREE ESPINOSA</v>
      </c>
      <c r="C2535" s="235" t="str">
        <f>IFERROR(__xludf.DUMMYFUNCTION("""COMPUTED_VALUE"""),"ADMIN")</f>
        <v>ADMIN</v>
      </c>
      <c r="D2535" s="196" t="str">
        <f>IFERROR(__xludf.DUMMYFUNCTION("""COMPUTED_VALUE"""),"2 SETS, TARPULIN PRINTING 
SIZE: L-59 CM
H- 114CM")</f>
        <v>2 SETS, TARPULIN PRINTING 
SIZE: L-59 CM
H- 114CM</v>
      </c>
      <c r="E2535" s="196" t="str">
        <f>IFERROR(__xludf.DUMMYFUNCTION("""COMPUTED_VALUE"""),"FOR CLASSROOMS/ HALLWAYS POSTING")</f>
        <v>FOR CLASSROOMS/ HALLWAYS POSTING</v>
      </c>
    </row>
    <row r="2536">
      <c r="A2536" s="234">
        <f>IFERROR(__xludf.DUMMYFUNCTION("""COMPUTED_VALUE"""),107369.0)</f>
        <v>107369</v>
      </c>
      <c r="B2536" s="235" t="str">
        <f>IFERROR(__xludf.DUMMYFUNCTION("""COMPUTED_VALUE"""),"SHEREE ESPINOSA")</f>
        <v>SHEREE ESPINOSA</v>
      </c>
      <c r="C2536" s="235" t="str">
        <f>IFERROR(__xludf.DUMMYFUNCTION("""COMPUTED_VALUE"""),"ADMIN")</f>
        <v>ADMIN</v>
      </c>
      <c r="D2536" s="196" t="str">
        <f>IFERROR(__xludf.DUMMYFUNCTION("""COMPUTED_VALUE"""),"50 PCS, URINAL SANITIZER (LAVENDER)")</f>
        <v>50 PCS, URINAL SANITIZER (LAVENDER)</v>
      </c>
      <c r="E2536" s="196" t="str">
        <f>IFERROR(__xludf.DUMMYFUNCTION("""COMPUTED_VALUE"""),"FOR RESTROOM URINAL")</f>
        <v>FOR RESTROOM URINAL</v>
      </c>
    </row>
    <row r="2537">
      <c r="A2537" s="234">
        <f>IFERROR(__xludf.DUMMYFUNCTION("""COMPUTED_VALUE"""),107370.0)</f>
        <v>107370</v>
      </c>
      <c r="B2537" s="235" t="str">
        <f>IFERROR(__xludf.DUMMYFUNCTION("""COMPUTED_VALUE"""),"SHEREE ESPINOSA")</f>
        <v>SHEREE ESPINOSA</v>
      </c>
      <c r="C2537" s="235" t="str">
        <f>IFERROR(__xludf.DUMMYFUNCTION("""COMPUTED_VALUE"""),"ADMIN")</f>
        <v>ADMIN</v>
      </c>
      <c r="D2537" s="196" t="str">
        <f>IFERROR(__xludf.DUMMYFUNCTION("""COMPUTED_VALUE"""),"SIGNAGES 
2 PCS, PSYCHOLOGY LABORATORY 
1, TESTING AREA
1, COUNSELING/PSYCHOTHERAPY ROOM
1 MEDICINE KIT CABINET")</f>
        <v>SIGNAGES 
2 PCS, PSYCHOLOGY LABORATORY 
1, TESTING AREA
1, COUNSELING/PSYCHOTHERAPY ROOM
1 MEDICINE KIT CABINET</v>
      </c>
      <c r="E2537" s="196" t="str">
        <f>IFERROR(__xludf.DUMMYFUNCTION("""COMPUTED_VALUE"""),"FOR PSYCH LAB SIGNAGES")</f>
        <v>FOR PSYCH LAB SIGNAGES</v>
      </c>
    </row>
    <row r="2538">
      <c r="A2538" s="234">
        <f>IFERROR(__xludf.DUMMYFUNCTION("""COMPUTED_VALUE"""),107371.0)</f>
        <v>107371</v>
      </c>
      <c r="B2538" s="235" t="str">
        <f>IFERROR(__xludf.DUMMYFUNCTION("""COMPUTED_VALUE"""),"TROY CLUTARIO")</f>
        <v>TROY CLUTARIO</v>
      </c>
      <c r="C2538" s="235" t="str">
        <f>IFERROR(__xludf.DUMMYFUNCTION("""COMPUTED_VALUE"""),"ADMIN - STAR")</f>
        <v>ADMIN - STAR</v>
      </c>
      <c r="D2538" s="196" t="str">
        <f>IFERROR(__xludf.DUMMYFUNCTION("""COMPUTED_VALUE"""),"2 DRAWER GUIDE 12''
4 PULL CABINET HANDLE (CURVED)")</f>
        <v>2 DRAWER GUIDE 12''
4 PULL CABINET HANDLE (CURVED)</v>
      </c>
      <c r="E2538" s="196" t="str">
        <f>IFERROR(__xludf.DUMMYFUNCTION("""COMPUTED_VALUE"""),"MATERIALS FOR DRAWER AND CABINET REPAIR")</f>
        <v>MATERIALS FOR DRAWER AND CABINET REPAIR</v>
      </c>
    </row>
    <row r="2539">
      <c r="A2539" s="234">
        <f>IFERROR(__xludf.DUMMYFUNCTION("""COMPUTED_VALUE"""),107372.0)</f>
        <v>107372</v>
      </c>
      <c r="B2539" s="235" t="str">
        <f>IFERROR(__xludf.DUMMYFUNCTION("""COMPUTED_VALUE"""),"TROY CLUTARIO")</f>
        <v>TROY CLUTARIO</v>
      </c>
      <c r="C2539" s="235" t="str">
        <f>IFERROR(__xludf.DUMMYFUNCTION("""COMPUTED_VALUE"""),"ADMIN - STAR")</f>
        <v>ADMIN - STAR</v>
      </c>
      <c r="D2539" s="196" t="str">
        <f>IFERROR(__xludf.DUMMYFUNCTION("""COMPUTED_VALUE"""),"1 OUTDOOR FWOR DRAIN (DOME)")</f>
        <v>1 OUTDOOR FWOR DRAIN (DOME)</v>
      </c>
      <c r="E2539" s="196" t="str">
        <f>IFERROR(__xludf.DUMMYFUNCTION("""COMPUTED_VALUE"""),"REPLACEMENT OF DAMAGED OUTDOOR FLOOR DRAIN")</f>
        <v>REPLACEMENT OF DAMAGED OUTDOOR FLOOR DRAIN</v>
      </c>
    </row>
    <row r="2540">
      <c r="A2540" s="234">
        <f>IFERROR(__xludf.DUMMYFUNCTION("""COMPUTED_VALUE"""),107373.0)</f>
        <v>107373</v>
      </c>
      <c r="B2540" s="235" t="str">
        <f>IFERROR(__xludf.DUMMYFUNCTION("""COMPUTED_VALUE"""),"SHEREE ESPINOSA")</f>
        <v>SHEREE ESPINOSA</v>
      </c>
      <c r="C2540" s="235" t="str">
        <f>IFERROR(__xludf.DUMMYFUNCTION("""COMPUTED_VALUE"""),"ADMIN")</f>
        <v>ADMIN</v>
      </c>
      <c r="D2540" s="196" t="str">
        <f>IFERROR(__xludf.DUMMYFUNCTION("""COMPUTED_VALUE"""),"24 PCS, HIGH CHAIR")</f>
        <v>24 PCS, HIGH CHAIR</v>
      </c>
      <c r="E2540" s="196" t="str">
        <f>IFERROR(__xludf.DUMMYFUNCTION("""COMPUTED_VALUE"""),"FOR PSYCH LABORATORY ")</f>
        <v>FOR PSYCH LABORATORY </v>
      </c>
    </row>
    <row r="2541">
      <c r="A2541" s="234">
        <f>IFERROR(__xludf.DUMMYFUNCTION("""COMPUTED_VALUE"""),107374.0)</f>
        <v>107374</v>
      </c>
      <c r="B2541" s="235" t="str">
        <f>IFERROR(__xludf.DUMMYFUNCTION("""COMPUTED_VALUE"""),"TROY CLUTARIO")</f>
        <v>TROY CLUTARIO</v>
      </c>
      <c r="C2541" s="235" t="str">
        <f>IFERROR(__xludf.DUMMYFUNCTION("""COMPUTED_VALUE"""),"ADMIN - STAR")</f>
        <v>ADMIN - STAR</v>
      </c>
      <c r="D2541" s="196" t="str">
        <f>IFERROR(__xludf.DUMMYFUNCTION("""COMPUTED_VALUE"""),"2, ORBIT FAN 16"" GRAY")</f>
        <v>2, ORBIT FAN 16" GRAY</v>
      </c>
      <c r="E2541" s="196" t="str">
        <f>IFERROR(__xludf.DUMMYFUNCTION("""COMPUTED_VALUE"""),"REPLACEMENT OF NON-FUNCTIONING ORBIT FANS")</f>
        <v>REPLACEMENT OF NON-FUNCTIONING ORBIT FANS</v>
      </c>
    </row>
    <row r="2542">
      <c r="A2542" s="234">
        <f>IFERROR(__xludf.DUMMYFUNCTION("""COMPUTED_VALUE"""),107375.0)</f>
        <v>107375</v>
      </c>
      <c r="B2542" s="235" t="str">
        <f>IFERROR(__xludf.DUMMYFUNCTION("""COMPUTED_VALUE"""),"MELISSA NAVAL ODONO")</f>
        <v>MELISSA NAVAL ODONO</v>
      </c>
      <c r="C2542" s="235" t="str">
        <f>IFERROR(__xludf.DUMMYFUNCTION("""COMPUTED_VALUE"""),"LIBRARY COLLEGE")</f>
        <v>LIBRARY COLLEGE</v>
      </c>
      <c r="D2542" s="196" t="str">
        <f>IFERROR(__xludf.DUMMYFUNCTION("""COMPUTED_VALUE"""),"1 TRODAT")</f>
        <v>1 TRODAT</v>
      </c>
      <c r="E2542" s="196" t="str">
        <f>IFERROR(__xludf.DUMMYFUNCTION("""COMPUTED_VALUE"""),"FOR LIBRARY DOCUMENTATION")</f>
        <v>FOR LIBRARY DOCUMENTATION</v>
      </c>
    </row>
    <row r="2543">
      <c r="A2543" s="234">
        <f>IFERROR(__xludf.DUMMYFUNCTION("""COMPUTED_VALUE"""),107376.0)</f>
        <v>107376</v>
      </c>
      <c r="B2543" s="235" t="str">
        <f>IFERROR(__xludf.DUMMYFUNCTION("""COMPUTED_VALUE"""),"OWIE PAR")</f>
        <v>OWIE PAR</v>
      </c>
      <c r="C2543" s="235" t="str">
        <f>IFERROR(__xludf.DUMMYFUNCTION("""COMPUTED_VALUE"""),"ENGINEERING")</f>
        <v>ENGINEERING</v>
      </c>
      <c r="D2543" s="196" t="str">
        <f>IFERROR(__xludf.DUMMYFUNCTION("""COMPUTED_VALUE"""),"1 SET WATER METER 1/2
1 PC PPR TEE #1
1 PC PRR PIPE #1
1 PC, PPR COUPLING REDUCER 1X3/4
10 PCS, PRR ELBOW 3/4
10 PCS, PRR PIPE 3/4
1PC, PPR COUPLING REDUCER 3/4/X1/2
2PCS, PPR MALE ADAPTOR 1/2
2PCS, PPR FEMALE ADAPTOR 1/2
2PCS, PVC FEMALE ADAPTOR 1/2
10 R"&amp;"OLLS TEPLON TAPE #34")</f>
        <v>1 SET WATER METER 1/2
1 PC PPR TEE #1
1 PC PRR PIPE #1
1 PC, PPR COUPLING REDUCER 1X3/4
10 PCS, PRR ELBOW 3/4
10 PCS, PRR PIPE 3/4
1PC, PPR COUPLING REDUCER 3/4/X1/2
2PCS, PPR MALE ADAPTOR 1/2
2PCS, PPR FEMALE ADAPTOR 1/2
2PCS, PVC FEMALE ADAPTOR 1/2
10 ROLLS TEPLON TAPE #34</v>
      </c>
      <c r="E2543" s="196" t="str">
        <f>IFERROR(__xludf.DUMMYFUNCTION("""COMPUTED_VALUE"""),"CONNECTION OF WATER FROM SIHMS TO YLANG YLANG")</f>
        <v>CONNECTION OF WATER FROM SIHMS TO YLANG YLANG</v>
      </c>
    </row>
    <row r="2544">
      <c r="A2544" s="234">
        <f>IFERROR(__xludf.DUMMYFUNCTION("""COMPUTED_VALUE"""),107377.0)</f>
        <v>107377</v>
      </c>
      <c r="B2544" s="235" t="str">
        <f>IFERROR(__xludf.DUMMYFUNCTION("""COMPUTED_VALUE"""),"CHARLES LEBECO DONOR")</f>
        <v>CHARLES LEBECO DONOR</v>
      </c>
      <c r="C2544" s="235" t="str">
        <f>IFERROR(__xludf.DUMMYFUNCTION("""COMPUTED_VALUE"""),"AMD")</f>
        <v>AMD</v>
      </c>
      <c r="D2544" s="196" t="str">
        <f>IFERROR(__xludf.DUMMYFUNCTION("""COMPUTED_VALUE"""),"Paper, Copy-Laser Sub. 20 Short White	PAPR-COP-10-0002	216 rms
Paper, Copy-Laser Sub. 20 A4 White	PAPR-COP-10-0003	77 rms")</f>
        <v>Paper, Copy-Laser Sub. 20 Short White	PAPR-COP-10-0002	216 rms
Paper, Copy-Laser Sub. 20 A4 White	PAPR-COP-10-0003	77 rms</v>
      </c>
      <c r="E2544" s="196" t="str">
        <f>IFERROR(__xludf.DUMMYFUNCTION("""COMPUTED_VALUE"""),"OSSUP REPLENISHMENT")</f>
        <v>OSSUP REPLENISHMENT</v>
      </c>
    </row>
    <row r="2545">
      <c r="A2545" s="234">
        <f>IFERROR(__xludf.DUMMYFUNCTION("""COMPUTED_VALUE"""),107378.0)</f>
        <v>107378</v>
      </c>
      <c r="B2545" s="235" t="str">
        <f>IFERROR(__xludf.DUMMYFUNCTION("""COMPUTED_VALUE"""),"JORDAN JORDAN")</f>
        <v>JORDAN JORDAN</v>
      </c>
      <c r="C2545" s="235" t="str">
        <f>IFERROR(__xludf.DUMMYFUNCTION("""COMPUTED_VALUE"""),"ADMIN")</f>
        <v>ADMIN</v>
      </c>
      <c r="D2545" s="196" t="str">
        <f>IFERROR(__xludf.DUMMYFUNCTION("""COMPUTED_VALUE"""),"100 SET, 2-GANG UNIVERSAL OUTLET  W/PLATE (WIDE SERIES)
100 SET, 2-GANG 1 WAY SWITCH W/PLATE
100 SET, 1-GANG 1 WAY SWITCH W/PLATE
100 SET, 3-GANG 1 WAY SWITCH W/PLATE
50 SET, 1-GANG UNIVERSAL OUTLET W/PLATE (WIDE SERIES)")</f>
        <v>100 SET, 2-GANG UNIVERSAL OUTLET  W/PLATE (WIDE SERIES)
100 SET, 2-GANG 1 WAY SWITCH W/PLATE
100 SET, 1-GANG 1 WAY SWITCH W/PLATE
100 SET, 3-GANG 1 WAY SWITCH W/PLATE
50 SET, 1-GANG UNIVERSAL OUTLET W/PLATE (WIDE SERIES)</v>
      </c>
      <c r="E2545" s="196" t="str">
        <f>IFERROR(__xludf.DUMMYFUNCTION("""COMPUTED_VALUE"""),"FOR REPLACEMENT OF OLD UNITS")</f>
        <v>FOR REPLACEMENT OF OLD UNITS</v>
      </c>
    </row>
    <row r="2546">
      <c r="A2546" s="234">
        <f>IFERROR(__xludf.DUMMYFUNCTION("""COMPUTED_VALUE"""),107379.0)</f>
        <v>107379</v>
      </c>
      <c r="B2546" s="235" t="str">
        <f>IFERROR(__xludf.DUMMYFUNCTION("""COMPUTED_VALUE"""),"CHARLES LEBECO DONOR")</f>
        <v>CHARLES LEBECO DONOR</v>
      </c>
      <c r="C2546" s="235" t="str">
        <f>IFERROR(__xludf.DUMMYFUNCTION("""COMPUTED_VALUE"""),"AMD")</f>
        <v>AMD</v>
      </c>
      <c r="D2546" s="196" t="str">
        <f>IFERROR(__xludf.DUMMYFUNCTION("""COMPUTED_VALUE"""),"Toner, Cartridge CF210A Black	TONR-ONE-10-0001	10 PCS.
Toner, Cartridge CF211A Cyan	TONR-ONE-10-0002	18 PCS.
Toner, Cartridge CF213A Magenta	TONR-ONE-10-0004	10 PCS.")</f>
        <v>Toner, Cartridge CF210A Black	TONR-ONE-10-0001	10 PCS.
Toner, Cartridge CF211A Cyan	TONR-ONE-10-0002	18 PCS.
Toner, Cartridge CF213A Magenta	TONR-ONE-10-0004	10 PCS.</v>
      </c>
      <c r="E2546" s="196" t="str">
        <f>IFERROR(__xludf.DUMMYFUNCTION("""COMPUTED_VALUE"""),"OSSUP REPLENISHMENT")</f>
        <v>OSSUP REPLENISHMENT</v>
      </c>
    </row>
    <row r="2547">
      <c r="A2547" s="234">
        <f>IFERROR(__xludf.DUMMYFUNCTION("""COMPUTED_VALUE"""),107380.0)</f>
        <v>107380</v>
      </c>
      <c r="B2547" s="235" t="str">
        <f>IFERROR(__xludf.DUMMYFUNCTION("""COMPUTED_VALUE"""),"OWIE PAR")</f>
        <v>OWIE PAR</v>
      </c>
      <c r="C2547" s="235" t="str">
        <f>IFERROR(__xludf.DUMMYFUNCTION("""COMPUTED_VALUE"""),"ENGINEERING")</f>
        <v>ENGINEERING</v>
      </c>
      <c r="D2547" s="196" t="str">
        <f>IFERROR(__xludf.DUMMYFUNCTION("""COMPUTED_VALUE"""),"1 ROLL, THHW #14 P.D
2 PCS, METALIC UTILITY BOX DEEP TYPE
5 PCS, METALIC BOX DEEP TYPE
5 SET, T-5 DAYLIGHT 18 W FIXTURE
1 ROLL, FLEXSIBLE PIPE 1/2 75 METER
2 SET, 1 GANG SWITCH 3 WAY WIDE SERIES
20 PCS, PVC CLAMP 1/2
2 PCS, PVC MOULDING 1/2
50 PCS, BLACK "&amp;"SCREW 1 1/2 METAL
1 PACL UD MORE WALL PASTE")</f>
        <v>1 ROLL, THHW #14 P.D
2 PCS, METALIC UTILITY BOX DEEP TYPE
5 PCS, METALIC BOX DEEP TYPE
5 SET, T-5 DAYLIGHT 18 W FIXTURE
1 ROLL, FLEXSIBLE PIPE 1/2 75 METER
2 SET, 1 GANG SWITCH 3 WAY WIDE SERIES
20 PCS, PVC CLAMP 1/2
2 PCS, PVC MOULDING 1/2
50 PCS, BLACK SCREW 1 1/2 METAL
1 PACL UD MORE WALL PASTE</v>
      </c>
      <c r="E2547" s="196" t="str">
        <f>IFERROR(__xludf.DUMMYFUNCTION("""COMPUTED_VALUE"""),"FOR TROPICAL HALLWAY ADDITIONAL LIGHTS")</f>
        <v>FOR TROPICAL HALLWAY ADDITIONAL LIGHTS</v>
      </c>
    </row>
    <row r="2548">
      <c r="A2548" s="234">
        <f>IFERROR(__xludf.DUMMYFUNCTION("""COMPUTED_VALUE"""),107381.0)</f>
        <v>107381</v>
      </c>
      <c r="B2548" s="235" t="str">
        <f>IFERROR(__xludf.DUMMYFUNCTION("""COMPUTED_VALUE"""),"MELISSA NAVAL ODONO")</f>
        <v>MELISSA NAVAL ODONO</v>
      </c>
      <c r="C2548" s="235" t="str">
        <f>IFERROR(__xludf.DUMMYFUNCTION("""COMPUTED_VALUE"""),"I.B.")</f>
        <v>I.B.</v>
      </c>
      <c r="D2548" s="196" t="str">
        <f>IFERROR(__xludf.DUMMYFUNCTION("""COMPUTED_VALUE"""),"Niel J. Salkind and Bruce B. Frey		Statistics for people who hate statistics (8th ed.)					
Xiong-Hui Zhao		Problems and solutions in Mathematical olympiad (secondary 2)					
Zun Shan		Problems and solutions in Mathematical olympiad (secondary 1)					
"&amp;"		IMO problems, theorems (set of 4 vol.)					
Jabari Chandler		Differential Equations and Applications					
Deborah J. Ramsey 		Probability for dummies					
Ronald J. harsbarger		Mathematical applications (13th ed.)					")</f>
        <v>Niel J. Salkind and Bruce B. Frey		Statistics for people who hate statistics (8th ed.)					
Xiong-Hui Zhao		Problems and solutions in Mathematical olympiad (secondary 2)					
Zun Shan		Problems and solutions in Mathematical olympiad (secondary 1)					
		IMO problems, theorems (set of 4 vol.)					
Jabari Chandler		Differential Equations and Applications					
Deborah J. Ramsey 		Probability for dummies					
Ronald J. harsbarger		Mathematical applications (13th ed.)					</v>
      </c>
      <c r="E2548" s="196" t="str">
        <f>IFERROR(__xludf.DUMMYFUNCTION("""COMPUTED_VALUE"""),"FOR LIBRARYS COPY / FACULTY USE")</f>
        <v>FOR LIBRARYS COPY / FACULTY USE</v>
      </c>
    </row>
    <row r="2549">
      <c r="A2549" s="234">
        <f>IFERROR(__xludf.DUMMYFUNCTION("""COMPUTED_VALUE"""),107382.0)</f>
        <v>107382</v>
      </c>
      <c r="B2549" s="235" t="str">
        <f>IFERROR(__xludf.DUMMYFUNCTION("""COMPUTED_VALUE"""),"ELMIE LANDIATO")</f>
        <v>ELMIE LANDIATO</v>
      </c>
      <c r="C2549" s="235" t="str">
        <f>IFERROR(__xludf.DUMMYFUNCTION("""COMPUTED_VALUE"""),"HRMD")</f>
        <v>HRMD</v>
      </c>
      <c r="D2549" s="196" t="str">
        <f>IFERROR(__xludf.DUMMYFUNCTION("""COMPUTED_VALUE"""),"AY 26-27
TYPE B UNIFORM
LIST WILL BE SHARED VIA EMAIL")</f>
        <v>AY 26-27
TYPE B UNIFORM
LIST WILL BE SHARED VIA EMAIL</v>
      </c>
      <c r="E2549" s="196" t="str">
        <f>IFERROR(__xludf.DUMMYFUNCTION("""COMPUTED_VALUE"""),"SISC TYPE UNIFORM")</f>
        <v>SISC TYPE UNIFORM</v>
      </c>
    </row>
    <row r="2550">
      <c r="A2550" s="234">
        <f>IFERROR(__xludf.DUMMYFUNCTION("""COMPUTED_VALUE"""),107383.0)</f>
        <v>107383</v>
      </c>
      <c r="B2550" s="235" t="str">
        <f>IFERROR(__xludf.DUMMYFUNCTION("""COMPUTED_VALUE"""),"SHEREE ESPINOSA")</f>
        <v>SHEREE ESPINOSA</v>
      </c>
      <c r="C2550" s="235"/>
      <c r="D2550" s="196" t="str">
        <f>IFERROR(__xludf.DUMMYFUNCTION("""COMPUTED_VALUE"""),"ROOM NUMBER 
MATERIAL: SINTRA BOARD
LUX
TROPICAL
COLLEGE")</f>
        <v>ROOM NUMBER 
MATERIAL: SINTRA BOARD
LUX
TROPICAL
COLLEGE</v>
      </c>
      <c r="E2550" s="196" t="str">
        <f>IFERROR(__xludf.DUMMYFUNCTION("""COMPUTED_VALUE"""),"CLASSROOM ROOM NUMBERS AND SIGNAGE")</f>
        <v>CLASSROOM ROOM NUMBERS AND SIGNAGE</v>
      </c>
    </row>
    <row r="2551">
      <c r="A2551" s="234">
        <f>IFERROR(__xludf.DUMMYFUNCTION("""COMPUTED_VALUE"""),107384.0)</f>
        <v>107384</v>
      </c>
      <c r="B2551" s="235" t="str">
        <f>IFERROR(__xludf.DUMMYFUNCTION("""COMPUTED_VALUE"""),"RODRIGO CUSTODIO")</f>
        <v>RODRIGO CUSTODIO</v>
      </c>
      <c r="C2551" s="235" t="str">
        <f>IFERROR(__xludf.DUMMYFUNCTION("""COMPUTED_VALUE"""),"AMD")</f>
        <v>AMD</v>
      </c>
      <c r="D2551" s="196" t="str">
        <f>IFERROR(__xludf.DUMMYFUNCTION("""COMPUTED_VALUE"""),"26O KLS, CHLORINE, 1KG PER PACK")</f>
        <v>26O KLS, CHLORINE, 1KG PER PACK</v>
      </c>
      <c r="E2551" s="196" t="str">
        <f>IFERROR(__xludf.DUMMYFUNCTION("""COMPUTED_VALUE"""),"HOUSEKEEPING MATERIALS STOCK REPLENISHMENT")</f>
        <v>HOUSEKEEPING MATERIALS STOCK REPLENISHMENT</v>
      </c>
    </row>
    <row r="2552">
      <c r="A2552" s="234">
        <f>IFERROR(__xludf.DUMMYFUNCTION("""COMPUTED_VALUE"""),107385.0)</f>
        <v>107385</v>
      </c>
      <c r="B2552" s="235" t="str">
        <f>IFERROR(__xludf.DUMMYFUNCTION("""COMPUTED_VALUE"""),"ADOR MARINDA")</f>
        <v>ADOR MARINDA</v>
      </c>
      <c r="C2552" s="235" t="str">
        <f>IFERROR(__xludf.DUMMYFUNCTION("""COMPUTED_VALUE"""),"MIS/ICT")</f>
        <v>MIS/ICT</v>
      </c>
      <c r="D2552" s="196" t="str">
        <f>IFERROR(__xludf.DUMMYFUNCTION("""COMPUTED_VALUE"""),"25, WINDOWS SERVER 2025 REMOTE DESKTOP SERVICES LICENSE (RD CALS)")</f>
        <v>25, WINDOWS SERVER 2025 REMOTE DESKTOP SERVICES LICENSE (RD CALS)</v>
      </c>
      <c r="E2552" s="196" t="str">
        <f>IFERROR(__xludf.DUMMYFUNCTION("""COMPUTED_VALUE"""),"RDS LISCENSE FOR QUICKBOOKS")</f>
        <v>RDS LISCENSE FOR QUICKBOOKS</v>
      </c>
    </row>
    <row r="2553">
      <c r="A2553" s="234">
        <f>IFERROR(__xludf.DUMMYFUNCTION("""COMPUTED_VALUE"""),107386.0)</f>
        <v>107386</v>
      </c>
      <c r="B2553" s="235" t="str">
        <f>IFERROR(__xludf.DUMMYFUNCTION("""COMPUTED_VALUE"""),"K. GABUTERO")</f>
        <v>K. GABUTERO</v>
      </c>
      <c r="C2553" s="235" t="str">
        <f>IFERROR(__xludf.DUMMYFUNCTION("""COMPUTED_VALUE"""),"AB COMM/MMA")</f>
        <v>AB COMM/MMA</v>
      </c>
      <c r="D2553" s="196" t="str">
        <f>IFERROR(__xludf.DUMMYFUNCTION("""COMPUTED_VALUE"""),"1 TRICASTER MINI X HDMI BUNDLE 
2 VIZRT PTZ3 PLUS CAMERA 
1 INTEGRATION COMMISSIONING AND SUPPORT SERVICES (ONE-YEAR)")</f>
        <v>1 TRICASTER MINI X HDMI BUNDLE 
2 VIZRT PTZ3 PLUS CAMERA 
1 INTEGRATION COMMISSIONING AND SUPPORT SERVICES (ONE-YEAR)</v>
      </c>
      <c r="E2553" s="196" t="str">
        <f>IFERROR(__xludf.DUMMYFUNCTION("""COMPUTED_VALUE"""),"NEEDED FOR BROADCAST STUDIO CLASSES 2 PROJECTS")</f>
        <v>NEEDED FOR BROADCAST STUDIO CLASSES 2 PROJECTS</v>
      </c>
    </row>
    <row r="2554">
      <c r="A2554" s="234">
        <f>IFERROR(__xludf.DUMMYFUNCTION("""COMPUTED_VALUE"""),107387.0)</f>
        <v>107387</v>
      </c>
      <c r="B2554" s="235" t="str">
        <f>IFERROR(__xludf.DUMMYFUNCTION("""COMPUTED_VALUE"""),"MELISSA NAVAL ODONO")</f>
        <v>MELISSA NAVAL ODONO</v>
      </c>
      <c r="C2554" s="235" t="str">
        <f>IFERROR(__xludf.DUMMYFUNCTION("""COMPUTED_VALUE"""),"LIBRARY MUNICH")</f>
        <v>LIBRARY MUNICH</v>
      </c>
      <c r="D2554" s="196" t="str">
        <f>IFERROR(__xludf.DUMMYFUNCTION("""COMPUTED_VALUE"""),"1 PC WAYS OF THINKING IN STEM BASED PROBLEM-SOLVING
1 PC ADAPTIVE PHYSICAL EDUCATION AND SPORTS
1 PC EQUITY, DIVERSITY, AND INCLUSION IN SCHOOLS
1 PC INCLUSION
1 PC INCLUSIVE PRACTICE IN EARLY EDUCATION
1 PC COMMUNICATIONS TOOL KIT
1 PC ACADEMIC WRITING, "&amp;"ASSESSMENT, AND NEURODIVERSITY PEDAGOGIES FOR INCLUSION
1 PC AN INTRODUCTION TO YOUTH-CENTERED RESEARCH METHODS RESEARCHING WITH YOUNG PEOPLE
1 PC, DIFFERENTIATED INSTRUCTION TECHNIQUES
1 PC, CREATIVE WRITING STORYTELLING AND ESSAYS
1 PC, IMPROVING ACADEM"&amp;"IC EXECUTIVE FUNCTIONING FOR AUTISTIC MIDDLE SCHOOLERS")</f>
        <v>1 PC WAYS OF THINKING IN STEM BASED PROBLEM-SOLVING
1 PC ADAPTIVE PHYSICAL EDUCATION AND SPORTS
1 PC EQUITY, DIVERSITY, AND INCLUSION IN SCHOOLS
1 PC INCLUSION
1 PC INCLUSIVE PRACTICE IN EARLY EDUCATION
1 PC COMMUNICATIONS TOOL KIT
1 PC ACADEMIC WRITING, ASSESSMENT, AND NEURODIVERSITY PEDAGOGIES FOR INCLUSION
1 PC AN INTRODUCTION TO YOUTH-CENTERED RESEARCH METHODS RESEARCHING WITH YOUNG PEOPLE
1 PC, DIFFERENTIATED INSTRUCTION TECHNIQUES
1 PC, CREATIVE WRITING STORYTELLING AND ESSAYS
1 PC, IMPROVING ACADEMIC EXECUTIVE FUNCTIONING FOR AUTISTIC MIDDLE SCHOOLERS</v>
      </c>
      <c r="E2554" s="196" t="str">
        <f>IFERROR(__xludf.DUMMYFUNCTION("""COMPUTED_VALUE"""),"LIBRARYS COPY")</f>
        <v>LIBRARYS COPY</v>
      </c>
    </row>
    <row r="2555">
      <c r="A2555" s="234">
        <f>IFERROR(__xludf.DUMMYFUNCTION("""COMPUTED_VALUE"""),107388.0)</f>
        <v>107388</v>
      </c>
      <c r="B2555" s="235" t="str">
        <f>IFERROR(__xludf.DUMMYFUNCTION("""COMPUTED_VALUE"""),"OWIE PAR")</f>
        <v>OWIE PAR</v>
      </c>
      <c r="C2555" s="235" t="str">
        <f>IFERROR(__xludf.DUMMYFUNCTION("""COMPUTED_VALUE"""),"ENGINEERING")</f>
        <v>ENGINEERING</v>
      </c>
      <c r="D2555" s="196" t="str">
        <f>IFERROR(__xludf.DUMMYFUNCTION("""COMPUTED_VALUE"""),"1 UNIT 6.0 H.P CEILING MOUNTED TYPE INVERTER PANASONIC ")</f>
        <v>1 UNIT 6.0 H.P CEILING MOUNTED TYPE INVERTER PANASONIC </v>
      </c>
      <c r="E2555" s="196" t="str">
        <f>IFERROR(__xludf.DUMMYFUNCTION("""COMPUTED_VALUE"""),"FOR L-SHAPE 405")</f>
        <v>FOR L-SHAPE 405</v>
      </c>
    </row>
    <row r="2556">
      <c r="A2556" s="234">
        <f>IFERROR(__xludf.DUMMYFUNCTION("""COMPUTED_VALUE"""),107389.0)</f>
        <v>107389</v>
      </c>
      <c r="B2556" s="235" t="str">
        <f>IFERROR(__xludf.DUMMYFUNCTION("""COMPUTED_VALUE"""),"OWIE PAR")</f>
        <v>OWIE PAR</v>
      </c>
      <c r="C2556" s="235" t="str">
        <f>IFERROR(__xludf.DUMMYFUNCTION("""COMPUTED_VALUE"""),"ENGINEERING")</f>
        <v>ENGINEERING</v>
      </c>
      <c r="D2556" s="196" t="str">
        <f>IFERROR(__xludf.DUMMYFUNCTION("""COMPUTED_VALUE"""),"1 UNIT 6.0 H.P CEILING MOUNTED TYPE INVERTER PANASONIC ")</f>
        <v>1 UNIT 6.0 H.P CEILING MOUNTED TYPE INVERTER PANASONIC </v>
      </c>
      <c r="E2556" s="196" t="str">
        <f>IFERROR(__xludf.DUMMYFUNCTION("""COMPUTED_VALUE"""),"FOR L-SHAPE 404")</f>
        <v>FOR L-SHAPE 404</v>
      </c>
    </row>
    <row r="2557">
      <c r="A2557" s="234">
        <f>IFERROR(__xludf.DUMMYFUNCTION("""COMPUTED_VALUE"""),107390.0)</f>
        <v>107390</v>
      </c>
      <c r="B2557" s="235" t="str">
        <f>IFERROR(__xludf.DUMMYFUNCTION("""COMPUTED_VALUE"""),"OWIE PAR")</f>
        <v>OWIE PAR</v>
      </c>
      <c r="C2557" s="235" t="str">
        <f>IFERROR(__xludf.DUMMYFUNCTION("""COMPUTED_VALUE"""),"ENGINEERING")</f>
        <v>ENGINEERING</v>
      </c>
      <c r="D2557" s="196" t="str">
        <f>IFERROR(__xludf.DUMMYFUNCTION("""COMPUTED_VALUE"""),"1 UNIT 6.0 H.P CEILING MOUNTED TYPE INVERTER PANASONIC ")</f>
        <v>1 UNIT 6.0 H.P CEILING MOUNTED TYPE INVERTER PANASONIC </v>
      </c>
      <c r="E2557" s="196" t="str">
        <f>IFERROR(__xludf.DUMMYFUNCTION("""COMPUTED_VALUE"""),"FOR L-SHAPE 402")</f>
        <v>FOR L-SHAPE 402</v>
      </c>
    </row>
    <row r="2558">
      <c r="A2558" s="234">
        <f>IFERROR(__xludf.DUMMYFUNCTION("""COMPUTED_VALUE"""),107391.0)</f>
        <v>107391</v>
      </c>
      <c r="B2558" s="235" t="str">
        <f>IFERROR(__xludf.DUMMYFUNCTION("""COMPUTED_VALUE"""),"OWIE PAR")</f>
        <v>OWIE PAR</v>
      </c>
      <c r="C2558" s="235" t="str">
        <f>IFERROR(__xludf.DUMMYFUNCTION("""COMPUTED_VALUE"""),"ENGINEERING")</f>
        <v>ENGINEERING</v>
      </c>
      <c r="D2558" s="196" t="str">
        <f>IFERROR(__xludf.DUMMYFUNCTION("""COMPUTED_VALUE"""),"5 ROLLS FLOOR MARKING TYPE")</f>
        <v>5 ROLLS FLOOR MARKING TYPE</v>
      </c>
      <c r="E2558" s="196" t="str">
        <f>IFERROR(__xludf.DUMMYFUNCTION("""COMPUTED_VALUE"""),"FOR LIMA L.IBRARY")</f>
        <v>FOR LIMA L.IBRARY</v>
      </c>
    </row>
    <row r="2559">
      <c r="A2559" s="234">
        <f>IFERROR(__xludf.DUMMYFUNCTION("""COMPUTED_VALUE"""),107392.0)</f>
        <v>107392</v>
      </c>
      <c r="B2559" s="235"/>
      <c r="C2559" s="235"/>
      <c r="D2559" s="196"/>
      <c r="E2559" s="196"/>
    </row>
    <row r="2560">
      <c r="A2560" s="234">
        <f>IFERROR(__xludf.DUMMYFUNCTION("""COMPUTED_VALUE"""),107393.0)</f>
        <v>107393</v>
      </c>
      <c r="B2560" s="235" t="str">
        <f>IFERROR(__xludf.DUMMYFUNCTION("""COMPUTED_VALUE"""),"OWIE PAR")</f>
        <v>OWIE PAR</v>
      </c>
      <c r="C2560" s="235" t="str">
        <f>IFERROR(__xludf.DUMMYFUNCTION("""COMPUTED_VALUE"""),"ENGINEERING")</f>
        <v>ENGINEERING</v>
      </c>
      <c r="D2560" s="196" t="str">
        <f>IFERROR(__xludf.DUMMYFUNCTION("""COMPUTED_VALUE"""),"4 SETS EYEWASH")</f>
        <v>4 SETS EYEWASH</v>
      </c>
      <c r="E2560" s="196" t="str">
        <f>IFERROR(__xludf.DUMMYFUNCTION("""COMPUTED_VALUE"""),"FOR LUX SCI LAB REPLACEMENT")</f>
        <v>FOR LUX SCI LAB REPLACEMENT</v>
      </c>
    </row>
    <row r="2561">
      <c r="A2561" s="234">
        <f>IFERROR(__xludf.DUMMYFUNCTION("""COMPUTED_VALUE"""),107394.0)</f>
        <v>107394</v>
      </c>
      <c r="B2561" s="235" t="str">
        <f>IFERROR(__xludf.DUMMYFUNCTION("""COMPUTED_VALUE"""),"MELISSA NAVAL ODONO")</f>
        <v>MELISSA NAVAL ODONO</v>
      </c>
      <c r="C2561" s="235" t="str">
        <f>IFERROR(__xludf.DUMMYFUNCTION("""COMPUTED_VALUE"""),"LIBRARY MUNICH")</f>
        <v>LIBRARY MUNICH</v>
      </c>
      <c r="D2561" s="196" t="str">
        <f>IFERROR(__xludf.DUMMYFUNCTION("""COMPUTED_VALUE"""),"CHILDRENS BOOK
3 PC RENZO'S RAINBOW (ANG BAHAGHARI NI RENZO)
3 PC  A FILIPINO TRANSLATION OF OSCAR WILDE'S THE HAPPY PRINCE AND OTHER TALES WITH DISCUSSION QUESTIONS
3 PC HEARTSTRINGS: POOEMS ON LOVE, LIFE AND EVERTHING BETWEEN
3 PC HOW TO LOVE YOURSELF ("&amp;"WITHOUT TURNING INTO A NARCISSIST)
3 PC THE GOLDIES BUT GOODIES CRIME BUSTERS
3 PC GIO &amp; THE TAILORS CHALK
3 PC ZINAG &amp; THE X KIDS")</f>
        <v>CHILDRENS BOOK
3 PC RENZO'S RAINBOW (ANG BAHAGHARI NI RENZO)
3 PC  A FILIPINO TRANSLATION OF OSCAR WILDE'S THE HAPPY PRINCE AND OTHER TALES WITH DISCUSSION QUESTIONS
3 PC HEARTSTRINGS: POOEMS ON LOVE, LIFE AND EVERTHING BETWEEN
3 PC HOW TO LOVE YOURSELF (WITHOUT TURNING INTO A NARCISSIST)
3 PC THE GOLDIES BUT GOODIES CRIME BUSTERS
3 PC GIO &amp; THE TAILORS CHALK
3 PC ZINAG &amp; THE X KIDS</v>
      </c>
      <c r="E2561" s="196" t="str">
        <f>IFERROR(__xludf.DUMMYFUNCTION("""COMPUTED_VALUE"""),"STUDENT USE")</f>
        <v>STUDENT USE</v>
      </c>
    </row>
    <row r="2562">
      <c r="A2562" s="234">
        <f>IFERROR(__xludf.DUMMYFUNCTION("""COMPUTED_VALUE"""),107395.0)</f>
        <v>107395</v>
      </c>
      <c r="B2562" s="235" t="str">
        <f>IFERROR(__xludf.DUMMYFUNCTION("""COMPUTED_VALUE"""),"MARVIN MARASIGAN")</f>
        <v>MARVIN MARASIGAN</v>
      </c>
      <c r="C2562" s="235" t="str">
        <f>IFERROR(__xludf.DUMMYFUNCTION("""COMPUTED_VALUE"""),"PR &amp; MARKETING")</f>
        <v>PR &amp; MARKETING</v>
      </c>
      <c r="D2562" s="196" t="str">
        <f>IFERROR(__xludf.DUMMYFUNCTION("""COMPUTED_VALUE"""),"SOUTHVILLE SHIRT (PR GIVEAWAY)
30 PURPLE 30 WHITE
10 SMALL
30MEDIUM
15 LARGE
5 X LARGE")</f>
        <v>SOUTHVILLE SHIRT (PR GIVEAWAY)
30 PURPLE 30 WHITE
10 SMALL
30MEDIUM
15 LARGE
5 X LARGE</v>
      </c>
      <c r="E2562" s="196" t="str">
        <f>IFERROR(__xludf.DUMMYFUNCTION("""COMPUTED_VALUE"""),"FOR MIDDLE EAST MARKETING")</f>
        <v>FOR MIDDLE EAST MARKETING</v>
      </c>
    </row>
    <row r="2563">
      <c r="A2563" s="234">
        <f>IFERROR(__xludf.DUMMYFUNCTION("""COMPUTED_VALUE"""),107396.0)</f>
        <v>107396</v>
      </c>
      <c r="B2563" s="235" t="str">
        <f>IFERROR(__xludf.DUMMYFUNCTION("""COMPUTED_VALUE"""),"RODRIGO CUSTODIO")</f>
        <v>RODRIGO CUSTODIO</v>
      </c>
      <c r="C2563" s="235" t="str">
        <f>IFERROR(__xludf.DUMMYFUNCTION("""COMPUTED_VALUE"""),"AMD")</f>
        <v>AMD</v>
      </c>
      <c r="D2563" s="196" t="str">
        <f>IFERROR(__xludf.DUMMYFUNCTION("""COMPUTED_VALUE"""),"10 GALS, FLOOR FINISH (STATE) MIGHTY SPARKLE DIAMOND 25 1 U.S GAL")</f>
        <v>10 GALS, FLOOR FINISH (STATE) MIGHTY SPARKLE DIAMOND 25 1 U.S GAL</v>
      </c>
      <c r="E2563" s="196" t="str">
        <f>IFERROR(__xludf.DUMMYFUNCTION("""COMPUTED_VALUE"""),"HOUSEKEEPING MATERIALS STOCK REPLENISHMENT")</f>
        <v>HOUSEKEEPING MATERIALS STOCK REPLENISHMENT</v>
      </c>
    </row>
    <row r="2564">
      <c r="A2564" s="234">
        <f>IFERROR(__xludf.DUMMYFUNCTION("""COMPUTED_VALUE"""),107397.0)</f>
        <v>107397</v>
      </c>
      <c r="B2564" s="235" t="str">
        <f>IFERROR(__xludf.DUMMYFUNCTION("""COMPUTED_VALUE"""),"KRISTEN GABUTERO")</f>
        <v>KRISTEN GABUTERO</v>
      </c>
      <c r="C2564" s="235" t="str">
        <f>IFERROR(__xludf.DUMMYFUNCTION("""COMPUTED_VALUE"""),"AB COMM/MMA")</f>
        <v>AB COMM/MMA</v>
      </c>
      <c r="D2564" s="196" t="str">
        <f>IFERROR(__xludf.DUMMYFUNCTION("""COMPUTED_VALUE"""),"30 WACOM 3 IN 1 CABLE COMPATIBLE W/WACOM ONE 12 WACOM ONE 13")</f>
        <v>30 WACOM 3 IN 1 CABLE COMPATIBLE W/WACOM ONE 12 WACOM ONE 13</v>
      </c>
      <c r="E2564" s="196" t="str">
        <f>IFERROR(__xludf.DUMMYFUNCTION("""COMPUTED_VALUE"""),"NEEDED FOR WACOM TABLETS IN COMLAB 1 (WINDOWS)")</f>
        <v>NEEDED FOR WACOM TABLETS IN COMLAB 1 (WINDOWS)</v>
      </c>
    </row>
    <row r="2565">
      <c r="A2565" s="234">
        <f>IFERROR(__xludf.DUMMYFUNCTION("""COMPUTED_VALUE"""),107398.0)</f>
        <v>107398</v>
      </c>
      <c r="B2565" s="235" t="str">
        <f>IFERROR(__xludf.DUMMYFUNCTION("""COMPUTED_VALUE"""),"JOHNY QUIQUI")</f>
        <v>JOHNY QUIQUI</v>
      </c>
      <c r="C2565" s="235" t="str">
        <f>IFERROR(__xludf.DUMMYFUNCTION("""COMPUTED_VALUE"""),"STUFFSHOP")</f>
        <v>STUFFSHOP</v>
      </c>
      <c r="D2565" s="196" t="str">
        <f>IFERROR(__xludf.DUMMYFUNCTION("""COMPUTED_VALUE"""),"10 BIG EGG BY MOLLY COXE 978-0679881261")</f>
        <v>10 BIG EGG BY MOLLY COXE 978-0679881261</v>
      </c>
      <c r="E2565" s="196" t="str">
        <f>IFERROR(__xludf.DUMMYFUNCTION("""COMPUTED_VALUE"""),"FOR SALE IN STUFFSHOP")</f>
        <v>FOR SALE IN STUFFSHOP</v>
      </c>
    </row>
    <row r="2566">
      <c r="A2566" s="234">
        <f>IFERROR(__xludf.DUMMYFUNCTION("""COMPUTED_VALUE"""),107399.0)</f>
        <v>107399</v>
      </c>
      <c r="B2566" s="235" t="str">
        <f>IFERROR(__xludf.DUMMYFUNCTION("""COMPUTED_VALUE"""),"JOHNY QUIQUI")</f>
        <v>JOHNY QUIQUI</v>
      </c>
      <c r="C2566" s="235" t="str">
        <f>IFERROR(__xludf.DUMMYFUNCTION("""COMPUTED_VALUE"""),"STUFFSHOP")</f>
        <v>STUFFSHOP</v>
      </c>
      <c r="D2566" s="196" t="str">
        <f>IFERROR(__xludf.DUMMYFUNCTION("""COMPUTED_VALUE""")," 	
10 PS, SKILLBOOK STANFORD READING - C (JUNIOR PREP)
10 STANFORD SKILLBOOK MATH - C (JUNIOR PREP)
")</f>
        <v> 	
10 PS, SKILLBOOK STANFORD READING - C (JUNIOR PREP)
10 STANFORD SKILLBOOK MATH - C (JUNIOR PREP)
</v>
      </c>
      <c r="E2566" s="196" t="str">
        <f>IFERROR(__xludf.DUMMYFUNCTION("""COMPUTED_VALUE"""),"FOR SALE IN STUFFSHOP")</f>
        <v>FOR SALE IN STUFFSHOP</v>
      </c>
    </row>
    <row r="2567">
      <c r="A2567" s="234">
        <f>IFERROR(__xludf.DUMMYFUNCTION("""COMPUTED_VALUE"""),107400.0)</f>
        <v>107400</v>
      </c>
      <c r="B2567" s="235" t="str">
        <f>IFERROR(__xludf.DUMMYFUNCTION("""COMPUTED_VALUE"""),"JOHNY QUIQUI")</f>
        <v>JOHNY QUIQUI</v>
      </c>
      <c r="C2567" s="235" t="str">
        <f>IFERROR(__xludf.DUMMYFUNCTION("""COMPUTED_VALUE"""),"STUFFSHOP")</f>
        <v>STUFFSHOP</v>
      </c>
      <c r="D2567" s="196" t="str">
        <f>IFERROR(__xludf.DUMMYFUNCTION("""COMPUTED_VALUE"""),"10 G4, EQ-ACT 4| AM ME, NEW EDITION 2018
10 G4 TOWPEP JOURNAL")</f>
        <v>10 G4, EQ-ACT 4| AM ME, NEW EDITION 2018
10 G4 TOWPEP JOURNAL</v>
      </c>
      <c r="E2567" s="196" t="str">
        <f>IFERROR(__xludf.DUMMYFUNCTION("""COMPUTED_VALUE"""),"FOR SALE IN STUFFSHOP")</f>
        <v>FOR SALE IN STUFFSHOP</v>
      </c>
    </row>
    <row r="2568">
      <c r="A2568" s="234">
        <f>IFERROR(__xludf.DUMMYFUNCTION("""COMPUTED_VALUE"""),107401.0)</f>
        <v>107401</v>
      </c>
      <c r="B2568" s="235" t="str">
        <f>IFERROR(__xludf.DUMMYFUNCTION("""COMPUTED_VALUE"""),"RODRIGO CUSTODIO")</f>
        <v>RODRIGO CUSTODIO</v>
      </c>
      <c r="C2568" s="235" t="str">
        <f>IFERROR(__xludf.DUMMYFUNCTION("""COMPUTED_VALUE"""),"AMD")</f>
        <v>AMD</v>
      </c>
      <c r="D2568" s="196" t="str">
        <f>IFERROR(__xludf.DUMMYFUNCTION("""COMPUTED_VALUE"""),"152,  HAND SOAP, ANTIBACTERIAL (YELLOW) ")</f>
        <v>152,  HAND SOAP, ANTIBACTERIAL (YELLOW) </v>
      </c>
      <c r="E2568" s="196" t="str">
        <f>IFERROR(__xludf.DUMMYFUNCTION("""COMPUTED_VALUE"""),"HOUSEKEEPING MATERIALS STOCK REPLENISHMENT")</f>
        <v>HOUSEKEEPING MATERIALS STOCK REPLENISHMENT</v>
      </c>
    </row>
    <row r="2569">
      <c r="A2569" s="234">
        <f>IFERROR(__xludf.DUMMYFUNCTION("""COMPUTED_VALUE"""),107402.0)</f>
        <v>107402</v>
      </c>
      <c r="B2569" s="235" t="str">
        <f>IFERROR(__xludf.DUMMYFUNCTION("""COMPUTED_VALUE"""),"MS. VYE REVOLTAR")</f>
        <v>MS. VYE REVOLTAR</v>
      </c>
      <c r="C2569" s="235" t="str">
        <f>IFERROR(__xludf.DUMMYFUNCTION("""COMPUTED_VALUE"""),"CEM OFFICE")</f>
        <v>CEM OFFICE</v>
      </c>
      <c r="D2569" s="196" t="str">
        <f>IFERROR(__xludf.DUMMYFUNCTION("""COMPUTED_VALUE"""),"500 COPIES, RESEARCH GUIDEBOOK ")</f>
        <v>500 COPIES, RESEARCH GUIDEBOOK </v>
      </c>
      <c r="E2569" s="196" t="str">
        <f>IFERROR(__xludf.DUMMYFUNCTION("""COMPUTED_VALUE"""),"PRINTING OF RESAERCH GUIDEBOOK")</f>
        <v>PRINTING OF RESAERCH GUIDEBOOK</v>
      </c>
    </row>
    <row r="2570">
      <c r="A2570" s="234">
        <f>IFERROR(__xludf.DUMMYFUNCTION("""COMPUTED_VALUE"""),107403.0)</f>
        <v>107403</v>
      </c>
      <c r="B2570" s="235" t="str">
        <f>IFERROR(__xludf.DUMMYFUNCTION("""COMPUTED_VALUE"""),"PJ DOMINCIL")</f>
        <v>PJ DOMINCIL</v>
      </c>
      <c r="C2570" s="235" t="str">
        <f>IFERROR(__xludf.DUMMYFUNCTION("""COMPUTED_VALUE"""),"MIS/ICT")</f>
        <v>MIS/ICT</v>
      </c>
      <c r="D2570" s="196" t="str">
        <f>IFERROR(__xludf.DUMMYFUNCTION("""COMPUTED_VALUE"""),"2, ASUS VIVOBOOK 15 (XI504VA-BQ3582WSM) (90NBI3Y1-MO16D0) INTEL CORE 5 LAPTOP")</f>
        <v>2, ASUS VIVOBOOK 15 (XI504VA-BQ3582WSM) (90NBI3Y1-MO16D0) INTEL CORE 5 LAPTOP</v>
      </c>
      <c r="E2570" s="196" t="str">
        <f>IFERROR(__xludf.DUMMYFUNCTION("""COMPUTED_VALUE"""),"FOR DEV &amp; SYSAD TEAM")</f>
        <v>FOR DEV &amp; SYSAD TEAM</v>
      </c>
    </row>
    <row r="2571">
      <c r="A2571" s="234">
        <f>IFERROR(__xludf.DUMMYFUNCTION("""COMPUTED_VALUE"""),107404.0)</f>
        <v>107404</v>
      </c>
      <c r="B2571" s="235" t="str">
        <f>IFERROR(__xludf.DUMMYFUNCTION("""COMPUTED_VALUE"""),"SHEREE ESPINOSA")</f>
        <v>SHEREE ESPINOSA</v>
      </c>
      <c r="C2571" s="235" t="str">
        <f>IFERROR(__xludf.DUMMYFUNCTION("""COMPUTED_VALUE"""),"ADMIN")</f>
        <v>ADMIN</v>
      </c>
      <c r="D2571" s="196" t="str">
        <f>IFERROR(__xludf.DUMMYFUNCTION("""COMPUTED_VALUE"""),"MAGNETIC SIGN HOLDER
80 PCS, A4
50 PCS, A5
BORDER COLOR: BLACK")</f>
        <v>MAGNETIC SIGN HOLDER
80 PCS, A4
50 PCS, A5
BORDER COLOR: BLACK</v>
      </c>
      <c r="E2571" s="196" t="str">
        <f>IFERROR(__xludf.DUMMYFUNCTION("""COMPUTED_VALUE"""),"FOR CLASSROOM SCHEDULE HOLDER AND STORAGE AND SIGNAGE HOLDER")</f>
        <v>FOR CLASSROOM SCHEDULE HOLDER AND STORAGE AND SIGNAGE HOLDER</v>
      </c>
    </row>
    <row r="2572">
      <c r="A2572" s="234">
        <f>IFERROR(__xludf.DUMMYFUNCTION("""COMPUTED_VALUE"""),107405.0)</f>
        <v>107405</v>
      </c>
      <c r="B2572" s="235" t="str">
        <f>IFERROR(__xludf.DUMMYFUNCTION("""COMPUTED_VALUE"""),"TROY CLUTARIO")</f>
        <v>TROY CLUTARIO</v>
      </c>
      <c r="C2572" s="235" t="str">
        <f>IFERROR(__xludf.DUMMYFUNCTION("""COMPUTED_VALUE"""),"ADMIN - STAR")</f>
        <v>ADMIN - STAR</v>
      </c>
      <c r="D2572" s="196" t="str">
        <f>IFERROR(__xludf.DUMMYFUNCTION("""COMPUTED_VALUE"""),"3, ORBIT FAN 16'' GRAY")</f>
        <v>3, ORBIT FAN 16'' GRAY</v>
      </c>
      <c r="E2572" s="196" t="str">
        <f>IFERROR(__xludf.DUMMYFUNCTION("""COMPUTED_VALUE"""),"REPLACEMENT OF NON-FUNCTIONING ORBIT FANS")</f>
        <v>REPLACEMENT OF NON-FUNCTIONING ORBIT FANS</v>
      </c>
    </row>
    <row r="2573">
      <c r="A2573" s="234">
        <f>IFERROR(__xludf.DUMMYFUNCTION("""COMPUTED_VALUE"""),107406.0)</f>
        <v>107406</v>
      </c>
      <c r="B2573" s="235" t="str">
        <f>IFERROR(__xludf.DUMMYFUNCTION("""COMPUTED_VALUE"""),"TROY CLUTARIO")</f>
        <v>TROY CLUTARIO</v>
      </c>
      <c r="C2573" s="235" t="str">
        <f>IFERROR(__xludf.DUMMYFUNCTION("""COMPUTED_VALUE"""),"ADMIN - STAR")</f>
        <v>ADMIN - STAR</v>
      </c>
      <c r="D2573" s="196" t="str">
        <f>IFERROR(__xludf.DUMMYFUNCTION("""COMPUTED_VALUE"""),"2, IWATA TURBO AIR XI50 R")</f>
        <v>2, IWATA TURBO AIR XI50 R</v>
      </c>
      <c r="E2573" s="196" t="str">
        <f>IFERROR(__xludf.DUMMYFUNCTION("""COMPUTED_VALUE"""),"ADDITIONAL IWATA FANS IN THE ACTIVITY CENTER ")</f>
        <v>ADDITIONAL IWATA FANS IN THE ACTIVITY CENTER </v>
      </c>
    </row>
    <row r="2574">
      <c r="A2574" s="234">
        <f>IFERROR(__xludf.DUMMYFUNCTION("""COMPUTED_VALUE"""),107407.0)</f>
        <v>107407</v>
      </c>
      <c r="B2574" s="235" t="str">
        <f>IFERROR(__xludf.DUMMYFUNCTION("""COMPUTED_VALUE"""),"TROY CLUTARIO")</f>
        <v>TROY CLUTARIO</v>
      </c>
      <c r="C2574" s="235" t="str">
        <f>IFERROR(__xludf.DUMMYFUNCTION("""COMPUTED_VALUE"""),"ADMIN - STAR")</f>
        <v>ADMIN - STAR</v>
      </c>
      <c r="D2574" s="196" t="str">
        <f>IFERROR(__xludf.DUMMYFUNCTION("""COMPUTED_VALUE"""),"4, PHOTO FRAME 60X90CM")</f>
        <v>4, PHOTO FRAME 60X90CM</v>
      </c>
      <c r="E2574" s="196" t="str">
        <f>IFERROR(__xludf.DUMMYFUNCTION("""COMPUTED_VALUE"""),"FRAMES FOR 5CS, 3RS HI, TOWPEP, BLDG")</f>
        <v>FRAMES FOR 5CS, 3RS HI, TOWPEP, BLDG</v>
      </c>
    </row>
    <row r="2575">
      <c r="A2575" s="234">
        <f>IFERROR(__xludf.DUMMYFUNCTION("""COMPUTED_VALUE"""),107408.0)</f>
        <v>107408</v>
      </c>
      <c r="B2575" s="235" t="str">
        <f>IFERROR(__xludf.DUMMYFUNCTION("""COMPUTED_VALUE"""),"TROY CLUTARIO")</f>
        <v>TROY CLUTARIO</v>
      </c>
      <c r="C2575" s="235" t="str">
        <f>IFERROR(__xludf.DUMMYFUNCTION("""COMPUTED_VALUE"""),"ADMIN - STAR")</f>
        <v>ADMIN - STAR</v>
      </c>
      <c r="D2575" s="196" t="str">
        <f>IFERROR(__xludf.DUMMYFUNCTION("""COMPUTED_VALUE"""),"4 TARPULIN H- 90 CM W- 60CM")</f>
        <v>4 TARPULIN H- 90 CM W- 60CM</v>
      </c>
      <c r="E2575" s="196" t="str">
        <f>IFERROR(__xludf.DUMMYFUNCTION("""COMPUTED_VALUE"""),"5CS, 3RS, HI, TOWPEP, POSTERS + SMIS-P BLDG. DIRECTIONARY")</f>
        <v>5CS, 3RS, HI, TOWPEP, POSTERS + SMIS-P BLDG. DIRECTIONARY</v>
      </c>
    </row>
    <row r="2576">
      <c r="A2576" s="234">
        <f>IFERROR(__xludf.DUMMYFUNCTION("""COMPUTED_VALUE"""),107409.0)</f>
        <v>107409</v>
      </c>
      <c r="B2576" s="235" t="str">
        <f>IFERROR(__xludf.DUMMYFUNCTION("""COMPUTED_VALUE"""),"SHEREE ESPINOSA")</f>
        <v>SHEREE ESPINOSA</v>
      </c>
      <c r="C2576" s="235" t="str">
        <f>IFERROR(__xludf.DUMMYFUNCTION("""COMPUTED_VALUE"""),"ADMIN")</f>
        <v>ADMIN</v>
      </c>
      <c r="D2576" s="196" t="str">
        <f>IFERROR(__xludf.DUMMYFUNCTION("""COMPUTED_VALUE"""),"10,000 UMBRELLA PLASTIC SEALS (500 PCS/PACK)")</f>
        <v>10,000 UMBRELLA PLASTIC SEALS (500 PCS/PACK)</v>
      </c>
      <c r="E2576" s="196" t="str">
        <f>IFERROR(__xludf.DUMMYFUNCTION("""COMPUTED_VALUE"""),"TO SEAL PROPERLY THE 5GAL")</f>
        <v>TO SEAL PROPERLY THE 5GAL</v>
      </c>
    </row>
    <row r="2577">
      <c r="A2577" s="234">
        <f>IFERROR(__xludf.DUMMYFUNCTION("""COMPUTED_VALUE"""),107410.0)</f>
        <v>107410</v>
      </c>
      <c r="B2577" s="235" t="str">
        <f>IFERROR(__xludf.DUMMYFUNCTION("""COMPUTED_VALUE"""),"OWIE PAR")</f>
        <v>OWIE PAR</v>
      </c>
      <c r="C2577" s="235" t="str">
        <f>IFERROR(__xludf.DUMMYFUNCTION("""COMPUTED_VALUE"""),"ENGINEERING")</f>
        <v>ENGINEERING</v>
      </c>
      <c r="D2577" s="196" t="str">
        <f>IFERROR(__xludf.DUMMYFUNCTION("""COMPUTED_VALUE"""),"1 SET, AUGER MACHINE
2 PCS, ADDITIONAL AUGER CABLE")</f>
        <v>1 SET, AUGER MACHINE
2 PCS, ADDITIONAL AUGER CABLE</v>
      </c>
      <c r="E2577" s="196" t="str">
        <f>IFERROR(__xludf.DUMMYFUNCTION("""COMPUTED_VALUE"""),"ENGS USE FOR PUMBLING ")</f>
        <v>ENGS USE FOR PUMBLING </v>
      </c>
    </row>
    <row r="2578">
      <c r="A2578" s="234">
        <f>IFERROR(__xludf.DUMMYFUNCTION("""COMPUTED_VALUE"""),107411.0)</f>
        <v>107411</v>
      </c>
      <c r="B2578" s="235" t="str">
        <f>IFERROR(__xludf.DUMMYFUNCTION("""COMPUTED_VALUE"""),"TROY CLUTARIO")</f>
        <v>TROY CLUTARIO</v>
      </c>
      <c r="C2578" s="235" t="str">
        <f>IFERROR(__xludf.DUMMYFUNCTION("""COMPUTED_VALUE"""),"ADMIN - STAR")</f>
        <v>ADMIN - STAR</v>
      </c>
      <c r="D2578" s="196" t="str">
        <f>IFERROR(__xludf.DUMMYFUNCTION("""COMPUTED_VALUE"""),"1 GUN TRACKER 
5 GUN TRACKER STAPLE WIRE")</f>
        <v>1 GUN TRACKER 
5 GUN TRACKER STAPLE WIRE</v>
      </c>
      <c r="E2578" s="196" t="str">
        <f>IFERROR(__xludf.DUMMYFUNCTION("""COMPUTED_VALUE"""),"TO BE USED FOR VARIOUS EVENTS IN  STAR CAMPUS")</f>
        <v>TO BE USED FOR VARIOUS EVENTS IN  STAR CAMPUS</v>
      </c>
    </row>
    <row r="2579">
      <c r="A2579" s="234">
        <f>IFERROR(__xludf.DUMMYFUNCTION("""COMPUTED_VALUE"""),107412.0)</f>
        <v>107412</v>
      </c>
      <c r="B2579" s="235" t="str">
        <f>IFERROR(__xludf.DUMMYFUNCTION("""COMPUTED_VALUE"""),"MARVIN MARASIGAN")</f>
        <v>MARVIN MARASIGAN</v>
      </c>
      <c r="C2579" s="235" t="str">
        <f>IFERROR(__xludf.DUMMYFUNCTION("""COMPUTED_VALUE"""),"PR &amp; MARKETING")</f>
        <v>PR &amp; MARKETING</v>
      </c>
      <c r="D2579" s="196" t="str">
        <f>IFERROR(__xludf.DUMMYFUNCTION("""COMPUTED_VALUE"""),"4 BOXES, CALLING CARS
-ELYDIA
-JAYVEN
-DEXTER
-ALYSA")</f>
        <v>4 BOXES, CALLING CARS
-ELYDIA
-JAYVEN
-DEXTER
-ALYSA</v>
      </c>
      <c r="E2579" s="196" t="str">
        <f>IFERROR(__xludf.DUMMYFUNCTION("""COMPUTED_VALUE"""),"FOR MARKETING &amp; NETWORKING")</f>
        <v>FOR MARKETING &amp; NETWORKING</v>
      </c>
    </row>
    <row r="2580">
      <c r="A2580" s="234">
        <f>IFERROR(__xludf.DUMMYFUNCTION("""COMPUTED_VALUE"""),107413.0)</f>
        <v>107413</v>
      </c>
      <c r="B2580" s="235" t="str">
        <f>IFERROR(__xludf.DUMMYFUNCTION("""COMPUTED_VALUE"""),"KIM DEXTER BODOSO")</f>
        <v>KIM DEXTER BODOSO</v>
      </c>
      <c r="C2580" s="235" t="str">
        <f>IFERROR(__xludf.DUMMYFUNCTION("""COMPUTED_VALUE"""),"PR &amp; MARKETING")</f>
        <v>PR &amp; MARKETING</v>
      </c>
      <c r="D2580" s="196" t="str">
        <f>IFERROR(__xludf.DUMMYFUNCTION("""COMPUTED_VALUE""")," 10,000 PCS. FLYER FOR PROVINCIAL AND INTERNATIONAL
")</f>
        <v> 10,000 PCS. FLYER FOR PROVINCIAL AND INTERNATIONAL
</v>
      </c>
      <c r="E2580" s="196" t="str">
        <f>IFERROR(__xludf.DUMMYFUNCTION("""COMPUTED_VALUE"""),"MARKETING (PROVINCIAL &amp; INTERNATIONAL)")</f>
        <v>MARKETING (PROVINCIAL &amp; INTERNATIONAL)</v>
      </c>
    </row>
    <row r="2581">
      <c r="A2581" s="234">
        <f>IFERROR(__xludf.DUMMYFUNCTION("""COMPUTED_VALUE"""),107414.0)</f>
        <v>107414</v>
      </c>
      <c r="B2581" s="235" t="str">
        <f>IFERROR(__xludf.DUMMYFUNCTION("""COMPUTED_VALUE"""),"TROY CLUTARIO")</f>
        <v>TROY CLUTARIO</v>
      </c>
      <c r="C2581" s="235" t="str">
        <f>IFERROR(__xludf.DUMMYFUNCTION("""COMPUTED_VALUE"""),"ADMIN - STAR")</f>
        <v>ADMIN - STAR</v>
      </c>
      <c r="D2581" s="196" t="str">
        <f>IFERROR(__xludf.DUMMYFUNCTION("""COMPUTED_VALUE"""),"1 TARPULIN 
H-91.50CM
W-122-50CM")</f>
        <v>1 TARPULIN 
H-91.50CM
W-122-50CM</v>
      </c>
      <c r="E2581" s="196" t="str">
        <f>IFERROR(__xludf.DUMMYFUNCTION("""COMPUTED_VALUE"""),"INSTALL WEATHER RESISTANT WALL DECALS ON THE BULLETIN BOARD IN ROOM 305")</f>
        <v>INSTALL WEATHER RESISTANT WALL DECALS ON THE BULLETIN BOARD IN ROOM 305</v>
      </c>
    </row>
    <row r="2582">
      <c r="A2582" s="234">
        <f>IFERROR(__xludf.DUMMYFUNCTION("""COMPUTED_VALUE"""),107415.0)</f>
        <v>107415</v>
      </c>
      <c r="B2582" s="235" t="str">
        <f>IFERROR(__xludf.DUMMYFUNCTION("""COMPUTED_VALUE"""),"CARLITO DELA VEGA")</f>
        <v>CARLITO DELA VEGA</v>
      </c>
      <c r="C2582" s="235" t="str">
        <f>IFERROR(__xludf.DUMMYFUNCTION("""COMPUTED_VALUE"""),"SECURITY")</f>
        <v>SECURITY</v>
      </c>
      <c r="D2582" s="196" t="str">
        <f>IFERROR(__xludf.DUMMYFUNCTION("""COMPUTED_VALUE"""),"5 UNITS XIAOMI REDMI PAD 2 9.7'' 128GB
GATE 1 - 1 UNIT
GATW 2 - 1 UNIT
COLLEGE GATE - 1 UNIT
TROPICAL GATE - 1 UNIT
MONARCH GYM- 1 UNIT")</f>
        <v>5 UNITS XIAOMI REDMI PAD 2 9.7'' 128GB
GATE 1 - 1 UNIT
GATW 2 - 1 UNIT
COLLEGE GATE - 1 UNIT
TROPICAL GATE - 1 UNIT
MONARCH GYM- 1 UNIT</v>
      </c>
      <c r="E2582" s="196" t="str">
        <f>IFERROR(__xludf.DUMMYFUNCTION("""COMPUTED_VALUE"""),"DISMISSAL MANAGEMENT SYSTEM")</f>
        <v>DISMISSAL MANAGEMENT SYSTEM</v>
      </c>
    </row>
    <row r="2583">
      <c r="A2583" s="234">
        <f>IFERROR(__xludf.DUMMYFUNCTION("""COMPUTED_VALUE"""),107416.0)</f>
        <v>107416</v>
      </c>
      <c r="B2583" s="235" t="str">
        <f>IFERROR(__xludf.DUMMYFUNCTION("""COMPUTED_VALUE"""),"SHEILA MAE MAJAIT")</f>
        <v>SHEILA MAE MAJAIT</v>
      </c>
      <c r="C2583" s="235" t="str">
        <f>IFERROR(__xludf.DUMMYFUNCTION("""COMPUTED_VALUE"""),"PR &amp; MARKETING")</f>
        <v>PR &amp; MARKETING</v>
      </c>
      <c r="D2583" s="196" t="str">
        <f>IFERROR(__xludf.DUMMYFUNCTION("""COMPUTED_VALUE"""),"1, K12 AND IB HAVE CONQUERED THE WORLD TARP SIZE: H-10FT W=20FT THICKNESS:18 OUNCE
ADD SEAMING AND EYELET ALL OVER")</f>
        <v>1, K12 AND IB HAVE CONQUERED THE WORLD TARP SIZE: H-10FT W=20FT THICKNESS:18 OUNCE
ADD SEAMING AND EYELET ALL OVER</v>
      </c>
      <c r="E2583" s="196" t="str">
        <f>IFERROR(__xludf.DUMMYFUNCTION("""COMPUTED_VALUE"""),"ADVERTISEMENT/MARKETING")</f>
        <v>ADVERTISEMENT/MARKETING</v>
      </c>
    </row>
    <row r="2584">
      <c r="A2584" s="234">
        <f>IFERROR(__xludf.DUMMYFUNCTION("""COMPUTED_VALUE"""),107417.0)</f>
        <v>107417</v>
      </c>
      <c r="B2584" s="235" t="str">
        <f>IFERROR(__xludf.DUMMYFUNCTION("""COMPUTED_VALUE"""),"CHARLES LEBECO DONOR")</f>
        <v>CHARLES LEBECO DONOR</v>
      </c>
      <c r="C2584" s="235" t="str">
        <f>IFERROR(__xludf.DUMMYFUNCTION("""COMPUTED_VALUE"""),"AMD")</f>
        <v>AMD</v>
      </c>
      <c r="D2584" s="196" t="str">
        <f>IFERROR(__xludf.DUMMYFUNCTION("""COMPUTED_VALUE"""),"Clearbook, Unrefillable 20's Long        CLBK-GEN-10-0005        51 PCS.
Clearbook, Unrefillable 40's Long        CLBK-GEN-10-0006        50 PCS.
Clearbook, Unrefillable 20's Short        CLBK-GEN-10-0007        35 PCS.
Clearbook, Unrefillable 40's Short "&amp;"       CLBK-GEN-10-0008        31 PCS.")</f>
        <v>Clearbook, Unrefillable 20's Long        CLBK-GEN-10-0005        51 PCS.
Clearbook, Unrefillable 40's Long        CLBK-GEN-10-0006        50 PCS.
Clearbook, Unrefillable 20's Short        CLBK-GEN-10-0007        35 PCS.
Clearbook, Unrefillable 40's Short        CLBK-GEN-10-0008        31 PCS.</v>
      </c>
      <c r="E2584" s="196" t="str">
        <f>IFERROR(__xludf.DUMMYFUNCTION("""COMPUTED_VALUE"""),"OSSUP STOCK REPLENISHMENT")</f>
        <v>OSSUP STOCK REPLENISHMENT</v>
      </c>
    </row>
    <row r="2585">
      <c r="A2585" s="234">
        <f>IFERROR(__xludf.DUMMYFUNCTION("""COMPUTED_VALUE"""),107418.0)</f>
        <v>107418</v>
      </c>
      <c r="B2585" s="235" t="str">
        <f>IFERROR(__xludf.DUMMYFUNCTION("""COMPUTED_VALUE"""),"ANGELICA LAGDAMEO")</f>
        <v>ANGELICA LAGDAMEO</v>
      </c>
      <c r="C2585" s="235" t="str">
        <f>IFERROR(__xludf.DUMMYFUNCTION("""COMPUTED_VALUE"""),"LIBRARY COLLEGE")</f>
        <v>LIBRARY COLLEGE</v>
      </c>
      <c r="D2585" s="196" t="str">
        <f>IFERROR(__xludf.DUMMYFUNCTION("""COMPUTED_VALUE"""),"1 LAMINATOR MACHINE BUNDLE W/METAL BASE AND CUTTER
2 LAMINATING FILM")</f>
        <v>1 LAMINATOR MACHINE BUNDLE W/METAL BASE AND CUTTER
2 LAMINATING FILM</v>
      </c>
      <c r="E2585" s="196" t="str">
        <f>IFERROR(__xludf.DUMMYFUNCTION("""COMPUTED_VALUE"""),"FOR LABELING-OFFICE SUPLIES")</f>
        <v>FOR LABELING-OFFICE SUPLIES</v>
      </c>
    </row>
    <row r="2586">
      <c r="A2586" s="234">
        <f>IFERROR(__xludf.DUMMYFUNCTION("""COMPUTED_VALUE"""),107419.0)</f>
        <v>107419</v>
      </c>
      <c r="B2586" s="235" t="str">
        <f>IFERROR(__xludf.DUMMYFUNCTION("""COMPUTED_VALUE"""),"CHARLES LEBECO DONOR")</f>
        <v>CHARLES LEBECO DONOR</v>
      </c>
      <c r="C2586" s="235" t="str">
        <f>IFERROR(__xludf.DUMMYFUNCTION("""COMPUTED_VALUE"""),"AMD")</f>
        <v>AMD</v>
      </c>
      <c r="D2586" s="196" t="str">
        <f>IFERROR(__xludf.DUMMYFUNCTION("""COMPUTED_VALUE""")," Eraser, Pencil (New Item)        ERAS-PEN-10-0001        30 pcs.
Pencil, Mongol Regular No. 1        PENC-MGL-10-0001        70 pcs.")</f>
        <v> Eraser, Pencil (New Item)        ERAS-PEN-10-0001        30 pcs.
Pencil, Mongol Regular No. 1        PENC-MGL-10-0001        70 pcs.</v>
      </c>
      <c r="E2586" s="196" t="str">
        <f>IFERROR(__xludf.DUMMYFUNCTION("""COMPUTED_VALUE"""),"OSSUP STOCK REPLENISHMENT")</f>
        <v>OSSUP STOCK REPLENISHMENT</v>
      </c>
    </row>
    <row r="2587">
      <c r="A2587" s="234">
        <f>IFERROR(__xludf.DUMMYFUNCTION("""COMPUTED_VALUE"""),107420.0)</f>
        <v>107420</v>
      </c>
      <c r="B2587" s="235" t="str">
        <f>IFERROR(__xludf.DUMMYFUNCTION("""COMPUTED_VALUE"""),"MARVIN MARASIGAN")</f>
        <v>MARVIN MARASIGAN</v>
      </c>
      <c r="C2587" s="235" t="str">
        <f>IFERROR(__xludf.DUMMYFUNCTION("""COMPUTED_VALUE"""),"PR &amp; MARKETING")</f>
        <v>PR &amp; MARKETING</v>
      </c>
      <c r="D2587" s="196" t="str">
        <f>IFERROR(__xludf.DUMMYFUNCTION("""COMPUTED_VALUE"""),"15,000 GENERIC FLYER - SISC BACK TO BACK")</f>
        <v>15,000 GENERIC FLYER - SISC BACK TO BACK</v>
      </c>
      <c r="E2587" s="196" t="str">
        <f>IFERROR(__xludf.DUMMYFUNCTION("""COMPUTED_VALUE"""),"MARKETING PURPOSES")</f>
        <v>MARKETING PURPOSES</v>
      </c>
    </row>
    <row r="2588">
      <c r="A2588" s="234">
        <f>IFERROR(__xludf.DUMMYFUNCTION("""COMPUTED_VALUE"""),107421.0)</f>
        <v>107421</v>
      </c>
      <c r="B2588" s="235" t="str">
        <f>IFERROR(__xludf.DUMMYFUNCTION("""COMPUTED_VALUE"""),"JESUIT CHRISTIAN GALICIA")</f>
        <v>JESUIT CHRISTIAN GALICIA</v>
      </c>
      <c r="C2588" s="235" t="str">
        <f>IFERROR(__xludf.DUMMYFUNCTION("""COMPUTED_VALUE"""),"AMD")</f>
        <v>AMD</v>
      </c>
      <c r="D2588" s="196" t="str">
        <f>IFERROR(__xludf.DUMMYFUNCTION("""COMPUTED_VALUE"""),"30 PCS, UGREEN DVI TO VGA CONVERTER
3 PCS, VIEW SONIC VA2215-H 22'' MONITOR
10 PCS, RJ45 2GANG FACE PLATE 
10 PCS, SWITCH HUB 8 PORT")</f>
        <v>30 PCS, UGREEN DVI TO VGA CONVERTER
3 PCS, VIEW SONIC VA2215-H 22'' MONITOR
10 PCS, RJ45 2GANG FACE PLATE 
10 PCS, SWITCH HUB 8 PORT</v>
      </c>
      <c r="E2588" s="196" t="str">
        <f>IFERROR(__xludf.DUMMYFUNCTION("""COMPUTED_VALUE"""),"MIS WAREHOUSE STOCK")</f>
        <v>MIS WAREHOUSE STOCK</v>
      </c>
    </row>
    <row r="2589">
      <c r="A2589" s="234">
        <f>IFERROR(__xludf.DUMMYFUNCTION("""COMPUTED_VALUE"""),107422.0)</f>
        <v>107422</v>
      </c>
      <c r="B2589" s="235" t="str">
        <f>IFERROR(__xludf.DUMMYFUNCTION("""COMPUTED_VALUE"""),"OWIE PAR")</f>
        <v>OWIE PAR</v>
      </c>
      <c r="C2589" s="235" t="str">
        <f>IFERROR(__xludf.DUMMYFUNCTION("""COMPUTED_VALUE"""),"ENGINEERING")</f>
        <v>ENGINEERING</v>
      </c>
      <c r="D2589" s="196" t="str">
        <f>IFERROR(__xludf.DUMMYFUNCTION("""COMPUTED_VALUE"""),"2 BOXES PENETRATING DIL 
2 PAILS GREASE TRAP ELIMINATOR")</f>
        <v>2 BOXES PENETRATING DIL 
2 PAILS GREASE TRAP ELIMINATOR</v>
      </c>
      <c r="E2589" s="196" t="str">
        <f>IFERROR(__xludf.DUMMYFUNCTION("""COMPUTED_VALUE"""),"ENG USE FOR GREASE TRAP AND MOTORS")</f>
        <v>ENG USE FOR GREASE TRAP AND MOTORS</v>
      </c>
    </row>
    <row r="2590">
      <c r="A2590" s="234">
        <f>IFERROR(__xludf.DUMMYFUNCTION("""COMPUTED_VALUE"""),107423.0)</f>
        <v>107423</v>
      </c>
      <c r="B2590" s="235" t="str">
        <f>IFERROR(__xludf.DUMMYFUNCTION("""COMPUTED_VALUE"""),"JANNAH L. ARGOTE")</f>
        <v>JANNAH L. ARGOTE</v>
      </c>
      <c r="C2590" s="235" t="str">
        <f>IFERROR(__xludf.DUMMYFUNCTION("""COMPUTED_VALUE"""),"PR &amp; MARKETING")</f>
        <v>PR &amp; MARKETING</v>
      </c>
      <c r="D2590" s="196" t="str">
        <f>IFERROR(__xludf.DUMMYFUNCTION("""COMPUTED_VALUE"""),"1 REORDER TCP TARP 
SIZE: 186 X 78IN (WXH)
THICKNESS: 18OZ
ADD SEAMING AND EYELET ALL OVER")</f>
        <v>1 REORDER TCP TARP 
SIZE: 186 X 78IN (WXH)
THICKNESS: 18OZ
ADD SEAMING AND EYELET ALL OVER</v>
      </c>
      <c r="E2590" s="196" t="str">
        <f>IFERROR(__xludf.DUMMYFUNCTION("""COMPUTED_VALUE"""),"FOR MARKETING PURPOSES")</f>
        <v>FOR MARKETING PURPOSES</v>
      </c>
    </row>
    <row r="2591">
      <c r="A2591" s="234">
        <f>IFERROR(__xludf.DUMMYFUNCTION("""COMPUTED_VALUE"""),107424.0)</f>
        <v>107424</v>
      </c>
      <c r="B2591" s="235" t="str">
        <f>IFERROR(__xludf.DUMMYFUNCTION("""COMPUTED_VALUE"""),"LORETA PAGUIA")</f>
        <v>LORETA PAGUIA</v>
      </c>
      <c r="C2591" s="235" t="str">
        <f>IFERROR(__xludf.DUMMYFUNCTION("""COMPUTED_VALUE"""),"AUDIT")</f>
        <v>AUDIT</v>
      </c>
      <c r="D2591" s="196" t="str">
        <f>IFERROR(__xludf.DUMMYFUNCTION("""COMPUTED_VALUE"""),"EPSON L5290 PRINTER WITH SCANNER")</f>
        <v>EPSON L5290 PRINTER WITH SCANNER</v>
      </c>
      <c r="E2591" s="196" t="str">
        <f>IFERROR(__xludf.DUMMYFUNCTION("""COMPUTED_VALUE"""),"FOR FINLAB'S OFFICE USE")</f>
        <v>FOR FINLAB'S OFFICE USE</v>
      </c>
    </row>
    <row r="2592">
      <c r="A2592" s="234">
        <f>IFERROR(__xludf.DUMMYFUNCTION("""COMPUTED_VALUE"""),107425.0)</f>
        <v>107425</v>
      </c>
      <c r="B2592" s="235" t="str">
        <f>IFERROR(__xludf.DUMMYFUNCTION("""COMPUTED_VALUE"""),"PETER JOHN DOMINICIL")</f>
        <v>PETER JOHN DOMINICIL</v>
      </c>
      <c r="C2592" s="235" t="str">
        <f>IFERROR(__xludf.DUMMYFUNCTION("""COMPUTED_VALUE"""),"MIS/ICT")</f>
        <v>MIS/ICT</v>
      </c>
      <c r="D2592" s="196" t="str">
        <f>IFERROR(__xludf.DUMMYFUNCTION("""COMPUTED_VALUE"""),"1 SUPREMA BIOSTATION LO2")</f>
        <v>1 SUPREMA BIOSTATION LO2</v>
      </c>
      <c r="E2592" s="196" t="str">
        <f>IFERROR(__xludf.DUMMYFUNCTION("""COMPUTED_VALUE"""),"FOR HRIS")</f>
        <v>FOR HRIS</v>
      </c>
    </row>
    <row r="2593">
      <c r="A2593" s="234">
        <f>IFERROR(__xludf.DUMMYFUNCTION("""COMPUTED_VALUE"""),107426.0)</f>
        <v>107426</v>
      </c>
      <c r="B2593" s="235" t="str">
        <f>IFERROR(__xludf.DUMMYFUNCTION("""COMPUTED_VALUE"""),"RODRIGO CUSTODIO")</f>
        <v>RODRIGO CUSTODIO</v>
      </c>
      <c r="C2593" s="235" t="str">
        <f>IFERROR(__xludf.DUMMYFUNCTION("""COMPUTED_VALUE"""),"AMD")</f>
        <v>AMD</v>
      </c>
      <c r="D2593" s="196" t="str">
        <f>IFERROR(__xludf.DUMMYFUNCTION("""COMPUTED_VALUE"""),"200 PACKS, TRASH BAG xxl (37'' x 40'') CLEAR
120 PACKS, TRASH  BAG, MEDIUM (22'' x 24'')
150 PCS, SCRUBBING PSD, BIG (SCOTCH BRITE)
13 PCS, BAYGON FLY PAPER
16 PCS, CAUTION WET FLOOR SIGNAGE (EVEREST)")</f>
        <v>200 PACKS, TRASH BAG xxl (37'' x 40'') CLEAR
120 PACKS, TRASH  BAG, MEDIUM (22'' x 24'')
150 PCS, SCRUBBING PSD, BIG (SCOTCH BRITE)
13 PCS, BAYGON FLY PAPER
16 PCS, CAUTION WET FLOOR SIGNAGE (EVEREST)</v>
      </c>
      <c r="E2593" s="196" t="str">
        <f>IFERROR(__xludf.DUMMYFUNCTION("""COMPUTED_VALUE"""),"HOUSEKEEPING MATERIALS STOCK REPLENISHMENT")</f>
        <v>HOUSEKEEPING MATERIALS STOCK REPLENISHMENT</v>
      </c>
    </row>
    <row r="2594">
      <c r="A2594" s="234">
        <f>IFERROR(__xludf.DUMMYFUNCTION("""COMPUTED_VALUE"""),107427.0)</f>
        <v>107427</v>
      </c>
      <c r="B2594" s="235" t="str">
        <f>IFERROR(__xludf.DUMMYFUNCTION("""COMPUTED_VALUE"""),"OWIE PAR")</f>
        <v>OWIE PAR</v>
      </c>
      <c r="C2594" s="235" t="str">
        <f>IFERROR(__xludf.DUMMYFUNCTION("""COMPUTED_VALUE"""),"ENGINEERING")</f>
        <v>ENGINEERING</v>
      </c>
      <c r="D2594" s="196" t="str">
        <f>IFERROR(__xludf.DUMMYFUNCTION("""COMPUTED_VALUE"""),"1 ROLL COPPER TUBE 5/8 .28
1 ROLL COPPER TUBE 3/8 .28
10 PCS INSULATION 5/8 X 1/2
10 PCS INSULATION  3/8 X 1/2
2 ROLLS WHITE FILM
1 ROLL THIN #12
50 METER THHN #10
1 PC FULL TRADED ROUND BAR 3/8
20 PCS BOLT NUTS W/WASHER 3/8 X2
8 PCS DYNA BOLT 3/8")</f>
        <v>1 ROLL COPPER TUBE 5/8 .28
1 ROLL COPPER TUBE 3/8 .28
10 PCS INSULATION 5/8 X 1/2
10 PCS INSULATION  3/8 X 1/2
2 ROLLS WHITE FILM
1 ROLL THIN #12
50 METER THHN #10
1 PC FULL TRADED ROUND BAR 3/8
20 PCS BOLT NUTS W/WASHER 3/8 X2
8 PCS DYNA BOLT 3/8</v>
      </c>
      <c r="E2594" s="196" t="str">
        <f>IFERROR(__xludf.DUMMYFUNCTION("""COMPUTED_VALUE"""),"FOR LIMA COLLEGE ACU INSTALLATION")</f>
        <v>FOR LIMA COLLEGE ACU INSTALLATION</v>
      </c>
    </row>
    <row r="2595">
      <c r="A2595" s="234">
        <f>IFERROR(__xludf.DUMMYFUNCTION("""COMPUTED_VALUE"""),107428.0)</f>
        <v>107428</v>
      </c>
      <c r="B2595" s="235" t="str">
        <f>IFERROR(__xludf.DUMMYFUNCTION("""COMPUTED_VALUE"""),"MARVIN MARASIGAN")</f>
        <v>MARVIN MARASIGAN</v>
      </c>
      <c r="C2595" s="235" t="str">
        <f>IFERROR(__xludf.DUMMYFUNCTION("""COMPUTED_VALUE"""),"PR &amp; MARKETING")</f>
        <v>PR &amp; MARKETING</v>
      </c>
      <c r="D2595" s="196" t="str">
        <f>IFERROR(__xludf.DUMMYFUNCTION("""COMPUTED_VALUE"""),"4000, GENERIC FLYER")</f>
        <v>4000, GENERIC FLYER</v>
      </c>
      <c r="E2595" s="196" t="str">
        <f>IFERROR(__xludf.DUMMYFUNCTION("""COMPUTED_VALUE"""),"MARKETING BUFFER WHILE WAITING FOR NEW DESIGN")</f>
        <v>MARKETING BUFFER WHILE WAITING FOR NEW DESIGN</v>
      </c>
    </row>
    <row r="2596">
      <c r="A2596" s="234">
        <f>IFERROR(__xludf.DUMMYFUNCTION("""COMPUTED_VALUE"""),107429.0)</f>
        <v>107429</v>
      </c>
      <c r="B2596" s="235" t="str">
        <f>IFERROR(__xludf.DUMMYFUNCTION("""COMPUTED_VALUE"""),"OWIE PAR")</f>
        <v>OWIE PAR</v>
      </c>
      <c r="C2596" s="235" t="str">
        <f>IFERROR(__xludf.DUMMYFUNCTION("""COMPUTED_VALUE"""),"ENGINEERING")</f>
        <v>ENGINEERING</v>
      </c>
      <c r="D2596" s="196" t="str">
        <f>IFERROR(__xludf.DUMMYFUNCTION("""COMPUTED_VALUE"""),"1 LITER VULCA SEAL
2 LITTERS BOSNY ROOF SEALER
6PCS PLYWOOD 4X8 X'/4
4 PCS, 2X2X8
1KG, COMMON NAIL #4
300 PCS, BLACK SCREW # 1 WOOD
1 GALLON, FLAT LATEX
2 PCS, BABY ROLLER # 4
1 LITTER, POLY TUFF W/HARDIWER
1 LITTER, SAND PAPER #100")</f>
        <v>1 LITER VULCA SEAL
2 LITTERS BOSNY ROOF SEALER
6PCS PLYWOOD 4X8 X'/4
4 PCS, 2X2X8
1KG, COMMON NAIL #4
300 PCS, BLACK SCREW # 1 WOOD
1 GALLON, FLAT LATEX
2 PCS, BABY ROLLER # 4
1 LITTER, POLY TUFF W/HARDIWER
1 LITTER, SAND PAPER #100</v>
      </c>
      <c r="E2596" s="196" t="str">
        <f>IFERROR(__xludf.DUMMYFUNCTION("""COMPUTED_VALUE"""),"FOR YOKOHOMA GIRLS DORM REPAIR ROOF LEAKS AND REPLACEMENT")</f>
        <v>FOR YOKOHOMA GIRLS DORM REPAIR ROOF LEAKS AND REPLACEMENT</v>
      </c>
    </row>
    <row r="2597">
      <c r="A2597" s="234">
        <f>IFERROR(__xludf.DUMMYFUNCTION("""COMPUTED_VALUE"""),107430.0)</f>
        <v>107430</v>
      </c>
      <c r="B2597" s="235" t="str">
        <f>IFERROR(__xludf.DUMMYFUNCTION("""COMPUTED_VALUE"""),"JANNAH L. ARGOTE")</f>
        <v>JANNAH L. ARGOTE</v>
      </c>
      <c r="C2597" s="235" t="str">
        <f>IFERROR(__xludf.DUMMYFUNCTION("""COMPUTED_VALUE"""),"PR &amp; MARKETING")</f>
        <v>PR &amp; MARKETING</v>
      </c>
      <c r="D2597" s="196" t="str">
        <f>IFERROR(__xludf.DUMMYFUNCTION("""COMPUTED_VALUE"""),"1 SOUTHVILLE ONLINE COURSES TARP
SIZE: W=188 X H=78 IN 
THICKNESS 18OZ
KINDLY ADD SEAMING AND EYELET ALL OVER")</f>
        <v>1 SOUTHVILLE ONLINE COURSES TARP
SIZE: W=188 X H=78 IN 
THICKNESS 18OZ
KINDLY ADD SEAMING AND EYELET ALL OVER</v>
      </c>
      <c r="E2597" s="196" t="str">
        <f>IFERROR(__xludf.DUMMYFUNCTION("""COMPUTED_VALUE"""),"FOR MARKETING PURPOSES")</f>
        <v>FOR MARKETING PURPOSES</v>
      </c>
    </row>
    <row r="2598">
      <c r="A2598" s="234">
        <f>IFERROR(__xludf.DUMMYFUNCTION("""COMPUTED_VALUE"""),107431.0)</f>
        <v>107431</v>
      </c>
      <c r="B2598" s="235" t="str">
        <f>IFERROR(__xludf.DUMMYFUNCTION("""COMPUTED_VALUE"""),"CHARLES LEBECO DONOR")</f>
        <v>CHARLES LEBECO DONOR</v>
      </c>
      <c r="C2598" s="235" t="str">
        <f>IFERROR(__xludf.DUMMYFUNCTION("""COMPUTED_VALUE"""),"AMD")</f>
        <v>AMD</v>
      </c>
      <c r="D2598" s="196" t="str">
        <f>IFERROR(__xludf.DUMMYFUNCTION("""COMPUTED_VALUE"""),"Battery, Energizer Size AA        BATT-ENE-10-0002        300 pcs.
Cartolina, White        CART-GEN-10-0007        400 pcs.
Clip, Paper (120gms/box), Prince - Big        CLIP-PRI-10-0001        40 pcs.
Clip, Paper (50gms/box), Prince - Small        CLIP-P"&amp;"RI-10-0002        130 pcs.
Envelope, Brown Long        ENVE-GEN-10-0001        1000 pcs.
Stapler, Max HD-50 w/ Staple Wire Remover        STAP-MAX-10-0001        50 pcs.")</f>
        <v>Battery, Energizer Size AA        BATT-ENE-10-0002        300 pcs.
Cartolina, White        CART-GEN-10-0007        400 pcs.
Clip, Paper (120gms/box), Prince - Big        CLIP-PRI-10-0001        40 pcs.
Clip, Paper (50gms/box), Prince - Small        CLIP-PRI-10-0002        130 pcs.
Envelope, Brown Long        ENVE-GEN-10-0001        1000 pcs.
Stapler, Max HD-50 w/ Staple Wire Remover        STAP-MAX-10-0001        50 pcs.</v>
      </c>
      <c r="E2598" s="196" t="str">
        <f>IFERROR(__xludf.DUMMYFUNCTION("""COMPUTED_VALUE"""),"OSSUP REPLENISHMENTS")</f>
        <v>OSSUP REPLENISHMENTS</v>
      </c>
    </row>
    <row r="2599">
      <c r="A2599" s="234">
        <f>IFERROR(__xludf.DUMMYFUNCTION("""COMPUTED_VALUE"""),107432.0)</f>
        <v>107432</v>
      </c>
      <c r="B2599" s="235" t="str">
        <f>IFERROR(__xludf.DUMMYFUNCTION("""COMPUTED_VALUE"""),"CHARLES LEBECO DONOR")</f>
        <v>CHARLES LEBECO DONOR</v>
      </c>
      <c r="C2599" s="235" t="str">
        <f>IFERROR(__xludf.DUMMYFUNCTION("""COMPUTED_VALUE"""),"AMD")</f>
        <v>AMD</v>
      </c>
      <c r="D2599" s="196" t="str">
        <f>IFERROR(__xludf.DUMMYFUNCTION("""COMPUTED_VALUE"""),"Corkboard - 2 X 3 (1/4T)mmmm w/o Frame        BOAR-GEN-10-0007        30 pcs.
Corkboard - 2 X 3 (1/4T)mmmm with Frame        BOAR-GEN-10-0001        30 pcs.
Illustration Board - Blk/Wh 1 whole        BOAR-GEN-10-0008        15 pcs.")</f>
        <v>Corkboard - 2 X 3 (1/4T)mmmm w/o Frame        BOAR-GEN-10-0007        30 pcs.
Corkboard - 2 X 3 (1/4T)mmmm with Frame        BOAR-GEN-10-0001        30 pcs.
Illustration Board - Blk/Wh 1 whole        BOAR-GEN-10-0008        15 pcs.</v>
      </c>
      <c r="E2599" s="196" t="str">
        <f>IFERROR(__xludf.DUMMYFUNCTION("""COMPUTED_VALUE"""),"OSSUP REPLENISHMENTS")</f>
        <v>OSSUP REPLENISHMENTS</v>
      </c>
    </row>
    <row r="2600">
      <c r="A2600" s="234">
        <f>IFERROR(__xludf.DUMMYFUNCTION("""COMPUTED_VALUE"""),107433.0)</f>
        <v>107433</v>
      </c>
      <c r="B2600" s="235" t="str">
        <f>IFERROR(__xludf.DUMMYFUNCTION("""COMPUTED_VALUE"""),"CHARLES LEBECO DONOR")</f>
        <v>CHARLES LEBECO DONOR</v>
      </c>
      <c r="C2600" s="235" t="str">
        <f>IFERROR(__xludf.DUMMYFUNCTION("""COMPUTED_VALUE"""),"AMD")</f>
        <v>AMD</v>
      </c>
      <c r="D2600" s="196" t="str">
        <f>IFERROR(__xludf.DUMMYFUNCTION("""COMPUTED_VALUE"""),"Toner, Cartridge Inkonvert LBP6000 85A        TONR-INK-10-0001        30 pcs.")</f>
        <v>Toner, Cartridge Inkonvert LBP6000 85A        TONR-INK-10-0001        30 pcs.</v>
      </c>
      <c r="E2600" s="196" t="str">
        <f>IFERROR(__xludf.DUMMYFUNCTION("""COMPUTED_VALUE"""),"OSSUP REPLENISHMENTS")</f>
        <v>OSSUP REPLENISHMENTS</v>
      </c>
    </row>
    <row r="2601">
      <c r="A2601" s="234">
        <f>IFERROR(__xludf.DUMMYFUNCTION("""COMPUTED_VALUE"""),107434.0)</f>
        <v>107434</v>
      </c>
      <c r="B2601" s="235" t="str">
        <f>IFERROR(__xludf.DUMMYFUNCTION("""COMPUTED_VALUE"""),"RODRIGO CUSTODIO")</f>
        <v>RODRIGO CUSTODIO</v>
      </c>
      <c r="C2601" s="235" t="str">
        <f>IFERROR(__xludf.DUMMYFUNCTION("""COMPUTED_VALUE"""),"AMD")</f>
        <v>AMD</v>
      </c>
      <c r="D2601" s="196" t="str">
        <f>IFERROR(__xludf.DUMMYFUNCTION("""COMPUTED_VALUE"""),"BIDET, RINSE TECH THE HERITAGE -CREAM")</f>
        <v>BIDET, RINSE TECH THE HERITAGE -CREAM</v>
      </c>
      <c r="E2601" s="196" t="str">
        <f>IFERROR(__xludf.DUMMYFUNCTION("""COMPUTED_VALUE"""),"HOUSEKEEPING MATERIALS STOCK REPLENISHMENT")</f>
        <v>HOUSEKEEPING MATERIALS STOCK REPLENISHMENT</v>
      </c>
    </row>
    <row r="2602">
      <c r="A2602" s="234">
        <f>IFERROR(__xludf.DUMMYFUNCTION("""COMPUTED_VALUE"""),107435.0)</f>
        <v>107435</v>
      </c>
      <c r="B2602" s="235" t="str">
        <f>IFERROR(__xludf.DUMMYFUNCTION("""COMPUTED_VALUE"""),"RODRIGO CUSTODIO")</f>
        <v>RODRIGO CUSTODIO</v>
      </c>
      <c r="C2602" s="235" t="str">
        <f>IFERROR(__xludf.DUMMYFUNCTION("""COMPUTED_VALUE"""),"AMD")</f>
        <v>AMD</v>
      </c>
      <c r="D2602" s="196" t="str">
        <f>IFERROR(__xludf.DUMMYFUNCTION("""COMPUTED_VALUE"""),"RODRIGO COSTUDIO ")</f>
        <v>RODRIGO COSTUDIO </v>
      </c>
      <c r="E2602" s="196" t="str">
        <f>IFERROR(__xludf.DUMMYFUNCTION("""COMPUTED_VALUE"""),"HOUSEKEEPING MATERIALS STOCK REPLENISHMENT")</f>
        <v>HOUSEKEEPING MATERIALS STOCK REPLENISHMENT</v>
      </c>
    </row>
    <row r="2603">
      <c r="A2603" s="234">
        <f>IFERROR(__xludf.DUMMYFUNCTION("""COMPUTED_VALUE"""),107436.0)</f>
        <v>107436</v>
      </c>
      <c r="B2603" s="235" t="str">
        <f>IFERROR(__xludf.DUMMYFUNCTION("""COMPUTED_VALUE"""),"JEVY TIMBANGAN")</f>
        <v>JEVY TIMBANGAN</v>
      </c>
      <c r="C2603" s="235" t="str">
        <f>IFERROR(__xludf.DUMMYFUNCTION("""COMPUTED_VALUE"""),"HRMD")</f>
        <v>HRMD</v>
      </c>
      <c r="D2603" s="196" t="str">
        <f>IFERROR(__xludf.DUMMYFUNCTION("""COMPUTED_VALUE"""),"FLOWER WREATH -JOY PACURI SISTER OF JESSA PACURI
B10, L22, WALING-WALING ST. JPV CAA, BF INTERNATIONAL VILLAGE, LAS PINAS CITY")</f>
        <v>FLOWER WREATH -JOY PACURI SISTER OF JESSA PACURI
B10, L22, WALING-WALING ST. JPV CAA, BF INTERNATIONAL VILLAGE, LAS PINAS CITY</v>
      </c>
      <c r="E2603" s="196" t="str">
        <f>IFERROR(__xludf.DUMMYFUNCTION("""COMPUTED_VALUE"""),"FLOWER WREATH - JESSA PACURI")</f>
        <v>FLOWER WREATH - JESSA PACURI</v>
      </c>
    </row>
    <row r="2604">
      <c r="A2604" s="234">
        <f>IFERROR(__xludf.DUMMYFUNCTION("""COMPUTED_VALUE"""),107437.0)</f>
        <v>107437</v>
      </c>
      <c r="B2604" s="235" t="str">
        <f>IFERROR(__xludf.DUMMYFUNCTION("""COMPUTED_VALUE"""),"CHARLES LEBECO DONOR")</f>
        <v>CHARLES LEBECO DONOR</v>
      </c>
      <c r="C2604" s="235" t="str">
        <f>IFERROR(__xludf.DUMMYFUNCTION("""COMPUTED_VALUE"""),"AMD")</f>
        <v>AMD</v>
      </c>
      <c r="D2604" s="196" t="str">
        <f>IFERROR(__xludf.DUMMYFUNCTION("""COMPUTED_VALUE"""),"Cap Short Tassel Blue                9 pcs.
Cap Faculty Long Tassel White                6 pcs.
Cap Masteral Faculty Long Tassel Red                2 pcs.
Cap Faculty Short Tassel Red and Orange                2 pcs.
Cap Doctorate Orange and Green        "&amp;"        2 pcs.
Doctorate Gown 3 Bars Peach XL                1 pcs.
Masteral Faculty Gown 2 Bars Red XL                1 pcs.
Masteral Faculty Gown 2 Bars Red M                1 pcs.
Faculty Gown 1 Bar Peach S		2 pcs.
SISC Toga Gown Undergrad M		15 pcs.
"&amp;"
Masteral Toga Gown		3 pcs.
SISC Hood		3 pcs.
SISC Cap		3 pcs.")</f>
        <v>Cap Short Tassel Blue                9 pcs.
Cap Faculty Long Tassel White                6 pcs.
Cap Masteral Faculty Long Tassel Red                2 pcs.
Cap Faculty Short Tassel Red and Orange                2 pcs.
Cap Doctorate Orange and Green                2 pcs.
Doctorate Gown 3 Bars Peach XL                1 pcs.
Masteral Faculty Gown 2 Bars Red XL                1 pcs.
Masteral Faculty Gown 2 Bars Red M                1 pcs.
Faculty Gown 1 Bar Peach S		2 pcs.
SISC Toga Gown Undergrad M		15 pcs.
Masteral Toga Gown		3 pcs.
SISC Hood		3 pcs.
SISC Cap		3 pcs.</v>
      </c>
      <c r="E2604" s="196" t="str">
        <f>IFERROR(__xludf.DUMMYFUNCTION("""COMPUTED_VALUE"""),"Production of Graduation Toga")</f>
        <v>Production of Graduation Toga</v>
      </c>
    </row>
    <row r="2605">
      <c r="A2605" s="234">
        <f>IFERROR(__xludf.DUMMYFUNCTION("""COMPUTED_VALUE"""),107438.0)</f>
        <v>107438</v>
      </c>
      <c r="B2605" s="235" t="str">
        <f>IFERROR(__xludf.DUMMYFUNCTION("""COMPUTED_VALUE"""),"CHARLES LEBECO DONOR")</f>
        <v>CHARLES LEBECO DONOR</v>
      </c>
      <c r="C2605" s="235" t="str">
        <f>IFERROR(__xludf.DUMMYFUNCTION("""COMPUTED_VALUE"""),"AMD")</f>
        <v>AMD</v>
      </c>
      <c r="D2605" s="196" t="str">
        <f>IFERROR(__xludf.DUMMYFUNCTION("""COMPUTED_VALUE"""),"Hood Undergrad Yellow Gold                9 pcs.
SISC Toga Gown Undergrad 3XS                5 pcs.
SISC Toga Gown Undergrad L                17 pcs.
SISC Toga Gown Undergrad 2XL                4 pcs.
SISC Toga Gown Undergrad 3XL                5 pcs.
SIS"&amp;"C Cap Undergrad                92 pcs.")</f>
        <v>Hood Undergrad Yellow Gold                9 pcs.
SISC Toga Gown Undergrad 3XS                5 pcs.
SISC Toga Gown Undergrad L                17 pcs.
SISC Toga Gown Undergrad 2XL                4 pcs.
SISC Toga Gown Undergrad 3XL                5 pcs.
SISC Cap Undergrad                92 pcs.</v>
      </c>
      <c r="E2605" s="196" t="str">
        <f>IFERROR(__xludf.DUMMYFUNCTION("""COMPUTED_VALUE"""),"Production of Graduation Toga")</f>
        <v>Production of Graduation Toga</v>
      </c>
    </row>
    <row r="2606">
      <c r="A2606" s="234">
        <f>IFERROR(__xludf.DUMMYFUNCTION("""COMPUTED_VALUE"""),107439.0)</f>
        <v>107439</v>
      </c>
      <c r="B2606" s="235" t="str">
        <f>IFERROR(__xludf.DUMMYFUNCTION("""COMPUTED_VALUE"""),"CHARLES LEBECO DONOR")</f>
        <v>CHARLES LEBECO DONOR</v>
      </c>
      <c r="C2606" s="235" t="str">
        <f>IFERROR(__xludf.DUMMYFUNCTION("""COMPUTED_VALUE"""),"AMD")</f>
        <v>AMD</v>
      </c>
      <c r="D2606" s="196" t="str">
        <f>IFERROR(__xludf.DUMMYFUNCTION("""COMPUTED_VALUE"""),"SISC SHS Toga Gown S                14 pcs.
SISC SHS Toga Gown M                1 pc.
SISC SHS Toga Gown L                9 pcs.
SISC SHS Toga Gown XL                14 pcs.
SISC SHS Toga Gown 2XL                3 pcs.
SISC SHS Stole / Hood               "&amp;" 68 pcs.")</f>
        <v>SISC SHS Toga Gown S                14 pcs.
SISC SHS Toga Gown M                1 pc.
SISC SHS Toga Gown L                9 pcs.
SISC SHS Toga Gown XL                14 pcs.
SISC SHS Toga Gown 2XL                3 pcs.
SISC SHS Stole / Hood                68 pcs.</v>
      </c>
      <c r="E2606" s="196" t="str">
        <f>IFERROR(__xludf.DUMMYFUNCTION("""COMPUTED_VALUE"""),"Production of Graduation Toga")</f>
        <v>Production of Graduation Toga</v>
      </c>
    </row>
    <row r="2607">
      <c r="A2607" s="234">
        <f>IFERROR(__xludf.DUMMYFUNCTION("""COMPUTED_VALUE"""),107440.0)</f>
        <v>107440</v>
      </c>
      <c r="B2607" s="235" t="str">
        <f>IFERROR(__xludf.DUMMYFUNCTION("""COMPUTED_VALUE"""),"FELISE ANGELINE C. FAMADOR")</f>
        <v>FELISE ANGELINE C. FAMADOR</v>
      </c>
      <c r="C2607" s="235" t="str">
        <f>IFERROR(__xludf.DUMMYFUNCTION("""COMPUTED_VALUE"""),"MEDICAL")</f>
        <v>MEDICAL</v>
      </c>
      <c r="D2607" s="196" t="str">
        <f>IFERROR(__xludf.DUMMYFUNCTION("""COMPUTED_VALUE"""),"5, ATHLETIC TAPE (MUELLOR OR AQ)
5, PRE-WRAP TAPE (MUELLOR OR AQ)
5, KINESIOLOGY TAPE (MUELLOR, ROCKTAPE OR AQ)
2, SALONPAS SPRAY
4 KATINKO SPRAY 
20, HYDRITE (APPLE, OR BANANA FLAVOR)
5, TIGERBALM PATCH (HOT)
5, TIGERBALAM PATCH (COOL)
10 EACH SIZE, ELAS"&amp;"TIC BANDAGES (2 AND 3 INCHES)
2 BOXES, MEDIPLAST WATERPROOF BANDAGES 
2 HANDHELD MASSAGE GUN (XIAOMI MASSAGE GUN MINI 2)
15 BIOGESIC 
10 ADVIL
10 ALAXAN
10 MEFENAMIC ACID
10 DECOLGEN
10 NEOZEP
10 TUSERAN
10 SOLMOX
10 CETIRIZINE
")</f>
        <v>5, ATHLETIC TAPE (MUELLOR OR AQ)
5, PRE-WRAP TAPE (MUELLOR OR AQ)
5, KINESIOLOGY TAPE (MUELLOR, ROCKTAPE OR AQ)
2, SALONPAS SPRAY
4 KATINKO SPRAY 
20, HYDRITE (APPLE, OR BANANA FLAVOR)
5, TIGERBALM PATCH (HOT)
5, TIGERBALAM PATCH (COOL)
10 EACH SIZE, ELASTIC BANDAGES (2 AND 3 INCHES)
2 BOXES, MEDIPLAST WATERPROOF BANDAGES 
2 HANDHELD MASSAGE GUN (XIAOMI MASSAGE GUN MINI 2)
15 BIOGESIC 
10 ADVIL
10 ALAXAN
10 MEFENAMIC ACID
10 DECOLGEN
10 NEOZEP
10 TUSERAN
10 SOLMOX
10 CETIRIZINE
</v>
      </c>
      <c r="E2607" s="196" t="str">
        <f>IFERROR(__xludf.DUMMYFUNCTION("""COMPUTED_VALUE"""),"ISAC SEASON 1 (CEBU-OCT7-11, 2026)")</f>
        <v>ISAC SEASON 1 (CEBU-OCT7-11, 2026)</v>
      </c>
    </row>
    <row r="2608">
      <c r="A2608" s="234">
        <f>IFERROR(__xludf.DUMMYFUNCTION("""COMPUTED_VALUE"""),107441.0)</f>
        <v>107441</v>
      </c>
      <c r="B2608" s="235" t="str">
        <f>IFERROR(__xludf.DUMMYFUNCTION("""COMPUTED_VALUE"""),"OWIE PAR")</f>
        <v>OWIE PAR</v>
      </c>
      <c r="C2608" s="235" t="str">
        <f>IFERROR(__xludf.DUMMYFUNCTION("""COMPUTED_VALUE"""),"ENGINEERING")</f>
        <v>ENGINEERING</v>
      </c>
      <c r="D2608" s="196" t="str">
        <f>IFERROR(__xludf.DUMMYFUNCTION("""COMPUTED_VALUE"""),"1 UNIT 4.0HP CEILING CASSETTE TYPE INVERTER ")</f>
        <v>1 UNIT 4.0HP CEILING CASSETTE TYPE INVERTER </v>
      </c>
      <c r="E2608" s="196" t="str">
        <f>IFERROR(__xludf.DUMMYFUNCTION("""COMPUTED_VALUE"""),"REPLACEMENT OF ACU AT IB FACULTY ROOM 207")</f>
        <v>REPLACEMENT OF ACU AT IB FACULTY ROOM 207</v>
      </c>
    </row>
    <row r="2609">
      <c r="A2609" s="234">
        <f>IFERROR(__xludf.DUMMYFUNCTION("""COMPUTED_VALUE"""),107442.0)</f>
        <v>107442</v>
      </c>
      <c r="B2609" s="235" t="str">
        <f>IFERROR(__xludf.DUMMYFUNCTION("""COMPUTED_VALUE"""),"CARLITO DELA VEGA")</f>
        <v>CARLITO DELA VEGA</v>
      </c>
      <c r="C2609" s="235" t="str">
        <f>IFERROR(__xludf.DUMMYFUNCTION("""COMPUTED_VALUE"""),"SECURITY")</f>
        <v>SECURITY</v>
      </c>
      <c r="D2609" s="196" t="str">
        <f>IFERROR(__xludf.DUMMYFUNCTION("""COMPUTED_VALUE"""),"5 PCS EVA CASE FOR REDMI PAD 29.7INCH 2026 4G PAD BLACK COLOR")</f>
        <v>5 PCS EVA CASE FOR REDMI PAD 29.7INCH 2026 4G PAD BLACK COLOR</v>
      </c>
      <c r="E2609" s="196" t="str">
        <f>IFERROR(__xludf.DUMMYFUNCTION("""COMPUTED_VALUE"""),"GATE TABLETS")</f>
        <v>GATE TABLETS</v>
      </c>
    </row>
    <row r="2610">
      <c r="A2610" s="234">
        <f>IFERROR(__xludf.DUMMYFUNCTION("""COMPUTED_VALUE"""),107443.0)</f>
        <v>107443</v>
      </c>
      <c r="B2610" s="235" t="str">
        <f>IFERROR(__xludf.DUMMYFUNCTION("""COMPUTED_VALUE"""),"JORDAN C JORDAN")</f>
        <v>JORDAN C JORDAN</v>
      </c>
      <c r="C2610" s="235" t="str">
        <f>IFERROR(__xludf.DUMMYFUNCTION("""COMPUTED_VALUE"""),"ADMIN")</f>
        <v>ADMIN</v>
      </c>
      <c r="D2610" s="196" t="str">
        <f>IFERROR(__xludf.DUMMYFUNCTION("""COMPUTED_VALUE""")," 15 PCS DOWNLIGHT 
ALPHALUS 9W DAYLIGHT 
1 BOX THHN THNN #14")</f>
        <v> 15 PCS DOWNLIGHT 
ALPHALUS 9W DAYLIGHT 
1 BOX THHN THNN #14</v>
      </c>
      <c r="E2610" s="196" t="str">
        <f>IFERROR(__xludf.DUMMYFUNCTION("""COMPUTED_VALUE"""),"ADDITIONAL LIGHTS AT HALLWAY 5TH FLOOR LUX")</f>
        <v>ADDITIONAL LIGHTS AT HALLWAY 5TH FLOOR LUX</v>
      </c>
    </row>
    <row r="2611">
      <c r="A2611" s="234">
        <f>IFERROR(__xludf.DUMMYFUNCTION("""COMPUTED_VALUE"""),107444.0)</f>
        <v>107444</v>
      </c>
      <c r="B2611" s="235" t="str">
        <f>IFERROR(__xludf.DUMMYFUNCTION("""COMPUTED_VALUE"""),"FELISE ANGELINE C. FAMADOR")</f>
        <v>FELISE ANGELINE C. FAMADOR</v>
      </c>
      <c r="C2611" s="235" t="str">
        <f>IFERROR(__xludf.DUMMYFUNCTION("""COMPUTED_VALUE"""),"MEDICAL")</f>
        <v>MEDICAL</v>
      </c>
      <c r="D2611" s="196" t="str">
        <f>IFERROR(__xludf.DUMMYFUNCTION("""COMPUTED_VALUE"""),"5 FOAM ROLLER")</f>
        <v>5 FOAM ROLLER</v>
      </c>
      <c r="E2611" s="196" t="str">
        <f>IFERROR(__xludf.DUMMYFUNCTION("""COMPUTED_VALUE"""),"ISAC SEASON 1 (CEBU-OCT7-11, 2026)")</f>
        <v>ISAC SEASON 1 (CEBU-OCT7-11, 2026)</v>
      </c>
    </row>
    <row r="2612">
      <c r="A2612" s="234">
        <f>IFERROR(__xludf.DUMMYFUNCTION("""COMPUTED_VALUE"""),107445.0)</f>
        <v>107445</v>
      </c>
      <c r="B2612" s="235" t="str">
        <f>IFERROR(__xludf.DUMMYFUNCTION("""COMPUTED_VALUE"""),"OWIE PAR")</f>
        <v>OWIE PAR</v>
      </c>
      <c r="C2612" s="235" t="str">
        <f>IFERROR(__xludf.DUMMYFUNCTION("""COMPUTED_VALUE"""),"ENGINEERING")</f>
        <v>ENGINEERING</v>
      </c>
      <c r="D2612" s="196" t="str">
        <f>IFERROR(__xludf.DUMMYFUNCTION("""COMPUTED_VALUE"""),"12 PCS PPR PIPE 1/2
20 PCS PPR EBLOW 1 1/2
2 PCS PPR END CAP
1 PC BALL VALVE 1 1/4 KIT 2
2 PCS PPR MALE  ADAPTOR #2
2 PCS PPR COUPLING REDUCER 2X 1 1/2
5 ROLL TEPLOW  TAPE 3/4")</f>
        <v>12 PCS PPR PIPE 1/2
20 PCS PPR EBLOW 1 1/2
2 PCS PPR END CAP
1 PC BALL VALVE 1 1/4 KIT 2
2 PCS PPR MALE  ADAPTOR #2
2 PCS PPR COUPLING REDUCER 2X 1 1/2
5 ROLL TEPLOW  TAPE 3/4</v>
      </c>
      <c r="E2612" s="379" t="str">
        <f>IFERROR(__xludf.DUMMYFUNCTION("""COMPUTED_VALUE"""),"FOR SEGREGATION OF WATER LINE SUPPLY OF 5TH FLOOR L-SHAPE C.RS")</f>
        <v>FOR SEGREGATION OF WATER LINE SUPPLY OF 5TH FLOOR L-SHAPE C.RS</v>
      </c>
    </row>
    <row r="2613">
      <c r="A2613" s="234">
        <f>IFERROR(__xludf.DUMMYFUNCTION("""COMPUTED_VALUE"""),107446.0)</f>
        <v>107446</v>
      </c>
      <c r="B2613" s="235" t="str">
        <f>IFERROR(__xludf.DUMMYFUNCTION("""COMPUTED_VALUE"""),"JANNAH L. ARGOTE")</f>
        <v>JANNAH L. ARGOTE</v>
      </c>
      <c r="C2613" s="235" t="str">
        <f>IFERROR(__xludf.DUMMYFUNCTION("""COMPUTED_VALUE"""),"PR &amp; MARKETING")</f>
        <v>PR &amp; MARKETING</v>
      </c>
      <c r="D2613" s="196" t="str">
        <f>IFERROR(__xludf.DUMMYFUNCTION("""COMPUTED_VALUE"""),"GRADUATE PROGRAMS TARP 
SIZE: 188 X 78 IN (WXH)
THICKNESS: 180Z
KINDLY ADD SEAMING AND EYELET ALL OVER")</f>
        <v>GRADUATE PROGRAMS TARP 
SIZE: 188 X 78 IN (WXH)
THICKNESS: 180Z
KINDLY ADD SEAMING AND EYELET ALL OVER</v>
      </c>
      <c r="E2613" s="196" t="str">
        <f>IFERROR(__xludf.DUMMYFUNCTION("""COMPUTED_VALUE"""),"FOR MARKETING PURPOSES")</f>
        <v>FOR MARKETING PURPOSES</v>
      </c>
    </row>
    <row r="2614">
      <c r="A2614" s="234">
        <f>IFERROR(__xludf.DUMMYFUNCTION("""COMPUTED_VALUE"""),107447.0)</f>
        <v>107447</v>
      </c>
      <c r="B2614" s="235" t="str">
        <f>IFERROR(__xludf.DUMMYFUNCTION("""COMPUTED_VALUE"""),"CARLITO DELA VEGA")</f>
        <v>CARLITO DELA VEGA</v>
      </c>
      <c r="C2614" s="235" t="str">
        <f>IFERROR(__xludf.DUMMYFUNCTION("""COMPUTED_VALUE"""),"SECURITY")</f>
        <v>SECURITY</v>
      </c>
      <c r="D2614" s="196" t="str">
        <f>IFERROR(__xludf.DUMMYFUNCTION("""COMPUTED_VALUE"""),"10 PCS TARP PRINTING 80CM X 60CM 
SGEN CAMPUS SECURITY GUIDELINES")</f>
        <v>10 PCS TARP PRINTING 80CM X 60CM 
SGEN CAMPUS SECURITY GUIDELINES</v>
      </c>
      <c r="E2614" s="196" t="str">
        <f>IFERROR(__xludf.DUMMYFUNCTION("""COMPUTED_VALUE"""),"POSTER FOR ALL GATES")</f>
        <v>POSTER FOR ALL GATES</v>
      </c>
    </row>
    <row r="2615">
      <c r="A2615" s="234">
        <f>IFERROR(__xludf.DUMMYFUNCTION("""COMPUTED_VALUE"""),107448.0)</f>
        <v>107448</v>
      </c>
      <c r="B2615" s="235" t="str">
        <f>IFERROR(__xludf.DUMMYFUNCTION("""COMPUTED_VALUE"""),"SHARON LOTINO / LORETA PAGUIA")</f>
        <v>SHARON LOTINO / LORETA PAGUIA</v>
      </c>
      <c r="C2615" s="235"/>
      <c r="D2615" s="196" t="str">
        <f>IFERROR(__xludf.DUMMYFUNCTION("""COMPUTED_VALUE"""),"RESEARCH JOURNAL/REVIEW PRINTING")</f>
        <v>RESEARCH JOURNAL/REVIEW PRINTING</v>
      </c>
      <c r="E2615" s="196"/>
    </row>
    <row r="2616">
      <c r="A2616" s="234">
        <f>IFERROR(__xludf.DUMMYFUNCTION("""COMPUTED_VALUE"""),107449.0)</f>
        <v>107449</v>
      </c>
      <c r="B2616" s="235" t="str">
        <f>IFERROR(__xludf.DUMMYFUNCTION("""COMPUTED_VALUE"""),"JANCEL PRADILLADA")</f>
        <v>JANCEL PRADILLADA</v>
      </c>
      <c r="C2616" s="235" t="str">
        <f>IFERROR(__xludf.DUMMYFUNCTION("""COMPUTED_VALUE"""),"AV/MIS")</f>
        <v>AV/MIS</v>
      </c>
      <c r="D2616" s="196" t="str">
        <f>IFERROR(__xludf.DUMMYFUNCTION("""COMPUTED_VALUE"""),"1 TCL 55 INCHES TV
4 TCL 65 INCHES TV
6 EPSON PROJECTOR - EB-X51 XGA
2 EPSON PROJECTOR - EB-FH52")</f>
        <v>1 TCL 55 INCHES TV
4 TCL 65 INCHES TV
6 EPSON PROJECTOR - EB-X51 XGA
2 EPSON PROJECTOR - EB-FH52</v>
      </c>
      <c r="E2616" s="196" t="str">
        <f>IFERROR(__xludf.DUMMYFUNCTION("""COMPUTED_VALUE"""),"REPLACEMENT OF PROJECTOR IN E-CLASSROOMS  AND MOBILE UNIT")</f>
        <v>REPLACEMENT OF PROJECTOR IN E-CLASSROOMS  AND MOBILE UNIT</v>
      </c>
    </row>
    <row r="2617">
      <c r="A2617" s="234">
        <f>IFERROR(__xludf.DUMMYFUNCTION("""COMPUTED_VALUE"""),107450.0)</f>
        <v>107450</v>
      </c>
      <c r="B2617" s="235" t="str">
        <f>IFERROR(__xludf.DUMMYFUNCTION("""COMPUTED_VALUE"""),"JANNAH L. ARGOTE")</f>
        <v>JANNAH L. ARGOTE</v>
      </c>
      <c r="C2617" s="235" t="str">
        <f>IFERROR(__xludf.DUMMYFUNCTION("""COMPUTED_VALUE"""),"PR &amp; MARKETING")</f>
        <v>PR &amp; MARKETING</v>
      </c>
      <c r="D2617" s="196" t="str">
        <f>IFERROR(__xludf.DUMMYFUNCTION("""COMPUTED_VALUE"""),"50PCS SOUTHVILLE POSTER 12X18 INCHES")</f>
        <v>50PCS SOUTHVILLE POSTER 12X18 INCHES</v>
      </c>
      <c r="E2617" s="196" t="str">
        <f>IFERROR(__xludf.DUMMYFUNCTION("""COMPUTED_VALUE"""),"FOR MARKETING PURPOSES")</f>
        <v>FOR MARKETING PURPOSES</v>
      </c>
    </row>
    <row r="2618">
      <c r="A2618" s="234">
        <f>IFERROR(__xludf.DUMMYFUNCTION("""COMPUTED_VALUE"""),107451.0)</f>
        <v>107451</v>
      </c>
      <c r="B2618" s="235" t="str">
        <f>IFERROR(__xludf.DUMMYFUNCTION("""COMPUTED_VALUE"""),"MARIA PATRICIA BELLEZA")</f>
        <v>MARIA PATRICIA BELLEZA</v>
      </c>
      <c r="C2618" s="235" t="str">
        <f>IFERROR(__xludf.DUMMYFUNCTION("""COMPUTED_VALUE"""),"STUDENT AFFAIRS BED")</f>
        <v>STUDENT AFFAIRS BED</v>
      </c>
      <c r="D2618" s="196" t="str">
        <f>IFERROR(__xludf.DUMMYFUNCTION("""COMPUTED_VALUE"""),"1 FUNERAL FLOWERS")</f>
        <v>1 FUNERAL FLOWERS</v>
      </c>
      <c r="E2618" s="196" t="str">
        <f>IFERROR(__xludf.DUMMYFUNCTION("""COMPUTED_VALUE"""),"FUNERAL FLOWERS FOR PARENT OF ONE OF OUR STUDENT IN 9TH GRADE")</f>
        <v>FUNERAL FLOWERS FOR PARENT OF ONE OF OUR STUDENT IN 9TH GRADE</v>
      </c>
    </row>
    <row r="2619">
      <c r="A2619" s="234">
        <f>IFERROR(__xludf.DUMMYFUNCTION("""COMPUTED_VALUE"""),107452.0)</f>
        <v>107452</v>
      </c>
      <c r="B2619" s="235" t="str">
        <f>IFERROR(__xludf.DUMMYFUNCTION("""COMPUTED_VALUE"""),"RUEL PAR")</f>
        <v>RUEL PAR</v>
      </c>
      <c r="C2619" s="235" t="str">
        <f>IFERROR(__xludf.DUMMYFUNCTION("""COMPUTED_VALUE"""),"ADMIN")</f>
        <v>ADMIN</v>
      </c>
      <c r="D2619" s="196" t="str">
        <f>IFERROR(__xludf.DUMMYFUNCTION("""COMPUTED_VALUE"""),"6 PCS MOTOLITE BATTERY -TRUCK MASTER 35M
MOTOLITE BATTERY TRUCKMASTER 4D
MX GENSET #2 -1PC 4D
MX GENSET #1 - 2PCS 35CM 
MUMON 2 PCS - 2PCS 35CM
COLLEGE - 2 PCS 35 CM")</f>
        <v>6 PCS MOTOLITE BATTERY -TRUCK MASTER 35M
MOTOLITE BATTERY TRUCKMASTER 4D
MX GENSET #2 -1PC 4D
MX GENSET #1 - 2PCS 35CM 
MUMON 2 PCS - 2PCS 35CM
COLLEGE - 2 PCS 35 CM</v>
      </c>
      <c r="E2619" s="196" t="str">
        <f>IFERROR(__xludf.DUMMYFUNCTION("""COMPUTED_VALUE"""),"RM OF GENSETS")</f>
        <v>RM OF GENSETS</v>
      </c>
    </row>
    <row r="2620">
      <c r="A2620" s="234">
        <f>IFERROR(__xludf.DUMMYFUNCTION("""COMPUTED_VALUE"""),107453.0)</f>
        <v>107453</v>
      </c>
      <c r="B2620" s="235" t="str">
        <f>IFERROR(__xludf.DUMMYFUNCTION("""COMPUTED_VALUE"""),"OWIE PAR")</f>
        <v>OWIE PAR</v>
      </c>
      <c r="C2620" s="235" t="str">
        <f>IFERROR(__xludf.DUMMYFUNCTION("""COMPUTED_VALUE"""),"ENGINEERING")</f>
        <v>ENGINEERING</v>
      </c>
      <c r="D2620" s="196" t="str">
        <f>IFERROR(__xludf.DUMMYFUNCTION("""COMPUTED_VALUE"""),"ORBIT FAN STANDARD 16'' 1UNIT")</f>
        <v>ORBIT FAN STANDARD 16'' 1UNIT</v>
      </c>
      <c r="E2620" s="196" t="str">
        <f>IFERROR(__xludf.DUMMYFUNCTION("""COMPUTED_VALUE"""),"FOR K-12 FACULTY")</f>
        <v>FOR K-12 FACULTY</v>
      </c>
    </row>
    <row r="2621">
      <c r="A2621" s="234">
        <f>IFERROR(__xludf.DUMMYFUNCTION("""COMPUTED_VALUE"""),107454.0)</f>
        <v>107454</v>
      </c>
      <c r="B2621" s="235" t="str">
        <f>IFERROR(__xludf.DUMMYFUNCTION("""COMPUTED_VALUE"""),"JEVY TIMBANGAN")</f>
        <v>JEVY TIMBANGAN</v>
      </c>
      <c r="C2621" s="235" t="str">
        <f>IFERROR(__xludf.DUMMYFUNCTION("""COMPUTED_VALUE"""),"HRMD")</f>
        <v>HRMD</v>
      </c>
      <c r="D2621" s="196" t="str">
        <f>IFERROR(__xludf.DUMMYFUNCTION("""COMPUTED_VALUE"""),"FLOWER WREATH -
UCCP - Community Church to Las Piñas Daisy Road, Pillar Village Las Piñas City")</f>
        <v>FLOWER WREATH -
UCCP - Community Church to Las Piñas Daisy Road, Pillar Village Las Piñas City</v>
      </c>
      <c r="E2621" s="196" t="str">
        <f>IFERROR(__xludf.DUMMYFUNCTION("""COMPUTED_VALUE"""),"Flower Wreath - Juliet Catungal")</f>
        <v>Flower Wreath - Juliet Catungal</v>
      </c>
    </row>
    <row r="2622">
      <c r="A2622" s="234">
        <f>IFERROR(__xludf.DUMMYFUNCTION("""COMPUTED_VALUE"""),107455.0)</f>
        <v>107455</v>
      </c>
      <c r="B2622" s="235" t="str">
        <f>IFERROR(__xludf.DUMMYFUNCTION("""COMPUTED_VALUE"""),"MELISSA NAVAL ODONO")</f>
        <v>MELISSA NAVAL ODONO</v>
      </c>
      <c r="C2622" s="235" t="str">
        <f>IFERROR(__xludf.DUMMYFUNCTION("""COMPUTED_VALUE"""),"LIBRARY COLLEGE")</f>
        <v>LIBRARY COLLEGE</v>
      </c>
      <c r="D2622" s="196" t="str">
        <f>IFERROR(__xludf.DUMMYFUNCTION("""COMPUTED_VALUE"""),"NEUROPSYCHOLOGY
BASIC PERSONAL COUNSELING 
AN INTRODUCTION TO CHILD AND ADOLOSCENT MENTAL HEALTH 
SOCIAL PSYCHOLOGY THEOERY AND APPLICATION 
THE POETRY READER BY MARK YAKICH 
ADVANCED SPANISH GRAMMAR")</f>
        <v>NEUROPSYCHOLOGY
BASIC PERSONAL COUNSELING 
AN INTRODUCTION TO CHILD AND ADOLOSCENT MENTAL HEALTH 
SOCIAL PSYCHOLOGY THEOERY AND APPLICATION 
THE POETRY READER BY MARK YAKICH 
ADVANCED SPANISH GRAMMAR</v>
      </c>
      <c r="E2622" s="196" t="str">
        <f>IFERROR(__xludf.DUMMYFUNCTION("""COMPUTED_VALUE"""),"FOR FACULTY/STUDENT USE")</f>
        <v>FOR FACULTY/STUDENT USE</v>
      </c>
    </row>
    <row r="2623">
      <c r="A2623" s="234">
        <f>IFERROR(__xludf.DUMMYFUNCTION("""COMPUTED_VALUE"""),107456.0)</f>
        <v>107456</v>
      </c>
      <c r="B2623" s="235" t="str">
        <f>IFERROR(__xludf.DUMMYFUNCTION("""COMPUTED_VALUE"""),"MELISSA NAVAL ODONO")</f>
        <v>MELISSA NAVAL ODONO</v>
      </c>
      <c r="C2623" s="235" t="str">
        <f>IFERROR(__xludf.DUMMYFUNCTION("""COMPUTED_VALUE"""),"LIBRARY COLLEGE")</f>
        <v>LIBRARY COLLEGE</v>
      </c>
      <c r="D2623" s="196" t="str">
        <f>IFERROR(__xludf.DUMMYFUNCTION("""COMPUTED_VALUE"""),"STATISTICS FOR PEOPLE WHO HATE STATISTICS 
PROBLEM AND SOLUTION IN MATHEMATICAL OLYMPIAD SECONDARY 2
PROBLEMS AND SOLUTIONS IN MATHEMATICAL OLYMPIAD SECONDARY 1
IMO PROBLEMS, THEORIES (SET OF 4VOL.)
DIFFERENTIAL EQUATIONS AND APPLICATION 
PROBABILITY FOR "&amp;"DUMMIES
MATHEMATICAL APPLICATIONS 13TH ED")</f>
        <v>STATISTICS FOR PEOPLE WHO HATE STATISTICS 
PROBLEM AND SOLUTION IN MATHEMATICAL OLYMPIAD SECONDARY 2
PROBLEMS AND SOLUTIONS IN MATHEMATICAL OLYMPIAD SECONDARY 1
IMO PROBLEMS, THEORIES (SET OF 4VOL.)
DIFFERENTIAL EQUATIONS AND APPLICATION 
PROBABILITY FOR DUMMIES
MATHEMATICAL APPLICATIONS 13TH ED</v>
      </c>
      <c r="E2623" s="196" t="str">
        <f>IFERROR(__xludf.DUMMYFUNCTION("""COMPUTED_VALUE"""),"FOR FACULTY/STUDENT USE")</f>
        <v>FOR FACULTY/STUDENT USE</v>
      </c>
    </row>
    <row r="2624">
      <c r="A2624" s="234">
        <f>IFERROR(__xludf.DUMMYFUNCTION("""COMPUTED_VALUE"""),107457.0)</f>
        <v>107457</v>
      </c>
      <c r="B2624" s="235"/>
      <c r="C2624" s="235"/>
      <c r="D2624" s="196"/>
      <c r="E2624" s="196"/>
    </row>
    <row r="2625">
      <c r="A2625" s="234">
        <f>IFERROR(__xludf.DUMMYFUNCTION("""COMPUTED_VALUE"""),107458.0)</f>
        <v>107458</v>
      </c>
      <c r="B2625" s="235"/>
      <c r="C2625" s="235"/>
      <c r="D2625" s="196"/>
      <c r="E2625" s="196"/>
    </row>
    <row r="2626">
      <c r="A2626" s="234">
        <f>IFERROR(__xludf.DUMMYFUNCTION("""COMPUTED_VALUE"""),107459.0)</f>
        <v>107459</v>
      </c>
      <c r="B2626" s="235"/>
      <c r="C2626" s="235"/>
      <c r="D2626" s="196"/>
      <c r="E2626" s="196"/>
    </row>
    <row r="2627">
      <c r="A2627" s="234">
        <f>IFERROR(__xludf.DUMMYFUNCTION("""COMPUTED_VALUE"""),107460.0)</f>
        <v>107460</v>
      </c>
      <c r="B2627" s="235"/>
      <c r="C2627" s="235"/>
      <c r="D2627" s="196"/>
      <c r="E2627" s="196"/>
    </row>
    <row r="2628">
      <c r="A2628" s="234">
        <f>IFERROR(__xludf.DUMMYFUNCTION("""COMPUTED_VALUE"""),107461.0)</f>
        <v>107461</v>
      </c>
      <c r="B2628" s="235"/>
      <c r="C2628" s="235"/>
      <c r="D2628" s="196"/>
      <c r="E2628" s="196"/>
    </row>
    <row r="2629">
      <c r="A2629" s="234">
        <f>IFERROR(__xludf.DUMMYFUNCTION("""COMPUTED_VALUE"""),107462.0)</f>
        <v>107462</v>
      </c>
      <c r="B2629" s="235"/>
      <c r="C2629" s="235"/>
      <c r="D2629" s="196"/>
      <c r="E2629" s="196"/>
    </row>
    <row r="2630">
      <c r="A2630" s="234">
        <f>IFERROR(__xludf.DUMMYFUNCTION("""COMPUTED_VALUE"""),107463.0)</f>
        <v>107463</v>
      </c>
      <c r="B2630" s="235"/>
      <c r="C2630" s="235"/>
      <c r="D2630" s="196"/>
      <c r="E2630" s="196"/>
    </row>
    <row r="2631">
      <c r="A2631" s="234">
        <f>IFERROR(__xludf.DUMMYFUNCTION("""COMPUTED_VALUE"""),107464.0)</f>
        <v>107464</v>
      </c>
      <c r="B2631" s="235"/>
      <c r="C2631" s="235"/>
      <c r="D2631" s="196"/>
      <c r="E2631" s="196"/>
    </row>
    <row r="2632">
      <c r="A2632" s="234">
        <f>IFERROR(__xludf.DUMMYFUNCTION("""COMPUTED_VALUE"""),107465.0)</f>
        <v>107465</v>
      </c>
      <c r="B2632" s="235"/>
      <c r="C2632" s="235"/>
      <c r="D2632" s="196"/>
      <c r="E2632" s="196"/>
    </row>
    <row r="2633">
      <c r="A2633" s="234">
        <f>IFERROR(__xludf.DUMMYFUNCTION("""COMPUTED_VALUE"""),107466.0)</f>
        <v>107466</v>
      </c>
      <c r="B2633" s="235"/>
      <c r="C2633" s="235"/>
      <c r="D2633" s="196"/>
      <c r="E2633" s="196"/>
    </row>
    <row r="2634">
      <c r="A2634" s="234">
        <f>IFERROR(__xludf.DUMMYFUNCTION("""COMPUTED_VALUE"""),107467.0)</f>
        <v>107467</v>
      </c>
      <c r="B2634" s="235"/>
      <c r="C2634" s="235"/>
      <c r="D2634" s="196"/>
      <c r="E2634" s="196"/>
    </row>
    <row r="2635">
      <c r="A2635" s="234">
        <f>IFERROR(__xludf.DUMMYFUNCTION("""COMPUTED_VALUE"""),107468.0)</f>
        <v>107468</v>
      </c>
      <c r="B2635" s="235"/>
      <c r="C2635" s="235"/>
      <c r="D2635" s="196"/>
      <c r="E2635" s="196"/>
    </row>
    <row r="2636">
      <c r="A2636" s="234">
        <f>IFERROR(__xludf.DUMMYFUNCTION("""COMPUTED_VALUE"""),107469.0)</f>
        <v>107469</v>
      </c>
      <c r="B2636" s="235"/>
      <c r="C2636" s="235"/>
      <c r="D2636" s="196"/>
      <c r="E2636" s="196"/>
    </row>
    <row r="2637">
      <c r="A2637" s="234">
        <f>IFERROR(__xludf.DUMMYFUNCTION("""COMPUTED_VALUE"""),107470.0)</f>
        <v>107470</v>
      </c>
      <c r="B2637" s="235"/>
      <c r="C2637" s="235"/>
      <c r="D2637" s="196"/>
      <c r="E2637" s="196"/>
    </row>
    <row r="2638">
      <c r="A2638" s="234">
        <f>IFERROR(__xludf.DUMMYFUNCTION("""COMPUTED_VALUE"""),107471.0)</f>
        <v>107471</v>
      </c>
      <c r="B2638" s="235"/>
      <c r="C2638" s="235"/>
      <c r="D2638" s="196"/>
      <c r="E2638" s="196"/>
    </row>
    <row r="2639">
      <c r="A2639" s="234">
        <f>IFERROR(__xludf.DUMMYFUNCTION("""COMPUTED_VALUE"""),107472.0)</f>
        <v>107472</v>
      </c>
      <c r="B2639" s="235"/>
      <c r="C2639" s="235"/>
      <c r="D2639" s="196"/>
      <c r="E2639" s="196"/>
    </row>
    <row r="2640">
      <c r="A2640" s="234">
        <f>IFERROR(__xludf.DUMMYFUNCTION("""COMPUTED_VALUE"""),107473.0)</f>
        <v>107473</v>
      </c>
      <c r="B2640" s="235"/>
      <c r="C2640" s="235"/>
      <c r="D2640" s="196"/>
      <c r="E2640" s="196"/>
    </row>
    <row r="2641">
      <c r="A2641" s="234">
        <f>IFERROR(__xludf.DUMMYFUNCTION("""COMPUTED_VALUE"""),107474.0)</f>
        <v>107474</v>
      </c>
      <c r="B2641" s="235"/>
      <c r="C2641" s="235"/>
      <c r="D2641" s="196"/>
      <c r="E2641" s="196"/>
    </row>
    <row r="2642">
      <c r="A2642" s="234"/>
      <c r="B2642" s="235"/>
      <c r="C2642" s="235"/>
      <c r="D2642" s="196"/>
      <c r="E2642" s="196"/>
    </row>
    <row r="2643">
      <c r="A2643" s="234"/>
      <c r="B2643" s="235"/>
      <c r="C2643" s="235"/>
      <c r="D2643" s="196"/>
      <c r="E2643" s="196"/>
    </row>
    <row r="2644">
      <c r="A2644" s="234"/>
      <c r="B2644" s="235"/>
      <c r="C2644" s="235"/>
      <c r="D2644" s="196"/>
      <c r="E2644" s="196"/>
    </row>
    <row r="2645">
      <c r="A2645" s="234"/>
      <c r="B2645" s="235"/>
      <c r="C2645" s="235"/>
      <c r="D2645" s="196"/>
      <c r="E2645" s="196"/>
    </row>
    <row r="2646">
      <c r="A2646" s="234"/>
      <c r="B2646" s="235"/>
      <c r="C2646" s="235"/>
      <c r="D2646" s="196"/>
      <c r="E2646" s="196"/>
    </row>
    <row r="2647">
      <c r="A2647" s="234"/>
      <c r="B2647" s="235"/>
      <c r="C2647" s="235"/>
      <c r="D2647" s="196"/>
      <c r="E2647" s="196"/>
    </row>
    <row r="2648">
      <c r="A2648" s="234"/>
      <c r="B2648" s="235"/>
      <c r="C2648" s="235"/>
      <c r="D2648" s="196"/>
      <c r="E2648" s="196"/>
    </row>
    <row r="2649">
      <c r="A2649" s="234"/>
      <c r="B2649" s="235"/>
      <c r="C2649" s="235"/>
      <c r="D2649" s="196"/>
      <c r="E2649" s="196"/>
    </row>
    <row r="2650">
      <c r="A2650" s="234"/>
      <c r="B2650" s="235"/>
      <c r="C2650" s="235"/>
      <c r="D2650" s="196"/>
      <c r="E2650" s="196"/>
    </row>
    <row r="2651">
      <c r="A2651" s="234"/>
      <c r="B2651" s="235"/>
      <c r="C2651" s="235"/>
      <c r="D2651" s="196"/>
      <c r="E2651" s="196"/>
    </row>
    <row r="2652">
      <c r="A2652" s="234"/>
      <c r="B2652" s="235"/>
      <c r="C2652" s="235"/>
      <c r="D2652" s="196"/>
      <c r="E2652" s="196"/>
    </row>
    <row r="2653">
      <c r="A2653" s="234"/>
      <c r="B2653" s="235"/>
      <c r="C2653" s="235"/>
      <c r="D2653" s="196"/>
      <c r="E2653" s="196"/>
    </row>
    <row r="2654">
      <c r="A2654" s="234"/>
      <c r="B2654" s="235"/>
      <c r="C2654" s="235"/>
      <c r="D2654" s="196"/>
      <c r="E2654" s="196"/>
    </row>
    <row r="2655">
      <c r="A2655" s="234"/>
      <c r="B2655" s="235"/>
      <c r="C2655" s="235"/>
      <c r="D2655" s="196"/>
      <c r="E2655" s="196"/>
    </row>
    <row r="2656">
      <c r="A2656" s="234"/>
      <c r="B2656" s="235"/>
      <c r="C2656" s="235"/>
      <c r="D2656" s="196"/>
      <c r="E2656" s="196"/>
    </row>
    <row r="2657">
      <c r="A2657" s="234"/>
      <c r="B2657" s="235"/>
      <c r="C2657" s="235"/>
      <c r="D2657" s="196"/>
      <c r="E2657" s="196"/>
    </row>
    <row r="2658">
      <c r="A2658" s="234"/>
      <c r="B2658" s="235"/>
      <c r="C2658" s="235"/>
      <c r="D2658" s="196"/>
      <c r="E2658" s="196"/>
    </row>
    <row r="2659">
      <c r="A2659" s="234"/>
      <c r="B2659" s="235"/>
      <c r="C2659" s="235"/>
      <c r="D2659" s="196"/>
      <c r="E2659" s="196"/>
    </row>
    <row r="2660">
      <c r="A2660" s="234"/>
      <c r="B2660" s="235"/>
      <c r="C2660" s="235"/>
      <c r="D2660" s="196"/>
      <c r="E2660" s="196"/>
    </row>
    <row r="2661">
      <c r="A2661" s="234"/>
      <c r="B2661" s="235"/>
      <c r="C2661" s="235"/>
      <c r="D2661" s="196"/>
      <c r="E2661" s="196"/>
    </row>
    <row r="2662">
      <c r="A2662" s="234"/>
      <c r="B2662" s="235"/>
      <c r="C2662" s="235"/>
      <c r="D2662" s="196"/>
      <c r="E2662" s="196"/>
    </row>
    <row r="2663">
      <c r="A2663" s="234"/>
      <c r="B2663" s="235"/>
      <c r="C2663" s="235"/>
      <c r="D2663" s="196"/>
      <c r="E2663" s="196"/>
    </row>
    <row r="2664">
      <c r="A2664" s="234"/>
      <c r="B2664" s="235"/>
      <c r="C2664" s="235"/>
      <c r="D2664" s="196"/>
      <c r="E2664" s="196"/>
    </row>
    <row r="2665">
      <c r="A2665" s="234"/>
      <c r="B2665" s="235"/>
      <c r="C2665" s="235"/>
      <c r="D2665" s="196"/>
      <c r="E2665" s="196"/>
    </row>
    <row r="2666">
      <c r="A2666" s="234"/>
      <c r="B2666" s="235"/>
      <c r="C2666" s="235"/>
      <c r="D2666" s="196"/>
      <c r="E2666" s="196"/>
    </row>
    <row r="2667">
      <c r="A2667" s="234"/>
      <c r="B2667" s="235"/>
      <c r="C2667" s="235"/>
      <c r="D2667" s="196"/>
      <c r="E2667" s="196"/>
    </row>
    <row r="2668">
      <c r="A2668" s="234"/>
      <c r="B2668" s="235"/>
      <c r="C2668" s="235"/>
      <c r="D2668" s="196"/>
      <c r="E2668" s="196"/>
    </row>
    <row r="2669">
      <c r="A2669" s="234"/>
      <c r="B2669" s="235"/>
      <c r="C2669" s="235"/>
      <c r="D2669" s="196"/>
      <c r="E2669" s="196"/>
    </row>
    <row r="2670">
      <c r="A2670" s="234"/>
      <c r="B2670" s="235"/>
      <c r="C2670" s="235"/>
      <c r="D2670" s="196"/>
      <c r="E2670" s="196"/>
    </row>
    <row r="2671">
      <c r="A2671" s="234"/>
      <c r="B2671" s="235"/>
      <c r="C2671" s="235"/>
      <c r="D2671" s="196"/>
      <c r="E2671" s="196"/>
    </row>
    <row r="2672">
      <c r="A2672" s="234"/>
      <c r="B2672" s="235"/>
      <c r="C2672" s="235"/>
      <c r="D2672" s="196"/>
      <c r="E2672" s="196"/>
    </row>
    <row r="2673">
      <c r="A2673" s="234"/>
      <c r="B2673" s="235"/>
      <c r="C2673" s="235"/>
      <c r="D2673" s="196"/>
      <c r="E2673" s="196"/>
    </row>
    <row r="2674">
      <c r="A2674" s="234"/>
      <c r="B2674" s="235"/>
      <c r="C2674" s="235"/>
      <c r="D2674" s="196"/>
      <c r="E2674" s="196"/>
    </row>
    <row r="2675">
      <c r="A2675" s="234"/>
      <c r="B2675" s="235"/>
      <c r="C2675" s="235"/>
      <c r="D2675" s="196"/>
      <c r="E2675" s="196"/>
    </row>
    <row r="2676">
      <c r="A2676" s="234"/>
      <c r="B2676" s="235"/>
      <c r="C2676" s="235"/>
      <c r="D2676" s="196"/>
      <c r="E2676" s="196"/>
    </row>
    <row r="2677">
      <c r="A2677" s="234"/>
      <c r="B2677" s="235"/>
      <c r="C2677" s="235"/>
      <c r="D2677" s="196"/>
      <c r="E2677" s="196"/>
    </row>
    <row r="2678">
      <c r="A2678" s="234"/>
      <c r="B2678" s="235"/>
      <c r="C2678" s="235"/>
      <c r="D2678" s="196"/>
      <c r="E2678" s="196"/>
    </row>
    <row r="2679">
      <c r="A2679" s="234"/>
      <c r="B2679" s="235"/>
      <c r="C2679" s="235"/>
      <c r="D2679" s="196"/>
      <c r="E2679" s="196"/>
    </row>
    <row r="2680">
      <c r="A2680" s="234"/>
      <c r="B2680" s="235"/>
      <c r="C2680" s="235"/>
      <c r="D2680" s="196"/>
      <c r="E2680" s="196"/>
    </row>
    <row r="2681">
      <c r="A2681" s="234"/>
      <c r="B2681" s="235"/>
      <c r="C2681" s="235"/>
      <c r="D2681" s="196"/>
      <c r="E2681" s="196"/>
    </row>
    <row r="2682">
      <c r="A2682" s="234"/>
      <c r="B2682" s="235"/>
      <c r="C2682" s="235"/>
      <c r="D2682" s="196"/>
      <c r="E2682" s="196"/>
    </row>
    <row r="2683">
      <c r="A2683" s="234"/>
      <c r="B2683" s="235"/>
      <c r="C2683" s="235"/>
      <c r="D2683" s="196"/>
      <c r="E2683" s="196"/>
    </row>
    <row r="2684">
      <c r="A2684" s="234"/>
      <c r="B2684" s="235"/>
      <c r="C2684" s="235"/>
      <c r="D2684" s="196"/>
      <c r="E2684" s="196"/>
    </row>
    <row r="2685">
      <c r="A2685" s="234"/>
      <c r="B2685" s="235"/>
      <c r="C2685" s="235"/>
      <c r="D2685" s="196"/>
      <c r="E2685" s="196"/>
    </row>
    <row r="2686">
      <c r="A2686" s="234"/>
      <c r="B2686" s="235"/>
      <c r="C2686" s="235"/>
      <c r="D2686" s="196"/>
      <c r="E2686" s="196"/>
    </row>
    <row r="2687">
      <c r="A2687" s="234"/>
      <c r="B2687" s="235"/>
      <c r="C2687" s="235"/>
      <c r="D2687" s="196"/>
      <c r="E2687" s="196"/>
    </row>
    <row r="2688">
      <c r="A2688" s="234"/>
      <c r="B2688" s="235"/>
      <c r="C2688" s="235"/>
      <c r="D2688" s="196"/>
      <c r="E2688" s="196"/>
    </row>
    <row r="2689">
      <c r="A2689" s="234"/>
      <c r="B2689" s="235"/>
      <c r="C2689" s="235"/>
      <c r="D2689" s="196"/>
      <c r="E2689" s="196"/>
    </row>
    <row r="2690">
      <c r="A2690" s="234"/>
      <c r="B2690" s="235"/>
      <c r="C2690" s="235"/>
      <c r="D2690" s="196"/>
      <c r="E2690" s="196"/>
    </row>
    <row r="2691">
      <c r="A2691" s="234"/>
      <c r="B2691" s="235"/>
      <c r="C2691" s="235"/>
      <c r="D2691" s="196"/>
      <c r="E2691" s="196"/>
    </row>
    <row r="2692">
      <c r="A2692" s="234"/>
      <c r="B2692" s="235"/>
      <c r="C2692" s="235"/>
      <c r="D2692" s="196"/>
      <c r="E2692" s="196"/>
    </row>
    <row r="2693">
      <c r="A2693" s="234"/>
      <c r="B2693" s="235"/>
      <c r="C2693" s="235"/>
      <c r="D2693" s="196"/>
      <c r="E2693" s="196"/>
    </row>
    <row r="2694">
      <c r="A2694" s="234"/>
      <c r="B2694" s="235"/>
      <c r="C2694" s="235"/>
      <c r="D2694" s="196"/>
      <c r="E2694" s="196"/>
    </row>
    <row r="2695">
      <c r="A2695" s="234"/>
      <c r="B2695" s="235"/>
      <c r="C2695" s="235"/>
      <c r="D2695" s="196"/>
      <c r="E2695" s="196"/>
    </row>
    <row r="2696">
      <c r="A2696" s="234"/>
      <c r="B2696" s="235"/>
      <c r="C2696" s="235"/>
      <c r="D2696" s="196"/>
      <c r="E2696" s="196"/>
    </row>
    <row r="2697">
      <c r="A2697" s="234"/>
      <c r="B2697" s="235"/>
      <c r="C2697" s="235"/>
      <c r="D2697" s="196"/>
      <c r="E2697" s="196"/>
    </row>
    <row r="2698">
      <c r="A2698" s="234"/>
      <c r="B2698" s="235"/>
      <c r="C2698" s="235"/>
      <c r="D2698" s="196"/>
      <c r="E2698" s="196"/>
    </row>
    <row r="2699">
      <c r="A2699" s="234"/>
      <c r="B2699" s="235"/>
      <c r="C2699" s="235"/>
      <c r="D2699" s="196"/>
      <c r="E2699" s="196"/>
    </row>
    <row r="2700">
      <c r="A2700" s="234"/>
      <c r="B2700" s="235"/>
      <c r="C2700" s="235"/>
      <c r="D2700" s="196"/>
      <c r="E2700" s="196"/>
    </row>
    <row r="2701">
      <c r="A2701" s="234"/>
      <c r="B2701" s="235"/>
      <c r="C2701" s="235"/>
      <c r="D2701" s="196"/>
      <c r="E2701" s="196"/>
    </row>
    <row r="2702">
      <c r="A2702" s="234"/>
      <c r="B2702" s="235"/>
      <c r="C2702" s="235"/>
      <c r="D2702" s="196"/>
      <c r="E2702" s="196"/>
    </row>
    <row r="2703">
      <c r="A2703" s="234"/>
      <c r="B2703" s="235"/>
      <c r="C2703" s="235"/>
      <c r="D2703" s="196"/>
      <c r="E2703" s="196"/>
    </row>
    <row r="2704">
      <c r="A2704" s="234"/>
      <c r="B2704" s="235"/>
      <c r="C2704" s="235"/>
      <c r="D2704" s="196"/>
      <c r="E2704" s="196"/>
    </row>
    <row r="2705">
      <c r="A2705" s="234"/>
      <c r="B2705" s="235"/>
      <c r="C2705" s="235"/>
      <c r="D2705" s="196"/>
      <c r="E2705" s="196"/>
    </row>
    <row r="2706">
      <c r="A2706" s="234"/>
      <c r="B2706" s="235"/>
      <c r="C2706" s="235"/>
      <c r="D2706" s="196"/>
      <c r="E2706" s="196"/>
    </row>
    <row r="2707">
      <c r="A2707" s="234"/>
      <c r="B2707" s="235"/>
      <c r="C2707" s="235"/>
      <c r="D2707" s="196"/>
      <c r="E2707" s="196"/>
    </row>
    <row r="2708">
      <c r="A2708" s="234"/>
      <c r="B2708" s="235"/>
      <c r="C2708" s="235"/>
      <c r="D2708" s="196"/>
      <c r="E2708" s="196"/>
    </row>
    <row r="2709">
      <c r="A2709" s="234"/>
      <c r="B2709" s="235"/>
      <c r="C2709" s="235"/>
      <c r="D2709" s="196"/>
      <c r="E2709" s="196"/>
    </row>
    <row r="2710">
      <c r="A2710" s="234"/>
      <c r="B2710" s="235"/>
      <c r="C2710" s="235"/>
      <c r="D2710" s="196"/>
      <c r="E2710" s="196"/>
    </row>
    <row r="2711">
      <c r="A2711" s="234"/>
      <c r="B2711" s="235"/>
      <c r="C2711" s="235"/>
      <c r="D2711" s="196"/>
      <c r="E2711" s="196"/>
    </row>
    <row r="2712">
      <c r="A2712" s="234"/>
      <c r="B2712" s="235"/>
      <c r="C2712" s="235"/>
      <c r="D2712" s="196"/>
      <c r="E2712" s="196"/>
    </row>
    <row r="2713">
      <c r="A2713" s="234"/>
      <c r="B2713" s="235"/>
      <c r="C2713" s="235"/>
      <c r="D2713" s="196"/>
      <c r="E2713" s="196"/>
    </row>
    <row r="2714">
      <c r="A2714" s="234"/>
      <c r="B2714" s="235"/>
      <c r="C2714" s="235"/>
      <c r="D2714" s="196"/>
      <c r="E2714" s="196"/>
    </row>
    <row r="2715">
      <c r="A2715" s="234"/>
      <c r="B2715" s="235"/>
      <c r="C2715" s="235"/>
      <c r="D2715" s="196"/>
      <c r="E2715" s="196"/>
    </row>
    <row r="2716">
      <c r="A2716" s="234"/>
      <c r="B2716" s="235"/>
      <c r="C2716" s="235"/>
      <c r="D2716" s="196"/>
      <c r="E2716" s="196"/>
    </row>
    <row r="2717">
      <c r="A2717" s="234"/>
      <c r="B2717" s="235"/>
      <c r="C2717" s="235"/>
      <c r="D2717" s="196"/>
      <c r="E2717" s="196"/>
    </row>
    <row r="2718">
      <c r="A2718" s="234"/>
      <c r="B2718" s="235"/>
      <c r="C2718" s="235"/>
      <c r="D2718" s="196"/>
      <c r="E2718" s="196"/>
    </row>
    <row r="2719">
      <c r="A2719" s="234"/>
      <c r="B2719" s="235"/>
      <c r="C2719" s="235"/>
      <c r="D2719" s="196"/>
      <c r="E2719" s="196"/>
    </row>
    <row r="2720">
      <c r="A2720" s="234"/>
      <c r="B2720" s="235"/>
      <c r="C2720" s="235"/>
      <c r="D2720" s="196"/>
      <c r="E2720" s="196"/>
    </row>
    <row r="2721">
      <c r="A2721" s="234"/>
      <c r="B2721" s="235"/>
      <c r="C2721" s="235"/>
      <c r="D2721" s="196"/>
      <c r="E2721" s="196"/>
    </row>
    <row r="2722">
      <c r="A2722" s="234"/>
      <c r="B2722" s="235"/>
      <c r="C2722" s="235"/>
      <c r="D2722" s="196"/>
      <c r="E2722" s="196"/>
    </row>
    <row r="2723">
      <c r="A2723" s="234"/>
      <c r="B2723" s="235"/>
      <c r="C2723" s="235"/>
      <c r="D2723" s="196"/>
      <c r="E2723" s="196"/>
    </row>
    <row r="2724">
      <c r="A2724" s="234"/>
      <c r="B2724" s="235"/>
      <c r="C2724" s="235"/>
      <c r="D2724" s="196"/>
      <c r="E2724" s="196"/>
    </row>
    <row r="2725">
      <c r="A2725" s="234"/>
      <c r="B2725" s="235"/>
      <c r="C2725" s="235"/>
      <c r="D2725" s="196"/>
      <c r="E2725" s="196"/>
    </row>
    <row r="2726">
      <c r="A2726" s="234"/>
      <c r="B2726" s="235"/>
      <c r="C2726" s="235"/>
      <c r="D2726" s="196"/>
      <c r="E2726" s="196"/>
    </row>
    <row r="2727">
      <c r="A2727" s="234"/>
      <c r="B2727" s="235"/>
      <c r="C2727" s="235"/>
      <c r="D2727" s="196"/>
      <c r="E2727" s="196"/>
    </row>
    <row r="2728">
      <c r="A2728" s="234"/>
      <c r="B2728" s="235"/>
      <c r="C2728" s="235"/>
      <c r="D2728" s="196"/>
      <c r="E2728" s="196"/>
    </row>
    <row r="2729">
      <c r="A2729" s="234"/>
      <c r="B2729" s="235"/>
      <c r="C2729" s="235"/>
      <c r="D2729" s="196"/>
      <c r="E2729" s="196"/>
    </row>
    <row r="2730">
      <c r="A2730" s="234"/>
      <c r="B2730" s="235"/>
      <c r="C2730" s="235"/>
      <c r="D2730" s="196"/>
      <c r="E2730" s="196"/>
    </row>
    <row r="2731">
      <c r="A2731" s="234"/>
      <c r="B2731" s="235"/>
      <c r="C2731" s="235"/>
      <c r="D2731" s="196"/>
      <c r="E2731" s="196"/>
    </row>
    <row r="2732">
      <c r="A2732" s="234"/>
      <c r="B2732" s="235"/>
      <c r="C2732" s="235"/>
      <c r="D2732" s="196"/>
      <c r="E2732" s="196"/>
    </row>
    <row r="2733">
      <c r="A2733" s="234"/>
      <c r="B2733" s="235"/>
      <c r="C2733" s="235"/>
      <c r="D2733" s="196"/>
      <c r="E2733" s="196"/>
    </row>
    <row r="2734">
      <c r="A2734" s="234"/>
      <c r="B2734" s="235"/>
      <c r="C2734" s="235"/>
      <c r="D2734" s="196"/>
      <c r="E2734" s="196"/>
    </row>
    <row r="2735">
      <c r="A2735" s="234"/>
      <c r="B2735" s="235"/>
      <c r="C2735" s="235"/>
      <c r="D2735" s="196"/>
      <c r="E2735" s="196"/>
    </row>
    <row r="2736">
      <c r="A2736" s="234"/>
      <c r="B2736" s="235"/>
      <c r="C2736" s="235"/>
      <c r="D2736" s="196"/>
      <c r="E2736" s="196"/>
    </row>
    <row r="2737">
      <c r="A2737" s="234"/>
      <c r="B2737" s="235"/>
      <c r="C2737" s="235"/>
      <c r="D2737" s="196"/>
      <c r="E2737" s="196"/>
    </row>
    <row r="2738">
      <c r="A2738" s="234"/>
      <c r="B2738" s="235"/>
      <c r="C2738" s="235"/>
      <c r="D2738" s="196"/>
      <c r="E2738" s="196"/>
    </row>
    <row r="2739">
      <c r="A2739" s="234"/>
      <c r="B2739" s="235"/>
      <c r="C2739" s="235"/>
      <c r="D2739" s="196"/>
      <c r="E2739" s="196"/>
    </row>
    <row r="2740">
      <c r="A2740" s="234"/>
      <c r="B2740" s="235"/>
      <c r="C2740" s="235"/>
      <c r="D2740" s="196"/>
      <c r="E2740" s="196"/>
    </row>
    <row r="2741">
      <c r="A2741" s="234"/>
      <c r="B2741" s="235"/>
      <c r="C2741" s="235"/>
      <c r="D2741" s="196"/>
      <c r="E2741" s="196"/>
    </row>
    <row r="2742">
      <c r="A2742" s="234"/>
      <c r="B2742" s="235"/>
      <c r="C2742" s="235"/>
      <c r="D2742" s="196"/>
      <c r="E2742" s="196"/>
    </row>
    <row r="2743">
      <c r="A2743" s="234"/>
      <c r="B2743" s="235"/>
      <c r="C2743" s="235"/>
      <c r="D2743" s="196"/>
      <c r="E2743" s="196"/>
    </row>
    <row r="2744">
      <c r="A2744" s="234"/>
      <c r="B2744" s="235"/>
      <c r="C2744" s="235"/>
      <c r="D2744" s="196"/>
      <c r="E2744" s="196"/>
    </row>
    <row r="2745">
      <c r="A2745" s="234"/>
      <c r="B2745" s="235"/>
      <c r="C2745" s="235"/>
      <c r="D2745" s="196"/>
      <c r="E2745" s="196"/>
    </row>
    <row r="2746">
      <c r="A2746" s="234"/>
      <c r="B2746" s="235"/>
      <c r="C2746" s="235"/>
      <c r="D2746" s="196"/>
      <c r="E2746" s="196"/>
    </row>
    <row r="2747">
      <c r="A2747" s="234"/>
      <c r="B2747" s="235"/>
      <c r="C2747" s="235"/>
      <c r="D2747" s="196"/>
      <c r="E2747" s="196"/>
    </row>
    <row r="2748">
      <c r="A2748" s="234"/>
      <c r="B2748" s="235"/>
      <c r="C2748" s="235"/>
      <c r="D2748" s="196"/>
      <c r="E2748" s="196"/>
    </row>
    <row r="2749">
      <c r="A2749" s="234"/>
      <c r="B2749" s="235"/>
      <c r="C2749" s="235"/>
      <c r="D2749" s="196"/>
      <c r="E2749" s="196"/>
    </row>
    <row r="2750">
      <c r="A2750" s="234"/>
      <c r="B2750" s="235"/>
      <c r="C2750" s="235"/>
      <c r="D2750" s="196"/>
      <c r="E2750" s="196"/>
    </row>
    <row r="2751">
      <c r="A2751" s="234"/>
      <c r="B2751" s="235"/>
      <c r="C2751" s="235"/>
      <c r="D2751" s="196"/>
      <c r="E2751" s="196"/>
    </row>
    <row r="2752">
      <c r="A2752" s="234"/>
      <c r="B2752" s="235"/>
      <c r="C2752" s="235"/>
      <c r="D2752" s="196"/>
      <c r="E2752" s="196"/>
    </row>
    <row r="2753">
      <c r="A2753" s="234"/>
      <c r="B2753" s="235"/>
      <c r="C2753" s="235"/>
      <c r="D2753" s="196"/>
      <c r="E2753" s="196"/>
    </row>
    <row r="2754">
      <c r="A2754" s="234"/>
      <c r="B2754" s="235"/>
      <c r="C2754" s="235"/>
      <c r="D2754" s="196"/>
      <c r="E2754" s="196"/>
    </row>
    <row r="2755">
      <c r="A2755" s="234"/>
      <c r="B2755" s="235"/>
      <c r="C2755" s="235"/>
      <c r="D2755" s="196"/>
      <c r="E2755" s="196"/>
    </row>
    <row r="2756">
      <c r="A2756" s="234"/>
      <c r="B2756" s="235"/>
      <c r="C2756" s="235"/>
      <c r="D2756" s="196"/>
      <c r="E2756" s="196"/>
    </row>
    <row r="2757">
      <c r="A2757" s="234"/>
      <c r="B2757" s="235"/>
      <c r="C2757" s="235"/>
      <c r="D2757" s="196"/>
      <c r="E2757" s="196"/>
    </row>
    <row r="2758">
      <c r="A2758" s="234"/>
      <c r="B2758" s="235"/>
      <c r="C2758" s="235"/>
      <c r="D2758" s="196"/>
      <c r="E2758" s="196"/>
    </row>
    <row r="2759">
      <c r="A2759" s="234"/>
      <c r="B2759" s="235"/>
      <c r="C2759" s="235"/>
      <c r="D2759" s="196"/>
      <c r="E2759" s="196"/>
    </row>
    <row r="2760">
      <c r="A2760" s="234"/>
      <c r="B2760" s="235"/>
      <c r="C2760" s="235"/>
      <c r="D2760" s="196"/>
      <c r="E2760" s="196"/>
    </row>
    <row r="2761">
      <c r="A2761" s="234"/>
      <c r="B2761" s="235"/>
      <c r="C2761" s="235"/>
      <c r="D2761" s="196"/>
      <c r="E2761" s="196"/>
    </row>
    <row r="2762">
      <c r="A2762" s="234"/>
      <c r="B2762" s="235"/>
      <c r="C2762" s="235"/>
      <c r="D2762" s="196"/>
      <c r="E2762" s="196"/>
    </row>
    <row r="2763">
      <c r="A2763" s="234"/>
      <c r="B2763" s="235"/>
      <c r="C2763" s="235"/>
      <c r="D2763" s="196"/>
      <c r="E2763" s="196"/>
    </row>
    <row r="2764">
      <c r="A2764" s="234"/>
      <c r="B2764" s="235"/>
      <c r="C2764" s="235"/>
      <c r="D2764" s="196"/>
      <c r="E2764" s="196"/>
    </row>
    <row r="2765">
      <c r="A2765" s="234"/>
      <c r="B2765" s="235"/>
      <c r="C2765" s="235"/>
      <c r="D2765" s="196"/>
      <c r="E2765" s="196"/>
    </row>
    <row r="2766">
      <c r="A2766" s="234"/>
      <c r="B2766" s="235"/>
      <c r="C2766" s="235"/>
      <c r="D2766" s="196"/>
      <c r="E2766" s="196"/>
    </row>
    <row r="2767">
      <c r="A2767" s="234"/>
      <c r="B2767" s="235"/>
      <c r="C2767" s="235"/>
      <c r="D2767" s="196"/>
      <c r="E2767" s="196"/>
    </row>
    <row r="2768">
      <c r="A2768" s="234"/>
      <c r="B2768" s="235"/>
      <c r="C2768" s="235"/>
      <c r="D2768" s="196"/>
      <c r="E2768" s="196"/>
    </row>
    <row r="2769">
      <c r="A2769" s="234"/>
      <c r="B2769" s="235"/>
      <c r="C2769" s="235"/>
      <c r="D2769" s="196"/>
      <c r="E2769" s="196"/>
    </row>
    <row r="2770">
      <c r="A2770" s="234"/>
      <c r="B2770" s="235"/>
      <c r="C2770" s="235"/>
      <c r="D2770" s="196"/>
      <c r="E2770" s="196"/>
    </row>
    <row r="2771">
      <c r="A2771" s="234"/>
      <c r="B2771" s="235"/>
      <c r="C2771" s="235"/>
      <c r="D2771" s="196"/>
      <c r="E2771" s="196"/>
    </row>
    <row r="2772">
      <c r="A2772" s="234"/>
      <c r="B2772" s="235"/>
      <c r="C2772" s="235"/>
      <c r="D2772" s="196"/>
      <c r="E2772" s="196"/>
    </row>
    <row r="2773">
      <c r="A2773" s="234"/>
      <c r="B2773" s="235"/>
      <c r="C2773" s="235"/>
      <c r="D2773" s="196"/>
      <c r="E2773" s="196"/>
    </row>
    <row r="2774">
      <c r="A2774" s="234"/>
      <c r="B2774" s="235"/>
      <c r="C2774" s="235"/>
      <c r="D2774" s="196"/>
      <c r="E2774" s="196"/>
    </row>
    <row r="2775">
      <c r="A2775" s="234"/>
      <c r="B2775" s="235"/>
      <c r="C2775" s="235"/>
      <c r="D2775" s="196"/>
      <c r="E2775" s="196"/>
    </row>
    <row r="2776">
      <c r="A2776" s="234"/>
      <c r="B2776" s="235"/>
      <c r="C2776" s="235"/>
      <c r="D2776" s="196"/>
      <c r="E2776" s="196"/>
    </row>
    <row r="2777">
      <c r="A2777" s="234"/>
      <c r="B2777" s="235"/>
      <c r="C2777" s="235"/>
      <c r="D2777" s="196"/>
      <c r="E2777" s="196"/>
    </row>
    <row r="2778">
      <c r="A2778" s="234"/>
      <c r="B2778" s="235"/>
      <c r="C2778" s="235"/>
      <c r="D2778" s="196"/>
      <c r="E2778" s="196"/>
    </row>
    <row r="2779">
      <c r="A2779" s="234"/>
      <c r="B2779" s="235"/>
      <c r="C2779" s="235"/>
      <c r="D2779" s="196"/>
      <c r="E2779" s="196"/>
    </row>
    <row r="2780">
      <c r="A2780" s="234"/>
      <c r="B2780" s="235"/>
      <c r="C2780" s="235"/>
      <c r="D2780" s="196"/>
      <c r="E2780" s="196"/>
    </row>
    <row r="2781">
      <c r="A2781" s="234"/>
      <c r="B2781" s="235"/>
      <c r="C2781" s="235"/>
      <c r="D2781" s="196"/>
      <c r="E2781" s="196"/>
    </row>
    <row r="2782">
      <c r="A2782" s="234"/>
      <c r="B2782" s="235"/>
      <c r="C2782" s="235"/>
      <c r="D2782" s="196"/>
      <c r="E2782" s="196"/>
    </row>
    <row r="2783">
      <c r="A2783" s="234"/>
      <c r="B2783" s="235"/>
      <c r="C2783" s="235"/>
      <c r="D2783" s="196"/>
      <c r="E2783" s="196"/>
    </row>
    <row r="2784">
      <c r="A2784" s="234"/>
      <c r="B2784" s="235"/>
      <c r="C2784" s="235"/>
      <c r="D2784" s="196"/>
      <c r="E2784" s="196"/>
    </row>
    <row r="2785">
      <c r="A2785" s="234"/>
      <c r="B2785" s="235"/>
      <c r="C2785" s="235"/>
      <c r="D2785" s="196"/>
      <c r="E2785" s="196"/>
    </row>
    <row r="2786">
      <c r="A2786" s="234"/>
      <c r="B2786" s="235"/>
      <c r="C2786" s="235"/>
      <c r="D2786" s="196"/>
      <c r="E2786" s="196"/>
    </row>
    <row r="2787">
      <c r="A2787" s="234"/>
      <c r="B2787" s="235"/>
      <c r="C2787" s="235"/>
      <c r="D2787" s="196"/>
      <c r="E2787" s="196"/>
    </row>
    <row r="2788">
      <c r="A2788" s="234"/>
      <c r="B2788" s="235"/>
      <c r="C2788" s="235"/>
      <c r="D2788" s="196"/>
      <c r="E2788" s="196"/>
    </row>
    <row r="2789">
      <c r="A2789" s="234"/>
      <c r="B2789" s="235"/>
      <c r="C2789" s="235"/>
      <c r="D2789" s="196"/>
      <c r="E2789" s="196"/>
    </row>
    <row r="2790">
      <c r="A2790" s="234"/>
      <c r="B2790" s="235"/>
      <c r="C2790" s="235"/>
      <c r="D2790" s="196"/>
      <c r="E2790" s="196"/>
    </row>
    <row r="2791">
      <c r="A2791" s="234"/>
      <c r="B2791" s="235"/>
      <c r="C2791" s="235"/>
      <c r="D2791" s="196"/>
      <c r="E2791" s="196"/>
    </row>
    <row r="2792">
      <c r="A2792" s="234"/>
      <c r="B2792" s="235"/>
      <c r="C2792" s="235"/>
      <c r="D2792" s="196"/>
      <c r="E2792" s="196"/>
    </row>
    <row r="2793">
      <c r="A2793" s="234"/>
      <c r="B2793" s="235"/>
      <c r="C2793" s="235"/>
      <c r="D2793" s="196"/>
      <c r="E2793" s="196"/>
    </row>
    <row r="2794">
      <c r="A2794" s="234"/>
      <c r="B2794" s="235"/>
      <c r="C2794" s="235"/>
      <c r="D2794" s="196"/>
      <c r="E2794" s="196"/>
    </row>
    <row r="2795">
      <c r="A2795" s="234"/>
      <c r="B2795" s="235"/>
      <c r="C2795" s="235"/>
      <c r="D2795" s="196"/>
      <c r="E2795" s="196"/>
    </row>
    <row r="2796">
      <c r="A2796" s="234"/>
      <c r="B2796" s="235"/>
      <c r="C2796" s="235"/>
      <c r="D2796" s="196"/>
      <c r="E2796" s="196"/>
    </row>
    <row r="2797">
      <c r="A2797" s="234"/>
      <c r="B2797" s="235"/>
      <c r="C2797" s="235"/>
      <c r="D2797" s="196"/>
      <c r="E2797" s="196"/>
    </row>
    <row r="2798">
      <c r="A2798" s="234"/>
      <c r="B2798" s="235"/>
      <c r="C2798" s="235"/>
      <c r="D2798" s="196"/>
      <c r="E2798" s="196"/>
    </row>
    <row r="2799">
      <c r="A2799" s="234"/>
      <c r="B2799" s="235"/>
      <c r="C2799" s="235"/>
      <c r="D2799" s="196"/>
      <c r="E2799" s="196"/>
    </row>
    <row r="2800">
      <c r="A2800" s="234"/>
      <c r="B2800" s="235"/>
      <c r="C2800" s="235"/>
      <c r="D2800" s="196"/>
      <c r="E2800" s="196"/>
    </row>
    <row r="2801">
      <c r="A2801" s="234"/>
      <c r="B2801" s="235"/>
      <c r="C2801" s="235"/>
      <c r="D2801" s="196"/>
      <c r="E2801" s="196"/>
    </row>
    <row r="2802">
      <c r="A2802" s="234"/>
      <c r="B2802" s="235"/>
      <c r="C2802" s="235"/>
      <c r="D2802" s="196"/>
      <c r="E2802" s="196"/>
    </row>
    <row r="2803">
      <c r="A2803" s="234"/>
      <c r="B2803" s="235"/>
      <c r="C2803" s="235"/>
      <c r="D2803" s="196"/>
      <c r="E2803" s="196"/>
    </row>
    <row r="2804">
      <c r="A2804" s="234"/>
      <c r="B2804" s="235"/>
      <c r="C2804" s="235"/>
      <c r="D2804" s="196"/>
      <c r="E2804" s="196"/>
    </row>
    <row r="2805">
      <c r="A2805" s="234"/>
      <c r="B2805" s="235"/>
      <c r="C2805" s="235"/>
      <c r="D2805" s="196"/>
      <c r="E2805" s="196"/>
    </row>
    <row r="2806">
      <c r="A2806" s="234"/>
      <c r="B2806" s="235"/>
      <c r="C2806" s="235"/>
      <c r="D2806" s="196"/>
      <c r="E2806" s="196"/>
    </row>
    <row r="2807">
      <c r="A2807" s="234"/>
      <c r="B2807" s="235"/>
      <c r="C2807" s="235"/>
      <c r="D2807" s="196"/>
      <c r="E2807" s="196"/>
    </row>
    <row r="2808">
      <c r="A2808" s="234"/>
      <c r="B2808" s="235"/>
      <c r="C2808" s="235"/>
      <c r="D2808" s="196"/>
      <c r="E2808" s="196"/>
    </row>
    <row r="2809">
      <c r="A2809" s="234"/>
      <c r="B2809" s="235"/>
      <c r="C2809" s="235"/>
      <c r="D2809" s="196"/>
      <c r="E2809" s="196"/>
    </row>
    <row r="2810">
      <c r="A2810" s="234"/>
      <c r="B2810" s="235"/>
      <c r="C2810" s="235"/>
      <c r="D2810" s="196"/>
      <c r="E2810" s="196"/>
    </row>
    <row r="2811">
      <c r="A2811" s="234"/>
      <c r="B2811" s="235"/>
      <c r="C2811" s="235"/>
      <c r="D2811" s="196"/>
      <c r="E2811" s="196"/>
    </row>
    <row r="2812">
      <c r="A2812" s="234"/>
      <c r="B2812" s="235"/>
      <c r="C2812" s="235"/>
      <c r="D2812" s="196"/>
      <c r="E2812" s="196"/>
    </row>
    <row r="2813">
      <c r="A2813" s="234"/>
      <c r="B2813" s="235"/>
      <c r="C2813" s="235"/>
      <c r="D2813" s="196"/>
      <c r="E2813" s="196"/>
    </row>
    <row r="2814">
      <c r="A2814" s="234"/>
      <c r="B2814" s="235"/>
      <c r="C2814" s="235"/>
      <c r="D2814" s="196"/>
      <c r="E2814" s="196"/>
    </row>
    <row r="2815">
      <c r="A2815" s="234"/>
      <c r="B2815" s="235"/>
      <c r="C2815" s="235"/>
      <c r="D2815" s="196"/>
      <c r="E2815" s="196"/>
    </row>
    <row r="2816">
      <c r="A2816" s="234"/>
      <c r="B2816" s="235"/>
      <c r="C2816" s="235"/>
      <c r="D2816" s="196"/>
      <c r="E2816" s="196"/>
    </row>
    <row r="2817">
      <c r="A2817" s="234"/>
      <c r="B2817" s="235"/>
      <c r="C2817" s="235"/>
      <c r="D2817" s="196"/>
      <c r="E2817" s="196"/>
    </row>
    <row r="2818">
      <c r="A2818" s="234"/>
      <c r="B2818" s="235"/>
      <c r="C2818" s="235"/>
      <c r="D2818" s="196"/>
      <c r="E2818" s="196"/>
    </row>
    <row r="2819">
      <c r="A2819" s="234"/>
      <c r="B2819" s="235"/>
      <c r="C2819" s="235"/>
      <c r="D2819" s="196"/>
      <c r="E2819" s="196"/>
    </row>
    <row r="2820">
      <c r="A2820" s="234"/>
      <c r="B2820" s="235"/>
      <c r="C2820" s="235"/>
      <c r="D2820" s="196"/>
      <c r="E2820" s="196"/>
    </row>
    <row r="2821">
      <c r="A2821" s="234"/>
      <c r="B2821" s="235"/>
      <c r="C2821" s="235"/>
      <c r="D2821" s="196"/>
      <c r="E2821" s="196"/>
    </row>
    <row r="2822">
      <c r="A2822" s="234"/>
      <c r="B2822" s="235"/>
      <c r="C2822" s="235"/>
      <c r="D2822" s="196"/>
      <c r="E2822" s="196"/>
    </row>
    <row r="2823">
      <c r="A2823" s="234"/>
      <c r="B2823" s="235"/>
      <c r="C2823" s="235"/>
      <c r="D2823" s="196"/>
      <c r="E2823" s="196"/>
    </row>
    <row r="2824">
      <c r="A2824" s="234"/>
      <c r="B2824" s="235"/>
      <c r="C2824" s="235"/>
      <c r="D2824" s="196"/>
      <c r="E2824" s="196"/>
    </row>
    <row r="2825">
      <c r="A2825" s="234"/>
      <c r="B2825" s="235"/>
      <c r="C2825" s="235"/>
      <c r="D2825" s="196"/>
      <c r="E2825" s="196"/>
    </row>
    <row r="2826">
      <c r="A2826" s="234"/>
      <c r="B2826" s="235"/>
      <c r="C2826" s="235"/>
      <c r="D2826" s="196"/>
      <c r="E2826" s="196"/>
    </row>
    <row r="2827">
      <c r="A2827" s="234"/>
      <c r="B2827" s="235"/>
      <c r="C2827" s="235"/>
      <c r="D2827" s="196"/>
      <c r="E2827" s="196"/>
    </row>
    <row r="2828">
      <c r="A2828" s="234"/>
      <c r="B2828" s="235"/>
      <c r="C2828" s="235"/>
      <c r="D2828" s="196"/>
      <c r="E2828" s="196"/>
    </row>
    <row r="2829">
      <c r="A2829" s="234"/>
      <c r="B2829" s="235"/>
      <c r="C2829" s="235"/>
      <c r="D2829" s="196"/>
      <c r="E2829" s="196"/>
    </row>
    <row r="2830">
      <c r="A2830" s="234"/>
      <c r="B2830" s="235"/>
      <c r="C2830" s="235"/>
      <c r="D2830" s="196"/>
      <c r="E2830" s="196"/>
    </row>
    <row r="2831">
      <c r="A2831" s="234"/>
      <c r="B2831" s="235"/>
      <c r="C2831" s="235"/>
      <c r="D2831" s="196"/>
      <c r="E2831" s="196"/>
    </row>
    <row r="2832">
      <c r="A2832" s="234"/>
      <c r="B2832" s="235"/>
      <c r="C2832" s="235"/>
      <c r="D2832" s="196"/>
      <c r="E2832" s="196"/>
    </row>
    <row r="2833">
      <c r="A2833" s="234"/>
      <c r="B2833" s="235"/>
      <c r="C2833" s="235"/>
      <c r="D2833" s="196"/>
      <c r="E2833" s="196"/>
    </row>
    <row r="2834">
      <c r="A2834" s="234"/>
      <c r="B2834" s="235"/>
      <c r="C2834" s="235"/>
      <c r="D2834" s="196"/>
      <c r="E2834" s="196"/>
    </row>
    <row r="2835">
      <c r="A2835" s="234"/>
      <c r="B2835" s="235"/>
      <c r="C2835" s="235"/>
      <c r="D2835" s="196"/>
      <c r="E2835" s="196"/>
    </row>
    <row r="2836">
      <c r="A2836" s="234"/>
      <c r="B2836" s="235"/>
      <c r="C2836" s="235"/>
      <c r="D2836" s="196"/>
      <c r="E2836" s="196"/>
    </row>
    <row r="2837">
      <c r="A2837" s="234"/>
      <c r="B2837" s="235"/>
      <c r="C2837" s="235"/>
      <c r="D2837" s="196"/>
      <c r="E2837" s="196"/>
    </row>
    <row r="2838">
      <c r="A2838" s="234"/>
      <c r="B2838" s="235"/>
      <c r="C2838" s="235"/>
      <c r="D2838" s="196"/>
      <c r="E2838" s="196"/>
    </row>
    <row r="2839">
      <c r="A2839" s="234"/>
      <c r="B2839" s="235"/>
      <c r="C2839" s="235"/>
      <c r="D2839" s="196"/>
      <c r="E2839" s="196"/>
    </row>
    <row r="2840">
      <c r="A2840" s="234"/>
      <c r="B2840" s="235"/>
      <c r="C2840" s="235"/>
      <c r="D2840" s="196"/>
      <c r="E2840" s="196"/>
    </row>
    <row r="2841">
      <c r="A2841" s="234"/>
      <c r="B2841" s="235"/>
      <c r="C2841" s="235"/>
      <c r="D2841" s="196"/>
      <c r="E2841" s="196"/>
    </row>
    <row r="2842">
      <c r="A2842" s="234"/>
      <c r="B2842" s="235"/>
      <c r="C2842" s="235"/>
      <c r="D2842" s="196"/>
      <c r="E2842" s="196"/>
    </row>
    <row r="2843">
      <c r="A2843" s="234"/>
      <c r="B2843" s="235"/>
      <c r="C2843" s="235"/>
      <c r="D2843" s="196"/>
      <c r="E2843" s="196"/>
    </row>
    <row r="2844">
      <c r="A2844" s="234"/>
      <c r="B2844" s="235"/>
      <c r="C2844" s="235"/>
      <c r="D2844" s="196"/>
      <c r="E2844" s="196"/>
    </row>
    <row r="2845">
      <c r="A2845" s="234"/>
      <c r="B2845" s="235"/>
      <c r="C2845" s="235"/>
      <c r="D2845" s="196"/>
      <c r="E2845" s="196"/>
    </row>
    <row r="2846">
      <c r="A2846" s="234"/>
      <c r="B2846" s="235"/>
      <c r="C2846" s="235"/>
      <c r="D2846" s="196"/>
      <c r="E2846" s="196"/>
    </row>
    <row r="2847">
      <c r="A2847" s="234"/>
      <c r="B2847" s="235"/>
      <c r="C2847" s="235"/>
      <c r="D2847" s="196"/>
      <c r="E2847" s="196"/>
    </row>
    <row r="2848">
      <c r="A2848" s="234"/>
      <c r="B2848" s="235"/>
      <c r="C2848" s="235"/>
      <c r="D2848" s="196"/>
      <c r="E2848" s="196"/>
    </row>
    <row r="2849">
      <c r="A2849" s="234"/>
      <c r="B2849" s="235"/>
      <c r="C2849" s="235"/>
      <c r="D2849" s="196"/>
      <c r="E2849" s="196"/>
    </row>
    <row r="2850">
      <c r="A2850" s="234"/>
      <c r="B2850" s="235"/>
      <c r="C2850" s="235"/>
      <c r="D2850" s="196"/>
      <c r="E2850" s="196"/>
    </row>
    <row r="2851">
      <c r="A2851" s="234"/>
      <c r="B2851" s="235"/>
      <c r="C2851" s="235"/>
      <c r="D2851" s="196"/>
      <c r="E2851" s="196"/>
    </row>
    <row r="2852">
      <c r="A2852" s="234"/>
      <c r="B2852" s="235"/>
      <c r="C2852" s="235"/>
      <c r="D2852" s="196"/>
      <c r="E2852" s="196"/>
    </row>
    <row r="2853">
      <c r="A2853" s="234"/>
      <c r="B2853" s="235"/>
      <c r="C2853" s="235"/>
      <c r="D2853" s="196"/>
      <c r="E2853" s="196"/>
    </row>
    <row r="2854">
      <c r="A2854" s="234"/>
      <c r="B2854" s="235"/>
      <c r="C2854" s="235"/>
      <c r="D2854" s="196"/>
      <c r="E2854" s="196"/>
    </row>
    <row r="2855">
      <c r="A2855" s="234"/>
      <c r="B2855" s="235"/>
      <c r="C2855" s="235"/>
      <c r="D2855" s="196"/>
      <c r="E2855" s="196"/>
    </row>
    <row r="2856">
      <c r="A2856" s="234"/>
      <c r="B2856" s="235"/>
      <c r="C2856" s="235"/>
      <c r="D2856" s="196"/>
      <c r="E2856" s="196"/>
    </row>
    <row r="2857">
      <c r="A2857" s="234"/>
      <c r="B2857" s="235"/>
      <c r="C2857" s="235"/>
      <c r="D2857" s="196"/>
      <c r="E2857" s="196"/>
    </row>
    <row r="2858">
      <c r="A2858" s="234"/>
      <c r="B2858" s="235"/>
      <c r="C2858" s="235"/>
      <c r="D2858" s="196"/>
      <c r="E2858" s="196"/>
    </row>
    <row r="2859">
      <c r="A2859" s="234"/>
      <c r="B2859" s="235"/>
      <c r="C2859" s="235"/>
      <c r="D2859" s="196"/>
      <c r="E2859" s="196"/>
    </row>
    <row r="2860">
      <c r="A2860" s="234"/>
      <c r="B2860" s="235"/>
      <c r="C2860" s="235"/>
      <c r="D2860" s="196"/>
      <c r="E2860" s="196"/>
    </row>
    <row r="2861">
      <c r="A2861" s="234"/>
      <c r="B2861" s="235"/>
      <c r="C2861" s="235"/>
      <c r="D2861" s="196"/>
      <c r="E2861" s="196"/>
    </row>
    <row r="2862">
      <c r="A2862" s="234"/>
      <c r="B2862" s="235"/>
      <c r="C2862" s="235"/>
      <c r="D2862" s="196"/>
      <c r="E2862" s="196"/>
    </row>
    <row r="2863">
      <c r="A2863" s="234"/>
      <c r="B2863" s="235"/>
      <c r="C2863" s="235"/>
      <c r="D2863" s="196"/>
      <c r="E2863" s="196"/>
    </row>
    <row r="2864">
      <c r="A2864" s="234"/>
      <c r="B2864" s="235"/>
      <c r="C2864" s="235"/>
      <c r="D2864" s="196"/>
      <c r="E2864" s="196"/>
    </row>
    <row r="2865">
      <c r="A2865" s="234"/>
      <c r="B2865" s="235"/>
      <c r="C2865" s="235"/>
      <c r="D2865" s="196"/>
      <c r="E2865" s="196"/>
    </row>
    <row r="2866">
      <c r="A2866" s="234"/>
      <c r="B2866" s="235"/>
      <c r="C2866" s="235"/>
      <c r="D2866" s="196"/>
      <c r="E2866" s="196"/>
    </row>
    <row r="2867">
      <c r="A2867" s="234"/>
      <c r="B2867" s="235"/>
      <c r="C2867" s="235"/>
      <c r="D2867" s="196"/>
      <c r="E2867" s="196"/>
    </row>
    <row r="2868">
      <c r="A2868" s="234"/>
      <c r="B2868" s="235"/>
      <c r="C2868" s="235"/>
      <c r="D2868" s="196"/>
      <c r="E2868" s="196"/>
    </row>
    <row r="2869">
      <c r="A2869" s="234"/>
      <c r="B2869" s="235"/>
      <c r="C2869" s="235"/>
      <c r="D2869" s="196"/>
      <c r="E2869" s="196"/>
    </row>
    <row r="2870">
      <c r="A2870" s="234"/>
      <c r="B2870" s="235"/>
      <c r="C2870" s="235"/>
      <c r="D2870" s="196"/>
      <c r="E2870" s="196"/>
    </row>
    <row r="2871">
      <c r="A2871" s="234"/>
      <c r="B2871" s="235"/>
      <c r="C2871" s="235"/>
      <c r="D2871" s="196"/>
      <c r="E2871" s="196"/>
    </row>
    <row r="2872">
      <c r="A2872" s="234"/>
      <c r="B2872" s="235"/>
      <c r="C2872" s="235"/>
      <c r="D2872" s="196"/>
      <c r="E2872" s="196"/>
    </row>
    <row r="2873">
      <c r="A2873" s="234"/>
      <c r="B2873" s="235"/>
      <c r="C2873" s="235"/>
      <c r="D2873" s="196"/>
      <c r="E2873" s="196"/>
    </row>
    <row r="2874">
      <c r="A2874" s="234"/>
      <c r="B2874" s="235"/>
      <c r="C2874" s="235"/>
      <c r="D2874" s="196"/>
      <c r="E2874" s="196"/>
    </row>
    <row r="2875">
      <c r="A2875" s="234"/>
      <c r="B2875" s="235"/>
      <c r="C2875" s="235"/>
      <c r="D2875" s="196"/>
      <c r="E2875" s="196"/>
    </row>
    <row r="2876">
      <c r="A2876" s="234"/>
      <c r="B2876" s="235"/>
      <c r="C2876" s="235"/>
      <c r="D2876" s="196"/>
      <c r="E2876" s="196"/>
    </row>
    <row r="2877">
      <c r="A2877" s="234"/>
      <c r="B2877" s="235"/>
      <c r="C2877" s="235"/>
      <c r="D2877" s="196"/>
      <c r="E2877" s="196"/>
    </row>
    <row r="2878">
      <c r="A2878" s="234"/>
      <c r="B2878" s="235"/>
      <c r="C2878" s="235"/>
      <c r="D2878" s="196"/>
      <c r="E2878" s="196"/>
    </row>
    <row r="2879">
      <c r="A2879" s="234"/>
      <c r="B2879" s="235"/>
      <c r="C2879" s="235"/>
      <c r="D2879" s="196"/>
      <c r="E2879" s="196"/>
    </row>
    <row r="2880">
      <c r="A2880" s="234"/>
      <c r="B2880" s="235"/>
      <c r="C2880" s="235"/>
      <c r="D2880" s="196"/>
      <c r="E2880" s="196"/>
    </row>
    <row r="2881">
      <c r="A2881" s="234"/>
      <c r="B2881" s="235"/>
      <c r="C2881" s="235"/>
      <c r="D2881" s="196"/>
      <c r="E2881" s="196"/>
    </row>
    <row r="2882">
      <c r="A2882" s="234"/>
      <c r="B2882" s="235"/>
      <c r="C2882" s="235"/>
      <c r="D2882" s="196"/>
      <c r="E2882" s="196"/>
    </row>
    <row r="2883">
      <c r="A2883" s="234"/>
      <c r="B2883" s="235"/>
      <c r="C2883" s="235"/>
      <c r="D2883" s="196"/>
      <c r="E2883" s="196"/>
    </row>
    <row r="2884">
      <c r="A2884" s="234"/>
      <c r="B2884" s="235"/>
      <c r="C2884" s="235"/>
      <c r="D2884" s="196"/>
      <c r="E2884" s="196"/>
    </row>
    <row r="2885">
      <c r="A2885" s="234"/>
      <c r="B2885" s="235"/>
      <c r="C2885" s="235"/>
      <c r="D2885" s="196"/>
      <c r="E2885" s="196"/>
    </row>
    <row r="2886">
      <c r="A2886" s="234"/>
      <c r="B2886" s="235"/>
      <c r="C2886" s="235"/>
      <c r="D2886" s="196"/>
      <c r="E2886" s="196"/>
    </row>
    <row r="2887">
      <c r="A2887" s="234"/>
      <c r="B2887" s="235"/>
      <c r="C2887" s="235"/>
      <c r="D2887" s="196"/>
      <c r="E2887" s="196"/>
    </row>
    <row r="2888">
      <c r="A2888" s="234"/>
      <c r="B2888" s="235"/>
      <c r="C2888" s="235"/>
      <c r="D2888" s="196"/>
      <c r="E2888" s="196"/>
    </row>
    <row r="2889">
      <c r="A2889" s="234"/>
      <c r="B2889" s="235"/>
      <c r="C2889" s="235"/>
      <c r="D2889" s="196"/>
      <c r="E2889" s="196"/>
    </row>
    <row r="2890">
      <c r="A2890" s="234"/>
      <c r="B2890" s="235"/>
      <c r="C2890" s="235"/>
      <c r="D2890" s="196"/>
      <c r="E2890" s="196"/>
    </row>
    <row r="2891">
      <c r="A2891" s="234"/>
      <c r="B2891" s="235"/>
      <c r="C2891" s="235"/>
      <c r="D2891" s="196"/>
      <c r="E2891" s="196"/>
    </row>
    <row r="2892">
      <c r="A2892" s="234"/>
      <c r="B2892" s="235"/>
      <c r="C2892" s="235"/>
      <c r="D2892" s="196"/>
      <c r="E2892" s="196"/>
    </row>
    <row r="2893">
      <c r="A2893" s="234"/>
      <c r="B2893" s="235"/>
      <c r="C2893" s="235"/>
      <c r="D2893" s="196"/>
      <c r="E2893" s="196"/>
    </row>
    <row r="2894">
      <c r="A2894" s="234"/>
      <c r="B2894" s="235"/>
      <c r="C2894" s="235"/>
      <c r="D2894" s="196"/>
      <c r="E2894" s="196"/>
    </row>
    <row r="2895">
      <c r="A2895" s="234"/>
      <c r="B2895" s="235"/>
      <c r="C2895" s="235"/>
      <c r="D2895" s="196"/>
      <c r="E2895" s="196"/>
    </row>
    <row r="2896">
      <c r="A2896" s="234"/>
      <c r="B2896" s="235"/>
      <c r="C2896" s="235"/>
      <c r="D2896" s="196"/>
      <c r="E2896" s="196"/>
    </row>
    <row r="2897">
      <c r="A2897" s="234"/>
      <c r="B2897" s="235"/>
      <c r="C2897" s="235"/>
      <c r="D2897" s="196"/>
      <c r="E2897" s="196"/>
    </row>
    <row r="2898">
      <c r="A2898" s="234"/>
      <c r="B2898" s="235"/>
      <c r="C2898" s="235"/>
      <c r="D2898" s="196"/>
      <c r="E2898" s="196"/>
    </row>
    <row r="2899">
      <c r="A2899" s="234"/>
      <c r="B2899" s="235"/>
      <c r="C2899" s="235"/>
      <c r="D2899" s="196"/>
      <c r="E2899" s="196"/>
    </row>
    <row r="2900">
      <c r="A2900" s="234"/>
      <c r="B2900" s="235"/>
      <c r="C2900" s="235"/>
      <c r="D2900" s="196"/>
      <c r="E2900" s="196"/>
    </row>
    <row r="2901">
      <c r="A2901" s="234"/>
      <c r="B2901" s="235"/>
      <c r="C2901" s="235"/>
      <c r="D2901" s="196"/>
      <c r="E2901" s="196"/>
    </row>
    <row r="2902">
      <c r="A2902" s="234"/>
      <c r="B2902" s="235"/>
      <c r="C2902" s="235"/>
      <c r="D2902" s="196"/>
      <c r="E2902" s="196"/>
    </row>
    <row r="2903">
      <c r="A2903" s="234"/>
      <c r="B2903" s="235"/>
      <c r="C2903" s="235"/>
      <c r="D2903" s="196"/>
      <c r="E2903" s="196"/>
    </row>
    <row r="2904">
      <c r="A2904" s="234"/>
      <c r="B2904" s="235"/>
      <c r="C2904" s="235"/>
      <c r="D2904" s="196"/>
      <c r="E2904" s="196"/>
    </row>
    <row r="2905">
      <c r="A2905" s="234"/>
      <c r="B2905" s="235"/>
      <c r="C2905" s="235"/>
      <c r="D2905" s="196"/>
      <c r="E2905" s="196"/>
    </row>
    <row r="2906">
      <c r="A2906" s="234"/>
      <c r="B2906" s="235"/>
      <c r="C2906" s="235"/>
      <c r="D2906" s="196"/>
      <c r="E2906" s="196"/>
    </row>
    <row r="2907">
      <c r="A2907" s="234"/>
      <c r="B2907" s="235"/>
      <c r="C2907" s="235"/>
      <c r="D2907" s="196"/>
      <c r="E2907" s="196"/>
    </row>
    <row r="2908">
      <c r="A2908" s="234"/>
      <c r="B2908" s="235"/>
      <c r="C2908" s="235"/>
      <c r="D2908" s="196"/>
      <c r="E2908" s="196"/>
    </row>
    <row r="2909">
      <c r="A2909" s="234"/>
      <c r="B2909" s="235"/>
      <c r="C2909" s="235"/>
      <c r="D2909" s="196"/>
      <c r="E2909" s="196"/>
    </row>
    <row r="2910">
      <c r="A2910" s="234"/>
      <c r="B2910" s="235"/>
      <c r="C2910" s="235"/>
      <c r="D2910" s="196"/>
      <c r="E2910" s="196"/>
    </row>
    <row r="2911">
      <c r="A2911" s="234"/>
      <c r="B2911" s="235"/>
      <c r="C2911" s="235"/>
      <c r="D2911" s="196"/>
      <c r="E2911" s="196"/>
    </row>
    <row r="2912">
      <c r="A2912" s="234"/>
      <c r="B2912" s="235"/>
      <c r="C2912" s="235"/>
      <c r="D2912" s="196"/>
      <c r="E2912" s="196"/>
    </row>
    <row r="2913">
      <c r="A2913" s="234"/>
      <c r="B2913" s="235"/>
      <c r="C2913" s="235"/>
      <c r="D2913" s="196"/>
      <c r="E2913" s="196"/>
    </row>
    <row r="2914">
      <c r="A2914" s="234"/>
      <c r="B2914" s="235"/>
      <c r="C2914" s="235"/>
      <c r="D2914" s="196"/>
      <c r="E2914" s="196"/>
    </row>
    <row r="2915">
      <c r="A2915" s="234"/>
      <c r="B2915" s="235"/>
      <c r="C2915" s="235"/>
      <c r="D2915" s="196"/>
      <c r="E2915" s="196"/>
    </row>
    <row r="2916">
      <c r="A2916" s="234"/>
      <c r="B2916" s="235"/>
      <c r="C2916" s="235"/>
      <c r="D2916" s="196"/>
      <c r="E2916" s="196"/>
    </row>
    <row r="2917">
      <c r="A2917" s="234"/>
      <c r="B2917" s="235"/>
      <c r="C2917" s="235"/>
      <c r="D2917" s="196"/>
      <c r="E2917" s="196"/>
    </row>
    <row r="2918">
      <c r="A2918" s="234"/>
      <c r="B2918" s="235"/>
      <c r="C2918" s="235"/>
      <c r="D2918" s="196"/>
      <c r="E2918" s="196"/>
    </row>
    <row r="2919">
      <c r="A2919" s="234"/>
      <c r="B2919" s="235"/>
      <c r="C2919" s="235"/>
      <c r="D2919" s="196"/>
      <c r="E2919" s="196"/>
    </row>
    <row r="2920">
      <c r="A2920" s="234"/>
      <c r="B2920" s="235"/>
      <c r="C2920" s="235"/>
      <c r="D2920" s="196"/>
      <c r="E2920" s="196"/>
    </row>
    <row r="2921">
      <c r="A2921" s="234"/>
      <c r="B2921" s="235"/>
      <c r="C2921" s="235"/>
      <c r="D2921" s="196"/>
      <c r="E2921" s="196"/>
    </row>
    <row r="2922">
      <c r="A2922" s="234"/>
      <c r="B2922" s="235"/>
      <c r="C2922" s="235"/>
      <c r="D2922" s="196"/>
      <c r="E2922" s="196"/>
    </row>
    <row r="2923">
      <c r="A2923" s="234"/>
      <c r="B2923" s="235"/>
      <c r="C2923" s="235"/>
      <c r="D2923" s="196"/>
      <c r="E2923" s="196"/>
    </row>
    <row r="2924">
      <c r="A2924" s="234"/>
      <c r="B2924" s="235"/>
      <c r="C2924" s="235"/>
      <c r="D2924" s="196"/>
      <c r="E2924" s="196"/>
    </row>
    <row r="2925">
      <c r="A2925" s="234"/>
      <c r="B2925" s="235"/>
      <c r="C2925" s="235"/>
      <c r="D2925" s="196"/>
      <c r="E2925" s="196"/>
    </row>
    <row r="2926">
      <c r="A2926" s="234"/>
      <c r="B2926" s="235"/>
      <c r="C2926" s="235"/>
      <c r="D2926" s="196"/>
      <c r="E2926" s="196"/>
    </row>
    <row r="2927">
      <c r="A2927" s="234"/>
      <c r="B2927" s="235"/>
      <c r="C2927" s="235"/>
      <c r="D2927" s="196"/>
      <c r="E2927" s="196"/>
    </row>
    <row r="2928">
      <c r="A2928" s="234"/>
      <c r="B2928" s="235"/>
      <c r="C2928" s="235"/>
      <c r="D2928" s="196"/>
      <c r="E2928" s="196"/>
    </row>
    <row r="2929">
      <c r="A2929" s="234"/>
      <c r="B2929" s="235"/>
      <c r="C2929" s="235"/>
      <c r="D2929" s="196"/>
      <c r="E2929" s="196"/>
    </row>
    <row r="2930">
      <c r="A2930" s="234"/>
      <c r="B2930" s="235"/>
      <c r="C2930" s="235"/>
      <c r="D2930" s="196"/>
      <c r="E2930" s="196"/>
    </row>
    <row r="2931">
      <c r="A2931" s="234"/>
      <c r="B2931" s="235"/>
      <c r="C2931" s="235"/>
      <c r="D2931" s="196"/>
      <c r="E2931" s="196"/>
    </row>
    <row r="2932">
      <c r="A2932" s="234"/>
      <c r="B2932" s="235"/>
      <c r="C2932" s="235"/>
      <c r="D2932" s="196"/>
      <c r="E2932" s="196"/>
    </row>
    <row r="2933">
      <c r="A2933" s="234"/>
      <c r="B2933" s="235"/>
      <c r="C2933" s="235"/>
      <c r="D2933" s="196"/>
      <c r="E2933" s="196"/>
    </row>
    <row r="2934">
      <c r="A2934" s="234"/>
      <c r="B2934" s="235"/>
      <c r="C2934" s="235"/>
      <c r="D2934" s="196"/>
      <c r="E2934" s="196"/>
    </row>
    <row r="2935">
      <c r="A2935" s="234"/>
      <c r="B2935" s="235"/>
      <c r="C2935" s="235"/>
      <c r="D2935" s="196"/>
      <c r="E2935" s="196"/>
    </row>
    <row r="2936">
      <c r="A2936" s="234"/>
      <c r="B2936" s="235"/>
      <c r="C2936" s="235"/>
      <c r="D2936" s="196"/>
      <c r="E2936" s="196"/>
    </row>
    <row r="2937">
      <c r="A2937" s="234"/>
      <c r="B2937" s="235"/>
      <c r="C2937" s="235"/>
      <c r="D2937" s="196"/>
      <c r="E2937" s="196"/>
    </row>
    <row r="2938">
      <c r="A2938" s="234"/>
      <c r="B2938" s="235"/>
      <c r="C2938" s="235"/>
      <c r="D2938" s="196"/>
      <c r="E2938" s="196"/>
    </row>
    <row r="2939">
      <c r="A2939" s="234"/>
      <c r="B2939" s="235"/>
      <c r="C2939" s="235"/>
      <c r="D2939" s="196"/>
      <c r="E2939" s="196"/>
    </row>
    <row r="2940">
      <c r="A2940" s="234"/>
      <c r="B2940" s="235"/>
      <c r="C2940" s="235"/>
      <c r="D2940" s="196"/>
      <c r="E2940" s="196"/>
    </row>
    <row r="2941">
      <c r="A2941" s="234"/>
      <c r="B2941" s="235"/>
      <c r="C2941" s="235"/>
      <c r="D2941" s="196"/>
      <c r="E2941" s="196"/>
    </row>
    <row r="2942">
      <c r="A2942" s="234"/>
      <c r="B2942" s="235"/>
      <c r="C2942" s="235"/>
      <c r="D2942" s="196"/>
      <c r="E2942" s="196"/>
    </row>
    <row r="2943">
      <c r="A2943" s="234"/>
      <c r="B2943" s="235"/>
      <c r="C2943" s="235"/>
      <c r="D2943" s="196"/>
      <c r="E2943" s="196"/>
    </row>
    <row r="2944">
      <c r="A2944" s="234"/>
      <c r="B2944" s="235"/>
      <c r="C2944" s="235"/>
      <c r="D2944" s="196"/>
      <c r="E2944" s="196"/>
    </row>
    <row r="2945">
      <c r="A2945" s="234"/>
      <c r="B2945" s="235"/>
      <c r="C2945" s="235"/>
      <c r="D2945" s="196"/>
      <c r="E2945" s="196"/>
    </row>
    <row r="2946">
      <c r="A2946" s="234"/>
      <c r="B2946" s="235"/>
      <c r="C2946" s="235"/>
      <c r="D2946" s="196"/>
      <c r="E2946" s="196"/>
    </row>
    <row r="2947">
      <c r="A2947" s="234"/>
      <c r="B2947" s="235"/>
      <c r="C2947" s="235"/>
      <c r="D2947" s="196"/>
      <c r="E2947" s="196"/>
    </row>
    <row r="2948">
      <c r="A2948" s="234"/>
      <c r="B2948" s="235"/>
      <c r="C2948" s="235"/>
      <c r="D2948" s="196"/>
      <c r="E2948" s="196"/>
    </row>
    <row r="2949">
      <c r="A2949" s="234"/>
      <c r="B2949" s="235"/>
      <c r="C2949" s="235"/>
      <c r="D2949" s="196"/>
      <c r="E2949" s="196"/>
    </row>
    <row r="2950">
      <c r="A2950" s="234"/>
      <c r="B2950" s="235"/>
      <c r="C2950" s="235"/>
      <c r="D2950" s="196"/>
      <c r="E2950" s="196"/>
    </row>
    <row r="2951">
      <c r="A2951" s="234"/>
      <c r="B2951" s="235"/>
      <c r="C2951" s="235"/>
      <c r="D2951" s="196"/>
      <c r="E2951" s="196"/>
    </row>
    <row r="2952">
      <c r="A2952" s="234"/>
      <c r="B2952" s="235"/>
      <c r="C2952" s="235"/>
      <c r="D2952" s="196"/>
      <c r="E2952" s="196"/>
    </row>
    <row r="2953">
      <c r="A2953" s="234"/>
      <c r="B2953" s="235"/>
      <c r="C2953" s="235"/>
      <c r="D2953" s="196"/>
      <c r="E2953" s="196"/>
    </row>
    <row r="2954">
      <c r="A2954" s="234"/>
      <c r="B2954" s="235"/>
      <c r="C2954" s="235"/>
      <c r="D2954" s="196"/>
      <c r="E2954" s="196"/>
    </row>
    <row r="2955">
      <c r="A2955" s="234"/>
      <c r="B2955" s="235"/>
      <c r="C2955" s="235"/>
      <c r="D2955" s="196"/>
      <c r="E2955" s="196"/>
    </row>
    <row r="2956">
      <c r="A2956" s="234"/>
      <c r="B2956" s="235"/>
      <c r="C2956" s="235"/>
      <c r="D2956" s="196"/>
      <c r="E2956" s="196"/>
    </row>
    <row r="2957">
      <c r="A2957" s="234"/>
      <c r="B2957" s="235"/>
      <c r="C2957" s="235"/>
      <c r="D2957" s="196"/>
      <c r="E2957" s="196"/>
    </row>
    <row r="2958">
      <c r="A2958" s="234"/>
      <c r="B2958" s="235"/>
      <c r="C2958" s="235"/>
      <c r="D2958" s="196"/>
      <c r="E2958" s="196"/>
    </row>
    <row r="2959">
      <c r="A2959" s="234"/>
      <c r="B2959" s="235"/>
      <c r="C2959" s="235"/>
      <c r="D2959" s="196"/>
      <c r="E2959" s="196"/>
    </row>
    <row r="2960">
      <c r="A2960" s="234"/>
      <c r="B2960" s="235"/>
      <c r="C2960" s="235"/>
      <c r="D2960" s="196"/>
      <c r="E2960" s="196"/>
    </row>
    <row r="2961">
      <c r="A2961" s="234"/>
      <c r="B2961" s="235"/>
      <c r="C2961" s="235"/>
      <c r="D2961" s="196"/>
      <c r="E2961" s="196"/>
    </row>
    <row r="2962">
      <c r="A2962" s="234"/>
      <c r="B2962" s="235"/>
      <c r="C2962" s="235"/>
      <c r="D2962" s="196"/>
      <c r="E2962" s="196"/>
    </row>
    <row r="2963">
      <c r="A2963" s="234"/>
      <c r="B2963" s="235"/>
      <c r="C2963" s="235"/>
      <c r="D2963" s="196"/>
      <c r="E2963" s="196"/>
    </row>
    <row r="2964">
      <c r="A2964" s="234"/>
      <c r="B2964" s="235"/>
      <c r="C2964" s="235"/>
      <c r="D2964" s="196"/>
      <c r="E2964" s="196"/>
    </row>
    <row r="2965">
      <c r="A2965" s="234"/>
      <c r="B2965" s="235"/>
      <c r="C2965" s="235"/>
      <c r="D2965" s="196"/>
      <c r="E2965" s="196"/>
    </row>
    <row r="2966">
      <c r="A2966" s="234"/>
      <c r="B2966" s="235"/>
      <c r="C2966" s="235"/>
      <c r="D2966" s="196"/>
      <c r="E2966" s="196"/>
    </row>
    <row r="2967">
      <c r="A2967" s="234"/>
      <c r="B2967" s="235"/>
      <c r="C2967" s="235"/>
      <c r="D2967" s="196"/>
      <c r="E2967" s="196"/>
    </row>
    <row r="2968">
      <c r="A2968" s="234"/>
      <c r="B2968" s="235"/>
      <c r="C2968" s="235"/>
      <c r="D2968" s="196"/>
      <c r="E2968" s="196"/>
    </row>
    <row r="2969">
      <c r="A2969" s="234"/>
      <c r="B2969" s="235"/>
      <c r="C2969" s="235"/>
      <c r="D2969" s="196"/>
      <c r="E2969" s="196"/>
    </row>
    <row r="2970">
      <c r="A2970" s="234"/>
      <c r="B2970" s="235"/>
      <c r="C2970" s="235"/>
      <c r="D2970" s="196"/>
      <c r="E2970" s="196"/>
    </row>
    <row r="2971">
      <c r="A2971" s="234"/>
      <c r="B2971" s="235"/>
      <c r="C2971" s="235"/>
      <c r="D2971" s="196"/>
      <c r="E2971" s="196"/>
    </row>
    <row r="2972">
      <c r="A2972" s="234"/>
      <c r="B2972" s="235"/>
      <c r="C2972" s="235"/>
      <c r="D2972" s="196"/>
      <c r="E2972" s="196"/>
    </row>
    <row r="2973">
      <c r="A2973" s="234"/>
      <c r="B2973" s="235"/>
      <c r="C2973" s="235"/>
      <c r="D2973" s="196"/>
      <c r="E2973" s="196"/>
    </row>
    <row r="2974">
      <c r="A2974" s="234"/>
      <c r="B2974" s="235"/>
      <c r="C2974" s="235"/>
      <c r="D2974" s="196"/>
      <c r="E2974" s="196"/>
    </row>
    <row r="2975">
      <c r="A2975" s="234"/>
      <c r="B2975" s="235"/>
      <c r="C2975" s="235"/>
      <c r="D2975" s="196"/>
      <c r="E2975" s="196"/>
    </row>
    <row r="2976">
      <c r="A2976" s="234"/>
      <c r="B2976" s="235"/>
      <c r="C2976" s="235"/>
      <c r="D2976" s="196"/>
      <c r="E2976" s="196"/>
    </row>
    <row r="2977">
      <c r="A2977" s="234"/>
      <c r="B2977" s="235"/>
      <c r="C2977" s="235"/>
      <c r="D2977" s="196"/>
      <c r="E2977" s="196"/>
    </row>
    <row r="2978">
      <c r="A2978" s="234"/>
      <c r="B2978" s="235"/>
      <c r="C2978" s="235"/>
      <c r="D2978" s="196"/>
      <c r="E2978" s="196"/>
    </row>
    <row r="2979">
      <c r="A2979" s="234"/>
      <c r="B2979" s="235"/>
      <c r="C2979" s="235"/>
      <c r="D2979" s="196"/>
      <c r="E2979" s="196"/>
    </row>
    <row r="2980">
      <c r="A2980" s="234"/>
      <c r="B2980" s="235"/>
      <c r="C2980" s="235"/>
      <c r="D2980" s="196"/>
      <c r="E2980" s="196"/>
    </row>
    <row r="2981">
      <c r="A2981" s="234"/>
      <c r="B2981" s="235"/>
      <c r="C2981" s="235"/>
      <c r="D2981" s="196"/>
      <c r="E2981" s="196"/>
    </row>
    <row r="2982">
      <c r="A2982" s="234"/>
      <c r="B2982" s="235"/>
      <c r="C2982" s="235"/>
      <c r="D2982" s="196"/>
      <c r="E2982" s="196"/>
    </row>
    <row r="2983">
      <c r="A2983" s="234"/>
      <c r="B2983" s="235"/>
      <c r="C2983" s="235"/>
      <c r="D2983" s="196"/>
      <c r="E2983" s="196"/>
    </row>
    <row r="2984">
      <c r="A2984" s="234"/>
      <c r="B2984" s="235"/>
      <c r="C2984" s="235"/>
      <c r="D2984" s="196"/>
      <c r="E2984" s="196"/>
    </row>
    <row r="2985">
      <c r="A2985" s="234"/>
      <c r="B2985" s="235"/>
      <c r="C2985" s="235"/>
      <c r="D2985" s="196"/>
      <c r="E2985" s="196"/>
    </row>
    <row r="2986">
      <c r="A2986" s="234"/>
      <c r="B2986" s="235"/>
      <c r="C2986" s="235"/>
      <c r="D2986" s="196"/>
      <c r="E2986" s="196"/>
    </row>
    <row r="2987">
      <c r="A2987" s="234"/>
      <c r="B2987" s="235"/>
      <c r="C2987" s="235"/>
      <c r="D2987" s="196"/>
      <c r="E2987" s="196"/>
    </row>
    <row r="2988">
      <c r="A2988" s="234"/>
      <c r="B2988" s="235"/>
      <c r="C2988" s="235"/>
      <c r="D2988" s="196"/>
      <c r="E2988" s="196"/>
    </row>
    <row r="2989">
      <c r="A2989" s="234"/>
      <c r="B2989" s="235"/>
      <c r="C2989" s="235"/>
      <c r="D2989" s="196"/>
      <c r="E2989" s="196"/>
    </row>
    <row r="2990">
      <c r="A2990" s="234"/>
      <c r="B2990" s="235"/>
      <c r="C2990" s="235"/>
      <c r="D2990" s="196"/>
      <c r="E2990" s="196"/>
    </row>
    <row r="2991">
      <c r="A2991" s="234"/>
      <c r="B2991" s="235"/>
      <c r="C2991" s="235"/>
      <c r="D2991" s="196"/>
      <c r="E2991" s="196"/>
    </row>
    <row r="2992">
      <c r="A2992" s="234"/>
      <c r="B2992" s="235"/>
      <c r="C2992" s="235"/>
      <c r="D2992" s="196"/>
      <c r="E2992" s="196"/>
    </row>
    <row r="2993">
      <c r="A2993" s="234"/>
      <c r="B2993" s="235"/>
      <c r="C2993" s="235"/>
      <c r="D2993" s="196"/>
      <c r="E2993" s="196"/>
    </row>
    <row r="2994">
      <c r="A2994" s="234"/>
      <c r="B2994" s="235"/>
      <c r="C2994" s="235"/>
      <c r="D2994" s="196"/>
      <c r="E2994" s="196"/>
    </row>
    <row r="2995">
      <c r="A2995" s="234"/>
      <c r="B2995" s="235"/>
      <c r="C2995" s="235"/>
      <c r="D2995" s="196"/>
      <c r="E2995" s="196"/>
    </row>
    <row r="2996">
      <c r="A2996" s="234"/>
      <c r="B2996" s="235"/>
      <c r="C2996" s="235"/>
      <c r="D2996" s="196"/>
      <c r="E2996" s="196"/>
    </row>
    <row r="2997">
      <c r="A2997" s="234"/>
      <c r="B2997" s="235"/>
      <c r="C2997" s="235"/>
      <c r="D2997" s="196"/>
      <c r="E2997" s="196"/>
    </row>
    <row r="2998">
      <c r="A2998" s="234"/>
      <c r="B2998" s="235"/>
      <c r="C2998" s="235"/>
      <c r="D2998" s="196"/>
      <c r="E2998" s="196"/>
    </row>
    <row r="2999">
      <c r="A2999" s="234"/>
      <c r="B2999" s="235"/>
      <c r="C2999" s="235"/>
      <c r="D2999" s="196"/>
      <c r="E2999" s="196"/>
    </row>
    <row r="3000">
      <c r="A3000" s="234"/>
      <c r="B3000" s="235"/>
      <c r="C3000" s="235"/>
      <c r="D3000" s="196"/>
      <c r="E3000" s="196"/>
    </row>
    <row r="3001">
      <c r="A3001" s="234"/>
      <c r="B3001" s="235"/>
      <c r="C3001" s="235"/>
      <c r="D3001" s="196"/>
      <c r="E3001" s="196"/>
    </row>
    <row r="3002">
      <c r="A3002" s="234"/>
      <c r="B3002" s="235"/>
      <c r="C3002" s="235"/>
      <c r="D3002" s="196"/>
      <c r="E3002" s="196"/>
    </row>
    <row r="3003">
      <c r="A3003" s="234"/>
      <c r="B3003" s="235"/>
      <c r="C3003" s="235"/>
      <c r="D3003" s="196"/>
      <c r="E3003" s="196"/>
    </row>
    <row r="3004">
      <c r="A3004" s="234"/>
      <c r="B3004" s="235"/>
      <c r="C3004" s="235"/>
      <c r="D3004" s="196"/>
      <c r="E3004" s="196"/>
    </row>
    <row r="3005">
      <c r="A3005" s="234"/>
      <c r="B3005" s="235"/>
      <c r="C3005" s="235"/>
      <c r="D3005" s="196"/>
      <c r="E3005" s="196"/>
    </row>
    <row r="3006">
      <c r="A3006" s="234"/>
      <c r="B3006" s="235"/>
      <c r="C3006" s="235"/>
      <c r="D3006" s="196"/>
      <c r="E3006" s="196"/>
    </row>
    <row r="3007">
      <c r="A3007" s="234"/>
      <c r="B3007" s="235"/>
      <c r="C3007" s="235"/>
      <c r="D3007" s="196"/>
      <c r="E3007" s="196"/>
    </row>
    <row r="3008">
      <c r="A3008" s="234"/>
      <c r="B3008" s="235"/>
      <c r="C3008" s="235"/>
      <c r="D3008" s="196"/>
      <c r="E3008" s="196"/>
    </row>
    <row r="3009">
      <c r="A3009" s="234"/>
      <c r="B3009" s="235"/>
      <c r="C3009" s="235"/>
      <c r="D3009" s="196"/>
      <c r="E3009" s="196"/>
    </row>
    <row r="3010">
      <c r="A3010" s="234"/>
      <c r="B3010" s="235"/>
      <c r="C3010" s="235"/>
      <c r="D3010" s="196"/>
      <c r="E3010" s="196"/>
    </row>
    <row r="3011">
      <c r="A3011" s="234"/>
      <c r="B3011" s="235"/>
      <c r="C3011" s="235"/>
      <c r="D3011" s="196"/>
      <c r="E3011" s="196"/>
    </row>
    <row r="3012">
      <c r="A3012" s="234"/>
      <c r="B3012" s="235"/>
      <c r="C3012" s="235"/>
      <c r="D3012" s="196"/>
      <c r="E3012" s="196"/>
    </row>
    <row r="3013">
      <c r="A3013" s="234"/>
      <c r="B3013" s="235"/>
      <c r="C3013" s="235"/>
      <c r="D3013" s="196"/>
      <c r="E3013" s="196"/>
    </row>
    <row r="3014">
      <c r="A3014" s="234"/>
      <c r="B3014" s="235"/>
      <c r="C3014" s="235"/>
      <c r="D3014" s="196"/>
      <c r="E3014" s="196"/>
    </row>
    <row r="3015">
      <c r="A3015" s="234"/>
      <c r="B3015" s="235"/>
      <c r="C3015" s="235"/>
      <c r="D3015" s="196"/>
      <c r="E3015" s="196"/>
    </row>
    <row r="3016">
      <c r="A3016" s="234"/>
      <c r="B3016" s="235"/>
      <c r="C3016" s="235"/>
      <c r="D3016" s="196"/>
      <c r="E3016" s="196"/>
    </row>
    <row r="3017">
      <c r="A3017" s="234"/>
      <c r="B3017" s="235"/>
      <c r="C3017" s="235"/>
      <c r="D3017" s="196"/>
      <c r="E3017" s="196"/>
    </row>
    <row r="3018">
      <c r="A3018" s="234"/>
      <c r="B3018" s="235"/>
      <c r="C3018" s="235"/>
      <c r="D3018" s="196"/>
      <c r="E3018" s="196"/>
    </row>
    <row r="3019">
      <c r="A3019" s="234"/>
      <c r="B3019" s="235"/>
      <c r="C3019" s="235"/>
      <c r="D3019" s="196"/>
      <c r="E3019" s="196"/>
    </row>
    <row r="3020">
      <c r="A3020" s="234"/>
      <c r="B3020" s="235"/>
      <c r="C3020" s="235"/>
      <c r="D3020" s="196"/>
      <c r="E3020" s="196"/>
    </row>
    <row r="3021">
      <c r="A3021" s="234"/>
      <c r="B3021" s="235"/>
      <c r="C3021" s="235"/>
      <c r="D3021" s="196"/>
      <c r="E3021" s="196"/>
    </row>
    <row r="3022">
      <c r="A3022" s="234"/>
      <c r="B3022" s="235"/>
      <c r="C3022" s="235"/>
      <c r="D3022" s="196"/>
      <c r="E3022" s="196"/>
    </row>
    <row r="3023">
      <c r="A3023" s="234"/>
      <c r="B3023" s="235"/>
      <c r="C3023" s="235"/>
      <c r="D3023" s="196"/>
      <c r="E3023" s="196"/>
    </row>
    <row r="3024">
      <c r="A3024" s="234"/>
      <c r="B3024" s="235"/>
      <c r="C3024" s="235"/>
      <c r="D3024" s="196"/>
      <c r="E3024" s="196"/>
    </row>
    <row r="3025">
      <c r="A3025" s="234"/>
      <c r="B3025" s="235"/>
      <c r="C3025" s="235"/>
      <c r="D3025" s="196"/>
      <c r="E3025" s="196"/>
    </row>
    <row r="3026">
      <c r="A3026" s="234"/>
      <c r="B3026" s="235"/>
      <c r="C3026" s="235"/>
      <c r="D3026" s="196"/>
      <c r="E3026" s="196"/>
    </row>
    <row r="3027">
      <c r="A3027" s="234"/>
      <c r="B3027" s="235"/>
      <c r="C3027" s="235"/>
      <c r="D3027" s="196"/>
      <c r="E3027" s="196"/>
    </row>
    <row r="3028">
      <c r="A3028" s="234"/>
      <c r="B3028" s="235"/>
      <c r="C3028" s="235"/>
      <c r="D3028" s="196"/>
      <c r="E3028" s="196"/>
    </row>
    <row r="3029">
      <c r="A3029" s="234"/>
      <c r="B3029" s="235"/>
      <c r="C3029" s="235"/>
      <c r="D3029" s="196"/>
      <c r="E3029" s="196"/>
    </row>
    <row r="3030">
      <c r="A3030" s="234"/>
      <c r="B3030" s="235"/>
      <c r="C3030" s="235"/>
      <c r="D3030" s="196"/>
      <c r="E3030" s="196"/>
    </row>
    <row r="3031">
      <c r="A3031" s="234"/>
      <c r="B3031" s="235"/>
      <c r="C3031" s="235"/>
      <c r="D3031" s="196"/>
      <c r="E3031" s="196"/>
    </row>
    <row r="3032">
      <c r="A3032" s="234"/>
      <c r="B3032" s="235"/>
      <c r="C3032" s="235"/>
      <c r="D3032" s="196"/>
      <c r="E3032" s="196"/>
    </row>
    <row r="3033">
      <c r="A3033" s="234"/>
      <c r="B3033" s="235"/>
      <c r="C3033" s="235"/>
      <c r="D3033" s="196"/>
      <c r="E3033" s="196"/>
    </row>
    <row r="3034">
      <c r="A3034" s="234"/>
      <c r="B3034" s="235"/>
      <c r="C3034" s="235"/>
      <c r="D3034" s="196"/>
      <c r="E3034" s="196"/>
    </row>
    <row r="3035">
      <c r="A3035" s="234"/>
      <c r="B3035" s="235"/>
      <c r="C3035" s="235"/>
      <c r="D3035" s="196"/>
      <c r="E3035" s="196"/>
    </row>
    <row r="3036">
      <c r="A3036" s="234"/>
      <c r="B3036" s="235"/>
      <c r="C3036" s="235"/>
      <c r="D3036" s="196"/>
      <c r="E3036" s="196"/>
    </row>
    <row r="3037">
      <c r="A3037" s="234"/>
      <c r="B3037" s="235"/>
      <c r="C3037" s="235"/>
      <c r="D3037" s="196"/>
      <c r="E3037" s="196"/>
    </row>
    <row r="3038">
      <c r="A3038" s="234"/>
      <c r="B3038" s="235"/>
      <c r="C3038" s="235"/>
      <c r="D3038" s="196"/>
      <c r="E3038" s="196"/>
    </row>
    <row r="3039">
      <c r="A3039" s="234"/>
      <c r="B3039" s="235"/>
      <c r="C3039" s="235"/>
      <c r="D3039" s="196"/>
      <c r="E3039" s="196"/>
    </row>
    <row r="3040">
      <c r="A3040" s="234"/>
      <c r="B3040" s="235"/>
      <c r="C3040" s="235"/>
      <c r="D3040" s="196"/>
      <c r="E3040" s="196"/>
    </row>
    <row r="3041">
      <c r="A3041" s="234"/>
      <c r="B3041" s="235"/>
      <c r="C3041" s="235"/>
      <c r="D3041" s="196"/>
      <c r="E3041" s="196"/>
    </row>
    <row r="3042">
      <c r="A3042" s="234"/>
      <c r="B3042" s="235"/>
      <c r="C3042" s="235"/>
      <c r="D3042" s="196"/>
      <c r="E3042" s="196"/>
    </row>
    <row r="3043">
      <c r="A3043" s="234"/>
      <c r="B3043" s="235"/>
      <c r="C3043" s="235"/>
      <c r="D3043" s="196"/>
      <c r="E3043" s="196"/>
    </row>
    <row r="3044">
      <c r="A3044" s="234"/>
      <c r="B3044" s="235"/>
      <c r="C3044" s="235"/>
      <c r="D3044" s="196"/>
      <c r="E3044" s="196"/>
    </row>
    <row r="3045">
      <c r="A3045" s="234"/>
      <c r="B3045" s="235"/>
      <c r="C3045" s="235"/>
      <c r="D3045" s="196"/>
      <c r="E3045" s="196"/>
    </row>
    <row r="3046">
      <c r="A3046" s="234"/>
      <c r="B3046" s="235"/>
      <c r="C3046" s="235"/>
      <c r="D3046" s="196"/>
      <c r="E3046" s="196"/>
    </row>
    <row r="3047">
      <c r="A3047" s="234"/>
      <c r="B3047" s="235"/>
      <c r="C3047" s="235"/>
      <c r="D3047" s="196"/>
      <c r="E3047" s="196"/>
    </row>
    <row r="3048">
      <c r="A3048" s="234"/>
      <c r="B3048" s="235"/>
      <c r="C3048" s="235"/>
      <c r="D3048" s="196"/>
      <c r="E3048" s="196"/>
    </row>
    <row r="3049">
      <c r="A3049" s="234"/>
      <c r="B3049" s="235"/>
      <c r="C3049" s="235"/>
      <c r="D3049" s="196"/>
      <c r="E3049" s="196"/>
    </row>
    <row r="3050">
      <c r="A3050" s="234"/>
      <c r="B3050" s="235"/>
      <c r="C3050" s="235"/>
      <c r="D3050" s="196"/>
      <c r="E3050" s="196"/>
    </row>
    <row r="3051">
      <c r="A3051" s="234"/>
      <c r="B3051" s="235"/>
      <c r="C3051" s="235"/>
      <c r="D3051" s="196"/>
      <c r="E3051" s="196"/>
    </row>
    <row r="3052">
      <c r="A3052" s="234"/>
      <c r="B3052" s="235"/>
      <c r="C3052" s="235"/>
      <c r="D3052" s="196"/>
      <c r="E3052" s="196"/>
    </row>
    <row r="3053">
      <c r="A3053" s="234"/>
      <c r="B3053" s="235"/>
      <c r="C3053" s="235"/>
      <c r="D3053" s="196"/>
      <c r="E3053" s="196"/>
    </row>
    <row r="3054">
      <c r="A3054" s="234"/>
      <c r="B3054" s="235"/>
      <c r="C3054" s="235"/>
      <c r="D3054" s="196"/>
      <c r="E3054" s="196"/>
    </row>
    <row r="3055">
      <c r="A3055" s="234"/>
      <c r="B3055" s="235"/>
      <c r="C3055" s="235"/>
      <c r="D3055" s="196"/>
      <c r="E3055" s="196"/>
    </row>
    <row r="3056">
      <c r="A3056" s="234"/>
      <c r="B3056" s="235"/>
      <c r="C3056" s="235"/>
      <c r="D3056" s="196"/>
      <c r="E3056" s="196"/>
    </row>
    <row r="3057">
      <c r="A3057" s="234"/>
      <c r="B3057" s="235"/>
      <c r="C3057" s="235"/>
      <c r="D3057" s="196"/>
      <c r="E3057" s="196"/>
    </row>
    <row r="3058">
      <c r="A3058" s="234"/>
      <c r="B3058" s="235"/>
      <c r="C3058" s="235"/>
      <c r="D3058" s="196"/>
      <c r="E3058" s="196"/>
    </row>
    <row r="3059">
      <c r="A3059" s="234"/>
      <c r="B3059" s="235"/>
      <c r="C3059" s="235"/>
      <c r="D3059" s="196"/>
      <c r="E3059" s="196"/>
    </row>
    <row r="3060">
      <c r="A3060" s="234"/>
      <c r="B3060" s="235"/>
      <c r="C3060" s="235"/>
      <c r="D3060" s="196"/>
      <c r="E3060" s="196"/>
    </row>
    <row r="3061">
      <c r="A3061" s="234"/>
      <c r="B3061" s="235"/>
      <c r="C3061" s="235"/>
      <c r="D3061" s="196"/>
      <c r="E3061" s="196"/>
    </row>
    <row r="3062">
      <c r="A3062" s="234"/>
      <c r="B3062" s="235"/>
      <c r="C3062" s="235"/>
      <c r="D3062" s="196"/>
      <c r="E3062" s="196"/>
    </row>
    <row r="3063">
      <c r="A3063" s="234"/>
      <c r="B3063" s="235"/>
      <c r="C3063" s="235"/>
      <c r="D3063" s="196"/>
      <c r="E3063" s="196"/>
    </row>
    <row r="3064">
      <c r="A3064" s="234"/>
      <c r="B3064" s="235"/>
      <c r="C3064" s="235"/>
      <c r="D3064" s="196"/>
      <c r="E3064" s="196"/>
    </row>
    <row r="3065">
      <c r="A3065" s="234"/>
      <c r="B3065" s="235"/>
      <c r="C3065" s="235"/>
      <c r="D3065" s="196"/>
      <c r="E3065" s="196"/>
    </row>
    <row r="3066">
      <c r="A3066" s="234"/>
      <c r="B3066" s="235"/>
      <c r="C3066" s="235"/>
      <c r="D3066" s="196"/>
      <c r="E3066" s="196"/>
    </row>
    <row r="3067">
      <c r="A3067" s="234"/>
      <c r="B3067" s="235"/>
      <c r="C3067" s="235"/>
      <c r="D3067" s="196"/>
      <c r="E3067" s="196"/>
    </row>
    <row r="3068">
      <c r="A3068" s="234"/>
      <c r="B3068" s="235"/>
      <c r="C3068" s="235"/>
      <c r="D3068" s="196"/>
      <c r="E3068" s="196"/>
    </row>
    <row r="3069">
      <c r="A3069" s="234"/>
      <c r="B3069" s="235"/>
      <c r="C3069" s="235"/>
      <c r="D3069" s="196"/>
      <c r="E3069" s="196"/>
    </row>
    <row r="3070">
      <c r="A3070" s="234"/>
      <c r="B3070" s="235"/>
      <c r="C3070" s="235"/>
      <c r="D3070" s="196"/>
      <c r="E3070" s="196"/>
    </row>
    <row r="3071">
      <c r="A3071" s="234"/>
      <c r="B3071" s="235"/>
      <c r="C3071" s="235"/>
      <c r="D3071" s="196"/>
      <c r="E3071" s="196"/>
    </row>
    <row r="3072">
      <c r="A3072" s="234"/>
      <c r="B3072" s="235"/>
      <c r="C3072" s="235"/>
      <c r="D3072" s="196"/>
      <c r="E3072" s="196"/>
    </row>
    <row r="3073">
      <c r="A3073" s="234"/>
      <c r="B3073" s="235"/>
      <c r="C3073" s="235"/>
      <c r="D3073" s="196"/>
      <c r="E3073" s="196"/>
    </row>
    <row r="3074">
      <c r="A3074" s="234"/>
      <c r="B3074" s="235"/>
      <c r="C3074" s="235"/>
      <c r="D3074" s="196"/>
      <c r="E3074" s="196"/>
    </row>
    <row r="3075">
      <c r="A3075" s="234"/>
      <c r="B3075" s="235"/>
      <c r="C3075" s="235"/>
      <c r="D3075" s="196"/>
      <c r="E3075" s="196"/>
    </row>
    <row r="3076">
      <c r="A3076" s="234"/>
      <c r="B3076" s="235"/>
      <c r="C3076" s="235"/>
      <c r="D3076" s="196"/>
      <c r="E3076" s="196"/>
    </row>
    <row r="3077">
      <c r="A3077" s="234"/>
      <c r="B3077" s="235"/>
      <c r="C3077" s="235"/>
      <c r="D3077" s="196"/>
      <c r="E3077" s="196"/>
    </row>
    <row r="3078">
      <c r="A3078" s="234"/>
      <c r="B3078" s="235"/>
      <c r="C3078" s="235"/>
      <c r="D3078" s="196"/>
      <c r="E3078" s="196"/>
    </row>
    <row r="3079">
      <c r="A3079" s="234"/>
      <c r="B3079" s="235"/>
      <c r="C3079" s="235"/>
      <c r="D3079" s="196"/>
      <c r="E3079" s="196"/>
    </row>
    <row r="3080">
      <c r="A3080" s="234"/>
      <c r="B3080" s="235"/>
      <c r="C3080" s="235"/>
      <c r="D3080" s="196"/>
      <c r="E3080" s="196"/>
    </row>
    <row r="3081">
      <c r="A3081" s="234"/>
      <c r="B3081" s="235"/>
      <c r="C3081" s="235"/>
      <c r="D3081" s="196"/>
      <c r="E3081" s="196"/>
    </row>
    <row r="3082">
      <c r="A3082" s="234"/>
      <c r="B3082" s="235"/>
      <c r="C3082" s="235"/>
      <c r="D3082" s="196"/>
      <c r="E3082" s="196"/>
    </row>
    <row r="3083">
      <c r="A3083" s="234"/>
      <c r="B3083" s="235"/>
      <c r="C3083" s="235"/>
      <c r="D3083" s="196"/>
      <c r="E3083" s="196"/>
    </row>
    <row r="3084">
      <c r="A3084" s="234"/>
      <c r="B3084" s="235"/>
      <c r="C3084" s="235"/>
      <c r="D3084" s="196"/>
      <c r="E3084" s="196"/>
    </row>
    <row r="3085">
      <c r="A3085" s="234"/>
      <c r="B3085" s="235"/>
      <c r="C3085" s="235"/>
      <c r="D3085" s="196"/>
      <c r="E3085" s="196"/>
    </row>
    <row r="3086">
      <c r="A3086" s="234"/>
      <c r="B3086" s="235"/>
      <c r="C3086" s="235"/>
      <c r="D3086" s="196"/>
      <c r="E3086" s="196"/>
    </row>
    <row r="3087">
      <c r="A3087" s="234"/>
      <c r="B3087" s="235"/>
      <c r="C3087" s="235"/>
      <c r="D3087" s="196"/>
      <c r="E3087" s="196"/>
    </row>
    <row r="3088">
      <c r="A3088" s="234"/>
      <c r="B3088" s="235"/>
      <c r="C3088" s="235"/>
      <c r="D3088" s="196"/>
      <c r="E3088" s="196"/>
    </row>
    <row r="3089">
      <c r="A3089" s="234"/>
      <c r="B3089" s="235"/>
      <c r="C3089" s="235"/>
      <c r="D3089" s="196"/>
      <c r="E3089" s="196"/>
    </row>
    <row r="3090">
      <c r="A3090" s="234"/>
      <c r="B3090" s="235"/>
      <c r="C3090" s="235"/>
      <c r="D3090" s="196"/>
      <c r="E3090" s="196"/>
    </row>
    <row r="3091">
      <c r="A3091" s="234"/>
      <c r="B3091" s="235"/>
      <c r="C3091" s="235"/>
      <c r="D3091" s="196"/>
      <c r="E3091" s="196"/>
    </row>
    <row r="3092">
      <c r="A3092" s="234"/>
      <c r="B3092" s="235"/>
      <c r="C3092" s="235"/>
      <c r="D3092" s="196"/>
      <c r="E3092" s="196"/>
    </row>
    <row r="3093">
      <c r="A3093" s="234"/>
      <c r="B3093" s="235"/>
      <c r="C3093" s="235"/>
      <c r="D3093" s="196"/>
      <c r="E3093" s="196"/>
    </row>
    <row r="3094">
      <c r="A3094" s="234"/>
      <c r="B3094" s="235"/>
      <c r="C3094" s="235"/>
      <c r="D3094" s="196"/>
      <c r="E3094" s="196"/>
    </row>
    <row r="3095">
      <c r="A3095" s="234"/>
      <c r="B3095" s="235"/>
      <c r="C3095" s="235"/>
      <c r="D3095" s="196"/>
      <c r="E3095" s="196"/>
    </row>
    <row r="3096">
      <c r="A3096" s="234"/>
      <c r="B3096" s="235"/>
      <c r="C3096" s="235"/>
      <c r="D3096" s="196"/>
      <c r="E3096" s="196"/>
    </row>
    <row r="3097">
      <c r="A3097" s="234"/>
      <c r="B3097" s="235"/>
      <c r="C3097" s="235"/>
      <c r="D3097" s="196"/>
      <c r="E3097" s="196"/>
    </row>
    <row r="3098">
      <c r="A3098" s="234"/>
      <c r="B3098" s="235"/>
      <c r="C3098" s="235"/>
      <c r="D3098" s="196"/>
      <c r="E3098" s="196"/>
    </row>
    <row r="3099">
      <c r="A3099" s="234"/>
      <c r="B3099" s="235"/>
      <c r="C3099" s="235"/>
      <c r="D3099" s="196"/>
      <c r="E3099" s="196"/>
    </row>
    <row r="3100">
      <c r="A3100" s="234"/>
      <c r="B3100" s="235"/>
      <c r="C3100" s="235"/>
      <c r="D3100" s="196"/>
      <c r="E3100" s="196"/>
    </row>
    <row r="3101">
      <c r="A3101" s="234"/>
      <c r="B3101" s="235"/>
      <c r="C3101" s="235"/>
      <c r="D3101" s="196"/>
      <c r="E3101" s="196"/>
    </row>
    <row r="3102">
      <c r="A3102" s="234"/>
      <c r="B3102" s="235"/>
      <c r="C3102" s="235"/>
      <c r="D3102" s="196"/>
      <c r="E3102" s="196"/>
    </row>
    <row r="3103">
      <c r="A3103" s="234"/>
      <c r="B3103" s="235"/>
      <c r="C3103" s="235"/>
      <c r="D3103" s="196"/>
      <c r="E3103" s="196"/>
    </row>
    <row r="3104">
      <c r="A3104" s="234"/>
      <c r="B3104" s="235"/>
      <c r="C3104" s="235"/>
      <c r="D3104" s="196"/>
      <c r="E3104" s="196"/>
    </row>
    <row r="3105">
      <c r="A3105" s="234"/>
      <c r="B3105" s="235"/>
      <c r="C3105" s="235"/>
      <c r="D3105" s="196"/>
      <c r="E3105" s="196"/>
    </row>
    <row r="3106">
      <c r="A3106" s="234"/>
      <c r="B3106" s="235"/>
      <c r="C3106" s="235"/>
      <c r="D3106" s="196"/>
      <c r="E3106" s="196"/>
    </row>
    <row r="3107">
      <c r="A3107" s="234"/>
      <c r="B3107" s="235"/>
      <c r="C3107" s="235"/>
      <c r="D3107" s="196"/>
      <c r="E3107" s="196"/>
    </row>
    <row r="3108">
      <c r="A3108" s="234"/>
      <c r="B3108" s="235"/>
      <c r="C3108" s="235"/>
      <c r="D3108" s="196"/>
      <c r="E3108" s="196"/>
    </row>
    <row r="3109">
      <c r="A3109" s="234"/>
      <c r="B3109" s="235"/>
      <c r="C3109" s="235"/>
      <c r="D3109" s="196"/>
      <c r="E3109" s="196"/>
    </row>
    <row r="3110">
      <c r="A3110" s="234"/>
      <c r="B3110" s="235"/>
      <c r="C3110" s="235"/>
      <c r="D3110" s="196"/>
      <c r="E3110" s="196"/>
    </row>
    <row r="3111">
      <c r="A3111" s="234"/>
      <c r="B3111" s="235"/>
      <c r="C3111" s="235"/>
      <c r="D3111" s="196"/>
      <c r="E3111" s="196"/>
    </row>
    <row r="3112">
      <c r="A3112" s="234"/>
      <c r="B3112" s="235"/>
      <c r="C3112" s="235"/>
      <c r="D3112" s="196"/>
      <c r="E3112" s="196"/>
    </row>
    <row r="3113">
      <c r="A3113" s="234"/>
      <c r="B3113" s="235"/>
      <c r="C3113" s="235"/>
      <c r="D3113" s="196"/>
      <c r="E3113" s="196"/>
    </row>
    <row r="3114">
      <c r="A3114" s="234"/>
      <c r="B3114" s="235"/>
      <c r="C3114" s="235"/>
      <c r="D3114" s="196"/>
      <c r="E3114" s="196"/>
    </row>
    <row r="3115">
      <c r="A3115" s="234"/>
      <c r="B3115" s="235"/>
      <c r="C3115" s="235"/>
      <c r="D3115" s="196"/>
      <c r="E3115" s="196"/>
    </row>
    <row r="3116">
      <c r="A3116" s="234"/>
      <c r="B3116" s="235"/>
      <c r="C3116" s="235"/>
      <c r="D3116" s="196"/>
      <c r="E3116" s="196"/>
    </row>
    <row r="3117">
      <c r="A3117" s="234"/>
      <c r="B3117" s="235"/>
      <c r="C3117" s="235"/>
      <c r="D3117" s="196"/>
      <c r="E3117" s="196"/>
    </row>
    <row r="3118">
      <c r="A3118" s="234"/>
      <c r="B3118" s="235"/>
      <c r="C3118" s="235"/>
      <c r="D3118" s="196"/>
      <c r="E3118" s="196"/>
    </row>
    <row r="3119">
      <c r="A3119" s="234"/>
      <c r="B3119" s="235"/>
      <c r="C3119" s="235"/>
      <c r="D3119" s="196"/>
      <c r="E3119" s="196"/>
    </row>
    <row r="3120">
      <c r="A3120" s="234"/>
      <c r="B3120" s="235"/>
      <c r="C3120" s="235"/>
      <c r="D3120" s="196"/>
      <c r="E3120" s="196"/>
    </row>
    <row r="3121">
      <c r="A3121" s="234"/>
      <c r="B3121" s="235"/>
      <c r="C3121" s="235"/>
      <c r="D3121" s="196"/>
      <c r="E3121" s="196"/>
    </row>
    <row r="3122">
      <c r="A3122" s="234"/>
      <c r="B3122" s="235"/>
      <c r="C3122" s="235"/>
      <c r="D3122" s="196"/>
      <c r="E3122" s="196"/>
    </row>
    <row r="3123">
      <c r="A3123" s="234"/>
      <c r="B3123" s="235"/>
      <c r="C3123" s="235"/>
      <c r="D3123" s="196"/>
      <c r="E3123" s="196"/>
    </row>
    <row r="3124">
      <c r="A3124" s="234"/>
      <c r="B3124" s="235"/>
      <c r="C3124" s="235"/>
      <c r="D3124" s="196"/>
      <c r="E3124" s="196"/>
    </row>
    <row r="3125">
      <c r="A3125" s="234"/>
      <c r="B3125" s="235"/>
      <c r="C3125" s="235"/>
      <c r="D3125" s="196"/>
      <c r="E3125" s="196"/>
    </row>
    <row r="3126">
      <c r="A3126" s="234"/>
      <c r="B3126" s="235"/>
      <c r="C3126" s="235"/>
      <c r="D3126" s="196"/>
      <c r="E3126" s="196"/>
    </row>
    <row r="3127">
      <c r="A3127" s="234"/>
      <c r="B3127" s="235"/>
      <c r="C3127" s="235"/>
      <c r="D3127" s="196"/>
      <c r="E3127" s="196"/>
    </row>
    <row r="3128">
      <c r="A3128" s="234"/>
      <c r="B3128" s="235"/>
      <c r="C3128" s="235"/>
      <c r="D3128" s="196"/>
      <c r="E3128" s="196"/>
    </row>
    <row r="3129">
      <c r="A3129" s="234"/>
      <c r="B3129" s="235"/>
      <c r="C3129" s="235"/>
      <c r="D3129" s="196"/>
      <c r="E3129" s="196"/>
    </row>
    <row r="3130">
      <c r="A3130" s="234"/>
      <c r="B3130" s="235"/>
      <c r="C3130" s="235"/>
      <c r="D3130" s="196"/>
      <c r="E3130" s="196"/>
    </row>
    <row r="3131">
      <c r="A3131" s="234"/>
      <c r="B3131" s="235"/>
      <c r="C3131" s="235"/>
      <c r="D3131" s="196"/>
      <c r="E3131" s="196"/>
    </row>
    <row r="3132">
      <c r="A3132" s="234"/>
      <c r="B3132" s="235"/>
      <c r="C3132" s="235"/>
      <c r="D3132" s="196"/>
      <c r="E3132" s="196"/>
    </row>
    <row r="3133">
      <c r="A3133" s="234"/>
      <c r="B3133" s="235"/>
      <c r="C3133" s="235"/>
      <c r="D3133" s="196"/>
      <c r="E3133" s="196"/>
    </row>
    <row r="3134">
      <c r="A3134" s="234"/>
      <c r="B3134" s="235"/>
      <c r="C3134" s="235"/>
      <c r="D3134" s="196"/>
      <c r="E3134" s="196"/>
    </row>
    <row r="3135">
      <c r="A3135" s="234"/>
      <c r="B3135" s="235"/>
      <c r="C3135" s="235"/>
      <c r="D3135" s="196"/>
      <c r="E3135" s="196"/>
    </row>
    <row r="3136">
      <c r="A3136" s="234"/>
      <c r="B3136" s="235"/>
      <c r="C3136" s="235"/>
      <c r="D3136" s="196"/>
      <c r="E3136" s="196"/>
    </row>
    <row r="3137">
      <c r="A3137" s="234"/>
      <c r="B3137" s="235"/>
      <c r="C3137" s="235"/>
      <c r="D3137" s="196"/>
      <c r="E3137" s="196"/>
    </row>
    <row r="3138">
      <c r="A3138" s="234"/>
      <c r="B3138" s="235"/>
      <c r="C3138" s="235"/>
      <c r="D3138" s="196"/>
      <c r="E3138" s="196"/>
    </row>
    <row r="3139">
      <c r="A3139" s="234"/>
      <c r="B3139" s="235"/>
      <c r="C3139" s="235"/>
      <c r="D3139" s="196"/>
      <c r="E3139" s="196"/>
    </row>
    <row r="3140">
      <c r="A3140" s="234"/>
      <c r="B3140" s="235"/>
      <c r="C3140" s="235"/>
      <c r="D3140" s="196"/>
      <c r="E3140" s="196"/>
    </row>
    <row r="3141">
      <c r="A3141" s="234"/>
      <c r="B3141" s="235"/>
      <c r="C3141" s="235"/>
      <c r="D3141" s="196"/>
      <c r="E3141" s="196"/>
    </row>
    <row r="3142">
      <c r="A3142" s="234"/>
      <c r="B3142" s="235"/>
      <c r="C3142" s="235"/>
      <c r="D3142" s="196"/>
      <c r="E3142" s="196"/>
    </row>
    <row r="3143">
      <c r="A3143" s="234"/>
      <c r="B3143" s="235"/>
      <c r="C3143" s="235"/>
      <c r="D3143" s="196"/>
      <c r="E3143" s="196"/>
    </row>
    <row r="3144">
      <c r="A3144" s="234"/>
      <c r="B3144" s="235"/>
      <c r="C3144" s="235"/>
      <c r="D3144" s="196"/>
      <c r="E3144" s="196"/>
    </row>
    <row r="3145">
      <c r="A3145" s="234"/>
      <c r="B3145" s="235"/>
      <c r="C3145" s="235"/>
      <c r="D3145" s="196"/>
      <c r="E3145" s="196"/>
    </row>
    <row r="3146">
      <c r="A3146" s="234"/>
      <c r="B3146" s="235"/>
      <c r="C3146" s="235"/>
      <c r="D3146" s="196"/>
      <c r="E3146" s="196"/>
    </row>
    <row r="3147">
      <c r="A3147" s="234"/>
      <c r="B3147" s="235"/>
      <c r="C3147" s="235"/>
      <c r="D3147" s="196"/>
      <c r="E3147" s="196"/>
    </row>
    <row r="3148">
      <c r="A3148" s="234"/>
      <c r="B3148" s="235"/>
      <c r="C3148" s="235"/>
      <c r="D3148" s="196"/>
      <c r="E3148" s="196"/>
    </row>
    <row r="3149">
      <c r="A3149" s="234"/>
      <c r="B3149" s="235"/>
      <c r="C3149" s="235"/>
      <c r="D3149" s="196"/>
      <c r="E3149" s="196"/>
    </row>
    <row r="3150">
      <c r="A3150" s="234"/>
      <c r="B3150" s="235"/>
      <c r="C3150" s="235"/>
      <c r="D3150" s="196"/>
      <c r="E3150" s="196"/>
    </row>
    <row r="3151">
      <c r="A3151" s="234"/>
      <c r="B3151" s="235"/>
      <c r="C3151" s="235"/>
      <c r="D3151" s="196"/>
      <c r="E3151" s="196"/>
    </row>
    <row r="3152">
      <c r="A3152" s="234"/>
      <c r="B3152" s="235"/>
      <c r="C3152" s="235"/>
      <c r="D3152" s="196"/>
      <c r="E3152" s="196"/>
    </row>
    <row r="3153">
      <c r="A3153" s="234"/>
      <c r="B3153" s="235"/>
      <c r="C3153" s="235"/>
      <c r="D3153" s="196"/>
      <c r="E3153" s="196"/>
    </row>
    <row r="3154">
      <c r="A3154" s="234"/>
      <c r="B3154" s="235"/>
      <c r="C3154" s="235"/>
      <c r="D3154" s="196"/>
      <c r="E3154" s="196"/>
    </row>
    <row r="3155">
      <c r="A3155" s="234"/>
      <c r="B3155" s="235"/>
      <c r="C3155" s="235"/>
      <c r="D3155" s="196"/>
      <c r="E3155" s="196"/>
    </row>
    <row r="3156">
      <c r="A3156" s="234"/>
      <c r="B3156" s="235"/>
      <c r="C3156" s="235"/>
      <c r="D3156" s="196"/>
      <c r="E3156" s="196"/>
    </row>
    <row r="3157">
      <c r="A3157" s="234"/>
      <c r="B3157" s="235"/>
      <c r="C3157" s="235"/>
      <c r="D3157" s="196"/>
      <c r="E3157" s="196"/>
    </row>
    <row r="3158">
      <c r="A3158" s="234"/>
      <c r="B3158" s="235"/>
      <c r="C3158" s="235"/>
      <c r="D3158" s="196"/>
      <c r="E3158" s="196"/>
    </row>
    <row r="3159">
      <c r="A3159" s="234"/>
      <c r="B3159" s="235"/>
      <c r="C3159" s="235"/>
      <c r="D3159" s="196"/>
      <c r="E3159" s="196"/>
    </row>
    <row r="3160">
      <c r="A3160" s="234"/>
      <c r="B3160" s="235"/>
      <c r="C3160" s="235"/>
      <c r="D3160" s="196"/>
      <c r="E3160" s="196"/>
    </row>
    <row r="3161">
      <c r="A3161" s="234"/>
      <c r="B3161" s="235"/>
      <c r="C3161" s="235"/>
      <c r="D3161" s="196"/>
      <c r="E3161" s="196"/>
    </row>
    <row r="3162">
      <c r="A3162" s="234"/>
      <c r="B3162" s="235"/>
      <c r="C3162" s="235"/>
      <c r="D3162" s="196"/>
      <c r="E3162" s="196"/>
    </row>
    <row r="3163">
      <c r="A3163" s="234"/>
      <c r="B3163" s="235"/>
      <c r="C3163" s="235"/>
      <c r="D3163" s="196"/>
      <c r="E3163" s="196"/>
    </row>
    <row r="3164">
      <c r="A3164" s="234"/>
      <c r="B3164" s="235"/>
      <c r="C3164" s="235"/>
      <c r="D3164" s="196"/>
      <c r="E3164" s="196"/>
    </row>
    <row r="3165">
      <c r="A3165" s="234"/>
      <c r="B3165" s="235"/>
      <c r="C3165" s="235"/>
      <c r="D3165" s="196"/>
      <c r="E3165" s="196"/>
    </row>
    <row r="3166">
      <c r="A3166" s="234"/>
      <c r="B3166" s="235"/>
      <c r="C3166" s="235"/>
      <c r="D3166" s="196"/>
      <c r="E3166" s="196"/>
    </row>
    <row r="3167">
      <c r="A3167" s="234"/>
      <c r="B3167" s="235"/>
      <c r="C3167" s="235"/>
      <c r="D3167" s="196"/>
      <c r="E3167" s="196"/>
    </row>
    <row r="3168">
      <c r="A3168" s="234"/>
      <c r="B3168" s="235"/>
      <c r="C3168" s="235"/>
      <c r="D3168" s="196"/>
      <c r="E3168" s="196"/>
    </row>
    <row r="3169">
      <c r="A3169" s="234"/>
      <c r="B3169" s="235"/>
      <c r="C3169" s="235"/>
      <c r="D3169" s="196"/>
      <c r="E3169" s="196"/>
    </row>
    <row r="3170">
      <c r="A3170" s="234"/>
      <c r="B3170" s="235"/>
      <c r="C3170" s="235"/>
      <c r="D3170" s="196"/>
      <c r="E3170" s="196"/>
    </row>
    <row r="3171">
      <c r="A3171" s="234"/>
      <c r="B3171" s="235"/>
      <c r="C3171" s="235"/>
      <c r="D3171" s="196"/>
      <c r="E3171" s="196"/>
    </row>
    <row r="3172">
      <c r="A3172" s="234"/>
      <c r="B3172" s="235"/>
      <c r="C3172" s="235"/>
      <c r="D3172" s="196"/>
      <c r="E3172" s="196"/>
    </row>
    <row r="3173">
      <c r="A3173" s="234"/>
      <c r="B3173" s="235"/>
      <c r="C3173" s="235"/>
      <c r="D3173" s="196"/>
      <c r="E3173" s="196"/>
    </row>
    <row r="3174">
      <c r="A3174" s="234"/>
      <c r="B3174" s="235"/>
      <c r="C3174" s="235"/>
      <c r="D3174" s="196"/>
      <c r="E3174" s="196"/>
    </row>
    <row r="3175">
      <c r="A3175" s="234"/>
      <c r="B3175" s="235"/>
      <c r="C3175" s="235"/>
      <c r="D3175" s="196"/>
      <c r="E3175" s="196"/>
    </row>
    <row r="3176">
      <c r="A3176" s="234"/>
      <c r="B3176" s="235"/>
      <c r="C3176" s="235"/>
      <c r="D3176" s="196"/>
      <c r="E3176" s="196"/>
    </row>
    <row r="3177">
      <c r="A3177" s="234"/>
      <c r="B3177" s="235"/>
      <c r="C3177" s="235"/>
      <c r="D3177" s="196"/>
      <c r="E3177" s="196"/>
    </row>
    <row r="3178">
      <c r="A3178" s="234"/>
      <c r="B3178" s="235"/>
      <c r="C3178" s="235"/>
      <c r="D3178" s="196"/>
      <c r="E3178" s="196"/>
    </row>
    <row r="3179">
      <c r="A3179" s="234"/>
      <c r="B3179" s="235"/>
      <c r="C3179" s="235"/>
      <c r="D3179" s="196"/>
      <c r="E3179" s="196"/>
    </row>
    <row r="3180">
      <c r="A3180" s="234"/>
      <c r="B3180" s="235"/>
      <c r="C3180" s="235"/>
      <c r="D3180" s="196"/>
      <c r="E3180" s="196"/>
    </row>
    <row r="3181">
      <c r="A3181" s="234"/>
      <c r="B3181" s="235"/>
      <c r="C3181" s="235"/>
      <c r="D3181" s="196"/>
      <c r="E3181" s="196"/>
    </row>
    <row r="3182">
      <c r="A3182" s="234"/>
      <c r="B3182" s="235"/>
      <c r="C3182" s="235"/>
      <c r="D3182" s="196"/>
      <c r="E3182" s="196"/>
    </row>
    <row r="3183">
      <c r="A3183" s="234"/>
      <c r="B3183" s="235"/>
      <c r="C3183" s="235"/>
      <c r="D3183" s="196"/>
      <c r="E3183" s="196"/>
    </row>
    <row r="3184">
      <c r="A3184" s="234"/>
      <c r="B3184" s="235"/>
      <c r="C3184" s="235"/>
      <c r="D3184" s="196"/>
      <c r="E3184" s="196"/>
    </row>
    <row r="3185">
      <c r="A3185" s="234"/>
      <c r="B3185" s="235"/>
      <c r="C3185" s="235"/>
      <c r="D3185" s="196"/>
      <c r="E3185" s="196"/>
    </row>
    <row r="3186">
      <c r="A3186" s="234"/>
      <c r="B3186" s="235"/>
      <c r="C3186" s="235"/>
      <c r="D3186" s="196"/>
      <c r="E3186" s="196"/>
    </row>
    <row r="3187">
      <c r="A3187" s="234"/>
      <c r="B3187" s="235"/>
      <c r="C3187" s="235"/>
      <c r="D3187" s="196"/>
      <c r="E3187" s="196"/>
    </row>
    <row r="3188">
      <c r="A3188" s="234"/>
      <c r="B3188" s="235"/>
      <c r="C3188" s="235"/>
      <c r="D3188" s="196"/>
      <c r="E3188" s="196"/>
    </row>
    <row r="3189">
      <c r="A3189" s="234"/>
      <c r="B3189" s="235"/>
      <c r="C3189" s="235"/>
      <c r="D3189" s="196"/>
      <c r="E3189" s="196"/>
    </row>
    <row r="3190">
      <c r="A3190" s="234"/>
      <c r="B3190" s="235"/>
      <c r="C3190" s="235"/>
      <c r="D3190" s="196"/>
      <c r="E3190" s="196"/>
    </row>
    <row r="3191">
      <c r="A3191" s="234"/>
      <c r="B3191" s="235"/>
      <c r="C3191" s="235"/>
      <c r="D3191" s="196"/>
      <c r="E3191" s="196"/>
    </row>
    <row r="3192">
      <c r="A3192" s="234"/>
      <c r="B3192" s="235"/>
      <c r="C3192" s="235"/>
      <c r="D3192" s="196"/>
      <c r="E3192" s="196"/>
    </row>
    <row r="3193">
      <c r="A3193" s="234"/>
      <c r="B3193" s="235"/>
      <c r="C3193" s="235"/>
      <c r="D3193" s="196"/>
      <c r="E3193" s="196"/>
    </row>
    <row r="3194">
      <c r="A3194" s="234"/>
      <c r="B3194" s="235"/>
      <c r="C3194" s="235"/>
      <c r="D3194" s="196"/>
      <c r="E3194" s="196"/>
    </row>
    <row r="3195">
      <c r="A3195" s="234"/>
      <c r="B3195" s="235"/>
      <c r="C3195" s="235"/>
      <c r="D3195" s="196"/>
      <c r="E3195" s="196"/>
    </row>
    <row r="3196">
      <c r="A3196" s="234"/>
      <c r="B3196" s="235"/>
      <c r="C3196" s="235"/>
      <c r="D3196" s="196"/>
      <c r="E3196" s="196"/>
    </row>
    <row r="3197">
      <c r="A3197" s="234"/>
      <c r="B3197" s="235"/>
      <c r="C3197" s="235"/>
      <c r="D3197" s="196"/>
      <c r="E3197" s="196"/>
    </row>
    <row r="3198">
      <c r="A3198" s="234"/>
      <c r="B3198" s="235"/>
      <c r="C3198" s="235"/>
      <c r="D3198" s="196"/>
      <c r="E3198" s="196"/>
    </row>
    <row r="3199">
      <c r="A3199" s="234"/>
      <c r="B3199" s="235"/>
      <c r="C3199" s="235"/>
      <c r="D3199" s="196"/>
      <c r="E3199" s="196"/>
    </row>
    <row r="3200">
      <c r="A3200" s="234"/>
      <c r="B3200" s="235"/>
      <c r="C3200" s="235"/>
      <c r="D3200" s="196"/>
      <c r="E3200" s="196"/>
    </row>
    <row r="3201">
      <c r="A3201" s="234"/>
      <c r="B3201" s="235"/>
      <c r="C3201" s="235"/>
      <c r="D3201" s="196"/>
      <c r="E3201" s="196"/>
    </row>
    <row r="3202">
      <c r="A3202" s="234"/>
      <c r="B3202" s="235"/>
      <c r="C3202" s="235"/>
      <c r="D3202" s="196"/>
      <c r="E3202" s="196"/>
    </row>
    <row r="3203">
      <c r="A3203" s="234"/>
      <c r="B3203" s="235"/>
      <c r="C3203" s="235"/>
      <c r="D3203" s="196"/>
      <c r="E3203" s="196"/>
    </row>
    <row r="3204">
      <c r="A3204" s="234"/>
      <c r="B3204" s="235"/>
      <c r="C3204" s="235"/>
      <c r="D3204" s="196"/>
      <c r="E3204" s="196"/>
    </row>
    <row r="3205">
      <c r="A3205" s="234"/>
      <c r="B3205" s="235"/>
      <c r="C3205" s="235"/>
      <c r="D3205" s="196"/>
      <c r="E3205" s="196"/>
    </row>
    <row r="3206">
      <c r="A3206" s="234"/>
      <c r="B3206" s="235"/>
      <c r="C3206" s="235"/>
      <c r="D3206" s="196"/>
      <c r="E3206" s="196"/>
    </row>
    <row r="3207">
      <c r="A3207" s="234"/>
      <c r="B3207" s="235"/>
      <c r="C3207" s="235"/>
      <c r="D3207" s="196"/>
      <c r="E3207" s="196"/>
    </row>
    <row r="3208">
      <c r="A3208" s="234"/>
      <c r="B3208" s="235"/>
      <c r="C3208" s="235"/>
      <c r="D3208" s="196"/>
      <c r="E3208" s="196"/>
    </row>
    <row r="3209">
      <c r="A3209" s="234"/>
      <c r="B3209" s="235"/>
      <c r="C3209" s="235"/>
      <c r="D3209" s="196"/>
      <c r="E3209" s="196"/>
    </row>
    <row r="3210">
      <c r="A3210" s="234"/>
      <c r="B3210" s="235"/>
      <c r="C3210" s="235"/>
      <c r="D3210" s="196"/>
      <c r="E3210" s="196"/>
    </row>
    <row r="3211">
      <c r="A3211" s="234"/>
      <c r="B3211" s="235"/>
      <c r="C3211" s="235"/>
      <c r="D3211" s="196"/>
      <c r="E3211" s="196"/>
    </row>
    <row r="3212">
      <c r="A3212" s="234"/>
      <c r="B3212" s="235"/>
      <c r="C3212" s="235"/>
      <c r="D3212" s="196"/>
      <c r="E3212" s="196"/>
    </row>
    <row r="3213">
      <c r="A3213" s="234"/>
      <c r="B3213" s="235"/>
      <c r="C3213" s="235"/>
      <c r="D3213" s="196"/>
      <c r="E3213" s="196"/>
    </row>
    <row r="3214">
      <c r="A3214" s="234"/>
      <c r="B3214" s="235"/>
      <c r="C3214" s="235"/>
      <c r="D3214" s="196"/>
      <c r="E3214" s="196"/>
    </row>
    <row r="3215">
      <c r="A3215" s="234"/>
      <c r="B3215" s="235"/>
      <c r="C3215" s="235"/>
      <c r="D3215" s="196"/>
      <c r="E3215" s="196"/>
    </row>
    <row r="3216">
      <c r="A3216" s="234"/>
      <c r="B3216" s="235"/>
      <c r="C3216" s="235"/>
      <c r="D3216" s="196"/>
      <c r="E3216" s="196"/>
    </row>
    <row r="3217">
      <c r="A3217" s="234"/>
      <c r="B3217" s="235"/>
      <c r="C3217" s="235"/>
      <c r="D3217" s="196"/>
      <c r="E3217" s="196"/>
    </row>
    <row r="3218">
      <c r="A3218" s="234"/>
      <c r="B3218" s="235"/>
      <c r="C3218" s="235"/>
      <c r="D3218" s="196"/>
      <c r="E3218" s="196"/>
    </row>
    <row r="3219">
      <c r="A3219" s="234"/>
      <c r="B3219" s="235"/>
      <c r="C3219" s="235"/>
      <c r="D3219" s="196"/>
      <c r="E3219" s="196"/>
    </row>
    <row r="3220">
      <c r="A3220" s="234"/>
      <c r="B3220" s="235"/>
      <c r="C3220" s="235"/>
      <c r="D3220" s="196"/>
      <c r="E3220" s="196"/>
    </row>
    <row r="3221">
      <c r="A3221" s="234"/>
      <c r="B3221" s="235"/>
      <c r="C3221" s="235"/>
      <c r="D3221" s="196"/>
      <c r="E3221" s="196"/>
    </row>
    <row r="3222">
      <c r="A3222" s="234"/>
      <c r="B3222" s="235"/>
      <c r="C3222" s="235"/>
      <c r="D3222" s="196"/>
      <c r="E3222" s="196"/>
    </row>
    <row r="3223">
      <c r="A3223" s="234"/>
      <c r="B3223" s="235"/>
      <c r="C3223" s="235"/>
      <c r="D3223" s="196"/>
      <c r="E3223" s="196"/>
    </row>
    <row r="3224">
      <c r="A3224" s="234"/>
      <c r="B3224" s="235"/>
      <c r="C3224" s="235"/>
      <c r="D3224" s="196"/>
      <c r="E3224" s="196"/>
    </row>
    <row r="3225">
      <c r="A3225" s="234"/>
      <c r="B3225" s="235"/>
      <c r="C3225" s="235"/>
      <c r="D3225" s="196"/>
      <c r="E3225" s="196"/>
    </row>
    <row r="3226">
      <c r="A3226" s="234"/>
      <c r="B3226" s="235"/>
      <c r="C3226" s="235"/>
      <c r="D3226" s="196"/>
      <c r="E3226" s="196"/>
    </row>
    <row r="3227">
      <c r="A3227" s="234"/>
      <c r="B3227" s="235"/>
      <c r="C3227" s="235"/>
      <c r="D3227" s="196"/>
      <c r="E3227" s="196"/>
    </row>
    <row r="3228">
      <c r="A3228" s="234"/>
      <c r="B3228" s="235"/>
      <c r="C3228" s="235"/>
      <c r="D3228" s="196"/>
      <c r="E3228" s="196"/>
    </row>
    <row r="3229">
      <c r="A3229" s="234"/>
      <c r="B3229" s="235"/>
      <c r="C3229" s="235"/>
      <c r="D3229" s="196"/>
      <c r="E3229" s="196"/>
    </row>
    <row r="3230">
      <c r="A3230" s="234"/>
      <c r="B3230" s="235"/>
      <c r="C3230" s="235"/>
      <c r="D3230" s="196"/>
      <c r="E3230" s="196"/>
    </row>
    <row r="3231">
      <c r="A3231" s="234"/>
      <c r="B3231" s="235"/>
      <c r="C3231" s="235"/>
      <c r="D3231" s="196"/>
      <c r="E3231" s="196"/>
    </row>
    <row r="3232">
      <c r="A3232" s="234"/>
      <c r="B3232" s="235"/>
      <c r="C3232" s="235"/>
      <c r="D3232" s="196"/>
      <c r="E3232" s="196"/>
    </row>
    <row r="3233">
      <c r="A3233" s="234"/>
      <c r="B3233" s="235"/>
      <c r="C3233" s="235"/>
      <c r="D3233" s="196"/>
      <c r="E3233" s="196"/>
    </row>
    <row r="3234">
      <c r="A3234" s="234"/>
      <c r="B3234" s="235"/>
      <c r="C3234" s="235"/>
      <c r="D3234" s="196"/>
      <c r="E3234" s="196"/>
    </row>
    <row r="3235">
      <c r="A3235" s="234"/>
      <c r="B3235" s="235"/>
      <c r="C3235" s="235"/>
      <c r="D3235" s="196"/>
      <c r="E3235" s="196"/>
    </row>
    <row r="3236">
      <c r="A3236" s="234"/>
      <c r="B3236" s="235"/>
      <c r="C3236" s="235"/>
      <c r="D3236" s="196"/>
      <c r="E3236" s="196"/>
    </row>
    <row r="3237">
      <c r="A3237" s="234"/>
      <c r="B3237" s="235"/>
      <c r="C3237" s="235"/>
      <c r="D3237" s="196"/>
      <c r="E3237" s="196"/>
    </row>
    <row r="3238">
      <c r="A3238" s="234"/>
      <c r="B3238" s="235"/>
      <c r="C3238" s="235"/>
      <c r="D3238" s="196"/>
      <c r="E3238" s="196"/>
    </row>
    <row r="3239">
      <c r="A3239" s="234"/>
      <c r="B3239" s="235"/>
      <c r="C3239" s="235"/>
      <c r="D3239" s="196"/>
      <c r="E3239" s="196"/>
    </row>
    <row r="3240">
      <c r="A3240" s="234"/>
      <c r="B3240" s="235"/>
      <c r="C3240" s="235"/>
      <c r="D3240" s="196"/>
      <c r="E3240" s="196"/>
    </row>
    <row r="3241">
      <c r="A3241" s="234"/>
      <c r="B3241" s="235"/>
      <c r="C3241" s="235"/>
      <c r="D3241" s="196"/>
      <c r="E3241" s="196"/>
    </row>
    <row r="3242">
      <c r="A3242" s="234"/>
      <c r="B3242" s="235"/>
      <c r="C3242" s="235"/>
      <c r="D3242" s="196"/>
      <c r="E3242" s="196"/>
    </row>
    <row r="3243">
      <c r="A3243" s="234"/>
      <c r="B3243" s="235"/>
      <c r="C3243" s="235"/>
      <c r="D3243" s="196"/>
      <c r="E3243" s="196"/>
    </row>
    <row r="3244">
      <c r="A3244" s="234"/>
      <c r="B3244" s="235"/>
      <c r="C3244" s="235"/>
      <c r="D3244" s="196"/>
      <c r="E3244" s="196"/>
    </row>
    <row r="3245">
      <c r="A3245" s="234"/>
      <c r="B3245" s="235"/>
      <c r="C3245" s="235"/>
      <c r="D3245" s="196"/>
      <c r="E3245" s="196"/>
    </row>
    <row r="3246">
      <c r="A3246" s="234"/>
      <c r="B3246" s="235"/>
      <c r="C3246" s="235"/>
      <c r="D3246" s="196"/>
      <c r="E3246" s="196"/>
    </row>
    <row r="3247">
      <c r="A3247" s="234"/>
      <c r="B3247" s="235"/>
      <c r="C3247" s="235"/>
      <c r="D3247" s="196"/>
      <c r="E3247" s="196"/>
    </row>
    <row r="3248">
      <c r="A3248" s="234"/>
      <c r="B3248" s="235"/>
      <c r="C3248" s="235"/>
      <c r="D3248" s="196"/>
      <c r="E3248" s="196"/>
    </row>
    <row r="3249">
      <c r="A3249" s="234"/>
      <c r="B3249" s="235"/>
      <c r="C3249" s="235"/>
      <c r="D3249" s="196"/>
      <c r="E3249" s="196"/>
    </row>
    <row r="3250">
      <c r="A3250" s="234"/>
      <c r="B3250" s="235"/>
      <c r="C3250" s="235"/>
      <c r="D3250" s="196"/>
      <c r="E3250" s="196"/>
    </row>
    <row r="3251">
      <c r="A3251" s="234"/>
      <c r="B3251" s="235"/>
      <c r="C3251" s="235"/>
      <c r="D3251" s="196"/>
      <c r="E3251" s="196"/>
    </row>
    <row r="3252">
      <c r="A3252" s="234"/>
      <c r="B3252" s="235"/>
      <c r="C3252" s="235"/>
      <c r="D3252" s="196"/>
      <c r="E3252" s="196"/>
    </row>
    <row r="3253">
      <c r="A3253" s="234"/>
      <c r="B3253" s="235"/>
      <c r="C3253" s="235"/>
      <c r="D3253" s="196"/>
      <c r="E3253" s="196"/>
    </row>
    <row r="3254">
      <c r="A3254" s="234"/>
      <c r="B3254" s="235"/>
      <c r="C3254" s="235"/>
      <c r="D3254" s="196"/>
      <c r="E3254" s="196"/>
    </row>
    <row r="3255">
      <c r="A3255" s="234"/>
      <c r="B3255" s="235"/>
      <c r="C3255" s="235"/>
      <c r="D3255" s="196"/>
      <c r="E3255" s="196"/>
    </row>
    <row r="3256">
      <c r="A3256" s="234"/>
      <c r="B3256" s="235"/>
      <c r="C3256" s="235"/>
      <c r="D3256" s="196"/>
      <c r="E3256" s="196"/>
    </row>
    <row r="3257">
      <c r="A3257" s="234"/>
      <c r="B3257" s="235"/>
      <c r="C3257" s="235"/>
      <c r="D3257" s="196"/>
      <c r="E3257" s="196"/>
    </row>
    <row r="3258">
      <c r="A3258" s="234"/>
      <c r="B3258" s="235"/>
      <c r="C3258" s="235"/>
      <c r="D3258" s="196"/>
      <c r="E3258" s="196"/>
    </row>
    <row r="3259">
      <c r="A3259" s="234"/>
      <c r="B3259" s="235"/>
      <c r="C3259" s="235"/>
      <c r="D3259" s="196"/>
      <c r="E3259" s="196"/>
    </row>
    <row r="3260">
      <c r="A3260" s="234"/>
      <c r="B3260" s="235"/>
      <c r="C3260" s="235"/>
      <c r="D3260" s="196"/>
      <c r="E3260" s="196"/>
    </row>
    <row r="3261">
      <c r="A3261" s="234"/>
      <c r="B3261" s="235"/>
      <c r="C3261" s="235"/>
      <c r="D3261" s="196"/>
      <c r="E3261" s="196"/>
    </row>
    <row r="3262">
      <c r="A3262" s="234"/>
      <c r="B3262" s="235"/>
      <c r="C3262" s="235"/>
      <c r="D3262" s="196"/>
      <c r="E3262" s="196"/>
    </row>
    <row r="3263">
      <c r="A3263" s="234"/>
      <c r="B3263" s="235"/>
      <c r="C3263" s="235"/>
      <c r="D3263" s="196"/>
      <c r="E3263" s="196"/>
    </row>
    <row r="3264">
      <c r="A3264" s="234"/>
      <c r="B3264" s="235"/>
      <c r="C3264" s="235"/>
      <c r="D3264" s="196"/>
      <c r="E3264" s="196"/>
    </row>
    <row r="3265">
      <c r="A3265" s="234"/>
      <c r="B3265" s="235"/>
      <c r="C3265" s="235"/>
      <c r="D3265" s="196"/>
      <c r="E3265" s="196"/>
    </row>
    <row r="3266">
      <c r="A3266" s="234"/>
      <c r="B3266" s="235"/>
      <c r="C3266" s="235"/>
      <c r="D3266" s="196"/>
      <c r="E3266" s="196"/>
    </row>
    <row r="3267">
      <c r="A3267" s="234"/>
      <c r="B3267" s="235"/>
      <c r="C3267" s="235"/>
      <c r="D3267" s="196"/>
      <c r="E3267" s="196"/>
    </row>
    <row r="3268">
      <c r="A3268" s="234"/>
      <c r="B3268" s="235"/>
      <c r="C3268" s="235"/>
      <c r="D3268" s="196"/>
      <c r="E3268" s="196"/>
    </row>
    <row r="3269">
      <c r="A3269" s="234"/>
      <c r="B3269" s="235"/>
      <c r="C3269" s="235"/>
      <c r="D3269" s="196"/>
      <c r="E3269" s="196"/>
    </row>
    <row r="3270">
      <c r="A3270" s="234"/>
      <c r="B3270" s="235"/>
      <c r="C3270" s="235"/>
      <c r="D3270" s="196"/>
      <c r="E3270" s="196"/>
    </row>
    <row r="3271">
      <c r="A3271" s="234"/>
      <c r="B3271" s="235"/>
      <c r="C3271" s="235"/>
      <c r="D3271" s="196"/>
      <c r="E3271" s="196"/>
    </row>
    <row r="3272">
      <c r="A3272" s="234"/>
      <c r="B3272" s="235"/>
      <c r="C3272" s="235"/>
      <c r="D3272" s="196"/>
      <c r="E3272" s="196"/>
    </row>
    <row r="3273">
      <c r="A3273" s="234"/>
      <c r="B3273" s="235"/>
      <c r="C3273" s="235"/>
      <c r="D3273" s="196"/>
      <c r="E3273" s="196"/>
    </row>
    <row r="3274">
      <c r="A3274" s="234"/>
      <c r="B3274" s="235"/>
      <c r="C3274" s="235"/>
      <c r="D3274" s="196"/>
      <c r="E3274" s="196"/>
    </row>
    <row r="3275">
      <c r="A3275" s="234"/>
      <c r="B3275" s="235"/>
      <c r="C3275" s="235"/>
      <c r="D3275" s="196"/>
      <c r="E3275" s="196"/>
    </row>
    <row r="3276">
      <c r="A3276" s="234"/>
      <c r="B3276" s="235"/>
      <c r="C3276" s="235"/>
      <c r="D3276" s="196"/>
      <c r="E3276" s="196"/>
    </row>
    <row r="3277">
      <c r="A3277" s="234"/>
      <c r="B3277" s="235"/>
      <c r="C3277" s="235"/>
      <c r="D3277" s="196"/>
      <c r="E3277" s="196"/>
    </row>
    <row r="3278">
      <c r="A3278" s="234"/>
      <c r="B3278" s="235"/>
      <c r="C3278" s="235"/>
      <c r="D3278" s="196"/>
      <c r="E3278" s="196"/>
    </row>
    <row r="3279">
      <c r="A3279" s="234"/>
      <c r="B3279" s="235"/>
      <c r="C3279" s="235"/>
      <c r="D3279" s="196"/>
      <c r="E3279" s="196"/>
    </row>
    <row r="3280">
      <c r="A3280" s="234"/>
      <c r="B3280" s="235"/>
      <c r="C3280" s="235"/>
      <c r="D3280" s="196"/>
      <c r="E3280" s="196"/>
    </row>
    <row r="3281">
      <c r="A3281" s="234"/>
      <c r="B3281" s="235"/>
      <c r="C3281" s="235"/>
      <c r="D3281" s="196"/>
      <c r="E3281" s="196"/>
    </row>
    <row r="3282">
      <c r="A3282" s="234"/>
      <c r="B3282" s="235"/>
      <c r="C3282" s="235"/>
      <c r="D3282" s="196"/>
      <c r="E3282" s="196"/>
    </row>
    <row r="3283">
      <c r="A3283" s="234"/>
      <c r="B3283" s="235"/>
      <c r="C3283" s="235"/>
      <c r="D3283" s="196"/>
      <c r="E3283" s="196"/>
    </row>
    <row r="3284">
      <c r="A3284" s="234"/>
      <c r="B3284" s="235"/>
      <c r="C3284" s="235"/>
      <c r="D3284" s="196"/>
      <c r="E3284" s="196"/>
    </row>
    <row r="3285">
      <c r="A3285" s="234"/>
      <c r="B3285" s="235"/>
      <c r="C3285" s="235"/>
      <c r="D3285" s="196"/>
      <c r="E3285" s="196"/>
    </row>
    <row r="3286">
      <c r="A3286" s="234"/>
      <c r="B3286" s="235"/>
      <c r="C3286" s="235"/>
      <c r="D3286" s="196"/>
      <c r="E3286" s="196"/>
    </row>
    <row r="3287">
      <c r="A3287" s="234"/>
      <c r="B3287" s="235"/>
      <c r="C3287" s="235"/>
      <c r="D3287" s="196"/>
      <c r="E3287" s="196"/>
    </row>
    <row r="3288">
      <c r="A3288" s="234"/>
      <c r="B3288" s="235"/>
      <c r="C3288" s="235"/>
      <c r="D3288" s="196"/>
      <c r="E3288" s="196"/>
    </row>
    <row r="3289">
      <c r="A3289" s="234"/>
      <c r="B3289" s="235"/>
      <c r="C3289" s="235"/>
      <c r="D3289" s="196"/>
      <c r="E3289" s="196"/>
    </row>
    <row r="3290">
      <c r="A3290" s="234"/>
      <c r="B3290" s="235"/>
      <c r="C3290" s="235"/>
      <c r="D3290" s="196"/>
      <c r="E3290" s="196"/>
    </row>
    <row r="3291">
      <c r="A3291" s="234"/>
      <c r="B3291" s="235"/>
      <c r="C3291" s="235"/>
      <c r="D3291" s="196"/>
      <c r="E3291" s="196"/>
    </row>
    <row r="3292">
      <c r="A3292" s="234"/>
      <c r="B3292" s="235"/>
      <c r="C3292" s="235"/>
      <c r="D3292" s="196"/>
      <c r="E3292" s="196"/>
    </row>
    <row r="3293">
      <c r="A3293" s="234"/>
      <c r="B3293" s="235"/>
      <c r="C3293" s="235"/>
      <c r="D3293" s="196"/>
      <c r="E3293" s="196"/>
    </row>
    <row r="3294">
      <c r="A3294" s="234"/>
      <c r="B3294" s="235"/>
      <c r="C3294" s="235"/>
      <c r="D3294" s="196"/>
      <c r="E3294" s="196"/>
    </row>
    <row r="3295">
      <c r="A3295" s="234"/>
      <c r="B3295" s="235"/>
      <c r="C3295" s="235"/>
      <c r="D3295" s="196"/>
      <c r="E3295" s="196"/>
    </row>
    <row r="3296">
      <c r="A3296" s="234"/>
      <c r="B3296" s="235"/>
      <c r="C3296" s="235"/>
      <c r="D3296" s="196"/>
      <c r="E3296" s="196"/>
    </row>
    <row r="3297">
      <c r="A3297" s="234"/>
      <c r="B3297" s="235"/>
      <c r="C3297" s="235"/>
      <c r="D3297" s="196"/>
      <c r="E3297" s="196"/>
    </row>
    <row r="3298">
      <c r="A3298" s="234"/>
      <c r="B3298" s="235"/>
      <c r="C3298" s="235"/>
      <c r="D3298" s="196"/>
      <c r="E3298" s="196"/>
    </row>
    <row r="3299">
      <c r="A3299" s="234"/>
      <c r="B3299" s="235"/>
      <c r="C3299" s="235"/>
      <c r="D3299" s="196"/>
      <c r="E3299" s="196"/>
    </row>
    <row r="3300">
      <c r="A3300" s="234"/>
      <c r="B3300" s="235"/>
      <c r="C3300" s="235"/>
      <c r="D3300" s="196"/>
      <c r="E3300" s="196"/>
    </row>
    <row r="3301">
      <c r="A3301" s="234"/>
      <c r="B3301" s="235"/>
      <c r="C3301" s="235"/>
      <c r="D3301" s="196"/>
      <c r="E3301" s="196"/>
    </row>
    <row r="3302">
      <c r="A3302" s="234"/>
      <c r="B3302" s="235"/>
      <c r="C3302" s="235"/>
      <c r="D3302" s="196"/>
      <c r="E3302" s="196"/>
    </row>
    <row r="3303">
      <c r="A3303" s="234"/>
      <c r="B3303" s="235"/>
      <c r="C3303" s="235"/>
      <c r="D3303" s="196"/>
      <c r="E3303" s="196"/>
    </row>
    <row r="3304">
      <c r="A3304" s="234"/>
      <c r="B3304" s="235"/>
      <c r="C3304" s="235"/>
      <c r="D3304" s="196"/>
      <c r="E3304" s="196"/>
    </row>
    <row r="3305">
      <c r="A3305" s="234"/>
      <c r="B3305" s="235"/>
      <c r="C3305" s="235"/>
      <c r="D3305" s="196"/>
      <c r="E3305" s="196"/>
    </row>
    <row r="3306">
      <c r="A3306" s="234"/>
      <c r="B3306" s="235"/>
      <c r="C3306" s="235"/>
      <c r="D3306" s="196"/>
      <c r="E3306" s="196"/>
    </row>
    <row r="3307">
      <c r="A3307" s="234"/>
      <c r="B3307" s="235"/>
      <c r="C3307" s="235"/>
      <c r="D3307" s="196"/>
      <c r="E3307" s="196"/>
    </row>
    <row r="3308">
      <c r="A3308" s="234"/>
      <c r="B3308" s="235"/>
      <c r="C3308" s="235"/>
      <c r="D3308" s="196"/>
      <c r="E3308" s="196"/>
    </row>
    <row r="3309">
      <c r="A3309" s="234"/>
      <c r="B3309" s="235"/>
      <c r="C3309" s="235"/>
      <c r="D3309" s="196"/>
      <c r="E3309" s="196"/>
    </row>
    <row r="3310">
      <c r="A3310" s="234"/>
      <c r="B3310" s="235"/>
      <c r="C3310" s="235"/>
      <c r="D3310" s="196"/>
      <c r="E3310" s="196"/>
    </row>
    <row r="3311">
      <c r="A3311" s="234"/>
      <c r="B3311" s="235"/>
      <c r="C3311" s="235"/>
      <c r="D3311" s="196"/>
      <c r="E3311" s="196"/>
    </row>
    <row r="3312">
      <c r="A3312" s="234"/>
      <c r="B3312" s="235"/>
      <c r="C3312" s="235"/>
      <c r="D3312" s="196"/>
      <c r="E3312" s="196"/>
    </row>
    <row r="3313">
      <c r="A3313" s="234"/>
      <c r="B3313" s="235"/>
      <c r="C3313" s="235"/>
      <c r="D3313" s="196"/>
      <c r="E3313" s="196"/>
    </row>
    <row r="3314">
      <c r="A3314" s="234"/>
      <c r="B3314" s="235"/>
      <c r="C3314" s="235"/>
      <c r="D3314" s="196"/>
      <c r="E3314" s="196"/>
    </row>
    <row r="3315">
      <c r="A3315" s="234"/>
      <c r="B3315" s="235"/>
      <c r="C3315" s="235"/>
      <c r="D3315" s="196"/>
      <c r="E3315" s="196"/>
    </row>
    <row r="3316">
      <c r="A3316" s="234"/>
      <c r="B3316" s="235"/>
      <c r="C3316" s="235"/>
      <c r="D3316" s="196"/>
      <c r="E3316" s="196"/>
    </row>
    <row r="3317">
      <c r="A3317" s="234"/>
      <c r="B3317" s="235"/>
      <c r="C3317" s="235"/>
      <c r="D3317" s="196"/>
      <c r="E3317" s="196"/>
    </row>
    <row r="3318">
      <c r="A3318" s="234"/>
      <c r="B3318" s="235"/>
      <c r="C3318" s="235"/>
      <c r="D3318" s="196"/>
      <c r="E3318" s="196"/>
    </row>
    <row r="3319">
      <c r="A3319" s="234"/>
      <c r="B3319" s="235"/>
      <c r="C3319" s="235"/>
      <c r="D3319" s="196"/>
      <c r="E3319" s="196"/>
    </row>
    <row r="3320">
      <c r="A3320" s="234"/>
      <c r="B3320" s="235"/>
      <c r="C3320" s="235"/>
      <c r="D3320" s="196"/>
      <c r="E3320" s="196"/>
    </row>
    <row r="3321">
      <c r="A3321" s="234"/>
      <c r="B3321" s="235"/>
      <c r="C3321" s="235"/>
      <c r="D3321" s="196"/>
      <c r="E3321" s="196"/>
    </row>
    <row r="3322">
      <c r="A3322" s="234"/>
      <c r="B3322" s="235"/>
      <c r="C3322" s="235"/>
      <c r="D3322" s="196"/>
      <c r="E3322" s="196"/>
    </row>
    <row r="3323">
      <c r="A3323" s="234"/>
      <c r="B3323" s="235"/>
      <c r="C3323" s="235"/>
      <c r="D3323" s="196"/>
      <c r="E3323" s="196"/>
    </row>
    <row r="3324">
      <c r="A3324" s="234"/>
      <c r="B3324" s="235"/>
      <c r="C3324" s="235"/>
      <c r="D3324" s="196"/>
      <c r="E3324" s="196"/>
    </row>
    <row r="3325">
      <c r="A3325" s="234"/>
      <c r="B3325" s="235"/>
      <c r="C3325" s="235"/>
      <c r="D3325" s="196"/>
      <c r="E3325" s="196"/>
    </row>
    <row r="3326">
      <c r="A3326" s="234"/>
      <c r="B3326" s="235"/>
      <c r="C3326" s="235"/>
      <c r="D3326" s="196"/>
      <c r="E3326" s="196"/>
    </row>
    <row r="3327">
      <c r="A3327" s="234"/>
      <c r="B3327" s="235"/>
      <c r="C3327" s="235"/>
      <c r="D3327" s="196"/>
      <c r="E3327" s="196"/>
    </row>
    <row r="3328">
      <c r="A3328" s="234"/>
      <c r="B3328" s="235"/>
      <c r="C3328" s="235"/>
      <c r="D3328" s="196"/>
      <c r="E3328" s="196"/>
    </row>
    <row r="3329">
      <c r="A3329" s="234"/>
      <c r="B3329" s="235"/>
      <c r="C3329" s="235"/>
      <c r="D3329" s="196"/>
      <c r="E3329" s="196"/>
    </row>
    <row r="3330">
      <c r="A3330" s="234"/>
      <c r="B3330" s="235"/>
      <c r="C3330" s="235"/>
      <c r="D3330" s="196"/>
      <c r="E3330" s="196"/>
    </row>
    <row r="3331">
      <c r="A3331" s="234"/>
      <c r="B3331" s="235"/>
      <c r="C3331" s="235"/>
      <c r="D3331" s="196"/>
      <c r="E3331" s="196"/>
    </row>
    <row r="3332">
      <c r="A3332" s="234"/>
      <c r="B3332" s="235"/>
      <c r="C3332" s="235"/>
      <c r="D3332" s="196"/>
      <c r="E3332" s="196"/>
    </row>
    <row r="3333">
      <c r="A3333" s="234"/>
      <c r="B3333" s="235"/>
      <c r="C3333" s="235"/>
      <c r="D3333" s="196"/>
      <c r="E3333" s="196"/>
    </row>
    <row r="3334">
      <c r="A3334" s="234"/>
      <c r="B3334" s="235"/>
      <c r="C3334" s="235"/>
      <c r="D3334" s="196"/>
      <c r="E3334" s="196"/>
    </row>
    <row r="3335">
      <c r="A3335" s="234"/>
      <c r="B3335" s="235"/>
      <c r="C3335" s="235"/>
      <c r="D3335" s="196"/>
      <c r="E3335" s="196"/>
    </row>
    <row r="3336">
      <c r="A3336" s="234"/>
      <c r="B3336" s="235"/>
      <c r="C3336" s="235"/>
      <c r="D3336" s="196"/>
      <c r="E3336" s="196"/>
    </row>
    <row r="3337">
      <c r="A3337" s="234"/>
      <c r="B3337" s="235"/>
      <c r="C3337" s="235"/>
      <c r="D3337" s="196"/>
      <c r="E3337" s="196"/>
    </row>
    <row r="3338">
      <c r="A3338" s="234"/>
      <c r="B3338" s="235"/>
      <c r="C3338" s="235"/>
      <c r="D3338" s="196"/>
      <c r="E3338" s="196"/>
    </row>
    <row r="3339">
      <c r="A3339" s="234"/>
      <c r="B3339" s="235"/>
      <c r="C3339" s="235"/>
      <c r="D3339" s="196"/>
      <c r="E3339" s="196"/>
    </row>
    <row r="3340">
      <c r="A3340" s="234"/>
      <c r="B3340" s="235"/>
      <c r="C3340" s="235"/>
      <c r="D3340" s="196"/>
      <c r="E3340" s="196"/>
    </row>
    <row r="3341">
      <c r="A3341" s="234"/>
      <c r="B3341" s="235"/>
      <c r="C3341" s="235"/>
      <c r="D3341" s="196"/>
      <c r="E3341" s="196"/>
    </row>
    <row r="3342">
      <c r="A3342" s="234"/>
      <c r="B3342" s="235"/>
      <c r="C3342" s="235"/>
      <c r="D3342" s="196"/>
      <c r="E3342" s="196"/>
    </row>
    <row r="3343">
      <c r="A3343" s="234"/>
      <c r="B3343" s="235"/>
      <c r="C3343" s="235"/>
      <c r="D3343" s="196"/>
      <c r="E3343" s="196"/>
    </row>
    <row r="3344">
      <c r="A3344" s="234"/>
      <c r="B3344" s="235"/>
      <c r="C3344" s="235"/>
      <c r="D3344" s="196"/>
      <c r="E3344" s="196"/>
    </row>
    <row r="3345">
      <c r="A3345" s="234"/>
      <c r="B3345" s="235"/>
      <c r="C3345" s="235"/>
      <c r="D3345" s="196"/>
      <c r="E3345" s="196"/>
    </row>
    <row r="3346">
      <c r="A3346" s="234"/>
      <c r="B3346" s="235"/>
      <c r="C3346" s="235"/>
      <c r="D3346" s="196"/>
      <c r="E3346" s="196"/>
    </row>
    <row r="3347">
      <c r="A3347" s="234"/>
      <c r="B3347" s="235"/>
      <c r="C3347" s="235"/>
      <c r="D3347" s="196"/>
      <c r="E3347" s="196"/>
    </row>
    <row r="3348">
      <c r="A3348" s="234"/>
      <c r="B3348" s="235"/>
      <c r="C3348" s="235"/>
      <c r="D3348" s="196"/>
      <c r="E3348" s="196"/>
    </row>
    <row r="3349">
      <c r="A3349" s="234"/>
      <c r="B3349" s="235"/>
      <c r="C3349" s="235"/>
      <c r="D3349" s="196"/>
      <c r="E3349" s="196"/>
    </row>
    <row r="3350">
      <c r="A3350" s="234"/>
      <c r="B3350" s="235"/>
      <c r="C3350" s="235"/>
      <c r="D3350" s="196"/>
      <c r="E3350" s="196"/>
    </row>
    <row r="3351">
      <c r="A3351" s="234"/>
      <c r="B3351" s="235"/>
      <c r="C3351" s="235"/>
      <c r="D3351" s="196"/>
      <c r="E3351" s="196"/>
    </row>
    <row r="3352">
      <c r="A3352" s="234"/>
      <c r="B3352" s="235"/>
      <c r="C3352" s="235"/>
      <c r="D3352" s="196"/>
      <c r="E3352" s="196"/>
    </row>
    <row r="3353">
      <c r="A3353" s="234"/>
      <c r="B3353" s="235"/>
      <c r="C3353" s="235"/>
      <c r="D3353" s="196"/>
      <c r="E3353" s="196"/>
    </row>
    <row r="3354">
      <c r="A3354" s="234"/>
      <c r="B3354" s="235"/>
      <c r="C3354" s="235"/>
      <c r="D3354" s="196"/>
      <c r="E3354" s="196"/>
    </row>
    <row r="3355">
      <c r="A3355" s="234"/>
      <c r="B3355" s="235"/>
      <c r="C3355" s="235"/>
      <c r="D3355" s="196"/>
      <c r="E3355" s="196"/>
    </row>
    <row r="3356">
      <c r="A3356" s="234"/>
      <c r="B3356" s="235"/>
      <c r="C3356" s="235"/>
      <c r="D3356" s="196"/>
      <c r="E3356" s="196"/>
    </row>
    <row r="3357">
      <c r="A3357" s="234"/>
      <c r="B3357" s="235"/>
      <c r="C3357" s="235"/>
      <c r="D3357" s="196"/>
      <c r="E3357" s="196"/>
    </row>
    <row r="3358">
      <c r="A3358" s="234"/>
      <c r="B3358" s="235"/>
      <c r="C3358" s="235"/>
      <c r="D3358" s="196"/>
      <c r="E3358" s="196"/>
    </row>
    <row r="3359">
      <c r="A3359" s="234"/>
      <c r="B3359" s="235"/>
      <c r="C3359" s="235"/>
      <c r="D3359" s="196"/>
      <c r="E3359" s="196"/>
    </row>
    <row r="3360">
      <c r="A3360" s="234"/>
      <c r="B3360" s="235"/>
      <c r="C3360" s="235"/>
      <c r="D3360" s="196"/>
      <c r="E3360" s="196"/>
    </row>
    <row r="3361">
      <c r="A3361" s="234"/>
      <c r="B3361" s="235"/>
      <c r="C3361" s="235"/>
      <c r="D3361" s="196"/>
      <c r="E3361" s="196"/>
    </row>
    <row r="3362">
      <c r="A3362" s="234"/>
      <c r="B3362" s="235"/>
      <c r="C3362" s="235"/>
      <c r="D3362" s="196"/>
      <c r="E3362" s="196"/>
    </row>
    <row r="3363">
      <c r="A3363" s="234"/>
      <c r="B3363" s="235"/>
      <c r="C3363" s="235"/>
      <c r="D3363" s="196"/>
      <c r="E3363" s="196"/>
    </row>
    <row r="3364">
      <c r="A3364" s="234"/>
      <c r="B3364" s="235"/>
      <c r="C3364" s="235"/>
      <c r="D3364" s="196"/>
      <c r="E3364" s="196"/>
    </row>
    <row r="3365">
      <c r="A3365" s="234"/>
      <c r="B3365" s="235"/>
      <c r="C3365" s="235"/>
      <c r="D3365" s="196"/>
      <c r="E3365" s="196"/>
    </row>
    <row r="3366">
      <c r="A3366" s="234"/>
      <c r="B3366" s="235"/>
      <c r="C3366" s="235"/>
      <c r="D3366" s="196"/>
      <c r="E3366" s="196"/>
    </row>
    <row r="3367">
      <c r="A3367" s="234"/>
      <c r="B3367" s="235"/>
      <c r="C3367" s="235"/>
      <c r="D3367" s="196"/>
      <c r="E3367" s="196"/>
    </row>
    <row r="3368">
      <c r="A3368" s="234"/>
      <c r="B3368" s="235"/>
      <c r="C3368" s="235"/>
      <c r="D3368" s="196"/>
      <c r="E3368" s="196"/>
    </row>
    <row r="3369">
      <c r="A3369" s="234"/>
      <c r="B3369" s="235"/>
      <c r="C3369" s="235"/>
      <c r="D3369" s="196"/>
      <c r="E3369" s="196"/>
    </row>
    <row r="3370">
      <c r="A3370" s="234"/>
      <c r="B3370" s="235"/>
      <c r="C3370" s="235"/>
      <c r="D3370" s="196"/>
      <c r="E3370" s="196"/>
    </row>
    <row r="3371">
      <c r="A3371" s="234"/>
      <c r="B3371" s="235"/>
      <c r="C3371" s="235"/>
      <c r="D3371" s="196"/>
      <c r="E3371" s="196"/>
    </row>
    <row r="3372">
      <c r="A3372" s="234"/>
      <c r="B3372" s="235"/>
      <c r="C3372" s="235"/>
      <c r="D3372" s="196"/>
      <c r="E3372" s="196"/>
    </row>
    <row r="3373">
      <c r="A3373" s="234"/>
      <c r="B3373" s="235"/>
      <c r="C3373" s="235"/>
      <c r="D3373" s="196"/>
      <c r="E3373" s="196"/>
    </row>
    <row r="3374">
      <c r="A3374" s="234"/>
      <c r="B3374" s="235"/>
      <c r="C3374" s="235"/>
      <c r="D3374" s="196"/>
      <c r="E3374" s="196"/>
    </row>
    <row r="3375">
      <c r="A3375" s="234"/>
      <c r="B3375" s="235"/>
      <c r="C3375" s="235"/>
      <c r="D3375" s="196"/>
      <c r="E3375" s="196"/>
    </row>
    <row r="3376">
      <c r="A3376" s="234"/>
      <c r="B3376" s="235"/>
      <c r="C3376" s="235"/>
      <c r="D3376" s="196"/>
      <c r="E3376" s="196"/>
    </row>
    <row r="3377">
      <c r="A3377" s="234"/>
      <c r="B3377" s="235"/>
      <c r="C3377" s="235"/>
      <c r="D3377" s="196"/>
      <c r="E3377" s="196"/>
    </row>
    <row r="3378">
      <c r="A3378" s="234"/>
      <c r="B3378" s="235"/>
      <c r="C3378" s="235"/>
      <c r="D3378" s="196"/>
      <c r="E3378" s="196"/>
    </row>
    <row r="3379">
      <c r="A3379" s="234"/>
      <c r="B3379" s="235"/>
      <c r="C3379" s="235"/>
      <c r="D3379" s="196"/>
      <c r="E3379" s="196"/>
    </row>
    <row r="3380">
      <c r="A3380" s="234"/>
      <c r="B3380" s="235"/>
      <c r="C3380" s="235"/>
      <c r="D3380" s="196"/>
      <c r="E3380" s="196"/>
    </row>
    <row r="3381">
      <c r="A3381" s="234"/>
      <c r="B3381" s="235"/>
      <c r="C3381" s="235"/>
      <c r="D3381" s="196"/>
      <c r="E3381" s="196"/>
    </row>
    <row r="3382">
      <c r="A3382" s="234"/>
      <c r="B3382" s="235"/>
      <c r="C3382" s="235"/>
      <c r="D3382" s="196"/>
      <c r="E3382" s="196"/>
    </row>
    <row r="3383">
      <c r="A3383" s="234"/>
      <c r="B3383" s="235"/>
      <c r="C3383" s="235"/>
      <c r="D3383" s="196"/>
      <c r="E3383" s="196"/>
    </row>
    <row r="3384">
      <c r="A3384" s="234"/>
      <c r="B3384" s="235"/>
      <c r="C3384" s="235"/>
      <c r="D3384" s="196"/>
      <c r="E3384" s="196"/>
    </row>
    <row r="3385">
      <c r="A3385" s="234"/>
      <c r="B3385" s="235"/>
      <c r="C3385" s="235"/>
      <c r="D3385" s="196"/>
      <c r="E3385" s="196"/>
    </row>
    <row r="3386">
      <c r="A3386" s="234"/>
      <c r="B3386" s="235"/>
      <c r="C3386" s="235"/>
      <c r="D3386" s="196"/>
      <c r="E3386" s="196"/>
    </row>
    <row r="3387">
      <c r="A3387" s="234"/>
      <c r="B3387" s="235"/>
      <c r="C3387" s="235"/>
      <c r="D3387" s="196"/>
      <c r="E3387" s="196"/>
    </row>
    <row r="3388">
      <c r="A3388" s="234"/>
      <c r="B3388" s="235"/>
      <c r="C3388" s="235"/>
      <c r="D3388" s="196"/>
      <c r="E3388" s="196"/>
    </row>
    <row r="3389">
      <c r="A3389" s="234"/>
      <c r="B3389" s="235"/>
      <c r="C3389" s="235"/>
      <c r="D3389" s="196"/>
      <c r="E3389" s="196"/>
    </row>
    <row r="3390">
      <c r="A3390" s="234"/>
      <c r="B3390" s="235"/>
      <c r="C3390" s="235"/>
      <c r="D3390" s="196"/>
      <c r="E3390" s="196"/>
    </row>
    <row r="3391">
      <c r="A3391" s="234"/>
      <c r="B3391" s="235"/>
      <c r="C3391" s="235"/>
      <c r="D3391" s="196"/>
      <c r="E3391" s="196"/>
    </row>
    <row r="3392">
      <c r="A3392" s="234"/>
      <c r="B3392" s="235"/>
      <c r="C3392" s="235"/>
      <c r="D3392" s="196"/>
      <c r="E3392" s="196"/>
    </row>
    <row r="3393">
      <c r="A3393" s="234"/>
      <c r="B3393" s="235"/>
      <c r="C3393" s="235"/>
      <c r="D3393" s="196"/>
      <c r="E3393" s="196"/>
    </row>
    <row r="3394">
      <c r="A3394" s="234"/>
      <c r="B3394" s="235"/>
      <c r="C3394" s="235"/>
      <c r="D3394" s="196"/>
      <c r="E3394" s="196"/>
    </row>
    <row r="3395">
      <c r="A3395" s="234"/>
      <c r="B3395" s="235"/>
      <c r="C3395" s="235"/>
      <c r="D3395" s="196"/>
      <c r="E3395" s="196"/>
    </row>
    <row r="3396">
      <c r="A3396" s="234"/>
      <c r="B3396" s="235"/>
      <c r="C3396" s="235"/>
      <c r="D3396" s="196"/>
      <c r="E3396" s="196"/>
    </row>
    <row r="3397">
      <c r="A3397" s="234"/>
      <c r="B3397" s="235"/>
      <c r="C3397" s="235"/>
      <c r="D3397" s="196"/>
      <c r="E3397" s="196"/>
    </row>
    <row r="3398">
      <c r="A3398" s="234"/>
      <c r="B3398" s="235"/>
      <c r="C3398" s="235"/>
      <c r="D3398" s="196"/>
      <c r="E3398" s="196"/>
    </row>
    <row r="3399">
      <c r="A3399" s="234"/>
      <c r="B3399" s="235"/>
      <c r="C3399" s="235"/>
      <c r="D3399" s="196"/>
      <c r="E3399" s="196"/>
    </row>
    <row r="3400">
      <c r="A3400" s="234"/>
      <c r="B3400" s="235"/>
      <c r="C3400" s="235"/>
      <c r="D3400" s="196"/>
      <c r="E3400" s="196"/>
    </row>
    <row r="3401">
      <c r="A3401" s="234"/>
      <c r="B3401" s="235"/>
      <c r="C3401" s="235"/>
      <c r="D3401" s="196"/>
      <c r="E3401" s="196"/>
    </row>
    <row r="3402">
      <c r="A3402" s="234"/>
      <c r="B3402" s="235"/>
      <c r="C3402" s="235"/>
      <c r="D3402" s="196"/>
      <c r="E3402" s="196"/>
    </row>
    <row r="3403">
      <c r="A3403" s="234"/>
      <c r="B3403" s="235"/>
      <c r="C3403" s="235"/>
      <c r="D3403" s="196"/>
      <c r="E3403" s="196"/>
    </row>
    <row r="3404">
      <c r="A3404" s="234"/>
      <c r="B3404" s="235"/>
      <c r="C3404" s="235"/>
      <c r="D3404" s="196"/>
      <c r="E3404" s="196"/>
    </row>
    <row r="3405">
      <c r="A3405" s="234"/>
      <c r="B3405" s="235"/>
      <c r="C3405" s="235"/>
      <c r="D3405" s="196"/>
      <c r="E3405" s="196"/>
    </row>
    <row r="3406">
      <c r="A3406" s="234"/>
      <c r="B3406" s="235"/>
      <c r="C3406" s="235"/>
      <c r="D3406" s="196"/>
      <c r="E3406" s="196"/>
    </row>
    <row r="3407">
      <c r="A3407" s="234"/>
      <c r="B3407" s="235"/>
      <c r="C3407" s="235"/>
      <c r="D3407" s="196"/>
      <c r="E3407" s="196"/>
    </row>
    <row r="3408">
      <c r="A3408" s="234"/>
      <c r="B3408" s="235"/>
      <c r="C3408" s="235"/>
      <c r="D3408" s="196"/>
      <c r="E3408" s="196"/>
    </row>
    <row r="3409">
      <c r="A3409" s="234"/>
      <c r="B3409" s="235"/>
      <c r="C3409" s="235"/>
      <c r="D3409" s="196"/>
      <c r="E3409" s="196"/>
    </row>
    <row r="3410">
      <c r="A3410" s="234"/>
      <c r="B3410" s="235"/>
      <c r="C3410" s="235"/>
      <c r="D3410" s="196"/>
      <c r="E3410" s="196"/>
    </row>
    <row r="3411">
      <c r="A3411" s="234"/>
      <c r="B3411" s="235"/>
      <c r="C3411" s="235"/>
      <c r="D3411" s="196"/>
      <c r="E3411" s="196"/>
    </row>
    <row r="3412">
      <c r="A3412" s="234"/>
      <c r="B3412" s="235"/>
      <c r="C3412" s="235"/>
      <c r="D3412" s="196"/>
      <c r="E3412" s="196"/>
    </row>
    <row r="3413">
      <c r="A3413" s="234"/>
      <c r="B3413" s="235"/>
      <c r="C3413" s="235"/>
      <c r="D3413" s="196"/>
      <c r="E3413" s="196"/>
    </row>
    <row r="3414">
      <c r="A3414" s="234"/>
      <c r="B3414" s="235"/>
      <c r="C3414" s="235"/>
      <c r="D3414" s="196"/>
      <c r="E3414" s="196"/>
    </row>
    <row r="3415">
      <c r="A3415" s="234"/>
      <c r="B3415" s="235"/>
      <c r="C3415" s="235"/>
      <c r="D3415" s="196"/>
      <c r="E3415" s="196"/>
    </row>
    <row r="3416">
      <c r="A3416" s="234"/>
      <c r="B3416" s="235"/>
      <c r="C3416" s="235"/>
      <c r="D3416" s="196"/>
      <c r="E3416" s="196"/>
    </row>
    <row r="3417">
      <c r="A3417" s="234"/>
      <c r="B3417" s="235"/>
      <c r="C3417" s="235"/>
      <c r="D3417" s="196"/>
      <c r="E3417" s="196"/>
    </row>
    <row r="3418">
      <c r="A3418" s="234"/>
      <c r="B3418" s="235"/>
      <c r="C3418" s="235"/>
      <c r="D3418" s="196"/>
      <c r="E3418" s="196"/>
    </row>
    <row r="3419">
      <c r="A3419" s="234"/>
      <c r="B3419" s="235"/>
      <c r="C3419" s="235"/>
      <c r="D3419" s="196"/>
      <c r="E3419" s="196"/>
    </row>
    <row r="3420">
      <c r="A3420" s="234"/>
      <c r="B3420" s="235"/>
      <c r="C3420" s="235"/>
      <c r="D3420" s="196"/>
      <c r="E3420" s="196"/>
    </row>
    <row r="3421">
      <c r="A3421" s="234"/>
      <c r="B3421" s="235"/>
      <c r="C3421" s="235"/>
      <c r="D3421" s="196"/>
      <c r="E3421" s="196"/>
    </row>
    <row r="3422">
      <c r="A3422" s="234"/>
      <c r="B3422" s="235"/>
      <c r="C3422" s="235"/>
      <c r="D3422" s="196"/>
      <c r="E3422" s="196"/>
    </row>
    <row r="3423">
      <c r="A3423" s="234"/>
      <c r="B3423" s="235"/>
      <c r="C3423" s="235"/>
      <c r="D3423" s="196"/>
      <c r="E3423" s="196"/>
    </row>
    <row r="3424">
      <c r="A3424" s="234"/>
      <c r="B3424" s="235"/>
      <c r="C3424" s="235"/>
      <c r="D3424" s="196"/>
      <c r="E3424" s="196"/>
    </row>
    <row r="3425">
      <c r="A3425" s="234"/>
      <c r="B3425" s="235"/>
      <c r="C3425" s="235"/>
      <c r="D3425" s="196"/>
      <c r="E3425" s="196"/>
    </row>
    <row r="3426">
      <c r="A3426" s="234"/>
      <c r="B3426" s="235"/>
      <c r="C3426" s="235"/>
      <c r="D3426" s="196"/>
      <c r="E3426" s="196"/>
    </row>
    <row r="3427">
      <c r="A3427" s="234"/>
      <c r="B3427" s="235"/>
      <c r="C3427" s="235"/>
      <c r="D3427" s="196"/>
      <c r="E3427" s="196"/>
    </row>
    <row r="3428">
      <c r="A3428" s="234"/>
      <c r="B3428" s="235"/>
      <c r="C3428" s="235"/>
      <c r="D3428" s="196"/>
      <c r="E3428" s="196"/>
    </row>
    <row r="3429">
      <c r="A3429" s="234"/>
      <c r="B3429" s="235"/>
      <c r="C3429" s="235"/>
      <c r="D3429" s="196"/>
      <c r="E3429" s="196"/>
    </row>
    <row r="3430">
      <c r="A3430" s="234"/>
      <c r="B3430" s="235"/>
      <c r="C3430" s="235"/>
      <c r="D3430" s="196"/>
      <c r="E3430" s="196"/>
    </row>
    <row r="3431">
      <c r="A3431" s="234"/>
      <c r="B3431" s="235"/>
      <c r="C3431" s="235"/>
      <c r="D3431" s="196"/>
      <c r="E3431" s="196"/>
    </row>
    <row r="3432">
      <c r="A3432" s="234"/>
      <c r="B3432" s="235"/>
      <c r="C3432" s="235"/>
      <c r="D3432" s="196"/>
      <c r="E3432" s="196"/>
    </row>
    <row r="3433">
      <c r="A3433" s="234"/>
      <c r="B3433" s="235"/>
      <c r="C3433" s="235"/>
      <c r="D3433" s="196"/>
      <c r="E3433" s="196"/>
    </row>
    <row r="3434">
      <c r="A3434" s="234"/>
      <c r="B3434" s="235"/>
      <c r="C3434" s="235"/>
      <c r="D3434" s="196"/>
      <c r="E3434" s="196"/>
    </row>
    <row r="3435">
      <c r="A3435" s="234"/>
      <c r="B3435" s="235"/>
      <c r="C3435" s="235"/>
      <c r="D3435" s="196"/>
      <c r="E3435" s="196"/>
    </row>
    <row r="3436">
      <c r="A3436" s="234"/>
      <c r="B3436" s="235"/>
      <c r="C3436" s="235"/>
      <c r="D3436" s="196"/>
      <c r="E3436" s="196"/>
    </row>
    <row r="3437">
      <c r="A3437" s="234"/>
      <c r="B3437" s="235"/>
      <c r="C3437" s="235"/>
      <c r="D3437" s="196"/>
      <c r="E3437" s="196"/>
    </row>
    <row r="3438">
      <c r="A3438" s="234"/>
      <c r="B3438" s="235"/>
      <c r="C3438" s="235"/>
      <c r="D3438" s="196"/>
      <c r="E3438" s="196"/>
    </row>
    <row r="3439">
      <c r="A3439" s="234"/>
      <c r="B3439" s="235"/>
      <c r="C3439" s="235"/>
      <c r="D3439" s="196"/>
      <c r="E3439" s="196"/>
    </row>
    <row r="3440">
      <c r="A3440" s="234"/>
      <c r="B3440" s="235"/>
      <c r="C3440" s="235"/>
      <c r="D3440" s="196"/>
      <c r="E3440" s="196"/>
    </row>
    <row r="3441">
      <c r="A3441" s="234"/>
      <c r="B3441" s="235"/>
      <c r="C3441" s="235"/>
      <c r="D3441" s="196"/>
      <c r="E3441" s="196"/>
    </row>
    <row r="3442">
      <c r="A3442" s="234"/>
      <c r="B3442" s="235"/>
      <c r="C3442" s="235"/>
      <c r="D3442" s="196"/>
      <c r="E3442" s="196"/>
    </row>
    <row r="3443">
      <c r="A3443" s="234"/>
      <c r="B3443" s="235"/>
      <c r="C3443" s="235"/>
      <c r="D3443" s="196"/>
      <c r="E3443" s="196"/>
    </row>
    <row r="3444">
      <c r="A3444" s="234"/>
      <c r="B3444" s="235"/>
      <c r="C3444" s="235"/>
      <c r="D3444" s="196"/>
      <c r="E3444" s="196"/>
    </row>
    <row r="3445">
      <c r="A3445" s="234"/>
      <c r="B3445" s="235"/>
      <c r="C3445" s="235"/>
      <c r="D3445" s="196"/>
      <c r="E3445" s="196"/>
    </row>
    <row r="3446">
      <c r="A3446" s="234"/>
      <c r="B3446" s="235"/>
      <c r="C3446" s="235"/>
      <c r="D3446" s="196"/>
      <c r="E3446" s="196"/>
    </row>
    <row r="3447">
      <c r="A3447" s="234"/>
      <c r="B3447" s="235"/>
      <c r="C3447" s="235"/>
      <c r="D3447" s="196"/>
      <c r="E3447" s="196"/>
    </row>
    <row r="3448">
      <c r="A3448" s="234"/>
      <c r="B3448" s="235"/>
      <c r="C3448" s="235"/>
      <c r="D3448" s="196"/>
      <c r="E3448" s="196"/>
    </row>
    <row r="3449">
      <c r="A3449" s="234"/>
      <c r="B3449" s="235"/>
      <c r="C3449" s="235"/>
      <c r="D3449" s="196"/>
      <c r="E3449" s="196"/>
    </row>
    <row r="3450">
      <c r="A3450" s="234"/>
      <c r="B3450" s="235"/>
      <c r="C3450" s="235"/>
      <c r="D3450" s="196"/>
      <c r="E3450" s="196"/>
    </row>
    <row r="3451">
      <c r="A3451" s="234"/>
      <c r="B3451" s="235"/>
      <c r="C3451" s="235"/>
      <c r="D3451" s="196"/>
      <c r="E3451" s="196"/>
    </row>
    <row r="3452">
      <c r="A3452" s="234"/>
      <c r="B3452" s="235"/>
      <c r="C3452" s="235"/>
      <c r="D3452" s="196"/>
      <c r="E3452" s="196"/>
    </row>
    <row r="3453">
      <c r="A3453" s="234"/>
      <c r="B3453" s="235"/>
      <c r="C3453" s="235"/>
      <c r="D3453" s="196"/>
      <c r="E3453" s="196"/>
    </row>
    <row r="3454">
      <c r="A3454" s="234"/>
      <c r="B3454" s="235"/>
      <c r="C3454" s="235"/>
      <c r="D3454" s="196"/>
      <c r="E3454" s="196"/>
    </row>
    <row r="3455">
      <c r="A3455" s="234"/>
      <c r="B3455" s="235"/>
      <c r="C3455" s="235"/>
      <c r="D3455" s="196"/>
      <c r="E3455" s="196"/>
    </row>
    <row r="3456">
      <c r="A3456" s="234"/>
      <c r="B3456" s="235"/>
      <c r="C3456" s="235"/>
      <c r="D3456" s="196"/>
      <c r="E3456" s="196"/>
    </row>
    <row r="3457">
      <c r="A3457" s="234"/>
      <c r="B3457" s="235"/>
      <c r="C3457" s="235"/>
      <c r="D3457" s="196"/>
      <c r="E3457" s="196"/>
    </row>
    <row r="3458">
      <c r="A3458" s="234"/>
      <c r="B3458" s="235"/>
      <c r="C3458" s="235"/>
      <c r="D3458" s="196"/>
      <c r="E3458" s="196"/>
    </row>
    <row r="3459">
      <c r="A3459" s="234"/>
      <c r="B3459" s="235"/>
      <c r="C3459" s="235"/>
      <c r="D3459" s="196"/>
      <c r="E3459" s="196"/>
    </row>
    <row r="3460">
      <c r="A3460" s="234"/>
      <c r="B3460" s="235"/>
      <c r="C3460" s="235"/>
      <c r="D3460" s="196"/>
      <c r="E3460" s="196"/>
    </row>
    <row r="3461">
      <c r="A3461" s="234"/>
      <c r="B3461" s="235"/>
      <c r="C3461" s="235"/>
      <c r="D3461" s="196"/>
      <c r="E3461" s="196"/>
    </row>
    <row r="3462">
      <c r="A3462" s="234"/>
      <c r="B3462" s="235"/>
      <c r="C3462" s="235"/>
      <c r="D3462" s="196"/>
      <c r="E3462" s="196"/>
    </row>
    <row r="3463">
      <c r="A3463" s="234"/>
      <c r="B3463" s="235"/>
      <c r="C3463" s="235"/>
      <c r="D3463" s="196"/>
      <c r="E3463" s="196"/>
    </row>
    <row r="3464">
      <c r="A3464" s="234"/>
      <c r="B3464" s="235"/>
      <c r="C3464" s="235"/>
      <c r="D3464" s="196"/>
      <c r="E3464" s="196"/>
    </row>
    <row r="3465">
      <c r="A3465" s="234"/>
      <c r="B3465" s="235"/>
      <c r="C3465" s="235"/>
      <c r="D3465" s="196"/>
      <c r="E3465" s="196"/>
    </row>
    <row r="3466">
      <c r="A3466" s="234"/>
      <c r="B3466" s="235"/>
      <c r="C3466" s="235"/>
      <c r="D3466" s="196"/>
      <c r="E3466" s="196"/>
    </row>
    <row r="3467">
      <c r="A3467" s="234"/>
      <c r="B3467" s="235"/>
      <c r="C3467" s="235"/>
      <c r="D3467" s="196"/>
      <c r="E3467" s="196"/>
    </row>
    <row r="3468">
      <c r="A3468" s="234"/>
      <c r="B3468" s="235"/>
      <c r="C3468" s="235"/>
      <c r="D3468" s="196"/>
      <c r="E3468" s="196"/>
    </row>
    <row r="3469">
      <c r="A3469" s="234"/>
      <c r="B3469" s="235"/>
      <c r="C3469" s="235"/>
      <c r="D3469" s="196"/>
      <c r="E3469" s="196"/>
    </row>
    <row r="3470">
      <c r="A3470" s="234"/>
      <c r="B3470" s="235"/>
      <c r="C3470" s="235"/>
      <c r="D3470" s="196"/>
      <c r="E3470" s="196"/>
    </row>
    <row r="3471">
      <c r="A3471" s="234"/>
      <c r="B3471" s="235"/>
      <c r="C3471" s="235"/>
      <c r="D3471" s="196"/>
      <c r="E3471" s="196"/>
    </row>
    <row r="3472">
      <c r="A3472" s="234"/>
      <c r="B3472" s="235"/>
      <c r="C3472" s="235"/>
      <c r="D3472" s="196"/>
      <c r="E3472" s="196"/>
    </row>
    <row r="3473">
      <c r="A3473" s="234"/>
      <c r="B3473" s="235"/>
      <c r="C3473" s="235"/>
      <c r="D3473" s="196"/>
      <c r="E3473" s="196"/>
    </row>
    <row r="3474">
      <c r="A3474" s="234"/>
      <c r="B3474" s="235"/>
      <c r="C3474" s="235"/>
      <c r="D3474" s="196"/>
      <c r="E3474" s="196"/>
    </row>
    <row r="3475">
      <c r="A3475" s="234"/>
      <c r="B3475" s="235"/>
      <c r="C3475" s="235"/>
      <c r="D3475" s="196"/>
      <c r="E3475" s="196"/>
    </row>
    <row r="3476">
      <c r="A3476" s="234"/>
      <c r="B3476" s="235"/>
      <c r="C3476" s="235"/>
      <c r="D3476" s="196"/>
      <c r="E3476" s="196"/>
    </row>
    <row r="3477">
      <c r="A3477" s="234"/>
      <c r="B3477" s="235"/>
      <c r="C3477" s="235"/>
      <c r="D3477" s="196"/>
      <c r="E3477" s="196"/>
    </row>
    <row r="3478">
      <c r="A3478" s="234"/>
      <c r="B3478" s="235"/>
      <c r="C3478" s="235"/>
      <c r="D3478" s="196"/>
      <c r="E3478" s="196"/>
    </row>
    <row r="3479">
      <c r="A3479" s="234"/>
      <c r="B3479" s="235"/>
      <c r="C3479" s="235"/>
      <c r="D3479" s="196"/>
      <c r="E3479" s="196"/>
    </row>
    <row r="3480">
      <c r="A3480" s="234"/>
      <c r="B3480" s="235"/>
      <c r="C3480" s="235"/>
      <c r="D3480" s="196"/>
      <c r="E3480" s="196"/>
    </row>
    <row r="3481">
      <c r="A3481" s="234"/>
      <c r="B3481" s="235"/>
      <c r="C3481" s="235"/>
      <c r="D3481" s="196"/>
      <c r="E3481" s="196"/>
    </row>
    <row r="3482">
      <c r="A3482" s="234"/>
      <c r="B3482" s="235"/>
      <c r="C3482" s="235"/>
      <c r="D3482" s="196"/>
      <c r="E3482" s="196"/>
    </row>
    <row r="3483">
      <c r="A3483" s="234"/>
      <c r="B3483" s="235"/>
      <c r="C3483" s="235"/>
      <c r="D3483" s="196"/>
      <c r="E3483" s="196"/>
    </row>
    <row r="3484">
      <c r="A3484" s="234"/>
      <c r="B3484" s="235"/>
      <c r="C3484" s="235"/>
      <c r="D3484" s="196"/>
      <c r="E3484" s="196"/>
    </row>
    <row r="3485">
      <c r="A3485" s="234"/>
      <c r="B3485" s="235"/>
      <c r="C3485" s="235"/>
      <c r="D3485" s="196"/>
      <c r="E3485" s="196"/>
    </row>
    <row r="3486">
      <c r="A3486" s="234"/>
      <c r="B3486" s="235"/>
      <c r="C3486" s="235"/>
      <c r="D3486" s="196"/>
      <c r="E3486" s="196"/>
    </row>
    <row r="3487">
      <c r="A3487" s="234"/>
      <c r="B3487" s="235"/>
      <c r="C3487" s="235"/>
      <c r="D3487" s="196"/>
      <c r="E3487" s="196"/>
    </row>
    <row r="3488">
      <c r="A3488" s="234"/>
      <c r="B3488" s="235"/>
      <c r="C3488" s="235"/>
      <c r="D3488" s="196"/>
      <c r="E3488" s="196"/>
    </row>
    <row r="3489">
      <c r="A3489" s="234"/>
      <c r="B3489" s="235"/>
      <c r="C3489" s="235"/>
      <c r="D3489" s="196"/>
      <c r="E3489" s="196"/>
    </row>
    <row r="3490">
      <c r="A3490" s="234"/>
      <c r="B3490" s="235"/>
      <c r="C3490" s="235"/>
      <c r="D3490" s="196"/>
      <c r="E3490" s="196"/>
    </row>
    <row r="3491">
      <c r="A3491" s="234"/>
      <c r="B3491" s="235"/>
      <c r="C3491" s="235"/>
      <c r="D3491" s="196"/>
      <c r="E3491" s="196"/>
    </row>
    <row r="3492">
      <c r="A3492" s="234"/>
      <c r="B3492" s="235"/>
      <c r="C3492" s="235"/>
      <c r="D3492" s="196"/>
      <c r="E3492" s="196"/>
    </row>
    <row r="3493">
      <c r="A3493" s="234"/>
      <c r="B3493" s="235"/>
      <c r="C3493" s="235"/>
      <c r="D3493" s="196"/>
      <c r="E3493" s="196"/>
    </row>
    <row r="3494">
      <c r="A3494" s="234"/>
      <c r="B3494" s="235"/>
      <c r="C3494" s="235"/>
      <c r="D3494" s="196"/>
      <c r="E3494" s="196"/>
    </row>
    <row r="3495">
      <c r="A3495" s="234"/>
      <c r="B3495" s="235"/>
      <c r="C3495" s="235"/>
      <c r="D3495" s="196"/>
      <c r="E3495" s="196"/>
    </row>
    <row r="3496">
      <c r="A3496" s="234"/>
      <c r="B3496" s="235"/>
      <c r="C3496" s="235"/>
      <c r="D3496" s="196"/>
      <c r="E3496" s="196"/>
    </row>
    <row r="3497">
      <c r="A3497" s="234"/>
      <c r="B3497" s="235"/>
      <c r="C3497" s="235"/>
      <c r="D3497" s="196"/>
      <c r="E3497" s="196"/>
    </row>
    <row r="3498">
      <c r="A3498" s="234"/>
      <c r="B3498" s="235"/>
      <c r="C3498" s="235"/>
      <c r="D3498" s="196"/>
      <c r="E3498" s="196"/>
    </row>
    <row r="3499">
      <c r="A3499" s="234"/>
      <c r="B3499" s="235"/>
      <c r="C3499" s="235"/>
      <c r="D3499" s="196"/>
      <c r="E3499" s="196"/>
    </row>
    <row r="3500">
      <c r="A3500" s="234"/>
      <c r="B3500" s="235"/>
      <c r="C3500" s="235"/>
      <c r="D3500" s="196"/>
      <c r="E3500" s="196"/>
    </row>
    <row r="3501">
      <c r="A3501" s="234"/>
      <c r="B3501" s="235"/>
      <c r="C3501" s="235"/>
      <c r="D3501" s="196"/>
      <c r="E3501" s="196"/>
    </row>
    <row r="3502">
      <c r="A3502" s="234"/>
      <c r="B3502" s="235"/>
      <c r="C3502" s="235"/>
      <c r="D3502" s="196"/>
      <c r="E3502" s="196"/>
    </row>
    <row r="3503">
      <c r="A3503" s="234"/>
      <c r="B3503" s="235"/>
      <c r="C3503" s="235"/>
      <c r="D3503" s="196"/>
      <c r="E3503" s="196"/>
    </row>
    <row r="3504">
      <c r="A3504" s="234"/>
      <c r="B3504" s="235"/>
      <c r="C3504" s="235"/>
      <c r="D3504" s="196"/>
      <c r="E3504" s="196"/>
    </row>
    <row r="3505">
      <c r="A3505" s="234"/>
      <c r="B3505" s="235"/>
      <c r="C3505" s="235"/>
      <c r="D3505" s="196"/>
      <c r="E3505" s="196"/>
    </row>
    <row r="3506">
      <c r="A3506" s="234"/>
      <c r="B3506" s="235"/>
      <c r="C3506" s="235"/>
      <c r="D3506" s="196"/>
      <c r="E3506" s="196"/>
    </row>
    <row r="3507">
      <c r="A3507" s="234"/>
      <c r="B3507" s="235"/>
      <c r="C3507" s="235"/>
      <c r="D3507" s="196"/>
      <c r="E3507" s="196"/>
    </row>
    <row r="3508">
      <c r="A3508" s="234"/>
      <c r="B3508" s="235"/>
      <c r="C3508" s="235"/>
      <c r="D3508" s="196"/>
      <c r="E3508" s="196"/>
    </row>
    <row r="3509">
      <c r="A3509" s="234"/>
      <c r="B3509" s="235"/>
      <c r="C3509" s="235"/>
      <c r="D3509" s="196"/>
      <c r="E3509" s="196"/>
    </row>
    <row r="3510">
      <c r="A3510" s="234"/>
      <c r="B3510" s="235"/>
      <c r="C3510" s="235"/>
      <c r="D3510" s="196"/>
      <c r="E3510" s="196"/>
    </row>
    <row r="3511">
      <c r="A3511" s="234"/>
      <c r="B3511" s="235"/>
      <c r="C3511" s="235"/>
      <c r="D3511" s="196"/>
      <c r="E3511" s="196"/>
    </row>
    <row r="3512">
      <c r="A3512" s="234"/>
      <c r="B3512" s="235"/>
      <c r="C3512" s="235"/>
      <c r="D3512" s="196"/>
      <c r="E3512" s="196"/>
    </row>
    <row r="3513">
      <c r="A3513" s="234"/>
      <c r="B3513" s="235"/>
      <c r="C3513" s="235"/>
      <c r="D3513" s="196"/>
      <c r="E3513" s="196"/>
    </row>
    <row r="3514">
      <c r="A3514" s="234"/>
      <c r="B3514" s="235"/>
      <c r="C3514" s="235"/>
      <c r="D3514" s="196"/>
      <c r="E3514" s="196"/>
    </row>
    <row r="3515">
      <c r="A3515" s="234"/>
      <c r="B3515" s="235"/>
      <c r="C3515" s="235"/>
      <c r="D3515" s="196"/>
      <c r="E3515" s="196"/>
    </row>
    <row r="3516">
      <c r="A3516" s="234"/>
      <c r="B3516" s="235"/>
      <c r="C3516" s="235"/>
      <c r="D3516" s="196"/>
      <c r="E3516" s="196"/>
    </row>
    <row r="3517">
      <c r="A3517" s="234"/>
      <c r="B3517" s="235"/>
      <c r="C3517" s="235"/>
      <c r="D3517" s="196"/>
      <c r="E3517" s="196"/>
    </row>
    <row r="3518">
      <c r="A3518" s="234"/>
      <c r="B3518" s="235"/>
      <c r="C3518" s="235"/>
      <c r="D3518" s="196"/>
      <c r="E3518" s="196"/>
    </row>
    <row r="3519">
      <c r="A3519" s="234"/>
      <c r="B3519" s="235"/>
      <c r="C3519" s="235"/>
      <c r="D3519" s="196"/>
      <c r="E3519" s="196"/>
    </row>
    <row r="3520">
      <c r="A3520" s="234"/>
      <c r="B3520" s="235"/>
      <c r="C3520" s="235"/>
      <c r="D3520" s="196"/>
      <c r="E3520" s="196"/>
    </row>
    <row r="3521">
      <c r="A3521" s="234"/>
      <c r="B3521" s="235"/>
      <c r="C3521" s="235"/>
      <c r="D3521" s="196"/>
      <c r="E3521" s="196"/>
    </row>
    <row r="3522">
      <c r="A3522" s="234"/>
      <c r="B3522" s="235"/>
      <c r="C3522" s="235"/>
      <c r="D3522" s="196"/>
      <c r="E3522" s="196"/>
    </row>
    <row r="3523">
      <c r="A3523" s="234"/>
      <c r="B3523" s="235"/>
      <c r="C3523" s="235"/>
      <c r="D3523" s="196"/>
      <c r="E3523" s="196"/>
    </row>
    <row r="3524">
      <c r="A3524" s="234"/>
      <c r="B3524" s="235"/>
      <c r="C3524" s="235"/>
      <c r="D3524" s="196"/>
      <c r="E3524" s="196"/>
    </row>
    <row r="3525">
      <c r="A3525" s="234"/>
      <c r="B3525" s="235"/>
      <c r="C3525" s="235"/>
      <c r="D3525" s="196"/>
      <c r="E3525" s="196"/>
    </row>
    <row r="3526">
      <c r="A3526" s="234"/>
      <c r="B3526" s="235"/>
      <c r="C3526" s="235"/>
      <c r="D3526" s="196"/>
      <c r="E3526" s="196"/>
    </row>
    <row r="3527">
      <c r="A3527" s="234"/>
      <c r="B3527" s="235"/>
      <c r="C3527" s="235"/>
      <c r="D3527" s="196"/>
      <c r="E3527" s="196"/>
    </row>
    <row r="3528">
      <c r="A3528" s="234"/>
      <c r="B3528" s="235"/>
      <c r="C3528" s="235"/>
      <c r="D3528" s="196"/>
      <c r="E3528" s="196"/>
    </row>
    <row r="3529">
      <c r="A3529" s="234"/>
      <c r="B3529" s="235"/>
      <c r="C3529" s="235"/>
      <c r="D3529" s="196"/>
      <c r="E3529" s="196"/>
    </row>
    <row r="3530">
      <c r="A3530" s="234"/>
      <c r="B3530" s="235"/>
      <c r="C3530" s="235"/>
      <c r="D3530" s="196"/>
      <c r="E3530" s="196"/>
    </row>
    <row r="3531">
      <c r="A3531" s="234"/>
      <c r="B3531" s="235"/>
      <c r="C3531" s="235"/>
      <c r="D3531" s="196"/>
      <c r="E3531" s="196"/>
    </row>
    <row r="3532">
      <c r="A3532" s="234"/>
      <c r="B3532" s="235"/>
      <c r="C3532" s="235"/>
      <c r="D3532" s="196"/>
      <c r="E3532" s="196"/>
    </row>
    <row r="3533">
      <c r="A3533" s="234"/>
      <c r="B3533" s="235"/>
      <c r="C3533" s="235"/>
      <c r="D3533" s="196"/>
      <c r="E3533" s="196"/>
    </row>
    <row r="3534">
      <c r="A3534" s="234"/>
      <c r="B3534" s="235"/>
      <c r="C3534" s="235"/>
      <c r="D3534" s="196"/>
      <c r="E3534" s="196"/>
    </row>
    <row r="3535">
      <c r="A3535" s="234"/>
      <c r="B3535" s="235"/>
      <c r="C3535" s="235"/>
      <c r="D3535" s="196"/>
      <c r="E3535" s="196"/>
    </row>
    <row r="3536">
      <c r="A3536" s="234"/>
      <c r="B3536" s="235"/>
      <c r="C3536" s="235"/>
      <c r="D3536" s="196"/>
      <c r="E3536" s="196"/>
    </row>
    <row r="3537">
      <c r="A3537" s="234"/>
      <c r="B3537" s="235"/>
      <c r="C3537" s="235"/>
      <c r="D3537" s="196"/>
      <c r="E3537" s="196"/>
    </row>
    <row r="3538">
      <c r="A3538" s="234"/>
      <c r="B3538" s="235"/>
      <c r="C3538" s="235"/>
      <c r="D3538" s="196"/>
      <c r="E3538" s="196"/>
    </row>
    <row r="3539">
      <c r="A3539" s="234"/>
      <c r="B3539" s="235"/>
      <c r="C3539" s="235"/>
      <c r="D3539" s="196"/>
      <c r="E3539" s="196"/>
    </row>
    <row r="3540">
      <c r="A3540" s="234"/>
      <c r="B3540" s="235"/>
      <c r="C3540" s="235"/>
      <c r="D3540" s="196"/>
      <c r="E3540" s="196"/>
    </row>
    <row r="3541">
      <c r="A3541" s="234"/>
      <c r="B3541" s="235"/>
      <c r="C3541" s="235"/>
      <c r="D3541" s="196"/>
      <c r="E3541" s="196"/>
    </row>
    <row r="3542">
      <c r="A3542" s="234"/>
      <c r="B3542" s="235"/>
      <c r="C3542" s="235"/>
      <c r="D3542" s="196"/>
      <c r="E3542" s="196"/>
    </row>
    <row r="3543">
      <c r="A3543" s="234"/>
      <c r="B3543" s="235"/>
      <c r="C3543" s="235"/>
      <c r="D3543" s="196"/>
      <c r="E3543" s="196"/>
    </row>
    <row r="3544">
      <c r="A3544" s="234"/>
      <c r="B3544" s="235"/>
      <c r="C3544" s="235"/>
      <c r="D3544" s="196"/>
      <c r="E3544" s="196"/>
    </row>
    <row r="3545">
      <c r="A3545" s="234"/>
      <c r="B3545" s="235"/>
      <c r="C3545" s="235"/>
      <c r="D3545" s="196"/>
      <c r="E3545" s="196"/>
    </row>
    <row r="3546">
      <c r="A3546" s="234"/>
      <c r="B3546" s="235"/>
      <c r="C3546" s="235"/>
      <c r="D3546" s="196"/>
      <c r="E3546" s="196"/>
    </row>
    <row r="3547">
      <c r="A3547" s="234"/>
      <c r="B3547" s="235"/>
      <c r="C3547" s="235"/>
      <c r="D3547" s="196"/>
      <c r="E3547" s="196"/>
    </row>
    <row r="3548">
      <c r="A3548" s="234"/>
      <c r="B3548" s="235"/>
      <c r="C3548" s="235"/>
      <c r="D3548" s="196"/>
      <c r="E3548" s="196"/>
    </row>
    <row r="3549">
      <c r="A3549" s="234"/>
      <c r="B3549" s="235"/>
      <c r="C3549" s="235"/>
      <c r="D3549" s="196"/>
      <c r="E3549" s="196"/>
    </row>
    <row r="3550">
      <c r="A3550" s="234"/>
      <c r="B3550" s="235"/>
      <c r="C3550" s="235"/>
      <c r="D3550" s="196"/>
      <c r="E3550" s="196"/>
    </row>
    <row r="3551">
      <c r="A3551" s="234"/>
      <c r="B3551" s="235"/>
      <c r="C3551" s="235"/>
      <c r="D3551" s="196"/>
      <c r="E3551" s="196"/>
    </row>
    <row r="3552">
      <c r="A3552" s="234"/>
      <c r="B3552" s="235"/>
      <c r="C3552" s="235"/>
      <c r="D3552" s="196"/>
      <c r="E3552" s="196"/>
    </row>
    <row r="3553">
      <c r="A3553" s="234"/>
      <c r="B3553" s="235"/>
      <c r="C3553" s="235"/>
      <c r="D3553" s="196"/>
      <c r="E3553" s="196"/>
    </row>
    <row r="3554">
      <c r="A3554" s="234"/>
      <c r="B3554" s="235"/>
      <c r="C3554" s="235"/>
      <c r="D3554" s="196"/>
      <c r="E3554" s="196"/>
    </row>
    <row r="3555">
      <c r="A3555" s="234"/>
      <c r="B3555" s="235"/>
      <c r="C3555" s="235"/>
      <c r="D3555" s="196"/>
      <c r="E3555" s="196"/>
    </row>
    <row r="3556">
      <c r="A3556" s="234"/>
      <c r="B3556" s="235"/>
      <c r="C3556" s="235"/>
      <c r="D3556" s="196"/>
      <c r="E3556" s="196"/>
    </row>
    <row r="3557">
      <c r="A3557" s="234"/>
      <c r="B3557" s="235"/>
      <c r="C3557" s="235"/>
      <c r="D3557" s="196"/>
      <c r="E3557" s="196"/>
    </row>
    <row r="3558">
      <c r="A3558" s="234"/>
      <c r="B3558" s="235"/>
      <c r="C3558" s="235"/>
      <c r="D3558" s="196"/>
      <c r="E3558" s="196"/>
    </row>
    <row r="3559">
      <c r="A3559" s="234"/>
      <c r="B3559" s="235"/>
      <c r="C3559" s="235"/>
      <c r="D3559" s="196"/>
      <c r="E3559" s="196"/>
    </row>
    <row r="3560">
      <c r="A3560" s="234"/>
      <c r="B3560" s="235"/>
      <c r="C3560" s="235"/>
      <c r="D3560" s="196"/>
      <c r="E3560" s="196"/>
    </row>
    <row r="3561">
      <c r="A3561" s="234"/>
      <c r="B3561" s="235"/>
      <c r="C3561" s="235"/>
      <c r="D3561" s="196"/>
      <c r="E3561" s="196"/>
    </row>
    <row r="3562">
      <c r="A3562" s="234"/>
      <c r="B3562" s="235"/>
      <c r="C3562" s="235"/>
      <c r="D3562" s="196"/>
      <c r="E3562" s="196"/>
    </row>
    <row r="3563">
      <c r="A3563" s="234"/>
      <c r="B3563" s="235"/>
      <c r="C3563" s="235"/>
      <c r="D3563" s="196"/>
      <c r="E3563" s="196"/>
    </row>
    <row r="3564">
      <c r="A3564" s="234"/>
      <c r="B3564" s="235"/>
      <c r="C3564" s="235"/>
      <c r="D3564" s="196"/>
      <c r="E3564" s="196"/>
    </row>
    <row r="3565">
      <c r="A3565" s="234"/>
      <c r="B3565" s="235"/>
      <c r="C3565" s="235"/>
      <c r="D3565" s="196"/>
      <c r="E3565" s="196"/>
    </row>
    <row r="3566">
      <c r="A3566" s="234"/>
      <c r="B3566" s="235"/>
      <c r="C3566" s="235"/>
      <c r="D3566" s="196"/>
      <c r="E3566" s="196"/>
    </row>
    <row r="3567">
      <c r="A3567" s="234"/>
      <c r="B3567" s="235"/>
      <c r="C3567" s="235"/>
      <c r="D3567" s="196"/>
      <c r="E3567" s="196"/>
    </row>
    <row r="3568">
      <c r="A3568" s="234"/>
      <c r="B3568" s="235"/>
      <c r="C3568" s="235"/>
      <c r="D3568" s="196"/>
      <c r="E3568" s="196"/>
    </row>
    <row r="3569">
      <c r="A3569" s="234"/>
      <c r="B3569" s="235"/>
      <c r="C3569" s="235"/>
      <c r="D3569" s="196"/>
      <c r="E3569" s="196"/>
    </row>
    <row r="3570">
      <c r="A3570" s="234"/>
      <c r="B3570" s="235"/>
      <c r="C3570" s="235"/>
      <c r="D3570" s="196"/>
      <c r="E3570" s="196"/>
    </row>
    <row r="3571">
      <c r="A3571" s="234"/>
      <c r="B3571" s="235"/>
      <c r="C3571" s="235"/>
      <c r="D3571" s="196"/>
      <c r="E3571" s="196"/>
    </row>
    <row r="3572">
      <c r="A3572" s="234"/>
      <c r="B3572" s="235"/>
      <c r="C3572" s="235"/>
      <c r="D3572" s="196"/>
      <c r="E3572" s="196"/>
    </row>
    <row r="3573">
      <c r="A3573" s="234"/>
      <c r="B3573" s="235"/>
      <c r="C3573" s="235"/>
      <c r="D3573" s="196"/>
      <c r="E3573" s="196"/>
    </row>
    <row r="3574">
      <c r="A3574" s="234"/>
      <c r="B3574" s="235"/>
      <c r="C3574" s="235"/>
      <c r="D3574" s="196"/>
      <c r="E3574" s="196"/>
    </row>
    <row r="3575">
      <c r="A3575" s="234"/>
      <c r="B3575" s="235"/>
      <c r="C3575" s="235"/>
      <c r="D3575" s="196"/>
      <c r="E3575" s="196"/>
    </row>
    <row r="3576">
      <c r="A3576" s="234"/>
      <c r="B3576" s="235"/>
      <c r="C3576" s="235"/>
      <c r="D3576" s="196"/>
      <c r="E3576" s="196"/>
    </row>
    <row r="3577">
      <c r="A3577" s="234"/>
      <c r="B3577" s="235"/>
      <c r="C3577" s="235"/>
      <c r="D3577" s="196"/>
      <c r="E3577" s="196"/>
    </row>
    <row r="3578">
      <c r="A3578" s="234"/>
      <c r="B3578" s="235"/>
      <c r="C3578" s="235"/>
      <c r="D3578" s="196"/>
      <c r="E3578" s="196"/>
    </row>
    <row r="3579">
      <c r="A3579" s="234"/>
      <c r="B3579" s="235"/>
      <c r="C3579" s="235"/>
      <c r="D3579" s="196"/>
      <c r="E3579" s="196"/>
    </row>
    <row r="3580">
      <c r="A3580" s="234"/>
      <c r="B3580" s="235"/>
      <c r="C3580" s="235"/>
      <c r="D3580" s="196"/>
      <c r="E3580" s="196"/>
    </row>
    <row r="3581">
      <c r="A3581" s="234"/>
      <c r="B3581" s="235"/>
      <c r="C3581" s="235"/>
      <c r="D3581" s="196"/>
      <c r="E3581" s="196"/>
    </row>
    <row r="3582">
      <c r="A3582" s="234"/>
      <c r="B3582" s="235"/>
      <c r="C3582" s="235"/>
      <c r="D3582" s="196"/>
      <c r="E3582" s="196"/>
    </row>
    <row r="3583">
      <c r="A3583" s="234"/>
      <c r="B3583" s="235"/>
      <c r="C3583" s="235"/>
      <c r="D3583" s="196"/>
      <c r="E3583" s="196"/>
    </row>
    <row r="3584">
      <c r="A3584" s="234"/>
      <c r="B3584" s="235"/>
      <c r="C3584" s="235"/>
      <c r="D3584" s="196"/>
      <c r="E3584" s="196"/>
    </row>
    <row r="3585">
      <c r="A3585" s="234"/>
      <c r="B3585" s="235"/>
      <c r="C3585" s="235"/>
      <c r="D3585" s="196"/>
      <c r="E3585" s="196"/>
    </row>
    <row r="3586">
      <c r="A3586" s="234"/>
      <c r="B3586" s="235"/>
      <c r="C3586" s="235"/>
      <c r="D3586" s="196"/>
      <c r="E3586" s="196"/>
    </row>
    <row r="3587">
      <c r="A3587" s="234"/>
      <c r="B3587" s="235"/>
      <c r="C3587" s="235"/>
      <c r="D3587" s="196"/>
      <c r="E3587" s="196"/>
    </row>
    <row r="3588">
      <c r="A3588" s="234"/>
      <c r="B3588" s="235"/>
      <c r="C3588" s="235"/>
      <c r="D3588" s="196"/>
      <c r="E3588" s="196"/>
    </row>
    <row r="3589">
      <c r="A3589" s="234"/>
      <c r="B3589" s="235"/>
      <c r="C3589" s="235"/>
      <c r="D3589" s="196"/>
      <c r="E3589" s="196"/>
    </row>
    <row r="3590">
      <c r="A3590" s="234"/>
      <c r="B3590" s="235"/>
      <c r="C3590" s="235"/>
      <c r="D3590" s="196"/>
      <c r="E3590" s="196"/>
    </row>
    <row r="3591">
      <c r="A3591" s="234"/>
      <c r="B3591" s="235"/>
      <c r="C3591" s="235"/>
      <c r="D3591" s="196"/>
      <c r="E3591" s="196"/>
    </row>
    <row r="3592">
      <c r="A3592" s="234"/>
      <c r="B3592" s="235"/>
      <c r="C3592" s="235"/>
      <c r="D3592" s="196"/>
      <c r="E3592" s="196"/>
    </row>
    <row r="3593">
      <c r="A3593" s="234"/>
      <c r="B3593" s="235"/>
      <c r="C3593" s="235"/>
      <c r="D3593" s="196"/>
      <c r="E3593" s="196"/>
    </row>
    <row r="3594">
      <c r="A3594" s="234"/>
      <c r="B3594" s="235"/>
      <c r="C3594" s="235"/>
      <c r="D3594" s="196"/>
      <c r="E3594" s="196"/>
    </row>
    <row r="3595">
      <c r="A3595" s="234"/>
      <c r="B3595" s="235"/>
      <c r="C3595" s="235"/>
      <c r="D3595" s="196"/>
      <c r="E3595" s="196"/>
    </row>
    <row r="3596">
      <c r="A3596" s="234"/>
      <c r="B3596" s="235"/>
      <c r="C3596" s="235"/>
      <c r="D3596" s="196"/>
      <c r="E3596" s="196"/>
    </row>
    <row r="3597">
      <c r="A3597" s="234"/>
      <c r="B3597" s="235"/>
      <c r="C3597" s="235"/>
      <c r="D3597" s="196"/>
      <c r="E3597" s="196"/>
    </row>
    <row r="3598">
      <c r="A3598" s="234"/>
      <c r="B3598" s="235"/>
      <c r="C3598" s="235"/>
      <c r="D3598" s="196"/>
      <c r="E3598" s="196"/>
    </row>
    <row r="3599">
      <c r="A3599" s="234"/>
      <c r="B3599" s="235"/>
      <c r="C3599" s="235"/>
      <c r="D3599" s="196"/>
      <c r="E3599" s="196"/>
    </row>
    <row r="3600">
      <c r="A3600" s="234"/>
      <c r="B3600" s="235"/>
      <c r="C3600" s="235"/>
      <c r="D3600" s="196"/>
      <c r="E3600" s="196"/>
    </row>
    <row r="3601">
      <c r="A3601" s="234"/>
      <c r="B3601" s="235"/>
      <c r="C3601" s="235"/>
      <c r="D3601" s="196"/>
      <c r="E3601" s="196"/>
    </row>
    <row r="3602">
      <c r="A3602" s="234"/>
      <c r="B3602" s="235"/>
      <c r="C3602" s="235"/>
      <c r="D3602" s="196"/>
      <c r="E3602" s="196"/>
    </row>
    <row r="3603">
      <c r="A3603" s="234"/>
      <c r="B3603" s="235"/>
      <c r="C3603" s="235"/>
      <c r="D3603" s="196"/>
      <c r="E3603" s="196"/>
    </row>
    <row r="3604">
      <c r="A3604" s="234"/>
      <c r="B3604" s="235"/>
      <c r="C3604" s="235"/>
      <c r="D3604" s="196"/>
      <c r="E3604" s="196"/>
    </row>
    <row r="3605">
      <c r="A3605" s="234"/>
      <c r="B3605" s="235"/>
      <c r="C3605" s="235"/>
      <c r="D3605" s="196"/>
      <c r="E3605" s="196"/>
    </row>
    <row r="3606">
      <c r="A3606" s="234"/>
      <c r="B3606" s="235"/>
      <c r="C3606" s="235"/>
      <c r="D3606" s="196"/>
      <c r="E3606" s="196"/>
    </row>
    <row r="3607">
      <c r="A3607" s="234"/>
      <c r="B3607" s="235"/>
      <c r="C3607" s="235"/>
      <c r="D3607" s="196"/>
      <c r="E3607" s="196"/>
    </row>
    <row r="3608">
      <c r="A3608" s="234"/>
      <c r="B3608" s="235"/>
      <c r="C3608" s="235"/>
      <c r="D3608" s="196"/>
      <c r="E3608" s="196"/>
    </row>
    <row r="3609">
      <c r="A3609" s="234"/>
      <c r="B3609" s="235"/>
      <c r="C3609" s="235"/>
      <c r="D3609" s="196"/>
      <c r="E3609" s="196"/>
    </row>
    <row r="3610">
      <c r="A3610" s="234"/>
      <c r="B3610" s="235"/>
      <c r="C3610" s="235"/>
      <c r="D3610" s="196"/>
      <c r="E3610" s="196"/>
    </row>
    <row r="3611">
      <c r="A3611" s="234"/>
      <c r="B3611" s="235"/>
      <c r="C3611" s="235"/>
      <c r="D3611" s="196"/>
      <c r="E3611" s="196"/>
    </row>
    <row r="3612">
      <c r="A3612" s="234"/>
      <c r="B3612" s="235"/>
      <c r="C3612" s="235"/>
      <c r="D3612" s="196"/>
      <c r="E3612" s="196"/>
    </row>
    <row r="3613">
      <c r="A3613" s="234"/>
      <c r="B3613" s="235"/>
      <c r="C3613" s="235"/>
      <c r="D3613" s="196"/>
      <c r="E3613" s="196"/>
    </row>
    <row r="3614">
      <c r="A3614" s="234"/>
      <c r="B3614" s="235"/>
      <c r="C3614" s="235"/>
      <c r="D3614" s="196"/>
      <c r="E3614" s="196"/>
    </row>
    <row r="3615">
      <c r="A3615" s="234"/>
      <c r="B3615" s="235"/>
      <c r="C3615" s="235"/>
      <c r="D3615" s="196"/>
      <c r="E3615" s="196"/>
    </row>
    <row r="3616">
      <c r="A3616" s="234"/>
      <c r="B3616" s="235"/>
      <c r="C3616" s="235"/>
      <c r="D3616" s="196"/>
      <c r="E3616" s="196"/>
    </row>
    <row r="3617">
      <c r="A3617" s="234"/>
      <c r="B3617" s="235"/>
      <c r="C3617" s="235"/>
      <c r="D3617" s="196"/>
      <c r="E3617" s="196"/>
    </row>
    <row r="3618">
      <c r="A3618" s="234"/>
      <c r="B3618" s="235"/>
      <c r="C3618" s="235"/>
      <c r="D3618" s="196"/>
      <c r="E3618" s="196"/>
    </row>
    <row r="3619">
      <c r="A3619" s="234"/>
      <c r="B3619" s="235"/>
      <c r="C3619" s="235"/>
      <c r="D3619" s="196"/>
      <c r="E3619" s="196"/>
    </row>
    <row r="3620">
      <c r="A3620" s="234"/>
      <c r="B3620" s="235"/>
      <c r="C3620" s="235"/>
      <c r="D3620" s="196"/>
      <c r="E3620" s="196"/>
    </row>
    <row r="3621">
      <c r="A3621" s="234"/>
      <c r="B3621" s="235"/>
      <c r="C3621" s="235"/>
      <c r="D3621" s="196"/>
      <c r="E3621" s="196"/>
    </row>
    <row r="3622">
      <c r="A3622" s="234"/>
      <c r="B3622" s="235"/>
      <c r="C3622" s="235"/>
      <c r="D3622" s="196"/>
      <c r="E3622" s="196"/>
    </row>
    <row r="3623">
      <c r="A3623" s="234"/>
      <c r="B3623" s="235"/>
      <c r="C3623" s="235"/>
      <c r="D3623" s="196"/>
      <c r="E3623" s="196"/>
    </row>
    <row r="3624">
      <c r="A3624" s="234"/>
      <c r="B3624" s="235"/>
      <c r="C3624" s="235"/>
      <c r="D3624" s="196"/>
      <c r="E3624" s="196"/>
    </row>
    <row r="3625">
      <c r="A3625" s="234"/>
      <c r="B3625" s="235"/>
      <c r="C3625" s="235"/>
      <c r="D3625" s="196"/>
      <c r="E3625" s="196"/>
    </row>
    <row r="3626">
      <c r="A3626" s="234"/>
      <c r="B3626" s="235"/>
      <c r="C3626" s="235"/>
      <c r="D3626" s="196"/>
      <c r="E3626" s="196"/>
    </row>
    <row r="3627">
      <c r="A3627" s="234"/>
      <c r="B3627" s="235"/>
      <c r="C3627" s="235"/>
      <c r="D3627" s="196"/>
      <c r="E3627" s="196"/>
    </row>
    <row r="3628">
      <c r="A3628" s="234"/>
      <c r="B3628" s="235"/>
      <c r="C3628" s="235"/>
      <c r="D3628" s="196"/>
      <c r="E3628" s="196"/>
    </row>
    <row r="3629">
      <c r="A3629" s="234"/>
      <c r="B3629" s="235"/>
      <c r="C3629" s="235"/>
      <c r="D3629" s="196"/>
      <c r="E3629" s="196"/>
    </row>
    <row r="3630">
      <c r="A3630" s="234"/>
      <c r="B3630" s="235"/>
      <c r="C3630" s="235"/>
      <c r="D3630" s="196"/>
      <c r="E3630" s="196"/>
    </row>
    <row r="3631">
      <c r="A3631" s="234"/>
      <c r="B3631" s="235"/>
      <c r="C3631" s="235"/>
      <c r="D3631" s="196"/>
      <c r="E3631" s="196"/>
    </row>
    <row r="3632">
      <c r="A3632" s="234"/>
      <c r="B3632" s="235"/>
      <c r="C3632" s="235"/>
      <c r="D3632" s="196"/>
      <c r="E3632" s="196"/>
    </row>
    <row r="3633">
      <c r="A3633" s="234"/>
      <c r="B3633" s="235"/>
      <c r="C3633" s="235"/>
      <c r="D3633" s="196"/>
      <c r="E3633" s="196"/>
    </row>
    <row r="3634">
      <c r="A3634" s="234"/>
      <c r="B3634" s="235"/>
      <c r="C3634" s="235"/>
      <c r="D3634" s="196"/>
      <c r="E3634" s="196"/>
    </row>
    <row r="3635">
      <c r="A3635" s="234"/>
      <c r="B3635" s="235"/>
      <c r="C3635" s="235"/>
      <c r="D3635" s="196"/>
      <c r="E3635" s="196"/>
    </row>
    <row r="3636">
      <c r="A3636" s="234"/>
      <c r="B3636" s="235"/>
      <c r="C3636" s="235"/>
      <c r="D3636" s="196"/>
      <c r="E3636" s="196"/>
    </row>
    <row r="3637">
      <c r="A3637" s="234"/>
      <c r="B3637" s="235"/>
      <c r="C3637" s="235"/>
      <c r="D3637" s="196"/>
      <c r="E3637" s="196"/>
    </row>
    <row r="3638">
      <c r="A3638" s="234"/>
      <c r="B3638" s="235"/>
      <c r="C3638" s="235"/>
      <c r="D3638" s="196"/>
      <c r="E3638" s="196"/>
    </row>
    <row r="3639">
      <c r="A3639" s="234"/>
      <c r="B3639" s="235"/>
      <c r="C3639" s="235"/>
      <c r="D3639" s="196"/>
      <c r="E3639" s="196"/>
    </row>
    <row r="3640">
      <c r="A3640" s="234"/>
      <c r="B3640" s="235"/>
      <c r="C3640" s="235"/>
      <c r="D3640" s="196"/>
      <c r="E3640" s="196"/>
    </row>
    <row r="3641">
      <c r="A3641" s="234"/>
      <c r="B3641" s="235"/>
      <c r="C3641" s="235"/>
      <c r="D3641" s="196"/>
      <c r="E3641" s="196"/>
    </row>
    <row r="3642">
      <c r="A3642" s="234"/>
      <c r="B3642" s="235"/>
      <c r="C3642" s="235"/>
      <c r="D3642" s="196"/>
      <c r="E3642" s="196"/>
    </row>
    <row r="3643">
      <c r="A3643" s="234"/>
      <c r="B3643" s="235"/>
      <c r="C3643" s="235"/>
      <c r="D3643" s="196"/>
      <c r="E3643" s="196"/>
    </row>
    <row r="3644">
      <c r="A3644" s="234"/>
      <c r="B3644" s="235"/>
      <c r="C3644" s="235"/>
      <c r="D3644" s="196"/>
      <c r="E3644" s="196"/>
    </row>
    <row r="3645">
      <c r="A3645" s="234"/>
      <c r="B3645" s="235"/>
      <c r="C3645" s="235"/>
      <c r="D3645" s="196"/>
      <c r="E3645" s="196"/>
    </row>
    <row r="3646">
      <c r="A3646" s="234"/>
      <c r="B3646" s="235"/>
      <c r="C3646" s="235"/>
      <c r="D3646" s="196"/>
      <c r="E3646" s="196"/>
    </row>
    <row r="3647">
      <c r="A3647" s="234"/>
      <c r="B3647" s="235"/>
      <c r="C3647" s="235"/>
      <c r="D3647" s="196"/>
      <c r="E3647" s="196"/>
    </row>
    <row r="3648">
      <c r="A3648" s="234"/>
      <c r="B3648" s="235"/>
      <c r="C3648" s="235"/>
      <c r="D3648" s="196"/>
      <c r="E3648" s="196"/>
    </row>
    <row r="3649">
      <c r="A3649" s="234"/>
      <c r="B3649" s="235"/>
      <c r="C3649" s="235"/>
      <c r="D3649" s="196"/>
      <c r="E3649" s="196"/>
    </row>
    <row r="3650">
      <c r="A3650" s="234"/>
      <c r="B3650" s="235"/>
      <c r="C3650" s="235"/>
      <c r="D3650" s="196"/>
      <c r="E3650" s="196"/>
    </row>
    <row r="3651">
      <c r="A3651" s="234"/>
      <c r="B3651" s="235"/>
      <c r="C3651" s="235"/>
      <c r="D3651" s="196"/>
      <c r="E3651" s="196"/>
    </row>
    <row r="3652">
      <c r="A3652" s="234"/>
      <c r="B3652" s="235"/>
      <c r="C3652" s="235"/>
      <c r="D3652" s="196"/>
      <c r="E3652" s="196"/>
    </row>
    <row r="3653">
      <c r="A3653" s="234"/>
      <c r="B3653" s="235"/>
      <c r="C3653" s="235"/>
      <c r="D3653" s="196"/>
      <c r="E3653" s="196"/>
    </row>
    <row r="3654">
      <c r="A3654" s="234"/>
      <c r="B3654" s="235"/>
      <c r="C3654" s="235"/>
      <c r="D3654" s="196"/>
      <c r="E3654" s="196"/>
    </row>
    <row r="3655">
      <c r="A3655" s="234"/>
      <c r="B3655" s="235"/>
      <c r="C3655" s="235"/>
      <c r="D3655" s="196"/>
      <c r="E3655" s="196"/>
    </row>
    <row r="3656">
      <c r="A3656" s="234"/>
      <c r="B3656" s="235"/>
      <c r="C3656" s="235"/>
      <c r="D3656" s="196"/>
      <c r="E3656" s="196"/>
    </row>
    <row r="3657">
      <c r="A3657" s="234"/>
      <c r="B3657" s="235"/>
      <c r="C3657" s="235"/>
      <c r="D3657" s="196"/>
      <c r="E3657" s="196"/>
    </row>
    <row r="3658">
      <c r="A3658" s="234"/>
      <c r="B3658" s="235"/>
      <c r="C3658" s="235"/>
      <c r="D3658" s="196"/>
      <c r="E3658" s="196"/>
    </row>
    <row r="3659">
      <c r="A3659" s="234"/>
      <c r="B3659" s="235"/>
      <c r="C3659" s="235"/>
      <c r="D3659" s="196"/>
      <c r="E3659" s="196"/>
    </row>
    <row r="3660">
      <c r="A3660" s="234"/>
      <c r="B3660" s="235"/>
      <c r="C3660" s="235"/>
      <c r="D3660" s="196"/>
      <c r="E3660" s="196"/>
    </row>
    <row r="3661">
      <c r="A3661" s="234"/>
      <c r="B3661" s="235"/>
      <c r="C3661" s="235"/>
      <c r="D3661" s="196"/>
      <c r="E3661" s="196"/>
    </row>
    <row r="3662">
      <c r="A3662" s="234"/>
      <c r="B3662" s="235"/>
      <c r="C3662" s="235"/>
      <c r="D3662" s="196"/>
      <c r="E3662" s="196"/>
    </row>
    <row r="3663">
      <c r="A3663" s="234"/>
      <c r="B3663" s="235"/>
      <c r="C3663" s="235"/>
      <c r="D3663" s="196"/>
      <c r="E3663" s="196"/>
    </row>
    <row r="3664">
      <c r="A3664" s="234"/>
      <c r="B3664" s="235"/>
      <c r="C3664" s="235"/>
      <c r="D3664" s="196"/>
      <c r="E3664" s="196"/>
    </row>
    <row r="3665">
      <c r="A3665" s="234"/>
      <c r="B3665" s="235"/>
      <c r="C3665" s="235"/>
      <c r="D3665" s="196"/>
      <c r="E3665" s="196"/>
    </row>
    <row r="3666">
      <c r="A3666" s="234"/>
      <c r="B3666" s="235"/>
      <c r="C3666" s="235"/>
      <c r="D3666" s="196"/>
      <c r="E3666" s="196"/>
    </row>
    <row r="3667">
      <c r="A3667" s="234"/>
      <c r="B3667" s="235"/>
      <c r="C3667" s="235"/>
      <c r="D3667" s="196"/>
      <c r="E3667" s="196"/>
    </row>
    <row r="3668">
      <c r="A3668" s="234"/>
      <c r="B3668" s="235"/>
      <c r="C3668" s="235"/>
      <c r="D3668" s="196"/>
      <c r="E3668" s="196"/>
    </row>
    <row r="3669">
      <c r="A3669" s="234"/>
      <c r="B3669" s="235"/>
      <c r="C3669" s="235"/>
      <c r="D3669" s="196"/>
      <c r="E3669" s="196"/>
    </row>
    <row r="3670">
      <c r="A3670" s="234"/>
      <c r="B3670" s="235"/>
      <c r="C3670" s="235"/>
      <c r="D3670" s="196"/>
      <c r="E3670" s="196"/>
    </row>
    <row r="3671">
      <c r="A3671" s="234"/>
      <c r="B3671" s="235"/>
      <c r="C3671" s="235"/>
      <c r="D3671" s="196"/>
      <c r="E3671" s="196"/>
    </row>
    <row r="3672">
      <c r="A3672" s="234"/>
      <c r="B3672" s="235"/>
      <c r="C3672" s="235"/>
      <c r="D3672" s="196"/>
      <c r="E3672" s="196"/>
    </row>
    <row r="3673">
      <c r="A3673" s="234"/>
      <c r="B3673" s="235"/>
      <c r="C3673" s="235"/>
      <c r="D3673" s="196"/>
      <c r="E3673" s="196"/>
    </row>
    <row r="3674">
      <c r="A3674" s="234"/>
      <c r="B3674" s="235"/>
      <c r="C3674" s="235"/>
      <c r="D3674" s="196"/>
      <c r="E3674" s="196"/>
    </row>
    <row r="3675">
      <c r="A3675" s="234"/>
      <c r="B3675" s="235"/>
      <c r="C3675" s="235"/>
      <c r="D3675" s="196"/>
      <c r="E3675" s="196"/>
    </row>
    <row r="3676">
      <c r="A3676" s="234"/>
      <c r="B3676" s="235"/>
      <c r="C3676" s="235"/>
      <c r="D3676" s="196"/>
      <c r="E3676" s="196"/>
    </row>
    <row r="3677">
      <c r="A3677" s="234"/>
      <c r="B3677" s="235"/>
      <c r="C3677" s="235"/>
      <c r="D3677" s="196"/>
      <c r="E3677" s="196"/>
    </row>
    <row r="3678">
      <c r="A3678" s="234"/>
      <c r="B3678" s="235"/>
      <c r="C3678" s="235"/>
      <c r="D3678" s="196"/>
      <c r="E3678" s="196"/>
    </row>
    <row r="3679">
      <c r="A3679" s="234"/>
      <c r="B3679" s="235"/>
      <c r="C3679" s="235"/>
      <c r="D3679" s="196"/>
      <c r="E3679" s="196"/>
    </row>
    <row r="3680">
      <c r="A3680" s="234"/>
      <c r="B3680" s="235"/>
      <c r="C3680" s="235"/>
      <c r="D3680" s="196"/>
      <c r="E3680" s="196"/>
    </row>
    <row r="3681">
      <c r="A3681" s="234"/>
      <c r="B3681" s="235"/>
      <c r="C3681" s="235"/>
      <c r="D3681" s="196"/>
      <c r="E3681" s="196"/>
    </row>
    <row r="3682">
      <c r="A3682" s="234"/>
      <c r="B3682" s="235"/>
      <c r="C3682" s="235"/>
      <c r="D3682" s="196"/>
      <c r="E3682" s="196"/>
    </row>
    <row r="3683">
      <c r="A3683" s="234"/>
      <c r="B3683" s="235"/>
      <c r="C3683" s="235"/>
      <c r="D3683" s="196"/>
      <c r="E3683" s="196"/>
    </row>
    <row r="3684">
      <c r="A3684" s="234"/>
      <c r="B3684" s="235"/>
      <c r="C3684" s="235"/>
      <c r="D3684" s="196"/>
      <c r="E3684" s="196"/>
    </row>
    <row r="3685">
      <c r="A3685" s="234"/>
      <c r="B3685" s="235"/>
      <c r="C3685" s="235"/>
      <c r="D3685" s="196"/>
      <c r="E3685" s="196"/>
    </row>
    <row r="3686">
      <c r="A3686" s="234"/>
      <c r="B3686" s="235"/>
      <c r="C3686" s="235"/>
      <c r="D3686" s="196"/>
      <c r="E3686" s="196"/>
    </row>
    <row r="3687">
      <c r="A3687" s="234"/>
      <c r="B3687" s="235"/>
      <c r="C3687" s="235"/>
      <c r="D3687" s="196"/>
      <c r="E3687" s="196"/>
    </row>
    <row r="3688">
      <c r="A3688" s="234"/>
      <c r="B3688" s="235"/>
      <c r="C3688" s="235"/>
      <c r="D3688" s="196"/>
      <c r="E3688" s="196"/>
    </row>
    <row r="3689">
      <c r="A3689" s="234"/>
      <c r="B3689" s="235"/>
      <c r="C3689" s="235"/>
      <c r="D3689" s="196"/>
      <c r="E3689" s="196"/>
    </row>
    <row r="3690">
      <c r="A3690" s="234"/>
      <c r="B3690" s="235"/>
      <c r="C3690" s="235"/>
      <c r="D3690" s="196"/>
      <c r="E3690" s="196"/>
    </row>
    <row r="3691">
      <c r="A3691" s="234"/>
      <c r="B3691" s="235"/>
      <c r="C3691" s="235"/>
      <c r="D3691" s="196"/>
      <c r="E3691" s="196"/>
    </row>
    <row r="3692">
      <c r="A3692" s="234"/>
      <c r="B3692" s="235"/>
      <c r="C3692" s="235"/>
      <c r="D3692" s="196"/>
      <c r="E3692" s="196"/>
    </row>
    <row r="3693">
      <c r="A3693" s="234"/>
      <c r="B3693" s="235"/>
      <c r="C3693" s="235"/>
      <c r="D3693" s="196"/>
      <c r="E3693" s="196"/>
    </row>
    <row r="3694">
      <c r="A3694" s="234"/>
      <c r="B3694" s="235"/>
      <c r="C3694" s="235"/>
      <c r="D3694" s="196"/>
      <c r="E3694" s="196"/>
    </row>
    <row r="3695">
      <c r="A3695" s="234"/>
      <c r="B3695" s="235"/>
      <c r="C3695" s="235"/>
      <c r="D3695" s="196"/>
      <c r="E3695" s="196"/>
    </row>
    <row r="3696">
      <c r="A3696" s="234"/>
      <c r="B3696" s="235"/>
      <c r="C3696" s="235"/>
      <c r="D3696" s="196"/>
      <c r="E3696" s="196"/>
    </row>
    <row r="3697">
      <c r="A3697" s="234"/>
      <c r="B3697" s="235"/>
      <c r="C3697" s="235"/>
      <c r="D3697" s="196"/>
      <c r="E3697" s="196"/>
    </row>
    <row r="3698">
      <c r="A3698" s="234"/>
      <c r="B3698" s="235"/>
      <c r="C3698" s="235"/>
      <c r="D3698" s="196"/>
      <c r="E3698" s="196"/>
    </row>
    <row r="3699">
      <c r="A3699" s="234"/>
      <c r="B3699" s="235"/>
      <c r="C3699" s="235"/>
      <c r="D3699" s="196"/>
      <c r="E3699" s="196"/>
    </row>
    <row r="3700">
      <c r="A3700" s="234"/>
      <c r="B3700" s="235"/>
      <c r="C3700" s="235"/>
      <c r="D3700" s="196"/>
      <c r="E3700" s="196"/>
    </row>
    <row r="3701">
      <c r="A3701" s="234"/>
      <c r="B3701" s="235"/>
      <c r="C3701" s="235"/>
      <c r="D3701" s="196"/>
      <c r="E3701" s="196"/>
    </row>
    <row r="3702">
      <c r="A3702" s="234"/>
      <c r="B3702" s="235"/>
      <c r="C3702" s="235"/>
      <c r="D3702" s="196"/>
      <c r="E3702" s="196"/>
    </row>
    <row r="3703">
      <c r="A3703" s="234"/>
      <c r="B3703" s="235"/>
      <c r="C3703" s="235"/>
      <c r="D3703" s="196"/>
      <c r="E3703" s="196"/>
    </row>
    <row r="3704">
      <c r="A3704" s="234"/>
      <c r="B3704" s="235"/>
      <c r="C3704" s="235"/>
      <c r="D3704" s="196"/>
      <c r="E3704" s="196"/>
    </row>
    <row r="3705">
      <c r="A3705" s="234"/>
      <c r="B3705" s="235"/>
      <c r="C3705" s="235"/>
      <c r="D3705" s="196"/>
      <c r="E3705" s="196"/>
    </row>
    <row r="3706">
      <c r="A3706" s="234"/>
      <c r="B3706" s="235"/>
      <c r="C3706" s="235"/>
      <c r="D3706" s="196"/>
      <c r="E3706" s="196"/>
    </row>
    <row r="3707">
      <c r="A3707" s="234"/>
      <c r="B3707" s="235"/>
      <c r="C3707" s="235"/>
      <c r="D3707" s="196"/>
      <c r="E3707" s="196"/>
    </row>
    <row r="3708">
      <c r="A3708" s="234"/>
      <c r="B3708" s="235"/>
      <c r="C3708" s="235"/>
      <c r="D3708" s="196"/>
      <c r="E3708" s="196"/>
    </row>
    <row r="3709">
      <c r="A3709" s="234"/>
      <c r="B3709" s="235"/>
      <c r="C3709" s="235"/>
      <c r="D3709" s="196"/>
      <c r="E3709" s="196"/>
    </row>
    <row r="3710">
      <c r="A3710" s="234"/>
      <c r="B3710" s="235"/>
      <c r="C3710" s="235"/>
      <c r="D3710" s="196"/>
      <c r="E3710" s="196"/>
    </row>
    <row r="3711">
      <c r="A3711" s="234"/>
      <c r="B3711" s="235"/>
      <c r="C3711" s="235"/>
      <c r="D3711" s="196"/>
      <c r="E3711" s="196"/>
    </row>
    <row r="3712">
      <c r="A3712" s="234"/>
      <c r="B3712" s="235"/>
      <c r="C3712" s="235"/>
      <c r="D3712" s="196"/>
      <c r="E3712" s="196"/>
    </row>
    <row r="3713">
      <c r="A3713" s="234"/>
      <c r="B3713" s="235"/>
      <c r="C3713" s="235"/>
      <c r="D3713" s="196"/>
      <c r="E3713" s="196"/>
    </row>
    <row r="3714">
      <c r="A3714" s="234"/>
      <c r="B3714" s="235"/>
      <c r="C3714" s="235"/>
      <c r="D3714" s="196"/>
      <c r="E3714" s="196"/>
    </row>
    <row r="3715">
      <c r="A3715" s="234"/>
      <c r="B3715" s="235"/>
      <c r="C3715" s="235"/>
      <c r="D3715" s="196"/>
      <c r="E3715" s="196"/>
    </row>
    <row r="3716">
      <c r="A3716" s="234"/>
      <c r="B3716" s="235"/>
      <c r="C3716" s="235"/>
      <c r="D3716" s="196"/>
      <c r="E3716" s="196"/>
    </row>
    <row r="3717">
      <c r="A3717" s="234"/>
      <c r="B3717" s="235"/>
      <c r="C3717" s="235"/>
      <c r="D3717" s="196"/>
      <c r="E3717" s="196"/>
    </row>
    <row r="3718">
      <c r="A3718" s="234"/>
      <c r="B3718" s="235"/>
      <c r="C3718" s="235"/>
      <c r="D3718" s="196"/>
      <c r="E3718" s="196"/>
    </row>
    <row r="3719">
      <c r="A3719" s="234"/>
      <c r="B3719" s="235"/>
      <c r="C3719" s="235"/>
      <c r="D3719" s="196"/>
      <c r="E3719" s="196"/>
    </row>
    <row r="3720">
      <c r="A3720" s="234"/>
      <c r="B3720" s="235"/>
      <c r="C3720" s="235"/>
      <c r="D3720" s="196"/>
      <c r="E3720" s="196"/>
    </row>
    <row r="3721">
      <c r="A3721" s="234"/>
      <c r="B3721" s="235"/>
      <c r="C3721" s="235"/>
      <c r="D3721" s="196"/>
      <c r="E3721" s="196"/>
    </row>
    <row r="3722">
      <c r="A3722" s="234"/>
      <c r="B3722" s="235"/>
      <c r="C3722" s="235"/>
      <c r="D3722" s="196"/>
      <c r="E3722" s="196"/>
    </row>
    <row r="3723">
      <c r="A3723" s="234"/>
      <c r="B3723" s="235"/>
      <c r="C3723" s="235"/>
      <c r="D3723" s="196"/>
      <c r="E3723" s="196"/>
    </row>
    <row r="3724">
      <c r="A3724" s="234"/>
      <c r="B3724" s="235"/>
      <c r="C3724" s="235"/>
      <c r="D3724" s="196"/>
      <c r="E3724" s="196"/>
    </row>
    <row r="3725">
      <c r="A3725" s="234"/>
      <c r="B3725" s="235"/>
      <c r="C3725" s="235"/>
      <c r="D3725" s="196"/>
      <c r="E3725" s="196"/>
    </row>
    <row r="3726">
      <c r="A3726" s="234"/>
      <c r="B3726" s="235"/>
      <c r="C3726" s="235"/>
      <c r="D3726" s="196"/>
      <c r="E3726" s="196"/>
    </row>
    <row r="3727">
      <c r="A3727" s="234"/>
      <c r="B3727" s="235"/>
      <c r="C3727" s="235"/>
      <c r="D3727" s="196"/>
      <c r="E3727" s="196"/>
    </row>
    <row r="3728">
      <c r="A3728" s="234"/>
      <c r="B3728" s="235"/>
      <c r="C3728" s="235"/>
      <c r="D3728" s="196"/>
      <c r="E3728" s="196"/>
    </row>
    <row r="3729">
      <c r="A3729" s="234"/>
      <c r="B3729" s="235"/>
      <c r="C3729" s="235"/>
      <c r="D3729" s="196"/>
      <c r="E3729" s="196"/>
    </row>
    <row r="3730">
      <c r="A3730" s="234"/>
      <c r="B3730" s="235"/>
      <c r="C3730" s="235"/>
      <c r="D3730" s="196"/>
      <c r="E3730" s="196"/>
    </row>
    <row r="3731">
      <c r="A3731" s="234"/>
      <c r="B3731" s="235"/>
      <c r="C3731" s="235"/>
      <c r="D3731" s="196"/>
      <c r="E3731" s="196"/>
    </row>
    <row r="3732">
      <c r="A3732" s="234"/>
      <c r="B3732" s="235"/>
      <c r="C3732" s="235"/>
      <c r="D3732" s="196"/>
      <c r="E3732" s="196"/>
    </row>
    <row r="3733">
      <c r="A3733" s="234"/>
      <c r="B3733" s="235"/>
      <c r="C3733" s="235"/>
      <c r="D3733" s="196"/>
      <c r="E3733" s="196"/>
    </row>
    <row r="3734">
      <c r="A3734" s="234"/>
      <c r="B3734" s="235"/>
      <c r="C3734" s="235"/>
      <c r="D3734" s="196"/>
      <c r="E3734" s="196"/>
    </row>
    <row r="3735">
      <c r="A3735" s="234"/>
      <c r="B3735" s="235"/>
      <c r="C3735" s="235"/>
      <c r="D3735" s="196"/>
      <c r="E3735" s="196"/>
    </row>
    <row r="3736">
      <c r="A3736" s="234"/>
      <c r="B3736" s="235"/>
      <c r="C3736" s="235"/>
      <c r="D3736" s="196"/>
      <c r="E3736" s="196"/>
    </row>
    <row r="3737">
      <c r="A3737" s="234"/>
      <c r="B3737" s="235"/>
      <c r="C3737" s="235"/>
      <c r="D3737" s="196"/>
      <c r="E3737" s="196"/>
    </row>
    <row r="3738">
      <c r="A3738" s="234"/>
      <c r="B3738" s="235"/>
      <c r="C3738" s="235"/>
      <c r="D3738" s="196"/>
      <c r="E3738" s="196"/>
    </row>
    <row r="3739">
      <c r="A3739" s="234"/>
      <c r="B3739" s="235"/>
      <c r="C3739" s="235"/>
      <c r="D3739" s="196"/>
      <c r="E3739" s="196"/>
    </row>
    <row r="3740">
      <c r="A3740" s="234"/>
      <c r="B3740" s="235"/>
      <c r="C3740" s="235"/>
      <c r="D3740" s="196"/>
      <c r="E3740" s="196"/>
    </row>
    <row r="3741">
      <c r="A3741" s="234"/>
      <c r="B3741" s="235"/>
      <c r="C3741" s="235"/>
      <c r="D3741" s="196"/>
      <c r="E3741" s="196"/>
    </row>
    <row r="3742">
      <c r="A3742" s="234"/>
      <c r="B3742" s="235"/>
      <c r="C3742" s="235"/>
      <c r="D3742" s="196"/>
      <c r="E3742" s="196"/>
    </row>
    <row r="3743">
      <c r="A3743" s="234"/>
      <c r="B3743" s="235"/>
      <c r="C3743" s="235"/>
      <c r="D3743" s="196"/>
      <c r="E3743" s="196"/>
    </row>
    <row r="3744">
      <c r="A3744" s="234"/>
      <c r="B3744" s="235"/>
      <c r="C3744" s="235"/>
      <c r="D3744" s="196"/>
      <c r="E3744" s="196"/>
    </row>
    <row r="3745">
      <c r="A3745" s="234"/>
      <c r="B3745" s="235"/>
      <c r="C3745" s="235"/>
      <c r="D3745" s="196"/>
      <c r="E3745" s="196"/>
    </row>
    <row r="3746">
      <c r="A3746" s="234"/>
      <c r="B3746" s="235"/>
      <c r="C3746" s="235"/>
      <c r="D3746" s="196"/>
      <c r="E3746" s="196"/>
    </row>
    <row r="3747">
      <c r="A3747" s="234"/>
      <c r="B3747" s="235"/>
      <c r="C3747" s="235"/>
      <c r="D3747" s="196"/>
      <c r="E3747" s="196"/>
    </row>
    <row r="3748">
      <c r="A3748" s="234"/>
      <c r="B3748" s="235"/>
      <c r="C3748" s="235"/>
      <c r="D3748" s="196"/>
      <c r="E3748" s="196"/>
    </row>
    <row r="3749">
      <c r="A3749" s="234"/>
      <c r="B3749" s="235"/>
      <c r="C3749" s="235"/>
      <c r="D3749" s="196"/>
      <c r="E3749" s="196"/>
    </row>
    <row r="3750">
      <c r="A3750" s="234"/>
      <c r="B3750" s="235"/>
      <c r="C3750" s="235"/>
      <c r="D3750" s="196"/>
      <c r="E3750" s="196"/>
    </row>
    <row r="3751">
      <c r="A3751" s="234"/>
      <c r="B3751" s="235"/>
      <c r="C3751" s="235"/>
      <c r="D3751" s="196"/>
      <c r="E3751" s="196"/>
    </row>
    <row r="3752">
      <c r="A3752" s="234"/>
      <c r="B3752" s="235"/>
      <c r="C3752" s="235"/>
      <c r="D3752" s="196"/>
      <c r="E3752" s="196"/>
    </row>
    <row r="3753">
      <c r="A3753" s="234"/>
      <c r="B3753" s="235"/>
      <c r="C3753" s="235"/>
      <c r="D3753" s="196"/>
      <c r="E3753" s="196"/>
    </row>
    <row r="3754">
      <c r="A3754" s="234"/>
      <c r="B3754" s="235"/>
      <c r="C3754" s="235"/>
      <c r="D3754" s="196"/>
      <c r="E3754" s="196"/>
    </row>
    <row r="3755">
      <c r="A3755" s="234"/>
      <c r="B3755" s="235"/>
      <c r="C3755" s="235"/>
      <c r="D3755" s="196"/>
      <c r="E3755" s="196"/>
    </row>
    <row r="3756">
      <c r="A3756" s="234"/>
      <c r="B3756" s="235"/>
      <c r="C3756" s="235"/>
      <c r="D3756" s="196"/>
      <c r="E3756" s="196"/>
    </row>
    <row r="3757">
      <c r="A3757" s="234"/>
      <c r="B3757" s="235"/>
      <c r="C3757" s="235"/>
      <c r="D3757" s="196"/>
      <c r="E3757" s="196"/>
    </row>
    <row r="3758">
      <c r="A3758" s="234"/>
      <c r="B3758" s="235"/>
      <c r="C3758" s="235"/>
      <c r="D3758" s="196"/>
      <c r="E3758" s="196"/>
    </row>
    <row r="3759">
      <c r="A3759" s="234"/>
      <c r="B3759" s="235"/>
      <c r="C3759" s="235"/>
      <c r="D3759" s="196"/>
      <c r="E3759" s="196"/>
    </row>
    <row r="3760">
      <c r="A3760" s="234"/>
      <c r="B3760" s="235"/>
      <c r="C3760" s="235"/>
      <c r="D3760" s="196"/>
      <c r="E3760" s="196"/>
    </row>
    <row r="3761">
      <c r="A3761" s="234"/>
      <c r="B3761" s="235"/>
      <c r="C3761" s="235"/>
      <c r="D3761" s="196"/>
      <c r="E3761" s="196"/>
    </row>
    <row r="3762">
      <c r="A3762" s="234"/>
      <c r="B3762" s="235"/>
      <c r="C3762" s="235"/>
      <c r="D3762" s="196"/>
      <c r="E3762" s="196"/>
    </row>
    <row r="3763">
      <c r="A3763" s="234"/>
      <c r="B3763" s="235"/>
      <c r="C3763" s="235"/>
      <c r="D3763" s="196"/>
      <c r="E3763" s="196"/>
    </row>
    <row r="3764">
      <c r="A3764" s="234"/>
      <c r="B3764" s="235"/>
      <c r="C3764" s="235"/>
      <c r="D3764" s="196"/>
      <c r="E3764" s="196"/>
    </row>
    <row r="3765">
      <c r="A3765" s="234"/>
      <c r="B3765" s="235"/>
      <c r="C3765" s="235"/>
      <c r="D3765" s="196"/>
      <c r="E3765" s="196"/>
    </row>
    <row r="3766">
      <c r="A3766" s="234"/>
      <c r="B3766" s="235"/>
      <c r="C3766" s="235"/>
      <c r="D3766" s="196"/>
      <c r="E3766" s="196"/>
    </row>
    <row r="3767">
      <c r="A3767" s="234"/>
      <c r="B3767" s="235"/>
      <c r="C3767" s="235"/>
      <c r="D3767" s="196"/>
      <c r="E3767" s="196"/>
    </row>
    <row r="3768">
      <c r="A3768" s="234"/>
      <c r="B3768" s="235"/>
      <c r="C3768" s="235"/>
      <c r="D3768" s="196"/>
      <c r="E3768" s="196"/>
    </row>
    <row r="3769">
      <c r="A3769" s="234"/>
      <c r="B3769" s="235"/>
      <c r="C3769" s="235"/>
      <c r="D3769" s="196"/>
      <c r="E3769" s="196"/>
    </row>
    <row r="3770">
      <c r="A3770" s="234"/>
      <c r="B3770" s="235"/>
      <c r="C3770" s="235"/>
      <c r="D3770" s="196"/>
      <c r="E3770" s="196"/>
    </row>
    <row r="3771">
      <c r="A3771" s="234"/>
      <c r="B3771" s="235"/>
      <c r="C3771" s="235"/>
      <c r="D3771" s="196"/>
      <c r="E3771" s="196"/>
    </row>
    <row r="3772">
      <c r="A3772" s="234"/>
      <c r="B3772" s="235"/>
      <c r="C3772" s="235"/>
      <c r="D3772" s="196"/>
      <c r="E3772" s="196"/>
    </row>
    <row r="3773">
      <c r="A3773" s="234"/>
      <c r="B3773" s="235"/>
      <c r="C3773" s="235"/>
      <c r="D3773" s="196"/>
      <c r="E3773" s="196"/>
    </row>
    <row r="3774">
      <c r="A3774" s="234"/>
      <c r="B3774" s="235"/>
      <c r="C3774" s="235"/>
      <c r="D3774" s="196"/>
      <c r="E3774" s="196"/>
    </row>
    <row r="3775">
      <c r="A3775" s="234"/>
      <c r="B3775" s="235"/>
      <c r="C3775" s="235"/>
      <c r="D3775" s="196"/>
      <c r="E3775" s="196"/>
    </row>
    <row r="3776">
      <c r="A3776" s="234"/>
      <c r="B3776" s="235"/>
      <c r="C3776" s="235"/>
      <c r="D3776" s="196"/>
      <c r="E3776" s="196"/>
    </row>
    <row r="3777">
      <c r="A3777" s="234"/>
      <c r="B3777" s="235"/>
      <c r="C3777" s="235"/>
      <c r="D3777" s="196"/>
      <c r="E3777" s="196"/>
    </row>
    <row r="3778">
      <c r="A3778" s="234"/>
      <c r="B3778" s="235"/>
      <c r="C3778" s="235"/>
      <c r="D3778" s="196"/>
      <c r="E3778" s="196"/>
    </row>
    <row r="3779">
      <c r="A3779" s="234"/>
      <c r="B3779" s="235"/>
      <c r="C3779" s="235"/>
      <c r="D3779" s="196"/>
      <c r="E3779" s="196"/>
    </row>
    <row r="3780">
      <c r="A3780" s="234"/>
      <c r="B3780" s="235"/>
      <c r="C3780" s="235"/>
      <c r="D3780" s="196"/>
      <c r="E3780" s="196"/>
    </row>
    <row r="3781">
      <c r="A3781" s="234"/>
      <c r="B3781" s="235"/>
      <c r="C3781" s="235"/>
      <c r="D3781" s="196"/>
      <c r="E3781" s="196"/>
    </row>
    <row r="3782">
      <c r="A3782" s="234"/>
      <c r="B3782" s="235"/>
      <c r="C3782" s="235"/>
      <c r="D3782" s="196"/>
      <c r="E3782" s="196"/>
    </row>
    <row r="3783">
      <c r="A3783" s="234"/>
      <c r="B3783" s="235"/>
      <c r="C3783" s="235"/>
      <c r="D3783" s="196"/>
      <c r="E3783" s="196"/>
    </row>
    <row r="3784">
      <c r="A3784" s="234"/>
      <c r="B3784" s="235"/>
      <c r="C3784" s="235"/>
      <c r="D3784" s="196"/>
      <c r="E3784" s="196"/>
    </row>
    <row r="3785">
      <c r="A3785" s="234"/>
      <c r="B3785" s="235"/>
      <c r="C3785" s="235"/>
      <c r="D3785" s="196"/>
      <c r="E3785" s="196"/>
    </row>
    <row r="3786">
      <c r="A3786" s="234"/>
      <c r="B3786" s="235"/>
      <c r="C3786" s="235"/>
      <c r="D3786" s="196"/>
      <c r="E3786" s="196"/>
    </row>
    <row r="3787">
      <c r="A3787" s="234"/>
      <c r="B3787" s="235"/>
      <c r="C3787" s="235"/>
      <c r="D3787" s="196"/>
      <c r="E3787" s="196"/>
    </row>
    <row r="3788">
      <c r="A3788" s="234"/>
      <c r="B3788" s="235"/>
      <c r="C3788" s="235"/>
      <c r="D3788" s="196"/>
      <c r="E3788" s="196"/>
    </row>
    <row r="3789">
      <c r="A3789" s="234"/>
      <c r="B3789" s="235"/>
      <c r="C3789" s="235"/>
      <c r="D3789" s="196"/>
      <c r="E3789" s="196"/>
    </row>
    <row r="3790">
      <c r="A3790" s="234"/>
      <c r="B3790" s="235"/>
      <c r="C3790" s="235"/>
      <c r="D3790" s="196"/>
      <c r="E3790" s="196"/>
    </row>
    <row r="3791">
      <c r="A3791" s="234"/>
      <c r="B3791" s="235"/>
      <c r="C3791" s="235"/>
      <c r="D3791" s="196"/>
      <c r="E3791" s="196"/>
    </row>
    <row r="3792">
      <c r="A3792" s="234"/>
      <c r="B3792" s="235"/>
      <c r="C3792" s="235"/>
      <c r="D3792" s="196"/>
      <c r="E3792" s="196"/>
    </row>
    <row r="3793">
      <c r="A3793" s="234"/>
      <c r="B3793" s="235"/>
      <c r="C3793" s="235"/>
      <c r="D3793" s="196"/>
      <c r="E3793" s="196"/>
    </row>
    <row r="3794">
      <c r="A3794" s="234"/>
      <c r="B3794" s="235"/>
      <c r="C3794" s="235"/>
      <c r="D3794" s="196"/>
      <c r="E3794" s="196"/>
    </row>
    <row r="3795">
      <c r="A3795" s="234"/>
      <c r="B3795" s="235"/>
      <c r="C3795" s="235"/>
      <c r="D3795" s="196"/>
      <c r="E3795" s="196"/>
    </row>
    <row r="3796">
      <c r="A3796" s="234"/>
      <c r="B3796" s="235"/>
      <c r="C3796" s="235"/>
      <c r="D3796" s="196"/>
      <c r="E3796" s="196"/>
    </row>
    <row r="3797">
      <c r="A3797" s="234"/>
      <c r="B3797" s="235"/>
      <c r="C3797" s="235"/>
      <c r="D3797" s="196"/>
      <c r="E3797" s="196"/>
    </row>
    <row r="3798">
      <c r="A3798" s="234"/>
      <c r="B3798" s="235"/>
      <c r="C3798" s="235"/>
      <c r="D3798" s="196"/>
      <c r="E3798" s="196"/>
    </row>
    <row r="3799">
      <c r="A3799" s="234"/>
      <c r="B3799" s="235"/>
      <c r="C3799" s="235"/>
      <c r="D3799" s="196"/>
      <c r="E3799" s="196"/>
    </row>
    <row r="3800">
      <c r="A3800" s="234"/>
      <c r="B3800" s="235"/>
      <c r="C3800" s="235"/>
      <c r="D3800" s="196"/>
      <c r="E3800" s="196"/>
    </row>
    <row r="3801">
      <c r="A3801" s="234"/>
      <c r="B3801" s="235"/>
      <c r="C3801" s="235"/>
      <c r="D3801" s="196"/>
      <c r="E3801" s="196"/>
    </row>
    <row r="3802">
      <c r="A3802" s="234"/>
      <c r="B3802" s="235"/>
      <c r="C3802" s="235"/>
      <c r="D3802" s="196"/>
      <c r="E3802" s="196"/>
    </row>
    <row r="3803">
      <c r="A3803" s="234"/>
      <c r="B3803" s="235"/>
      <c r="C3803" s="235"/>
      <c r="D3803" s="196"/>
      <c r="E3803" s="196"/>
    </row>
    <row r="3804">
      <c r="A3804" s="234"/>
      <c r="B3804" s="235"/>
      <c r="C3804" s="235"/>
      <c r="D3804" s="196"/>
      <c r="E3804" s="196"/>
    </row>
    <row r="3805">
      <c r="A3805" s="234"/>
      <c r="B3805" s="235"/>
      <c r="C3805" s="235"/>
      <c r="D3805" s="196"/>
      <c r="E3805" s="196"/>
    </row>
    <row r="3806">
      <c r="A3806" s="234"/>
      <c r="B3806" s="235"/>
      <c r="C3806" s="235"/>
      <c r="D3806" s="196"/>
      <c r="E3806" s="196"/>
    </row>
    <row r="3807">
      <c r="A3807" s="234"/>
      <c r="B3807" s="235"/>
      <c r="C3807" s="235"/>
      <c r="D3807" s="196"/>
      <c r="E3807" s="196"/>
    </row>
    <row r="3808">
      <c r="A3808" s="234"/>
      <c r="B3808" s="235"/>
      <c r="C3808" s="235"/>
      <c r="D3808" s="196"/>
      <c r="E3808" s="196"/>
    </row>
    <row r="3809">
      <c r="A3809" s="234"/>
      <c r="B3809" s="235"/>
      <c r="C3809" s="235"/>
      <c r="D3809" s="196"/>
      <c r="E3809" s="196"/>
    </row>
    <row r="3810">
      <c r="A3810" s="234"/>
      <c r="B3810" s="235"/>
      <c r="C3810" s="235"/>
      <c r="D3810" s="196"/>
      <c r="E3810" s="196"/>
    </row>
    <row r="3811">
      <c r="A3811" s="234"/>
      <c r="B3811" s="235"/>
      <c r="C3811" s="235"/>
      <c r="D3811" s="196"/>
      <c r="E3811" s="196"/>
    </row>
    <row r="3812">
      <c r="A3812" s="234"/>
      <c r="B3812" s="235"/>
      <c r="C3812" s="235"/>
      <c r="D3812" s="196"/>
      <c r="E3812" s="196"/>
    </row>
    <row r="3813">
      <c r="A3813" s="234"/>
      <c r="B3813" s="235"/>
      <c r="C3813" s="235"/>
      <c r="D3813" s="196"/>
      <c r="E3813" s="196"/>
    </row>
    <row r="3814">
      <c r="A3814" s="234"/>
      <c r="B3814" s="235"/>
      <c r="C3814" s="235"/>
      <c r="D3814" s="196"/>
      <c r="E3814" s="196"/>
    </row>
    <row r="3815">
      <c r="A3815" s="234"/>
      <c r="B3815" s="235"/>
      <c r="C3815" s="235"/>
      <c r="D3815" s="196"/>
      <c r="E3815" s="196"/>
    </row>
    <row r="3816">
      <c r="A3816" s="234"/>
      <c r="B3816" s="235"/>
      <c r="C3816" s="235"/>
      <c r="D3816" s="196"/>
      <c r="E3816" s="196"/>
    </row>
    <row r="3817">
      <c r="A3817" s="234"/>
      <c r="B3817" s="235"/>
      <c r="C3817" s="235"/>
      <c r="D3817" s="196"/>
      <c r="E3817" s="196"/>
    </row>
    <row r="3818">
      <c r="A3818" s="234"/>
      <c r="B3818" s="235"/>
      <c r="C3818" s="235"/>
      <c r="D3818" s="196"/>
      <c r="E3818" s="196"/>
    </row>
    <row r="3819">
      <c r="A3819" s="234"/>
      <c r="B3819" s="235"/>
      <c r="C3819" s="235"/>
      <c r="D3819" s="196"/>
      <c r="E3819" s="196"/>
    </row>
    <row r="3820">
      <c r="A3820" s="234"/>
      <c r="B3820" s="235"/>
      <c r="C3820" s="235"/>
      <c r="D3820" s="196"/>
      <c r="E3820" s="196"/>
    </row>
    <row r="3821">
      <c r="A3821" s="234"/>
      <c r="B3821" s="235"/>
      <c r="C3821" s="235"/>
      <c r="D3821" s="196"/>
      <c r="E3821" s="196"/>
    </row>
    <row r="3822">
      <c r="A3822" s="234"/>
      <c r="B3822" s="235"/>
      <c r="C3822" s="235"/>
      <c r="D3822" s="196"/>
      <c r="E3822" s="196"/>
    </row>
    <row r="3823">
      <c r="A3823" s="234"/>
      <c r="B3823" s="235"/>
      <c r="C3823" s="235"/>
      <c r="D3823" s="196"/>
      <c r="E3823" s="196"/>
    </row>
    <row r="3824">
      <c r="A3824" s="234"/>
      <c r="B3824" s="235"/>
      <c r="C3824" s="235"/>
      <c r="D3824" s="196"/>
      <c r="E3824" s="196"/>
    </row>
    <row r="3825">
      <c r="A3825" s="234"/>
      <c r="B3825" s="235"/>
      <c r="C3825" s="235"/>
      <c r="D3825" s="196"/>
      <c r="E3825" s="196"/>
    </row>
    <row r="3826">
      <c r="A3826" s="234"/>
      <c r="B3826" s="235"/>
      <c r="C3826" s="235"/>
      <c r="D3826" s="196"/>
      <c r="E3826" s="196"/>
    </row>
    <row r="3827">
      <c r="A3827" s="234"/>
      <c r="B3827" s="235"/>
      <c r="C3827" s="235"/>
      <c r="D3827" s="196"/>
      <c r="E3827" s="196"/>
    </row>
    <row r="3828">
      <c r="A3828" s="234"/>
      <c r="B3828" s="235"/>
      <c r="C3828" s="235"/>
      <c r="D3828" s="196"/>
      <c r="E3828" s="196"/>
    </row>
    <row r="3829">
      <c r="A3829" s="234"/>
      <c r="B3829" s="235"/>
      <c r="C3829" s="235"/>
      <c r="D3829" s="196"/>
      <c r="E3829" s="196"/>
    </row>
    <row r="3830">
      <c r="A3830" s="234"/>
      <c r="B3830" s="235"/>
      <c r="C3830" s="235"/>
      <c r="D3830" s="196"/>
      <c r="E3830" s="196"/>
    </row>
    <row r="3831">
      <c r="A3831" s="234"/>
      <c r="B3831" s="235"/>
      <c r="C3831" s="235"/>
      <c r="D3831" s="196"/>
      <c r="E3831" s="196"/>
    </row>
    <row r="3832">
      <c r="A3832" s="234"/>
      <c r="B3832" s="235"/>
      <c r="C3832" s="235"/>
      <c r="D3832" s="196"/>
      <c r="E3832" s="196"/>
    </row>
    <row r="3833">
      <c r="A3833" s="234"/>
      <c r="B3833" s="235"/>
      <c r="C3833" s="235"/>
      <c r="D3833" s="196"/>
      <c r="E3833" s="196"/>
    </row>
    <row r="3834">
      <c r="A3834" s="234"/>
      <c r="B3834" s="235"/>
      <c r="C3834" s="235"/>
      <c r="D3834" s="196"/>
      <c r="E3834" s="196"/>
    </row>
    <row r="3835">
      <c r="A3835" s="234"/>
      <c r="B3835" s="235"/>
      <c r="C3835" s="235"/>
      <c r="D3835" s="196"/>
      <c r="E3835" s="196"/>
    </row>
    <row r="3836">
      <c r="A3836" s="234"/>
      <c r="B3836" s="235"/>
      <c r="C3836" s="235"/>
      <c r="D3836" s="196"/>
      <c r="E3836" s="196"/>
    </row>
    <row r="3837">
      <c r="A3837" s="234"/>
      <c r="B3837" s="235"/>
      <c r="C3837" s="235"/>
      <c r="D3837" s="196"/>
      <c r="E3837" s="196"/>
    </row>
    <row r="3838">
      <c r="A3838" s="234"/>
      <c r="B3838" s="235"/>
      <c r="C3838" s="235"/>
      <c r="D3838" s="196"/>
      <c r="E3838" s="196"/>
    </row>
    <row r="3839">
      <c r="A3839" s="234"/>
      <c r="B3839" s="235"/>
      <c r="C3839" s="235"/>
      <c r="D3839" s="196"/>
      <c r="E3839" s="196"/>
    </row>
    <row r="3840">
      <c r="A3840" s="234"/>
      <c r="B3840" s="235"/>
      <c r="C3840" s="235"/>
      <c r="D3840" s="196"/>
      <c r="E3840" s="196"/>
    </row>
    <row r="3841">
      <c r="A3841" s="234"/>
      <c r="B3841" s="235"/>
      <c r="C3841" s="235"/>
      <c r="D3841" s="196"/>
      <c r="E3841" s="196"/>
    </row>
    <row r="3842">
      <c r="A3842" s="234"/>
      <c r="B3842" s="235"/>
      <c r="C3842" s="235"/>
      <c r="D3842" s="196"/>
      <c r="E3842" s="196"/>
    </row>
    <row r="3843">
      <c r="A3843" s="234"/>
      <c r="B3843" s="235"/>
      <c r="C3843" s="235"/>
      <c r="D3843" s="196"/>
      <c r="E3843" s="196"/>
    </row>
    <row r="3844">
      <c r="A3844" s="234"/>
      <c r="B3844" s="235"/>
      <c r="C3844" s="235"/>
      <c r="D3844" s="196"/>
      <c r="E3844" s="196"/>
    </row>
    <row r="3845">
      <c r="A3845" s="234"/>
      <c r="B3845" s="235"/>
      <c r="C3845" s="235"/>
      <c r="D3845" s="196"/>
      <c r="E3845" s="196"/>
    </row>
    <row r="3846">
      <c r="A3846" s="234"/>
      <c r="B3846" s="235"/>
      <c r="C3846" s="235"/>
      <c r="D3846" s="196"/>
      <c r="E3846" s="196"/>
    </row>
    <row r="3847">
      <c r="A3847" s="234"/>
      <c r="B3847" s="235"/>
      <c r="C3847" s="235"/>
      <c r="D3847" s="196"/>
      <c r="E3847" s="196"/>
    </row>
    <row r="3848">
      <c r="A3848" s="234"/>
      <c r="B3848" s="235"/>
      <c r="C3848" s="235"/>
      <c r="D3848" s="196"/>
      <c r="E3848" s="196"/>
    </row>
    <row r="3849">
      <c r="A3849" s="234"/>
      <c r="B3849" s="235"/>
      <c r="C3849" s="235"/>
      <c r="D3849" s="196"/>
      <c r="E3849" s="196"/>
    </row>
    <row r="3850">
      <c r="A3850" s="234"/>
      <c r="B3850" s="235"/>
      <c r="C3850" s="235"/>
      <c r="D3850" s="196"/>
      <c r="E3850" s="196"/>
    </row>
    <row r="3851">
      <c r="A3851" s="234"/>
      <c r="B3851" s="235"/>
      <c r="C3851" s="235"/>
      <c r="D3851" s="196"/>
      <c r="E3851" s="196"/>
    </row>
    <row r="3852">
      <c r="A3852" s="234"/>
      <c r="B3852" s="235"/>
      <c r="C3852" s="235"/>
      <c r="D3852" s="196"/>
      <c r="E3852" s="196"/>
    </row>
    <row r="3853">
      <c r="A3853" s="234"/>
      <c r="B3853" s="235"/>
      <c r="C3853" s="235"/>
      <c r="D3853" s="196"/>
      <c r="E3853" s="196"/>
    </row>
    <row r="3854">
      <c r="A3854" s="234"/>
      <c r="B3854" s="235"/>
      <c r="C3854" s="235"/>
      <c r="D3854" s="196"/>
      <c r="E3854" s="196"/>
    </row>
    <row r="3855">
      <c r="A3855" s="234"/>
      <c r="B3855" s="235"/>
      <c r="C3855" s="235"/>
      <c r="D3855" s="196"/>
      <c r="E3855" s="196"/>
    </row>
    <row r="3856">
      <c r="A3856" s="234"/>
      <c r="B3856" s="235"/>
      <c r="C3856" s="235"/>
      <c r="D3856" s="196"/>
      <c r="E3856" s="196"/>
    </row>
    <row r="3857">
      <c r="A3857" s="234"/>
      <c r="B3857" s="235"/>
      <c r="C3857" s="235"/>
      <c r="D3857" s="196"/>
      <c r="E3857" s="196"/>
    </row>
    <row r="3858">
      <c r="A3858" s="234"/>
      <c r="B3858" s="235"/>
      <c r="C3858" s="235"/>
      <c r="D3858" s="196"/>
      <c r="E3858" s="196"/>
    </row>
    <row r="3859">
      <c r="A3859" s="234"/>
      <c r="B3859" s="235"/>
      <c r="C3859" s="235"/>
      <c r="D3859" s="196"/>
      <c r="E3859" s="196"/>
    </row>
    <row r="3860">
      <c r="A3860" s="234"/>
      <c r="B3860" s="235"/>
      <c r="C3860" s="235"/>
      <c r="D3860" s="196"/>
      <c r="E3860" s="196"/>
    </row>
    <row r="3861">
      <c r="A3861" s="234"/>
      <c r="B3861" s="235"/>
      <c r="C3861" s="235"/>
      <c r="D3861" s="196"/>
      <c r="E3861" s="196"/>
    </row>
    <row r="3862">
      <c r="A3862" s="234"/>
      <c r="B3862" s="235"/>
      <c r="C3862" s="235"/>
      <c r="D3862" s="196"/>
      <c r="E3862" s="196"/>
    </row>
    <row r="3863">
      <c r="A3863" s="234"/>
      <c r="B3863" s="235"/>
      <c r="C3863" s="235"/>
      <c r="D3863" s="196"/>
      <c r="E3863" s="196"/>
    </row>
    <row r="3864">
      <c r="A3864" s="234"/>
      <c r="B3864" s="235"/>
      <c r="C3864" s="235"/>
      <c r="D3864" s="196"/>
      <c r="E3864" s="196"/>
    </row>
    <row r="3865">
      <c r="A3865" s="234"/>
      <c r="B3865" s="235"/>
      <c r="C3865" s="235"/>
      <c r="D3865" s="196"/>
      <c r="E3865" s="196"/>
    </row>
    <row r="3866">
      <c r="A3866" s="234"/>
      <c r="B3866" s="235"/>
      <c r="C3866" s="235"/>
      <c r="D3866" s="196"/>
      <c r="E3866" s="196"/>
    </row>
    <row r="3867">
      <c r="A3867" s="234"/>
      <c r="B3867" s="235"/>
      <c r="C3867" s="235"/>
      <c r="D3867" s="196"/>
      <c r="E3867" s="196"/>
    </row>
    <row r="3868">
      <c r="A3868" s="234"/>
      <c r="B3868" s="235"/>
      <c r="C3868" s="235"/>
      <c r="D3868" s="196"/>
      <c r="E3868" s="196"/>
    </row>
    <row r="3869">
      <c r="A3869" s="234"/>
      <c r="B3869" s="235"/>
      <c r="C3869" s="235"/>
      <c r="D3869" s="196"/>
      <c r="E3869" s="196"/>
    </row>
    <row r="3870">
      <c r="A3870" s="234"/>
      <c r="B3870" s="235"/>
      <c r="C3870" s="235"/>
      <c r="D3870" s="196"/>
      <c r="E3870" s="196"/>
    </row>
    <row r="3871">
      <c r="A3871" s="234"/>
      <c r="B3871" s="235"/>
      <c r="C3871" s="235"/>
      <c r="D3871" s="196"/>
      <c r="E3871" s="196"/>
    </row>
    <row r="3872">
      <c r="A3872" s="234"/>
      <c r="B3872" s="235"/>
      <c r="C3872" s="235"/>
      <c r="D3872" s="196"/>
      <c r="E3872" s="196"/>
    </row>
    <row r="3873">
      <c r="A3873" s="234"/>
      <c r="B3873" s="235"/>
      <c r="C3873" s="235"/>
      <c r="D3873" s="196"/>
      <c r="E3873" s="196"/>
    </row>
    <row r="3874">
      <c r="A3874" s="234"/>
      <c r="B3874" s="235"/>
      <c r="C3874" s="235"/>
      <c r="D3874" s="196"/>
      <c r="E3874" s="196"/>
    </row>
    <row r="3875">
      <c r="A3875" s="234"/>
      <c r="B3875" s="235"/>
      <c r="C3875" s="235"/>
      <c r="D3875" s="196"/>
      <c r="E3875" s="196"/>
    </row>
    <row r="3876">
      <c r="A3876" s="234"/>
      <c r="B3876" s="235"/>
      <c r="C3876" s="235"/>
      <c r="D3876" s="196"/>
      <c r="E3876" s="196"/>
    </row>
    <row r="3877">
      <c r="A3877" s="234"/>
      <c r="B3877" s="235"/>
      <c r="C3877" s="235"/>
      <c r="D3877" s="196"/>
      <c r="E3877" s="196"/>
    </row>
    <row r="3878">
      <c r="A3878" s="234"/>
      <c r="B3878" s="235"/>
      <c r="C3878" s="235"/>
      <c r="D3878" s="196"/>
      <c r="E3878" s="196"/>
    </row>
    <row r="3879">
      <c r="A3879" s="234"/>
      <c r="B3879" s="235"/>
      <c r="C3879" s="235"/>
      <c r="D3879" s="196"/>
      <c r="E3879" s="196"/>
    </row>
    <row r="3880">
      <c r="A3880" s="234"/>
      <c r="B3880" s="235"/>
      <c r="C3880" s="235"/>
      <c r="D3880" s="196"/>
      <c r="E3880" s="196"/>
    </row>
    <row r="3881">
      <c r="A3881" s="234"/>
      <c r="B3881" s="235"/>
      <c r="C3881" s="235"/>
      <c r="D3881" s="196"/>
      <c r="E3881" s="196"/>
    </row>
    <row r="3882">
      <c r="A3882" s="234"/>
      <c r="B3882" s="235"/>
      <c r="C3882" s="235"/>
      <c r="D3882" s="196"/>
      <c r="E3882" s="196"/>
    </row>
    <row r="3883">
      <c r="A3883" s="234"/>
      <c r="B3883" s="235"/>
      <c r="C3883" s="235"/>
      <c r="D3883" s="196"/>
      <c r="E3883" s="196"/>
    </row>
    <row r="3884">
      <c r="A3884" s="234"/>
      <c r="B3884" s="235"/>
      <c r="C3884" s="235"/>
      <c r="D3884" s="196"/>
      <c r="E3884" s="196"/>
    </row>
    <row r="3885">
      <c r="A3885" s="234"/>
      <c r="B3885" s="235"/>
      <c r="C3885" s="235"/>
      <c r="D3885" s="196"/>
      <c r="E3885" s="196"/>
    </row>
    <row r="3886">
      <c r="A3886" s="234"/>
      <c r="B3886" s="235"/>
      <c r="C3886" s="235"/>
      <c r="D3886" s="196"/>
      <c r="E3886" s="196"/>
    </row>
    <row r="3887">
      <c r="A3887" s="234"/>
      <c r="B3887" s="235"/>
      <c r="C3887" s="235"/>
      <c r="D3887" s="196"/>
      <c r="E3887" s="196"/>
    </row>
    <row r="3888">
      <c r="A3888" s="234"/>
      <c r="B3888" s="235"/>
      <c r="C3888" s="235"/>
      <c r="D3888" s="196"/>
      <c r="E3888" s="196"/>
    </row>
    <row r="3889">
      <c r="A3889" s="234"/>
      <c r="B3889" s="235"/>
      <c r="C3889" s="235"/>
      <c r="D3889" s="196"/>
      <c r="E3889" s="196"/>
    </row>
    <row r="3890">
      <c r="A3890" s="234"/>
      <c r="B3890" s="235"/>
      <c r="C3890" s="235"/>
      <c r="D3890" s="196"/>
      <c r="E3890" s="196"/>
    </row>
    <row r="3891">
      <c r="A3891" s="234"/>
      <c r="B3891" s="235"/>
      <c r="C3891" s="235"/>
      <c r="D3891" s="196"/>
      <c r="E3891" s="196"/>
    </row>
    <row r="3892">
      <c r="A3892" s="234"/>
      <c r="B3892" s="235"/>
      <c r="C3892" s="235"/>
      <c r="D3892" s="196"/>
      <c r="E3892" s="196"/>
    </row>
    <row r="3893">
      <c r="A3893" s="234"/>
      <c r="B3893" s="235"/>
      <c r="C3893" s="235"/>
      <c r="D3893" s="196"/>
      <c r="E3893" s="196"/>
    </row>
    <row r="3894">
      <c r="A3894" s="234"/>
      <c r="B3894" s="235"/>
      <c r="C3894" s="235"/>
      <c r="D3894" s="196"/>
      <c r="E3894" s="196"/>
    </row>
    <row r="3895">
      <c r="A3895" s="234"/>
      <c r="B3895" s="235"/>
      <c r="C3895" s="235"/>
      <c r="D3895" s="196"/>
      <c r="E3895" s="196"/>
    </row>
    <row r="3896">
      <c r="A3896" s="234"/>
      <c r="B3896" s="235"/>
      <c r="C3896" s="235"/>
      <c r="D3896" s="196"/>
      <c r="E3896" s="196"/>
    </row>
    <row r="3897">
      <c r="A3897" s="234"/>
      <c r="B3897" s="235"/>
      <c r="C3897" s="235"/>
      <c r="D3897" s="196"/>
      <c r="E3897" s="196"/>
    </row>
    <row r="3898">
      <c r="A3898" s="234"/>
      <c r="B3898" s="235"/>
      <c r="C3898" s="235"/>
      <c r="D3898" s="196"/>
      <c r="E3898" s="196"/>
    </row>
    <row r="3899">
      <c r="A3899" s="234"/>
      <c r="B3899" s="235"/>
      <c r="C3899" s="235"/>
      <c r="D3899" s="196"/>
      <c r="E3899" s="196"/>
    </row>
    <row r="3900">
      <c r="A3900" s="234"/>
      <c r="B3900" s="235"/>
      <c r="C3900" s="235"/>
      <c r="D3900" s="196"/>
      <c r="E3900" s="196"/>
    </row>
    <row r="3901">
      <c r="A3901" s="234"/>
      <c r="B3901" s="235"/>
      <c r="C3901" s="235"/>
      <c r="D3901" s="196"/>
      <c r="E3901" s="196"/>
    </row>
    <row r="3902">
      <c r="A3902" s="234"/>
      <c r="B3902" s="235"/>
      <c r="C3902" s="235"/>
      <c r="D3902" s="196"/>
      <c r="E3902" s="196"/>
    </row>
    <row r="3903">
      <c r="A3903" s="234"/>
      <c r="B3903" s="235"/>
      <c r="C3903" s="235"/>
      <c r="D3903" s="196"/>
      <c r="E3903" s="196"/>
    </row>
    <row r="3904">
      <c r="A3904" s="234"/>
      <c r="B3904" s="235"/>
      <c r="C3904" s="235"/>
      <c r="D3904" s="196"/>
      <c r="E3904" s="196"/>
    </row>
    <row r="3905">
      <c r="A3905" s="234"/>
      <c r="B3905" s="235"/>
      <c r="C3905" s="235"/>
      <c r="D3905" s="196"/>
      <c r="E3905" s="196"/>
    </row>
    <row r="3906">
      <c r="A3906" s="234"/>
      <c r="B3906" s="235"/>
      <c r="C3906" s="235"/>
      <c r="D3906" s="196"/>
      <c r="E3906" s="196"/>
    </row>
    <row r="3907">
      <c r="A3907" s="234"/>
      <c r="B3907" s="235"/>
      <c r="C3907" s="235"/>
      <c r="D3907" s="196"/>
      <c r="E3907" s="196"/>
    </row>
    <row r="3908">
      <c r="A3908" s="234"/>
      <c r="B3908" s="235"/>
      <c r="C3908" s="235"/>
      <c r="D3908" s="196"/>
      <c r="E3908" s="196"/>
    </row>
    <row r="3909">
      <c r="A3909" s="234"/>
      <c r="B3909" s="235"/>
      <c r="C3909" s="235"/>
      <c r="D3909" s="196"/>
      <c r="E3909" s="196"/>
    </row>
    <row r="3910">
      <c r="A3910" s="234"/>
      <c r="B3910" s="235"/>
      <c r="C3910" s="235"/>
      <c r="D3910" s="196"/>
      <c r="E3910" s="196"/>
    </row>
    <row r="3911">
      <c r="A3911" s="234"/>
      <c r="B3911" s="235"/>
      <c r="C3911" s="235"/>
      <c r="D3911" s="196"/>
      <c r="E3911" s="196"/>
    </row>
    <row r="3912">
      <c r="A3912" s="234"/>
      <c r="B3912" s="235"/>
      <c r="C3912" s="235"/>
      <c r="D3912" s="196"/>
      <c r="E3912" s="196"/>
    </row>
    <row r="3913">
      <c r="A3913" s="234"/>
      <c r="B3913" s="235"/>
      <c r="C3913" s="235"/>
      <c r="D3913" s="196"/>
      <c r="E3913" s="196"/>
    </row>
    <row r="3914">
      <c r="A3914" s="234"/>
      <c r="B3914" s="235"/>
      <c r="C3914" s="235"/>
      <c r="D3914" s="196"/>
      <c r="E3914" s="196"/>
    </row>
    <row r="3915">
      <c r="A3915" s="234"/>
      <c r="B3915" s="235"/>
      <c r="C3915" s="235"/>
      <c r="D3915" s="196"/>
      <c r="E3915" s="196"/>
    </row>
    <row r="3916">
      <c r="A3916" s="234"/>
      <c r="B3916" s="235"/>
      <c r="C3916" s="235"/>
      <c r="D3916" s="196"/>
      <c r="E3916" s="196"/>
    </row>
    <row r="3917">
      <c r="A3917" s="234"/>
      <c r="B3917" s="235"/>
      <c r="C3917" s="235"/>
      <c r="D3917" s="196"/>
      <c r="E3917" s="196"/>
    </row>
    <row r="3918">
      <c r="A3918" s="234"/>
      <c r="B3918" s="235"/>
      <c r="C3918" s="235"/>
      <c r="D3918" s="196"/>
      <c r="E3918" s="196"/>
    </row>
    <row r="3919">
      <c r="A3919" s="234"/>
      <c r="B3919" s="235"/>
      <c r="C3919" s="235"/>
      <c r="D3919" s="196"/>
      <c r="E3919" s="196"/>
    </row>
    <row r="3920">
      <c r="A3920" s="234"/>
      <c r="B3920" s="235"/>
      <c r="C3920" s="235"/>
      <c r="D3920" s="196"/>
      <c r="E3920" s="196"/>
    </row>
    <row r="3921">
      <c r="A3921" s="234"/>
      <c r="B3921" s="235"/>
      <c r="C3921" s="235"/>
      <c r="D3921" s="196"/>
      <c r="E3921" s="196"/>
    </row>
    <row r="3922">
      <c r="A3922" s="234"/>
      <c r="B3922" s="235"/>
      <c r="C3922" s="235"/>
      <c r="D3922" s="196"/>
      <c r="E3922" s="196"/>
    </row>
    <row r="3923">
      <c r="A3923" s="234"/>
      <c r="B3923" s="235"/>
      <c r="C3923" s="235"/>
      <c r="D3923" s="196"/>
      <c r="E3923" s="196"/>
    </row>
    <row r="3924">
      <c r="A3924" s="234"/>
      <c r="B3924" s="235"/>
      <c r="C3924" s="235"/>
      <c r="D3924" s="196"/>
      <c r="E3924" s="196"/>
    </row>
    <row r="3925">
      <c r="A3925" s="234"/>
      <c r="B3925" s="235"/>
      <c r="C3925" s="235"/>
      <c r="D3925" s="196"/>
      <c r="E3925" s="196"/>
    </row>
    <row r="3926">
      <c r="A3926" s="234"/>
      <c r="B3926" s="235"/>
      <c r="C3926" s="235"/>
      <c r="D3926" s="196"/>
      <c r="E3926" s="196"/>
    </row>
    <row r="3927">
      <c r="A3927" s="234"/>
      <c r="B3927" s="235"/>
      <c r="C3927" s="235"/>
      <c r="D3927" s="196"/>
      <c r="E3927" s="196"/>
    </row>
    <row r="3928">
      <c r="A3928" s="234"/>
      <c r="B3928" s="235"/>
      <c r="C3928" s="235"/>
      <c r="D3928" s="196"/>
      <c r="E3928" s="196"/>
    </row>
    <row r="3929">
      <c r="A3929" s="234"/>
      <c r="B3929" s="235"/>
      <c r="C3929" s="235"/>
      <c r="D3929" s="196"/>
      <c r="E3929" s="196"/>
    </row>
    <row r="3930">
      <c r="A3930" s="234"/>
      <c r="B3930" s="235"/>
      <c r="C3930" s="235"/>
      <c r="D3930" s="196"/>
      <c r="E3930" s="196"/>
    </row>
    <row r="3931">
      <c r="A3931" s="234"/>
      <c r="B3931" s="235"/>
      <c r="C3931" s="235"/>
      <c r="D3931" s="196"/>
      <c r="E3931" s="196"/>
    </row>
    <row r="3932">
      <c r="A3932" s="234"/>
      <c r="B3932" s="235"/>
      <c r="C3932" s="235"/>
      <c r="D3932" s="196"/>
      <c r="E3932" s="196"/>
    </row>
    <row r="3933">
      <c r="A3933" s="234"/>
      <c r="B3933" s="235"/>
      <c r="C3933" s="235"/>
      <c r="D3933" s="196"/>
      <c r="E3933" s="196"/>
    </row>
    <row r="3934">
      <c r="A3934" s="234"/>
      <c r="B3934" s="235"/>
      <c r="C3934" s="235"/>
      <c r="D3934" s="196"/>
      <c r="E3934" s="196"/>
    </row>
    <row r="3935">
      <c r="A3935" s="234"/>
      <c r="B3935" s="235"/>
      <c r="C3935" s="235"/>
      <c r="D3935" s="196"/>
      <c r="E3935" s="196"/>
    </row>
    <row r="3936">
      <c r="A3936" s="234"/>
      <c r="B3936" s="235"/>
      <c r="C3936" s="235"/>
      <c r="D3936" s="196"/>
      <c r="E3936" s="196"/>
    </row>
    <row r="3937">
      <c r="A3937" s="234"/>
      <c r="B3937" s="235"/>
      <c r="C3937" s="235"/>
      <c r="D3937" s="196"/>
      <c r="E3937" s="196"/>
    </row>
    <row r="3938">
      <c r="A3938" s="234"/>
      <c r="B3938" s="235"/>
      <c r="C3938" s="235"/>
      <c r="D3938" s="196"/>
      <c r="E3938" s="196"/>
    </row>
    <row r="3939">
      <c r="A3939" s="234"/>
      <c r="B3939" s="235"/>
      <c r="C3939" s="235"/>
      <c r="D3939" s="196"/>
      <c r="E3939" s="196"/>
    </row>
    <row r="3940">
      <c r="A3940" s="234"/>
      <c r="B3940" s="235"/>
      <c r="C3940" s="235"/>
      <c r="D3940" s="196"/>
      <c r="E3940" s="196"/>
    </row>
    <row r="3941">
      <c r="A3941" s="234"/>
      <c r="B3941" s="235"/>
      <c r="C3941" s="235"/>
      <c r="D3941" s="196"/>
      <c r="E3941" s="196"/>
    </row>
    <row r="3942">
      <c r="A3942" s="234"/>
      <c r="B3942" s="235"/>
      <c r="C3942" s="235"/>
      <c r="D3942" s="196"/>
      <c r="E3942" s="196"/>
    </row>
    <row r="3943">
      <c r="A3943" s="234"/>
      <c r="B3943" s="235"/>
      <c r="C3943" s="235"/>
      <c r="D3943" s="196"/>
      <c r="E3943" s="196"/>
    </row>
    <row r="3944">
      <c r="A3944" s="234"/>
      <c r="B3944" s="235"/>
      <c r="C3944" s="235"/>
      <c r="D3944" s="196"/>
      <c r="E3944" s="196"/>
    </row>
    <row r="3945">
      <c r="A3945" s="234"/>
      <c r="B3945" s="235"/>
      <c r="C3945" s="235"/>
      <c r="D3945" s="196"/>
      <c r="E3945" s="196"/>
    </row>
    <row r="3946">
      <c r="A3946" s="234"/>
      <c r="B3946" s="235"/>
      <c r="C3946" s="235"/>
      <c r="D3946" s="196"/>
      <c r="E3946" s="196"/>
    </row>
    <row r="3947">
      <c r="A3947" s="234"/>
      <c r="B3947" s="235"/>
      <c r="C3947" s="235"/>
      <c r="D3947" s="196"/>
      <c r="E3947" s="196"/>
    </row>
    <row r="3948">
      <c r="A3948" s="234"/>
      <c r="B3948" s="235"/>
      <c r="C3948" s="235"/>
      <c r="D3948" s="196"/>
      <c r="E3948" s="196"/>
    </row>
    <row r="3949">
      <c r="A3949" s="234"/>
      <c r="B3949" s="235"/>
      <c r="C3949" s="235"/>
      <c r="D3949" s="196"/>
      <c r="E3949" s="196"/>
    </row>
    <row r="3950">
      <c r="A3950" s="234"/>
      <c r="B3950" s="235"/>
      <c r="C3950" s="235"/>
      <c r="D3950" s="196"/>
      <c r="E3950" s="196"/>
    </row>
    <row r="3951">
      <c r="A3951" s="234"/>
      <c r="B3951" s="235"/>
      <c r="C3951" s="235"/>
      <c r="D3951" s="196"/>
      <c r="E3951" s="196"/>
    </row>
    <row r="3952">
      <c r="A3952" s="234"/>
      <c r="B3952" s="235"/>
      <c r="C3952" s="235"/>
      <c r="D3952" s="196"/>
      <c r="E3952" s="196"/>
    </row>
    <row r="3953">
      <c r="A3953" s="234"/>
      <c r="B3953" s="235"/>
      <c r="C3953" s="235"/>
      <c r="D3953" s="196"/>
      <c r="E3953" s="196"/>
    </row>
    <row r="3954">
      <c r="A3954" s="234"/>
      <c r="B3954" s="235"/>
      <c r="C3954" s="235"/>
      <c r="D3954" s="196"/>
      <c r="E3954" s="196"/>
    </row>
    <row r="3955">
      <c r="A3955" s="234"/>
      <c r="B3955" s="235"/>
      <c r="C3955" s="235"/>
      <c r="D3955" s="196"/>
      <c r="E3955" s="196"/>
    </row>
    <row r="3956">
      <c r="A3956" s="234"/>
      <c r="B3956" s="235"/>
      <c r="C3956" s="235"/>
      <c r="D3956" s="196"/>
      <c r="E3956" s="196"/>
    </row>
    <row r="3957">
      <c r="A3957" s="234"/>
      <c r="B3957" s="235"/>
      <c r="C3957" s="235"/>
      <c r="D3957" s="196"/>
      <c r="E3957" s="196"/>
    </row>
    <row r="3958">
      <c r="A3958" s="234"/>
      <c r="B3958" s="235"/>
      <c r="C3958" s="235"/>
      <c r="D3958" s="196"/>
      <c r="E3958" s="196"/>
    </row>
    <row r="3959">
      <c r="A3959" s="234"/>
      <c r="B3959" s="235"/>
      <c r="C3959" s="235"/>
      <c r="D3959" s="196"/>
      <c r="E3959" s="196"/>
    </row>
    <row r="3960">
      <c r="A3960" s="234"/>
      <c r="B3960" s="235"/>
      <c r="C3960" s="235"/>
      <c r="D3960" s="196"/>
      <c r="E3960" s="196"/>
    </row>
    <row r="3961">
      <c r="A3961" s="234"/>
      <c r="B3961" s="235"/>
      <c r="C3961" s="235"/>
      <c r="D3961" s="196"/>
      <c r="E3961" s="196"/>
    </row>
    <row r="3962">
      <c r="A3962" s="234"/>
      <c r="B3962" s="235"/>
      <c r="C3962" s="235"/>
      <c r="D3962" s="196"/>
      <c r="E3962" s="196"/>
    </row>
    <row r="3963">
      <c r="A3963" s="234"/>
      <c r="B3963" s="235"/>
      <c r="C3963" s="235"/>
      <c r="D3963" s="196"/>
      <c r="E3963" s="196"/>
    </row>
    <row r="3964">
      <c r="A3964" s="234"/>
      <c r="B3964" s="235"/>
      <c r="C3964" s="235"/>
      <c r="D3964" s="196"/>
      <c r="E3964" s="196"/>
    </row>
    <row r="3965">
      <c r="A3965" s="234"/>
      <c r="B3965" s="235"/>
      <c r="C3965" s="235"/>
      <c r="D3965" s="196"/>
      <c r="E3965" s="196"/>
    </row>
    <row r="3966">
      <c r="A3966" s="234"/>
      <c r="B3966" s="235"/>
      <c r="C3966" s="235"/>
      <c r="D3966" s="196"/>
      <c r="E3966" s="196"/>
    </row>
    <row r="3967">
      <c r="A3967" s="234"/>
      <c r="B3967" s="235"/>
      <c r="C3967" s="235"/>
      <c r="D3967" s="196"/>
      <c r="E3967" s="196"/>
    </row>
    <row r="3968">
      <c r="A3968" s="234"/>
      <c r="B3968" s="235"/>
      <c r="C3968" s="235"/>
      <c r="D3968" s="196"/>
      <c r="E3968" s="196"/>
    </row>
    <row r="3969">
      <c r="A3969" s="234"/>
      <c r="B3969" s="235"/>
      <c r="C3969" s="235"/>
      <c r="D3969" s="196"/>
      <c r="E3969" s="196"/>
    </row>
    <row r="3970">
      <c r="A3970" s="234"/>
      <c r="B3970" s="235"/>
      <c r="C3970" s="235"/>
      <c r="D3970" s="196"/>
      <c r="E3970" s="196"/>
    </row>
    <row r="3971">
      <c r="A3971" s="234"/>
      <c r="B3971" s="235"/>
      <c r="C3971" s="235"/>
      <c r="D3971" s="196"/>
      <c r="E3971" s="196"/>
    </row>
    <row r="3972">
      <c r="A3972" s="234"/>
      <c r="B3972" s="235"/>
      <c r="C3972" s="235"/>
      <c r="D3972" s="196"/>
      <c r="E3972" s="196"/>
    </row>
    <row r="3973">
      <c r="A3973" s="234"/>
      <c r="B3973" s="235"/>
      <c r="C3973" s="235"/>
      <c r="D3973" s="196"/>
      <c r="E3973" s="196"/>
    </row>
    <row r="3974">
      <c r="A3974" s="234"/>
      <c r="B3974" s="235"/>
      <c r="C3974" s="235"/>
      <c r="D3974" s="196"/>
      <c r="E3974" s="196"/>
    </row>
    <row r="3975">
      <c r="A3975" s="234"/>
      <c r="B3975" s="235"/>
      <c r="C3975" s="235"/>
      <c r="D3975" s="196"/>
      <c r="E3975" s="196"/>
    </row>
    <row r="3976">
      <c r="A3976" s="234"/>
      <c r="B3976" s="235"/>
      <c r="C3976" s="235"/>
      <c r="D3976" s="196"/>
      <c r="E3976" s="196"/>
    </row>
    <row r="3977">
      <c r="A3977" s="234"/>
      <c r="B3977" s="235"/>
      <c r="C3977" s="235"/>
      <c r="D3977" s="196"/>
      <c r="E3977" s="196"/>
    </row>
    <row r="3978">
      <c r="A3978" s="234"/>
      <c r="B3978" s="235"/>
      <c r="C3978" s="235"/>
      <c r="D3978" s="196"/>
      <c r="E3978" s="196"/>
    </row>
    <row r="3979">
      <c r="A3979" s="234"/>
      <c r="B3979" s="235"/>
      <c r="C3979" s="235"/>
      <c r="D3979" s="196"/>
      <c r="E3979" s="196"/>
    </row>
    <row r="3980">
      <c r="A3980" s="234"/>
      <c r="B3980" s="235"/>
      <c r="C3980" s="235"/>
      <c r="D3980" s="196"/>
      <c r="E3980" s="196"/>
    </row>
    <row r="3981">
      <c r="A3981" s="234"/>
      <c r="B3981" s="235"/>
      <c r="C3981" s="235"/>
      <c r="D3981" s="196"/>
      <c r="E3981" s="196"/>
    </row>
    <row r="3982">
      <c r="A3982" s="234"/>
      <c r="B3982" s="235"/>
      <c r="C3982" s="235"/>
      <c r="D3982" s="196"/>
      <c r="E3982" s="196"/>
    </row>
    <row r="3983">
      <c r="A3983" s="234"/>
      <c r="B3983" s="235"/>
      <c r="C3983" s="235"/>
      <c r="D3983" s="196"/>
      <c r="E3983" s="196"/>
    </row>
    <row r="3984">
      <c r="A3984" s="234"/>
      <c r="B3984" s="235"/>
      <c r="C3984" s="235"/>
      <c r="D3984" s="196"/>
      <c r="E3984" s="196"/>
    </row>
    <row r="3985">
      <c r="A3985" s="234"/>
      <c r="B3985" s="235"/>
      <c r="C3985" s="235"/>
      <c r="D3985" s="196"/>
      <c r="E3985" s="196"/>
    </row>
    <row r="3986">
      <c r="A3986" s="234"/>
      <c r="B3986" s="235"/>
      <c r="C3986" s="235"/>
      <c r="D3986" s="196"/>
      <c r="E3986" s="196"/>
    </row>
    <row r="3987">
      <c r="A3987" s="234"/>
      <c r="B3987" s="235"/>
      <c r="C3987" s="235"/>
      <c r="D3987" s="196"/>
      <c r="E3987" s="196"/>
    </row>
    <row r="3988">
      <c r="A3988" s="234"/>
      <c r="B3988" s="235"/>
      <c r="C3988" s="235"/>
      <c r="D3988" s="196"/>
      <c r="E3988" s="196"/>
    </row>
    <row r="3989">
      <c r="A3989" s="234"/>
      <c r="B3989" s="235"/>
      <c r="C3989" s="235"/>
      <c r="D3989" s="196"/>
      <c r="E3989" s="196"/>
    </row>
    <row r="3990">
      <c r="A3990" s="234"/>
      <c r="B3990" s="235"/>
      <c r="C3990" s="235"/>
      <c r="D3990" s="196"/>
      <c r="E3990" s="196"/>
    </row>
    <row r="3991">
      <c r="A3991" s="234"/>
      <c r="B3991" s="235"/>
      <c r="C3991" s="235"/>
      <c r="D3991" s="196"/>
      <c r="E3991" s="196"/>
    </row>
    <row r="3992">
      <c r="A3992" s="234"/>
      <c r="B3992" s="235"/>
      <c r="C3992" s="235"/>
      <c r="D3992" s="196"/>
      <c r="E3992" s="196"/>
    </row>
    <row r="3993">
      <c r="A3993" s="234"/>
      <c r="B3993" s="235"/>
      <c r="C3993" s="235"/>
      <c r="D3993" s="196"/>
      <c r="E3993" s="196"/>
    </row>
    <row r="3994">
      <c r="A3994" s="234"/>
      <c r="B3994" s="235"/>
      <c r="C3994" s="235"/>
      <c r="D3994" s="196"/>
      <c r="E3994" s="196"/>
    </row>
    <row r="3995">
      <c r="A3995" s="234"/>
      <c r="B3995" s="235"/>
      <c r="C3995" s="235"/>
      <c r="D3995" s="196"/>
      <c r="E3995" s="196"/>
    </row>
    <row r="3996">
      <c r="A3996" s="234"/>
      <c r="B3996" s="235"/>
      <c r="C3996" s="235"/>
      <c r="D3996" s="196"/>
      <c r="E3996" s="196"/>
    </row>
    <row r="3997">
      <c r="A3997" s="234"/>
      <c r="B3997" s="235"/>
      <c r="C3997" s="235"/>
      <c r="D3997" s="196"/>
      <c r="E3997" s="196"/>
    </row>
    <row r="3998">
      <c r="A3998" s="234"/>
      <c r="B3998" s="235"/>
      <c r="C3998" s="235"/>
      <c r="D3998" s="196"/>
      <c r="E3998" s="196"/>
    </row>
    <row r="3999">
      <c r="A3999" s="234"/>
      <c r="B3999" s="235"/>
      <c r="C3999" s="235"/>
      <c r="D3999" s="196"/>
      <c r="E3999" s="196"/>
    </row>
    <row r="4000">
      <c r="A4000" s="234"/>
      <c r="B4000" s="235"/>
      <c r="C4000" s="235"/>
      <c r="D4000" s="196"/>
      <c r="E4000" s="196"/>
    </row>
    <row r="4001">
      <c r="A4001" s="234"/>
      <c r="B4001" s="235"/>
      <c r="C4001" s="235"/>
      <c r="D4001" s="196"/>
      <c r="E4001" s="196"/>
    </row>
    <row r="4002">
      <c r="A4002" s="234"/>
      <c r="B4002" s="235"/>
      <c r="C4002" s="235"/>
      <c r="D4002" s="196"/>
      <c r="E4002" s="196"/>
    </row>
    <row r="4003">
      <c r="A4003" s="234"/>
      <c r="B4003" s="235"/>
      <c r="C4003" s="235"/>
      <c r="D4003" s="196"/>
      <c r="E4003" s="196"/>
    </row>
    <row r="4004">
      <c r="A4004" s="234"/>
      <c r="B4004" s="235"/>
      <c r="C4004" s="235"/>
      <c r="D4004" s="196"/>
      <c r="E4004" s="196"/>
    </row>
    <row r="4005">
      <c r="A4005" s="234"/>
      <c r="B4005" s="235"/>
      <c r="C4005" s="235"/>
      <c r="D4005" s="196"/>
      <c r="E4005" s="196"/>
    </row>
    <row r="4006">
      <c r="A4006" s="234"/>
      <c r="B4006" s="235"/>
      <c r="C4006" s="235"/>
      <c r="D4006" s="196"/>
      <c r="E4006" s="196"/>
    </row>
    <row r="4007">
      <c r="A4007" s="234"/>
      <c r="B4007" s="235"/>
      <c r="C4007" s="235"/>
      <c r="D4007" s="196"/>
      <c r="E4007" s="196"/>
    </row>
    <row r="4008">
      <c r="A4008" s="234"/>
      <c r="B4008" s="235"/>
      <c r="C4008" s="235"/>
      <c r="D4008" s="196"/>
      <c r="E4008" s="196"/>
    </row>
    <row r="4009">
      <c r="A4009" s="234"/>
      <c r="B4009" s="235"/>
      <c r="C4009" s="235"/>
      <c r="D4009" s="196"/>
      <c r="E4009" s="196"/>
    </row>
    <row r="4010">
      <c r="A4010" s="234"/>
      <c r="B4010" s="235"/>
      <c r="C4010" s="235"/>
      <c r="D4010" s="196"/>
      <c r="E4010" s="196"/>
    </row>
    <row r="4011">
      <c r="A4011" s="234"/>
      <c r="B4011" s="235"/>
      <c r="C4011" s="235"/>
      <c r="D4011" s="196"/>
      <c r="E4011" s="196"/>
    </row>
    <row r="4012">
      <c r="A4012" s="234"/>
      <c r="B4012" s="235"/>
      <c r="C4012" s="235"/>
      <c r="D4012" s="196"/>
      <c r="E4012" s="196"/>
    </row>
    <row r="4013">
      <c r="A4013" s="234"/>
      <c r="B4013" s="235"/>
      <c r="C4013" s="235"/>
      <c r="D4013" s="196"/>
      <c r="E4013" s="196"/>
    </row>
    <row r="4014">
      <c r="A4014" s="234"/>
      <c r="B4014" s="235"/>
      <c r="C4014" s="235"/>
      <c r="D4014" s="196"/>
      <c r="E4014" s="196"/>
    </row>
    <row r="4015">
      <c r="A4015" s="234"/>
      <c r="B4015" s="235"/>
      <c r="C4015" s="235"/>
      <c r="D4015" s="196"/>
      <c r="E4015" s="196"/>
    </row>
    <row r="4016">
      <c r="A4016" s="234"/>
      <c r="B4016" s="235"/>
      <c r="C4016" s="235"/>
      <c r="D4016" s="196"/>
      <c r="E4016" s="196"/>
    </row>
    <row r="4017">
      <c r="A4017" s="234"/>
      <c r="B4017" s="235"/>
      <c r="C4017" s="235"/>
      <c r="D4017" s="196"/>
      <c r="E4017" s="196"/>
    </row>
    <row r="4018">
      <c r="A4018" s="234"/>
      <c r="B4018" s="235"/>
      <c r="C4018" s="235"/>
      <c r="D4018" s="196"/>
      <c r="E4018" s="196"/>
    </row>
    <row r="4019">
      <c r="A4019" s="234"/>
      <c r="B4019" s="235"/>
      <c r="C4019" s="235"/>
      <c r="D4019" s="196"/>
      <c r="E4019" s="196"/>
    </row>
    <row r="4020">
      <c r="A4020" s="234"/>
      <c r="B4020" s="235"/>
      <c r="C4020" s="235"/>
      <c r="D4020" s="196"/>
      <c r="E4020" s="196"/>
    </row>
    <row r="4021">
      <c r="A4021" s="234"/>
      <c r="B4021" s="235"/>
      <c r="C4021" s="235"/>
      <c r="D4021" s="196"/>
      <c r="E4021" s="196"/>
    </row>
    <row r="4022">
      <c r="A4022" s="234"/>
      <c r="B4022" s="235"/>
      <c r="C4022" s="235"/>
      <c r="D4022" s="196"/>
      <c r="E4022" s="196"/>
    </row>
    <row r="4023">
      <c r="A4023" s="234"/>
      <c r="B4023" s="235"/>
      <c r="C4023" s="235"/>
      <c r="D4023" s="196"/>
      <c r="E4023" s="196"/>
    </row>
    <row r="4024">
      <c r="A4024" s="234"/>
      <c r="B4024" s="235"/>
      <c r="C4024" s="235"/>
      <c r="D4024" s="196"/>
      <c r="E4024" s="196"/>
    </row>
    <row r="4025">
      <c r="A4025" s="234"/>
      <c r="B4025" s="235"/>
      <c r="C4025" s="235"/>
      <c r="D4025" s="196"/>
      <c r="E4025" s="196"/>
    </row>
    <row r="4026">
      <c r="A4026" s="234"/>
      <c r="B4026" s="235"/>
      <c r="C4026" s="235"/>
      <c r="D4026" s="196"/>
      <c r="E4026" s="196"/>
    </row>
    <row r="4027">
      <c r="A4027" s="234"/>
      <c r="B4027" s="235"/>
      <c r="C4027" s="235"/>
      <c r="D4027" s="196"/>
      <c r="E4027" s="196"/>
    </row>
    <row r="4028">
      <c r="A4028" s="234"/>
      <c r="B4028" s="235"/>
      <c r="C4028" s="235"/>
      <c r="D4028" s="196"/>
      <c r="E4028" s="196"/>
    </row>
    <row r="4029">
      <c r="A4029" s="234"/>
      <c r="B4029" s="235"/>
      <c r="C4029" s="235"/>
      <c r="D4029" s="196"/>
      <c r="E4029" s="196"/>
    </row>
    <row r="4030">
      <c r="A4030" s="234"/>
      <c r="B4030" s="235"/>
      <c r="C4030" s="235"/>
      <c r="D4030" s="196"/>
      <c r="E4030" s="196"/>
    </row>
    <row r="4031">
      <c r="A4031" s="234"/>
      <c r="B4031" s="235"/>
      <c r="C4031" s="235"/>
      <c r="D4031" s="196"/>
      <c r="E4031" s="196"/>
    </row>
    <row r="4032">
      <c r="A4032" s="234"/>
      <c r="B4032" s="235"/>
      <c r="C4032" s="235"/>
      <c r="D4032" s="196"/>
      <c r="E4032" s="196"/>
    </row>
    <row r="4033">
      <c r="A4033" s="234"/>
      <c r="B4033" s="235"/>
      <c r="C4033" s="235"/>
      <c r="D4033" s="196"/>
      <c r="E4033" s="196"/>
    </row>
    <row r="4034">
      <c r="A4034" s="234"/>
      <c r="B4034" s="235"/>
      <c r="C4034" s="235"/>
      <c r="D4034" s="196"/>
      <c r="E4034" s="196"/>
    </row>
    <row r="4035">
      <c r="A4035" s="234"/>
      <c r="B4035" s="235"/>
      <c r="C4035" s="235"/>
      <c r="D4035" s="196"/>
      <c r="E4035" s="196"/>
    </row>
    <row r="4036">
      <c r="A4036" s="234"/>
      <c r="B4036" s="235"/>
      <c r="C4036" s="235"/>
      <c r="D4036" s="196"/>
      <c r="E4036" s="196"/>
    </row>
    <row r="4037">
      <c r="A4037" s="234"/>
      <c r="B4037" s="235"/>
      <c r="C4037" s="235"/>
      <c r="D4037" s="196"/>
      <c r="E4037" s="196"/>
    </row>
    <row r="4038">
      <c r="A4038" s="234"/>
      <c r="B4038" s="235"/>
      <c r="C4038" s="235"/>
      <c r="D4038" s="196"/>
      <c r="E4038" s="196"/>
    </row>
    <row r="4039">
      <c r="A4039" s="234"/>
      <c r="B4039" s="235"/>
      <c r="C4039" s="235"/>
      <c r="D4039" s="196"/>
      <c r="E4039" s="196"/>
    </row>
    <row r="4040">
      <c r="A4040" s="234"/>
      <c r="B4040" s="235"/>
      <c r="C4040" s="235"/>
      <c r="D4040" s="196"/>
      <c r="E4040" s="196"/>
    </row>
    <row r="4041">
      <c r="A4041" s="234"/>
      <c r="B4041" s="235"/>
      <c r="C4041" s="235"/>
      <c r="D4041" s="196"/>
      <c r="E4041" s="196"/>
    </row>
    <row r="4042">
      <c r="A4042" s="234"/>
      <c r="B4042" s="235"/>
      <c r="C4042" s="235"/>
      <c r="D4042" s="196"/>
      <c r="E4042" s="196"/>
    </row>
    <row r="4043">
      <c r="A4043" s="234"/>
      <c r="B4043" s="235"/>
      <c r="C4043" s="235"/>
      <c r="D4043" s="196"/>
      <c r="E4043" s="196"/>
    </row>
    <row r="4044">
      <c r="A4044" s="234"/>
      <c r="B4044" s="235"/>
      <c r="C4044" s="235"/>
      <c r="D4044" s="196"/>
      <c r="E4044" s="196"/>
    </row>
    <row r="4045">
      <c r="A4045" s="234"/>
      <c r="B4045" s="235"/>
      <c r="C4045" s="235"/>
      <c r="D4045" s="196"/>
      <c r="E4045" s="196"/>
    </row>
    <row r="4046">
      <c r="A4046" s="234"/>
      <c r="B4046" s="235"/>
      <c r="C4046" s="235"/>
      <c r="D4046" s="196"/>
      <c r="E4046" s="196"/>
    </row>
    <row r="4047">
      <c r="A4047" s="234"/>
      <c r="B4047" s="235"/>
      <c r="C4047" s="235"/>
      <c r="D4047" s="196"/>
      <c r="E4047" s="196"/>
    </row>
    <row r="4048">
      <c r="A4048" s="234"/>
      <c r="B4048" s="235"/>
      <c r="C4048" s="235"/>
      <c r="D4048" s="196"/>
      <c r="E4048" s="196"/>
    </row>
    <row r="4049">
      <c r="A4049" s="234"/>
      <c r="B4049" s="235"/>
      <c r="C4049" s="235"/>
      <c r="D4049" s="196"/>
      <c r="E4049" s="196"/>
    </row>
    <row r="4050">
      <c r="A4050" s="234"/>
      <c r="B4050" s="235"/>
      <c r="C4050" s="235"/>
      <c r="D4050" s="196"/>
      <c r="E4050" s="196"/>
    </row>
    <row r="4051">
      <c r="A4051" s="234"/>
      <c r="B4051" s="235"/>
      <c r="C4051" s="235"/>
      <c r="D4051" s="196"/>
      <c r="E4051" s="196"/>
    </row>
    <row r="4052">
      <c r="A4052" s="234"/>
      <c r="B4052" s="235"/>
      <c r="C4052" s="235"/>
      <c r="D4052" s="196"/>
      <c r="E4052" s="196"/>
    </row>
    <row r="4053">
      <c r="A4053" s="234"/>
      <c r="B4053" s="235"/>
      <c r="C4053" s="235"/>
      <c r="D4053" s="196"/>
      <c r="E4053" s="196"/>
    </row>
    <row r="4054">
      <c r="A4054" s="234"/>
      <c r="B4054" s="235"/>
      <c r="C4054" s="235"/>
      <c r="D4054" s="196"/>
      <c r="E4054" s="196"/>
    </row>
    <row r="4055">
      <c r="A4055" s="234"/>
      <c r="B4055" s="235"/>
      <c r="C4055" s="235"/>
      <c r="D4055" s="196"/>
      <c r="E4055" s="196"/>
    </row>
    <row r="4056">
      <c r="A4056" s="234"/>
      <c r="B4056" s="235"/>
      <c r="C4056" s="235"/>
      <c r="D4056" s="196"/>
      <c r="E4056" s="196"/>
    </row>
    <row r="4057">
      <c r="A4057" s="234"/>
      <c r="B4057" s="235"/>
      <c r="C4057" s="235"/>
      <c r="D4057" s="196"/>
      <c r="E4057" s="196"/>
    </row>
    <row r="4058">
      <c r="A4058" s="234"/>
      <c r="B4058" s="235"/>
      <c r="C4058" s="235"/>
      <c r="D4058" s="196"/>
      <c r="E4058" s="196"/>
    </row>
    <row r="4059">
      <c r="A4059" s="234"/>
      <c r="B4059" s="235"/>
      <c r="C4059" s="235"/>
      <c r="D4059" s="196"/>
      <c r="E4059" s="196"/>
    </row>
    <row r="4060">
      <c r="A4060" s="234"/>
      <c r="B4060" s="235"/>
      <c r="C4060" s="235"/>
      <c r="D4060" s="196"/>
      <c r="E4060" s="196"/>
    </row>
    <row r="4061">
      <c r="A4061" s="234"/>
      <c r="B4061" s="235"/>
      <c r="C4061" s="235"/>
      <c r="D4061" s="196"/>
      <c r="E4061" s="196"/>
    </row>
    <row r="4062">
      <c r="A4062" s="234"/>
      <c r="B4062" s="235"/>
      <c r="C4062" s="235"/>
      <c r="D4062" s="196"/>
      <c r="E4062" s="196"/>
    </row>
    <row r="4063">
      <c r="A4063" s="234"/>
      <c r="B4063" s="235"/>
      <c r="C4063" s="235"/>
      <c r="D4063" s="196"/>
      <c r="E4063" s="196"/>
    </row>
    <row r="4064">
      <c r="A4064" s="234"/>
      <c r="B4064" s="235"/>
      <c r="C4064" s="235"/>
      <c r="D4064" s="196"/>
      <c r="E4064" s="196"/>
    </row>
    <row r="4065">
      <c r="A4065" s="234"/>
      <c r="B4065" s="235"/>
      <c r="C4065" s="235"/>
      <c r="D4065" s="196"/>
      <c r="E4065" s="196"/>
    </row>
    <row r="4066">
      <c r="A4066" s="234"/>
      <c r="B4066" s="235"/>
      <c r="C4066" s="235"/>
      <c r="D4066" s="196"/>
      <c r="E4066" s="196"/>
    </row>
    <row r="4067">
      <c r="A4067" s="234"/>
      <c r="B4067" s="235"/>
      <c r="C4067" s="235"/>
      <c r="D4067" s="196"/>
      <c r="E4067" s="196"/>
    </row>
    <row r="4068">
      <c r="A4068" s="234"/>
      <c r="B4068" s="235"/>
      <c r="C4068" s="235"/>
      <c r="D4068" s="196"/>
      <c r="E4068" s="196"/>
    </row>
    <row r="4069">
      <c r="A4069" s="234"/>
      <c r="B4069" s="235"/>
      <c r="C4069" s="235"/>
      <c r="D4069" s="196"/>
      <c r="E4069" s="196"/>
    </row>
    <row r="4070">
      <c r="A4070" s="234"/>
      <c r="B4070" s="235"/>
      <c r="C4070" s="235"/>
      <c r="D4070" s="196"/>
      <c r="E4070" s="196"/>
    </row>
    <row r="4071">
      <c r="A4071" s="234"/>
      <c r="B4071" s="235"/>
      <c r="C4071" s="235"/>
      <c r="D4071" s="196"/>
      <c r="E4071" s="196"/>
    </row>
    <row r="4072">
      <c r="A4072" s="234"/>
      <c r="B4072" s="235"/>
      <c r="C4072" s="235"/>
      <c r="D4072" s="196"/>
      <c r="E4072" s="196"/>
    </row>
    <row r="4073">
      <c r="A4073" s="234"/>
      <c r="B4073" s="235"/>
      <c r="C4073" s="235"/>
      <c r="D4073" s="196"/>
      <c r="E4073" s="196"/>
    </row>
    <row r="4074">
      <c r="A4074" s="234"/>
      <c r="B4074" s="235"/>
      <c r="C4074" s="235"/>
      <c r="D4074" s="196"/>
      <c r="E4074" s="196"/>
    </row>
    <row r="4075">
      <c r="A4075" s="234"/>
      <c r="B4075" s="235"/>
      <c r="C4075" s="235"/>
      <c r="D4075" s="196"/>
      <c r="E4075" s="196"/>
    </row>
    <row r="4076">
      <c r="A4076" s="234"/>
      <c r="B4076" s="235"/>
      <c r="C4076" s="235"/>
      <c r="D4076" s="196"/>
      <c r="E4076" s="196"/>
    </row>
    <row r="4077">
      <c r="A4077" s="234"/>
      <c r="B4077" s="235"/>
      <c r="C4077" s="235"/>
      <c r="D4077" s="196"/>
      <c r="E4077" s="196"/>
    </row>
    <row r="4078">
      <c r="A4078" s="234"/>
      <c r="B4078" s="235"/>
      <c r="C4078" s="235"/>
      <c r="D4078" s="196"/>
      <c r="E4078" s="196"/>
    </row>
    <row r="4079">
      <c r="A4079" s="234"/>
      <c r="B4079" s="235"/>
      <c r="C4079" s="235"/>
      <c r="D4079" s="196"/>
      <c r="E4079" s="196"/>
    </row>
    <row r="4080">
      <c r="A4080" s="234"/>
      <c r="B4080" s="235"/>
      <c r="C4080" s="235"/>
      <c r="D4080" s="196"/>
      <c r="E4080" s="196"/>
    </row>
    <row r="4081">
      <c r="A4081" s="234"/>
      <c r="B4081" s="235"/>
      <c r="C4081" s="235"/>
      <c r="D4081" s="196"/>
      <c r="E4081" s="196"/>
    </row>
    <row r="4082">
      <c r="A4082" s="234"/>
      <c r="B4082" s="235"/>
      <c r="C4082" s="235"/>
      <c r="D4082" s="196"/>
      <c r="E4082" s="196"/>
    </row>
    <row r="4083">
      <c r="A4083" s="234"/>
      <c r="B4083" s="235"/>
      <c r="C4083" s="235"/>
      <c r="D4083" s="196"/>
      <c r="E4083" s="196"/>
    </row>
    <row r="4084">
      <c r="A4084" s="234"/>
      <c r="B4084" s="235"/>
      <c r="C4084" s="235"/>
      <c r="D4084" s="196"/>
      <c r="E4084" s="196"/>
    </row>
    <row r="4085">
      <c r="A4085" s="234"/>
      <c r="B4085" s="235"/>
      <c r="C4085" s="235"/>
      <c r="D4085" s="196"/>
      <c r="E4085" s="196"/>
    </row>
    <row r="4086">
      <c r="A4086" s="234"/>
      <c r="B4086" s="235"/>
      <c r="C4086" s="235"/>
      <c r="D4086" s="196"/>
      <c r="E4086" s="196"/>
    </row>
    <row r="4087">
      <c r="A4087" s="234"/>
      <c r="B4087" s="235"/>
      <c r="C4087" s="235"/>
      <c r="D4087" s="196"/>
      <c r="E4087" s="196"/>
    </row>
    <row r="4088">
      <c r="A4088" s="234"/>
      <c r="B4088" s="235"/>
      <c r="C4088" s="235"/>
      <c r="D4088" s="196"/>
      <c r="E4088" s="196"/>
    </row>
    <row r="4089">
      <c r="A4089" s="234"/>
      <c r="B4089" s="235"/>
      <c r="C4089" s="235"/>
      <c r="D4089" s="196"/>
      <c r="E4089" s="196"/>
    </row>
    <row r="4090">
      <c r="A4090" s="234"/>
      <c r="B4090" s="235"/>
      <c r="C4090" s="235"/>
      <c r="D4090" s="196"/>
      <c r="E4090" s="196"/>
    </row>
    <row r="4091">
      <c r="A4091" s="234"/>
      <c r="B4091" s="235"/>
      <c r="C4091" s="235"/>
      <c r="D4091" s="196"/>
      <c r="E4091" s="196"/>
    </row>
    <row r="4092">
      <c r="A4092" s="234"/>
      <c r="B4092" s="235"/>
      <c r="C4092" s="235"/>
      <c r="D4092" s="196"/>
      <c r="E4092" s="196"/>
    </row>
    <row r="4093">
      <c r="A4093" s="234"/>
      <c r="B4093" s="235"/>
      <c r="C4093" s="235"/>
      <c r="D4093" s="196"/>
      <c r="E4093" s="196"/>
    </row>
    <row r="4094">
      <c r="A4094" s="234"/>
      <c r="B4094" s="235"/>
      <c r="C4094" s="235"/>
      <c r="D4094" s="196"/>
      <c r="E4094" s="196"/>
    </row>
    <row r="4095">
      <c r="A4095" s="234"/>
      <c r="B4095" s="235"/>
      <c r="C4095" s="235"/>
      <c r="D4095" s="196"/>
      <c r="E4095" s="196"/>
    </row>
    <row r="4096">
      <c r="A4096" s="234"/>
      <c r="B4096" s="235"/>
      <c r="C4096" s="235"/>
      <c r="D4096" s="196"/>
      <c r="E4096" s="196"/>
    </row>
    <row r="4097">
      <c r="A4097" s="234"/>
      <c r="B4097" s="235"/>
      <c r="C4097" s="235"/>
      <c r="D4097" s="196"/>
      <c r="E4097" s="196"/>
    </row>
    <row r="4098">
      <c r="A4098" s="234"/>
      <c r="B4098" s="235"/>
      <c r="C4098" s="235"/>
      <c r="D4098" s="196"/>
      <c r="E4098" s="196"/>
    </row>
    <row r="4099">
      <c r="A4099" s="234"/>
      <c r="B4099" s="235"/>
      <c r="C4099" s="235"/>
      <c r="D4099" s="196"/>
      <c r="E4099" s="196"/>
    </row>
    <row r="4100">
      <c r="A4100" s="234"/>
      <c r="B4100" s="235"/>
      <c r="C4100" s="235"/>
      <c r="D4100" s="196"/>
      <c r="E4100" s="196"/>
    </row>
    <row r="4101">
      <c r="A4101" s="234"/>
      <c r="B4101" s="235"/>
      <c r="C4101" s="235"/>
      <c r="D4101" s="196"/>
      <c r="E4101" s="196"/>
    </row>
    <row r="4102">
      <c r="A4102" s="234"/>
      <c r="B4102" s="235"/>
      <c r="C4102" s="235"/>
      <c r="D4102" s="196"/>
      <c r="E4102" s="196"/>
    </row>
    <row r="4103">
      <c r="A4103" s="234"/>
      <c r="B4103" s="235"/>
      <c r="C4103" s="235"/>
      <c r="D4103" s="196"/>
      <c r="E4103" s="196"/>
    </row>
    <row r="4104">
      <c r="A4104" s="234"/>
      <c r="B4104" s="235"/>
      <c r="C4104" s="235"/>
      <c r="D4104" s="196"/>
      <c r="E4104" s="196"/>
    </row>
    <row r="4105">
      <c r="A4105" s="234"/>
      <c r="B4105" s="235"/>
      <c r="C4105" s="235"/>
      <c r="D4105" s="196"/>
      <c r="E4105" s="196"/>
    </row>
    <row r="4106">
      <c r="A4106" s="234"/>
      <c r="B4106" s="235"/>
      <c r="C4106" s="235"/>
      <c r="D4106" s="196"/>
      <c r="E4106" s="196"/>
    </row>
    <row r="4107">
      <c r="A4107" s="234"/>
      <c r="B4107" s="235"/>
      <c r="C4107" s="235"/>
      <c r="D4107" s="196"/>
      <c r="E4107" s="196"/>
    </row>
    <row r="4108">
      <c r="A4108" s="234"/>
      <c r="B4108" s="235"/>
      <c r="C4108" s="235"/>
      <c r="D4108" s="196"/>
      <c r="E4108" s="196"/>
    </row>
    <row r="4109">
      <c r="A4109" s="234"/>
      <c r="B4109" s="235"/>
      <c r="C4109" s="235"/>
      <c r="D4109" s="196"/>
      <c r="E4109" s="196"/>
    </row>
    <row r="4110">
      <c r="A4110" s="234"/>
      <c r="B4110" s="235"/>
      <c r="C4110" s="235"/>
      <c r="D4110" s="196"/>
      <c r="E4110" s="196"/>
    </row>
    <row r="4111">
      <c r="A4111" s="234"/>
      <c r="B4111" s="235"/>
      <c r="C4111" s="235"/>
      <c r="D4111" s="196"/>
      <c r="E4111" s="196"/>
    </row>
    <row r="4112">
      <c r="A4112" s="234"/>
      <c r="B4112" s="235"/>
      <c r="C4112" s="235"/>
      <c r="D4112" s="196"/>
      <c r="E4112" s="196"/>
    </row>
    <row r="4113">
      <c r="A4113" s="234"/>
      <c r="B4113" s="235"/>
      <c r="C4113" s="235"/>
      <c r="D4113" s="196"/>
      <c r="E4113" s="196"/>
    </row>
    <row r="4114">
      <c r="A4114" s="234"/>
      <c r="B4114" s="235"/>
      <c r="C4114" s="235"/>
      <c r="D4114" s="196"/>
      <c r="E4114" s="196"/>
    </row>
    <row r="4115">
      <c r="A4115" s="234"/>
      <c r="B4115" s="235"/>
      <c r="C4115" s="235"/>
      <c r="D4115" s="196"/>
      <c r="E4115" s="196"/>
    </row>
    <row r="4116">
      <c r="A4116" s="234"/>
      <c r="B4116" s="235"/>
      <c r="C4116" s="235"/>
      <c r="D4116" s="196"/>
      <c r="E4116" s="196"/>
    </row>
    <row r="4117">
      <c r="A4117" s="234"/>
      <c r="B4117" s="235"/>
      <c r="C4117" s="235"/>
      <c r="D4117" s="196"/>
      <c r="E4117" s="196"/>
    </row>
    <row r="4118">
      <c r="A4118" s="234"/>
      <c r="B4118" s="235"/>
      <c r="C4118" s="235"/>
      <c r="D4118" s="196"/>
      <c r="E4118" s="196"/>
    </row>
    <row r="4119">
      <c r="A4119" s="234"/>
      <c r="B4119" s="235"/>
      <c r="C4119" s="235"/>
      <c r="D4119" s="196"/>
      <c r="E4119" s="196"/>
    </row>
    <row r="4120">
      <c r="A4120" s="234"/>
      <c r="B4120" s="235"/>
      <c r="C4120" s="235"/>
      <c r="D4120" s="196"/>
      <c r="E4120" s="196"/>
    </row>
    <row r="4121">
      <c r="A4121" s="234"/>
      <c r="B4121" s="235"/>
      <c r="C4121" s="235"/>
      <c r="D4121" s="196"/>
      <c r="E4121" s="196"/>
    </row>
    <row r="4122">
      <c r="A4122" s="234"/>
      <c r="B4122" s="235"/>
      <c r="C4122" s="235"/>
      <c r="D4122" s="196"/>
      <c r="E4122" s="196"/>
    </row>
    <row r="4123">
      <c r="A4123" s="234"/>
      <c r="B4123" s="235"/>
      <c r="C4123" s="235"/>
      <c r="D4123" s="196"/>
      <c r="E4123" s="196"/>
    </row>
    <row r="4124">
      <c r="A4124" s="234"/>
      <c r="B4124" s="235"/>
      <c r="C4124" s="235"/>
      <c r="D4124" s="196"/>
      <c r="E4124" s="196"/>
    </row>
    <row r="4125">
      <c r="A4125" s="234"/>
      <c r="B4125" s="235"/>
      <c r="C4125" s="235"/>
      <c r="D4125" s="196"/>
      <c r="E4125" s="196"/>
    </row>
    <row r="4126">
      <c r="A4126" s="234"/>
      <c r="B4126" s="235"/>
      <c r="C4126" s="235"/>
      <c r="D4126" s="196"/>
      <c r="E4126" s="196"/>
    </row>
    <row r="4127">
      <c r="A4127" s="234"/>
      <c r="B4127" s="235"/>
      <c r="C4127" s="235"/>
      <c r="D4127" s="196"/>
      <c r="E4127" s="196"/>
    </row>
    <row r="4128">
      <c r="A4128" s="234"/>
      <c r="B4128" s="235"/>
      <c r="C4128" s="235"/>
      <c r="D4128" s="196"/>
      <c r="E4128" s="196"/>
    </row>
    <row r="4129">
      <c r="A4129" s="234"/>
      <c r="B4129" s="235"/>
      <c r="C4129" s="235"/>
      <c r="D4129" s="196"/>
      <c r="E4129" s="196"/>
    </row>
    <row r="4130">
      <c r="A4130" s="234"/>
      <c r="B4130" s="235"/>
      <c r="C4130" s="235"/>
      <c r="D4130" s="196"/>
      <c r="E4130" s="196"/>
    </row>
    <row r="4131">
      <c r="A4131" s="234"/>
      <c r="B4131" s="235"/>
      <c r="C4131" s="235"/>
      <c r="D4131" s="196"/>
      <c r="E4131" s="196"/>
    </row>
    <row r="4132">
      <c r="A4132" s="234"/>
      <c r="B4132" s="235"/>
      <c r="C4132" s="235"/>
      <c r="D4132" s="196"/>
      <c r="E4132" s="196"/>
    </row>
    <row r="4133">
      <c r="A4133" s="234"/>
      <c r="B4133" s="235"/>
      <c r="C4133" s="235"/>
      <c r="D4133" s="196"/>
      <c r="E4133" s="196"/>
    </row>
    <row r="4134">
      <c r="A4134" s="234"/>
      <c r="B4134" s="235"/>
      <c r="C4134" s="235"/>
      <c r="D4134" s="196"/>
      <c r="E4134" s="196"/>
    </row>
    <row r="4135">
      <c r="A4135" s="234"/>
      <c r="B4135" s="235"/>
      <c r="C4135" s="235"/>
      <c r="D4135" s="196"/>
      <c r="E4135" s="196"/>
    </row>
    <row r="4136">
      <c r="A4136" s="234"/>
      <c r="B4136" s="235"/>
      <c r="C4136" s="235"/>
      <c r="D4136" s="196"/>
      <c r="E4136" s="196"/>
    </row>
    <row r="4137">
      <c r="A4137" s="234"/>
      <c r="B4137" s="235"/>
      <c r="C4137" s="235"/>
      <c r="D4137" s="196"/>
      <c r="E4137" s="196"/>
    </row>
    <row r="4138">
      <c r="A4138" s="234"/>
      <c r="B4138" s="235"/>
      <c r="C4138" s="235"/>
      <c r="D4138" s="196"/>
      <c r="E4138" s="196"/>
    </row>
    <row r="4139">
      <c r="A4139" s="234"/>
      <c r="B4139" s="235"/>
      <c r="C4139" s="235"/>
      <c r="D4139" s="196"/>
      <c r="E4139" s="196"/>
    </row>
    <row r="4140">
      <c r="A4140" s="234"/>
      <c r="B4140" s="235"/>
      <c r="C4140" s="235"/>
      <c r="D4140" s="196"/>
      <c r="E4140" s="196"/>
    </row>
    <row r="4141">
      <c r="A4141" s="234"/>
      <c r="B4141" s="235"/>
      <c r="C4141" s="235"/>
      <c r="D4141" s="196"/>
      <c r="E4141" s="196"/>
    </row>
    <row r="4142">
      <c r="A4142" s="234"/>
      <c r="B4142" s="235"/>
      <c r="C4142" s="235"/>
      <c r="D4142" s="196"/>
      <c r="E4142" s="196"/>
    </row>
    <row r="4143">
      <c r="A4143" s="234"/>
      <c r="B4143" s="235"/>
      <c r="C4143" s="235"/>
      <c r="D4143" s="196"/>
      <c r="E4143" s="196"/>
    </row>
    <row r="4144">
      <c r="A4144" s="234"/>
      <c r="B4144" s="235"/>
      <c r="C4144" s="235"/>
      <c r="D4144" s="196"/>
      <c r="E4144" s="196"/>
    </row>
    <row r="4145">
      <c r="A4145" s="234"/>
      <c r="B4145" s="235"/>
      <c r="C4145" s="235"/>
      <c r="D4145" s="196"/>
      <c r="E4145" s="196"/>
    </row>
    <row r="4146">
      <c r="A4146" s="234"/>
      <c r="B4146" s="235"/>
      <c r="C4146" s="235"/>
      <c r="D4146" s="196"/>
      <c r="E4146" s="196"/>
    </row>
    <row r="4147">
      <c r="A4147" s="234"/>
      <c r="B4147" s="235"/>
      <c r="C4147" s="235"/>
      <c r="D4147" s="196"/>
      <c r="E4147" s="196"/>
    </row>
    <row r="4148">
      <c r="A4148" s="234"/>
      <c r="B4148" s="235"/>
      <c r="C4148" s="235"/>
      <c r="D4148" s="196"/>
      <c r="E4148" s="196"/>
    </row>
    <row r="4149">
      <c r="A4149" s="234"/>
      <c r="B4149" s="235"/>
      <c r="C4149" s="235"/>
      <c r="D4149" s="196"/>
      <c r="E4149" s="196"/>
    </row>
    <row r="4150">
      <c r="A4150" s="234"/>
      <c r="B4150" s="235"/>
      <c r="C4150" s="235"/>
      <c r="D4150" s="196"/>
      <c r="E4150" s="196"/>
    </row>
    <row r="4151">
      <c r="A4151" s="234"/>
      <c r="B4151" s="235"/>
      <c r="C4151" s="235"/>
      <c r="D4151" s="196"/>
      <c r="E4151" s="196"/>
    </row>
    <row r="4152">
      <c r="A4152" s="234"/>
      <c r="B4152" s="235"/>
      <c r="C4152" s="235"/>
      <c r="D4152" s="196"/>
      <c r="E4152" s="196"/>
    </row>
    <row r="4153">
      <c r="A4153" s="234"/>
      <c r="B4153" s="235"/>
      <c r="C4153" s="235"/>
      <c r="D4153" s="196"/>
      <c r="E4153" s="196"/>
    </row>
    <row r="4154">
      <c r="A4154" s="234"/>
      <c r="B4154" s="235"/>
      <c r="C4154" s="235"/>
      <c r="D4154" s="196"/>
      <c r="E4154" s="196"/>
    </row>
    <row r="4155">
      <c r="A4155" s="234"/>
      <c r="B4155" s="235"/>
      <c r="C4155" s="235"/>
      <c r="D4155" s="196"/>
      <c r="E4155" s="196"/>
    </row>
    <row r="4156">
      <c r="A4156" s="234"/>
      <c r="B4156" s="235"/>
      <c r="C4156" s="235"/>
      <c r="D4156" s="196"/>
      <c r="E4156" s="196"/>
    </row>
    <row r="4157">
      <c r="A4157" s="234"/>
      <c r="B4157" s="235"/>
      <c r="C4157" s="235"/>
      <c r="D4157" s="196"/>
      <c r="E4157" s="196"/>
    </row>
    <row r="4158">
      <c r="A4158" s="234"/>
      <c r="B4158" s="235"/>
      <c r="C4158" s="235"/>
      <c r="D4158" s="196"/>
      <c r="E4158" s="196"/>
    </row>
    <row r="4159">
      <c r="A4159" s="234"/>
      <c r="B4159" s="235"/>
      <c r="C4159" s="235"/>
      <c r="D4159" s="196"/>
      <c r="E4159" s="196"/>
    </row>
    <row r="4160">
      <c r="A4160" s="234"/>
      <c r="B4160" s="235"/>
      <c r="C4160" s="235"/>
      <c r="D4160" s="196"/>
      <c r="E4160" s="196"/>
    </row>
    <row r="4161">
      <c r="A4161" s="234"/>
      <c r="B4161" s="235"/>
      <c r="C4161" s="235"/>
      <c r="D4161" s="196"/>
      <c r="E4161" s="196"/>
    </row>
    <row r="4162">
      <c r="A4162" s="234"/>
      <c r="B4162" s="235"/>
      <c r="C4162" s="235"/>
      <c r="D4162" s="196"/>
      <c r="E4162" s="196"/>
    </row>
    <row r="4163">
      <c r="A4163" s="234"/>
      <c r="B4163" s="235"/>
      <c r="C4163" s="235"/>
      <c r="D4163" s="196"/>
      <c r="E4163" s="196"/>
    </row>
    <row r="4164">
      <c r="A4164" s="234"/>
      <c r="B4164" s="235"/>
      <c r="C4164" s="235"/>
      <c r="D4164" s="196"/>
      <c r="E4164" s="196"/>
    </row>
    <row r="4165">
      <c r="A4165" s="234"/>
      <c r="B4165" s="235"/>
      <c r="C4165" s="235"/>
      <c r="D4165" s="196"/>
      <c r="E4165" s="196"/>
    </row>
    <row r="4166">
      <c r="A4166" s="234"/>
      <c r="B4166" s="235"/>
      <c r="C4166" s="235"/>
      <c r="D4166" s="196"/>
      <c r="E4166" s="196"/>
    </row>
    <row r="4167">
      <c r="A4167" s="234"/>
      <c r="B4167" s="235"/>
      <c r="C4167" s="235"/>
      <c r="D4167" s="196"/>
      <c r="E4167" s="196"/>
    </row>
    <row r="4168">
      <c r="A4168" s="234"/>
      <c r="B4168" s="235"/>
      <c r="C4168" s="235"/>
      <c r="D4168" s="196"/>
      <c r="E4168" s="196"/>
    </row>
    <row r="4169">
      <c r="A4169" s="234"/>
      <c r="B4169" s="235"/>
      <c r="C4169" s="235"/>
      <c r="D4169" s="196"/>
      <c r="E4169" s="196"/>
    </row>
    <row r="4170">
      <c r="A4170" s="234"/>
      <c r="B4170" s="235"/>
      <c r="C4170" s="235"/>
      <c r="D4170" s="196"/>
      <c r="E4170" s="196"/>
    </row>
    <row r="4171">
      <c r="A4171" s="234"/>
      <c r="B4171" s="235"/>
      <c r="C4171" s="235"/>
      <c r="D4171" s="196"/>
      <c r="E4171" s="196"/>
    </row>
    <row r="4172">
      <c r="A4172" s="234"/>
      <c r="B4172" s="235"/>
      <c r="C4172" s="235"/>
      <c r="D4172" s="196"/>
      <c r="E4172" s="196"/>
    </row>
    <row r="4173">
      <c r="A4173" s="234"/>
      <c r="B4173" s="235"/>
      <c r="C4173" s="235"/>
      <c r="D4173" s="196"/>
      <c r="E4173" s="196"/>
    </row>
    <row r="4174">
      <c r="A4174" s="234"/>
      <c r="B4174" s="235"/>
      <c r="C4174" s="235"/>
      <c r="D4174" s="196"/>
      <c r="E4174" s="196"/>
    </row>
    <row r="4175">
      <c r="A4175" s="234"/>
      <c r="B4175" s="235"/>
      <c r="C4175" s="235"/>
      <c r="D4175" s="196"/>
      <c r="E4175" s="196"/>
    </row>
    <row r="4176">
      <c r="A4176" s="234"/>
      <c r="B4176" s="235"/>
      <c r="C4176" s="235"/>
      <c r="D4176" s="196"/>
      <c r="E4176" s="196"/>
    </row>
    <row r="4177">
      <c r="A4177" s="234"/>
      <c r="B4177" s="235"/>
      <c r="C4177" s="235"/>
      <c r="D4177" s="196"/>
      <c r="E4177" s="196"/>
    </row>
    <row r="4178">
      <c r="A4178" s="234"/>
      <c r="B4178" s="235"/>
      <c r="C4178" s="235"/>
      <c r="D4178" s="196"/>
      <c r="E4178" s="196"/>
    </row>
    <row r="4179">
      <c r="A4179" s="234"/>
      <c r="B4179" s="235"/>
      <c r="C4179" s="235"/>
      <c r="D4179" s="196"/>
      <c r="E4179" s="196"/>
    </row>
    <row r="4180">
      <c r="A4180" s="234"/>
      <c r="B4180" s="235"/>
      <c r="C4180" s="235"/>
      <c r="D4180" s="196"/>
      <c r="E4180" s="196"/>
    </row>
    <row r="4181">
      <c r="A4181" s="234"/>
      <c r="B4181" s="235"/>
      <c r="C4181" s="235"/>
      <c r="D4181" s="196"/>
      <c r="E4181" s="196"/>
    </row>
    <row r="4182">
      <c r="A4182" s="234"/>
      <c r="B4182" s="235"/>
      <c r="C4182" s="235"/>
      <c r="D4182" s="196"/>
      <c r="E4182" s="196"/>
    </row>
    <row r="4183">
      <c r="A4183" s="234"/>
      <c r="B4183" s="235"/>
      <c r="C4183" s="235"/>
      <c r="D4183" s="196"/>
      <c r="E4183" s="196"/>
    </row>
    <row r="4184">
      <c r="A4184" s="234"/>
      <c r="B4184" s="235"/>
      <c r="C4184" s="235"/>
      <c r="D4184" s="196"/>
      <c r="E4184" s="196"/>
    </row>
    <row r="4185">
      <c r="A4185" s="234"/>
      <c r="B4185" s="235"/>
      <c r="C4185" s="235"/>
      <c r="D4185" s="196"/>
      <c r="E4185" s="196"/>
    </row>
    <row r="4186">
      <c r="A4186" s="234"/>
      <c r="B4186" s="235"/>
      <c r="C4186" s="235"/>
      <c r="D4186" s="196"/>
      <c r="E4186" s="196"/>
    </row>
    <row r="4187">
      <c r="A4187" s="234"/>
      <c r="B4187" s="235"/>
      <c r="C4187" s="235"/>
      <c r="D4187" s="196"/>
      <c r="E4187" s="196"/>
    </row>
    <row r="4188">
      <c r="A4188" s="234"/>
      <c r="B4188" s="235"/>
      <c r="C4188" s="235"/>
      <c r="D4188" s="196"/>
      <c r="E4188" s="196"/>
    </row>
    <row r="4189">
      <c r="A4189" s="234"/>
      <c r="B4189" s="235"/>
      <c r="C4189" s="235"/>
      <c r="D4189" s="196"/>
      <c r="E4189" s="196"/>
    </row>
    <row r="4190">
      <c r="A4190" s="234"/>
      <c r="B4190" s="235"/>
      <c r="C4190" s="235"/>
      <c r="D4190" s="196"/>
      <c r="E4190" s="196"/>
    </row>
    <row r="4191">
      <c r="A4191" s="234"/>
      <c r="B4191" s="235"/>
      <c r="C4191" s="235"/>
      <c r="D4191" s="196"/>
      <c r="E4191" s="196"/>
    </row>
    <row r="4192">
      <c r="A4192" s="234"/>
      <c r="B4192" s="235"/>
      <c r="C4192" s="235"/>
      <c r="D4192" s="196"/>
      <c r="E4192" s="196"/>
    </row>
    <row r="4193">
      <c r="A4193" s="234"/>
      <c r="B4193" s="235"/>
      <c r="C4193" s="235"/>
      <c r="D4193" s="196"/>
      <c r="E4193" s="196"/>
    </row>
    <row r="4194">
      <c r="A4194" s="234"/>
      <c r="B4194" s="235"/>
      <c r="C4194" s="235"/>
      <c r="D4194" s="196"/>
      <c r="E4194" s="196"/>
    </row>
    <row r="4195">
      <c r="A4195" s="234"/>
      <c r="B4195" s="235"/>
      <c r="C4195" s="235"/>
      <c r="D4195" s="196"/>
      <c r="E4195" s="196"/>
    </row>
    <row r="4196">
      <c r="A4196" s="234"/>
      <c r="B4196" s="235"/>
      <c r="C4196" s="235"/>
      <c r="D4196" s="196"/>
      <c r="E4196" s="196"/>
    </row>
    <row r="4197">
      <c r="A4197" s="234"/>
      <c r="B4197" s="235"/>
      <c r="C4197" s="235"/>
      <c r="D4197" s="196"/>
      <c r="E4197" s="196"/>
    </row>
    <row r="4198">
      <c r="A4198" s="234"/>
      <c r="B4198" s="235"/>
      <c r="C4198" s="235"/>
      <c r="D4198" s="196"/>
      <c r="E4198" s="196"/>
    </row>
    <row r="4199">
      <c r="A4199" s="234"/>
      <c r="B4199" s="235"/>
      <c r="C4199" s="235"/>
      <c r="D4199" s="196"/>
      <c r="E4199" s="196"/>
    </row>
    <row r="4200">
      <c r="A4200" s="234"/>
      <c r="B4200" s="235"/>
      <c r="C4200" s="235"/>
      <c r="D4200" s="196"/>
      <c r="E4200" s="196"/>
    </row>
    <row r="4201">
      <c r="A4201" s="234"/>
      <c r="B4201" s="235"/>
      <c r="C4201" s="235"/>
      <c r="D4201" s="196"/>
      <c r="E4201" s="196"/>
    </row>
    <row r="4202">
      <c r="A4202" s="234"/>
      <c r="B4202" s="235"/>
      <c r="C4202" s="235"/>
      <c r="D4202" s="196"/>
      <c r="E4202" s="196"/>
    </row>
    <row r="4203">
      <c r="A4203" s="234"/>
      <c r="B4203" s="235"/>
      <c r="C4203" s="235"/>
      <c r="D4203" s="196"/>
      <c r="E4203" s="196"/>
    </row>
    <row r="4204">
      <c r="A4204" s="234"/>
      <c r="B4204" s="235"/>
      <c r="C4204" s="235"/>
      <c r="D4204" s="196"/>
      <c r="E4204" s="196"/>
    </row>
    <row r="4205">
      <c r="A4205" s="234"/>
      <c r="B4205" s="235"/>
      <c r="C4205" s="235"/>
      <c r="D4205" s="196"/>
      <c r="E4205" s="196"/>
    </row>
    <row r="4206">
      <c r="A4206" s="234"/>
      <c r="B4206" s="235"/>
      <c r="C4206" s="235"/>
      <c r="D4206" s="196"/>
      <c r="E4206" s="196"/>
    </row>
    <row r="4207">
      <c r="A4207" s="234"/>
      <c r="B4207" s="235"/>
      <c r="C4207" s="235"/>
      <c r="D4207" s="196"/>
      <c r="E4207" s="196"/>
    </row>
    <row r="4208">
      <c r="A4208" s="234"/>
      <c r="B4208" s="235"/>
      <c r="C4208" s="235"/>
      <c r="D4208" s="196"/>
      <c r="E4208" s="196"/>
    </row>
    <row r="4209">
      <c r="A4209" s="234"/>
      <c r="B4209" s="235"/>
      <c r="C4209" s="235"/>
      <c r="D4209" s="196"/>
      <c r="E4209" s="196"/>
    </row>
    <row r="4210">
      <c r="A4210" s="234"/>
      <c r="B4210" s="235"/>
      <c r="C4210" s="235"/>
      <c r="D4210" s="196"/>
      <c r="E4210" s="196"/>
    </row>
    <row r="4211">
      <c r="A4211" s="234"/>
      <c r="B4211" s="235"/>
      <c r="C4211" s="235"/>
      <c r="D4211" s="196"/>
      <c r="E4211" s="196"/>
    </row>
    <row r="4212">
      <c r="A4212" s="234"/>
      <c r="B4212" s="235"/>
      <c r="C4212" s="235"/>
      <c r="D4212" s="196"/>
      <c r="E4212" s="196"/>
    </row>
    <row r="4213">
      <c r="A4213" s="234"/>
      <c r="B4213" s="235"/>
      <c r="C4213" s="235"/>
      <c r="D4213" s="196"/>
      <c r="E4213" s="196"/>
    </row>
    <row r="4214">
      <c r="A4214" s="234"/>
      <c r="B4214" s="235"/>
      <c r="C4214" s="235"/>
      <c r="D4214" s="196"/>
      <c r="E4214" s="196"/>
    </row>
    <row r="4215">
      <c r="A4215" s="234"/>
      <c r="B4215" s="235"/>
      <c r="C4215" s="235"/>
      <c r="D4215" s="196"/>
      <c r="E4215" s="196"/>
    </row>
    <row r="4216">
      <c r="A4216" s="234"/>
      <c r="B4216" s="235"/>
      <c r="C4216" s="235"/>
      <c r="D4216" s="196"/>
      <c r="E4216" s="196"/>
    </row>
    <row r="4217">
      <c r="A4217" s="234"/>
      <c r="B4217" s="235"/>
      <c r="C4217" s="235"/>
      <c r="D4217" s="196"/>
      <c r="E4217" s="196"/>
    </row>
    <row r="4218">
      <c r="A4218" s="234"/>
      <c r="B4218" s="235"/>
      <c r="C4218" s="235"/>
      <c r="D4218" s="196"/>
      <c r="E4218" s="196"/>
    </row>
    <row r="4219">
      <c r="A4219" s="234"/>
      <c r="B4219" s="235"/>
      <c r="C4219" s="235"/>
      <c r="D4219" s="196"/>
      <c r="E4219" s="196"/>
    </row>
    <row r="4220">
      <c r="A4220" s="234"/>
      <c r="B4220" s="235"/>
      <c r="C4220" s="235"/>
      <c r="D4220" s="196"/>
      <c r="E4220" s="196"/>
    </row>
    <row r="4221">
      <c r="A4221" s="234"/>
      <c r="B4221" s="235"/>
      <c r="C4221" s="235"/>
      <c r="D4221" s="196"/>
      <c r="E4221" s="196"/>
    </row>
    <row r="4222">
      <c r="A4222" s="234"/>
      <c r="B4222" s="235"/>
      <c r="C4222" s="235"/>
      <c r="D4222" s="196"/>
      <c r="E4222" s="196"/>
    </row>
    <row r="4223">
      <c r="A4223" s="234"/>
      <c r="B4223" s="235"/>
      <c r="C4223" s="235"/>
      <c r="D4223" s="196"/>
      <c r="E4223" s="196"/>
    </row>
    <row r="4224">
      <c r="A4224" s="234"/>
      <c r="B4224" s="235"/>
      <c r="C4224" s="235"/>
      <c r="D4224" s="196"/>
      <c r="E4224" s="196"/>
    </row>
    <row r="4225">
      <c r="A4225" s="234"/>
      <c r="B4225" s="235"/>
      <c r="C4225" s="235"/>
      <c r="D4225" s="196"/>
      <c r="E4225" s="196"/>
    </row>
    <row r="4226">
      <c r="A4226" s="234"/>
      <c r="B4226" s="235"/>
      <c r="C4226" s="235"/>
      <c r="D4226" s="196"/>
      <c r="E4226" s="196"/>
    </row>
    <row r="4227">
      <c r="A4227" s="234"/>
      <c r="B4227" s="235"/>
      <c r="C4227" s="235"/>
      <c r="D4227" s="196"/>
      <c r="E4227" s="196"/>
    </row>
    <row r="4228">
      <c r="A4228" s="234"/>
      <c r="B4228" s="235"/>
      <c r="C4228" s="235"/>
      <c r="D4228" s="196"/>
      <c r="E4228" s="196"/>
    </row>
    <row r="4229">
      <c r="A4229" s="234"/>
      <c r="B4229" s="235"/>
      <c r="C4229" s="235"/>
      <c r="D4229" s="196"/>
      <c r="E4229" s="196"/>
    </row>
    <row r="4230">
      <c r="A4230" s="234"/>
      <c r="B4230" s="235"/>
      <c r="C4230" s="235"/>
      <c r="D4230" s="196"/>
      <c r="E4230" s="196"/>
    </row>
    <row r="4231">
      <c r="A4231" s="234"/>
      <c r="B4231" s="235"/>
      <c r="C4231" s="235"/>
      <c r="D4231" s="196"/>
      <c r="E4231" s="196"/>
    </row>
    <row r="4232">
      <c r="A4232" s="234"/>
      <c r="B4232" s="235"/>
      <c r="C4232" s="235"/>
      <c r="D4232" s="196"/>
      <c r="E4232" s="196"/>
    </row>
    <row r="4233">
      <c r="A4233" s="234"/>
      <c r="B4233" s="235"/>
      <c r="C4233" s="235"/>
      <c r="D4233" s="196"/>
      <c r="E4233" s="196"/>
    </row>
    <row r="4234">
      <c r="A4234" s="234"/>
      <c r="B4234" s="235"/>
      <c r="C4234" s="235"/>
      <c r="D4234" s="196"/>
      <c r="E4234" s="196"/>
    </row>
    <row r="4235">
      <c r="A4235" s="234"/>
      <c r="B4235" s="235"/>
      <c r="C4235" s="235"/>
      <c r="D4235" s="196"/>
      <c r="E4235" s="196"/>
    </row>
    <row r="4236">
      <c r="A4236" s="234"/>
      <c r="B4236" s="235"/>
      <c r="C4236" s="235"/>
      <c r="D4236" s="196"/>
      <c r="E4236" s="196"/>
    </row>
    <row r="4237">
      <c r="A4237" s="234"/>
      <c r="B4237" s="235"/>
      <c r="C4237" s="235"/>
      <c r="D4237" s="196"/>
      <c r="E4237" s="196"/>
    </row>
    <row r="4238">
      <c r="A4238" s="234"/>
      <c r="B4238" s="235"/>
      <c r="C4238" s="235"/>
      <c r="D4238" s="196"/>
      <c r="E4238" s="196"/>
    </row>
    <row r="4239">
      <c r="A4239" s="234"/>
      <c r="B4239" s="235"/>
      <c r="C4239" s="235"/>
      <c r="D4239" s="196"/>
      <c r="E4239" s="196"/>
    </row>
    <row r="4240">
      <c r="A4240" s="234"/>
      <c r="B4240" s="235"/>
      <c r="C4240" s="235"/>
      <c r="D4240" s="196"/>
      <c r="E4240" s="196"/>
    </row>
    <row r="4241">
      <c r="A4241" s="234"/>
      <c r="B4241" s="235"/>
      <c r="C4241" s="235"/>
      <c r="D4241" s="196"/>
      <c r="E4241" s="196"/>
    </row>
    <row r="4242">
      <c r="A4242" s="234"/>
      <c r="B4242" s="235"/>
      <c r="C4242" s="235"/>
      <c r="D4242" s="196"/>
      <c r="E4242" s="196"/>
    </row>
    <row r="4243">
      <c r="A4243" s="234"/>
      <c r="B4243" s="235"/>
      <c r="C4243" s="235"/>
      <c r="D4243" s="196"/>
      <c r="E4243" s="196"/>
    </row>
    <row r="4244">
      <c r="A4244" s="234"/>
      <c r="B4244" s="235"/>
      <c r="C4244" s="235"/>
      <c r="D4244" s="196"/>
      <c r="E4244" s="196"/>
    </row>
    <row r="4245">
      <c r="A4245" s="234"/>
      <c r="B4245" s="235"/>
      <c r="C4245" s="235"/>
      <c r="D4245" s="196"/>
      <c r="E4245" s="196"/>
    </row>
    <row r="4246">
      <c r="A4246" s="234"/>
      <c r="B4246" s="235"/>
      <c r="C4246" s="235"/>
      <c r="D4246" s="196"/>
      <c r="E4246" s="196"/>
    </row>
    <row r="4247">
      <c r="A4247" s="234"/>
      <c r="B4247" s="235"/>
      <c r="C4247" s="235"/>
      <c r="D4247" s="196"/>
      <c r="E4247" s="196"/>
    </row>
    <row r="4248">
      <c r="A4248" s="234"/>
      <c r="B4248" s="235"/>
      <c r="C4248" s="235"/>
      <c r="D4248" s="196"/>
      <c r="E4248" s="196"/>
    </row>
    <row r="4249">
      <c r="A4249" s="234"/>
      <c r="B4249" s="235"/>
      <c r="C4249" s="235"/>
      <c r="D4249" s="196"/>
      <c r="E4249" s="196"/>
    </row>
    <row r="4250">
      <c r="A4250" s="234"/>
      <c r="B4250" s="235"/>
      <c r="C4250" s="235"/>
      <c r="D4250" s="196"/>
      <c r="E4250" s="196"/>
    </row>
    <row r="4251">
      <c r="A4251" s="234"/>
      <c r="B4251" s="235"/>
      <c r="C4251" s="235"/>
      <c r="D4251" s="196"/>
      <c r="E4251" s="196"/>
    </row>
    <row r="4252">
      <c r="A4252" s="234"/>
      <c r="B4252" s="235"/>
      <c r="C4252" s="235"/>
      <c r="D4252" s="196"/>
      <c r="E4252" s="196"/>
    </row>
    <row r="4253">
      <c r="A4253" s="234"/>
      <c r="B4253" s="235"/>
      <c r="C4253" s="235"/>
      <c r="D4253" s="196"/>
      <c r="E4253" s="196"/>
    </row>
    <row r="4254">
      <c r="A4254" s="234"/>
      <c r="B4254" s="235"/>
      <c r="C4254" s="235"/>
      <c r="D4254" s="196"/>
      <c r="E4254" s="196"/>
    </row>
    <row r="4255">
      <c r="A4255" s="234"/>
      <c r="B4255" s="235"/>
      <c r="C4255" s="235"/>
      <c r="D4255" s="196"/>
      <c r="E4255" s="196"/>
    </row>
    <row r="4256">
      <c r="A4256" s="234"/>
      <c r="B4256" s="235"/>
      <c r="C4256" s="235"/>
      <c r="D4256" s="196"/>
      <c r="E4256" s="196"/>
    </row>
    <row r="4257">
      <c r="A4257" s="234"/>
      <c r="B4257" s="235"/>
      <c r="C4257" s="235"/>
      <c r="D4257" s="196"/>
      <c r="E4257" s="196"/>
    </row>
    <row r="4258">
      <c r="A4258" s="234"/>
      <c r="B4258" s="235"/>
      <c r="C4258" s="235"/>
      <c r="D4258" s="196"/>
      <c r="E4258" s="196"/>
    </row>
    <row r="4259">
      <c r="A4259" s="234"/>
      <c r="B4259" s="235"/>
      <c r="C4259" s="235"/>
      <c r="D4259" s="196"/>
      <c r="E4259" s="196"/>
    </row>
    <row r="4260">
      <c r="A4260" s="234"/>
      <c r="B4260" s="235"/>
      <c r="C4260" s="235"/>
      <c r="D4260" s="196"/>
      <c r="E4260" s="196"/>
    </row>
    <row r="4261">
      <c r="A4261" s="234"/>
      <c r="B4261" s="235"/>
      <c r="C4261" s="235"/>
      <c r="D4261" s="196"/>
      <c r="E4261" s="196"/>
    </row>
    <row r="4262">
      <c r="A4262" s="234"/>
      <c r="B4262" s="235"/>
      <c r="C4262" s="235"/>
      <c r="D4262" s="196"/>
      <c r="E4262" s="196"/>
    </row>
    <row r="4263">
      <c r="A4263" s="234"/>
      <c r="B4263" s="235"/>
      <c r="C4263" s="235"/>
      <c r="D4263" s="196"/>
      <c r="E4263" s="196"/>
    </row>
    <row r="4264">
      <c r="A4264" s="234"/>
      <c r="B4264" s="235"/>
      <c r="C4264" s="235"/>
      <c r="D4264" s="196"/>
      <c r="E4264" s="196"/>
    </row>
    <row r="4265">
      <c r="A4265" s="234"/>
      <c r="B4265" s="235"/>
      <c r="C4265" s="235"/>
      <c r="D4265" s="196"/>
      <c r="E4265" s="196"/>
    </row>
    <row r="4266">
      <c r="A4266" s="234"/>
      <c r="B4266" s="235"/>
      <c r="C4266" s="235"/>
      <c r="D4266" s="196"/>
      <c r="E4266" s="196"/>
    </row>
    <row r="4267">
      <c r="A4267" s="234"/>
      <c r="B4267" s="235"/>
      <c r="C4267" s="235"/>
      <c r="D4267" s="196"/>
      <c r="E4267" s="196"/>
    </row>
    <row r="4268">
      <c r="A4268" s="234"/>
      <c r="B4268" s="235"/>
      <c r="C4268" s="235"/>
      <c r="D4268" s="196"/>
      <c r="E4268" s="196"/>
    </row>
    <row r="4269">
      <c r="A4269" s="234"/>
      <c r="B4269" s="235"/>
      <c r="C4269" s="235"/>
      <c r="D4269" s="196"/>
      <c r="E4269" s="196"/>
    </row>
    <row r="4270">
      <c r="A4270" s="234"/>
      <c r="B4270" s="235"/>
      <c r="C4270" s="235"/>
      <c r="D4270" s="196"/>
      <c r="E4270" s="196"/>
    </row>
    <row r="4271">
      <c r="A4271" s="234"/>
      <c r="B4271" s="235"/>
      <c r="C4271" s="235"/>
      <c r="D4271" s="196"/>
      <c r="E4271" s="196"/>
    </row>
    <row r="4272">
      <c r="A4272" s="234"/>
      <c r="B4272" s="235"/>
      <c r="C4272" s="235"/>
      <c r="D4272" s="196"/>
      <c r="E4272" s="196"/>
    </row>
    <row r="4273">
      <c r="A4273" s="234"/>
      <c r="B4273" s="235"/>
      <c r="C4273" s="235"/>
      <c r="D4273" s="196"/>
      <c r="E4273" s="196"/>
    </row>
    <row r="4274">
      <c r="A4274" s="234"/>
      <c r="B4274" s="235"/>
      <c r="C4274" s="235"/>
      <c r="D4274" s="196"/>
      <c r="E4274" s="196"/>
    </row>
    <row r="4275">
      <c r="A4275" s="234"/>
      <c r="B4275" s="235"/>
      <c r="C4275" s="235"/>
      <c r="D4275" s="196"/>
      <c r="E4275" s="196"/>
    </row>
    <row r="4276">
      <c r="A4276" s="234"/>
      <c r="B4276" s="235"/>
      <c r="C4276" s="235"/>
      <c r="D4276" s="196"/>
      <c r="E4276" s="196"/>
    </row>
    <row r="4277">
      <c r="A4277" s="234"/>
      <c r="B4277" s="235"/>
      <c r="C4277" s="235"/>
      <c r="D4277" s="196"/>
      <c r="E4277" s="196"/>
    </row>
    <row r="4278">
      <c r="A4278" s="234"/>
      <c r="B4278" s="235"/>
      <c r="C4278" s="235"/>
      <c r="D4278" s="196"/>
      <c r="E4278" s="196"/>
    </row>
    <row r="4279">
      <c r="A4279" s="234"/>
      <c r="B4279" s="235"/>
      <c r="C4279" s="235"/>
      <c r="D4279" s="196"/>
      <c r="E4279" s="196"/>
    </row>
    <row r="4280">
      <c r="A4280" s="234"/>
      <c r="B4280" s="235"/>
      <c r="C4280" s="235"/>
      <c r="D4280" s="196"/>
      <c r="E4280" s="196"/>
    </row>
    <row r="4281">
      <c r="A4281" s="234"/>
      <c r="B4281" s="235"/>
      <c r="C4281" s="235"/>
      <c r="D4281" s="196"/>
      <c r="E4281" s="196"/>
    </row>
    <row r="4282">
      <c r="A4282" s="234"/>
      <c r="B4282" s="235"/>
      <c r="C4282" s="235"/>
      <c r="D4282" s="196"/>
      <c r="E4282" s="196"/>
    </row>
    <row r="4283">
      <c r="A4283" s="234"/>
      <c r="B4283" s="235"/>
      <c r="C4283" s="235"/>
      <c r="D4283" s="196"/>
      <c r="E4283" s="196"/>
    </row>
    <row r="4284">
      <c r="A4284" s="234"/>
      <c r="B4284" s="235"/>
      <c r="C4284" s="235"/>
      <c r="D4284" s="196"/>
      <c r="E4284" s="196"/>
    </row>
    <row r="4285">
      <c r="A4285" s="234"/>
      <c r="B4285" s="235"/>
      <c r="C4285" s="235"/>
      <c r="D4285" s="196"/>
      <c r="E4285" s="196"/>
    </row>
    <row r="4286">
      <c r="A4286" s="234"/>
      <c r="B4286" s="235"/>
      <c r="C4286" s="235"/>
      <c r="D4286" s="196"/>
      <c r="E4286" s="196"/>
    </row>
    <row r="4287">
      <c r="A4287" s="234"/>
      <c r="B4287" s="235"/>
      <c r="C4287" s="235"/>
      <c r="D4287" s="196"/>
      <c r="E4287" s="196"/>
    </row>
    <row r="4288">
      <c r="A4288" s="234"/>
      <c r="B4288" s="235"/>
      <c r="C4288" s="235"/>
      <c r="D4288" s="196"/>
      <c r="E4288" s="196"/>
    </row>
    <row r="4289">
      <c r="A4289" s="234"/>
      <c r="B4289" s="235"/>
      <c r="C4289" s="235"/>
      <c r="D4289" s="196"/>
      <c r="E4289" s="196"/>
    </row>
    <row r="4290">
      <c r="A4290" s="234"/>
      <c r="B4290" s="235"/>
      <c r="C4290" s="235"/>
      <c r="D4290" s="196"/>
      <c r="E4290" s="196"/>
    </row>
    <row r="4291">
      <c r="A4291" s="234"/>
      <c r="B4291" s="235"/>
      <c r="C4291" s="235"/>
      <c r="D4291" s="196"/>
      <c r="E4291" s="196"/>
    </row>
    <row r="4292">
      <c r="A4292" s="234"/>
      <c r="B4292" s="235"/>
      <c r="C4292" s="235"/>
      <c r="D4292" s="196"/>
      <c r="E4292" s="196"/>
    </row>
    <row r="4293">
      <c r="A4293" s="234"/>
      <c r="B4293" s="235"/>
      <c r="C4293" s="235"/>
      <c r="D4293" s="196"/>
      <c r="E4293" s="196"/>
    </row>
    <row r="4294">
      <c r="A4294" s="234"/>
      <c r="B4294" s="235"/>
      <c r="C4294" s="235"/>
      <c r="D4294" s="196"/>
      <c r="E4294" s="196"/>
    </row>
    <row r="4295">
      <c r="A4295" s="234"/>
      <c r="B4295" s="235"/>
      <c r="C4295" s="235"/>
      <c r="D4295" s="196"/>
      <c r="E4295" s="196"/>
    </row>
    <row r="4296">
      <c r="A4296" s="234"/>
      <c r="B4296" s="235"/>
      <c r="C4296" s="235"/>
      <c r="D4296" s="196"/>
      <c r="E4296" s="196"/>
    </row>
    <row r="4297">
      <c r="A4297" s="234"/>
      <c r="B4297" s="235"/>
      <c r="C4297" s="235"/>
      <c r="D4297" s="196"/>
      <c r="E4297" s="196"/>
    </row>
    <row r="4298">
      <c r="A4298" s="234"/>
      <c r="B4298" s="235"/>
      <c r="C4298" s="235"/>
      <c r="D4298" s="196"/>
      <c r="E4298" s="196"/>
    </row>
    <row r="4299">
      <c r="A4299" s="234"/>
      <c r="B4299" s="235"/>
      <c r="C4299" s="235"/>
      <c r="D4299" s="196"/>
      <c r="E4299" s="196"/>
    </row>
    <row r="4300">
      <c r="A4300" s="234"/>
      <c r="B4300" s="235"/>
      <c r="C4300" s="235"/>
      <c r="D4300" s="196"/>
      <c r="E4300" s="196"/>
    </row>
    <row r="4301">
      <c r="A4301" s="234"/>
      <c r="B4301" s="235"/>
      <c r="C4301" s="235"/>
      <c r="D4301" s="196"/>
      <c r="E4301" s="196"/>
    </row>
    <row r="4302">
      <c r="A4302" s="234"/>
      <c r="B4302" s="235"/>
      <c r="C4302" s="235"/>
      <c r="D4302" s="196"/>
      <c r="E4302" s="196"/>
    </row>
    <row r="4303">
      <c r="A4303" s="234"/>
      <c r="B4303" s="235"/>
      <c r="C4303" s="235"/>
      <c r="D4303" s="196"/>
      <c r="E4303" s="196"/>
    </row>
    <row r="4304">
      <c r="A4304" s="234"/>
      <c r="B4304" s="235"/>
      <c r="C4304" s="235"/>
      <c r="D4304" s="196"/>
      <c r="E4304" s="196"/>
    </row>
    <row r="4305">
      <c r="A4305" s="234"/>
      <c r="B4305" s="235"/>
      <c r="C4305" s="235"/>
      <c r="D4305" s="196"/>
      <c r="E4305" s="196"/>
    </row>
    <row r="4306">
      <c r="A4306" s="234"/>
      <c r="B4306" s="235"/>
      <c r="C4306" s="235"/>
      <c r="D4306" s="196"/>
      <c r="E4306" s="196"/>
    </row>
    <row r="4307">
      <c r="A4307" s="234"/>
      <c r="B4307" s="235"/>
      <c r="C4307" s="235"/>
      <c r="D4307" s="196"/>
      <c r="E4307" s="196"/>
    </row>
    <row r="4308">
      <c r="A4308" s="234"/>
      <c r="B4308" s="235"/>
      <c r="C4308" s="235"/>
      <c r="D4308" s="196"/>
      <c r="E4308" s="196"/>
    </row>
    <row r="4309">
      <c r="A4309" s="234"/>
      <c r="B4309" s="235"/>
      <c r="C4309" s="235"/>
      <c r="D4309" s="196"/>
      <c r="E4309" s="196"/>
    </row>
    <row r="4310">
      <c r="A4310" s="234"/>
      <c r="B4310" s="235"/>
      <c r="C4310" s="235"/>
      <c r="D4310" s="196"/>
      <c r="E4310" s="196"/>
    </row>
    <row r="4311">
      <c r="A4311" s="234"/>
      <c r="B4311" s="235"/>
      <c r="C4311" s="235"/>
      <c r="D4311" s="196"/>
      <c r="E4311" s="196"/>
    </row>
    <row r="4312">
      <c r="A4312" s="234"/>
      <c r="B4312" s="235"/>
      <c r="C4312" s="235"/>
      <c r="D4312" s="196"/>
      <c r="E4312" s="196"/>
    </row>
    <row r="4313">
      <c r="A4313" s="234"/>
      <c r="B4313" s="235"/>
      <c r="C4313" s="235"/>
      <c r="D4313" s="196"/>
      <c r="E4313" s="196"/>
    </row>
    <row r="4314">
      <c r="A4314" s="234"/>
      <c r="B4314" s="235"/>
      <c r="C4314" s="235"/>
      <c r="D4314" s="196"/>
      <c r="E4314" s="196"/>
    </row>
    <row r="4315">
      <c r="A4315" s="234"/>
      <c r="B4315" s="235"/>
      <c r="C4315" s="235"/>
      <c r="D4315" s="196"/>
      <c r="E4315" s="196"/>
    </row>
    <row r="4316">
      <c r="A4316" s="234"/>
      <c r="B4316" s="235"/>
      <c r="C4316" s="235"/>
      <c r="D4316" s="196"/>
      <c r="E4316" s="196"/>
    </row>
    <row r="4317">
      <c r="A4317" s="234"/>
      <c r="B4317" s="235"/>
      <c r="C4317" s="235"/>
      <c r="D4317" s="196"/>
      <c r="E4317" s="196"/>
    </row>
    <row r="4318">
      <c r="A4318" s="234"/>
      <c r="B4318" s="235"/>
      <c r="C4318" s="235"/>
      <c r="D4318" s="196"/>
      <c r="E4318" s="196"/>
    </row>
    <row r="4319">
      <c r="A4319" s="234"/>
      <c r="B4319" s="235"/>
      <c r="C4319" s="235"/>
      <c r="D4319" s="196"/>
      <c r="E4319" s="196"/>
    </row>
    <row r="4320">
      <c r="A4320" s="234"/>
      <c r="B4320" s="235"/>
      <c r="C4320" s="235"/>
      <c r="D4320" s="196"/>
      <c r="E4320" s="196"/>
    </row>
    <row r="4321">
      <c r="A4321" s="234"/>
      <c r="B4321" s="235"/>
      <c r="C4321" s="235"/>
      <c r="D4321" s="196"/>
      <c r="E4321" s="196"/>
    </row>
    <row r="4322">
      <c r="A4322" s="234"/>
      <c r="B4322" s="235"/>
      <c r="C4322" s="235"/>
      <c r="D4322" s="196"/>
      <c r="E4322" s="196"/>
    </row>
    <row r="4323">
      <c r="A4323" s="234"/>
      <c r="B4323" s="235"/>
      <c r="C4323" s="235"/>
      <c r="D4323" s="196"/>
      <c r="E4323" s="196"/>
    </row>
    <row r="4324">
      <c r="A4324" s="234"/>
      <c r="B4324" s="235"/>
      <c r="C4324" s="235"/>
      <c r="D4324" s="196"/>
      <c r="E4324" s="196"/>
    </row>
    <row r="4325">
      <c r="A4325" s="234"/>
      <c r="B4325" s="235"/>
      <c r="C4325" s="235"/>
      <c r="D4325" s="196"/>
      <c r="E4325" s="196"/>
    </row>
    <row r="4326">
      <c r="A4326" s="234"/>
      <c r="B4326" s="235"/>
      <c r="C4326" s="235"/>
      <c r="D4326" s="196"/>
      <c r="E4326" s="196"/>
    </row>
    <row r="4327">
      <c r="A4327" s="234"/>
      <c r="B4327" s="235"/>
      <c r="C4327" s="235"/>
      <c r="D4327" s="196"/>
      <c r="E4327" s="196"/>
    </row>
    <row r="4328">
      <c r="A4328" s="234"/>
      <c r="B4328" s="235"/>
      <c r="C4328" s="235"/>
      <c r="D4328" s="196"/>
      <c r="E4328" s="196"/>
    </row>
    <row r="4329">
      <c r="A4329" s="234"/>
      <c r="B4329" s="235"/>
      <c r="C4329" s="235"/>
      <c r="D4329" s="196"/>
      <c r="E4329" s="196"/>
    </row>
    <row r="4330">
      <c r="A4330" s="234"/>
      <c r="B4330" s="235"/>
      <c r="C4330" s="235"/>
      <c r="D4330" s="196"/>
      <c r="E4330" s="196"/>
    </row>
    <row r="4331">
      <c r="A4331" s="234"/>
      <c r="B4331" s="235"/>
      <c r="C4331" s="235"/>
      <c r="D4331" s="196"/>
      <c r="E4331" s="196"/>
    </row>
    <row r="4332">
      <c r="A4332" s="234"/>
      <c r="B4332" s="235"/>
      <c r="C4332" s="235"/>
      <c r="D4332" s="196"/>
      <c r="E4332" s="196"/>
    </row>
    <row r="4333">
      <c r="A4333" s="234"/>
      <c r="B4333" s="235"/>
      <c r="C4333" s="235"/>
      <c r="D4333" s="196"/>
      <c r="E4333" s="196"/>
    </row>
    <row r="4334">
      <c r="A4334" s="234"/>
      <c r="B4334" s="235"/>
      <c r="C4334" s="235"/>
      <c r="D4334" s="196"/>
      <c r="E4334" s="196"/>
    </row>
    <row r="4335">
      <c r="A4335" s="234"/>
      <c r="B4335" s="235"/>
      <c r="C4335" s="235"/>
      <c r="D4335" s="196"/>
      <c r="E4335" s="196"/>
    </row>
    <row r="4336">
      <c r="A4336" s="234"/>
      <c r="B4336" s="235"/>
      <c r="C4336" s="235"/>
      <c r="D4336" s="196"/>
      <c r="E4336" s="196"/>
    </row>
    <row r="4337">
      <c r="A4337" s="234"/>
      <c r="B4337" s="235"/>
      <c r="C4337" s="235"/>
      <c r="D4337" s="196"/>
      <c r="E4337" s="196"/>
    </row>
    <row r="4338">
      <c r="A4338" s="234"/>
      <c r="B4338" s="235"/>
      <c r="C4338" s="235"/>
      <c r="D4338" s="196"/>
      <c r="E4338" s="196"/>
    </row>
    <row r="4339">
      <c r="A4339" s="234"/>
      <c r="B4339" s="235"/>
      <c r="C4339" s="235"/>
      <c r="D4339" s="196"/>
      <c r="E4339" s="196"/>
    </row>
    <row r="4340">
      <c r="A4340" s="234"/>
      <c r="B4340" s="235"/>
      <c r="C4340" s="235"/>
      <c r="D4340" s="196"/>
      <c r="E4340" s="196"/>
    </row>
    <row r="4341">
      <c r="A4341" s="234"/>
      <c r="B4341" s="235"/>
      <c r="C4341" s="235"/>
      <c r="D4341" s="196"/>
      <c r="E4341" s="196"/>
    </row>
    <row r="4342">
      <c r="A4342" s="234"/>
      <c r="B4342" s="235"/>
      <c r="C4342" s="235"/>
      <c r="D4342" s="196"/>
      <c r="E4342" s="196"/>
    </row>
    <row r="4343">
      <c r="A4343" s="234"/>
      <c r="B4343" s="235"/>
      <c r="C4343" s="235"/>
      <c r="D4343" s="196"/>
      <c r="E4343" s="196"/>
    </row>
    <row r="4344">
      <c r="A4344" s="234"/>
      <c r="B4344" s="235"/>
      <c r="C4344" s="235"/>
      <c r="D4344" s="196"/>
      <c r="E4344" s="196"/>
    </row>
    <row r="4345">
      <c r="A4345" s="234"/>
      <c r="B4345" s="235"/>
      <c r="C4345" s="235"/>
      <c r="D4345" s="196"/>
      <c r="E4345" s="196"/>
    </row>
    <row r="4346">
      <c r="A4346" s="234"/>
      <c r="B4346" s="235"/>
      <c r="C4346" s="235"/>
      <c r="D4346" s="196"/>
      <c r="E4346" s="196"/>
    </row>
    <row r="4347">
      <c r="A4347" s="234"/>
      <c r="B4347" s="235"/>
      <c r="C4347" s="235"/>
      <c r="D4347" s="196"/>
      <c r="E4347" s="196"/>
    </row>
    <row r="4348">
      <c r="A4348" s="234"/>
      <c r="B4348" s="235"/>
      <c r="C4348" s="235"/>
      <c r="D4348" s="196"/>
      <c r="E4348" s="196"/>
    </row>
    <row r="4349">
      <c r="A4349" s="234"/>
      <c r="B4349" s="235"/>
      <c r="C4349" s="235"/>
      <c r="D4349" s="196"/>
      <c r="E4349" s="196"/>
    </row>
    <row r="4350">
      <c r="A4350" s="234"/>
      <c r="B4350" s="235"/>
      <c r="C4350" s="235"/>
      <c r="D4350" s="196"/>
      <c r="E4350" s="196"/>
    </row>
    <row r="4351">
      <c r="A4351" s="234"/>
      <c r="B4351" s="235"/>
      <c r="C4351" s="235"/>
      <c r="D4351" s="196"/>
      <c r="E4351" s="196"/>
    </row>
    <row r="4352">
      <c r="A4352" s="234"/>
      <c r="B4352" s="235"/>
      <c r="C4352" s="235"/>
      <c r="D4352" s="196"/>
      <c r="E4352" s="196"/>
    </row>
    <row r="4353">
      <c r="A4353" s="234"/>
      <c r="B4353" s="235"/>
      <c r="C4353" s="235"/>
      <c r="D4353" s="196"/>
      <c r="E4353" s="196"/>
    </row>
    <row r="4354">
      <c r="A4354" s="234"/>
      <c r="B4354" s="235"/>
      <c r="C4354" s="235"/>
      <c r="D4354" s="196"/>
      <c r="E4354" s="196"/>
    </row>
    <row r="4355">
      <c r="A4355" s="234"/>
      <c r="B4355" s="235"/>
      <c r="C4355" s="235"/>
      <c r="D4355" s="196"/>
      <c r="E4355" s="196"/>
    </row>
    <row r="4356">
      <c r="A4356" s="234"/>
      <c r="B4356" s="235"/>
      <c r="C4356" s="235"/>
      <c r="D4356" s="196"/>
      <c r="E4356" s="196"/>
    </row>
    <row r="4357">
      <c r="A4357" s="234"/>
      <c r="B4357" s="235"/>
      <c r="C4357" s="235"/>
      <c r="D4357" s="196"/>
      <c r="E4357" s="196"/>
    </row>
    <row r="4358">
      <c r="A4358" s="234"/>
      <c r="B4358" s="235"/>
      <c r="C4358" s="235"/>
      <c r="D4358" s="196"/>
      <c r="E4358" s="196"/>
    </row>
    <row r="4359">
      <c r="A4359" s="234"/>
      <c r="B4359" s="235"/>
      <c r="C4359" s="235"/>
      <c r="D4359" s="196"/>
      <c r="E4359" s="196"/>
    </row>
    <row r="4360">
      <c r="A4360" s="234"/>
      <c r="B4360" s="235"/>
      <c r="C4360" s="235"/>
      <c r="D4360" s="196"/>
      <c r="E4360" s="196"/>
    </row>
    <row r="4361">
      <c r="A4361" s="234"/>
      <c r="B4361" s="235"/>
      <c r="C4361" s="235"/>
      <c r="D4361" s="196"/>
      <c r="E4361" s="196"/>
    </row>
    <row r="4362">
      <c r="A4362" s="234"/>
      <c r="B4362" s="235"/>
      <c r="C4362" s="235"/>
      <c r="D4362" s="196"/>
      <c r="E4362" s="196"/>
    </row>
    <row r="4363">
      <c r="A4363" s="234"/>
      <c r="B4363" s="235"/>
      <c r="C4363" s="235"/>
      <c r="D4363" s="196"/>
      <c r="E4363" s="196"/>
    </row>
    <row r="4364">
      <c r="A4364" s="234"/>
      <c r="B4364" s="235"/>
      <c r="C4364" s="235"/>
      <c r="D4364" s="196"/>
      <c r="E4364" s="196"/>
    </row>
    <row r="4365">
      <c r="A4365" s="234"/>
      <c r="B4365" s="235"/>
      <c r="C4365" s="235"/>
      <c r="D4365" s="196"/>
      <c r="E4365" s="196"/>
    </row>
    <row r="4366">
      <c r="A4366" s="234"/>
      <c r="B4366" s="235"/>
      <c r="C4366" s="235"/>
      <c r="D4366" s="196"/>
      <c r="E4366" s="196"/>
    </row>
    <row r="4367">
      <c r="A4367" s="234"/>
      <c r="B4367" s="235"/>
      <c r="C4367" s="235"/>
      <c r="D4367" s="196"/>
      <c r="E4367" s="196"/>
    </row>
    <row r="4368">
      <c r="A4368" s="234"/>
      <c r="B4368" s="235"/>
      <c r="C4368" s="235"/>
      <c r="D4368" s="196"/>
      <c r="E4368" s="196"/>
    </row>
    <row r="4369">
      <c r="A4369" s="234"/>
      <c r="B4369" s="235"/>
      <c r="C4369" s="235"/>
      <c r="D4369" s="196"/>
      <c r="E4369" s="196"/>
    </row>
    <row r="4370">
      <c r="A4370" s="234"/>
      <c r="B4370" s="235"/>
      <c r="C4370" s="235"/>
      <c r="D4370" s="196"/>
      <c r="E4370" s="196"/>
    </row>
    <row r="4371">
      <c r="A4371" s="234"/>
      <c r="B4371" s="235"/>
      <c r="C4371" s="235"/>
      <c r="D4371" s="196"/>
      <c r="E4371" s="196"/>
    </row>
    <row r="4372">
      <c r="A4372" s="234"/>
      <c r="B4372" s="235"/>
      <c r="C4372" s="235"/>
      <c r="D4372" s="196"/>
      <c r="E4372" s="196"/>
    </row>
    <row r="4373">
      <c r="A4373" s="234"/>
      <c r="B4373" s="235"/>
      <c r="C4373" s="235"/>
      <c r="D4373" s="196"/>
      <c r="E4373" s="196"/>
    </row>
    <row r="4374">
      <c r="A4374" s="234"/>
      <c r="B4374" s="235"/>
      <c r="C4374" s="235"/>
      <c r="D4374" s="196"/>
      <c r="E4374" s="196"/>
    </row>
    <row r="4375">
      <c r="A4375" s="234"/>
      <c r="B4375" s="235"/>
      <c r="C4375" s="235"/>
      <c r="D4375" s="196"/>
      <c r="E4375" s="196"/>
    </row>
    <row r="4376">
      <c r="A4376" s="234"/>
      <c r="B4376" s="235"/>
      <c r="C4376" s="235"/>
      <c r="D4376" s="196"/>
      <c r="E4376" s="196"/>
    </row>
    <row r="4377">
      <c r="A4377" s="234"/>
      <c r="B4377" s="235"/>
      <c r="C4377" s="235"/>
      <c r="D4377" s="196"/>
      <c r="E4377" s="196"/>
    </row>
    <row r="4378">
      <c r="A4378" s="234"/>
      <c r="B4378" s="235"/>
      <c r="C4378" s="235"/>
      <c r="D4378" s="196"/>
      <c r="E4378" s="196"/>
    </row>
    <row r="4379">
      <c r="A4379" s="234"/>
      <c r="B4379" s="235"/>
      <c r="C4379" s="235"/>
      <c r="D4379" s="196"/>
      <c r="E4379" s="196"/>
    </row>
    <row r="4380">
      <c r="A4380" s="234"/>
      <c r="B4380" s="235"/>
      <c r="C4380" s="235"/>
      <c r="D4380" s="196"/>
      <c r="E4380" s="196"/>
    </row>
    <row r="4381">
      <c r="A4381" s="234"/>
      <c r="B4381" s="235"/>
      <c r="C4381" s="235"/>
      <c r="D4381" s="196"/>
      <c r="E4381" s="196"/>
    </row>
    <row r="4382">
      <c r="A4382" s="234"/>
      <c r="B4382" s="235"/>
      <c r="C4382" s="235"/>
      <c r="D4382" s="196"/>
      <c r="E4382" s="196"/>
    </row>
    <row r="4383">
      <c r="A4383" s="234"/>
      <c r="B4383" s="235"/>
      <c r="C4383" s="235"/>
      <c r="D4383" s="196"/>
      <c r="E4383" s="196"/>
    </row>
    <row r="4384">
      <c r="A4384" s="234"/>
      <c r="B4384" s="235"/>
      <c r="C4384" s="235"/>
      <c r="D4384" s="196"/>
      <c r="E4384" s="196"/>
    </row>
    <row r="4385">
      <c r="A4385" s="234"/>
      <c r="B4385" s="235"/>
      <c r="C4385" s="235"/>
      <c r="D4385" s="196"/>
      <c r="E4385" s="196"/>
    </row>
    <row r="4386">
      <c r="A4386" s="234"/>
      <c r="B4386" s="235"/>
      <c r="C4386" s="235"/>
      <c r="D4386" s="196"/>
      <c r="E4386" s="196"/>
    </row>
    <row r="4387">
      <c r="A4387" s="234"/>
      <c r="B4387" s="235"/>
      <c r="C4387" s="235"/>
      <c r="D4387" s="196"/>
      <c r="E4387" s="196"/>
    </row>
    <row r="4388">
      <c r="A4388" s="234"/>
      <c r="B4388" s="235"/>
      <c r="C4388" s="235"/>
      <c r="D4388" s="196"/>
      <c r="E4388" s="196"/>
    </row>
    <row r="4389">
      <c r="A4389" s="234"/>
      <c r="B4389" s="235"/>
      <c r="C4389" s="235"/>
      <c r="D4389" s="196"/>
      <c r="E4389" s="196"/>
    </row>
    <row r="4390">
      <c r="A4390" s="234"/>
      <c r="B4390" s="235"/>
      <c r="C4390" s="235"/>
      <c r="D4390" s="196"/>
      <c r="E4390" s="196"/>
    </row>
    <row r="4391">
      <c r="A4391" s="234"/>
      <c r="B4391" s="235"/>
      <c r="C4391" s="235"/>
      <c r="D4391" s="196"/>
      <c r="E4391" s="196"/>
    </row>
    <row r="4392">
      <c r="A4392" s="234"/>
      <c r="B4392" s="235"/>
      <c r="C4392" s="235"/>
      <c r="D4392" s="196"/>
      <c r="E4392" s="196"/>
    </row>
    <row r="4393">
      <c r="A4393" s="234"/>
      <c r="B4393" s="235"/>
      <c r="C4393" s="235"/>
      <c r="D4393" s="196"/>
      <c r="E4393" s="196"/>
    </row>
    <row r="4394">
      <c r="A4394" s="234"/>
      <c r="B4394" s="235"/>
      <c r="C4394" s="235"/>
      <c r="D4394" s="196"/>
      <c r="E4394" s="196"/>
    </row>
    <row r="4395">
      <c r="A4395" s="234"/>
      <c r="B4395" s="235"/>
      <c r="C4395" s="235"/>
      <c r="D4395" s="196"/>
      <c r="E4395" s="196"/>
    </row>
    <row r="4396">
      <c r="A4396" s="234"/>
      <c r="B4396" s="235"/>
      <c r="C4396" s="235"/>
      <c r="D4396" s="196"/>
      <c r="E4396" s="196"/>
    </row>
    <row r="4397">
      <c r="A4397" s="234"/>
      <c r="B4397" s="235"/>
      <c r="C4397" s="235"/>
      <c r="D4397" s="196"/>
      <c r="E4397" s="196"/>
    </row>
    <row r="4398">
      <c r="A4398" s="234"/>
      <c r="B4398" s="235"/>
      <c r="C4398" s="235"/>
      <c r="D4398" s="196"/>
      <c r="E4398" s="196"/>
    </row>
    <row r="4399">
      <c r="A4399" s="234"/>
      <c r="B4399" s="235"/>
      <c r="C4399" s="235"/>
      <c r="D4399" s="196"/>
      <c r="E4399" s="196"/>
    </row>
    <row r="4400">
      <c r="A4400" s="234"/>
      <c r="B4400" s="235"/>
      <c r="C4400" s="235"/>
      <c r="D4400" s="196"/>
      <c r="E4400" s="196"/>
    </row>
    <row r="4401">
      <c r="A4401" s="234"/>
      <c r="B4401" s="235"/>
      <c r="C4401" s="235"/>
      <c r="D4401" s="196"/>
      <c r="E4401" s="196"/>
    </row>
    <row r="4402">
      <c r="A4402" s="234"/>
      <c r="B4402" s="235"/>
      <c r="C4402" s="235"/>
      <c r="D4402" s="196"/>
      <c r="E4402" s="196"/>
    </row>
    <row r="4403">
      <c r="A4403" s="234"/>
      <c r="B4403" s="235"/>
      <c r="C4403" s="235"/>
      <c r="D4403" s="196"/>
      <c r="E4403" s="196"/>
    </row>
    <row r="4404">
      <c r="A4404" s="234"/>
      <c r="B4404" s="235"/>
      <c r="C4404" s="235"/>
      <c r="D4404" s="196"/>
      <c r="E4404" s="196"/>
    </row>
    <row r="4405">
      <c r="A4405" s="234"/>
      <c r="B4405" s="235"/>
      <c r="C4405" s="235"/>
      <c r="D4405" s="196"/>
      <c r="E4405" s="196"/>
    </row>
    <row r="4406">
      <c r="A4406" s="234"/>
      <c r="B4406" s="235"/>
      <c r="C4406" s="235"/>
      <c r="D4406" s="196"/>
      <c r="E4406" s="196"/>
    </row>
    <row r="4407">
      <c r="A4407" s="234"/>
      <c r="B4407" s="235"/>
      <c r="C4407" s="235"/>
      <c r="D4407" s="196"/>
      <c r="E4407" s="196"/>
    </row>
    <row r="4408">
      <c r="A4408" s="234"/>
      <c r="B4408" s="235"/>
      <c r="C4408" s="235"/>
      <c r="D4408" s="196"/>
      <c r="E4408" s="196"/>
    </row>
    <row r="4409">
      <c r="A4409" s="234"/>
      <c r="B4409" s="235"/>
      <c r="C4409" s="235"/>
      <c r="D4409" s="196"/>
      <c r="E4409" s="196"/>
    </row>
    <row r="4410">
      <c r="A4410" s="234"/>
      <c r="B4410" s="235"/>
      <c r="C4410" s="235"/>
      <c r="D4410" s="196"/>
      <c r="E4410" s="196"/>
    </row>
    <row r="4411">
      <c r="A4411" s="234"/>
      <c r="B4411" s="235"/>
      <c r="C4411" s="235"/>
      <c r="D4411" s="196"/>
      <c r="E4411" s="196"/>
    </row>
    <row r="4412">
      <c r="A4412" s="234"/>
      <c r="B4412" s="235"/>
      <c r="C4412" s="235"/>
      <c r="D4412" s="196"/>
      <c r="E4412" s="196"/>
    </row>
    <row r="4413">
      <c r="A4413" s="234"/>
      <c r="B4413" s="235"/>
      <c r="C4413" s="235"/>
      <c r="D4413" s="196"/>
      <c r="E4413" s="196"/>
    </row>
    <row r="4414">
      <c r="A4414" s="234"/>
      <c r="B4414" s="235"/>
      <c r="C4414" s="235"/>
      <c r="D4414" s="196"/>
      <c r="E4414" s="196"/>
    </row>
    <row r="4415">
      <c r="A4415" s="234"/>
      <c r="B4415" s="235"/>
      <c r="C4415" s="235"/>
      <c r="D4415" s="196"/>
      <c r="E4415" s="196"/>
    </row>
    <row r="4416">
      <c r="A4416" s="234"/>
      <c r="B4416" s="235"/>
      <c r="C4416" s="235"/>
      <c r="D4416" s="196"/>
      <c r="E4416" s="196"/>
    </row>
    <row r="4417">
      <c r="A4417" s="234"/>
      <c r="B4417" s="235"/>
      <c r="C4417" s="235"/>
      <c r="D4417" s="196"/>
      <c r="E4417" s="196"/>
    </row>
    <row r="4418">
      <c r="A4418" s="234"/>
      <c r="B4418" s="235"/>
      <c r="C4418" s="235"/>
      <c r="D4418" s="196"/>
      <c r="E4418" s="196"/>
    </row>
    <row r="4419">
      <c r="A4419" s="234"/>
      <c r="B4419" s="235"/>
      <c r="C4419" s="235"/>
      <c r="D4419" s="196"/>
      <c r="E4419" s="196"/>
    </row>
    <row r="4420">
      <c r="A4420" s="234"/>
      <c r="B4420" s="235"/>
      <c r="C4420" s="235"/>
      <c r="D4420" s="196"/>
      <c r="E4420" s="196"/>
    </row>
    <row r="4421">
      <c r="A4421" s="234"/>
      <c r="B4421" s="235"/>
      <c r="C4421" s="235"/>
      <c r="D4421" s="196"/>
      <c r="E4421" s="196"/>
    </row>
    <row r="4422">
      <c r="A4422" s="234"/>
      <c r="B4422" s="235"/>
      <c r="C4422" s="235"/>
      <c r="D4422" s="196"/>
      <c r="E4422" s="196"/>
    </row>
    <row r="4423">
      <c r="A4423" s="234"/>
      <c r="B4423" s="235"/>
      <c r="C4423" s="235"/>
      <c r="D4423" s="196"/>
      <c r="E4423" s="196"/>
    </row>
    <row r="4424">
      <c r="A4424" s="234"/>
      <c r="B4424" s="235"/>
      <c r="C4424" s="235"/>
      <c r="D4424" s="196"/>
      <c r="E4424" s="196"/>
    </row>
    <row r="4425">
      <c r="A4425" s="234"/>
      <c r="B4425" s="235"/>
      <c r="C4425" s="235"/>
      <c r="D4425" s="196"/>
      <c r="E4425" s="196"/>
    </row>
    <row r="4426">
      <c r="A4426" s="234"/>
      <c r="B4426" s="235"/>
      <c r="C4426" s="235"/>
      <c r="D4426" s="196"/>
      <c r="E4426" s="196"/>
    </row>
    <row r="4427">
      <c r="A4427" s="234"/>
      <c r="B4427" s="235"/>
      <c r="C4427" s="235"/>
      <c r="D4427" s="196"/>
      <c r="E4427" s="196"/>
    </row>
    <row r="4428">
      <c r="A4428" s="234"/>
      <c r="B4428" s="235"/>
      <c r="C4428" s="235"/>
      <c r="D4428" s="196"/>
      <c r="E4428" s="196"/>
    </row>
    <row r="4429">
      <c r="A4429" s="234"/>
      <c r="B4429" s="235"/>
      <c r="C4429" s="235"/>
      <c r="D4429" s="196"/>
      <c r="E4429" s="196"/>
    </row>
    <row r="4430">
      <c r="A4430" s="234"/>
      <c r="B4430" s="235"/>
      <c r="C4430" s="235"/>
      <c r="D4430" s="196"/>
      <c r="E4430" s="196"/>
    </row>
    <row r="4431">
      <c r="A4431" s="234"/>
      <c r="B4431" s="235"/>
      <c r="C4431" s="235"/>
      <c r="D4431" s="196"/>
      <c r="E4431" s="196"/>
    </row>
    <row r="4432">
      <c r="A4432" s="234"/>
      <c r="B4432" s="235"/>
      <c r="C4432" s="235"/>
      <c r="D4432" s="196"/>
      <c r="E4432" s="196"/>
    </row>
    <row r="4433">
      <c r="A4433" s="234"/>
      <c r="B4433" s="235"/>
      <c r="C4433" s="235"/>
      <c r="D4433" s="196"/>
      <c r="E4433" s="196"/>
    </row>
    <row r="4434">
      <c r="A4434" s="234"/>
      <c r="B4434" s="235"/>
      <c r="C4434" s="235"/>
      <c r="D4434" s="196"/>
      <c r="E4434" s="196"/>
    </row>
    <row r="4435">
      <c r="A4435" s="234"/>
      <c r="B4435" s="235"/>
      <c r="C4435" s="235"/>
      <c r="D4435" s="196"/>
      <c r="E4435" s="196"/>
    </row>
    <row r="4436">
      <c r="A4436" s="234"/>
      <c r="B4436" s="235"/>
      <c r="C4436" s="235"/>
      <c r="D4436" s="196"/>
      <c r="E4436" s="196"/>
    </row>
    <row r="4437">
      <c r="A4437" s="234"/>
      <c r="B4437" s="235"/>
      <c r="C4437" s="235"/>
      <c r="D4437" s="196"/>
      <c r="E4437" s="196"/>
    </row>
    <row r="4438">
      <c r="A4438" s="234"/>
      <c r="B4438" s="235"/>
      <c r="C4438" s="235"/>
      <c r="D4438" s="196"/>
      <c r="E4438" s="196"/>
    </row>
    <row r="4439">
      <c r="A4439" s="234"/>
      <c r="B4439" s="235"/>
      <c r="C4439" s="235"/>
      <c r="D4439" s="196"/>
      <c r="E4439" s="196"/>
    </row>
    <row r="4440">
      <c r="A4440" s="234"/>
      <c r="B4440" s="235"/>
      <c r="C4440" s="235"/>
      <c r="D4440" s="196"/>
      <c r="E4440" s="196"/>
    </row>
    <row r="4441">
      <c r="A4441" s="234"/>
      <c r="B4441" s="235"/>
      <c r="C4441" s="235"/>
      <c r="D4441" s="196"/>
      <c r="E4441" s="196"/>
    </row>
    <row r="4442">
      <c r="A4442" s="234"/>
      <c r="B4442" s="235"/>
      <c r="C4442" s="235"/>
      <c r="D4442" s="196"/>
      <c r="E4442" s="196"/>
    </row>
    <row r="4443">
      <c r="A4443" s="234"/>
      <c r="B4443" s="235"/>
      <c r="C4443" s="235"/>
      <c r="D4443" s="196"/>
      <c r="E4443" s="196"/>
    </row>
    <row r="4444">
      <c r="A4444" s="234"/>
      <c r="B4444" s="235"/>
      <c r="C4444" s="235"/>
      <c r="D4444" s="196"/>
      <c r="E4444" s="196"/>
    </row>
    <row r="4445">
      <c r="A4445" s="234"/>
      <c r="B4445" s="235"/>
      <c r="C4445" s="235"/>
      <c r="D4445" s="196"/>
      <c r="E4445" s="196"/>
    </row>
    <row r="4446">
      <c r="A4446" s="234"/>
      <c r="B4446" s="235"/>
      <c r="C4446" s="235"/>
      <c r="D4446" s="196"/>
      <c r="E4446" s="196"/>
    </row>
    <row r="4447">
      <c r="A4447" s="234"/>
      <c r="B4447" s="235"/>
      <c r="C4447" s="235"/>
      <c r="D4447" s="196"/>
      <c r="E4447" s="196"/>
    </row>
    <row r="4448">
      <c r="A4448" s="234"/>
      <c r="B4448" s="235"/>
      <c r="C4448" s="235"/>
      <c r="D4448" s="196"/>
      <c r="E4448" s="196"/>
    </row>
    <row r="4449">
      <c r="A4449" s="234"/>
      <c r="B4449" s="235"/>
      <c r="C4449" s="235"/>
      <c r="D4449" s="196"/>
      <c r="E4449" s="196"/>
    </row>
    <row r="4450">
      <c r="A4450" s="234"/>
      <c r="B4450" s="235"/>
      <c r="C4450" s="235"/>
      <c r="D4450" s="196"/>
      <c r="E4450" s="196"/>
    </row>
    <row r="4451">
      <c r="A4451" s="234"/>
      <c r="B4451" s="235"/>
      <c r="C4451" s="235"/>
      <c r="D4451" s="196"/>
      <c r="E4451" s="196"/>
    </row>
    <row r="4452">
      <c r="A4452" s="234"/>
      <c r="B4452" s="235"/>
      <c r="C4452" s="235"/>
      <c r="D4452" s="196"/>
      <c r="E4452" s="196"/>
    </row>
    <row r="4453">
      <c r="A4453" s="234"/>
      <c r="B4453" s="235"/>
      <c r="C4453" s="235"/>
      <c r="D4453" s="196"/>
      <c r="E4453" s="196"/>
    </row>
    <row r="4454">
      <c r="A4454" s="234"/>
      <c r="B4454" s="235"/>
      <c r="C4454" s="235"/>
      <c r="D4454" s="196"/>
      <c r="E4454" s="196"/>
    </row>
    <row r="4455">
      <c r="A4455" s="234"/>
      <c r="B4455" s="235"/>
      <c r="C4455" s="235"/>
      <c r="D4455" s="196"/>
      <c r="E4455" s="196"/>
    </row>
    <row r="4456">
      <c r="A4456" s="234"/>
      <c r="B4456" s="235"/>
      <c r="C4456" s="235"/>
      <c r="D4456" s="196"/>
      <c r="E4456" s="196"/>
    </row>
    <row r="4457">
      <c r="A4457" s="234"/>
      <c r="B4457" s="235"/>
      <c r="C4457" s="235"/>
      <c r="D4457" s="196"/>
      <c r="E4457" s="196"/>
    </row>
    <row r="4458">
      <c r="A4458" s="234"/>
      <c r="B4458" s="235"/>
      <c r="C4458" s="235"/>
      <c r="D4458" s="196"/>
      <c r="E4458" s="196"/>
    </row>
    <row r="4459">
      <c r="A4459" s="234"/>
      <c r="B4459" s="235"/>
      <c r="C4459" s="235"/>
      <c r="D4459" s="196"/>
      <c r="E4459" s="196"/>
    </row>
    <row r="4460">
      <c r="A4460" s="234"/>
      <c r="B4460" s="235"/>
      <c r="C4460" s="235"/>
      <c r="D4460" s="196"/>
      <c r="E4460" s="196"/>
    </row>
    <row r="4461">
      <c r="A4461" s="234"/>
      <c r="B4461" s="235"/>
      <c r="C4461" s="235"/>
      <c r="D4461" s="196"/>
      <c r="E4461" s="196"/>
    </row>
    <row r="4462">
      <c r="A4462" s="234"/>
      <c r="B4462" s="235"/>
      <c r="C4462" s="235"/>
      <c r="D4462" s="196"/>
      <c r="E4462" s="196"/>
    </row>
    <row r="4463">
      <c r="A4463" s="234"/>
      <c r="B4463" s="235"/>
      <c r="C4463" s="235"/>
      <c r="D4463" s="196"/>
      <c r="E4463" s="196"/>
    </row>
    <row r="4464">
      <c r="A4464" s="234"/>
      <c r="B4464" s="235"/>
      <c r="C4464" s="235"/>
      <c r="D4464" s="196"/>
      <c r="E4464" s="196"/>
    </row>
    <row r="4465">
      <c r="A4465" s="234"/>
      <c r="B4465" s="235"/>
      <c r="C4465" s="235"/>
      <c r="D4465" s="196"/>
      <c r="E4465" s="196"/>
    </row>
    <row r="4466">
      <c r="A4466" s="234"/>
      <c r="B4466" s="235"/>
      <c r="C4466" s="235"/>
      <c r="D4466" s="196"/>
      <c r="E4466" s="196"/>
    </row>
    <row r="4467">
      <c r="A4467" s="234"/>
      <c r="B4467" s="235"/>
      <c r="C4467" s="235"/>
      <c r="D4467" s="196"/>
      <c r="E4467" s="196"/>
    </row>
    <row r="4468">
      <c r="A4468" s="234"/>
      <c r="B4468" s="235"/>
      <c r="C4468" s="235"/>
      <c r="D4468" s="196"/>
      <c r="E4468" s="196"/>
    </row>
    <row r="4469">
      <c r="A4469" s="234"/>
      <c r="B4469" s="235"/>
      <c r="C4469" s="235"/>
      <c r="D4469" s="196"/>
      <c r="E4469" s="196"/>
    </row>
    <row r="4470">
      <c r="A4470" s="234"/>
      <c r="B4470" s="235"/>
      <c r="C4470" s="235"/>
      <c r="D4470" s="196"/>
      <c r="E4470" s="196"/>
    </row>
    <row r="4471">
      <c r="A4471" s="234"/>
      <c r="B4471" s="235"/>
      <c r="C4471" s="235"/>
      <c r="D4471" s="196"/>
      <c r="E4471" s="196"/>
    </row>
    <row r="4472">
      <c r="A4472" s="234"/>
      <c r="B4472" s="235"/>
      <c r="C4472" s="235"/>
      <c r="D4472" s="196"/>
      <c r="E4472" s="196"/>
    </row>
    <row r="4473">
      <c r="A4473" s="234"/>
      <c r="B4473" s="235"/>
      <c r="C4473" s="235"/>
      <c r="D4473" s="196"/>
      <c r="E4473" s="196"/>
    </row>
    <row r="4474">
      <c r="A4474" s="234"/>
      <c r="B4474" s="235"/>
      <c r="C4474" s="235"/>
      <c r="D4474" s="196"/>
      <c r="E4474" s="196"/>
    </row>
    <row r="4475">
      <c r="A4475" s="234"/>
      <c r="B4475" s="235"/>
      <c r="C4475" s="235"/>
      <c r="D4475" s="196"/>
      <c r="E4475" s="196"/>
    </row>
    <row r="4476">
      <c r="A4476" s="234"/>
      <c r="B4476" s="235"/>
      <c r="C4476" s="235"/>
      <c r="D4476" s="196"/>
      <c r="E4476" s="196"/>
    </row>
    <row r="4477">
      <c r="A4477" s="234"/>
      <c r="B4477" s="235"/>
      <c r="C4477" s="235"/>
      <c r="D4477" s="196"/>
      <c r="E4477" s="196"/>
    </row>
    <row r="4478">
      <c r="A4478" s="234"/>
      <c r="B4478" s="235"/>
      <c r="C4478" s="235"/>
      <c r="D4478" s="196"/>
      <c r="E4478" s="196"/>
    </row>
    <row r="4479">
      <c r="A4479" s="234"/>
      <c r="B4479" s="235"/>
      <c r="C4479" s="235"/>
      <c r="D4479" s="196"/>
      <c r="E4479" s="196"/>
    </row>
    <row r="4480">
      <c r="A4480" s="234"/>
      <c r="B4480" s="235"/>
      <c r="C4480" s="235"/>
      <c r="D4480" s="196"/>
      <c r="E4480" s="196"/>
    </row>
    <row r="4481">
      <c r="A4481" s="234"/>
      <c r="B4481" s="235"/>
      <c r="C4481" s="235"/>
      <c r="D4481" s="196"/>
      <c r="E4481" s="196"/>
    </row>
    <row r="4482">
      <c r="A4482" s="234"/>
      <c r="B4482" s="235"/>
      <c r="C4482" s="235"/>
      <c r="D4482" s="196"/>
      <c r="E4482" s="196"/>
    </row>
    <row r="4483">
      <c r="A4483" s="234"/>
      <c r="B4483" s="235"/>
      <c r="C4483" s="235"/>
      <c r="D4483" s="196"/>
      <c r="E4483" s="196"/>
    </row>
    <row r="4484">
      <c r="A4484" s="234"/>
      <c r="B4484" s="235"/>
      <c r="C4484" s="235"/>
      <c r="D4484" s="196"/>
      <c r="E4484" s="196"/>
    </row>
    <row r="4485">
      <c r="A4485" s="234"/>
      <c r="B4485" s="235"/>
      <c r="C4485" s="235"/>
      <c r="D4485" s="196"/>
      <c r="E4485" s="196"/>
    </row>
    <row r="4486">
      <c r="A4486" s="234"/>
      <c r="B4486" s="235"/>
      <c r="C4486" s="235"/>
      <c r="D4486" s="196"/>
      <c r="E4486" s="196"/>
    </row>
    <row r="4487">
      <c r="A4487" s="234"/>
      <c r="B4487" s="235"/>
      <c r="C4487" s="235"/>
      <c r="D4487" s="196"/>
      <c r="E4487" s="196"/>
    </row>
    <row r="4488">
      <c r="A4488" s="234"/>
      <c r="B4488" s="235"/>
      <c r="C4488" s="235"/>
      <c r="D4488" s="196"/>
      <c r="E4488" s="196"/>
    </row>
    <row r="4489">
      <c r="A4489" s="234"/>
      <c r="B4489" s="235"/>
      <c r="C4489" s="235"/>
      <c r="D4489" s="196"/>
      <c r="E4489" s="196"/>
    </row>
    <row r="4490">
      <c r="A4490" s="234"/>
      <c r="B4490" s="235"/>
      <c r="C4490" s="235"/>
      <c r="D4490" s="196"/>
      <c r="E4490" s="196"/>
    </row>
    <row r="4491">
      <c r="A4491" s="234"/>
      <c r="B4491" s="235"/>
      <c r="C4491" s="235"/>
      <c r="D4491" s="196"/>
      <c r="E4491" s="196"/>
    </row>
    <row r="4492">
      <c r="A4492" s="234"/>
      <c r="B4492" s="235"/>
      <c r="C4492" s="235"/>
      <c r="D4492" s="196"/>
      <c r="E4492" s="196"/>
    </row>
    <row r="4493">
      <c r="A4493" s="234"/>
      <c r="B4493" s="235"/>
      <c r="C4493" s="235"/>
      <c r="D4493" s="196"/>
      <c r="E4493" s="196"/>
    </row>
    <row r="4494">
      <c r="A4494" s="234"/>
      <c r="B4494" s="235"/>
      <c r="C4494" s="235"/>
      <c r="D4494" s="196"/>
      <c r="E4494" s="196"/>
    </row>
    <row r="4495">
      <c r="A4495" s="234"/>
      <c r="B4495" s="235"/>
      <c r="C4495" s="235"/>
      <c r="D4495" s="196"/>
      <c r="E4495" s="196"/>
    </row>
    <row r="4496">
      <c r="A4496" s="234"/>
      <c r="B4496" s="235"/>
      <c r="C4496" s="235"/>
      <c r="D4496" s="196"/>
      <c r="E4496" s="196"/>
    </row>
    <row r="4497">
      <c r="A4497" s="234"/>
      <c r="B4497" s="235"/>
      <c r="C4497" s="235"/>
      <c r="D4497" s="196"/>
      <c r="E4497" s="196"/>
    </row>
    <row r="4498">
      <c r="A4498" s="234"/>
      <c r="B4498" s="235"/>
      <c r="C4498" s="235"/>
      <c r="D4498" s="196"/>
      <c r="E4498" s="196"/>
    </row>
    <row r="4499">
      <c r="A4499" s="234"/>
      <c r="B4499" s="235"/>
      <c r="C4499" s="235"/>
      <c r="D4499" s="196"/>
      <c r="E4499" s="196"/>
    </row>
    <row r="4500">
      <c r="A4500" s="234"/>
      <c r="B4500" s="235"/>
      <c r="C4500" s="235"/>
      <c r="D4500" s="196"/>
      <c r="E4500" s="196"/>
    </row>
    <row r="4501">
      <c r="A4501" s="234"/>
      <c r="B4501" s="235"/>
      <c r="C4501" s="235"/>
      <c r="D4501" s="196"/>
      <c r="E4501" s="196"/>
    </row>
    <row r="4502">
      <c r="A4502" s="234"/>
      <c r="B4502" s="235"/>
      <c r="C4502" s="235"/>
      <c r="D4502" s="196"/>
      <c r="E4502" s="196"/>
    </row>
    <row r="4503">
      <c r="A4503" s="234"/>
      <c r="B4503" s="235"/>
      <c r="C4503" s="235"/>
      <c r="D4503" s="196"/>
      <c r="E4503" s="196"/>
    </row>
    <row r="4504">
      <c r="A4504" s="234"/>
      <c r="B4504" s="235"/>
      <c r="C4504" s="235"/>
      <c r="D4504" s="196"/>
      <c r="E4504" s="196"/>
    </row>
    <row r="4505">
      <c r="A4505" s="234"/>
      <c r="B4505" s="235"/>
      <c r="C4505" s="235"/>
      <c r="D4505" s="196"/>
      <c r="E4505" s="196"/>
    </row>
    <row r="4506">
      <c r="A4506" s="234"/>
      <c r="B4506" s="235"/>
      <c r="C4506" s="235"/>
      <c r="D4506" s="196"/>
      <c r="E4506" s="196"/>
    </row>
    <row r="4507">
      <c r="A4507" s="234"/>
      <c r="B4507" s="235"/>
      <c r="C4507" s="235"/>
      <c r="D4507" s="196"/>
      <c r="E4507" s="196"/>
    </row>
    <row r="4508">
      <c r="A4508" s="234"/>
      <c r="B4508" s="235"/>
      <c r="C4508" s="235"/>
      <c r="D4508" s="196"/>
      <c r="E4508" s="196"/>
    </row>
    <row r="4509">
      <c r="A4509" s="234"/>
      <c r="B4509" s="235"/>
      <c r="C4509" s="235"/>
      <c r="D4509" s="196"/>
      <c r="E4509" s="196"/>
    </row>
    <row r="4510">
      <c r="A4510" s="234"/>
      <c r="B4510" s="235"/>
      <c r="C4510" s="235"/>
      <c r="D4510" s="196"/>
      <c r="E4510" s="196"/>
    </row>
    <row r="4511">
      <c r="A4511" s="234"/>
      <c r="B4511" s="235"/>
      <c r="C4511" s="235"/>
      <c r="D4511" s="196"/>
      <c r="E4511" s="196"/>
    </row>
    <row r="4512">
      <c r="A4512" s="234"/>
      <c r="B4512" s="235"/>
      <c r="C4512" s="235"/>
      <c r="D4512" s="196"/>
      <c r="E4512" s="196"/>
    </row>
    <row r="4513">
      <c r="A4513" s="234"/>
      <c r="B4513" s="235"/>
      <c r="C4513" s="235"/>
      <c r="D4513" s="196"/>
      <c r="E4513" s="196"/>
    </row>
    <row r="4514">
      <c r="A4514" s="234"/>
      <c r="B4514" s="235"/>
      <c r="C4514" s="235"/>
      <c r="D4514" s="196"/>
      <c r="E4514" s="196"/>
    </row>
    <row r="4515">
      <c r="A4515" s="234"/>
      <c r="B4515" s="235"/>
      <c r="C4515" s="235"/>
      <c r="D4515" s="196"/>
      <c r="E4515" s="196"/>
    </row>
    <row r="4516">
      <c r="A4516" s="234"/>
      <c r="B4516" s="235"/>
      <c r="C4516" s="235"/>
      <c r="D4516" s="196"/>
      <c r="E4516" s="196"/>
    </row>
    <row r="4517">
      <c r="A4517" s="234"/>
      <c r="B4517" s="235"/>
      <c r="C4517" s="235"/>
      <c r="D4517" s="196"/>
      <c r="E4517" s="196"/>
    </row>
    <row r="4518">
      <c r="A4518" s="234"/>
      <c r="B4518" s="235"/>
      <c r="C4518" s="235"/>
      <c r="D4518" s="196"/>
      <c r="E4518" s="196"/>
    </row>
    <row r="4519">
      <c r="A4519" s="234"/>
      <c r="B4519" s="235"/>
      <c r="C4519" s="235"/>
      <c r="D4519" s="196"/>
      <c r="E4519" s="196"/>
    </row>
    <row r="4520">
      <c r="A4520" s="234"/>
      <c r="B4520" s="235"/>
      <c r="C4520" s="235"/>
      <c r="D4520" s="196"/>
      <c r="E4520" s="196"/>
    </row>
    <row r="4521">
      <c r="A4521" s="234"/>
      <c r="B4521" s="235"/>
      <c r="C4521" s="235"/>
      <c r="D4521" s="196"/>
      <c r="E4521" s="196"/>
    </row>
    <row r="4522">
      <c r="A4522" s="234"/>
      <c r="B4522" s="235"/>
      <c r="C4522" s="235"/>
      <c r="D4522" s="196"/>
      <c r="E4522" s="196"/>
    </row>
    <row r="4523">
      <c r="A4523" s="234"/>
      <c r="B4523" s="235"/>
      <c r="C4523" s="235"/>
      <c r="D4523" s="196"/>
      <c r="E4523" s="196"/>
    </row>
    <row r="4524">
      <c r="A4524" s="234"/>
      <c r="B4524" s="235"/>
      <c r="C4524" s="235"/>
      <c r="D4524" s="196"/>
      <c r="E4524" s="196"/>
    </row>
    <row r="4525">
      <c r="A4525" s="234"/>
      <c r="B4525" s="235"/>
      <c r="C4525" s="235"/>
      <c r="D4525" s="196"/>
      <c r="E4525" s="196"/>
    </row>
    <row r="4526">
      <c r="A4526" s="234"/>
      <c r="B4526" s="235"/>
      <c r="C4526" s="235"/>
      <c r="D4526" s="196"/>
      <c r="E4526" s="196"/>
    </row>
    <row r="4527">
      <c r="A4527" s="234"/>
      <c r="B4527" s="235"/>
      <c r="C4527" s="235"/>
      <c r="D4527" s="196"/>
      <c r="E4527" s="196"/>
    </row>
    <row r="4528">
      <c r="A4528" s="234"/>
      <c r="B4528" s="235"/>
      <c r="C4528" s="235"/>
      <c r="D4528" s="196"/>
      <c r="E4528" s="196"/>
    </row>
    <row r="4529">
      <c r="A4529" s="234"/>
      <c r="B4529" s="235"/>
      <c r="C4529" s="235"/>
      <c r="D4529" s="196"/>
      <c r="E4529" s="196"/>
    </row>
    <row r="4530">
      <c r="A4530" s="234"/>
      <c r="B4530" s="235"/>
      <c r="C4530" s="235"/>
      <c r="D4530" s="196"/>
      <c r="E4530" s="196"/>
    </row>
    <row r="4531">
      <c r="A4531" s="234"/>
      <c r="B4531" s="235"/>
      <c r="C4531" s="235"/>
      <c r="D4531" s="196"/>
      <c r="E4531" s="196"/>
    </row>
    <row r="4532">
      <c r="A4532" s="234"/>
      <c r="B4532" s="235"/>
      <c r="C4532" s="235"/>
      <c r="D4532" s="196"/>
      <c r="E4532" s="196"/>
    </row>
    <row r="4533">
      <c r="A4533" s="234"/>
      <c r="B4533" s="235"/>
      <c r="C4533" s="235"/>
      <c r="D4533" s="196"/>
      <c r="E4533" s="196"/>
    </row>
    <row r="4534">
      <c r="A4534" s="234"/>
      <c r="B4534" s="235"/>
      <c r="C4534" s="235"/>
      <c r="D4534" s="196"/>
      <c r="E4534" s="196"/>
    </row>
    <row r="4535">
      <c r="A4535" s="234"/>
      <c r="B4535" s="235"/>
      <c r="C4535" s="235"/>
      <c r="D4535" s="196"/>
      <c r="E4535" s="196"/>
    </row>
    <row r="4536">
      <c r="A4536" s="234"/>
      <c r="B4536" s="235"/>
      <c r="C4536" s="235"/>
      <c r="D4536" s="196"/>
      <c r="E4536" s="196"/>
    </row>
    <row r="4537">
      <c r="A4537" s="234"/>
      <c r="B4537" s="235"/>
      <c r="C4537" s="235"/>
      <c r="D4537" s="196"/>
      <c r="E4537" s="196"/>
    </row>
    <row r="4538">
      <c r="A4538" s="234"/>
      <c r="B4538" s="235"/>
      <c r="C4538" s="235"/>
      <c r="D4538" s="196"/>
      <c r="E4538" s="196"/>
    </row>
    <row r="4539">
      <c r="A4539" s="234"/>
      <c r="B4539" s="235"/>
      <c r="C4539" s="235"/>
      <c r="D4539" s="196"/>
      <c r="E4539" s="196"/>
    </row>
    <row r="4540">
      <c r="A4540" s="234"/>
      <c r="B4540" s="235"/>
      <c r="C4540" s="235"/>
      <c r="D4540" s="196"/>
      <c r="E4540" s="196"/>
    </row>
    <row r="4541">
      <c r="A4541" s="234"/>
      <c r="B4541" s="235"/>
      <c r="C4541" s="235"/>
      <c r="D4541" s="196"/>
      <c r="E4541" s="196"/>
    </row>
    <row r="4542">
      <c r="A4542" s="234"/>
      <c r="B4542" s="235"/>
      <c r="C4542" s="235"/>
      <c r="D4542" s="196"/>
      <c r="E4542" s="196"/>
    </row>
    <row r="4543">
      <c r="A4543" s="234"/>
      <c r="B4543" s="235"/>
      <c r="C4543" s="235"/>
      <c r="D4543" s="196"/>
      <c r="E4543" s="196"/>
    </row>
    <row r="4544">
      <c r="A4544" s="234"/>
      <c r="B4544" s="235"/>
      <c r="C4544" s="235"/>
      <c r="D4544" s="196"/>
      <c r="E4544" s="196"/>
    </row>
    <row r="4545">
      <c r="A4545" s="234"/>
      <c r="B4545" s="235"/>
      <c r="C4545" s="235"/>
      <c r="D4545" s="196"/>
      <c r="E4545" s="196"/>
    </row>
    <row r="4546">
      <c r="A4546" s="234"/>
      <c r="B4546" s="235"/>
      <c r="C4546" s="235"/>
      <c r="D4546" s="196"/>
      <c r="E4546" s="196"/>
    </row>
    <row r="4547">
      <c r="A4547" s="234"/>
      <c r="B4547" s="235"/>
      <c r="C4547" s="235"/>
      <c r="D4547" s="196"/>
      <c r="E4547" s="196"/>
    </row>
    <row r="4548">
      <c r="A4548" s="234"/>
      <c r="B4548" s="235"/>
      <c r="C4548" s="235"/>
      <c r="D4548" s="196"/>
      <c r="E4548" s="196"/>
    </row>
    <row r="4549">
      <c r="A4549" s="234"/>
      <c r="B4549" s="235"/>
      <c r="C4549" s="235"/>
      <c r="D4549" s="196"/>
      <c r="E4549" s="196"/>
    </row>
    <row r="4550">
      <c r="A4550" s="234"/>
      <c r="B4550" s="235"/>
      <c r="C4550" s="235"/>
      <c r="D4550" s="196"/>
      <c r="E4550" s="196"/>
    </row>
    <row r="4551">
      <c r="A4551" s="234"/>
      <c r="B4551" s="235"/>
      <c r="C4551" s="235"/>
      <c r="D4551" s="196"/>
      <c r="E4551" s="196"/>
    </row>
    <row r="4552">
      <c r="A4552" s="234"/>
      <c r="B4552" s="235"/>
      <c r="C4552" s="235"/>
      <c r="D4552" s="196"/>
      <c r="E4552" s="196"/>
    </row>
    <row r="4553">
      <c r="A4553" s="234"/>
      <c r="B4553" s="235"/>
      <c r="C4553" s="235"/>
      <c r="D4553" s="196"/>
      <c r="E4553" s="196"/>
    </row>
    <row r="4554">
      <c r="A4554" s="234"/>
      <c r="B4554" s="235"/>
      <c r="C4554" s="235"/>
      <c r="D4554" s="196"/>
      <c r="E4554" s="196"/>
    </row>
    <row r="4555">
      <c r="A4555" s="234"/>
      <c r="B4555" s="235"/>
      <c r="C4555" s="235"/>
      <c r="D4555" s="196"/>
      <c r="E4555" s="196"/>
    </row>
    <row r="4556">
      <c r="A4556" s="234"/>
      <c r="B4556" s="235"/>
      <c r="C4556" s="235"/>
      <c r="D4556" s="196"/>
      <c r="E4556" s="196"/>
    </row>
    <row r="4557">
      <c r="A4557" s="234"/>
      <c r="B4557" s="235"/>
      <c r="C4557" s="235"/>
      <c r="D4557" s="196"/>
      <c r="E4557" s="196"/>
    </row>
    <row r="4558">
      <c r="A4558" s="234"/>
      <c r="B4558" s="235"/>
      <c r="C4558" s="235"/>
      <c r="D4558" s="196"/>
      <c r="E4558" s="196"/>
    </row>
    <row r="4559">
      <c r="A4559" s="234"/>
      <c r="B4559" s="235"/>
      <c r="C4559" s="235"/>
      <c r="D4559" s="196"/>
      <c r="E4559" s="196"/>
    </row>
    <row r="4560">
      <c r="A4560" s="234"/>
      <c r="B4560" s="235"/>
      <c r="C4560" s="235"/>
      <c r="D4560" s="196"/>
      <c r="E4560" s="196"/>
    </row>
    <row r="4561">
      <c r="A4561" s="234"/>
      <c r="B4561" s="235"/>
      <c r="C4561" s="235"/>
      <c r="D4561" s="196"/>
      <c r="E4561" s="196"/>
    </row>
    <row r="4562">
      <c r="A4562" s="234"/>
      <c r="B4562" s="235"/>
      <c r="C4562" s="235"/>
      <c r="D4562" s="196"/>
      <c r="E4562" s="196"/>
    </row>
    <row r="4563">
      <c r="A4563" s="234"/>
      <c r="B4563" s="235"/>
      <c r="C4563" s="235"/>
      <c r="D4563" s="196"/>
      <c r="E4563" s="196"/>
    </row>
    <row r="4564">
      <c r="A4564" s="234"/>
      <c r="B4564" s="235"/>
      <c r="C4564" s="235"/>
      <c r="D4564" s="196"/>
      <c r="E4564" s="196"/>
    </row>
    <row r="4565">
      <c r="A4565" s="234"/>
      <c r="B4565" s="235"/>
      <c r="C4565" s="235"/>
      <c r="D4565" s="196"/>
      <c r="E4565" s="196"/>
    </row>
    <row r="4566">
      <c r="A4566" s="234"/>
      <c r="B4566" s="235"/>
      <c r="C4566" s="235"/>
      <c r="D4566" s="196"/>
      <c r="E4566" s="196"/>
    </row>
    <row r="4567">
      <c r="A4567" s="234"/>
      <c r="B4567" s="235"/>
      <c r="C4567" s="235"/>
      <c r="D4567" s="196"/>
      <c r="E4567" s="196"/>
    </row>
    <row r="4568">
      <c r="A4568" s="234"/>
      <c r="B4568" s="235"/>
      <c r="C4568" s="235"/>
      <c r="D4568" s="196"/>
      <c r="E4568" s="196"/>
    </row>
    <row r="4569">
      <c r="A4569" s="234"/>
      <c r="B4569" s="235"/>
      <c r="C4569" s="235"/>
      <c r="D4569" s="196"/>
      <c r="E4569" s="196"/>
    </row>
    <row r="4570">
      <c r="A4570" s="234"/>
      <c r="B4570" s="235"/>
      <c r="C4570" s="235"/>
      <c r="D4570" s="196"/>
      <c r="E4570" s="196"/>
    </row>
    <row r="4571">
      <c r="A4571" s="234"/>
      <c r="B4571" s="235"/>
      <c r="C4571" s="235"/>
      <c r="D4571" s="196"/>
      <c r="E4571" s="196"/>
    </row>
    <row r="4572">
      <c r="A4572" s="234"/>
      <c r="B4572" s="235"/>
      <c r="C4572" s="235"/>
      <c r="D4572" s="196"/>
      <c r="E4572" s="196"/>
    </row>
    <row r="4573">
      <c r="A4573" s="234"/>
      <c r="B4573" s="235"/>
      <c r="C4573" s="235"/>
      <c r="D4573" s="196"/>
      <c r="E4573" s="196"/>
    </row>
    <row r="4574">
      <c r="A4574" s="234"/>
      <c r="B4574" s="235"/>
      <c r="C4574" s="235"/>
      <c r="D4574" s="196"/>
      <c r="E4574" s="196"/>
    </row>
    <row r="4575">
      <c r="A4575" s="234"/>
      <c r="B4575" s="235"/>
      <c r="C4575" s="235"/>
      <c r="D4575" s="196"/>
      <c r="E4575" s="196"/>
    </row>
    <row r="4576">
      <c r="A4576" s="234"/>
      <c r="B4576" s="235"/>
      <c r="C4576" s="235"/>
      <c r="D4576" s="196"/>
      <c r="E4576" s="196"/>
    </row>
    <row r="4577">
      <c r="A4577" s="234"/>
      <c r="B4577" s="235"/>
      <c r="C4577" s="235"/>
      <c r="D4577" s="196"/>
      <c r="E4577" s="196"/>
    </row>
    <row r="4578">
      <c r="A4578" s="234"/>
      <c r="B4578" s="235"/>
      <c r="C4578" s="235"/>
      <c r="D4578" s="196"/>
      <c r="E4578" s="196"/>
    </row>
    <row r="4579">
      <c r="A4579" s="234"/>
      <c r="B4579" s="235"/>
      <c r="C4579" s="235"/>
      <c r="D4579" s="196"/>
      <c r="E4579" s="196"/>
    </row>
    <row r="4580">
      <c r="A4580" s="234"/>
      <c r="B4580" s="235"/>
      <c r="C4580" s="235"/>
      <c r="D4580" s="196"/>
      <c r="E4580" s="196"/>
    </row>
    <row r="4581">
      <c r="A4581" s="234"/>
      <c r="B4581" s="235"/>
      <c r="C4581" s="235"/>
      <c r="D4581" s="196"/>
      <c r="E4581" s="196"/>
    </row>
    <row r="4582">
      <c r="A4582" s="234"/>
      <c r="B4582" s="235"/>
      <c r="C4582" s="235"/>
      <c r="D4582" s="196"/>
      <c r="E4582" s="196"/>
    </row>
    <row r="4583">
      <c r="A4583" s="234"/>
      <c r="B4583" s="235"/>
      <c r="C4583" s="235"/>
      <c r="D4583" s="196"/>
      <c r="E4583" s="196"/>
    </row>
    <row r="4584">
      <c r="A4584" s="234"/>
      <c r="B4584" s="235"/>
      <c r="C4584" s="235"/>
      <c r="D4584" s="196"/>
      <c r="E4584" s="196"/>
    </row>
    <row r="4585">
      <c r="A4585" s="234"/>
      <c r="B4585" s="235"/>
      <c r="C4585" s="235"/>
      <c r="D4585" s="196"/>
      <c r="E4585" s="196"/>
    </row>
    <row r="4586">
      <c r="A4586" s="234"/>
      <c r="B4586" s="235"/>
      <c r="C4586" s="235"/>
      <c r="D4586" s="196"/>
      <c r="E4586" s="196"/>
    </row>
    <row r="4587">
      <c r="A4587" s="234"/>
      <c r="B4587" s="235"/>
      <c r="C4587" s="235"/>
      <c r="D4587" s="196"/>
      <c r="E4587" s="196"/>
    </row>
    <row r="4588">
      <c r="A4588" s="234"/>
      <c r="B4588" s="235"/>
      <c r="C4588" s="235"/>
      <c r="D4588" s="196"/>
      <c r="E4588" s="196"/>
    </row>
    <row r="4589">
      <c r="A4589" s="234"/>
      <c r="B4589" s="235"/>
      <c r="C4589" s="235"/>
      <c r="D4589" s="196"/>
      <c r="E4589" s="196"/>
    </row>
    <row r="4590">
      <c r="A4590" s="234"/>
      <c r="B4590" s="235"/>
      <c r="C4590" s="235"/>
      <c r="D4590" s="196"/>
      <c r="E4590" s="196"/>
    </row>
    <row r="4591">
      <c r="A4591" s="234"/>
      <c r="B4591" s="235"/>
      <c r="C4591" s="235"/>
      <c r="D4591" s="196"/>
      <c r="E4591" s="196"/>
    </row>
    <row r="4592">
      <c r="A4592" s="234"/>
      <c r="B4592" s="235"/>
      <c r="C4592" s="235"/>
      <c r="D4592" s="196"/>
      <c r="E4592" s="196"/>
    </row>
    <row r="4593">
      <c r="A4593" s="234"/>
      <c r="B4593" s="235"/>
      <c r="C4593" s="235"/>
      <c r="D4593" s="196"/>
      <c r="E4593" s="196"/>
    </row>
    <row r="4594">
      <c r="A4594" s="234"/>
      <c r="B4594" s="235"/>
      <c r="C4594" s="235"/>
      <c r="D4594" s="196"/>
      <c r="E4594" s="196"/>
    </row>
    <row r="4595">
      <c r="A4595" s="234"/>
      <c r="B4595" s="235"/>
      <c r="C4595" s="235"/>
      <c r="D4595" s="196"/>
      <c r="E4595" s="196"/>
    </row>
    <row r="4596">
      <c r="A4596" s="234"/>
      <c r="B4596" s="235"/>
      <c r="C4596" s="235"/>
      <c r="D4596" s="196"/>
      <c r="E4596" s="196"/>
    </row>
    <row r="4597">
      <c r="A4597" s="234"/>
      <c r="B4597" s="235"/>
      <c r="C4597" s="235"/>
      <c r="D4597" s="196"/>
      <c r="E4597" s="196"/>
    </row>
    <row r="4598">
      <c r="A4598" s="234"/>
      <c r="B4598" s="235"/>
      <c r="C4598" s="235"/>
      <c r="D4598" s="196"/>
      <c r="E4598" s="196"/>
    </row>
    <row r="4599">
      <c r="A4599" s="234"/>
      <c r="B4599" s="235"/>
      <c r="C4599" s="235"/>
      <c r="D4599" s="196"/>
      <c r="E4599" s="196"/>
    </row>
    <row r="4600">
      <c r="A4600" s="234"/>
      <c r="B4600" s="235"/>
      <c r="C4600" s="235"/>
      <c r="D4600" s="196"/>
      <c r="E4600" s="196"/>
    </row>
    <row r="4601">
      <c r="A4601" s="234"/>
      <c r="B4601" s="235"/>
      <c r="C4601" s="235"/>
      <c r="D4601" s="196"/>
      <c r="E4601" s="196"/>
    </row>
    <row r="4602">
      <c r="A4602" s="234"/>
      <c r="B4602" s="235"/>
      <c r="C4602" s="235"/>
      <c r="D4602" s="196"/>
      <c r="E4602" s="196"/>
    </row>
    <row r="4603">
      <c r="A4603" s="234"/>
      <c r="B4603" s="235"/>
      <c r="C4603" s="235"/>
      <c r="D4603" s="196"/>
      <c r="E4603" s="196"/>
    </row>
    <row r="4604">
      <c r="A4604" s="234"/>
      <c r="B4604" s="235"/>
      <c r="C4604" s="235"/>
      <c r="D4604" s="196"/>
      <c r="E4604" s="196"/>
    </row>
    <row r="4605">
      <c r="A4605" s="234"/>
      <c r="B4605" s="235"/>
      <c r="C4605" s="235"/>
      <c r="D4605" s="196"/>
      <c r="E4605" s="196"/>
    </row>
    <row r="4606">
      <c r="A4606" s="234"/>
      <c r="B4606" s="235"/>
      <c r="C4606" s="235"/>
      <c r="D4606" s="196"/>
      <c r="E4606" s="196"/>
    </row>
    <row r="4607">
      <c r="A4607" s="234"/>
      <c r="B4607" s="235"/>
      <c r="C4607" s="235"/>
      <c r="D4607" s="196"/>
      <c r="E4607" s="196"/>
    </row>
    <row r="4608">
      <c r="A4608" s="234"/>
      <c r="B4608" s="235"/>
      <c r="C4608" s="235"/>
      <c r="D4608" s="196"/>
      <c r="E4608" s="196"/>
    </row>
    <row r="4609">
      <c r="A4609" s="234"/>
      <c r="B4609" s="235"/>
      <c r="C4609" s="235"/>
      <c r="D4609" s="196"/>
      <c r="E4609" s="196"/>
    </row>
    <row r="4610">
      <c r="A4610" s="234"/>
      <c r="B4610" s="235"/>
      <c r="C4610" s="235"/>
      <c r="D4610" s="196"/>
      <c r="E4610" s="196"/>
    </row>
    <row r="4611">
      <c r="A4611" s="234"/>
      <c r="B4611" s="235"/>
      <c r="C4611" s="235"/>
      <c r="D4611" s="196"/>
      <c r="E4611" s="196"/>
    </row>
    <row r="4612">
      <c r="A4612" s="234"/>
      <c r="B4612" s="235"/>
      <c r="C4612" s="235"/>
      <c r="D4612" s="196"/>
      <c r="E4612" s="196"/>
    </row>
    <row r="4613">
      <c r="A4613" s="234"/>
      <c r="B4613" s="235"/>
      <c r="C4613" s="235"/>
      <c r="D4613" s="196"/>
      <c r="E4613" s="196"/>
    </row>
    <row r="4614">
      <c r="A4614" s="234"/>
      <c r="B4614" s="235"/>
      <c r="C4614" s="235"/>
      <c r="D4614" s="196"/>
      <c r="E4614" s="196"/>
    </row>
    <row r="4615">
      <c r="A4615" s="234"/>
      <c r="B4615" s="235"/>
      <c r="C4615" s="235"/>
      <c r="D4615" s="196"/>
      <c r="E4615" s="196"/>
    </row>
    <row r="4616">
      <c r="A4616" s="234"/>
      <c r="B4616" s="235"/>
      <c r="C4616" s="235"/>
      <c r="D4616" s="196"/>
      <c r="E4616" s="196"/>
    </row>
    <row r="4617">
      <c r="A4617" s="234"/>
      <c r="B4617" s="235"/>
      <c r="C4617" s="235"/>
      <c r="D4617" s="196"/>
      <c r="E4617" s="196"/>
    </row>
    <row r="4618">
      <c r="A4618" s="234"/>
      <c r="B4618" s="235"/>
      <c r="C4618" s="235"/>
      <c r="D4618" s="196"/>
      <c r="E4618" s="196"/>
    </row>
    <row r="4619">
      <c r="A4619" s="234"/>
      <c r="B4619" s="235"/>
      <c r="C4619" s="235"/>
      <c r="D4619" s="196"/>
      <c r="E4619" s="196"/>
    </row>
    <row r="4620">
      <c r="A4620" s="234"/>
      <c r="B4620" s="235"/>
      <c r="C4620" s="235"/>
      <c r="D4620" s="196"/>
      <c r="E4620" s="196"/>
    </row>
    <row r="4621">
      <c r="A4621" s="234"/>
      <c r="B4621" s="235"/>
      <c r="C4621" s="235"/>
      <c r="D4621" s="196"/>
      <c r="E4621" s="196"/>
    </row>
    <row r="4622">
      <c r="A4622" s="234"/>
      <c r="B4622" s="235"/>
      <c r="C4622" s="235"/>
      <c r="D4622" s="196"/>
      <c r="E4622" s="196"/>
    </row>
    <row r="4623">
      <c r="A4623" s="234"/>
      <c r="B4623" s="235"/>
      <c r="C4623" s="235"/>
      <c r="D4623" s="196"/>
      <c r="E4623" s="196"/>
    </row>
    <row r="4624">
      <c r="A4624" s="234"/>
      <c r="B4624" s="235"/>
      <c r="C4624" s="235"/>
      <c r="D4624" s="196"/>
      <c r="E4624" s="196"/>
    </row>
    <row r="4625">
      <c r="A4625" s="234"/>
      <c r="B4625" s="235"/>
      <c r="C4625" s="235"/>
      <c r="D4625" s="196"/>
      <c r="E4625" s="196"/>
    </row>
    <row r="4626">
      <c r="A4626" s="234"/>
      <c r="B4626" s="235"/>
      <c r="C4626" s="235"/>
      <c r="D4626" s="196"/>
      <c r="E4626" s="196"/>
    </row>
    <row r="4627">
      <c r="A4627" s="234"/>
      <c r="B4627" s="235"/>
      <c r="C4627" s="235"/>
      <c r="D4627" s="196"/>
      <c r="E4627" s="196"/>
    </row>
    <row r="4628">
      <c r="A4628" s="234"/>
      <c r="B4628" s="235"/>
      <c r="C4628" s="235"/>
      <c r="D4628" s="196"/>
      <c r="E4628" s="196"/>
    </row>
    <row r="4629">
      <c r="A4629" s="234"/>
      <c r="B4629" s="235"/>
      <c r="C4629" s="235"/>
      <c r="D4629" s="196"/>
      <c r="E4629" s="196"/>
    </row>
    <row r="4630">
      <c r="A4630" s="234"/>
      <c r="B4630" s="235"/>
      <c r="C4630" s="235"/>
      <c r="D4630" s="196"/>
      <c r="E4630" s="196"/>
    </row>
    <row r="4631">
      <c r="A4631" s="234"/>
      <c r="B4631" s="235"/>
      <c r="C4631" s="235"/>
      <c r="D4631" s="196"/>
      <c r="E4631" s="196"/>
    </row>
    <row r="4632">
      <c r="A4632" s="234"/>
      <c r="B4632" s="235"/>
      <c r="C4632" s="235"/>
      <c r="D4632" s="196"/>
      <c r="E4632" s="196"/>
    </row>
    <row r="4633">
      <c r="A4633" s="234"/>
      <c r="B4633" s="235"/>
      <c r="C4633" s="235"/>
      <c r="D4633" s="196"/>
      <c r="E4633" s="196"/>
    </row>
    <row r="4634">
      <c r="A4634" s="234"/>
      <c r="B4634" s="235"/>
      <c r="C4634" s="235"/>
      <c r="D4634" s="196"/>
      <c r="E4634" s="196"/>
    </row>
    <row r="4635">
      <c r="A4635" s="234"/>
      <c r="B4635" s="235"/>
      <c r="C4635" s="235"/>
      <c r="D4635" s="196"/>
      <c r="E4635" s="196"/>
    </row>
    <row r="4636">
      <c r="A4636" s="234"/>
      <c r="B4636" s="235"/>
      <c r="C4636" s="235"/>
      <c r="D4636" s="196"/>
      <c r="E4636" s="196"/>
    </row>
    <row r="4637">
      <c r="A4637" s="234"/>
      <c r="B4637" s="235"/>
      <c r="C4637" s="235"/>
      <c r="D4637" s="196"/>
      <c r="E4637" s="196"/>
    </row>
    <row r="4638">
      <c r="A4638" s="234"/>
      <c r="B4638" s="235"/>
      <c r="C4638" s="235"/>
      <c r="D4638" s="196"/>
      <c r="E4638" s="196"/>
    </row>
    <row r="4639">
      <c r="A4639" s="234"/>
      <c r="B4639" s="235"/>
      <c r="C4639" s="235"/>
      <c r="D4639" s="196"/>
      <c r="E4639" s="196"/>
    </row>
    <row r="4640">
      <c r="A4640" s="234"/>
      <c r="B4640" s="235"/>
      <c r="C4640" s="235"/>
      <c r="D4640" s="196"/>
      <c r="E4640" s="196"/>
    </row>
    <row r="4641">
      <c r="A4641" s="234"/>
      <c r="B4641" s="235"/>
      <c r="C4641" s="235"/>
      <c r="D4641" s="196"/>
      <c r="E4641" s="196"/>
    </row>
    <row r="4642">
      <c r="A4642" s="234"/>
      <c r="B4642" s="235"/>
      <c r="C4642" s="235"/>
      <c r="D4642" s="196"/>
      <c r="E4642" s="196"/>
    </row>
    <row r="4643">
      <c r="A4643" s="234"/>
      <c r="B4643" s="235"/>
      <c r="C4643" s="235"/>
      <c r="D4643" s="196"/>
      <c r="E4643" s="196"/>
    </row>
    <row r="4644">
      <c r="A4644" s="234"/>
      <c r="B4644" s="235"/>
      <c r="C4644" s="235"/>
      <c r="D4644" s="196"/>
      <c r="E4644" s="196"/>
    </row>
    <row r="4645">
      <c r="A4645" s="234"/>
      <c r="B4645" s="235"/>
      <c r="C4645" s="235"/>
      <c r="D4645" s="196"/>
      <c r="E4645" s="196"/>
    </row>
    <row r="4646">
      <c r="A4646" s="234"/>
      <c r="B4646" s="235"/>
      <c r="C4646" s="235"/>
      <c r="D4646" s="196"/>
      <c r="E4646" s="196"/>
    </row>
    <row r="4647">
      <c r="A4647" s="234"/>
      <c r="B4647" s="235"/>
      <c r="C4647" s="235"/>
      <c r="D4647" s="196"/>
      <c r="E4647" s="196"/>
    </row>
    <row r="4648">
      <c r="A4648" s="234"/>
      <c r="B4648" s="235"/>
      <c r="C4648" s="235"/>
      <c r="D4648" s="196"/>
      <c r="E4648" s="196"/>
    </row>
    <row r="4649">
      <c r="A4649" s="234"/>
      <c r="B4649" s="235"/>
      <c r="C4649" s="235"/>
      <c r="D4649" s="196"/>
      <c r="E4649" s="196"/>
    </row>
    <row r="4650">
      <c r="A4650" s="234"/>
      <c r="B4650" s="235"/>
      <c r="C4650" s="235"/>
      <c r="D4650" s="196"/>
      <c r="E4650" s="196"/>
    </row>
    <row r="4651">
      <c r="A4651" s="234"/>
      <c r="B4651" s="235"/>
      <c r="C4651" s="235"/>
      <c r="D4651" s="196"/>
      <c r="E4651" s="196"/>
    </row>
    <row r="4652">
      <c r="A4652" s="234"/>
      <c r="B4652" s="235"/>
      <c r="C4652" s="235"/>
      <c r="D4652" s="196"/>
      <c r="E4652" s="196"/>
    </row>
    <row r="4653">
      <c r="A4653" s="234"/>
      <c r="B4653" s="235"/>
      <c r="C4653" s="235"/>
      <c r="D4653" s="196"/>
      <c r="E4653" s="196"/>
    </row>
    <row r="4654">
      <c r="A4654" s="234"/>
      <c r="B4654" s="235"/>
      <c r="C4654" s="235"/>
      <c r="D4654" s="196"/>
      <c r="E4654" s="196"/>
    </row>
    <row r="4655">
      <c r="A4655" s="234"/>
      <c r="B4655" s="235"/>
      <c r="C4655" s="235"/>
      <c r="D4655" s="196"/>
      <c r="E4655" s="196"/>
    </row>
    <row r="4656">
      <c r="A4656" s="234"/>
      <c r="B4656" s="235"/>
      <c r="C4656" s="235"/>
      <c r="D4656" s="196"/>
      <c r="E4656" s="196"/>
    </row>
    <row r="4657">
      <c r="A4657" s="234"/>
      <c r="B4657" s="235"/>
      <c r="C4657" s="235"/>
      <c r="D4657" s="196"/>
      <c r="E4657" s="196"/>
    </row>
    <row r="4658">
      <c r="A4658" s="234"/>
      <c r="B4658" s="235"/>
      <c r="C4658" s="235"/>
      <c r="D4658" s="196"/>
      <c r="E4658" s="196"/>
    </row>
    <row r="4659">
      <c r="A4659" s="234"/>
      <c r="B4659" s="235"/>
      <c r="C4659" s="235"/>
      <c r="D4659" s="196"/>
      <c r="E4659" s="196"/>
    </row>
    <row r="4660">
      <c r="A4660" s="234"/>
      <c r="B4660" s="235"/>
      <c r="C4660" s="235"/>
      <c r="D4660" s="196"/>
      <c r="E4660" s="196"/>
    </row>
    <row r="4661">
      <c r="A4661" s="234"/>
      <c r="B4661" s="235"/>
      <c r="C4661" s="235"/>
      <c r="D4661" s="196"/>
      <c r="E4661" s="196"/>
    </row>
    <row r="4662">
      <c r="A4662" s="234"/>
      <c r="B4662" s="235"/>
      <c r="C4662" s="235"/>
      <c r="D4662" s="196"/>
      <c r="E4662" s="196"/>
    </row>
    <row r="4663">
      <c r="A4663" s="234"/>
      <c r="B4663" s="235"/>
      <c r="C4663" s="235"/>
      <c r="D4663" s="196"/>
      <c r="E4663" s="196"/>
    </row>
    <row r="4664">
      <c r="A4664" s="234"/>
      <c r="B4664" s="235"/>
      <c r="C4664" s="235"/>
      <c r="D4664" s="196"/>
      <c r="E4664" s="196"/>
    </row>
    <row r="4665">
      <c r="A4665" s="234"/>
      <c r="B4665" s="235"/>
      <c r="C4665" s="235"/>
      <c r="D4665" s="196"/>
      <c r="E4665" s="196"/>
    </row>
    <row r="4666">
      <c r="A4666" s="234"/>
      <c r="B4666" s="235"/>
      <c r="C4666" s="235"/>
      <c r="D4666" s="196"/>
      <c r="E4666" s="196"/>
    </row>
    <row r="4667">
      <c r="A4667" s="234"/>
      <c r="B4667" s="235"/>
      <c r="C4667" s="235"/>
      <c r="D4667" s="196"/>
      <c r="E4667" s="196"/>
    </row>
    <row r="4668">
      <c r="A4668" s="234"/>
      <c r="B4668" s="235"/>
      <c r="C4668" s="235"/>
      <c r="D4668" s="196"/>
      <c r="E4668" s="196"/>
    </row>
    <row r="4669">
      <c r="A4669" s="234"/>
      <c r="B4669" s="235"/>
      <c r="C4669" s="235"/>
      <c r="D4669" s="196"/>
      <c r="E4669" s="196"/>
    </row>
    <row r="4670">
      <c r="A4670" s="234"/>
      <c r="B4670" s="235"/>
      <c r="C4670" s="235"/>
      <c r="D4670" s="196"/>
      <c r="E4670" s="196"/>
    </row>
    <row r="4671">
      <c r="A4671" s="234"/>
      <c r="B4671" s="235"/>
      <c r="C4671" s="235"/>
      <c r="D4671" s="196"/>
      <c r="E4671" s="196"/>
    </row>
    <row r="4672">
      <c r="A4672" s="234"/>
      <c r="B4672" s="235"/>
      <c r="C4672" s="235"/>
      <c r="D4672" s="196"/>
      <c r="E4672" s="196"/>
    </row>
    <row r="4673">
      <c r="A4673" s="234"/>
      <c r="B4673" s="235"/>
      <c r="C4673" s="235"/>
      <c r="D4673" s="196"/>
      <c r="E4673" s="196"/>
    </row>
    <row r="4674">
      <c r="A4674" s="234"/>
      <c r="B4674" s="235"/>
      <c r="C4674" s="235"/>
      <c r="D4674" s="196"/>
      <c r="E4674" s="196"/>
    </row>
    <row r="4675">
      <c r="A4675" s="234"/>
      <c r="B4675" s="235"/>
      <c r="C4675" s="235"/>
      <c r="D4675" s="196"/>
      <c r="E4675" s="196"/>
    </row>
    <row r="4676">
      <c r="A4676" s="234"/>
      <c r="B4676" s="235"/>
      <c r="C4676" s="235"/>
      <c r="D4676" s="196"/>
      <c r="E4676" s="196"/>
    </row>
    <row r="4677">
      <c r="A4677" s="234"/>
      <c r="B4677" s="235"/>
      <c r="C4677" s="235"/>
      <c r="D4677" s="196"/>
      <c r="E4677" s="196"/>
    </row>
    <row r="4678">
      <c r="A4678" s="234"/>
      <c r="B4678" s="235"/>
      <c r="C4678" s="235"/>
      <c r="D4678" s="196"/>
      <c r="E4678" s="196"/>
    </row>
    <row r="4679">
      <c r="A4679" s="234"/>
      <c r="B4679" s="235"/>
      <c r="C4679" s="235"/>
      <c r="D4679" s="196"/>
      <c r="E4679" s="196"/>
    </row>
    <row r="4680">
      <c r="A4680" s="234"/>
      <c r="B4680" s="235"/>
      <c r="C4680" s="235"/>
      <c r="D4680" s="196"/>
      <c r="E4680" s="196"/>
    </row>
    <row r="4681">
      <c r="A4681" s="234"/>
      <c r="B4681" s="235"/>
      <c r="C4681" s="235"/>
      <c r="D4681" s="196"/>
      <c r="E4681" s="196"/>
    </row>
    <row r="4682">
      <c r="A4682" s="234"/>
      <c r="B4682" s="235"/>
      <c r="C4682" s="235"/>
      <c r="D4682" s="196"/>
      <c r="E4682" s="196"/>
    </row>
    <row r="4683">
      <c r="A4683" s="234"/>
      <c r="B4683" s="235"/>
      <c r="C4683" s="235"/>
      <c r="D4683" s="196"/>
      <c r="E4683" s="196"/>
    </row>
    <row r="4684">
      <c r="A4684" s="234"/>
      <c r="B4684" s="235"/>
      <c r="C4684" s="235"/>
      <c r="D4684" s="196"/>
      <c r="E4684" s="196"/>
    </row>
    <row r="4685">
      <c r="A4685" s="234"/>
      <c r="B4685" s="235"/>
      <c r="C4685" s="235"/>
      <c r="D4685" s="196"/>
      <c r="E4685" s="196"/>
    </row>
    <row r="4686">
      <c r="A4686" s="234"/>
      <c r="B4686" s="235"/>
      <c r="C4686" s="235"/>
      <c r="D4686" s="196"/>
      <c r="E4686" s="196"/>
    </row>
    <row r="4687">
      <c r="A4687" s="234"/>
      <c r="B4687" s="235"/>
      <c r="C4687" s="235"/>
      <c r="D4687" s="196"/>
      <c r="E4687" s="196"/>
    </row>
    <row r="4688">
      <c r="A4688" s="234"/>
      <c r="B4688" s="235"/>
      <c r="C4688" s="235"/>
      <c r="D4688" s="196"/>
      <c r="E4688" s="196"/>
    </row>
    <row r="4689">
      <c r="A4689" s="234"/>
      <c r="B4689" s="235"/>
      <c r="C4689" s="235"/>
      <c r="D4689" s="196"/>
      <c r="E4689" s="196"/>
    </row>
    <row r="4690">
      <c r="A4690" s="234"/>
      <c r="B4690" s="235"/>
      <c r="C4690" s="235"/>
      <c r="D4690" s="196"/>
      <c r="E4690" s="196"/>
    </row>
    <row r="4691">
      <c r="A4691" s="234"/>
      <c r="B4691" s="235"/>
      <c r="C4691" s="235"/>
      <c r="D4691" s="196"/>
      <c r="E4691" s="196"/>
    </row>
    <row r="4692">
      <c r="A4692" s="234"/>
      <c r="B4692" s="235"/>
      <c r="C4692" s="235"/>
      <c r="D4692" s="196"/>
      <c r="E4692" s="196"/>
    </row>
    <row r="4693">
      <c r="A4693" s="234"/>
      <c r="B4693" s="235"/>
      <c r="C4693" s="235"/>
      <c r="D4693" s="196"/>
      <c r="E4693" s="196"/>
    </row>
    <row r="4694">
      <c r="A4694" s="234"/>
      <c r="B4694" s="235"/>
      <c r="C4694" s="235"/>
      <c r="D4694" s="196"/>
      <c r="E4694" s="196"/>
    </row>
    <row r="4695">
      <c r="A4695" s="234"/>
      <c r="B4695" s="235"/>
      <c r="C4695" s="235"/>
      <c r="D4695" s="196"/>
      <c r="E4695" s="196"/>
    </row>
    <row r="4696">
      <c r="A4696" s="234"/>
      <c r="B4696" s="235"/>
      <c r="C4696" s="235"/>
      <c r="D4696" s="196"/>
      <c r="E4696" s="196"/>
    </row>
    <row r="4697">
      <c r="A4697" s="234"/>
      <c r="B4697" s="235"/>
      <c r="C4697" s="235"/>
      <c r="D4697" s="196"/>
      <c r="E4697" s="196"/>
    </row>
    <row r="4698">
      <c r="A4698" s="234"/>
      <c r="B4698" s="235"/>
      <c r="C4698" s="235"/>
      <c r="D4698" s="196"/>
      <c r="E4698" s="196"/>
    </row>
    <row r="4699">
      <c r="A4699" s="234"/>
      <c r="B4699" s="235"/>
      <c r="C4699" s="235"/>
      <c r="D4699" s="196"/>
      <c r="E4699" s="196"/>
    </row>
    <row r="4700">
      <c r="A4700" s="234"/>
      <c r="B4700" s="235"/>
      <c r="C4700" s="235"/>
      <c r="D4700" s="196"/>
      <c r="E4700" s="196"/>
    </row>
    <row r="4701">
      <c r="A4701" s="234"/>
      <c r="B4701" s="235"/>
      <c r="C4701" s="235"/>
      <c r="D4701" s="196"/>
      <c r="E4701" s="196"/>
    </row>
    <row r="4702">
      <c r="A4702" s="234"/>
      <c r="B4702" s="235"/>
      <c r="C4702" s="235"/>
      <c r="D4702" s="196"/>
      <c r="E4702" s="196"/>
    </row>
    <row r="4703">
      <c r="A4703" s="234"/>
      <c r="B4703" s="235"/>
      <c r="C4703" s="235"/>
      <c r="D4703" s="196"/>
      <c r="E4703" s="196"/>
    </row>
    <row r="4704">
      <c r="A4704" s="234"/>
      <c r="B4704" s="235"/>
      <c r="C4704" s="235"/>
      <c r="D4704" s="196"/>
      <c r="E4704" s="196"/>
    </row>
    <row r="4705">
      <c r="A4705" s="234"/>
      <c r="B4705" s="235"/>
      <c r="C4705" s="235"/>
      <c r="D4705" s="196"/>
      <c r="E4705" s="196"/>
    </row>
    <row r="4706">
      <c r="A4706" s="234"/>
      <c r="B4706" s="235"/>
      <c r="C4706" s="235"/>
      <c r="D4706" s="196"/>
      <c r="E4706" s="196"/>
    </row>
    <row r="4707">
      <c r="A4707" s="234"/>
      <c r="B4707" s="235"/>
      <c r="C4707" s="235"/>
      <c r="D4707" s="196"/>
      <c r="E4707" s="196"/>
    </row>
    <row r="4708">
      <c r="A4708" s="234"/>
      <c r="B4708" s="235"/>
      <c r="C4708" s="235"/>
      <c r="D4708" s="196"/>
      <c r="E4708" s="196"/>
    </row>
    <row r="4709">
      <c r="A4709" s="234"/>
      <c r="B4709" s="235"/>
      <c r="C4709" s="235"/>
      <c r="D4709" s="196"/>
      <c r="E4709" s="196"/>
    </row>
    <row r="4710">
      <c r="A4710" s="234"/>
      <c r="B4710" s="235"/>
      <c r="C4710" s="235"/>
      <c r="D4710" s="196"/>
      <c r="E4710" s="196"/>
    </row>
    <row r="4711">
      <c r="A4711" s="234"/>
      <c r="B4711" s="235"/>
      <c r="C4711" s="235"/>
      <c r="D4711" s="196"/>
      <c r="E4711" s="196"/>
    </row>
    <row r="4712">
      <c r="A4712" s="234"/>
      <c r="B4712" s="235"/>
      <c r="C4712" s="235"/>
      <c r="D4712" s="196"/>
      <c r="E4712" s="196"/>
    </row>
    <row r="4713">
      <c r="A4713" s="234"/>
      <c r="B4713" s="235"/>
      <c r="C4713" s="235"/>
      <c r="D4713" s="196"/>
      <c r="E4713" s="196"/>
    </row>
    <row r="4714">
      <c r="A4714" s="234"/>
      <c r="B4714" s="235"/>
      <c r="C4714" s="235"/>
      <c r="D4714" s="196"/>
      <c r="E4714" s="196"/>
    </row>
    <row r="4715">
      <c r="A4715" s="234"/>
      <c r="B4715" s="235"/>
      <c r="C4715" s="235"/>
      <c r="D4715" s="196"/>
      <c r="E4715" s="196"/>
    </row>
    <row r="4716">
      <c r="A4716" s="234"/>
      <c r="B4716" s="235"/>
      <c r="C4716" s="235"/>
      <c r="D4716" s="196"/>
      <c r="E4716" s="196"/>
    </row>
    <row r="4717">
      <c r="A4717" s="234"/>
      <c r="B4717" s="235"/>
      <c r="C4717" s="235"/>
      <c r="D4717" s="196"/>
      <c r="E4717" s="196"/>
    </row>
    <row r="4718">
      <c r="A4718" s="234"/>
      <c r="B4718" s="235"/>
      <c r="C4718" s="235"/>
      <c r="D4718" s="196"/>
      <c r="E4718" s="196"/>
    </row>
    <row r="4719">
      <c r="A4719" s="234"/>
      <c r="B4719" s="235"/>
      <c r="C4719" s="235"/>
      <c r="D4719" s="196"/>
      <c r="E4719" s="196"/>
    </row>
    <row r="4720">
      <c r="A4720" s="234"/>
      <c r="B4720" s="235"/>
      <c r="C4720" s="235"/>
      <c r="D4720" s="196"/>
      <c r="E4720" s="196"/>
    </row>
    <row r="4721">
      <c r="A4721" s="234"/>
      <c r="B4721" s="235"/>
      <c r="C4721" s="235"/>
      <c r="D4721" s="196"/>
      <c r="E4721" s="196"/>
    </row>
    <row r="4722">
      <c r="A4722" s="234"/>
      <c r="B4722" s="235"/>
      <c r="C4722" s="235"/>
      <c r="D4722" s="196"/>
      <c r="E4722" s="196"/>
    </row>
    <row r="4723">
      <c r="A4723" s="234"/>
      <c r="B4723" s="235"/>
      <c r="C4723" s="235"/>
      <c r="D4723" s="196"/>
      <c r="E4723" s="196"/>
    </row>
    <row r="4724">
      <c r="A4724" s="234"/>
      <c r="B4724" s="235"/>
      <c r="C4724" s="235"/>
      <c r="D4724" s="196"/>
      <c r="E4724" s="196"/>
    </row>
    <row r="4725">
      <c r="A4725" s="234"/>
      <c r="B4725" s="235"/>
      <c r="C4725" s="235"/>
      <c r="D4725" s="196"/>
      <c r="E4725" s="196"/>
    </row>
    <row r="4726">
      <c r="A4726" s="234"/>
      <c r="B4726" s="235"/>
      <c r="C4726" s="235"/>
      <c r="D4726" s="196"/>
      <c r="E4726" s="196"/>
    </row>
    <row r="4727">
      <c r="A4727" s="234"/>
      <c r="B4727" s="235"/>
      <c r="C4727" s="235"/>
      <c r="D4727" s="196"/>
      <c r="E4727" s="196"/>
    </row>
    <row r="4728">
      <c r="A4728" s="234"/>
      <c r="B4728" s="235"/>
      <c r="C4728" s="235"/>
      <c r="D4728" s="196"/>
      <c r="E4728" s="196"/>
    </row>
    <row r="4729">
      <c r="A4729" s="234"/>
      <c r="B4729" s="235"/>
      <c r="C4729" s="235"/>
      <c r="D4729" s="196"/>
      <c r="E4729" s="196"/>
    </row>
    <row r="4730">
      <c r="A4730" s="234"/>
      <c r="B4730" s="235"/>
      <c r="C4730" s="235"/>
      <c r="D4730" s="196"/>
      <c r="E4730" s="196"/>
    </row>
    <row r="4731">
      <c r="A4731" s="234"/>
      <c r="B4731" s="235"/>
      <c r="C4731" s="235"/>
      <c r="D4731" s="196"/>
      <c r="E4731" s="196"/>
    </row>
    <row r="4732">
      <c r="A4732" s="234"/>
      <c r="B4732" s="235"/>
      <c r="C4732" s="235"/>
      <c r="D4732" s="196"/>
      <c r="E4732" s="196"/>
    </row>
    <row r="4733">
      <c r="A4733" s="234"/>
      <c r="B4733" s="235"/>
      <c r="C4733" s="235"/>
      <c r="D4733" s="196"/>
      <c r="E4733" s="196"/>
    </row>
    <row r="4734">
      <c r="A4734" s="234"/>
      <c r="B4734" s="235"/>
      <c r="C4734" s="235"/>
      <c r="D4734" s="196"/>
      <c r="E4734" s="196"/>
    </row>
    <row r="4735">
      <c r="A4735" s="234"/>
      <c r="B4735" s="235"/>
      <c r="C4735" s="235"/>
      <c r="D4735" s="196"/>
      <c r="E4735" s="196"/>
    </row>
    <row r="4736">
      <c r="A4736" s="234"/>
      <c r="B4736" s="235"/>
      <c r="C4736" s="235"/>
      <c r="D4736" s="196"/>
      <c r="E4736" s="196"/>
    </row>
    <row r="4737">
      <c r="A4737" s="234"/>
      <c r="B4737" s="235"/>
      <c r="C4737" s="235"/>
      <c r="D4737" s="196"/>
      <c r="E4737" s="196"/>
    </row>
    <row r="4738">
      <c r="A4738" s="234"/>
      <c r="B4738" s="235"/>
      <c r="C4738" s="235"/>
      <c r="D4738" s="196"/>
      <c r="E4738" s="196"/>
    </row>
    <row r="4739">
      <c r="A4739" s="234"/>
      <c r="B4739" s="235"/>
      <c r="C4739" s="235"/>
      <c r="D4739" s="196"/>
      <c r="E4739" s="196"/>
    </row>
    <row r="4740">
      <c r="A4740" s="234"/>
      <c r="B4740" s="235"/>
      <c r="C4740" s="235"/>
      <c r="D4740" s="196"/>
      <c r="E4740" s="196"/>
    </row>
    <row r="4741">
      <c r="A4741" s="234"/>
      <c r="B4741" s="235"/>
      <c r="C4741" s="235"/>
      <c r="D4741" s="196"/>
      <c r="E4741" s="196"/>
    </row>
    <row r="4742">
      <c r="A4742" s="234"/>
      <c r="B4742" s="235"/>
      <c r="C4742" s="235"/>
      <c r="D4742" s="196"/>
      <c r="E4742" s="196"/>
    </row>
    <row r="4743">
      <c r="A4743" s="234"/>
      <c r="B4743" s="235"/>
      <c r="C4743" s="235"/>
      <c r="D4743" s="196"/>
      <c r="E4743" s="196"/>
    </row>
    <row r="4744">
      <c r="A4744" s="234"/>
      <c r="B4744" s="235"/>
      <c r="C4744" s="235"/>
      <c r="D4744" s="196"/>
      <c r="E4744" s="196"/>
    </row>
    <row r="4745">
      <c r="A4745" s="234"/>
      <c r="B4745" s="235"/>
      <c r="C4745" s="235"/>
      <c r="D4745" s="196"/>
      <c r="E4745" s="196"/>
    </row>
    <row r="4746">
      <c r="A4746" s="234"/>
      <c r="B4746" s="235"/>
      <c r="C4746" s="235"/>
      <c r="D4746" s="196"/>
      <c r="E4746" s="196"/>
    </row>
    <row r="4747">
      <c r="A4747" s="234"/>
      <c r="B4747" s="235"/>
      <c r="C4747" s="235"/>
      <c r="D4747" s="196"/>
      <c r="E4747" s="196"/>
    </row>
    <row r="4748">
      <c r="A4748" s="234"/>
      <c r="B4748" s="235"/>
      <c r="C4748" s="235"/>
      <c r="D4748" s="196"/>
      <c r="E4748" s="196"/>
    </row>
    <row r="4749">
      <c r="A4749" s="234"/>
      <c r="B4749" s="235"/>
      <c r="C4749" s="235"/>
      <c r="D4749" s="196"/>
      <c r="E4749" s="196"/>
    </row>
    <row r="4750">
      <c r="A4750" s="234"/>
      <c r="B4750" s="235"/>
      <c r="C4750" s="235"/>
      <c r="D4750" s="196"/>
      <c r="E4750" s="196"/>
    </row>
    <row r="4751">
      <c r="A4751" s="234"/>
      <c r="B4751" s="235"/>
      <c r="C4751" s="235"/>
      <c r="D4751" s="196"/>
      <c r="E4751" s="196"/>
    </row>
    <row r="4752">
      <c r="A4752" s="234"/>
      <c r="B4752" s="235"/>
      <c r="C4752" s="235"/>
      <c r="D4752" s="196"/>
      <c r="E4752" s="196"/>
    </row>
    <row r="4753">
      <c r="A4753" s="234"/>
      <c r="B4753" s="235"/>
      <c r="C4753" s="235"/>
      <c r="D4753" s="196"/>
      <c r="E4753" s="196"/>
    </row>
    <row r="4754">
      <c r="A4754" s="234"/>
      <c r="B4754" s="235"/>
      <c r="C4754" s="235"/>
      <c r="D4754" s="196"/>
      <c r="E4754" s="196"/>
    </row>
    <row r="4755">
      <c r="A4755" s="234"/>
      <c r="B4755" s="235"/>
      <c r="C4755" s="235"/>
      <c r="D4755" s="196"/>
      <c r="E4755" s="196"/>
    </row>
    <row r="4756">
      <c r="A4756" s="234"/>
      <c r="B4756" s="235"/>
      <c r="C4756" s="235"/>
      <c r="D4756" s="196"/>
      <c r="E4756" s="196"/>
    </row>
    <row r="4757">
      <c r="A4757" s="234"/>
      <c r="B4757" s="235"/>
      <c r="C4757" s="235"/>
      <c r="D4757" s="196"/>
      <c r="E4757" s="196"/>
    </row>
    <row r="4758">
      <c r="A4758" s="234"/>
      <c r="B4758" s="235"/>
      <c r="C4758" s="235"/>
      <c r="D4758" s="196"/>
      <c r="E4758" s="196"/>
    </row>
    <row r="4759">
      <c r="A4759" s="234"/>
      <c r="B4759" s="235"/>
      <c r="C4759" s="235"/>
      <c r="D4759" s="196"/>
      <c r="E4759" s="196"/>
    </row>
    <row r="4760">
      <c r="A4760" s="234"/>
      <c r="B4760" s="235"/>
      <c r="C4760" s="235"/>
      <c r="D4760" s="196"/>
      <c r="E4760" s="196"/>
    </row>
    <row r="4761">
      <c r="A4761" s="234"/>
      <c r="B4761" s="235"/>
      <c r="C4761" s="235"/>
      <c r="D4761" s="196"/>
      <c r="E4761" s="196"/>
    </row>
    <row r="4762">
      <c r="A4762" s="234"/>
      <c r="B4762" s="235"/>
      <c r="C4762" s="235"/>
      <c r="D4762" s="196"/>
      <c r="E4762" s="196"/>
    </row>
  </sheetData>
  <hyperlinks>
    <hyperlink r:id="rId1" ref="D2345"/>
    <hyperlink r:id="rId2" ref="E2612"/>
  </hyperlinks>
  <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25"/>
    <col customWidth="1" min="3" max="3" width="27.25"/>
    <col customWidth="1" min="4" max="4" width="18.63"/>
  </cols>
  <sheetData>
    <row r="1">
      <c r="A1" s="311" t="s">
        <v>190</v>
      </c>
      <c r="B1" s="312" t="s">
        <v>2883</v>
      </c>
      <c r="C1" s="266" t="s">
        <v>2884</v>
      </c>
    </row>
    <row r="2">
      <c r="A2" s="313" t="str">
        <f t="array" ref="A2:A145">SORT(UNIQUE(DATABASE!E3:E1000))</f>
        <v>4David's Book Trading</v>
      </c>
      <c r="B2" s="314">
        <f>AVERAGEIFS(DATABASE!$AC$3:$AC1000,DATABASE!$E$3:E1000,A2)</f>
        <v>4.803030303</v>
      </c>
      <c r="C2" s="315" t="str">
        <f t="shared" ref="C2:C143" si="1">ifS(B2&gt;=4.5,"Strongly Recommended", B2&gt;=4, "Recommended", B2&gt;=3.5, "Acceptable",  B2&gt;=3, "Acceptable w/ some Reservation", B2&lt;3, "Not Recommended")</f>
        <v>Strongly Recommended</v>
      </c>
    </row>
    <row r="3">
      <c r="A3" s="313" t="s">
        <v>2148</v>
      </c>
      <c r="B3" s="314">
        <f>AVERAGEIFS(DATABASE!$AC$3:$AC1000,DATABASE!$E$3:E1000,A3)</f>
        <v>4.783333333</v>
      </c>
      <c r="C3" s="315" t="str">
        <f t="shared" si="1"/>
        <v>Strongly Recommended</v>
      </c>
    </row>
    <row r="4">
      <c r="A4" s="313" t="s">
        <v>360</v>
      </c>
      <c r="B4" s="314">
        <f>AVERAGEIFS(DATABASE!$AC$3:$AC1000,DATABASE!$E$3:E1000,A4)</f>
        <v>4.846957672</v>
      </c>
      <c r="C4" s="315" t="str">
        <f t="shared" si="1"/>
        <v>Strongly Recommended</v>
      </c>
    </row>
    <row r="5">
      <c r="A5" s="313" t="s">
        <v>806</v>
      </c>
      <c r="B5" s="314">
        <f>AVERAGEIFS(DATABASE!$AC$3:$AC1000,DATABASE!$E$3:E1000,A5)</f>
        <v>4.849390244</v>
      </c>
      <c r="C5" s="315" t="str">
        <f t="shared" si="1"/>
        <v>Strongly Recommended</v>
      </c>
    </row>
    <row r="6">
      <c r="A6" s="313" t="s">
        <v>1503</v>
      </c>
      <c r="B6" s="314">
        <f>AVERAGEIFS(DATABASE!$AC$3:$AC1000,DATABASE!$E$3:E1000,A6)</f>
        <v>4.833333333</v>
      </c>
      <c r="C6" s="315" t="str">
        <f t="shared" si="1"/>
        <v>Strongly Recommended</v>
      </c>
    </row>
    <row r="7">
      <c r="A7" s="313" t="s">
        <v>1871</v>
      </c>
      <c r="B7" s="314">
        <f>AVERAGEIFS(DATABASE!$AC$3:$AC1000,DATABASE!$E$3:E1000,A7)</f>
        <v>4.791666667</v>
      </c>
      <c r="C7" s="315" t="str">
        <f t="shared" si="1"/>
        <v>Strongly Recommended</v>
      </c>
    </row>
    <row r="8">
      <c r="A8" s="313" t="s">
        <v>1248</v>
      </c>
      <c r="B8" s="314">
        <f>AVERAGEIFS(DATABASE!$AC$3:$AC1000,DATABASE!$E$3:E1000,A8)</f>
        <v>5</v>
      </c>
      <c r="C8" s="315" t="str">
        <f t="shared" si="1"/>
        <v>Strongly Recommended</v>
      </c>
    </row>
    <row r="9">
      <c r="A9" s="313" t="s">
        <v>193</v>
      </c>
      <c r="B9" s="314">
        <f>AVERAGEIFS(DATABASE!$AC$3:$AC1000,DATABASE!$E$3:E1000,A9)</f>
        <v>4.933888889</v>
      </c>
      <c r="C9" s="315" t="str">
        <f t="shared" si="1"/>
        <v>Strongly Recommended</v>
      </c>
    </row>
    <row r="10">
      <c r="A10" s="313" t="s">
        <v>2164</v>
      </c>
      <c r="B10" s="314">
        <f>AVERAGEIFS(DATABASE!$AC$3:$AC1000,DATABASE!$E$3:E1000,A10)</f>
        <v>3</v>
      </c>
      <c r="C10" s="315" t="str">
        <f t="shared" si="1"/>
        <v>Acceptable w/ some Reservation</v>
      </c>
    </row>
    <row r="11">
      <c r="A11" s="313" t="s">
        <v>1363</v>
      </c>
      <c r="B11" s="314">
        <f>AVERAGEIFS(DATABASE!$AC$3:$AC1000,DATABASE!$E$3:E1000,A11)</f>
        <v>4.916666667</v>
      </c>
      <c r="C11" s="315" t="str">
        <f t="shared" si="1"/>
        <v>Strongly Recommended</v>
      </c>
    </row>
    <row r="12">
      <c r="A12" s="313" t="s">
        <v>113</v>
      </c>
      <c r="B12" s="314">
        <f>AVERAGEIFS(DATABASE!$AC$3:$AC1000,DATABASE!$E$3:E1000,A12)</f>
        <v>4.940996169</v>
      </c>
      <c r="C12" s="315" t="str">
        <f t="shared" si="1"/>
        <v>Strongly Recommended</v>
      </c>
    </row>
    <row r="13">
      <c r="A13" s="313" t="s">
        <v>219</v>
      </c>
      <c r="B13" s="314">
        <f>AVERAGEIFS(DATABASE!$AC$3:$AC1000,DATABASE!$E$3:E1000,A13)</f>
        <v>4.614285714</v>
      </c>
      <c r="C13" s="315" t="str">
        <f t="shared" si="1"/>
        <v>Strongly Recommended</v>
      </c>
    </row>
    <row r="14">
      <c r="A14" s="313" t="s">
        <v>18</v>
      </c>
      <c r="B14" s="314">
        <f>AVERAGEIFS(DATABASE!$AC$3:$AC1000,DATABASE!$E$3:E1000,A14)</f>
        <v>4.708</v>
      </c>
      <c r="C14" s="315" t="str">
        <f t="shared" si="1"/>
        <v>Strongly Recommended</v>
      </c>
    </row>
    <row r="15">
      <c r="A15" s="313" t="s">
        <v>1977</v>
      </c>
      <c r="B15" s="314">
        <f>AVERAGEIFS(DATABASE!$AC$3:$AC1000,DATABASE!$E$3:E1000,A15)</f>
        <v>4.883333333</v>
      </c>
      <c r="C15" s="315" t="str">
        <f t="shared" si="1"/>
        <v>Strongly Recommended</v>
      </c>
    </row>
    <row r="16">
      <c r="A16" s="313" t="s">
        <v>2097</v>
      </c>
      <c r="B16" s="314">
        <f>AVERAGEIFS(DATABASE!$AC$3:$AC1000,DATABASE!$E$3:E1000,A16)</f>
        <v>4.066666667</v>
      </c>
      <c r="C16" s="315" t="str">
        <f t="shared" si="1"/>
        <v>Recommended</v>
      </c>
    </row>
    <row r="17">
      <c r="A17" s="313" t="s">
        <v>646</v>
      </c>
      <c r="B17" s="314">
        <f>AVERAGEIFS(DATABASE!$AC$3:$AC1000,DATABASE!$E$3:E1000,A17)</f>
        <v>4.762681159</v>
      </c>
      <c r="C17" s="315" t="str">
        <f t="shared" si="1"/>
        <v>Strongly Recommended</v>
      </c>
    </row>
    <row r="18">
      <c r="A18" s="313" t="s">
        <v>864</v>
      </c>
      <c r="B18" s="314">
        <f>AVERAGEIFS(DATABASE!$AC$3:$AC1000,DATABASE!$E$3:E1000,A18)</f>
        <v>4</v>
      </c>
      <c r="C18" s="315" t="str">
        <f t="shared" si="1"/>
        <v>Recommended</v>
      </c>
    </row>
    <row r="19">
      <c r="A19" s="313" t="s">
        <v>2155</v>
      </c>
      <c r="B19" s="314">
        <f>AVERAGEIFS(DATABASE!$AC$3:$AC1000,DATABASE!$E$3:E1000,A19)</f>
        <v>4.858333333</v>
      </c>
      <c r="C19" s="315" t="str">
        <f t="shared" si="1"/>
        <v>Strongly Recommended</v>
      </c>
    </row>
    <row r="20">
      <c r="A20" s="313" t="s">
        <v>2176</v>
      </c>
      <c r="B20" s="314">
        <f>AVERAGEIFS(DATABASE!$AC$3:$AC1000,DATABASE!$E$3:E1000,A20)</f>
        <v>4.966666667</v>
      </c>
      <c r="C20" s="315" t="str">
        <f t="shared" si="1"/>
        <v>Strongly Recommended</v>
      </c>
    </row>
    <row r="21">
      <c r="A21" s="313" t="s">
        <v>602</v>
      </c>
      <c r="B21" s="314">
        <f>AVERAGEIFS(DATABASE!$AC$3:$AC1000,DATABASE!$E$3:E1000,A21)</f>
        <v>4.721031746</v>
      </c>
      <c r="C21" s="315" t="str">
        <f t="shared" si="1"/>
        <v>Strongly Recommended</v>
      </c>
    </row>
    <row r="22">
      <c r="A22" s="313" t="s">
        <v>198</v>
      </c>
      <c r="B22" s="314">
        <f>AVERAGEIFS(DATABASE!$AC$3:$AC1000,DATABASE!$E$3:E1000,A22)</f>
        <v>4.616666667</v>
      </c>
      <c r="C22" s="315" t="str">
        <f t="shared" si="1"/>
        <v>Strongly Recommended</v>
      </c>
    </row>
    <row r="23">
      <c r="A23" s="313" t="s">
        <v>2199</v>
      </c>
      <c r="B23" s="314">
        <f>AVERAGEIFS(DATABASE!$AC$3:$AC1000,DATABASE!$E$3:E1000,A23)</f>
        <v>3.566666667</v>
      </c>
      <c r="C23" s="315" t="str">
        <f t="shared" si="1"/>
        <v>Acceptable</v>
      </c>
    </row>
    <row r="24">
      <c r="A24" s="313" t="s">
        <v>767</v>
      </c>
      <c r="B24" s="314">
        <f>AVERAGEIFS(DATABASE!$AC$3:$AC1000,DATABASE!$E$3:E1000,A24)</f>
        <v>4.961074561</v>
      </c>
      <c r="C24" s="315" t="str">
        <f t="shared" si="1"/>
        <v>Strongly Recommended</v>
      </c>
    </row>
    <row r="25">
      <c r="A25" s="313" t="s">
        <v>1129</v>
      </c>
      <c r="B25" s="314">
        <f>AVERAGEIFS(DATABASE!$AC$3:$AC1000,DATABASE!$E$3:E1000,A25)</f>
        <v>4.833333333</v>
      </c>
      <c r="C25" s="315" t="str">
        <f t="shared" si="1"/>
        <v>Strongly Recommended</v>
      </c>
    </row>
    <row r="26">
      <c r="A26" s="313" t="s">
        <v>1519</v>
      </c>
      <c r="B26" s="314">
        <f>AVERAGEIFS(DATABASE!$AC$3:$AC1000,DATABASE!$E$3:E1000,A26)</f>
        <v>4.291666667</v>
      </c>
      <c r="C26" s="315" t="str">
        <f t="shared" si="1"/>
        <v>Recommended</v>
      </c>
    </row>
    <row r="27">
      <c r="A27" s="313" t="s">
        <v>454</v>
      </c>
      <c r="B27" s="314">
        <f>AVERAGEIFS(DATABASE!$AC$3:$AC1000,DATABASE!$E$3:E1000,A27)</f>
        <v>4.890740741</v>
      </c>
      <c r="C27" s="315" t="str">
        <f t="shared" si="1"/>
        <v>Strongly Recommended</v>
      </c>
    </row>
    <row r="28">
      <c r="A28" s="313" t="s">
        <v>2175</v>
      </c>
      <c r="B28" s="314">
        <f>AVERAGEIFS(DATABASE!$AC$3:$AC1000,DATABASE!$E$3:E1000,A28)</f>
        <v>4.906666667</v>
      </c>
      <c r="C28" s="315" t="str">
        <f t="shared" si="1"/>
        <v>Strongly Recommended</v>
      </c>
    </row>
    <row r="29">
      <c r="A29" s="313" t="s">
        <v>1043</v>
      </c>
      <c r="B29" s="314">
        <f>AVERAGEIFS(DATABASE!$AC$3:$AC1000,DATABASE!$E$3:E1000,A29)</f>
        <v>5</v>
      </c>
      <c r="C29" s="315" t="str">
        <f t="shared" si="1"/>
        <v>Strongly Recommended</v>
      </c>
    </row>
    <row r="30">
      <c r="A30" s="196" t="s">
        <v>704</v>
      </c>
      <c r="B30" s="314">
        <f>AVERAGEIFS(DATABASE!$AC$3:$AC1000,DATABASE!$E$3:E1000,A30)</f>
        <v>5</v>
      </c>
      <c r="C30" s="315" t="str">
        <f t="shared" si="1"/>
        <v>Strongly Recommended</v>
      </c>
    </row>
    <row r="31">
      <c r="A31" s="196" t="s">
        <v>306</v>
      </c>
      <c r="B31" s="314">
        <f>AVERAGEIFS(DATABASE!$AC$3:$AC1000,DATABASE!$E$3:E1000,A31)</f>
        <v>4.333333333</v>
      </c>
      <c r="C31" s="315" t="str">
        <f t="shared" si="1"/>
        <v>Recommended</v>
      </c>
    </row>
    <row r="32">
      <c r="A32" s="196" t="s">
        <v>61</v>
      </c>
      <c r="B32" s="314">
        <f>AVERAGEIFS(DATABASE!$AC$3:$AC1000,DATABASE!$E$3:E1000,A32)</f>
        <v>4.916666667</v>
      </c>
      <c r="C32" s="315" t="str">
        <f t="shared" si="1"/>
        <v>Strongly Recommended</v>
      </c>
    </row>
    <row r="33">
      <c r="A33" s="196" t="s">
        <v>427</v>
      </c>
      <c r="B33" s="314">
        <f>AVERAGEIFS(DATABASE!$AC$3:$AC1000,DATABASE!$E$3:E1000,A33)</f>
        <v>4.729238683</v>
      </c>
      <c r="C33" s="315" t="str">
        <f t="shared" si="1"/>
        <v>Strongly Recommended</v>
      </c>
    </row>
    <row r="34">
      <c r="A34" s="196" t="s">
        <v>1184</v>
      </c>
      <c r="B34" s="314">
        <f>AVERAGEIFS(DATABASE!$AC$3:$AC1000,DATABASE!$E$3:E1000,A34)</f>
        <v>4.639583333</v>
      </c>
      <c r="C34" s="315" t="str">
        <f t="shared" si="1"/>
        <v>Strongly Recommended</v>
      </c>
    </row>
    <row r="35">
      <c r="A35" s="196" t="s">
        <v>1208</v>
      </c>
      <c r="B35" s="314">
        <f>AVERAGEIFS(DATABASE!$AC$3:$AC1000,DATABASE!$E$3:E1000,A35)</f>
        <v>4.908333333</v>
      </c>
      <c r="C35" s="315" t="str">
        <f t="shared" si="1"/>
        <v>Strongly Recommended</v>
      </c>
    </row>
    <row r="36">
      <c r="A36" s="196" t="s">
        <v>1723</v>
      </c>
      <c r="B36" s="314">
        <f>AVERAGEIFS(DATABASE!$AC$3:$AC1000,DATABASE!$E$3:E1000,A36)</f>
        <v>4.666666667</v>
      </c>
      <c r="C36" s="315" t="str">
        <f t="shared" si="1"/>
        <v>Strongly Recommended</v>
      </c>
    </row>
    <row r="37">
      <c r="A37" s="196" t="s">
        <v>125</v>
      </c>
      <c r="B37" s="314">
        <f>AVERAGEIFS(DATABASE!$AC$3:$AC1000,DATABASE!$E$3:E1000,A37)</f>
        <v>4.548809524</v>
      </c>
      <c r="C37" s="315" t="str">
        <f t="shared" si="1"/>
        <v>Strongly Recommended</v>
      </c>
    </row>
    <row r="38">
      <c r="A38" s="196" t="s">
        <v>557</v>
      </c>
      <c r="B38" s="314">
        <f>AVERAGEIFS(DATABASE!$AC$3:$AC1000,DATABASE!$E$3:E1000,A38)</f>
        <v>4.87452381</v>
      </c>
      <c r="C38" s="315" t="str">
        <f t="shared" si="1"/>
        <v>Strongly Recommended</v>
      </c>
    </row>
    <row r="39">
      <c r="A39" s="196" t="s">
        <v>2002</v>
      </c>
      <c r="B39" s="314">
        <f>AVERAGEIFS(DATABASE!$AC$3:$AC1000,DATABASE!$E$3:E1000,A39)</f>
        <v>4.929166667</v>
      </c>
      <c r="C39" s="315" t="str">
        <f t="shared" si="1"/>
        <v>Strongly Recommended</v>
      </c>
    </row>
    <row r="40">
      <c r="A40" s="196" t="s">
        <v>295</v>
      </c>
      <c r="B40" s="314">
        <f>AVERAGEIFS(DATABASE!$AC$3:$AC1000,DATABASE!$E$3:E1000,A40)</f>
        <v>4.649022782</v>
      </c>
      <c r="C40" s="315" t="str">
        <f t="shared" si="1"/>
        <v>Strongly Recommended</v>
      </c>
    </row>
    <row r="41">
      <c r="A41" s="196" t="s">
        <v>51</v>
      </c>
      <c r="B41" s="314">
        <f>AVERAGEIFS(DATABASE!$AC$3:$AC1000,DATABASE!$E$3:E1000,A41)</f>
        <v>4.67860755</v>
      </c>
      <c r="C41" s="315" t="str">
        <f t="shared" si="1"/>
        <v>Strongly Recommended</v>
      </c>
    </row>
    <row r="42">
      <c r="A42" s="196" t="s">
        <v>380</v>
      </c>
      <c r="B42" s="314">
        <f>AVERAGEIFS(DATABASE!$AC$3:$AC1000,DATABASE!$E$3:E1000,A42)</f>
        <v>4.946153846</v>
      </c>
      <c r="C42" s="315" t="str">
        <f t="shared" si="1"/>
        <v>Strongly Recommended</v>
      </c>
    </row>
    <row r="43">
      <c r="A43" s="196" t="s">
        <v>237</v>
      </c>
      <c r="B43" s="314">
        <f>AVERAGEIFS(DATABASE!$AC$3:$AC1000,DATABASE!$E$3:E1000,A43)</f>
        <v>4.3</v>
      </c>
      <c r="C43" s="315" t="str">
        <f t="shared" si="1"/>
        <v>Recommended</v>
      </c>
    </row>
    <row r="44">
      <c r="A44" s="196" t="s">
        <v>398</v>
      </c>
      <c r="B44" s="314">
        <f>AVERAGEIFS(DATABASE!$AC$3:$AC1000,DATABASE!$E$3:E1000,A44)</f>
        <v>4.603125</v>
      </c>
      <c r="C44" s="315" t="str">
        <f t="shared" si="1"/>
        <v>Strongly Recommended</v>
      </c>
    </row>
    <row r="45">
      <c r="A45" s="196" t="s">
        <v>885</v>
      </c>
      <c r="B45" s="314">
        <f>AVERAGEIFS(DATABASE!$AC$3:$AC1000,DATABASE!$E$3:E1000,A45)</f>
        <v>3.75</v>
      </c>
      <c r="C45" s="315" t="str">
        <f t="shared" si="1"/>
        <v>Acceptable</v>
      </c>
    </row>
    <row r="46">
      <c r="A46" s="196" t="s">
        <v>1434</v>
      </c>
      <c r="B46" s="314">
        <f>AVERAGEIFS(DATABASE!$AC$3:$AC1000,DATABASE!$E$3:E1000,A46)</f>
        <v>4.444444444</v>
      </c>
      <c r="C46" s="315" t="str">
        <f t="shared" si="1"/>
        <v>Recommended</v>
      </c>
    </row>
    <row r="47">
      <c r="A47" s="196" t="s">
        <v>1323</v>
      </c>
      <c r="B47" s="314">
        <f>AVERAGEIFS(DATABASE!$AC$3:$AC1000,DATABASE!$E$3:E1000,A47)</f>
        <v>4.166666667</v>
      </c>
      <c r="C47" s="315" t="str">
        <f t="shared" si="1"/>
        <v>Recommended</v>
      </c>
    </row>
    <row r="48">
      <c r="A48" s="196" t="s">
        <v>98</v>
      </c>
      <c r="B48" s="314">
        <f>AVERAGEIFS(DATABASE!$AC$3:$AC1000,DATABASE!$E$3:E1000,A48)</f>
        <v>5</v>
      </c>
      <c r="C48" s="315" t="str">
        <f t="shared" si="1"/>
        <v>Strongly Recommended</v>
      </c>
    </row>
    <row r="49">
      <c r="A49" s="196" t="s">
        <v>2196</v>
      </c>
      <c r="B49" s="314">
        <f>AVERAGEIFS(DATABASE!$AC$3:$AC1000,DATABASE!$E$3:E1000,A49)</f>
        <v>4.802777778</v>
      </c>
      <c r="C49" s="315" t="str">
        <f t="shared" si="1"/>
        <v>Strongly Recommended</v>
      </c>
    </row>
    <row r="50">
      <c r="A50" s="196" t="s">
        <v>2154</v>
      </c>
      <c r="B50" s="314">
        <f>AVERAGEIFS(DATABASE!$AC$3:$AC1000,DATABASE!$E$3:E1000,A50)</f>
        <v>4.966666667</v>
      </c>
      <c r="C50" s="315" t="str">
        <f t="shared" si="1"/>
        <v>Strongly Recommended</v>
      </c>
    </row>
    <row r="51">
      <c r="A51" s="196" t="s">
        <v>1054</v>
      </c>
      <c r="B51" s="314">
        <f>AVERAGEIFS(DATABASE!$AC$3:$AC1000,DATABASE!$E$3:E1000,A51)</f>
        <v>4.846666667</v>
      </c>
      <c r="C51" s="315" t="str">
        <f t="shared" si="1"/>
        <v>Strongly Recommended</v>
      </c>
    </row>
    <row r="52">
      <c r="A52" s="196" t="s">
        <v>209</v>
      </c>
      <c r="B52" s="314">
        <f>AVERAGEIFS(DATABASE!$AC$3:$AC1000,DATABASE!$E$3:E1000,A52)</f>
        <v>4.842592593</v>
      </c>
      <c r="C52" s="315" t="str">
        <f t="shared" si="1"/>
        <v>Strongly Recommended</v>
      </c>
    </row>
    <row r="53">
      <c r="A53" s="196" t="s">
        <v>1726</v>
      </c>
      <c r="B53" s="314">
        <f>AVERAGEIFS(DATABASE!$AC$3:$AC1000,DATABASE!$E$3:E1000,A53)</f>
        <v>4.774074074</v>
      </c>
      <c r="C53" s="315" t="str">
        <f t="shared" si="1"/>
        <v>Strongly Recommended</v>
      </c>
    </row>
    <row r="54">
      <c r="A54" s="196" t="s">
        <v>2146</v>
      </c>
      <c r="B54" s="314">
        <f>AVERAGEIFS(DATABASE!$AC$3:$AC1000,DATABASE!$E$3:E1000,A54)</f>
        <v>5</v>
      </c>
      <c r="C54" s="315" t="str">
        <f t="shared" si="1"/>
        <v>Strongly Recommended</v>
      </c>
    </row>
    <row r="55">
      <c r="A55" s="196" t="s">
        <v>287</v>
      </c>
      <c r="B55" s="314">
        <f>AVERAGEIFS(DATABASE!$AC$3:$AC1000,DATABASE!$E$3:E1000,A55)</f>
        <v>4.766666667</v>
      </c>
      <c r="C55" s="315" t="str">
        <f t="shared" si="1"/>
        <v>Strongly Recommended</v>
      </c>
    </row>
    <row r="56">
      <c r="A56" s="196" t="s">
        <v>443</v>
      </c>
      <c r="B56" s="314">
        <f>AVERAGEIFS(DATABASE!$AC$3:$AC1000,DATABASE!$E$3:E1000,A56)</f>
        <v>4.858333333</v>
      </c>
      <c r="C56" s="315" t="str">
        <f t="shared" si="1"/>
        <v>Strongly Recommended</v>
      </c>
    </row>
    <row r="57">
      <c r="A57" s="196" t="s">
        <v>156</v>
      </c>
      <c r="B57" s="314">
        <f>AVERAGEIFS(DATABASE!$AC$3:$AC1000,DATABASE!$E$3:E1000,A57)</f>
        <v>4.71875</v>
      </c>
      <c r="C57" s="315" t="str">
        <f t="shared" si="1"/>
        <v>Strongly Recommended</v>
      </c>
    </row>
    <row r="58">
      <c r="A58" s="196" t="s">
        <v>285</v>
      </c>
      <c r="B58" s="314">
        <f>AVERAGEIFS(DATABASE!$AC$3:$AC1000,DATABASE!$E$3:E1000,A58)</f>
        <v>4</v>
      </c>
      <c r="C58" s="315" t="str">
        <f t="shared" si="1"/>
        <v>Recommended</v>
      </c>
    </row>
    <row r="59">
      <c r="A59" s="196" t="s">
        <v>107</v>
      </c>
      <c r="B59" s="314">
        <f>AVERAGEIFS(DATABASE!$AC$3:$AC1000,DATABASE!$E$3:E1000,A59)</f>
        <v>4.733333333</v>
      </c>
      <c r="C59" s="315" t="str">
        <f t="shared" si="1"/>
        <v>Strongly Recommended</v>
      </c>
    </row>
    <row r="60">
      <c r="A60" s="196" t="s">
        <v>309</v>
      </c>
      <c r="B60" s="314">
        <f>AVERAGEIFS(DATABASE!$AC$3:$AC1000,DATABASE!$E$3:E1000,A60)</f>
        <v>3.788809524</v>
      </c>
      <c r="C60" s="315" t="str">
        <f t="shared" si="1"/>
        <v>Acceptable</v>
      </c>
    </row>
    <row r="61">
      <c r="A61" s="196" t="s">
        <v>2182</v>
      </c>
      <c r="B61" s="314">
        <f>AVERAGEIFS(DATABASE!$AC$3:$AC1000,DATABASE!$E$3:E1000,A61)</f>
        <v>4.493333333</v>
      </c>
      <c r="C61" s="315" t="str">
        <f t="shared" si="1"/>
        <v>Recommended</v>
      </c>
    </row>
    <row r="62">
      <c r="A62" s="196" t="s">
        <v>2156</v>
      </c>
      <c r="B62" s="314">
        <f>AVERAGEIFS(DATABASE!$AC$3:$AC1000,DATABASE!$E$3:E1000,A62)</f>
        <v>4.763888889</v>
      </c>
      <c r="C62" s="315" t="str">
        <f t="shared" si="1"/>
        <v>Strongly Recommended</v>
      </c>
    </row>
    <row r="63">
      <c r="A63" s="196" t="s">
        <v>1154</v>
      </c>
      <c r="B63" s="314">
        <f>AVERAGEIFS(DATABASE!$AC$3:$AC1000,DATABASE!$E$3:E1000,A63)</f>
        <v>4.541666667</v>
      </c>
      <c r="C63" s="315" t="str">
        <f t="shared" si="1"/>
        <v>Strongly Recommended</v>
      </c>
    </row>
    <row r="64">
      <c r="A64" s="196" t="s">
        <v>154</v>
      </c>
      <c r="B64" s="314">
        <f>AVERAGEIFS(DATABASE!$AC$3:$AC1000,DATABASE!$E$3:E1000,A64)</f>
        <v>4.772979798</v>
      </c>
      <c r="C64" s="315" t="str">
        <f t="shared" si="1"/>
        <v>Strongly Recommended</v>
      </c>
    </row>
    <row r="65">
      <c r="A65" s="196" t="s">
        <v>976</v>
      </c>
      <c r="B65" s="314">
        <f>AVERAGEIFS(DATABASE!$AC$3:$AC1000,DATABASE!$E$3:E1000,A65)</f>
        <v>3.65</v>
      </c>
      <c r="C65" s="315" t="str">
        <f t="shared" si="1"/>
        <v>Acceptable</v>
      </c>
    </row>
    <row r="66">
      <c r="A66" s="196" t="s">
        <v>1338</v>
      </c>
      <c r="B66" s="314">
        <f>AVERAGEIFS(DATABASE!$AC$3:$AC1000,DATABASE!$E$3:E1000,A66)</f>
        <v>4.083333333</v>
      </c>
      <c r="C66" s="315" t="str">
        <f t="shared" si="1"/>
        <v>Recommended</v>
      </c>
    </row>
    <row r="67">
      <c r="A67" s="196" t="s">
        <v>326</v>
      </c>
      <c r="B67" s="314">
        <f>AVERAGEIFS(DATABASE!$AC$3:$AC1000,DATABASE!$E$3:E1000,A67)</f>
        <v>4.781282051</v>
      </c>
      <c r="C67" s="315" t="str">
        <f t="shared" si="1"/>
        <v>Strongly Recommended</v>
      </c>
    </row>
    <row r="68">
      <c r="A68" s="196" t="s">
        <v>357</v>
      </c>
      <c r="B68" s="314">
        <f>AVERAGEIFS(DATABASE!$AC$3:$AC1000,DATABASE!$E$3:E1000,A68)</f>
        <v>4.878333333</v>
      </c>
      <c r="C68" s="315" t="str">
        <f t="shared" si="1"/>
        <v>Strongly Recommended</v>
      </c>
    </row>
    <row r="69">
      <c r="A69" s="196" t="s">
        <v>393</v>
      </c>
      <c r="B69" s="314">
        <f>AVERAGEIFS(DATABASE!$AC$3:$AC1000,DATABASE!$E$3:E1000,A69)</f>
        <v>4.615</v>
      </c>
      <c r="C69" s="315" t="str">
        <f t="shared" si="1"/>
        <v>Strongly Recommended</v>
      </c>
    </row>
    <row r="70">
      <c r="A70" s="196" t="s">
        <v>225</v>
      </c>
      <c r="B70" s="314">
        <f>AVERAGEIFS(DATABASE!$AC$3:$AC1000,DATABASE!$E$3:E1000,A70)</f>
        <v>4.886363636</v>
      </c>
      <c r="C70" s="315" t="str">
        <f t="shared" si="1"/>
        <v>Strongly Recommended</v>
      </c>
    </row>
    <row r="71">
      <c r="A71" s="196" t="s">
        <v>2160</v>
      </c>
      <c r="B71" s="314">
        <f>AVERAGEIFS(DATABASE!$AC$3:$AC1000,DATABASE!$E$3:E1000,A71)</f>
        <v>4.833333333</v>
      </c>
      <c r="C71" s="315" t="str">
        <f t="shared" si="1"/>
        <v>Strongly Recommended</v>
      </c>
    </row>
    <row r="72">
      <c r="A72" s="196" t="s">
        <v>1516</v>
      </c>
      <c r="B72" s="314">
        <f>AVERAGEIFS(DATABASE!$AC$3:$AC1000,DATABASE!$E$3:E1000,A72)</f>
        <v>4.527777778</v>
      </c>
      <c r="C72" s="315" t="str">
        <f t="shared" si="1"/>
        <v>Strongly Recommended</v>
      </c>
    </row>
    <row r="73">
      <c r="A73" s="196" t="s">
        <v>853</v>
      </c>
      <c r="B73" s="314">
        <f>AVERAGEIFS(DATABASE!$AC$3:$AC1000,DATABASE!$E$3:E1000,A73)</f>
        <v>5</v>
      </c>
      <c r="C73" s="315" t="str">
        <f t="shared" si="1"/>
        <v>Strongly Recommended</v>
      </c>
    </row>
    <row r="74">
      <c r="A74" s="196" t="s">
        <v>1353</v>
      </c>
      <c r="B74" s="314">
        <f>AVERAGEIFS(DATABASE!$AC$3:$AC1000,DATABASE!$E$3:E1000,A74)</f>
        <v>4.713888889</v>
      </c>
      <c r="C74" s="315" t="str">
        <f t="shared" si="1"/>
        <v>Strongly Recommended</v>
      </c>
    </row>
    <row r="75">
      <c r="A75" s="196" t="s">
        <v>2185</v>
      </c>
      <c r="B75" s="314">
        <f>AVERAGEIFS(DATABASE!$AC$3:$AC1000,DATABASE!$E$3:E1000,A75)</f>
        <v>4.763333333</v>
      </c>
      <c r="C75" s="315" t="str">
        <f t="shared" si="1"/>
        <v>Strongly Recommended</v>
      </c>
    </row>
    <row r="76">
      <c r="A76" s="196" t="s">
        <v>2190</v>
      </c>
      <c r="B76" s="314">
        <f>AVERAGEIFS(DATABASE!$AC$3:$AC1000,DATABASE!$E$3:E1000,A76)</f>
        <v>4.966666667</v>
      </c>
      <c r="C76" s="315" t="str">
        <f t="shared" si="1"/>
        <v>Strongly Recommended</v>
      </c>
    </row>
    <row r="77">
      <c r="A77" s="196" t="s">
        <v>265</v>
      </c>
      <c r="B77" s="314">
        <f>AVERAGEIFS(DATABASE!$AC$3:$AC1000,DATABASE!$E$3:E1000,A77)</f>
        <v>4.643382353</v>
      </c>
      <c r="C77" s="315" t="str">
        <f t="shared" si="1"/>
        <v>Strongly Recommended</v>
      </c>
    </row>
    <row r="78">
      <c r="A78" s="196" t="s">
        <v>1660</v>
      </c>
      <c r="B78" s="314">
        <f>AVERAGEIFS(DATABASE!$AC$3:$AC1000,DATABASE!$E$3:E1000,A78)</f>
        <v>4.833333333</v>
      </c>
      <c r="C78" s="315" t="str">
        <f t="shared" si="1"/>
        <v>Strongly Recommended</v>
      </c>
    </row>
    <row r="79">
      <c r="A79" s="196" t="s">
        <v>979</v>
      </c>
      <c r="B79" s="314">
        <f>AVERAGEIFS(DATABASE!$AC$3:$AC1000,DATABASE!$E$3:E1000,A79)</f>
        <v>4.302083333</v>
      </c>
      <c r="C79" s="315" t="str">
        <f t="shared" si="1"/>
        <v>Recommended</v>
      </c>
    </row>
    <row r="80">
      <c r="A80" s="196" t="s">
        <v>522</v>
      </c>
      <c r="B80" s="314">
        <f>AVERAGEIFS(DATABASE!$AC$3:$AC1000,DATABASE!$E$3:E1000,A80)</f>
        <v>4.731825397</v>
      </c>
      <c r="C80" s="315" t="str">
        <f t="shared" si="1"/>
        <v>Strongly Recommended</v>
      </c>
    </row>
    <row r="81">
      <c r="A81" s="196" t="s">
        <v>1695</v>
      </c>
      <c r="B81" s="314">
        <f>AVERAGEIFS(DATABASE!$AC$3:$AC1000,DATABASE!$E$3:E1000,A81)</f>
        <v>4.835</v>
      </c>
      <c r="C81" s="315" t="str">
        <f t="shared" si="1"/>
        <v>Strongly Recommended</v>
      </c>
    </row>
    <row r="82">
      <c r="A82" s="196" t="s">
        <v>339</v>
      </c>
      <c r="B82" s="314">
        <f>AVERAGEIFS(DATABASE!$AC$3:$AC1000,DATABASE!$E$3:E1000,A82)</f>
        <v>4.770833333</v>
      </c>
      <c r="C82" s="315" t="str">
        <f t="shared" si="1"/>
        <v>Strongly Recommended</v>
      </c>
    </row>
    <row r="83">
      <c r="A83" s="196" t="s">
        <v>397</v>
      </c>
      <c r="B83" s="314">
        <f>AVERAGEIFS(DATABASE!$AC$3:$AC1000,DATABASE!$E$3:E1000,A83)</f>
        <v>4.519166667</v>
      </c>
      <c r="C83" s="315" t="str">
        <f t="shared" si="1"/>
        <v>Strongly Recommended</v>
      </c>
    </row>
    <row r="84">
      <c r="A84" s="196" t="s">
        <v>2167</v>
      </c>
      <c r="B84" s="314">
        <f>AVERAGEIFS(DATABASE!$AC$3:$AC1000,DATABASE!$E$3:E1000,A84)</f>
        <v>4.762962963</v>
      </c>
      <c r="C84" s="315" t="str">
        <f t="shared" si="1"/>
        <v>Strongly Recommended</v>
      </c>
    </row>
    <row r="85">
      <c r="A85" s="196" t="s">
        <v>754</v>
      </c>
      <c r="B85" s="314">
        <f>AVERAGEIFS(DATABASE!$AC$3:$AC1000,DATABASE!$E$3:E1000,A85)</f>
        <v>5</v>
      </c>
      <c r="C85" s="315" t="str">
        <f t="shared" si="1"/>
        <v>Strongly Recommended</v>
      </c>
    </row>
    <row r="86">
      <c r="A86" s="196" t="s">
        <v>1079</v>
      </c>
      <c r="B86" s="314">
        <f>AVERAGEIFS(DATABASE!$AC$3:$AC1000,DATABASE!$E$3:E1000,A86)</f>
        <v>4.6</v>
      </c>
      <c r="C86" s="315" t="str">
        <f t="shared" si="1"/>
        <v>Strongly Recommended</v>
      </c>
    </row>
    <row r="87">
      <c r="A87" s="196" t="s">
        <v>213</v>
      </c>
      <c r="B87" s="314">
        <f>AVERAGEIFS(DATABASE!$AC$3:$AC1000,DATABASE!$E$3:E1000,A87)</f>
        <v>4</v>
      </c>
      <c r="C87" s="315" t="str">
        <f t="shared" si="1"/>
        <v>Recommended</v>
      </c>
    </row>
    <row r="88">
      <c r="A88" s="196" t="s">
        <v>254</v>
      </c>
      <c r="B88" s="314">
        <f>AVERAGEIFS(DATABASE!$AC$3:$AC1000,DATABASE!$E$3:E1000,A88)</f>
        <v>4.834956597</v>
      </c>
      <c r="C88" s="315" t="str">
        <f t="shared" si="1"/>
        <v>Strongly Recommended</v>
      </c>
    </row>
    <row r="89">
      <c r="A89" s="196" t="s">
        <v>214</v>
      </c>
      <c r="B89" s="314">
        <f>AVERAGEIFS(DATABASE!$AC$3:$AC1000,DATABASE!$E$3:E1000,A89)</f>
        <v>4.916666667</v>
      </c>
      <c r="C89" s="315" t="str">
        <f t="shared" si="1"/>
        <v>Strongly Recommended</v>
      </c>
    </row>
    <row r="90">
      <c r="A90" s="196" t="s">
        <v>1765</v>
      </c>
      <c r="B90" s="314">
        <f>AVERAGEIFS(DATABASE!$AC$3:$AC1000,DATABASE!$E$3:E1000,A90)</f>
        <v>4.833333333</v>
      </c>
      <c r="C90" s="315" t="str">
        <f t="shared" si="1"/>
        <v>Strongly Recommended</v>
      </c>
    </row>
    <row r="91">
      <c r="A91" s="196" t="s">
        <v>1986</v>
      </c>
      <c r="B91" s="314">
        <f>AVERAGEIFS(DATABASE!$AC$3:$AC1000,DATABASE!$E$3:E1000,A91)</f>
        <v>4.944444444</v>
      </c>
      <c r="C91" s="315" t="str">
        <f t="shared" si="1"/>
        <v>Strongly Recommended</v>
      </c>
    </row>
    <row r="92">
      <c r="A92" s="196" t="s">
        <v>1159</v>
      </c>
      <c r="B92" s="314">
        <f>AVERAGEIFS(DATABASE!$AC$3:$AC1000,DATABASE!$E$3:E1000,A92)</f>
        <v>4.755555556</v>
      </c>
      <c r="C92" s="315" t="str">
        <f t="shared" si="1"/>
        <v>Strongly Recommended</v>
      </c>
    </row>
    <row r="93">
      <c r="A93" s="196" t="s">
        <v>2049</v>
      </c>
      <c r="B93" s="314">
        <f>AVERAGEIFS(DATABASE!$AC$3:$AC1000,DATABASE!$E$3:E1000,A93)</f>
        <v>4.972222222</v>
      </c>
      <c r="C93" s="315" t="str">
        <f t="shared" si="1"/>
        <v>Strongly Recommended</v>
      </c>
    </row>
    <row r="94">
      <c r="A94" s="196" t="s">
        <v>1955</v>
      </c>
      <c r="B94" s="314">
        <f>AVERAGEIFS(DATABASE!$AC$3:$AC1000,DATABASE!$E$3:E1000,A94)</f>
        <v>4.153333333</v>
      </c>
      <c r="C94" s="315" t="str">
        <f t="shared" si="1"/>
        <v>Recommended</v>
      </c>
    </row>
    <row r="95">
      <c r="A95" s="196" t="s">
        <v>411</v>
      </c>
      <c r="B95" s="314">
        <f>AVERAGEIFS(DATABASE!$AC$3:$AC1000,DATABASE!$E$3:E1000,A95)</f>
        <v>4.668333333</v>
      </c>
      <c r="C95" s="315" t="str">
        <f t="shared" si="1"/>
        <v>Strongly Recommended</v>
      </c>
    </row>
    <row r="96">
      <c r="A96" s="196" t="s">
        <v>294</v>
      </c>
      <c r="B96" s="314">
        <f>AVERAGEIFS(DATABASE!$AC$3:$AC1000,DATABASE!$E$3:E1000,A96)</f>
        <v>4</v>
      </c>
      <c r="C96" s="315" t="str">
        <f t="shared" si="1"/>
        <v>Recommended</v>
      </c>
    </row>
    <row r="97">
      <c r="A97" s="196" t="s">
        <v>625</v>
      </c>
      <c r="B97" s="314">
        <f>AVERAGEIFS(DATABASE!$AC$3:$AC1000,DATABASE!$E$3:E1000,A97)</f>
        <v>4.888946759</v>
      </c>
      <c r="C97" s="315" t="str">
        <f t="shared" si="1"/>
        <v>Strongly Recommended</v>
      </c>
    </row>
    <row r="98">
      <c r="A98" s="196" t="s">
        <v>1673</v>
      </c>
      <c r="B98" s="314">
        <f>AVERAGEIFS(DATABASE!$AC$3:$AC1000,DATABASE!$E$3:E1000,A98)</f>
        <v>4.3125</v>
      </c>
      <c r="C98" s="315" t="str">
        <f t="shared" si="1"/>
        <v>Recommended</v>
      </c>
    </row>
    <row r="99">
      <c r="A99" s="196" t="s">
        <v>298</v>
      </c>
      <c r="B99" s="314">
        <f>AVERAGEIFS(DATABASE!$AC$3:$AC1000,DATABASE!$E$3:E1000,A99)</f>
        <v>4.0075</v>
      </c>
      <c r="C99" s="315" t="str">
        <f t="shared" si="1"/>
        <v>Recommended</v>
      </c>
    </row>
    <row r="100">
      <c r="A100" s="196" t="s">
        <v>2179</v>
      </c>
      <c r="B100" s="314">
        <f>AVERAGEIFS(DATABASE!$AC$3:$AC1000,DATABASE!$E$3:E1000,A100)</f>
        <v>4.628571429</v>
      </c>
      <c r="C100" s="315" t="str">
        <f t="shared" si="1"/>
        <v>Strongly Recommended</v>
      </c>
    </row>
    <row r="101">
      <c r="A101" s="196" t="s">
        <v>2202</v>
      </c>
      <c r="B101" s="314">
        <f>AVERAGEIFS(DATABASE!$AC$3:$AC1000,DATABASE!$E$3:E1000,A101)</f>
        <v>4.5</v>
      </c>
      <c r="C101" s="315" t="str">
        <f t="shared" si="1"/>
        <v>Strongly Recommended</v>
      </c>
    </row>
    <row r="102">
      <c r="A102" s="196" t="s">
        <v>432</v>
      </c>
      <c r="B102" s="314">
        <f>AVERAGEIFS(DATABASE!$AC$3:$AC1000,DATABASE!$E$3:E1000,A102)</f>
        <v>4.778484848</v>
      </c>
      <c r="C102" s="315" t="str">
        <f t="shared" si="1"/>
        <v>Strongly Recommended</v>
      </c>
    </row>
    <row r="103">
      <c r="A103" s="196" t="s">
        <v>101</v>
      </c>
      <c r="B103" s="314">
        <f>AVERAGEIFS(DATABASE!$AC$3:$AC1000,DATABASE!$E$3:E1000,A103)</f>
        <v>5</v>
      </c>
      <c r="C103" s="315" t="str">
        <f t="shared" si="1"/>
        <v>Strongly Recommended</v>
      </c>
    </row>
    <row r="104">
      <c r="A104" s="196" t="s">
        <v>233</v>
      </c>
      <c r="B104" s="314">
        <f>AVERAGEIFS(DATABASE!$AC$3:$AC1000,DATABASE!$E$3:E1000,A104)</f>
        <v>4.770833333</v>
      </c>
      <c r="C104" s="315" t="str">
        <f t="shared" si="1"/>
        <v>Strongly Recommended</v>
      </c>
    </row>
    <row r="105">
      <c r="A105" s="196" t="s">
        <v>547</v>
      </c>
      <c r="B105" s="314">
        <f>AVERAGEIFS(DATABASE!$AC$3:$AC1000,DATABASE!$E$3:E1000,A105)</f>
        <v>4</v>
      </c>
      <c r="C105" s="315" t="str">
        <f t="shared" si="1"/>
        <v>Recommended</v>
      </c>
    </row>
    <row r="106">
      <c r="A106" s="196" t="s">
        <v>144</v>
      </c>
      <c r="B106" s="314">
        <f>AVERAGEIFS(DATABASE!$AC$3:$AC1000,DATABASE!$E$3:E1000,A106)</f>
        <v>4.466666667</v>
      </c>
      <c r="C106" s="315" t="str">
        <f t="shared" si="1"/>
        <v>Recommended</v>
      </c>
    </row>
    <row r="107">
      <c r="A107" s="196" t="s">
        <v>95</v>
      </c>
      <c r="B107" s="314">
        <f>AVERAGEIFS(DATABASE!$AC$3:$AC1000,DATABASE!$E$3:E1000,A107)</f>
        <v>4.572222222</v>
      </c>
      <c r="C107" s="315" t="str">
        <f t="shared" si="1"/>
        <v>Strongly Recommended</v>
      </c>
    </row>
    <row r="108">
      <c r="A108" s="196" t="s">
        <v>1290</v>
      </c>
      <c r="B108" s="314">
        <f>AVERAGEIFS(DATABASE!$AC$3:$AC1000,DATABASE!$E$3:E1000,A108)</f>
        <v>3.833333333</v>
      </c>
      <c r="C108" s="315" t="str">
        <f t="shared" si="1"/>
        <v>Acceptable</v>
      </c>
    </row>
    <row r="109">
      <c r="A109" s="196" t="s">
        <v>437</v>
      </c>
      <c r="B109" s="314">
        <f>AVERAGEIFS(DATABASE!$AC$3:$AC1000,DATABASE!$E$3:E1000,A109)</f>
        <v>4.82</v>
      </c>
      <c r="C109" s="315" t="str">
        <f t="shared" si="1"/>
        <v>Strongly Recommended</v>
      </c>
    </row>
    <row r="110">
      <c r="A110" s="196" t="s">
        <v>1676</v>
      </c>
      <c r="B110" s="314">
        <f>AVERAGEIFS(DATABASE!$AC$3:$AC1000,DATABASE!$E$3:E1000,A110)</f>
        <v>4.166666667</v>
      </c>
      <c r="C110" s="315" t="str">
        <f t="shared" si="1"/>
        <v>Recommended</v>
      </c>
    </row>
    <row r="111">
      <c r="A111" s="196" t="s">
        <v>2170</v>
      </c>
      <c r="B111" s="314">
        <f>AVERAGEIFS(DATABASE!$AC$3:$AC1000,DATABASE!$E$3:E1000,A111)</f>
        <v>4.766666667</v>
      </c>
      <c r="C111" s="315" t="str">
        <f t="shared" si="1"/>
        <v>Strongly Recommended</v>
      </c>
    </row>
    <row r="112">
      <c r="A112" s="196" t="s">
        <v>689</v>
      </c>
      <c r="B112" s="314">
        <f>AVERAGEIFS(DATABASE!$AC$3:$AC1000,DATABASE!$E$3:E1000,A112)</f>
        <v>4.458333333</v>
      </c>
      <c r="C112" s="315" t="str">
        <f t="shared" si="1"/>
        <v>Recommended</v>
      </c>
    </row>
    <row r="113">
      <c r="A113" s="196" t="s">
        <v>215</v>
      </c>
      <c r="B113" s="314">
        <f>AVERAGEIFS(DATABASE!$AC$3:$AC1000,DATABASE!$E$3:E1000,A113)</f>
        <v>4.991666667</v>
      </c>
      <c r="C113" s="315" t="str">
        <f t="shared" si="1"/>
        <v>Strongly Recommended</v>
      </c>
    </row>
    <row r="114">
      <c r="A114" s="196" t="s">
        <v>487</v>
      </c>
      <c r="B114" s="314">
        <f>AVERAGEIFS(DATABASE!$AC$3:$AC1000,DATABASE!$E$3:E1000,A114)</f>
        <v>4.569444444</v>
      </c>
      <c r="C114" s="315" t="str">
        <f t="shared" si="1"/>
        <v>Strongly Recommended</v>
      </c>
    </row>
    <row r="115">
      <c r="A115" s="196" t="s">
        <v>1257</v>
      </c>
      <c r="B115" s="314">
        <f>AVERAGEIFS(DATABASE!$AC$3:$AC1000,DATABASE!$E$3:E1000,A115)</f>
        <v>4.704666667</v>
      </c>
      <c r="C115" s="315" t="str">
        <f t="shared" si="1"/>
        <v>Strongly Recommended</v>
      </c>
    </row>
    <row r="116">
      <c r="A116" s="196" t="s">
        <v>340</v>
      </c>
      <c r="B116" s="314">
        <f>AVERAGEIFS(DATABASE!$AC$3:$AC1000,DATABASE!$E$3:E1000,A116)</f>
        <v>4.725</v>
      </c>
      <c r="C116" s="315" t="str">
        <f t="shared" si="1"/>
        <v>Strongly Recommended</v>
      </c>
    </row>
    <row r="117">
      <c r="A117" s="196" t="s">
        <v>1140</v>
      </c>
      <c r="B117" s="314">
        <f>AVERAGEIFS(DATABASE!$AC$3:$AC1000,DATABASE!$E$3:E1000,A117)</f>
        <v>4.863236434</v>
      </c>
      <c r="C117" s="315" t="str">
        <f t="shared" si="1"/>
        <v>Strongly Recommended</v>
      </c>
    </row>
    <row r="118">
      <c r="A118" s="196" t="s">
        <v>315</v>
      </c>
      <c r="B118" s="314">
        <f>AVERAGEIFS(DATABASE!$AC$3:$AC1000,DATABASE!$E$3:E1000,A118)</f>
        <v>4</v>
      </c>
      <c r="C118" s="315" t="str">
        <f t="shared" si="1"/>
        <v>Recommended</v>
      </c>
    </row>
    <row r="119">
      <c r="A119" s="196" t="s">
        <v>495</v>
      </c>
      <c r="B119" s="314">
        <f>AVERAGEIFS(DATABASE!$AC$3:$AC1000,DATABASE!$E$3:E1000,A119)</f>
        <v>4.866666667</v>
      </c>
      <c r="C119" s="315" t="str">
        <f t="shared" si="1"/>
        <v>Strongly Recommended</v>
      </c>
    </row>
    <row r="120">
      <c r="A120" s="196" t="s">
        <v>247</v>
      </c>
      <c r="B120" s="314">
        <f>AVERAGEIFS(DATABASE!$AC$3:$AC1000,DATABASE!$E$3:E1000,A120)</f>
        <v>4.833333333</v>
      </c>
      <c r="C120" s="315" t="str">
        <f t="shared" si="1"/>
        <v>Strongly Recommended</v>
      </c>
    </row>
    <row r="121">
      <c r="A121" s="196" t="s">
        <v>87</v>
      </c>
      <c r="B121" s="314">
        <f>AVERAGEIFS(DATABASE!$AC$3:$AC1000,DATABASE!$E$3:E1000,A121)</f>
        <v>4.725981183</v>
      </c>
      <c r="C121" s="315" t="str">
        <f t="shared" si="1"/>
        <v>Strongly Recommended</v>
      </c>
    </row>
    <row r="122">
      <c r="A122" s="196" t="s">
        <v>185</v>
      </c>
      <c r="B122" s="314">
        <f>AVERAGEIFS(DATABASE!$AC$3:$AC1000,DATABASE!$E$3:E1000,A122)</f>
        <v>4.635</v>
      </c>
      <c r="C122" s="315" t="str">
        <f t="shared" si="1"/>
        <v>Strongly Recommended</v>
      </c>
    </row>
    <row r="123">
      <c r="A123" s="196" t="s">
        <v>1098</v>
      </c>
      <c r="B123" s="314">
        <f>AVERAGEIFS(DATABASE!$AC$3:$AC1000,DATABASE!$E$3:E1000,A123)</f>
        <v>4</v>
      </c>
      <c r="C123" s="315" t="str">
        <f t="shared" si="1"/>
        <v>Recommended</v>
      </c>
    </row>
    <row r="124">
      <c r="A124" s="196" t="s">
        <v>1343</v>
      </c>
      <c r="B124" s="314">
        <f>AVERAGEIFS(DATABASE!$AC$3:$AC1000,DATABASE!$E$3:E1000,A124)</f>
        <v>4.916666667</v>
      </c>
      <c r="C124" s="315" t="str">
        <f t="shared" si="1"/>
        <v>Strongly Recommended</v>
      </c>
    </row>
    <row r="125">
      <c r="A125" s="196" t="s">
        <v>134</v>
      </c>
      <c r="B125" s="314">
        <f>AVERAGEIFS(DATABASE!$AC$3:$AC1000,DATABASE!$E$3:E1000,A125)</f>
        <v>4.938888889</v>
      </c>
      <c r="C125" s="315" t="str">
        <f t="shared" si="1"/>
        <v>Strongly Recommended</v>
      </c>
    </row>
    <row r="126">
      <c r="A126" s="196" t="s">
        <v>1547</v>
      </c>
      <c r="B126" s="314">
        <f>AVERAGEIFS(DATABASE!$AC$3:$AC1000,DATABASE!$E$3:E1000,A126)</f>
        <v>4.976190476</v>
      </c>
      <c r="C126" s="315" t="str">
        <f t="shared" si="1"/>
        <v>Strongly Recommended</v>
      </c>
    </row>
    <row r="127">
      <c r="A127" s="196" t="s">
        <v>414</v>
      </c>
      <c r="B127" s="314">
        <f>AVERAGEIFS(DATABASE!$AC$3:$AC1000,DATABASE!$E$3:E1000,A127)</f>
        <v>4.453333333</v>
      </c>
      <c r="C127" s="315" t="str">
        <f t="shared" si="1"/>
        <v>Recommended</v>
      </c>
    </row>
    <row r="128">
      <c r="A128" s="196" t="s">
        <v>871</v>
      </c>
      <c r="B128" s="314">
        <f>AVERAGEIFS(DATABASE!$AC$3:$AC1000,DATABASE!$E$3:E1000,A128)</f>
        <v>4.3875</v>
      </c>
      <c r="C128" s="315" t="str">
        <f t="shared" si="1"/>
        <v>Recommended</v>
      </c>
    </row>
    <row r="129">
      <c r="A129" s="196" t="s">
        <v>141</v>
      </c>
      <c r="B129" s="314">
        <f>AVERAGEIFS(DATABASE!$AC$3:$AC1000,DATABASE!$E$3:E1000,A129)</f>
        <v>4.192857143</v>
      </c>
      <c r="C129" s="315" t="str">
        <f t="shared" si="1"/>
        <v>Recommended</v>
      </c>
    </row>
    <row r="130">
      <c r="A130" s="196" t="s">
        <v>244</v>
      </c>
      <c r="B130" s="314">
        <f>AVERAGEIFS(DATABASE!$AC$3:$AC1000,DATABASE!$E$3:E1000,A130)</f>
        <v>4.383333333</v>
      </c>
      <c r="C130" s="315" t="str">
        <f t="shared" si="1"/>
        <v>Recommended</v>
      </c>
    </row>
    <row r="131">
      <c r="A131" s="196" t="s">
        <v>1906</v>
      </c>
      <c r="B131" s="314">
        <f>AVERAGEIFS(DATABASE!$AC$3:$AC1000,DATABASE!$E$3:E1000,A131)</f>
        <v>4</v>
      </c>
      <c r="C131" s="315" t="str">
        <f t="shared" si="1"/>
        <v>Recommended</v>
      </c>
    </row>
    <row r="132">
      <c r="A132" s="196" t="s">
        <v>94</v>
      </c>
      <c r="B132" s="314">
        <f>AVERAGEIFS(DATABASE!$AC$3:$AC1000,DATABASE!$E$3:E1000,A132)</f>
        <v>4.811388889</v>
      </c>
      <c r="C132" s="315" t="str">
        <f t="shared" si="1"/>
        <v>Strongly Recommended</v>
      </c>
    </row>
    <row r="133">
      <c r="A133" s="196" t="s">
        <v>408</v>
      </c>
      <c r="B133" s="314">
        <f>AVERAGEIFS(DATABASE!$AC$3:$AC1000,DATABASE!$E$3:E1000,A133)</f>
        <v>4.480277778</v>
      </c>
      <c r="C133" s="315" t="str">
        <f t="shared" si="1"/>
        <v>Recommended</v>
      </c>
    </row>
    <row r="134">
      <c r="A134" s="196" t="s">
        <v>312</v>
      </c>
      <c r="B134" s="314">
        <f>AVERAGEIFS(DATABASE!$AC$3:$AC1000,DATABASE!$E$3:E1000,A134)</f>
        <v>4.807125604</v>
      </c>
      <c r="C134" s="315" t="str">
        <f t="shared" si="1"/>
        <v>Strongly Recommended</v>
      </c>
    </row>
    <row r="135">
      <c r="A135" s="196" t="s">
        <v>1417</v>
      </c>
      <c r="B135" s="314">
        <f>AVERAGEIFS(DATABASE!$AC$3:$AC1000,DATABASE!$E$3:E1000,A135)</f>
        <v>4.3875</v>
      </c>
      <c r="C135" s="315" t="str">
        <f t="shared" si="1"/>
        <v>Recommended</v>
      </c>
    </row>
    <row r="136">
      <c r="A136" s="196" t="s">
        <v>1212</v>
      </c>
      <c r="B136" s="314">
        <f>AVERAGEIFS(DATABASE!$AC$3:$AC1000,DATABASE!$E$3:E1000,A136)</f>
        <v>4.642361111</v>
      </c>
      <c r="C136" s="315" t="str">
        <f t="shared" si="1"/>
        <v>Strongly Recommended</v>
      </c>
    </row>
    <row r="137">
      <c r="A137" s="196" t="s">
        <v>1912</v>
      </c>
      <c r="B137" s="314">
        <f>AVERAGEIFS(DATABASE!$AC$3:$AC1000,DATABASE!$E$3:E1000,A137)</f>
        <v>4</v>
      </c>
      <c r="C137" s="315" t="str">
        <f t="shared" si="1"/>
        <v>Recommended</v>
      </c>
    </row>
    <row r="138">
      <c r="A138" s="196" t="s">
        <v>318</v>
      </c>
      <c r="B138" s="314">
        <f>AVERAGEIFS(DATABASE!$AC$3:$AC1000,DATABASE!$E$3:E1000,A138)</f>
        <v>4</v>
      </c>
      <c r="C138" s="315" t="str">
        <f t="shared" si="1"/>
        <v>Recommended</v>
      </c>
    </row>
    <row r="139">
      <c r="A139" s="196" t="s">
        <v>2080</v>
      </c>
      <c r="B139" s="314">
        <f>AVERAGEIFS(DATABASE!$AC$3:$AC1000,DATABASE!$E$3:E1000,A139)</f>
        <v>4.462222222</v>
      </c>
      <c r="C139" s="315" t="str">
        <f t="shared" si="1"/>
        <v>Recommended</v>
      </c>
    </row>
    <row r="140">
      <c r="A140" s="196" t="s">
        <v>483</v>
      </c>
      <c r="B140" s="314">
        <f>AVERAGEIFS(DATABASE!$AC$3:$AC1000,DATABASE!$E$3:E1000,A140)</f>
        <v>4.641666667</v>
      </c>
      <c r="C140" s="315" t="str">
        <f t="shared" si="1"/>
        <v>Strongly Recommended</v>
      </c>
    </row>
    <row r="141">
      <c r="A141" s="196" t="s">
        <v>1174</v>
      </c>
      <c r="B141" s="314">
        <f>AVERAGEIFS(DATABASE!$AC$3:$AC1000,DATABASE!$E$3:E1000,A141)</f>
        <v>4.733333333</v>
      </c>
      <c r="C141" s="315" t="str">
        <f t="shared" si="1"/>
        <v>Strongly Recommended</v>
      </c>
    </row>
    <row r="142">
      <c r="A142" s="196" t="s">
        <v>2193</v>
      </c>
      <c r="B142" s="314">
        <f>AVERAGEIFS(DATABASE!$AC$3:$AC1000,DATABASE!$E$3:E1000,A142)</f>
        <v>5</v>
      </c>
      <c r="C142" s="315" t="str">
        <f t="shared" si="1"/>
        <v>Strongly Recommended</v>
      </c>
    </row>
    <row r="143">
      <c r="A143" s="196" t="s">
        <v>194</v>
      </c>
      <c r="B143" s="314">
        <f>AVERAGEIFS(DATABASE!$AC$3:$AC1000,DATABASE!$E$3:E1000,A143)</f>
        <v>4.841666667</v>
      </c>
      <c r="C143" s="315" t="str">
        <f t="shared" si="1"/>
        <v>Strongly Recommended</v>
      </c>
    </row>
    <row r="144">
      <c r="A144" s="196" t="s">
        <v>1392</v>
      </c>
      <c r="B144" s="316"/>
      <c r="C144" s="235"/>
    </row>
    <row r="145">
      <c r="A145" s="196"/>
      <c r="B145" s="316"/>
      <c r="C145" s="235"/>
    </row>
    <row r="146">
      <c r="A146" s="196"/>
      <c r="B146" s="316"/>
      <c r="C146" s="235"/>
    </row>
    <row r="147">
      <c r="A147" s="196"/>
      <c r="B147" s="316"/>
      <c r="C147" s="235"/>
    </row>
    <row r="148">
      <c r="A148" s="196"/>
      <c r="B148" s="316"/>
      <c r="C148" s="235"/>
    </row>
    <row r="149">
      <c r="A149" s="196"/>
      <c r="B149" s="316"/>
      <c r="C149" s="235"/>
    </row>
    <row r="150">
      <c r="A150" s="196"/>
      <c r="B150" s="316"/>
      <c r="C150" s="235"/>
    </row>
    <row r="151">
      <c r="A151" s="196"/>
      <c r="B151" s="316"/>
      <c r="C151" s="235"/>
    </row>
    <row r="152">
      <c r="A152" s="196"/>
      <c r="B152" s="316"/>
      <c r="C152" s="235"/>
    </row>
    <row r="153">
      <c r="A153" s="196"/>
      <c r="B153" s="316"/>
      <c r="C153" s="235"/>
    </row>
    <row r="154">
      <c r="A154" s="196"/>
      <c r="B154" s="316"/>
      <c r="C154" s="235"/>
    </row>
    <row r="155">
      <c r="A155" s="196"/>
      <c r="B155" s="316"/>
      <c r="C155" s="235"/>
    </row>
    <row r="156">
      <c r="A156" s="196"/>
      <c r="B156" s="316"/>
      <c r="C156" s="235"/>
    </row>
    <row r="157">
      <c r="A157" s="196"/>
      <c r="B157" s="316"/>
      <c r="C157" s="235"/>
    </row>
    <row r="158">
      <c r="A158" s="196"/>
      <c r="B158" s="316"/>
      <c r="C158" s="235"/>
    </row>
    <row r="159">
      <c r="A159" s="196"/>
      <c r="B159" s="316"/>
      <c r="C159" s="235"/>
    </row>
    <row r="160">
      <c r="A160" s="196"/>
      <c r="B160" s="316"/>
      <c r="C160" s="235"/>
    </row>
    <row r="161">
      <c r="A161" s="196"/>
      <c r="B161" s="316"/>
      <c r="C161" s="235"/>
    </row>
    <row r="162">
      <c r="A162" s="196"/>
      <c r="B162" s="316"/>
      <c r="C162" s="235"/>
    </row>
    <row r="163">
      <c r="A163" s="196"/>
      <c r="B163" s="316"/>
      <c r="C163" s="235"/>
    </row>
    <row r="164">
      <c r="A164" s="196"/>
      <c r="B164" s="316"/>
      <c r="C164" s="235"/>
    </row>
    <row r="165">
      <c r="A165" s="196"/>
      <c r="B165" s="316"/>
      <c r="C165" s="235"/>
    </row>
    <row r="166">
      <c r="A166" s="196"/>
      <c r="B166" s="316"/>
      <c r="C166" s="235"/>
    </row>
    <row r="167">
      <c r="A167" s="196"/>
      <c r="B167" s="316"/>
      <c r="C167" s="235"/>
    </row>
    <row r="168">
      <c r="A168" s="196"/>
      <c r="B168" s="316"/>
      <c r="C168" s="235"/>
    </row>
    <row r="169">
      <c r="A169" s="196"/>
      <c r="B169" s="316"/>
      <c r="C169" s="235"/>
    </row>
    <row r="170">
      <c r="A170" s="196"/>
      <c r="B170" s="316"/>
      <c r="C170" s="235"/>
    </row>
    <row r="171">
      <c r="A171" s="196"/>
      <c r="B171" s="316"/>
      <c r="C171" s="235"/>
    </row>
    <row r="172">
      <c r="A172" s="196"/>
      <c r="B172" s="316"/>
      <c r="C172" s="235"/>
    </row>
    <row r="173">
      <c r="A173" s="196"/>
      <c r="B173" s="316"/>
      <c r="C173" s="235"/>
    </row>
    <row r="174">
      <c r="A174" s="196"/>
      <c r="B174" s="316"/>
      <c r="C174" s="235"/>
    </row>
    <row r="175">
      <c r="A175" s="196"/>
      <c r="B175" s="316"/>
      <c r="C175" s="235"/>
    </row>
    <row r="176">
      <c r="A176" s="196"/>
      <c r="B176" s="316"/>
      <c r="C176" s="235"/>
    </row>
    <row r="177">
      <c r="A177" s="196"/>
      <c r="B177" s="316"/>
      <c r="C177" s="235"/>
    </row>
    <row r="178">
      <c r="A178" s="196"/>
      <c r="B178" s="316"/>
      <c r="C178" s="235"/>
    </row>
    <row r="179">
      <c r="A179" s="196"/>
      <c r="B179" s="316"/>
      <c r="C179" s="235"/>
    </row>
    <row r="180">
      <c r="A180" s="196"/>
      <c r="B180" s="316"/>
      <c r="C180" s="235"/>
    </row>
    <row r="181">
      <c r="A181" s="196"/>
      <c r="B181" s="316"/>
      <c r="C181" s="235"/>
    </row>
    <row r="182">
      <c r="A182" s="196"/>
      <c r="B182" s="316"/>
      <c r="C182" s="235"/>
    </row>
    <row r="183">
      <c r="A183" s="196"/>
      <c r="B183" s="316"/>
      <c r="C183" s="235"/>
    </row>
    <row r="184">
      <c r="A184" s="196"/>
      <c r="B184" s="316"/>
      <c r="C184" s="235"/>
    </row>
    <row r="185">
      <c r="A185" s="196"/>
      <c r="B185" s="316"/>
      <c r="C185" s="235"/>
    </row>
    <row r="186">
      <c r="A186" s="196"/>
      <c r="B186" s="316"/>
      <c r="C186" s="235"/>
    </row>
    <row r="187">
      <c r="A187" s="196"/>
      <c r="B187" s="316"/>
      <c r="C187" s="235"/>
    </row>
    <row r="188">
      <c r="A188" s="196"/>
      <c r="B188" s="316"/>
      <c r="C188" s="235"/>
    </row>
    <row r="189">
      <c r="A189" s="196"/>
      <c r="B189" s="316"/>
      <c r="C189" s="235"/>
    </row>
    <row r="190">
      <c r="A190" s="196"/>
      <c r="B190" s="316"/>
      <c r="C190" s="235"/>
    </row>
    <row r="191">
      <c r="A191" s="196"/>
      <c r="B191" s="316"/>
      <c r="C191" s="235"/>
    </row>
    <row r="192">
      <c r="A192" s="196"/>
      <c r="B192" s="316"/>
      <c r="C192" s="235"/>
    </row>
    <row r="193">
      <c r="A193" s="196"/>
      <c r="B193" s="316"/>
      <c r="C193" s="235"/>
    </row>
    <row r="194">
      <c r="A194" s="196"/>
      <c r="B194" s="316"/>
      <c r="C194" s="235"/>
    </row>
    <row r="195">
      <c r="A195" s="196"/>
      <c r="B195" s="316"/>
      <c r="C195" s="235"/>
    </row>
    <row r="196">
      <c r="A196" s="196"/>
      <c r="B196" s="316"/>
      <c r="C196" s="235"/>
    </row>
    <row r="197">
      <c r="A197" s="196"/>
      <c r="B197" s="316"/>
      <c r="C197" s="235"/>
    </row>
    <row r="198">
      <c r="A198" s="196"/>
      <c r="B198" s="316"/>
      <c r="C198" s="235"/>
    </row>
    <row r="199">
      <c r="A199" s="196"/>
      <c r="B199" s="316"/>
      <c r="C199" s="235"/>
    </row>
    <row r="200">
      <c r="A200" s="196"/>
      <c r="B200" s="316"/>
      <c r="C200" s="235"/>
    </row>
    <row r="201">
      <c r="A201" s="196"/>
      <c r="B201" s="316"/>
      <c r="C201" s="235"/>
    </row>
    <row r="202">
      <c r="A202" s="196"/>
      <c r="B202" s="316"/>
      <c r="C202" s="235"/>
    </row>
    <row r="203">
      <c r="A203" s="196"/>
      <c r="B203" s="316"/>
      <c r="C203" s="235"/>
    </row>
    <row r="204">
      <c r="A204" s="196"/>
      <c r="B204" s="316"/>
      <c r="C204" s="235"/>
    </row>
    <row r="205">
      <c r="A205" s="196"/>
      <c r="B205" s="316"/>
      <c r="C205" s="235"/>
    </row>
    <row r="206">
      <c r="A206" s="196"/>
      <c r="B206" s="316"/>
      <c r="C206" s="235"/>
    </row>
    <row r="207">
      <c r="A207" s="196"/>
      <c r="B207" s="316"/>
      <c r="C207" s="235"/>
    </row>
    <row r="208">
      <c r="A208" s="196"/>
      <c r="B208" s="316"/>
      <c r="C208" s="235"/>
    </row>
    <row r="209">
      <c r="A209" s="196"/>
      <c r="B209" s="316"/>
      <c r="C209" s="235"/>
    </row>
    <row r="210">
      <c r="A210" s="196"/>
      <c r="B210" s="316"/>
      <c r="C210" s="235"/>
    </row>
    <row r="211">
      <c r="A211" s="196"/>
      <c r="B211" s="316"/>
      <c r="C211" s="235"/>
    </row>
    <row r="212">
      <c r="A212" s="196"/>
      <c r="B212" s="316"/>
      <c r="C212" s="235"/>
    </row>
    <row r="213">
      <c r="A213" s="196"/>
      <c r="B213" s="316"/>
      <c r="C213" s="235"/>
    </row>
    <row r="214">
      <c r="A214" s="196"/>
      <c r="B214" s="316"/>
      <c r="C214" s="235"/>
    </row>
    <row r="215">
      <c r="A215" s="196"/>
      <c r="B215" s="316"/>
      <c r="C215" s="235"/>
    </row>
    <row r="216">
      <c r="A216" s="196"/>
      <c r="B216" s="316"/>
      <c r="C216" s="235"/>
    </row>
    <row r="217">
      <c r="A217" s="196"/>
      <c r="B217" s="316"/>
      <c r="C217" s="235"/>
    </row>
    <row r="218">
      <c r="A218" s="196"/>
      <c r="B218" s="316"/>
      <c r="C218" s="235"/>
    </row>
    <row r="219">
      <c r="A219" s="196"/>
      <c r="B219" s="316"/>
      <c r="C219" s="235"/>
    </row>
    <row r="220">
      <c r="A220" s="196"/>
      <c r="B220" s="316"/>
      <c r="C220" s="235"/>
    </row>
    <row r="221">
      <c r="A221" s="196"/>
      <c r="B221" s="316"/>
      <c r="C221" s="235"/>
    </row>
    <row r="222">
      <c r="A222" s="196"/>
      <c r="B222" s="316"/>
      <c r="C222" s="235"/>
    </row>
    <row r="223">
      <c r="A223" s="196"/>
      <c r="B223" s="316"/>
      <c r="C223" s="235"/>
    </row>
    <row r="224">
      <c r="A224" s="196"/>
      <c r="B224" s="316"/>
      <c r="C224" s="235"/>
    </row>
    <row r="225">
      <c r="A225" s="196"/>
      <c r="B225" s="316"/>
      <c r="C225" s="235"/>
    </row>
    <row r="226">
      <c r="A226" s="196"/>
      <c r="B226" s="316"/>
      <c r="C226" s="235"/>
    </row>
    <row r="227">
      <c r="A227" s="196"/>
      <c r="B227" s="316"/>
      <c r="C227" s="235"/>
    </row>
    <row r="228">
      <c r="A228" s="196"/>
      <c r="B228" s="316"/>
      <c r="C228" s="235"/>
    </row>
    <row r="229">
      <c r="A229" s="196"/>
      <c r="B229" s="316"/>
      <c r="C229" s="235"/>
    </row>
    <row r="230">
      <c r="A230" s="196"/>
      <c r="B230" s="316"/>
      <c r="C230" s="235"/>
    </row>
    <row r="231">
      <c r="A231" s="196"/>
      <c r="B231" s="316"/>
      <c r="C231" s="235"/>
    </row>
    <row r="232">
      <c r="A232" s="196"/>
      <c r="B232" s="316"/>
      <c r="C232" s="235"/>
    </row>
    <row r="233">
      <c r="A233" s="196"/>
      <c r="B233" s="316"/>
      <c r="C233" s="235"/>
    </row>
    <row r="234">
      <c r="A234" s="196"/>
      <c r="B234" s="316"/>
      <c r="C234" s="235"/>
    </row>
    <row r="235">
      <c r="A235" s="196"/>
      <c r="B235" s="316"/>
      <c r="C235" s="235"/>
    </row>
    <row r="236">
      <c r="A236" s="196"/>
      <c r="B236" s="316"/>
      <c r="C236" s="235"/>
    </row>
    <row r="237">
      <c r="A237" s="196"/>
      <c r="B237" s="316"/>
      <c r="C237" s="235"/>
    </row>
    <row r="238">
      <c r="A238" s="196"/>
      <c r="B238" s="316"/>
      <c r="C238" s="235"/>
    </row>
    <row r="239">
      <c r="A239" s="196"/>
      <c r="B239" s="316"/>
      <c r="C239" s="235"/>
    </row>
    <row r="240">
      <c r="A240" s="196"/>
      <c r="B240" s="316"/>
      <c r="C240" s="235"/>
    </row>
    <row r="241">
      <c r="A241" s="196"/>
      <c r="B241" s="316"/>
      <c r="C241" s="235"/>
    </row>
    <row r="242">
      <c r="A242" s="196"/>
      <c r="B242" s="316"/>
      <c r="C242" s="235"/>
    </row>
    <row r="243">
      <c r="A243" s="196"/>
      <c r="B243" s="316"/>
      <c r="C243" s="235"/>
    </row>
    <row r="244">
      <c r="A244" s="196"/>
      <c r="B244" s="316"/>
      <c r="C244" s="235"/>
    </row>
    <row r="245">
      <c r="A245" s="196"/>
      <c r="B245" s="316"/>
      <c r="C245" s="235"/>
    </row>
    <row r="246">
      <c r="A246" s="196"/>
      <c r="B246" s="316"/>
      <c r="C246" s="235"/>
    </row>
    <row r="247">
      <c r="A247" s="196"/>
      <c r="B247" s="316"/>
      <c r="C247" s="235"/>
    </row>
    <row r="248">
      <c r="A248" s="196"/>
      <c r="B248" s="316"/>
      <c r="C248" s="235"/>
    </row>
    <row r="249">
      <c r="A249" s="196"/>
      <c r="B249" s="316"/>
      <c r="C249" s="235"/>
    </row>
    <row r="250">
      <c r="A250" s="196"/>
      <c r="B250" s="316"/>
      <c r="C250" s="235"/>
    </row>
    <row r="251">
      <c r="A251" s="196"/>
      <c r="B251" s="316"/>
      <c r="C251" s="235"/>
    </row>
    <row r="252">
      <c r="A252" s="196"/>
      <c r="B252" s="316"/>
      <c r="C252" s="235"/>
    </row>
    <row r="253">
      <c r="A253" s="196"/>
      <c r="B253" s="316"/>
      <c r="C253" s="235"/>
    </row>
    <row r="254">
      <c r="A254" s="196"/>
      <c r="B254" s="316"/>
      <c r="C254" s="235"/>
    </row>
    <row r="255">
      <c r="A255" s="196"/>
      <c r="B255" s="316"/>
      <c r="C255" s="235"/>
    </row>
    <row r="256">
      <c r="A256" s="196"/>
      <c r="B256" s="316"/>
      <c r="C256" s="235"/>
    </row>
    <row r="257">
      <c r="A257" s="196"/>
      <c r="B257" s="316"/>
      <c r="C257" s="235"/>
    </row>
    <row r="258">
      <c r="A258" s="196"/>
      <c r="B258" s="316"/>
      <c r="C258" s="235"/>
    </row>
    <row r="259">
      <c r="A259" s="196"/>
      <c r="B259" s="316"/>
      <c r="C259" s="235"/>
    </row>
    <row r="260">
      <c r="A260" s="196"/>
      <c r="B260" s="316"/>
      <c r="C260" s="235"/>
    </row>
    <row r="261">
      <c r="A261" s="196"/>
      <c r="B261" s="316"/>
      <c r="C261" s="235"/>
    </row>
    <row r="262">
      <c r="A262" s="196"/>
      <c r="B262" s="316"/>
      <c r="C262" s="235"/>
    </row>
    <row r="263">
      <c r="A263" s="196"/>
      <c r="B263" s="316"/>
      <c r="C263" s="235"/>
    </row>
    <row r="264">
      <c r="A264" s="196"/>
      <c r="B264" s="316"/>
      <c r="C264" s="235"/>
    </row>
    <row r="265">
      <c r="A265" s="196"/>
      <c r="B265" s="316"/>
      <c r="C265" s="235"/>
    </row>
    <row r="266">
      <c r="A266" s="196"/>
      <c r="B266" s="316"/>
      <c r="C266" s="235"/>
    </row>
    <row r="267">
      <c r="A267" s="196"/>
      <c r="B267" s="316"/>
      <c r="C267" s="235"/>
    </row>
    <row r="268">
      <c r="A268" s="196"/>
      <c r="B268" s="316"/>
      <c r="C268" s="235"/>
    </row>
    <row r="269">
      <c r="A269" s="196"/>
      <c r="B269" s="316"/>
      <c r="C269" s="235"/>
    </row>
    <row r="270">
      <c r="A270" s="196"/>
      <c r="B270" s="316"/>
      <c r="C270" s="235"/>
    </row>
    <row r="271">
      <c r="A271" s="196"/>
      <c r="B271" s="316"/>
      <c r="C271" s="235"/>
    </row>
    <row r="272">
      <c r="A272" s="196"/>
      <c r="B272" s="316"/>
      <c r="C272" s="235"/>
    </row>
    <row r="273">
      <c r="A273" s="196"/>
      <c r="B273" s="316"/>
      <c r="C273" s="235"/>
    </row>
    <row r="274">
      <c r="A274" s="196"/>
      <c r="B274" s="316"/>
      <c r="C274" s="235"/>
    </row>
    <row r="275">
      <c r="A275" s="196"/>
      <c r="B275" s="316"/>
      <c r="C275" s="235"/>
    </row>
    <row r="276">
      <c r="A276" s="196"/>
      <c r="B276" s="316"/>
      <c r="C276" s="235"/>
    </row>
    <row r="277">
      <c r="A277" s="196"/>
      <c r="B277" s="316"/>
      <c r="C277" s="235"/>
    </row>
    <row r="278">
      <c r="A278" s="196"/>
      <c r="B278" s="316"/>
      <c r="C278" s="235"/>
    </row>
    <row r="279">
      <c r="A279" s="196"/>
      <c r="B279" s="316"/>
      <c r="C279" s="235"/>
    </row>
    <row r="280">
      <c r="A280" s="196"/>
      <c r="B280" s="316"/>
      <c r="C280" s="235"/>
    </row>
    <row r="281">
      <c r="A281" s="196"/>
      <c r="B281" s="316"/>
      <c r="C281" s="235"/>
    </row>
    <row r="282">
      <c r="A282" s="196"/>
      <c r="B282" s="316"/>
      <c r="C282" s="235"/>
    </row>
    <row r="283">
      <c r="A283" s="196"/>
      <c r="B283" s="316"/>
      <c r="C283" s="235"/>
    </row>
    <row r="284">
      <c r="A284" s="196"/>
      <c r="B284" s="316"/>
      <c r="C284" s="235"/>
    </row>
    <row r="285">
      <c r="A285" s="196"/>
      <c r="B285" s="316"/>
      <c r="C285" s="235"/>
    </row>
    <row r="286">
      <c r="A286" s="196"/>
      <c r="B286" s="316"/>
      <c r="C286" s="235"/>
    </row>
    <row r="287">
      <c r="A287" s="196"/>
      <c r="B287" s="316"/>
      <c r="C287" s="235"/>
    </row>
    <row r="288">
      <c r="A288" s="196"/>
      <c r="B288" s="316"/>
      <c r="C288" s="235"/>
    </row>
    <row r="289">
      <c r="A289" s="196"/>
      <c r="B289" s="316"/>
      <c r="C289" s="235"/>
    </row>
    <row r="290">
      <c r="A290" s="196"/>
      <c r="B290" s="316"/>
      <c r="C290" s="235"/>
    </row>
    <row r="291">
      <c r="A291" s="196"/>
      <c r="B291" s="316"/>
      <c r="C291" s="235"/>
    </row>
    <row r="292">
      <c r="A292" s="196"/>
      <c r="B292" s="316"/>
      <c r="C292" s="235"/>
    </row>
    <row r="293">
      <c r="A293" s="196"/>
      <c r="B293" s="316"/>
      <c r="C293" s="235"/>
    </row>
    <row r="294">
      <c r="A294" s="196"/>
      <c r="B294" s="316"/>
      <c r="C294" s="235"/>
    </row>
    <row r="295">
      <c r="A295" s="196"/>
      <c r="B295" s="316"/>
      <c r="C295" s="235"/>
    </row>
    <row r="296">
      <c r="A296" s="196"/>
      <c r="B296" s="316"/>
      <c r="C296" s="235"/>
    </row>
    <row r="297">
      <c r="A297" s="196"/>
      <c r="B297" s="316"/>
      <c r="C297" s="235"/>
    </row>
    <row r="298">
      <c r="A298" s="196"/>
      <c r="B298" s="316"/>
      <c r="C298" s="235"/>
    </row>
    <row r="299">
      <c r="A299" s="196"/>
      <c r="B299" s="316"/>
      <c r="C299" s="235"/>
    </row>
    <row r="300">
      <c r="A300" s="196"/>
      <c r="B300" s="316"/>
      <c r="C300" s="235"/>
    </row>
    <row r="301">
      <c r="A301" s="196"/>
      <c r="B301" s="316"/>
      <c r="C301" s="235"/>
    </row>
    <row r="302">
      <c r="A302" s="196"/>
      <c r="B302" s="316"/>
      <c r="C302" s="235"/>
    </row>
    <row r="303">
      <c r="A303" s="196"/>
      <c r="B303" s="316"/>
      <c r="C303" s="235"/>
    </row>
    <row r="304">
      <c r="A304" s="196"/>
      <c r="B304" s="316"/>
      <c r="C304" s="235"/>
    </row>
    <row r="305">
      <c r="A305" s="196"/>
      <c r="B305" s="316"/>
      <c r="C305" s="235"/>
    </row>
    <row r="306">
      <c r="A306" s="196"/>
      <c r="B306" s="316"/>
      <c r="C306" s="235"/>
    </row>
    <row r="307">
      <c r="A307" s="196"/>
      <c r="B307" s="316"/>
      <c r="C307" s="235"/>
    </row>
    <row r="308">
      <c r="A308" s="196"/>
      <c r="B308" s="316"/>
      <c r="C308" s="235"/>
    </row>
    <row r="309">
      <c r="A309" s="196"/>
      <c r="B309" s="316"/>
      <c r="C309" s="235"/>
    </row>
    <row r="310">
      <c r="A310" s="196"/>
      <c r="B310" s="316"/>
      <c r="C310" s="235"/>
    </row>
    <row r="311">
      <c r="A311" s="196"/>
      <c r="B311" s="316"/>
      <c r="C311" s="235"/>
    </row>
    <row r="312">
      <c r="A312" s="196"/>
      <c r="B312" s="316"/>
      <c r="C312" s="235"/>
    </row>
    <row r="313">
      <c r="A313" s="196"/>
      <c r="B313" s="316"/>
      <c r="C313" s="235"/>
    </row>
    <row r="314">
      <c r="A314" s="196"/>
      <c r="B314" s="316"/>
      <c r="C314" s="235"/>
    </row>
    <row r="315">
      <c r="A315" s="196"/>
      <c r="B315" s="316"/>
      <c r="C315" s="235"/>
    </row>
    <row r="316">
      <c r="A316" s="196"/>
      <c r="B316" s="316"/>
      <c r="C316" s="235"/>
    </row>
    <row r="317">
      <c r="A317" s="196"/>
      <c r="B317" s="316"/>
      <c r="C317" s="235"/>
    </row>
    <row r="318">
      <c r="A318" s="196"/>
      <c r="B318" s="316"/>
      <c r="C318" s="235"/>
    </row>
    <row r="319">
      <c r="A319" s="196"/>
      <c r="B319" s="316"/>
      <c r="C319" s="235"/>
    </row>
    <row r="320">
      <c r="A320" s="196"/>
      <c r="B320" s="316"/>
      <c r="C320" s="235"/>
    </row>
    <row r="321">
      <c r="A321" s="196"/>
      <c r="B321" s="316"/>
      <c r="C321" s="235"/>
    </row>
    <row r="322">
      <c r="A322" s="196"/>
      <c r="B322" s="316"/>
      <c r="C322" s="235"/>
    </row>
    <row r="323">
      <c r="A323" s="196"/>
      <c r="B323" s="316"/>
      <c r="C323" s="235"/>
    </row>
    <row r="324">
      <c r="A324" s="196"/>
      <c r="B324" s="316"/>
      <c r="C324" s="235"/>
    </row>
    <row r="325">
      <c r="A325" s="196"/>
      <c r="B325" s="316"/>
      <c r="C325" s="235"/>
    </row>
    <row r="326">
      <c r="A326" s="196"/>
      <c r="B326" s="316"/>
      <c r="C326" s="235"/>
    </row>
    <row r="327">
      <c r="A327" s="196"/>
      <c r="B327" s="316"/>
      <c r="C327" s="235"/>
    </row>
    <row r="328">
      <c r="A328" s="196"/>
      <c r="B328" s="316"/>
      <c r="C328" s="235"/>
    </row>
    <row r="329">
      <c r="A329" s="196"/>
      <c r="B329" s="316"/>
      <c r="C329" s="235"/>
    </row>
    <row r="330">
      <c r="A330" s="196"/>
      <c r="B330" s="316"/>
      <c r="C330" s="235"/>
    </row>
    <row r="331">
      <c r="A331" s="196"/>
      <c r="B331" s="316"/>
      <c r="C331" s="235"/>
    </row>
    <row r="332">
      <c r="A332" s="196"/>
      <c r="B332" s="316"/>
      <c r="C332" s="235"/>
    </row>
    <row r="333">
      <c r="A333" s="196"/>
      <c r="B333" s="316"/>
      <c r="C333" s="235"/>
    </row>
    <row r="334">
      <c r="A334" s="196"/>
      <c r="B334" s="316"/>
      <c r="C334" s="235"/>
    </row>
    <row r="335">
      <c r="A335" s="196"/>
      <c r="B335" s="316"/>
      <c r="C335" s="235"/>
    </row>
    <row r="336">
      <c r="A336" s="196"/>
      <c r="B336" s="316"/>
      <c r="C336" s="235"/>
    </row>
    <row r="337">
      <c r="A337" s="196"/>
      <c r="B337" s="316"/>
      <c r="C337" s="235"/>
    </row>
    <row r="338">
      <c r="A338" s="196"/>
      <c r="B338" s="316"/>
      <c r="C338" s="235"/>
    </row>
    <row r="339">
      <c r="A339" s="196"/>
      <c r="B339" s="316"/>
      <c r="C339" s="235"/>
    </row>
    <row r="340">
      <c r="A340" s="196"/>
      <c r="B340" s="316"/>
      <c r="C340" s="235"/>
    </row>
    <row r="341">
      <c r="A341" s="196"/>
      <c r="B341" s="316"/>
      <c r="C341" s="235"/>
    </row>
    <row r="342">
      <c r="A342" s="196"/>
      <c r="B342" s="316"/>
      <c r="C342" s="235"/>
    </row>
    <row r="343">
      <c r="A343" s="196"/>
      <c r="B343" s="316"/>
      <c r="C343" s="235"/>
    </row>
    <row r="344">
      <c r="A344" s="196"/>
      <c r="B344" s="316"/>
      <c r="C344" s="235"/>
    </row>
    <row r="345">
      <c r="A345" s="196"/>
      <c r="B345" s="316"/>
      <c r="C345" s="235"/>
    </row>
    <row r="346">
      <c r="A346" s="196"/>
      <c r="B346" s="316"/>
      <c r="C346" s="235"/>
    </row>
    <row r="347">
      <c r="A347" s="196"/>
      <c r="B347" s="316"/>
      <c r="C347" s="235"/>
    </row>
    <row r="348">
      <c r="A348" s="196"/>
      <c r="B348" s="316"/>
      <c r="C348" s="235"/>
    </row>
    <row r="349">
      <c r="A349" s="196"/>
      <c r="B349" s="316"/>
      <c r="C349" s="235"/>
    </row>
    <row r="350">
      <c r="A350" s="196"/>
      <c r="B350" s="316"/>
      <c r="C350" s="235"/>
    </row>
    <row r="351">
      <c r="A351" s="196"/>
      <c r="B351" s="316"/>
      <c r="C351" s="235"/>
    </row>
    <row r="352">
      <c r="A352" s="196"/>
      <c r="B352" s="316"/>
      <c r="C352" s="235"/>
    </row>
    <row r="353">
      <c r="A353" s="196"/>
      <c r="B353" s="316"/>
      <c r="C353" s="235"/>
    </row>
    <row r="354">
      <c r="A354" s="196"/>
      <c r="B354" s="316"/>
      <c r="C354" s="235"/>
    </row>
    <row r="355">
      <c r="A355" s="196"/>
      <c r="B355" s="316"/>
      <c r="C355" s="235"/>
    </row>
    <row r="356">
      <c r="A356" s="196"/>
      <c r="B356" s="316"/>
      <c r="C356" s="235"/>
    </row>
    <row r="357">
      <c r="A357" s="196"/>
      <c r="B357" s="316"/>
      <c r="C357" s="235"/>
    </row>
    <row r="358">
      <c r="A358" s="196"/>
      <c r="B358" s="316"/>
      <c r="C358" s="235"/>
    </row>
    <row r="359">
      <c r="A359" s="196"/>
      <c r="B359" s="316"/>
      <c r="C359" s="235"/>
    </row>
    <row r="360">
      <c r="A360" s="196"/>
      <c r="B360" s="316"/>
      <c r="C360" s="235"/>
    </row>
    <row r="361">
      <c r="A361" s="196"/>
      <c r="B361" s="316"/>
      <c r="C361" s="235"/>
    </row>
    <row r="362">
      <c r="A362" s="196"/>
      <c r="B362" s="316"/>
      <c r="C362" s="235"/>
    </row>
    <row r="363">
      <c r="A363" s="196"/>
      <c r="B363" s="316"/>
      <c r="C363" s="235"/>
    </row>
    <row r="364">
      <c r="A364" s="196"/>
      <c r="B364" s="316"/>
      <c r="C364" s="235"/>
    </row>
    <row r="365">
      <c r="A365" s="196"/>
      <c r="B365" s="316"/>
      <c r="C365" s="235"/>
    </row>
    <row r="366">
      <c r="A366" s="196"/>
      <c r="B366" s="316"/>
      <c r="C366" s="235"/>
    </row>
    <row r="367">
      <c r="A367" s="196"/>
      <c r="B367" s="316"/>
      <c r="C367" s="235"/>
    </row>
    <row r="368">
      <c r="A368" s="196"/>
      <c r="B368" s="316"/>
      <c r="C368" s="235"/>
    </row>
    <row r="369">
      <c r="A369" s="196"/>
      <c r="B369" s="316"/>
      <c r="C369" s="235"/>
    </row>
    <row r="370">
      <c r="A370" s="196"/>
      <c r="B370" s="316"/>
      <c r="C370" s="235"/>
    </row>
    <row r="371">
      <c r="A371" s="196"/>
      <c r="B371" s="316"/>
      <c r="C371" s="235"/>
    </row>
    <row r="372">
      <c r="A372" s="196"/>
      <c r="B372" s="316"/>
      <c r="C372" s="235"/>
    </row>
    <row r="373">
      <c r="A373" s="196"/>
      <c r="B373" s="316"/>
      <c r="C373" s="235"/>
    </row>
    <row r="374">
      <c r="A374" s="196"/>
      <c r="B374" s="316"/>
      <c r="C374" s="235"/>
    </row>
    <row r="375">
      <c r="A375" s="196"/>
      <c r="B375" s="316"/>
      <c r="C375" s="235"/>
    </row>
    <row r="376">
      <c r="A376" s="196"/>
      <c r="B376" s="316"/>
      <c r="C376" s="235"/>
    </row>
    <row r="377">
      <c r="A377" s="196"/>
      <c r="B377" s="316"/>
      <c r="C377" s="235"/>
    </row>
    <row r="378">
      <c r="A378" s="196"/>
      <c r="B378" s="316"/>
      <c r="C378" s="235"/>
    </row>
    <row r="379">
      <c r="A379" s="196"/>
      <c r="B379" s="316"/>
      <c r="C379" s="235"/>
    </row>
    <row r="380">
      <c r="A380" s="196"/>
      <c r="B380" s="316"/>
      <c r="C380" s="235"/>
    </row>
    <row r="381">
      <c r="A381" s="196"/>
      <c r="B381" s="316"/>
      <c r="C381" s="235"/>
    </row>
    <row r="382">
      <c r="A382" s="196"/>
      <c r="B382" s="316"/>
      <c r="C382" s="235"/>
    </row>
    <row r="383">
      <c r="A383" s="196"/>
      <c r="B383" s="316"/>
      <c r="C383" s="235"/>
    </row>
    <row r="384">
      <c r="A384" s="196"/>
      <c r="B384" s="316"/>
      <c r="C384" s="235"/>
    </row>
    <row r="385">
      <c r="A385" s="196"/>
      <c r="B385" s="316"/>
      <c r="C385" s="235"/>
    </row>
    <row r="386">
      <c r="A386" s="196"/>
      <c r="B386" s="316"/>
      <c r="C386" s="235"/>
    </row>
    <row r="387">
      <c r="A387" s="196"/>
      <c r="B387" s="316"/>
      <c r="C387" s="235"/>
    </row>
    <row r="388">
      <c r="A388" s="196"/>
      <c r="B388" s="316"/>
      <c r="C388" s="235"/>
    </row>
    <row r="389">
      <c r="A389" s="196"/>
      <c r="B389" s="316"/>
      <c r="C389" s="235"/>
    </row>
    <row r="390">
      <c r="A390" s="196"/>
      <c r="B390" s="316"/>
      <c r="C390" s="235"/>
    </row>
    <row r="391">
      <c r="A391" s="196"/>
      <c r="B391" s="316"/>
      <c r="C391" s="235"/>
    </row>
    <row r="392">
      <c r="A392" s="196"/>
      <c r="B392" s="316"/>
      <c r="C392" s="235"/>
    </row>
    <row r="393">
      <c r="A393" s="196"/>
      <c r="B393" s="316"/>
      <c r="C393" s="235"/>
    </row>
    <row r="394">
      <c r="A394" s="196"/>
      <c r="B394" s="316"/>
      <c r="C394" s="235"/>
    </row>
    <row r="395">
      <c r="A395" s="196"/>
      <c r="B395" s="316"/>
      <c r="C395" s="235"/>
    </row>
    <row r="396">
      <c r="A396" s="196"/>
      <c r="B396" s="316"/>
      <c r="C396" s="235"/>
    </row>
    <row r="397">
      <c r="A397" s="196"/>
      <c r="B397" s="316"/>
      <c r="C397" s="235"/>
    </row>
    <row r="398">
      <c r="A398" s="196"/>
      <c r="B398" s="316"/>
      <c r="C398" s="235"/>
    </row>
    <row r="399">
      <c r="A399" s="196"/>
      <c r="B399" s="316"/>
      <c r="C399" s="235"/>
    </row>
    <row r="400">
      <c r="A400" s="196"/>
      <c r="B400" s="316"/>
      <c r="C400" s="235"/>
    </row>
    <row r="401">
      <c r="A401" s="196"/>
      <c r="B401" s="316"/>
      <c r="C401" s="235"/>
    </row>
    <row r="402">
      <c r="A402" s="196"/>
      <c r="B402" s="316"/>
      <c r="C402" s="235"/>
    </row>
    <row r="403">
      <c r="A403" s="196"/>
      <c r="B403" s="316"/>
      <c r="C403" s="235"/>
    </row>
    <row r="404">
      <c r="A404" s="196"/>
      <c r="B404" s="316"/>
      <c r="C404" s="235"/>
    </row>
    <row r="405">
      <c r="A405" s="196"/>
      <c r="B405" s="316"/>
      <c r="C405" s="235"/>
    </row>
    <row r="406">
      <c r="A406" s="196"/>
      <c r="B406" s="316"/>
      <c r="C406" s="235"/>
    </row>
    <row r="407">
      <c r="A407" s="196"/>
      <c r="B407" s="316"/>
      <c r="C407" s="235"/>
    </row>
    <row r="408">
      <c r="A408" s="196"/>
      <c r="B408" s="316"/>
      <c r="C408" s="235"/>
    </row>
    <row r="409">
      <c r="A409" s="196"/>
      <c r="B409" s="316"/>
      <c r="C409" s="235"/>
    </row>
    <row r="410">
      <c r="A410" s="196"/>
      <c r="B410" s="316"/>
      <c r="C410" s="235"/>
    </row>
    <row r="411">
      <c r="A411" s="196"/>
      <c r="B411" s="316"/>
      <c r="C411" s="235"/>
    </row>
    <row r="412">
      <c r="A412" s="196"/>
      <c r="B412" s="316"/>
      <c r="C412" s="235"/>
    </row>
    <row r="413">
      <c r="A413" s="196"/>
      <c r="B413" s="316"/>
      <c r="C413" s="235"/>
    </row>
    <row r="414">
      <c r="A414" s="196"/>
      <c r="B414" s="316"/>
      <c r="C414" s="235"/>
    </row>
    <row r="415">
      <c r="A415" s="196"/>
      <c r="B415" s="316"/>
      <c r="C415" s="235"/>
    </row>
    <row r="416">
      <c r="A416" s="196"/>
      <c r="B416" s="316"/>
      <c r="C416" s="235"/>
    </row>
    <row r="417">
      <c r="A417" s="196"/>
      <c r="B417" s="316"/>
      <c r="C417" s="235"/>
    </row>
    <row r="418">
      <c r="A418" s="196"/>
      <c r="B418" s="316"/>
      <c r="C418" s="235"/>
    </row>
    <row r="419">
      <c r="A419" s="196"/>
      <c r="B419" s="316"/>
      <c r="C419" s="235"/>
    </row>
    <row r="420">
      <c r="A420" s="196"/>
      <c r="B420" s="316"/>
      <c r="C420" s="235"/>
    </row>
    <row r="421">
      <c r="A421" s="196"/>
      <c r="B421" s="316"/>
      <c r="C421" s="235"/>
    </row>
    <row r="422">
      <c r="A422" s="196"/>
      <c r="B422" s="316"/>
      <c r="C422" s="235"/>
    </row>
    <row r="423">
      <c r="A423" s="196"/>
      <c r="B423" s="316"/>
      <c r="C423" s="235"/>
    </row>
    <row r="424">
      <c r="A424" s="196"/>
      <c r="B424" s="316"/>
      <c r="C424" s="235"/>
    </row>
    <row r="425">
      <c r="A425" s="196"/>
      <c r="B425" s="316"/>
      <c r="C425" s="235"/>
    </row>
    <row r="426">
      <c r="A426" s="196"/>
      <c r="B426" s="316"/>
      <c r="C426" s="235"/>
    </row>
    <row r="427">
      <c r="A427" s="196"/>
      <c r="B427" s="316"/>
      <c r="C427" s="235"/>
    </row>
    <row r="428">
      <c r="A428" s="196"/>
      <c r="B428" s="316"/>
      <c r="C428" s="235"/>
    </row>
    <row r="429">
      <c r="A429" s="196"/>
      <c r="B429" s="316"/>
      <c r="C429" s="235"/>
    </row>
    <row r="430">
      <c r="A430" s="196"/>
      <c r="B430" s="316"/>
      <c r="C430" s="235"/>
    </row>
    <row r="431">
      <c r="A431" s="196"/>
      <c r="B431" s="316"/>
      <c r="C431" s="235"/>
    </row>
    <row r="432">
      <c r="A432" s="196"/>
      <c r="B432" s="316"/>
      <c r="C432" s="235"/>
    </row>
    <row r="433">
      <c r="A433" s="196"/>
      <c r="B433" s="316"/>
      <c r="C433" s="235"/>
    </row>
    <row r="434">
      <c r="A434" s="196"/>
      <c r="B434" s="316"/>
      <c r="C434" s="235"/>
    </row>
    <row r="435">
      <c r="A435" s="196"/>
      <c r="B435" s="316"/>
      <c r="C435" s="235"/>
    </row>
    <row r="436">
      <c r="A436" s="196"/>
      <c r="B436" s="316"/>
      <c r="C436" s="235"/>
    </row>
    <row r="437">
      <c r="A437" s="196"/>
      <c r="B437" s="316"/>
      <c r="C437" s="235"/>
    </row>
    <row r="438">
      <c r="A438" s="196"/>
      <c r="B438" s="316"/>
      <c r="C438" s="235"/>
    </row>
    <row r="439">
      <c r="A439" s="196"/>
      <c r="B439" s="316"/>
      <c r="C439" s="235"/>
    </row>
    <row r="440">
      <c r="A440" s="196"/>
      <c r="B440" s="316"/>
      <c r="C440" s="235"/>
    </row>
    <row r="441">
      <c r="A441" s="196"/>
      <c r="B441" s="316"/>
      <c r="C441" s="235"/>
    </row>
    <row r="442">
      <c r="A442" s="196"/>
      <c r="B442" s="316"/>
      <c r="C442" s="235"/>
    </row>
    <row r="443">
      <c r="A443" s="196"/>
      <c r="B443" s="316"/>
      <c r="C443" s="235"/>
    </row>
    <row r="444">
      <c r="A444" s="196"/>
      <c r="B444" s="316"/>
      <c r="C444" s="235"/>
    </row>
    <row r="445">
      <c r="A445" s="196"/>
      <c r="B445" s="316"/>
      <c r="C445" s="235"/>
    </row>
    <row r="446">
      <c r="A446" s="196"/>
      <c r="B446" s="316"/>
      <c r="C446" s="235"/>
    </row>
    <row r="447">
      <c r="A447" s="196"/>
      <c r="B447" s="316"/>
      <c r="C447" s="235"/>
    </row>
    <row r="448">
      <c r="A448" s="196"/>
      <c r="B448" s="316"/>
      <c r="C448" s="235"/>
    </row>
    <row r="449">
      <c r="A449" s="196"/>
      <c r="B449" s="316"/>
      <c r="C449" s="235"/>
    </row>
    <row r="450">
      <c r="A450" s="196"/>
      <c r="B450" s="316"/>
      <c r="C450" s="235"/>
    </row>
    <row r="451">
      <c r="A451" s="196"/>
      <c r="B451" s="316"/>
      <c r="C451" s="235"/>
    </row>
    <row r="452">
      <c r="A452" s="196"/>
      <c r="B452" s="316"/>
      <c r="C452" s="235"/>
    </row>
    <row r="453">
      <c r="A453" s="196"/>
      <c r="B453" s="316"/>
      <c r="C453" s="235"/>
    </row>
    <row r="454">
      <c r="A454" s="196"/>
      <c r="B454" s="316"/>
      <c r="C454" s="235"/>
    </row>
    <row r="455">
      <c r="A455" s="196"/>
      <c r="B455" s="316"/>
      <c r="C455" s="235"/>
    </row>
    <row r="456">
      <c r="A456" s="196"/>
      <c r="B456" s="316"/>
      <c r="C456" s="235"/>
    </row>
    <row r="457">
      <c r="A457" s="196"/>
      <c r="B457" s="316"/>
      <c r="C457" s="235"/>
    </row>
    <row r="458">
      <c r="A458" s="196"/>
      <c r="B458" s="316"/>
      <c r="C458" s="235"/>
    </row>
    <row r="459">
      <c r="A459" s="196"/>
      <c r="B459" s="316"/>
      <c r="C459" s="235"/>
    </row>
    <row r="460">
      <c r="A460" s="196"/>
      <c r="B460" s="316"/>
      <c r="C460" s="235"/>
    </row>
    <row r="461">
      <c r="A461" s="196"/>
      <c r="B461" s="316"/>
      <c r="C461" s="235"/>
    </row>
    <row r="462">
      <c r="A462" s="196"/>
      <c r="B462" s="316"/>
      <c r="C462" s="235"/>
    </row>
    <row r="463">
      <c r="A463" s="196"/>
      <c r="B463" s="316"/>
      <c r="C463" s="235"/>
    </row>
    <row r="464">
      <c r="A464" s="196"/>
      <c r="B464" s="316"/>
      <c r="C464" s="235"/>
    </row>
    <row r="465">
      <c r="A465" s="196"/>
      <c r="B465" s="316"/>
      <c r="C465" s="235"/>
    </row>
    <row r="466">
      <c r="A466" s="196"/>
      <c r="B466" s="316"/>
      <c r="C466" s="235"/>
    </row>
    <row r="467">
      <c r="A467" s="196"/>
      <c r="B467" s="316"/>
      <c r="C467" s="235"/>
    </row>
    <row r="468">
      <c r="A468" s="196"/>
      <c r="B468" s="316"/>
      <c r="C468" s="235"/>
    </row>
    <row r="469">
      <c r="A469" s="196"/>
      <c r="B469" s="316"/>
      <c r="C469" s="235"/>
    </row>
    <row r="470">
      <c r="A470" s="196"/>
      <c r="B470" s="316"/>
      <c r="C470" s="235"/>
    </row>
    <row r="471">
      <c r="A471" s="196"/>
      <c r="B471" s="316"/>
      <c r="C471" s="235"/>
    </row>
    <row r="472">
      <c r="A472" s="196"/>
      <c r="B472" s="316"/>
      <c r="C472" s="235"/>
    </row>
    <row r="473">
      <c r="A473" s="196"/>
      <c r="B473" s="316"/>
      <c r="C473" s="235"/>
    </row>
    <row r="474">
      <c r="A474" s="196"/>
      <c r="B474" s="316"/>
      <c r="C474" s="235"/>
    </row>
    <row r="475">
      <c r="A475" s="196"/>
      <c r="B475" s="316"/>
      <c r="C475" s="235"/>
    </row>
    <row r="476">
      <c r="A476" s="196"/>
      <c r="B476" s="316"/>
      <c r="C476" s="235"/>
    </row>
    <row r="477">
      <c r="A477" s="196"/>
      <c r="B477" s="316"/>
      <c r="C477" s="235"/>
    </row>
    <row r="478">
      <c r="A478" s="196"/>
      <c r="B478" s="316"/>
      <c r="C478" s="235"/>
    </row>
    <row r="479">
      <c r="A479" s="196"/>
      <c r="B479" s="316"/>
      <c r="C479" s="235"/>
    </row>
    <row r="480">
      <c r="A480" s="196"/>
      <c r="B480" s="316"/>
      <c r="C480" s="235"/>
    </row>
    <row r="481">
      <c r="A481" s="196"/>
      <c r="B481" s="316"/>
      <c r="C481" s="235"/>
    </row>
    <row r="482">
      <c r="A482" s="196"/>
      <c r="B482" s="316"/>
      <c r="C482" s="235"/>
    </row>
    <row r="483">
      <c r="A483" s="196"/>
      <c r="B483" s="316"/>
      <c r="C483" s="235"/>
    </row>
    <row r="484">
      <c r="A484" s="196"/>
      <c r="B484" s="316"/>
      <c r="C484" s="235"/>
    </row>
    <row r="485">
      <c r="A485" s="196"/>
      <c r="B485" s="316"/>
      <c r="C485" s="235"/>
    </row>
    <row r="486">
      <c r="A486" s="196"/>
      <c r="B486" s="316"/>
      <c r="C486" s="235"/>
    </row>
    <row r="487">
      <c r="A487" s="196"/>
      <c r="B487" s="316"/>
      <c r="C487" s="235"/>
    </row>
    <row r="488">
      <c r="A488" s="196"/>
      <c r="B488" s="316"/>
      <c r="C488" s="235"/>
    </row>
    <row r="489">
      <c r="A489" s="196"/>
      <c r="B489" s="316"/>
      <c r="C489" s="235"/>
    </row>
    <row r="490">
      <c r="A490" s="196"/>
      <c r="B490" s="316"/>
      <c r="C490" s="235"/>
    </row>
    <row r="491">
      <c r="A491" s="196"/>
      <c r="B491" s="316"/>
      <c r="C491" s="235"/>
    </row>
    <row r="492">
      <c r="A492" s="196"/>
      <c r="B492" s="316"/>
      <c r="C492" s="235"/>
    </row>
    <row r="493">
      <c r="A493" s="196"/>
      <c r="B493" s="316"/>
      <c r="C493" s="235"/>
    </row>
    <row r="494">
      <c r="A494" s="196"/>
      <c r="B494" s="316"/>
      <c r="C494" s="235"/>
    </row>
    <row r="495">
      <c r="A495" s="196"/>
      <c r="B495" s="316"/>
      <c r="C495" s="235"/>
    </row>
    <row r="496">
      <c r="A496" s="196"/>
      <c r="B496" s="316"/>
      <c r="C496" s="235"/>
    </row>
    <row r="497">
      <c r="A497" s="196"/>
      <c r="B497" s="316"/>
      <c r="C497" s="235"/>
    </row>
    <row r="498">
      <c r="A498" s="196"/>
      <c r="B498" s="316"/>
      <c r="C498" s="235"/>
    </row>
    <row r="499">
      <c r="A499" s="196"/>
      <c r="B499" s="316"/>
      <c r="C499" s="235"/>
    </row>
    <row r="500">
      <c r="A500" s="196"/>
      <c r="B500" s="316"/>
      <c r="C500" s="235"/>
    </row>
    <row r="501">
      <c r="A501" s="196"/>
      <c r="B501" s="316"/>
      <c r="C501" s="235"/>
    </row>
    <row r="502">
      <c r="A502" s="196"/>
      <c r="B502" s="316"/>
      <c r="C502" s="235"/>
    </row>
    <row r="503">
      <c r="A503" s="196"/>
      <c r="B503" s="316"/>
      <c r="C503" s="235"/>
    </row>
    <row r="504">
      <c r="A504" s="196"/>
      <c r="B504" s="316"/>
      <c r="C504" s="235"/>
    </row>
    <row r="505">
      <c r="A505" s="196"/>
      <c r="B505" s="316"/>
      <c r="C505" s="235"/>
    </row>
    <row r="506">
      <c r="A506" s="196"/>
      <c r="B506" s="316"/>
      <c r="C506" s="235"/>
    </row>
    <row r="507">
      <c r="A507" s="196"/>
      <c r="B507" s="316"/>
      <c r="C507" s="235"/>
    </row>
    <row r="508">
      <c r="A508" s="196"/>
      <c r="B508" s="316"/>
      <c r="C508" s="235"/>
    </row>
    <row r="509">
      <c r="A509" s="196"/>
      <c r="B509" s="316"/>
      <c r="C509" s="235"/>
    </row>
    <row r="510">
      <c r="A510" s="196"/>
      <c r="B510" s="316"/>
      <c r="C510" s="235"/>
    </row>
    <row r="511">
      <c r="A511" s="196"/>
      <c r="B511" s="316"/>
      <c r="C511" s="235"/>
    </row>
    <row r="512">
      <c r="A512" s="196"/>
      <c r="B512" s="316"/>
      <c r="C512" s="235"/>
    </row>
    <row r="513">
      <c r="A513" s="196"/>
      <c r="B513" s="316"/>
      <c r="C513" s="235"/>
    </row>
    <row r="514">
      <c r="A514" s="196"/>
      <c r="B514" s="316"/>
      <c r="C514" s="235"/>
    </row>
    <row r="515">
      <c r="A515" s="196"/>
      <c r="B515" s="316"/>
      <c r="C515" s="235"/>
    </row>
    <row r="516">
      <c r="A516" s="196"/>
      <c r="B516" s="316"/>
      <c r="C516" s="235"/>
    </row>
    <row r="517">
      <c r="A517" s="196"/>
      <c r="B517" s="316"/>
      <c r="C517" s="235"/>
    </row>
    <row r="518">
      <c r="A518" s="196"/>
      <c r="B518" s="316"/>
      <c r="C518" s="235"/>
    </row>
    <row r="519">
      <c r="A519" s="196"/>
      <c r="B519" s="316"/>
      <c r="C519" s="235"/>
    </row>
    <row r="520">
      <c r="A520" s="196"/>
      <c r="B520" s="316"/>
      <c r="C520" s="235"/>
    </row>
    <row r="521">
      <c r="A521" s="196"/>
      <c r="B521" s="316"/>
      <c r="C521" s="235"/>
    </row>
    <row r="522">
      <c r="A522" s="196"/>
      <c r="B522" s="316"/>
      <c r="C522" s="235"/>
    </row>
    <row r="523">
      <c r="A523" s="196"/>
      <c r="B523" s="316"/>
      <c r="C523" s="235"/>
    </row>
    <row r="524">
      <c r="A524" s="196"/>
      <c r="B524" s="316"/>
      <c r="C524" s="235"/>
    </row>
    <row r="525">
      <c r="A525" s="196"/>
      <c r="B525" s="316"/>
      <c r="C525" s="235"/>
    </row>
    <row r="526">
      <c r="A526" s="196"/>
      <c r="B526" s="316"/>
      <c r="C526" s="235"/>
    </row>
    <row r="527">
      <c r="A527" s="196"/>
      <c r="B527" s="316"/>
      <c r="C527" s="235"/>
    </row>
    <row r="528">
      <c r="A528" s="196"/>
      <c r="B528" s="316"/>
      <c r="C528" s="235"/>
    </row>
    <row r="529">
      <c r="A529" s="196"/>
      <c r="B529" s="316"/>
      <c r="C529" s="235"/>
    </row>
    <row r="530">
      <c r="A530" s="196"/>
      <c r="B530" s="316"/>
      <c r="C530" s="235"/>
    </row>
    <row r="531">
      <c r="A531" s="196"/>
      <c r="B531" s="316"/>
      <c r="C531" s="235"/>
    </row>
    <row r="532">
      <c r="A532" s="196"/>
      <c r="B532" s="316"/>
      <c r="C532" s="235"/>
    </row>
    <row r="533">
      <c r="A533" s="196"/>
      <c r="B533" s="316"/>
      <c r="C533" s="235"/>
    </row>
    <row r="534">
      <c r="A534" s="196"/>
      <c r="B534" s="316"/>
      <c r="C534" s="235"/>
    </row>
    <row r="535">
      <c r="A535" s="196"/>
      <c r="B535" s="316"/>
      <c r="C535" s="235"/>
    </row>
    <row r="536">
      <c r="A536" s="196"/>
      <c r="B536" s="316"/>
      <c r="C536" s="235"/>
    </row>
    <row r="537">
      <c r="A537" s="196"/>
      <c r="B537" s="316"/>
      <c r="C537" s="235"/>
    </row>
    <row r="538">
      <c r="A538" s="196"/>
      <c r="B538" s="316"/>
      <c r="C538" s="235"/>
    </row>
    <row r="539">
      <c r="A539" s="196"/>
      <c r="B539" s="316"/>
      <c r="C539" s="235"/>
    </row>
    <row r="540">
      <c r="A540" s="196"/>
      <c r="B540" s="316"/>
      <c r="C540" s="235"/>
    </row>
    <row r="541">
      <c r="A541" s="196"/>
      <c r="B541" s="316"/>
      <c r="C541" s="235"/>
    </row>
    <row r="542">
      <c r="A542" s="196"/>
      <c r="B542" s="316"/>
      <c r="C542" s="235"/>
    </row>
    <row r="543">
      <c r="A543" s="196"/>
      <c r="B543" s="316"/>
      <c r="C543" s="235"/>
    </row>
    <row r="544">
      <c r="A544" s="196"/>
      <c r="B544" s="316"/>
      <c r="C544" s="235"/>
    </row>
    <row r="545">
      <c r="A545" s="196"/>
      <c r="B545" s="316"/>
      <c r="C545" s="235"/>
    </row>
    <row r="546">
      <c r="A546" s="196"/>
      <c r="B546" s="316"/>
      <c r="C546" s="235"/>
    </row>
    <row r="547">
      <c r="A547" s="196"/>
      <c r="B547" s="316"/>
      <c r="C547" s="235"/>
    </row>
    <row r="548">
      <c r="A548" s="196"/>
      <c r="B548" s="316"/>
      <c r="C548" s="235"/>
    </row>
    <row r="549">
      <c r="A549" s="196"/>
      <c r="B549" s="316"/>
      <c r="C549" s="235"/>
    </row>
    <row r="550">
      <c r="A550" s="196"/>
      <c r="B550" s="316"/>
      <c r="C550" s="235"/>
    </row>
    <row r="551">
      <c r="A551" s="196"/>
      <c r="B551" s="316"/>
      <c r="C551" s="235"/>
    </row>
    <row r="552">
      <c r="A552" s="196"/>
      <c r="B552" s="316"/>
      <c r="C552" s="235"/>
    </row>
    <row r="553">
      <c r="A553" s="196"/>
      <c r="B553" s="316"/>
      <c r="C553" s="235"/>
    </row>
    <row r="554">
      <c r="A554" s="196"/>
      <c r="B554" s="316"/>
      <c r="C554" s="235"/>
    </row>
    <row r="555">
      <c r="A555" s="196"/>
      <c r="B555" s="316"/>
      <c r="C555" s="235"/>
    </row>
    <row r="556">
      <c r="A556" s="196"/>
      <c r="B556" s="316"/>
      <c r="C556" s="235"/>
    </row>
    <row r="557">
      <c r="A557" s="196"/>
      <c r="B557" s="316"/>
      <c r="C557" s="235"/>
    </row>
    <row r="558">
      <c r="A558" s="196"/>
      <c r="B558" s="316"/>
      <c r="C558" s="235"/>
    </row>
    <row r="559">
      <c r="A559" s="196"/>
      <c r="B559" s="316"/>
      <c r="C559" s="235"/>
    </row>
    <row r="560">
      <c r="A560" s="196"/>
      <c r="B560" s="316"/>
      <c r="C560" s="235"/>
    </row>
    <row r="561">
      <c r="A561" s="196"/>
      <c r="B561" s="316"/>
      <c r="C561" s="235"/>
    </row>
    <row r="562">
      <c r="A562" s="196"/>
      <c r="B562" s="316"/>
      <c r="C562" s="235"/>
    </row>
    <row r="563">
      <c r="A563" s="196"/>
      <c r="B563" s="316"/>
      <c r="C563" s="235"/>
    </row>
    <row r="564">
      <c r="A564" s="196"/>
      <c r="B564" s="316"/>
      <c r="C564" s="235"/>
    </row>
    <row r="565">
      <c r="A565" s="196"/>
      <c r="B565" s="316"/>
      <c r="C565" s="235"/>
    </row>
    <row r="566">
      <c r="A566" s="196"/>
      <c r="B566" s="316"/>
      <c r="C566" s="235"/>
    </row>
    <row r="567">
      <c r="A567" s="196"/>
      <c r="B567" s="316"/>
      <c r="C567" s="235"/>
    </row>
    <row r="568">
      <c r="A568" s="196"/>
      <c r="B568" s="316"/>
      <c r="C568" s="235"/>
    </row>
    <row r="569">
      <c r="A569" s="196"/>
      <c r="B569" s="316"/>
      <c r="C569" s="235"/>
    </row>
    <row r="570">
      <c r="A570" s="196"/>
      <c r="B570" s="316"/>
      <c r="C570" s="235"/>
    </row>
    <row r="571">
      <c r="A571" s="196"/>
      <c r="B571" s="316"/>
      <c r="C571" s="235"/>
    </row>
    <row r="572">
      <c r="A572" s="196"/>
      <c r="B572" s="316"/>
      <c r="C572" s="235"/>
    </row>
    <row r="573">
      <c r="A573" s="196"/>
      <c r="B573" s="316"/>
      <c r="C573" s="235"/>
    </row>
    <row r="574">
      <c r="A574" s="196"/>
      <c r="B574" s="316"/>
      <c r="C574" s="235"/>
    </row>
    <row r="575">
      <c r="A575" s="196"/>
      <c r="B575" s="316"/>
      <c r="C575" s="235"/>
    </row>
    <row r="576">
      <c r="A576" s="196"/>
      <c r="B576" s="316"/>
      <c r="C576" s="235"/>
    </row>
    <row r="577">
      <c r="A577" s="196"/>
      <c r="B577" s="316"/>
      <c r="C577" s="235"/>
    </row>
    <row r="578">
      <c r="A578" s="196"/>
      <c r="B578" s="316"/>
      <c r="C578" s="235"/>
    </row>
    <row r="579">
      <c r="A579" s="196"/>
      <c r="B579" s="316"/>
      <c r="C579" s="235"/>
    </row>
    <row r="580">
      <c r="A580" s="196"/>
      <c r="B580" s="316"/>
      <c r="C580" s="235"/>
    </row>
    <row r="581">
      <c r="A581" s="196"/>
      <c r="B581" s="316"/>
      <c r="C581" s="235"/>
    </row>
    <row r="582">
      <c r="A582" s="196"/>
      <c r="B582" s="316"/>
      <c r="C582" s="235"/>
    </row>
    <row r="583">
      <c r="A583" s="196"/>
      <c r="B583" s="316"/>
      <c r="C583" s="235"/>
    </row>
    <row r="584">
      <c r="A584" s="196"/>
      <c r="B584" s="316"/>
      <c r="C584" s="235"/>
    </row>
    <row r="585">
      <c r="A585" s="196"/>
      <c r="B585" s="316"/>
      <c r="C585" s="235"/>
    </row>
    <row r="586">
      <c r="A586" s="196"/>
      <c r="B586" s="316"/>
      <c r="C586" s="235"/>
    </row>
    <row r="587">
      <c r="A587" s="196"/>
      <c r="B587" s="316"/>
      <c r="C587" s="235"/>
    </row>
    <row r="588">
      <c r="A588" s="196"/>
      <c r="B588" s="316"/>
      <c r="C588" s="235"/>
    </row>
    <row r="589">
      <c r="A589" s="196"/>
      <c r="B589" s="316"/>
      <c r="C589" s="235"/>
    </row>
    <row r="590">
      <c r="A590" s="196"/>
      <c r="B590" s="316"/>
      <c r="C590" s="235"/>
    </row>
    <row r="591">
      <c r="A591" s="196"/>
      <c r="B591" s="316"/>
      <c r="C591" s="235"/>
    </row>
    <row r="592">
      <c r="A592" s="196"/>
      <c r="B592" s="316"/>
      <c r="C592" s="235"/>
    </row>
    <row r="593">
      <c r="A593" s="196"/>
      <c r="B593" s="316"/>
      <c r="C593" s="235"/>
    </row>
    <row r="594">
      <c r="A594" s="196"/>
      <c r="B594" s="316"/>
      <c r="C594" s="235"/>
    </row>
    <row r="595">
      <c r="A595" s="196"/>
      <c r="B595" s="316"/>
      <c r="C595" s="235"/>
    </row>
    <row r="596">
      <c r="A596" s="196"/>
      <c r="B596" s="316"/>
      <c r="C596" s="235"/>
    </row>
    <row r="597">
      <c r="A597" s="196"/>
      <c r="B597" s="316"/>
      <c r="C597" s="235"/>
    </row>
    <row r="598">
      <c r="A598" s="196"/>
      <c r="B598" s="316"/>
      <c r="C598" s="235"/>
    </row>
    <row r="599">
      <c r="A599" s="196"/>
      <c r="B599" s="316"/>
      <c r="C599" s="235"/>
    </row>
    <row r="600">
      <c r="A600" s="196"/>
      <c r="B600" s="316"/>
      <c r="C600" s="235"/>
    </row>
    <row r="601">
      <c r="A601" s="196"/>
      <c r="B601" s="316"/>
      <c r="C601" s="235"/>
    </row>
    <row r="602">
      <c r="A602" s="196"/>
      <c r="B602" s="316"/>
      <c r="C602" s="235"/>
    </row>
    <row r="603">
      <c r="A603" s="196"/>
      <c r="B603" s="316"/>
      <c r="C603" s="235"/>
    </row>
    <row r="604">
      <c r="A604" s="196"/>
      <c r="B604" s="316"/>
      <c r="C604" s="235"/>
    </row>
    <row r="605">
      <c r="A605" s="196"/>
      <c r="B605" s="316"/>
      <c r="C605" s="235"/>
    </row>
    <row r="606">
      <c r="A606" s="196"/>
      <c r="B606" s="316"/>
      <c r="C606" s="235"/>
    </row>
    <row r="607">
      <c r="A607" s="196"/>
      <c r="B607" s="316"/>
      <c r="C607" s="235"/>
    </row>
    <row r="608">
      <c r="A608" s="196"/>
      <c r="B608" s="316"/>
      <c r="C608" s="235"/>
    </row>
    <row r="609">
      <c r="A609" s="196"/>
      <c r="B609" s="316"/>
      <c r="C609" s="235"/>
    </row>
    <row r="610">
      <c r="A610" s="196"/>
      <c r="B610" s="316"/>
      <c r="C610" s="235"/>
    </row>
    <row r="611">
      <c r="A611" s="196"/>
      <c r="B611" s="316"/>
      <c r="C611" s="235"/>
    </row>
    <row r="612">
      <c r="A612" s="196"/>
      <c r="B612" s="316"/>
      <c r="C612" s="235"/>
    </row>
    <row r="613">
      <c r="A613" s="196"/>
      <c r="B613" s="316"/>
      <c r="C613" s="235"/>
    </row>
    <row r="614">
      <c r="A614" s="196"/>
      <c r="B614" s="316"/>
      <c r="C614" s="235"/>
    </row>
    <row r="615">
      <c r="A615" s="196"/>
      <c r="B615" s="316"/>
      <c r="C615" s="235"/>
    </row>
    <row r="616">
      <c r="A616" s="196"/>
      <c r="B616" s="316"/>
      <c r="C616" s="235"/>
    </row>
    <row r="617">
      <c r="A617" s="196"/>
      <c r="B617" s="316"/>
      <c r="C617" s="235"/>
    </row>
    <row r="618">
      <c r="A618" s="196"/>
      <c r="B618" s="316"/>
      <c r="C618" s="235"/>
    </row>
    <row r="619">
      <c r="A619" s="196"/>
      <c r="B619" s="316"/>
      <c r="C619" s="235"/>
    </row>
    <row r="620">
      <c r="A620" s="196"/>
      <c r="B620" s="316"/>
      <c r="C620" s="235"/>
    </row>
    <row r="621">
      <c r="A621" s="196"/>
      <c r="B621" s="316"/>
      <c r="C621" s="235"/>
    </row>
    <row r="622">
      <c r="A622" s="196"/>
      <c r="B622" s="316"/>
      <c r="C622" s="235"/>
    </row>
    <row r="623">
      <c r="A623" s="196"/>
      <c r="B623" s="316"/>
      <c r="C623" s="235"/>
    </row>
    <row r="624">
      <c r="A624" s="196"/>
      <c r="B624" s="316"/>
      <c r="C624" s="235"/>
    </row>
    <row r="625">
      <c r="A625" s="196"/>
      <c r="B625" s="316"/>
      <c r="C625" s="235"/>
    </row>
    <row r="626">
      <c r="A626" s="196"/>
      <c r="B626" s="316"/>
      <c r="C626" s="235"/>
    </row>
    <row r="627">
      <c r="A627" s="196"/>
      <c r="B627" s="316"/>
      <c r="C627" s="235"/>
    </row>
    <row r="628">
      <c r="A628" s="196"/>
      <c r="B628" s="316"/>
      <c r="C628" s="235"/>
    </row>
    <row r="629">
      <c r="A629" s="196"/>
      <c r="B629" s="316"/>
      <c r="C629" s="235"/>
    </row>
    <row r="630">
      <c r="A630" s="196"/>
      <c r="B630" s="316"/>
      <c r="C630" s="235"/>
    </row>
    <row r="631">
      <c r="A631" s="196"/>
      <c r="B631" s="316"/>
      <c r="C631" s="235"/>
    </row>
    <row r="632">
      <c r="A632" s="196"/>
      <c r="B632" s="316"/>
      <c r="C632" s="235"/>
    </row>
    <row r="633">
      <c r="A633" s="196"/>
      <c r="B633" s="316"/>
      <c r="C633" s="235"/>
    </row>
    <row r="634">
      <c r="A634" s="196"/>
      <c r="B634" s="316"/>
      <c r="C634" s="235"/>
    </row>
    <row r="635">
      <c r="A635" s="196"/>
      <c r="B635" s="316"/>
      <c r="C635" s="235"/>
    </row>
    <row r="636">
      <c r="A636" s="196"/>
      <c r="B636" s="316"/>
      <c r="C636" s="235"/>
    </row>
    <row r="637">
      <c r="A637" s="196"/>
      <c r="B637" s="316"/>
      <c r="C637" s="235"/>
    </row>
    <row r="638">
      <c r="A638" s="196"/>
      <c r="B638" s="316"/>
      <c r="C638" s="235"/>
    </row>
    <row r="639">
      <c r="A639" s="196"/>
      <c r="B639" s="316"/>
      <c r="C639" s="235"/>
    </row>
    <row r="640">
      <c r="A640" s="196"/>
      <c r="B640" s="316"/>
      <c r="C640" s="235"/>
    </row>
    <row r="641">
      <c r="A641" s="196"/>
      <c r="B641" s="316"/>
      <c r="C641" s="235"/>
    </row>
    <row r="642">
      <c r="A642" s="196"/>
      <c r="B642" s="316"/>
      <c r="C642" s="235"/>
    </row>
    <row r="643">
      <c r="A643" s="196"/>
      <c r="B643" s="316"/>
      <c r="C643" s="235"/>
    </row>
    <row r="644">
      <c r="A644" s="196"/>
      <c r="B644" s="316"/>
      <c r="C644" s="235"/>
    </row>
    <row r="645">
      <c r="A645" s="196"/>
      <c r="B645" s="316"/>
      <c r="C645" s="235"/>
    </row>
    <row r="646">
      <c r="A646" s="196"/>
      <c r="B646" s="316"/>
      <c r="C646" s="235"/>
    </row>
    <row r="647">
      <c r="A647" s="196"/>
      <c r="B647" s="316"/>
      <c r="C647" s="235"/>
    </row>
    <row r="648">
      <c r="A648" s="196"/>
      <c r="B648" s="316"/>
      <c r="C648" s="235"/>
    </row>
    <row r="649">
      <c r="A649" s="196"/>
      <c r="B649" s="316"/>
      <c r="C649" s="235"/>
    </row>
    <row r="650">
      <c r="A650" s="196"/>
      <c r="B650" s="316"/>
      <c r="C650" s="235"/>
    </row>
    <row r="651">
      <c r="A651" s="196"/>
      <c r="B651" s="316"/>
      <c r="C651" s="235"/>
    </row>
    <row r="652">
      <c r="A652" s="196"/>
      <c r="B652" s="316"/>
      <c r="C652" s="235"/>
    </row>
    <row r="653">
      <c r="A653" s="196"/>
      <c r="B653" s="316"/>
      <c r="C653" s="235"/>
    </row>
    <row r="654">
      <c r="A654" s="196"/>
      <c r="B654" s="316"/>
      <c r="C654" s="235"/>
    </row>
    <row r="655">
      <c r="A655" s="196"/>
      <c r="B655" s="316"/>
      <c r="C655" s="235"/>
    </row>
    <row r="656">
      <c r="A656" s="196"/>
      <c r="B656" s="316"/>
      <c r="C656" s="235"/>
    </row>
    <row r="657">
      <c r="A657" s="196"/>
      <c r="B657" s="316"/>
      <c r="C657" s="235"/>
    </row>
    <row r="658">
      <c r="A658" s="196"/>
      <c r="B658" s="316"/>
      <c r="C658" s="235"/>
    </row>
    <row r="659">
      <c r="A659" s="196"/>
      <c r="B659" s="316"/>
      <c r="C659" s="235"/>
    </row>
    <row r="660">
      <c r="A660" s="196"/>
      <c r="B660" s="316"/>
      <c r="C660" s="235"/>
    </row>
    <row r="661">
      <c r="A661" s="196"/>
      <c r="B661" s="316"/>
      <c r="C661" s="235"/>
    </row>
    <row r="662">
      <c r="A662" s="196"/>
      <c r="B662" s="316"/>
      <c r="C662" s="235"/>
    </row>
    <row r="663">
      <c r="A663" s="196"/>
      <c r="B663" s="316"/>
      <c r="C663" s="235"/>
    </row>
    <row r="664">
      <c r="A664" s="196"/>
      <c r="B664" s="316"/>
      <c r="C664" s="235"/>
    </row>
    <row r="665">
      <c r="A665" s="196"/>
      <c r="B665" s="316"/>
      <c r="C665" s="235"/>
    </row>
    <row r="666">
      <c r="A666" s="196"/>
      <c r="B666" s="316"/>
      <c r="C666" s="235"/>
    </row>
    <row r="667">
      <c r="A667" s="196"/>
      <c r="B667" s="316"/>
      <c r="C667" s="235"/>
    </row>
    <row r="668">
      <c r="A668" s="196"/>
      <c r="B668" s="316"/>
      <c r="C668" s="235"/>
    </row>
    <row r="669">
      <c r="A669" s="196"/>
      <c r="B669" s="316"/>
      <c r="C669" s="235"/>
    </row>
    <row r="670">
      <c r="A670" s="196"/>
      <c r="B670" s="316"/>
      <c r="C670" s="235"/>
    </row>
    <row r="671">
      <c r="A671" s="196"/>
      <c r="B671" s="316"/>
      <c r="C671" s="235"/>
    </row>
    <row r="672">
      <c r="A672" s="196"/>
      <c r="B672" s="316"/>
      <c r="C672" s="235"/>
    </row>
    <row r="673">
      <c r="A673" s="196"/>
      <c r="B673" s="316"/>
      <c r="C673" s="235"/>
    </row>
    <row r="674">
      <c r="A674" s="196"/>
      <c r="B674" s="316"/>
      <c r="C674" s="235"/>
    </row>
    <row r="675">
      <c r="A675" s="196"/>
      <c r="B675" s="316"/>
      <c r="C675" s="235"/>
    </row>
    <row r="676">
      <c r="A676" s="196"/>
      <c r="B676" s="316"/>
      <c r="C676" s="235"/>
    </row>
    <row r="677">
      <c r="A677" s="196"/>
      <c r="B677" s="316"/>
      <c r="C677" s="235"/>
    </row>
    <row r="678">
      <c r="A678" s="196"/>
      <c r="B678" s="316"/>
      <c r="C678" s="235"/>
    </row>
    <row r="679">
      <c r="A679" s="196"/>
      <c r="B679" s="316"/>
      <c r="C679" s="235"/>
    </row>
    <row r="680">
      <c r="A680" s="196"/>
      <c r="B680" s="316"/>
      <c r="C680" s="235"/>
    </row>
    <row r="681">
      <c r="A681" s="196"/>
      <c r="B681" s="316"/>
      <c r="C681" s="235"/>
    </row>
    <row r="682">
      <c r="A682" s="196"/>
      <c r="B682" s="316"/>
      <c r="C682" s="235"/>
    </row>
    <row r="683">
      <c r="A683" s="196"/>
      <c r="B683" s="316"/>
      <c r="C683" s="235"/>
    </row>
    <row r="684">
      <c r="A684" s="196"/>
      <c r="B684" s="316"/>
      <c r="C684" s="235"/>
    </row>
    <row r="685">
      <c r="A685" s="196"/>
      <c r="B685" s="316"/>
      <c r="C685" s="235"/>
    </row>
    <row r="686">
      <c r="A686" s="196"/>
      <c r="B686" s="316"/>
      <c r="C686" s="235"/>
    </row>
    <row r="687">
      <c r="A687" s="196"/>
      <c r="B687" s="316"/>
      <c r="C687" s="235"/>
    </row>
    <row r="688">
      <c r="A688" s="196"/>
      <c r="B688" s="316"/>
      <c r="C688" s="235"/>
    </row>
    <row r="689">
      <c r="A689" s="196"/>
      <c r="B689" s="316"/>
      <c r="C689" s="235"/>
    </row>
    <row r="690">
      <c r="A690" s="196"/>
      <c r="B690" s="316"/>
      <c r="C690" s="235"/>
    </row>
    <row r="691">
      <c r="A691" s="196"/>
      <c r="B691" s="316"/>
      <c r="C691" s="235"/>
    </row>
    <row r="692">
      <c r="A692" s="196"/>
      <c r="B692" s="316"/>
      <c r="C692" s="235"/>
    </row>
    <row r="693">
      <c r="A693" s="196"/>
      <c r="B693" s="316"/>
      <c r="C693" s="235"/>
    </row>
    <row r="694">
      <c r="A694" s="196"/>
      <c r="B694" s="316"/>
      <c r="C694" s="235"/>
    </row>
    <row r="695">
      <c r="A695" s="196"/>
      <c r="B695" s="316"/>
      <c r="C695" s="235"/>
    </row>
    <row r="696">
      <c r="A696" s="196"/>
      <c r="B696" s="316"/>
      <c r="C696" s="235"/>
    </row>
    <row r="697">
      <c r="A697" s="196"/>
      <c r="B697" s="316"/>
      <c r="C697" s="235"/>
    </row>
    <row r="698">
      <c r="A698" s="196"/>
      <c r="B698" s="316"/>
      <c r="C698" s="235"/>
    </row>
    <row r="699">
      <c r="A699" s="196"/>
      <c r="B699" s="316"/>
      <c r="C699" s="235"/>
    </row>
    <row r="700">
      <c r="A700" s="196"/>
      <c r="B700" s="316"/>
      <c r="C700" s="235"/>
    </row>
    <row r="701">
      <c r="A701" s="196"/>
      <c r="B701" s="316"/>
      <c r="C701" s="235"/>
    </row>
    <row r="702">
      <c r="A702" s="196"/>
      <c r="B702" s="316"/>
      <c r="C702" s="235"/>
    </row>
    <row r="703">
      <c r="A703" s="196"/>
      <c r="B703" s="316"/>
      <c r="C703" s="235"/>
    </row>
    <row r="704">
      <c r="A704" s="196"/>
      <c r="B704" s="316"/>
      <c r="C704" s="235"/>
    </row>
    <row r="705">
      <c r="A705" s="196"/>
      <c r="B705" s="316"/>
      <c r="C705" s="235"/>
    </row>
    <row r="706">
      <c r="A706" s="196"/>
      <c r="B706" s="316"/>
      <c r="C706" s="235"/>
    </row>
    <row r="707">
      <c r="A707" s="196"/>
      <c r="B707" s="316"/>
      <c r="C707" s="235"/>
    </row>
    <row r="708">
      <c r="A708" s="196"/>
      <c r="B708" s="316"/>
      <c r="C708" s="235"/>
    </row>
    <row r="709">
      <c r="A709" s="196"/>
      <c r="B709" s="316"/>
      <c r="C709" s="235"/>
    </row>
    <row r="710">
      <c r="A710" s="196"/>
      <c r="B710" s="316"/>
      <c r="C710" s="235"/>
    </row>
    <row r="711">
      <c r="A711" s="196"/>
      <c r="B711" s="316"/>
      <c r="C711" s="235"/>
    </row>
    <row r="712">
      <c r="A712" s="196"/>
      <c r="B712" s="316"/>
      <c r="C712" s="235"/>
    </row>
    <row r="713">
      <c r="A713" s="196"/>
      <c r="B713" s="316"/>
      <c r="C713" s="235"/>
    </row>
    <row r="714">
      <c r="A714" s="196"/>
      <c r="B714" s="316"/>
      <c r="C714" s="235"/>
    </row>
    <row r="715">
      <c r="A715" s="196"/>
      <c r="B715" s="316"/>
      <c r="C715" s="235"/>
    </row>
    <row r="716">
      <c r="A716" s="196"/>
      <c r="B716" s="316"/>
      <c r="C716" s="235"/>
    </row>
    <row r="717">
      <c r="A717" s="196"/>
      <c r="B717" s="316"/>
      <c r="C717" s="235"/>
    </row>
    <row r="718">
      <c r="A718" s="196"/>
      <c r="B718" s="316"/>
      <c r="C718" s="235"/>
    </row>
    <row r="719">
      <c r="A719" s="196"/>
      <c r="B719" s="316"/>
      <c r="C719" s="235"/>
    </row>
    <row r="720">
      <c r="A720" s="196"/>
      <c r="B720" s="316"/>
      <c r="C720" s="235"/>
    </row>
    <row r="721">
      <c r="A721" s="196"/>
      <c r="B721" s="316"/>
      <c r="C721" s="235"/>
    </row>
    <row r="722">
      <c r="A722" s="196"/>
      <c r="B722" s="316"/>
      <c r="C722" s="235"/>
    </row>
    <row r="723">
      <c r="A723" s="196"/>
      <c r="B723" s="316"/>
      <c r="C723" s="235"/>
    </row>
    <row r="724">
      <c r="A724" s="196"/>
      <c r="B724" s="316"/>
      <c r="C724" s="235"/>
    </row>
    <row r="725">
      <c r="A725" s="196"/>
      <c r="B725" s="316"/>
      <c r="C725" s="235"/>
    </row>
    <row r="726">
      <c r="A726" s="196"/>
      <c r="B726" s="316"/>
      <c r="C726" s="235"/>
    </row>
    <row r="727">
      <c r="A727" s="196"/>
      <c r="B727" s="316"/>
      <c r="C727" s="235"/>
    </row>
    <row r="728">
      <c r="A728" s="196"/>
      <c r="B728" s="316"/>
      <c r="C728" s="235"/>
    </row>
    <row r="729">
      <c r="A729" s="196"/>
      <c r="B729" s="316"/>
      <c r="C729" s="235"/>
    </row>
    <row r="730">
      <c r="A730" s="196"/>
      <c r="B730" s="316"/>
      <c r="C730" s="235"/>
    </row>
    <row r="731">
      <c r="A731" s="196"/>
      <c r="B731" s="316"/>
      <c r="C731" s="235"/>
    </row>
    <row r="732">
      <c r="A732" s="196"/>
      <c r="B732" s="316"/>
      <c r="C732" s="235"/>
    </row>
    <row r="733">
      <c r="A733" s="196"/>
      <c r="B733" s="316"/>
      <c r="C733" s="235"/>
    </row>
    <row r="734">
      <c r="A734" s="196"/>
      <c r="B734" s="316"/>
      <c r="C734" s="235"/>
    </row>
    <row r="735">
      <c r="A735" s="196"/>
      <c r="B735" s="316"/>
      <c r="C735" s="235"/>
    </row>
    <row r="736">
      <c r="A736" s="196"/>
      <c r="B736" s="316"/>
      <c r="C736" s="235"/>
    </row>
    <row r="737">
      <c r="A737" s="196"/>
      <c r="B737" s="316"/>
      <c r="C737" s="235"/>
    </row>
    <row r="738">
      <c r="A738" s="196"/>
      <c r="B738" s="316"/>
      <c r="C738" s="235"/>
    </row>
    <row r="739">
      <c r="A739" s="196"/>
      <c r="B739" s="316"/>
      <c r="C739" s="235"/>
    </row>
    <row r="740">
      <c r="A740" s="196"/>
      <c r="B740" s="316"/>
      <c r="C740" s="235"/>
    </row>
    <row r="741">
      <c r="A741" s="196"/>
      <c r="B741" s="316"/>
      <c r="C741" s="235"/>
    </row>
    <row r="742">
      <c r="A742" s="196"/>
      <c r="B742" s="316"/>
      <c r="C742" s="235"/>
    </row>
    <row r="743">
      <c r="A743" s="196"/>
      <c r="B743" s="316"/>
      <c r="C743" s="235"/>
    </row>
    <row r="744">
      <c r="A744" s="196"/>
      <c r="B744" s="316"/>
      <c r="C744" s="235"/>
    </row>
    <row r="745">
      <c r="A745" s="196"/>
      <c r="B745" s="316"/>
      <c r="C745" s="235"/>
    </row>
    <row r="746">
      <c r="A746" s="196"/>
      <c r="B746" s="316"/>
      <c r="C746" s="235"/>
    </row>
    <row r="747">
      <c r="A747" s="196"/>
      <c r="B747" s="316"/>
      <c r="C747" s="235"/>
    </row>
    <row r="748">
      <c r="A748" s="196"/>
      <c r="B748" s="316"/>
      <c r="C748" s="235"/>
    </row>
    <row r="749">
      <c r="A749" s="196"/>
      <c r="B749" s="316"/>
      <c r="C749" s="235"/>
    </row>
    <row r="750">
      <c r="A750" s="196"/>
      <c r="B750" s="316"/>
      <c r="C750" s="235"/>
    </row>
    <row r="751">
      <c r="A751" s="196"/>
      <c r="B751" s="316"/>
      <c r="C751" s="235"/>
    </row>
    <row r="752">
      <c r="A752" s="196"/>
      <c r="B752" s="316"/>
      <c r="C752" s="235"/>
    </row>
    <row r="753">
      <c r="A753" s="196"/>
      <c r="B753" s="316"/>
      <c r="C753" s="235"/>
    </row>
    <row r="754">
      <c r="A754" s="196"/>
      <c r="B754" s="316"/>
      <c r="C754" s="235"/>
    </row>
    <row r="755">
      <c r="A755" s="196"/>
      <c r="B755" s="316"/>
      <c r="C755" s="235"/>
    </row>
    <row r="756">
      <c r="A756" s="196"/>
      <c r="B756" s="316"/>
      <c r="C756" s="235"/>
    </row>
    <row r="757">
      <c r="A757" s="196"/>
      <c r="B757" s="316"/>
      <c r="C757" s="235"/>
    </row>
    <row r="758">
      <c r="A758" s="196"/>
      <c r="B758" s="316"/>
      <c r="C758" s="235"/>
    </row>
    <row r="759">
      <c r="A759" s="196"/>
      <c r="B759" s="316"/>
      <c r="C759" s="235"/>
    </row>
    <row r="760">
      <c r="A760" s="196"/>
      <c r="B760" s="316"/>
      <c r="C760" s="235"/>
    </row>
    <row r="761">
      <c r="A761" s="196"/>
      <c r="B761" s="316"/>
      <c r="C761" s="235"/>
    </row>
    <row r="762">
      <c r="A762" s="196"/>
      <c r="B762" s="316"/>
      <c r="C762" s="235"/>
    </row>
    <row r="763">
      <c r="A763" s="196"/>
      <c r="B763" s="316"/>
      <c r="C763" s="235"/>
    </row>
    <row r="764">
      <c r="A764" s="196"/>
      <c r="B764" s="316"/>
      <c r="C764" s="235"/>
    </row>
    <row r="765">
      <c r="A765" s="196"/>
      <c r="B765" s="316"/>
      <c r="C765" s="235"/>
    </row>
    <row r="766">
      <c r="A766" s="196"/>
      <c r="B766" s="316"/>
      <c r="C766" s="235"/>
    </row>
    <row r="767">
      <c r="A767" s="196"/>
      <c r="B767" s="316"/>
      <c r="C767" s="235"/>
    </row>
    <row r="768">
      <c r="A768" s="196"/>
      <c r="B768" s="316"/>
      <c r="C768" s="235"/>
    </row>
    <row r="769">
      <c r="A769" s="196"/>
      <c r="B769" s="316"/>
      <c r="C769" s="235"/>
    </row>
    <row r="770">
      <c r="A770" s="196"/>
      <c r="B770" s="316"/>
      <c r="C770" s="235"/>
    </row>
    <row r="771">
      <c r="A771" s="196"/>
      <c r="B771" s="316"/>
      <c r="C771" s="235"/>
    </row>
    <row r="772">
      <c r="A772" s="196"/>
      <c r="B772" s="316"/>
      <c r="C772" s="235"/>
    </row>
    <row r="773">
      <c r="A773" s="196"/>
      <c r="B773" s="316"/>
      <c r="C773" s="235"/>
    </row>
    <row r="774">
      <c r="A774" s="196"/>
      <c r="B774" s="316"/>
      <c r="C774" s="235"/>
    </row>
    <row r="775">
      <c r="A775" s="196"/>
      <c r="B775" s="316"/>
      <c r="C775" s="235"/>
    </row>
    <row r="776">
      <c r="A776" s="196"/>
      <c r="B776" s="316"/>
      <c r="C776" s="235"/>
    </row>
    <row r="777">
      <c r="A777" s="196"/>
      <c r="B777" s="316"/>
      <c r="C777" s="235"/>
    </row>
    <row r="778">
      <c r="A778" s="196"/>
      <c r="B778" s="316"/>
      <c r="C778" s="235"/>
    </row>
    <row r="779">
      <c r="A779" s="196"/>
      <c r="B779" s="316"/>
      <c r="C779" s="235"/>
    </row>
    <row r="780">
      <c r="A780" s="196"/>
      <c r="B780" s="316"/>
      <c r="C780" s="235"/>
    </row>
    <row r="781">
      <c r="A781" s="196"/>
      <c r="B781" s="316"/>
      <c r="C781" s="235"/>
    </row>
    <row r="782">
      <c r="A782" s="196"/>
      <c r="B782" s="316"/>
      <c r="C782" s="235"/>
    </row>
    <row r="783">
      <c r="A783" s="196"/>
      <c r="B783" s="316"/>
      <c r="C783" s="235"/>
    </row>
    <row r="784">
      <c r="A784" s="196"/>
      <c r="B784" s="316"/>
      <c r="C784" s="235"/>
    </row>
    <row r="785">
      <c r="A785" s="196"/>
      <c r="B785" s="316"/>
      <c r="C785" s="235"/>
    </row>
    <row r="786">
      <c r="A786" s="196"/>
      <c r="B786" s="316"/>
      <c r="C786" s="235"/>
    </row>
    <row r="787">
      <c r="A787" s="196"/>
      <c r="B787" s="316"/>
      <c r="C787" s="235"/>
    </row>
    <row r="788">
      <c r="A788" s="196"/>
      <c r="B788" s="316"/>
      <c r="C788" s="235"/>
    </row>
    <row r="789">
      <c r="A789" s="196"/>
      <c r="B789" s="316"/>
      <c r="C789" s="235"/>
    </row>
    <row r="790">
      <c r="A790" s="196"/>
      <c r="B790" s="316"/>
      <c r="C790" s="235"/>
    </row>
    <row r="791">
      <c r="A791" s="196"/>
      <c r="B791" s="316"/>
      <c r="C791" s="235"/>
    </row>
    <row r="792">
      <c r="A792" s="196"/>
      <c r="B792" s="316"/>
      <c r="C792" s="235"/>
    </row>
    <row r="793">
      <c r="A793" s="196"/>
      <c r="B793" s="316"/>
      <c r="C793" s="235"/>
    </row>
    <row r="794">
      <c r="A794" s="196"/>
      <c r="B794" s="316"/>
      <c r="C794" s="235"/>
    </row>
    <row r="795">
      <c r="A795" s="196"/>
      <c r="B795" s="316"/>
      <c r="C795" s="235"/>
    </row>
    <row r="796">
      <c r="A796" s="196"/>
      <c r="B796" s="316"/>
      <c r="C796" s="235"/>
    </row>
    <row r="797">
      <c r="A797" s="196"/>
      <c r="B797" s="316"/>
      <c r="C797" s="235"/>
    </row>
    <row r="798">
      <c r="A798" s="196"/>
      <c r="B798" s="316"/>
      <c r="C798" s="235"/>
    </row>
    <row r="799">
      <c r="A799" s="196"/>
      <c r="B799" s="316"/>
      <c r="C799" s="235"/>
    </row>
    <row r="800">
      <c r="A800" s="196"/>
      <c r="B800" s="316"/>
      <c r="C800" s="235"/>
    </row>
    <row r="801">
      <c r="A801" s="196"/>
      <c r="B801" s="316"/>
      <c r="C801" s="235"/>
    </row>
    <row r="802">
      <c r="A802" s="196"/>
      <c r="B802" s="316"/>
      <c r="C802" s="235"/>
    </row>
    <row r="803">
      <c r="A803" s="196"/>
      <c r="B803" s="316"/>
      <c r="C803" s="235"/>
    </row>
    <row r="804">
      <c r="A804" s="196"/>
      <c r="B804" s="316"/>
      <c r="C804" s="235"/>
    </row>
    <row r="805">
      <c r="A805" s="196"/>
      <c r="B805" s="316"/>
      <c r="C805" s="235"/>
    </row>
    <row r="806">
      <c r="A806" s="196"/>
      <c r="B806" s="316"/>
      <c r="C806" s="235"/>
    </row>
    <row r="807">
      <c r="A807" s="196"/>
      <c r="B807" s="316"/>
      <c r="C807" s="235"/>
    </row>
    <row r="808">
      <c r="A808" s="196"/>
      <c r="B808" s="316"/>
      <c r="C808" s="235"/>
    </row>
    <row r="809">
      <c r="A809" s="196"/>
      <c r="B809" s="316"/>
      <c r="C809" s="235"/>
    </row>
    <row r="810">
      <c r="A810" s="196"/>
      <c r="B810" s="316"/>
      <c r="C810" s="235"/>
    </row>
    <row r="811">
      <c r="A811" s="196"/>
      <c r="B811" s="316"/>
      <c r="C811" s="235"/>
    </row>
    <row r="812">
      <c r="A812" s="196"/>
      <c r="B812" s="316"/>
      <c r="C812" s="235"/>
    </row>
    <row r="813">
      <c r="A813" s="196"/>
      <c r="B813" s="316"/>
      <c r="C813" s="235"/>
    </row>
    <row r="814">
      <c r="A814" s="196"/>
      <c r="B814" s="316"/>
      <c r="C814" s="235"/>
    </row>
    <row r="815">
      <c r="A815" s="196"/>
      <c r="B815" s="316"/>
      <c r="C815" s="235"/>
    </row>
    <row r="816">
      <c r="A816" s="196"/>
      <c r="B816" s="316"/>
      <c r="C816" s="235"/>
    </row>
    <row r="817">
      <c r="A817" s="196"/>
      <c r="B817" s="316"/>
      <c r="C817" s="235"/>
    </row>
    <row r="818">
      <c r="A818" s="196"/>
      <c r="B818" s="316"/>
      <c r="C818" s="235"/>
    </row>
    <row r="819">
      <c r="A819" s="196"/>
      <c r="B819" s="316"/>
      <c r="C819" s="235"/>
    </row>
    <row r="820">
      <c r="A820" s="196"/>
      <c r="B820" s="316"/>
      <c r="C820" s="235"/>
    </row>
    <row r="821">
      <c r="A821" s="196"/>
      <c r="B821" s="316"/>
      <c r="C821" s="235"/>
    </row>
    <row r="822">
      <c r="A822" s="196"/>
      <c r="B822" s="316"/>
      <c r="C822" s="235"/>
    </row>
    <row r="823">
      <c r="A823" s="196"/>
      <c r="B823" s="316"/>
      <c r="C823" s="235"/>
    </row>
    <row r="824">
      <c r="A824" s="196"/>
      <c r="B824" s="316"/>
      <c r="C824" s="235"/>
    </row>
    <row r="825">
      <c r="A825" s="196"/>
      <c r="B825" s="316"/>
      <c r="C825" s="235"/>
    </row>
    <row r="826">
      <c r="A826" s="196"/>
      <c r="B826" s="316"/>
      <c r="C826" s="235"/>
    </row>
    <row r="827">
      <c r="A827" s="196"/>
      <c r="B827" s="316"/>
      <c r="C827" s="235"/>
    </row>
    <row r="828">
      <c r="A828" s="196"/>
      <c r="B828" s="316"/>
      <c r="C828" s="235"/>
    </row>
    <row r="829">
      <c r="A829" s="196"/>
      <c r="B829" s="316"/>
      <c r="C829" s="235"/>
    </row>
    <row r="830">
      <c r="A830" s="196"/>
      <c r="B830" s="316"/>
      <c r="C830" s="235"/>
    </row>
    <row r="831">
      <c r="A831" s="196"/>
      <c r="B831" s="316"/>
      <c r="C831" s="235"/>
    </row>
    <row r="832">
      <c r="A832" s="196"/>
      <c r="B832" s="316"/>
      <c r="C832" s="235"/>
    </row>
    <row r="833">
      <c r="A833" s="196"/>
      <c r="B833" s="316"/>
      <c r="C833" s="235"/>
    </row>
    <row r="834">
      <c r="A834" s="196"/>
      <c r="B834" s="316"/>
      <c r="C834" s="235"/>
    </row>
    <row r="835">
      <c r="A835" s="196"/>
      <c r="B835" s="316"/>
      <c r="C835" s="235"/>
    </row>
    <row r="836">
      <c r="A836" s="196"/>
      <c r="B836" s="316"/>
      <c r="C836" s="235"/>
    </row>
    <row r="837">
      <c r="A837" s="196"/>
      <c r="B837" s="316"/>
      <c r="C837" s="235"/>
    </row>
    <row r="838">
      <c r="A838" s="196"/>
      <c r="B838" s="316"/>
      <c r="C838" s="235"/>
    </row>
    <row r="839">
      <c r="A839" s="196"/>
      <c r="B839" s="316"/>
      <c r="C839" s="235"/>
    </row>
    <row r="840">
      <c r="A840" s="196"/>
      <c r="B840" s="316"/>
      <c r="C840" s="235"/>
    </row>
    <row r="841">
      <c r="A841" s="196"/>
      <c r="B841" s="316"/>
      <c r="C841" s="235"/>
    </row>
    <row r="842">
      <c r="A842" s="196"/>
      <c r="B842" s="316"/>
      <c r="C842" s="235"/>
    </row>
    <row r="843">
      <c r="A843" s="196"/>
      <c r="B843" s="316"/>
      <c r="C843" s="235"/>
    </row>
    <row r="844">
      <c r="A844" s="196"/>
      <c r="B844" s="316"/>
      <c r="C844" s="235"/>
    </row>
    <row r="845">
      <c r="A845" s="196"/>
      <c r="B845" s="316"/>
      <c r="C845" s="235"/>
    </row>
    <row r="846">
      <c r="A846" s="196"/>
      <c r="B846" s="316"/>
      <c r="C846" s="235"/>
    </row>
    <row r="847">
      <c r="A847" s="196"/>
      <c r="B847" s="316"/>
      <c r="C847" s="235"/>
    </row>
    <row r="848">
      <c r="A848" s="196"/>
      <c r="B848" s="316"/>
      <c r="C848" s="235"/>
    </row>
    <row r="849">
      <c r="A849" s="196"/>
      <c r="B849" s="316"/>
      <c r="C849" s="235"/>
    </row>
    <row r="850">
      <c r="A850" s="196"/>
      <c r="B850" s="316"/>
      <c r="C850" s="235"/>
    </row>
    <row r="851">
      <c r="A851" s="196"/>
      <c r="B851" s="316"/>
      <c r="C851" s="235"/>
    </row>
    <row r="852">
      <c r="A852" s="196"/>
      <c r="B852" s="316"/>
      <c r="C852" s="235"/>
    </row>
    <row r="853">
      <c r="A853" s="196"/>
      <c r="B853" s="316"/>
      <c r="C853" s="235"/>
    </row>
    <row r="854">
      <c r="A854" s="196"/>
      <c r="B854" s="316"/>
      <c r="C854" s="235"/>
    </row>
    <row r="855">
      <c r="A855" s="196"/>
      <c r="B855" s="316"/>
      <c r="C855" s="235"/>
    </row>
    <row r="856">
      <c r="A856" s="196"/>
      <c r="B856" s="316"/>
      <c r="C856" s="235"/>
    </row>
    <row r="857">
      <c r="A857" s="196"/>
      <c r="B857" s="316"/>
      <c r="C857" s="235"/>
    </row>
    <row r="858">
      <c r="A858" s="196"/>
      <c r="B858" s="316"/>
      <c r="C858" s="235"/>
    </row>
    <row r="859">
      <c r="A859" s="196"/>
      <c r="B859" s="316"/>
      <c r="C859" s="235"/>
    </row>
    <row r="860">
      <c r="A860" s="196"/>
      <c r="B860" s="316"/>
      <c r="C860" s="235"/>
    </row>
    <row r="861">
      <c r="A861" s="196"/>
      <c r="B861" s="316"/>
      <c r="C861" s="235"/>
    </row>
    <row r="862">
      <c r="A862" s="196"/>
      <c r="B862" s="316"/>
      <c r="C862" s="235"/>
    </row>
    <row r="863">
      <c r="A863" s="196"/>
      <c r="B863" s="316"/>
      <c r="C863" s="235"/>
    </row>
    <row r="864">
      <c r="A864" s="196"/>
      <c r="B864" s="316"/>
      <c r="C864" s="235"/>
    </row>
    <row r="865">
      <c r="A865" s="196"/>
      <c r="B865" s="316"/>
      <c r="C865" s="235"/>
    </row>
    <row r="866">
      <c r="A866" s="196"/>
      <c r="B866" s="316"/>
      <c r="C866" s="235"/>
    </row>
    <row r="867">
      <c r="A867" s="196"/>
      <c r="B867" s="316"/>
      <c r="C867" s="235"/>
    </row>
    <row r="868">
      <c r="A868" s="196"/>
      <c r="B868" s="316"/>
      <c r="C868" s="235"/>
    </row>
    <row r="869">
      <c r="A869" s="196"/>
      <c r="B869" s="316"/>
      <c r="C869" s="235"/>
    </row>
    <row r="870">
      <c r="A870" s="196"/>
      <c r="B870" s="316"/>
      <c r="C870" s="235"/>
    </row>
    <row r="871">
      <c r="A871" s="196"/>
      <c r="B871" s="316"/>
      <c r="C871" s="235"/>
    </row>
    <row r="872">
      <c r="A872" s="196"/>
      <c r="B872" s="316"/>
      <c r="C872" s="235"/>
    </row>
    <row r="873">
      <c r="A873" s="196"/>
      <c r="B873" s="316"/>
      <c r="C873" s="235"/>
    </row>
    <row r="874">
      <c r="A874" s="196"/>
      <c r="B874" s="316"/>
      <c r="C874" s="235"/>
    </row>
    <row r="875">
      <c r="A875" s="196"/>
      <c r="B875" s="316"/>
      <c r="C875" s="235"/>
    </row>
    <row r="876">
      <c r="A876" s="196"/>
      <c r="B876" s="316"/>
      <c r="C876" s="235"/>
    </row>
    <row r="877">
      <c r="A877" s="196"/>
      <c r="B877" s="316"/>
      <c r="C877" s="235"/>
    </row>
    <row r="878">
      <c r="A878" s="196"/>
      <c r="B878" s="316"/>
      <c r="C878" s="235"/>
    </row>
    <row r="879">
      <c r="A879" s="196"/>
      <c r="B879" s="316"/>
      <c r="C879" s="235"/>
    </row>
    <row r="880">
      <c r="A880" s="196"/>
      <c r="B880" s="316"/>
      <c r="C880" s="235"/>
    </row>
    <row r="881">
      <c r="A881" s="196"/>
      <c r="B881" s="316"/>
      <c r="C881" s="235"/>
    </row>
    <row r="882">
      <c r="A882" s="196"/>
      <c r="B882" s="316"/>
      <c r="C882" s="235"/>
    </row>
    <row r="883">
      <c r="A883" s="196"/>
      <c r="B883" s="316"/>
      <c r="C883" s="235"/>
    </row>
    <row r="884">
      <c r="A884" s="196"/>
      <c r="B884" s="316"/>
      <c r="C884" s="235"/>
    </row>
    <row r="885">
      <c r="A885" s="196"/>
      <c r="B885" s="316"/>
      <c r="C885" s="235"/>
    </row>
    <row r="886">
      <c r="A886" s="196"/>
      <c r="B886" s="316"/>
      <c r="C886" s="235"/>
    </row>
    <row r="887">
      <c r="A887" s="196"/>
      <c r="B887" s="316"/>
      <c r="C887" s="235"/>
    </row>
    <row r="888">
      <c r="A888" s="196"/>
      <c r="B888" s="316"/>
      <c r="C888" s="235"/>
    </row>
    <row r="889">
      <c r="A889" s="196"/>
      <c r="B889" s="316"/>
      <c r="C889" s="235"/>
    </row>
    <row r="890">
      <c r="A890" s="196"/>
      <c r="B890" s="316"/>
      <c r="C890" s="235"/>
    </row>
    <row r="891">
      <c r="A891" s="196"/>
      <c r="B891" s="316"/>
      <c r="C891" s="235"/>
    </row>
    <row r="892">
      <c r="A892" s="196"/>
      <c r="B892" s="316"/>
      <c r="C892" s="235"/>
    </row>
    <row r="893">
      <c r="A893" s="196"/>
      <c r="B893" s="316"/>
      <c r="C893" s="235"/>
    </row>
    <row r="894">
      <c r="A894" s="196"/>
      <c r="B894" s="316"/>
      <c r="C894" s="235"/>
    </row>
    <row r="895">
      <c r="A895" s="196"/>
      <c r="B895" s="316"/>
      <c r="C895" s="235"/>
    </row>
    <row r="896">
      <c r="A896" s="196"/>
      <c r="B896" s="316"/>
      <c r="C896" s="235"/>
    </row>
    <row r="897">
      <c r="A897" s="196"/>
      <c r="B897" s="316"/>
      <c r="C897" s="235"/>
    </row>
    <row r="898">
      <c r="A898" s="196"/>
      <c r="B898" s="316"/>
      <c r="C898" s="235"/>
    </row>
    <row r="899">
      <c r="A899" s="196"/>
      <c r="B899" s="316"/>
      <c r="C899" s="235"/>
    </row>
    <row r="900">
      <c r="A900" s="196"/>
      <c r="B900" s="316"/>
      <c r="C900" s="235"/>
    </row>
    <row r="901">
      <c r="A901" s="196"/>
      <c r="B901" s="316"/>
      <c r="C901" s="235"/>
    </row>
    <row r="902">
      <c r="A902" s="196"/>
      <c r="B902" s="316"/>
      <c r="C902" s="235"/>
    </row>
    <row r="903">
      <c r="A903" s="196"/>
      <c r="B903" s="316"/>
      <c r="C903" s="235"/>
    </row>
    <row r="904">
      <c r="A904" s="196"/>
      <c r="B904" s="316"/>
      <c r="C904" s="235"/>
    </row>
    <row r="905">
      <c r="A905" s="196"/>
      <c r="B905" s="316"/>
      <c r="C905" s="235"/>
    </row>
    <row r="906">
      <c r="A906" s="196"/>
      <c r="B906" s="316"/>
      <c r="C906" s="235"/>
    </row>
    <row r="907">
      <c r="A907" s="196"/>
      <c r="B907" s="316"/>
      <c r="C907" s="235"/>
    </row>
    <row r="908">
      <c r="A908" s="196"/>
      <c r="B908" s="316"/>
      <c r="C908" s="235"/>
    </row>
    <row r="909">
      <c r="A909" s="196"/>
      <c r="B909" s="316"/>
      <c r="C909" s="235"/>
    </row>
    <row r="910">
      <c r="A910" s="196"/>
      <c r="B910" s="316"/>
      <c r="C910" s="235"/>
    </row>
    <row r="911">
      <c r="A911" s="196"/>
      <c r="B911" s="316"/>
      <c r="C911" s="235"/>
    </row>
    <row r="912">
      <c r="A912" s="196"/>
      <c r="B912" s="316"/>
      <c r="C912" s="235"/>
    </row>
    <row r="913">
      <c r="A913" s="196"/>
      <c r="B913" s="316"/>
      <c r="C913" s="235"/>
    </row>
    <row r="914">
      <c r="A914" s="196"/>
      <c r="B914" s="316"/>
      <c r="C914" s="235"/>
    </row>
    <row r="915">
      <c r="A915" s="196"/>
      <c r="B915" s="316"/>
      <c r="C915" s="235"/>
    </row>
    <row r="916">
      <c r="A916" s="196"/>
      <c r="B916" s="316"/>
      <c r="C916" s="235"/>
    </row>
    <row r="917">
      <c r="A917" s="196"/>
      <c r="B917" s="316"/>
      <c r="C917" s="235"/>
    </row>
    <row r="918">
      <c r="A918" s="196"/>
      <c r="B918" s="316"/>
      <c r="C918" s="235"/>
    </row>
    <row r="919">
      <c r="A919" s="196"/>
      <c r="B919" s="316"/>
      <c r="C919" s="235"/>
    </row>
    <row r="920">
      <c r="A920" s="196"/>
      <c r="B920" s="316"/>
      <c r="C920" s="235"/>
    </row>
    <row r="921">
      <c r="A921" s="196"/>
      <c r="B921" s="316"/>
      <c r="C921" s="235"/>
    </row>
    <row r="922">
      <c r="A922" s="196"/>
      <c r="B922" s="316"/>
      <c r="C922" s="235"/>
    </row>
    <row r="923">
      <c r="A923" s="196"/>
      <c r="B923" s="316"/>
      <c r="C923" s="235"/>
    </row>
    <row r="924">
      <c r="A924" s="196"/>
      <c r="B924" s="316"/>
      <c r="C924" s="235"/>
    </row>
    <row r="925">
      <c r="A925" s="196"/>
      <c r="B925" s="316"/>
      <c r="C925" s="235"/>
    </row>
    <row r="926">
      <c r="A926" s="196"/>
      <c r="B926" s="316"/>
      <c r="C926" s="235"/>
    </row>
    <row r="927">
      <c r="A927" s="196"/>
      <c r="B927" s="316"/>
      <c r="C927" s="235"/>
    </row>
    <row r="928">
      <c r="A928" s="196"/>
      <c r="B928" s="316"/>
      <c r="C928" s="235"/>
    </row>
    <row r="929">
      <c r="A929" s="196"/>
      <c r="B929" s="316"/>
      <c r="C929" s="235"/>
    </row>
    <row r="930">
      <c r="A930" s="196"/>
      <c r="B930" s="316"/>
      <c r="C930" s="235"/>
    </row>
    <row r="931">
      <c r="A931" s="196"/>
      <c r="B931" s="316"/>
      <c r="C931" s="235"/>
    </row>
    <row r="932">
      <c r="A932" s="196"/>
      <c r="B932" s="316"/>
      <c r="C932" s="235"/>
    </row>
    <row r="933">
      <c r="A933" s="196"/>
      <c r="B933" s="316"/>
      <c r="C933" s="235"/>
    </row>
    <row r="934">
      <c r="A934" s="196"/>
      <c r="B934" s="316"/>
      <c r="C934" s="235"/>
    </row>
    <row r="935">
      <c r="A935" s="196"/>
      <c r="B935" s="316"/>
      <c r="C935" s="235"/>
    </row>
    <row r="936">
      <c r="A936" s="196"/>
      <c r="B936" s="316"/>
      <c r="C936" s="235"/>
    </row>
    <row r="937">
      <c r="A937" s="196"/>
      <c r="B937" s="316"/>
      <c r="C937" s="235"/>
    </row>
    <row r="938">
      <c r="A938" s="196"/>
      <c r="B938" s="316"/>
      <c r="C938" s="235"/>
    </row>
    <row r="939">
      <c r="A939" s="196"/>
      <c r="B939" s="316"/>
      <c r="C939" s="235"/>
    </row>
    <row r="940">
      <c r="A940" s="196"/>
      <c r="B940" s="316"/>
      <c r="C940" s="235"/>
    </row>
    <row r="941">
      <c r="A941" s="196"/>
      <c r="B941" s="316"/>
      <c r="C941" s="235"/>
    </row>
    <row r="942">
      <c r="A942" s="196"/>
      <c r="B942" s="316"/>
      <c r="C942" s="235"/>
    </row>
    <row r="943">
      <c r="A943" s="196"/>
      <c r="B943" s="316"/>
      <c r="C943" s="235"/>
    </row>
    <row r="944">
      <c r="A944" s="196"/>
      <c r="B944" s="316"/>
      <c r="C944" s="235"/>
    </row>
    <row r="945">
      <c r="A945" s="196"/>
      <c r="B945" s="316"/>
      <c r="C945" s="235"/>
    </row>
    <row r="946">
      <c r="A946" s="196"/>
      <c r="B946" s="316"/>
      <c r="C946" s="235"/>
    </row>
    <row r="947">
      <c r="A947" s="196"/>
      <c r="B947" s="316"/>
      <c r="C947" s="235"/>
    </row>
    <row r="948">
      <c r="A948" s="196"/>
      <c r="B948" s="316"/>
      <c r="C948" s="235"/>
    </row>
    <row r="949">
      <c r="A949" s="196"/>
      <c r="B949" s="316"/>
      <c r="C949" s="235"/>
    </row>
    <row r="950">
      <c r="A950" s="196"/>
      <c r="B950" s="316"/>
      <c r="C950" s="235"/>
    </row>
    <row r="951">
      <c r="A951" s="196"/>
      <c r="B951" s="316"/>
      <c r="C951" s="235"/>
    </row>
    <row r="952">
      <c r="A952" s="196"/>
      <c r="B952" s="316"/>
      <c r="C952" s="235"/>
    </row>
    <row r="953">
      <c r="A953" s="196"/>
      <c r="B953" s="316"/>
      <c r="C953" s="235"/>
    </row>
    <row r="954">
      <c r="A954" s="196"/>
      <c r="B954" s="316"/>
      <c r="C954" s="235"/>
    </row>
    <row r="955">
      <c r="A955" s="196"/>
      <c r="B955" s="316"/>
      <c r="C955" s="235"/>
    </row>
    <row r="956">
      <c r="A956" s="196"/>
      <c r="B956" s="316"/>
      <c r="C956" s="235"/>
    </row>
    <row r="957">
      <c r="A957" s="196"/>
      <c r="B957" s="316"/>
      <c r="C957" s="235"/>
    </row>
    <row r="958">
      <c r="A958" s="196"/>
      <c r="B958" s="316"/>
      <c r="C958" s="235"/>
    </row>
    <row r="959">
      <c r="A959" s="196"/>
      <c r="B959" s="316"/>
      <c r="C959" s="235"/>
    </row>
    <row r="960">
      <c r="A960" s="196"/>
      <c r="B960" s="316"/>
      <c r="C960" s="235"/>
    </row>
    <row r="961">
      <c r="A961" s="196"/>
      <c r="B961" s="316"/>
      <c r="C961" s="235"/>
    </row>
    <row r="962">
      <c r="A962" s="196"/>
      <c r="B962" s="316"/>
      <c r="C962" s="235"/>
    </row>
    <row r="963">
      <c r="A963" s="196"/>
      <c r="B963" s="316"/>
      <c r="C963" s="235"/>
    </row>
    <row r="964">
      <c r="A964" s="196"/>
      <c r="B964" s="316"/>
      <c r="C964" s="235"/>
    </row>
    <row r="965">
      <c r="A965" s="196"/>
      <c r="B965" s="316"/>
      <c r="C965" s="235"/>
    </row>
    <row r="966">
      <c r="A966" s="196"/>
      <c r="B966" s="316"/>
      <c r="C966" s="235"/>
    </row>
    <row r="967">
      <c r="A967" s="196"/>
      <c r="B967" s="316"/>
      <c r="C967" s="235"/>
    </row>
    <row r="968">
      <c r="A968" s="196"/>
      <c r="B968" s="316"/>
      <c r="C968" s="235"/>
    </row>
    <row r="969">
      <c r="A969" s="196"/>
      <c r="B969" s="316"/>
      <c r="C969" s="235"/>
    </row>
    <row r="970">
      <c r="A970" s="196"/>
      <c r="B970" s="316"/>
      <c r="C970" s="235"/>
    </row>
    <row r="971">
      <c r="A971" s="196"/>
      <c r="B971" s="316"/>
      <c r="C971" s="235"/>
    </row>
    <row r="972">
      <c r="A972" s="196"/>
      <c r="B972" s="316"/>
      <c r="C972" s="235"/>
    </row>
    <row r="973">
      <c r="A973" s="196"/>
      <c r="B973" s="316"/>
      <c r="C973" s="235"/>
    </row>
    <row r="974">
      <c r="A974" s="196"/>
      <c r="B974" s="316"/>
      <c r="C974" s="235"/>
    </row>
    <row r="975">
      <c r="A975" s="196"/>
      <c r="B975" s="316"/>
      <c r="C975" s="235"/>
    </row>
    <row r="976">
      <c r="A976" s="196"/>
      <c r="B976" s="316"/>
      <c r="C976" s="235"/>
    </row>
    <row r="977">
      <c r="A977" s="196"/>
      <c r="B977" s="316"/>
      <c r="C977" s="235"/>
    </row>
    <row r="978">
      <c r="A978" s="196"/>
      <c r="B978" s="316"/>
      <c r="C978" s="235"/>
    </row>
    <row r="979">
      <c r="A979" s="196"/>
      <c r="B979" s="316"/>
      <c r="C979" s="235"/>
    </row>
    <row r="980">
      <c r="A980" s="196"/>
      <c r="B980" s="316"/>
      <c r="C980" s="235"/>
    </row>
    <row r="981">
      <c r="A981" s="196"/>
      <c r="B981" s="316"/>
      <c r="C981" s="235"/>
    </row>
    <row r="982">
      <c r="A982" s="196"/>
      <c r="B982" s="316"/>
      <c r="C982" s="235"/>
    </row>
    <row r="983">
      <c r="A983" s="196"/>
      <c r="B983" s="316"/>
      <c r="C983" s="235"/>
    </row>
    <row r="984">
      <c r="A984" s="196"/>
      <c r="B984" s="316"/>
      <c r="C984" s="235"/>
    </row>
    <row r="985">
      <c r="A985" s="196"/>
      <c r="B985" s="316"/>
      <c r="C985" s="235"/>
    </row>
    <row r="986">
      <c r="A986" s="196"/>
      <c r="B986" s="316"/>
      <c r="C986" s="235"/>
    </row>
    <row r="987">
      <c r="A987" s="196"/>
      <c r="B987" s="316"/>
      <c r="C987" s="235"/>
    </row>
    <row r="988">
      <c r="A988" s="196"/>
      <c r="B988" s="316"/>
      <c r="C988" s="235"/>
    </row>
    <row r="989">
      <c r="A989" s="196"/>
      <c r="B989" s="316"/>
      <c r="C989" s="235"/>
    </row>
    <row r="990">
      <c r="A990" s="196"/>
      <c r="B990" s="316"/>
      <c r="C990" s="235"/>
    </row>
    <row r="991">
      <c r="A991" s="196"/>
      <c r="B991" s="316"/>
      <c r="C991" s="235"/>
    </row>
    <row r="992">
      <c r="A992" s="196"/>
      <c r="B992" s="316"/>
      <c r="C992" s="235"/>
    </row>
    <row r="993">
      <c r="A993" s="196"/>
      <c r="B993" s="316"/>
      <c r="C993" s="235"/>
    </row>
    <row r="994">
      <c r="A994" s="196"/>
      <c r="B994" s="316"/>
      <c r="C994" s="235"/>
    </row>
    <row r="995">
      <c r="A995" s="196"/>
      <c r="B995" s="316"/>
      <c r="C995" s="235"/>
    </row>
    <row r="996">
      <c r="A996" s="196"/>
      <c r="B996" s="316"/>
      <c r="C996" s="235"/>
    </row>
    <row r="997">
      <c r="A997" s="196"/>
      <c r="B997" s="316"/>
      <c r="C997" s="235"/>
    </row>
    <row r="998">
      <c r="A998" s="196"/>
      <c r="B998" s="316"/>
      <c r="C998" s="235"/>
    </row>
    <row r="999">
      <c r="A999" s="196"/>
      <c r="B999" s="316"/>
      <c r="C999" s="235"/>
    </row>
    <row r="1000">
      <c r="A1000" s="196"/>
      <c r="B1000" s="316"/>
      <c r="C1000" s="235"/>
    </row>
  </sheetData>
  <conditionalFormatting sqref="C2:C143">
    <cfRule type="cellIs" dxfId="5" priority="1" operator="equal">
      <formula>"Recommended"</formula>
    </cfRule>
  </conditionalFormatting>
  <conditionalFormatting sqref="C2:C143">
    <cfRule type="cellIs" dxfId="6" priority="2" operator="equal">
      <formula>"Strongly Recommended"</formula>
    </cfRule>
  </conditionalFormatting>
  <conditionalFormatting sqref="C2:C143">
    <cfRule type="cellIs" dxfId="7" priority="3" operator="equal">
      <formula>"Not Recommended"</formula>
    </cfRule>
  </conditionalFormatting>
  <conditionalFormatting sqref="C2:C143">
    <cfRule type="cellIs" dxfId="8" priority="4" operator="equal">
      <formula>"Acceptable"</formula>
    </cfRule>
  </conditionalFormatting>
  <conditionalFormatting sqref="C2:C143">
    <cfRule type="cellIs" dxfId="9" priority="5" operator="equal">
      <formula>"Acceptable w/ some Reservation"</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13"/>
    <col customWidth="1" min="2" max="2" width="10.5"/>
    <col customWidth="1" min="3" max="3" width="22.0"/>
  </cols>
  <sheetData>
    <row r="1" ht="30.75" customHeight="1">
      <c r="A1" s="317" t="s">
        <v>5</v>
      </c>
    </row>
    <row r="2">
      <c r="A2" s="311" t="s">
        <v>2885</v>
      </c>
    </row>
    <row r="3">
      <c r="A3" s="311" t="s">
        <v>2886</v>
      </c>
    </row>
    <row r="4">
      <c r="A4" s="311"/>
      <c r="B4" s="266"/>
    </row>
    <row r="5">
      <c r="A5" s="318" t="s">
        <v>190</v>
      </c>
      <c r="B5" s="319" t="s">
        <v>2883</v>
      </c>
      <c r="C5" s="320" t="s">
        <v>2884</v>
      </c>
    </row>
    <row r="6">
      <c r="A6" s="321" t="s">
        <v>625</v>
      </c>
      <c r="B6" s="322">
        <v>4.9</v>
      </c>
      <c r="C6" s="321" t="s">
        <v>2887</v>
      </c>
    </row>
    <row r="7">
      <c r="A7" s="321" t="s">
        <v>1140</v>
      </c>
      <c r="B7" s="322">
        <v>4.94</v>
      </c>
      <c r="C7" s="321" t="s">
        <v>2887</v>
      </c>
    </row>
    <row r="8">
      <c r="A8" s="321" t="s">
        <v>254</v>
      </c>
      <c r="B8" s="322">
        <v>4.96</v>
      </c>
      <c r="C8" s="321" t="s">
        <v>2887</v>
      </c>
    </row>
    <row r="9">
      <c r="A9" s="321" t="s">
        <v>487</v>
      </c>
      <c r="B9" s="322">
        <v>4.42</v>
      </c>
      <c r="C9" s="321" t="s">
        <v>2888</v>
      </c>
    </row>
    <row r="10">
      <c r="A10" s="321" t="s">
        <v>979</v>
      </c>
      <c r="B10" s="322">
        <v>4.42</v>
      </c>
      <c r="C10" s="321" t="s">
        <v>2888</v>
      </c>
    </row>
    <row r="11">
      <c r="A11" s="321" t="s">
        <v>1434</v>
      </c>
      <c r="B11" s="322">
        <v>4.58</v>
      </c>
      <c r="C11" s="321" t="s">
        <v>2887</v>
      </c>
    </row>
    <row r="12">
      <c r="A12" s="321" t="s">
        <v>806</v>
      </c>
      <c r="B12" s="322">
        <v>4.94</v>
      </c>
      <c r="C12" s="321" t="s">
        <v>2887</v>
      </c>
    </row>
    <row r="13">
      <c r="A13" s="321" t="s">
        <v>51</v>
      </c>
      <c r="B13" s="322">
        <v>4.84</v>
      </c>
      <c r="C13" s="321" t="s">
        <v>2887</v>
      </c>
    </row>
    <row r="14">
      <c r="A14" s="321" t="s">
        <v>397</v>
      </c>
      <c r="B14" s="322">
        <v>4.49</v>
      </c>
      <c r="C14" s="321" t="s">
        <v>2888</v>
      </c>
    </row>
    <row r="15">
      <c r="A15" s="321" t="s">
        <v>185</v>
      </c>
      <c r="B15" s="322">
        <v>4.42</v>
      </c>
      <c r="C15" s="321" t="s">
        <v>2888</v>
      </c>
    </row>
    <row r="16">
      <c r="A16" s="321" t="s">
        <v>1519</v>
      </c>
      <c r="B16" s="322">
        <v>4.58</v>
      </c>
      <c r="C16" s="321" t="s">
        <v>2887</v>
      </c>
    </row>
    <row r="17">
      <c r="A17" s="321" t="s">
        <v>225</v>
      </c>
      <c r="B17" s="322">
        <v>5.0</v>
      </c>
      <c r="C17" s="321" t="s">
        <v>2887</v>
      </c>
    </row>
    <row r="18">
      <c r="A18" s="321" t="s">
        <v>408</v>
      </c>
      <c r="B18" s="322">
        <v>3.87</v>
      </c>
      <c r="C18" s="321" t="s">
        <v>2889</v>
      </c>
    </row>
    <row r="19">
      <c r="A19" s="321" t="s">
        <v>1955</v>
      </c>
      <c r="B19" s="322">
        <v>4.15</v>
      </c>
      <c r="C19" s="321" t="s">
        <v>2888</v>
      </c>
    </row>
    <row r="20">
      <c r="A20" s="321" t="s">
        <v>113</v>
      </c>
      <c r="B20" s="322">
        <v>4.88</v>
      </c>
      <c r="C20" s="321" t="s">
        <v>2887</v>
      </c>
    </row>
    <row r="21">
      <c r="A21" s="321" t="s">
        <v>557</v>
      </c>
      <c r="B21" s="322">
        <v>5.0</v>
      </c>
      <c r="C21" s="321" t="s">
        <v>2887</v>
      </c>
    </row>
    <row r="22">
      <c r="A22" s="321" t="s">
        <v>646</v>
      </c>
      <c r="B22" s="322">
        <v>4.77</v>
      </c>
      <c r="C22" s="321" t="s">
        <v>2887</v>
      </c>
    </row>
    <row r="23">
      <c r="A23" s="321" t="s">
        <v>295</v>
      </c>
      <c r="B23" s="322">
        <v>4.53</v>
      </c>
      <c r="C23" s="321" t="s">
        <v>2887</v>
      </c>
    </row>
    <row r="24">
      <c r="A24" s="321" t="s">
        <v>265</v>
      </c>
      <c r="B24" s="322">
        <v>4.52</v>
      </c>
      <c r="C24" s="321" t="s">
        <v>2887</v>
      </c>
    </row>
    <row r="25">
      <c r="A25" s="321" t="s">
        <v>1977</v>
      </c>
      <c r="B25" s="322">
        <v>4.88</v>
      </c>
      <c r="C25" s="321" t="s">
        <v>2887</v>
      </c>
    </row>
    <row r="26">
      <c r="A26" s="321" t="s">
        <v>360</v>
      </c>
      <c r="B26" s="322">
        <v>4.88</v>
      </c>
      <c r="C26" s="321" t="s">
        <v>2887</v>
      </c>
    </row>
    <row r="27">
      <c r="A27" s="321" t="s">
        <v>87</v>
      </c>
      <c r="B27" s="322">
        <v>4.86</v>
      </c>
      <c r="C27" s="321" t="s">
        <v>2887</v>
      </c>
    </row>
    <row r="28">
      <c r="A28" s="321" t="s">
        <v>1986</v>
      </c>
      <c r="B28" s="322">
        <v>4.83</v>
      </c>
      <c r="C28" s="321" t="s">
        <v>2887</v>
      </c>
    </row>
    <row r="29">
      <c r="A29" s="321" t="s">
        <v>522</v>
      </c>
      <c r="B29" s="322">
        <v>4.71</v>
      </c>
      <c r="C29" s="321" t="s">
        <v>2887</v>
      </c>
    </row>
    <row r="30">
      <c r="A30" s="321" t="s">
        <v>427</v>
      </c>
      <c r="B30" s="322">
        <v>4.8</v>
      </c>
      <c r="C30" s="321" t="s">
        <v>2887</v>
      </c>
    </row>
    <row r="31">
      <c r="A31" s="321" t="s">
        <v>380</v>
      </c>
      <c r="B31" s="322">
        <v>4.88</v>
      </c>
      <c r="C31" s="321" t="s">
        <v>2887</v>
      </c>
    </row>
    <row r="32">
      <c r="A32" s="321" t="s">
        <v>125</v>
      </c>
      <c r="B32" s="322">
        <v>5.0</v>
      </c>
      <c r="C32" s="321" t="s">
        <v>2887</v>
      </c>
    </row>
    <row r="33">
      <c r="A33" s="321" t="s">
        <v>326</v>
      </c>
      <c r="B33" s="322">
        <v>4.99</v>
      </c>
      <c r="C33" s="321" t="s">
        <v>2887</v>
      </c>
    </row>
    <row r="34">
      <c r="A34" s="321" t="s">
        <v>1417</v>
      </c>
      <c r="B34" s="322">
        <v>4.28</v>
      </c>
      <c r="C34" s="321" t="s">
        <v>2888</v>
      </c>
    </row>
    <row r="35">
      <c r="A35" s="321" t="s">
        <v>1726</v>
      </c>
      <c r="B35" s="322">
        <v>4.83</v>
      </c>
      <c r="C35" s="321" t="s">
        <v>2887</v>
      </c>
    </row>
    <row r="36">
      <c r="A36" s="321" t="s">
        <v>2097</v>
      </c>
      <c r="B36" s="322">
        <v>4.07</v>
      </c>
      <c r="C36" s="321" t="s">
        <v>2888</v>
      </c>
    </row>
    <row r="37">
      <c r="A37" s="321" t="s">
        <v>602</v>
      </c>
      <c r="B37" s="322">
        <v>4.65</v>
      </c>
      <c r="C37" s="321" t="s">
        <v>2887</v>
      </c>
    </row>
    <row r="38">
      <c r="A38" s="321" t="s">
        <v>2146</v>
      </c>
      <c r="B38" s="322">
        <v>5.0</v>
      </c>
      <c r="C38" s="321" t="s">
        <v>2887</v>
      </c>
    </row>
    <row r="39">
      <c r="A39" s="321" t="s">
        <v>154</v>
      </c>
      <c r="B39" s="322">
        <v>4.94</v>
      </c>
      <c r="C39" s="321" t="s">
        <v>2887</v>
      </c>
    </row>
    <row r="40">
      <c r="A40" s="321" t="s">
        <v>2890</v>
      </c>
      <c r="B40" s="322">
        <v>4.87</v>
      </c>
      <c r="C40" s="321" t="s">
        <v>2887</v>
      </c>
    </row>
    <row r="41">
      <c r="A41" s="321" t="s">
        <v>2148</v>
      </c>
      <c r="B41" s="322">
        <v>4.91</v>
      </c>
      <c r="C41" s="321" t="s">
        <v>2887</v>
      </c>
    </row>
    <row r="42">
      <c r="A42" s="321" t="s">
        <v>194</v>
      </c>
      <c r="B42" s="322">
        <v>4.84</v>
      </c>
      <c r="C42" s="321" t="s">
        <v>2887</v>
      </c>
    </row>
    <row r="43">
      <c r="A43" s="321" t="s">
        <v>871</v>
      </c>
      <c r="B43" s="322">
        <v>4.58</v>
      </c>
      <c r="C43" s="321" t="s">
        <v>2887</v>
      </c>
    </row>
    <row r="44">
      <c r="A44" s="321" t="s">
        <v>2164</v>
      </c>
      <c r="B44" s="322">
        <v>3.0</v>
      </c>
      <c r="C44" s="321" t="s">
        <v>2891</v>
      </c>
    </row>
    <row r="45">
      <c r="A45" s="321" t="s">
        <v>2167</v>
      </c>
      <c r="B45" s="322">
        <v>4.67</v>
      </c>
      <c r="C45" s="321" t="s">
        <v>2887</v>
      </c>
    </row>
    <row r="46">
      <c r="A46" s="321" t="s">
        <v>767</v>
      </c>
      <c r="B46" s="322">
        <v>4.95</v>
      </c>
      <c r="C46" s="321" t="s">
        <v>2887</v>
      </c>
    </row>
    <row r="47">
      <c r="A47" s="321" t="s">
        <v>2175</v>
      </c>
      <c r="B47" s="322">
        <v>4.91</v>
      </c>
      <c r="C47" s="321" t="s">
        <v>2887</v>
      </c>
    </row>
    <row r="48">
      <c r="A48" s="321" t="s">
        <v>61</v>
      </c>
      <c r="B48" s="322">
        <v>5.0</v>
      </c>
      <c r="C48" s="321" t="s">
        <v>2887</v>
      </c>
    </row>
    <row r="49">
      <c r="A49" s="321" t="s">
        <v>340</v>
      </c>
      <c r="B49" s="322">
        <v>4.97</v>
      </c>
      <c r="C49" s="321" t="s">
        <v>2887</v>
      </c>
    </row>
    <row r="50">
      <c r="A50" s="321" t="s">
        <v>2176</v>
      </c>
      <c r="B50" s="322">
        <v>4.97</v>
      </c>
      <c r="C50" s="321" t="s">
        <v>2887</v>
      </c>
    </row>
    <row r="51">
      <c r="A51" s="321" t="s">
        <v>2179</v>
      </c>
      <c r="B51" s="322">
        <v>4.63</v>
      </c>
      <c r="C51" s="321" t="s">
        <v>2887</v>
      </c>
    </row>
    <row r="52">
      <c r="A52" s="321" t="s">
        <v>2080</v>
      </c>
      <c r="B52" s="322">
        <v>4.37</v>
      </c>
      <c r="C52" s="321" t="s">
        <v>2888</v>
      </c>
    </row>
    <row r="53">
      <c r="A53" s="321" t="s">
        <v>312</v>
      </c>
      <c r="B53" s="322">
        <v>4.95</v>
      </c>
      <c r="C53" s="321" t="s">
        <v>2887</v>
      </c>
    </row>
    <row r="54">
      <c r="A54" s="321" t="s">
        <v>2892</v>
      </c>
      <c r="B54" s="322">
        <v>4.49</v>
      </c>
      <c r="C54" s="321" t="s">
        <v>2888</v>
      </c>
    </row>
    <row r="55">
      <c r="A55" s="321" t="s">
        <v>94</v>
      </c>
      <c r="B55" s="322">
        <v>4.95</v>
      </c>
      <c r="C55" s="321" t="s">
        <v>2887</v>
      </c>
    </row>
    <row r="56">
      <c r="A56" s="321" t="s">
        <v>2185</v>
      </c>
      <c r="B56" s="322">
        <v>4.76</v>
      </c>
      <c r="C56" s="321" t="s">
        <v>2887</v>
      </c>
    </row>
    <row r="57">
      <c r="A57" s="321" t="s">
        <v>2002</v>
      </c>
      <c r="B57" s="322">
        <v>5.0</v>
      </c>
      <c r="C57" s="321" t="s">
        <v>2887</v>
      </c>
    </row>
    <row r="58">
      <c r="A58" s="321" t="s">
        <v>2190</v>
      </c>
      <c r="B58" s="322">
        <v>4.97</v>
      </c>
      <c r="C58" s="321" t="s">
        <v>2887</v>
      </c>
    </row>
    <row r="59">
      <c r="A59" s="321" t="s">
        <v>1054</v>
      </c>
      <c r="B59" s="322">
        <v>5.0</v>
      </c>
      <c r="C59" s="321" t="s">
        <v>2887</v>
      </c>
    </row>
    <row r="60">
      <c r="A60" s="321" t="s">
        <v>1547</v>
      </c>
      <c r="B60" s="322">
        <v>5.0</v>
      </c>
      <c r="C60" s="321" t="s">
        <v>2887</v>
      </c>
    </row>
    <row r="61">
      <c r="A61" s="321" t="s">
        <v>2193</v>
      </c>
      <c r="B61" s="322">
        <v>5.0</v>
      </c>
      <c r="C61" s="321" t="s">
        <v>2887</v>
      </c>
    </row>
    <row r="62">
      <c r="A62" s="321" t="s">
        <v>1212</v>
      </c>
      <c r="B62" s="322">
        <v>4.84</v>
      </c>
      <c r="C62" s="321" t="s">
        <v>2887</v>
      </c>
    </row>
    <row r="63">
      <c r="A63" s="321" t="s">
        <v>2196</v>
      </c>
      <c r="B63" s="322">
        <v>4.8</v>
      </c>
      <c r="C63" s="321" t="s">
        <v>2887</v>
      </c>
    </row>
    <row r="64">
      <c r="A64" s="321" t="s">
        <v>193</v>
      </c>
      <c r="B64" s="322">
        <v>5.0</v>
      </c>
      <c r="C64" s="321" t="s">
        <v>2887</v>
      </c>
    </row>
    <row r="65">
      <c r="A65" s="321" t="s">
        <v>141</v>
      </c>
      <c r="B65" s="322">
        <v>4.67</v>
      </c>
      <c r="C65" s="321" t="s">
        <v>2887</v>
      </c>
    </row>
    <row r="66">
      <c r="A66" s="321" t="s">
        <v>219</v>
      </c>
      <c r="B66" s="322">
        <v>4.73</v>
      </c>
      <c r="C66" s="321" t="s">
        <v>2887</v>
      </c>
    </row>
    <row r="67">
      <c r="A67" s="321" t="s">
        <v>2141</v>
      </c>
      <c r="B67" s="322">
        <v>4.8</v>
      </c>
      <c r="C67" s="321" t="s">
        <v>2887</v>
      </c>
    </row>
    <row r="68">
      <c r="A68" s="321" t="s">
        <v>1184</v>
      </c>
      <c r="B68" s="322">
        <v>5.0</v>
      </c>
      <c r="C68" s="321" t="s">
        <v>2887</v>
      </c>
    </row>
    <row r="70">
      <c r="A70" s="323" t="s">
        <v>2887</v>
      </c>
      <c r="B70" s="324">
        <v>52.0</v>
      </c>
    </row>
    <row r="71">
      <c r="A71" s="323" t="s">
        <v>2888</v>
      </c>
      <c r="B71" s="324">
        <v>9.0</v>
      </c>
    </row>
    <row r="72">
      <c r="A72" s="323" t="s">
        <v>2889</v>
      </c>
      <c r="B72" s="324">
        <v>1.0</v>
      </c>
    </row>
    <row r="73">
      <c r="A73" s="323" t="s">
        <v>2893</v>
      </c>
      <c r="B73" s="324">
        <v>1.0</v>
      </c>
    </row>
  </sheetData>
  <mergeCells count="3">
    <mergeCell ref="A1:C1"/>
    <mergeCell ref="A2:C2"/>
    <mergeCell ref="A3:C3"/>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0"/>
    <col customWidth="1" min="2" max="2" width="20.5"/>
    <col customWidth="1" min="3" max="3" width="33.13"/>
    <col customWidth="1" min="4" max="4" width="27.88"/>
    <col customWidth="1" min="5" max="5" width="25.38"/>
    <col customWidth="1" min="6" max="6" width="32.88"/>
    <col customWidth="1" min="7" max="7" width="18.88"/>
    <col customWidth="1" min="8" max="8" width="26.25"/>
    <col customWidth="1" min="9" max="9" width="21.63"/>
  </cols>
  <sheetData>
    <row r="1">
      <c r="A1" s="266" t="s">
        <v>187</v>
      </c>
      <c r="B1" s="266" t="s">
        <v>2894</v>
      </c>
      <c r="C1" s="311" t="s">
        <v>2895</v>
      </c>
      <c r="D1" s="311" t="s">
        <v>190</v>
      </c>
      <c r="E1" s="266" t="s">
        <v>2896</v>
      </c>
      <c r="F1" s="266" t="s">
        <v>2897</v>
      </c>
      <c r="G1" s="266" t="s">
        <v>2898</v>
      </c>
      <c r="H1" s="266" t="s">
        <v>2899</v>
      </c>
      <c r="I1" s="266" t="s">
        <v>2900</v>
      </c>
      <c r="J1" s="235"/>
      <c r="K1" s="235"/>
      <c r="L1" s="235"/>
      <c r="M1" s="235"/>
      <c r="N1" s="235"/>
      <c r="O1" s="235"/>
      <c r="P1" s="235"/>
      <c r="Q1" s="235"/>
      <c r="R1" s="235"/>
      <c r="S1" s="235"/>
      <c r="T1" s="235"/>
      <c r="U1" s="235"/>
      <c r="V1" s="235"/>
      <c r="W1" s="235"/>
      <c r="X1" s="235"/>
      <c r="Y1" s="235"/>
      <c r="Z1" s="235"/>
      <c r="AA1" s="235"/>
      <c r="AB1" s="235"/>
      <c r="AC1" s="235"/>
    </row>
    <row r="2">
      <c r="A2" s="194" t="s">
        <v>825</v>
      </c>
      <c r="B2" s="194">
        <v>102831.0</v>
      </c>
      <c r="C2" s="192" t="s">
        <v>826</v>
      </c>
      <c r="D2" s="192" t="s">
        <v>110</v>
      </c>
      <c r="E2" s="235"/>
      <c r="F2" s="235"/>
      <c r="G2" s="235"/>
      <c r="H2" s="235"/>
      <c r="I2" s="235"/>
      <c r="J2" s="235"/>
      <c r="K2" s="235"/>
      <c r="L2" s="235"/>
      <c r="M2" s="235"/>
      <c r="N2" s="235"/>
      <c r="O2" s="235"/>
      <c r="P2" s="235"/>
      <c r="Q2" s="235"/>
      <c r="R2" s="235"/>
      <c r="S2" s="235"/>
      <c r="T2" s="235"/>
      <c r="U2" s="235"/>
      <c r="V2" s="235"/>
      <c r="W2" s="235"/>
      <c r="X2" s="235"/>
      <c r="Y2" s="235"/>
      <c r="Z2" s="235"/>
      <c r="AA2" s="235"/>
      <c r="AB2" s="235"/>
      <c r="AC2" s="235"/>
    </row>
    <row r="3">
      <c r="A3" s="194" t="s">
        <v>2901</v>
      </c>
      <c r="B3" s="193">
        <v>102657.0</v>
      </c>
      <c r="C3" s="192" t="s">
        <v>2902</v>
      </c>
      <c r="D3" s="192" t="s">
        <v>51</v>
      </c>
      <c r="E3" s="235"/>
      <c r="F3" s="235"/>
      <c r="G3" s="325"/>
      <c r="H3" s="235"/>
      <c r="I3" s="235"/>
      <c r="J3" s="235"/>
      <c r="K3" s="235"/>
      <c r="L3" s="235"/>
      <c r="M3" s="235"/>
      <c r="N3" s="235"/>
      <c r="O3" s="235"/>
      <c r="P3" s="235"/>
      <c r="Q3" s="235"/>
      <c r="R3" s="235"/>
      <c r="S3" s="235"/>
      <c r="T3" s="235"/>
      <c r="U3" s="235"/>
      <c r="V3" s="235"/>
      <c r="W3" s="235"/>
      <c r="X3" s="235"/>
      <c r="Y3" s="235"/>
      <c r="Z3" s="235"/>
      <c r="AA3" s="235"/>
      <c r="AB3" s="235"/>
      <c r="AC3" s="235"/>
    </row>
    <row r="4">
      <c r="A4" s="194" t="s">
        <v>2903</v>
      </c>
      <c r="B4" s="193">
        <v>102792.0</v>
      </c>
      <c r="C4" s="192" t="s">
        <v>2904</v>
      </c>
      <c r="D4" s="192" t="s">
        <v>198</v>
      </c>
      <c r="E4" s="235"/>
      <c r="F4" s="235"/>
      <c r="G4" s="325"/>
      <c r="H4" s="235"/>
      <c r="I4" s="235"/>
      <c r="J4" s="235"/>
      <c r="K4" s="235"/>
      <c r="L4" s="235"/>
      <c r="M4" s="235"/>
      <c r="N4" s="235"/>
      <c r="O4" s="235"/>
      <c r="P4" s="235"/>
      <c r="Q4" s="235"/>
      <c r="R4" s="235"/>
      <c r="S4" s="235"/>
      <c r="T4" s="235"/>
      <c r="U4" s="235"/>
      <c r="V4" s="235"/>
      <c r="W4" s="235"/>
      <c r="X4" s="235"/>
      <c r="Y4" s="235"/>
      <c r="Z4" s="235"/>
      <c r="AA4" s="235"/>
      <c r="AB4" s="235"/>
      <c r="AC4" s="235"/>
    </row>
    <row r="5">
      <c r="A5" s="194" t="s">
        <v>2905</v>
      </c>
      <c r="B5" s="193">
        <v>102679.0</v>
      </c>
      <c r="C5" s="192" t="s">
        <v>2906</v>
      </c>
      <c r="D5" s="192" t="s">
        <v>143</v>
      </c>
      <c r="E5" s="235"/>
      <c r="F5" s="235"/>
      <c r="G5" s="325"/>
      <c r="H5" s="235"/>
      <c r="I5" s="235"/>
      <c r="J5" s="235"/>
      <c r="K5" s="235"/>
      <c r="L5" s="235"/>
      <c r="M5" s="235"/>
      <c r="N5" s="235"/>
      <c r="O5" s="235"/>
      <c r="P5" s="235"/>
      <c r="Q5" s="235"/>
      <c r="R5" s="235"/>
      <c r="S5" s="235"/>
      <c r="T5" s="235"/>
      <c r="U5" s="235"/>
      <c r="V5" s="235"/>
      <c r="W5" s="235"/>
      <c r="X5" s="235"/>
      <c r="Y5" s="235"/>
      <c r="Z5" s="235"/>
      <c r="AA5" s="235"/>
      <c r="AB5" s="235"/>
      <c r="AC5" s="235"/>
    </row>
    <row r="6">
      <c r="A6" s="194" t="s">
        <v>2903</v>
      </c>
      <c r="B6" s="193">
        <v>102792.0</v>
      </c>
      <c r="C6" s="192" t="s">
        <v>2904</v>
      </c>
      <c r="D6" s="192" t="s">
        <v>198</v>
      </c>
      <c r="E6" s="235"/>
      <c r="F6" s="235"/>
      <c r="G6" s="325"/>
      <c r="H6" s="235"/>
      <c r="I6" s="235"/>
      <c r="J6" s="235"/>
      <c r="K6" s="235"/>
      <c r="L6" s="235"/>
      <c r="M6" s="235"/>
      <c r="N6" s="235"/>
      <c r="O6" s="235"/>
      <c r="P6" s="235"/>
      <c r="Q6" s="235"/>
      <c r="R6" s="235"/>
      <c r="S6" s="235"/>
      <c r="T6" s="235"/>
      <c r="U6" s="235"/>
      <c r="V6" s="235"/>
      <c r="W6" s="235"/>
      <c r="X6" s="235"/>
      <c r="Y6" s="235"/>
      <c r="Z6" s="235"/>
      <c r="AA6" s="235"/>
      <c r="AB6" s="235"/>
      <c r="AC6" s="235"/>
    </row>
    <row r="7">
      <c r="A7" s="194" t="s">
        <v>636</v>
      </c>
      <c r="B7" s="193">
        <v>102886.0</v>
      </c>
      <c r="C7" s="192" t="s">
        <v>882</v>
      </c>
      <c r="D7" s="192" t="s">
        <v>2907</v>
      </c>
      <c r="E7" s="235"/>
      <c r="F7" s="235"/>
      <c r="G7" s="325"/>
      <c r="H7" s="235"/>
      <c r="I7" s="235"/>
      <c r="J7" s="235"/>
      <c r="K7" s="235"/>
      <c r="L7" s="235"/>
      <c r="M7" s="235"/>
      <c r="N7" s="235"/>
      <c r="O7" s="235"/>
      <c r="P7" s="235"/>
      <c r="Q7" s="235"/>
      <c r="R7" s="235"/>
      <c r="S7" s="235"/>
      <c r="T7" s="235"/>
      <c r="U7" s="235"/>
      <c r="V7" s="235"/>
      <c r="W7" s="235"/>
      <c r="X7" s="235"/>
      <c r="Y7" s="235"/>
      <c r="Z7" s="235"/>
      <c r="AA7" s="235"/>
      <c r="AB7" s="235"/>
      <c r="AC7" s="235"/>
    </row>
    <row r="8">
      <c r="A8" s="194" t="s">
        <v>858</v>
      </c>
      <c r="B8" s="193">
        <v>102881.0</v>
      </c>
      <c r="C8" s="192" t="s">
        <v>846</v>
      </c>
      <c r="D8" s="192" t="s">
        <v>2908</v>
      </c>
      <c r="E8" s="235"/>
      <c r="F8" s="235"/>
      <c r="G8" s="325"/>
      <c r="H8" s="235"/>
      <c r="I8" s="235"/>
      <c r="J8" s="235"/>
      <c r="K8" s="235"/>
      <c r="L8" s="235"/>
      <c r="M8" s="235"/>
      <c r="N8" s="235"/>
      <c r="O8" s="235"/>
      <c r="P8" s="235"/>
      <c r="Q8" s="235"/>
      <c r="R8" s="235"/>
      <c r="S8" s="235"/>
      <c r="T8" s="235"/>
      <c r="U8" s="235"/>
      <c r="V8" s="235"/>
      <c r="W8" s="235"/>
      <c r="X8" s="235"/>
      <c r="Y8" s="235"/>
      <c r="Z8" s="235"/>
      <c r="AA8" s="235"/>
      <c r="AB8" s="235"/>
      <c r="AC8" s="235"/>
    </row>
    <row r="9">
      <c r="A9" s="194" t="s">
        <v>2909</v>
      </c>
      <c r="B9" s="193">
        <v>102827.0</v>
      </c>
      <c r="C9" s="192" t="s">
        <v>2910</v>
      </c>
      <c r="D9" s="192" t="s">
        <v>487</v>
      </c>
      <c r="E9" s="235"/>
      <c r="F9" s="235"/>
      <c r="G9" s="325"/>
      <c r="H9" s="235"/>
      <c r="I9" s="235"/>
      <c r="J9" s="235"/>
      <c r="K9" s="235"/>
      <c r="L9" s="235"/>
      <c r="M9" s="235"/>
      <c r="N9" s="235"/>
      <c r="O9" s="235"/>
      <c r="P9" s="235"/>
      <c r="Q9" s="235"/>
      <c r="R9" s="235"/>
      <c r="S9" s="235"/>
      <c r="T9" s="235"/>
      <c r="U9" s="235"/>
      <c r="V9" s="235"/>
      <c r="W9" s="235"/>
      <c r="X9" s="235"/>
      <c r="Y9" s="235"/>
      <c r="Z9" s="235"/>
      <c r="AA9" s="235"/>
      <c r="AB9" s="235"/>
      <c r="AC9" s="235"/>
    </row>
    <row r="10">
      <c r="A10" s="194" t="s">
        <v>2911</v>
      </c>
      <c r="B10" s="193">
        <v>102784.0</v>
      </c>
      <c r="C10" s="192" t="s">
        <v>2912</v>
      </c>
      <c r="D10" s="192" t="s">
        <v>2913</v>
      </c>
      <c r="E10" s="235"/>
      <c r="F10" s="235"/>
      <c r="G10" s="325"/>
      <c r="H10" s="235"/>
      <c r="I10" s="235"/>
      <c r="J10" s="235"/>
      <c r="K10" s="235"/>
      <c r="L10" s="235"/>
      <c r="M10" s="235"/>
      <c r="N10" s="235"/>
      <c r="O10" s="235"/>
      <c r="P10" s="235"/>
      <c r="Q10" s="235"/>
      <c r="R10" s="235"/>
      <c r="S10" s="235"/>
      <c r="T10" s="235"/>
      <c r="U10" s="235"/>
      <c r="V10" s="235"/>
      <c r="W10" s="235"/>
      <c r="X10" s="235"/>
      <c r="Y10" s="235"/>
      <c r="Z10" s="235"/>
      <c r="AA10" s="235"/>
      <c r="AB10" s="235"/>
      <c r="AC10" s="235"/>
    </row>
    <row r="11">
      <c r="A11" s="194" t="s">
        <v>2914</v>
      </c>
      <c r="B11" s="193">
        <v>102822.0</v>
      </c>
      <c r="C11" s="192" t="s">
        <v>840</v>
      </c>
      <c r="D11" s="192" t="s">
        <v>295</v>
      </c>
      <c r="E11" s="235"/>
      <c r="F11" s="235"/>
      <c r="G11" s="325"/>
      <c r="H11" s="235"/>
      <c r="I11" s="235"/>
      <c r="J11" s="235"/>
      <c r="K11" s="235"/>
      <c r="L11" s="235"/>
      <c r="M11" s="235"/>
      <c r="N11" s="235"/>
      <c r="O11" s="235"/>
      <c r="P11" s="235"/>
      <c r="Q11" s="235"/>
      <c r="R11" s="235"/>
      <c r="S11" s="235"/>
      <c r="T11" s="235"/>
      <c r="U11" s="235"/>
      <c r="V11" s="235"/>
      <c r="W11" s="235"/>
      <c r="X11" s="235"/>
      <c r="Y11" s="235"/>
      <c r="Z11" s="235"/>
      <c r="AA11" s="235"/>
      <c r="AB11" s="235"/>
      <c r="AC11" s="235"/>
    </row>
    <row r="12">
      <c r="A12" s="194" t="s">
        <v>2915</v>
      </c>
      <c r="B12" s="193">
        <v>102966.0</v>
      </c>
      <c r="C12" s="192" t="s">
        <v>870</v>
      </c>
      <c r="D12" s="192" t="s">
        <v>871</v>
      </c>
      <c r="E12" s="235"/>
      <c r="F12" s="235"/>
      <c r="G12" s="325"/>
      <c r="H12" s="235"/>
      <c r="I12" s="235"/>
      <c r="J12" s="235"/>
      <c r="K12" s="235"/>
      <c r="L12" s="235"/>
      <c r="M12" s="235"/>
      <c r="N12" s="235"/>
      <c r="O12" s="235"/>
      <c r="P12" s="235"/>
      <c r="Q12" s="235"/>
      <c r="R12" s="235"/>
      <c r="S12" s="235"/>
      <c r="T12" s="235"/>
      <c r="U12" s="235"/>
      <c r="V12" s="235"/>
      <c r="W12" s="235"/>
      <c r="X12" s="235"/>
      <c r="Y12" s="235"/>
      <c r="Z12" s="235"/>
      <c r="AA12" s="235"/>
      <c r="AB12" s="235"/>
      <c r="AC12" s="235"/>
    </row>
    <row r="13">
      <c r="A13" s="194" t="s">
        <v>865</v>
      </c>
      <c r="B13" s="193">
        <v>102940.0</v>
      </c>
      <c r="C13" s="192" t="s">
        <v>866</v>
      </c>
      <c r="D13" s="192" t="s">
        <v>51</v>
      </c>
      <c r="E13" s="235"/>
      <c r="F13" s="235"/>
      <c r="G13" s="325"/>
      <c r="H13" s="235"/>
      <c r="I13" s="235"/>
      <c r="J13" s="235"/>
      <c r="K13" s="235"/>
      <c r="L13" s="235"/>
      <c r="M13" s="235"/>
      <c r="N13" s="235"/>
      <c r="O13" s="235"/>
      <c r="P13" s="235"/>
      <c r="Q13" s="235"/>
      <c r="R13" s="235"/>
      <c r="S13" s="235"/>
      <c r="T13" s="235"/>
      <c r="U13" s="235"/>
      <c r="V13" s="235"/>
      <c r="W13" s="235"/>
      <c r="X13" s="235"/>
      <c r="Y13" s="235"/>
      <c r="Z13" s="235"/>
      <c r="AA13" s="235"/>
      <c r="AB13" s="235"/>
      <c r="AC13" s="235"/>
    </row>
    <row r="14">
      <c r="A14" s="194" t="s">
        <v>2916</v>
      </c>
      <c r="B14" s="193">
        <v>102751.0</v>
      </c>
      <c r="C14" s="192" t="s">
        <v>2917</v>
      </c>
      <c r="D14" s="192" t="s">
        <v>2918</v>
      </c>
      <c r="E14" s="235"/>
      <c r="F14" s="235"/>
      <c r="G14" s="325"/>
      <c r="H14" s="235"/>
      <c r="I14" s="235"/>
      <c r="J14" s="235"/>
      <c r="K14" s="235"/>
      <c r="L14" s="235"/>
      <c r="M14" s="235"/>
      <c r="N14" s="235"/>
      <c r="O14" s="235"/>
      <c r="P14" s="235"/>
      <c r="Q14" s="235"/>
      <c r="R14" s="235"/>
      <c r="S14" s="235"/>
      <c r="T14" s="235"/>
      <c r="U14" s="235"/>
      <c r="V14" s="235"/>
      <c r="W14" s="235"/>
      <c r="X14" s="235"/>
      <c r="Y14" s="235"/>
      <c r="Z14" s="235"/>
      <c r="AA14" s="235"/>
      <c r="AB14" s="235"/>
      <c r="AC14" s="235"/>
    </row>
    <row r="15">
      <c r="A15" s="194" t="s">
        <v>2916</v>
      </c>
      <c r="B15" s="193">
        <v>102751.0</v>
      </c>
      <c r="C15" s="192" t="s">
        <v>2917</v>
      </c>
      <c r="D15" s="192" t="s">
        <v>2918</v>
      </c>
      <c r="E15" s="235"/>
      <c r="F15" s="235"/>
      <c r="G15" s="325"/>
      <c r="H15" s="235"/>
      <c r="I15" s="235"/>
      <c r="J15" s="235"/>
      <c r="K15" s="235"/>
      <c r="L15" s="235"/>
      <c r="M15" s="235"/>
      <c r="N15" s="235"/>
      <c r="O15" s="235"/>
      <c r="P15" s="235"/>
      <c r="Q15" s="235"/>
      <c r="R15" s="235"/>
      <c r="S15" s="235"/>
      <c r="T15" s="235"/>
      <c r="U15" s="235"/>
      <c r="V15" s="235"/>
      <c r="W15" s="235"/>
      <c r="X15" s="235"/>
      <c r="Y15" s="235"/>
      <c r="Z15" s="235"/>
      <c r="AA15" s="235"/>
      <c r="AB15" s="235"/>
      <c r="AC15" s="235"/>
    </row>
    <row r="16">
      <c r="A16" s="194" t="s">
        <v>2919</v>
      </c>
      <c r="B16" s="193">
        <v>102835.0</v>
      </c>
      <c r="C16" s="192" t="s">
        <v>2920</v>
      </c>
      <c r="D16" s="192" t="s">
        <v>487</v>
      </c>
      <c r="E16" s="235"/>
      <c r="F16" s="235"/>
      <c r="G16" s="325"/>
      <c r="H16" s="235"/>
      <c r="I16" s="235"/>
      <c r="J16" s="235"/>
      <c r="K16" s="235"/>
      <c r="L16" s="235"/>
      <c r="M16" s="235"/>
      <c r="N16" s="235"/>
      <c r="O16" s="235"/>
      <c r="P16" s="235"/>
      <c r="Q16" s="235"/>
      <c r="R16" s="235"/>
      <c r="S16" s="235"/>
      <c r="T16" s="235"/>
      <c r="U16" s="235"/>
      <c r="V16" s="235"/>
      <c r="W16" s="235"/>
      <c r="X16" s="235"/>
      <c r="Y16" s="235"/>
      <c r="Z16" s="235"/>
      <c r="AA16" s="235"/>
      <c r="AB16" s="235"/>
      <c r="AC16" s="235"/>
    </row>
    <row r="17">
      <c r="A17" s="194" t="s">
        <v>831</v>
      </c>
      <c r="B17" s="193">
        <v>102798.0</v>
      </c>
      <c r="C17" s="192" t="s">
        <v>2921</v>
      </c>
      <c r="D17" s="192" t="s">
        <v>295</v>
      </c>
      <c r="E17" s="235"/>
      <c r="F17" s="235"/>
      <c r="G17" s="325"/>
      <c r="H17" s="235"/>
      <c r="I17" s="235"/>
      <c r="J17" s="235"/>
      <c r="K17" s="235"/>
      <c r="L17" s="235"/>
      <c r="M17" s="235"/>
      <c r="N17" s="235"/>
      <c r="O17" s="235"/>
      <c r="P17" s="235"/>
      <c r="Q17" s="235"/>
      <c r="R17" s="235"/>
      <c r="S17" s="235"/>
      <c r="T17" s="235"/>
      <c r="U17" s="235"/>
      <c r="V17" s="235"/>
      <c r="W17" s="235"/>
      <c r="X17" s="235"/>
      <c r="Y17" s="235"/>
      <c r="Z17" s="235"/>
      <c r="AA17" s="235"/>
      <c r="AB17" s="235"/>
      <c r="AC17" s="235"/>
    </row>
    <row r="18">
      <c r="A18" s="194" t="s">
        <v>825</v>
      </c>
      <c r="B18" s="193">
        <v>102831.0</v>
      </c>
      <c r="C18" s="192" t="s">
        <v>826</v>
      </c>
      <c r="D18" s="192" t="s">
        <v>625</v>
      </c>
      <c r="E18" s="235"/>
      <c r="F18" s="235"/>
      <c r="G18" s="325"/>
      <c r="H18" s="235"/>
      <c r="I18" s="235"/>
      <c r="J18" s="235"/>
      <c r="K18" s="235"/>
      <c r="L18" s="235"/>
      <c r="M18" s="235"/>
      <c r="N18" s="235"/>
      <c r="O18" s="235"/>
      <c r="P18" s="235"/>
      <c r="Q18" s="235"/>
      <c r="R18" s="235"/>
      <c r="S18" s="235"/>
      <c r="T18" s="235"/>
      <c r="U18" s="235"/>
      <c r="V18" s="235"/>
      <c r="W18" s="235"/>
      <c r="X18" s="235"/>
      <c r="Y18" s="235"/>
      <c r="Z18" s="235"/>
      <c r="AA18" s="235"/>
      <c r="AB18" s="235"/>
      <c r="AC18" s="235"/>
    </row>
    <row r="19">
      <c r="A19" s="194" t="s">
        <v>2922</v>
      </c>
      <c r="B19" s="193">
        <v>102791.0</v>
      </c>
      <c r="C19" s="192" t="s">
        <v>2923</v>
      </c>
      <c r="D19" s="192" t="s">
        <v>522</v>
      </c>
      <c r="E19" s="235"/>
      <c r="F19" s="235"/>
      <c r="G19" s="325"/>
      <c r="H19" s="235"/>
      <c r="I19" s="235"/>
      <c r="J19" s="235"/>
      <c r="K19" s="235"/>
      <c r="L19" s="235"/>
      <c r="M19" s="235"/>
      <c r="N19" s="235"/>
      <c r="O19" s="235"/>
      <c r="P19" s="235"/>
      <c r="Q19" s="235"/>
      <c r="R19" s="235"/>
      <c r="S19" s="235"/>
      <c r="T19" s="235"/>
      <c r="U19" s="235"/>
      <c r="V19" s="235"/>
      <c r="W19" s="235"/>
      <c r="X19" s="235"/>
      <c r="Y19" s="235"/>
      <c r="Z19" s="235"/>
      <c r="AA19" s="235"/>
      <c r="AB19" s="235"/>
      <c r="AC19" s="235"/>
    </row>
    <row r="20">
      <c r="A20" s="194" t="s">
        <v>2924</v>
      </c>
      <c r="B20" s="193">
        <v>102566.0</v>
      </c>
      <c r="C20" s="192" t="s">
        <v>762</v>
      </c>
      <c r="D20" s="192" t="s">
        <v>295</v>
      </c>
      <c r="E20" s="235"/>
      <c r="F20" s="235"/>
      <c r="G20" s="325"/>
      <c r="H20" s="235"/>
      <c r="I20" s="235"/>
      <c r="J20" s="235"/>
      <c r="K20" s="235"/>
      <c r="L20" s="235"/>
      <c r="M20" s="235"/>
      <c r="N20" s="235"/>
      <c r="O20" s="235"/>
      <c r="P20" s="235"/>
      <c r="Q20" s="235"/>
      <c r="R20" s="235"/>
      <c r="S20" s="235"/>
      <c r="T20" s="235"/>
      <c r="U20" s="235"/>
      <c r="V20" s="235"/>
      <c r="W20" s="235"/>
      <c r="X20" s="235"/>
      <c r="Y20" s="235"/>
      <c r="Z20" s="235"/>
      <c r="AA20" s="235"/>
      <c r="AB20" s="235"/>
      <c r="AC20" s="235"/>
    </row>
    <row r="21">
      <c r="A21" s="194" t="s">
        <v>2925</v>
      </c>
      <c r="B21" s="193">
        <v>102671.0</v>
      </c>
      <c r="C21" s="192" t="s">
        <v>2926</v>
      </c>
      <c r="D21" s="192" t="s">
        <v>1098</v>
      </c>
      <c r="E21" s="235"/>
      <c r="F21" s="235"/>
      <c r="G21" s="325"/>
      <c r="H21" s="235"/>
      <c r="I21" s="235"/>
      <c r="J21" s="235"/>
      <c r="K21" s="235"/>
      <c r="L21" s="235"/>
      <c r="M21" s="235"/>
      <c r="N21" s="235"/>
      <c r="O21" s="235"/>
      <c r="P21" s="235"/>
      <c r="Q21" s="235"/>
      <c r="R21" s="235"/>
      <c r="S21" s="235"/>
      <c r="T21" s="235"/>
      <c r="U21" s="235"/>
      <c r="V21" s="235"/>
      <c r="W21" s="235"/>
      <c r="X21" s="235"/>
      <c r="Y21" s="235"/>
      <c r="Z21" s="235"/>
      <c r="AA21" s="235"/>
      <c r="AB21" s="235"/>
      <c r="AC21" s="235"/>
    </row>
    <row r="22">
      <c r="A22" s="194" t="s">
        <v>833</v>
      </c>
      <c r="B22" s="193">
        <v>102828.0</v>
      </c>
      <c r="C22" s="192" t="s">
        <v>834</v>
      </c>
      <c r="D22" s="192" t="s">
        <v>87</v>
      </c>
      <c r="E22" s="235"/>
      <c r="F22" s="235"/>
      <c r="G22" s="325"/>
      <c r="H22" s="235"/>
      <c r="I22" s="235"/>
      <c r="J22" s="235"/>
      <c r="K22" s="235"/>
      <c r="L22" s="235"/>
      <c r="M22" s="235"/>
      <c r="N22" s="235"/>
      <c r="O22" s="235"/>
      <c r="P22" s="235"/>
      <c r="Q22" s="235"/>
      <c r="R22" s="235"/>
      <c r="S22" s="235"/>
      <c r="T22" s="235"/>
      <c r="U22" s="235"/>
      <c r="V22" s="235"/>
      <c r="W22" s="235"/>
      <c r="X22" s="235"/>
      <c r="Y22" s="235"/>
      <c r="Z22" s="235"/>
      <c r="AA22" s="235"/>
      <c r="AB22" s="235"/>
      <c r="AC22" s="235"/>
    </row>
    <row r="23">
      <c r="A23" s="194" t="s">
        <v>827</v>
      </c>
      <c r="B23" s="193">
        <v>102833.0</v>
      </c>
      <c r="C23" s="192" t="s">
        <v>828</v>
      </c>
      <c r="D23" s="192" t="s">
        <v>51</v>
      </c>
      <c r="E23" s="235"/>
      <c r="F23" s="235"/>
      <c r="G23" s="325"/>
      <c r="H23" s="235"/>
      <c r="I23" s="235"/>
      <c r="J23" s="235"/>
      <c r="K23" s="235"/>
      <c r="L23" s="235"/>
      <c r="M23" s="235"/>
      <c r="N23" s="235"/>
      <c r="O23" s="235"/>
      <c r="P23" s="235"/>
      <c r="Q23" s="235"/>
      <c r="R23" s="235"/>
      <c r="S23" s="235"/>
      <c r="T23" s="235"/>
      <c r="U23" s="235"/>
      <c r="V23" s="235"/>
      <c r="W23" s="235"/>
      <c r="X23" s="235"/>
      <c r="Y23" s="235"/>
      <c r="Z23" s="235"/>
      <c r="AA23" s="235"/>
      <c r="AB23" s="235"/>
      <c r="AC23" s="235"/>
    </row>
    <row r="24">
      <c r="A24" s="194" t="s">
        <v>2927</v>
      </c>
      <c r="B24" s="193">
        <v>102861.0</v>
      </c>
      <c r="C24" s="192" t="s">
        <v>2928</v>
      </c>
      <c r="D24" s="192" t="s">
        <v>139</v>
      </c>
      <c r="E24" s="235"/>
      <c r="F24" s="235"/>
      <c r="G24" s="325"/>
      <c r="H24" s="235"/>
      <c r="I24" s="235"/>
      <c r="J24" s="235"/>
      <c r="K24" s="235"/>
      <c r="L24" s="235"/>
      <c r="M24" s="235"/>
      <c r="N24" s="235"/>
      <c r="O24" s="235"/>
      <c r="P24" s="235"/>
      <c r="Q24" s="235"/>
      <c r="R24" s="235"/>
      <c r="S24" s="235"/>
      <c r="T24" s="235"/>
      <c r="U24" s="235"/>
      <c r="V24" s="235"/>
      <c r="W24" s="235"/>
      <c r="X24" s="235"/>
      <c r="Y24" s="235"/>
      <c r="Z24" s="235"/>
      <c r="AA24" s="235"/>
      <c r="AB24" s="235"/>
      <c r="AC24" s="235"/>
    </row>
    <row r="25">
      <c r="A25" s="194" t="s">
        <v>2929</v>
      </c>
      <c r="B25" s="193">
        <v>102859.0</v>
      </c>
      <c r="C25" s="192" t="s">
        <v>2930</v>
      </c>
      <c r="D25" s="192" t="s">
        <v>2931</v>
      </c>
      <c r="E25" s="235"/>
      <c r="F25" s="235"/>
      <c r="G25" s="325"/>
      <c r="H25" s="235"/>
      <c r="I25" s="235"/>
      <c r="J25" s="235"/>
      <c r="K25" s="235"/>
      <c r="L25" s="235"/>
      <c r="M25" s="235"/>
      <c r="N25" s="235"/>
      <c r="O25" s="235"/>
      <c r="P25" s="235"/>
      <c r="Q25" s="235"/>
      <c r="R25" s="235"/>
      <c r="S25" s="235"/>
      <c r="T25" s="235"/>
      <c r="U25" s="235"/>
      <c r="V25" s="235"/>
      <c r="W25" s="235"/>
      <c r="X25" s="235"/>
      <c r="Y25" s="235"/>
      <c r="Z25" s="235"/>
      <c r="AA25" s="235"/>
      <c r="AB25" s="235"/>
      <c r="AC25" s="235"/>
    </row>
    <row r="26">
      <c r="A26" s="194" t="s">
        <v>2932</v>
      </c>
      <c r="B26" s="193">
        <v>102786.0</v>
      </c>
      <c r="C26" s="192" t="s">
        <v>2933</v>
      </c>
      <c r="D26" s="192" t="s">
        <v>487</v>
      </c>
      <c r="E26" s="235"/>
      <c r="F26" s="235"/>
      <c r="G26" s="325"/>
      <c r="H26" s="235"/>
      <c r="I26" s="235"/>
      <c r="J26" s="235"/>
      <c r="K26" s="235"/>
      <c r="L26" s="235"/>
      <c r="M26" s="235"/>
      <c r="N26" s="235"/>
      <c r="O26" s="235"/>
      <c r="P26" s="235"/>
      <c r="Q26" s="235"/>
      <c r="R26" s="235"/>
      <c r="S26" s="235"/>
      <c r="T26" s="235"/>
      <c r="U26" s="235"/>
      <c r="V26" s="235"/>
      <c r="W26" s="235"/>
      <c r="X26" s="235"/>
      <c r="Y26" s="235"/>
      <c r="Z26" s="235"/>
      <c r="AA26" s="235"/>
      <c r="AB26" s="235"/>
      <c r="AC26" s="235"/>
    </row>
    <row r="27">
      <c r="A27" s="194" t="s">
        <v>829</v>
      </c>
      <c r="B27" s="193">
        <v>102698.0</v>
      </c>
      <c r="C27" s="192" t="s">
        <v>830</v>
      </c>
      <c r="D27" s="192" t="s">
        <v>110</v>
      </c>
      <c r="E27" s="235"/>
      <c r="F27" s="235"/>
      <c r="G27" s="325"/>
      <c r="H27" s="235"/>
      <c r="I27" s="235"/>
      <c r="J27" s="235"/>
      <c r="K27" s="235"/>
      <c r="L27" s="235"/>
      <c r="M27" s="235"/>
      <c r="N27" s="235"/>
      <c r="O27" s="235"/>
      <c r="P27" s="235"/>
      <c r="Q27" s="235"/>
      <c r="R27" s="235"/>
      <c r="S27" s="235"/>
      <c r="T27" s="235"/>
      <c r="U27" s="235"/>
      <c r="V27" s="235"/>
      <c r="W27" s="235"/>
      <c r="X27" s="235"/>
      <c r="Y27" s="235"/>
      <c r="Z27" s="235"/>
      <c r="AA27" s="235"/>
      <c r="AB27" s="235"/>
      <c r="AC27" s="235"/>
    </row>
    <row r="28">
      <c r="A28" s="194" t="s">
        <v>2934</v>
      </c>
      <c r="B28" s="193">
        <v>102612.0</v>
      </c>
      <c r="C28" s="192" t="s">
        <v>2935</v>
      </c>
      <c r="D28" s="192" t="s">
        <v>51</v>
      </c>
      <c r="E28" s="235"/>
      <c r="F28" s="235"/>
      <c r="G28" s="325"/>
      <c r="H28" s="235"/>
      <c r="I28" s="235"/>
      <c r="J28" s="235"/>
      <c r="K28" s="235"/>
      <c r="L28" s="235"/>
      <c r="M28" s="235"/>
      <c r="N28" s="235"/>
      <c r="O28" s="235"/>
      <c r="P28" s="235"/>
      <c r="Q28" s="235"/>
      <c r="R28" s="235"/>
      <c r="S28" s="235"/>
      <c r="T28" s="235"/>
      <c r="U28" s="235"/>
      <c r="V28" s="235"/>
      <c r="W28" s="235"/>
      <c r="X28" s="235"/>
      <c r="Y28" s="235"/>
      <c r="Z28" s="235"/>
      <c r="AA28" s="235"/>
      <c r="AB28" s="235"/>
      <c r="AC28" s="235"/>
    </row>
    <row r="29">
      <c r="A29" s="194" t="s">
        <v>2936</v>
      </c>
      <c r="B29" s="193">
        <v>102834.0</v>
      </c>
      <c r="C29" s="192" t="s">
        <v>2937</v>
      </c>
      <c r="D29" s="192" t="s">
        <v>51</v>
      </c>
      <c r="E29" s="235"/>
      <c r="F29" s="235"/>
      <c r="G29" s="325"/>
      <c r="H29" s="235"/>
      <c r="I29" s="235"/>
      <c r="J29" s="235"/>
      <c r="K29" s="235"/>
      <c r="L29" s="235"/>
      <c r="M29" s="235"/>
      <c r="N29" s="235"/>
      <c r="O29" s="235"/>
      <c r="P29" s="235"/>
      <c r="Q29" s="235"/>
      <c r="R29" s="235"/>
      <c r="S29" s="235"/>
      <c r="T29" s="235"/>
      <c r="U29" s="235"/>
      <c r="V29" s="235"/>
      <c r="W29" s="235"/>
      <c r="X29" s="235"/>
      <c r="Y29" s="235"/>
      <c r="Z29" s="235"/>
      <c r="AA29" s="235"/>
      <c r="AB29" s="235"/>
      <c r="AC29" s="235"/>
    </row>
    <row r="30">
      <c r="A30" s="194" t="s">
        <v>2938</v>
      </c>
      <c r="B30" s="193">
        <v>102871.0</v>
      </c>
      <c r="C30" s="192" t="s">
        <v>2939</v>
      </c>
      <c r="D30" s="192" t="s">
        <v>487</v>
      </c>
      <c r="E30" s="235"/>
      <c r="F30" s="235"/>
      <c r="G30" s="325"/>
      <c r="H30" s="235"/>
      <c r="I30" s="235"/>
      <c r="J30" s="235"/>
      <c r="K30" s="235"/>
      <c r="L30" s="235"/>
      <c r="M30" s="235"/>
      <c r="N30" s="235"/>
      <c r="O30" s="235"/>
      <c r="P30" s="235"/>
      <c r="Q30" s="235"/>
      <c r="R30" s="235"/>
      <c r="S30" s="235"/>
      <c r="T30" s="235"/>
      <c r="U30" s="235"/>
      <c r="V30" s="235"/>
      <c r="W30" s="235"/>
      <c r="X30" s="235"/>
      <c r="Y30" s="235"/>
      <c r="Z30" s="235"/>
      <c r="AA30" s="235"/>
      <c r="AB30" s="235"/>
      <c r="AC30" s="235"/>
    </row>
    <row r="31">
      <c r="A31" s="194" t="s">
        <v>2940</v>
      </c>
      <c r="B31" s="193">
        <v>102605.0</v>
      </c>
      <c r="C31" s="192" t="s">
        <v>2941</v>
      </c>
      <c r="D31" s="192" t="s">
        <v>51</v>
      </c>
      <c r="E31" s="235"/>
      <c r="F31" s="235"/>
      <c r="G31" s="325"/>
      <c r="H31" s="235"/>
      <c r="I31" s="235"/>
      <c r="J31" s="235"/>
      <c r="K31" s="235"/>
      <c r="L31" s="235"/>
      <c r="M31" s="235"/>
      <c r="N31" s="235"/>
      <c r="O31" s="235"/>
      <c r="P31" s="235"/>
      <c r="Q31" s="235"/>
      <c r="R31" s="235"/>
      <c r="S31" s="235"/>
      <c r="T31" s="235"/>
      <c r="U31" s="235"/>
      <c r="V31" s="235"/>
      <c r="W31" s="235"/>
      <c r="X31" s="235"/>
      <c r="Y31" s="235"/>
      <c r="Z31" s="235"/>
      <c r="AA31" s="235"/>
      <c r="AB31" s="235"/>
      <c r="AC31" s="235"/>
    </row>
    <row r="32">
      <c r="A32" s="194" t="s">
        <v>787</v>
      </c>
      <c r="B32" s="193">
        <v>102642.0</v>
      </c>
      <c r="C32" s="192" t="s">
        <v>788</v>
      </c>
      <c r="D32" s="192" t="s">
        <v>295</v>
      </c>
      <c r="E32" s="235"/>
      <c r="F32" s="235"/>
      <c r="G32" s="325"/>
      <c r="H32" s="235"/>
      <c r="I32" s="235"/>
      <c r="J32" s="235"/>
      <c r="K32" s="235"/>
      <c r="L32" s="235"/>
      <c r="M32" s="235"/>
      <c r="N32" s="235"/>
      <c r="O32" s="235"/>
      <c r="P32" s="235"/>
      <c r="Q32" s="235"/>
      <c r="R32" s="235"/>
      <c r="S32" s="235"/>
      <c r="T32" s="235"/>
      <c r="U32" s="235"/>
      <c r="V32" s="235"/>
      <c r="W32" s="235"/>
      <c r="X32" s="235"/>
      <c r="Y32" s="235"/>
      <c r="Z32" s="235"/>
      <c r="AA32" s="235"/>
      <c r="AB32" s="235"/>
      <c r="AC32" s="235"/>
    </row>
    <row r="33">
      <c r="A33" s="194" t="s">
        <v>813</v>
      </c>
      <c r="B33" s="193">
        <v>102674.0</v>
      </c>
      <c r="C33" s="192" t="s">
        <v>814</v>
      </c>
      <c r="D33" s="192" t="s">
        <v>522</v>
      </c>
      <c r="E33" s="235"/>
      <c r="F33" s="235"/>
      <c r="G33" s="325"/>
      <c r="H33" s="235"/>
      <c r="I33" s="235"/>
      <c r="J33" s="235"/>
      <c r="K33" s="235"/>
      <c r="L33" s="235"/>
      <c r="M33" s="235"/>
      <c r="N33" s="235"/>
      <c r="O33" s="235"/>
      <c r="P33" s="235"/>
      <c r="Q33" s="235"/>
      <c r="R33" s="235"/>
      <c r="S33" s="235"/>
      <c r="T33" s="235"/>
      <c r="U33" s="235"/>
      <c r="V33" s="235"/>
      <c r="W33" s="235"/>
      <c r="X33" s="235"/>
      <c r="Y33" s="235"/>
      <c r="Z33" s="235"/>
      <c r="AA33" s="235"/>
      <c r="AB33" s="235"/>
      <c r="AC33" s="235"/>
    </row>
    <row r="34">
      <c r="A34" s="194" t="s">
        <v>813</v>
      </c>
      <c r="B34" s="193">
        <v>102674.0</v>
      </c>
      <c r="C34" s="192" t="s">
        <v>814</v>
      </c>
      <c r="D34" s="192" t="s">
        <v>522</v>
      </c>
      <c r="E34" s="235"/>
      <c r="F34" s="235"/>
      <c r="G34" s="325"/>
      <c r="H34" s="235"/>
      <c r="I34" s="235"/>
      <c r="J34" s="235"/>
      <c r="K34" s="235"/>
      <c r="L34" s="235"/>
      <c r="M34" s="235"/>
      <c r="N34" s="235"/>
      <c r="O34" s="235"/>
      <c r="P34" s="235"/>
      <c r="Q34" s="235"/>
      <c r="R34" s="235"/>
      <c r="S34" s="235"/>
      <c r="T34" s="235"/>
      <c r="U34" s="235"/>
      <c r="V34" s="235"/>
      <c r="W34" s="235"/>
      <c r="X34" s="235"/>
      <c r="Y34" s="235"/>
      <c r="Z34" s="235"/>
      <c r="AA34" s="235"/>
      <c r="AB34" s="235"/>
      <c r="AC34" s="235"/>
    </row>
    <row r="35">
      <c r="A35" s="194" t="s">
        <v>792</v>
      </c>
      <c r="B35" s="193">
        <v>102595.0</v>
      </c>
      <c r="C35" s="192" t="s">
        <v>793</v>
      </c>
      <c r="D35" s="192" t="s">
        <v>295</v>
      </c>
      <c r="E35" s="235"/>
      <c r="F35" s="235"/>
      <c r="G35" s="325"/>
      <c r="H35" s="235"/>
      <c r="I35" s="235"/>
      <c r="J35" s="235"/>
      <c r="K35" s="235"/>
      <c r="L35" s="235"/>
      <c r="M35" s="235"/>
      <c r="N35" s="235"/>
      <c r="O35" s="235"/>
      <c r="P35" s="235"/>
      <c r="Q35" s="235"/>
      <c r="R35" s="235"/>
      <c r="S35" s="235"/>
      <c r="T35" s="235"/>
      <c r="U35" s="235"/>
      <c r="V35" s="235"/>
      <c r="W35" s="235"/>
      <c r="X35" s="235"/>
      <c r="Y35" s="235"/>
      <c r="Z35" s="235"/>
      <c r="AA35" s="235"/>
      <c r="AB35" s="235"/>
      <c r="AC35" s="235"/>
    </row>
    <row r="36">
      <c r="A36" s="194" t="s">
        <v>1023</v>
      </c>
      <c r="B36" s="193">
        <v>102615.0</v>
      </c>
      <c r="C36" s="192"/>
      <c r="D36" s="192"/>
      <c r="E36" s="235"/>
      <c r="F36" s="235"/>
      <c r="G36" s="325"/>
      <c r="H36" s="235"/>
      <c r="I36" s="235"/>
      <c r="J36" s="235"/>
      <c r="K36" s="235"/>
      <c r="L36" s="235"/>
      <c r="M36" s="235"/>
      <c r="N36" s="235"/>
      <c r="O36" s="235"/>
      <c r="P36" s="235"/>
      <c r="Q36" s="235"/>
      <c r="R36" s="235"/>
      <c r="S36" s="235"/>
      <c r="T36" s="235"/>
      <c r="U36" s="235"/>
      <c r="V36" s="235"/>
      <c r="W36" s="235"/>
      <c r="X36" s="235"/>
      <c r="Y36" s="235"/>
      <c r="Z36" s="235"/>
      <c r="AA36" s="235"/>
      <c r="AB36" s="235"/>
      <c r="AC36" s="235"/>
    </row>
    <row r="37">
      <c r="A37" s="194" t="s">
        <v>1023</v>
      </c>
      <c r="B37" s="193">
        <v>102615.0</v>
      </c>
      <c r="C37" s="192" t="s">
        <v>1024</v>
      </c>
      <c r="D37" s="192" t="s">
        <v>17</v>
      </c>
      <c r="E37" s="235"/>
      <c r="F37" s="235"/>
      <c r="G37" s="325"/>
      <c r="H37" s="235"/>
      <c r="I37" s="235"/>
      <c r="J37" s="235"/>
      <c r="K37" s="235"/>
      <c r="L37" s="235"/>
      <c r="M37" s="235"/>
      <c r="N37" s="235"/>
      <c r="O37" s="235"/>
      <c r="P37" s="235"/>
      <c r="Q37" s="235"/>
      <c r="R37" s="235"/>
      <c r="S37" s="235"/>
      <c r="T37" s="235"/>
      <c r="U37" s="235"/>
      <c r="V37" s="235"/>
      <c r="W37" s="235"/>
      <c r="X37" s="235"/>
      <c r="Y37" s="235"/>
      <c r="Z37" s="235"/>
      <c r="AA37" s="235"/>
      <c r="AB37" s="235"/>
      <c r="AC37" s="235"/>
    </row>
    <row r="38">
      <c r="A38" s="194" t="s">
        <v>908</v>
      </c>
      <c r="B38" s="193">
        <v>102384.0</v>
      </c>
      <c r="C38" s="192" t="s">
        <v>909</v>
      </c>
      <c r="D38" s="192" t="s">
        <v>254</v>
      </c>
      <c r="E38" s="235"/>
      <c r="F38" s="235"/>
      <c r="G38" s="325"/>
      <c r="H38" s="235"/>
      <c r="I38" s="235"/>
      <c r="J38" s="235"/>
      <c r="K38" s="235"/>
      <c r="L38" s="235"/>
      <c r="M38" s="235"/>
      <c r="N38" s="235"/>
      <c r="O38" s="235"/>
      <c r="P38" s="235"/>
      <c r="Q38" s="235"/>
      <c r="R38" s="235"/>
      <c r="S38" s="235"/>
      <c r="T38" s="235"/>
      <c r="U38" s="235"/>
      <c r="V38" s="235"/>
      <c r="W38" s="235"/>
      <c r="X38" s="235"/>
      <c r="Y38" s="235"/>
      <c r="Z38" s="235"/>
      <c r="AA38" s="235"/>
      <c r="AB38" s="235"/>
      <c r="AC38" s="235"/>
    </row>
    <row r="39">
      <c r="A39" s="194" t="s">
        <v>723</v>
      </c>
      <c r="B39" s="193">
        <v>102448.0</v>
      </c>
      <c r="C39" s="192" t="s">
        <v>724</v>
      </c>
      <c r="D39" s="192" t="s">
        <v>87</v>
      </c>
      <c r="E39" s="235"/>
      <c r="F39" s="235"/>
      <c r="G39" s="325"/>
      <c r="H39" s="235"/>
      <c r="I39" s="235"/>
      <c r="J39" s="235"/>
      <c r="K39" s="235"/>
      <c r="L39" s="235"/>
      <c r="M39" s="235"/>
      <c r="N39" s="235"/>
      <c r="O39" s="235"/>
      <c r="P39" s="235"/>
      <c r="Q39" s="235"/>
      <c r="R39" s="235"/>
      <c r="S39" s="235"/>
      <c r="T39" s="235"/>
      <c r="U39" s="235"/>
      <c r="V39" s="235"/>
      <c r="W39" s="235"/>
      <c r="X39" s="235"/>
      <c r="Y39" s="235"/>
      <c r="Z39" s="235"/>
      <c r="AA39" s="235"/>
      <c r="AB39" s="235"/>
      <c r="AC39" s="235"/>
    </row>
    <row r="40">
      <c r="A40" s="194" t="s">
        <v>690</v>
      </c>
      <c r="B40" s="193">
        <v>102412.0</v>
      </c>
      <c r="C40" s="192" t="s">
        <v>691</v>
      </c>
      <c r="D40" s="192" t="s">
        <v>2931</v>
      </c>
      <c r="E40" s="235"/>
      <c r="F40" s="235"/>
      <c r="G40" s="325"/>
      <c r="H40" s="235"/>
      <c r="I40" s="235"/>
      <c r="J40" s="235"/>
      <c r="K40" s="235"/>
      <c r="L40" s="235"/>
      <c r="M40" s="235"/>
      <c r="N40" s="235"/>
      <c r="O40" s="235"/>
      <c r="P40" s="235"/>
      <c r="Q40" s="235"/>
      <c r="R40" s="235"/>
      <c r="S40" s="235"/>
      <c r="T40" s="235"/>
      <c r="U40" s="235"/>
      <c r="V40" s="235"/>
      <c r="W40" s="235"/>
      <c r="X40" s="235"/>
      <c r="Y40" s="235"/>
      <c r="Z40" s="235"/>
      <c r="AA40" s="235"/>
      <c r="AB40" s="235"/>
      <c r="AC40" s="235"/>
    </row>
    <row r="41">
      <c r="A41" s="194" t="s">
        <v>659</v>
      </c>
      <c r="B41" s="193">
        <v>102360.0</v>
      </c>
      <c r="C41" s="192" t="s">
        <v>660</v>
      </c>
      <c r="D41" s="192" t="s">
        <v>312</v>
      </c>
      <c r="E41" s="235"/>
      <c r="F41" s="235"/>
      <c r="G41" s="325"/>
      <c r="H41" s="235"/>
      <c r="I41" s="235"/>
      <c r="J41" s="235"/>
      <c r="K41" s="235"/>
      <c r="L41" s="235"/>
      <c r="M41" s="235"/>
      <c r="N41" s="235"/>
      <c r="O41" s="235"/>
      <c r="P41" s="235"/>
      <c r="Q41" s="235"/>
      <c r="R41" s="235"/>
      <c r="S41" s="235"/>
      <c r="T41" s="235"/>
      <c r="U41" s="235"/>
      <c r="V41" s="235"/>
      <c r="W41" s="235"/>
      <c r="X41" s="235"/>
      <c r="Y41" s="235"/>
      <c r="Z41" s="235"/>
      <c r="AA41" s="235"/>
      <c r="AB41" s="235"/>
      <c r="AC41" s="235"/>
    </row>
    <row r="42">
      <c r="A42" s="194" t="s">
        <v>663</v>
      </c>
      <c r="B42" s="193">
        <v>102320.0</v>
      </c>
      <c r="C42" s="192"/>
      <c r="D42" s="192" t="s">
        <v>312</v>
      </c>
      <c r="E42" s="235"/>
      <c r="F42" s="235"/>
      <c r="G42" s="325"/>
      <c r="H42" s="235"/>
      <c r="I42" s="235"/>
      <c r="J42" s="235"/>
      <c r="K42" s="235"/>
      <c r="L42" s="235"/>
      <c r="M42" s="235"/>
      <c r="N42" s="235"/>
      <c r="O42" s="235"/>
      <c r="P42" s="235"/>
      <c r="Q42" s="235"/>
      <c r="R42" s="235"/>
      <c r="S42" s="235"/>
      <c r="T42" s="235"/>
      <c r="U42" s="235"/>
      <c r="V42" s="235"/>
      <c r="W42" s="235"/>
      <c r="X42" s="235"/>
      <c r="Y42" s="235"/>
      <c r="Z42" s="235"/>
      <c r="AA42" s="235"/>
      <c r="AB42" s="235"/>
      <c r="AC42" s="235"/>
    </row>
    <row r="43">
      <c r="A43" s="194" t="s">
        <v>657</v>
      </c>
      <c r="B43" s="193">
        <v>102365.0</v>
      </c>
      <c r="C43" s="192"/>
      <c r="D43" s="192" t="s">
        <v>51</v>
      </c>
      <c r="E43" s="235"/>
      <c r="F43" s="235"/>
      <c r="G43" s="325"/>
      <c r="H43" s="235"/>
      <c r="I43" s="235"/>
      <c r="J43" s="235"/>
      <c r="K43" s="235"/>
      <c r="L43" s="235"/>
      <c r="M43" s="235"/>
      <c r="N43" s="235"/>
      <c r="O43" s="235"/>
      <c r="P43" s="235"/>
      <c r="Q43" s="235"/>
      <c r="R43" s="235"/>
      <c r="S43" s="235"/>
      <c r="T43" s="235"/>
      <c r="U43" s="235"/>
      <c r="V43" s="235"/>
      <c r="W43" s="235"/>
      <c r="X43" s="235"/>
      <c r="Y43" s="235"/>
      <c r="Z43" s="235"/>
      <c r="AA43" s="235"/>
      <c r="AB43" s="235"/>
      <c r="AC43" s="235"/>
    </row>
    <row r="44">
      <c r="A44" s="194" t="s">
        <v>733</v>
      </c>
      <c r="B44" s="193">
        <v>102465.0</v>
      </c>
      <c r="C44" s="192"/>
      <c r="D44" s="192" t="s">
        <v>209</v>
      </c>
      <c r="E44" s="235"/>
      <c r="F44" s="235"/>
      <c r="G44" s="325"/>
      <c r="H44" s="235"/>
      <c r="I44" s="235"/>
      <c r="J44" s="235"/>
      <c r="K44" s="235"/>
      <c r="L44" s="235"/>
      <c r="M44" s="235"/>
      <c r="N44" s="235"/>
      <c r="O44" s="235"/>
      <c r="P44" s="235"/>
      <c r="Q44" s="235"/>
      <c r="R44" s="235"/>
      <c r="S44" s="235"/>
      <c r="T44" s="235"/>
      <c r="U44" s="235"/>
      <c r="V44" s="235"/>
      <c r="W44" s="235"/>
      <c r="X44" s="235"/>
      <c r="Y44" s="235"/>
      <c r="Z44" s="235"/>
      <c r="AA44" s="235"/>
      <c r="AB44" s="235"/>
      <c r="AC44" s="235"/>
    </row>
    <row r="45">
      <c r="A45" s="194" t="s">
        <v>711</v>
      </c>
      <c r="B45" s="193">
        <v>102456.0</v>
      </c>
      <c r="C45" s="192" t="s">
        <v>712</v>
      </c>
      <c r="D45" s="192" t="s">
        <v>209</v>
      </c>
      <c r="E45" s="235"/>
      <c r="F45" s="235"/>
      <c r="G45" s="325"/>
      <c r="H45" s="235"/>
      <c r="I45" s="235"/>
      <c r="J45" s="235"/>
      <c r="K45" s="235"/>
      <c r="L45" s="235"/>
      <c r="M45" s="235"/>
      <c r="N45" s="235"/>
      <c r="O45" s="235"/>
      <c r="P45" s="235"/>
      <c r="Q45" s="235"/>
      <c r="R45" s="235"/>
      <c r="S45" s="235"/>
      <c r="T45" s="235"/>
      <c r="U45" s="235"/>
      <c r="V45" s="235"/>
      <c r="W45" s="235"/>
      <c r="X45" s="235"/>
      <c r="Y45" s="235"/>
      <c r="Z45" s="235"/>
      <c r="AA45" s="235"/>
      <c r="AB45" s="235"/>
      <c r="AC45" s="235"/>
    </row>
    <row r="46">
      <c r="A46" s="194" t="s">
        <v>737</v>
      </c>
      <c r="B46" s="193">
        <v>102345.0</v>
      </c>
      <c r="C46" s="192" t="s">
        <v>738</v>
      </c>
      <c r="D46" s="192" t="s">
        <v>495</v>
      </c>
      <c r="E46" s="235"/>
      <c r="F46" s="235"/>
      <c r="G46" s="325"/>
      <c r="H46" s="235"/>
      <c r="I46" s="235"/>
      <c r="J46" s="235"/>
      <c r="K46" s="235"/>
      <c r="L46" s="235"/>
      <c r="M46" s="235"/>
      <c r="N46" s="235"/>
      <c r="O46" s="235"/>
      <c r="P46" s="235"/>
      <c r="Q46" s="235"/>
      <c r="R46" s="235"/>
      <c r="S46" s="235"/>
      <c r="T46" s="235"/>
      <c r="U46" s="235"/>
      <c r="V46" s="235"/>
      <c r="W46" s="235"/>
      <c r="X46" s="235"/>
      <c r="Y46" s="235"/>
      <c r="Z46" s="235"/>
      <c r="AA46" s="235"/>
      <c r="AB46" s="235"/>
      <c r="AC46" s="235"/>
    </row>
    <row r="47">
      <c r="A47" s="194" t="s">
        <v>686</v>
      </c>
      <c r="B47" s="193">
        <v>102382.0</v>
      </c>
      <c r="C47" s="192" t="s">
        <v>613</v>
      </c>
      <c r="D47" s="192" t="s">
        <v>87</v>
      </c>
      <c r="E47" s="235"/>
      <c r="F47" s="235"/>
      <c r="G47" s="325"/>
      <c r="H47" s="235"/>
      <c r="I47" s="235"/>
      <c r="J47" s="235"/>
      <c r="K47" s="235"/>
      <c r="L47" s="235"/>
      <c r="M47" s="235"/>
      <c r="N47" s="235"/>
      <c r="O47" s="235"/>
      <c r="P47" s="235"/>
      <c r="Q47" s="235"/>
      <c r="R47" s="235"/>
      <c r="S47" s="235"/>
      <c r="T47" s="235"/>
      <c r="U47" s="235"/>
      <c r="V47" s="235"/>
      <c r="W47" s="235"/>
      <c r="X47" s="235"/>
      <c r="Y47" s="235"/>
      <c r="Z47" s="235"/>
      <c r="AA47" s="235"/>
      <c r="AB47" s="235"/>
      <c r="AC47" s="235"/>
    </row>
    <row r="48">
      <c r="A48" s="194" t="s">
        <v>711</v>
      </c>
      <c r="B48" s="193">
        <v>102444.0</v>
      </c>
      <c r="C48" s="192" t="s">
        <v>722</v>
      </c>
      <c r="D48" s="192" t="s">
        <v>625</v>
      </c>
      <c r="E48" s="235"/>
      <c r="F48" s="235"/>
      <c r="G48" s="325"/>
      <c r="H48" s="235"/>
      <c r="I48" s="235"/>
      <c r="J48" s="235"/>
      <c r="K48" s="235"/>
      <c r="L48" s="235"/>
      <c r="M48" s="235"/>
      <c r="N48" s="235"/>
      <c r="O48" s="235"/>
      <c r="P48" s="235"/>
      <c r="Q48" s="235"/>
      <c r="R48" s="235"/>
      <c r="S48" s="235"/>
      <c r="T48" s="235"/>
      <c r="U48" s="235"/>
      <c r="V48" s="235"/>
      <c r="W48" s="235"/>
      <c r="X48" s="235"/>
      <c r="Y48" s="235"/>
      <c r="Z48" s="235"/>
      <c r="AA48" s="235"/>
      <c r="AB48" s="235"/>
      <c r="AC48" s="235"/>
    </row>
    <row r="49">
      <c r="A49" s="194" t="s">
        <v>725</v>
      </c>
      <c r="B49" s="193">
        <v>102437.0</v>
      </c>
      <c r="C49" s="192" t="s">
        <v>720</v>
      </c>
      <c r="D49" s="192" t="s">
        <v>254</v>
      </c>
      <c r="E49" s="235"/>
      <c r="F49" s="235"/>
      <c r="G49" s="325"/>
      <c r="H49" s="235"/>
      <c r="I49" s="235"/>
      <c r="J49" s="235"/>
      <c r="K49" s="235"/>
      <c r="L49" s="235"/>
      <c r="M49" s="235"/>
      <c r="N49" s="235"/>
      <c r="O49" s="235"/>
      <c r="P49" s="235"/>
      <c r="Q49" s="235"/>
      <c r="R49" s="235"/>
      <c r="S49" s="235"/>
      <c r="T49" s="235"/>
      <c r="U49" s="235"/>
      <c r="V49" s="235"/>
      <c r="W49" s="235"/>
      <c r="X49" s="235"/>
      <c r="Y49" s="235"/>
      <c r="Z49" s="235"/>
      <c r="AA49" s="235"/>
      <c r="AB49" s="235"/>
      <c r="AC49" s="235"/>
    </row>
    <row r="50">
      <c r="A50" s="194" t="s">
        <v>735</v>
      </c>
      <c r="B50" s="193">
        <v>102453.0</v>
      </c>
      <c r="C50" s="192" t="s">
        <v>736</v>
      </c>
      <c r="D50" s="192" t="s">
        <v>214</v>
      </c>
      <c r="E50" s="235"/>
      <c r="F50" s="235"/>
      <c r="G50" s="325"/>
      <c r="H50" s="235"/>
      <c r="I50" s="235"/>
      <c r="J50" s="235"/>
      <c r="K50" s="235"/>
      <c r="L50" s="235"/>
      <c r="M50" s="235"/>
      <c r="N50" s="235"/>
      <c r="O50" s="235"/>
      <c r="P50" s="235"/>
      <c r="Q50" s="235"/>
      <c r="R50" s="235"/>
      <c r="S50" s="235"/>
      <c r="T50" s="235"/>
      <c r="U50" s="235"/>
      <c r="V50" s="235"/>
      <c r="W50" s="235"/>
      <c r="X50" s="235"/>
      <c r="Y50" s="235"/>
      <c r="Z50" s="235"/>
      <c r="AA50" s="235"/>
      <c r="AB50" s="235"/>
      <c r="AC50" s="235"/>
    </row>
    <row r="51">
      <c r="A51" s="194" t="s">
        <v>717</v>
      </c>
      <c r="B51" s="193">
        <v>102426.0</v>
      </c>
      <c r="C51" s="192" t="s">
        <v>718</v>
      </c>
      <c r="D51" s="192" t="s">
        <v>2942</v>
      </c>
      <c r="E51" s="235"/>
      <c r="F51" s="235"/>
      <c r="G51" s="325"/>
      <c r="H51" s="235"/>
      <c r="I51" s="235"/>
      <c r="J51" s="235"/>
      <c r="K51" s="235"/>
      <c r="L51" s="235"/>
      <c r="M51" s="235"/>
      <c r="N51" s="235"/>
      <c r="O51" s="235"/>
      <c r="P51" s="235"/>
      <c r="Q51" s="235"/>
      <c r="R51" s="235"/>
      <c r="S51" s="235"/>
      <c r="T51" s="235"/>
      <c r="U51" s="235"/>
      <c r="V51" s="235"/>
      <c r="W51" s="235"/>
      <c r="X51" s="235"/>
      <c r="Y51" s="235"/>
      <c r="Z51" s="235"/>
      <c r="AA51" s="235"/>
      <c r="AB51" s="235"/>
      <c r="AC51" s="235"/>
    </row>
    <row r="52">
      <c r="A52" s="194" t="s">
        <v>715</v>
      </c>
      <c r="B52" s="193">
        <v>102404.0</v>
      </c>
      <c r="C52" s="192" t="s">
        <v>716</v>
      </c>
      <c r="D52" s="192" t="s">
        <v>2942</v>
      </c>
      <c r="E52" s="235"/>
      <c r="F52" s="235"/>
      <c r="G52" s="325"/>
      <c r="H52" s="235"/>
      <c r="I52" s="235"/>
      <c r="J52" s="235"/>
      <c r="K52" s="235"/>
      <c r="L52" s="235"/>
      <c r="M52" s="235"/>
      <c r="N52" s="235"/>
      <c r="O52" s="235"/>
      <c r="P52" s="235"/>
      <c r="Q52" s="235"/>
      <c r="R52" s="235"/>
      <c r="S52" s="235"/>
      <c r="T52" s="235"/>
      <c r="U52" s="235"/>
      <c r="V52" s="235"/>
      <c r="W52" s="235"/>
      <c r="X52" s="235"/>
      <c r="Y52" s="235"/>
      <c r="Z52" s="235"/>
      <c r="AA52" s="235"/>
      <c r="AB52" s="235"/>
      <c r="AC52" s="235"/>
    </row>
    <row r="53">
      <c r="A53" s="194" t="s">
        <v>707</v>
      </c>
      <c r="B53" s="193">
        <v>102459.0</v>
      </c>
      <c r="C53" s="192"/>
      <c r="D53" s="192" t="s">
        <v>51</v>
      </c>
      <c r="E53" s="235"/>
      <c r="F53" s="235"/>
      <c r="G53" s="325"/>
      <c r="H53" s="235"/>
      <c r="I53" s="235"/>
      <c r="J53" s="235"/>
      <c r="K53" s="235"/>
      <c r="L53" s="235"/>
      <c r="M53" s="235"/>
      <c r="N53" s="235"/>
      <c r="O53" s="235"/>
      <c r="P53" s="235"/>
      <c r="Q53" s="235"/>
      <c r="R53" s="235"/>
      <c r="S53" s="235"/>
      <c r="T53" s="235"/>
      <c r="U53" s="235"/>
      <c r="V53" s="235"/>
      <c r="W53" s="235"/>
      <c r="X53" s="235"/>
      <c r="Y53" s="235"/>
      <c r="Z53" s="235"/>
      <c r="AA53" s="235"/>
      <c r="AB53" s="235"/>
      <c r="AC53" s="235"/>
    </row>
    <row r="54">
      <c r="A54" s="194" t="s">
        <v>705</v>
      </c>
      <c r="B54" s="193">
        <v>102449.0</v>
      </c>
      <c r="C54" s="192"/>
      <c r="D54" s="192" t="s">
        <v>51</v>
      </c>
      <c r="E54" s="235"/>
      <c r="F54" s="235"/>
      <c r="G54" s="325"/>
      <c r="H54" s="235"/>
      <c r="I54" s="235"/>
      <c r="J54" s="235"/>
      <c r="K54" s="235"/>
      <c r="L54" s="235"/>
      <c r="M54" s="235"/>
      <c r="N54" s="235"/>
      <c r="O54" s="235"/>
      <c r="P54" s="235"/>
      <c r="Q54" s="235"/>
      <c r="R54" s="235"/>
      <c r="S54" s="235"/>
      <c r="T54" s="235"/>
      <c r="U54" s="235"/>
      <c r="V54" s="235"/>
      <c r="W54" s="235"/>
      <c r="X54" s="235"/>
      <c r="Y54" s="235"/>
      <c r="Z54" s="235"/>
      <c r="AA54" s="235"/>
      <c r="AB54" s="235"/>
      <c r="AC54" s="235"/>
    </row>
    <row r="55">
      <c r="A55" s="194" t="s">
        <v>938</v>
      </c>
      <c r="B55" s="193">
        <v>102438.0</v>
      </c>
      <c r="C55" s="192" t="s">
        <v>939</v>
      </c>
      <c r="D55" s="192" t="s">
        <v>51</v>
      </c>
      <c r="E55" s="235"/>
      <c r="F55" s="235"/>
      <c r="G55" s="325"/>
      <c r="H55" s="235"/>
      <c r="I55" s="235"/>
      <c r="J55" s="235"/>
      <c r="K55" s="235"/>
      <c r="L55" s="235"/>
      <c r="M55" s="235"/>
      <c r="N55" s="235"/>
      <c r="O55" s="235"/>
      <c r="P55" s="235"/>
      <c r="Q55" s="235"/>
      <c r="R55" s="235"/>
      <c r="S55" s="235"/>
      <c r="T55" s="235"/>
      <c r="U55" s="235"/>
      <c r="V55" s="235"/>
      <c r="W55" s="235"/>
      <c r="X55" s="235"/>
      <c r="Y55" s="235"/>
      <c r="Z55" s="235"/>
      <c r="AA55" s="235"/>
      <c r="AB55" s="235"/>
      <c r="AC55" s="235"/>
    </row>
    <row r="56">
      <c r="A56" s="194" t="s">
        <v>940</v>
      </c>
      <c r="B56" s="193">
        <v>102433.0</v>
      </c>
      <c r="C56" s="192" t="s">
        <v>941</v>
      </c>
      <c r="D56" s="192" t="s">
        <v>51</v>
      </c>
      <c r="E56" s="235"/>
      <c r="F56" s="235"/>
      <c r="G56" s="325"/>
      <c r="H56" s="235"/>
      <c r="I56" s="235"/>
      <c r="J56" s="235"/>
      <c r="K56" s="235"/>
      <c r="L56" s="235"/>
      <c r="M56" s="235"/>
      <c r="N56" s="235"/>
      <c r="O56" s="235"/>
      <c r="P56" s="235"/>
      <c r="Q56" s="235"/>
      <c r="R56" s="235"/>
      <c r="S56" s="235"/>
      <c r="T56" s="235"/>
      <c r="U56" s="235"/>
      <c r="V56" s="235"/>
      <c r="W56" s="235"/>
      <c r="X56" s="235"/>
      <c r="Y56" s="235"/>
      <c r="Z56" s="235"/>
      <c r="AA56" s="235"/>
      <c r="AB56" s="235"/>
      <c r="AC56" s="235"/>
    </row>
    <row r="57">
      <c r="A57" s="194" t="s">
        <v>700</v>
      </c>
      <c r="B57" s="193">
        <v>102460.0</v>
      </c>
      <c r="C57" s="192" t="s">
        <v>701</v>
      </c>
      <c r="D57" s="192" t="s">
        <v>522</v>
      </c>
      <c r="E57" s="235"/>
      <c r="F57" s="235"/>
      <c r="G57" s="325"/>
      <c r="H57" s="235"/>
      <c r="I57" s="235"/>
      <c r="J57" s="235"/>
      <c r="K57" s="235"/>
      <c r="L57" s="235"/>
      <c r="M57" s="235"/>
      <c r="N57" s="235"/>
      <c r="O57" s="235"/>
      <c r="P57" s="235"/>
      <c r="Q57" s="235"/>
      <c r="R57" s="235"/>
      <c r="S57" s="235"/>
      <c r="T57" s="235"/>
      <c r="U57" s="235"/>
      <c r="V57" s="235"/>
      <c r="W57" s="235"/>
      <c r="X57" s="235"/>
      <c r="Y57" s="235"/>
      <c r="Z57" s="235"/>
      <c r="AA57" s="235"/>
      <c r="AB57" s="235"/>
      <c r="AC57" s="235"/>
    </row>
    <row r="58">
      <c r="A58" s="194" t="s">
        <v>732</v>
      </c>
      <c r="B58" s="193">
        <v>102432.0</v>
      </c>
      <c r="C58" s="192" t="s">
        <v>730</v>
      </c>
      <c r="D58" s="192" t="s">
        <v>295</v>
      </c>
      <c r="E58" s="235"/>
      <c r="F58" s="235"/>
      <c r="G58" s="325"/>
      <c r="H58" s="235"/>
      <c r="I58" s="235"/>
      <c r="J58" s="235"/>
      <c r="K58" s="235"/>
      <c r="L58" s="235"/>
      <c r="M58" s="235"/>
      <c r="N58" s="235"/>
      <c r="O58" s="235"/>
      <c r="P58" s="235"/>
      <c r="Q58" s="235"/>
      <c r="R58" s="235"/>
      <c r="S58" s="235"/>
      <c r="T58" s="235"/>
      <c r="U58" s="235"/>
      <c r="V58" s="235"/>
      <c r="W58" s="235"/>
      <c r="X58" s="235"/>
      <c r="Y58" s="235"/>
      <c r="Z58" s="235"/>
      <c r="AA58" s="235"/>
      <c r="AB58" s="235"/>
      <c r="AC58" s="235"/>
    </row>
    <row r="59">
      <c r="A59" s="194" t="s">
        <v>673</v>
      </c>
      <c r="B59" s="193">
        <v>102373.0</v>
      </c>
      <c r="C59" s="192" t="s">
        <v>674</v>
      </c>
      <c r="D59" s="192" t="s">
        <v>154</v>
      </c>
      <c r="E59" s="235"/>
      <c r="F59" s="235"/>
      <c r="G59" s="325"/>
      <c r="H59" s="235"/>
      <c r="I59" s="235"/>
      <c r="J59" s="235"/>
      <c r="K59" s="235"/>
      <c r="L59" s="235"/>
      <c r="M59" s="235"/>
      <c r="N59" s="235"/>
      <c r="O59" s="235"/>
      <c r="P59" s="235"/>
      <c r="Q59" s="235"/>
      <c r="R59" s="235"/>
      <c r="S59" s="235"/>
      <c r="T59" s="235"/>
      <c r="U59" s="235"/>
      <c r="V59" s="235"/>
      <c r="W59" s="235"/>
      <c r="X59" s="235"/>
      <c r="Y59" s="235"/>
      <c r="Z59" s="235"/>
      <c r="AA59" s="235"/>
      <c r="AB59" s="235"/>
      <c r="AC59" s="235"/>
    </row>
    <row r="60">
      <c r="A60" s="194" t="s">
        <v>748</v>
      </c>
      <c r="B60" s="193">
        <v>102434.0</v>
      </c>
      <c r="C60" s="192"/>
      <c r="D60" s="192" t="s">
        <v>17</v>
      </c>
      <c r="E60" s="235"/>
      <c r="F60" s="235"/>
      <c r="G60" s="325"/>
      <c r="H60" s="235"/>
      <c r="I60" s="235"/>
      <c r="J60" s="235"/>
      <c r="K60" s="235"/>
      <c r="L60" s="235"/>
      <c r="M60" s="235"/>
      <c r="N60" s="235"/>
      <c r="O60" s="235"/>
      <c r="P60" s="235"/>
      <c r="Q60" s="235"/>
      <c r="R60" s="235"/>
      <c r="S60" s="235"/>
      <c r="T60" s="235"/>
      <c r="U60" s="235"/>
      <c r="V60" s="235"/>
      <c r="W60" s="235"/>
      <c r="X60" s="235"/>
      <c r="Y60" s="235"/>
      <c r="Z60" s="235"/>
      <c r="AA60" s="235"/>
      <c r="AB60" s="235"/>
      <c r="AC60" s="235"/>
    </row>
    <row r="61">
      <c r="A61" s="194" t="s">
        <v>742</v>
      </c>
      <c r="B61" s="193">
        <v>102427.0</v>
      </c>
      <c r="C61" s="192"/>
      <c r="D61" s="192" t="s">
        <v>2931</v>
      </c>
      <c r="E61" s="235"/>
      <c r="F61" s="235"/>
      <c r="G61" s="325"/>
      <c r="H61" s="235"/>
      <c r="I61" s="235"/>
      <c r="J61" s="235"/>
      <c r="K61" s="235"/>
      <c r="L61" s="235"/>
      <c r="M61" s="235"/>
      <c r="N61" s="235"/>
      <c r="O61" s="235"/>
      <c r="P61" s="235"/>
      <c r="Q61" s="235"/>
      <c r="R61" s="235"/>
      <c r="S61" s="235"/>
      <c r="T61" s="235"/>
      <c r="U61" s="235"/>
      <c r="V61" s="235"/>
      <c r="W61" s="235"/>
      <c r="X61" s="235"/>
      <c r="Y61" s="235"/>
      <c r="Z61" s="235"/>
      <c r="AA61" s="235"/>
      <c r="AB61" s="235"/>
      <c r="AC61" s="235"/>
    </row>
    <row r="62">
      <c r="A62" s="194" t="s">
        <v>942</v>
      </c>
      <c r="B62" s="193">
        <v>102486.0</v>
      </c>
      <c r="C62" s="192" t="s">
        <v>943</v>
      </c>
      <c r="D62" s="192" t="s">
        <v>51</v>
      </c>
      <c r="E62" s="235"/>
      <c r="F62" s="235"/>
      <c r="G62" s="325"/>
      <c r="H62" s="235"/>
      <c r="I62" s="235"/>
      <c r="J62" s="235"/>
      <c r="K62" s="235"/>
      <c r="L62" s="235"/>
      <c r="M62" s="235"/>
      <c r="N62" s="235"/>
      <c r="O62" s="235"/>
      <c r="P62" s="235"/>
      <c r="Q62" s="235"/>
      <c r="R62" s="235"/>
      <c r="S62" s="235"/>
      <c r="T62" s="235"/>
      <c r="U62" s="235"/>
      <c r="V62" s="235"/>
      <c r="W62" s="235"/>
      <c r="X62" s="235"/>
      <c r="Y62" s="235"/>
      <c r="Z62" s="235"/>
      <c r="AA62" s="235"/>
      <c r="AB62" s="235"/>
      <c r="AC62" s="235"/>
    </row>
    <row r="63">
      <c r="A63" s="194" t="s">
        <v>731</v>
      </c>
      <c r="B63" s="193">
        <v>102328.0</v>
      </c>
      <c r="C63" s="192" t="s">
        <v>728</v>
      </c>
      <c r="D63" s="192" t="s">
        <v>295</v>
      </c>
      <c r="E63" s="235"/>
      <c r="F63" s="235"/>
      <c r="G63" s="325"/>
      <c r="H63" s="235"/>
      <c r="I63" s="235"/>
      <c r="J63" s="235"/>
      <c r="K63" s="235"/>
      <c r="L63" s="235"/>
      <c r="M63" s="235"/>
      <c r="N63" s="235"/>
      <c r="O63" s="235"/>
      <c r="P63" s="235"/>
      <c r="Q63" s="235"/>
      <c r="R63" s="235"/>
      <c r="S63" s="235"/>
      <c r="T63" s="235"/>
      <c r="U63" s="235"/>
      <c r="V63" s="235"/>
      <c r="W63" s="235"/>
      <c r="X63" s="235"/>
      <c r="Y63" s="235"/>
      <c r="Z63" s="235"/>
      <c r="AA63" s="235"/>
      <c r="AB63" s="235"/>
      <c r="AC63" s="235"/>
    </row>
    <row r="64">
      <c r="A64" s="194" t="s">
        <v>729</v>
      </c>
      <c r="B64" s="193">
        <v>102432.0</v>
      </c>
      <c r="C64" s="192" t="s">
        <v>730</v>
      </c>
      <c r="D64" s="192" t="s">
        <v>2943</v>
      </c>
      <c r="E64" s="235"/>
      <c r="F64" s="235"/>
      <c r="G64" s="325"/>
      <c r="H64" s="235"/>
      <c r="I64" s="235"/>
      <c r="J64" s="235"/>
      <c r="K64" s="235"/>
      <c r="L64" s="235"/>
      <c r="M64" s="235"/>
      <c r="N64" s="235"/>
      <c r="O64" s="235"/>
      <c r="P64" s="235"/>
      <c r="Q64" s="235"/>
      <c r="R64" s="235"/>
      <c r="S64" s="235"/>
      <c r="T64" s="235"/>
      <c r="U64" s="235"/>
      <c r="V64" s="235"/>
      <c r="W64" s="235"/>
      <c r="X64" s="235"/>
      <c r="Y64" s="235"/>
      <c r="Z64" s="235"/>
      <c r="AA64" s="235"/>
      <c r="AB64" s="235"/>
      <c r="AC64" s="235"/>
    </row>
    <row r="65">
      <c r="A65" s="194" t="s">
        <v>2944</v>
      </c>
      <c r="B65" s="193">
        <v>102479.0</v>
      </c>
      <c r="C65" s="192" t="s">
        <v>2945</v>
      </c>
      <c r="D65" s="192" t="s">
        <v>149</v>
      </c>
      <c r="E65" s="235"/>
      <c r="F65" s="235"/>
      <c r="G65" s="325"/>
      <c r="H65" s="235"/>
      <c r="I65" s="235"/>
      <c r="J65" s="235"/>
      <c r="K65" s="235"/>
      <c r="L65" s="235"/>
      <c r="M65" s="235"/>
      <c r="N65" s="235"/>
      <c r="O65" s="235"/>
      <c r="P65" s="235"/>
      <c r="Q65" s="235"/>
      <c r="R65" s="235"/>
      <c r="S65" s="235"/>
      <c r="T65" s="235"/>
      <c r="U65" s="235"/>
      <c r="V65" s="235"/>
      <c r="W65" s="235"/>
      <c r="X65" s="235"/>
      <c r="Y65" s="235"/>
      <c r="Z65" s="235"/>
      <c r="AA65" s="235"/>
      <c r="AB65" s="235"/>
      <c r="AC65" s="235"/>
    </row>
    <row r="66">
      <c r="A66" s="194" t="s">
        <v>947</v>
      </c>
      <c r="B66" s="193">
        <v>102477.0</v>
      </c>
      <c r="C66" s="192" t="s">
        <v>948</v>
      </c>
      <c r="D66" s="192" t="s">
        <v>522</v>
      </c>
      <c r="E66" s="235"/>
      <c r="F66" s="235"/>
      <c r="G66" s="325"/>
      <c r="H66" s="235"/>
      <c r="I66" s="235"/>
      <c r="J66" s="235"/>
      <c r="K66" s="235"/>
      <c r="L66" s="235"/>
      <c r="M66" s="235"/>
      <c r="N66" s="235"/>
      <c r="O66" s="235"/>
      <c r="P66" s="235"/>
      <c r="Q66" s="235"/>
      <c r="R66" s="235"/>
      <c r="S66" s="235"/>
      <c r="T66" s="235"/>
      <c r="U66" s="235"/>
      <c r="V66" s="235"/>
      <c r="W66" s="235"/>
      <c r="X66" s="235"/>
      <c r="Y66" s="235"/>
      <c r="Z66" s="235"/>
      <c r="AA66" s="235"/>
      <c r="AB66" s="235"/>
      <c r="AC66" s="235"/>
    </row>
    <row r="67">
      <c r="A67" s="194" t="s">
        <v>727</v>
      </c>
      <c r="B67" s="193">
        <v>102328.0</v>
      </c>
      <c r="C67" s="192" t="s">
        <v>728</v>
      </c>
      <c r="D67" s="192" t="s">
        <v>2942</v>
      </c>
      <c r="E67" s="235"/>
      <c r="F67" s="235"/>
      <c r="G67" s="325"/>
      <c r="H67" s="235"/>
      <c r="I67" s="235"/>
      <c r="J67" s="235"/>
      <c r="K67" s="235"/>
      <c r="L67" s="235"/>
      <c r="M67" s="235"/>
      <c r="N67" s="235"/>
      <c r="O67" s="235"/>
      <c r="P67" s="235"/>
      <c r="Q67" s="235"/>
      <c r="R67" s="235"/>
      <c r="S67" s="235"/>
      <c r="T67" s="235"/>
      <c r="U67" s="235"/>
      <c r="V67" s="235"/>
      <c r="W67" s="235"/>
      <c r="X67" s="235"/>
      <c r="Y67" s="235"/>
      <c r="Z67" s="235"/>
      <c r="AA67" s="235"/>
      <c r="AB67" s="235"/>
      <c r="AC67" s="235"/>
    </row>
    <row r="68">
      <c r="A68" s="194" t="s">
        <v>661</v>
      </c>
      <c r="B68" s="193">
        <v>102339.0</v>
      </c>
      <c r="C68" s="192" t="s">
        <v>662</v>
      </c>
      <c r="D68" s="192" t="s">
        <v>312</v>
      </c>
      <c r="E68" s="235"/>
      <c r="F68" s="235"/>
      <c r="G68" s="325"/>
      <c r="H68" s="235"/>
      <c r="I68" s="235"/>
      <c r="J68" s="235"/>
      <c r="K68" s="235"/>
      <c r="L68" s="235"/>
      <c r="M68" s="235"/>
      <c r="N68" s="235"/>
      <c r="O68" s="235"/>
      <c r="P68" s="235"/>
      <c r="Q68" s="235"/>
      <c r="R68" s="235"/>
      <c r="S68" s="235"/>
      <c r="T68" s="235"/>
      <c r="U68" s="235"/>
      <c r="V68" s="235"/>
      <c r="W68" s="235"/>
      <c r="X68" s="235"/>
      <c r="Y68" s="235"/>
      <c r="Z68" s="235"/>
      <c r="AA68" s="235"/>
      <c r="AB68" s="235"/>
      <c r="AC68" s="235"/>
    </row>
    <row r="69">
      <c r="A69" s="194" t="s">
        <v>932</v>
      </c>
      <c r="B69" s="193">
        <v>102413.0</v>
      </c>
      <c r="C69" s="192" t="s">
        <v>933</v>
      </c>
      <c r="D69" s="192" t="s">
        <v>51</v>
      </c>
      <c r="E69" s="235"/>
      <c r="F69" s="235"/>
      <c r="G69" s="325"/>
      <c r="H69" s="235"/>
      <c r="I69" s="235"/>
      <c r="J69" s="235"/>
      <c r="K69" s="235"/>
      <c r="L69" s="235"/>
      <c r="M69" s="235"/>
      <c r="N69" s="235"/>
      <c r="O69" s="235"/>
      <c r="P69" s="235"/>
      <c r="Q69" s="235"/>
      <c r="R69" s="235"/>
      <c r="S69" s="235"/>
      <c r="T69" s="235"/>
      <c r="U69" s="235"/>
      <c r="V69" s="235"/>
      <c r="W69" s="235"/>
      <c r="X69" s="235"/>
      <c r="Y69" s="235"/>
      <c r="Z69" s="235"/>
      <c r="AA69" s="235"/>
      <c r="AB69" s="235"/>
      <c r="AC69" s="235"/>
    </row>
    <row r="70">
      <c r="A70" s="194" t="s">
        <v>692</v>
      </c>
      <c r="B70" s="193">
        <v>102329.0</v>
      </c>
      <c r="C70" s="192" t="s">
        <v>693</v>
      </c>
      <c r="D70" s="192" t="s">
        <v>141</v>
      </c>
      <c r="E70" s="235"/>
      <c r="F70" s="235"/>
      <c r="G70" s="325"/>
      <c r="H70" s="235"/>
      <c r="I70" s="235"/>
      <c r="J70" s="235"/>
      <c r="K70" s="235"/>
      <c r="L70" s="235"/>
      <c r="M70" s="235"/>
      <c r="N70" s="235"/>
      <c r="O70" s="235"/>
      <c r="P70" s="235"/>
      <c r="Q70" s="235"/>
      <c r="R70" s="235"/>
      <c r="S70" s="235"/>
      <c r="T70" s="235"/>
      <c r="U70" s="235"/>
      <c r="V70" s="235"/>
      <c r="W70" s="235"/>
      <c r="X70" s="235"/>
      <c r="Y70" s="235"/>
      <c r="Z70" s="235"/>
      <c r="AA70" s="235"/>
      <c r="AB70" s="235"/>
      <c r="AC70" s="235"/>
    </row>
    <row r="71">
      <c r="A71" s="194" t="s">
        <v>667</v>
      </c>
      <c r="B71" s="193">
        <v>102342.0</v>
      </c>
      <c r="C71" s="192" t="s">
        <v>668</v>
      </c>
      <c r="D71" s="192" t="s">
        <v>295</v>
      </c>
      <c r="E71" s="235"/>
      <c r="F71" s="235"/>
      <c r="G71" s="325"/>
      <c r="H71" s="235"/>
      <c r="I71" s="235"/>
      <c r="J71" s="235"/>
      <c r="K71" s="235"/>
      <c r="L71" s="235"/>
      <c r="M71" s="235"/>
      <c r="N71" s="235"/>
      <c r="O71" s="235"/>
      <c r="P71" s="235"/>
      <c r="Q71" s="235"/>
      <c r="R71" s="235"/>
      <c r="S71" s="235"/>
      <c r="T71" s="235"/>
      <c r="U71" s="235"/>
      <c r="V71" s="235"/>
      <c r="W71" s="235"/>
      <c r="X71" s="235"/>
      <c r="Y71" s="235"/>
      <c r="Z71" s="235"/>
      <c r="AA71" s="235"/>
      <c r="AB71" s="235"/>
      <c r="AC71" s="235"/>
    </row>
    <row r="72">
      <c r="A72" s="194" t="s">
        <v>665</v>
      </c>
      <c r="B72" s="193">
        <v>102383.0</v>
      </c>
      <c r="C72" s="192" t="s">
        <v>666</v>
      </c>
      <c r="D72" s="192" t="s">
        <v>295</v>
      </c>
      <c r="E72" s="235"/>
      <c r="F72" s="235"/>
      <c r="G72" s="325"/>
      <c r="H72" s="235"/>
      <c r="I72" s="235"/>
      <c r="J72" s="235"/>
      <c r="K72" s="235"/>
      <c r="L72" s="235"/>
      <c r="M72" s="235"/>
      <c r="N72" s="235"/>
      <c r="O72" s="235"/>
      <c r="P72" s="235"/>
      <c r="Q72" s="235"/>
      <c r="R72" s="235"/>
      <c r="S72" s="235"/>
      <c r="T72" s="235"/>
      <c r="U72" s="235"/>
      <c r="V72" s="235"/>
      <c r="W72" s="235"/>
      <c r="X72" s="235"/>
      <c r="Y72" s="235"/>
      <c r="Z72" s="235"/>
      <c r="AA72" s="235"/>
      <c r="AB72" s="235"/>
      <c r="AC72" s="235"/>
    </row>
    <row r="73">
      <c r="A73" s="194" t="s">
        <v>694</v>
      </c>
      <c r="B73" s="193">
        <v>102375.0</v>
      </c>
      <c r="C73" s="192" t="s">
        <v>695</v>
      </c>
      <c r="D73" s="192" t="s">
        <v>141</v>
      </c>
      <c r="E73" s="235"/>
      <c r="F73" s="235"/>
      <c r="G73" s="325"/>
      <c r="H73" s="235"/>
      <c r="I73" s="235"/>
      <c r="J73" s="235"/>
      <c r="K73" s="235"/>
      <c r="L73" s="235"/>
      <c r="M73" s="235"/>
      <c r="N73" s="235"/>
      <c r="O73" s="235"/>
      <c r="P73" s="235"/>
      <c r="Q73" s="235"/>
      <c r="R73" s="235"/>
      <c r="S73" s="235"/>
      <c r="T73" s="235"/>
      <c r="U73" s="235"/>
      <c r="V73" s="235"/>
      <c r="W73" s="235"/>
      <c r="X73" s="235"/>
      <c r="Y73" s="235"/>
      <c r="Z73" s="235"/>
      <c r="AA73" s="235"/>
      <c r="AB73" s="235"/>
      <c r="AC73" s="235"/>
    </row>
    <row r="74">
      <c r="A74" s="194" t="s">
        <v>669</v>
      </c>
      <c r="B74" s="193">
        <v>102330.0</v>
      </c>
      <c r="C74" s="192" t="s">
        <v>670</v>
      </c>
      <c r="D74" s="192" t="s">
        <v>2942</v>
      </c>
      <c r="E74" s="235"/>
      <c r="F74" s="235"/>
      <c r="G74" s="325"/>
      <c r="H74" s="235"/>
      <c r="I74" s="235"/>
      <c r="J74" s="235"/>
      <c r="K74" s="235"/>
      <c r="L74" s="235"/>
      <c r="M74" s="235"/>
      <c r="N74" s="235"/>
      <c r="O74" s="235"/>
      <c r="P74" s="235"/>
      <c r="Q74" s="235"/>
      <c r="R74" s="235"/>
      <c r="S74" s="235"/>
      <c r="T74" s="235"/>
      <c r="U74" s="235"/>
      <c r="V74" s="235"/>
      <c r="W74" s="235"/>
      <c r="X74" s="235"/>
      <c r="Y74" s="235"/>
      <c r="Z74" s="235"/>
      <c r="AA74" s="235"/>
      <c r="AB74" s="235"/>
      <c r="AC74" s="235"/>
    </row>
    <row r="75">
      <c r="A75" s="194" t="s">
        <v>702</v>
      </c>
      <c r="B75" s="193">
        <v>102436.0</v>
      </c>
      <c r="C75" s="192" t="s">
        <v>703</v>
      </c>
      <c r="D75" s="192" t="s">
        <v>704</v>
      </c>
      <c r="E75" s="235"/>
      <c r="F75" s="235"/>
      <c r="G75" s="325"/>
      <c r="H75" s="235"/>
      <c r="I75" s="235"/>
      <c r="J75" s="235"/>
      <c r="K75" s="235"/>
      <c r="L75" s="235"/>
      <c r="M75" s="235"/>
      <c r="N75" s="235"/>
      <c r="O75" s="235"/>
      <c r="P75" s="235"/>
      <c r="Q75" s="235"/>
      <c r="R75" s="235"/>
      <c r="S75" s="235"/>
      <c r="T75" s="235"/>
      <c r="U75" s="235"/>
      <c r="V75" s="235"/>
      <c r="W75" s="235"/>
      <c r="X75" s="235"/>
      <c r="Y75" s="235"/>
      <c r="Z75" s="235"/>
      <c r="AA75" s="235"/>
      <c r="AB75" s="235"/>
      <c r="AC75" s="235"/>
    </row>
    <row r="76">
      <c r="A76" s="194" t="s">
        <v>725</v>
      </c>
      <c r="B76" s="193">
        <v>102378.0</v>
      </c>
      <c r="C76" s="192" t="s">
        <v>726</v>
      </c>
      <c r="D76" s="192" t="s">
        <v>193</v>
      </c>
      <c r="E76" s="235"/>
      <c r="F76" s="235"/>
      <c r="G76" s="325"/>
      <c r="H76" s="235"/>
      <c r="I76" s="235"/>
      <c r="J76" s="235"/>
      <c r="K76" s="235"/>
      <c r="L76" s="235"/>
      <c r="M76" s="235"/>
      <c r="N76" s="235"/>
      <c r="O76" s="235"/>
      <c r="P76" s="235"/>
      <c r="Q76" s="235"/>
      <c r="R76" s="235"/>
      <c r="S76" s="235"/>
      <c r="T76" s="235"/>
      <c r="U76" s="235"/>
      <c r="V76" s="235"/>
      <c r="W76" s="235"/>
      <c r="X76" s="235"/>
      <c r="Y76" s="235"/>
      <c r="Z76" s="235"/>
      <c r="AA76" s="235"/>
      <c r="AB76" s="235"/>
      <c r="AC76" s="235"/>
    </row>
    <row r="77">
      <c r="A77" s="194" t="s">
        <v>696</v>
      </c>
      <c r="B77" s="193">
        <v>102379.0</v>
      </c>
      <c r="C77" s="192" t="s">
        <v>697</v>
      </c>
      <c r="D77" s="192" t="s">
        <v>141</v>
      </c>
      <c r="E77" s="235"/>
      <c r="F77" s="235"/>
      <c r="G77" s="325"/>
      <c r="H77" s="235"/>
      <c r="I77" s="235"/>
      <c r="J77" s="235"/>
      <c r="K77" s="235"/>
      <c r="L77" s="235"/>
      <c r="M77" s="235"/>
      <c r="N77" s="235"/>
      <c r="O77" s="235"/>
      <c r="P77" s="235"/>
      <c r="Q77" s="235"/>
      <c r="R77" s="235"/>
      <c r="S77" s="235"/>
      <c r="T77" s="235"/>
      <c r="U77" s="235"/>
      <c r="V77" s="235"/>
      <c r="W77" s="235"/>
      <c r="X77" s="235"/>
      <c r="Y77" s="235"/>
      <c r="Z77" s="235"/>
      <c r="AA77" s="235"/>
      <c r="AB77" s="235"/>
      <c r="AC77" s="235"/>
    </row>
    <row r="78">
      <c r="A78" s="194" t="s">
        <v>681</v>
      </c>
      <c r="B78" s="193">
        <v>102396.0</v>
      </c>
      <c r="C78" s="192" t="s">
        <v>682</v>
      </c>
      <c r="D78" s="192" t="s">
        <v>247</v>
      </c>
      <c r="E78" s="235"/>
      <c r="F78" s="235"/>
      <c r="G78" s="325"/>
      <c r="H78" s="235"/>
      <c r="I78" s="235"/>
      <c r="J78" s="235"/>
      <c r="K78" s="235"/>
      <c r="L78" s="235"/>
      <c r="M78" s="235"/>
      <c r="N78" s="235"/>
      <c r="O78" s="235"/>
      <c r="P78" s="235"/>
      <c r="Q78" s="235"/>
      <c r="R78" s="235"/>
      <c r="S78" s="235"/>
      <c r="T78" s="235"/>
      <c r="U78" s="235"/>
      <c r="V78" s="235"/>
      <c r="W78" s="235"/>
      <c r="X78" s="235"/>
      <c r="Y78" s="235"/>
      <c r="Z78" s="235"/>
      <c r="AA78" s="235"/>
      <c r="AB78" s="235"/>
      <c r="AC78" s="235"/>
    </row>
    <row r="79">
      <c r="A79" s="194" t="s">
        <v>936</v>
      </c>
      <c r="B79" s="193">
        <v>102398.0</v>
      </c>
      <c r="C79" s="192" t="s">
        <v>937</v>
      </c>
      <c r="D79" s="192" t="s">
        <v>51</v>
      </c>
      <c r="E79" s="235"/>
      <c r="F79" s="235"/>
      <c r="G79" s="325"/>
      <c r="H79" s="235"/>
      <c r="I79" s="235"/>
      <c r="J79" s="235"/>
      <c r="K79" s="235"/>
      <c r="L79" s="235"/>
      <c r="M79" s="235"/>
      <c r="N79" s="235"/>
      <c r="O79" s="235"/>
      <c r="P79" s="235"/>
      <c r="Q79" s="235"/>
      <c r="R79" s="235"/>
      <c r="S79" s="235"/>
      <c r="T79" s="235"/>
      <c r="U79" s="235"/>
      <c r="V79" s="235"/>
      <c r="W79" s="235"/>
      <c r="X79" s="235"/>
      <c r="Y79" s="235"/>
      <c r="Z79" s="235"/>
      <c r="AA79" s="235"/>
      <c r="AB79" s="235"/>
      <c r="AC79" s="235"/>
    </row>
    <row r="80">
      <c r="A80" s="194" t="s">
        <v>671</v>
      </c>
      <c r="B80" s="193">
        <v>102411.0</v>
      </c>
      <c r="C80" s="192" t="s">
        <v>672</v>
      </c>
      <c r="D80" s="192" t="s">
        <v>2946</v>
      </c>
      <c r="E80" s="235"/>
      <c r="F80" s="235"/>
      <c r="G80" s="325"/>
      <c r="H80" s="235"/>
      <c r="I80" s="235"/>
      <c r="J80" s="235"/>
      <c r="K80" s="235"/>
      <c r="L80" s="235"/>
      <c r="M80" s="235"/>
      <c r="N80" s="235"/>
      <c r="O80" s="235"/>
      <c r="P80" s="235"/>
      <c r="Q80" s="235"/>
      <c r="R80" s="235"/>
      <c r="S80" s="235"/>
      <c r="T80" s="235"/>
      <c r="U80" s="235"/>
      <c r="V80" s="235"/>
      <c r="W80" s="235"/>
      <c r="X80" s="235"/>
      <c r="Y80" s="235"/>
      <c r="Z80" s="235"/>
      <c r="AA80" s="235"/>
      <c r="AB80" s="235"/>
      <c r="AC80" s="235"/>
    </row>
    <row r="81">
      <c r="A81" s="194" t="s">
        <v>677</v>
      </c>
      <c r="B81" s="193">
        <v>102395.0</v>
      </c>
      <c r="C81" s="192"/>
      <c r="D81" s="192" t="s">
        <v>247</v>
      </c>
      <c r="E81" s="235"/>
      <c r="F81" s="235"/>
      <c r="G81" s="325"/>
      <c r="H81" s="235"/>
      <c r="I81" s="235"/>
      <c r="J81" s="235"/>
      <c r="K81" s="235"/>
      <c r="L81" s="235"/>
      <c r="M81" s="235"/>
      <c r="N81" s="235"/>
      <c r="O81" s="235"/>
      <c r="P81" s="235"/>
      <c r="Q81" s="235"/>
      <c r="R81" s="235"/>
      <c r="S81" s="235"/>
      <c r="T81" s="235"/>
      <c r="U81" s="235"/>
      <c r="V81" s="235"/>
      <c r="W81" s="235"/>
      <c r="X81" s="235"/>
      <c r="Y81" s="235"/>
      <c r="Z81" s="235"/>
      <c r="AA81" s="235"/>
      <c r="AB81" s="235"/>
      <c r="AC81" s="235"/>
    </row>
    <row r="82">
      <c r="A82" s="194" t="s">
        <v>679</v>
      </c>
      <c r="B82" s="193">
        <v>102393.0</v>
      </c>
      <c r="C82" s="192"/>
      <c r="D82" s="192" t="s">
        <v>247</v>
      </c>
      <c r="E82" s="235"/>
      <c r="F82" s="235"/>
      <c r="G82" s="325"/>
      <c r="H82" s="235"/>
      <c r="I82" s="235"/>
      <c r="J82" s="235"/>
      <c r="K82" s="235"/>
      <c r="L82" s="235"/>
      <c r="M82" s="235"/>
      <c r="N82" s="235"/>
      <c r="O82" s="235"/>
      <c r="P82" s="235"/>
      <c r="Q82" s="235"/>
      <c r="R82" s="235"/>
      <c r="S82" s="235"/>
      <c r="T82" s="235"/>
      <c r="U82" s="235"/>
      <c r="V82" s="235"/>
      <c r="W82" s="235"/>
      <c r="X82" s="235"/>
      <c r="Y82" s="235"/>
      <c r="Z82" s="235"/>
      <c r="AA82" s="235"/>
      <c r="AB82" s="235"/>
      <c r="AC82" s="235"/>
    </row>
    <row r="83">
      <c r="A83" s="194" t="s">
        <v>2947</v>
      </c>
      <c r="B83" s="193">
        <v>102397.0</v>
      </c>
      <c r="C83" s="192"/>
      <c r="D83" s="192" t="s">
        <v>247</v>
      </c>
      <c r="E83" s="235"/>
      <c r="F83" s="235"/>
      <c r="G83" s="325"/>
      <c r="H83" s="235"/>
      <c r="I83" s="235"/>
      <c r="J83" s="235"/>
      <c r="K83" s="235"/>
      <c r="L83" s="235"/>
      <c r="M83" s="235"/>
      <c r="N83" s="235"/>
      <c r="O83" s="235"/>
      <c r="P83" s="235"/>
      <c r="Q83" s="235"/>
      <c r="R83" s="235"/>
      <c r="S83" s="235"/>
      <c r="T83" s="235"/>
      <c r="U83" s="235"/>
      <c r="V83" s="235"/>
      <c r="W83" s="235"/>
      <c r="X83" s="235"/>
      <c r="Y83" s="235"/>
      <c r="Z83" s="235"/>
      <c r="AA83" s="235"/>
      <c r="AB83" s="235"/>
      <c r="AC83" s="235"/>
    </row>
    <row r="84">
      <c r="A84" s="194" t="s">
        <v>934</v>
      </c>
      <c r="B84" s="193">
        <v>102419.0</v>
      </c>
      <c r="C84" s="192" t="s">
        <v>935</v>
      </c>
      <c r="D84" s="192" t="s">
        <v>51</v>
      </c>
      <c r="E84" s="235"/>
      <c r="F84" s="235"/>
      <c r="G84" s="325"/>
      <c r="H84" s="235"/>
      <c r="I84" s="235"/>
      <c r="J84" s="235"/>
      <c r="K84" s="235"/>
      <c r="L84" s="235"/>
      <c r="M84" s="235"/>
      <c r="N84" s="235"/>
      <c r="O84" s="235"/>
      <c r="P84" s="235"/>
      <c r="Q84" s="235"/>
      <c r="R84" s="235"/>
      <c r="S84" s="235"/>
      <c r="T84" s="235"/>
      <c r="U84" s="235"/>
      <c r="V84" s="235"/>
      <c r="W84" s="235"/>
      <c r="X84" s="235"/>
      <c r="Y84" s="235"/>
      <c r="Z84" s="235"/>
      <c r="AA84" s="235"/>
      <c r="AB84" s="235"/>
      <c r="AC84" s="235"/>
    </row>
    <row r="85">
      <c r="A85" s="194" t="s">
        <v>944</v>
      </c>
      <c r="B85" s="193">
        <v>102349.0</v>
      </c>
      <c r="C85" s="192" t="s">
        <v>945</v>
      </c>
      <c r="D85" s="192" t="s">
        <v>522</v>
      </c>
      <c r="E85" s="235"/>
      <c r="F85" s="235"/>
      <c r="G85" s="325"/>
      <c r="H85" s="235"/>
      <c r="I85" s="235"/>
      <c r="J85" s="235"/>
      <c r="K85" s="235"/>
      <c r="L85" s="235"/>
      <c r="M85" s="235"/>
      <c r="N85" s="235"/>
      <c r="O85" s="235"/>
      <c r="P85" s="235"/>
      <c r="Q85" s="235"/>
      <c r="R85" s="235"/>
      <c r="S85" s="235"/>
      <c r="T85" s="235"/>
      <c r="U85" s="235"/>
      <c r="V85" s="235"/>
      <c r="W85" s="235"/>
      <c r="X85" s="235"/>
      <c r="Y85" s="235"/>
      <c r="Z85" s="235"/>
      <c r="AA85" s="235"/>
      <c r="AB85" s="235"/>
      <c r="AC85" s="235"/>
    </row>
    <row r="86">
      <c r="A86" s="194" t="s">
        <v>675</v>
      </c>
      <c r="B86" s="193">
        <v>102389.0</v>
      </c>
      <c r="C86" s="192" t="s">
        <v>676</v>
      </c>
      <c r="D86" s="192" t="s">
        <v>114</v>
      </c>
      <c r="E86" s="235"/>
      <c r="F86" s="235"/>
      <c r="G86" s="325"/>
      <c r="H86" s="235"/>
      <c r="I86" s="235"/>
      <c r="J86" s="235"/>
      <c r="K86" s="235"/>
      <c r="L86" s="235"/>
      <c r="M86" s="235"/>
      <c r="N86" s="235"/>
      <c r="O86" s="235"/>
      <c r="P86" s="235"/>
      <c r="Q86" s="235"/>
      <c r="R86" s="235"/>
      <c r="S86" s="235"/>
      <c r="T86" s="235"/>
      <c r="U86" s="235"/>
      <c r="V86" s="235"/>
      <c r="W86" s="235"/>
      <c r="X86" s="235"/>
      <c r="Y86" s="235"/>
      <c r="Z86" s="235"/>
      <c r="AA86" s="235"/>
      <c r="AB86" s="235"/>
      <c r="AC86" s="235"/>
    </row>
    <row r="87">
      <c r="A87" s="194" t="s">
        <v>899</v>
      </c>
      <c r="B87" s="193">
        <v>102467.0</v>
      </c>
      <c r="C87" s="192"/>
      <c r="D87" s="192" t="s">
        <v>51</v>
      </c>
      <c r="E87" s="235"/>
      <c r="F87" s="235"/>
      <c r="G87" s="325"/>
      <c r="H87" s="235"/>
      <c r="I87" s="235"/>
      <c r="J87" s="235"/>
      <c r="K87" s="235"/>
      <c r="L87" s="235"/>
      <c r="M87" s="235"/>
      <c r="N87" s="235"/>
      <c r="O87" s="235"/>
      <c r="P87" s="235"/>
      <c r="Q87" s="235"/>
      <c r="R87" s="235"/>
      <c r="S87" s="235"/>
      <c r="T87" s="235"/>
      <c r="U87" s="235"/>
      <c r="V87" s="235"/>
      <c r="W87" s="235"/>
      <c r="X87" s="235"/>
      <c r="Y87" s="235"/>
      <c r="Z87" s="235"/>
      <c r="AA87" s="235"/>
      <c r="AB87" s="235"/>
      <c r="AC87" s="235"/>
    </row>
    <row r="88">
      <c r="A88" s="194" t="s">
        <v>922</v>
      </c>
      <c r="B88" s="193">
        <v>102469.0</v>
      </c>
      <c r="C88" s="192" t="s">
        <v>923</v>
      </c>
      <c r="D88" s="192" t="s">
        <v>312</v>
      </c>
      <c r="E88" s="235"/>
      <c r="F88" s="235"/>
      <c r="G88" s="325"/>
      <c r="H88" s="235"/>
      <c r="I88" s="235"/>
      <c r="J88" s="235"/>
      <c r="K88" s="235"/>
      <c r="L88" s="235"/>
      <c r="M88" s="235"/>
      <c r="N88" s="235"/>
      <c r="O88" s="235"/>
      <c r="P88" s="235"/>
      <c r="Q88" s="235"/>
      <c r="R88" s="235"/>
      <c r="S88" s="235"/>
      <c r="T88" s="235"/>
      <c r="U88" s="235"/>
      <c r="V88" s="235"/>
      <c r="W88" s="235"/>
      <c r="X88" s="235"/>
      <c r="Y88" s="235"/>
      <c r="Z88" s="235"/>
      <c r="AA88" s="235"/>
      <c r="AB88" s="235"/>
      <c r="AC88" s="235"/>
    </row>
    <row r="89">
      <c r="A89" s="194" t="s">
        <v>886</v>
      </c>
      <c r="B89" s="193">
        <v>102267.0</v>
      </c>
      <c r="C89" s="192" t="s">
        <v>887</v>
      </c>
      <c r="D89" s="192" t="s">
        <v>193</v>
      </c>
      <c r="E89" s="235"/>
      <c r="F89" s="235"/>
      <c r="G89" s="325"/>
      <c r="H89" s="235"/>
      <c r="I89" s="235"/>
      <c r="J89" s="235"/>
      <c r="K89" s="235"/>
      <c r="L89" s="235"/>
      <c r="M89" s="235"/>
      <c r="N89" s="235"/>
      <c r="O89" s="235"/>
      <c r="P89" s="235"/>
      <c r="Q89" s="235"/>
      <c r="R89" s="235"/>
      <c r="S89" s="235"/>
      <c r="T89" s="235"/>
      <c r="U89" s="235"/>
      <c r="V89" s="235"/>
      <c r="W89" s="235"/>
      <c r="X89" s="235"/>
      <c r="Y89" s="235"/>
      <c r="Z89" s="235"/>
      <c r="AA89" s="235"/>
      <c r="AB89" s="235"/>
      <c r="AC89" s="235"/>
    </row>
    <row r="90">
      <c r="A90" s="194" t="s">
        <v>910</v>
      </c>
      <c r="B90" s="193">
        <v>102327.0</v>
      </c>
      <c r="C90" s="192" t="s">
        <v>911</v>
      </c>
      <c r="D90" s="192" t="s">
        <v>101</v>
      </c>
      <c r="E90" s="235"/>
      <c r="F90" s="235"/>
      <c r="G90" s="325"/>
      <c r="H90" s="235"/>
      <c r="I90" s="235"/>
      <c r="J90" s="235"/>
      <c r="K90" s="235"/>
      <c r="L90" s="235"/>
      <c r="M90" s="235"/>
      <c r="N90" s="235"/>
      <c r="O90" s="235"/>
      <c r="P90" s="235"/>
      <c r="Q90" s="235"/>
      <c r="R90" s="235"/>
      <c r="S90" s="235"/>
      <c r="T90" s="235"/>
      <c r="U90" s="235"/>
      <c r="V90" s="235"/>
      <c r="W90" s="235"/>
      <c r="X90" s="235"/>
      <c r="Y90" s="235"/>
      <c r="Z90" s="235"/>
      <c r="AA90" s="235"/>
      <c r="AB90" s="235"/>
      <c r="AC90" s="235"/>
    </row>
    <row r="91">
      <c r="A91" s="194" t="s">
        <v>897</v>
      </c>
      <c r="B91" s="193">
        <v>102354.0</v>
      </c>
      <c r="C91" s="192" t="s">
        <v>898</v>
      </c>
      <c r="D91" s="192" t="s">
        <v>51</v>
      </c>
      <c r="E91" s="235"/>
      <c r="F91" s="235"/>
      <c r="G91" s="325"/>
      <c r="H91" s="235"/>
      <c r="I91" s="235"/>
      <c r="J91" s="235"/>
      <c r="K91" s="235"/>
      <c r="L91" s="235"/>
      <c r="M91" s="235"/>
      <c r="N91" s="235"/>
      <c r="O91" s="235"/>
      <c r="P91" s="235"/>
      <c r="Q91" s="235"/>
      <c r="R91" s="235"/>
      <c r="S91" s="235"/>
      <c r="T91" s="235"/>
      <c r="U91" s="235"/>
      <c r="V91" s="235"/>
      <c r="W91" s="235"/>
      <c r="X91" s="235"/>
      <c r="Y91" s="235"/>
      <c r="Z91" s="235"/>
      <c r="AA91" s="235"/>
      <c r="AB91" s="235"/>
      <c r="AC91" s="235"/>
    </row>
    <row r="92">
      <c r="A92" s="194" t="s">
        <v>888</v>
      </c>
      <c r="B92" s="193">
        <v>102352.0</v>
      </c>
      <c r="C92" s="192" t="s">
        <v>889</v>
      </c>
      <c r="D92" s="192" t="s">
        <v>704</v>
      </c>
      <c r="E92" s="235"/>
      <c r="F92" s="235"/>
      <c r="G92" s="325"/>
      <c r="H92" s="235"/>
      <c r="I92" s="235"/>
      <c r="J92" s="235"/>
      <c r="K92" s="235"/>
      <c r="L92" s="235"/>
      <c r="M92" s="235"/>
      <c r="N92" s="235"/>
      <c r="O92" s="235"/>
      <c r="P92" s="235"/>
      <c r="Q92" s="235"/>
      <c r="R92" s="235"/>
      <c r="S92" s="235"/>
      <c r="T92" s="235"/>
      <c r="U92" s="235"/>
      <c r="V92" s="235"/>
      <c r="W92" s="235"/>
      <c r="X92" s="235"/>
      <c r="Y92" s="235"/>
      <c r="Z92" s="235"/>
      <c r="AA92" s="235"/>
      <c r="AB92" s="235"/>
      <c r="AC92" s="235"/>
    </row>
    <row r="93">
      <c r="A93" s="194" t="s">
        <v>692</v>
      </c>
      <c r="B93" s="193">
        <v>102466.0</v>
      </c>
      <c r="C93" s="192" t="s">
        <v>901</v>
      </c>
      <c r="D93" s="192" t="s">
        <v>209</v>
      </c>
      <c r="E93" s="235"/>
      <c r="F93" s="235"/>
      <c r="G93" s="325"/>
      <c r="H93" s="235"/>
      <c r="I93" s="235"/>
      <c r="J93" s="235"/>
      <c r="K93" s="235"/>
      <c r="L93" s="235"/>
      <c r="M93" s="235"/>
      <c r="N93" s="235"/>
      <c r="O93" s="235"/>
      <c r="P93" s="235"/>
      <c r="Q93" s="235"/>
      <c r="R93" s="235"/>
      <c r="S93" s="235"/>
      <c r="T93" s="235"/>
      <c r="U93" s="235"/>
      <c r="V93" s="235"/>
      <c r="W93" s="235"/>
      <c r="X93" s="235"/>
      <c r="Y93" s="235"/>
      <c r="Z93" s="235"/>
      <c r="AA93" s="235"/>
      <c r="AB93" s="235"/>
      <c r="AC93" s="235"/>
    </row>
    <row r="94">
      <c r="A94" s="194" t="s">
        <v>920</v>
      </c>
      <c r="B94" s="193">
        <v>102286.0</v>
      </c>
      <c r="C94" s="192" t="s">
        <v>921</v>
      </c>
      <c r="D94" s="192" t="s">
        <v>312</v>
      </c>
      <c r="E94" s="235"/>
      <c r="F94" s="235"/>
      <c r="G94" s="325"/>
      <c r="H94" s="235"/>
      <c r="I94" s="235"/>
      <c r="J94" s="235"/>
      <c r="K94" s="235"/>
      <c r="L94" s="235"/>
      <c r="M94" s="235"/>
      <c r="N94" s="235"/>
      <c r="O94" s="235"/>
      <c r="P94" s="235"/>
      <c r="Q94" s="235"/>
      <c r="R94" s="235"/>
      <c r="S94" s="235"/>
      <c r="T94" s="235"/>
      <c r="U94" s="235"/>
      <c r="V94" s="235"/>
      <c r="W94" s="235"/>
      <c r="X94" s="235"/>
      <c r="Y94" s="235"/>
      <c r="Z94" s="235"/>
      <c r="AA94" s="235"/>
      <c r="AB94" s="235"/>
      <c r="AC94" s="235"/>
    </row>
    <row r="95">
      <c r="A95" s="194" t="s">
        <v>949</v>
      </c>
      <c r="B95" s="193">
        <v>102300.0</v>
      </c>
      <c r="C95" s="192" t="s">
        <v>950</v>
      </c>
      <c r="D95" s="192" t="s">
        <v>254</v>
      </c>
      <c r="E95" s="235"/>
      <c r="F95" s="235"/>
      <c r="G95" s="325"/>
      <c r="H95" s="235"/>
      <c r="I95" s="235"/>
      <c r="J95" s="235"/>
      <c r="K95" s="235"/>
      <c r="L95" s="235"/>
      <c r="M95" s="235"/>
      <c r="N95" s="235"/>
      <c r="O95" s="235"/>
      <c r="P95" s="235"/>
      <c r="Q95" s="235"/>
      <c r="R95" s="235"/>
      <c r="S95" s="235"/>
      <c r="T95" s="235"/>
      <c r="U95" s="235"/>
      <c r="V95" s="235"/>
      <c r="W95" s="235"/>
      <c r="X95" s="235"/>
      <c r="Y95" s="235"/>
      <c r="Z95" s="235"/>
      <c r="AA95" s="235"/>
      <c r="AB95" s="235"/>
      <c r="AC95" s="235"/>
    </row>
    <row r="96">
      <c r="A96" s="194" t="s">
        <v>908</v>
      </c>
      <c r="B96" s="193">
        <v>102384.0</v>
      </c>
      <c r="C96" s="192" t="s">
        <v>909</v>
      </c>
      <c r="D96" s="192" t="s">
        <v>254</v>
      </c>
      <c r="E96" s="235"/>
      <c r="F96" s="235"/>
      <c r="G96" s="325"/>
      <c r="H96" s="235"/>
      <c r="I96" s="235"/>
      <c r="J96" s="235"/>
      <c r="K96" s="235"/>
      <c r="L96" s="235"/>
      <c r="M96" s="235"/>
      <c r="N96" s="235"/>
      <c r="O96" s="235"/>
      <c r="P96" s="235"/>
      <c r="Q96" s="235"/>
      <c r="R96" s="235"/>
      <c r="S96" s="235"/>
      <c r="T96" s="235"/>
      <c r="U96" s="235"/>
      <c r="V96" s="235"/>
      <c r="W96" s="235"/>
      <c r="X96" s="235"/>
      <c r="Y96" s="235"/>
      <c r="Z96" s="235"/>
      <c r="AA96" s="235"/>
      <c r="AB96" s="235"/>
      <c r="AC96" s="235"/>
    </row>
    <row r="97">
      <c r="A97" s="194" t="s">
        <v>930</v>
      </c>
      <c r="B97" s="193">
        <v>102363.0</v>
      </c>
      <c r="C97" s="192" t="s">
        <v>931</v>
      </c>
      <c r="D97" s="192" t="s">
        <v>125</v>
      </c>
      <c r="E97" s="235"/>
      <c r="F97" s="235"/>
      <c r="G97" s="325"/>
      <c r="H97" s="235"/>
      <c r="I97" s="235"/>
      <c r="J97" s="235"/>
      <c r="K97" s="235"/>
      <c r="L97" s="235"/>
      <c r="M97" s="235"/>
      <c r="N97" s="235"/>
      <c r="O97" s="235"/>
      <c r="P97" s="235"/>
      <c r="Q97" s="235"/>
      <c r="R97" s="235"/>
      <c r="S97" s="235"/>
      <c r="T97" s="235"/>
      <c r="U97" s="235"/>
      <c r="V97" s="235"/>
      <c r="W97" s="235"/>
      <c r="X97" s="235"/>
      <c r="Y97" s="235"/>
      <c r="Z97" s="235"/>
      <c r="AA97" s="235"/>
      <c r="AB97" s="235"/>
      <c r="AC97" s="235"/>
    </row>
    <row r="98">
      <c r="A98" s="194" t="s">
        <v>951</v>
      </c>
      <c r="B98" s="193">
        <v>102384.0</v>
      </c>
      <c r="C98" s="192" t="s">
        <v>909</v>
      </c>
      <c r="D98" s="192" t="s">
        <v>254</v>
      </c>
      <c r="E98" s="235"/>
      <c r="F98" s="235"/>
      <c r="G98" s="325"/>
      <c r="H98" s="235"/>
      <c r="I98" s="235"/>
      <c r="J98" s="235"/>
      <c r="K98" s="235"/>
      <c r="L98" s="235"/>
      <c r="M98" s="235"/>
      <c r="N98" s="235"/>
      <c r="O98" s="235"/>
      <c r="P98" s="235"/>
      <c r="Q98" s="235"/>
      <c r="R98" s="235"/>
      <c r="S98" s="235"/>
      <c r="T98" s="235"/>
      <c r="U98" s="235"/>
      <c r="V98" s="235"/>
      <c r="W98" s="235"/>
      <c r="X98" s="235"/>
      <c r="Y98" s="235"/>
      <c r="Z98" s="235"/>
      <c r="AA98" s="235"/>
      <c r="AB98" s="235"/>
      <c r="AC98" s="235"/>
    </row>
    <row r="99">
      <c r="A99" s="194" t="s">
        <v>904</v>
      </c>
      <c r="B99" s="193">
        <v>102420.0</v>
      </c>
      <c r="C99" s="192" t="s">
        <v>905</v>
      </c>
      <c r="D99" s="192" t="s">
        <v>522</v>
      </c>
      <c r="E99" s="235"/>
      <c r="F99" s="235"/>
      <c r="G99" s="325"/>
      <c r="H99" s="235"/>
      <c r="I99" s="235"/>
      <c r="J99" s="235"/>
      <c r="K99" s="235"/>
      <c r="L99" s="235"/>
      <c r="M99" s="235"/>
      <c r="N99" s="235"/>
      <c r="O99" s="235"/>
      <c r="P99" s="235"/>
      <c r="Q99" s="235"/>
      <c r="R99" s="235"/>
      <c r="S99" s="235"/>
      <c r="T99" s="235"/>
      <c r="U99" s="235"/>
      <c r="V99" s="235"/>
      <c r="W99" s="235"/>
      <c r="X99" s="235"/>
      <c r="Y99" s="235"/>
      <c r="Z99" s="235"/>
      <c r="AA99" s="235"/>
      <c r="AB99" s="235"/>
      <c r="AC99" s="235"/>
    </row>
    <row r="100">
      <c r="A100" s="194" t="s">
        <v>918</v>
      </c>
      <c r="B100" s="193">
        <v>102391.0</v>
      </c>
      <c r="C100" s="192" t="s">
        <v>919</v>
      </c>
      <c r="D100" s="192" t="s">
        <v>134</v>
      </c>
      <c r="E100" s="235"/>
      <c r="F100" s="235"/>
      <c r="G100" s="325"/>
      <c r="H100" s="235"/>
      <c r="I100" s="235"/>
      <c r="J100" s="235"/>
      <c r="K100" s="235"/>
      <c r="L100" s="235"/>
      <c r="M100" s="235"/>
      <c r="N100" s="235"/>
      <c r="O100" s="235"/>
      <c r="P100" s="235"/>
      <c r="Q100" s="235"/>
      <c r="R100" s="235"/>
      <c r="S100" s="235"/>
      <c r="T100" s="235"/>
      <c r="U100" s="235"/>
      <c r="V100" s="235"/>
      <c r="W100" s="235"/>
      <c r="X100" s="235"/>
      <c r="Y100" s="235"/>
      <c r="Z100" s="235"/>
      <c r="AA100" s="235"/>
      <c r="AB100" s="235"/>
      <c r="AC100" s="235"/>
    </row>
    <row r="101">
      <c r="A101" s="194" t="s">
        <v>914</v>
      </c>
      <c r="B101" s="193">
        <v>102357.0</v>
      </c>
      <c r="C101" s="192" t="s">
        <v>915</v>
      </c>
      <c r="D101" s="192" t="s">
        <v>487</v>
      </c>
      <c r="E101" s="235"/>
      <c r="F101" s="235"/>
      <c r="G101" s="325"/>
      <c r="H101" s="235"/>
      <c r="I101" s="235"/>
      <c r="J101" s="235"/>
      <c r="K101" s="235"/>
      <c r="L101" s="235"/>
      <c r="M101" s="235"/>
      <c r="N101" s="235"/>
      <c r="O101" s="235"/>
      <c r="P101" s="235"/>
      <c r="Q101" s="235"/>
      <c r="R101" s="235"/>
      <c r="S101" s="235"/>
      <c r="T101" s="235"/>
      <c r="U101" s="235"/>
      <c r="V101" s="235"/>
      <c r="W101" s="235"/>
      <c r="X101" s="235"/>
      <c r="Y101" s="235"/>
      <c r="Z101" s="235"/>
      <c r="AA101" s="235"/>
      <c r="AB101" s="235"/>
      <c r="AC101" s="235"/>
    </row>
    <row r="102">
      <c r="A102" s="194" t="s">
        <v>890</v>
      </c>
      <c r="B102" s="193">
        <v>102326.0</v>
      </c>
      <c r="C102" s="192" t="s">
        <v>891</v>
      </c>
      <c r="D102" s="192" t="s">
        <v>295</v>
      </c>
      <c r="E102" s="235"/>
      <c r="F102" s="235"/>
      <c r="G102" s="325"/>
      <c r="H102" s="235"/>
      <c r="I102" s="235"/>
      <c r="J102" s="235"/>
      <c r="K102" s="235"/>
      <c r="L102" s="235"/>
      <c r="M102" s="235"/>
      <c r="N102" s="235"/>
      <c r="O102" s="235"/>
      <c r="P102" s="235"/>
      <c r="Q102" s="235"/>
      <c r="R102" s="235"/>
      <c r="S102" s="235"/>
      <c r="T102" s="235"/>
      <c r="U102" s="235"/>
      <c r="V102" s="235"/>
      <c r="W102" s="235"/>
      <c r="X102" s="235"/>
      <c r="Y102" s="235"/>
      <c r="Z102" s="235"/>
      <c r="AA102" s="235"/>
      <c r="AB102" s="235"/>
      <c r="AC102" s="235"/>
    </row>
    <row r="103">
      <c r="A103" s="194" t="s">
        <v>892</v>
      </c>
      <c r="B103" s="193">
        <v>102334.0</v>
      </c>
      <c r="C103" s="192" t="s">
        <v>3004</v>
      </c>
      <c r="D103" s="192" t="s">
        <v>295</v>
      </c>
      <c r="E103" s="235"/>
      <c r="F103" s="235"/>
      <c r="G103" s="325"/>
      <c r="H103" s="235"/>
      <c r="I103" s="235"/>
      <c r="J103" s="235"/>
      <c r="K103" s="235"/>
      <c r="L103" s="235"/>
      <c r="M103" s="235"/>
      <c r="N103" s="235"/>
      <c r="O103" s="235"/>
      <c r="P103" s="235"/>
      <c r="Q103" s="235"/>
      <c r="R103" s="235"/>
      <c r="S103" s="235"/>
      <c r="T103" s="235"/>
      <c r="U103" s="235"/>
      <c r="V103" s="235"/>
      <c r="W103" s="235"/>
      <c r="X103" s="235"/>
      <c r="Y103" s="235"/>
      <c r="Z103" s="235"/>
      <c r="AA103" s="235"/>
      <c r="AB103" s="235"/>
      <c r="AC103" s="235"/>
    </row>
    <row r="104">
      <c r="A104" s="194" t="s">
        <v>902</v>
      </c>
      <c r="B104" s="193">
        <v>102341.0</v>
      </c>
      <c r="C104" s="192" t="s">
        <v>903</v>
      </c>
      <c r="D104" s="192" t="s">
        <v>522</v>
      </c>
      <c r="E104" s="235"/>
      <c r="F104" s="235"/>
      <c r="G104" s="325"/>
      <c r="H104" s="235"/>
      <c r="I104" s="235"/>
      <c r="J104" s="235"/>
      <c r="K104" s="235"/>
      <c r="L104" s="235"/>
      <c r="M104" s="235"/>
      <c r="N104" s="235"/>
      <c r="O104" s="235"/>
      <c r="P104" s="235"/>
      <c r="Q104" s="235"/>
      <c r="R104" s="235"/>
      <c r="S104" s="235"/>
      <c r="T104" s="235"/>
      <c r="U104" s="235"/>
      <c r="V104" s="235"/>
      <c r="W104" s="235"/>
      <c r="X104" s="235"/>
      <c r="Y104" s="235"/>
      <c r="Z104" s="235"/>
      <c r="AA104" s="235"/>
      <c r="AB104" s="235"/>
      <c r="AC104" s="235"/>
    </row>
    <row r="105">
      <c r="A105" s="194" t="s">
        <v>684</v>
      </c>
      <c r="B105" s="193">
        <v>102358.0</v>
      </c>
      <c r="C105" s="192" t="s">
        <v>685</v>
      </c>
      <c r="D105" s="192" t="s">
        <v>185</v>
      </c>
      <c r="E105" s="235"/>
      <c r="F105" s="235"/>
      <c r="G105" s="325"/>
      <c r="H105" s="235"/>
      <c r="I105" s="235"/>
      <c r="J105" s="235"/>
      <c r="K105" s="235"/>
      <c r="L105" s="235"/>
      <c r="M105" s="235"/>
      <c r="N105" s="235"/>
      <c r="O105" s="235"/>
      <c r="P105" s="235"/>
      <c r="Q105" s="235"/>
      <c r="R105" s="235"/>
      <c r="S105" s="235"/>
      <c r="T105" s="235"/>
      <c r="U105" s="235"/>
      <c r="V105" s="235"/>
      <c r="W105" s="235"/>
      <c r="X105" s="235"/>
      <c r="Y105" s="235"/>
      <c r="Z105" s="235"/>
      <c r="AA105" s="235"/>
      <c r="AB105" s="235"/>
      <c r="AC105" s="235"/>
    </row>
    <row r="106">
      <c r="A106" s="194" t="s">
        <v>916</v>
      </c>
      <c r="B106" s="193">
        <v>102423.0</v>
      </c>
      <c r="C106" s="192" t="s">
        <v>917</v>
      </c>
      <c r="D106" s="192" t="s">
        <v>87</v>
      </c>
      <c r="E106" s="235"/>
      <c r="F106" s="235"/>
      <c r="G106" s="325"/>
      <c r="H106" s="235"/>
      <c r="I106" s="235"/>
      <c r="J106" s="235"/>
      <c r="K106" s="235"/>
      <c r="L106" s="235"/>
      <c r="M106" s="235"/>
      <c r="N106" s="235"/>
      <c r="O106" s="235"/>
      <c r="P106" s="235"/>
      <c r="Q106" s="235"/>
      <c r="R106" s="235"/>
      <c r="S106" s="235"/>
      <c r="T106" s="235"/>
      <c r="U106" s="235"/>
      <c r="V106" s="235"/>
      <c r="W106" s="235"/>
      <c r="X106" s="235"/>
      <c r="Y106" s="235"/>
      <c r="Z106" s="235"/>
      <c r="AA106" s="235"/>
      <c r="AB106" s="235"/>
      <c r="AC106" s="235"/>
    </row>
    <row r="107">
      <c r="A107" s="194" t="s">
        <v>895</v>
      </c>
      <c r="B107" s="193">
        <v>102409.0</v>
      </c>
      <c r="C107" s="192" t="s">
        <v>896</v>
      </c>
      <c r="D107" s="192" t="s">
        <v>295</v>
      </c>
      <c r="E107" s="235"/>
      <c r="F107" s="235"/>
      <c r="G107" s="325"/>
      <c r="H107" s="235"/>
      <c r="I107" s="235"/>
      <c r="J107" s="235"/>
      <c r="K107" s="235"/>
      <c r="L107" s="235"/>
      <c r="M107" s="235"/>
      <c r="N107" s="235"/>
      <c r="O107" s="235"/>
      <c r="P107" s="235"/>
      <c r="Q107" s="235"/>
      <c r="R107" s="235"/>
      <c r="S107" s="235"/>
      <c r="T107" s="235"/>
      <c r="U107" s="235"/>
      <c r="V107" s="235"/>
      <c r="W107" s="235"/>
      <c r="X107" s="235"/>
      <c r="Y107" s="235"/>
      <c r="Z107" s="235"/>
      <c r="AA107" s="235"/>
      <c r="AB107" s="235"/>
      <c r="AC107" s="235"/>
    </row>
    <row r="108">
      <c r="A108" s="194" t="s">
        <v>912</v>
      </c>
      <c r="B108" s="193">
        <v>102406.0</v>
      </c>
      <c r="C108" s="192" t="s">
        <v>913</v>
      </c>
      <c r="D108" s="192" t="s">
        <v>215</v>
      </c>
      <c r="E108" s="235"/>
      <c r="F108" s="235"/>
      <c r="G108" s="325"/>
      <c r="H108" s="235"/>
      <c r="I108" s="235"/>
      <c r="J108" s="235"/>
      <c r="K108" s="235"/>
      <c r="L108" s="235"/>
      <c r="M108" s="235"/>
      <c r="N108" s="235"/>
      <c r="O108" s="235"/>
      <c r="P108" s="235"/>
      <c r="Q108" s="235"/>
      <c r="R108" s="235"/>
      <c r="S108" s="235"/>
      <c r="T108" s="235"/>
      <c r="U108" s="235"/>
      <c r="V108" s="235"/>
      <c r="W108" s="235"/>
      <c r="X108" s="235"/>
      <c r="Y108" s="235"/>
      <c r="Z108" s="235"/>
      <c r="AA108" s="235"/>
      <c r="AB108" s="235"/>
      <c r="AC108" s="235"/>
    </row>
    <row r="109">
      <c r="A109" s="194" t="s">
        <v>893</v>
      </c>
      <c r="B109" s="193">
        <v>102407.0</v>
      </c>
      <c r="C109" s="192" t="s">
        <v>894</v>
      </c>
      <c r="D109" s="192" t="s">
        <v>295</v>
      </c>
      <c r="E109" s="235"/>
      <c r="F109" s="235"/>
      <c r="G109" s="325"/>
      <c r="H109" s="235"/>
      <c r="I109" s="235"/>
      <c r="J109" s="235"/>
      <c r="K109" s="235"/>
      <c r="L109" s="235"/>
      <c r="M109" s="235"/>
      <c r="N109" s="235"/>
      <c r="O109" s="235"/>
      <c r="P109" s="235"/>
      <c r="Q109" s="235"/>
      <c r="R109" s="235"/>
      <c r="S109" s="235"/>
      <c r="T109" s="235"/>
      <c r="U109" s="235"/>
      <c r="V109" s="235"/>
      <c r="W109" s="235"/>
      <c r="X109" s="235"/>
      <c r="Y109" s="235"/>
      <c r="Z109" s="235"/>
      <c r="AA109" s="235"/>
      <c r="AB109" s="235"/>
      <c r="AC109" s="235"/>
    </row>
    <row r="110">
      <c r="A110" s="194" t="s">
        <v>951</v>
      </c>
      <c r="B110" s="193">
        <v>102384.0</v>
      </c>
      <c r="C110" s="192" t="s">
        <v>909</v>
      </c>
      <c r="D110" s="192" t="s">
        <v>254</v>
      </c>
      <c r="E110" s="235"/>
      <c r="F110" s="235"/>
      <c r="G110" s="325"/>
      <c r="H110" s="235"/>
      <c r="I110" s="235"/>
      <c r="J110" s="235"/>
      <c r="K110" s="235"/>
      <c r="L110" s="235"/>
      <c r="M110" s="235"/>
      <c r="N110" s="235"/>
      <c r="O110" s="235"/>
      <c r="P110" s="235"/>
      <c r="Q110" s="235"/>
      <c r="R110" s="235"/>
      <c r="S110" s="235"/>
      <c r="T110" s="235"/>
      <c r="U110" s="235"/>
      <c r="V110" s="235"/>
      <c r="W110" s="235"/>
      <c r="X110" s="235"/>
      <c r="Y110" s="235"/>
      <c r="Z110" s="235"/>
      <c r="AA110" s="235"/>
      <c r="AB110" s="235"/>
      <c r="AC110" s="235"/>
    </row>
    <row r="111">
      <c r="A111" s="194" t="s">
        <v>930</v>
      </c>
      <c r="B111" s="193">
        <v>102363.0</v>
      </c>
      <c r="C111" s="192" t="s">
        <v>931</v>
      </c>
      <c r="D111" s="192" t="s">
        <v>125</v>
      </c>
      <c r="E111" s="235"/>
      <c r="F111" s="235"/>
      <c r="G111" s="325"/>
      <c r="H111" s="235"/>
      <c r="I111" s="235"/>
      <c r="J111" s="235"/>
      <c r="K111" s="235"/>
      <c r="L111" s="235"/>
      <c r="M111" s="235"/>
      <c r="N111" s="235"/>
      <c r="O111" s="235"/>
      <c r="P111" s="235"/>
      <c r="Q111" s="235"/>
      <c r="R111" s="235"/>
      <c r="S111" s="235"/>
      <c r="T111" s="235"/>
      <c r="U111" s="235"/>
      <c r="V111" s="235"/>
      <c r="W111" s="235"/>
      <c r="X111" s="235"/>
      <c r="Y111" s="235"/>
      <c r="Z111" s="235"/>
      <c r="AA111" s="235"/>
      <c r="AB111" s="235"/>
      <c r="AC111" s="235"/>
    </row>
    <row r="112">
      <c r="A112" s="194" t="s">
        <v>908</v>
      </c>
      <c r="B112" s="193">
        <v>102384.0</v>
      </c>
      <c r="C112" s="192" t="s">
        <v>909</v>
      </c>
      <c r="D112" s="192" t="s">
        <v>254</v>
      </c>
      <c r="E112" s="235"/>
      <c r="F112" s="235"/>
      <c r="G112" s="325"/>
      <c r="H112" s="235"/>
      <c r="I112" s="235"/>
      <c r="J112" s="235"/>
      <c r="K112" s="235"/>
      <c r="L112" s="235"/>
      <c r="M112" s="235"/>
      <c r="N112" s="235"/>
      <c r="O112" s="235"/>
      <c r="P112" s="235"/>
      <c r="Q112" s="235"/>
      <c r="R112" s="235"/>
      <c r="S112" s="235"/>
      <c r="T112" s="235"/>
      <c r="U112" s="235"/>
      <c r="V112" s="235"/>
      <c r="W112" s="235"/>
      <c r="X112" s="235"/>
      <c r="Y112" s="235"/>
      <c r="Z112" s="235"/>
      <c r="AA112" s="235"/>
      <c r="AB112" s="235"/>
      <c r="AC112" s="235"/>
    </row>
    <row r="113">
      <c r="A113" s="194" t="s">
        <v>949</v>
      </c>
      <c r="B113" s="193">
        <v>102300.0</v>
      </c>
      <c r="C113" s="192" t="s">
        <v>950</v>
      </c>
      <c r="D113" s="192" t="s">
        <v>254</v>
      </c>
      <c r="E113" s="235"/>
      <c r="F113" s="235"/>
      <c r="G113" s="325"/>
      <c r="H113" s="235"/>
      <c r="I113" s="235"/>
      <c r="J113" s="235"/>
      <c r="K113" s="235"/>
      <c r="L113" s="235"/>
      <c r="M113" s="235"/>
      <c r="N113" s="235"/>
      <c r="O113" s="235"/>
      <c r="P113" s="235"/>
      <c r="Q113" s="235"/>
      <c r="R113" s="235"/>
      <c r="S113" s="235"/>
      <c r="T113" s="235"/>
      <c r="U113" s="235"/>
      <c r="V113" s="235"/>
      <c r="W113" s="235"/>
      <c r="X113" s="235"/>
      <c r="Y113" s="235"/>
      <c r="Z113" s="235"/>
      <c r="AA113" s="235"/>
      <c r="AB113" s="235"/>
      <c r="AC113" s="235"/>
    </row>
    <row r="114">
      <c r="A114" s="194" t="s">
        <v>914</v>
      </c>
      <c r="B114" s="193">
        <v>102357.0</v>
      </c>
      <c r="C114" s="192" t="s">
        <v>915</v>
      </c>
      <c r="D114" s="192" t="s">
        <v>487</v>
      </c>
      <c r="E114" s="235"/>
      <c r="F114" s="235"/>
      <c r="G114" s="325"/>
      <c r="H114" s="235"/>
      <c r="I114" s="235"/>
      <c r="J114" s="235"/>
      <c r="K114" s="235"/>
      <c r="L114" s="235"/>
      <c r="M114" s="235"/>
      <c r="N114" s="235"/>
      <c r="O114" s="235"/>
      <c r="P114" s="235"/>
      <c r="Q114" s="235"/>
      <c r="R114" s="235"/>
      <c r="S114" s="235"/>
      <c r="T114" s="235"/>
      <c r="U114" s="235"/>
      <c r="V114" s="235"/>
      <c r="W114" s="235"/>
      <c r="X114" s="235"/>
      <c r="Y114" s="235"/>
      <c r="Z114" s="235"/>
      <c r="AA114" s="235"/>
      <c r="AB114" s="235"/>
      <c r="AC114" s="235"/>
    </row>
    <row r="115">
      <c r="A115" s="194" t="s">
        <v>897</v>
      </c>
      <c r="B115" s="193">
        <v>102354.0</v>
      </c>
      <c r="C115" s="192" t="s">
        <v>898</v>
      </c>
      <c r="D115" s="192" t="s">
        <v>51</v>
      </c>
      <c r="E115" s="235"/>
      <c r="F115" s="235"/>
      <c r="G115" s="325"/>
      <c r="H115" s="235"/>
      <c r="I115" s="235"/>
      <c r="J115" s="235"/>
      <c r="K115" s="235"/>
      <c r="L115" s="235"/>
      <c r="M115" s="235"/>
      <c r="N115" s="235"/>
      <c r="O115" s="235"/>
      <c r="P115" s="235"/>
      <c r="Q115" s="235"/>
      <c r="R115" s="235"/>
      <c r="S115" s="235"/>
      <c r="T115" s="235"/>
      <c r="U115" s="235"/>
      <c r="V115" s="235"/>
      <c r="W115" s="235"/>
      <c r="X115" s="235"/>
      <c r="Y115" s="235"/>
      <c r="Z115" s="235"/>
      <c r="AA115" s="235"/>
      <c r="AB115" s="235"/>
      <c r="AC115" s="235"/>
    </row>
    <row r="116">
      <c r="A116" s="194" t="s">
        <v>936</v>
      </c>
      <c r="B116" s="193">
        <v>102398.0</v>
      </c>
      <c r="C116" s="192" t="s">
        <v>937</v>
      </c>
      <c r="D116" s="192" t="s">
        <v>51</v>
      </c>
      <c r="E116" s="235"/>
      <c r="F116" s="235"/>
      <c r="G116" s="325"/>
      <c r="H116" s="235"/>
      <c r="I116" s="235"/>
      <c r="J116" s="235"/>
      <c r="K116" s="235"/>
      <c r="L116" s="235"/>
      <c r="M116" s="235"/>
      <c r="N116" s="235"/>
      <c r="O116" s="235"/>
      <c r="P116" s="235"/>
      <c r="Q116" s="235"/>
      <c r="R116" s="235"/>
      <c r="S116" s="235"/>
      <c r="T116" s="235"/>
      <c r="U116" s="235"/>
      <c r="V116" s="235"/>
      <c r="W116" s="235"/>
      <c r="X116" s="235"/>
      <c r="Y116" s="235"/>
      <c r="Z116" s="235"/>
      <c r="AA116" s="235"/>
      <c r="AB116" s="235"/>
      <c r="AC116" s="235"/>
    </row>
    <row r="117">
      <c r="A117" s="194" t="s">
        <v>934</v>
      </c>
      <c r="B117" s="193">
        <v>102419.0</v>
      </c>
      <c r="C117" s="192" t="s">
        <v>935</v>
      </c>
      <c r="D117" s="192" t="s">
        <v>51</v>
      </c>
      <c r="E117" s="235"/>
      <c r="F117" s="235"/>
      <c r="G117" s="325"/>
      <c r="H117" s="235"/>
      <c r="I117" s="235"/>
      <c r="J117" s="235"/>
      <c r="K117" s="235"/>
      <c r="L117" s="235"/>
      <c r="M117" s="235"/>
      <c r="N117" s="235"/>
      <c r="O117" s="235"/>
      <c r="P117" s="235"/>
      <c r="Q117" s="235"/>
      <c r="R117" s="235"/>
      <c r="S117" s="235"/>
      <c r="T117" s="235"/>
      <c r="U117" s="235"/>
      <c r="V117" s="235"/>
      <c r="W117" s="235"/>
      <c r="X117" s="235"/>
      <c r="Y117" s="235"/>
      <c r="Z117" s="235"/>
      <c r="AA117" s="235"/>
      <c r="AB117" s="235"/>
      <c r="AC117" s="235"/>
    </row>
    <row r="118">
      <c r="A118" s="194" t="s">
        <v>944</v>
      </c>
      <c r="B118" s="193">
        <v>102349.0</v>
      </c>
      <c r="C118" s="192" t="s">
        <v>945</v>
      </c>
      <c r="D118" s="192" t="s">
        <v>522</v>
      </c>
      <c r="E118" s="235"/>
      <c r="F118" s="235"/>
      <c r="G118" s="325"/>
      <c r="H118" s="235"/>
      <c r="I118" s="235"/>
      <c r="J118" s="235"/>
      <c r="K118" s="235"/>
      <c r="L118" s="235"/>
      <c r="M118" s="235"/>
      <c r="N118" s="235"/>
      <c r="O118" s="235"/>
      <c r="P118" s="235"/>
      <c r="Q118" s="235"/>
      <c r="R118" s="235"/>
      <c r="S118" s="235"/>
      <c r="T118" s="235"/>
      <c r="U118" s="235"/>
      <c r="V118" s="235"/>
      <c r="W118" s="235"/>
      <c r="X118" s="235"/>
      <c r="Y118" s="235"/>
      <c r="Z118" s="235"/>
      <c r="AA118" s="235"/>
      <c r="AB118" s="235"/>
      <c r="AC118" s="235"/>
    </row>
    <row r="119">
      <c r="A119" s="194" t="s">
        <v>904</v>
      </c>
      <c r="B119" s="193">
        <v>102420.0</v>
      </c>
      <c r="C119" s="192" t="s">
        <v>905</v>
      </c>
      <c r="D119" s="192" t="s">
        <v>522</v>
      </c>
      <c r="E119" s="235"/>
      <c r="F119" s="235"/>
      <c r="G119" s="325"/>
      <c r="H119" s="235"/>
      <c r="I119" s="235"/>
      <c r="J119" s="235"/>
      <c r="K119" s="235"/>
      <c r="L119" s="235"/>
      <c r="M119" s="235"/>
      <c r="N119" s="235"/>
      <c r="O119" s="235"/>
      <c r="P119" s="235"/>
      <c r="Q119" s="235"/>
      <c r="R119" s="235"/>
      <c r="S119" s="235"/>
      <c r="T119" s="235"/>
      <c r="U119" s="235"/>
      <c r="V119" s="235"/>
      <c r="W119" s="235"/>
      <c r="X119" s="235"/>
      <c r="Y119" s="235"/>
      <c r="Z119" s="235"/>
      <c r="AA119" s="235"/>
      <c r="AB119" s="235"/>
      <c r="AC119" s="235"/>
    </row>
    <row r="120">
      <c r="A120" s="194" t="s">
        <v>932</v>
      </c>
      <c r="B120" s="193">
        <v>102413.0</v>
      </c>
      <c r="C120" s="192" t="s">
        <v>933</v>
      </c>
      <c r="D120" s="192" t="s">
        <v>51</v>
      </c>
      <c r="E120" s="235"/>
      <c r="F120" s="235"/>
      <c r="G120" s="325"/>
      <c r="H120" s="235"/>
      <c r="I120" s="235"/>
      <c r="J120" s="235"/>
      <c r="K120" s="235"/>
      <c r="L120" s="235"/>
      <c r="M120" s="235"/>
      <c r="N120" s="235"/>
      <c r="O120" s="235"/>
      <c r="P120" s="235"/>
      <c r="Q120" s="235"/>
      <c r="R120" s="235"/>
      <c r="S120" s="235"/>
      <c r="T120" s="235"/>
      <c r="U120" s="235"/>
      <c r="V120" s="235"/>
      <c r="W120" s="235"/>
      <c r="X120" s="235"/>
      <c r="Y120" s="235"/>
      <c r="Z120" s="235"/>
      <c r="AA120" s="235"/>
      <c r="AB120" s="235"/>
      <c r="AC120" s="235"/>
    </row>
    <row r="121">
      <c r="A121" s="194" t="s">
        <v>947</v>
      </c>
      <c r="B121" s="193">
        <v>102477.0</v>
      </c>
      <c r="C121" s="192" t="s">
        <v>948</v>
      </c>
      <c r="D121" s="192" t="s">
        <v>522</v>
      </c>
      <c r="E121" s="235"/>
      <c r="F121" s="235"/>
      <c r="G121" s="325"/>
      <c r="H121" s="235"/>
      <c r="I121" s="235"/>
      <c r="J121" s="235"/>
      <c r="K121" s="235"/>
      <c r="L121" s="235"/>
      <c r="M121" s="235"/>
      <c r="N121" s="235"/>
      <c r="O121" s="235"/>
      <c r="P121" s="235"/>
      <c r="Q121" s="235"/>
      <c r="R121" s="235"/>
      <c r="S121" s="235"/>
      <c r="T121" s="235"/>
      <c r="U121" s="235"/>
      <c r="V121" s="235"/>
      <c r="W121" s="235"/>
      <c r="X121" s="235"/>
      <c r="Y121" s="235"/>
      <c r="Z121" s="235"/>
      <c r="AA121" s="235"/>
      <c r="AB121" s="235"/>
      <c r="AC121" s="235"/>
    </row>
    <row r="122">
      <c r="A122" s="194" t="s">
        <v>942</v>
      </c>
      <c r="B122" s="193">
        <v>102486.0</v>
      </c>
      <c r="C122" s="192" t="s">
        <v>943</v>
      </c>
      <c r="D122" s="192" t="s">
        <v>51</v>
      </c>
      <c r="E122" s="235"/>
      <c r="F122" s="235"/>
      <c r="G122" s="325"/>
      <c r="H122" s="235"/>
      <c r="I122" s="235"/>
      <c r="J122" s="235"/>
      <c r="K122" s="235"/>
      <c r="L122" s="235"/>
      <c r="M122" s="235"/>
      <c r="N122" s="235"/>
      <c r="O122" s="235"/>
      <c r="P122" s="235"/>
      <c r="Q122" s="235"/>
      <c r="R122" s="235"/>
      <c r="S122" s="235"/>
      <c r="T122" s="235"/>
      <c r="U122" s="235"/>
      <c r="V122" s="235"/>
      <c r="W122" s="235"/>
      <c r="X122" s="235"/>
      <c r="Y122" s="235"/>
      <c r="Z122" s="235"/>
      <c r="AA122" s="235"/>
      <c r="AB122" s="235"/>
      <c r="AC122" s="235"/>
    </row>
    <row r="123">
      <c r="A123" s="194" t="s">
        <v>938</v>
      </c>
      <c r="B123" s="193">
        <v>102438.0</v>
      </c>
      <c r="C123" s="192" t="s">
        <v>939</v>
      </c>
      <c r="D123" s="192" t="s">
        <v>51</v>
      </c>
      <c r="E123" s="235"/>
      <c r="F123" s="235"/>
      <c r="G123" s="325"/>
      <c r="H123" s="235"/>
      <c r="I123" s="235"/>
      <c r="J123" s="235"/>
      <c r="K123" s="235"/>
      <c r="L123" s="235"/>
      <c r="M123" s="235"/>
      <c r="N123" s="235"/>
      <c r="O123" s="235"/>
      <c r="P123" s="235"/>
      <c r="Q123" s="235"/>
      <c r="R123" s="235"/>
      <c r="S123" s="235"/>
      <c r="T123" s="235"/>
      <c r="U123" s="235"/>
      <c r="V123" s="235"/>
      <c r="W123" s="235"/>
      <c r="X123" s="235"/>
      <c r="Y123" s="235"/>
      <c r="Z123" s="235"/>
      <c r="AA123" s="235"/>
      <c r="AB123" s="235"/>
      <c r="AC123" s="235"/>
    </row>
    <row r="124">
      <c r="A124" s="194" t="s">
        <v>940</v>
      </c>
      <c r="B124" s="193">
        <v>102433.0</v>
      </c>
      <c r="C124" s="192" t="s">
        <v>941</v>
      </c>
      <c r="D124" s="192" t="s">
        <v>51</v>
      </c>
      <c r="E124" s="235"/>
      <c r="F124" s="235"/>
      <c r="G124" s="325"/>
      <c r="H124" s="235"/>
      <c r="I124" s="235"/>
      <c r="J124" s="235"/>
      <c r="K124" s="235"/>
      <c r="L124" s="235"/>
      <c r="M124" s="235"/>
      <c r="N124" s="235"/>
      <c r="O124" s="235"/>
      <c r="P124" s="235"/>
      <c r="Q124" s="235"/>
      <c r="R124" s="235"/>
      <c r="S124" s="235"/>
      <c r="T124" s="235"/>
      <c r="U124" s="235"/>
      <c r="V124" s="235"/>
      <c r="W124" s="235"/>
      <c r="X124" s="235"/>
      <c r="Y124" s="235"/>
      <c r="Z124" s="235"/>
      <c r="AA124" s="235"/>
      <c r="AB124" s="235"/>
      <c r="AC124" s="235"/>
    </row>
    <row r="125">
      <c r="A125" s="194" t="s">
        <v>513</v>
      </c>
      <c r="B125" s="193">
        <v>102001.0</v>
      </c>
      <c r="C125" s="192" t="s">
        <v>476</v>
      </c>
      <c r="D125" s="192" t="s">
        <v>295</v>
      </c>
      <c r="E125" s="235"/>
      <c r="F125" s="235"/>
      <c r="G125" s="325"/>
      <c r="H125" s="235"/>
      <c r="I125" s="235"/>
      <c r="J125" s="235"/>
      <c r="K125" s="235"/>
      <c r="L125" s="235"/>
      <c r="M125" s="235"/>
      <c r="N125" s="235"/>
      <c r="O125" s="235"/>
      <c r="P125" s="235"/>
      <c r="Q125" s="235"/>
      <c r="R125" s="235"/>
      <c r="S125" s="235"/>
      <c r="T125" s="235"/>
      <c r="U125" s="235"/>
      <c r="V125" s="235"/>
      <c r="W125" s="235"/>
      <c r="X125" s="235"/>
      <c r="Y125" s="235"/>
      <c r="Z125" s="235"/>
      <c r="AA125" s="235"/>
      <c r="AB125" s="235"/>
      <c r="AC125" s="235"/>
    </row>
    <row r="126">
      <c r="A126" s="194" t="s">
        <v>1178</v>
      </c>
      <c r="B126" s="193">
        <v>103600.0</v>
      </c>
      <c r="C126" s="192" t="s">
        <v>1179</v>
      </c>
      <c r="D126" s="192" t="s">
        <v>295</v>
      </c>
      <c r="E126" s="235"/>
      <c r="F126" s="235"/>
      <c r="G126" s="325"/>
      <c r="H126" s="235"/>
      <c r="I126" s="235"/>
      <c r="J126" s="235"/>
      <c r="K126" s="235"/>
      <c r="L126" s="235"/>
      <c r="M126" s="235"/>
      <c r="N126" s="235"/>
      <c r="O126" s="235"/>
      <c r="P126" s="235"/>
      <c r="Q126" s="235"/>
      <c r="R126" s="235"/>
      <c r="S126" s="235"/>
      <c r="T126" s="235"/>
      <c r="U126" s="235"/>
      <c r="V126" s="235"/>
      <c r="W126" s="235"/>
      <c r="X126" s="235"/>
      <c r="Y126" s="235"/>
      <c r="Z126" s="235"/>
      <c r="AA126" s="235"/>
      <c r="AB126" s="235"/>
      <c r="AC126" s="235"/>
    </row>
    <row r="127">
      <c r="A127" s="194" t="s">
        <v>480</v>
      </c>
      <c r="B127" s="193">
        <v>102006.0</v>
      </c>
      <c r="C127" s="192" t="s">
        <v>481</v>
      </c>
      <c r="D127" s="192" t="s">
        <v>380</v>
      </c>
      <c r="E127" s="235"/>
      <c r="F127" s="235"/>
      <c r="G127" s="325"/>
      <c r="H127" s="235"/>
      <c r="I127" s="235"/>
      <c r="J127" s="235"/>
      <c r="K127" s="235"/>
      <c r="L127" s="235"/>
      <c r="M127" s="235"/>
      <c r="N127" s="235"/>
      <c r="O127" s="235"/>
      <c r="P127" s="235"/>
      <c r="Q127" s="235"/>
      <c r="R127" s="235"/>
      <c r="S127" s="235"/>
      <c r="T127" s="235"/>
      <c r="U127" s="235"/>
      <c r="V127" s="235"/>
      <c r="W127" s="235"/>
      <c r="X127" s="235"/>
      <c r="Y127" s="235"/>
      <c r="Z127" s="235"/>
      <c r="AA127" s="235"/>
      <c r="AB127" s="235"/>
      <c r="AC127" s="235"/>
    </row>
    <row r="128">
      <c r="A128" s="194" t="s">
        <v>473</v>
      </c>
      <c r="B128" s="193">
        <v>101989.0</v>
      </c>
      <c r="C128" s="192" t="s">
        <v>474</v>
      </c>
      <c r="D128" s="192" t="s">
        <v>87</v>
      </c>
      <c r="E128" s="235"/>
      <c r="F128" s="235"/>
      <c r="G128" s="325"/>
      <c r="H128" s="235"/>
      <c r="I128" s="235"/>
      <c r="J128" s="235"/>
      <c r="K128" s="235"/>
      <c r="L128" s="235"/>
      <c r="M128" s="235"/>
      <c r="N128" s="235"/>
      <c r="O128" s="235"/>
      <c r="P128" s="235"/>
      <c r="Q128" s="235"/>
      <c r="R128" s="235"/>
      <c r="S128" s="235"/>
      <c r="T128" s="235"/>
      <c r="U128" s="235"/>
      <c r="V128" s="235"/>
      <c r="W128" s="235"/>
      <c r="X128" s="235"/>
      <c r="Y128" s="235"/>
      <c r="Z128" s="235"/>
      <c r="AA128" s="235"/>
      <c r="AB128" s="235"/>
      <c r="AC128" s="235"/>
    </row>
    <row r="129">
      <c r="A129" s="194" t="s">
        <v>498</v>
      </c>
      <c r="B129" s="193">
        <v>102002.0</v>
      </c>
      <c r="C129" s="192" t="s">
        <v>499</v>
      </c>
      <c r="D129" s="192" t="s">
        <v>357</v>
      </c>
      <c r="E129" s="235"/>
      <c r="F129" s="235"/>
      <c r="G129" s="325"/>
      <c r="H129" s="235"/>
      <c r="I129" s="235"/>
      <c r="J129" s="235"/>
      <c r="K129" s="235"/>
      <c r="L129" s="235"/>
      <c r="M129" s="235"/>
      <c r="N129" s="235"/>
      <c r="O129" s="235"/>
      <c r="P129" s="235"/>
      <c r="Q129" s="235"/>
      <c r="R129" s="235"/>
      <c r="S129" s="235"/>
      <c r="T129" s="235"/>
      <c r="U129" s="235"/>
      <c r="V129" s="235"/>
      <c r="W129" s="235"/>
      <c r="X129" s="235"/>
      <c r="Y129" s="235"/>
      <c r="Z129" s="235"/>
      <c r="AA129" s="235"/>
      <c r="AB129" s="235"/>
      <c r="AC129" s="235"/>
    </row>
    <row r="130">
      <c r="A130" s="194" t="s">
        <v>488</v>
      </c>
      <c r="B130" s="193">
        <v>101922.0</v>
      </c>
      <c r="C130" s="192" t="s">
        <v>485</v>
      </c>
      <c r="D130" s="192" t="s">
        <v>312</v>
      </c>
      <c r="E130" s="235"/>
      <c r="F130" s="235"/>
      <c r="G130" s="325"/>
      <c r="H130" s="235"/>
      <c r="I130" s="235"/>
      <c r="J130" s="235"/>
      <c r="K130" s="235"/>
      <c r="L130" s="235"/>
      <c r="M130" s="235"/>
      <c r="N130" s="235"/>
      <c r="O130" s="235"/>
      <c r="P130" s="235"/>
      <c r="Q130" s="235"/>
      <c r="R130" s="235"/>
      <c r="S130" s="235"/>
      <c r="T130" s="235"/>
      <c r="U130" s="235"/>
      <c r="V130" s="235"/>
      <c r="W130" s="235"/>
      <c r="X130" s="235"/>
      <c r="Y130" s="235"/>
      <c r="Z130" s="235"/>
      <c r="AA130" s="235"/>
      <c r="AB130" s="235"/>
      <c r="AC130" s="235"/>
    </row>
    <row r="131">
      <c r="A131" s="194" t="s">
        <v>480</v>
      </c>
      <c r="B131" s="193">
        <v>102006.0</v>
      </c>
      <c r="C131" s="192" t="s">
        <v>481</v>
      </c>
      <c r="D131" s="192" t="s">
        <v>380</v>
      </c>
      <c r="E131" s="235"/>
      <c r="F131" s="235"/>
      <c r="G131" s="325"/>
      <c r="H131" s="235"/>
      <c r="I131" s="235"/>
      <c r="J131" s="235"/>
      <c r="K131" s="235"/>
      <c r="L131" s="235"/>
      <c r="M131" s="235"/>
      <c r="N131" s="235"/>
      <c r="O131" s="235"/>
      <c r="P131" s="235"/>
      <c r="Q131" s="235"/>
      <c r="R131" s="235"/>
      <c r="S131" s="235"/>
      <c r="T131" s="235"/>
      <c r="U131" s="235"/>
      <c r="V131" s="235"/>
      <c r="W131" s="235"/>
      <c r="X131" s="235"/>
      <c r="Y131" s="235"/>
      <c r="Z131" s="235"/>
      <c r="AA131" s="235"/>
      <c r="AB131" s="235"/>
      <c r="AC131" s="235"/>
    </row>
    <row r="132">
      <c r="A132" s="194" t="s">
        <v>506</v>
      </c>
      <c r="B132" s="193">
        <v>102003.0</v>
      </c>
      <c r="C132" s="192" t="s">
        <v>507</v>
      </c>
      <c r="D132" s="192" t="s">
        <v>312</v>
      </c>
      <c r="E132" s="235"/>
      <c r="F132" s="235"/>
      <c r="G132" s="325"/>
      <c r="H132" s="235"/>
      <c r="I132" s="235"/>
      <c r="J132" s="235"/>
      <c r="K132" s="235"/>
      <c r="L132" s="235"/>
      <c r="M132" s="235"/>
      <c r="N132" s="235"/>
      <c r="O132" s="235"/>
      <c r="P132" s="235"/>
      <c r="Q132" s="235"/>
      <c r="R132" s="235"/>
      <c r="S132" s="235"/>
      <c r="T132" s="235"/>
      <c r="U132" s="235"/>
      <c r="V132" s="235"/>
      <c r="W132" s="235"/>
      <c r="X132" s="235"/>
      <c r="Y132" s="235"/>
      <c r="Z132" s="235"/>
      <c r="AA132" s="235"/>
      <c r="AB132" s="235"/>
      <c r="AC132" s="235"/>
    </row>
    <row r="133">
      <c r="A133" s="194" t="s">
        <v>504</v>
      </c>
      <c r="B133" s="193">
        <v>102015.0</v>
      </c>
      <c r="C133" s="192" t="s">
        <v>505</v>
      </c>
      <c r="D133" s="192" t="s">
        <v>432</v>
      </c>
      <c r="E133" s="235"/>
      <c r="F133" s="235"/>
      <c r="G133" s="325"/>
      <c r="H133" s="235"/>
      <c r="I133" s="235"/>
      <c r="J133" s="235"/>
      <c r="K133" s="235"/>
      <c r="L133" s="235"/>
      <c r="M133" s="235"/>
      <c r="N133" s="235"/>
      <c r="O133" s="235"/>
      <c r="P133" s="235"/>
      <c r="Q133" s="235"/>
      <c r="R133" s="235"/>
      <c r="S133" s="235"/>
      <c r="T133" s="235"/>
      <c r="U133" s="235"/>
      <c r="V133" s="235"/>
      <c r="W133" s="235"/>
      <c r="X133" s="235"/>
      <c r="Y133" s="235"/>
      <c r="Z133" s="235"/>
      <c r="AA133" s="235"/>
      <c r="AB133" s="235"/>
      <c r="AC133" s="235"/>
    </row>
    <row r="134">
      <c r="A134" s="194" t="s">
        <v>500</v>
      </c>
      <c r="B134" s="193">
        <v>102008.0</v>
      </c>
      <c r="C134" s="192" t="s">
        <v>501</v>
      </c>
      <c r="D134" s="192" t="s">
        <v>295</v>
      </c>
      <c r="E134" s="235"/>
      <c r="F134" s="235"/>
      <c r="G134" s="325"/>
      <c r="H134" s="235"/>
      <c r="I134" s="235"/>
      <c r="J134" s="235"/>
      <c r="K134" s="235"/>
      <c r="L134" s="235"/>
      <c r="M134" s="235"/>
      <c r="N134" s="235"/>
      <c r="O134" s="235"/>
      <c r="P134" s="235"/>
      <c r="Q134" s="235"/>
      <c r="R134" s="235"/>
      <c r="S134" s="235"/>
      <c r="T134" s="235"/>
      <c r="U134" s="235"/>
      <c r="V134" s="235"/>
      <c r="W134" s="235"/>
      <c r="X134" s="235"/>
      <c r="Y134" s="235"/>
      <c r="Z134" s="235"/>
      <c r="AA134" s="235"/>
      <c r="AB134" s="235"/>
      <c r="AC134" s="235"/>
    </row>
    <row r="135">
      <c r="A135" s="194" t="s">
        <v>721</v>
      </c>
      <c r="B135" s="193">
        <v>102444.0</v>
      </c>
      <c r="C135" s="192" t="s">
        <v>722</v>
      </c>
      <c r="D135" s="192" t="s">
        <v>625</v>
      </c>
      <c r="E135" s="235"/>
      <c r="F135" s="235"/>
      <c r="G135" s="325"/>
      <c r="H135" s="235"/>
      <c r="I135" s="235"/>
      <c r="J135" s="235"/>
      <c r="K135" s="235"/>
      <c r="L135" s="235"/>
      <c r="M135" s="235"/>
      <c r="N135" s="235"/>
      <c r="O135" s="235"/>
      <c r="P135" s="235"/>
      <c r="Q135" s="235"/>
      <c r="R135" s="235"/>
      <c r="S135" s="235"/>
      <c r="T135" s="235"/>
      <c r="U135" s="235"/>
      <c r="V135" s="235"/>
      <c r="W135" s="235"/>
      <c r="X135" s="235"/>
      <c r="Y135" s="235"/>
      <c r="Z135" s="235"/>
      <c r="AA135" s="235"/>
      <c r="AB135" s="235"/>
      <c r="AC135" s="235"/>
    </row>
    <row r="136">
      <c r="A136" s="194" t="s">
        <v>471</v>
      </c>
      <c r="B136" s="193">
        <v>101948.0</v>
      </c>
      <c r="C136" s="192" t="s">
        <v>472</v>
      </c>
      <c r="D136" s="192" t="s">
        <v>87</v>
      </c>
      <c r="E136" s="235"/>
      <c r="F136" s="235"/>
      <c r="G136" s="325"/>
      <c r="H136" s="235"/>
      <c r="I136" s="235"/>
      <c r="J136" s="235"/>
      <c r="K136" s="235"/>
      <c r="L136" s="235"/>
      <c r="M136" s="235"/>
      <c r="N136" s="235"/>
      <c r="O136" s="235"/>
      <c r="P136" s="235"/>
      <c r="Q136" s="235"/>
      <c r="R136" s="235"/>
      <c r="S136" s="235"/>
      <c r="T136" s="235"/>
      <c r="U136" s="235"/>
      <c r="V136" s="235"/>
      <c r="W136" s="235"/>
      <c r="X136" s="235"/>
      <c r="Y136" s="235"/>
      <c r="Z136" s="235"/>
      <c r="AA136" s="235"/>
      <c r="AB136" s="235"/>
      <c r="AC136" s="235"/>
    </row>
    <row r="137">
      <c r="A137" s="194" t="s">
        <v>684</v>
      </c>
      <c r="B137" s="193">
        <v>102358.0</v>
      </c>
      <c r="C137" s="192" t="s">
        <v>685</v>
      </c>
      <c r="D137" s="192" t="s">
        <v>185</v>
      </c>
      <c r="E137" s="235"/>
      <c r="F137" s="235"/>
      <c r="G137" s="325"/>
      <c r="H137" s="235"/>
      <c r="I137" s="235"/>
      <c r="J137" s="235"/>
      <c r="K137" s="235"/>
      <c r="L137" s="235"/>
      <c r="M137" s="235"/>
      <c r="N137" s="235"/>
      <c r="O137" s="235"/>
      <c r="P137" s="235"/>
      <c r="Q137" s="235"/>
      <c r="R137" s="235"/>
      <c r="S137" s="235"/>
      <c r="T137" s="235"/>
      <c r="U137" s="235"/>
      <c r="V137" s="235"/>
      <c r="W137" s="235"/>
      <c r="X137" s="235"/>
      <c r="Y137" s="235"/>
      <c r="Z137" s="235"/>
      <c r="AA137" s="235"/>
      <c r="AB137" s="235"/>
      <c r="AC137" s="235"/>
    </row>
    <row r="138">
      <c r="A138" s="194" t="s">
        <v>3360</v>
      </c>
      <c r="B138" s="193">
        <v>100296.0</v>
      </c>
      <c r="C138" s="192" t="s">
        <v>1903</v>
      </c>
      <c r="D138" s="192" t="s">
        <v>2907</v>
      </c>
      <c r="E138" s="235"/>
      <c r="F138" s="235"/>
      <c r="G138" s="325"/>
      <c r="H138" s="235"/>
      <c r="I138" s="235"/>
      <c r="J138" s="235"/>
      <c r="K138" s="235"/>
      <c r="L138" s="235"/>
      <c r="M138" s="235"/>
      <c r="N138" s="235"/>
      <c r="O138" s="235"/>
      <c r="P138" s="235"/>
      <c r="Q138" s="235"/>
      <c r="R138" s="235"/>
      <c r="S138" s="235"/>
      <c r="T138" s="235"/>
      <c r="U138" s="235"/>
      <c r="V138" s="235"/>
      <c r="W138" s="235"/>
      <c r="X138" s="235"/>
      <c r="Y138" s="235"/>
      <c r="Z138" s="235"/>
      <c r="AA138" s="235"/>
      <c r="AB138" s="235"/>
      <c r="AC138" s="235"/>
    </row>
    <row r="139">
      <c r="A139" s="194" t="s">
        <v>531</v>
      </c>
      <c r="B139" s="193">
        <v>102011.0</v>
      </c>
      <c r="C139" s="192" t="s">
        <v>532</v>
      </c>
      <c r="D139" s="192" t="s">
        <v>408</v>
      </c>
      <c r="E139" s="235"/>
      <c r="F139" s="235"/>
      <c r="G139" s="325"/>
      <c r="H139" s="235"/>
      <c r="I139" s="235"/>
      <c r="J139" s="235"/>
      <c r="K139" s="235"/>
      <c r="L139" s="235"/>
      <c r="M139" s="235"/>
      <c r="N139" s="235"/>
      <c r="O139" s="235"/>
      <c r="P139" s="235"/>
      <c r="Q139" s="235"/>
      <c r="R139" s="235"/>
      <c r="S139" s="235"/>
      <c r="T139" s="235"/>
      <c r="U139" s="235"/>
      <c r="V139" s="235"/>
      <c r="W139" s="235"/>
      <c r="X139" s="235"/>
      <c r="Y139" s="235"/>
      <c r="Z139" s="235"/>
      <c r="AA139" s="235"/>
      <c r="AB139" s="235"/>
      <c r="AC139" s="235"/>
    </row>
    <row r="140">
      <c r="A140" s="194" t="s">
        <v>3360</v>
      </c>
      <c r="B140" s="193">
        <v>100296.0</v>
      </c>
      <c r="C140" s="192" t="s">
        <v>1903</v>
      </c>
      <c r="D140" s="192" t="s">
        <v>2907</v>
      </c>
      <c r="E140" s="235"/>
      <c r="F140" s="235"/>
      <c r="G140" s="325"/>
      <c r="H140" s="235"/>
      <c r="I140" s="235"/>
      <c r="J140" s="235"/>
      <c r="K140" s="235"/>
      <c r="L140" s="235"/>
      <c r="M140" s="235"/>
      <c r="N140" s="235"/>
      <c r="O140" s="235"/>
      <c r="P140" s="235"/>
      <c r="Q140" s="235"/>
      <c r="R140" s="235"/>
      <c r="S140" s="235"/>
      <c r="T140" s="235"/>
      <c r="U140" s="235"/>
      <c r="V140" s="235"/>
      <c r="W140" s="235"/>
      <c r="X140" s="235"/>
      <c r="Y140" s="235"/>
      <c r="Z140" s="235"/>
      <c r="AA140" s="235"/>
      <c r="AB140" s="235"/>
      <c r="AC140" s="235"/>
    </row>
    <row r="141">
      <c r="A141" s="194" t="s">
        <v>416</v>
      </c>
      <c r="B141" s="193">
        <v>101864.0</v>
      </c>
      <c r="C141" s="192" t="s">
        <v>417</v>
      </c>
      <c r="D141" s="192" t="s">
        <v>51</v>
      </c>
      <c r="E141" s="235"/>
      <c r="F141" s="235"/>
      <c r="G141" s="325"/>
      <c r="H141" s="235"/>
      <c r="I141" s="235"/>
      <c r="J141" s="235"/>
      <c r="K141" s="235"/>
      <c r="L141" s="235"/>
      <c r="M141" s="235"/>
      <c r="N141" s="235"/>
      <c r="O141" s="235"/>
      <c r="P141" s="235"/>
      <c r="Q141" s="235"/>
      <c r="R141" s="235"/>
      <c r="S141" s="235"/>
      <c r="T141" s="235"/>
      <c r="U141" s="235"/>
      <c r="V141" s="235"/>
      <c r="W141" s="235"/>
      <c r="X141" s="235"/>
      <c r="Y141" s="235"/>
      <c r="Z141" s="235"/>
      <c r="AA141" s="235"/>
      <c r="AB141" s="235"/>
      <c r="AC141" s="235"/>
    </row>
    <row r="142">
      <c r="A142" s="194" t="s">
        <v>509</v>
      </c>
      <c r="B142" s="193">
        <v>102005.0</v>
      </c>
      <c r="C142" s="192" t="s">
        <v>510</v>
      </c>
      <c r="D142" s="192" t="s">
        <v>265</v>
      </c>
      <c r="E142" s="235"/>
      <c r="F142" s="235"/>
      <c r="G142" s="325"/>
      <c r="H142" s="235"/>
      <c r="I142" s="235"/>
      <c r="J142" s="235"/>
      <c r="K142" s="235"/>
      <c r="L142" s="235"/>
      <c r="M142" s="235"/>
      <c r="N142" s="235"/>
      <c r="O142" s="235"/>
      <c r="P142" s="235"/>
      <c r="Q142" s="235"/>
      <c r="R142" s="235"/>
      <c r="S142" s="235"/>
      <c r="T142" s="235"/>
      <c r="U142" s="235"/>
      <c r="V142" s="235"/>
      <c r="W142" s="235"/>
      <c r="X142" s="235"/>
      <c r="Y142" s="235"/>
      <c r="Z142" s="235"/>
      <c r="AA142" s="235"/>
      <c r="AB142" s="235"/>
      <c r="AC142" s="235"/>
    </row>
    <row r="143">
      <c r="A143" s="194" t="s">
        <v>493</v>
      </c>
      <c r="B143" s="193">
        <v>102004.0</v>
      </c>
      <c r="C143" s="192" t="s">
        <v>494</v>
      </c>
      <c r="D143" s="192" t="s">
        <v>309</v>
      </c>
      <c r="E143" s="235"/>
      <c r="F143" s="235"/>
      <c r="G143" s="325"/>
      <c r="H143" s="235"/>
      <c r="I143" s="235"/>
      <c r="J143" s="235"/>
      <c r="K143" s="235"/>
      <c r="L143" s="235"/>
      <c r="M143" s="235"/>
      <c r="N143" s="235"/>
      <c r="O143" s="235"/>
      <c r="P143" s="235"/>
      <c r="Q143" s="235"/>
      <c r="R143" s="235"/>
      <c r="S143" s="235"/>
      <c r="T143" s="235"/>
      <c r="U143" s="235"/>
      <c r="V143" s="235"/>
      <c r="W143" s="235"/>
      <c r="X143" s="235"/>
      <c r="Y143" s="235"/>
      <c r="Z143" s="235"/>
      <c r="AA143" s="235"/>
      <c r="AB143" s="235"/>
      <c r="AC143" s="235"/>
    </row>
    <row r="144">
      <c r="A144" s="194" t="s">
        <v>433</v>
      </c>
      <c r="B144" s="193">
        <v>101881.0</v>
      </c>
      <c r="C144" s="192" t="s">
        <v>426</v>
      </c>
      <c r="D144" s="192" t="s">
        <v>87</v>
      </c>
      <c r="E144" s="235"/>
      <c r="F144" s="235"/>
      <c r="G144" s="325"/>
      <c r="H144" s="235"/>
      <c r="I144" s="235"/>
      <c r="J144" s="235"/>
      <c r="K144" s="235"/>
      <c r="L144" s="235"/>
      <c r="M144" s="235"/>
      <c r="N144" s="235"/>
      <c r="O144" s="235"/>
      <c r="P144" s="235"/>
      <c r="Q144" s="235"/>
      <c r="R144" s="235"/>
      <c r="S144" s="235"/>
      <c r="T144" s="235"/>
      <c r="U144" s="235"/>
      <c r="V144" s="235"/>
      <c r="W144" s="235"/>
      <c r="X144" s="235"/>
      <c r="Y144" s="235"/>
      <c r="Z144" s="235"/>
      <c r="AA144" s="235"/>
      <c r="AB144" s="235"/>
      <c r="AC144" s="235"/>
    </row>
    <row r="145">
      <c r="A145" s="194" t="s">
        <v>425</v>
      </c>
      <c r="B145" s="193">
        <v>101881.0</v>
      </c>
      <c r="C145" s="192" t="s">
        <v>426</v>
      </c>
      <c r="D145" s="192" t="s">
        <v>427</v>
      </c>
      <c r="E145" s="235"/>
      <c r="F145" s="235"/>
      <c r="G145" s="325"/>
      <c r="H145" s="235"/>
      <c r="I145" s="235"/>
      <c r="J145" s="235"/>
      <c r="K145" s="235"/>
      <c r="L145" s="235"/>
      <c r="M145" s="235"/>
      <c r="N145" s="235"/>
      <c r="O145" s="235"/>
      <c r="P145" s="235"/>
      <c r="Q145" s="235"/>
      <c r="R145" s="235"/>
      <c r="S145" s="235"/>
      <c r="T145" s="235"/>
      <c r="U145" s="235"/>
      <c r="V145" s="235"/>
      <c r="W145" s="235"/>
      <c r="X145" s="235"/>
      <c r="Y145" s="235"/>
      <c r="Z145" s="235"/>
      <c r="AA145" s="235"/>
      <c r="AB145" s="235"/>
      <c r="AC145" s="235"/>
    </row>
    <row r="146">
      <c r="A146" s="194" t="s">
        <v>423</v>
      </c>
      <c r="B146" s="193">
        <v>101890.0</v>
      </c>
      <c r="C146" s="192" t="s">
        <v>424</v>
      </c>
      <c r="D146" s="192" t="s">
        <v>87</v>
      </c>
      <c r="E146" s="235"/>
      <c r="F146" s="235"/>
      <c r="G146" s="325"/>
      <c r="H146" s="235"/>
      <c r="I146" s="235"/>
      <c r="J146" s="235"/>
      <c r="K146" s="235"/>
      <c r="L146" s="235"/>
      <c r="M146" s="235"/>
      <c r="N146" s="235"/>
      <c r="O146" s="235"/>
      <c r="P146" s="235"/>
      <c r="Q146" s="235"/>
      <c r="R146" s="235"/>
      <c r="S146" s="235"/>
      <c r="T146" s="235"/>
      <c r="U146" s="235"/>
      <c r="V146" s="235"/>
      <c r="W146" s="235"/>
      <c r="X146" s="235"/>
      <c r="Y146" s="235"/>
      <c r="Z146" s="235"/>
      <c r="AA146" s="235"/>
      <c r="AB146" s="235"/>
      <c r="AC146" s="235"/>
    </row>
    <row r="147">
      <c r="A147" s="194" t="s">
        <v>430</v>
      </c>
      <c r="B147" s="193">
        <v>101895.0</v>
      </c>
      <c r="C147" s="192" t="s">
        <v>431</v>
      </c>
      <c r="D147" s="192" t="s">
        <v>432</v>
      </c>
      <c r="E147" s="235"/>
      <c r="F147" s="235"/>
      <c r="G147" s="325"/>
      <c r="H147" s="235"/>
      <c r="I147" s="235"/>
      <c r="J147" s="235"/>
      <c r="K147" s="235"/>
      <c r="L147" s="235"/>
      <c r="M147" s="235"/>
      <c r="N147" s="235"/>
      <c r="O147" s="235"/>
      <c r="P147" s="235"/>
      <c r="Q147" s="235"/>
      <c r="R147" s="235"/>
      <c r="S147" s="235"/>
      <c r="T147" s="235"/>
      <c r="U147" s="235"/>
      <c r="V147" s="235"/>
      <c r="W147" s="235"/>
      <c r="X147" s="235"/>
      <c r="Y147" s="235"/>
      <c r="Z147" s="235"/>
      <c r="AA147" s="235"/>
      <c r="AB147" s="235"/>
      <c r="AC147" s="235"/>
    </row>
    <row r="148">
      <c r="A148" s="194" t="s">
        <v>435</v>
      </c>
      <c r="B148" s="193">
        <v>101896.0</v>
      </c>
      <c r="C148" s="192" t="s">
        <v>436</v>
      </c>
      <c r="D148" s="192" t="s">
        <v>437</v>
      </c>
      <c r="E148" s="235"/>
      <c r="F148" s="235"/>
      <c r="G148" s="325"/>
      <c r="H148" s="235"/>
      <c r="I148" s="235"/>
      <c r="J148" s="235"/>
      <c r="K148" s="235"/>
      <c r="L148" s="235"/>
      <c r="M148" s="235"/>
      <c r="N148" s="235"/>
      <c r="O148" s="235"/>
      <c r="P148" s="235"/>
      <c r="Q148" s="235"/>
      <c r="R148" s="235"/>
      <c r="S148" s="235"/>
      <c r="T148" s="235"/>
      <c r="U148" s="235"/>
      <c r="V148" s="235"/>
      <c r="W148" s="235"/>
      <c r="X148" s="235"/>
      <c r="Y148" s="235"/>
      <c r="Z148" s="235"/>
      <c r="AA148" s="235"/>
      <c r="AB148" s="235"/>
      <c r="AC148" s="235"/>
    </row>
    <row r="149">
      <c r="A149" s="194" t="s">
        <v>1217</v>
      </c>
      <c r="B149" s="193">
        <v>103067.0</v>
      </c>
      <c r="C149" s="192" t="s">
        <v>1218</v>
      </c>
      <c r="D149" s="192" t="s">
        <v>295</v>
      </c>
      <c r="E149" s="235"/>
      <c r="F149" s="235"/>
      <c r="G149" s="325"/>
      <c r="H149" s="235"/>
      <c r="I149" s="235"/>
      <c r="J149" s="235"/>
      <c r="K149" s="235"/>
      <c r="L149" s="235"/>
      <c r="M149" s="235"/>
      <c r="N149" s="235"/>
      <c r="O149" s="235"/>
      <c r="P149" s="235"/>
      <c r="Q149" s="235"/>
      <c r="R149" s="235"/>
      <c r="S149" s="235"/>
      <c r="T149" s="235"/>
      <c r="U149" s="235"/>
      <c r="V149" s="235"/>
      <c r="W149" s="235"/>
      <c r="X149" s="235"/>
      <c r="Y149" s="235"/>
      <c r="Z149" s="235"/>
      <c r="AA149" s="235"/>
      <c r="AB149" s="235"/>
      <c r="AC149" s="235"/>
    </row>
    <row r="150">
      <c r="A150" s="194" t="s">
        <v>455</v>
      </c>
      <c r="B150" s="193">
        <v>101924.0</v>
      </c>
      <c r="C150" s="192" t="s">
        <v>456</v>
      </c>
      <c r="D150" s="192" t="s">
        <v>432</v>
      </c>
      <c r="E150" s="235"/>
      <c r="F150" s="235"/>
      <c r="G150" s="325"/>
      <c r="H150" s="235"/>
      <c r="I150" s="235"/>
      <c r="J150" s="235"/>
      <c r="K150" s="235"/>
      <c r="L150" s="235"/>
      <c r="M150" s="235"/>
      <c r="N150" s="235"/>
      <c r="O150" s="235"/>
      <c r="P150" s="235"/>
      <c r="Q150" s="235"/>
      <c r="R150" s="235"/>
      <c r="S150" s="235"/>
      <c r="T150" s="235"/>
      <c r="U150" s="235"/>
      <c r="V150" s="235"/>
      <c r="W150" s="235"/>
      <c r="X150" s="235"/>
      <c r="Y150" s="235"/>
      <c r="Z150" s="235"/>
      <c r="AA150" s="235"/>
      <c r="AB150" s="235"/>
      <c r="AC150" s="235"/>
    </row>
    <row r="151">
      <c r="A151" s="194" t="s">
        <v>496</v>
      </c>
      <c r="B151" s="193">
        <v>101999.0</v>
      </c>
      <c r="C151" s="192" t="s">
        <v>497</v>
      </c>
      <c r="D151" s="192" t="s">
        <v>265</v>
      </c>
      <c r="E151" s="235"/>
      <c r="F151" s="235"/>
      <c r="G151" s="325"/>
      <c r="H151" s="235"/>
      <c r="I151" s="235"/>
      <c r="J151" s="235"/>
      <c r="K151" s="235"/>
      <c r="L151" s="235"/>
      <c r="M151" s="235"/>
      <c r="N151" s="235"/>
      <c r="O151" s="235"/>
      <c r="P151" s="235"/>
      <c r="Q151" s="235"/>
      <c r="R151" s="235"/>
      <c r="S151" s="235"/>
      <c r="T151" s="235"/>
      <c r="U151" s="235"/>
      <c r="V151" s="235"/>
      <c r="W151" s="235"/>
      <c r="X151" s="235"/>
      <c r="Y151" s="235"/>
      <c r="Z151" s="235"/>
      <c r="AA151" s="235"/>
      <c r="AB151" s="235"/>
      <c r="AC151" s="235"/>
    </row>
    <row r="152">
      <c r="A152" s="194" t="s">
        <v>444</v>
      </c>
      <c r="B152" s="193">
        <v>101853.0</v>
      </c>
      <c r="C152" s="192" t="s">
        <v>445</v>
      </c>
      <c r="D152" s="192" t="s">
        <v>326</v>
      </c>
      <c r="E152" s="235"/>
      <c r="F152" s="235"/>
      <c r="G152" s="325"/>
      <c r="H152" s="235"/>
      <c r="I152" s="235"/>
      <c r="J152" s="235"/>
      <c r="K152" s="235"/>
      <c r="L152" s="235"/>
      <c r="M152" s="235"/>
      <c r="N152" s="235"/>
      <c r="O152" s="235"/>
      <c r="P152" s="235"/>
      <c r="Q152" s="235"/>
      <c r="R152" s="235"/>
      <c r="S152" s="235"/>
      <c r="T152" s="235"/>
      <c r="U152" s="235"/>
      <c r="V152" s="235"/>
      <c r="W152" s="235"/>
      <c r="X152" s="235"/>
      <c r="Y152" s="235"/>
      <c r="Z152" s="235"/>
      <c r="AA152" s="235"/>
      <c r="AB152" s="235"/>
      <c r="AC152" s="235"/>
    </row>
    <row r="153">
      <c r="A153" s="194" t="s">
        <v>441</v>
      </c>
      <c r="B153" s="193">
        <v>101904.0</v>
      </c>
      <c r="C153" s="192" t="s">
        <v>442</v>
      </c>
      <c r="D153" s="192" t="s">
        <v>443</v>
      </c>
      <c r="E153" s="235"/>
      <c r="F153" s="235"/>
      <c r="G153" s="325"/>
      <c r="H153" s="235"/>
      <c r="I153" s="235"/>
      <c r="J153" s="235"/>
      <c r="K153" s="235"/>
      <c r="L153" s="235"/>
      <c r="M153" s="235"/>
      <c r="N153" s="235"/>
      <c r="O153" s="235"/>
      <c r="P153" s="235"/>
      <c r="Q153" s="235"/>
      <c r="R153" s="235"/>
      <c r="S153" s="235"/>
      <c r="T153" s="235"/>
      <c r="U153" s="235"/>
      <c r="V153" s="235"/>
      <c r="W153" s="235"/>
      <c r="X153" s="235"/>
      <c r="Y153" s="235"/>
      <c r="Z153" s="235"/>
      <c r="AA153" s="235"/>
      <c r="AB153" s="235"/>
      <c r="AC153" s="235"/>
    </row>
    <row r="154">
      <c r="A154" s="194" t="s">
        <v>446</v>
      </c>
      <c r="B154" s="193">
        <v>101915.0</v>
      </c>
      <c r="C154" s="192" t="s">
        <v>447</v>
      </c>
      <c r="D154" s="192" t="s">
        <v>87</v>
      </c>
      <c r="E154" s="235"/>
      <c r="F154" s="235"/>
      <c r="G154" s="325"/>
      <c r="H154" s="235"/>
      <c r="I154" s="235"/>
      <c r="J154" s="235"/>
      <c r="K154" s="235"/>
      <c r="L154" s="235"/>
      <c r="M154" s="235"/>
      <c r="N154" s="235"/>
      <c r="O154" s="235"/>
      <c r="P154" s="235"/>
      <c r="Q154" s="235"/>
      <c r="R154" s="235"/>
      <c r="S154" s="235"/>
      <c r="T154" s="235"/>
      <c r="U154" s="235"/>
      <c r="V154" s="235"/>
      <c r="W154" s="235"/>
      <c r="X154" s="235"/>
      <c r="Y154" s="235"/>
      <c r="Z154" s="235"/>
      <c r="AA154" s="235"/>
      <c r="AB154" s="235"/>
      <c r="AC154" s="235"/>
    </row>
    <row r="155">
      <c r="A155" s="194" t="s">
        <v>438</v>
      </c>
      <c r="B155" s="193">
        <v>101906.0</v>
      </c>
      <c r="C155" s="192" t="s">
        <v>439</v>
      </c>
      <c r="D155" s="192" t="s">
        <v>340</v>
      </c>
      <c r="E155" s="235"/>
      <c r="F155" s="235"/>
      <c r="G155" s="325"/>
      <c r="H155" s="235"/>
      <c r="I155" s="235"/>
      <c r="J155" s="235"/>
      <c r="K155" s="235"/>
      <c r="L155" s="235"/>
      <c r="M155" s="235"/>
      <c r="N155" s="235"/>
      <c r="O155" s="235"/>
      <c r="P155" s="235"/>
      <c r="Q155" s="235"/>
      <c r="R155" s="235"/>
      <c r="S155" s="235"/>
      <c r="T155" s="235"/>
      <c r="U155" s="235"/>
      <c r="V155" s="235"/>
      <c r="W155" s="235"/>
      <c r="X155" s="235"/>
      <c r="Y155" s="235"/>
      <c r="Z155" s="235"/>
      <c r="AA155" s="235"/>
      <c r="AB155" s="235"/>
      <c r="AC155" s="235"/>
    </row>
    <row r="156">
      <c r="A156" s="194" t="s">
        <v>460</v>
      </c>
      <c r="B156" s="193">
        <v>101971.0</v>
      </c>
      <c r="C156" s="192" t="s">
        <v>459</v>
      </c>
      <c r="D156" s="192" t="s">
        <v>51</v>
      </c>
      <c r="E156" s="235"/>
      <c r="F156" s="235"/>
      <c r="G156" s="325"/>
      <c r="H156" s="235"/>
      <c r="I156" s="235"/>
      <c r="J156" s="235"/>
      <c r="K156" s="235"/>
      <c r="L156" s="235"/>
      <c r="M156" s="235"/>
      <c r="N156" s="235"/>
      <c r="O156" s="235"/>
      <c r="P156" s="235"/>
      <c r="Q156" s="235"/>
      <c r="R156" s="235"/>
      <c r="S156" s="235"/>
      <c r="T156" s="235"/>
      <c r="U156" s="235"/>
      <c r="V156" s="235"/>
      <c r="W156" s="235"/>
      <c r="X156" s="235"/>
      <c r="Y156" s="235"/>
      <c r="Z156" s="235"/>
      <c r="AA156" s="235"/>
      <c r="AB156" s="235"/>
      <c r="AC156" s="235"/>
    </row>
    <row r="157">
      <c r="A157" s="194" t="s">
        <v>502</v>
      </c>
      <c r="B157" s="193">
        <v>101986.0</v>
      </c>
      <c r="C157" s="192" t="s">
        <v>465</v>
      </c>
      <c r="D157" s="192" t="s">
        <v>51</v>
      </c>
      <c r="E157" s="235"/>
      <c r="F157" s="235"/>
      <c r="G157" s="325"/>
      <c r="H157" s="235"/>
      <c r="I157" s="235"/>
      <c r="J157" s="235"/>
      <c r="K157" s="235"/>
      <c r="L157" s="235"/>
      <c r="M157" s="235"/>
      <c r="N157" s="235"/>
      <c r="O157" s="235"/>
      <c r="P157" s="235"/>
      <c r="Q157" s="235"/>
      <c r="R157" s="235"/>
      <c r="S157" s="235"/>
      <c r="T157" s="235"/>
      <c r="U157" s="235"/>
      <c r="V157" s="235"/>
      <c r="W157" s="235"/>
      <c r="X157" s="235"/>
      <c r="Y157" s="235"/>
      <c r="Z157" s="235"/>
      <c r="AA157" s="235"/>
      <c r="AB157" s="235"/>
      <c r="AC157" s="235"/>
    </row>
    <row r="158">
      <c r="A158" s="194" t="s">
        <v>461</v>
      </c>
      <c r="B158" s="193">
        <v>101985.0</v>
      </c>
      <c r="C158" s="192" t="s">
        <v>462</v>
      </c>
      <c r="D158" s="192" t="s">
        <v>51</v>
      </c>
      <c r="E158" s="235"/>
      <c r="F158" s="235"/>
      <c r="G158" s="325"/>
      <c r="H158" s="235"/>
      <c r="I158" s="235"/>
      <c r="J158" s="235"/>
      <c r="K158" s="235"/>
      <c r="L158" s="235"/>
      <c r="M158" s="235"/>
      <c r="N158" s="235"/>
      <c r="O158" s="235"/>
      <c r="P158" s="235"/>
      <c r="Q158" s="235"/>
      <c r="R158" s="235"/>
      <c r="S158" s="235"/>
      <c r="T158" s="235"/>
      <c r="U158" s="235"/>
      <c r="V158" s="235"/>
      <c r="W158" s="235"/>
      <c r="X158" s="235"/>
      <c r="Y158" s="235"/>
      <c r="Z158" s="235"/>
      <c r="AA158" s="235"/>
      <c r="AB158" s="235"/>
      <c r="AC158" s="235"/>
    </row>
    <row r="159">
      <c r="A159" s="194" t="s">
        <v>491</v>
      </c>
      <c r="B159" s="193">
        <v>101981.0</v>
      </c>
      <c r="C159" s="192" t="s">
        <v>492</v>
      </c>
      <c r="D159" s="192" t="s">
        <v>309</v>
      </c>
      <c r="E159" s="235"/>
      <c r="F159" s="235"/>
      <c r="G159" s="325"/>
      <c r="H159" s="235"/>
      <c r="I159" s="235"/>
      <c r="J159" s="235"/>
      <c r="K159" s="235"/>
      <c r="L159" s="235"/>
      <c r="M159" s="235"/>
      <c r="N159" s="235"/>
      <c r="O159" s="235"/>
      <c r="P159" s="235"/>
      <c r="Q159" s="235"/>
      <c r="R159" s="235"/>
      <c r="S159" s="235"/>
      <c r="T159" s="235"/>
      <c r="U159" s="235"/>
      <c r="V159" s="235"/>
      <c r="W159" s="235"/>
      <c r="X159" s="235"/>
      <c r="Y159" s="235"/>
      <c r="Z159" s="235"/>
      <c r="AA159" s="235"/>
      <c r="AB159" s="235"/>
      <c r="AC159" s="235"/>
    </row>
    <row r="160">
      <c r="A160" s="194" t="s">
        <v>489</v>
      </c>
      <c r="B160" s="193">
        <v>101980.0</v>
      </c>
      <c r="C160" s="192" t="s">
        <v>490</v>
      </c>
      <c r="D160" s="192" t="s">
        <v>309</v>
      </c>
      <c r="E160" s="235"/>
      <c r="F160" s="235"/>
      <c r="G160" s="325"/>
      <c r="H160" s="235"/>
      <c r="I160" s="235"/>
      <c r="J160" s="235"/>
      <c r="K160" s="235"/>
      <c r="L160" s="235"/>
      <c r="M160" s="235"/>
      <c r="N160" s="235"/>
      <c r="O160" s="235"/>
      <c r="P160" s="235"/>
      <c r="Q160" s="235"/>
      <c r="R160" s="235"/>
      <c r="S160" s="235"/>
      <c r="T160" s="235"/>
      <c r="U160" s="235"/>
      <c r="V160" s="235"/>
      <c r="W160" s="235"/>
      <c r="X160" s="235"/>
      <c r="Y160" s="235"/>
      <c r="Z160" s="235"/>
      <c r="AA160" s="235"/>
      <c r="AB160" s="235"/>
      <c r="AC160" s="235"/>
    </row>
    <row r="161">
      <c r="A161" s="194" t="s">
        <v>482</v>
      </c>
      <c r="B161" s="193">
        <v>101989.0</v>
      </c>
      <c r="C161" s="192" t="s">
        <v>474</v>
      </c>
      <c r="D161" s="192" t="s">
        <v>483</v>
      </c>
      <c r="E161" s="235"/>
      <c r="F161" s="235"/>
      <c r="G161" s="325"/>
      <c r="H161" s="235"/>
      <c r="I161" s="235"/>
      <c r="J161" s="235"/>
      <c r="K161" s="235"/>
      <c r="L161" s="235"/>
      <c r="M161" s="235"/>
      <c r="N161" s="235"/>
      <c r="O161" s="235"/>
      <c r="P161" s="235"/>
      <c r="Q161" s="235"/>
      <c r="R161" s="235"/>
      <c r="S161" s="235"/>
      <c r="T161" s="235"/>
      <c r="U161" s="235"/>
      <c r="V161" s="235"/>
      <c r="W161" s="235"/>
      <c r="X161" s="235"/>
      <c r="Y161" s="235"/>
      <c r="Z161" s="235"/>
      <c r="AA161" s="235"/>
      <c r="AB161" s="235"/>
      <c r="AC161" s="235"/>
    </row>
    <row r="162">
      <c r="A162" s="194" t="s">
        <v>467</v>
      </c>
      <c r="B162" s="193">
        <v>101991.0</v>
      </c>
      <c r="C162" s="192" t="s">
        <v>468</v>
      </c>
      <c r="D162" s="192" t="s">
        <v>209</v>
      </c>
      <c r="E162" s="235"/>
      <c r="F162" s="235"/>
      <c r="G162" s="325"/>
      <c r="H162" s="235"/>
      <c r="I162" s="235"/>
      <c r="J162" s="235"/>
      <c r="K162" s="235"/>
      <c r="L162" s="235"/>
      <c r="M162" s="235"/>
      <c r="N162" s="235"/>
      <c r="O162" s="235"/>
      <c r="P162" s="235"/>
      <c r="Q162" s="235"/>
      <c r="R162" s="235"/>
      <c r="S162" s="235"/>
      <c r="T162" s="235"/>
      <c r="U162" s="235"/>
      <c r="V162" s="235"/>
      <c r="W162" s="235"/>
      <c r="X162" s="235"/>
      <c r="Y162" s="235"/>
      <c r="Z162" s="235"/>
      <c r="AA162" s="235"/>
      <c r="AB162" s="235"/>
      <c r="AC162" s="235"/>
    </row>
    <row r="163">
      <c r="A163" s="194" t="s">
        <v>486</v>
      </c>
      <c r="B163" s="193">
        <v>101985.0</v>
      </c>
      <c r="C163" s="192" t="s">
        <v>462</v>
      </c>
      <c r="D163" s="192" t="s">
        <v>487</v>
      </c>
      <c r="E163" s="235"/>
      <c r="F163" s="235"/>
      <c r="G163" s="325"/>
      <c r="H163" s="235"/>
      <c r="I163" s="235"/>
      <c r="J163" s="235"/>
      <c r="K163" s="235"/>
      <c r="L163" s="235"/>
      <c r="M163" s="235"/>
      <c r="N163" s="235"/>
      <c r="O163" s="235"/>
      <c r="P163" s="235"/>
      <c r="Q163" s="235"/>
      <c r="R163" s="235"/>
      <c r="S163" s="235"/>
      <c r="T163" s="235"/>
      <c r="U163" s="235"/>
      <c r="V163" s="235"/>
      <c r="W163" s="235"/>
      <c r="X163" s="235"/>
      <c r="Y163" s="235"/>
      <c r="Z163" s="235"/>
      <c r="AA163" s="235"/>
      <c r="AB163" s="235"/>
      <c r="AC163" s="235"/>
    </row>
    <row r="164">
      <c r="A164" s="194" t="s">
        <v>469</v>
      </c>
      <c r="B164" s="193">
        <v>101998.0</v>
      </c>
      <c r="C164" s="192" t="s">
        <v>470</v>
      </c>
      <c r="D164" s="192" t="s">
        <v>254</v>
      </c>
      <c r="E164" s="235"/>
      <c r="F164" s="235"/>
      <c r="G164" s="325"/>
      <c r="H164" s="235"/>
      <c r="I164" s="235"/>
      <c r="J164" s="235"/>
      <c r="K164" s="235"/>
      <c r="L164" s="235"/>
      <c r="M164" s="235"/>
      <c r="N164" s="235"/>
      <c r="O164" s="235"/>
      <c r="P164" s="235"/>
      <c r="Q164" s="235"/>
      <c r="R164" s="235"/>
      <c r="S164" s="235"/>
      <c r="T164" s="235"/>
      <c r="U164" s="235"/>
      <c r="V164" s="235"/>
      <c r="W164" s="235"/>
      <c r="X164" s="235"/>
      <c r="Y164" s="235"/>
      <c r="Z164" s="235"/>
      <c r="AA164" s="235"/>
      <c r="AB164" s="235"/>
      <c r="AC164" s="235"/>
    </row>
    <row r="165">
      <c r="A165" s="194" t="s">
        <v>977</v>
      </c>
      <c r="B165" s="193">
        <v>103351.0</v>
      </c>
      <c r="C165" s="192" t="s">
        <v>978</v>
      </c>
      <c r="D165" s="192" t="s">
        <v>979</v>
      </c>
      <c r="E165" s="235"/>
      <c r="F165" s="235"/>
      <c r="G165" s="325"/>
      <c r="H165" s="235"/>
      <c r="I165" s="235"/>
      <c r="J165" s="235"/>
      <c r="K165" s="235"/>
      <c r="L165" s="235"/>
      <c r="M165" s="235"/>
      <c r="N165" s="235"/>
      <c r="O165" s="235"/>
      <c r="P165" s="235"/>
      <c r="Q165" s="235"/>
      <c r="R165" s="235"/>
      <c r="S165" s="235"/>
      <c r="T165" s="235"/>
      <c r="U165" s="235"/>
      <c r="V165" s="235"/>
      <c r="W165" s="235"/>
      <c r="X165" s="235"/>
      <c r="Y165" s="235"/>
      <c r="Z165" s="235"/>
      <c r="AA165" s="235"/>
      <c r="AB165" s="235"/>
      <c r="AC165" s="235"/>
    </row>
    <row r="166">
      <c r="A166" s="194" t="s">
        <v>952</v>
      </c>
      <c r="B166" s="193">
        <v>103066.0</v>
      </c>
      <c r="C166" s="192" t="s">
        <v>953</v>
      </c>
      <c r="D166" s="192" t="s">
        <v>602</v>
      </c>
      <c r="E166" s="235"/>
      <c r="F166" s="235"/>
      <c r="G166" s="325"/>
      <c r="H166" s="235"/>
      <c r="I166" s="235"/>
      <c r="J166" s="235"/>
      <c r="K166" s="235"/>
      <c r="L166" s="235"/>
      <c r="M166" s="235"/>
      <c r="N166" s="235"/>
      <c r="O166" s="235"/>
      <c r="P166" s="235"/>
      <c r="Q166" s="235"/>
      <c r="R166" s="235"/>
      <c r="S166" s="235"/>
      <c r="T166" s="235"/>
      <c r="U166" s="235"/>
      <c r="V166" s="235"/>
      <c r="W166" s="235"/>
      <c r="X166" s="235"/>
      <c r="Y166" s="235"/>
      <c r="Z166" s="235"/>
      <c r="AA166" s="235"/>
      <c r="AB166" s="235"/>
      <c r="AC166" s="235"/>
    </row>
    <row r="167">
      <c r="A167" s="194" t="s">
        <v>644</v>
      </c>
      <c r="B167" s="193">
        <v>102231.0</v>
      </c>
      <c r="C167" s="192" t="s">
        <v>645</v>
      </c>
      <c r="D167" s="192" t="s">
        <v>646</v>
      </c>
      <c r="E167" s="235"/>
      <c r="F167" s="235"/>
      <c r="G167" s="325"/>
      <c r="H167" s="235"/>
      <c r="I167" s="235"/>
      <c r="J167" s="235"/>
      <c r="K167" s="235"/>
      <c r="L167" s="235"/>
      <c r="M167" s="235"/>
      <c r="N167" s="235"/>
      <c r="O167" s="235"/>
      <c r="P167" s="235"/>
      <c r="Q167" s="235"/>
      <c r="R167" s="235"/>
      <c r="S167" s="235"/>
      <c r="T167" s="235"/>
      <c r="U167" s="235"/>
      <c r="V167" s="235"/>
      <c r="W167" s="235"/>
      <c r="X167" s="235"/>
      <c r="Y167" s="235"/>
      <c r="Z167" s="235"/>
      <c r="AA167" s="235"/>
      <c r="AB167" s="235"/>
      <c r="AC167" s="235"/>
    </row>
    <row r="168">
      <c r="A168" s="194" t="s">
        <v>642</v>
      </c>
      <c r="B168" s="193">
        <v>102210.0</v>
      </c>
      <c r="C168" s="192" t="s">
        <v>643</v>
      </c>
      <c r="D168" s="192" t="s">
        <v>602</v>
      </c>
      <c r="E168" s="235"/>
      <c r="F168" s="235"/>
      <c r="G168" s="325"/>
      <c r="H168" s="235"/>
      <c r="I168" s="235"/>
      <c r="J168" s="235"/>
      <c r="K168" s="235"/>
      <c r="L168" s="235"/>
      <c r="M168" s="235"/>
      <c r="N168" s="235"/>
      <c r="O168" s="235"/>
      <c r="P168" s="235"/>
      <c r="Q168" s="235"/>
      <c r="R168" s="235"/>
      <c r="S168" s="235"/>
      <c r="T168" s="235"/>
      <c r="U168" s="235"/>
      <c r="V168" s="235"/>
      <c r="W168" s="235"/>
      <c r="X168" s="235"/>
      <c r="Y168" s="235"/>
      <c r="Z168" s="235"/>
      <c r="AA168" s="235"/>
      <c r="AB168" s="235"/>
      <c r="AC168" s="235"/>
    </row>
    <row r="169">
      <c r="A169" s="194" t="s">
        <v>794</v>
      </c>
      <c r="B169" s="193">
        <v>102614.0</v>
      </c>
      <c r="C169" s="192" t="s">
        <v>795</v>
      </c>
      <c r="D169" s="192" t="s">
        <v>602</v>
      </c>
      <c r="E169" s="235"/>
      <c r="F169" s="235"/>
      <c r="G169" s="325"/>
      <c r="H169" s="235"/>
      <c r="I169" s="235"/>
      <c r="J169" s="235"/>
      <c r="K169" s="235"/>
      <c r="L169" s="235"/>
      <c r="M169" s="235"/>
      <c r="N169" s="235"/>
      <c r="O169" s="235"/>
      <c r="P169" s="235"/>
      <c r="Q169" s="235"/>
      <c r="R169" s="235"/>
      <c r="S169" s="235"/>
      <c r="T169" s="235"/>
      <c r="U169" s="235"/>
      <c r="V169" s="235"/>
      <c r="W169" s="235"/>
      <c r="X169" s="235"/>
      <c r="Y169" s="235"/>
      <c r="Z169" s="235"/>
      <c r="AA169" s="235"/>
      <c r="AB169" s="235"/>
      <c r="AC169" s="235"/>
    </row>
    <row r="170">
      <c r="A170" s="194" t="s">
        <v>966</v>
      </c>
      <c r="B170" s="193">
        <v>103148.0</v>
      </c>
      <c r="C170" s="192" t="s">
        <v>967</v>
      </c>
      <c r="D170" s="192" t="s">
        <v>87</v>
      </c>
      <c r="E170" s="235"/>
      <c r="F170" s="235"/>
      <c r="G170" s="325"/>
      <c r="H170" s="235"/>
      <c r="I170" s="235"/>
      <c r="J170" s="235"/>
      <c r="K170" s="235"/>
      <c r="L170" s="235"/>
      <c r="M170" s="235"/>
      <c r="N170" s="235"/>
      <c r="O170" s="235"/>
      <c r="P170" s="235"/>
      <c r="Q170" s="235"/>
      <c r="R170" s="235"/>
      <c r="S170" s="235"/>
      <c r="T170" s="235"/>
      <c r="U170" s="235"/>
      <c r="V170" s="235"/>
      <c r="W170" s="235"/>
      <c r="X170" s="235"/>
      <c r="Y170" s="235"/>
      <c r="Z170" s="235"/>
      <c r="AA170" s="235"/>
      <c r="AB170" s="235"/>
      <c r="AC170" s="235"/>
    </row>
    <row r="171">
      <c r="A171" s="194" t="s">
        <v>3560</v>
      </c>
      <c r="B171" s="193">
        <v>102198.0</v>
      </c>
      <c r="C171" s="192" t="s">
        <v>3562</v>
      </c>
      <c r="D171" s="192" t="s">
        <v>3563</v>
      </c>
      <c r="E171" s="235"/>
      <c r="F171" s="235"/>
      <c r="G171" s="325"/>
      <c r="H171" s="235"/>
      <c r="I171" s="235"/>
      <c r="J171" s="235"/>
      <c r="K171" s="235"/>
      <c r="L171" s="235"/>
      <c r="M171" s="235"/>
      <c r="N171" s="235"/>
      <c r="O171" s="235"/>
      <c r="P171" s="235"/>
      <c r="Q171" s="235"/>
      <c r="R171" s="235"/>
      <c r="S171" s="235"/>
      <c r="T171" s="235"/>
      <c r="U171" s="235"/>
      <c r="V171" s="235"/>
      <c r="W171" s="235"/>
      <c r="X171" s="235"/>
      <c r="Y171" s="235"/>
      <c r="Z171" s="235"/>
      <c r="AA171" s="235"/>
      <c r="AB171" s="235"/>
      <c r="AC171" s="235"/>
    </row>
    <row r="172">
      <c r="A172" s="194" t="s">
        <v>3568</v>
      </c>
      <c r="B172" s="193">
        <v>102196.0</v>
      </c>
      <c r="C172" s="192" t="s">
        <v>3569</v>
      </c>
      <c r="D172" s="192" t="s">
        <v>3571</v>
      </c>
      <c r="E172" s="235"/>
      <c r="F172" s="235"/>
      <c r="G172" s="325"/>
      <c r="H172" s="235"/>
      <c r="I172" s="235"/>
      <c r="J172" s="235"/>
      <c r="K172" s="235"/>
      <c r="L172" s="235"/>
      <c r="M172" s="235"/>
      <c r="N172" s="235"/>
      <c r="O172" s="235"/>
      <c r="P172" s="235"/>
      <c r="Q172" s="235"/>
      <c r="R172" s="235"/>
      <c r="S172" s="235"/>
      <c r="T172" s="235"/>
      <c r="U172" s="235"/>
      <c r="V172" s="235"/>
      <c r="W172" s="235"/>
      <c r="X172" s="235"/>
      <c r="Y172" s="235"/>
      <c r="Z172" s="235"/>
      <c r="AA172" s="235"/>
      <c r="AB172" s="235"/>
      <c r="AC172" s="235"/>
    </row>
    <row r="173">
      <c r="A173" s="194" t="s">
        <v>962</v>
      </c>
      <c r="B173" s="193">
        <v>103184.0</v>
      </c>
      <c r="C173" s="192" t="s">
        <v>963</v>
      </c>
      <c r="D173" s="192" t="s">
        <v>427</v>
      </c>
      <c r="E173" s="235"/>
      <c r="F173" s="235"/>
      <c r="G173" s="325"/>
      <c r="H173" s="235"/>
      <c r="I173" s="235"/>
      <c r="J173" s="235"/>
      <c r="K173" s="235"/>
      <c r="L173" s="235"/>
      <c r="M173" s="235"/>
      <c r="N173" s="235"/>
      <c r="O173" s="235"/>
      <c r="P173" s="235"/>
      <c r="Q173" s="235"/>
      <c r="R173" s="235"/>
      <c r="S173" s="235"/>
      <c r="T173" s="235"/>
      <c r="U173" s="235"/>
      <c r="V173" s="235"/>
      <c r="W173" s="235"/>
      <c r="X173" s="235"/>
      <c r="Y173" s="235"/>
      <c r="Z173" s="235"/>
      <c r="AA173" s="235"/>
      <c r="AB173" s="235"/>
      <c r="AC173" s="235"/>
    </row>
    <row r="174">
      <c r="A174" s="194" t="s">
        <v>3581</v>
      </c>
      <c r="B174" s="193">
        <v>102493.0</v>
      </c>
      <c r="C174" s="192" t="s">
        <v>3582</v>
      </c>
      <c r="D174" s="192" t="s">
        <v>3571</v>
      </c>
      <c r="E174" s="235"/>
      <c r="F174" s="235"/>
      <c r="G174" s="325"/>
      <c r="H174" s="235"/>
      <c r="I174" s="235"/>
      <c r="J174" s="235"/>
      <c r="K174" s="235"/>
      <c r="L174" s="235"/>
      <c r="M174" s="235"/>
      <c r="N174" s="235"/>
      <c r="O174" s="235"/>
      <c r="P174" s="235"/>
      <c r="Q174" s="235"/>
      <c r="R174" s="235"/>
      <c r="S174" s="235"/>
      <c r="T174" s="235"/>
      <c r="U174" s="235"/>
      <c r="V174" s="235"/>
      <c r="W174" s="235"/>
      <c r="X174" s="235"/>
      <c r="Y174" s="235"/>
      <c r="Z174" s="235"/>
      <c r="AA174" s="235"/>
      <c r="AB174" s="235"/>
      <c r="AC174" s="235"/>
    </row>
    <row r="175">
      <c r="A175" s="194" t="s">
        <v>3589</v>
      </c>
      <c r="B175" s="193">
        <v>102963.0</v>
      </c>
      <c r="C175" s="192" t="s">
        <v>3590</v>
      </c>
      <c r="D175" s="192" t="s">
        <v>3592</v>
      </c>
      <c r="E175" s="235"/>
      <c r="F175" s="235"/>
      <c r="G175" s="325"/>
      <c r="H175" s="235"/>
      <c r="I175" s="235"/>
      <c r="J175" s="235"/>
      <c r="K175" s="235"/>
      <c r="L175" s="235"/>
      <c r="M175" s="235"/>
      <c r="N175" s="235"/>
      <c r="O175" s="235"/>
      <c r="P175" s="235"/>
      <c r="Q175" s="235"/>
      <c r="R175" s="235"/>
      <c r="S175" s="235"/>
      <c r="T175" s="235"/>
      <c r="U175" s="235"/>
      <c r="V175" s="235"/>
      <c r="W175" s="235"/>
      <c r="X175" s="235"/>
      <c r="Y175" s="235"/>
      <c r="Z175" s="235"/>
      <c r="AA175" s="235"/>
      <c r="AB175" s="235"/>
      <c r="AC175" s="235"/>
    </row>
    <row r="176">
      <c r="A176" s="194" t="s">
        <v>924</v>
      </c>
      <c r="B176" s="193">
        <v>102907.0</v>
      </c>
      <c r="C176" s="192" t="s">
        <v>925</v>
      </c>
      <c r="D176" s="192" t="s">
        <v>156</v>
      </c>
      <c r="E176" s="235"/>
      <c r="F176" s="235"/>
      <c r="G176" s="325"/>
      <c r="H176" s="235"/>
      <c r="I176" s="235"/>
      <c r="J176" s="235"/>
      <c r="K176" s="235"/>
      <c r="L176" s="235"/>
      <c r="M176" s="235"/>
      <c r="N176" s="235"/>
      <c r="O176" s="235"/>
      <c r="P176" s="235"/>
      <c r="Q176" s="235"/>
      <c r="R176" s="235"/>
      <c r="S176" s="235"/>
      <c r="T176" s="235"/>
      <c r="U176" s="235"/>
      <c r="V176" s="235"/>
      <c r="W176" s="235"/>
      <c r="X176" s="235"/>
      <c r="Y176" s="235"/>
      <c r="Z176" s="235"/>
      <c r="AA176" s="235"/>
      <c r="AB176" s="235"/>
      <c r="AC176" s="235"/>
    </row>
    <row r="177">
      <c r="A177" s="194" t="s">
        <v>924</v>
      </c>
      <c r="B177" s="193">
        <v>102907.0</v>
      </c>
      <c r="C177" s="192" t="s">
        <v>925</v>
      </c>
      <c r="D177" s="192" t="s">
        <v>156</v>
      </c>
      <c r="E177" s="235"/>
      <c r="F177" s="235"/>
      <c r="G177" s="325"/>
      <c r="H177" s="235"/>
      <c r="I177" s="235"/>
      <c r="J177" s="235"/>
      <c r="K177" s="235"/>
      <c r="L177" s="235"/>
      <c r="M177" s="235"/>
      <c r="N177" s="235"/>
      <c r="O177" s="235"/>
      <c r="P177" s="235"/>
      <c r="Q177" s="235"/>
      <c r="R177" s="235"/>
      <c r="S177" s="235"/>
      <c r="T177" s="235"/>
      <c r="U177" s="235"/>
      <c r="V177" s="235"/>
      <c r="W177" s="235"/>
      <c r="X177" s="235"/>
      <c r="Y177" s="235"/>
      <c r="Z177" s="235"/>
      <c r="AA177" s="235"/>
      <c r="AB177" s="235"/>
      <c r="AC177" s="235"/>
    </row>
    <row r="178">
      <c r="A178" s="194" t="s">
        <v>878</v>
      </c>
      <c r="B178" s="193">
        <v>102906.0</v>
      </c>
      <c r="C178" s="192" t="s">
        <v>879</v>
      </c>
      <c r="D178" s="192" t="s">
        <v>427</v>
      </c>
      <c r="E178" s="235"/>
      <c r="F178" s="235"/>
      <c r="G178" s="325"/>
      <c r="H178" s="235"/>
      <c r="I178" s="235"/>
      <c r="J178" s="235"/>
      <c r="K178" s="235"/>
      <c r="L178" s="235"/>
      <c r="M178" s="235"/>
      <c r="N178" s="235"/>
      <c r="O178" s="235"/>
      <c r="P178" s="235"/>
      <c r="Q178" s="235"/>
      <c r="R178" s="235"/>
      <c r="S178" s="235"/>
      <c r="T178" s="235"/>
      <c r="U178" s="235"/>
      <c r="V178" s="235"/>
      <c r="W178" s="235"/>
      <c r="X178" s="235"/>
      <c r="Y178" s="235"/>
      <c r="Z178" s="235"/>
      <c r="AA178" s="235"/>
      <c r="AB178" s="235"/>
      <c r="AC178" s="235"/>
    </row>
    <row r="179">
      <c r="A179" s="194" t="s">
        <v>880</v>
      </c>
      <c r="B179" s="193">
        <v>102903.0</v>
      </c>
      <c r="C179" s="192" t="s">
        <v>881</v>
      </c>
      <c r="D179" s="192" t="s">
        <v>312</v>
      </c>
      <c r="E179" s="235"/>
      <c r="F179" s="235"/>
      <c r="G179" s="325"/>
      <c r="H179" s="235"/>
      <c r="I179" s="235"/>
      <c r="J179" s="235"/>
      <c r="K179" s="235"/>
      <c r="L179" s="235"/>
      <c r="M179" s="235"/>
      <c r="N179" s="235"/>
      <c r="O179" s="235"/>
      <c r="P179" s="235"/>
      <c r="Q179" s="235"/>
      <c r="R179" s="235"/>
      <c r="S179" s="235"/>
      <c r="T179" s="235"/>
      <c r="U179" s="235"/>
      <c r="V179" s="235"/>
      <c r="W179" s="235"/>
      <c r="X179" s="235"/>
      <c r="Y179" s="235"/>
      <c r="Z179" s="235"/>
      <c r="AA179" s="235"/>
      <c r="AB179" s="235"/>
      <c r="AC179" s="235"/>
    </row>
    <row r="180">
      <c r="A180" s="194" t="s">
        <v>854</v>
      </c>
      <c r="B180" s="193">
        <v>102905.0</v>
      </c>
      <c r="C180" s="192" t="s">
        <v>855</v>
      </c>
      <c r="D180" s="192" t="s">
        <v>87</v>
      </c>
      <c r="E180" s="235"/>
      <c r="F180" s="235"/>
      <c r="G180" s="325"/>
      <c r="H180" s="235"/>
      <c r="I180" s="235"/>
      <c r="J180" s="235"/>
      <c r="K180" s="235"/>
      <c r="L180" s="235"/>
      <c r="M180" s="235"/>
      <c r="N180" s="235"/>
      <c r="O180" s="235"/>
      <c r="P180" s="235"/>
      <c r="Q180" s="235"/>
      <c r="R180" s="235"/>
      <c r="S180" s="235"/>
      <c r="T180" s="235"/>
      <c r="U180" s="235"/>
      <c r="V180" s="235"/>
      <c r="W180" s="235"/>
      <c r="X180" s="235"/>
      <c r="Y180" s="235"/>
      <c r="Z180" s="235"/>
      <c r="AA180" s="235"/>
      <c r="AB180" s="235"/>
      <c r="AC180" s="235"/>
    </row>
    <row r="181">
      <c r="A181" s="194" t="s">
        <v>856</v>
      </c>
      <c r="B181" s="193">
        <v>102904.0</v>
      </c>
      <c r="C181" s="192" t="s">
        <v>857</v>
      </c>
      <c r="D181" s="192" t="s">
        <v>87</v>
      </c>
      <c r="E181" s="235"/>
      <c r="F181" s="235"/>
      <c r="G181" s="325"/>
      <c r="H181" s="235"/>
      <c r="I181" s="235"/>
      <c r="J181" s="235"/>
      <c r="K181" s="235"/>
      <c r="L181" s="235"/>
      <c r="M181" s="235"/>
      <c r="N181" s="235"/>
      <c r="O181" s="235"/>
      <c r="P181" s="235"/>
      <c r="Q181" s="235"/>
      <c r="R181" s="235"/>
      <c r="S181" s="235"/>
      <c r="T181" s="235"/>
      <c r="U181" s="235"/>
      <c r="V181" s="235"/>
      <c r="W181" s="235"/>
      <c r="X181" s="235"/>
      <c r="Y181" s="235"/>
      <c r="Z181" s="235"/>
      <c r="AA181" s="235"/>
      <c r="AB181" s="235"/>
      <c r="AC181" s="235"/>
    </row>
    <row r="182">
      <c r="A182" s="194" t="s">
        <v>798</v>
      </c>
      <c r="B182" s="193">
        <v>102666.0</v>
      </c>
      <c r="C182" s="192" t="s">
        <v>799</v>
      </c>
      <c r="D182" s="192" t="s">
        <v>254</v>
      </c>
      <c r="E182" s="235"/>
      <c r="F182" s="235"/>
      <c r="G182" s="325"/>
      <c r="H182" s="235"/>
      <c r="I182" s="235"/>
      <c r="J182" s="235"/>
      <c r="K182" s="235"/>
      <c r="L182" s="235"/>
      <c r="M182" s="235"/>
      <c r="N182" s="235"/>
      <c r="O182" s="235"/>
      <c r="P182" s="235"/>
      <c r="Q182" s="235"/>
      <c r="R182" s="235"/>
      <c r="S182" s="235"/>
      <c r="T182" s="235"/>
      <c r="U182" s="235"/>
      <c r="V182" s="235"/>
      <c r="W182" s="235"/>
      <c r="X182" s="235"/>
      <c r="Y182" s="235"/>
      <c r="Z182" s="235"/>
      <c r="AA182" s="235"/>
      <c r="AB182" s="235"/>
      <c r="AC182" s="235"/>
    </row>
    <row r="183">
      <c r="A183" s="194" t="s">
        <v>790</v>
      </c>
      <c r="B183" s="193">
        <v>102646.0</v>
      </c>
      <c r="C183" s="192" t="s">
        <v>791</v>
      </c>
      <c r="D183" s="192" t="s">
        <v>87</v>
      </c>
      <c r="E183" s="235"/>
      <c r="F183" s="235"/>
      <c r="G183" s="325"/>
      <c r="H183" s="235"/>
      <c r="I183" s="235"/>
      <c r="J183" s="235"/>
      <c r="K183" s="235"/>
      <c r="L183" s="235"/>
      <c r="M183" s="235"/>
      <c r="N183" s="235"/>
      <c r="O183" s="235"/>
      <c r="P183" s="235"/>
      <c r="Q183" s="235"/>
      <c r="R183" s="235"/>
      <c r="S183" s="235"/>
      <c r="T183" s="235"/>
      <c r="U183" s="235"/>
      <c r="V183" s="235"/>
      <c r="W183" s="235"/>
      <c r="X183" s="235"/>
      <c r="Y183" s="235"/>
      <c r="Z183" s="235"/>
      <c r="AA183" s="235"/>
      <c r="AB183" s="235"/>
      <c r="AC183" s="235"/>
    </row>
    <row r="184">
      <c r="A184" s="194" t="s">
        <v>772</v>
      </c>
      <c r="B184" s="193">
        <v>102577.0</v>
      </c>
      <c r="C184" s="192" t="s">
        <v>743</v>
      </c>
      <c r="D184" s="192" t="s">
        <v>295</v>
      </c>
      <c r="E184" s="235"/>
      <c r="F184" s="235"/>
      <c r="G184" s="325"/>
      <c r="H184" s="235"/>
      <c r="I184" s="235"/>
      <c r="J184" s="235"/>
      <c r="K184" s="235"/>
      <c r="L184" s="235"/>
      <c r="M184" s="235"/>
      <c r="N184" s="235"/>
      <c r="O184" s="235"/>
      <c r="P184" s="235"/>
      <c r="Q184" s="235"/>
      <c r="R184" s="235"/>
      <c r="S184" s="235"/>
      <c r="T184" s="235"/>
      <c r="U184" s="235"/>
      <c r="V184" s="235"/>
      <c r="W184" s="235"/>
      <c r="X184" s="235"/>
      <c r="Y184" s="235"/>
      <c r="Z184" s="235"/>
      <c r="AA184" s="235"/>
      <c r="AB184" s="235"/>
      <c r="AC184" s="235"/>
    </row>
    <row r="185">
      <c r="A185" s="194" t="s">
        <v>755</v>
      </c>
      <c r="B185" s="193">
        <v>102557.0</v>
      </c>
      <c r="C185" s="192" t="s">
        <v>756</v>
      </c>
      <c r="D185" s="192" t="s">
        <v>154</v>
      </c>
      <c r="E185" s="235"/>
      <c r="F185" s="235"/>
      <c r="G185" s="325"/>
      <c r="H185" s="235"/>
      <c r="I185" s="235"/>
      <c r="J185" s="235"/>
      <c r="K185" s="235"/>
      <c r="L185" s="235"/>
      <c r="M185" s="235"/>
      <c r="N185" s="235"/>
      <c r="O185" s="235"/>
      <c r="P185" s="235"/>
      <c r="Q185" s="235"/>
      <c r="R185" s="235"/>
      <c r="S185" s="235"/>
      <c r="T185" s="235"/>
      <c r="U185" s="235"/>
      <c r="V185" s="235"/>
      <c r="W185" s="235"/>
      <c r="X185" s="235"/>
      <c r="Y185" s="235"/>
      <c r="Z185" s="235"/>
      <c r="AA185" s="235"/>
      <c r="AB185" s="235"/>
      <c r="AC185" s="235"/>
    </row>
    <row r="186">
      <c r="A186" s="194" t="s">
        <v>744</v>
      </c>
      <c r="B186" s="193">
        <v>102366.0</v>
      </c>
      <c r="C186" s="192" t="s">
        <v>745</v>
      </c>
      <c r="D186" s="192" t="s">
        <v>87</v>
      </c>
      <c r="E186" s="235"/>
      <c r="F186" s="235"/>
      <c r="G186" s="325"/>
      <c r="H186" s="235"/>
      <c r="I186" s="235"/>
      <c r="J186" s="235"/>
      <c r="K186" s="235"/>
      <c r="L186" s="235"/>
      <c r="M186" s="235"/>
      <c r="N186" s="235"/>
      <c r="O186" s="235"/>
      <c r="P186" s="235"/>
      <c r="Q186" s="235"/>
      <c r="R186" s="235"/>
      <c r="S186" s="235"/>
      <c r="T186" s="235"/>
      <c r="U186" s="235"/>
      <c r="V186" s="235"/>
      <c r="W186" s="235"/>
      <c r="X186" s="235"/>
      <c r="Y186" s="235"/>
      <c r="Z186" s="235"/>
      <c r="AA186" s="235"/>
      <c r="AB186" s="235"/>
      <c r="AC186" s="235"/>
    </row>
    <row r="187">
      <c r="A187" s="194" t="s">
        <v>3664</v>
      </c>
      <c r="B187" s="193">
        <v>102964.0</v>
      </c>
      <c r="C187" s="192" t="s">
        <v>3665</v>
      </c>
      <c r="D187" s="192" t="s">
        <v>3592</v>
      </c>
      <c r="E187" s="235"/>
      <c r="F187" s="235"/>
      <c r="G187" s="325"/>
      <c r="H187" s="235"/>
      <c r="I187" s="235"/>
      <c r="J187" s="235"/>
      <c r="K187" s="235"/>
      <c r="L187" s="235"/>
      <c r="M187" s="235"/>
      <c r="N187" s="235"/>
      <c r="O187" s="235"/>
      <c r="P187" s="235"/>
      <c r="Q187" s="235"/>
      <c r="R187" s="235"/>
      <c r="S187" s="235"/>
      <c r="T187" s="235"/>
      <c r="U187" s="235"/>
      <c r="V187" s="235"/>
      <c r="W187" s="235"/>
      <c r="X187" s="235"/>
      <c r="Y187" s="235"/>
      <c r="Z187" s="235"/>
      <c r="AA187" s="235"/>
      <c r="AB187" s="235"/>
      <c r="AC187" s="235"/>
    </row>
    <row r="188">
      <c r="A188" s="194" t="s">
        <v>3672</v>
      </c>
      <c r="B188" s="193">
        <v>102947.0</v>
      </c>
      <c r="C188" s="192" t="s">
        <v>3673</v>
      </c>
      <c r="D188" s="192" t="s">
        <v>3674</v>
      </c>
      <c r="E188" s="235"/>
      <c r="F188" s="235"/>
      <c r="G188" s="325"/>
      <c r="H188" s="235"/>
      <c r="I188" s="235"/>
      <c r="J188" s="235"/>
      <c r="K188" s="235"/>
      <c r="L188" s="235"/>
      <c r="M188" s="235"/>
      <c r="N188" s="235"/>
      <c r="O188" s="235"/>
      <c r="P188" s="235"/>
      <c r="Q188" s="235"/>
      <c r="R188" s="235"/>
      <c r="S188" s="235"/>
      <c r="T188" s="235"/>
      <c r="U188" s="235"/>
      <c r="V188" s="235"/>
      <c r="W188" s="235"/>
      <c r="X188" s="235"/>
      <c r="Y188" s="235"/>
      <c r="Z188" s="235"/>
      <c r="AA188" s="235"/>
      <c r="AB188" s="235"/>
      <c r="AC188" s="235"/>
    </row>
    <row r="189">
      <c r="A189" s="194" t="s">
        <v>3681</v>
      </c>
      <c r="B189" s="193">
        <v>102948.0</v>
      </c>
      <c r="C189" s="192" t="s">
        <v>3682</v>
      </c>
      <c r="D189" s="192" t="s">
        <v>3674</v>
      </c>
      <c r="E189" s="235"/>
      <c r="F189" s="235"/>
      <c r="G189" s="325"/>
      <c r="H189" s="235"/>
      <c r="I189" s="235"/>
      <c r="J189" s="235"/>
      <c r="K189" s="235"/>
      <c r="L189" s="235"/>
      <c r="M189" s="235"/>
      <c r="N189" s="235"/>
      <c r="O189" s="235"/>
      <c r="P189" s="235"/>
      <c r="Q189" s="235"/>
      <c r="R189" s="235"/>
      <c r="S189" s="235"/>
      <c r="T189" s="235"/>
      <c r="U189" s="235"/>
      <c r="V189" s="235"/>
      <c r="W189" s="235"/>
      <c r="X189" s="235"/>
      <c r="Y189" s="235"/>
      <c r="Z189" s="235"/>
      <c r="AA189" s="235"/>
      <c r="AB189" s="235"/>
      <c r="AC189" s="235"/>
    </row>
    <row r="190">
      <c r="A190" s="194" t="s">
        <v>3688</v>
      </c>
      <c r="B190" s="193">
        <v>102832.0</v>
      </c>
      <c r="C190" s="192" t="s">
        <v>3689</v>
      </c>
      <c r="D190" s="192" t="s">
        <v>853</v>
      </c>
      <c r="E190" s="235"/>
      <c r="F190" s="235"/>
      <c r="G190" s="325"/>
      <c r="H190" s="235"/>
      <c r="I190" s="235"/>
      <c r="J190" s="235"/>
      <c r="K190" s="235"/>
      <c r="L190" s="235"/>
      <c r="M190" s="235"/>
      <c r="N190" s="235"/>
      <c r="O190" s="235"/>
      <c r="P190" s="235"/>
      <c r="Q190" s="235"/>
      <c r="R190" s="235"/>
      <c r="S190" s="235"/>
      <c r="T190" s="235"/>
      <c r="U190" s="235"/>
      <c r="V190" s="235"/>
      <c r="W190" s="235"/>
      <c r="X190" s="235"/>
      <c r="Y190" s="235"/>
      <c r="Z190" s="235"/>
      <c r="AA190" s="235"/>
      <c r="AB190" s="235"/>
      <c r="AC190" s="235"/>
    </row>
    <row r="191">
      <c r="A191" s="194" t="s">
        <v>3696</v>
      </c>
      <c r="B191" s="193">
        <v>102959.0</v>
      </c>
      <c r="C191" s="192" t="s">
        <v>3698</v>
      </c>
      <c r="D191" s="192" t="s">
        <v>3674</v>
      </c>
      <c r="E191" s="235"/>
      <c r="F191" s="235"/>
      <c r="G191" s="325"/>
      <c r="H191" s="235"/>
      <c r="I191" s="235"/>
      <c r="J191" s="235"/>
      <c r="K191" s="235"/>
      <c r="L191" s="235"/>
      <c r="M191" s="235"/>
      <c r="N191" s="235"/>
      <c r="O191" s="235"/>
      <c r="P191" s="235"/>
      <c r="Q191" s="235"/>
      <c r="R191" s="235"/>
      <c r="S191" s="235"/>
      <c r="T191" s="235"/>
      <c r="U191" s="235"/>
      <c r="V191" s="235"/>
      <c r="W191" s="235"/>
      <c r="X191" s="235"/>
      <c r="Y191" s="235"/>
      <c r="Z191" s="235"/>
      <c r="AA191" s="235"/>
      <c r="AB191" s="235"/>
      <c r="AC191" s="235"/>
    </row>
    <row r="192">
      <c r="A192" s="194" t="s">
        <v>1116</v>
      </c>
      <c r="B192" s="193">
        <v>103887.0</v>
      </c>
      <c r="C192" s="192" t="s">
        <v>1117</v>
      </c>
      <c r="D192" s="192" t="s">
        <v>265</v>
      </c>
      <c r="E192" s="235"/>
      <c r="F192" s="235"/>
      <c r="G192" s="325"/>
      <c r="H192" s="235"/>
      <c r="I192" s="235"/>
      <c r="J192" s="235"/>
      <c r="K192" s="235"/>
      <c r="L192" s="235"/>
      <c r="M192" s="235"/>
      <c r="N192" s="235"/>
      <c r="O192" s="235"/>
      <c r="P192" s="235"/>
      <c r="Q192" s="235"/>
      <c r="R192" s="235"/>
      <c r="S192" s="235"/>
      <c r="T192" s="235"/>
      <c r="U192" s="235"/>
      <c r="V192" s="235"/>
      <c r="W192" s="235"/>
      <c r="X192" s="235"/>
      <c r="Y192" s="235"/>
      <c r="Z192" s="235"/>
      <c r="AA192" s="235"/>
      <c r="AB192" s="235"/>
      <c r="AC192" s="235"/>
    </row>
    <row r="193">
      <c r="A193" s="194" t="s">
        <v>3710</v>
      </c>
      <c r="B193" s="193">
        <v>102845.0</v>
      </c>
      <c r="C193" s="192" t="s">
        <v>3712</v>
      </c>
      <c r="D193" s="192" t="s">
        <v>853</v>
      </c>
      <c r="E193" s="235"/>
      <c r="F193" s="235"/>
      <c r="G193" s="325"/>
      <c r="H193" s="235"/>
      <c r="I193" s="235"/>
      <c r="J193" s="235"/>
      <c r="K193" s="235"/>
      <c r="L193" s="235"/>
      <c r="M193" s="235"/>
      <c r="N193" s="235"/>
      <c r="O193" s="235"/>
      <c r="P193" s="235"/>
      <c r="Q193" s="235"/>
      <c r="R193" s="235"/>
      <c r="S193" s="235"/>
      <c r="T193" s="235"/>
      <c r="U193" s="235"/>
      <c r="V193" s="235"/>
      <c r="W193" s="235"/>
      <c r="X193" s="235"/>
      <c r="Y193" s="235"/>
      <c r="Z193" s="235"/>
      <c r="AA193" s="235"/>
      <c r="AB193" s="235"/>
      <c r="AC193" s="235"/>
    </row>
    <row r="194">
      <c r="A194" s="194" t="s">
        <v>752</v>
      </c>
      <c r="B194" s="193">
        <v>102146.0</v>
      </c>
      <c r="C194" s="192" t="s">
        <v>753</v>
      </c>
      <c r="D194" s="192" t="s">
        <v>754</v>
      </c>
      <c r="E194" s="235"/>
      <c r="F194" s="235"/>
      <c r="G194" s="325"/>
      <c r="H194" s="235"/>
      <c r="I194" s="235"/>
      <c r="J194" s="235"/>
      <c r="K194" s="235"/>
      <c r="L194" s="235"/>
      <c r="M194" s="235"/>
      <c r="N194" s="235"/>
      <c r="O194" s="235"/>
      <c r="P194" s="235"/>
      <c r="Q194" s="235"/>
      <c r="R194" s="235"/>
      <c r="S194" s="235"/>
      <c r="T194" s="235"/>
      <c r="U194" s="235"/>
      <c r="V194" s="235"/>
      <c r="W194" s="235"/>
      <c r="X194" s="235"/>
      <c r="Y194" s="235"/>
      <c r="Z194" s="235"/>
      <c r="AA194" s="235"/>
      <c r="AB194" s="235"/>
      <c r="AC194" s="235"/>
    </row>
    <row r="195">
      <c r="A195" s="194" t="s">
        <v>3710</v>
      </c>
      <c r="B195" s="193">
        <v>102845.0</v>
      </c>
      <c r="C195" s="192" t="s">
        <v>3712</v>
      </c>
      <c r="D195" s="192" t="s">
        <v>853</v>
      </c>
      <c r="E195" s="235"/>
      <c r="F195" s="235"/>
      <c r="G195" s="325"/>
      <c r="H195" s="235"/>
      <c r="I195" s="235"/>
      <c r="J195" s="235"/>
      <c r="K195" s="235"/>
      <c r="L195" s="235"/>
      <c r="M195" s="235"/>
      <c r="N195" s="235"/>
      <c r="O195" s="235"/>
      <c r="P195" s="235"/>
      <c r="Q195" s="235"/>
      <c r="R195" s="235"/>
      <c r="S195" s="235"/>
      <c r="T195" s="235"/>
      <c r="U195" s="235"/>
      <c r="V195" s="235"/>
      <c r="W195" s="235"/>
      <c r="X195" s="235"/>
      <c r="Y195" s="235"/>
      <c r="Z195" s="235"/>
      <c r="AA195" s="235"/>
      <c r="AB195" s="235"/>
      <c r="AC195" s="235"/>
    </row>
    <row r="196">
      <c r="A196" s="194" t="s">
        <v>3729</v>
      </c>
      <c r="B196" s="193">
        <v>102977.0</v>
      </c>
      <c r="C196" s="192" t="s">
        <v>3731</v>
      </c>
      <c r="D196" s="192" t="s">
        <v>3733</v>
      </c>
      <c r="E196" s="235"/>
      <c r="F196" s="235"/>
      <c r="G196" s="325"/>
      <c r="H196" s="235"/>
      <c r="I196" s="235"/>
      <c r="J196" s="235"/>
      <c r="K196" s="235"/>
      <c r="L196" s="235"/>
      <c r="M196" s="235"/>
      <c r="N196" s="235"/>
      <c r="O196" s="235"/>
      <c r="P196" s="235"/>
      <c r="Q196" s="235"/>
      <c r="R196" s="235"/>
      <c r="S196" s="235"/>
      <c r="T196" s="235"/>
      <c r="U196" s="235"/>
      <c r="V196" s="235"/>
      <c r="W196" s="235"/>
      <c r="X196" s="235"/>
      <c r="Y196" s="235"/>
      <c r="Z196" s="235"/>
      <c r="AA196" s="235"/>
      <c r="AB196" s="235"/>
      <c r="AC196" s="235"/>
    </row>
    <row r="197">
      <c r="A197" s="194" t="s">
        <v>3738</v>
      </c>
      <c r="B197" s="193">
        <v>102979.0</v>
      </c>
      <c r="C197" s="192" t="s">
        <v>3740</v>
      </c>
      <c r="D197" s="192" t="s">
        <v>3674</v>
      </c>
      <c r="E197" s="235"/>
      <c r="F197" s="235"/>
      <c r="G197" s="325"/>
      <c r="H197" s="235"/>
      <c r="I197" s="235"/>
      <c r="J197" s="235"/>
      <c r="K197" s="235"/>
      <c r="L197" s="235"/>
      <c r="M197" s="235"/>
      <c r="N197" s="235"/>
      <c r="O197" s="235"/>
      <c r="P197" s="235"/>
      <c r="Q197" s="235"/>
      <c r="R197" s="235"/>
      <c r="S197" s="235"/>
      <c r="T197" s="235"/>
      <c r="U197" s="235"/>
      <c r="V197" s="235"/>
      <c r="W197" s="235"/>
      <c r="X197" s="235"/>
      <c r="Y197" s="235"/>
      <c r="Z197" s="235"/>
      <c r="AA197" s="235"/>
      <c r="AB197" s="235"/>
      <c r="AC197" s="235"/>
    </row>
    <row r="198">
      <c r="A198" s="194" t="s">
        <v>815</v>
      </c>
      <c r="B198" s="193">
        <v>102656.0</v>
      </c>
      <c r="C198" s="192" t="s">
        <v>816</v>
      </c>
      <c r="D198" s="192" t="s">
        <v>487</v>
      </c>
      <c r="E198" s="235"/>
      <c r="F198" s="235"/>
      <c r="G198" s="325"/>
      <c r="H198" s="235"/>
      <c r="I198" s="235"/>
      <c r="J198" s="235"/>
      <c r="K198" s="235"/>
      <c r="L198" s="235"/>
      <c r="M198" s="235"/>
      <c r="N198" s="235"/>
      <c r="O198" s="235"/>
      <c r="P198" s="235"/>
      <c r="Q198" s="235"/>
      <c r="R198" s="235"/>
      <c r="S198" s="235"/>
      <c r="T198" s="235"/>
      <c r="U198" s="235"/>
      <c r="V198" s="235"/>
      <c r="W198" s="235"/>
      <c r="X198" s="235"/>
      <c r="Y198" s="235"/>
      <c r="Z198" s="235"/>
      <c r="AA198" s="235"/>
      <c r="AB198" s="235"/>
      <c r="AC198" s="235"/>
    </row>
    <row r="199">
      <c r="A199" s="194" t="s">
        <v>800</v>
      </c>
      <c r="B199" s="193">
        <v>102652.0</v>
      </c>
      <c r="C199" s="192" t="s">
        <v>801</v>
      </c>
      <c r="D199" s="192" t="s">
        <v>18</v>
      </c>
      <c r="E199" s="235"/>
      <c r="F199" s="235"/>
      <c r="G199" s="325"/>
      <c r="H199" s="235"/>
      <c r="I199" s="235"/>
      <c r="J199" s="235"/>
      <c r="K199" s="235"/>
      <c r="L199" s="235"/>
      <c r="M199" s="235"/>
      <c r="N199" s="235"/>
      <c r="O199" s="235"/>
      <c r="P199" s="235"/>
      <c r="Q199" s="235"/>
      <c r="R199" s="235"/>
      <c r="S199" s="235"/>
      <c r="T199" s="235"/>
      <c r="U199" s="235"/>
      <c r="V199" s="235"/>
      <c r="W199" s="235"/>
      <c r="X199" s="235"/>
      <c r="Y199" s="235"/>
      <c r="Z199" s="235"/>
      <c r="AA199" s="235"/>
      <c r="AB199" s="235"/>
      <c r="AC199" s="235"/>
    </row>
    <row r="200">
      <c r="A200" s="194" t="s">
        <v>847</v>
      </c>
      <c r="B200" s="193">
        <v>102878.0</v>
      </c>
      <c r="C200" s="192" t="s">
        <v>848</v>
      </c>
      <c r="D200" s="192" t="s">
        <v>18</v>
      </c>
      <c r="E200" s="235"/>
      <c r="F200" s="235"/>
      <c r="G200" s="325"/>
      <c r="H200" s="235"/>
      <c r="I200" s="235"/>
      <c r="J200" s="235"/>
      <c r="K200" s="235"/>
      <c r="L200" s="235"/>
      <c r="M200" s="235"/>
      <c r="N200" s="235"/>
      <c r="O200" s="235"/>
      <c r="P200" s="235"/>
      <c r="Q200" s="235"/>
      <c r="R200" s="235"/>
      <c r="S200" s="235"/>
      <c r="T200" s="235"/>
      <c r="U200" s="235"/>
      <c r="V200" s="235"/>
      <c r="W200" s="235"/>
      <c r="X200" s="235"/>
      <c r="Y200" s="235"/>
      <c r="Z200" s="235"/>
      <c r="AA200" s="235"/>
      <c r="AB200" s="235"/>
      <c r="AC200" s="235"/>
    </row>
    <row r="201">
      <c r="A201" s="194" t="s">
        <v>849</v>
      </c>
      <c r="B201" s="193">
        <v>102879.0</v>
      </c>
      <c r="C201" s="192" t="s">
        <v>850</v>
      </c>
      <c r="D201" s="192" t="s">
        <v>18</v>
      </c>
      <c r="E201" s="235"/>
      <c r="F201" s="235"/>
      <c r="G201" s="325"/>
      <c r="H201" s="235"/>
      <c r="I201" s="235"/>
      <c r="J201" s="235"/>
      <c r="K201" s="235"/>
      <c r="L201" s="235"/>
      <c r="M201" s="235"/>
      <c r="N201" s="235"/>
      <c r="O201" s="235"/>
      <c r="P201" s="235"/>
      <c r="Q201" s="235"/>
      <c r="R201" s="235"/>
      <c r="S201" s="235"/>
      <c r="T201" s="235"/>
      <c r="U201" s="235"/>
      <c r="V201" s="235"/>
      <c r="W201" s="235"/>
      <c r="X201" s="235"/>
      <c r="Y201" s="235"/>
      <c r="Z201" s="235"/>
      <c r="AA201" s="235"/>
      <c r="AB201" s="235"/>
      <c r="AC201" s="235"/>
    </row>
    <row r="202">
      <c r="A202" s="194" t="s">
        <v>768</v>
      </c>
      <c r="B202" s="193">
        <v>102543.0</v>
      </c>
      <c r="C202" s="192" t="s">
        <v>769</v>
      </c>
      <c r="D202" s="192" t="s">
        <v>767</v>
      </c>
      <c r="E202" s="235"/>
      <c r="F202" s="235"/>
      <c r="G202" s="325"/>
      <c r="H202" s="235"/>
      <c r="I202" s="235"/>
      <c r="J202" s="235"/>
      <c r="K202" s="235"/>
      <c r="L202" s="235"/>
      <c r="M202" s="235"/>
      <c r="N202" s="235"/>
      <c r="O202" s="235"/>
      <c r="P202" s="235"/>
      <c r="Q202" s="235"/>
      <c r="R202" s="235"/>
      <c r="S202" s="235"/>
      <c r="T202" s="235"/>
      <c r="U202" s="235"/>
      <c r="V202" s="235"/>
      <c r="W202" s="235"/>
      <c r="X202" s="235"/>
      <c r="Y202" s="235"/>
      <c r="Z202" s="235"/>
      <c r="AA202" s="235"/>
      <c r="AB202" s="235"/>
      <c r="AC202" s="235"/>
    </row>
    <row r="203">
      <c r="A203" s="194" t="s">
        <v>765</v>
      </c>
      <c r="B203" s="193">
        <v>102542.0</v>
      </c>
      <c r="C203" s="192" t="s">
        <v>766</v>
      </c>
      <c r="D203" s="192" t="s">
        <v>767</v>
      </c>
      <c r="E203" s="235"/>
      <c r="F203" s="235"/>
      <c r="G203" s="325"/>
      <c r="H203" s="235"/>
      <c r="I203" s="235"/>
      <c r="J203" s="235"/>
      <c r="K203" s="235"/>
      <c r="L203" s="235"/>
      <c r="M203" s="235"/>
      <c r="N203" s="235"/>
      <c r="O203" s="235"/>
      <c r="P203" s="235"/>
      <c r="Q203" s="235"/>
      <c r="R203" s="235"/>
      <c r="S203" s="235"/>
      <c r="T203" s="235"/>
      <c r="U203" s="235"/>
      <c r="V203" s="235"/>
      <c r="W203" s="235"/>
      <c r="X203" s="235"/>
      <c r="Y203" s="235"/>
      <c r="Z203" s="235"/>
      <c r="AA203" s="235"/>
      <c r="AB203" s="235"/>
      <c r="AC203" s="235"/>
    </row>
    <row r="204">
      <c r="A204" s="194" t="s">
        <v>687</v>
      </c>
      <c r="B204" s="193">
        <v>102351.0</v>
      </c>
      <c r="C204" s="192" t="s">
        <v>688</v>
      </c>
      <c r="D204" s="192" t="s">
        <v>689</v>
      </c>
      <c r="E204" s="235"/>
      <c r="F204" s="235"/>
      <c r="G204" s="325"/>
      <c r="H204" s="235"/>
      <c r="I204" s="235"/>
      <c r="J204" s="235"/>
      <c r="K204" s="235"/>
      <c r="L204" s="235"/>
      <c r="M204" s="235"/>
      <c r="N204" s="235"/>
      <c r="O204" s="235"/>
      <c r="P204" s="235"/>
      <c r="Q204" s="235"/>
      <c r="R204" s="235"/>
      <c r="S204" s="235"/>
      <c r="T204" s="235"/>
      <c r="U204" s="235"/>
      <c r="V204" s="235"/>
      <c r="W204" s="235"/>
      <c r="X204" s="235"/>
      <c r="Y204" s="235"/>
      <c r="Z204" s="235"/>
      <c r="AA204" s="235"/>
      <c r="AB204" s="235"/>
      <c r="AC204" s="235"/>
    </row>
    <row r="205">
      <c r="A205" s="194" t="s">
        <v>862</v>
      </c>
      <c r="B205" s="193">
        <v>102748.0</v>
      </c>
      <c r="C205" s="192" t="s">
        <v>863</v>
      </c>
      <c r="D205" s="192" t="s">
        <v>864</v>
      </c>
      <c r="E205" s="235"/>
      <c r="F205" s="235"/>
      <c r="G205" s="325"/>
      <c r="H205" s="235"/>
      <c r="I205" s="235"/>
      <c r="J205" s="235"/>
      <c r="K205" s="235"/>
      <c r="L205" s="235"/>
      <c r="M205" s="235"/>
      <c r="N205" s="235"/>
      <c r="O205" s="235"/>
      <c r="P205" s="235"/>
      <c r="Q205" s="235"/>
      <c r="R205" s="235"/>
      <c r="S205" s="235"/>
      <c r="T205" s="235"/>
      <c r="U205" s="235"/>
      <c r="V205" s="235"/>
      <c r="W205" s="235"/>
      <c r="X205" s="235"/>
      <c r="Y205" s="235"/>
      <c r="Z205" s="235"/>
      <c r="AA205" s="235"/>
      <c r="AB205" s="235"/>
      <c r="AC205" s="235"/>
    </row>
    <row r="206">
      <c r="A206" s="194" t="s">
        <v>972</v>
      </c>
      <c r="B206" s="193">
        <v>103091.0</v>
      </c>
      <c r="C206" s="192" t="s">
        <v>973</v>
      </c>
      <c r="D206" s="192" t="s">
        <v>287</v>
      </c>
      <c r="E206" s="235"/>
      <c r="F206" s="235"/>
      <c r="G206" s="325"/>
      <c r="H206" s="235"/>
      <c r="I206" s="235"/>
      <c r="J206" s="235"/>
      <c r="K206" s="235"/>
      <c r="L206" s="235"/>
      <c r="M206" s="235"/>
      <c r="N206" s="235"/>
      <c r="O206" s="235"/>
      <c r="P206" s="235"/>
      <c r="Q206" s="235"/>
      <c r="R206" s="235"/>
      <c r="S206" s="235"/>
      <c r="T206" s="235"/>
      <c r="U206" s="235"/>
      <c r="V206" s="235"/>
      <c r="W206" s="235"/>
      <c r="X206" s="235"/>
      <c r="Y206" s="235"/>
      <c r="Z206" s="235"/>
      <c r="AA206" s="235"/>
      <c r="AB206" s="235"/>
      <c r="AC206" s="235"/>
    </row>
    <row r="207">
      <c r="A207" s="194" t="s">
        <v>926</v>
      </c>
      <c r="B207" s="193">
        <v>102909.0</v>
      </c>
      <c r="C207" s="192" t="s">
        <v>927</v>
      </c>
      <c r="D207" s="192" t="s">
        <v>51</v>
      </c>
      <c r="E207" s="235"/>
      <c r="F207" s="235"/>
      <c r="G207" s="325"/>
      <c r="H207" s="235"/>
      <c r="I207" s="235"/>
      <c r="J207" s="235"/>
      <c r="K207" s="235"/>
      <c r="L207" s="235"/>
      <c r="M207" s="235"/>
      <c r="N207" s="235"/>
      <c r="O207" s="235"/>
      <c r="P207" s="235"/>
      <c r="Q207" s="235"/>
      <c r="R207" s="235"/>
      <c r="S207" s="235"/>
      <c r="T207" s="235"/>
      <c r="U207" s="235"/>
      <c r="V207" s="235"/>
      <c r="W207" s="235"/>
      <c r="X207" s="235"/>
      <c r="Y207" s="235"/>
      <c r="Z207" s="235"/>
      <c r="AA207" s="235"/>
      <c r="AB207" s="235"/>
      <c r="AC207" s="235"/>
    </row>
    <row r="208">
      <c r="A208" s="194" t="s">
        <v>750</v>
      </c>
      <c r="B208" s="193">
        <v>102496.0</v>
      </c>
      <c r="C208" s="192" t="s">
        <v>751</v>
      </c>
      <c r="D208" s="192" t="s">
        <v>602</v>
      </c>
      <c r="E208" s="235"/>
      <c r="F208" s="235"/>
      <c r="G208" s="325"/>
      <c r="H208" s="235"/>
      <c r="I208" s="235"/>
      <c r="J208" s="235"/>
      <c r="K208" s="235"/>
      <c r="L208" s="235"/>
      <c r="M208" s="235"/>
      <c r="N208" s="235"/>
      <c r="O208" s="235"/>
      <c r="P208" s="235"/>
      <c r="Q208" s="235"/>
      <c r="R208" s="235"/>
      <c r="S208" s="235"/>
      <c r="T208" s="235"/>
      <c r="U208" s="235"/>
      <c r="V208" s="235"/>
      <c r="W208" s="235"/>
      <c r="X208" s="235"/>
      <c r="Y208" s="235"/>
      <c r="Z208" s="235"/>
      <c r="AA208" s="235"/>
      <c r="AB208" s="235"/>
      <c r="AC208" s="235"/>
    </row>
    <row r="209">
      <c r="A209" s="194" t="s">
        <v>3815</v>
      </c>
      <c r="B209" s="194" t="s">
        <v>3816</v>
      </c>
      <c r="C209" s="196"/>
      <c r="D209" s="192" t="s">
        <v>3820</v>
      </c>
      <c r="E209" s="235"/>
      <c r="F209" s="235"/>
      <c r="G209" s="325"/>
      <c r="H209" s="235"/>
      <c r="I209" s="235"/>
      <c r="J209" s="235"/>
      <c r="K209" s="235"/>
      <c r="L209" s="235"/>
      <c r="M209" s="235"/>
      <c r="N209" s="235"/>
      <c r="O209" s="235"/>
      <c r="P209" s="235"/>
      <c r="Q209" s="235"/>
      <c r="R209" s="235"/>
      <c r="S209" s="235"/>
      <c r="T209" s="235"/>
      <c r="U209" s="235"/>
      <c r="V209" s="235"/>
      <c r="W209" s="235"/>
      <c r="X209" s="235"/>
      <c r="Y209" s="235"/>
      <c r="Z209" s="235"/>
      <c r="AA209" s="235"/>
      <c r="AB209" s="235"/>
      <c r="AC209" s="235"/>
    </row>
    <row r="210">
      <c r="A210" s="194" t="s">
        <v>3824</v>
      </c>
      <c r="B210" s="193">
        <v>102996.0</v>
      </c>
      <c r="C210" s="192" t="s">
        <v>3827</v>
      </c>
      <c r="D210" s="192" t="s">
        <v>3674</v>
      </c>
      <c r="E210" s="235"/>
      <c r="F210" s="235"/>
      <c r="G210" s="325"/>
      <c r="H210" s="235"/>
      <c r="I210" s="235"/>
      <c r="J210" s="235"/>
      <c r="K210" s="235"/>
      <c r="L210" s="235"/>
      <c r="M210" s="235"/>
      <c r="N210" s="235"/>
      <c r="O210" s="235"/>
      <c r="P210" s="235"/>
      <c r="Q210" s="235"/>
      <c r="R210" s="235"/>
      <c r="S210" s="235"/>
      <c r="T210" s="235"/>
      <c r="U210" s="235"/>
      <c r="V210" s="235"/>
      <c r="W210" s="235"/>
      <c r="X210" s="235"/>
      <c r="Y210" s="235"/>
      <c r="Z210" s="235"/>
      <c r="AA210" s="235"/>
      <c r="AB210" s="235"/>
      <c r="AC210" s="235"/>
    </row>
    <row r="211">
      <c r="A211" s="194" t="s">
        <v>3832</v>
      </c>
      <c r="B211" s="193">
        <v>102386.0</v>
      </c>
      <c r="C211" s="192" t="s">
        <v>3834</v>
      </c>
      <c r="D211" s="192" t="s">
        <v>3592</v>
      </c>
      <c r="E211" s="235"/>
      <c r="F211" s="235"/>
      <c r="G211" s="325"/>
      <c r="H211" s="235"/>
      <c r="I211" s="235"/>
      <c r="J211" s="235"/>
      <c r="K211" s="235"/>
      <c r="L211" s="235"/>
      <c r="M211" s="235"/>
      <c r="N211" s="235"/>
      <c r="O211" s="235"/>
      <c r="P211" s="235"/>
      <c r="Q211" s="235"/>
      <c r="R211" s="235"/>
      <c r="S211" s="235"/>
      <c r="T211" s="235"/>
      <c r="U211" s="235"/>
      <c r="V211" s="235"/>
      <c r="W211" s="235"/>
      <c r="X211" s="235"/>
      <c r="Y211" s="235"/>
      <c r="Z211" s="235"/>
      <c r="AA211" s="235"/>
      <c r="AB211" s="235"/>
      <c r="AC211" s="235"/>
    </row>
    <row r="212">
      <c r="A212" s="194" t="s">
        <v>3839</v>
      </c>
      <c r="B212" s="193">
        <v>102310.0</v>
      </c>
      <c r="C212" s="192" t="s">
        <v>3841</v>
      </c>
      <c r="D212" s="192" t="s">
        <v>3571</v>
      </c>
      <c r="E212" s="235"/>
      <c r="F212" s="235"/>
      <c r="G212" s="325"/>
      <c r="H212" s="235"/>
      <c r="I212" s="235"/>
      <c r="J212" s="235"/>
      <c r="K212" s="235"/>
      <c r="L212" s="235"/>
      <c r="M212" s="235"/>
      <c r="N212" s="235"/>
      <c r="O212" s="235"/>
      <c r="P212" s="235"/>
      <c r="Q212" s="235"/>
      <c r="R212" s="235"/>
      <c r="S212" s="235"/>
      <c r="T212" s="235"/>
      <c r="U212" s="235"/>
      <c r="V212" s="235"/>
      <c r="W212" s="235"/>
      <c r="X212" s="235"/>
      <c r="Y212" s="235"/>
      <c r="Z212" s="235"/>
      <c r="AA212" s="235"/>
      <c r="AB212" s="235"/>
      <c r="AC212" s="235"/>
    </row>
    <row r="213">
      <c r="A213" s="194" t="s">
        <v>3847</v>
      </c>
      <c r="B213" s="193">
        <v>102298.0</v>
      </c>
      <c r="C213" s="192" t="s">
        <v>3848</v>
      </c>
      <c r="D213" s="192" t="s">
        <v>3674</v>
      </c>
      <c r="E213" s="235"/>
      <c r="F213" s="235"/>
      <c r="G213" s="325"/>
      <c r="H213" s="235"/>
      <c r="I213" s="235"/>
      <c r="J213" s="235"/>
      <c r="K213" s="235"/>
      <c r="L213" s="235"/>
      <c r="M213" s="235"/>
      <c r="N213" s="235"/>
      <c r="O213" s="235"/>
      <c r="P213" s="235"/>
      <c r="Q213" s="235"/>
      <c r="R213" s="235"/>
      <c r="S213" s="235"/>
      <c r="T213" s="235"/>
      <c r="U213" s="235"/>
      <c r="V213" s="235"/>
      <c r="W213" s="235"/>
      <c r="X213" s="235"/>
      <c r="Y213" s="235"/>
      <c r="Z213" s="235"/>
      <c r="AA213" s="235"/>
      <c r="AB213" s="235"/>
      <c r="AC213" s="235"/>
    </row>
    <row r="214">
      <c r="A214" s="194" t="s">
        <v>3855</v>
      </c>
      <c r="B214" s="193">
        <v>102500.0</v>
      </c>
      <c r="C214" s="192" t="s">
        <v>3856</v>
      </c>
      <c r="D214" s="192" t="s">
        <v>3857</v>
      </c>
      <c r="E214" s="235"/>
      <c r="F214" s="235"/>
      <c r="G214" s="325"/>
      <c r="H214" s="235"/>
      <c r="I214" s="235"/>
      <c r="J214" s="235"/>
      <c r="K214" s="235"/>
      <c r="L214" s="235"/>
      <c r="M214" s="235"/>
      <c r="N214" s="235"/>
      <c r="O214" s="235"/>
      <c r="P214" s="235"/>
      <c r="Q214" s="235"/>
      <c r="R214" s="235"/>
      <c r="S214" s="235"/>
      <c r="T214" s="235"/>
      <c r="U214" s="235"/>
      <c r="V214" s="235"/>
      <c r="W214" s="235"/>
      <c r="X214" s="235"/>
      <c r="Y214" s="235"/>
      <c r="Z214" s="235"/>
      <c r="AA214" s="235"/>
      <c r="AB214" s="235"/>
      <c r="AC214" s="235"/>
    </row>
    <row r="215">
      <c r="A215" s="194" t="s">
        <v>3864</v>
      </c>
      <c r="B215" s="193">
        <v>103054.0</v>
      </c>
      <c r="C215" s="192" t="s">
        <v>3865</v>
      </c>
      <c r="D215" s="192" t="s">
        <v>3866</v>
      </c>
      <c r="E215" s="235"/>
      <c r="F215" s="235"/>
      <c r="G215" s="325"/>
      <c r="H215" s="235"/>
      <c r="I215" s="235"/>
      <c r="J215" s="235"/>
      <c r="K215" s="235"/>
      <c r="L215" s="235"/>
      <c r="M215" s="235"/>
      <c r="N215" s="235"/>
      <c r="O215" s="235"/>
      <c r="P215" s="235"/>
      <c r="Q215" s="235"/>
      <c r="R215" s="235"/>
      <c r="S215" s="235"/>
      <c r="T215" s="235"/>
      <c r="U215" s="235"/>
      <c r="V215" s="235"/>
      <c r="W215" s="235"/>
      <c r="X215" s="235"/>
      <c r="Y215" s="235"/>
      <c r="Z215" s="235"/>
      <c r="AA215" s="235"/>
      <c r="AB215" s="235"/>
      <c r="AC215" s="235"/>
    </row>
    <row r="216">
      <c r="A216" s="194" t="s">
        <v>3872</v>
      </c>
      <c r="B216" s="193">
        <v>103015.0</v>
      </c>
      <c r="C216" s="192" t="s">
        <v>3874</v>
      </c>
      <c r="D216" s="192" t="s">
        <v>3674</v>
      </c>
      <c r="E216" s="235"/>
      <c r="F216" s="235"/>
      <c r="G216" s="325"/>
      <c r="H216" s="235"/>
      <c r="I216" s="235"/>
      <c r="J216" s="235"/>
      <c r="K216" s="235"/>
      <c r="L216" s="235"/>
      <c r="M216" s="235"/>
      <c r="N216" s="235"/>
      <c r="O216" s="235"/>
      <c r="P216" s="235"/>
      <c r="Q216" s="235"/>
      <c r="R216" s="235"/>
      <c r="S216" s="235"/>
      <c r="T216" s="235"/>
      <c r="U216" s="235"/>
      <c r="V216" s="235"/>
      <c r="W216" s="235"/>
      <c r="X216" s="235"/>
      <c r="Y216" s="235"/>
      <c r="Z216" s="235"/>
      <c r="AA216" s="235"/>
      <c r="AB216" s="235"/>
      <c r="AC216" s="235"/>
    </row>
    <row r="217">
      <c r="A217" s="194" t="s">
        <v>3878</v>
      </c>
      <c r="B217" s="193">
        <v>102917.0</v>
      </c>
      <c r="C217" s="192" t="s">
        <v>3881</v>
      </c>
      <c r="D217" s="192" t="s">
        <v>3674</v>
      </c>
      <c r="E217" s="235"/>
      <c r="F217" s="235"/>
      <c r="G217" s="325"/>
      <c r="H217" s="235"/>
      <c r="I217" s="235"/>
      <c r="J217" s="235"/>
      <c r="K217" s="235"/>
      <c r="L217" s="235"/>
      <c r="M217" s="235"/>
      <c r="N217" s="235"/>
      <c r="O217" s="235"/>
      <c r="P217" s="235"/>
      <c r="Q217" s="235"/>
      <c r="R217" s="235"/>
      <c r="S217" s="235"/>
      <c r="T217" s="235"/>
      <c r="U217" s="235"/>
      <c r="V217" s="235"/>
      <c r="W217" s="235"/>
      <c r="X217" s="235"/>
      <c r="Y217" s="235"/>
      <c r="Z217" s="235"/>
      <c r="AA217" s="235"/>
      <c r="AB217" s="235"/>
      <c r="AC217" s="235"/>
    </row>
    <row r="218">
      <c r="A218" s="194" t="s">
        <v>3885</v>
      </c>
      <c r="B218" s="193">
        <v>102206.0</v>
      </c>
      <c r="C218" s="192" t="s">
        <v>3886</v>
      </c>
      <c r="D218" s="192" t="s">
        <v>3888</v>
      </c>
      <c r="E218" s="235"/>
      <c r="F218" s="235"/>
      <c r="G218" s="325"/>
      <c r="H218" s="235"/>
      <c r="I218" s="235"/>
      <c r="J218" s="235"/>
      <c r="K218" s="235"/>
      <c r="L218" s="235"/>
      <c r="M218" s="235"/>
      <c r="N218" s="235"/>
      <c r="O218" s="235"/>
      <c r="P218" s="235"/>
      <c r="Q218" s="235"/>
      <c r="R218" s="235"/>
      <c r="S218" s="235"/>
      <c r="T218" s="235"/>
      <c r="U218" s="235"/>
      <c r="V218" s="235"/>
      <c r="W218" s="235"/>
      <c r="X218" s="235"/>
      <c r="Y218" s="235"/>
      <c r="Z218" s="235"/>
      <c r="AA218" s="235"/>
      <c r="AB218" s="235"/>
      <c r="AC218" s="235"/>
    </row>
    <row r="219">
      <c r="A219" s="194" t="s">
        <v>3894</v>
      </c>
      <c r="B219" s="193">
        <v>102142.0</v>
      </c>
      <c r="C219" s="192" t="s">
        <v>3895</v>
      </c>
      <c r="D219" s="192" t="s">
        <v>3896</v>
      </c>
      <c r="E219" s="235"/>
      <c r="F219" s="235"/>
      <c r="G219" s="325"/>
      <c r="H219" s="235"/>
      <c r="I219" s="235"/>
      <c r="J219" s="235"/>
      <c r="K219" s="235"/>
      <c r="L219" s="235"/>
      <c r="M219" s="235"/>
      <c r="N219" s="235"/>
      <c r="O219" s="235"/>
      <c r="P219" s="235"/>
      <c r="Q219" s="235"/>
      <c r="R219" s="235"/>
      <c r="S219" s="235"/>
      <c r="T219" s="235"/>
      <c r="U219" s="235"/>
      <c r="V219" s="235"/>
      <c r="W219" s="235"/>
      <c r="X219" s="235"/>
      <c r="Y219" s="235"/>
      <c r="Z219" s="235"/>
      <c r="AA219" s="235"/>
      <c r="AB219" s="235"/>
      <c r="AC219" s="235"/>
    </row>
    <row r="220">
      <c r="A220" s="194" t="s">
        <v>3902</v>
      </c>
      <c r="B220" s="193">
        <v>102140.0</v>
      </c>
      <c r="C220" s="192" t="s">
        <v>3904</v>
      </c>
      <c r="D220" s="192" t="s">
        <v>3896</v>
      </c>
      <c r="E220" s="235"/>
      <c r="F220" s="235"/>
      <c r="G220" s="325"/>
      <c r="H220" s="235"/>
      <c r="I220" s="235"/>
      <c r="J220" s="235"/>
      <c r="K220" s="235"/>
      <c r="L220" s="235"/>
      <c r="M220" s="235"/>
      <c r="N220" s="235"/>
      <c r="O220" s="235"/>
      <c r="P220" s="235"/>
      <c r="Q220" s="235"/>
      <c r="R220" s="235"/>
      <c r="S220" s="235"/>
      <c r="T220" s="235"/>
      <c r="U220" s="235"/>
      <c r="V220" s="235"/>
      <c r="W220" s="235"/>
      <c r="X220" s="235"/>
      <c r="Y220" s="235"/>
      <c r="Z220" s="235"/>
      <c r="AA220" s="235"/>
      <c r="AB220" s="235"/>
      <c r="AC220" s="235"/>
    </row>
    <row r="221">
      <c r="A221" s="194" t="s">
        <v>3910</v>
      </c>
      <c r="B221" s="193">
        <v>102200.0</v>
      </c>
      <c r="C221" s="192" t="s">
        <v>3912</v>
      </c>
      <c r="D221" s="192" t="s">
        <v>3888</v>
      </c>
      <c r="E221" s="235"/>
      <c r="F221" s="235"/>
      <c r="G221" s="325"/>
      <c r="H221" s="235"/>
      <c r="I221" s="235"/>
      <c r="J221" s="235"/>
      <c r="K221" s="235"/>
      <c r="L221" s="235"/>
      <c r="M221" s="235"/>
      <c r="N221" s="235"/>
      <c r="O221" s="235"/>
      <c r="P221" s="235"/>
      <c r="Q221" s="235"/>
      <c r="R221" s="235"/>
      <c r="S221" s="235"/>
      <c r="T221" s="235"/>
      <c r="U221" s="235"/>
      <c r="V221" s="235"/>
      <c r="W221" s="235"/>
      <c r="X221" s="235"/>
      <c r="Y221" s="235"/>
      <c r="Z221" s="235"/>
      <c r="AA221" s="235"/>
      <c r="AB221" s="235"/>
      <c r="AC221" s="235"/>
    </row>
    <row r="222">
      <c r="A222" s="194" t="s">
        <v>3918</v>
      </c>
      <c r="B222" s="193">
        <v>102209.0</v>
      </c>
      <c r="C222" s="192" t="s">
        <v>3920</v>
      </c>
      <c r="D222" s="192" t="s">
        <v>3888</v>
      </c>
      <c r="E222" s="235"/>
      <c r="F222" s="235"/>
      <c r="G222" s="325"/>
      <c r="H222" s="235"/>
      <c r="I222" s="235"/>
      <c r="J222" s="235"/>
      <c r="K222" s="235"/>
      <c r="L222" s="235"/>
      <c r="M222" s="235"/>
      <c r="N222" s="235"/>
      <c r="O222" s="235"/>
      <c r="P222" s="235"/>
      <c r="Q222" s="235"/>
      <c r="R222" s="235"/>
      <c r="S222" s="235"/>
      <c r="T222" s="235"/>
      <c r="U222" s="235"/>
      <c r="V222" s="235"/>
      <c r="W222" s="235"/>
      <c r="X222" s="235"/>
      <c r="Y222" s="235"/>
      <c r="Z222" s="235"/>
      <c r="AA222" s="235"/>
      <c r="AB222" s="235"/>
      <c r="AC222" s="235"/>
    </row>
    <row r="223">
      <c r="A223" s="194" t="s">
        <v>2911</v>
      </c>
      <c r="B223" s="193">
        <v>102784.0</v>
      </c>
      <c r="C223" s="192" t="s">
        <v>2912</v>
      </c>
      <c r="D223" s="192" t="s">
        <v>853</v>
      </c>
      <c r="E223" s="235"/>
      <c r="F223" s="235"/>
      <c r="G223" s="325"/>
      <c r="H223" s="235"/>
      <c r="I223" s="235"/>
      <c r="J223" s="235"/>
      <c r="K223" s="235"/>
      <c r="L223" s="235"/>
      <c r="M223" s="235"/>
      <c r="N223" s="235"/>
      <c r="O223" s="235"/>
      <c r="P223" s="235"/>
      <c r="Q223" s="235"/>
      <c r="R223" s="235"/>
      <c r="S223" s="235"/>
      <c r="T223" s="235"/>
      <c r="U223" s="235"/>
      <c r="V223" s="235"/>
      <c r="W223" s="235"/>
      <c r="X223" s="235"/>
      <c r="Y223" s="235"/>
      <c r="Z223" s="235"/>
      <c r="AA223" s="235"/>
      <c r="AB223" s="235"/>
      <c r="AC223" s="235"/>
    </row>
    <row r="224">
      <c r="A224" s="194" t="s">
        <v>2911</v>
      </c>
      <c r="B224" s="193">
        <v>102784.0</v>
      </c>
      <c r="C224" s="192" t="s">
        <v>2912</v>
      </c>
      <c r="D224" s="192" t="s">
        <v>3930</v>
      </c>
      <c r="E224" s="235"/>
      <c r="F224" s="235"/>
      <c r="G224" s="325"/>
      <c r="H224" s="235"/>
      <c r="I224" s="235"/>
      <c r="J224" s="235"/>
      <c r="K224" s="235"/>
      <c r="L224" s="235"/>
      <c r="M224" s="235"/>
      <c r="N224" s="235"/>
      <c r="O224" s="235"/>
      <c r="P224" s="235"/>
      <c r="Q224" s="235"/>
      <c r="R224" s="235"/>
      <c r="S224" s="235"/>
      <c r="T224" s="235"/>
      <c r="U224" s="235"/>
      <c r="V224" s="235"/>
      <c r="W224" s="235"/>
      <c r="X224" s="235"/>
      <c r="Y224" s="235"/>
      <c r="Z224" s="235"/>
      <c r="AA224" s="235"/>
      <c r="AB224" s="235"/>
      <c r="AC224" s="235"/>
    </row>
    <row r="225">
      <c r="A225" s="194" t="s">
        <v>3935</v>
      </c>
      <c r="B225" s="193">
        <v>102197.0</v>
      </c>
      <c r="C225" s="192" t="s">
        <v>3937</v>
      </c>
      <c r="D225" s="192" t="s">
        <v>3888</v>
      </c>
      <c r="E225" s="235"/>
      <c r="F225" s="235"/>
      <c r="G225" s="325"/>
      <c r="H225" s="235"/>
      <c r="I225" s="235"/>
      <c r="J225" s="235"/>
      <c r="K225" s="235"/>
      <c r="L225" s="235"/>
      <c r="M225" s="235"/>
      <c r="N225" s="235"/>
      <c r="O225" s="235"/>
      <c r="P225" s="235"/>
      <c r="Q225" s="235"/>
      <c r="R225" s="235"/>
      <c r="S225" s="235"/>
      <c r="T225" s="235"/>
      <c r="U225" s="235"/>
      <c r="V225" s="235"/>
      <c r="W225" s="235"/>
      <c r="X225" s="235"/>
      <c r="Y225" s="235"/>
      <c r="Z225" s="235"/>
      <c r="AA225" s="235"/>
      <c r="AB225" s="235"/>
      <c r="AC225" s="235"/>
    </row>
    <row r="226">
      <c r="A226" s="194" t="s">
        <v>3947</v>
      </c>
      <c r="B226" s="193">
        <v>102143.0</v>
      </c>
      <c r="C226" s="192" t="s">
        <v>3950</v>
      </c>
      <c r="D226" s="192" t="s">
        <v>3951</v>
      </c>
      <c r="E226" s="235"/>
      <c r="F226" s="235"/>
      <c r="G226" s="325"/>
      <c r="H226" s="235"/>
      <c r="I226" s="235"/>
      <c r="J226" s="235"/>
      <c r="K226" s="235"/>
      <c r="L226" s="235"/>
      <c r="M226" s="235"/>
      <c r="N226" s="235"/>
      <c r="O226" s="235"/>
      <c r="P226" s="235"/>
      <c r="Q226" s="235"/>
      <c r="R226" s="235"/>
      <c r="S226" s="235"/>
      <c r="T226" s="235"/>
      <c r="U226" s="235"/>
      <c r="V226" s="235"/>
      <c r="W226" s="235"/>
      <c r="X226" s="235"/>
      <c r="Y226" s="235"/>
      <c r="Z226" s="235"/>
      <c r="AA226" s="235"/>
      <c r="AB226" s="235"/>
      <c r="AC226" s="235"/>
    </row>
    <row r="227">
      <c r="A227" s="194" t="s">
        <v>968</v>
      </c>
      <c r="B227" s="193">
        <v>102990.0</v>
      </c>
      <c r="C227" s="192" t="s">
        <v>969</v>
      </c>
      <c r="D227" s="192" t="s">
        <v>254</v>
      </c>
      <c r="E227" s="235"/>
      <c r="F227" s="235"/>
      <c r="G227" s="325"/>
      <c r="H227" s="235"/>
      <c r="I227" s="235"/>
      <c r="J227" s="235"/>
      <c r="K227" s="235"/>
      <c r="L227" s="235"/>
      <c r="M227" s="235"/>
      <c r="N227" s="235"/>
      <c r="O227" s="235"/>
      <c r="P227" s="235"/>
      <c r="Q227" s="235"/>
      <c r="R227" s="235"/>
      <c r="S227" s="235"/>
      <c r="T227" s="235"/>
      <c r="U227" s="235"/>
      <c r="V227" s="235"/>
      <c r="W227" s="235"/>
      <c r="X227" s="235"/>
      <c r="Y227" s="235"/>
      <c r="Z227" s="235"/>
      <c r="AA227" s="235"/>
      <c r="AB227" s="235"/>
      <c r="AC227" s="235"/>
    </row>
    <row r="228">
      <c r="A228" s="194" t="s">
        <v>837</v>
      </c>
      <c r="B228" s="193">
        <v>102890.0</v>
      </c>
      <c r="C228" s="192" t="s">
        <v>838</v>
      </c>
      <c r="D228" s="192" t="s">
        <v>125</v>
      </c>
      <c r="E228" s="235"/>
      <c r="F228" s="235"/>
      <c r="G228" s="325"/>
      <c r="H228" s="235"/>
      <c r="I228" s="235"/>
      <c r="J228" s="235"/>
      <c r="K228" s="235"/>
      <c r="L228" s="235"/>
      <c r="M228" s="235"/>
      <c r="N228" s="235"/>
      <c r="O228" s="235"/>
      <c r="P228" s="235"/>
      <c r="Q228" s="235"/>
      <c r="R228" s="235"/>
      <c r="S228" s="235"/>
      <c r="T228" s="235"/>
      <c r="U228" s="235"/>
      <c r="V228" s="235"/>
      <c r="W228" s="235"/>
      <c r="X228" s="235"/>
      <c r="Y228" s="235"/>
      <c r="Z228" s="235"/>
      <c r="AA228" s="235"/>
      <c r="AB228" s="235"/>
      <c r="AC228" s="235"/>
    </row>
    <row r="229">
      <c r="A229" s="194" t="s">
        <v>841</v>
      </c>
      <c r="B229" s="193">
        <v>102884.0</v>
      </c>
      <c r="C229" s="192" t="s">
        <v>842</v>
      </c>
      <c r="D229" s="192" t="s">
        <v>254</v>
      </c>
      <c r="E229" s="235"/>
      <c r="F229" s="235"/>
      <c r="G229" s="325"/>
      <c r="H229" s="235"/>
      <c r="I229" s="235"/>
      <c r="J229" s="235"/>
      <c r="K229" s="235"/>
      <c r="L229" s="235"/>
      <c r="M229" s="235"/>
      <c r="N229" s="235"/>
      <c r="O229" s="235"/>
      <c r="P229" s="235"/>
      <c r="Q229" s="235"/>
      <c r="R229" s="235"/>
      <c r="S229" s="235"/>
      <c r="T229" s="235"/>
      <c r="U229" s="235"/>
      <c r="V229" s="235"/>
      <c r="W229" s="235"/>
      <c r="X229" s="235"/>
      <c r="Y229" s="235"/>
      <c r="Z229" s="235"/>
      <c r="AA229" s="235"/>
      <c r="AB229" s="235"/>
      <c r="AC229" s="235"/>
    </row>
    <row r="230">
      <c r="A230" s="194" t="s">
        <v>835</v>
      </c>
      <c r="B230" s="193">
        <v>102885.0</v>
      </c>
      <c r="C230" s="192" t="s">
        <v>836</v>
      </c>
      <c r="D230" s="192" t="s">
        <v>625</v>
      </c>
      <c r="E230" s="235"/>
      <c r="F230" s="235"/>
      <c r="G230" s="325"/>
      <c r="H230" s="235"/>
      <c r="I230" s="235"/>
      <c r="J230" s="235"/>
      <c r="K230" s="235"/>
      <c r="L230" s="235"/>
      <c r="M230" s="235"/>
      <c r="N230" s="235"/>
      <c r="O230" s="235"/>
      <c r="P230" s="235"/>
      <c r="Q230" s="235"/>
      <c r="R230" s="235"/>
      <c r="S230" s="235"/>
      <c r="T230" s="235"/>
      <c r="U230" s="235"/>
      <c r="V230" s="235"/>
      <c r="W230" s="235"/>
      <c r="X230" s="235"/>
      <c r="Y230" s="235"/>
      <c r="Z230" s="235"/>
      <c r="AA230" s="235"/>
      <c r="AB230" s="235"/>
      <c r="AC230" s="235"/>
    </row>
    <row r="231">
      <c r="A231" s="194" t="s">
        <v>954</v>
      </c>
      <c r="B231" s="193">
        <v>102882.0</v>
      </c>
      <c r="C231" s="192" t="s">
        <v>955</v>
      </c>
      <c r="D231" s="192" t="s">
        <v>113</v>
      </c>
      <c r="E231" s="235"/>
      <c r="F231" s="235"/>
      <c r="G231" s="325"/>
      <c r="H231" s="235"/>
      <c r="I231" s="235"/>
      <c r="J231" s="235"/>
      <c r="K231" s="235"/>
      <c r="L231" s="235"/>
      <c r="M231" s="235"/>
      <c r="N231" s="235"/>
      <c r="O231" s="235"/>
      <c r="P231" s="235"/>
      <c r="Q231" s="235"/>
      <c r="R231" s="235"/>
      <c r="S231" s="235"/>
      <c r="T231" s="235"/>
      <c r="U231" s="235"/>
      <c r="V231" s="235"/>
      <c r="W231" s="235"/>
      <c r="X231" s="235"/>
      <c r="Y231" s="235"/>
      <c r="Z231" s="235"/>
      <c r="AA231" s="235"/>
      <c r="AB231" s="235"/>
      <c r="AC231" s="235"/>
    </row>
    <row r="232">
      <c r="A232" s="194" t="s">
        <v>851</v>
      </c>
      <c r="B232" s="193">
        <v>102889.0</v>
      </c>
      <c r="C232" s="192" t="s">
        <v>852</v>
      </c>
      <c r="D232" s="192" t="s">
        <v>853</v>
      </c>
      <c r="E232" s="235"/>
      <c r="F232" s="235"/>
      <c r="G232" s="325"/>
      <c r="H232" s="235"/>
      <c r="I232" s="235"/>
      <c r="J232" s="235"/>
      <c r="K232" s="235"/>
      <c r="L232" s="235"/>
      <c r="M232" s="235"/>
      <c r="N232" s="235"/>
      <c r="O232" s="235"/>
      <c r="P232" s="235"/>
      <c r="Q232" s="235"/>
      <c r="R232" s="235"/>
      <c r="S232" s="235"/>
      <c r="T232" s="235"/>
      <c r="U232" s="235"/>
      <c r="V232" s="235"/>
      <c r="W232" s="235"/>
      <c r="X232" s="235"/>
      <c r="Y232" s="235"/>
      <c r="Z232" s="235"/>
      <c r="AA232" s="235"/>
      <c r="AB232" s="235"/>
      <c r="AC232" s="235"/>
    </row>
    <row r="233">
      <c r="A233" s="194" t="s">
        <v>875</v>
      </c>
      <c r="B233" s="193">
        <v>102883.0</v>
      </c>
      <c r="C233" s="192" t="s">
        <v>876</v>
      </c>
      <c r="D233" s="192" t="s">
        <v>125</v>
      </c>
      <c r="E233" s="235"/>
      <c r="F233" s="235"/>
      <c r="G233" s="325"/>
      <c r="H233" s="235"/>
      <c r="I233" s="235"/>
      <c r="J233" s="235"/>
      <c r="K233" s="235"/>
      <c r="L233" s="235"/>
      <c r="M233" s="235"/>
      <c r="N233" s="235"/>
      <c r="O233" s="235"/>
      <c r="P233" s="235"/>
      <c r="Q233" s="235"/>
      <c r="R233" s="235"/>
      <c r="S233" s="235"/>
      <c r="T233" s="235"/>
      <c r="U233" s="235"/>
      <c r="V233" s="235"/>
      <c r="W233" s="235"/>
      <c r="X233" s="235"/>
      <c r="Y233" s="235"/>
      <c r="Z233" s="235"/>
      <c r="AA233" s="235"/>
      <c r="AB233" s="235"/>
      <c r="AC233" s="235"/>
    </row>
    <row r="234">
      <c r="A234" s="194" t="s">
        <v>877</v>
      </c>
      <c r="B234" s="193">
        <v>102883.0</v>
      </c>
      <c r="C234" s="192" t="s">
        <v>876</v>
      </c>
      <c r="D234" s="192" t="s">
        <v>254</v>
      </c>
      <c r="E234" s="235"/>
      <c r="F234" s="235"/>
      <c r="G234" s="325"/>
      <c r="H234" s="235"/>
      <c r="I234" s="235"/>
      <c r="J234" s="235"/>
      <c r="K234" s="235"/>
      <c r="L234" s="235"/>
      <c r="M234" s="235"/>
      <c r="N234" s="235"/>
      <c r="O234" s="235"/>
      <c r="P234" s="235"/>
      <c r="Q234" s="235"/>
      <c r="R234" s="235"/>
      <c r="S234" s="235"/>
      <c r="T234" s="235"/>
      <c r="U234" s="235"/>
      <c r="V234" s="235"/>
      <c r="W234" s="235"/>
      <c r="X234" s="235"/>
      <c r="Y234" s="235"/>
      <c r="Z234" s="235"/>
      <c r="AA234" s="235"/>
      <c r="AB234" s="235"/>
      <c r="AC234" s="235"/>
    </row>
    <row r="235">
      <c r="A235" s="194" t="s">
        <v>860</v>
      </c>
      <c r="B235" s="193">
        <v>102891.0</v>
      </c>
      <c r="C235" s="192" t="s">
        <v>861</v>
      </c>
      <c r="D235" s="192" t="s">
        <v>806</v>
      </c>
      <c r="E235" s="235"/>
      <c r="F235" s="235"/>
      <c r="G235" s="325"/>
      <c r="H235" s="235"/>
      <c r="I235" s="235"/>
      <c r="J235" s="235"/>
      <c r="K235" s="235"/>
      <c r="L235" s="235"/>
      <c r="M235" s="235"/>
      <c r="N235" s="235"/>
      <c r="O235" s="235"/>
      <c r="P235" s="235"/>
      <c r="Q235" s="235"/>
      <c r="R235" s="235"/>
      <c r="S235" s="235"/>
      <c r="T235" s="235"/>
      <c r="U235" s="235"/>
      <c r="V235" s="235"/>
      <c r="W235" s="235"/>
      <c r="X235" s="235"/>
      <c r="Y235" s="235"/>
      <c r="Z235" s="235"/>
      <c r="AA235" s="235"/>
      <c r="AB235" s="235"/>
      <c r="AC235" s="235"/>
    </row>
    <row r="236">
      <c r="A236" s="194" t="s">
        <v>845</v>
      </c>
      <c r="B236" s="193">
        <v>102881.0</v>
      </c>
      <c r="C236" s="192" t="s">
        <v>846</v>
      </c>
      <c r="D236" s="192" t="s">
        <v>254</v>
      </c>
      <c r="E236" s="235"/>
      <c r="F236" s="235"/>
      <c r="G236" s="325"/>
      <c r="H236" s="235"/>
      <c r="I236" s="235"/>
      <c r="J236" s="235"/>
      <c r="K236" s="235"/>
      <c r="L236" s="235"/>
      <c r="M236" s="235"/>
      <c r="N236" s="235"/>
      <c r="O236" s="235"/>
      <c r="P236" s="235"/>
      <c r="Q236" s="235"/>
      <c r="R236" s="235"/>
      <c r="S236" s="235"/>
      <c r="T236" s="235"/>
      <c r="U236" s="235"/>
      <c r="V236" s="235"/>
      <c r="W236" s="235"/>
      <c r="X236" s="235"/>
      <c r="Y236" s="235"/>
      <c r="Z236" s="235"/>
      <c r="AA236" s="235"/>
      <c r="AB236" s="235"/>
      <c r="AC236" s="235"/>
    </row>
    <row r="237">
      <c r="A237" s="194" t="s">
        <v>928</v>
      </c>
      <c r="B237" s="193">
        <v>103046.0</v>
      </c>
      <c r="C237" s="192" t="s">
        <v>929</v>
      </c>
      <c r="D237" s="192" t="s">
        <v>113</v>
      </c>
      <c r="E237" s="235"/>
      <c r="F237" s="235"/>
      <c r="G237" s="325"/>
      <c r="H237" s="235"/>
      <c r="I237" s="235"/>
      <c r="J237" s="235"/>
      <c r="K237" s="235"/>
      <c r="L237" s="235"/>
      <c r="M237" s="235"/>
      <c r="N237" s="235"/>
      <c r="O237" s="235"/>
      <c r="P237" s="235"/>
      <c r="Q237" s="235"/>
      <c r="R237" s="235"/>
      <c r="S237" s="235"/>
      <c r="T237" s="235"/>
      <c r="U237" s="235"/>
      <c r="V237" s="235"/>
      <c r="W237" s="235"/>
      <c r="X237" s="235"/>
      <c r="Y237" s="235"/>
      <c r="Z237" s="235"/>
      <c r="AA237" s="235"/>
      <c r="AB237" s="235"/>
      <c r="AC237" s="235"/>
    </row>
    <row r="238">
      <c r="A238" s="194" t="s">
        <v>974</v>
      </c>
      <c r="B238" s="193">
        <v>103044.0</v>
      </c>
      <c r="C238" s="192" t="s">
        <v>975</v>
      </c>
      <c r="D238" s="192" t="s">
        <v>976</v>
      </c>
      <c r="E238" s="235"/>
      <c r="F238" s="235"/>
      <c r="G238" s="325"/>
      <c r="H238" s="235"/>
      <c r="I238" s="235"/>
      <c r="J238" s="235"/>
      <c r="K238" s="235"/>
      <c r="L238" s="235"/>
      <c r="M238" s="235"/>
      <c r="N238" s="235"/>
      <c r="O238" s="235"/>
      <c r="P238" s="235"/>
      <c r="Q238" s="235"/>
      <c r="R238" s="235"/>
      <c r="S238" s="235"/>
      <c r="T238" s="235"/>
      <c r="U238" s="235"/>
      <c r="V238" s="235"/>
      <c r="W238" s="235"/>
      <c r="X238" s="235"/>
      <c r="Y238" s="235"/>
      <c r="Z238" s="235"/>
      <c r="AA238" s="235"/>
      <c r="AB238" s="235"/>
      <c r="AC238" s="235"/>
    </row>
    <row r="239">
      <c r="A239" s="194" t="s">
        <v>821</v>
      </c>
      <c r="B239" s="193">
        <v>102709.0</v>
      </c>
      <c r="C239" s="192" t="s">
        <v>822</v>
      </c>
      <c r="D239" s="192" t="s">
        <v>625</v>
      </c>
      <c r="E239" s="235"/>
      <c r="F239" s="235"/>
      <c r="G239" s="325"/>
      <c r="H239" s="235"/>
      <c r="I239" s="235"/>
      <c r="J239" s="235"/>
      <c r="K239" s="235"/>
      <c r="L239" s="235"/>
      <c r="M239" s="235"/>
      <c r="N239" s="235"/>
      <c r="O239" s="235"/>
      <c r="P239" s="235"/>
      <c r="Q239" s="235"/>
      <c r="R239" s="235"/>
      <c r="S239" s="235"/>
      <c r="T239" s="235"/>
      <c r="U239" s="235"/>
      <c r="V239" s="235"/>
      <c r="W239" s="235"/>
      <c r="X239" s="235"/>
      <c r="Y239" s="235"/>
      <c r="Z239" s="235"/>
      <c r="AA239" s="235"/>
      <c r="AB239" s="235"/>
      <c r="AC239" s="235"/>
    </row>
    <row r="240">
      <c r="A240" s="194" t="s">
        <v>789</v>
      </c>
      <c r="B240" s="193">
        <v>102405.0</v>
      </c>
      <c r="C240" s="192" t="s">
        <v>760</v>
      </c>
      <c r="D240" s="192" t="s">
        <v>18</v>
      </c>
      <c r="E240" s="235"/>
      <c r="F240" s="235"/>
      <c r="G240" s="325"/>
      <c r="H240" s="235"/>
      <c r="I240" s="235"/>
      <c r="J240" s="235"/>
      <c r="K240" s="235"/>
      <c r="L240" s="235"/>
      <c r="M240" s="235"/>
      <c r="N240" s="235"/>
      <c r="O240" s="235"/>
      <c r="P240" s="235"/>
      <c r="Q240" s="235"/>
      <c r="R240" s="235"/>
      <c r="S240" s="235"/>
      <c r="T240" s="235"/>
      <c r="U240" s="235"/>
      <c r="V240" s="235"/>
      <c r="W240" s="235"/>
      <c r="X240" s="235"/>
      <c r="Y240" s="235"/>
      <c r="Z240" s="235"/>
      <c r="AA240" s="235"/>
      <c r="AB240" s="235"/>
      <c r="AC240" s="235"/>
    </row>
    <row r="241">
      <c r="A241" s="194" t="s">
        <v>759</v>
      </c>
      <c r="B241" s="193">
        <v>102405.0</v>
      </c>
      <c r="C241" s="192" t="s">
        <v>760</v>
      </c>
      <c r="D241" s="192" t="s">
        <v>18</v>
      </c>
      <c r="E241" s="235"/>
      <c r="F241" s="235"/>
      <c r="G241" s="325"/>
      <c r="H241" s="235"/>
      <c r="I241" s="235"/>
      <c r="J241" s="235"/>
      <c r="K241" s="235"/>
      <c r="L241" s="235"/>
      <c r="M241" s="235"/>
      <c r="N241" s="235"/>
      <c r="O241" s="235"/>
      <c r="P241" s="235"/>
      <c r="Q241" s="235"/>
      <c r="R241" s="235"/>
      <c r="S241" s="235"/>
      <c r="T241" s="235"/>
      <c r="U241" s="235"/>
      <c r="V241" s="235"/>
      <c r="W241" s="235"/>
      <c r="X241" s="235"/>
      <c r="Y241" s="235"/>
      <c r="Z241" s="235"/>
      <c r="AA241" s="235"/>
      <c r="AB241" s="235"/>
      <c r="AC241" s="235"/>
    </row>
    <row r="242">
      <c r="A242" s="194" t="s">
        <v>4088</v>
      </c>
      <c r="B242" s="193">
        <v>102862.0</v>
      </c>
      <c r="C242" s="192" t="s">
        <v>4090</v>
      </c>
      <c r="D242" s="192" t="s">
        <v>4091</v>
      </c>
      <c r="E242" s="235"/>
      <c r="F242" s="235"/>
      <c r="G242" s="325"/>
      <c r="H242" s="235"/>
      <c r="I242" s="235"/>
      <c r="J242" s="235"/>
      <c r="K242" s="235"/>
      <c r="L242" s="235"/>
      <c r="M242" s="235"/>
      <c r="N242" s="235"/>
      <c r="O242" s="235"/>
      <c r="P242" s="235"/>
      <c r="Q242" s="235"/>
      <c r="R242" s="235"/>
      <c r="S242" s="235"/>
      <c r="T242" s="235"/>
      <c r="U242" s="235"/>
      <c r="V242" s="235"/>
      <c r="W242" s="235"/>
      <c r="X242" s="235"/>
      <c r="Y242" s="235"/>
      <c r="Z242" s="235"/>
      <c r="AA242" s="235"/>
      <c r="AB242" s="235"/>
      <c r="AC242" s="235"/>
    </row>
    <row r="243">
      <c r="A243" s="194" t="s">
        <v>4099</v>
      </c>
      <c r="B243" s="194" t="s">
        <v>4101</v>
      </c>
      <c r="C243" s="196"/>
      <c r="D243" s="192" t="s">
        <v>625</v>
      </c>
      <c r="E243" s="235"/>
      <c r="F243" s="235"/>
      <c r="G243" s="325"/>
      <c r="H243" s="235"/>
      <c r="I243" s="235"/>
      <c r="J243" s="235"/>
      <c r="K243" s="235"/>
      <c r="L243" s="235"/>
      <c r="M243" s="235"/>
      <c r="N243" s="235"/>
      <c r="O243" s="235"/>
      <c r="P243" s="235"/>
      <c r="Q243" s="235"/>
      <c r="R243" s="235"/>
      <c r="S243" s="235"/>
      <c r="T243" s="235"/>
      <c r="U243" s="235"/>
      <c r="V243" s="235"/>
      <c r="W243" s="235"/>
      <c r="X243" s="235"/>
      <c r="Y243" s="235"/>
      <c r="Z243" s="235"/>
      <c r="AA243" s="235"/>
      <c r="AB243" s="235"/>
      <c r="AC243" s="235"/>
    </row>
    <row r="244">
      <c r="A244" s="194" t="s">
        <v>4110</v>
      </c>
      <c r="B244" s="194" t="s">
        <v>4112</v>
      </c>
      <c r="C244" s="196"/>
      <c r="D244" s="192" t="s">
        <v>51</v>
      </c>
      <c r="E244" s="235"/>
      <c r="F244" s="235"/>
      <c r="G244" s="325"/>
      <c r="H244" s="235"/>
      <c r="I244" s="235"/>
      <c r="J244" s="235"/>
      <c r="K244" s="235"/>
      <c r="L244" s="235"/>
      <c r="M244" s="235"/>
      <c r="N244" s="235"/>
      <c r="O244" s="235"/>
      <c r="P244" s="235"/>
      <c r="Q244" s="235"/>
      <c r="R244" s="235"/>
      <c r="S244" s="235"/>
      <c r="T244" s="235"/>
      <c r="U244" s="235"/>
      <c r="V244" s="235"/>
      <c r="W244" s="235"/>
      <c r="X244" s="235"/>
      <c r="Y244" s="235"/>
      <c r="Z244" s="235"/>
      <c r="AA244" s="235"/>
      <c r="AB244" s="235"/>
      <c r="AC244" s="235"/>
    </row>
    <row r="245">
      <c r="A245" s="194" t="s">
        <v>4120</v>
      </c>
      <c r="B245" s="194" t="s">
        <v>4121</v>
      </c>
      <c r="C245" s="196"/>
      <c r="D245" s="192" t="s">
        <v>51</v>
      </c>
      <c r="E245" s="235"/>
      <c r="F245" s="235"/>
      <c r="G245" s="325"/>
      <c r="H245" s="235"/>
      <c r="I245" s="235"/>
      <c r="J245" s="235"/>
      <c r="K245" s="235"/>
      <c r="L245" s="235"/>
      <c r="M245" s="235"/>
      <c r="N245" s="235"/>
      <c r="O245" s="235"/>
      <c r="P245" s="235"/>
      <c r="Q245" s="235"/>
      <c r="R245" s="235"/>
      <c r="S245" s="235"/>
      <c r="T245" s="235"/>
      <c r="U245" s="235"/>
      <c r="V245" s="235"/>
      <c r="W245" s="235"/>
      <c r="X245" s="235"/>
      <c r="Y245" s="235"/>
      <c r="Z245" s="235"/>
      <c r="AA245" s="235"/>
      <c r="AB245" s="235"/>
      <c r="AC245" s="235"/>
    </row>
    <row r="246">
      <c r="A246" s="194" t="s">
        <v>4129</v>
      </c>
      <c r="B246" s="194" t="s">
        <v>4130</v>
      </c>
      <c r="C246" s="196"/>
      <c r="D246" s="192" t="s">
        <v>51</v>
      </c>
      <c r="E246" s="235"/>
      <c r="F246" s="235"/>
      <c r="G246" s="325"/>
      <c r="H246" s="235"/>
      <c r="I246" s="235"/>
      <c r="J246" s="235"/>
      <c r="K246" s="235"/>
      <c r="L246" s="235"/>
      <c r="M246" s="235"/>
      <c r="N246" s="235"/>
      <c r="O246" s="235"/>
      <c r="P246" s="235"/>
      <c r="Q246" s="235"/>
      <c r="R246" s="235"/>
      <c r="S246" s="235"/>
      <c r="T246" s="235"/>
      <c r="U246" s="235"/>
      <c r="V246" s="235"/>
      <c r="W246" s="235"/>
      <c r="X246" s="235"/>
      <c r="Y246" s="235"/>
      <c r="Z246" s="235"/>
      <c r="AA246" s="235"/>
      <c r="AB246" s="235"/>
      <c r="AC246" s="235"/>
    </row>
    <row r="247">
      <c r="A247" s="194" t="s">
        <v>4110</v>
      </c>
      <c r="B247" s="194" t="s">
        <v>4140</v>
      </c>
      <c r="C247" s="196"/>
      <c r="D247" s="192" t="s">
        <v>312</v>
      </c>
      <c r="E247" s="235"/>
      <c r="F247" s="235"/>
      <c r="G247" s="325"/>
      <c r="H247" s="235"/>
      <c r="I247" s="235"/>
      <c r="J247" s="235"/>
      <c r="K247" s="235"/>
      <c r="L247" s="235"/>
      <c r="M247" s="235"/>
      <c r="N247" s="235"/>
      <c r="O247" s="235"/>
      <c r="P247" s="235"/>
      <c r="Q247" s="235"/>
      <c r="R247" s="235"/>
      <c r="S247" s="235"/>
      <c r="T247" s="235"/>
      <c r="U247" s="235"/>
      <c r="V247" s="235"/>
      <c r="W247" s="235"/>
      <c r="X247" s="235"/>
      <c r="Y247" s="235"/>
      <c r="Z247" s="235"/>
      <c r="AA247" s="235"/>
      <c r="AB247" s="235"/>
      <c r="AC247" s="235"/>
    </row>
    <row r="248">
      <c r="A248" s="194" t="s">
        <v>4147</v>
      </c>
      <c r="B248" s="194" t="s">
        <v>4148</v>
      </c>
      <c r="C248" s="196"/>
      <c r="D248" s="192" t="s">
        <v>125</v>
      </c>
      <c r="E248" s="235"/>
      <c r="F248" s="235"/>
      <c r="G248" s="325"/>
      <c r="H248" s="235"/>
      <c r="I248" s="235"/>
      <c r="J248" s="235"/>
      <c r="K248" s="235"/>
      <c r="L248" s="235"/>
      <c r="M248" s="235"/>
      <c r="N248" s="235"/>
      <c r="O248" s="235"/>
      <c r="P248" s="235"/>
      <c r="Q248" s="235"/>
      <c r="R248" s="235"/>
      <c r="S248" s="235"/>
      <c r="T248" s="235"/>
      <c r="U248" s="235"/>
      <c r="V248" s="235"/>
      <c r="W248" s="235"/>
      <c r="X248" s="235"/>
      <c r="Y248" s="235"/>
      <c r="Z248" s="235"/>
      <c r="AA248" s="235"/>
      <c r="AB248" s="235"/>
      <c r="AC248" s="235"/>
    </row>
    <row r="249">
      <c r="A249" s="194" t="s">
        <v>4156</v>
      </c>
      <c r="B249" s="193">
        <v>102662.0</v>
      </c>
      <c r="C249" s="192" t="s">
        <v>4159</v>
      </c>
      <c r="D249" s="192" t="s">
        <v>3571</v>
      </c>
      <c r="E249" s="235"/>
      <c r="F249" s="235"/>
      <c r="G249" s="325"/>
      <c r="H249" s="235"/>
      <c r="I249" s="235"/>
      <c r="J249" s="235"/>
      <c r="K249" s="235"/>
      <c r="L249" s="235"/>
      <c r="M249" s="235"/>
      <c r="N249" s="235"/>
      <c r="O249" s="235"/>
      <c r="P249" s="235"/>
      <c r="Q249" s="235"/>
      <c r="R249" s="235"/>
      <c r="S249" s="235"/>
      <c r="T249" s="235"/>
      <c r="U249" s="235"/>
      <c r="V249" s="235"/>
      <c r="W249" s="235"/>
      <c r="X249" s="235"/>
      <c r="Y249" s="235"/>
      <c r="Z249" s="235"/>
      <c r="AA249" s="235"/>
      <c r="AB249" s="235"/>
      <c r="AC249" s="235"/>
    </row>
    <row r="250">
      <c r="A250" s="194" t="s">
        <v>4168</v>
      </c>
      <c r="B250" s="193">
        <v>102457.0</v>
      </c>
      <c r="C250" s="192" t="s">
        <v>4170</v>
      </c>
      <c r="D250" s="192" t="s">
        <v>4172</v>
      </c>
      <c r="E250" s="235"/>
      <c r="F250" s="235"/>
      <c r="G250" s="325"/>
      <c r="H250" s="235"/>
      <c r="I250" s="235"/>
      <c r="J250" s="235"/>
      <c r="K250" s="235"/>
      <c r="L250" s="235"/>
      <c r="M250" s="235"/>
      <c r="N250" s="235"/>
      <c r="O250" s="235"/>
      <c r="P250" s="235"/>
      <c r="Q250" s="235"/>
      <c r="R250" s="235"/>
      <c r="S250" s="235"/>
      <c r="T250" s="235"/>
      <c r="U250" s="235"/>
      <c r="V250" s="235"/>
      <c r="W250" s="235"/>
      <c r="X250" s="235"/>
      <c r="Y250" s="235"/>
      <c r="Z250" s="235"/>
      <c r="AA250" s="235"/>
      <c r="AB250" s="235"/>
      <c r="AC250" s="235"/>
    </row>
    <row r="251">
      <c r="A251" s="194" t="s">
        <v>4182</v>
      </c>
      <c r="B251" s="193">
        <v>102487.0</v>
      </c>
      <c r="C251" s="192" t="s">
        <v>4184</v>
      </c>
      <c r="D251" s="192" t="s">
        <v>4172</v>
      </c>
      <c r="E251" s="235"/>
      <c r="F251" s="235"/>
      <c r="G251" s="325"/>
      <c r="H251" s="235"/>
      <c r="I251" s="235"/>
      <c r="J251" s="235"/>
      <c r="K251" s="235"/>
      <c r="L251" s="235"/>
      <c r="M251" s="235"/>
      <c r="N251" s="235"/>
      <c r="O251" s="235"/>
      <c r="P251" s="235"/>
      <c r="Q251" s="235"/>
      <c r="R251" s="235"/>
      <c r="S251" s="235"/>
      <c r="T251" s="235"/>
      <c r="U251" s="235"/>
      <c r="V251" s="235"/>
      <c r="W251" s="235"/>
      <c r="X251" s="235"/>
      <c r="Y251" s="235"/>
      <c r="Z251" s="235"/>
      <c r="AA251" s="235"/>
      <c r="AB251" s="235"/>
      <c r="AC251" s="235"/>
    </row>
    <row r="252">
      <c r="A252" s="194" t="s">
        <v>4194</v>
      </c>
      <c r="B252" s="193">
        <v>102133.0</v>
      </c>
      <c r="C252" s="192" t="s">
        <v>4196</v>
      </c>
      <c r="D252" s="192" t="s">
        <v>3571</v>
      </c>
      <c r="E252" s="235"/>
      <c r="F252" s="235"/>
      <c r="G252" s="325"/>
      <c r="H252" s="235"/>
      <c r="I252" s="235"/>
      <c r="J252" s="235"/>
      <c r="K252" s="235"/>
      <c r="L252" s="235"/>
      <c r="M252" s="235"/>
      <c r="N252" s="235"/>
      <c r="O252" s="235"/>
      <c r="P252" s="235"/>
      <c r="Q252" s="235"/>
      <c r="R252" s="235"/>
      <c r="S252" s="235"/>
      <c r="T252" s="235"/>
      <c r="U252" s="235"/>
      <c r="V252" s="235"/>
      <c r="W252" s="235"/>
      <c r="X252" s="235"/>
      <c r="Y252" s="235"/>
      <c r="Z252" s="235"/>
      <c r="AA252" s="235"/>
      <c r="AB252" s="235"/>
      <c r="AC252" s="235"/>
    </row>
    <row r="253">
      <c r="A253" s="194" t="s">
        <v>4088</v>
      </c>
      <c r="B253" s="193">
        <v>102862.0</v>
      </c>
      <c r="C253" s="192" t="s">
        <v>4090</v>
      </c>
      <c r="D253" s="192" t="s">
        <v>4091</v>
      </c>
      <c r="E253" s="235"/>
      <c r="F253" s="235"/>
      <c r="G253" s="325"/>
      <c r="H253" s="235"/>
      <c r="I253" s="235"/>
      <c r="J253" s="235"/>
      <c r="K253" s="235"/>
      <c r="L253" s="235"/>
      <c r="M253" s="235"/>
      <c r="N253" s="235"/>
      <c r="O253" s="235"/>
      <c r="P253" s="235"/>
      <c r="Q253" s="235"/>
      <c r="R253" s="235"/>
      <c r="S253" s="235"/>
      <c r="T253" s="235"/>
      <c r="U253" s="235"/>
      <c r="V253" s="235"/>
      <c r="W253" s="235"/>
      <c r="X253" s="235"/>
      <c r="Y253" s="235"/>
      <c r="Z253" s="235"/>
      <c r="AA253" s="235"/>
      <c r="AB253" s="235"/>
      <c r="AC253" s="235"/>
    </row>
    <row r="254">
      <c r="A254" s="194" t="s">
        <v>746</v>
      </c>
      <c r="B254" s="193">
        <v>102524.0</v>
      </c>
      <c r="C254" s="192" t="s">
        <v>747</v>
      </c>
      <c r="D254" s="192" t="s">
        <v>209</v>
      </c>
      <c r="E254" s="235"/>
      <c r="F254" s="235"/>
      <c r="G254" s="325"/>
      <c r="H254" s="235"/>
      <c r="I254" s="235"/>
      <c r="J254" s="235"/>
      <c r="K254" s="235"/>
      <c r="L254" s="235"/>
      <c r="M254" s="235"/>
      <c r="N254" s="235"/>
      <c r="O254" s="235"/>
      <c r="P254" s="235"/>
      <c r="Q254" s="235"/>
      <c r="R254" s="235"/>
      <c r="S254" s="235"/>
      <c r="T254" s="235"/>
      <c r="U254" s="235"/>
      <c r="V254" s="235"/>
      <c r="W254" s="235"/>
      <c r="X254" s="235"/>
      <c r="Y254" s="235"/>
      <c r="Z254" s="235"/>
      <c r="AA254" s="235"/>
      <c r="AB254" s="235"/>
      <c r="AC254" s="235"/>
    </row>
    <row r="255">
      <c r="A255" s="194" t="s">
        <v>739</v>
      </c>
      <c r="B255" s="193">
        <v>102507.0</v>
      </c>
      <c r="C255" s="192" t="s">
        <v>740</v>
      </c>
      <c r="D255" s="192" t="s">
        <v>95</v>
      </c>
      <c r="E255" s="235"/>
      <c r="F255" s="235"/>
      <c r="G255" s="325"/>
      <c r="H255" s="235"/>
      <c r="I255" s="235"/>
      <c r="J255" s="235"/>
      <c r="K255" s="235"/>
      <c r="L255" s="235"/>
      <c r="M255" s="235"/>
      <c r="N255" s="235"/>
      <c r="O255" s="235"/>
      <c r="P255" s="235"/>
      <c r="Q255" s="235"/>
      <c r="R255" s="235"/>
      <c r="S255" s="235"/>
      <c r="T255" s="235"/>
      <c r="U255" s="235"/>
      <c r="V255" s="235"/>
      <c r="W255" s="235"/>
      <c r="X255" s="235"/>
      <c r="Y255" s="235"/>
      <c r="Z255" s="235"/>
      <c r="AA255" s="235"/>
      <c r="AB255" s="235"/>
      <c r="AC255" s="235"/>
    </row>
    <row r="256">
      <c r="A256" s="194" t="s">
        <v>698</v>
      </c>
      <c r="B256" s="193">
        <v>102271.0</v>
      </c>
      <c r="C256" s="192" t="s">
        <v>699</v>
      </c>
      <c r="D256" s="192" t="s">
        <v>312</v>
      </c>
      <c r="E256" s="235"/>
      <c r="F256" s="235"/>
      <c r="G256" s="325"/>
      <c r="H256" s="235"/>
      <c r="I256" s="235"/>
      <c r="J256" s="235"/>
      <c r="K256" s="235"/>
      <c r="L256" s="235"/>
      <c r="M256" s="235"/>
      <c r="N256" s="235"/>
      <c r="O256" s="235"/>
      <c r="P256" s="235"/>
      <c r="Q256" s="235"/>
      <c r="R256" s="235"/>
      <c r="S256" s="235"/>
      <c r="T256" s="235"/>
      <c r="U256" s="235"/>
      <c r="V256" s="235"/>
      <c r="W256" s="235"/>
      <c r="X256" s="235"/>
      <c r="Y256" s="235"/>
      <c r="Z256" s="235"/>
      <c r="AA256" s="235"/>
      <c r="AB256" s="235"/>
      <c r="AC256" s="235"/>
    </row>
    <row r="257">
      <c r="A257" s="194" t="s">
        <v>741</v>
      </c>
      <c r="B257" s="193">
        <v>102512.0</v>
      </c>
      <c r="C257" s="192" t="s">
        <v>549</v>
      </c>
      <c r="D257" s="192" t="s">
        <v>522</v>
      </c>
      <c r="E257" s="235"/>
      <c r="F257" s="235"/>
      <c r="G257" s="325"/>
      <c r="H257" s="235"/>
      <c r="I257" s="235"/>
      <c r="J257" s="235"/>
      <c r="K257" s="235"/>
      <c r="L257" s="235"/>
      <c r="M257" s="235"/>
      <c r="N257" s="235"/>
      <c r="O257" s="235"/>
      <c r="P257" s="235"/>
      <c r="Q257" s="235"/>
      <c r="R257" s="235"/>
      <c r="S257" s="235"/>
      <c r="T257" s="235"/>
      <c r="U257" s="235"/>
      <c r="V257" s="235"/>
      <c r="W257" s="235"/>
      <c r="X257" s="235"/>
      <c r="Y257" s="235"/>
      <c r="Z257" s="235"/>
      <c r="AA257" s="235"/>
      <c r="AB257" s="235"/>
      <c r="AC257" s="235"/>
    </row>
    <row r="258">
      <c r="A258" s="194" t="s">
        <v>1094</v>
      </c>
      <c r="B258" s="194">
        <v>103798.0</v>
      </c>
      <c r="C258" s="192" t="s">
        <v>1095</v>
      </c>
      <c r="D258" s="192" t="s">
        <v>557</v>
      </c>
      <c r="E258" s="235"/>
      <c r="F258" s="235"/>
      <c r="G258" s="325"/>
      <c r="H258" s="235"/>
      <c r="I258" s="235"/>
      <c r="J258" s="235"/>
      <c r="K258" s="235"/>
      <c r="L258" s="235"/>
      <c r="M258" s="235"/>
      <c r="N258" s="235"/>
      <c r="O258" s="235"/>
      <c r="P258" s="235"/>
      <c r="Q258" s="235"/>
      <c r="R258" s="235"/>
      <c r="S258" s="235"/>
      <c r="T258" s="235"/>
      <c r="U258" s="235"/>
      <c r="V258" s="235"/>
      <c r="W258" s="235"/>
      <c r="X258" s="235"/>
      <c r="Y258" s="235"/>
      <c r="Z258" s="235"/>
      <c r="AA258" s="235"/>
      <c r="AB258" s="235"/>
      <c r="AC258" s="235"/>
    </row>
    <row r="259">
      <c r="A259" s="194" t="s">
        <v>833</v>
      </c>
      <c r="B259" s="194">
        <v>102828.0</v>
      </c>
      <c r="C259" s="192" t="s">
        <v>834</v>
      </c>
      <c r="D259" s="192" t="s">
        <v>87</v>
      </c>
      <c r="E259" s="235"/>
      <c r="F259" s="235"/>
      <c r="G259" s="325"/>
      <c r="H259" s="235"/>
      <c r="I259" s="235"/>
      <c r="J259" s="235"/>
      <c r="K259" s="235"/>
      <c r="L259" s="235"/>
      <c r="M259" s="235"/>
      <c r="N259" s="235"/>
      <c r="O259" s="235"/>
      <c r="P259" s="235"/>
      <c r="Q259" s="235"/>
      <c r="R259" s="235"/>
      <c r="S259" s="235"/>
      <c r="T259" s="235"/>
      <c r="U259" s="235"/>
      <c r="V259" s="235"/>
      <c r="W259" s="235"/>
      <c r="X259" s="235"/>
      <c r="Y259" s="235"/>
      <c r="Z259" s="235"/>
      <c r="AA259" s="235"/>
      <c r="AB259" s="235"/>
      <c r="AC259" s="235"/>
    </row>
    <row r="260">
      <c r="A260" s="194" t="s">
        <v>1978</v>
      </c>
      <c r="B260" s="194">
        <v>104673.0</v>
      </c>
      <c r="C260" s="192"/>
      <c r="D260" s="192"/>
      <c r="E260" s="235"/>
      <c r="F260" s="235"/>
      <c r="G260" s="325"/>
      <c r="H260" s="235"/>
      <c r="I260" s="235"/>
      <c r="J260" s="235"/>
      <c r="K260" s="235"/>
      <c r="L260" s="235"/>
      <c r="M260" s="235"/>
      <c r="N260" s="235"/>
      <c r="O260" s="235"/>
      <c r="P260" s="235"/>
      <c r="Q260" s="235"/>
      <c r="R260" s="235"/>
      <c r="S260" s="235"/>
      <c r="T260" s="235"/>
      <c r="U260" s="235"/>
      <c r="V260" s="235"/>
      <c r="W260" s="235"/>
      <c r="X260" s="235"/>
      <c r="Y260" s="235"/>
      <c r="Z260" s="235"/>
      <c r="AA260" s="235"/>
      <c r="AB260" s="235"/>
      <c r="AC260" s="235"/>
    </row>
    <row r="261">
      <c r="A261" s="194" t="s">
        <v>960</v>
      </c>
      <c r="B261" s="193">
        <v>103196.0</v>
      </c>
      <c r="C261" s="192" t="s">
        <v>961</v>
      </c>
      <c r="D261" s="192" t="s">
        <v>51</v>
      </c>
      <c r="E261" s="235"/>
      <c r="F261" s="235"/>
      <c r="G261" s="325"/>
      <c r="H261" s="235"/>
      <c r="I261" s="235"/>
      <c r="J261" s="235"/>
      <c r="K261" s="235"/>
      <c r="L261" s="235"/>
      <c r="M261" s="235"/>
      <c r="N261" s="235"/>
      <c r="O261" s="235"/>
      <c r="P261" s="235"/>
      <c r="Q261" s="235"/>
      <c r="R261" s="235"/>
      <c r="S261" s="235"/>
      <c r="T261" s="235"/>
      <c r="U261" s="235"/>
      <c r="V261" s="235"/>
      <c r="W261" s="235"/>
      <c r="X261" s="235"/>
      <c r="Y261" s="235"/>
      <c r="Z261" s="235"/>
      <c r="AA261" s="235"/>
      <c r="AB261" s="235"/>
      <c r="AC261" s="235"/>
    </row>
    <row r="262">
      <c r="A262" s="194" t="s">
        <v>4280</v>
      </c>
      <c r="B262" s="193">
        <v>102710.0</v>
      </c>
      <c r="C262" s="192" t="s">
        <v>4282</v>
      </c>
      <c r="D262" s="192" t="s">
        <v>4283</v>
      </c>
      <c r="E262" s="235"/>
      <c r="F262" s="235"/>
      <c r="G262" s="325"/>
      <c r="H262" s="235"/>
      <c r="I262" s="235"/>
      <c r="J262" s="235"/>
      <c r="K262" s="235"/>
      <c r="L262" s="235"/>
      <c r="M262" s="235"/>
      <c r="N262" s="235"/>
      <c r="O262" s="235"/>
      <c r="P262" s="235"/>
      <c r="Q262" s="235"/>
      <c r="R262" s="235"/>
      <c r="S262" s="235"/>
      <c r="T262" s="235"/>
      <c r="U262" s="235"/>
      <c r="V262" s="235"/>
      <c r="W262" s="235"/>
      <c r="X262" s="235"/>
      <c r="Y262" s="235"/>
      <c r="Z262" s="235"/>
      <c r="AA262" s="235"/>
      <c r="AB262" s="235"/>
      <c r="AC262" s="235"/>
    </row>
    <row r="263">
      <c r="A263" s="194" t="s">
        <v>4289</v>
      </c>
      <c r="B263" s="193">
        <v>102911.0</v>
      </c>
      <c r="C263" s="192" t="s">
        <v>4292</v>
      </c>
      <c r="D263" s="192" t="s">
        <v>3930</v>
      </c>
      <c r="E263" s="235"/>
      <c r="F263" s="235"/>
      <c r="G263" s="325"/>
      <c r="H263" s="235"/>
      <c r="I263" s="235"/>
      <c r="J263" s="235"/>
      <c r="K263" s="235"/>
      <c r="L263" s="235"/>
      <c r="M263" s="235"/>
      <c r="N263" s="235"/>
      <c r="O263" s="235"/>
      <c r="P263" s="235"/>
      <c r="Q263" s="235"/>
      <c r="R263" s="235"/>
      <c r="S263" s="235"/>
      <c r="T263" s="235"/>
      <c r="U263" s="235"/>
      <c r="V263" s="235"/>
      <c r="W263" s="235"/>
      <c r="X263" s="235"/>
      <c r="Y263" s="235"/>
      <c r="Z263" s="235"/>
      <c r="AA263" s="235"/>
      <c r="AB263" s="235"/>
      <c r="AC263" s="235"/>
    </row>
    <row r="264">
      <c r="A264" s="194" t="s">
        <v>4299</v>
      </c>
      <c r="B264" s="193">
        <v>102518.0</v>
      </c>
      <c r="C264" s="192" t="s">
        <v>4302</v>
      </c>
      <c r="D264" s="192" t="s">
        <v>3857</v>
      </c>
      <c r="E264" s="235"/>
      <c r="F264" s="235"/>
      <c r="G264" s="325"/>
      <c r="H264" s="235"/>
      <c r="I264" s="235"/>
      <c r="J264" s="235"/>
      <c r="K264" s="235"/>
      <c r="L264" s="235"/>
      <c r="M264" s="235"/>
      <c r="N264" s="235"/>
      <c r="O264" s="235"/>
      <c r="P264" s="235"/>
      <c r="Q264" s="235"/>
      <c r="R264" s="235"/>
      <c r="S264" s="235"/>
      <c r="T264" s="235"/>
      <c r="U264" s="235"/>
      <c r="V264" s="235"/>
      <c r="W264" s="235"/>
      <c r="X264" s="235"/>
      <c r="Y264" s="235"/>
      <c r="Z264" s="235"/>
      <c r="AA264" s="235"/>
      <c r="AB264" s="235"/>
      <c r="AC264" s="235"/>
    </row>
    <row r="265">
      <c r="A265" s="194" t="s">
        <v>4309</v>
      </c>
      <c r="B265" s="193">
        <v>102485.0</v>
      </c>
      <c r="C265" s="192" t="s">
        <v>4310</v>
      </c>
      <c r="D265" s="192" t="s">
        <v>4311</v>
      </c>
      <c r="E265" s="235"/>
      <c r="F265" s="235"/>
      <c r="G265" s="325"/>
      <c r="H265" s="235"/>
      <c r="I265" s="235"/>
      <c r="J265" s="235"/>
      <c r="K265" s="235"/>
      <c r="L265" s="235"/>
      <c r="M265" s="235"/>
      <c r="N265" s="235"/>
      <c r="O265" s="235"/>
      <c r="P265" s="235"/>
      <c r="Q265" s="235"/>
      <c r="R265" s="235"/>
      <c r="S265" s="235"/>
      <c r="T265" s="235"/>
      <c r="U265" s="235"/>
      <c r="V265" s="235"/>
      <c r="W265" s="235"/>
      <c r="X265" s="235"/>
      <c r="Y265" s="235"/>
      <c r="Z265" s="235"/>
      <c r="AA265" s="235"/>
      <c r="AB265" s="235"/>
      <c r="AC265" s="235"/>
    </row>
    <row r="266">
      <c r="A266" s="194" t="s">
        <v>4318</v>
      </c>
      <c r="B266" s="193">
        <v>103048.0</v>
      </c>
      <c r="C266" s="192" t="s">
        <v>4319</v>
      </c>
      <c r="D266" s="192" t="s">
        <v>4321</v>
      </c>
      <c r="E266" s="235"/>
      <c r="F266" s="235"/>
      <c r="G266" s="325"/>
      <c r="H266" s="235"/>
      <c r="I266" s="235"/>
      <c r="J266" s="235"/>
      <c r="K266" s="235"/>
      <c r="L266" s="235"/>
      <c r="M266" s="235"/>
      <c r="N266" s="235"/>
      <c r="O266" s="235"/>
      <c r="P266" s="235"/>
      <c r="Q266" s="235"/>
      <c r="R266" s="235"/>
      <c r="S266" s="235"/>
      <c r="T266" s="235"/>
      <c r="U266" s="235"/>
      <c r="V266" s="235"/>
      <c r="W266" s="235"/>
      <c r="X266" s="235"/>
      <c r="Y266" s="235"/>
      <c r="Z266" s="235"/>
      <c r="AA266" s="235"/>
      <c r="AB266" s="235"/>
      <c r="AC266" s="235"/>
    </row>
    <row r="267">
      <c r="A267" s="194" t="s">
        <v>4328</v>
      </c>
      <c r="B267" s="194" t="s">
        <v>4330</v>
      </c>
      <c r="C267" s="196"/>
      <c r="D267" s="192" t="s">
        <v>4332</v>
      </c>
      <c r="E267" s="235"/>
      <c r="F267" s="235"/>
      <c r="G267" s="325"/>
      <c r="H267" s="235"/>
      <c r="I267" s="235"/>
      <c r="J267" s="235"/>
      <c r="K267" s="235"/>
      <c r="L267" s="235"/>
      <c r="M267" s="235"/>
      <c r="N267" s="235"/>
      <c r="O267" s="235"/>
      <c r="P267" s="235"/>
      <c r="Q267" s="235"/>
      <c r="R267" s="235"/>
      <c r="S267" s="235"/>
      <c r="T267" s="235"/>
      <c r="U267" s="235"/>
      <c r="V267" s="235"/>
      <c r="W267" s="235"/>
      <c r="X267" s="235"/>
      <c r="Y267" s="235"/>
      <c r="Z267" s="235"/>
      <c r="AA267" s="235"/>
      <c r="AB267" s="235"/>
      <c r="AC267" s="235"/>
    </row>
    <row r="268">
      <c r="A268" s="194" t="s">
        <v>4339</v>
      </c>
      <c r="B268" s="194" t="s">
        <v>4330</v>
      </c>
      <c r="C268" s="196"/>
      <c r="D268" s="192" t="s">
        <v>3866</v>
      </c>
      <c r="E268" s="235"/>
      <c r="F268" s="235"/>
      <c r="G268" s="325"/>
      <c r="H268" s="235"/>
      <c r="I268" s="235"/>
      <c r="J268" s="235"/>
      <c r="K268" s="235"/>
      <c r="L268" s="235"/>
      <c r="M268" s="235"/>
      <c r="N268" s="235"/>
      <c r="O268" s="235"/>
      <c r="P268" s="235"/>
      <c r="Q268" s="235"/>
      <c r="R268" s="235"/>
      <c r="S268" s="235"/>
      <c r="T268" s="235"/>
      <c r="U268" s="235"/>
      <c r="V268" s="235"/>
      <c r="W268" s="235"/>
      <c r="X268" s="235"/>
      <c r="Y268" s="235"/>
      <c r="Z268" s="235"/>
      <c r="AA268" s="235"/>
      <c r="AB268" s="235"/>
      <c r="AC268" s="235"/>
    </row>
    <row r="269">
      <c r="A269" s="194" t="s">
        <v>1023</v>
      </c>
      <c r="B269" s="193">
        <v>102615.0</v>
      </c>
      <c r="C269" s="192" t="s">
        <v>1024</v>
      </c>
      <c r="D269" s="192" t="s">
        <v>602</v>
      </c>
      <c r="E269" s="235"/>
      <c r="F269" s="235"/>
      <c r="G269" s="325"/>
      <c r="H269" s="235"/>
      <c r="I269" s="235"/>
      <c r="J269" s="235"/>
      <c r="K269" s="235"/>
      <c r="L269" s="235"/>
      <c r="M269" s="235"/>
      <c r="N269" s="235"/>
      <c r="O269" s="235"/>
      <c r="P269" s="235"/>
      <c r="Q269" s="235"/>
      <c r="R269" s="235"/>
      <c r="S269" s="235"/>
      <c r="T269" s="235"/>
      <c r="U269" s="235"/>
      <c r="V269" s="235"/>
      <c r="W269" s="235"/>
      <c r="X269" s="235"/>
      <c r="Y269" s="235"/>
      <c r="Z269" s="235"/>
      <c r="AA269" s="235"/>
      <c r="AB269" s="235"/>
      <c r="AC269" s="235"/>
    </row>
    <row r="270">
      <c r="A270" s="194" t="s">
        <v>562</v>
      </c>
      <c r="B270" s="193">
        <v>102062.0</v>
      </c>
      <c r="C270" s="192" t="s">
        <v>563</v>
      </c>
      <c r="D270" s="192" t="s">
        <v>51</v>
      </c>
      <c r="E270" s="235"/>
      <c r="F270" s="235"/>
      <c r="G270" s="325"/>
      <c r="H270" s="235"/>
      <c r="I270" s="235"/>
      <c r="J270" s="235"/>
      <c r="K270" s="235"/>
      <c r="L270" s="235"/>
      <c r="M270" s="235"/>
      <c r="N270" s="235"/>
      <c r="O270" s="235"/>
      <c r="P270" s="235"/>
      <c r="Q270" s="235"/>
      <c r="R270" s="235"/>
      <c r="S270" s="235"/>
      <c r="T270" s="235"/>
      <c r="U270" s="235"/>
      <c r="V270" s="235"/>
      <c r="W270" s="235"/>
      <c r="X270" s="235"/>
      <c r="Y270" s="235"/>
      <c r="Z270" s="235"/>
      <c r="AA270" s="235"/>
      <c r="AB270" s="235"/>
      <c r="AC270" s="235"/>
    </row>
    <row r="271">
      <c r="A271" s="194" t="s">
        <v>381</v>
      </c>
      <c r="B271" s="193">
        <v>102055.0</v>
      </c>
      <c r="C271" s="192" t="s">
        <v>382</v>
      </c>
      <c r="D271" s="192" t="s">
        <v>51</v>
      </c>
      <c r="E271" s="235"/>
      <c r="F271" s="235"/>
      <c r="G271" s="325"/>
      <c r="H271" s="235"/>
      <c r="I271" s="235"/>
      <c r="J271" s="235"/>
      <c r="K271" s="235"/>
      <c r="L271" s="235"/>
      <c r="M271" s="235"/>
      <c r="N271" s="235"/>
      <c r="O271" s="235"/>
      <c r="P271" s="235"/>
      <c r="Q271" s="235"/>
      <c r="R271" s="235"/>
      <c r="S271" s="235"/>
      <c r="T271" s="235"/>
      <c r="U271" s="235"/>
      <c r="V271" s="235"/>
      <c r="W271" s="235"/>
      <c r="X271" s="235"/>
      <c r="Y271" s="235"/>
      <c r="Z271" s="235"/>
      <c r="AA271" s="235"/>
      <c r="AB271" s="235"/>
      <c r="AC271" s="235"/>
    </row>
    <row r="272">
      <c r="A272" s="194" t="s">
        <v>565</v>
      </c>
      <c r="B272" s="193">
        <v>102058.0</v>
      </c>
      <c r="C272" s="192" t="s">
        <v>566</v>
      </c>
      <c r="D272" s="192" t="s">
        <v>214</v>
      </c>
      <c r="E272" s="235"/>
      <c r="F272" s="235"/>
      <c r="G272" s="325"/>
      <c r="H272" s="235"/>
      <c r="I272" s="235"/>
      <c r="J272" s="235"/>
      <c r="K272" s="235"/>
      <c r="L272" s="235"/>
      <c r="M272" s="235"/>
      <c r="N272" s="235"/>
      <c r="O272" s="235"/>
      <c r="P272" s="235"/>
      <c r="Q272" s="235"/>
      <c r="R272" s="235"/>
      <c r="S272" s="235"/>
      <c r="T272" s="235"/>
      <c r="U272" s="235"/>
      <c r="V272" s="235"/>
      <c r="W272" s="235"/>
      <c r="X272" s="235"/>
      <c r="Y272" s="235"/>
      <c r="Z272" s="235"/>
      <c r="AA272" s="235"/>
      <c r="AB272" s="235"/>
      <c r="AC272" s="235"/>
    </row>
    <row r="273">
      <c r="A273" s="194" t="s">
        <v>721</v>
      </c>
      <c r="B273" s="193">
        <v>102444.0</v>
      </c>
      <c r="C273" s="192" t="s">
        <v>722</v>
      </c>
      <c r="D273" s="192" t="s">
        <v>625</v>
      </c>
      <c r="E273" s="235"/>
      <c r="F273" s="235"/>
      <c r="G273" s="325"/>
      <c r="H273" s="235"/>
      <c r="I273" s="235"/>
      <c r="J273" s="235"/>
      <c r="K273" s="235"/>
      <c r="L273" s="235"/>
      <c r="M273" s="235"/>
      <c r="N273" s="235"/>
      <c r="O273" s="235"/>
      <c r="P273" s="235"/>
      <c r="Q273" s="235"/>
      <c r="R273" s="235"/>
      <c r="S273" s="235"/>
      <c r="T273" s="235"/>
      <c r="U273" s="235"/>
      <c r="V273" s="235"/>
      <c r="W273" s="235"/>
      <c r="X273" s="235"/>
      <c r="Y273" s="235"/>
      <c r="Z273" s="235"/>
      <c r="AA273" s="235"/>
      <c r="AB273" s="235"/>
      <c r="AC273" s="235"/>
    </row>
    <row r="274">
      <c r="A274" s="194" t="s">
        <v>719</v>
      </c>
      <c r="B274" s="193">
        <v>102437.0</v>
      </c>
      <c r="C274" s="192" t="s">
        <v>720</v>
      </c>
      <c r="D274" s="192" t="s">
        <v>254</v>
      </c>
      <c r="E274" s="235"/>
      <c r="F274" s="235"/>
      <c r="G274" s="325"/>
      <c r="H274" s="235"/>
      <c r="I274" s="235"/>
      <c r="J274" s="235"/>
      <c r="K274" s="235"/>
      <c r="L274" s="235"/>
      <c r="M274" s="235"/>
      <c r="N274" s="235"/>
      <c r="O274" s="235"/>
      <c r="P274" s="235"/>
      <c r="Q274" s="235"/>
      <c r="R274" s="235"/>
      <c r="S274" s="235"/>
      <c r="T274" s="235"/>
      <c r="U274" s="235"/>
      <c r="V274" s="235"/>
      <c r="W274" s="235"/>
      <c r="X274" s="235"/>
      <c r="Y274" s="235"/>
      <c r="Z274" s="235"/>
      <c r="AA274" s="235"/>
      <c r="AB274" s="235"/>
      <c r="AC274" s="235"/>
    </row>
    <row r="275">
      <c r="A275" s="194" t="s">
        <v>370</v>
      </c>
      <c r="B275" s="193">
        <v>101818.0</v>
      </c>
      <c r="C275" s="192" t="s">
        <v>356</v>
      </c>
      <c r="D275" s="192" t="s">
        <v>339</v>
      </c>
      <c r="E275" s="235"/>
      <c r="F275" s="235"/>
      <c r="G275" s="325"/>
      <c r="H275" s="235"/>
      <c r="I275" s="235"/>
      <c r="J275" s="235"/>
      <c r="K275" s="235"/>
      <c r="L275" s="235"/>
      <c r="M275" s="235"/>
      <c r="N275" s="235"/>
      <c r="O275" s="235"/>
      <c r="P275" s="235"/>
      <c r="Q275" s="235"/>
      <c r="R275" s="235"/>
      <c r="S275" s="235"/>
      <c r="T275" s="235"/>
      <c r="U275" s="235"/>
      <c r="V275" s="235"/>
      <c r="W275" s="235"/>
      <c r="X275" s="235"/>
      <c r="Y275" s="235"/>
      <c r="Z275" s="235"/>
      <c r="AA275" s="235"/>
      <c r="AB275" s="235"/>
      <c r="AC275" s="235"/>
    </row>
    <row r="276">
      <c r="A276" s="194" t="s">
        <v>407</v>
      </c>
      <c r="B276" s="193">
        <v>101827.0</v>
      </c>
      <c r="C276" s="192" t="s">
        <v>390</v>
      </c>
      <c r="D276" s="192" t="s">
        <v>254</v>
      </c>
      <c r="E276" s="235"/>
      <c r="F276" s="235"/>
      <c r="G276" s="325"/>
      <c r="H276" s="235"/>
      <c r="I276" s="235"/>
      <c r="J276" s="235"/>
      <c r="K276" s="235"/>
      <c r="L276" s="235"/>
      <c r="M276" s="235"/>
      <c r="N276" s="235"/>
      <c r="O276" s="235"/>
      <c r="P276" s="235"/>
      <c r="Q276" s="235"/>
      <c r="R276" s="235"/>
      <c r="S276" s="235"/>
      <c r="T276" s="235"/>
      <c r="U276" s="235"/>
      <c r="V276" s="235"/>
      <c r="W276" s="235"/>
      <c r="X276" s="235"/>
      <c r="Y276" s="235"/>
      <c r="Z276" s="235"/>
      <c r="AA276" s="235"/>
      <c r="AB276" s="235"/>
      <c r="AC276" s="235"/>
    </row>
    <row r="277">
      <c r="A277" s="194" t="s">
        <v>405</v>
      </c>
      <c r="B277" s="193">
        <v>101848.0</v>
      </c>
      <c r="C277" s="192" t="s">
        <v>406</v>
      </c>
      <c r="D277" s="192" t="s">
        <v>254</v>
      </c>
      <c r="E277" s="235"/>
      <c r="F277" s="235"/>
      <c r="G277" s="325"/>
      <c r="H277" s="235"/>
      <c r="I277" s="235"/>
      <c r="J277" s="235"/>
      <c r="K277" s="235"/>
      <c r="L277" s="235"/>
      <c r="M277" s="235"/>
      <c r="N277" s="235"/>
      <c r="O277" s="235"/>
      <c r="P277" s="235"/>
      <c r="Q277" s="235"/>
      <c r="R277" s="235"/>
      <c r="S277" s="235"/>
      <c r="T277" s="235"/>
      <c r="U277" s="235"/>
      <c r="V277" s="235"/>
      <c r="W277" s="235"/>
      <c r="X277" s="235"/>
      <c r="Y277" s="235"/>
      <c r="Z277" s="235"/>
      <c r="AA277" s="235"/>
      <c r="AB277" s="235"/>
      <c r="AC277" s="235"/>
    </row>
    <row r="278">
      <c r="A278" s="194" t="s">
        <v>389</v>
      </c>
      <c r="B278" s="193">
        <v>101827.0</v>
      </c>
      <c r="C278" s="192" t="s">
        <v>390</v>
      </c>
      <c r="D278" s="192" t="s">
        <v>326</v>
      </c>
      <c r="E278" s="235"/>
      <c r="F278" s="235"/>
      <c r="G278" s="325"/>
      <c r="H278" s="235"/>
      <c r="I278" s="235"/>
      <c r="J278" s="235"/>
      <c r="K278" s="235"/>
      <c r="L278" s="235"/>
      <c r="M278" s="235"/>
      <c r="N278" s="235"/>
      <c r="O278" s="235"/>
      <c r="P278" s="235"/>
      <c r="Q278" s="235"/>
      <c r="R278" s="235"/>
      <c r="S278" s="235"/>
      <c r="T278" s="235"/>
      <c r="U278" s="235"/>
      <c r="V278" s="235"/>
      <c r="W278" s="235"/>
      <c r="X278" s="235"/>
      <c r="Y278" s="235"/>
      <c r="Z278" s="235"/>
      <c r="AA278" s="235"/>
      <c r="AB278" s="235"/>
      <c r="AC278" s="235"/>
    </row>
    <row r="279">
      <c r="A279" s="194" t="s">
        <v>296</v>
      </c>
      <c r="B279" s="193">
        <v>101733.0</v>
      </c>
      <c r="C279" s="192" t="s">
        <v>297</v>
      </c>
      <c r="D279" s="192" t="s">
        <v>298</v>
      </c>
      <c r="E279" s="235"/>
      <c r="F279" s="235"/>
      <c r="G279" s="325"/>
      <c r="H279" s="235"/>
      <c r="I279" s="235"/>
      <c r="J279" s="235"/>
      <c r="K279" s="235"/>
      <c r="L279" s="235"/>
      <c r="M279" s="235"/>
      <c r="N279" s="235"/>
      <c r="O279" s="235"/>
      <c r="P279" s="235"/>
      <c r="Q279" s="235"/>
      <c r="R279" s="235"/>
      <c r="S279" s="235"/>
      <c r="T279" s="235"/>
      <c r="U279" s="235"/>
      <c r="V279" s="235"/>
      <c r="W279" s="235"/>
      <c r="X279" s="235"/>
      <c r="Y279" s="235"/>
      <c r="Z279" s="235"/>
      <c r="AA279" s="235"/>
      <c r="AB279" s="235"/>
      <c r="AC279" s="235"/>
    </row>
    <row r="280">
      <c r="A280" s="194" t="s">
        <v>310</v>
      </c>
      <c r="B280" s="193">
        <v>101752.0</v>
      </c>
      <c r="C280" s="192" t="s">
        <v>311</v>
      </c>
      <c r="D280" s="192" t="s">
        <v>312</v>
      </c>
      <c r="E280" s="235"/>
      <c r="F280" s="235"/>
      <c r="G280" s="325"/>
      <c r="H280" s="235"/>
      <c r="I280" s="235"/>
      <c r="J280" s="235"/>
      <c r="K280" s="235"/>
      <c r="L280" s="235"/>
      <c r="M280" s="235"/>
      <c r="N280" s="235"/>
      <c r="O280" s="235"/>
      <c r="P280" s="235"/>
      <c r="Q280" s="235"/>
      <c r="R280" s="235"/>
      <c r="S280" s="235"/>
      <c r="T280" s="235"/>
      <c r="U280" s="235"/>
      <c r="V280" s="235"/>
      <c r="W280" s="235"/>
      <c r="X280" s="235"/>
      <c r="Y280" s="235"/>
      <c r="Z280" s="235"/>
      <c r="AA280" s="235"/>
      <c r="AB280" s="235"/>
      <c r="AC280" s="235"/>
    </row>
    <row r="281">
      <c r="A281" s="194" t="s">
        <v>324</v>
      </c>
      <c r="B281" s="193">
        <v>101753.0</v>
      </c>
      <c r="C281" s="192" t="s">
        <v>325</v>
      </c>
      <c r="D281" s="192" t="s">
        <v>326</v>
      </c>
      <c r="E281" s="235"/>
      <c r="F281" s="235"/>
      <c r="G281" s="325"/>
      <c r="H281" s="235"/>
      <c r="I281" s="235"/>
      <c r="J281" s="235"/>
      <c r="K281" s="235"/>
      <c r="L281" s="235"/>
      <c r="M281" s="235"/>
      <c r="N281" s="235"/>
      <c r="O281" s="235"/>
      <c r="P281" s="235"/>
      <c r="Q281" s="235"/>
      <c r="R281" s="235"/>
      <c r="S281" s="235"/>
      <c r="T281" s="235"/>
      <c r="U281" s="235"/>
      <c r="V281" s="235"/>
      <c r="W281" s="235"/>
      <c r="X281" s="235"/>
      <c r="Y281" s="235"/>
      <c r="Z281" s="235"/>
      <c r="AA281" s="235"/>
      <c r="AB281" s="235"/>
      <c r="AC281" s="235"/>
    </row>
    <row r="282">
      <c r="A282" s="194" t="s">
        <v>319</v>
      </c>
      <c r="B282" s="193">
        <v>101424.0</v>
      </c>
      <c r="C282" s="192" t="s">
        <v>320</v>
      </c>
      <c r="D282" s="192" t="s">
        <v>254</v>
      </c>
      <c r="E282" s="235"/>
      <c r="F282" s="235"/>
      <c r="G282" s="325"/>
      <c r="H282" s="235"/>
      <c r="I282" s="235"/>
      <c r="J282" s="235"/>
      <c r="K282" s="235"/>
      <c r="L282" s="235"/>
      <c r="M282" s="235"/>
      <c r="N282" s="235"/>
      <c r="O282" s="235"/>
      <c r="P282" s="235"/>
      <c r="Q282" s="235"/>
      <c r="R282" s="235"/>
      <c r="S282" s="235"/>
      <c r="T282" s="235"/>
      <c r="U282" s="235"/>
      <c r="V282" s="235"/>
      <c r="W282" s="235"/>
      <c r="X282" s="235"/>
      <c r="Y282" s="235"/>
      <c r="Z282" s="235"/>
      <c r="AA282" s="235"/>
      <c r="AB282" s="235"/>
      <c r="AC282" s="235"/>
    </row>
    <row r="283">
      <c r="A283" s="194" t="s">
        <v>329</v>
      </c>
      <c r="B283" s="193">
        <v>101761.0</v>
      </c>
      <c r="C283" s="192" t="s">
        <v>330</v>
      </c>
      <c r="D283" s="192" t="s">
        <v>254</v>
      </c>
      <c r="E283" s="235"/>
      <c r="F283" s="235"/>
      <c r="G283" s="325"/>
      <c r="H283" s="235"/>
      <c r="I283" s="235"/>
      <c r="J283" s="235"/>
      <c r="K283" s="235"/>
      <c r="L283" s="235"/>
      <c r="M283" s="235"/>
      <c r="N283" s="235"/>
      <c r="O283" s="235"/>
      <c r="P283" s="235"/>
      <c r="Q283" s="235"/>
      <c r="R283" s="235"/>
      <c r="S283" s="235"/>
      <c r="T283" s="235"/>
      <c r="U283" s="235"/>
      <c r="V283" s="235"/>
      <c r="W283" s="235"/>
      <c r="X283" s="235"/>
      <c r="Y283" s="235"/>
      <c r="Z283" s="235"/>
      <c r="AA283" s="235"/>
      <c r="AB283" s="235"/>
      <c r="AC283" s="235"/>
    </row>
    <row r="284">
      <c r="A284" s="194" t="s">
        <v>335</v>
      </c>
      <c r="B284" s="193">
        <v>101773.0</v>
      </c>
      <c r="C284" s="192" t="s">
        <v>336</v>
      </c>
      <c r="D284" s="192" t="s">
        <v>326</v>
      </c>
      <c r="E284" s="235"/>
      <c r="F284" s="235"/>
      <c r="G284" s="325"/>
      <c r="H284" s="235"/>
      <c r="I284" s="235"/>
      <c r="J284" s="235"/>
      <c r="K284" s="235"/>
      <c r="L284" s="235"/>
      <c r="M284" s="235"/>
      <c r="N284" s="235"/>
      <c r="O284" s="235"/>
      <c r="P284" s="235"/>
      <c r="Q284" s="235"/>
      <c r="R284" s="235"/>
      <c r="S284" s="235"/>
      <c r="T284" s="235"/>
      <c r="U284" s="235"/>
      <c r="V284" s="235"/>
      <c r="W284" s="235"/>
      <c r="X284" s="235"/>
      <c r="Y284" s="235"/>
      <c r="Z284" s="235"/>
      <c r="AA284" s="235"/>
      <c r="AB284" s="235"/>
      <c r="AC284" s="235"/>
    </row>
    <row r="285">
      <c r="A285" s="194" t="s">
        <v>341</v>
      </c>
      <c r="B285" s="193">
        <v>101772.0</v>
      </c>
      <c r="C285" s="192" t="s">
        <v>342</v>
      </c>
      <c r="D285" s="192" t="s">
        <v>125</v>
      </c>
      <c r="E285" s="235"/>
      <c r="F285" s="235"/>
      <c r="G285" s="325"/>
      <c r="H285" s="235"/>
      <c r="I285" s="235"/>
      <c r="J285" s="235"/>
      <c r="K285" s="235"/>
      <c r="L285" s="235"/>
      <c r="M285" s="235"/>
      <c r="N285" s="235"/>
      <c r="O285" s="235"/>
      <c r="P285" s="235"/>
      <c r="Q285" s="235"/>
      <c r="R285" s="235"/>
      <c r="S285" s="235"/>
      <c r="T285" s="235"/>
      <c r="U285" s="235"/>
      <c r="V285" s="235"/>
      <c r="W285" s="235"/>
      <c r="X285" s="235"/>
      <c r="Y285" s="235"/>
      <c r="Z285" s="235"/>
      <c r="AA285" s="235"/>
      <c r="AB285" s="235"/>
      <c r="AC285" s="235"/>
    </row>
    <row r="286">
      <c r="A286" s="194" t="s">
        <v>252</v>
      </c>
      <c r="B286" s="193">
        <v>101694.0</v>
      </c>
      <c r="C286" s="192" t="s">
        <v>253</v>
      </c>
      <c r="D286" s="192" t="s">
        <v>254</v>
      </c>
      <c r="E286" s="235"/>
      <c r="F286" s="235"/>
      <c r="G286" s="325"/>
      <c r="H286" s="235"/>
      <c r="I286" s="235"/>
      <c r="J286" s="235"/>
      <c r="K286" s="235"/>
      <c r="L286" s="235"/>
      <c r="M286" s="235"/>
      <c r="N286" s="235"/>
      <c r="O286" s="235"/>
      <c r="P286" s="235"/>
      <c r="Q286" s="235"/>
      <c r="R286" s="235"/>
      <c r="S286" s="235"/>
      <c r="T286" s="235"/>
      <c r="U286" s="235"/>
      <c r="V286" s="235"/>
      <c r="W286" s="235"/>
      <c r="X286" s="235"/>
      <c r="Y286" s="235"/>
      <c r="Z286" s="235"/>
      <c r="AA286" s="235"/>
      <c r="AB286" s="235"/>
      <c r="AC286" s="235"/>
    </row>
    <row r="287">
      <c r="A287" s="194" t="s">
        <v>267</v>
      </c>
      <c r="B287" s="193">
        <v>101550.0</v>
      </c>
      <c r="C287" s="192" t="s">
        <v>268</v>
      </c>
      <c r="D287" s="192" t="s">
        <v>254</v>
      </c>
      <c r="E287" s="235"/>
      <c r="F287" s="235"/>
      <c r="G287" s="325"/>
      <c r="H287" s="235"/>
      <c r="I287" s="235"/>
      <c r="J287" s="235"/>
      <c r="K287" s="235"/>
      <c r="L287" s="235"/>
      <c r="M287" s="235"/>
      <c r="N287" s="235"/>
      <c r="O287" s="235"/>
      <c r="P287" s="235"/>
      <c r="Q287" s="235"/>
      <c r="R287" s="235"/>
      <c r="S287" s="235"/>
      <c r="T287" s="235"/>
      <c r="U287" s="235"/>
      <c r="V287" s="235"/>
      <c r="W287" s="235"/>
      <c r="X287" s="235"/>
      <c r="Y287" s="235"/>
      <c r="Z287" s="235"/>
      <c r="AA287" s="235"/>
      <c r="AB287" s="235"/>
      <c r="AC287" s="235"/>
    </row>
    <row r="288">
      <c r="A288" s="194" t="s">
        <v>280</v>
      </c>
      <c r="B288" s="193">
        <v>101737.0</v>
      </c>
      <c r="C288" s="192" t="s">
        <v>278</v>
      </c>
      <c r="D288" s="192" t="s">
        <v>125</v>
      </c>
      <c r="E288" s="235"/>
      <c r="F288" s="235"/>
      <c r="G288" s="325"/>
      <c r="H288" s="235"/>
      <c r="I288" s="235"/>
      <c r="J288" s="235"/>
      <c r="K288" s="235"/>
      <c r="L288" s="235"/>
      <c r="M288" s="235"/>
      <c r="N288" s="235"/>
      <c r="O288" s="235"/>
      <c r="P288" s="235"/>
      <c r="Q288" s="235"/>
      <c r="R288" s="235"/>
      <c r="S288" s="235"/>
      <c r="T288" s="235"/>
      <c r="U288" s="235"/>
      <c r="V288" s="235"/>
      <c r="W288" s="235"/>
      <c r="X288" s="235"/>
      <c r="Y288" s="235"/>
      <c r="Z288" s="235"/>
      <c r="AA288" s="235"/>
      <c r="AB288" s="235"/>
      <c r="AC288" s="235"/>
    </row>
    <row r="289">
      <c r="A289" s="194" t="s">
        <v>277</v>
      </c>
      <c r="B289" s="193">
        <v>101736.0</v>
      </c>
      <c r="C289" s="192" t="s">
        <v>278</v>
      </c>
      <c r="D289" s="192" t="s">
        <v>125</v>
      </c>
      <c r="E289" s="235"/>
      <c r="F289" s="235"/>
      <c r="G289" s="325"/>
      <c r="H289" s="235"/>
      <c r="I289" s="235"/>
      <c r="J289" s="235"/>
      <c r="K289" s="235"/>
      <c r="L289" s="235"/>
      <c r="M289" s="235"/>
      <c r="N289" s="235"/>
      <c r="O289" s="235"/>
      <c r="P289" s="235"/>
      <c r="Q289" s="235"/>
      <c r="R289" s="235"/>
      <c r="S289" s="235"/>
      <c r="T289" s="235"/>
      <c r="U289" s="235"/>
      <c r="V289" s="235"/>
      <c r="W289" s="235"/>
      <c r="X289" s="235"/>
      <c r="Y289" s="235"/>
      <c r="Z289" s="235"/>
      <c r="AA289" s="235"/>
      <c r="AB289" s="235"/>
      <c r="AC289" s="235"/>
    </row>
    <row r="290">
      <c r="A290" s="194" t="s">
        <v>249</v>
      </c>
      <c r="B290" s="193">
        <v>101731.0</v>
      </c>
      <c r="C290" s="192" t="s">
        <v>251</v>
      </c>
      <c r="D290" s="192" t="s">
        <v>125</v>
      </c>
      <c r="E290" s="235"/>
      <c r="F290" s="235"/>
      <c r="G290" s="325"/>
      <c r="H290" s="235"/>
      <c r="I290" s="235"/>
      <c r="J290" s="235"/>
      <c r="K290" s="235"/>
      <c r="L290" s="235"/>
      <c r="M290" s="235"/>
      <c r="N290" s="235"/>
      <c r="O290" s="235"/>
      <c r="P290" s="235"/>
      <c r="Q290" s="235"/>
      <c r="R290" s="235"/>
      <c r="S290" s="235"/>
      <c r="T290" s="235"/>
      <c r="U290" s="235"/>
      <c r="V290" s="235"/>
      <c r="W290" s="235"/>
      <c r="X290" s="235"/>
      <c r="Y290" s="235"/>
      <c r="Z290" s="235"/>
      <c r="AA290" s="235"/>
      <c r="AB290" s="235"/>
      <c r="AC290" s="235"/>
    </row>
    <row r="291">
      <c r="A291" s="194" t="s">
        <v>245</v>
      </c>
      <c r="B291" s="193">
        <v>101726.0</v>
      </c>
      <c r="C291" s="192" t="s">
        <v>246</v>
      </c>
      <c r="D291" s="192" t="s">
        <v>247</v>
      </c>
      <c r="E291" s="235"/>
      <c r="F291" s="235"/>
      <c r="G291" s="325"/>
      <c r="H291" s="235"/>
      <c r="I291" s="235"/>
      <c r="J291" s="235"/>
      <c r="K291" s="235"/>
      <c r="L291" s="235"/>
      <c r="M291" s="235"/>
      <c r="N291" s="235"/>
      <c r="O291" s="235"/>
      <c r="P291" s="235"/>
      <c r="Q291" s="235"/>
      <c r="R291" s="235"/>
      <c r="S291" s="235"/>
      <c r="T291" s="235"/>
      <c r="U291" s="235"/>
      <c r="V291" s="235"/>
      <c r="W291" s="235"/>
      <c r="X291" s="235"/>
      <c r="Y291" s="235"/>
      <c r="Z291" s="235"/>
      <c r="AA291" s="235"/>
      <c r="AB291" s="235"/>
      <c r="AC291" s="235"/>
    </row>
    <row r="292">
      <c r="A292" s="194" t="s">
        <v>702</v>
      </c>
      <c r="B292" s="193">
        <v>102436.0</v>
      </c>
      <c r="C292" s="192" t="s">
        <v>703</v>
      </c>
      <c r="D292" s="192" t="s">
        <v>704</v>
      </c>
      <c r="E292" s="235"/>
      <c r="F292" s="235"/>
      <c r="G292" s="325"/>
      <c r="H292" s="235"/>
      <c r="I292" s="235"/>
      <c r="J292" s="235"/>
      <c r="K292" s="235"/>
      <c r="L292" s="235"/>
      <c r="M292" s="235"/>
      <c r="N292" s="235"/>
      <c r="O292" s="235"/>
      <c r="P292" s="235"/>
      <c r="Q292" s="235"/>
      <c r="R292" s="235"/>
      <c r="S292" s="235"/>
      <c r="T292" s="235"/>
      <c r="U292" s="235"/>
      <c r="V292" s="235"/>
      <c r="W292" s="235"/>
      <c r="X292" s="235"/>
      <c r="Y292" s="235"/>
      <c r="Z292" s="235"/>
      <c r="AA292" s="235"/>
      <c r="AB292" s="235"/>
      <c r="AC292" s="235"/>
    </row>
    <row r="293">
      <c r="A293" s="194" t="s">
        <v>700</v>
      </c>
      <c r="B293" s="193">
        <v>102460.0</v>
      </c>
      <c r="C293" s="192" t="s">
        <v>701</v>
      </c>
      <c r="D293" s="192" t="s">
        <v>522</v>
      </c>
      <c r="E293" s="235"/>
      <c r="F293" s="235"/>
      <c r="G293" s="325"/>
      <c r="H293" s="235"/>
      <c r="I293" s="235"/>
      <c r="J293" s="235"/>
      <c r="K293" s="235"/>
      <c r="L293" s="235"/>
      <c r="M293" s="235"/>
      <c r="N293" s="235"/>
      <c r="O293" s="235"/>
      <c r="P293" s="235"/>
      <c r="Q293" s="235"/>
      <c r="R293" s="235"/>
      <c r="S293" s="235"/>
      <c r="T293" s="235"/>
      <c r="U293" s="235"/>
      <c r="V293" s="235"/>
      <c r="W293" s="235"/>
      <c r="X293" s="235"/>
      <c r="Y293" s="235"/>
      <c r="Z293" s="235"/>
      <c r="AA293" s="235"/>
      <c r="AB293" s="235"/>
      <c r="AC293" s="235"/>
    </row>
    <row r="294">
      <c r="A294" s="194" t="s">
        <v>681</v>
      </c>
      <c r="B294" s="193">
        <v>102396.0</v>
      </c>
      <c r="C294" s="192" t="s">
        <v>682</v>
      </c>
      <c r="D294" s="192" t="s">
        <v>247</v>
      </c>
      <c r="E294" s="235"/>
      <c r="F294" s="235"/>
      <c r="G294" s="325"/>
      <c r="H294" s="235"/>
      <c r="I294" s="235"/>
      <c r="J294" s="235"/>
      <c r="K294" s="235"/>
      <c r="L294" s="235"/>
      <c r="M294" s="235"/>
      <c r="N294" s="235"/>
      <c r="O294" s="235"/>
      <c r="P294" s="235"/>
      <c r="Q294" s="235"/>
      <c r="R294" s="235"/>
      <c r="S294" s="235"/>
      <c r="T294" s="235"/>
      <c r="U294" s="235"/>
      <c r="V294" s="235"/>
      <c r="W294" s="235"/>
      <c r="X294" s="235"/>
      <c r="Y294" s="235"/>
      <c r="Z294" s="235"/>
      <c r="AA294" s="235"/>
      <c r="AB294" s="235"/>
      <c r="AC294" s="235"/>
    </row>
    <row r="295">
      <c r="A295" s="194" t="s">
        <v>677</v>
      </c>
      <c r="B295" s="193">
        <v>102395.0</v>
      </c>
      <c r="C295" s="192" t="s">
        <v>678</v>
      </c>
      <c r="D295" s="192" t="s">
        <v>247</v>
      </c>
      <c r="E295" s="235"/>
      <c r="F295" s="235"/>
      <c r="G295" s="325"/>
      <c r="H295" s="235"/>
      <c r="I295" s="235"/>
      <c r="J295" s="235"/>
      <c r="K295" s="235"/>
      <c r="L295" s="235"/>
      <c r="M295" s="235"/>
      <c r="N295" s="235"/>
      <c r="O295" s="235"/>
      <c r="P295" s="235"/>
      <c r="Q295" s="235"/>
      <c r="R295" s="235"/>
      <c r="S295" s="235"/>
      <c r="T295" s="235"/>
      <c r="U295" s="235"/>
      <c r="V295" s="235"/>
      <c r="W295" s="235"/>
      <c r="X295" s="235"/>
      <c r="Y295" s="235"/>
      <c r="Z295" s="235"/>
      <c r="AA295" s="235"/>
      <c r="AB295" s="235"/>
      <c r="AC295" s="235"/>
    </row>
    <row r="296">
      <c r="A296" s="194" t="s">
        <v>679</v>
      </c>
      <c r="B296" s="193">
        <v>102393.0</v>
      </c>
      <c r="C296" s="192" t="s">
        <v>680</v>
      </c>
      <c r="D296" s="192" t="s">
        <v>247</v>
      </c>
      <c r="E296" s="235"/>
      <c r="F296" s="235"/>
      <c r="G296" s="325"/>
      <c r="H296" s="235"/>
      <c r="I296" s="235"/>
      <c r="J296" s="235"/>
      <c r="K296" s="235"/>
      <c r="L296" s="235"/>
      <c r="M296" s="235"/>
      <c r="N296" s="235"/>
      <c r="O296" s="235"/>
      <c r="P296" s="235"/>
      <c r="Q296" s="235"/>
      <c r="R296" s="235"/>
      <c r="S296" s="235"/>
      <c r="T296" s="235"/>
      <c r="U296" s="235"/>
      <c r="V296" s="235"/>
      <c r="W296" s="235"/>
      <c r="X296" s="235"/>
      <c r="Y296" s="235"/>
      <c r="Z296" s="235"/>
      <c r="AA296" s="235"/>
      <c r="AB296" s="235"/>
      <c r="AC296" s="235"/>
    </row>
    <row r="297">
      <c r="A297" s="194" t="s">
        <v>1984</v>
      </c>
      <c r="B297" s="193">
        <v>104653.0</v>
      </c>
      <c r="C297" s="192"/>
      <c r="D297" s="192"/>
      <c r="E297" s="235"/>
      <c r="F297" s="235"/>
      <c r="G297" s="325"/>
      <c r="H297" s="235"/>
      <c r="I297" s="235"/>
      <c r="J297" s="235"/>
      <c r="K297" s="235"/>
      <c r="L297" s="235"/>
      <c r="M297" s="235"/>
      <c r="N297" s="235"/>
      <c r="O297" s="235"/>
      <c r="P297" s="235"/>
      <c r="Q297" s="235"/>
      <c r="R297" s="235"/>
      <c r="S297" s="235"/>
      <c r="T297" s="235"/>
      <c r="U297" s="235"/>
      <c r="V297" s="235"/>
      <c r="W297" s="235"/>
      <c r="X297" s="235"/>
      <c r="Y297" s="235"/>
      <c r="Z297" s="235"/>
      <c r="AA297" s="235"/>
      <c r="AB297" s="235"/>
      <c r="AC297" s="235"/>
    </row>
    <row r="298">
      <c r="A298" s="194" t="s">
        <v>673</v>
      </c>
      <c r="B298" s="193">
        <v>102373.0</v>
      </c>
      <c r="C298" s="192" t="s">
        <v>674</v>
      </c>
      <c r="D298" s="192" t="s">
        <v>154</v>
      </c>
      <c r="E298" s="235"/>
      <c r="F298" s="235"/>
      <c r="G298" s="325"/>
      <c r="H298" s="235"/>
      <c r="I298" s="235"/>
      <c r="J298" s="235"/>
      <c r="K298" s="235"/>
      <c r="L298" s="235"/>
      <c r="M298" s="235"/>
      <c r="N298" s="235"/>
      <c r="O298" s="235"/>
      <c r="P298" s="235"/>
      <c r="Q298" s="235"/>
      <c r="R298" s="235"/>
      <c r="S298" s="235"/>
      <c r="T298" s="235"/>
      <c r="U298" s="235"/>
      <c r="V298" s="235"/>
      <c r="W298" s="235"/>
      <c r="X298" s="235"/>
      <c r="Y298" s="235"/>
      <c r="Z298" s="235"/>
      <c r="AA298" s="235"/>
      <c r="AB298" s="235"/>
      <c r="AC298" s="235"/>
    </row>
    <row r="299">
      <c r="A299" s="194" t="s">
        <v>725</v>
      </c>
      <c r="B299" s="193">
        <v>102378.0</v>
      </c>
      <c r="C299" s="192" t="s">
        <v>726</v>
      </c>
      <c r="D299" s="192" t="s">
        <v>193</v>
      </c>
      <c r="E299" s="235"/>
      <c r="F299" s="235"/>
      <c r="G299" s="325"/>
      <c r="H299" s="235"/>
      <c r="I299" s="235"/>
      <c r="J299" s="235"/>
      <c r="K299" s="235"/>
      <c r="L299" s="235"/>
      <c r="M299" s="235"/>
      <c r="N299" s="235"/>
      <c r="O299" s="235"/>
      <c r="P299" s="235"/>
      <c r="Q299" s="235"/>
      <c r="R299" s="235"/>
      <c r="S299" s="235"/>
      <c r="T299" s="235"/>
      <c r="U299" s="235"/>
      <c r="V299" s="235"/>
      <c r="W299" s="235"/>
      <c r="X299" s="235"/>
      <c r="Y299" s="235"/>
      <c r="Z299" s="235"/>
      <c r="AA299" s="235"/>
      <c r="AB299" s="235"/>
      <c r="AC299" s="235"/>
    </row>
    <row r="300">
      <c r="A300" s="194" t="s">
        <v>669</v>
      </c>
      <c r="B300" s="193">
        <v>102330.0</v>
      </c>
      <c r="C300" s="192" t="s">
        <v>670</v>
      </c>
      <c r="D300" s="192" t="s">
        <v>360</v>
      </c>
      <c r="E300" s="235"/>
      <c r="F300" s="235"/>
      <c r="G300" s="325"/>
      <c r="H300" s="235"/>
      <c r="I300" s="235"/>
      <c r="J300" s="235"/>
      <c r="K300" s="235"/>
      <c r="L300" s="235"/>
      <c r="M300" s="235"/>
      <c r="N300" s="235"/>
      <c r="O300" s="235"/>
      <c r="P300" s="235"/>
      <c r="Q300" s="235"/>
      <c r="R300" s="235"/>
      <c r="S300" s="235"/>
      <c r="T300" s="235"/>
      <c r="U300" s="235"/>
      <c r="V300" s="235"/>
      <c r="W300" s="235"/>
      <c r="X300" s="235"/>
      <c r="Y300" s="235"/>
      <c r="Z300" s="235"/>
      <c r="AA300" s="235"/>
      <c r="AB300" s="235"/>
      <c r="AC300" s="235"/>
    </row>
    <row r="301">
      <c r="A301" s="194" t="s">
        <v>694</v>
      </c>
      <c r="B301" s="193">
        <v>102375.0</v>
      </c>
      <c r="C301" s="192" t="s">
        <v>695</v>
      </c>
      <c r="D301" s="192" t="s">
        <v>141</v>
      </c>
      <c r="E301" s="235"/>
      <c r="F301" s="235"/>
      <c r="G301" s="325"/>
      <c r="H301" s="235"/>
      <c r="I301" s="235"/>
      <c r="J301" s="235"/>
      <c r="K301" s="235"/>
      <c r="L301" s="235"/>
      <c r="M301" s="235"/>
      <c r="N301" s="235"/>
      <c r="O301" s="235"/>
      <c r="P301" s="235"/>
      <c r="Q301" s="235"/>
      <c r="R301" s="235"/>
      <c r="S301" s="235"/>
      <c r="T301" s="235"/>
      <c r="U301" s="235"/>
      <c r="V301" s="235"/>
      <c r="W301" s="235"/>
      <c r="X301" s="235"/>
      <c r="Y301" s="235"/>
      <c r="Z301" s="235"/>
      <c r="AA301" s="235"/>
      <c r="AB301" s="235"/>
      <c r="AC301" s="235"/>
    </row>
    <row r="302">
      <c r="A302" s="194" t="s">
        <v>665</v>
      </c>
      <c r="B302" s="193">
        <v>102383.0</v>
      </c>
      <c r="C302" s="192" t="s">
        <v>666</v>
      </c>
      <c r="D302" s="192" t="s">
        <v>295</v>
      </c>
      <c r="E302" s="235"/>
      <c r="F302" s="235"/>
      <c r="G302" s="325"/>
      <c r="H302" s="235"/>
      <c r="I302" s="235"/>
      <c r="J302" s="235"/>
      <c r="K302" s="235"/>
      <c r="L302" s="235"/>
      <c r="M302" s="235"/>
      <c r="N302" s="235"/>
      <c r="O302" s="235"/>
      <c r="P302" s="235"/>
      <c r="Q302" s="235"/>
      <c r="R302" s="235"/>
      <c r="S302" s="235"/>
      <c r="T302" s="235"/>
      <c r="U302" s="235"/>
      <c r="V302" s="235"/>
      <c r="W302" s="235"/>
      <c r="X302" s="235"/>
      <c r="Y302" s="235"/>
      <c r="Z302" s="235"/>
      <c r="AA302" s="235"/>
      <c r="AB302" s="235"/>
      <c r="AC302" s="235"/>
    </row>
    <row r="303">
      <c r="A303" s="194" t="s">
        <v>667</v>
      </c>
      <c r="B303" s="193">
        <v>102342.0</v>
      </c>
      <c r="C303" s="192" t="s">
        <v>668</v>
      </c>
      <c r="D303" s="192" t="s">
        <v>295</v>
      </c>
      <c r="E303" s="235"/>
      <c r="F303" s="235"/>
      <c r="G303" s="325"/>
      <c r="H303" s="235"/>
      <c r="I303" s="235"/>
      <c r="J303" s="235"/>
      <c r="K303" s="235"/>
      <c r="L303" s="235"/>
      <c r="M303" s="235"/>
      <c r="N303" s="235"/>
      <c r="O303" s="235"/>
      <c r="P303" s="235"/>
      <c r="Q303" s="235"/>
      <c r="R303" s="235"/>
      <c r="S303" s="235"/>
      <c r="T303" s="235"/>
      <c r="U303" s="235"/>
      <c r="V303" s="235"/>
      <c r="W303" s="235"/>
      <c r="X303" s="235"/>
      <c r="Y303" s="235"/>
      <c r="Z303" s="235"/>
      <c r="AA303" s="235"/>
      <c r="AB303" s="235"/>
      <c r="AC303" s="235"/>
    </row>
    <row r="304">
      <c r="A304" s="194" t="s">
        <v>737</v>
      </c>
      <c r="B304" s="193">
        <v>102345.0</v>
      </c>
      <c r="C304" s="192" t="s">
        <v>738</v>
      </c>
      <c r="D304" s="192" t="s">
        <v>495</v>
      </c>
      <c r="E304" s="235"/>
      <c r="F304" s="235"/>
      <c r="G304" s="325"/>
      <c r="H304" s="235"/>
      <c r="I304" s="235"/>
      <c r="J304" s="235"/>
      <c r="K304" s="235"/>
      <c r="L304" s="235"/>
      <c r="M304" s="235"/>
      <c r="N304" s="235"/>
      <c r="O304" s="235"/>
      <c r="P304" s="235"/>
      <c r="Q304" s="235"/>
      <c r="R304" s="235"/>
      <c r="S304" s="235"/>
      <c r="T304" s="235"/>
      <c r="U304" s="235"/>
      <c r="V304" s="235"/>
      <c r="W304" s="235"/>
      <c r="X304" s="235"/>
      <c r="Y304" s="235"/>
      <c r="Z304" s="235"/>
      <c r="AA304" s="235"/>
      <c r="AB304" s="235"/>
      <c r="AC304" s="235"/>
    </row>
    <row r="305">
      <c r="A305" s="194" t="s">
        <v>732</v>
      </c>
      <c r="B305" s="193">
        <v>102432.0</v>
      </c>
      <c r="C305" s="192" t="s">
        <v>730</v>
      </c>
      <c r="D305" s="192" t="s">
        <v>295</v>
      </c>
      <c r="E305" s="235"/>
      <c r="F305" s="235"/>
      <c r="G305" s="325"/>
      <c r="H305" s="235"/>
      <c r="I305" s="235"/>
      <c r="J305" s="235"/>
      <c r="K305" s="235"/>
      <c r="L305" s="235"/>
      <c r="M305" s="235"/>
      <c r="N305" s="235"/>
      <c r="O305" s="235"/>
      <c r="P305" s="235"/>
      <c r="Q305" s="235"/>
      <c r="R305" s="235"/>
      <c r="S305" s="235"/>
      <c r="T305" s="235"/>
      <c r="U305" s="235"/>
      <c r="V305" s="235"/>
      <c r="W305" s="235"/>
      <c r="X305" s="235"/>
      <c r="Y305" s="235"/>
      <c r="Z305" s="235"/>
      <c r="AA305" s="235"/>
      <c r="AB305" s="235"/>
      <c r="AC305" s="235"/>
    </row>
    <row r="306">
      <c r="A306" s="194" t="s">
        <v>692</v>
      </c>
      <c r="B306" s="193">
        <v>102329.0</v>
      </c>
      <c r="C306" s="192" t="s">
        <v>693</v>
      </c>
      <c r="D306" s="192" t="s">
        <v>141</v>
      </c>
      <c r="E306" s="235"/>
      <c r="F306" s="235"/>
      <c r="G306" s="325"/>
      <c r="H306" s="235"/>
      <c r="I306" s="235"/>
      <c r="J306" s="235"/>
      <c r="K306" s="235"/>
      <c r="L306" s="235"/>
      <c r="M306" s="235"/>
      <c r="N306" s="235"/>
      <c r="O306" s="235"/>
      <c r="P306" s="235"/>
      <c r="Q306" s="235"/>
      <c r="R306" s="235"/>
      <c r="S306" s="235"/>
      <c r="T306" s="235"/>
      <c r="U306" s="235"/>
      <c r="V306" s="235"/>
      <c r="W306" s="235"/>
      <c r="X306" s="235"/>
      <c r="Y306" s="235"/>
      <c r="Z306" s="235"/>
      <c r="AA306" s="235"/>
      <c r="AB306" s="235"/>
      <c r="AC306" s="235"/>
    </row>
    <row r="307">
      <c r="A307" s="194" t="s">
        <v>661</v>
      </c>
      <c r="B307" s="193">
        <v>102339.0</v>
      </c>
      <c r="C307" s="192" t="s">
        <v>662</v>
      </c>
      <c r="D307" s="192" t="s">
        <v>312</v>
      </c>
      <c r="E307" s="235"/>
      <c r="F307" s="235"/>
      <c r="G307" s="325"/>
      <c r="H307" s="235"/>
      <c r="I307" s="235"/>
      <c r="J307" s="235"/>
      <c r="K307" s="235"/>
      <c r="L307" s="235"/>
      <c r="M307" s="235"/>
      <c r="N307" s="235"/>
      <c r="O307" s="235"/>
      <c r="P307" s="235"/>
      <c r="Q307" s="235"/>
      <c r="R307" s="235"/>
      <c r="S307" s="235"/>
      <c r="T307" s="235"/>
      <c r="U307" s="235"/>
      <c r="V307" s="235"/>
      <c r="W307" s="235"/>
      <c r="X307" s="235"/>
      <c r="Y307" s="235"/>
      <c r="Z307" s="235"/>
      <c r="AA307" s="235"/>
      <c r="AB307" s="235"/>
      <c r="AC307" s="235"/>
    </row>
    <row r="308">
      <c r="A308" s="194" t="s">
        <v>727</v>
      </c>
      <c r="B308" s="193">
        <v>102328.0</v>
      </c>
      <c r="C308" s="192" t="s">
        <v>728</v>
      </c>
      <c r="D308" s="192" t="s">
        <v>360</v>
      </c>
      <c r="E308" s="235"/>
      <c r="F308" s="235"/>
      <c r="G308" s="325"/>
      <c r="H308" s="235"/>
      <c r="I308" s="235"/>
      <c r="J308" s="235"/>
      <c r="K308" s="235"/>
      <c r="L308" s="235"/>
      <c r="M308" s="235"/>
      <c r="N308" s="235"/>
      <c r="O308" s="235"/>
      <c r="P308" s="235"/>
      <c r="Q308" s="235"/>
      <c r="R308" s="235"/>
      <c r="S308" s="235"/>
      <c r="T308" s="235"/>
      <c r="U308" s="235"/>
      <c r="V308" s="235"/>
      <c r="W308" s="235"/>
      <c r="X308" s="235"/>
      <c r="Y308" s="235"/>
      <c r="Z308" s="235"/>
      <c r="AA308" s="235"/>
      <c r="AB308" s="235"/>
      <c r="AC308" s="235"/>
    </row>
    <row r="309">
      <c r="A309" s="194" t="s">
        <v>729</v>
      </c>
      <c r="B309" s="193">
        <v>102432.0</v>
      </c>
      <c r="C309" s="192" t="s">
        <v>730</v>
      </c>
      <c r="D309" s="192" t="s">
        <v>295</v>
      </c>
      <c r="E309" s="235"/>
      <c r="F309" s="235"/>
      <c r="G309" s="325"/>
      <c r="H309" s="235"/>
      <c r="I309" s="235"/>
      <c r="J309" s="235"/>
      <c r="K309" s="235"/>
      <c r="L309" s="235"/>
      <c r="M309" s="235"/>
      <c r="N309" s="235"/>
      <c r="O309" s="235"/>
      <c r="P309" s="235"/>
      <c r="Q309" s="235"/>
      <c r="R309" s="235"/>
      <c r="S309" s="235"/>
      <c r="T309" s="235"/>
      <c r="U309" s="235"/>
      <c r="V309" s="235"/>
      <c r="W309" s="235"/>
      <c r="X309" s="235"/>
      <c r="Y309" s="235"/>
      <c r="Z309" s="235"/>
      <c r="AA309" s="235"/>
      <c r="AB309" s="235"/>
      <c r="AC309" s="235"/>
    </row>
    <row r="310">
      <c r="A310" s="194" t="s">
        <v>731</v>
      </c>
      <c r="B310" s="193">
        <v>102328.0</v>
      </c>
      <c r="C310" s="192" t="s">
        <v>728</v>
      </c>
      <c r="D310" s="192" t="s">
        <v>295</v>
      </c>
      <c r="E310" s="235"/>
      <c r="F310" s="235"/>
      <c r="G310" s="325"/>
      <c r="H310" s="235"/>
      <c r="I310" s="235"/>
      <c r="J310" s="235"/>
      <c r="K310" s="235"/>
      <c r="L310" s="235"/>
      <c r="M310" s="235"/>
      <c r="N310" s="235"/>
      <c r="O310" s="235"/>
      <c r="P310" s="235"/>
      <c r="Q310" s="235"/>
      <c r="R310" s="235"/>
      <c r="S310" s="235"/>
      <c r="T310" s="235"/>
      <c r="U310" s="235"/>
      <c r="V310" s="235"/>
      <c r="W310" s="235"/>
      <c r="X310" s="235"/>
      <c r="Y310" s="235"/>
      <c r="Z310" s="235"/>
      <c r="AA310" s="235"/>
      <c r="AB310" s="235"/>
      <c r="AC310" s="235"/>
    </row>
    <row r="311">
      <c r="A311" s="194" t="s">
        <v>696</v>
      </c>
      <c r="B311" s="193">
        <v>102379.0</v>
      </c>
      <c r="C311" s="192" t="s">
        <v>697</v>
      </c>
      <c r="D311" s="192" t="s">
        <v>141</v>
      </c>
      <c r="E311" s="235"/>
      <c r="F311" s="235"/>
      <c r="G311" s="325"/>
      <c r="H311" s="235"/>
      <c r="I311" s="235"/>
      <c r="J311" s="235"/>
      <c r="K311" s="235"/>
      <c r="L311" s="235"/>
      <c r="M311" s="235"/>
      <c r="N311" s="235"/>
      <c r="O311" s="235"/>
      <c r="P311" s="235"/>
      <c r="Q311" s="235"/>
      <c r="R311" s="235"/>
      <c r="S311" s="235"/>
      <c r="T311" s="235"/>
      <c r="U311" s="235"/>
      <c r="V311" s="235"/>
      <c r="W311" s="235"/>
      <c r="X311" s="235"/>
      <c r="Y311" s="235"/>
      <c r="Z311" s="235"/>
      <c r="AA311" s="235"/>
      <c r="AB311" s="235"/>
      <c r="AC311" s="235"/>
    </row>
    <row r="312">
      <c r="A312" s="194" t="s">
        <v>671</v>
      </c>
      <c r="B312" s="193">
        <v>102411.0</v>
      </c>
      <c r="C312" s="192" t="s">
        <v>672</v>
      </c>
      <c r="D312" s="192" t="s">
        <v>443</v>
      </c>
      <c r="E312" s="235"/>
      <c r="F312" s="235"/>
      <c r="G312" s="325"/>
      <c r="H312" s="235"/>
      <c r="I312" s="235"/>
      <c r="J312" s="235"/>
      <c r="K312" s="235"/>
      <c r="L312" s="235"/>
      <c r="M312" s="235"/>
      <c r="N312" s="235"/>
      <c r="O312" s="235"/>
      <c r="P312" s="235"/>
      <c r="Q312" s="235"/>
      <c r="R312" s="235"/>
      <c r="S312" s="235"/>
      <c r="T312" s="235"/>
      <c r="U312" s="235"/>
      <c r="V312" s="235"/>
      <c r="W312" s="235"/>
      <c r="X312" s="235"/>
      <c r="Y312" s="235"/>
      <c r="Z312" s="235"/>
      <c r="AA312" s="235"/>
      <c r="AB312" s="235"/>
      <c r="AC312" s="235"/>
    </row>
    <row r="313">
      <c r="A313" s="194" t="s">
        <v>748</v>
      </c>
      <c r="B313" s="193">
        <v>102434.0</v>
      </c>
      <c r="C313" s="192" t="s">
        <v>749</v>
      </c>
      <c r="D313" s="192" t="s">
        <v>602</v>
      </c>
      <c r="E313" s="235"/>
      <c r="F313" s="235"/>
      <c r="G313" s="325"/>
      <c r="H313" s="235"/>
      <c r="I313" s="235"/>
      <c r="J313" s="235"/>
      <c r="K313" s="235"/>
      <c r="L313" s="235"/>
      <c r="M313" s="235"/>
      <c r="N313" s="235"/>
      <c r="O313" s="235"/>
      <c r="P313" s="235"/>
      <c r="Q313" s="235"/>
      <c r="R313" s="235"/>
      <c r="S313" s="235"/>
      <c r="T313" s="235"/>
      <c r="U313" s="235"/>
      <c r="V313" s="235"/>
      <c r="W313" s="235"/>
      <c r="X313" s="235"/>
      <c r="Y313" s="235"/>
      <c r="Z313" s="235"/>
      <c r="AA313" s="235"/>
      <c r="AB313" s="235"/>
      <c r="AC313" s="235"/>
    </row>
    <row r="314">
      <c r="A314" s="194" t="s">
        <v>742</v>
      </c>
      <c r="B314" s="193">
        <v>102427.0</v>
      </c>
      <c r="C314" s="192" t="s">
        <v>743</v>
      </c>
      <c r="D314" s="192" t="s">
        <v>233</v>
      </c>
      <c r="E314" s="235"/>
      <c r="F314" s="235"/>
      <c r="G314" s="325"/>
      <c r="H314" s="235"/>
      <c r="I314" s="235"/>
      <c r="J314" s="235"/>
      <c r="K314" s="235"/>
      <c r="L314" s="235"/>
      <c r="M314" s="235"/>
      <c r="N314" s="235"/>
      <c r="O314" s="235"/>
      <c r="P314" s="235"/>
      <c r="Q314" s="235"/>
      <c r="R314" s="235"/>
      <c r="S314" s="235"/>
      <c r="T314" s="235"/>
      <c r="U314" s="235"/>
      <c r="V314" s="235"/>
      <c r="W314" s="235"/>
      <c r="X314" s="235"/>
      <c r="Y314" s="235"/>
      <c r="Z314" s="235"/>
      <c r="AA314" s="235"/>
      <c r="AB314" s="235"/>
      <c r="AC314" s="235"/>
    </row>
    <row r="315">
      <c r="A315" s="194" t="s">
        <v>675</v>
      </c>
      <c r="B315" s="193">
        <v>102389.0</v>
      </c>
      <c r="C315" s="192" t="s">
        <v>676</v>
      </c>
      <c r="D315" s="192" t="s">
        <v>326</v>
      </c>
      <c r="E315" s="235"/>
      <c r="F315" s="235"/>
      <c r="G315" s="325"/>
      <c r="H315" s="235"/>
      <c r="I315" s="235"/>
      <c r="J315" s="235"/>
      <c r="K315" s="235"/>
      <c r="L315" s="235"/>
      <c r="M315" s="235"/>
      <c r="N315" s="235"/>
      <c r="O315" s="235"/>
      <c r="P315" s="235"/>
      <c r="Q315" s="235"/>
      <c r="R315" s="235"/>
      <c r="S315" s="235"/>
      <c r="T315" s="235"/>
      <c r="U315" s="235"/>
      <c r="V315" s="235"/>
      <c r="W315" s="235"/>
      <c r="X315" s="235"/>
      <c r="Y315" s="235"/>
      <c r="Z315" s="235"/>
      <c r="AA315" s="235"/>
      <c r="AB315" s="235"/>
      <c r="AC315" s="235"/>
    </row>
    <row r="316">
      <c r="A316" s="194" t="s">
        <v>717</v>
      </c>
      <c r="B316" s="193">
        <v>102426.0</v>
      </c>
      <c r="C316" s="192" t="s">
        <v>718</v>
      </c>
      <c r="D316" s="192" t="s">
        <v>360</v>
      </c>
      <c r="E316" s="235"/>
      <c r="F316" s="235"/>
      <c r="G316" s="325"/>
      <c r="H316" s="235"/>
      <c r="I316" s="235"/>
      <c r="J316" s="235"/>
      <c r="K316" s="235"/>
      <c r="L316" s="235"/>
      <c r="M316" s="235"/>
      <c r="N316" s="235"/>
      <c r="O316" s="235"/>
      <c r="P316" s="235"/>
      <c r="Q316" s="235"/>
      <c r="R316" s="235"/>
      <c r="S316" s="235"/>
      <c r="T316" s="235"/>
      <c r="U316" s="235"/>
      <c r="V316" s="235"/>
      <c r="W316" s="235"/>
      <c r="X316" s="235"/>
      <c r="Y316" s="235"/>
      <c r="Z316" s="235"/>
      <c r="AA316" s="235"/>
      <c r="AB316" s="235"/>
      <c r="AC316" s="235"/>
    </row>
    <row r="317">
      <c r="A317" s="194" t="s">
        <v>735</v>
      </c>
      <c r="B317" s="193">
        <v>102453.0</v>
      </c>
      <c r="C317" s="192" t="s">
        <v>736</v>
      </c>
      <c r="D317" s="192" t="s">
        <v>214</v>
      </c>
      <c r="E317" s="235"/>
      <c r="F317" s="235"/>
      <c r="G317" s="325"/>
      <c r="H317" s="235"/>
      <c r="I317" s="235"/>
      <c r="J317" s="235"/>
      <c r="K317" s="235"/>
      <c r="L317" s="235"/>
      <c r="M317" s="235"/>
      <c r="N317" s="235"/>
      <c r="O317" s="235"/>
      <c r="P317" s="235"/>
      <c r="Q317" s="235"/>
      <c r="R317" s="235"/>
      <c r="S317" s="235"/>
      <c r="T317" s="235"/>
      <c r="U317" s="235"/>
      <c r="V317" s="235"/>
      <c r="W317" s="235"/>
      <c r="X317" s="235"/>
      <c r="Y317" s="235"/>
      <c r="Z317" s="235"/>
      <c r="AA317" s="235"/>
      <c r="AB317" s="235"/>
      <c r="AC317" s="235"/>
    </row>
    <row r="318">
      <c r="A318" s="194" t="s">
        <v>715</v>
      </c>
      <c r="B318" s="193">
        <v>102404.0</v>
      </c>
      <c r="C318" s="192" t="s">
        <v>716</v>
      </c>
      <c r="D318" s="192" t="s">
        <v>360</v>
      </c>
      <c r="E318" s="235"/>
      <c r="F318" s="235"/>
      <c r="G318" s="325"/>
      <c r="H318" s="235"/>
      <c r="I318" s="235"/>
      <c r="J318" s="235"/>
      <c r="K318" s="235"/>
      <c r="L318" s="235"/>
      <c r="M318" s="235"/>
      <c r="N318" s="235"/>
      <c r="O318" s="235"/>
      <c r="P318" s="235"/>
      <c r="Q318" s="235"/>
      <c r="R318" s="235"/>
      <c r="S318" s="235"/>
      <c r="T318" s="235"/>
      <c r="U318" s="235"/>
      <c r="V318" s="235"/>
      <c r="W318" s="235"/>
      <c r="X318" s="235"/>
      <c r="Y318" s="235"/>
      <c r="Z318" s="235"/>
      <c r="AA318" s="235"/>
      <c r="AB318" s="235"/>
      <c r="AC318" s="235"/>
    </row>
    <row r="319">
      <c r="A319" s="194" t="s">
        <v>723</v>
      </c>
      <c r="B319" s="193">
        <v>102448.0</v>
      </c>
      <c r="C319" s="192" t="s">
        <v>724</v>
      </c>
      <c r="D319" s="192" t="s">
        <v>87</v>
      </c>
      <c r="E319" s="235"/>
      <c r="F319" s="235"/>
      <c r="G319" s="325"/>
      <c r="H319" s="235"/>
      <c r="I319" s="235"/>
      <c r="J319" s="235"/>
      <c r="K319" s="235"/>
      <c r="L319" s="235"/>
      <c r="M319" s="235"/>
      <c r="N319" s="235"/>
      <c r="O319" s="235"/>
      <c r="P319" s="235"/>
      <c r="Q319" s="235"/>
      <c r="R319" s="235"/>
      <c r="S319" s="235"/>
      <c r="T319" s="235"/>
      <c r="U319" s="235"/>
      <c r="V319" s="235"/>
      <c r="W319" s="235"/>
      <c r="X319" s="235"/>
      <c r="Y319" s="235"/>
      <c r="Z319" s="235"/>
      <c r="AA319" s="235"/>
      <c r="AB319" s="235"/>
      <c r="AC319" s="235"/>
    </row>
    <row r="320">
      <c r="A320" s="194" t="s">
        <v>707</v>
      </c>
      <c r="B320" s="193">
        <v>102459.0</v>
      </c>
      <c r="C320" s="192" t="s">
        <v>708</v>
      </c>
      <c r="D320" s="192" t="s">
        <v>51</v>
      </c>
      <c r="E320" s="235"/>
      <c r="F320" s="235"/>
      <c r="G320" s="325"/>
      <c r="H320" s="235"/>
      <c r="I320" s="235"/>
      <c r="J320" s="235"/>
      <c r="K320" s="235"/>
      <c r="L320" s="235"/>
      <c r="M320" s="235"/>
      <c r="N320" s="235"/>
      <c r="O320" s="235"/>
      <c r="P320" s="235"/>
      <c r="Q320" s="235"/>
      <c r="R320" s="235"/>
      <c r="S320" s="235"/>
      <c r="T320" s="235"/>
      <c r="U320" s="235"/>
      <c r="V320" s="235"/>
      <c r="W320" s="235"/>
      <c r="X320" s="235"/>
      <c r="Y320" s="235"/>
      <c r="Z320" s="235"/>
      <c r="AA320" s="235"/>
      <c r="AB320" s="235"/>
      <c r="AC320" s="235"/>
    </row>
    <row r="321">
      <c r="A321" s="194" t="s">
        <v>733</v>
      </c>
      <c r="B321" s="193">
        <v>102465.0</v>
      </c>
      <c r="C321" s="192" t="s">
        <v>734</v>
      </c>
      <c r="D321" s="192" t="s">
        <v>209</v>
      </c>
      <c r="E321" s="235"/>
      <c r="F321" s="235"/>
      <c r="G321" s="325"/>
      <c r="H321" s="235"/>
      <c r="I321" s="235"/>
      <c r="J321" s="235"/>
      <c r="K321" s="235"/>
      <c r="L321" s="235"/>
      <c r="M321" s="235"/>
      <c r="N321" s="235"/>
      <c r="O321" s="235"/>
      <c r="P321" s="235"/>
      <c r="Q321" s="235"/>
      <c r="R321" s="235"/>
      <c r="S321" s="235"/>
      <c r="T321" s="235"/>
      <c r="U321" s="235"/>
      <c r="V321" s="235"/>
      <c r="W321" s="235"/>
      <c r="X321" s="235"/>
      <c r="Y321" s="235"/>
      <c r="Z321" s="235"/>
      <c r="AA321" s="235"/>
      <c r="AB321" s="235"/>
      <c r="AC321" s="235"/>
    </row>
    <row r="322">
      <c r="A322" s="194" t="s">
        <v>713</v>
      </c>
      <c r="B322" s="193">
        <v>102452.0</v>
      </c>
      <c r="C322" s="192" t="s">
        <v>714</v>
      </c>
      <c r="D322" s="192" t="s">
        <v>51</v>
      </c>
      <c r="E322" s="235"/>
      <c r="F322" s="235"/>
      <c r="G322" s="325"/>
      <c r="H322" s="235"/>
      <c r="I322" s="235"/>
      <c r="J322" s="235"/>
      <c r="K322" s="235"/>
      <c r="L322" s="235"/>
      <c r="M322" s="235"/>
      <c r="N322" s="235"/>
      <c r="O322" s="235"/>
      <c r="P322" s="235"/>
      <c r="Q322" s="235"/>
      <c r="R322" s="235"/>
      <c r="S322" s="235"/>
      <c r="T322" s="235"/>
      <c r="U322" s="235"/>
      <c r="V322" s="235"/>
      <c r="W322" s="235"/>
      <c r="X322" s="235"/>
      <c r="Y322" s="235"/>
      <c r="Z322" s="235"/>
      <c r="AA322" s="235"/>
      <c r="AB322" s="235"/>
      <c r="AC322" s="235"/>
    </row>
    <row r="323">
      <c r="A323" s="194" t="s">
        <v>649</v>
      </c>
      <c r="B323" s="193">
        <v>102277.0</v>
      </c>
      <c r="C323" s="192" t="s">
        <v>650</v>
      </c>
      <c r="D323" s="192" t="s">
        <v>295</v>
      </c>
      <c r="E323" s="235"/>
      <c r="F323" s="235"/>
      <c r="G323" s="325"/>
      <c r="H323" s="235"/>
      <c r="I323" s="235"/>
      <c r="J323" s="235"/>
      <c r="K323" s="235"/>
      <c r="L323" s="235"/>
      <c r="M323" s="235"/>
      <c r="N323" s="235"/>
      <c r="O323" s="235"/>
      <c r="P323" s="235"/>
      <c r="Q323" s="235"/>
      <c r="R323" s="235"/>
      <c r="S323" s="235"/>
      <c r="T323" s="235"/>
      <c r="U323" s="235"/>
      <c r="V323" s="235"/>
      <c r="W323" s="235"/>
      <c r="X323" s="235"/>
      <c r="Y323" s="235"/>
      <c r="Z323" s="235"/>
      <c r="AA323" s="235"/>
      <c r="AB323" s="235"/>
      <c r="AC323" s="235"/>
    </row>
    <row r="324">
      <c r="A324" s="194" t="s">
        <v>655</v>
      </c>
      <c r="B324" s="193">
        <v>102250.0</v>
      </c>
      <c r="C324" s="192" t="s">
        <v>656</v>
      </c>
      <c r="D324" s="192" t="s">
        <v>87</v>
      </c>
      <c r="E324" s="235"/>
      <c r="F324" s="235"/>
      <c r="G324" s="325"/>
      <c r="H324" s="235"/>
      <c r="I324" s="235"/>
      <c r="J324" s="235"/>
      <c r="K324" s="235"/>
      <c r="L324" s="235"/>
      <c r="M324" s="235"/>
      <c r="N324" s="235"/>
      <c r="O324" s="235"/>
      <c r="P324" s="235"/>
      <c r="Q324" s="235"/>
      <c r="R324" s="235"/>
      <c r="S324" s="235"/>
      <c r="T324" s="235"/>
      <c r="U324" s="235"/>
      <c r="V324" s="235"/>
      <c r="W324" s="235"/>
      <c r="X324" s="235"/>
      <c r="Y324" s="235"/>
      <c r="Z324" s="235"/>
      <c r="AA324" s="235"/>
      <c r="AB324" s="235"/>
      <c r="AC324" s="235"/>
    </row>
    <row r="325">
      <c r="A325" s="194" t="s">
        <v>651</v>
      </c>
      <c r="B325" s="193">
        <v>102291.0</v>
      </c>
      <c r="C325" s="192" t="s">
        <v>652</v>
      </c>
      <c r="D325" s="192" t="s">
        <v>295</v>
      </c>
      <c r="E325" s="235"/>
      <c r="F325" s="235"/>
      <c r="G325" s="325"/>
      <c r="H325" s="235"/>
      <c r="I325" s="235"/>
      <c r="J325" s="235"/>
      <c r="K325" s="235"/>
      <c r="L325" s="235"/>
      <c r="M325" s="235"/>
      <c r="N325" s="235"/>
      <c r="O325" s="235"/>
      <c r="P325" s="235"/>
      <c r="Q325" s="235"/>
      <c r="R325" s="235"/>
      <c r="S325" s="235"/>
      <c r="T325" s="235"/>
      <c r="U325" s="235"/>
      <c r="V325" s="235"/>
      <c r="W325" s="235"/>
      <c r="X325" s="235"/>
      <c r="Y325" s="235"/>
      <c r="Z325" s="235"/>
      <c r="AA325" s="235"/>
      <c r="AB325" s="235"/>
      <c r="AC325" s="235"/>
    </row>
    <row r="326">
      <c r="A326" s="194" t="s">
        <v>647</v>
      </c>
      <c r="B326" s="193">
        <v>102248.0</v>
      </c>
      <c r="C326" s="192" t="s">
        <v>648</v>
      </c>
      <c r="D326" s="192" t="s">
        <v>432</v>
      </c>
      <c r="E326" s="235"/>
      <c r="F326" s="235"/>
      <c r="G326" s="325"/>
      <c r="H326" s="235"/>
      <c r="I326" s="235"/>
      <c r="J326" s="235"/>
      <c r="K326" s="235"/>
      <c r="L326" s="235"/>
      <c r="M326" s="235"/>
      <c r="N326" s="235"/>
      <c r="O326" s="235"/>
      <c r="P326" s="235"/>
      <c r="Q326" s="235"/>
      <c r="R326" s="235"/>
      <c r="S326" s="235"/>
      <c r="T326" s="235"/>
      <c r="U326" s="235"/>
      <c r="V326" s="235"/>
      <c r="W326" s="235"/>
      <c r="X326" s="235"/>
      <c r="Y326" s="235"/>
      <c r="Z326" s="235"/>
      <c r="AA326" s="235"/>
      <c r="AB326" s="235"/>
      <c r="AC326" s="235"/>
    </row>
    <row r="327">
      <c r="A327" s="194" t="s">
        <v>653</v>
      </c>
      <c r="B327" s="193">
        <v>102283.0</v>
      </c>
      <c r="C327" s="192" t="s">
        <v>654</v>
      </c>
      <c r="D327" s="192" t="s">
        <v>51</v>
      </c>
      <c r="E327" s="235"/>
      <c r="F327" s="235"/>
      <c r="G327" s="325"/>
      <c r="H327" s="235"/>
      <c r="I327" s="235"/>
      <c r="J327" s="235"/>
      <c r="K327" s="235"/>
      <c r="L327" s="235"/>
      <c r="M327" s="235"/>
      <c r="N327" s="235"/>
      <c r="O327" s="235"/>
      <c r="P327" s="235"/>
      <c r="Q327" s="235"/>
      <c r="R327" s="235"/>
      <c r="S327" s="235"/>
      <c r="T327" s="235"/>
      <c r="U327" s="235"/>
      <c r="V327" s="235"/>
      <c r="W327" s="235"/>
      <c r="X327" s="235"/>
      <c r="Y327" s="235"/>
      <c r="Z327" s="235"/>
      <c r="AA327" s="235"/>
      <c r="AB327" s="235"/>
      <c r="AC327" s="235"/>
    </row>
    <row r="328">
      <c r="A328" s="194" t="s">
        <v>663</v>
      </c>
      <c r="B328" s="193">
        <v>102320.0</v>
      </c>
      <c r="C328" s="192" t="s">
        <v>664</v>
      </c>
      <c r="D328" s="192" t="s">
        <v>312</v>
      </c>
      <c r="E328" s="235"/>
      <c r="F328" s="235"/>
      <c r="G328" s="325"/>
      <c r="H328" s="235"/>
      <c r="I328" s="235"/>
      <c r="J328" s="235"/>
      <c r="K328" s="235"/>
      <c r="L328" s="235"/>
      <c r="M328" s="235"/>
      <c r="N328" s="235"/>
      <c r="O328" s="235"/>
      <c r="P328" s="235"/>
      <c r="Q328" s="235"/>
      <c r="R328" s="235"/>
      <c r="S328" s="235"/>
      <c r="T328" s="235"/>
      <c r="U328" s="235"/>
      <c r="V328" s="235"/>
      <c r="W328" s="235"/>
      <c r="X328" s="235"/>
      <c r="Y328" s="235"/>
      <c r="Z328" s="235"/>
      <c r="AA328" s="235"/>
      <c r="AB328" s="235"/>
      <c r="AC328" s="235"/>
    </row>
    <row r="329">
      <c r="A329" s="194" t="s">
        <v>659</v>
      </c>
      <c r="B329" s="193">
        <v>102360.0</v>
      </c>
      <c r="C329" s="192" t="s">
        <v>660</v>
      </c>
      <c r="D329" s="192" t="s">
        <v>312</v>
      </c>
      <c r="E329" s="235"/>
      <c r="F329" s="235"/>
      <c r="G329" s="325"/>
      <c r="H329" s="235"/>
      <c r="I329" s="235"/>
      <c r="J329" s="235"/>
      <c r="K329" s="235"/>
      <c r="L329" s="235"/>
      <c r="M329" s="235"/>
      <c r="N329" s="235"/>
      <c r="O329" s="235"/>
      <c r="P329" s="235"/>
      <c r="Q329" s="235"/>
      <c r="R329" s="235"/>
      <c r="S329" s="235"/>
      <c r="T329" s="235"/>
      <c r="U329" s="235"/>
      <c r="V329" s="235"/>
      <c r="W329" s="235"/>
      <c r="X329" s="235"/>
      <c r="Y329" s="235"/>
      <c r="Z329" s="235"/>
      <c r="AA329" s="235"/>
      <c r="AB329" s="235"/>
      <c r="AC329" s="235"/>
    </row>
    <row r="330">
      <c r="A330" s="194" t="s">
        <v>657</v>
      </c>
      <c r="B330" s="193">
        <v>102365.0</v>
      </c>
      <c r="C330" s="192" t="s">
        <v>658</v>
      </c>
      <c r="D330" s="192" t="s">
        <v>51</v>
      </c>
      <c r="E330" s="235"/>
      <c r="F330" s="235"/>
      <c r="G330" s="325"/>
      <c r="H330" s="235"/>
      <c r="I330" s="235"/>
      <c r="J330" s="235"/>
      <c r="K330" s="235"/>
      <c r="L330" s="235"/>
      <c r="M330" s="235"/>
      <c r="N330" s="235"/>
      <c r="O330" s="235"/>
      <c r="P330" s="235"/>
      <c r="Q330" s="235"/>
      <c r="R330" s="235"/>
      <c r="S330" s="235"/>
      <c r="T330" s="235"/>
      <c r="U330" s="235"/>
      <c r="V330" s="235"/>
      <c r="W330" s="235"/>
      <c r="X330" s="235"/>
      <c r="Y330" s="235"/>
      <c r="Z330" s="235"/>
      <c r="AA330" s="235"/>
      <c r="AB330" s="235"/>
      <c r="AC330" s="235"/>
    </row>
    <row r="331">
      <c r="A331" s="194" t="s">
        <v>686</v>
      </c>
      <c r="B331" s="193">
        <v>102382.0</v>
      </c>
      <c r="C331" s="192" t="s">
        <v>613</v>
      </c>
      <c r="D331" s="192" t="s">
        <v>87</v>
      </c>
      <c r="E331" s="235"/>
      <c r="F331" s="235"/>
      <c r="G331" s="325"/>
      <c r="H331" s="235"/>
      <c r="I331" s="235"/>
      <c r="J331" s="235"/>
      <c r="K331" s="235"/>
      <c r="L331" s="235"/>
      <c r="M331" s="235"/>
      <c r="N331" s="235"/>
      <c r="O331" s="235"/>
      <c r="P331" s="235"/>
      <c r="Q331" s="235"/>
      <c r="R331" s="235"/>
      <c r="S331" s="235"/>
      <c r="T331" s="235"/>
      <c r="U331" s="235"/>
      <c r="V331" s="235"/>
      <c r="W331" s="235"/>
      <c r="X331" s="235"/>
      <c r="Y331" s="235"/>
      <c r="Z331" s="235"/>
      <c r="AA331" s="235"/>
      <c r="AB331" s="235"/>
      <c r="AC331" s="235"/>
    </row>
    <row r="332">
      <c r="A332" s="194" t="s">
        <v>690</v>
      </c>
      <c r="B332" s="193">
        <v>102412.0</v>
      </c>
      <c r="C332" s="192" t="s">
        <v>691</v>
      </c>
      <c r="D332" s="192" t="s">
        <v>233</v>
      </c>
      <c r="E332" s="235"/>
      <c r="F332" s="235"/>
      <c r="G332" s="325"/>
      <c r="H332" s="235"/>
      <c r="I332" s="235"/>
      <c r="J332" s="235"/>
      <c r="K332" s="235"/>
      <c r="L332" s="235"/>
      <c r="M332" s="235"/>
      <c r="N332" s="235"/>
      <c r="O332" s="235"/>
      <c r="P332" s="235"/>
      <c r="Q332" s="235"/>
      <c r="R332" s="235"/>
      <c r="S332" s="235"/>
      <c r="T332" s="235"/>
      <c r="U332" s="235"/>
      <c r="V332" s="235"/>
      <c r="W332" s="235"/>
      <c r="X332" s="235"/>
      <c r="Y332" s="235"/>
      <c r="Z332" s="235"/>
      <c r="AA332" s="235"/>
      <c r="AB332" s="235"/>
      <c r="AC332" s="235"/>
    </row>
    <row r="333">
      <c r="A333" s="194" t="s">
        <v>711</v>
      </c>
      <c r="B333" s="193">
        <v>102456.0</v>
      </c>
      <c r="C333" s="192" t="s">
        <v>712</v>
      </c>
      <c r="D333" s="192" t="s">
        <v>209</v>
      </c>
      <c r="E333" s="235"/>
      <c r="F333" s="235"/>
      <c r="G333" s="325"/>
      <c r="H333" s="235"/>
      <c r="I333" s="235"/>
      <c r="J333" s="235"/>
      <c r="K333" s="235"/>
      <c r="L333" s="235"/>
      <c r="M333" s="235"/>
      <c r="N333" s="235"/>
      <c r="O333" s="235"/>
      <c r="P333" s="235"/>
      <c r="Q333" s="235"/>
      <c r="R333" s="235"/>
      <c r="S333" s="235"/>
      <c r="T333" s="235"/>
      <c r="U333" s="235"/>
      <c r="V333" s="235"/>
      <c r="W333" s="235"/>
      <c r="X333" s="235"/>
      <c r="Y333" s="235"/>
      <c r="Z333" s="235"/>
      <c r="AA333" s="235"/>
      <c r="AB333" s="235"/>
      <c r="AC333" s="235"/>
    </row>
    <row r="334">
      <c r="A334" s="194" t="s">
        <v>705</v>
      </c>
      <c r="B334" s="193">
        <v>102449.0</v>
      </c>
      <c r="C334" s="192" t="s">
        <v>706</v>
      </c>
      <c r="D334" s="192" t="s">
        <v>51</v>
      </c>
      <c r="E334" s="235"/>
      <c r="F334" s="235"/>
      <c r="G334" s="325"/>
      <c r="H334" s="235"/>
      <c r="I334" s="235"/>
      <c r="J334" s="235"/>
      <c r="K334" s="235"/>
      <c r="L334" s="235"/>
      <c r="M334" s="235"/>
      <c r="N334" s="235"/>
      <c r="O334" s="235"/>
      <c r="P334" s="235"/>
      <c r="Q334" s="235"/>
      <c r="R334" s="235"/>
      <c r="S334" s="235"/>
      <c r="T334" s="235"/>
      <c r="U334" s="235"/>
      <c r="V334" s="235"/>
      <c r="W334" s="235"/>
      <c r="X334" s="235"/>
      <c r="Y334" s="235"/>
      <c r="Z334" s="235"/>
      <c r="AA334" s="235"/>
      <c r="AB334" s="235"/>
      <c r="AC334" s="235"/>
    </row>
    <row r="335">
      <c r="A335" s="194" t="s">
        <v>759</v>
      </c>
      <c r="B335" s="193">
        <v>102405.0</v>
      </c>
      <c r="C335" s="192" t="s">
        <v>760</v>
      </c>
      <c r="D335" s="192" t="s">
        <v>18</v>
      </c>
      <c r="E335" s="235"/>
      <c r="F335" s="235"/>
      <c r="G335" s="325"/>
      <c r="H335" s="235"/>
      <c r="I335" s="235"/>
      <c r="J335" s="235"/>
      <c r="K335" s="235"/>
      <c r="L335" s="235"/>
      <c r="M335" s="235"/>
      <c r="N335" s="235"/>
      <c r="O335" s="235"/>
      <c r="P335" s="235"/>
      <c r="Q335" s="235"/>
      <c r="R335" s="235"/>
      <c r="S335" s="235"/>
      <c r="T335" s="235"/>
      <c r="U335" s="235"/>
      <c r="V335" s="235"/>
      <c r="W335" s="235"/>
      <c r="X335" s="235"/>
      <c r="Y335" s="235"/>
      <c r="Z335" s="235"/>
      <c r="AA335" s="235"/>
      <c r="AB335" s="235"/>
      <c r="AC335" s="235"/>
    </row>
    <row r="336">
      <c r="A336" s="194" t="s">
        <v>789</v>
      </c>
      <c r="B336" s="193">
        <v>102405.0</v>
      </c>
      <c r="C336" s="192" t="s">
        <v>760</v>
      </c>
      <c r="D336" s="192" t="s">
        <v>18</v>
      </c>
      <c r="E336" s="235"/>
      <c r="F336" s="235"/>
      <c r="G336" s="325"/>
      <c r="H336" s="235"/>
      <c r="I336" s="235"/>
      <c r="J336" s="235"/>
      <c r="K336" s="235"/>
      <c r="L336" s="235"/>
      <c r="M336" s="235"/>
      <c r="N336" s="235"/>
      <c r="O336" s="235"/>
      <c r="P336" s="235"/>
      <c r="Q336" s="235"/>
      <c r="R336" s="235"/>
      <c r="S336" s="235"/>
      <c r="T336" s="235"/>
      <c r="U336" s="235"/>
      <c r="V336" s="235"/>
      <c r="W336" s="235"/>
      <c r="X336" s="235"/>
      <c r="Y336" s="235"/>
      <c r="Z336" s="235"/>
      <c r="AA336" s="235"/>
      <c r="AB336" s="235"/>
      <c r="AC336" s="235"/>
    </row>
    <row r="337">
      <c r="A337" s="194" t="s">
        <v>773</v>
      </c>
      <c r="B337" s="193">
        <v>102569.0</v>
      </c>
      <c r="C337" s="192" t="s">
        <v>774</v>
      </c>
      <c r="D337" s="192" t="s">
        <v>309</v>
      </c>
      <c r="E337" s="235"/>
      <c r="F337" s="235"/>
      <c r="G337" s="325"/>
      <c r="H337" s="235"/>
      <c r="I337" s="235"/>
      <c r="J337" s="235"/>
      <c r="K337" s="235"/>
      <c r="L337" s="235"/>
      <c r="M337" s="235"/>
      <c r="N337" s="235"/>
      <c r="O337" s="235"/>
      <c r="P337" s="235"/>
      <c r="Q337" s="235"/>
      <c r="R337" s="235"/>
      <c r="S337" s="235"/>
      <c r="T337" s="235"/>
      <c r="U337" s="235"/>
      <c r="V337" s="235"/>
      <c r="W337" s="235"/>
      <c r="X337" s="235"/>
      <c r="Y337" s="235"/>
      <c r="Z337" s="235"/>
      <c r="AA337" s="235"/>
      <c r="AB337" s="235"/>
      <c r="AC337" s="235"/>
    </row>
    <row r="338">
      <c r="A338" s="194" t="s">
        <v>1989</v>
      </c>
      <c r="B338" s="193">
        <v>104624.0</v>
      </c>
      <c r="C338" s="192" t="s">
        <v>1990</v>
      </c>
      <c r="D338" s="192" t="s">
        <v>295</v>
      </c>
      <c r="E338" s="235"/>
      <c r="F338" s="235"/>
      <c r="G338" s="325"/>
      <c r="H338" s="235"/>
      <c r="I338" s="235"/>
      <c r="J338" s="235"/>
      <c r="K338" s="235"/>
      <c r="L338" s="235"/>
      <c r="M338" s="235"/>
      <c r="N338" s="235"/>
      <c r="O338" s="235"/>
      <c r="P338" s="235"/>
      <c r="Q338" s="235"/>
      <c r="R338" s="235"/>
      <c r="S338" s="235"/>
      <c r="T338" s="235"/>
      <c r="U338" s="235"/>
      <c r="V338" s="235"/>
      <c r="W338" s="235"/>
      <c r="X338" s="235"/>
      <c r="Y338" s="235"/>
      <c r="Z338" s="235"/>
      <c r="AA338" s="235"/>
      <c r="AB338" s="235"/>
      <c r="AC338" s="235"/>
    </row>
    <row r="339">
      <c r="A339" s="194" t="s">
        <v>970</v>
      </c>
      <c r="B339" s="193">
        <v>103157.0</v>
      </c>
      <c r="C339" s="192" t="s">
        <v>971</v>
      </c>
      <c r="D339" s="192" t="s">
        <v>312</v>
      </c>
      <c r="E339" s="235"/>
      <c r="F339" s="235"/>
      <c r="G339" s="325"/>
      <c r="H339" s="235"/>
      <c r="I339" s="235"/>
      <c r="J339" s="235"/>
      <c r="K339" s="235"/>
      <c r="L339" s="235"/>
      <c r="M339" s="235"/>
      <c r="N339" s="235"/>
      <c r="O339" s="235"/>
      <c r="P339" s="235"/>
      <c r="Q339" s="235"/>
      <c r="R339" s="235"/>
      <c r="S339" s="235"/>
      <c r="T339" s="235"/>
      <c r="U339" s="235"/>
      <c r="V339" s="235"/>
      <c r="W339" s="235"/>
      <c r="X339" s="235"/>
      <c r="Y339" s="235"/>
      <c r="Z339" s="235"/>
      <c r="AA339" s="235"/>
      <c r="AB339" s="235"/>
      <c r="AC339" s="235"/>
    </row>
    <row r="340">
      <c r="A340" s="194" t="s">
        <v>1454</v>
      </c>
      <c r="B340" s="193">
        <v>104487.0</v>
      </c>
      <c r="C340" s="192"/>
      <c r="D340" s="192"/>
      <c r="E340" s="235"/>
      <c r="F340" s="235"/>
      <c r="G340" s="325"/>
      <c r="H340" s="235"/>
      <c r="I340" s="235"/>
      <c r="J340" s="235"/>
      <c r="K340" s="235"/>
      <c r="L340" s="235"/>
      <c r="M340" s="235"/>
      <c r="N340" s="235"/>
      <c r="O340" s="235"/>
      <c r="P340" s="235"/>
      <c r="Q340" s="235"/>
      <c r="R340" s="235"/>
      <c r="S340" s="235"/>
      <c r="T340" s="235"/>
      <c r="U340" s="235"/>
      <c r="V340" s="235"/>
      <c r="W340" s="235"/>
      <c r="X340" s="235"/>
      <c r="Y340" s="235"/>
      <c r="Z340" s="235"/>
      <c r="AA340" s="235"/>
      <c r="AB340" s="235"/>
      <c r="AC340" s="235"/>
    </row>
    <row r="341">
      <c r="A341" s="194" t="s">
        <v>739</v>
      </c>
      <c r="B341" s="193">
        <v>102507.0</v>
      </c>
      <c r="C341" s="192" t="s">
        <v>740</v>
      </c>
      <c r="D341" s="192" t="s">
        <v>95</v>
      </c>
      <c r="E341" s="235"/>
      <c r="F341" s="235"/>
      <c r="G341" s="325"/>
      <c r="H341" s="235"/>
      <c r="I341" s="235"/>
      <c r="J341" s="235"/>
      <c r="K341" s="235"/>
      <c r="L341" s="235"/>
      <c r="M341" s="235"/>
      <c r="N341" s="235"/>
      <c r="O341" s="235"/>
      <c r="P341" s="235"/>
      <c r="Q341" s="235"/>
      <c r="R341" s="235"/>
      <c r="S341" s="235"/>
      <c r="T341" s="235"/>
      <c r="U341" s="235"/>
      <c r="V341" s="235"/>
      <c r="W341" s="235"/>
      <c r="X341" s="235"/>
      <c r="Y341" s="235"/>
      <c r="Z341" s="235"/>
      <c r="AA341" s="235"/>
      <c r="AB341" s="235"/>
      <c r="AC341" s="235"/>
    </row>
    <row r="342">
      <c r="A342" s="194" t="s">
        <v>698</v>
      </c>
      <c r="B342" s="193">
        <v>102271.0</v>
      </c>
      <c r="C342" s="192" t="s">
        <v>699</v>
      </c>
      <c r="D342" s="192" t="s">
        <v>312</v>
      </c>
      <c r="E342" s="235"/>
      <c r="F342" s="235"/>
      <c r="G342" s="325"/>
      <c r="H342" s="235"/>
      <c r="I342" s="235"/>
      <c r="J342" s="235"/>
      <c r="K342" s="235"/>
      <c r="L342" s="235"/>
      <c r="M342" s="235"/>
      <c r="N342" s="235"/>
      <c r="O342" s="235"/>
      <c r="P342" s="235"/>
      <c r="Q342" s="235"/>
      <c r="R342" s="235"/>
      <c r="S342" s="235"/>
      <c r="T342" s="235"/>
      <c r="U342" s="235"/>
      <c r="V342" s="235"/>
      <c r="W342" s="235"/>
      <c r="X342" s="235"/>
      <c r="Y342" s="235"/>
      <c r="Z342" s="235"/>
      <c r="AA342" s="235"/>
      <c r="AB342" s="235"/>
      <c r="AC342" s="235"/>
    </row>
    <row r="343">
      <c r="A343" s="194" t="s">
        <v>741</v>
      </c>
      <c r="B343" s="193">
        <v>102512.0</v>
      </c>
      <c r="C343" s="192" t="s">
        <v>549</v>
      </c>
      <c r="D343" s="192" t="s">
        <v>522</v>
      </c>
      <c r="E343" s="235"/>
      <c r="F343" s="235"/>
      <c r="G343" s="325"/>
      <c r="H343" s="235"/>
      <c r="I343" s="235"/>
      <c r="J343" s="235"/>
      <c r="K343" s="235"/>
      <c r="L343" s="235"/>
      <c r="M343" s="235"/>
      <c r="N343" s="235"/>
      <c r="O343" s="235"/>
      <c r="P343" s="235"/>
      <c r="Q343" s="235"/>
      <c r="R343" s="235"/>
      <c r="S343" s="235"/>
      <c r="T343" s="235"/>
      <c r="U343" s="235"/>
      <c r="V343" s="235"/>
      <c r="W343" s="235"/>
      <c r="X343" s="235"/>
      <c r="Y343" s="235"/>
      <c r="Z343" s="235"/>
      <c r="AA343" s="235"/>
      <c r="AB343" s="235"/>
      <c r="AC343" s="235"/>
    </row>
    <row r="344">
      <c r="A344" s="194" t="s">
        <v>1901</v>
      </c>
      <c r="B344" s="193">
        <v>101990.0</v>
      </c>
      <c r="C344" s="192" t="s">
        <v>479</v>
      </c>
      <c r="D344" s="192" t="s">
        <v>51</v>
      </c>
      <c r="E344" s="235"/>
      <c r="F344" s="235"/>
      <c r="G344" s="325"/>
      <c r="H344" s="235"/>
      <c r="I344" s="235"/>
      <c r="J344" s="235"/>
      <c r="K344" s="235"/>
      <c r="L344" s="235"/>
      <c r="M344" s="235"/>
      <c r="N344" s="235"/>
      <c r="O344" s="235"/>
      <c r="P344" s="235"/>
      <c r="Q344" s="235"/>
      <c r="R344" s="235"/>
      <c r="S344" s="235"/>
      <c r="T344" s="235"/>
      <c r="U344" s="235"/>
      <c r="V344" s="235"/>
      <c r="W344" s="235"/>
      <c r="X344" s="235"/>
      <c r="Y344" s="235"/>
      <c r="Z344" s="235"/>
      <c r="AA344" s="235"/>
      <c r="AB344" s="235"/>
      <c r="AC344" s="235"/>
    </row>
    <row r="345">
      <c r="A345" s="194" t="s">
        <v>511</v>
      </c>
      <c r="B345" s="193">
        <v>102010.0</v>
      </c>
      <c r="C345" s="192" t="s">
        <v>512</v>
      </c>
      <c r="D345" s="192" t="s">
        <v>339</v>
      </c>
      <c r="E345" s="235"/>
      <c r="F345" s="235"/>
      <c r="G345" s="325"/>
      <c r="H345" s="235"/>
      <c r="I345" s="235"/>
      <c r="J345" s="235"/>
      <c r="K345" s="235"/>
      <c r="L345" s="235"/>
      <c r="M345" s="235"/>
      <c r="N345" s="235"/>
      <c r="O345" s="235"/>
      <c r="P345" s="235"/>
      <c r="Q345" s="235"/>
      <c r="R345" s="235"/>
      <c r="S345" s="235"/>
      <c r="T345" s="235"/>
      <c r="U345" s="235"/>
      <c r="V345" s="235"/>
      <c r="W345" s="235"/>
      <c r="X345" s="235"/>
      <c r="Y345" s="235"/>
      <c r="Z345" s="235"/>
      <c r="AA345" s="235"/>
      <c r="AB345" s="235"/>
      <c r="AC345" s="235"/>
    </row>
    <row r="346">
      <c r="A346" s="194" t="s">
        <v>523</v>
      </c>
      <c r="B346" s="193">
        <v>102024.0</v>
      </c>
      <c r="C346" s="192" t="s">
        <v>524</v>
      </c>
      <c r="D346" s="192" t="s">
        <v>87</v>
      </c>
      <c r="E346" s="235"/>
      <c r="F346" s="235"/>
      <c r="G346" s="325"/>
      <c r="H346" s="235"/>
      <c r="I346" s="235"/>
      <c r="J346" s="235"/>
      <c r="K346" s="235"/>
      <c r="L346" s="235"/>
      <c r="M346" s="235"/>
      <c r="N346" s="235"/>
      <c r="O346" s="235"/>
      <c r="P346" s="235"/>
      <c r="Q346" s="235"/>
      <c r="R346" s="235"/>
      <c r="S346" s="235"/>
      <c r="T346" s="235"/>
      <c r="U346" s="235"/>
      <c r="V346" s="235"/>
      <c r="W346" s="235"/>
      <c r="X346" s="235"/>
      <c r="Y346" s="235"/>
      <c r="Z346" s="235"/>
      <c r="AA346" s="235"/>
      <c r="AB346" s="235"/>
      <c r="AC346" s="235"/>
    </row>
    <row r="347">
      <c r="A347" s="194" t="s">
        <v>543</v>
      </c>
      <c r="B347" s="193">
        <v>102049.0</v>
      </c>
      <c r="C347" s="192" t="s">
        <v>544</v>
      </c>
      <c r="D347" s="192" t="s">
        <v>254</v>
      </c>
      <c r="E347" s="235"/>
      <c r="F347" s="235"/>
      <c r="G347" s="325"/>
      <c r="H347" s="235"/>
      <c r="I347" s="235"/>
      <c r="J347" s="235"/>
      <c r="K347" s="235"/>
      <c r="L347" s="235"/>
      <c r="M347" s="235"/>
      <c r="N347" s="235"/>
      <c r="O347" s="235"/>
      <c r="P347" s="235"/>
      <c r="Q347" s="235"/>
      <c r="R347" s="235"/>
      <c r="S347" s="235"/>
      <c r="T347" s="235"/>
      <c r="U347" s="235"/>
      <c r="V347" s="235"/>
      <c r="W347" s="235"/>
      <c r="X347" s="235"/>
      <c r="Y347" s="235"/>
      <c r="Z347" s="235"/>
      <c r="AA347" s="235"/>
      <c r="AB347" s="235"/>
      <c r="AC347" s="235"/>
    </row>
    <row r="348">
      <c r="A348" s="194" t="s">
        <v>2286</v>
      </c>
      <c r="B348" s="193">
        <v>104954.0</v>
      </c>
      <c r="C348" s="192"/>
      <c r="D348" s="192"/>
      <c r="E348" s="235"/>
      <c r="F348" s="235"/>
      <c r="G348" s="325"/>
      <c r="H348" s="235"/>
      <c r="I348" s="235"/>
      <c r="J348" s="235"/>
      <c r="K348" s="235"/>
      <c r="L348" s="235"/>
      <c r="M348" s="235"/>
      <c r="N348" s="235"/>
      <c r="O348" s="235"/>
      <c r="P348" s="235"/>
      <c r="Q348" s="235"/>
      <c r="R348" s="235"/>
      <c r="S348" s="235"/>
      <c r="T348" s="235"/>
      <c r="U348" s="235"/>
      <c r="V348" s="235"/>
      <c r="W348" s="235"/>
      <c r="X348" s="235"/>
      <c r="Y348" s="235"/>
      <c r="Z348" s="235"/>
      <c r="AA348" s="235"/>
      <c r="AB348" s="235"/>
      <c r="AC348" s="235"/>
    </row>
    <row r="349">
      <c r="A349" s="194" t="s">
        <v>539</v>
      </c>
      <c r="B349" s="193">
        <v>101958.0</v>
      </c>
      <c r="C349" s="192" t="s">
        <v>540</v>
      </c>
      <c r="D349" s="192" t="s">
        <v>247</v>
      </c>
      <c r="E349" s="235"/>
      <c r="F349" s="235"/>
      <c r="G349" s="325"/>
      <c r="H349" s="235"/>
      <c r="I349" s="235"/>
      <c r="J349" s="235"/>
      <c r="K349" s="235"/>
      <c r="L349" s="235"/>
      <c r="M349" s="235"/>
      <c r="N349" s="235"/>
      <c r="O349" s="235"/>
      <c r="P349" s="235"/>
      <c r="Q349" s="235"/>
      <c r="R349" s="235"/>
      <c r="S349" s="235"/>
      <c r="T349" s="235"/>
      <c r="U349" s="235"/>
      <c r="V349" s="235"/>
      <c r="W349" s="235"/>
      <c r="X349" s="235"/>
      <c r="Y349" s="235"/>
      <c r="Z349" s="235"/>
      <c r="AA349" s="235"/>
      <c r="AB349" s="235"/>
      <c r="AC349" s="235"/>
    </row>
    <row r="350">
      <c r="A350" s="194" t="s">
        <v>477</v>
      </c>
      <c r="B350" s="193">
        <v>101987.0</v>
      </c>
      <c r="C350" s="192" t="s">
        <v>478</v>
      </c>
      <c r="D350" s="192" t="s">
        <v>432</v>
      </c>
      <c r="E350" s="235"/>
      <c r="F350" s="235"/>
      <c r="G350" s="325"/>
      <c r="H350" s="235"/>
      <c r="I350" s="235"/>
      <c r="J350" s="235"/>
      <c r="K350" s="235"/>
      <c r="L350" s="235"/>
      <c r="M350" s="235"/>
      <c r="N350" s="235"/>
      <c r="O350" s="235"/>
      <c r="P350" s="235"/>
      <c r="Q350" s="235"/>
      <c r="R350" s="235"/>
      <c r="S350" s="235"/>
      <c r="T350" s="235"/>
      <c r="U350" s="235"/>
      <c r="V350" s="235"/>
      <c r="W350" s="235"/>
      <c r="X350" s="235"/>
      <c r="Y350" s="235"/>
      <c r="Z350" s="235"/>
      <c r="AA350" s="235"/>
      <c r="AB350" s="235"/>
      <c r="AC350" s="235"/>
    </row>
    <row r="351">
      <c r="A351" s="194" t="s">
        <v>535</v>
      </c>
      <c r="B351" s="193">
        <v>102050.0</v>
      </c>
      <c r="C351" s="192" t="s">
        <v>536</v>
      </c>
      <c r="D351" s="192" t="s">
        <v>380</v>
      </c>
      <c r="E351" s="235"/>
      <c r="F351" s="235"/>
      <c r="G351" s="325"/>
      <c r="H351" s="235"/>
      <c r="I351" s="235"/>
      <c r="J351" s="235"/>
      <c r="K351" s="235"/>
      <c r="L351" s="235"/>
      <c r="M351" s="235"/>
      <c r="N351" s="235"/>
      <c r="O351" s="235"/>
      <c r="P351" s="235"/>
      <c r="Q351" s="235"/>
      <c r="R351" s="235"/>
      <c r="S351" s="235"/>
      <c r="T351" s="235"/>
      <c r="U351" s="235"/>
      <c r="V351" s="235"/>
      <c r="W351" s="235"/>
      <c r="X351" s="235"/>
      <c r="Y351" s="235"/>
      <c r="Z351" s="235"/>
      <c r="AA351" s="235"/>
      <c r="AB351" s="235"/>
      <c r="AC351" s="235"/>
    </row>
    <row r="352">
      <c r="A352" s="194" t="s">
        <v>518</v>
      </c>
      <c r="B352" s="193">
        <v>102020.0</v>
      </c>
      <c r="C352" s="192" t="s">
        <v>519</v>
      </c>
      <c r="D352" s="192" t="s">
        <v>393</v>
      </c>
      <c r="E352" s="235"/>
      <c r="F352" s="235"/>
      <c r="G352" s="325"/>
      <c r="H352" s="235"/>
      <c r="I352" s="235"/>
      <c r="J352" s="235"/>
      <c r="K352" s="235"/>
      <c r="L352" s="235"/>
      <c r="M352" s="235"/>
      <c r="N352" s="235"/>
      <c r="O352" s="235"/>
      <c r="P352" s="235"/>
      <c r="Q352" s="235"/>
      <c r="R352" s="235"/>
      <c r="S352" s="235"/>
      <c r="T352" s="235"/>
      <c r="U352" s="235"/>
      <c r="V352" s="235"/>
      <c r="W352" s="235"/>
      <c r="X352" s="235"/>
      <c r="Y352" s="235"/>
      <c r="Z352" s="235"/>
      <c r="AA352" s="235"/>
      <c r="AB352" s="235"/>
      <c r="AC352" s="235"/>
    </row>
    <row r="353">
      <c r="A353" s="194" t="s">
        <v>514</v>
      </c>
      <c r="B353" s="193">
        <v>102000.0</v>
      </c>
      <c r="C353" s="192" t="s">
        <v>515</v>
      </c>
      <c r="D353" s="192" t="s">
        <v>295</v>
      </c>
      <c r="E353" s="235"/>
      <c r="F353" s="235"/>
      <c r="G353" s="325"/>
      <c r="H353" s="235"/>
      <c r="I353" s="235"/>
      <c r="J353" s="235"/>
      <c r="K353" s="235"/>
      <c r="L353" s="235"/>
      <c r="M353" s="235"/>
      <c r="N353" s="235"/>
      <c r="O353" s="235"/>
      <c r="P353" s="235"/>
      <c r="Q353" s="235"/>
      <c r="R353" s="235"/>
      <c r="S353" s="235"/>
      <c r="T353" s="235"/>
      <c r="U353" s="235"/>
      <c r="V353" s="235"/>
      <c r="W353" s="235"/>
      <c r="X353" s="235"/>
      <c r="Y353" s="235"/>
      <c r="Z353" s="235"/>
      <c r="AA353" s="235"/>
      <c r="AB353" s="235"/>
      <c r="AC353" s="235"/>
    </row>
    <row r="354">
      <c r="A354" s="194" t="s">
        <v>550</v>
      </c>
      <c r="B354" s="193">
        <v>102030.0</v>
      </c>
      <c r="C354" s="192" t="s">
        <v>551</v>
      </c>
      <c r="D354" s="192" t="s">
        <v>51</v>
      </c>
      <c r="E354" s="235"/>
      <c r="F354" s="235"/>
      <c r="G354" s="325"/>
      <c r="H354" s="235"/>
      <c r="I354" s="235"/>
      <c r="J354" s="235"/>
      <c r="K354" s="235"/>
      <c r="L354" s="235"/>
      <c r="M354" s="235"/>
      <c r="N354" s="235"/>
      <c r="O354" s="235"/>
      <c r="P354" s="235"/>
      <c r="Q354" s="235"/>
      <c r="R354" s="235"/>
      <c r="S354" s="235"/>
      <c r="T354" s="235"/>
      <c r="U354" s="235"/>
      <c r="V354" s="235"/>
      <c r="W354" s="235"/>
      <c r="X354" s="235"/>
      <c r="Y354" s="235"/>
      <c r="Z354" s="235"/>
      <c r="AA354" s="235"/>
      <c r="AB354" s="235"/>
      <c r="AC354" s="235"/>
    </row>
    <row r="355">
      <c r="A355" s="194" t="s">
        <v>516</v>
      </c>
      <c r="B355" s="193">
        <v>102021.0</v>
      </c>
      <c r="C355" s="192" t="s">
        <v>517</v>
      </c>
      <c r="D355" s="192" t="s">
        <v>295</v>
      </c>
      <c r="E355" s="235"/>
      <c r="F355" s="235"/>
      <c r="G355" s="325"/>
      <c r="H355" s="235"/>
      <c r="I355" s="235"/>
      <c r="J355" s="235"/>
      <c r="K355" s="235"/>
      <c r="L355" s="235"/>
      <c r="M355" s="235"/>
      <c r="N355" s="235"/>
      <c r="O355" s="235"/>
      <c r="P355" s="235"/>
      <c r="Q355" s="235"/>
      <c r="R355" s="235"/>
      <c r="S355" s="235"/>
      <c r="T355" s="235"/>
      <c r="U355" s="235"/>
      <c r="V355" s="235"/>
      <c r="W355" s="235"/>
      <c r="X355" s="235"/>
      <c r="Y355" s="235"/>
      <c r="Z355" s="235"/>
      <c r="AA355" s="235"/>
      <c r="AB355" s="235"/>
      <c r="AC355" s="235"/>
    </row>
    <row r="356">
      <c r="A356" s="194" t="s">
        <v>537</v>
      </c>
      <c r="B356" s="193">
        <v>102048.0</v>
      </c>
      <c r="C356" s="192" t="s">
        <v>538</v>
      </c>
      <c r="D356" s="192" t="s">
        <v>432</v>
      </c>
      <c r="E356" s="235"/>
      <c r="F356" s="235"/>
      <c r="G356" s="325"/>
      <c r="H356" s="235"/>
      <c r="I356" s="235"/>
      <c r="J356" s="235"/>
      <c r="K356" s="235"/>
      <c r="L356" s="235"/>
      <c r="M356" s="235"/>
      <c r="N356" s="235"/>
      <c r="O356" s="235"/>
      <c r="P356" s="235"/>
      <c r="Q356" s="235"/>
      <c r="R356" s="235"/>
      <c r="S356" s="235"/>
      <c r="T356" s="235"/>
      <c r="U356" s="235"/>
      <c r="V356" s="235"/>
      <c r="W356" s="235"/>
      <c r="X356" s="235"/>
      <c r="Y356" s="235"/>
      <c r="Z356" s="235"/>
      <c r="AA356" s="235"/>
      <c r="AB356" s="235"/>
      <c r="AC356" s="235"/>
    </row>
    <row r="357">
      <c r="A357" s="194" t="s">
        <v>529</v>
      </c>
      <c r="B357" s="193">
        <v>102023.0</v>
      </c>
      <c r="C357" s="192" t="s">
        <v>530</v>
      </c>
      <c r="D357" s="192" t="s">
        <v>87</v>
      </c>
      <c r="E357" s="235"/>
      <c r="F357" s="235"/>
      <c r="G357" s="325"/>
      <c r="H357" s="235"/>
      <c r="I357" s="235"/>
      <c r="J357" s="235"/>
      <c r="K357" s="235"/>
      <c r="L357" s="235"/>
      <c r="M357" s="235"/>
      <c r="N357" s="235"/>
      <c r="O357" s="235"/>
      <c r="P357" s="235"/>
      <c r="Q357" s="235"/>
      <c r="R357" s="235"/>
      <c r="S357" s="235"/>
      <c r="T357" s="235"/>
      <c r="U357" s="235"/>
      <c r="V357" s="235"/>
      <c r="W357" s="235"/>
      <c r="X357" s="235"/>
      <c r="Y357" s="235"/>
      <c r="Z357" s="235"/>
      <c r="AA357" s="235"/>
      <c r="AB357" s="235"/>
      <c r="AC357" s="235"/>
    </row>
    <row r="358">
      <c r="A358" s="194" t="s">
        <v>533</v>
      </c>
      <c r="B358" s="193">
        <v>102041.0</v>
      </c>
      <c r="C358" s="192" t="s">
        <v>534</v>
      </c>
      <c r="D358" s="192" t="s">
        <v>295</v>
      </c>
      <c r="E358" s="235"/>
      <c r="F358" s="235"/>
      <c r="G358" s="325"/>
      <c r="H358" s="235"/>
      <c r="I358" s="235"/>
      <c r="J358" s="235"/>
      <c r="K358" s="235"/>
      <c r="L358" s="235"/>
      <c r="M358" s="235"/>
      <c r="N358" s="235"/>
      <c r="O358" s="235"/>
      <c r="P358" s="235"/>
      <c r="Q358" s="235"/>
      <c r="R358" s="235"/>
      <c r="S358" s="235"/>
      <c r="T358" s="235"/>
      <c r="U358" s="235"/>
      <c r="V358" s="235"/>
      <c r="W358" s="235"/>
      <c r="X358" s="235"/>
      <c r="Y358" s="235"/>
      <c r="Z358" s="235"/>
      <c r="AA358" s="235"/>
      <c r="AB358" s="235"/>
      <c r="AC358" s="235"/>
    </row>
    <row r="359">
      <c r="A359" s="194" t="s">
        <v>520</v>
      </c>
      <c r="B359" s="193">
        <v>102022.0</v>
      </c>
      <c r="C359" s="192" t="s">
        <v>521</v>
      </c>
      <c r="D359" s="192" t="s">
        <v>522</v>
      </c>
      <c r="E359" s="235"/>
      <c r="F359" s="235"/>
      <c r="G359" s="325"/>
      <c r="H359" s="235"/>
      <c r="I359" s="235"/>
      <c r="J359" s="235"/>
      <c r="K359" s="235"/>
      <c r="L359" s="235"/>
      <c r="M359" s="235"/>
      <c r="N359" s="235"/>
      <c r="O359" s="235"/>
      <c r="P359" s="235"/>
      <c r="Q359" s="235"/>
      <c r="R359" s="235"/>
      <c r="S359" s="235"/>
      <c r="T359" s="235"/>
      <c r="U359" s="235"/>
      <c r="V359" s="235"/>
      <c r="W359" s="235"/>
      <c r="X359" s="235"/>
      <c r="Y359" s="235"/>
      <c r="Z359" s="235"/>
      <c r="AA359" s="235"/>
      <c r="AB359" s="235"/>
      <c r="AC359" s="235"/>
    </row>
    <row r="360">
      <c r="A360" s="194" t="s">
        <v>527</v>
      </c>
      <c r="B360" s="193">
        <v>102046.0</v>
      </c>
      <c r="C360" s="192" t="s">
        <v>528</v>
      </c>
      <c r="D360" s="192" t="s">
        <v>437</v>
      </c>
      <c r="E360" s="235"/>
      <c r="F360" s="235"/>
      <c r="G360" s="325"/>
      <c r="H360" s="235"/>
      <c r="I360" s="235"/>
      <c r="J360" s="235"/>
      <c r="K360" s="235"/>
      <c r="L360" s="235"/>
      <c r="M360" s="235"/>
      <c r="N360" s="235"/>
      <c r="O360" s="235"/>
      <c r="P360" s="235"/>
      <c r="Q360" s="235"/>
      <c r="R360" s="235"/>
      <c r="S360" s="235"/>
      <c r="T360" s="235"/>
      <c r="U360" s="235"/>
      <c r="V360" s="235"/>
      <c r="W360" s="235"/>
      <c r="X360" s="235"/>
      <c r="Y360" s="235"/>
      <c r="Z360" s="235"/>
      <c r="AA360" s="235"/>
      <c r="AB360" s="235"/>
      <c r="AC360" s="235"/>
    </row>
    <row r="361">
      <c r="A361" s="194" t="s">
        <v>554</v>
      </c>
      <c r="B361" s="193">
        <v>102040.0</v>
      </c>
      <c r="C361" s="192" t="s">
        <v>526</v>
      </c>
      <c r="D361" s="192" t="s">
        <v>432</v>
      </c>
      <c r="E361" s="235"/>
      <c r="F361" s="235"/>
      <c r="G361" s="325"/>
      <c r="H361" s="235"/>
      <c r="I361" s="235"/>
      <c r="J361" s="235"/>
      <c r="K361" s="235"/>
      <c r="L361" s="235"/>
      <c r="M361" s="235"/>
      <c r="N361" s="235"/>
      <c r="O361" s="235"/>
      <c r="P361" s="235"/>
      <c r="Q361" s="235"/>
      <c r="R361" s="235"/>
      <c r="S361" s="235"/>
      <c r="T361" s="235"/>
      <c r="U361" s="235"/>
      <c r="V361" s="235"/>
      <c r="W361" s="235"/>
      <c r="X361" s="235"/>
      <c r="Y361" s="235"/>
      <c r="Z361" s="235"/>
      <c r="AA361" s="235"/>
      <c r="AB361" s="235"/>
      <c r="AC361" s="235"/>
    </row>
    <row r="362">
      <c r="A362" s="194" t="s">
        <v>552</v>
      </c>
      <c r="B362" s="193">
        <v>102042.0</v>
      </c>
      <c r="C362" s="192" t="s">
        <v>553</v>
      </c>
      <c r="D362" s="192" t="s">
        <v>51</v>
      </c>
      <c r="E362" s="235"/>
      <c r="F362" s="235"/>
      <c r="G362" s="325"/>
      <c r="H362" s="235"/>
      <c r="I362" s="235"/>
      <c r="J362" s="235"/>
      <c r="K362" s="235"/>
      <c r="L362" s="235"/>
      <c r="M362" s="235"/>
      <c r="N362" s="235"/>
      <c r="O362" s="235"/>
      <c r="P362" s="235"/>
      <c r="Q362" s="235"/>
      <c r="R362" s="235"/>
      <c r="S362" s="235"/>
      <c r="T362" s="235"/>
      <c r="U362" s="235"/>
      <c r="V362" s="235"/>
      <c r="W362" s="235"/>
      <c r="X362" s="235"/>
      <c r="Y362" s="235"/>
      <c r="Z362" s="235"/>
      <c r="AA362" s="235"/>
      <c r="AB362" s="235"/>
      <c r="AC362" s="235"/>
    </row>
    <row r="363">
      <c r="A363" s="194" t="s">
        <v>550</v>
      </c>
      <c r="B363" s="193">
        <v>102030.0</v>
      </c>
      <c r="C363" s="192" t="s">
        <v>551</v>
      </c>
      <c r="D363" s="192" t="s">
        <v>51</v>
      </c>
      <c r="E363" s="235"/>
      <c r="F363" s="235"/>
      <c r="G363" s="325"/>
      <c r="H363" s="235"/>
      <c r="I363" s="235"/>
      <c r="J363" s="235"/>
      <c r="K363" s="235"/>
      <c r="L363" s="235"/>
      <c r="M363" s="235"/>
      <c r="N363" s="235"/>
      <c r="O363" s="235"/>
      <c r="P363" s="235"/>
      <c r="Q363" s="235"/>
      <c r="R363" s="235"/>
      <c r="S363" s="235"/>
      <c r="T363" s="235"/>
      <c r="U363" s="235"/>
      <c r="V363" s="235"/>
      <c r="W363" s="235"/>
      <c r="X363" s="235"/>
      <c r="Y363" s="235"/>
      <c r="Z363" s="235"/>
      <c r="AA363" s="235"/>
      <c r="AB363" s="235"/>
      <c r="AC363" s="235"/>
    </row>
    <row r="364">
      <c r="A364" s="194" t="s">
        <v>570</v>
      </c>
      <c r="B364" s="193">
        <v>102059.0</v>
      </c>
      <c r="C364" s="192" t="s">
        <v>571</v>
      </c>
      <c r="D364" s="192" t="s">
        <v>125</v>
      </c>
      <c r="E364" s="235"/>
      <c r="F364" s="235"/>
      <c r="G364" s="325"/>
      <c r="H364" s="235"/>
      <c r="I364" s="235"/>
      <c r="J364" s="235"/>
      <c r="K364" s="235"/>
      <c r="L364" s="235"/>
      <c r="M364" s="235"/>
      <c r="N364" s="235"/>
      <c r="O364" s="235"/>
      <c r="P364" s="235"/>
      <c r="Q364" s="235"/>
      <c r="R364" s="235"/>
      <c r="S364" s="235"/>
      <c r="T364" s="235"/>
      <c r="U364" s="235"/>
      <c r="V364" s="235"/>
      <c r="W364" s="235"/>
      <c r="X364" s="235"/>
      <c r="Y364" s="235"/>
      <c r="Z364" s="235"/>
      <c r="AA364" s="235"/>
      <c r="AB364" s="235"/>
      <c r="AC364" s="235"/>
    </row>
    <row r="365">
      <c r="A365" s="194" t="s">
        <v>577</v>
      </c>
      <c r="B365" s="193">
        <v>102063.0</v>
      </c>
      <c r="C365" s="192" t="s">
        <v>578</v>
      </c>
      <c r="D365" s="192" t="s">
        <v>87</v>
      </c>
      <c r="E365" s="235"/>
      <c r="F365" s="235"/>
      <c r="G365" s="325"/>
      <c r="H365" s="235"/>
      <c r="I365" s="235"/>
      <c r="J365" s="235"/>
      <c r="K365" s="235"/>
      <c r="L365" s="235"/>
      <c r="M365" s="235"/>
      <c r="N365" s="235"/>
      <c r="O365" s="235"/>
      <c r="P365" s="235"/>
      <c r="Q365" s="235"/>
      <c r="R365" s="235"/>
      <c r="S365" s="235"/>
      <c r="T365" s="235"/>
      <c r="U365" s="235"/>
      <c r="V365" s="235"/>
      <c r="W365" s="235"/>
      <c r="X365" s="235"/>
      <c r="Y365" s="235"/>
      <c r="Z365" s="235"/>
      <c r="AA365" s="235"/>
      <c r="AB365" s="235"/>
      <c r="AC365" s="235"/>
    </row>
    <row r="366">
      <c r="A366" s="194" t="s">
        <v>575</v>
      </c>
      <c r="B366" s="193">
        <v>102025.0</v>
      </c>
      <c r="C366" s="192" t="s">
        <v>576</v>
      </c>
      <c r="D366" s="192" t="s">
        <v>87</v>
      </c>
      <c r="E366" s="235"/>
      <c r="F366" s="235"/>
      <c r="G366" s="325"/>
      <c r="H366" s="235"/>
      <c r="I366" s="235"/>
      <c r="J366" s="235"/>
      <c r="K366" s="235"/>
      <c r="L366" s="235"/>
      <c r="M366" s="235"/>
      <c r="N366" s="235"/>
      <c r="O366" s="235"/>
      <c r="P366" s="235"/>
      <c r="Q366" s="235"/>
      <c r="R366" s="235"/>
      <c r="S366" s="235"/>
      <c r="T366" s="235"/>
      <c r="U366" s="235"/>
      <c r="V366" s="235"/>
      <c r="W366" s="235"/>
      <c r="X366" s="235"/>
      <c r="Y366" s="235"/>
      <c r="Z366" s="235"/>
      <c r="AA366" s="235"/>
      <c r="AB366" s="235"/>
      <c r="AC366" s="235"/>
    </row>
    <row r="367">
      <c r="A367" s="194" t="s">
        <v>572</v>
      </c>
      <c r="B367" s="193">
        <v>102078.0</v>
      </c>
      <c r="C367" s="192" t="s">
        <v>573</v>
      </c>
      <c r="D367" s="192" t="s">
        <v>557</v>
      </c>
      <c r="E367" s="235"/>
      <c r="F367" s="235"/>
      <c r="G367" s="325"/>
      <c r="H367" s="235"/>
      <c r="I367" s="235"/>
      <c r="J367" s="235"/>
      <c r="K367" s="235"/>
      <c r="L367" s="235"/>
      <c r="M367" s="235"/>
      <c r="N367" s="235"/>
      <c r="O367" s="235"/>
      <c r="P367" s="235"/>
      <c r="Q367" s="235"/>
      <c r="R367" s="235"/>
      <c r="S367" s="235"/>
      <c r="T367" s="235"/>
      <c r="U367" s="235"/>
      <c r="V367" s="235"/>
      <c r="W367" s="235"/>
      <c r="X367" s="235"/>
      <c r="Y367" s="235"/>
      <c r="Z367" s="235"/>
      <c r="AA367" s="235"/>
      <c r="AB367" s="235"/>
      <c r="AC367" s="235"/>
    </row>
    <row r="368">
      <c r="A368" s="194" t="s">
        <v>555</v>
      </c>
      <c r="B368" s="193">
        <v>102065.0</v>
      </c>
      <c r="C368" s="192" t="s">
        <v>556</v>
      </c>
      <c r="D368" s="192" t="s">
        <v>557</v>
      </c>
      <c r="E368" s="235"/>
      <c r="F368" s="235"/>
      <c r="G368" s="325"/>
      <c r="H368" s="235"/>
      <c r="I368" s="235"/>
      <c r="J368" s="235"/>
      <c r="K368" s="235"/>
      <c r="L368" s="235"/>
      <c r="M368" s="235"/>
      <c r="N368" s="235"/>
      <c r="O368" s="235"/>
      <c r="P368" s="235"/>
      <c r="Q368" s="235"/>
      <c r="R368" s="235"/>
      <c r="S368" s="235"/>
      <c r="T368" s="235"/>
      <c r="U368" s="235"/>
      <c r="V368" s="235"/>
      <c r="W368" s="235"/>
      <c r="X368" s="235"/>
      <c r="Y368" s="235"/>
      <c r="Z368" s="235"/>
      <c r="AA368" s="235"/>
      <c r="AB368" s="235"/>
      <c r="AC368" s="235"/>
    </row>
    <row r="369">
      <c r="A369" s="194" t="s">
        <v>591</v>
      </c>
      <c r="B369" s="193">
        <v>102086.0</v>
      </c>
      <c r="C369" s="192" t="s">
        <v>592</v>
      </c>
      <c r="D369" s="192" t="s">
        <v>295</v>
      </c>
      <c r="E369" s="235"/>
      <c r="F369" s="235"/>
      <c r="G369" s="325"/>
      <c r="H369" s="235"/>
      <c r="I369" s="235"/>
      <c r="J369" s="235"/>
      <c r="K369" s="235"/>
      <c r="L369" s="235"/>
      <c r="M369" s="235"/>
      <c r="N369" s="235"/>
      <c r="O369" s="235"/>
      <c r="P369" s="235"/>
      <c r="Q369" s="235"/>
      <c r="R369" s="235"/>
      <c r="S369" s="235"/>
      <c r="T369" s="235"/>
      <c r="U369" s="235"/>
      <c r="V369" s="235"/>
      <c r="W369" s="235"/>
      <c r="X369" s="235"/>
      <c r="Y369" s="235"/>
      <c r="Z369" s="235"/>
      <c r="AA369" s="235"/>
      <c r="AB369" s="235"/>
      <c r="AC369" s="235"/>
    </row>
    <row r="370">
      <c r="A370" s="194" t="s">
        <v>598</v>
      </c>
      <c r="B370" s="193">
        <v>102112.0</v>
      </c>
      <c r="C370" s="192" t="s">
        <v>599</v>
      </c>
      <c r="D370" s="192" t="s">
        <v>154</v>
      </c>
      <c r="E370" s="235"/>
      <c r="F370" s="235"/>
      <c r="G370" s="325"/>
      <c r="H370" s="235"/>
      <c r="I370" s="235"/>
      <c r="J370" s="235"/>
      <c r="K370" s="235"/>
      <c r="L370" s="235"/>
      <c r="M370" s="235"/>
      <c r="N370" s="235"/>
      <c r="O370" s="235"/>
      <c r="P370" s="235"/>
      <c r="Q370" s="235"/>
      <c r="R370" s="235"/>
      <c r="S370" s="235"/>
      <c r="T370" s="235"/>
      <c r="U370" s="235"/>
      <c r="V370" s="235"/>
      <c r="W370" s="235"/>
      <c r="X370" s="235"/>
      <c r="Y370" s="235"/>
      <c r="Z370" s="235"/>
      <c r="AA370" s="235"/>
      <c r="AB370" s="235"/>
      <c r="AC370" s="235"/>
    </row>
    <row r="371">
      <c r="A371" s="194" t="s">
        <v>26</v>
      </c>
      <c r="B371" s="193">
        <v>102099.0</v>
      </c>
      <c r="C371" s="192" t="s">
        <v>601</v>
      </c>
      <c r="D371" s="192" t="s">
        <v>602</v>
      </c>
      <c r="E371" s="235"/>
      <c r="F371" s="235"/>
      <c r="G371" s="325"/>
      <c r="H371" s="235"/>
      <c r="I371" s="235"/>
      <c r="J371" s="235"/>
      <c r="K371" s="235"/>
      <c r="L371" s="235"/>
      <c r="M371" s="235"/>
      <c r="N371" s="235"/>
      <c r="O371" s="235"/>
      <c r="P371" s="235"/>
      <c r="Q371" s="235"/>
      <c r="R371" s="235"/>
      <c r="S371" s="235"/>
      <c r="T371" s="235"/>
      <c r="U371" s="235"/>
      <c r="V371" s="235"/>
      <c r="W371" s="235"/>
      <c r="X371" s="235"/>
      <c r="Y371" s="235"/>
      <c r="Z371" s="235"/>
      <c r="AA371" s="235"/>
      <c r="AB371" s="235"/>
      <c r="AC371" s="235"/>
    </row>
    <row r="372">
      <c r="A372" s="194" t="s">
        <v>584</v>
      </c>
      <c r="B372" s="193">
        <v>102029.0</v>
      </c>
      <c r="C372" s="192" t="s">
        <v>585</v>
      </c>
      <c r="D372" s="192" t="s">
        <v>254</v>
      </c>
      <c r="E372" s="235"/>
      <c r="F372" s="235"/>
      <c r="G372" s="325"/>
      <c r="H372" s="235"/>
      <c r="I372" s="235"/>
      <c r="J372" s="235"/>
      <c r="K372" s="235"/>
      <c r="L372" s="235"/>
      <c r="M372" s="235"/>
      <c r="N372" s="235"/>
      <c r="O372" s="235"/>
      <c r="P372" s="235"/>
      <c r="Q372" s="235"/>
      <c r="R372" s="235"/>
      <c r="S372" s="235"/>
      <c r="T372" s="235"/>
      <c r="U372" s="235"/>
      <c r="V372" s="235"/>
      <c r="W372" s="235"/>
      <c r="X372" s="235"/>
      <c r="Y372" s="235"/>
      <c r="Z372" s="235"/>
      <c r="AA372" s="235"/>
      <c r="AB372" s="235"/>
      <c r="AC372" s="235"/>
    </row>
    <row r="373">
      <c r="A373" s="194" t="s">
        <v>587</v>
      </c>
      <c r="B373" s="193">
        <v>102057.0</v>
      </c>
      <c r="C373" s="192" t="s">
        <v>588</v>
      </c>
      <c r="D373" s="192" t="s">
        <v>214</v>
      </c>
      <c r="E373" s="235"/>
      <c r="F373" s="235"/>
      <c r="G373" s="325"/>
      <c r="H373" s="235"/>
      <c r="I373" s="235"/>
      <c r="J373" s="235"/>
      <c r="K373" s="235"/>
      <c r="L373" s="235"/>
      <c r="M373" s="235"/>
      <c r="N373" s="235"/>
      <c r="O373" s="235"/>
      <c r="P373" s="235"/>
      <c r="Q373" s="235"/>
      <c r="R373" s="235"/>
      <c r="S373" s="235"/>
      <c r="T373" s="235"/>
      <c r="U373" s="235"/>
      <c r="V373" s="235"/>
      <c r="W373" s="235"/>
      <c r="X373" s="235"/>
      <c r="Y373" s="235"/>
      <c r="Z373" s="235"/>
      <c r="AA373" s="235"/>
      <c r="AB373" s="235"/>
      <c r="AC373" s="235"/>
    </row>
    <row r="374">
      <c r="A374" s="194" t="s">
        <v>608</v>
      </c>
      <c r="B374" s="193">
        <v>102125.0</v>
      </c>
      <c r="C374" s="192" t="s">
        <v>609</v>
      </c>
      <c r="D374" s="192" t="s">
        <v>134</v>
      </c>
      <c r="E374" s="235"/>
      <c r="F374" s="235"/>
      <c r="G374" s="325"/>
      <c r="H374" s="235"/>
      <c r="I374" s="235"/>
      <c r="J374" s="235"/>
      <c r="K374" s="235"/>
      <c r="L374" s="235"/>
      <c r="M374" s="235"/>
      <c r="N374" s="235"/>
      <c r="O374" s="235"/>
      <c r="P374" s="235"/>
      <c r="Q374" s="235"/>
      <c r="R374" s="235"/>
      <c r="S374" s="235"/>
      <c r="T374" s="235"/>
      <c r="U374" s="235"/>
      <c r="V374" s="235"/>
      <c r="W374" s="235"/>
      <c r="X374" s="235"/>
      <c r="Y374" s="235"/>
      <c r="Z374" s="235"/>
      <c r="AA374" s="235"/>
      <c r="AB374" s="235"/>
      <c r="AC374" s="235"/>
    </row>
    <row r="375">
      <c r="A375" s="194" t="s">
        <v>580</v>
      </c>
      <c r="B375" s="193">
        <v>102087.0</v>
      </c>
      <c r="C375" s="192" t="s">
        <v>581</v>
      </c>
      <c r="D375" s="192" t="s">
        <v>134</v>
      </c>
      <c r="E375" s="235"/>
      <c r="F375" s="235"/>
      <c r="G375" s="325"/>
      <c r="H375" s="235"/>
      <c r="I375" s="235"/>
      <c r="J375" s="235"/>
      <c r="K375" s="235"/>
      <c r="L375" s="235"/>
      <c r="M375" s="235"/>
      <c r="N375" s="235"/>
      <c r="O375" s="235"/>
      <c r="P375" s="235"/>
      <c r="Q375" s="235"/>
      <c r="R375" s="235"/>
      <c r="S375" s="235"/>
      <c r="T375" s="235"/>
      <c r="U375" s="235"/>
      <c r="V375" s="235"/>
      <c r="W375" s="235"/>
      <c r="X375" s="235"/>
      <c r="Y375" s="235"/>
      <c r="Z375" s="235"/>
      <c r="AA375" s="235"/>
      <c r="AB375" s="235"/>
      <c r="AC375" s="235"/>
    </row>
    <row r="376">
      <c r="A376" s="194" t="s">
        <v>606</v>
      </c>
      <c r="B376" s="193">
        <v>102120.0</v>
      </c>
      <c r="C376" s="192" t="s">
        <v>607</v>
      </c>
      <c r="D376" s="192" t="s">
        <v>380</v>
      </c>
      <c r="E376" s="235"/>
      <c r="F376" s="235"/>
      <c r="G376" s="325"/>
      <c r="H376" s="235"/>
      <c r="I376" s="235"/>
      <c r="J376" s="235"/>
      <c r="K376" s="235"/>
      <c r="L376" s="235"/>
      <c r="M376" s="235"/>
      <c r="N376" s="235"/>
      <c r="O376" s="235"/>
      <c r="P376" s="235"/>
      <c r="Q376" s="235"/>
      <c r="R376" s="235"/>
      <c r="S376" s="235"/>
      <c r="T376" s="235"/>
      <c r="U376" s="235"/>
      <c r="V376" s="235"/>
      <c r="W376" s="235"/>
      <c r="X376" s="235"/>
      <c r="Y376" s="235"/>
      <c r="Z376" s="235"/>
      <c r="AA376" s="235"/>
      <c r="AB376" s="235"/>
      <c r="AC376" s="235"/>
    </row>
    <row r="377">
      <c r="A377" s="194" t="s">
        <v>610</v>
      </c>
      <c r="B377" s="193">
        <v>102121.0</v>
      </c>
      <c r="C377" s="192" t="s">
        <v>611</v>
      </c>
      <c r="D377" s="192" t="s">
        <v>87</v>
      </c>
      <c r="E377" s="235"/>
      <c r="F377" s="235"/>
      <c r="G377" s="325"/>
      <c r="H377" s="235"/>
      <c r="I377" s="235"/>
      <c r="J377" s="235"/>
      <c r="K377" s="235"/>
      <c r="L377" s="235"/>
      <c r="M377" s="235"/>
      <c r="N377" s="235"/>
      <c r="O377" s="235"/>
      <c r="P377" s="235"/>
      <c r="Q377" s="235"/>
      <c r="R377" s="235"/>
      <c r="S377" s="235"/>
      <c r="T377" s="235"/>
      <c r="U377" s="235"/>
      <c r="V377" s="235"/>
      <c r="W377" s="235"/>
      <c r="X377" s="235"/>
      <c r="Y377" s="235"/>
      <c r="Z377" s="235"/>
      <c r="AA377" s="235"/>
      <c r="AB377" s="235"/>
      <c r="AC377" s="235"/>
    </row>
    <row r="378">
      <c r="A378" s="194" t="s">
        <v>594</v>
      </c>
      <c r="B378" s="193">
        <v>102094.0</v>
      </c>
      <c r="C378" s="192" t="s">
        <v>595</v>
      </c>
      <c r="D378" s="192" t="s">
        <v>87</v>
      </c>
      <c r="E378" s="235"/>
      <c r="F378" s="235"/>
      <c r="G378" s="325"/>
      <c r="H378" s="235"/>
      <c r="I378" s="235"/>
      <c r="J378" s="235"/>
      <c r="K378" s="235"/>
      <c r="L378" s="235"/>
      <c r="M378" s="235"/>
      <c r="N378" s="235"/>
      <c r="O378" s="235"/>
      <c r="P378" s="235"/>
      <c r="Q378" s="235"/>
      <c r="R378" s="235"/>
      <c r="S378" s="235"/>
      <c r="T378" s="235"/>
      <c r="U378" s="235"/>
      <c r="V378" s="235"/>
      <c r="W378" s="235"/>
      <c r="X378" s="235"/>
      <c r="Y378" s="235"/>
      <c r="Z378" s="235"/>
      <c r="AA378" s="235"/>
      <c r="AB378" s="235"/>
      <c r="AC378" s="235"/>
    </row>
    <row r="379">
      <c r="A379" s="194" t="s">
        <v>583</v>
      </c>
      <c r="B379" s="193">
        <v>102090.0</v>
      </c>
      <c r="C379" s="192" t="s">
        <v>419</v>
      </c>
      <c r="D379" s="192" t="s">
        <v>357</v>
      </c>
      <c r="E379" s="235"/>
      <c r="F379" s="235"/>
      <c r="G379" s="325"/>
      <c r="H379" s="235"/>
      <c r="I379" s="235"/>
      <c r="J379" s="235"/>
      <c r="K379" s="235"/>
      <c r="L379" s="235"/>
      <c r="M379" s="235"/>
      <c r="N379" s="235"/>
      <c r="O379" s="235"/>
      <c r="P379" s="235"/>
      <c r="Q379" s="235"/>
      <c r="R379" s="235"/>
      <c r="S379" s="235"/>
      <c r="T379" s="235"/>
      <c r="U379" s="235"/>
      <c r="V379" s="235"/>
      <c r="W379" s="235"/>
      <c r="X379" s="235"/>
      <c r="Y379" s="235"/>
      <c r="Z379" s="235"/>
      <c r="AA379" s="235"/>
      <c r="AB379" s="235"/>
      <c r="AC379" s="235"/>
    </row>
    <row r="380">
      <c r="A380" s="194" t="s">
        <v>2317</v>
      </c>
      <c r="B380" s="193">
        <v>105298.0</v>
      </c>
      <c r="C380" s="192"/>
      <c r="D380" s="192"/>
      <c r="E380" s="235"/>
      <c r="F380" s="235"/>
      <c r="G380" s="325"/>
      <c r="H380" s="235"/>
      <c r="I380" s="235"/>
      <c r="J380" s="235"/>
      <c r="K380" s="235"/>
      <c r="L380" s="235"/>
      <c r="M380" s="235"/>
      <c r="N380" s="235"/>
      <c r="O380" s="235"/>
      <c r="P380" s="235"/>
      <c r="Q380" s="235"/>
      <c r="R380" s="235"/>
      <c r="S380" s="235"/>
      <c r="T380" s="235"/>
      <c r="U380" s="235"/>
      <c r="V380" s="235"/>
      <c r="W380" s="235"/>
      <c r="X380" s="235"/>
      <c r="Y380" s="235"/>
      <c r="Z380" s="235"/>
      <c r="AA380" s="235"/>
      <c r="AB380" s="235"/>
      <c r="AC380" s="235"/>
    </row>
    <row r="381">
      <c r="A381" s="194" t="s">
        <v>2369</v>
      </c>
      <c r="B381" s="193">
        <v>105034.0</v>
      </c>
      <c r="C381" s="192" t="s">
        <v>2370</v>
      </c>
      <c r="D381" s="192" t="s">
        <v>4975</v>
      </c>
      <c r="E381" s="235"/>
      <c r="F381" s="235"/>
      <c r="G381" s="325"/>
      <c r="H381" s="235"/>
      <c r="I381" s="235"/>
      <c r="J381" s="235"/>
      <c r="K381" s="235"/>
      <c r="L381" s="235"/>
      <c r="M381" s="235"/>
      <c r="N381" s="235"/>
      <c r="O381" s="235"/>
      <c r="P381" s="235"/>
      <c r="Q381" s="235"/>
      <c r="R381" s="235"/>
      <c r="S381" s="235"/>
      <c r="T381" s="235"/>
      <c r="U381" s="235"/>
      <c r="V381" s="235"/>
      <c r="W381" s="235"/>
      <c r="X381" s="235"/>
      <c r="Y381" s="235"/>
      <c r="Z381" s="235"/>
      <c r="AA381" s="235"/>
      <c r="AB381" s="235"/>
      <c r="AC381" s="235"/>
    </row>
    <row r="382">
      <c r="A382" s="194" t="s">
        <v>596</v>
      </c>
      <c r="B382" s="193">
        <v>102095.0</v>
      </c>
      <c r="C382" s="192" t="s">
        <v>597</v>
      </c>
      <c r="D382" s="192" t="s">
        <v>87</v>
      </c>
      <c r="E382" s="235"/>
      <c r="F382" s="235"/>
      <c r="G382" s="325"/>
      <c r="H382" s="235"/>
      <c r="I382" s="235"/>
      <c r="J382" s="235"/>
      <c r="K382" s="235"/>
      <c r="L382" s="235"/>
      <c r="M382" s="235"/>
      <c r="N382" s="235"/>
      <c r="O382" s="235"/>
      <c r="P382" s="235"/>
      <c r="Q382" s="235"/>
      <c r="R382" s="235"/>
      <c r="S382" s="235"/>
      <c r="T382" s="235"/>
      <c r="U382" s="235"/>
      <c r="V382" s="235"/>
      <c r="W382" s="235"/>
      <c r="X382" s="235"/>
      <c r="Y382" s="235"/>
      <c r="Z382" s="235"/>
      <c r="AA382" s="235"/>
      <c r="AB382" s="235"/>
      <c r="AC382" s="235"/>
    </row>
    <row r="383">
      <c r="A383" s="194" t="s">
        <v>603</v>
      </c>
      <c r="B383" s="193">
        <v>102124.0</v>
      </c>
      <c r="C383" s="192" t="s">
        <v>604</v>
      </c>
      <c r="D383" s="192" t="s">
        <v>295</v>
      </c>
      <c r="E383" s="235"/>
      <c r="F383" s="235"/>
      <c r="G383" s="325"/>
      <c r="H383" s="235"/>
      <c r="I383" s="235"/>
      <c r="J383" s="235"/>
      <c r="K383" s="235"/>
      <c r="L383" s="235"/>
      <c r="M383" s="235"/>
      <c r="N383" s="235"/>
      <c r="O383" s="235"/>
      <c r="P383" s="235"/>
      <c r="Q383" s="235"/>
      <c r="R383" s="235"/>
      <c r="S383" s="235"/>
      <c r="T383" s="235"/>
      <c r="U383" s="235"/>
      <c r="V383" s="235"/>
      <c r="W383" s="235"/>
      <c r="X383" s="235"/>
      <c r="Y383" s="235"/>
      <c r="Z383" s="235"/>
      <c r="AA383" s="235"/>
      <c r="AB383" s="235"/>
      <c r="AC383" s="235"/>
    </row>
    <row r="384">
      <c r="A384" s="194" t="s">
        <v>617</v>
      </c>
      <c r="B384" s="193">
        <v>102136.0</v>
      </c>
      <c r="C384" s="192" t="s">
        <v>618</v>
      </c>
      <c r="D384" s="192" t="s">
        <v>312</v>
      </c>
      <c r="E384" s="235"/>
      <c r="F384" s="235"/>
      <c r="G384" s="325"/>
      <c r="H384" s="235"/>
      <c r="I384" s="235"/>
      <c r="J384" s="235"/>
      <c r="K384" s="235"/>
      <c r="L384" s="235"/>
      <c r="M384" s="235"/>
      <c r="N384" s="235"/>
      <c r="O384" s="235"/>
      <c r="P384" s="235"/>
      <c r="Q384" s="235"/>
      <c r="R384" s="235"/>
      <c r="S384" s="235"/>
      <c r="T384" s="235"/>
      <c r="U384" s="235"/>
      <c r="V384" s="235"/>
      <c r="W384" s="235"/>
      <c r="X384" s="235"/>
      <c r="Y384" s="235"/>
      <c r="Z384" s="235"/>
      <c r="AA384" s="235"/>
      <c r="AB384" s="235"/>
      <c r="AC384" s="235"/>
    </row>
    <row r="385">
      <c r="A385" s="194" t="s">
        <v>616</v>
      </c>
      <c r="B385" s="245">
        <v>44519.0</v>
      </c>
      <c r="C385" s="196"/>
      <c r="D385" s="192" t="s">
        <v>357</v>
      </c>
      <c r="E385" s="235"/>
      <c r="F385" s="235"/>
      <c r="G385" s="325"/>
      <c r="H385" s="235"/>
      <c r="I385" s="235"/>
      <c r="J385" s="235"/>
      <c r="K385" s="235"/>
      <c r="L385" s="235"/>
      <c r="M385" s="235"/>
      <c r="N385" s="235"/>
      <c r="O385" s="235"/>
      <c r="P385" s="235"/>
      <c r="Q385" s="235"/>
      <c r="R385" s="235"/>
      <c r="S385" s="235"/>
      <c r="T385" s="235"/>
      <c r="U385" s="235"/>
      <c r="V385" s="235"/>
      <c r="W385" s="235"/>
      <c r="X385" s="235"/>
      <c r="Y385" s="235"/>
      <c r="Z385" s="235"/>
      <c r="AA385" s="235"/>
      <c r="AB385" s="235"/>
      <c r="AC385" s="235"/>
    </row>
    <row r="386">
      <c r="A386" s="194" t="s">
        <v>614</v>
      </c>
      <c r="B386" s="193">
        <v>102148.0</v>
      </c>
      <c r="C386" s="192" t="s">
        <v>615</v>
      </c>
      <c r="D386" s="192" t="s">
        <v>51</v>
      </c>
      <c r="E386" s="235"/>
      <c r="F386" s="235"/>
      <c r="G386" s="325"/>
      <c r="H386" s="235"/>
      <c r="I386" s="235"/>
      <c r="J386" s="235"/>
      <c r="K386" s="235"/>
      <c r="L386" s="235"/>
      <c r="M386" s="235"/>
      <c r="N386" s="235"/>
      <c r="O386" s="235"/>
      <c r="P386" s="235"/>
      <c r="Q386" s="235"/>
      <c r="R386" s="235"/>
      <c r="S386" s="235"/>
      <c r="T386" s="235"/>
      <c r="U386" s="235"/>
      <c r="V386" s="235"/>
      <c r="W386" s="235"/>
      <c r="X386" s="235"/>
      <c r="Y386" s="235"/>
      <c r="Z386" s="235"/>
      <c r="AA386" s="235"/>
      <c r="AB386" s="235"/>
      <c r="AC386" s="235"/>
    </row>
    <row r="387">
      <c r="A387" s="194" t="s">
        <v>612</v>
      </c>
      <c r="B387" s="193">
        <v>102128.0</v>
      </c>
      <c r="C387" s="192" t="s">
        <v>613</v>
      </c>
      <c r="D387" s="192" t="s">
        <v>87</v>
      </c>
      <c r="E387" s="235"/>
      <c r="F387" s="235"/>
      <c r="G387" s="325"/>
      <c r="H387" s="235"/>
      <c r="I387" s="235"/>
      <c r="J387" s="235"/>
      <c r="K387" s="235"/>
      <c r="L387" s="235"/>
      <c r="M387" s="235"/>
      <c r="N387" s="235"/>
      <c r="O387" s="235"/>
      <c r="P387" s="235"/>
      <c r="Q387" s="235"/>
      <c r="R387" s="235"/>
      <c r="S387" s="235"/>
      <c r="T387" s="235"/>
      <c r="U387" s="235"/>
      <c r="V387" s="235"/>
      <c r="W387" s="235"/>
      <c r="X387" s="235"/>
      <c r="Y387" s="235"/>
      <c r="Z387" s="235"/>
      <c r="AA387" s="235"/>
      <c r="AB387" s="235"/>
      <c r="AC387" s="235"/>
    </row>
    <row r="388">
      <c r="A388" s="194" t="s">
        <v>619</v>
      </c>
      <c r="B388" s="193">
        <v>102155.0</v>
      </c>
      <c r="C388" s="192" t="s">
        <v>620</v>
      </c>
      <c r="D388" s="192" t="s">
        <v>295</v>
      </c>
      <c r="E388" s="235"/>
      <c r="F388" s="235"/>
      <c r="G388" s="325"/>
      <c r="H388" s="235"/>
      <c r="I388" s="235"/>
      <c r="J388" s="235"/>
      <c r="K388" s="235"/>
      <c r="L388" s="235"/>
      <c r="M388" s="235"/>
      <c r="N388" s="235"/>
      <c r="O388" s="235"/>
      <c r="P388" s="235"/>
      <c r="Q388" s="235"/>
      <c r="R388" s="235"/>
      <c r="S388" s="235"/>
      <c r="T388" s="235"/>
      <c r="U388" s="235"/>
      <c r="V388" s="235"/>
      <c r="W388" s="235"/>
      <c r="X388" s="235"/>
      <c r="Y388" s="235"/>
      <c r="Z388" s="235"/>
      <c r="AA388" s="235"/>
      <c r="AB388" s="235"/>
      <c r="AC388" s="235"/>
    </row>
    <row r="389">
      <c r="A389" s="194" t="s">
        <v>628</v>
      </c>
      <c r="B389" s="193">
        <v>102091.0</v>
      </c>
      <c r="C389" s="192" t="s">
        <v>629</v>
      </c>
      <c r="D389" s="192" t="s">
        <v>432</v>
      </c>
      <c r="E389" s="235"/>
      <c r="F389" s="235"/>
      <c r="G389" s="325"/>
      <c r="H389" s="235"/>
      <c r="I389" s="235"/>
      <c r="J389" s="235"/>
      <c r="K389" s="235"/>
      <c r="L389" s="235"/>
      <c r="M389" s="235"/>
      <c r="N389" s="235"/>
      <c r="O389" s="235"/>
      <c r="P389" s="235"/>
      <c r="Q389" s="235"/>
      <c r="R389" s="235"/>
      <c r="S389" s="235"/>
      <c r="T389" s="235"/>
      <c r="U389" s="235"/>
      <c r="V389" s="235"/>
      <c r="W389" s="235"/>
      <c r="X389" s="235"/>
      <c r="Y389" s="235"/>
      <c r="Z389" s="235"/>
      <c r="AA389" s="235"/>
      <c r="AB389" s="235"/>
      <c r="AC389" s="235"/>
    </row>
    <row r="390">
      <c r="A390" s="194" t="s">
        <v>621</v>
      </c>
      <c r="B390" s="193">
        <v>102165.0</v>
      </c>
      <c r="C390" s="192" t="s">
        <v>622</v>
      </c>
      <c r="D390" s="192" t="s">
        <v>214</v>
      </c>
      <c r="E390" s="235"/>
      <c r="F390" s="235"/>
      <c r="G390" s="325"/>
      <c r="H390" s="235"/>
      <c r="I390" s="235"/>
      <c r="J390" s="235"/>
      <c r="K390" s="235"/>
      <c r="L390" s="235"/>
      <c r="M390" s="235"/>
      <c r="N390" s="235"/>
      <c r="O390" s="235"/>
      <c r="P390" s="235"/>
      <c r="Q390" s="235"/>
      <c r="R390" s="235"/>
      <c r="S390" s="235"/>
      <c r="T390" s="235"/>
      <c r="U390" s="235"/>
      <c r="V390" s="235"/>
      <c r="W390" s="235"/>
      <c r="X390" s="235"/>
      <c r="Y390" s="235"/>
      <c r="Z390" s="235"/>
      <c r="AA390" s="235"/>
      <c r="AB390" s="235"/>
      <c r="AC390" s="235"/>
    </row>
    <row r="391">
      <c r="A391" s="194" t="s">
        <v>640</v>
      </c>
      <c r="B391" s="193">
        <v>102207.0</v>
      </c>
      <c r="C391" s="192" t="s">
        <v>641</v>
      </c>
      <c r="D391" s="192" t="s">
        <v>625</v>
      </c>
      <c r="E391" s="235"/>
      <c r="F391" s="235"/>
      <c r="G391" s="325"/>
      <c r="H391" s="235"/>
      <c r="I391" s="235"/>
      <c r="J391" s="235"/>
      <c r="K391" s="235"/>
      <c r="L391" s="235"/>
      <c r="M391" s="235"/>
      <c r="N391" s="235"/>
      <c r="O391" s="235"/>
      <c r="P391" s="235"/>
      <c r="Q391" s="235"/>
      <c r="R391" s="235"/>
      <c r="S391" s="235"/>
      <c r="T391" s="235"/>
      <c r="U391" s="235"/>
      <c r="V391" s="235"/>
      <c r="W391" s="235"/>
      <c r="X391" s="235"/>
      <c r="Y391" s="235"/>
      <c r="Z391" s="235"/>
      <c r="AA391" s="235"/>
      <c r="AB391" s="235"/>
      <c r="AC391" s="235"/>
    </row>
    <row r="392">
      <c r="A392" s="194" t="s">
        <v>636</v>
      </c>
      <c r="B392" s="193">
        <v>102214.0</v>
      </c>
      <c r="C392" s="192" t="s">
        <v>637</v>
      </c>
      <c r="D392" s="192" t="s">
        <v>51</v>
      </c>
      <c r="E392" s="235"/>
      <c r="F392" s="235"/>
      <c r="G392" s="325"/>
      <c r="H392" s="235"/>
      <c r="I392" s="235"/>
      <c r="J392" s="235"/>
      <c r="K392" s="235"/>
      <c r="L392" s="235"/>
      <c r="M392" s="235"/>
      <c r="N392" s="235"/>
      <c r="O392" s="235"/>
      <c r="P392" s="235"/>
      <c r="Q392" s="235"/>
      <c r="R392" s="235"/>
      <c r="S392" s="235"/>
      <c r="T392" s="235"/>
      <c r="U392" s="235"/>
      <c r="V392" s="235"/>
      <c r="W392" s="235"/>
      <c r="X392" s="235"/>
      <c r="Y392" s="235"/>
      <c r="Z392" s="235"/>
      <c r="AA392" s="235"/>
      <c r="AB392" s="235"/>
      <c r="AC392" s="235"/>
    </row>
    <row r="393">
      <c r="A393" s="194" t="s">
        <v>502</v>
      </c>
      <c r="B393" s="193">
        <v>102018.0</v>
      </c>
      <c r="C393" s="192" t="s">
        <v>503</v>
      </c>
      <c r="D393" s="192" t="s">
        <v>51</v>
      </c>
      <c r="E393" s="235"/>
      <c r="F393" s="235"/>
      <c r="G393" s="325"/>
      <c r="H393" s="235"/>
      <c r="I393" s="235"/>
      <c r="J393" s="235"/>
      <c r="K393" s="235"/>
      <c r="L393" s="235"/>
      <c r="M393" s="235"/>
      <c r="N393" s="235"/>
      <c r="O393" s="235"/>
      <c r="P393" s="235"/>
      <c r="Q393" s="235"/>
      <c r="R393" s="235"/>
      <c r="S393" s="235"/>
      <c r="T393" s="235"/>
      <c r="U393" s="235"/>
      <c r="V393" s="235"/>
      <c r="W393" s="235"/>
      <c r="X393" s="235"/>
      <c r="Y393" s="235"/>
      <c r="Z393" s="235"/>
      <c r="AA393" s="235"/>
      <c r="AB393" s="235"/>
      <c r="AC393" s="235"/>
    </row>
    <row r="394">
      <c r="A394" s="194" t="s">
        <v>638</v>
      </c>
      <c r="B394" s="193">
        <v>102213.0</v>
      </c>
      <c r="C394" s="192" t="s">
        <v>639</v>
      </c>
      <c r="D394" s="192" t="s">
        <v>51</v>
      </c>
      <c r="E394" s="235"/>
      <c r="F394" s="235"/>
      <c r="G394" s="325"/>
      <c r="H394" s="235"/>
      <c r="I394" s="235"/>
      <c r="J394" s="235"/>
      <c r="K394" s="235"/>
      <c r="L394" s="235"/>
      <c r="M394" s="235"/>
      <c r="N394" s="235"/>
      <c r="O394" s="235"/>
      <c r="P394" s="235"/>
      <c r="Q394" s="235"/>
      <c r="R394" s="235"/>
      <c r="S394" s="235"/>
      <c r="T394" s="235"/>
      <c r="U394" s="235"/>
      <c r="V394" s="235"/>
      <c r="W394" s="235"/>
      <c r="X394" s="235"/>
      <c r="Y394" s="235"/>
      <c r="Z394" s="235"/>
      <c r="AA394" s="235"/>
      <c r="AB394" s="235"/>
      <c r="AC394" s="235"/>
    </row>
    <row r="395">
      <c r="A395" s="194" t="s">
        <v>632</v>
      </c>
      <c r="B395" s="193">
        <v>102187.0</v>
      </c>
      <c r="C395" s="192" t="s">
        <v>633</v>
      </c>
      <c r="D395" s="192" t="s">
        <v>113</v>
      </c>
      <c r="E395" s="235"/>
      <c r="F395" s="235"/>
      <c r="G395" s="325"/>
      <c r="H395" s="235"/>
      <c r="I395" s="235"/>
      <c r="J395" s="235"/>
      <c r="K395" s="235"/>
      <c r="L395" s="235"/>
      <c r="M395" s="235"/>
      <c r="N395" s="235"/>
      <c r="O395" s="235"/>
      <c r="P395" s="235"/>
      <c r="Q395" s="235"/>
      <c r="R395" s="235"/>
      <c r="S395" s="235"/>
      <c r="T395" s="235"/>
      <c r="U395" s="235"/>
      <c r="V395" s="235"/>
      <c r="W395" s="235"/>
      <c r="X395" s="235"/>
      <c r="Y395" s="235"/>
      <c r="Z395" s="235"/>
      <c r="AA395" s="235"/>
      <c r="AB395" s="235"/>
      <c r="AC395" s="235"/>
    </row>
    <row r="396">
      <c r="A396" s="194" t="s">
        <v>634</v>
      </c>
      <c r="B396" s="193">
        <v>102212.0</v>
      </c>
      <c r="C396" s="192" t="s">
        <v>635</v>
      </c>
      <c r="D396" s="192" t="s">
        <v>51</v>
      </c>
      <c r="E396" s="235"/>
      <c r="F396" s="235"/>
      <c r="G396" s="325"/>
      <c r="H396" s="235"/>
      <c r="I396" s="235"/>
      <c r="J396" s="235"/>
      <c r="K396" s="235"/>
      <c r="L396" s="235"/>
      <c r="M396" s="235"/>
      <c r="N396" s="235"/>
      <c r="O396" s="235"/>
      <c r="P396" s="235"/>
      <c r="Q396" s="235"/>
      <c r="R396" s="235"/>
      <c r="S396" s="235"/>
      <c r="T396" s="235"/>
      <c r="U396" s="235"/>
      <c r="V396" s="235"/>
      <c r="W396" s="235"/>
      <c r="X396" s="235"/>
      <c r="Y396" s="235"/>
      <c r="Z396" s="235"/>
      <c r="AA396" s="235"/>
      <c r="AB396" s="235"/>
      <c r="AC396" s="235"/>
    </row>
    <row r="397">
      <c r="A397" s="194" t="s">
        <v>623</v>
      </c>
      <c r="B397" s="193">
        <v>102116.0</v>
      </c>
      <c r="C397" s="192" t="s">
        <v>624</v>
      </c>
      <c r="D397" s="192" t="s">
        <v>625</v>
      </c>
      <c r="E397" s="235"/>
      <c r="F397" s="235"/>
      <c r="G397" s="325"/>
      <c r="H397" s="235"/>
      <c r="I397" s="235"/>
      <c r="J397" s="235"/>
      <c r="K397" s="235"/>
      <c r="L397" s="235"/>
      <c r="M397" s="235"/>
      <c r="N397" s="235"/>
      <c r="O397" s="235"/>
      <c r="P397" s="235"/>
      <c r="Q397" s="235"/>
      <c r="R397" s="235"/>
      <c r="S397" s="235"/>
      <c r="T397" s="235"/>
      <c r="U397" s="235"/>
      <c r="V397" s="235"/>
      <c r="W397" s="235"/>
      <c r="X397" s="235"/>
      <c r="Y397" s="235"/>
      <c r="Z397" s="235"/>
      <c r="AA397" s="235"/>
      <c r="AB397" s="235"/>
      <c r="AC397" s="235"/>
    </row>
    <row r="398">
      <c r="A398" s="194" t="s">
        <v>626</v>
      </c>
      <c r="B398" s="193">
        <v>102181.0</v>
      </c>
      <c r="C398" s="192" t="s">
        <v>627</v>
      </c>
      <c r="D398" s="192" t="s">
        <v>51</v>
      </c>
      <c r="E398" s="235"/>
      <c r="F398" s="235"/>
      <c r="G398" s="325"/>
      <c r="H398" s="235"/>
      <c r="I398" s="235"/>
      <c r="J398" s="235"/>
      <c r="K398" s="235"/>
      <c r="L398" s="235"/>
      <c r="M398" s="235"/>
      <c r="N398" s="235"/>
      <c r="O398" s="235"/>
      <c r="P398" s="235"/>
      <c r="Q398" s="235"/>
      <c r="R398" s="235"/>
      <c r="S398" s="235"/>
      <c r="T398" s="235"/>
      <c r="U398" s="235"/>
      <c r="V398" s="235"/>
      <c r="W398" s="235"/>
      <c r="X398" s="235"/>
      <c r="Y398" s="235"/>
      <c r="Z398" s="235"/>
      <c r="AA398" s="235"/>
      <c r="AB398" s="235"/>
      <c r="AC398" s="235"/>
    </row>
    <row r="399">
      <c r="A399" s="194" t="s">
        <v>630</v>
      </c>
      <c r="B399" s="193">
        <v>102189.0</v>
      </c>
      <c r="C399" s="192" t="s">
        <v>631</v>
      </c>
      <c r="D399" s="192" t="s">
        <v>326</v>
      </c>
      <c r="E399" s="235"/>
      <c r="F399" s="235"/>
      <c r="G399" s="325"/>
      <c r="H399" s="235"/>
      <c r="I399" s="235"/>
      <c r="J399" s="235"/>
      <c r="K399" s="235"/>
      <c r="L399" s="235"/>
      <c r="M399" s="235"/>
      <c r="N399" s="235"/>
      <c r="O399" s="235"/>
      <c r="P399" s="235"/>
      <c r="Q399" s="235"/>
      <c r="R399" s="235"/>
      <c r="S399" s="235"/>
      <c r="T399" s="235"/>
      <c r="U399" s="235"/>
      <c r="V399" s="235"/>
      <c r="W399" s="235"/>
      <c r="X399" s="235"/>
      <c r="Y399" s="235"/>
      <c r="Z399" s="235"/>
      <c r="AA399" s="235"/>
      <c r="AB399" s="235"/>
      <c r="AC399" s="235"/>
    </row>
    <row r="400">
      <c r="A400" s="194" t="s">
        <v>416</v>
      </c>
      <c r="B400" s="193">
        <v>101864.0</v>
      </c>
      <c r="C400" s="192" t="s">
        <v>417</v>
      </c>
      <c r="D400" s="192" t="s">
        <v>51</v>
      </c>
      <c r="E400" s="235"/>
      <c r="F400" s="235"/>
      <c r="G400" s="325"/>
      <c r="H400" s="235"/>
      <c r="I400" s="235"/>
      <c r="J400" s="235"/>
      <c r="K400" s="235"/>
      <c r="L400" s="235"/>
      <c r="M400" s="235"/>
      <c r="N400" s="235"/>
      <c r="O400" s="235"/>
      <c r="P400" s="235"/>
      <c r="Q400" s="235"/>
      <c r="R400" s="235"/>
      <c r="S400" s="235"/>
      <c r="T400" s="235"/>
      <c r="U400" s="235"/>
      <c r="V400" s="235"/>
      <c r="W400" s="235"/>
      <c r="X400" s="235"/>
      <c r="Y400" s="235"/>
      <c r="Z400" s="235"/>
      <c r="AA400" s="235"/>
      <c r="AB400" s="235"/>
      <c r="AC400" s="235"/>
    </row>
    <row r="401">
      <c r="A401" s="194" t="s">
        <v>372</v>
      </c>
      <c r="B401" s="193">
        <v>101849.0</v>
      </c>
      <c r="C401" s="192" t="s">
        <v>373</v>
      </c>
      <c r="D401" s="192" t="s">
        <v>51</v>
      </c>
      <c r="E401" s="235"/>
      <c r="F401" s="235"/>
      <c r="G401" s="325"/>
      <c r="H401" s="235"/>
      <c r="I401" s="235"/>
      <c r="J401" s="235"/>
      <c r="K401" s="235"/>
      <c r="L401" s="235"/>
      <c r="M401" s="235"/>
      <c r="N401" s="235"/>
      <c r="O401" s="235"/>
      <c r="P401" s="235"/>
      <c r="Q401" s="235"/>
      <c r="R401" s="235"/>
      <c r="S401" s="235"/>
      <c r="T401" s="235"/>
      <c r="U401" s="235"/>
      <c r="V401" s="235"/>
      <c r="W401" s="235"/>
      <c r="X401" s="235"/>
      <c r="Y401" s="235"/>
      <c r="Z401" s="235"/>
      <c r="AA401" s="235"/>
      <c r="AB401" s="235"/>
      <c r="AC401" s="235"/>
    </row>
    <row r="402">
      <c r="A402" s="194" t="s">
        <v>404</v>
      </c>
      <c r="B402" s="193">
        <v>101808.0</v>
      </c>
      <c r="C402" s="192" t="s">
        <v>400</v>
      </c>
      <c r="D402" s="192" t="s">
        <v>397</v>
      </c>
      <c r="E402" s="235"/>
      <c r="F402" s="235"/>
      <c r="G402" s="325"/>
      <c r="H402" s="235"/>
      <c r="I402" s="235"/>
      <c r="J402" s="235"/>
      <c r="K402" s="235"/>
      <c r="L402" s="235"/>
      <c r="M402" s="235"/>
      <c r="N402" s="235"/>
      <c r="O402" s="235"/>
      <c r="P402" s="235"/>
      <c r="Q402" s="235"/>
      <c r="R402" s="235"/>
      <c r="S402" s="235"/>
      <c r="T402" s="235"/>
      <c r="U402" s="235"/>
      <c r="V402" s="235"/>
      <c r="W402" s="235"/>
      <c r="X402" s="235"/>
      <c r="Y402" s="235"/>
      <c r="Z402" s="235"/>
      <c r="AA402" s="235"/>
      <c r="AB402" s="235"/>
      <c r="AC402" s="235"/>
    </row>
    <row r="403">
      <c r="A403" s="194" t="s">
        <v>402</v>
      </c>
      <c r="B403" s="193">
        <v>101808.0</v>
      </c>
      <c r="C403" s="192" t="s">
        <v>400</v>
      </c>
      <c r="D403" s="192" t="s">
        <v>397</v>
      </c>
      <c r="E403" s="235"/>
      <c r="F403" s="235"/>
      <c r="G403" s="325"/>
      <c r="H403" s="235"/>
      <c r="I403" s="235"/>
      <c r="J403" s="235"/>
      <c r="K403" s="235"/>
      <c r="L403" s="235"/>
      <c r="M403" s="235"/>
      <c r="N403" s="235"/>
      <c r="O403" s="235"/>
      <c r="P403" s="235"/>
      <c r="Q403" s="235"/>
      <c r="R403" s="235"/>
      <c r="S403" s="235"/>
      <c r="T403" s="235"/>
      <c r="U403" s="235"/>
      <c r="V403" s="235"/>
      <c r="W403" s="235"/>
      <c r="X403" s="235"/>
      <c r="Y403" s="235"/>
      <c r="Z403" s="235"/>
      <c r="AA403" s="235"/>
      <c r="AB403" s="235"/>
      <c r="AC403" s="235"/>
    </row>
    <row r="404">
      <c r="A404" s="194" t="s">
        <v>395</v>
      </c>
      <c r="B404" s="193">
        <v>100054.0</v>
      </c>
      <c r="C404" s="196"/>
      <c r="D404" s="192" t="s">
        <v>397</v>
      </c>
      <c r="E404" s="235"/>
      <c r="F404" s="235"/>
      <c r="G404" s="325"/>
      <c r="H404" s="235"/>
      <c r="I404" s="235"/>
      <c r="J404" s="235"/>
      <c r="K404" s="235"/>
      <c r="L404" s="235"/>
      <c r="M404" s="235"/>
      <c r="N404" s="235"/>
      <c r="O404" s="235"/>
      <c r="P404" s="235"/>
      <c r="Q404" s="235"/>
      <c r="R404" s="235"/>
      <c r="S404" s="235"/>
      <c r="T404" s="235"/>
      <c r="U404" s="235"/>
      <c r="V404" s="235"/>
      <c r="W404" s="235"/>
      <c r="X404" s="235"/>
      <c r="Y404" s="235"/>
      <c r="Z404" s="235"/>
      <c r="AA404" s="235"/>
      <c r="AB404" s="235"/>
      <c r="AC404" s="235"/>
    </row>
    <row r="405">
      <c r="A405" s="194" t="s">
        <v>409</v>
      </c>
      <c r="B405" s="193">
        <v>101547.0</v>
      </c>
      <c r="C405" s="192" t="s">
        <v>410</v>
      </c>
      <c r="D405" s="192" t="s">
        <v>411</v>
      </c>
      <c r="E405" s="235"/>
      <c r="F405" s="235"/>
      <c r="G405" s="325"/>
      <c r="H405" s="235"/>
      <c r="I405" s="235"/>
      <c r="J405" s="235"/>
      <c r="K405" s="235"/>
      <c r="L405" s="235"/>
      <c r="M405" s="235"/>
      <c r="N405" s="235"/>
      <c r="O405" s="235"/>
      <c r="P405" s="235"/>
      <c r="Q405" s="235"/>
      <c r="R405" s="235"/>
      <c r="S405" s="235"/>
      <c r="T405" s="235"/>
      <c r="U405" s="235"/>
      <c r="V405" s="235"/>
      <c r="W405" s="235"/>
      <c r="X405" s="235"/>
      <c r="Y405" s="235"/>
      <c r="Z405" s="235"/>
      <c r="AA405" s="235"/>
      <c r="AB405" s="235"/>
      <c r="AC405" s="235"/>
    </row>
    <row r="406">
      <c r="A406" s="194" t="s">
        <v>399</v>
      </c>
      <c r="B406" s="193">
        <v>101808.0</v>
      </c>
      <c r="C406" s="192" t="s">
        <v>400</v>
      </c>
      <c r="D406" s="192" t="s">
        <v>397</v>
      </c>
      <c r="E406" s="235"/>
      <c r="F406" s="235"/>
      <c r="G406" s="325"/>
      <c r="H406" s="235"/>
      <c r="I406" s="235"/>
      <c r="J406" s="235"/>
      <c r="K406" s="235"/>
      <c r="L406" s="235"/>
      <c r="M406" s="235"/>
      <c r="N406" s="235"/>
      <c r="O406" s="235"/>
      <c r="P406" s="235"/>
      <c r="Q406" s="235"/>
      <c r="R406" s="235"/>
      <c r="S406" s="235"/>
      <c r="T406" s="235"/>
      <c r="U406" s="235"/>
      <c r="V406" s="235"/>
      <c r="W406" s="235"/>
      <c r="X406" s="235"/>
      <c r="Y406" s="235"/>
      <c r="Z406" s="235"/>
      <c r="AA406" s="235"/>
      <c r="AB406" s="235"/>
      <c r="AC406" s="235"/>
    </row>
    <row r="407">
      <c r="A407" s="194" t="s">
        <v>386</v>
      </c>
      <c r="B407" s="193">
        <v>101850.0</v>
      </c>
      <c r="C407" s="192" t="s">
        <v>387</v>
      </c>
      <c r="D407" s="192" t="s">
        <v>51</v>
      </c>
      <c r="E407" s="235"/>
      <c r="F407" s="235"/>
      <c r="G407" s="325"/>
      <c r="H407" s="235"/>
      <c r="I407" s="235"/>
      <c r="J407" s="235"/>
      <c r="K407" s="235"/>
      <c r="L407" s="235"/>
      <c r="M407" s="235"/>
      <c r="N407" s="235"/>
      <c r="O407" s="235"/>
      <c r="P407" s="235"/>
      <c r="Q407" s="235"/>
      <c r="R407" s="235"/>
      <c r="S407" s="235"/>
      <c r="T407" s="235"/>
      <c r="U407" s="235"/>
      <c r="V407" s="235"/>
      <c r="W407" s="235"/>
      <c r="X407" s="235"/>
      <c r="Y407" s="235"/>
      <c r="Z407" s="235"/>
      <c r="AA407" s="235"/>
      <c r="AB407" s="235"/>
      <c r="AC407" s="235"/>
    </row>
    <row r="408">
      <c r="A408" s="194" t="s">
        <v>412</v>
      </c>
      <c r="B408" s="193">
        <v>101832.0</v>
      </c>
      <c r="C408" s="192" t="s">
        <v>413</v>
      </c>
      <c r="D408" s="192" t="s">
        <v>87</v>
      </c>
      <c r="E408" s="235"/>
      <c r="F408" s="235"/>
      <c r="G408" s="325"/>
      <c r="H408" s="235"/>
      <c r="I408" s="235"/>
      <c r="J408" s="235"/>
      <c r="K408" s="235"/>
      <c r="L408" s="235"/>
      <c r="M408" s="235"/>
      <c r="N408" s="235"/>
      <c r="O408" s="235"/>
      <c r="P408" s="235"/>
      <c r="Q408" s="235"/>
      <c r="R408" s="235"/>
      <c r="S408" s="235"/>
      <c r="T408" s="235"/>
      <c r="U408" s="235"/>
      <c r="V408" s="235"/>
      <c r="W408" s="235"/>
      <c r="X408" s="235"/>
      <c r="Y408" s="235"/>
      <c r="Z408" s="235"/>
      <c r="AA408" s="235"/>
      <c r="AB408" s="235"/>
      <c r="AC408" s="235"/>
    </row>
    <row r="409">
      <c r="A409" s="194" t="s">
        <v>391</v>
      </c>
      <c r="B409" s="193">
        <v>101837.0</v>
      </c>
      <c r="C409" s="192" t="s">
        <v>392</v>
      </c>
      <c r="D409" s="192" t="s">
        <v>393</v>
      </c>
      <c r="E409" s="235"/>
      <c r="F409" s="235"/>
      <c r="G409" s="325"/>
      <c r="H409" s="235"/>
      <c r="I409" s="235"/>
      <c r="J409" s="235"/>
      <c r="K409" s="235"/>
      <c r="L409" s="235"/>
      <c r="M409" s="235"/>
      <c r="N409" s="235"/>
      <c r="O409" s="235"/>
      <c r="P409" s="235"/>
      <c r="Q409" s="235"/>
      <c r="R409" s="235"/>
      <c r="S409" s="235"/>
      <c r="T409" s="235"/>
      <c r="U409" s="235"/>
      <c r="V409" s="235"/>
      <c r="W409" s="235"/>
      <c r="X409" s="235"/>
      <c r="Y409" s="235"/>
      <c r="Z409" s="235"/>
      <c r="AA409" s="235"/>
      <c r="AB409" s="235"/>
      <c r="AC409" s="235"/>
    </row>
    <row r="410">
      <c r="A410" s="194" t="s">
        <v>374</v>
      </c>
      <c r="B410" s="193">
        <v>101832.0</v>
      </c>
      <c r="C410" s="192" t="s">
        <v>413</v>
      </c>
      <c r="D410" s="192" t="s">
        <v>414</v>
      </c>
      <c r="E410" s="235"/>
      <c r="F410" s="235"/>
      <c r="G410" s="325"/>
      <c r="H410" s="235"/>
      <c r="I410" s="235"/>
      <c r="J410" s="235"/>
      <c r="K410" s="235"/>
      <c r="L410" s="235"/>
      <c r="M410" s="235"/>
      <c r="N410" s="235"/>
      <c r="O410" s="235"/>
      <c r="P410" s="235"/>
      <c r="Q410" s="235"/>
      <c r="R410" s="235"/>
      <c r="S410" s="235"/>
      <c r="T410" s="235"/>
      <c r="U410" s="235"/>
      <c r="V410" s="235"/>
      <c r="W410" s="235"/>
      <c r="X410" s="235"/>
      <c r="Y410" s="235"/>
      <c r="Z410" s="235"/>
      <c r="AA410" s="235"/>
      <c r="AB410" s="235"/>
      <c r="AC410" s="235"/>
    </row>
    <row r="411">
      <c r="A411" s="194" t="s">
        <v>365</v>
      </c>
      <c r="B411" s="193">
        <v>101836.0</v>
      </c>
      <c r="C411" s="192" t="s">
        <v>366</v>
      </c>
      <c r="D411" s="192" t="s">
        <v>51</v>
      </c>
      <c r="E411" s="235"/>
      <c r="F411" s="235"/>
      <c r="G411" s="325"/>
      <c r="H411" s="235"/>
      <c r="I411" s="235"/>
      <c r="J411" s="235"/>
      <c r="K411" s="235"/>
      <c r="L411" s="235"/>
      <c r="M411" s="235"/>
      <c r="N411" s="235"/>
      <c r="O411" s="235"/>
      <c r="P411" s="235"/>
      <c r="Q411" s="235"/>
      <c r="R411" s="235"/>
      <c r="S411" s="235"/>
      <c r="T411" s="235"/>
      <c r="U411" s="235"/>
      <c r="V411" s="235"/>
      <c r="W411" s="235"/>
      <c r="X411" s="235"/>
      <c r="Y411" s="235"/>
      <c r="Z411" s="235"/>
      <c r="AA411" s="235"/>
      <c r="AB411" s="235"/>
      <c r="AC411" s="235"/>
    </row>
    <row r="412">
      <c r="A412" s="194" t="s">
        <v>351</v>
      </c>
      <c r="B412" s="193">
        <v>101801.0</v>
      </c>
      <c r="C412" s="192" t="s">
        <v>352</v>
      </c>
      <c r="D412" s="192" t="s">
        <v>87</v>
      </c>
      <c r="E412" s="235"/>
      <c r="F412" s="235"/>
      <c r="G412" s="325"/>
      <c r="H412" s="235"/>
      <c r="I412" s="235"/>
      <c r="J412" s="235"/>
      <c r="K412" s="235"/>
      <c r="L412" s="235"/>
      <c r="M412" s="235"/>
      <c r="N412" s="235"/>
      <c r="O412" s="235"/>
      <c r="P412" s="235"/>
      <c r="Q412" s="235"/>
      <c r="R412" s="235"/>
      <c r="S412" s="235"/>
      <c r="T412" s="235"/>
      <c r="U412" s="235"/>
      <c r="V412" s="235"/>
      <c r="W412" s="235"/>
      <c r="X412" s="235"/>
      <c r="Y412" s="235"/>
      <c r="Z412" s="235"/>
      <c r="AA412" s="235"/>
      <c r="AB412" s="235"/>
      <c r="AC412" s="235"/>
    </row>
    <row r="413">
      <c r="A413" s="194" t="s">
        <v>361</v>
      </c>
      <c r="B413" s="193">
        <v>101800.0</v>
      </c>
      <c r="C413" s="192" t="s">
        <v>359</v>
      </c>
      <c r="D413" s="192" t="s">
        <v>295</v>
      </c>
      <c r="E413" s="235"/>
      <c r="F413" s="235"/>
      <c r="G413" s="325"/>
      <c r="H413" s="235"/>
      <c r="I413" s="235"/>
      <c r="J413" s="235"/>
      <c r="K413" s="235"/>
      <c r="L413" s="235"/>
      <c r="M413" s="235"/>
      <c r="N413" s="235"/>
      <c r="O413" s="235"/>
      <c r="P413" s="235"/>
      <c r="Q413" s="235"/>
      <c r="R413" s="235"/>
      <c r="S413" s="235"/>
      <c r="T413" s="235"/>
      <c r="U413" s="235"/>
      <c r="V413" s="235"/>
      <c r="W413" s="235"/>
      <c r="X413" s="235"/>
      <c r="Y413" s="235"/>
      <c r="Z413" s="235"/>
      <c r="AA413" s="235"/>
      <c r="AB413" s="235"/>
      <c r="AC413" s="235"/>
    </row>
    <row r="414">
      <c r="A414" s="194" t="s">
        <v>349</v>
      </c>
      <c r="B414" s="193">
        <v>101802.0</v>
      </c>
      <c r="C414" s="192" t="s">
        <v>350</v>
      </c>
      <c r="D414" s="192" t="s">
        <v>340</v>
      </c>
      <c r="E414" s="235"/>
      <c r="F414" s="235"/>
      <c r="G414" s="325"/>
      <c r="H414" s="235"/>
      <c r="I414" s="235"/>
      <c r="J414" s="235"/>
      <c r="K414" s="235"/>
      <c r="L414" s="235"/>
      <c r="M414" s="235"/>
      <c r="N414" s="235"/>
      <c r="O414" s="235"/>
      <c r="P414" s="235"/>
      <c r="Q414" s="235"/>
      <c r="R414" s="235"/>
      <c r="S414" s="235"/>
      <c r="T414" s="235"/>
      <c r="U414" s="235"/>
      <c r="V414" s="235"/>
      <c r="W414" s="235"/>
      <c r="X414" s="235"/>
      <c r="Y414" s="235"/>
      <c r="Z414" s="235"/>
      <c r="AA414" s="235"/>
      <c r="AB414" s="235"/>
      <c r="AC414" s="235"/>
    </row>
    <row r="415">
      <c r="A415" s="194" t="s">
        <v>358</v>
      </c>
      <c r="B415" s="193">
        <v>101800.0</v>
      </c>
      <c r="C415" s="192" t="s">
        <v>359</v>
      </c>
      <c r="D415" s="192" t="s">
        <v>360</v>
      </c>
      <c r="E415" s="235"/>
      <c r="F415" s="235"/>
      <c r="G415" s="325"/>
      <c r="H415" s="235"/>
      <c r="I415" s="235"/>
      <c r="J415" s="235"/>
      <c r="K415" s="235"/>
      <c r="L415" s="235"/>
      <c r="M415" s="235"/>
      <c r="N415" s="235"/>
      <c r="O415" s="235"/>
      <c r="P415" s="235"/>
      <c r="Q415" s="235"/>
      <c r="R415" s="235"/>
      <c r="S415" s="235"/>
      <c r="T415" s="235"/>
      <c r="U415" s="235"/>
      <c r="V415" s="235"/>
      <c r="W415" s="235"/>
      <c r="X415" s="235"/>
      <c r="Y415" s="235"/>
      <c r="Z415" s="235"/>
      <c r="AA415" s="235"/>
      <c r="AB415" s="235"/>
      <c r="AC415" s="235"/>
    </row>
    <row r="416">
      <c r="A416" s="194" t="s">
        <v>368</v>
      </c>
      <c r="B416" s="193">
        <v>101823.0</v>
      </c>
      <c r="C416" s="192" t="s">
        <v>369</v>
      </c>
      <c r="D416" s="192" t="s">
        <v>87</v>
      </c>
      <c r="E416" s="235"/>
      <c r="F416" s="235"/>
      <c r="G416" s="325"/>
      <c r="H416" s="235"/>
      <c r="I416" s="235"/>
      <c r="J416" s="235"/>
      <c r="K416" s="235"/>
      <c r="L416" s="235"/>
      <c r="M416" s="235"/>
      <c r="N416" s="235"/>
      <c r="O416" s="235"/>
      <c r="P416" s="235"/>
      <c r="Q416" s="235"/>
      <c r="R416" s="235"/>
      <c r="S416" s="235"/>
      <c r="T416" s="235"/>
      <c r="U416" s="235"/>
      <c r="V416" s="235"/>
      <c r="W416" s="235"/>
      <c r="X416" s="235"/>
      <c r="Y416" s="235"/>
      <c r="Z416" s="235"/>
      <c r="AA416" s="235"/>
      <c r="AB416" s="235"/>
      <c r="AC416" s="235"/>
    </row>
    <row r="417">
      <c r="A417" s="194" t="s">
        <v>319</v>
      </c>
      <c r="B417" s="193">
        <v>101784.0</v>
      </c>
      <c r="C417" s="192" t="s">
        <v>322</v>
      </c>
      <c r="D417" s="192" t="s">
        <v>295</v>
      </c>
      <c r="E417" s="235"/>
      <c r="F417" s="235"/>
      <c r="G417" s="325"/>
      <c r="H417" s="235"/>
      <c r="I417" s="235"/>
      <c r="J417" s="235"/>
      <c r="K417" s="235"/>
      <c r="L417" s="235"/>
      <c r="M417" s="235"/>
      <c r="N417" s="235"/>
      <c r="O417" s="235"/>
      <c r="P417" s="235"/>
      <c r="Q417" s="235"/>
      <c r="R417" s="235"/>
      <c r="S417" s="235"/>
      <c r="T417" s="235"/>
      <c r="U417" s="235"/>
      <c r="V417" s="235"/>
      <c r="W417" s="235"/>
      <c r="X417" s="235"/>
      <c r="Y417" s="235"/>
      <c r="Z417" s="235"/>
      <c r="AA417" s="235"/>
      <c r="AB417" s="235"/>
      <c r="AC417" s="235"/>
    </row>
    <row r="418">
      <c r="A418" s="194" t="s">
        <v>363</v>
      </c>
      <c r="B418" s="193">
        <v>101812.0</v>
      </c>
      <c r="C418" s="192" t="s">
        <v>364</v>
      </c>
      <c r="D418" s="192" t="s">
        <v>295</v>
      </c>
      <c r="E418" s="235"/>
      <c r="F418" s="235"/>
      <c r="G418" s="325"/>
      <c r="H418" s="235"/>
      <c r="I418" s="235"/>
      <c r="J418" s="235"/>
      <c r="K418" s="235"/>
      <c r="L418" s="235"/>
      <c r="M418" s="235"/>
      <c r="N418" s="235"/>
      <c r="O418" s="235"/>
      <c r="P418" s="235"/>
      <c r="Q418" s="235"/>
      <c r="R418" s="235"/>
      <c r="S418" s="235"/>
      <c r="T418" s="235"/>
      <c r="U418" s="235"/>
      <c r="V418" s="235"/>
      <c r="W418" s="235"/>
      <c r="X418" s="235"/>
      <c r="Y418" s="235"/>
      <c r="Z418" s="235"/>
      <c r="AA418" s="235"/>
      <c r="AB418" s="235"/>
      <c r="AC418" s="235"/>
    </row>
    <row r="419">
      <c r="A419" s="194" t="s">
        <v>548</v>
      </c>
      <c r="B419" s="193">
        <v>102506.0</v>
      </c>
      <c r="C419" s="192" t="s">
        <v>549</v>
      </c>
      <c r="D419" s="192" t="s">
        <v>295</v>
      </c>
      <c r="E419" s="235"/>
      <c r="F419" s="235"/>
      <c r="G419" s="325"/>
      <c r="H419" s="235"/>
      <c r="I419" s="235"/>
      <c r="J419" s="235"/>
      <c r="K419" s="235"/>
      <c r="L419" s="235"/>
      <c r="M419" s="235"/>
      <c r="N419" s="235"/>
      <c r="O419" s="235"/>
      <c r="P419" s="235"/>
      <c r="Q419" s="235"/>
      <c r="R419" s="235"/>
      <c r="S419" s="235"/>
      <c r="T419" s="235"/>
      <c r="U419" s="235"/>
      <c r="V419" s="235"/>
      <c r="W419" s="235"/>
      <c r="X419" s="235"/>
      <c r="Y419" s="235"/>
      <c r="Z419" s="235"/>
      <c r="AA419" s="235"/>
      <c r="AB419" s="235"/>
      <c r="AC419" s="235"/>
    </row>
    <row r="420">
      <c r="A420" s="194" t="s">
        <v>545</v>
      </c>
      <c r="B420" s="193">
        <v>102501.0</v>
      </c>
      <c r="C420" s="192" t="s">
        <v>546</v>
      </c>
      <c r="D420" s="196"/>
      <c r="E420" s="235"/>
      <c r="F420" s="235"/>
      <c r="G420" s="325"/>
      <c r="H420" s="235"/>
      <c r="I420" s="235"/>
      <c r="J420" s="235"/>
      <c r="K420" s="235"/>
      <c r="L420" s="235"/>
      <c r="M420" s="235"/>
      <c r="N420" s="235"/>
      <c r="O420" s="235"/>
      <c r="P420" s="235"/>
      <c r="Q420" s="235"/>
      <c r="R420" s="235"/>
      <c r="S420" s="235"/>
      <c r="T420" s="235"/>
      <c r="U420" s="235"/>
      <c r="V420" s="235"/>
      <c r="W420" s="235"/>
      <c r="X420" s="235"/>
      <c r="Y420" s="235"/>
      <c r="Z420" s="235"/>
      <c r="AA420" s="235"/>
      <c r="AB420" s="235"/>
      <c r="AC420" s="235"/>
    </row>
    <row r="421">
      <c r="A421" s="194" t="s">
        <v>355</v>
      </c>
      <c r="B421" s="193">
        <v>101818.0</v>
      </c>
      <c r="C421" s="192" t="s">
        <v>356</v>
      </c>
      <c r="D421" s="192" t="s">
        <v>357</v>
      </c>
      <c r="E421" s="235"/>
      <c r="F421" s="235"/>
      <c r="G421" s="325"/>
      <c r="H421" s="235"/>
      <c r="I421" s="235"/>
      <c r="J421" s="235"/>
      <c r="K421" s="235"/>
      <c r="L421" s="235"/>
      <c r="M421" s="235"/>
      <c r="N421" s="235"/>
      <c r="O421" s="235"/>
      <c r="P421" s="235"/>
      <c r="Q421" s="235"/>
      <c r="R421" s="235"/>
      <c r="S421" s="235"/>
      <c r="T421" s="235"/>
      <c r="U421" s="235"/>
      <c r="V421" s="235"/>
      <c r="W421" s="235"/>
      <c r="X421" s="235"/>
      <c r="Y421" s="235"/>
      <c r="Z421" s="235"/>
      <c r="AA421" s="235"/>
      <c r="AB421" s="235"/>
      <c r="AC421" s="235"/>
    </row>
    <row r="422">
      <c r="A422" s="194" t="s">
        <v>484</v>
      </c>
      <c r="B422" s="193">
        <v>101922.0</v>
      </c>
      <c r="C422" s="192" t="s">
        <v>485</v>
      </c>
      <c r="D422" s="192" t="s">
        <v>295</v>
      </c>
      <c r="E422" s="235"/>
      <c r="F422" s="235"/>
      <c r="G422" s="325"/>
      <c r="H422" s="235"/>
      <c r="I422" s="235"/>
      <c r="J422" s="235"/>
      <c r="K422" s="235"/>
      <c r="L422" s="235"/>
      <c r="M422" s="235"/>
      <c r="N422" s="235"/>
      <c r="O422" s="235"/>
      <c r="P422" s="235"/>
      <c r="Q422" s="235"/>
      <c r="R422" s="235"/>
      <c r="S422" s="235"/>
      <c r="T422" s="235"/>
      <c r="U422" s="235"/>
      <c r="V422" s="235"/>
      <c r="W422" s="235"/>
      <c r="X422" s="235"/>
      <c r="Y422" s="235"/>
      <c r="Z422" s="235"/>
      <c r="AA422" s="235"/>
      <c r="AB422" s="235"/>
      <c r="AC422" s="235"/>
    </row>
    <row r="423">
      <c r="A423" s="194" t="s">
        <v>448</v>
      </c>
      <c r="B423" s="193">
        <v>101918.0</v>
      </c>
      <c r="C423" s="192" t="s">
        <v>449</v>
      </c>
      <c r="D423" s="192" t="s">
        <v>295</v>
      </c>
      <c r="E423" s="235"/>
      <c r="F423" s="235"/>
      <c r="G423" s="325"/>
      <c r="H423" s="235"/>
      <c r="I423" s="235"/>
      <c r="J423" s="235"/>
      <c r="K423" s="235"/>
      <c r="L423" s="235"/>
      <c r="M423" s="235"/>
      <c r="N423" s="235"/>
      <c r="O423" s="235"/>
      <c r="P423" s="235"/>
      <c r="Q423" s="235"/>
      <c r="R423" s="235"/>
      <c r="S423" s="235"/>
      <c r="T423" s="235"/>
      <c r="U423" s="235"/>
      <c r="V423" s="235"/>
      <c r="W423" s="235"/>
      <c r="X423" s="235"/>
      <c r="Y423" s="235"/>
      <c r="Z423" s="235"/>
      <c r="AA423" s="235"/>
      <c r="AB423" s="235"/>
      <c r="AC423" s="235"/>
    </row>
    <row r="424">
      <c r="A424" s="194" t="s">
        <v>560</v>
      </c>
      <c r="B424" s="193">
        <v>102067.0</v>
      </c>
      <c r="C424" s="192" t="s">
        <v>561</v>
      </c>
      <c r="D424" s="192" t="s">
        <v>295</v>
      </c>
      <c r="E424" s="235"/>
      <c r="F424" s="235"/>
      <c r="G424" s="325"/>
      <c r="H424" s="235"/>
      <c r="I424" s="235"/>
      <c r="J424" s="235"/>
      <c r="K424" s="235"/>
      <c r="L424" s="235"/>
      <c r="M424" s="235"/>
      <c r="N424" s="235"/>
      <c r="O424" s="235"/>
      <c r="P424" s="235"/>
      <c r="Q424" s="235"/>
      <c r="R424" s="235"/>
      <c r="S424" s="235"/>
      <c r="T424" s="235"/>
      <c r="U424" s="235"/>
      <c r="V424" s="235"/>
      <c r="W424" s="235"/>
      <c r="X424" s="235"/>
      <c r="Y424" s="235"/>
      <c r="Z424" s="235"/>
      <c r="AA424" s="235"/>
      <c r="AB424" s="235"/>
      <c r="AC424" s="235"/>
    </row>
    <row r="425">
      <c r="A425" s="194" t="s">
        <v>2377</v>
      </c>
      <c r="B425" s="193">
        <v>104668.0</v>
      </c>
      <c r="C425" s="192"/>
      <c r="D425" s="196"/>
      <c r="E425" s="235"/>
      <c r="F425" s="235"/>
      <c r="G425" s="325"/>
      <c r="H425" s="235"/>
      <c r="I425" s="235"/>
      <c r="J425" s="235"/>
      <c r="K425" s="235"/>
      <c r="L425" s="235"/>
      <c r="M425" s="235"/>
      <c r="N425" s="235"/>
      <c r="O425" s="235"/>
      <c r="P425" s="235"/>
      <c r="Q425" s="235"/>
      <c r="R425" s="235"/>
      <c r="S425" s="235"/>
      <c r="T425" s="235"/>
      <c r="U425" s="235"/>
      <c r="V425" s="235"/>
      <c r="W425" s="235"/>
      <c r="X425" s="235"/>
      <c r="Y425" s="235"/>
      <c r="Z425" s="235"/>
      <c r="AA425" s="235"/>
      <c r="AB425" s="235"/>
      <c r="AC425" s="235"/>
    </row>
    <row r="426">
      <c r="A426" s="194" t="s">
        <v>452</v>
      </c>
      <c r="B426" s="193">
        <v>101917.0</v>
      </c>
      <c r="C426" s="192" t="s">
        <v>453</v>
      </c>
      <c r="D426" s="192" t="s">
        <v>219</v>
      </c>
      <c r="E426" s="235"/>
      <c r="F426" s="235"/>
      <c r="G426" s="325"/>
      <c r="H426" s="235"/>
      <c r="I426" s="235"/>
      <c r="J426" s="235"/>
      <c r="K426" s="235"/>
      <c r="L426" s="235"/>
      <c r="M426" s="235"/>
      <c r="N426" s="235"/>
      <c r="O426" s="235"/>
      <c r="P426" s="235"/>
      <c r="Q426" s="235"/>
      <c r="R426" s="235"/>
      <c r="S426" s="235"/>
      <c r="T426" s="235"/>
      <c r="U426" s="235"/>
      <c r="V426" s="235"/>
      <c r="W426" s="235"/>
      <c r="X426" s="235"/>
      <c r="Y426" s="235"/>
      <c r="Z426" s="235"/>
      <c r="AA426" s="235"/>
      <c r="AB426" s="235"/>
      <c r="AC426" s="235"/>
    </row>
    <row r="427">
      <c r="A427" s="194" t="s">
        <v>558</v>
      </c>
      <c r="B427" s="193">
        <v>102069.0</v>
      </c>
      <c r="C427" s="192" t="s">
        <v>559</v>
      </c>
      <c r="D427" s="192" t="s">
        <v>219</v>
      </c>
      <c r="E427" s="235"/>
      <c r="F427" s="235"/>
      <c r="G427" s="325"/>
      <c r="H427" s="235"/>
      <c r="I427" s="235"/>
      <c r="J427" s="235"/>
      <c r="K427" s="235"/>
      <c r="L427" s="235"/>
      <c r="M427" s="235"/>
      <c r="N427" s="235"/>
      <c r="O427" s="235"/>
      <c r="P427" s="235"/>
      <c r="Q427" s="235"/>
      <c r="R427" s="235"/>
      <c r="S427" s="235"/>
      <c r="T427" s="235"/>
      <c r="U427" s="235"/>
      <c r="V427" s="235"/>
      <c r="W427" s="235"/>
      <c r="X427" s="235"/>
      <c r="Y427" s="235"/>
      <c r="Z427" s="235"/>
      <c r="AA427" s="235"/>
      <c r="AB427" s="235"/>
      <c r="AC427" s="235"/>
    </row>
    <row r="428">
      <c r="A428" s="194" t="s">
        <v>343</v>
      </c>
      <c r="B428" s="193">
        <v>101789.0</v>
      </c>
      <c r="C428" s="192" t="s">
        <v>344</v>
      </c>
      <c r="D428" s="192" t="s">
        <v>125</v>
      </c>
      <c r="E428" s="235"/>
      <c r="F428" s="235"/>
      <c r="G428" s="325"/>
      <c r="H428" s="235"/>
      <c r="I428" s="235"/>
      <c r="J428" s="235"/>
      <c r="K428" s="235"/>
      <c r="L428" s="235"/>
      <c r="M428" s="235"/>
      <c r="N428" s="235"/>
      <c r="O428" s="235"/>
      <c r="P428" s="235"/>
      <c r="Q428" s="235"/>
      <c r="R428" s="235"/>
      <c r="S428" s="235"/>
      <c r="T428" s="235"/>
      <c r="U428" s="235"/>
      <c r="V428" s="235"/>
      <c r="W428" s="235"/>
      <c r="X428" s="235"/>
      <c r="Y428" s="235"/>
      <c r="Z428" s="235"/>
      <c r="AA428" s="235"/>
      <c r="AB428" s="235"/>
      <c r="AC428" s="235"/>
    </row>
    <row r="429">
      <c r="A429" s="194" t="s">
        <v>450</v>
      </c>
      <c r="B429" s="193">
        <v>101916.0</v>
      </c>
      <c r="C429" s="192" t="s">
        <v>451</v>
      </c>
      <c r="D429" s="192" t="s">
        <v>432</v>
      </c>
      <c r="E429" s="235"/>
      <c r="F429" s="235"/>
      <c r="G429" s="325"/>
      <c r="H429" s="235"/>
      <c r="I429" s="235"/>
      <c r="J429" s="235"/>
      <c r="K429" s="235"/>
      <c r="L429" s="235"/>
      <c r="M429" s="235"/>
      <c r="N429" s="235"/>
      <c r="O429" s="235"/>
      <c r="P429" s="235"/>
      <c r="Q429" s="235"/>
      <c r="R429" s="235"/>
      <c r="S429" s="235"/>
      <c r="T429" s="235"/>
      <c r="U429" s="235"/>
      <c r="V429" s="235"/>
      <c r="W429" s="235"/>
      <c r="X429" s="235"/>
      <c r="Y429" s="235"/>
      <c r="Z429" s="235"/>
      <c r="AA429" s="235"/>
      <c r="AB429" s="235"/>
      <c r="AC429" s="235"/>
    </row>
    <row r="430">
      <c r="A430" s="194" t="s">
        <v>345</v>
      </c>
      <c r="B430" s="193">
        <v>101797.0</v>
      </c>
      <c r="C430" s="192" t="s">
        <v>346</v>
      </c>
      <c r="D430" s="192" t="s">
        <v>51</v>
      </c>
      <c r="E430" s="235"/>
      <c r="F430" s="235"/>
      <c r="G430" s="325"/>
      <c r="H430" s="235"/>
      <c r="I430" s="235"/>
      <c r="J430" s="235"/>
      <c r="K430" s="235"/>
      <c r="L430" s="235"/>
      <c r="M430" s="235"/>
      <c r="N430" s="235"/>
      <c r="O430" s="235"/>
      <c r="P430" s="235"/>
      <c r="Q430" s="235"/>
      <c r="R430" s="235"/>
      <c r="S430" s="235"/>
      <c r="T430" s="235"/>
      <c r="U430" s="235"/>
      <c r="V430" s="235"/>
      <c r="W430" s="235"/>
      <c r="X430" s="235"/>
      <c r="Y430" s="235"/>
      <c r="Z430" s="235"/>
      <c r="AA430" s="235"/>
      <c r="AB430" s="235"/>
      <c r="AC430" s="235"/>
    </row>
    <row r="431">
      <c r="A431" s="194" t="s">
        <v>337</v>
      </c>
      <c r="B431" s="193">
        <v>101796.0</v>
      </c>
      <c r="C431" s="192" t="s">
        <v>338</v>
      </c>
      <c r="D431" s="192" t="s">
        <v>51</v>
      </c>
      <c r="E431" s="235"/>
      <c r="F431" s="235"/>
      <c r="G431" s="325"/>
      <c r="H431" s="235"/>
      <c r="I431" s="235"/>
      <c r="J431" s="235"/>
      <c r="K431" s="235"/>
      <c r="L431" s="235"/>
      <c r="M431" s="235"/>
      <c r="N431" s="235"/>
      <c r="O431" s="235"/>
      <c r="P431" s="235"/>
      <c r="Q431" s="235"/>
      <c r="R431" s="235"/>
      <c r="S431" s="235"/>
      <c r="T431" s="235"/>
      <c r="U431" s="235"/>
      <c r="V431" s="235"/>
      <c r="W431" s="235"/>
      <c r="X431" s="235"/>
      <c r="Y431" s="235"/>
      <c r="Z431" s="235"/>
      <c r="AA431" s="235"/>
      <c r="AB431" s="235"/>
      <c r="AC431" s="235"/>
    </row>
    <row r="432">
      <c r="A432" s="194" t="s">
        <v>353</v>
      </c>
      <c r="B432" s="193">
        <v>101805.0</v>
      </c>
      <c r="C432" s="192" t="s">
        <v>354</v>
      </c>
      <c r="D432" s="192" t="s">
        <v>51</v>
      </c>
      <c r="E432" s="235"/>
      <c r="F432" s="235"/>
      <c r="G432" s="325"/>
      <c r="H432" s="235"/>
      <c r="I432" s="235"/>
      <c r="J432" s="235"/>
      <c r="K432" s="235"/>
      <c r="L432" s="235"/>
      <c r="M432" s="235"/>
      <c r="N432" s="235"/>
      <c r="O432" s="235"/>
      <c r="P432" s="235"/>
      <c r="Q432" s="235"/>
      <c r="R432" s="235"/>
      <c r="S432" s="235"/>
      <c r="T432" s="235"/>
      <c r="U432" s="235"/>
      <c r="V432" s="235"/>
      <c r="W432" s="235"/>
      <c r="X432" s="235"/>
      <c r="Y432" s="235"/>
      <c r="Z432" s="235"/>
      <c r="AA432" s="235"/>
      <c r="AB432" s="235"/>
      <c r="AC432" s="235"/>
    </row>
    <row r="433">
      <c r="A433" s="194" t="s">
        <v>313</v>
      </c>
      <c r="B433" s="193">
        <v>101728.0</v>
      </c>
      <c r="C433" s="192" t="s">
        <v>314</v>
      </c>
      <c r="D433" s="192" t="s">
        <v>315</v>
      </c>
      <c r="E433" s="235"/>
      <c r="F433" s="235"/>
      <c r="G433" s="325"/>
      <c r="H433" s="235"/>
      <c r="I433" s="235"/>
      <c r="J433" s="235"/>
      <c r="K433" s="235"/>
      <c r="L433" s="235"/>
      <c r="M433" s="235"/>
      <c r="N433" s="235"/>
      <c r="O433" s="235"/>
      <c r="P433" s="235"/>
      <c r="Q433" s="235"/>
      <c r="R433" s="235"/>
      <c r="S433" s="235"/>
      <c r="T433" s="235"/>
      <c r="U433" s="235"/>
      <c r="V433" s="235"/>
      <c r="W433" s="235"/>
      <c r="X433" s="235"/>
      <c r="Y433" s="235"/>
      <c r="Z433" s="235"/>
      <c r="AA433" s="235"/>
      <c r="AB433" s="235"/>
      <c r="AC433" s="235"/>
    </row>
    <row r="434">
      <c r="A434" s="194" t="s">
        <v>211</v>
      </c>
      <c r="B434" s="193">
        <v>101756.0</v>
      </c>
      <c r="C434" s="192" t="s">
        <v>212</v>
      </c>
      <c r="D434" s="192" t="s">
        <v>213</v>
      </c>
      <c r="E434" s="235"/>
      <c r="F434" s="235"/>
      <c r="G434" s="325"/>
      <c r="H434" s="235"/>
      <c r="I434" s="235"/>
      <c r="J434" s="235"/>
      <c r="K434" s="235"/>
      <c r="L434" s="235"/>
      <c r="M434" s="235"/>
      <c r="N434" s="235"/>
      <c r="O434" s="235"/>
      <c r="P434" s="235"/>
      <c r="Q434" s="235"/>
      <c r="R434" s="235"/>
      <c r="S434" s="235"/>
      <c r="T434" s="235"/>
      <c r="U434" s="235"/>
      <c r="V434" s="235"/>
      <c r="W434" s="235"/>
      <c r="X434" s="235"/>
      <c r="Y434" s="235"/>
      <c r="Z434" s="235"/>
      <c r="AA434" s="235"/>
      <c r="AB434" s="235"/>
      <c r="AC434" s="235"/>
    </row>
    <row r="435">
      <c r="A435" s="194" t="s">
        <v>317</v>
      </c>
      <c r="B435" s="193">
        <v>101728.0</v>
      </c>
      <c r="C435" s="192" t="s">
        <v>314</v>
      </c>
      <c r="D435" s="192" t="s">
        <v>318</v>
      </c>
      <c r="E435" s="235"/>
      <c r="F435" s="235"/>
      <c r="G435" s="325"/>
      <c r="H435" s="235"/>
      <c r="I435" s="235"/>
      <c r="J435" s="235"/>
      <c r="K435" s="235"/>
      <c r="L435" s="235"/>
      <c r="M435" s="235"/>
      <c r="N435" s="235"/>
      <c r="O435" s="235"/>
      <c r="P435" s="235"/>
      <c r="Q435" s="235"/>
      <c r="R435" s="235"/>
      <c r="S435" s="235"/>
      <c r="T435" s="235"/>
      <c r="U435" s="235"/>
      <c r="V435" s="235"/>
      <c r="W435" s="235"/>
      <c r="X435" s="235"/>
      <c r="Y435" s="235"/>
      <c r="Z435" s="235"/>
      <c r="AA435" s="235"/>
      <c r="AB435" s="235"/>
      <c r="AC435" s="235"/>
    </row>
    <row r="436">
      <c r="A436" s="194" t="s">
        <v>299</v>
      </c>
      <c r="B436" s="193">
        <v>101738.0</v>
      </c>
      <c r="C436" s="192" t="s">
        <v>300</v>
      </c>
      <c r="D436" s="192" t="s">
        <v>265</v>
      </c>
      <c r="E436" s="235"/>
      <c r="F436" s="235"/>
      <c r="G436" s="325"/>
      <c r="H436" s="235"/>
      <c r="I436" s="235"/>
      <c r="J436" s="235"/>
      <c r="K436" s="235"/>
      <c r="L436" s="235"/>
      <c r="M436" s="235"/>
      <c r="N436" s="235"/>
      <c r="O436" s="235"/>
      <c r="P436" s="235"/>
      <c r="Q436" s="235"/>
      <c r="R436" s="235"/>
      <c r="S436" s="235"/>
      <c r="T436" s="235"/>
      <c r="U436" s="235"/>
      <c r="V436" s="235"/>
      <c r="W436" s="235"/>
      <c r="X436" s="235"/>
      <c r="Y436" s="235"/>
      <c r="Z436" s="235"/>
      <c r="AA436" s="235"/>
      <c r="AB436" s="235"/>
      <c r="AC436" s="235"/>
    </row>
    <row r="437">
      <c r="A437" s="194" t="s">
        <v>301</v>
      </c>
      <c r="B437" s="193">
        <v>101757.0</v>
      </c>
      <c r="C437" s="192" t="s">
        <v>302</v>
      </c>
      <c r="D437" s="192" t="s">
        <v>265</v>
      </c>
      <c r="E437" s="235"/>
      <c r="F437" s="235"/>
      <c r="G437" s="325"/>
      <c r="H437" s="235"/>
      <c r="I437" s="235"/>
      <c r="J437" s="235"/>
      <c r="K437" s="235"/>
      <c r="L437" s="235"/>
      <c r="M437" s="235"/>
      <c r="N437" s="235"/>
      <c r="O437" s="235"/>
      <c r="P437" s="235"/>
      <c r="Q437" s="235"/>
      <c r="R437" s="235"/>
      <c r="S437" s="235"/>
      <c r="T437" s="235"/>
      <c r="U437" s="235"/>
      <c r="V437" s="235"/>
      <c r="W437" s="235"/>
      <c r="X437" s="235"/>
      <c r="Y437" s="235"/>
      <c r="Z437" s="235"/>
      <c r="AA437" s="235"/>
      <c r="AB437" s="235"/>
      <c r="AC437" s="235"/>
    </row>
    <row r="438">
      <c r="A438" s="194" t="s">
        <v>290</v>
      </c>
      <c r="B438" s="193">
        <v>101734.0</v>
      </c>
      <c r="C438" s="192" t="s">
        <v>291</v>
      </c>
      <c r="D438" s="192" t="s">
        <v>237</v>
      </c>
      <c r="E438" s="235"/>
      <c r="F438" s="235"/>
      <c r="G438" s="325"/>
      <c r="H438" s="235"/>
      <c r="I438" s="235"/>
      <c r="J438" s="235"/>
      <c r="K438" s="235"/>
      <c r="L438" s="235"/>
      <c r="M438" s="235"/>
      <c r="N438" s="235"/>
      <c r="O438" s="235"/>
      <c r="P438" s="235"/>
      <c r="Q438" s="235"/>
      <c r="R438" s="235"/>
      <c r="S438" s="235"/>
      <c r="T438" s="235"/>
      <c r="U438" s="235"/>
      <c r="V438" s="235"/>
      <c r="W438" s="235"/>
      <c r="X438" s="235"/>
      <c r="Y438" s="235"/>
      <c r="Z438" s="235"/>
      <c r="AA438" s="235"/>
      <c r="AB438" s="235"/>
      <c r="AC438" s="235"/>
    </row>
    <row r="439">
      <c r="A439" s="194" t="s">
        <v>307</v>
      </c>
      <c r="B439" s="193">
        <v>101768.0</v>
      </c>
      <c r="C439" s="192" t="s">
        <v>308</v>
      </c>
      <c r="D439" s="192" t="s">
        <v>309</v>
      </c>
      <c r="E439" s="235"/>
      <c r="F439" s="235"/>
      <c r="G439" s="325"/>
      <c r="H439" s="235"/>
      <c r="I439" s="235"/>
      <c r="J439" s="235"/>
      <c r="K439" s="235"/>
      <c r="L439" s="235"/>
      <c r="M439" s="235"/>
      <c r="N439" s="235"/>
      <c r="O439" s="235"/>
      <c r="P439" s="235"/>
      <c r="Q439" s="235"/>
      <c r="R439" s="235"/>
      <c r="S439" s="235"/>
      <c r="T439" s="235"/>
      <c r="U439" s="235"/>
      <c r="V439" s="235"/>
      <c r="W439" s="235"/>
      <c r="X439" s="235"/>
      <c r="Y439" s="235"/>
      <c r="Z439" s="235"/>
      <c r="AA439" s="235"/>
      <c r="AB439" s="235"/>
      <c r="AC439" s="235"/>
    </row>
    <row r="440">
      <c r="A440" s="194" t="s">
        <v>327</v>
      </c>
      <c r="B440" s="193">
        <v>101783.0</v>
      </c>
      <c r="C440" s="192" t="s">
        <v>328</v>
      </c>
      <c r="D440" s="192" t="s">
        <v>51</v>
      </c>
      <c r="E440" s="235"/>
      <c r="F440" s="235"/>
      <c r="G440" s="325"/>
      <c r="H440" s="235"/>
      <c r="I440" s="235"/>
      <c r="J440" s="235"/>
      <c r="K440" s="235"/>
      <c r="L440" s="235"/>
      <c r="M440" s="235"/>
      <c r="N440" s="235"/>
      <c r="O440" s="235"/>
      <c r="P440" s="235"/>
      <c r="Q440" s="235"/>
      <c r="R440" s="235"/>
      <c r="S440" s="235"/>
      <c r="T440" s="235"/>
      <c r="U440" s="235"/>
      <c r="V440" s="235"/>
      <c r="W440" s="235"/>
      <c r="X440" s="235"/>
      <c r="Y440" s="235"/>
      <c r="Z440" s="235"/>
      <c r="AA440" s="235"/>
      <c r="AB440" s="235"/>
      <c r="AC440" s="235"/>
    </row>
    <row r="441">
      <c r="A441" s="194" t="s">
        <v>333</v>
      </c>
      <c r="B441" s="193">
        <v>101793.0</v>
      </c>
      <c r="C441" s="192" t="s">
        <v>334</v>
      </c>
      <c r="D441" s="192" t="s">
        <v>51</v>
      </c>
      <c r="E441" s="235"/>
      <c r="F441" s="235"/>
      <c r="G441" s="325"/>
      <c r="H441" s="235"/>
      <c r="I441" s="235"/>
      <c r="J441" s="235"/>
      <c r="K441" s="235"/>
      <c r="L441" s="235"/>
      <c r="M441" s="235"/>
      <c r="N441" s="235"/>
      <c r="O441" s="235"/>
      <c r="P441" s="235"/>
      <c r="Q441" s="235"/>
      <c r="R441" s="235"/>
      <c r="S441" s="235"/>
      <c r="T441" s="235"/>
      <c r="U441" s="235"/>
      <c r="V441" s="235"/>
      <c r="W441" s="235"/>
      <c r="X441" s="235"/>
      <c r="Y441" s="235"/>
      <c r="Z441" s="235"/>
      <c r="AA441" s="235"/>
      <c r="AB441" s="235"/>
      <c r="AC441" s="235"/>
    </row>
    <row r="442">
      <c r="A442" s="194" t="s">
        <v>331</v>
      </c>
      <c r="B442" s="193">
        <v>101792.0</v>
      </c>
      <c r="C442" s="192" t="s">
        <v>332</v>
      </c>
      <c r="D442" s="192" t="s">
        <v>51</v>
      </c>
      <c r="E442" s="235"/>
      <c r="F442" s="235"/>
      <c r="G442" s="325"/>
      <c r="H442" s="235"/>
      <c r="I442" s="235"/>
      <c r="J442" s="235"/>
      <c r="K442" s="235"/>
      <c r="L442" s="235"/>
      <c r="M442" s="235"/>
      <c r="N442" s="235"/>
      <c r="O442" s="235"/>
      <c r="P442" s="235"/>
      <c r="Q442" s="235"/>
      <c r="R442" s="235"/>
      <c r="S442" s="235"/>
      <c r="T442" s="235"/>
      <c r="U442" s="235"/>
      <c r="V442" s="235"/>
      <c r="W442" s="235"/>
      <c r="X442" s="235"/>
      <c r="Y442" s="235"/>
      <c r="Z442" s="235"/>
      <c r="AA442" s="235"/>
      <c r="AB442" s="235"/>
      <c r="AC442" s="235"/>
    </row>
    <row r="443">
      <c r="A443" s="194" t="s">
        <v>238</v>
      </c>
      <c r="B443" s="193">
        <v>101698.0</v>
      </c>
      <c r="C443" s="192" t="s">
        <v>239</v>
      </c>
      <c r="D443" s="192" t="s">
        <v>51</v>
      </c>
      <c r="E443" s="235"/>
      <c r="F443" s="235"/>
      <c r="G443" s="325"/>
      <c r="H443" s="235"/>
      <c r="I443" s="235"/>
      <c r="J443" s="235"/>
      <c r="K443" s="235"/>
      <c r="L443" s="235"/>
      <c r="M443" s="235"/>
      <c r="N443" s="235"/>
      <c r="O443" s="235"/>
      <c r="P443" s="235"/>
      <c r="Q443" s="235"/>
      <c r="R443" s="235"/>
      <c r="S443" s="235"/>
      <c r="T443" s="235"/>
      <c r="U443" s="235"/>
      <c r="V443" s="235"/>
      <c r="W443" s="235"/>
      <c r="X443" s="235"/>
      <c r="Y443" s="235"/>
      <c r="Z443" s="235"/>
      <c r="AA443" s="235"/>
      <c r="AB443" s="235"/>
      <c r="AC443" s="235"/>
    </row>
    <row r="444">
      <c r="A444" s="194" t="s">
        <v>260</v>
      </c>
      <c r="B444" s="193">
        <v>101739.0</v>
      </c>
      <c r="C444" s="192" t="s">
        <v>261</v>
      </c>
      <c r="D444" s="192" t="s">
        <v>51</v>
      </c>
      <c r="E444" s="235"/>
      <c r="F444" s="235"/>
      <c r="G444" s="325"/>
      <c r="H444" s="235"/>
      <c r="I444" s="235"/>
      <c r="J444" s="235"/>
      <c r="K444" s="235"/>
      <c r="L444" s="235"/>
      <c r="M444" s="235"/>
      <c r="N444" s="235"/>
      <c r="O444" s="235"/>
      <c r="P444" s="235"/>
      <c r="Q444" s="235"/>
      <c r="R444" s="235"/>
      <c r="S444" s="235"/>
      <c r="T444" s="235"/>
      <c r="U444" s="235"/>
      <c r="V444" s="235"/>
      <c r="W444" s="235"/>
      <c r="X444" s="235"/>
      <c r="Y444" s="235"/>
      <c r="Z444" s="235"/>
      <c r="AA444" s="235"/>
      <c r="AB444" s="235"/>
      <c r="AC444" s="235"/>
    </row>
    <row r="445">
      <c r="A445" s="194" t="s">
        <v>292</v>
      </c>
      <c r="B445" s="193">
        <v>101680.0</v>
      </c>
      <c r="C445" s="192" t="s">
        <v>293</v>
      </c>
      <c r="D445" s="192" t="s">
        <v>294</v>
      </c>
      <c r="E445" s="235"/>
      <c r="F445" s="235"/>
      <c r="G445" s="325"/>
      <c r="H445" s="235"/>
      <c r="I445" s="235"/>
      <c r="J445" s="235"/>
      <c r="K445" s="235"/>
      <c r="L445" s="235"/>
      <c r="M445" s="235"/>
      <c r="N445" s="235"/>
      <c r="O445" s="235"/>
      <c r="P445" s="235"/>
      <c r="Q445" s="235"/>
      <c r="R445" s="235"/>
      <c r="S445" s="235"/>
      <c r="T445" s="235"/>
      <c r="U445" s="235"/>
      <c r="V445" s="235"/>
      <c r="W445" s="235"/>
      <c r="X445" s="235"/>
      <c r="Y445" s="235"/>
      <c r="Z445" s="235"/>
      <c r="AA445" s="235"/>
      <c r="AB445" s="235"/>
      <c r="AC445" s="235"/>
    </row>
    <row r="446">
      <c r="A446" s="194" t="s">
        <v>283</v>
      </c>
      <c r="B446" s="193">
        <v>101725.0</v>
      </c>
      <c r="C446" s="192" t="s">
        <v>284</v>
      </c>
      <c r="D446" s="192" t="s">
        <v>285</v>
      </c>
      <c r="E446" s="235"/>
      <c r="F446" s="235"/>
      <c r="G446" s="325"/>
      <c r="H446" s="235"/>
      <c r="I446" s="235"/>
      <c r="J446" s="235"/>
      <c r="K446" s="235"/>
      <c r="L446" s="235"/>
      <c r="M446" s="235"/>
      <c r="N446" s="235"/>
      <c r="O446" s="235"/>
      <c r="P446" s="235"/>
      <c r="Q446" s="235"/>
      <c r="R446" s="235"/>
      <c r="S446" s="235"/>
      <c r="T446" s="235"/>
      <c r="U446" s="235"/>
      <c r="V446" s="235"/>
      <c r="W446" s="235"/>
      <c r="X446" s="235"/>
      <c r="Y446" s="235"/>
      <c r="Z446" s="235"/>
      <c r="AA446" s="235"/>
      <c r="AB446" s="235"/>
      <c r="AC446" s="235"/>
    </row>
    <row r="447">
      <c r="A447" s="194" t="s">
        <v>288</v>
      </c>
      <c r="B447" s="193">
        <v>101379.0</v>
      </c>
      <c r="C447" s="192" t="s">
        <v>289</v>
      </c>
      <c r="D447" s="192" t="s">
        <v>144</v>
      </c>
      <c r="E447" s="235"/>
      <c r="F447" s="235"/>
      <c r="G447" s="325"/>
      <c r="H447" s="235"/>
      <c r="I447" s="235"/>
      <c r="J447" s="235"/>
      <c r="K447" s="235"/>
      <c r="L447" s="235"/>
      <c r="M447" s="235"/>
      <c r="N447" s="235"/>
      <c r="O447" s="235"/>
      <c r="P447" s="235"/>
      <c r="Q447" s="235"/>
      <c r="R447" s="235"/>
      <c r="S447" s="235"/>
      <c r="T447" s="235"/>
      <c r="U447" s="235"/>
      <c r="V447" s="235"/>
      <c r="W447" s="235"/>
      <c r="X447" s="235"/>
      <c r="Y447" s="235"/>
      <c r="Z447" s="235"/>
      <c r="AA447" s="235"/>
      <c r="AB447" s="235"/>
      <c r="AC447" s="235"/>
    </row>
    <row r="448">
      <c r="A448" s="194" t="s">
        <v>275</v>
      </c>
      <c r="B448" s="193">
        <v>101750.0</v>
      </c>
      <c r="C448" s="192" t="s">
        <v>276</v>
      </c>
      <c r="D448" s="192" t="s">
        <v>51</v>
      </c>
      <c r="E448" s="235"/>
      <c r="F448" s="235"/>
      <c r="G448" s="325"/>
      <c r="H448" s="235"/>
      <c r="I448" s="235"/>
      <c r="J448" s="235"/>
      <c r="K448" s="235"/>
      <c r="L448" s="235"/>
      <c r="M448" s="235"/>
      <c r="N448" s="235"/>
      <c r="O448" s="235"/>
      <c r="P448" s="235"/>
      <c r="Q448" s="235"/>
      <c r="R448" s="235"/>
      <c r="S448" s="235"/>
      <c r="T448" s="235"/>
      <c r="U448" s="235"/>
      <c r="V448" s="235"/>
      <c r="W448" s="235"/>
      <c r="X448" s="235"/>
      <c r="Y448" s="235"/>
      <c r="Z448" s="235"/>
      <c r="AA448" s="235"/>
      <c r="AB448" s="235"/>
      <c r="AC448" s="235"/>
    </row>
    <row r="449">
      <c r="A449" s="194" t="s">
        <v>256</v>
      </c>
      <c r="B449" s="193">
        <v>101741.0</v>
      </c>
      <c r="C449" s="192" t="s">
        <v>257</v>
      </c>
      <c r="D449" s="192" t="s">
        <v>51</v>
      </c>
      <c r="E449" s="235"/>
      <c r="F449" s="235"/>
      <c r="G449" s="325"/>
      <c r="H449" s="235"/>
      <c r="I449" s="235"/>
      <c r="J449" s="235"/>
      <c r="K449" s="235"/>
      <c r="L449" s="235"/>
      <c r="M449" s="235"/>
      <c r="N449" s="235"/>
      <c r="O449" s="235"/>
      <c r="P449" s="235"/>
      <c r="Q449" s="235"/>
      <c r="R449" s="235"/>
      <c r="S449" s="235"/>
      <c r="T449" s="235"/>
      <c r="U449" s="235"/>
      <c r="V449" s="235"/>
      <c r="W449" s="235"/>
      <c r="X449" s="235"/>
      <c r="Y449" s="235"/>
      <c r="Z449" s="235"/>
      <c r="AA449" s="235"/>
      <c r="AB449" s="235"/>
      <c r="AC449" s="235"/>
    </row>
    <row r="450">
      <c r="A450" s="194" t="s">
        <v>271</v>
      </c>
      <c r="B450" s="193">
        <v>101749.0</v>
      </c>
      <c r="C450" s="192" t="s">
        <v>272</v>
      </c>
      <c r="D450" s="192" t="s">
        <v>51</v>
      </c>
      <c r="E450" s="235"/>
      <c r="F450" s="235"/>
      <c r="G450" s="325"/>
      <c r="H450" s="235"/>
      <c r="I450" s="235"/>
      <c r="J450" s="235"/>
      <c r="K450" s="235"/>
      <c r="L450" s="235"/>
      <c r="M450" s="235"/>
      <c r="N450" s="235"/>
      <c r="O450" s="235"/>
      <c r="P450" s="235"/>
      <c r="Q450" s="235"/>
      <c r="R450" s="235"/>
      <c r="S450" s="235"/>
      <c r="T450" s="235"/>
      <c r="U450" s="235"/>
      <c r="V450" s="235"/>
      <c r="W450" s="235"/>
      <c r="X450" s="235"/>
      <c r="Y450" s="235"/>
      <c r="Z450" s="235"/>
      <c r="AA450" s="235"/>
      <c r="AB450" s="235"/>
      <c r="AC450" s="235"/>
    </row>
    <row r="451">
      <c r="A451" s="194" t="s">
        <v>262</v>
      </c>
      <c r="B451" s="193">
        <v>101727.0</v>
      </c>
      <c r="C451" s="192" t="s">
        <v>263</v>
      </c>
      <c r="D451" s="192" t="s">
        <v>265</v>
      </c>
      <c r="E451" s="235"/>
      <c r="F451" s="235"/>
      <c r="G451" s="325"/>
      <c r="H451" s="235"/>
      <c r="I451" s="235"/>
      <c r="J451" s="235"/>
      <c r="K451" s="235"/>
      <c r="L451" s="235"/>
      <c r="M451" s="235"/>
      <c r="N451" s="235"/>
      <c r="O451" s="235"/>
      <c r="P451" s="235"/>
      <c r="Q451" s="235"/>
      <c r="R451" s="235"/>
      <c r="S451" s="235"/>
      <c r="T451" s="235"/>
      <c r="U451" s="235"/>
      <c r="V451" s="235"/>
      <c r="W451" s="235"/>
      <c r="X451" s="235"/>
      <c r="Y451" s="235"/>
      <c r="Z451" s="235"/>
      <c r="AA451" s="235"/>
      <c r="AB451" s="235"/>
      <c r="AC451" s="235"/>
    </row>
    <row r="452">
      <c r="A452" s="194" t="s">
        <v>269</v>
      </c>
      <c r="B452" s="193">
        <v>101745.0</v>
      </c>
      <c r="C452" s="192" t="s">
        <v>270</v>
      </c>
      <c r="D452" s="192" t="s">
        <v>51</v>
      </c>
      <c r="E452" s="235"/>
      <c r="F452" s="235"/>
      <c r="G452" s="325"/>
      <c r="H452" s="235"/>
      <c r="I452" s="235"/>
      <c r="J452" s="235"/>
      <c r="K452" s="235"/>
      <c r="L452" s="235"/>
      <c r="M452" s="235"/>
      <c r="N452" s="235"/>
      <c r="O452" s="235"/>
      <c r="P452" s="235"/>
      <c r="Q452" s="235"/>
      <c r="R452" s="235"/>
      <c r="S452" s="235"/>
      <c r="T452" s="235"/>
      <c r="U452" s="235"/>
      <c r="V452" s="235"/>
      <c r="W452" s="235"/>
      <c r="X452" s="235"/>
      <c r="Y452" s="235"/>
      <c r="Z452" s="235"/>
      <c r="AA452" s="235"/>
      <c r="AB452" s="235"/>
      <c r="AC452" s="235"/>
    </row>
    <row r="453">
      <c r="A453" s="194" t="s">
        <v>2383</v>
      </c>
      <c r="B453" s="193">
        <v>105188.0</v>
      </c>
      <c r="C453" s="192"/>
      <c r="D453" s="192"/>
      <c r="E453" s="235"/>
      <c r="F453" s="235"/>
      <c r="G453" s="325"/>
      <c r="H453" s="235"/>
      <c r="I453" s="235"/>
      <c r="J453" s="235"/>
      <c r="K453" s="235"/>
      <c r="L453" s="235"/>
      <c r="M453" s="235"/>
      <c r="N453" s="235"/>
      <c r="O453" s="235"/>
      <c r="P453" s="235"/>
      <c r="Q453" s="235"/>
      <c r="R453" s="235"/>
      <c r="S453" s="235"/>
      <c r="T453" s="235"/>
      <c r="U453" s="235"/>
      <c r="V453" s="235"/>
      <c r="W453" s="235"/>
      <c r="X453" s="235"/>
      <c r="Y453" s="235"/>
      <c r="Z453" s="235"/>
      <c r="AA453" s="235"/>
      <c r="AB453" s="235"/>
      <c r="AC453" s="235"/>
    </row>
    <row r="454">
      <c r="A454" s="194" t="s">
        <v>567</v>
      </c>
      <c r="B454" s="193">
        <v>102068.0</v>
      </c>
      <c r="C454" s="192" t="s">
        <v>568</v>
      </c>
      <c r="D454" s="192" t="s">
        <v>432</v>
      </c>
      <c r="E454" s="235"/>
      <c r="F454" s="235"/>
      <c r="G454" s="325"/>
      <c r="H454" s="235"/>
      <c r="I454" s="235"/>
      <c r="J454" s="235"/>
      <c r="K454" s="235"/>
      <c r="L454" s="235"/>
      <c r="M454" s="235"/>
      <c r="N454" s="235"/>
      <c r="O454" s="235"/>
      <c r="P454" s="235"/>
      <c r="Q454" s="235"/>
      <c r="R454" s="235"/>
      <c r="S454" s="235"/>
      <c r="T454" s="235"/>
      <c r="U454" s="235"/>
      <c r="V454" s="235"/>
      <c r="W454" s="235"/>
      <c r="X454" s="235"/>
      <c r="Y454" s="235"/>
      <c r="Z454" s="235"/>
      <c r="AA454" s="235"/>
      <c r="AB454" s="235"/>
      <c r="AC454" s="235"/>
    </row>
    <row r="455">
      <c r="A455" s="194" t="s">
        <v>956</v>
      </c>
      <c r="B455" s="193">
        <v>102841.0</v>
      </c>
      <c r="C455" s="192" t="s">
        <v>957</v>
      </c>
      <c r="D455" s="192" t="s">
        <v>295</v>
      </c>
      <c r="E455" s="235"/>
      <c r="F455" s="235"/>
      <c r="G455" s="325"/>
      <c r="H455" s="235"/>
      <c r="I455" s="235"/>
      <c r="J455" s="235"/>
      <c r="K455" s="235"/>
      <c r="L455" s="235"/>
      <c r="M455" s="235"/>
      <c r="N455" s="235"/>
      <c r="O455" s="235"/>
      <c r="P455" s="235"/>
      <c r="Q455" s="235"/>
      <c r="R455" s="235"/>
      <c r="S455" s="235"/>
      <c r="T455" s="235"/>
      <c r="U455" s="235"/>
      <c r="V455" s="235"/>
      <c r="W455" s="235"/>
      <c r="X455" s="235"/>
      <c r="Y455" s="235"/>
      <c r="Z455" s="235"/>
      <c r="AA455" s="235"/>
      <c r="AB455" s="235"/>
      <c r="AC455" s="235"/>
    </row>
    <row r="456">
      <c r="A456" s="194" t="s">
        <v>787</v>
      </c>
      <c r="B456" s="193">
        <v>102642.0</v>
      </c>
      <c r="C456" s="192" t="s">
        <v>788</v>
      </c>
      <c r="D456" s="192" t="s">
        <v>295</v>
      </c>
      <c r="E456" s="235"/>
      <c r="F456" s="235"/>
      <c r="G456" s="325"/>
      <c r="H456" s="235"/>
      <c r="I456" s="235"/>
      <c r="J456" s="235"/>
      <c r="K456" s="235"/>
      <c r="L456" s="235"/>
      <c r="M456" s="235"/>
      <c r="N456" s="235"/>
      <c r="O456" s="235"/>
      <c r="P456" s="235"/>
      <c r="Q456" s="235"/>
      <c r="R456" s="235"/>
      <c r="S456" s="235"/>
      <c r="T456" s="235"/>
      <c r="U456" s="235"/>
      <c r="V456" s="235"/>
      <c r="W456" s="235"/>
      <c r="X456" s="235"/>
      <c r="Y456" s="235"/>
      <c r="Z456" s="235"/>
      <c r="AA456" s="235"/>
      <c r="AB456" s="235"/>
      <c r="AC456" s="235"/>
    </row>
    <row r="457">
      <c r="A457" s="194" t="s">
        <v>831</v>
      </c>
      <c r="B457" s="193">
        <v>102798.0</v>
      </c>
      <c r="C457" s="192" t="s">
        <v>832</v>
      </c>
      <c r="D457" s="192" t="s">
        <v>295</v>
      </c>
      <c r="E457" s="235"/>
      <c r="F457" s="235"/>
      <c r="G457" s="325"/>
      <c r="H457" s="235"/>
      <c r="I457" s="235"/>
      <c r="J457" s="235"/>
      <c r="K457" s="235"/>
      <c r="L457" s="235"/>
      <c r="M457" s="235"/>
      <c r="N457" s="235"/>
      <c r="O457" s="235"/>
      <c r="P457" s="235"/>
      <c r="Q457" s="235"/>
      <c r="R457" s="235"/>
      <c r="S457" s="235"/>
      <c r="T457" s="235"/>
      <c r="U457" s="235"/>
      <c r="V457" s="235"/>
      <c r="W457" s="235"/>
      <c r="X457" s="235"/>
      <c r="Y457" s="235"/>
      <c r="Z457" s="235"/>
      <c r="AA457" s="235"/>
      <c r="AB457" s="235"/>
      <c r="AC457" s="235"/>
    </row>
    <row r="458">
      <c r="A458" s="194" t="s">
        <v>839</v>
      </c>
      <c r="B458" s="193">
        <v>102840.0</v>
      </c>
      <c r="C458" s="192" t="s">
        <v>873</v>
      </c>
      <c r="D458" s="192" t="s">
        <v>141</v>
      </c>
      <c r="E458" s="235"/>
      <c r="F458" s="235"/>
      <c r="G458" s="325"/>
      <c r="H458" s="235"/>
      <c r="I458" s="235"/>
      <c r="J458" s="235"/>
      <c r="K458" s="235"/>
      <c r="L458" s="235"/>
      <c r="M458" s="235"/>
      <c r="N458" s="235"/>
      <c r="O458" s="235"/>
      <c r="P458" s="235"/>
      <c r="Q458" s="235"/>
      <c r="R458" s="235"/>
      <c r="S458" s="235"/>
      <c r="T458" s="235"/>
      <c r="U458" s="235"/>
      <c r="V458" s="235"/>
      <c r="W458" s="235"/>
      <c r="X458" s="235"/>
      <c r="Y458" s="235"/>
      <c r="Z458" s="235"/>
      <c r="AA458" s="235"/>
      <c r="AB458" s="235"/>
      <c r="AC458" s="235"/>
    </row>
    <row r="459">
      <c r="A459" s="194" t="s">
        <v>770</v>
      </c>
      <c r="B459" s="193">
        <v>102552.0</v>
      </c>
      <c r="C459" s="192" t="s">
        <v>771</v>
      </c>
      <c r="D459" s="192" t="s">
        <v>219</v>
      </c>
      <c r="E459" s="235"/>
      <c r="F459" s="235"/>
      <c r="G459" s="325"/>
      <c r="H459" s="235"/>
      <c r="I459" s="235"/>
      <c r="J459" s="235"/>
      <c r="K459" s="235"/>
      <c r="L459" s="235"/>
      <c r="M459" s="235"/>
      <c r="N459" s="235"/>
      <c r="O459" s="235"/>
      <c r="P459" s="235"/>
      <c r="Q459" s="235"/>
      <c r="R459" s="235"/>
      <c r="S459" s="235"/>
      <c r="T459" s="235"/>
      <c r="U459" s="235"/>
      <c r="V459" s="235"/>
      <c r="W459" s="235"/>
      <c r="X459" s="235"/>
      <c r="Y459" s="235"/>
      <c r="Z459" s="235"/>
      <c r="AA459" s="235"/>
      <c r="AB459" s="235"/>
      <c r="AC459" s="235"/>
    </row>
    <row r="460">
      <c r="A460" s="194" t="s">
        <v>1217</v>
      </c>
      <c r="B460" s="193">
        <v>103067.0</v>
      </c>
      <c r="C460" s="192" t="s">
        <v>1218</v>
      </c>
      <c r="D460" s="192" t="s">
        <v>295</v>
      </c>
      <c r="E460" s="235"/>
      <c r="F460" s="235"/>
      <c r="G460" s="325"/>
      <c r="H460" s="235"/>
      <c r="I460" s="235"/>
      <c r="J460" s="235"/>
      <c r="K460" s="235"/>
      <c r="L460" s="235"/>
      <c r="M460" s="235"/>
      <c r="N460" s="235"/>
      <c r="O460" s="235"/>
      <c r="P460" s="235"/>
      <c r="Q460" s="235"/>
      <c r="R460" s="235"/>
      <c r="S460" s="235"/>
      <c r="T460" s="235"/>
      <c r="U460" s="235"/>
      <c r="V460" s="235"/>
      <c r="W460" s="235"/>
      <c r="X460" s="235"/>
      <c r="Y460" s="235"/>
      <c r="Z460" s="235"/>
      <c r="AA460" s="235"/>
      <c r="AB460" s="235"/>
      <c r="AC460" s="235"/>
    </row>
    <row r="461">
      <c r="A461" s="194" t="s">
        <v>1219</v>
      </c>
      <c r="B461" s="193">
        <v>103139.0</v>
      </c>
      <c r="C461" s="192" t="s">
        <v>1220</v>
      </c>
      <c r="D461" s="192" t="s">
        <v>295</v>
      </c>
      <c r="E461" s="235"/>
      <c r="F461" s="235"/>
      <c r="G461" s="325"/>
      <c r="H461" s="235"/>
      <c r="I461" s="235"/>
      <c r="J461" s="235"/>
      <c r="K461" s="235"/>
      <c r="L461" s="235"/>
      <c r="M461" s="235"/>
      <c r="N461" s="235"/>
      <c r="O461" s="235"/>
      <c r="P461" s="235"/>
      <c r="Q461" s="235"/>
      <c r="R461" s="235"/>
      <c r="S461" s="235"/>
      <c r="T461" s="235"/>
      <c r="U461" s="235"/>
      <c r="V461" s="235"/>
      <c r="W461" s="235"/>
      <c r="X461" s="235"/>
      <c r="Y461" s="235"/>
      <c r="Z461" s="235"/>
      <c r="AA461" s="235"/>
      <c r="AB461" s="235"/>
      <c r="AC461" s="235"/>
    </row>
    <row r="462">
      <c r="A462" s="194" t="s">
        <v>1223</v>
      </c>
      <c r="B462" s="193">
        <v>103077.0</v>
      </c>
      <c r="C462" s="192" t="s">
        <v>1224</v>
      </c>
      <c r="D462" s="192" t="s">
        <v>625</v>
      </c>
      <c r="E462" s="235"/>
      <c r="F462" s="235"/>
      <c r="G462" s="325"/>
      <c r="H462" s="235"/>
      <c r="I462" s="235"/>
      <c r="J462" s="235"/>
      <c r="K462" s="235"/>
      <c r="L462" s="235"/>
      <c r="M462" s="235"/>
      <c r="N462" s="235"/>
      <c r="O462" s="235"/>
      <c r="P462" s="235"/>
      <c r="Q462" s="235"/>
      <c r="R462" s="235"/>
      <c r="S462" s="235"/>
      <c r="T462" s="235"/>
      <c r="U462" s="235"/>
      <c r="V462" s="235"/>
      <c r="W462" s="235"/>
      <c r="X462" s="235"/>
      <c r="Y462" s="235"/>
      <c r="Z462" s="235"/>
      <c r="AA462" s="235"/>
      <c r="AB462" s="235"/>
      <c r="AC462" s="235"/>
    </row>
    <row r="463">
      <c r="A463" s="194" t="s">
        <v>1221</v>
      </c>
      <c r="B463" s="193">
        <v>103146.0</v>
      </c>
      <c r="C463" s="192" t="s">
        <v>1222</v>
      </c>
      <c r="D463" s="192" t="s">
        <v>2907</v>
      </c>
      <c r="E463" s="235"/>
      <c r="F463" s="235"/>
      <c r="G463" s="325"/>
      <c r="H463" s="235"/>
      <c r="I463" s="235"/>
      <c r="J463" s="235"/>
      <c r="K463" s="235"/>
      <c r="L463" s="235"/>
      <c r="M463" s="235"/>
      <c r="N463" s="235"/>
      <c r="O463" s="235"/>
      <c r="P463" s="235"/>
      <c r="Q463" s="235"/>
      <c r="R463" s="235"/>
      <c r="S463" s="235"/>
      <c r="T463" s="235"/>
      <c r="U463" s="235"/>
      <c r="V463" s="235"/>
      <c r="W463" s="235"/>
      <c r="X463" s="235"/>
      <c r="Y463" s="235"/>
      <c r="Z463" s="235"/>
      <c r="AA463" s="235"/>
      <c r="AB463" s="235"/>
      <c r="AC463" s="235"/>
    </row>
    <row r="464">
      <c r="A464" s="194" t="s">
        <v>1037</v>
      </c>
      <c r="B464" s="193">
        <v>103716.0</v>
      </c>
      <c r="C464" s="192" t="s">
        <v>1036</v>
      </c>
      <c r="D464" s="192" t="s">
        <v>87</v>
      </c>
      <c r="E464" s="235"/>
      <c r="F464" s="235"/>
      <c r="G464" s="325"/>
      <c r="H464" s="235"/>
      <c r="I464" s="235"/>
      <c r="J464" s="235"/>
      <c r="K464" s="235"/>
      <c r="L464" s="235"/>
      <c r="M464" s="235"/>
      <c r="N464" s="235"/>
      <c r="O464" s="235"/>
      <c r="P464" s="235"/>
      <c r="Q464" s="235"/>
      <c r="R464" s="235"/>
      <c r="S464" s="235"/>
      <c r="T464" s="235"/>
      <c r="U464" s="235"/>
      <c r="V464" s="235"/>
      <c r="W464" s="235"/>
      <c r="X464" s="235"/>
      <c r="Y464" s="235"/>
      <c r="Z464" s="235"/>
      <c r="AA464" s="235"/>
      <c r="AB464" s="235"/>
      <c r="AC464" s="235"/>
    </row>
    <row r="465">
      <c r="A465" s="194" t="s">
        <v>1038</v>
      </c>
      <c r="B465" s="193">
        <v>103717.0</v>
      </c>
      <c r="C465" s="192" t="s">
        <v>1034</v>
      </c>
      <c r="D465" s="192" t="s">
        <v>87</v>
      </c>
      <c r="E465" s="235"/>
      <c r="F465" s="235"/>
      <c r="G465" s="325"/>
      <c r="H465" s="235"/>
      <c r="I465" s="235"/>
      <c r="J465" s="235"/>
      <c r="K465" s="235"/>
      <c r="L465" s="235"/>
      <c r="M465" s="235"/>
      <c r="N465" s="235"/>
      <c r="O465" s="235"/>
      <c r="P465" s="235"/>
      <c r="Q465" s="235"/>
      <c r="R465" s="235"/>
      <c r="S465" s="235"/>
      <c r="T465" s="235"/>
      <c r="U465" s="235"/>
      <c r="V465" s="235"/>
      <c r="W465" s="235"/>
      <c r="X465" s="235"/>
      <c r="Y465" s="235"/>
      <c r="Z465" s="235"/>
      <c r="AA465" s="235"/>
      <c r="AB465" s="235"/>
      <c r="AC465" s="235"/>
    </row>
    <row r="466">
      <c r="A466" s="194" t="s">
        <v>709</v>
      </c>
      <c r="B466" s="193">
        <v>102446.0</v>
      </c>
      <c r="C466" s="192" t="s">
        <v>710</v>
      </c>
      <c r="D466" s="192" t="s">
        <v>295</v>
      </c>
      <c r="E466" s="235"/>
      <c r="F466" s="235"/>
      <c r="G466" s="325"/>
      <c r="H466" s="235"/>
      <c r="I466" s="235"/>
      <c r="J466" s="235"/>
      <c r="K466" s="235"/>
      <c r="L466" s="235"/>
      <c r="M466" s="235"/>
      <c r="N466" s="235"/>
      <c r="O466" s="235"/>
      <c r="P466" s="235"/>
      <c r="Q466" s="235"/>
      <c r="R466" s="235"/>
      <c r="S466" s="235"/>
      <c r="T466" s="235"/>
      <c r="U466" s="235"/>
      <c r="V466" s="235"/>
      <c r="W466" s="235"/>
      <c r="X466" s="235"/>
      <c r="Y466" s="235"/>
      <c r="Z466" s="235"/>
      <c r="AA466" s="235"/>
      <c r="AB466" s="235"/>
      <c r="AC466" s="235"/>
    </row>
    <row r="467">
      <c r="A467" s="194" t="s">
        <v>757</v>
      </c>
      <c r="B467" s="193">
        <v>102497.0</v>
      </c>
      <c r="C467" s="192" t="s">
        <v>758</v>
      </c>
      <c r="D467" s="192" t="s">
        <v>233</v>
      </c>
      <c r="E467" s="235"/>
      <c r="F467" s="235"/>
      <c r="G467" s="325"/>
      <c r="H467" s="235"/>
      <c r="I467" s="235"/>
      <c r="J467" s="235"/>
      <c r="K467" s="235"/>
      <c r="L467" s="235"/>
      <c r="M467" s="235"/>
      <c r="N467" s="235"/>
      <c r="O467" s="235"/>
      <c r="P467" s="235"/>
      <c r="Q467" s="235"/>
      <c r="R467" s="235"/>
      <c r="S467" s="235"/>
      <c r="T467" s="235"/>
      <c r="U467" s="235"/>
      <c r="V467" s="235"/>
      <c r="W467" s="235"/>
      <c r="X467" s="235"/>
      <c r="Y467" s="235"/>
      <c r="Z467" s="235"/>
      <c r="AA467" s="235"/>
      <c r="AB467" s="235"/>
      <c r="AC467" s="235"/>
    </row>
    <row r="468">
      <c r="A468" s="194" t="s">
        <v>1116</v>
      </c>
      <c r="B468" s="193">
        <v>103887.0</v>
      </c>
      <c r="C468" s="192" t="s">
        <v>1117</v>
      </c>
      <c r="D468" s="192" t="s">
        <v>265</v>
      </c>
      <c r="E468" s="235"/>
      <c r="F468" s="235"/>
      <c r="G468" s="325"/>
      <c r="H468" s="235"/>
      <c r="I468" s="235"/>
      <c r="J468" s="235"/>
      <c r="K468" s="235"/>
      <c r="L468" s="235"/>
      <c r="M468" s="235"/>
      <c r="N468" s="235"/>
      <c r="O468" s="235"/>
      <c r="P468" s="235"/>
      <c r="Q468" s="235"/>
      <c r="R468" s="235"/>
      <c r="S468" s="235"/>
      <c r="T468" s="235"/>
      <c r="U468" s="235"/>
      <c r="V468" s="235"/>
      <c r="W468" s="235"/>
      <c r="X468" s="235"/>
      <c r="Y468" s="235"/>
      <c r="Z468" s="235"/>
      <c r="AA468" s="235"/>
      <c r="AB468" s="235"/>
      <c r="AC468" s="235"/>
    </row>
    <row r="469">
      <c r="A469" s="194" t="s">
        <v>1138</v>
      </c>
      <c r="B469" s="193">
        <v>103945.0</v>
      </c>
      <c r="C469" s="192" t="s">
        <v>1139</v>
      </c>
      <c r="D469" s="192" t="s">
        <v>1140</v>
      </c>
      <c r="E469" s="235"/>
      <c r="F469" s="235"/>
      <c r="G469" s="325"/>
      <c r="H469" s="235"/>
      <c r="I469" s="235"/>
      <c r="J469" s="235"/>
      <c r="K469" s="235"/>
      <c r="L469" s="235"/>
      <c r="M469" s="235"/>
      <c r="N469" s="235"/>
      <c r="O469" s="235"/>
      <c r="P469" s="235"/>
      <c r="Q469" s="235"/>
      <c r="R469" s="235"/>
      <c r="S469" s="235"/>
      <c r="T469" s="235"/>
      <c r="U469" s="235"/>
      <c r="V469" s="235"/>
      <c r="W469" s="235"/>
      <c r="X469" s="235"/>
      <c r="Y469" s="235"/>
      <c r="Z469" s="235"/>
      <c r="AA469" s="235"/>
      <c r="AB469" s="235"/>
      <c r="AC469" s="235"/>
    </row>
    <row r="470">
      <c r="A470" s="194" t="s">
        <v>1211</v>
      </c>
      <c r="B470" s="193">
        <v>103976.0</v>
      </c>
      <c r="C470" s="192" t="s">
        <v>1192</v>
      </c>
      <c r="D470" s="192" t="s">
        <v>1212</v>
      </c>
      <c r="E470" s="235"/>
      <c r="F470" s="235"/>
      <c r="G470" s="325"/>
      <c r="H470" s="235"/>
      <c r="I470" s="235"/>
      <c r="J470" s="235"/>
      <c r="K470" s="235"/>
      <c r="L470" s="235"/>
      <c r="M470" s="235"/>
      <c r="N470" s="235"/>
      <c r="O470" s="235"/>
      <c r="P470" s="235"/>
      <c r="Q470" s="235"/>
      <c r="R470" s="235"/>
      <c r="S470" s="235"/>
      <c r="T470" s="235"/>
      <c r="U470" s="235"/>
      <c r="V470" s="235"/>
      <c r="W470" s="235"/>
      <c r="X470" s="235"/>
      <c r="Y470" s="235"/>
      <c r="Z470" s="235"/>
      <c r="AA470" s="235"/>
      <c r="AB470" s="235"/>
      <c r="AC470" s="235"/>
    </row>
    <row r="471">
      <c r="A471" s="194" t="s">
        <v>1164</v>
      </c>
      <c r="B471" s="193">
        <v>103978.0</v>
      </c>
      <c r="C471" s="192" t="s">
        <v>1165</v>
      </c>
      <c r="D471" s="192" t="s">
        <v>87</v>
      </c>
      <c r="E471" s="235"/>
      <c r="F471" s="235"/>
      <c r="G471" s="325"/>
      <c r="H471" s="235"/>
      <c r="I471" s="235"/>
      <c r="J471" s="235"/>
      <c r="K471" s="235"/>
      <c r="L471" s="235"/>
      <c r="M471" s="235"/>
      <c r="N471" s="235"/>
      <c r="O471" s="235"/>
      <c r="P471" s="235"/>
      <c r="Q471" s="235"/>
      <c r="R471" s="235"/>
      <c r="S471" s="235"/>
      <c r="T471" s="235"/>
      <c r="U471" s="235"/>
      <c r="V471" s="235"/>
      <c r="W471" s="235"/>
      <c r="X471" s="235"/>
      <c r="Y471" s="235"/>
      <c r="Z471" s="235"/>
      <c r="AA471" s="235"/>
      <c r="AB471" s="235"/>
      <c r="AC471" s="235"/>
    </row>
    <row r="472">
      <c r="A472" s="194" t="s">
        <v>1152</v>
      </c>
      <c r="B472" s="193">
        <v>103974.0</v>
      </c>
      <c r="C472" s="192" t="s">
        <v>1153</v>
      </c>
      <c r="D472" s="192" t="s">
        <v>1154</v>
      </c>
      <c r="E472" s="235"/>
      <c r="F472" s="235"/>
      <c r="G472" s="325"/>
      <c r="H472" s="235"/>
      <c r="I472" s="235"/>
      <c r="J472" s="235"/>
      <c r="K472" s="235"/>
      <c r="L472" s="235"/>
      <c r="M472" s="235"/>
      <c r="N472" s="235"/>
      <c r="O472" s="235"/>
      <c r="P472" s="235"/>
      <c r="Q472" s="235"/>
      <c r="R472" s="235"/>
      <c r="S472" s="235"/>
      <c r="T472" s="235"/>
      <c r="U472" s="235"/>
      <c r="V472" s="235"/>
      <c r="W472" s="235"/>
      <c r="X472" s="235"/>
      <c r="Y472" s="235"/>
      <c r="Z472" s="235"/>
      <c r="AA472" s="235"/>
      <c r="AB472" s="235"/>
      <c r="AC472" s="235"/>
    </row>
    <row r="473">
      <c r="A473" s="194" t="s">
        <v>1141</v>
      </c>
      <c r="B473" s="193">
        <v>103914.0</v>
      </c>
      <c r="C473" s="192" t="s">
        <v>1142</v>
      </c>
      <c r="D473" s="192" t="s">
        <v>5539</v>
      </c>
      <c r="E473" s="235"/>
      <c r="F473" s="235"/>
      <c r="G473" s="325"/>
      <c r="H473" s="235"/>
      <c r="I473" s="235"/>
      <c r="J473" s="235"/>
      <c r="K473" s="235"/>
      <c r="L473" s="235"/>
      <c r="M473" s="235"/>
      <c r="N473" s="235"/>
      <c r="O473" s="235"/>
      <c r="P473" s="235"/>
      <c r="Q473" s="235"/>
      <c r="R473" s="235"/>
      <c r="S473" s="235"/>
      <c r="T473" s="235"/>
      <c r="U473" s="235"/>
      <c r="V473" s="235"/>
      <c r="W473" s="235"/>
      <c r="X473" s="235"/>
      <c r="Y473" s="235"/>
      <c r="Z473" s="235"/>
      <c r="AA473" s="235"/>
      <c r="AB473" s="235"/>
      <c r="AC473" s="235"/>
    </row>
    <row r="474">
      <c r="A474" s="194" t="s">
        <v>1191</v>
      </c>
      <c r="B474" s="193">
        <v>103976.0</v>
      </c>
      <c r="C474" s="192" t="s">
        <v>1192</v>
      </c>
      <c r="D474" s="192" t="s">
        <v>87</v>
      </c>
      <c r="E474" s="235"/>
      <c r="F474" s="235"/>
      <c r="G474" s="325"/>
      <c r="H474" s="235"/>
      <c r="I474" s="235"/>
      <c r="J474" s="235"/>
      <c r="K474" s="235"/>
      <c r="L474" s="235"/>
      <c r="M474" s="235"/>
      <c r="N474" s="235"/>
      <c r="O474" s="235"/>
      <c r="P474" s="235"/>
      <c r="Q474" s="235"/>
      <c r="R474" s="235"/>
      <c r="S474" s="235"/>
      <c r="T474" s="235"/>
      <c r="U474" s="235"/>
      <c r="V474" s="235"/>
      <c r="W474" s="235"/>
      <c r="X474" s="235"/>
      <c r="Y474" s="235"/>
      <c r="Z474" s="235"/>
      <c r="AA474" s="235"/>
      <c r="AB474" s="235"/>
      <c r="AC474" s="235"/>
    </row>
    <row r="475">
      <c r="A475" s="194" t="s">
        <v>1118</v>
      </c>
      <c r="B475" s="193">
        <v>103882.0</v>
      </c>
      <c r="C475" s="192" t="s">
        <v>1119</v>
      </c>
      <c r="D475" s="192" t="s">
        <v>87</v>
      </c>
      <c r="E475" s="235"/>
      <c r="F475" s="235"/>
      <c r="G475" s="325"/>
      <c r="H475" s="235"/>
      <c r="I475" s="235"/>
      <c r="J475" s="235"/>
      <c r="K475" s="235"/>
      <c r="L475" s="235"/>
      <c r="M475" s="235"/>
      <c r="N475" s="235"/>
      <c r="O475" s="235"/>
      <c r="P475" s="235"/>
      <c r="Q475" s="235"/>
      <c r="R475" s="235"/>
      <c r="S475" s="235"/>
      <c r="T475" s="235"/>
      <c r="U475" s="235"/>
      <c r="V475" s="235"/>
      <c r="W475" s="235"/>
      <c r="X475" s="235"/>
      <c r="Y475" s="235"/>
      <c r="Z475" s="235"/>
      <c r="AA475" s="235"/>
      <c r="AB475" s="235"/>
      <c r="AC475" s="235"/>
    </row>
    <row r="476">
      <c r="A476" s="194" t="s">
        <v>1122</v>
      </c>
      <c r="B476" s="193">
        <v>103881.0</v>
      </c>
      <c r="C476" s="192" t="s">
        <v>1123</v>
      </c>
      <c r="D476" s="192" t="s">
        <v>87</v>
      </c>
      <c r="E476" s="235"/>
      <c r="F476" s="235"/>
      <c r="G476" s="325"/>
      <c r="H476" s="235"/>
      <c r="I476" s="235"/>
      <c r="J476" s="235"/>
      <c r="K476" s="235"/>
      <c r="L476" s="235"/>
      <c r="M476" s="235"/>
      <c r="N476" s="235"/>
      <c r="O476" s="235"/>
      <c r="P476" s="235"/>
      <c r="Q476" s="235"/>
      <c r="R476" s="235"/>
      <c r="S476" s="235"/>
      <c r="T476" s="235"/>
      <c r="U476" s="235"/>
      <c r="V476" s="235"/>
      <c r="W476" s="235"/>
      <c r="X476" s="235"/>
      <c r="Y476" s="235"/>
      <c r="Z476" s="235"/>
      <c r="AA476" s="235"/>
      <c r="AB476" s="235"/>
      <c r="AC476" s="235"/>
    </row>
    <row r="477">
      <c r="A477" s="194" t="s">
        <v>1088</v>
      </c>
      <c r="B477" s="193">
        <v>103728.0</v>
      </c>
      <c r="C477" s="192" t="s">
        <v>1089</v>
      </c>
      <c r="D477" s="192" t="s">
        <v>87</v>
      </c>
      <c r="E477" s="235"/>
      <c r="F477" s="235"/>
      <c r="G477" s="325"/>
      <c r="H477" s="235"/>
      <c r="I477" s="235"/>
      <c r="J477" s="235"/>
      <c r="K477" s="235"/>
      <c r="L477" s="235"/>
      <c r="M477" s="235"/>
      <c r="N477" s="235"/>
      <c r="O477" s="235"/>
      <c r="P477" s="235"/>
      <c r="Q477" s="235"/>
      <c r="R477" s="235"/>
      <c r="S477" s="235"/>
      <c r="T477" s="235"/>
      <c r="U477" s="235"/>
      <c r="V477" s="235"/>
      <c r="W477" s="235"/>
      <c r="X477" s="235"/>
      <c r="Y477" s="235"/>
      <c r="Z477" s="235"/>
      <c r="AA477" s="235"/>
      <c r="AB477" s="235"/>
      <c r="AC477" s="235"/>
    </row>
    <row r="478">
      <c r="A478" s="194" t="s">
        <v>1090</v>
      </c>
      <c r="B478" s="193">
        <v>103793.0</v>
      </c>
      <c r="C478" s="192" t="s">
        <v>1091</v>
      </c>
      <c r="D478" s="192" t="s">
        <v>87</v>
      </c>
      <c r="E478" s="235"/>
      <c r="F478" s="235"/>
      <c r="G478" s="325"/>
      <c r="H478" s="235"/>
      <c r="I478" s="235"/>
      <c r="J478" s="235"/>
      <c r="K478" s="235"/>
      <c r="L478" s="235"/>
      <c r="M478" s="235"/>
      <c r="N478" s="235"/>
      <c r="O478" s="235"/>
      <c r="P478" s="235"/>
      <c r="Q478" s="235"/>
      <c r="R478" s="235"/>
      <c r="S478" s="235"/>
      <c r="T478" s="235"/>
      <c r="U478" s="235"/>
      <c r="V478" s="235"/>
      <c r="W478" s="235"/>
      <c r="X478" s="235"/>
      <c r="Y478" s="235"/>
      <c r="Z478" s="235"/>
      <c r="AA478" s="235"/>
      <c r="AB478" s="235"/>
      <c r="AC478" s="235"/>
    </row>
    <row r="479">
      <c r="A479" s="194" t="s">
        <v>2263</v>
      </c>
      <c r="B479" s="193">
        <v>105288.0</v>
      </c>
      <c r="C479" s="192"/>
      <c r="D479" s="192"/>
      <c r="E479" s="235"/>
      <c r="F479" s="235"/>
      <c r="G479" s="325"/>
      <c r="H479" s="235"/>
      <c r="I479" s="235"/>
      <c r="J479" s="235"/>
      <c r="K479" s="235"/>
      <c r="L479" s="235"/>
      <c r="M479" s="235"/>
      <c r="N479" s="235"/>
      <c r="O479" s="235"/>
      <c r="P479" s="235"/>
      <c r="Q479" s="235"/>
      <c r="R479" s="235"/>
      <c r="S479" s="235"/>
      <c r="T479" s="235"/>
      <c r="U479" s="235"/>
      <c r="V479" s="235"/>
      <c r="W479" s="235"/>
      <c r="X479" s="235"/>
      <c r="Y479" s="235"/>
      <c r="Z479" s="235"/>
      <c r="AA479" s="235"/>
      <c r="AB479" s="235"/>
      <c r="AC479" s="235"/>
    </row>
    <row r="480">
      <c r="A480" s="194" t="s">
        <v>1124</v>
      </c>
      <c r="B480" s="193">
        <v>103883.0</v>
      </c>
      <c r="C480" s="192" t="s">
        <v>1125</v>
      </c>
      <c r="D480" s="192" t="s">
        <v>87</v>
      </c>
      <c r="E480" s="235"/>
      <c r="F480" s="235"/>
      <c r="G480" s="325"/>
      <c r="H480" s="235"/>
      <c r="I480" s="235"/>
      <c r="J480" s="235"/>
      <c r="K480" s="235"/>
      <c r="L480" s="235"/>
      <c r="M480" s="235"/>
      <c r="N480" s="235"/>
      <c r="O480" s="235"/>
      <c r="P480" s="235"/>
      <c r="Q480" s="235"/>
      <c r="R480" s="235"/>
      <c r="S480" s="235"/>
      <c r="T480" s="235"/>
      <c r="U480" s="235"/>
      <c r="V480" s="235"/>
      <c r="W480" s="235"/>
      <c r="X480" s="235"/>
      <c r="Y480" s="235"/>
      <c r="Z480" s="235"/>
      <c r="AA480" s="235"/>
      <c r="AB480" s="235"/>
      <c r="AC480" s="235"/>
    </row>
    <row r="481">
      <c r="A481" s="194" t="s">
        <v>1189</v>
      </c>
      <c r="B481" s="193">
        <v>104066.0</v>
      </c>
      <c r="C481" s="192" t="s">
        <v>1190</v>
      </c>
      <c r="D481" s="192" t="s">
        <v>483</v>
      </c>
      <c r="E481" s="235"/>
      <c r="F481" s="235"/>
      <c r="G481" s="325"/>
      <c r="H481" s="235"/>
      <c r="I481" s="235"/>
      <c r="J481" s="235"/>
      <c r="K481" s="235"/>
      <c r="L481" s="235"/>
      <c r="M481" s="235"/>
      <c r="N481" s="235"/>
      <c r="O481" s="235"/>
      <c r="P481" s="235"/>
      <c r="Q481" s="235"/>
      <c r="R481" s="235"/>
      <c r="S481" s="235"/>
      <c r="T481" s="235"/>
      <c r="U481" s="235"/>
      <c r="V481" s="235"/>
      <c r="W481" s="235"/>
      <c r="X481" s="235"/>
      <c r="Y481" s="235"/>
      <c r="Z481" s="235"/>
      <c r="AA481" s="235"/>
      <c r="AB481" s="235"/>
      <c r="AC481" s="235"/>
    </row>
    <row r="482">
      <c r="A482" s="194" t="s">
        <v>1126</v>
      </c>
      <c r="B482" s="193">
        <v>103880.0</v>
      </c>
      <c r="C482" s="192" t="s">
        <v>1127</v>
      </c>
      <c r="D482" s="192" t="s">
        <v>87</v>
      </c>
      <c r="E482" s="235"/>
      <c r="F482" s="235"/>
      <c r="G482" s="325"/>
      <c r="H482" s="235"/>
      <c r="I482" s="235"/>
      <c r="J482" s="235"/>
      <c r="K482" s="235"/>
      <c r="L482" s="235"/>
      <c r="M482" s="235"/>
      <c r="N482" s="235"/>
      <c r="O482" s="235"/>
      <c r="P482" s="235"/>
      <c r="Q482" s="235"/>
      <c r="R482" s="235"/>
      <c r="S482" s="235"/>
      <c r="T482" s="235"/>
      <c r="U482" s="235"/>
      <c r="V482" s="235"/>
      <c r="W482" s="235"/>
      <c r="X482" s="235"/>
      <c r="Y482" s="235"/>
      <c r="Z482" s="235"/>
      <c r="AA482" s="235"/>
      <c r="AB482" s="235"/>
      <c r="AC482" s="235"/>
    </row>
    <row r="483">
      <c r="A483" s="194" t="s">
        <v>1120</v>
      </c>
      <c r="B483" s="193">
        <v>103916.0</v>
      </c>
      <c r="C483" s="192" t="s">
        <v>1121</v>
      </c>
      <c r="D483" s="192" t="s">
        <v>156</v>
      </c>
      <c r="E483" s="235"/>
      <c r="F483" s="235"/>
      <c r="G483" s="325"/>
      <c r="H483" s="235"/>
      <c r="I483" s="235"/>
      <c r="J483" s="235"/>
      <c r="K483" s="235"/>
      <c r="L483" s="235"/>
      <c r="M483" s="235"/>
      <c r="N483" s="235"/>
      <c r="O483" s="235"/>
      <c r="P483" s="235"/>
      <c r="Q483" s="235"/>
      <c r="R483" s="235"/>
      <c r="S483" s="235"/>
      <c r="T483" s="235"/>
      <c r="U483" s="235"/>
      <c r="V483" s="235"/>
      <c r="W483" s="235"/>
      <c r="X483" s="235"/>
      <c r="Y483" s="235"/>
      <c r="Z483" s="235"/>
      <c r="AA483" s="235"/>
      <c r="AB483" s="235"/>
      <c r="AC483" s="235"/>
    </row>
    <row r="484">
      <c r="A484" s="194" t="s">
        <v>1162</v>
      </c>
      <c r="B484" s="193">
        <v>103990.0</v>
      </c>
      <c r="C484" s="192" t="s">
        <v>1163</v>
      </c>
      <c r="D484" s="192" t="s">
        <v>427</v>
      </c>
      <c r="E484" s="235"/>
      <c r="F484" s="235"/>
      <c r="G484" s="325"/>
      <c r="H484" s="235"/>
      <c r="I484" s="235"/>
      <c r="J484" s="235"/>
      <c r="K484" s="235"/>
      <c r="L484" s="235"/>
      <c r="M484" s="235"/>
      <c r="N484" s="235"/>
      <c r="O484" s="235"/>
      <c r="P484" s="235"/>
      <c r="Q484" s="235"/>
      <c r="R484" s="235"/>
      <c r="S484" s="235"/>
      <c r="T484" s="235"/>
      <c r="U484" s="235"/>
      <c r="V484" s="235"/>
      <c r="W484" s="235"/>
      <c r="X484" s="235"/>
      <c r="Y484" s="235"/>
      <c r="Z484" s="235"/>
      <c r="AA484" s="235"/>
      <c r="AB484" s="235"/>
      <c r="AC484" s="235"/>
    </row>
    <row r="485">
      <c r="A485" s="194" t="s">
        <v>1075</v>
      </c>
      <c r="B485" s="193">
        <v>103800.0</v>
      </c>
      <c r="C485" s="192" t="s">
        <v>1076</v>
      </c>
      <c r="D485" s="192" t="s">
        <v>87</v>
      </c>
      <c r="E485" s="235"/>
      <c r="F485" s="235"/>
      <c r="G485" s="325"/>
      <c r="H485" s="235"/>
      <c r="I485" s="235"/>
      <c r="J485" s="235"/>
      <c r="K485" s="235"/>
      <c r="L485" s="235"/>
      <c r="M485" s="235"/>
      <c r="N485" s="235"/>
      <c r="O485" s="235"/>
      <c r="P485" s="235"/>
      <c r="Q485" s="235"/>
      <c r="R485" s="235"/>
      <c r="S485" s="235"/>
      <c r="T485" s="235"/>
      <c r="U485" s="235"/>
      <c r="V485" s="235"/>
      <c r="W485" s="235"/>
      <c r="X485" s="235"/>
      <c r="Y485" s="235"/>
      <c r="Z485" s="235"/>
      <c r="AA485" s="235"/>
      <c r="AB485" s="235"/>
      <c r="AC485" s="235"/>
    </row>
    <row r="486">
      <c r="A486" s="194" t="s">
        <v>1170</v>
      </c>
      <c r="B486" s="193">
        <v>104002.0</v>
      </c>
      <c r="C486" s="192" t="s">
        <v>1171</v>
      </c>
      <c r="D486" s="192" t="s">
        <v>398</v>
      </c>
      <c r="E486" s="235"/>
      <c r="F486" s="235"/>
      <c r="G486" s="325"/>
      <c r="H486" s="235"/>
      <c r="I486" s="235"/>
      <c r="J486" s="235"/>
      <c r="K486" s="235"/>
      <c r="L486" s="235"/>
      <c r="M486" s="235"/>
      <c r="N486" s="235"/>
      <c r="O486" s="235"/>
      <c r="P486" s="235"/>
      <c r="Q486" s="235"/>
      <c r="R486" s="235"/>
      <c r="S486" s="235"/>
      <c r="T486" s="235"/>
      <c r="U486" s="235"/>
      <c r="V486" s="235"/>
      <c r="W486" s="235"/>
      <c r="X486" s="235"/>
      <c r="Y486" s="235"/>
      <c r="Z486" s="235"/>
      <c r="AA486" s="235"/>
      <c r="AB486" s="235"/>
      <c r="AC486" s="235"/>
    </row>
    <row r="487">
      <c r="A487" s="194" t="s">
        <v>1150</v>
      </c>
      <c r="B487" s="193">
        <v>103702.0</v>
      </c>
      <c r="C487" s="192" t="s">
        <v>1151</v>
      </c>
      <c r="D487" s="192" t="s">
        <v>487</v>
      </c>
      <c r="E487" s="235"/>
      <c r="F487" s="235"/>
      <c r="G487" s="325"/>
      <c r="H487" s="235"/>
      <c r="I487" s="235"/>
      <c r="J487" s="235"/>
      <c r="K487" s="235"/>
      <c r="L487" s="235"/>
      <c r="M487" s="235"/>
      <c r="N487" s="235"/>
      <c r="O487" s="235"/>
      <c r="P487" s="235"/>
      <c r="Q487" s="235"/>
      <c r="R487" s="235"/>
      <c r="S487" s="235"/>
      <c r="T487" s="235"/>
      <c r="U487" s="235"/>
      <c r="V487" s="235"/>
      <c r="W487" s="235"/>
      <c r="X487" s="235"/>
      <c r="Y487" s="235"/>
      <c r="Z487" s="235"/>
      <c r="AA487" s="235"/>
      <c r="AB487" s="235"/>
      <c r="AC487" s="235"/>
    </row>
    <row r="488">
      <c r="A488" s="194" t="s">
        <v>1132</v>
      </c>
      <c r="B488" s="193">
        <v>103918.0</v>
      </c>
      <c r="C488" s="192" t="s">
        <v>1133</v>
      </c>
      <c r="D488" s="192" t="s">
        <v>487</v>
      </c>
      <c r="E488" s="235"/>
      <c r="F488" s="235"/>
      <c r="G488" s="325"/>
      <c r="H488" s="235"/>
      <c r="I488" s="235"/>
      <c r="J488" s="235"/>
      <c r="K488" s="235"/>
      <c r="L488" s="235"/>
      <c r="M488" s="235"/>
      <c r="N488" s="235"/>
      <c r="O488" s="235"/>
      <c r="P488" s="235"/>
      <c r="Q488" s="235"/>
      <c r="R488" s="235"/>
      <c r="S488" s="235"/>
      <c r="T488" s="235"/>
      <c r="U488" s="235"/>
      <c r="V488" s="235"/>
      <c r="W488" s="235"/>
      <c r="X488" s="235"/>
      <c r="Y488" s="235"/>
      <c r="Z488" s="235"/>
      <c r="AA488" s="235"/>
      <c r="AB488" s="235"/>
      <c r="AC488" s="235"/>
    </row>
    <row r="489">
      <c r="A489" s="194" t="s">
        <v>1061</v>
      </c>
      <c r="B489" s="193">
        <v>103799.0</v>
      </c>
      <c r="C489" s="192" t="s">
        <v>1062</v>
      </c>
      <c r="D489" s="192" t="s">
        <v>51</v>
      </c>
      <c r="E489" s="235"/>
      <c r="F489" s="235"/>
      <c r="G489" s="325"/>
      <c r="H489" s="235"/>
      <c r="I489" s="235"/>
      <c r="J489" s="235"/>
      <c r="K489" s="235"/>
      <c r="L489" s="235"/>
      <c r="M489" s="235"/>
      <c r="N489" s="235"/>
      <c r="O489" s="235"/>
      <c r="P489" s="235"/>
      <c r="Q489" s="235"/>
      <c r="R489" s="235"/>
      <c r="S489" s="235"/>
      <c r="T489" s="235"/>
      <c r="U489" s="235"/>
      <c r="V489" s="235"/>
      <c r="W489" s="235"/>
      <c r="X489" s="235"/>
      <c r="Y489" s="235"/>
      <c r="Z489" s="235"/>
      <c r="AA489" s="235"/>
      <c r="AB489" s="235"/>
      <c r="AC489" s="235"/>
    </row>
    <row r="490">
      <c r="A490" s="194" t="s">
        <v>1046</v>
      </c>
      <c r="B490" s="193">
        <v>103780.0</v>
      </c>
      <c r="C490" s="192" t="s">
        <v>1047</v>
      </c>
      <c r="D490" s="192" t="s">
        <v>51</v>
      </c>
      <c r="E490" s="235"/>
      <c r="F490" s="235"/>
      <c r="G490" s="325"/>
      <c r="H490" s="235"/>
      <c r="I490" s="235"/>
      <c r="J490" s="235"/>
      <c r="K490" s="235"/>
      <c r="L490" s="235"/>
      <c r="M490" s="235"/>
      <c r="N490" s="235"/>
      <c r="O490" s="235"/>
      <c r="P490" s="235"/>
      <c r="Q490" s="235"/>
      <c r="R490" s="235"/>
      <c r="S490" s="235"/>
      <c r="T490" s="235"/>
      <c r="U490" s="235"/>
      <c r="V490" s="235"/>
      <c r="W490" s="235"/>
      <c r="X490" s="235"/>
      <c r="Y490" s="235"/>
      <c r="Z490" s="235"/>
      <c r="AA490" s="235"/>
      <c r="AB490" s="235"/>
      <c r="AC490" s="235"/>
    </row>
    <row r="491">
      <c r="A491" s="194" t="s">
        <v>1185</v>
      </c>
      <c r="B491" s="193">
        <v>104058.0</v>
      </c>
      <c r="C491" s="192" t="s">
        <v>1186</v>
      </c>
      <c r="D491" s="192" t="s">
        <v>51</v>
      </c>
      <c r="E491" s="235"/>
      <c r="F491" s="235"/>
      <c r="G491" s="325"/>
      <c r="H491" s="235"/>
      <c r="I491" s="235"/>
      <c r="J491" s="235"/>
      <c r="K491" s="235"/>
      <c r="L491" s="235"/>
      <c r="M491" s="235"/>
      <c r="N491" s="235"/>
      <c r="O491" s="235"/>
      <c r="P491" s="235"/>
      <c r="Q491" s="235"/>
      <c r="R491" s="235"/>
      <c r="S491" s="235"/>
      <c r="T491" s="235"/>
      <c r="U491" s="235"/>
      <c r="V491" s="235"/>
      <c r="W491" s="235"/>
      <c r="X491" s="235"/>
      <c r="Y491" s="235"/>
      <c r="Z491" s="235"/>
      <c r="AA491" s="235"/>
      <c r="AB491" s="235"/>
      <c r="AC491" s="235"/>
    </row>
    <row r="492">
      <c r="A492" s="194" t="s">
        <v>1160</v>
      </c>
      <c r="B492" s="193">
        <v>103969.0</v>
      </c>
      <c r="C492" s="192" t="s">
        <v>1161</v>
      </c>
      <c r="D492" s="192" t="s">
        <v>1140</v>
      </c>
      <c r="E492" s="235"/>
      <c r="F492" s="235"/>
      <c r="G492" s="325"/>
      <c r="H492" s="235"/>
      <c r="I492" s="235"/>
      <c r="J492" s="235"/>
      <c r="K492" s="235"/>
      <c r="L492" s="235"/>
      <c r="M492" s="235"/>
      <c r="N492" s="235"/>
      <c r="O492" s="235"/>
      <c r="P492" s="235"/>
      <c r="Q492" s="235"/>
      <c r="R492" s="235"/>
      <c r="S492" s="235"/>
      <c r="T492" s="235"/>
      <c r="U492" s="235"/>
      <c r="V492" s="235"/>
      <c r="W492" s="235"/>
      <c r="X492" s="235"/>
      <c r="Y492" s="235"/>
      <c r="Z492" s="235"/>
      <c r="AA492" s="235"/>
      <c r="AB492" s="235"/>
      <c r="AC492" s="235"/>
    </row>
    <row r="493">
      <c r="A493" s="194" t="s">
        <v>1048</v>
      </c>
      <c r="B493" s="193">
        <v>103776.0</v>
      </c>
      <c r="C493" s="192" t="s">
        <v>1049</v>
      </c>
      <c r="D493" s="192" t="s">
        <v>51</v>
      </c>
      <c r="E493" s="235"/>
      <c r="F493" s="235"/>
      <c r="G493" s="325"/>
      <c r="H493" s="235"/>
      <c r="I493" s="235"/>
      <c r="J493" s="235"/>
      <c r="K493" s="235"/>
      <c r="L493" s="235"/>
      <c r="M493" s="235"/>
      <c r="N493" s="235"/>
      <c r="O493" s="235"/>
      <c r="P493" s="235"/>
      <c r="Q493" s="235"/>
      <c r="R493" s="235"/>
      <c r="S493" s="235"/>
      <c r="T493" s="235"/>
      <c r="U493" s="235"/>
      <c r="V493" s="235"/>
      <c r="W493" s="235"/>
      <c r="X493" s="235"/>
      <c r="Y493" s="235"/>
      <c r="Z493" s="235"/>
      <c r="AA493" s="235"/>
      <c r="AB493" s="235"/>
      <c r="AC493" s="235"/>
    </row>
    <row r="494">
      <c r="A494" s="194" t="s">
        <v>986</v>
      </c>
      <c r="B494" s="193">
        <v>103510.0</v>
      </c>
      <c r="C494" s="192" t="s">
        <v>987</v>
      </c>
      <c r="D494" s="192" t="s">
        <v>295</v>
      </c>
      <c r="E494" s="235"/>
      <c r="F494" s="235"/>
      <c r="G494" s="325"/>
      <c r="H494" s="235"/>
      <c r="I494" s="235"/>
      <c r="J494" s="235"/>
      <c r="K494" s="235"/>
      <c r="L494" s="235"/>
      <c r="M494" s="235"/>
      <c r="N494" s="235"/>
      <c r="O494" s="235"/>
      <c r="P494" s="235"/>
      <c r="Q494" s="235"/>
      <c r="R494" s="235"/>
      <c r="S494" s="235"/>
      <c r="T494" s="235"/>
      <c r="U494" s="235"/>
      <c r="V494" s="235"/>
      <c r="W494" s="235"/>
      <c r="X494" s="235"/>
      <c r="Y494" s="235"/>
      <c r="Z494" s="235"/>
      <c r="AA494" s="235"/>
      <c r="AB494" s="235"/>
      <c r="AC494" s="235"/>
    </row>
    <row r="495">
      <c r="A495" s="194" t="s">
        <v>1069</v>
      </c>
      <c r="B495" s="193">
        <v>103795.0</v>
      </c>
      <c r="C495" s="192" t="s">
        <v>1070</v>
      </c>
      <c r="D495" s="192" t="s">
        <v>295</v>
      </c>
      <c r="E495" s="235"/>
      <c r="F495" s="235"/>
      <c r="G495" s="325"/>
      <c r="H495" s="235"/>
      <c r="I495" s="235"/>
      <c r="J495" s="235"/>
      <c r="K495" s="235"/>
      <c r="L495" s="235"/>
      <c r="M495" s="235"/>
      <c r="N495" s="235"/>
      <c r="O495" s="235"/>
      <c r="P495" s="235"/>
      <c r="Q495" s="235"/>
      <c r="R495" s="235"/>
      <c r="S495" s="235"/>
      <c r="T495" s="235"/>
      <c r="U495" s="235"/>
      <c r="V495" s="235"/>
      <c r="W495" s="235"/>
      <c r="X495" s="235"/>
      <c r="Y495" s="235"/>
      <c r="Z495" s="235"/>
      <c r="AA495" s="235"/>
      <c r="AB495" s="235"/>
      <c r="AC495" s="235"/>
    </row>
    <row r="496">
      <c r="A496" s="194" t="s">
        <v>1071</v>
      </c>
      <c r="B496" s="193">
        <v>103729.0</v>
      </c>
      <c r="C496" s="192" t="s">
        <v>1072</v>
      </c>
      <c r="D496" s="192" t="s">
        <v>295</v>
      </c>
      <c r="E496" s="235"/>
      <c r="F496" s="235"/>
      <c r="G496" s="325"/>
      <c r="H496" s="235"/>
      <c r="I496" s="235"/>
      <c r="J496" s="235"/>
      <c r="K496" s="235"/>
      <c r="L496" s="235"/>
      <c r="M496" s="235"/>
      <c r="N496" s="235"/>
      <c r="O496" s="235"/>
      <c r="P496" s="235"/>
      <c r="Q496" s="235"/>
      <c r="R496" s="235"/>
      <c r="S496" s="235"/>
      <c r="T496" s="235"/>
      <c r="U496" s="235"/>
      <c r="V496" s="235"/>
      <c r="W496" s="235"/>
      <c r="X496" s="235"/>
      <c r="Y496" s="235"/>
      <c r="Z496" s="235"/>
      <c r="AA496" s="235"/>
      <c r="AB496" s="235"/>
      <c r="AC496" s="235"/>
    </row>
    <row r="497">
      <c r="A497" s="194" t="s">
        <v>1050</v>
      </c>
      <c r="B497" s="193">
        <v>103774.0</v>
      </c>
      <c r="C497" s="192" t="s">
        <v>1051</v>
      </c>
      <c r="D497" s="192" t="s">
        <v>295</v>
      </c>
      <c r="E497" s="235"/>
      <c r="F497" s="235"/>
      <c r="G497" s="325"/>
      <c r="H497" s="235"/>
      <c r="I497" s="235"/>
      <c r="J497" s="235"/>
      <c r="K497" s="235"/>
      <c r="L497" s="235"/>
      <c r="M497" s="235"/>
      <c r="N497" s="235"/>
      <c r="O497" s="235"/>
      <c r="P497" s="235"/>
      <c r="Q497" s="235"/>
      <c r="R497" s="235"/>
      <c r="S497" s="235"/>
      <c r="T497" s="235"/>
      <c r="U497" s="235"/>
      <c r="V497" s="235"/>
      <c r="W497" s="235"/>
      <c r="X497" s="235"/>
      <c r="Y497" s="235"/>
      <c r="Z497" s="235"/>
      <c r="AA497" s="235"/>
      <c r="AB497" s="235"/>
      <c r="AC497" s="235"/>
    </row>
    <row r="498">
      <c r="A498" s="194" t="s">
        <v>1082</v>
      </c>
      <c r="B498" s="193">
        <v>103831.0</v>
      </c>
      <c r="C498" s="192" t="s">
        <v>1083</v>
      </c>
      <c r="D498" s="192" t="s">
        <v>295</v>
      </c>
      <c r="E498" s="235"/>
      <c r="F498" s="235"/>
      <c r="G498" s="325"/>
      <c r="H498" s="235"/>
      <c r="I498" s="235"/>
      <c r="J498" s="235"/>
      <c r="K498" s="235"/>
      <c r="L498" s="235"/>
      <c r="M498" s="235"/>
      <c r="N498" s="235"/>
      <c r="O498" s="235"/>
      <c r="P498" s="235"/>
      <c r="Q498" s="235"/>
      <c r="R498" s="235"/>
      <c r="S498" s="235"/>
      <c r="T498" s="235"/>
      <c r="U498" s="235"/>
      <c r="V498" s="235"/>
      <c r="W498" s="235"/>
      <c r="X498" s="235"/>
      <c r="Y498" s="235"/>
      <c r="Z498" s="235"/>
      <c r="AA498" s="235"/>
      <c r="AB498" s="235"/>
      <c r="AC498" s="235"/>
    </row>
    <row r="499">
      <c r="A499" s="194" t="s">
        <v>1094</v>
      </c>
      <c r="B499" s="193">
        <v>103798.0</v>
      </c>
      <c r="C499" s="192" t="s">
        <v>1095</v>
      </c>
      <c r="D499" s="192" t="s">
        <v>557</v>
      </c>
      <c r="E499" s="235"/>
      <c r="F499" s="235"/>
      <c r="G499" s="325"/>
      <c r="H499" s="235"/>
      <c r="I499" s="235"/>
      <c r="J499" s="235"/>
      <c r="K499" s="235"/>
      <c r="L499" s="235"/>
      <c r="M499" s="235"/>
      <c r="N499" s="235"/>
      <c r="O499" s="235"/>
      <c r="P499" s="235"/>
      <c r="Q499" s="235"/>
      <c r="R499" s="235"/>
      <c r="S499" s="235"/>
      <c r="T499" s="235"/>
      <c r="U499" s="235"/>
      <c r="V499" s="235"/>
      <c r="W499" s="235"/>
      <c r="X499" s="235"/>
      <c r="Y499" s="235"/>
      <c r="Z499" s="235"/>
      <c r="AA499" s="235"/>
      <c r="AB499" s="235"/>
      <c r="AC499" s="235"/>
    </row>
    <row r="500">
      <c r="A500" s="194" t="s">
        <v>1102</v>
      </c>
      <c r="B500" s="193">
        <v>103836.0</v>
      </c>
      <c r="C500" s="192" t="s">
        <v>1103</v>
      </c>
      <c r="D500" s="192" t="s">
        <v>380</v>
      </c>
      <c r="E500" s="235"/>
      <c r="F500" s="235"/>
      <c r="G500" s="325"/>
      <c r="H500" s="235"/>
      <c r="I500" s="235"/>
      <c r="J500" s="235"/>
      <c r="K500" s="235"/>
      <c r="L500" s="235"/>
      <c r="M500" s="235"/>
      <c r="N500" s="235"/>
      <c r="O500" s="235"/>
      <c r="P500" s="235"/>
      <c r="Q500" s="235"/>
      <c r="R500" s="235"/>
      <c r="S500" s="235"/>
      <c r="T500" s="235"/>
      <c r="U500" s="235"/>
      <c r="V500" s="235"/>
      <c r="W500" s="235"/>
      <c r="X500" s="235"/>
      <c r="Y500" s="235"/>
      <c r="Z500" s="235"/>
      <c r="AA500" s="235"/>
      <c r="AB500" s="235"/>
      <c r="AC500" s="235"/>
    </row>
    <row r="501">
      <c r="A501" s="194" t="s">
        <v>1099</v>
      </c>
      <c r="B501" s="193">
        <v>103827.0</v>
      </c>
      <c r="C501" s="192" t="s">
        <v>1087</v>
      </c>
      <c r="D501" s="192" t="s">
        <v>380</v>
      </c>
      <c r="E501" s="235"/>
      <c r="F501" s="235"/>
      <c r="G501" s="325"/>
      <c r="H501" s="235"/>
      <c r="I501" s="235"/>
      <c r="J501" s="235"/>
      <c r="K501" s="235"/>
      <c r="L501" s="235"/>
      <c r="M501" s="235"/>
      <c r="N501" s="235"/>
      <c r="O501" s="235"/>
      <c r="P501" s="235"/>
      <c r="Q501" s="235"/>
      <c r="R501" s="235"/>
      <c r="S501" s="235"/>
      <c r="T501" s="235"/>
      <c r="U501" s="235"/>
      <c r="V501" s="235"/>
      <c r="W501" s="235"/>
      <c r="X501" s="235"/>
      <c r="Y501" s="235"/>
      <c r="Z501" s="235"/>
      <c r="AA501" s="235"/>
      <c r="AB501" s="235"/>
      <c r="AC501" s="235"/>
    </row>
    <row r="502">
      <c r="A502" s="194" t="s">
        <v>1086</v>
      </c>
      <c r="B502" s="193">
        <v>103827.0</v>
      </c>
      <c r="C502" s="192" t="s">
        <v>1087</v>
      </c>
      <c r="D502" s="192" t="s">
        <v>87</v>
      </c>
      <c r="E502" s="235"/>
      <c r="F502" s="235"/>
      <c r="G502" s="325"/>
      <c r="H502" s="235"/>
      <c r="I502" s="235"/>
      <c r="J502" s="235"/>
      <c r="K502" s="235"/>
      <c r="L502" s="235"/>
      <c r="M502" s="235"/>
      <c r="N502" s="235"/>
      <c r="O502" s="235"/>
      <c r="P502" s="235"/>
      <c r="Q502" s="235"/>
      <c r="R502" s="235"/>
      <c r="S502" s="235"/>
      <c r="T502" s="235"/>
      <c r="U502" s="235"/>
      <c r="V502" s="235"/>
      <c r="W502" s="235"/>
      <c r="X502" s="235"/>
      <c r="Y502" s="235"/>
      <c r="Z502" s="235"/>
      <c r="AA502" s="235"/>
      <c r="AB502" s="235"/>
      <c r="AC502" s="235"/>
    </row>
    <row r="503">
      <c r="A503" s="194" t="s">
        <v>1092</v>
      </c>
      <c r="B503" s="193">
        <v>103815.0</v>
      </c>
      <c r="C503" s="192" t="s">
        <v>1093</v>
      </c>
      <c r="D503" s="192" t="s">
        <v>87</v>
      </c>
      <c r="E503" s="235"/>
      <c r="F503" s="235"/>
      <c r="G503" s="325"/>
      <c r="H503" s="235"/>
      <c r="I503" s="235"/>
      <c r="J503" s="235"/>
      <c r="K503" s="235"/>
      <c r="L503" s="235"/>
      <c r="M503" s="235"/>
      <c r="N503" s="235"/>
      <c r="O503" s="235"/>
      <c r="P503" s="235"/>
      <c r="Q503" s="235"/>
      <c r="R503" s="235"/>
      <c r="S503" s="235"/>
      <c r="T503" s="235"/>
      <c r="U503" s="235"/>
      <c r="V503" s="235"/>
      <c r="W503" s="235"/>
      <c r="X503" s="235"/>
      <c r="Y503" s="235"/>
      <c r="Z503" s="235"/>
      <c r="AA503" s="235"/>
      <c r="AB503" s="235"/>
      <c r="AC503" s="235"/>
    </row>
    <row r="504">
      <c r="A504" s="194" t="s">
        <v>1113</v>
      </c>
      <c r="B504" s="193">
        <v>103870.0</v>
      </c>
      <c r="C504" s="192" t="s">
        <v>1114</v>
      </c>
      <c r="D504" s="192" t="s">
        <v>295</v>
      </c>
      <c r="E504" s="235"/>
      <c r="F504" s="235"/>
      <c r="G504" s="325"/>
      <c r="H504" s="235"/>
      <c r="I504" s="235"/>
      <c r="J504" s="235"/>
      <c r="K504" s="235"/>
      <c r="L504" s="235"/>
      <c r="M504" s="235"/>
      <c r="N504" s="235"/>
      <c r="O504" s="235"/>
      <c r="P504" s="235"/>
      <c r="Q504" s="235"/>
      <c r="R504" s="235"/>
      <c r="S504" s="235"/>
      <c r="T504" s="235"/>
      <c r="U504" s="235"/>
      <c r="V504" s="235"/>
      <c r="W504" s="235"/>
      <c r="X504" s="235"/>
      <c r="Y504" s="235"/>
      <c r="Z504" s="235"/>
      <c r="AA504" s="235"/>
      <c r="AB504" s="235"/>
      <c r="AC504" s="235"/>
    </row>
    <row r="505">
      <c r="A505" s="194" t="s">
        <v>1145</v>
      </c>
      <c r="B505" s="193">
        <v>103937.0</v>
      </c>
      <c r="C505" s="192" t="s">
        <v>1146</v>
      </c>
      <c r="D505" s="192" t="s">
        <v>295</v>
      </c>
      <c r="E505" s="235"/>
      <c r="F505" s="235"/>
      <c r="G505" s="325"/>
      <c r="H505" s="235"/>
      <c r="I505" s="235"/>
      <c r="J505" s="235"/>
      <c r="K505" s="235"/>
      <c r="L505" s="235"/>
      <c r="M505" s="235"/>
      <c r="N505" s="235"/>
      <c r="O505" s="235"/>
      <c r="P505" s="235"/>
      <c r="Q505" s="235"/>
      <c r="R505" s="235"/>
      <c r="S505" s="235"/>
      <c r="T505" s="235"/>
      <c r="U505" s="235"/>
      <c r="V505" s="235"/>
      <c r="W505" s="235"/>
      <c r="X505" s="235"/>
      <c r="Y505" s="235"/>
      <c r="Z505" s="235"/>
      <c r="AA505" s="235"/>
      <c r="AB505" s="235"/>
      <c r="AC505" s="235"/>
    </row>
    <row r="506">
      <c r="A506" s="194" t="s">
        <v>2389</v>
      </c>
      <c r="B506" s="193">
        <v>104793.0</v>
      </c>
      <c r="C506" s="192"/>
      <c r="D506" s="192"/>
      <c r="E506" s="235"/>
      <c r="F506" s="235"/>
      <c r="G506" s="325"/>
      <c r="H506" s="235"/>
      <c r="I506" s="235"/>
      <c r="J506" s="235"/>
      <c r="K506" s="235"/>
      <c r="L506" s="235"/>
      <c r="M506" s="235"/>
      <c r="N506" s="235"/>
      <c r="O506" s="235"/>
      <c r="P506" s="235"/>
      <c r="Q506" s="235"/>
      <c r="R506" s="235"/>
      <c r="S506" s="235"/>
      <c r="T506" s="235"/>
      <c r="U506" s="235"/>
      <c r="V506" s="235"/>
      <c r="W506" s="235"/>
      <c r="X506" s="235"/>
      <c r="Y506" s="235"/>
      <c r="Z506" s="235"/>
      <c r="AA506" s="235"/>
      <c r="AB506" s="235"/>
      <c r="AC506" s="235"/>
    </row>
    <row r="507">
      <c r="A507" s="194" t="s">
        <v>1148</v>
      </c>
      <c r="B507" s="193">
        <v>103940.0</v>
      </c>
      <c r="C507" s="192" t="s">
        <v>1149</v>
      </c>
      <c r="D507" s="192" t="s">
        <v>295</v>
      </c>
      <c r="E507" s="235"/>
      <c r="F507" s="235"/>
      <c r="G507" s="325"/>
      <c r="H507" s="235"/>
      <c r="I507" s="235"/>
      <c r="J507" s="235"/>
      <c r="K507" s="235"/>
      <c r="L507" s="235"/>
      <c r="M507" s="235"/>
      <c r="N507" s="235"/>
      <c r="O507" s="235"/>
      <c r="P507" s="235"/>
      <c r="Q507" s="235"/>
      <c r="R507" s="235"/>
      <c r="S507" s="235"/>
      <c r="T507" s="235"/>
      <c r="U507" s="235"/>
      <c r="V507" s="235"/>
      <c r="W507" s="235"/>
      <c r="X507" s="235"/>
      <c r="Y507" s="235"/>
      <c r="Z507" s="235"/>
      <c r="AA507" s="235"/>
      <c r="AB507" s="235"/>
      <c r="AC507" s="235"/>
    </row>
    <row r="508">
      <c r="A508" s="194" t="s">
        <v>1134</v>
      </c>
      <c r="B508" s="193">
        <v>103891.0</v>
      </c>
      <c r="C508" s="192" t="s">
        <v>1135</v>
      </c>
      <c r="D508" s="192" t="s">
        <v>360</v>
      </c>
      <c r="E508" s="235"/>
      <c r="F508" s="235"/>
      <c r="G508" s="325"/>
      <c r="H508" s="235"/>
      <c r="I508" s="235"/>
      <c r="J508" s="235"/>
      <c r="K508" s="235"/>
      <c r="L508" s="235"/>
      <c r="M508" s="235"/>
      <c r="N508" s="235"/>
      <c r="O508" s="235"/>
      <c r="P508" s="235"/>
      <c r="Q508" s="235"/>
      <c r="R508" s="235"/>
      <c r="S508" s="235"/>
      <c r="T508" s="235"/>
      <c r="U508" s="235"/>
      <c r="V508" s="235"/>
      <c r="W508" s="235"/>
      <c r="X508" s="235"/>
      <c r="Y508" s="235"/>
      <c r="Z508" s="235"/>
      <c r="AA508" s="235"/>
      <c r="AB508" s="235"/>
      <c r="AC508" s="235"/>
    </row>
    <row r="509">
      <c r="A509" s="194" t="s">
        <v>1157</v>
      </c>
      <c r="B509" s="193">
        <v>103981.0</v>
      </c>
      <c r="C509" s="192" t="s">
        <v>1158</v>
      </c>
      <c r="D509" s="192" t="s">
        <v>1159</v>
      </c>
      <c r="E509" s="235"/>
      <c r="F509" s="235"/>
      <c r="G509" s="325"/>
      <c r="H509" s="235"/>
      <c r="I509" s="235"/>
      <c r="J509" s="235"/>
      <c r="K509" s="235"/>
      <c r="L509" s="235"/>
      <c r="M509" s="235"/>
      <c r="N509" s="235"/>
      <c r="O509" s="235"/>
      <c r="P509" s="235"/>
      <c r="Q509" s="235"/>
      <c r="R509" s="235"/>
      <c r="S509" s="235"/>
      <c r="T509" s="235"/>
      <c r="U509" s="235"/>
      <c r="V509" s="235"/>
      <c r="W509" s="235"/>
      <c r="X509" s="235"/>
      <c r="Y509" s="235"/>
      <c r="Z509" s="235"/>
      <c r="AA509" s="235"/>
      <c r="AB509" s="235"/>
      <c r="AC509" s="235"/>
    </row>
    <row r="510">
      <c r="A510" s="194" t="s">
        <v>1155</v>
      </c>
      <c r="B510" s="193">
        <v>104004.0</v>
      </c>
      <c r="C510" s="192" t="s">
        <v>1156</v>
      </c>
      <c r="D510" s="192" t="s">
        <v>360</v>
      </c>
      <c r="E510" s="235"/>
      <c r="F510" s="235"/>
      <c r="G510" s="325"/>
      <c r="H510" s="235"/>
      <c r="I510" s="235"/>
      <c r="J510" s="235"/>
      <c r="K510" s="235"/>
      <c r="L510" s="235"/>
      <c r="M510" s="235"/>
      <c r="N510" s="235"/>
      <c r="O510" s="235"/>
      <c r="P510" s="235"/>
      <c r="Q510" s="235"/>
      <c r="R510" s="235"/>
      <c r="S510" s="235"/>
      <c r="T510" s="235"/>
      <c r="U510" s="235"/>
      <c r="V510" s="235"/>
      <c r="W510" s="235"/>
      <c r="X510" s="235"/>
      <c r="Y510" s="235"/>
      <c r="Z510" s="235"/>
      <c r="AA510" s="235"/>
      <c r="AB510" s="235"/>
      <c r="AC510" s="235"/>
    </row>
    <row r="511">
      <c r="A511" s="194" t="s">
        <v>1166</v>
      </c>
      <c r="B511" s="193">
        <v>103980.0</v>
      </c>
      <c r="C511" s="192" t="s">
        <v>1167</v>
      </c>
      <c r="D511" s="192" t="s">
        <v>87</v>
      </c>
      <c r="E511" s="235"/>
      <c r="F511" s="235"/>
      <c r="G511" s="325"/>
      <c r="H511" s="235"/>
      <c r="I511" s="235"/>
      <c r="J511" s="235"/>
      <c r="K511" s="235"/>
      <c r="L511" s="235"/>
      <c r="M511" s="235"/>
      <c r="N511" s="235"/>
      <c r="O511" s="235"/>
      <c r="P511" s="235"/>
      <c r="Q511" s="235"/>
      <c r="R511" s="235"/>
      <c r="S511" s="235"/>
      <c r="T511" s="235"/>
      <c r="U511" s="235"/>
      <c r="V511" s="235"/>
      <c r="W511" s="235"/>
      <c r="X511" s="235"/>
      <c r="Y511" s="235"/>
      <c r="Z511" s="235"/>
      <c r="AA511" s="235"/>
      <c r="AB511" s="235"/>
      <c r="AC511" s="235"/>
    </row>
    <row r="512">
      <c r="A512" s="194" t="s">
        <v>1111</v>
      </c>
      <c r="B512" s="193">
        <v>103817.0</v>
      </c>
      <c r="C512" s="192" t="s">
        <v>1112</v>
      </c>
      <c r="D512" s="192" t="s">
        <v>94</v>
      </c>
      <c r="E512" s="235"/>
      <c r="F512" s="235"/>
      <c r="G512" s="325"/>
      <c r="H512" s="235"/>
      <c r="I512" s="235"/>
      <c r="J512" s="235"/>
      <c r="K512" s="235"/>
      <c r="L512" s="235"/>
      <c r="M512" s="235"/>
      <c r="N512" s="235"/>
      <c r="O512" s="235"/>
      <c r="P512" s="235"/>
      <c r="Q512" s="235"/>
      <c r="R512" s="235"/>
      <c r="S512" s="235"/>
      <c r="T512" s="235"/>
      <c r="U512" s="235"/>
      <c r="V512" s="235"/>
      <c r="W512" s="235"/>
      <c r="X512" s="235"/>
      <c r="Y512" s="235"/>
      <c r="Z512" s="235"/>
      <c r="AA512" s="235"/>
      <c r="AB512" s="235"/>
      <c r="AC512" s="235"/>
    </row>
    <row r="513">
      <c r="A513" s="194" t="s">
        <v>1107</v>
      </c>
      <c r="B513" s="193">
        <v>103898.0</v>
      </c>
      <c r="C513" s="192" t="s">
        <v>1108</v>
      </c>
      <c r="D513" s="192" t="s">
        <v>295</v>
      </c>
      <c r="E513" s="235"/>
      <c r="F513" s="235"/>
      <c r="G513" s="325"/>
      <c r="H513" s="235"/>
      <c r="I513" s="235"/>
      <c r="J513" s="235"/>
      <c r="K513" s="235"/>
      <c r="L513" s="235"/>
      <c r="M513" s="235"/>
      <c r="N513" s="235"/>
      <c r="O513" s="235"/>
      <c r="P513" s="235"/>
      <c r="Q513" s="235"/>
      <c r="R513" s="235"/>
      <c r="S513" s="235"/>
      <c r="T513" s="235"/>
      <c r="U513" s="235"/>
      <c r="V513" s="235"/>
      <c r="W513" s="235"/>
      <c r="X513" s="235"/>
      <c r="Y513" s="235"/>
      <c r="Z513" s="235"/>
      <c r="AA513" s="235"/>
      <c r="AB513" s="235"/>
      <c r="AC513" s="235"/>
    </row>
    <row r="514">
      <c r="A514" s="194" t="s">
        <v>1104</v>
      </c>
      <c r="B514" s="193">
        <v>103835.0</v>
      </c>
      <c r="C514" s="192" t="s">
        <v>1105</v>
      </c>
      <c r="D514" s="192" t="s">
        <v>360</v>
      </c>
      <c r="E514" s="235"/>
      <c r="F514" s="235"/>
      <c r="G514" s="325"/>
      <c r="H514" s="235"/>
      <c r="I514" s="235"/>
      <c r="J514" s="235"/>
      <c r="K514" s="235"/>
      <c r="L514" s="235"/>
      <c r="M514" s="235"/>
      <c r="N514" s="235"/>
      <c r="O514" s="235"/>
      <c r="P514" s="235"/>
      <c r="Q514" s="235"/>
      <c r="R514" s="235"/>
      <c r="S514" s="235"/>
      <c r="T514" s="235"/>
      <c r="U514" s="235"/>
      <c r="V514" s="235"/>
      <c r="W514" s="235"/>
      <c r="X514" s="235"/>
      <c r="Y514" s="235"/>
      <c r="Z514" s="235"/>
      <c r="AA514" s="235"/>
      <c r="AB514" s="235"/>
      <c r="AC514" s="235"/>
    </row>
    <row r="515">
      <c r="A515" s="194" t="s">
        <v>2391</v>
      </c>
      <c r="B515" s="193">
        <v>104615.0</v>
      </c>
      <c r="C515" s="192" t="s">
        <v>2392</v>
      </c>
      <c r="D515" s="192"/>
      <c r="E515" s="235"/>
      <c r="F515" s="235"/>
      <c r="G515" s="325"/>
      <c r="H515" s="235"/>
      <c r="I515" s="235"/>
      <c r="J515" s="235"/>
      <c r="K515" s="235"/>
      <c r="L515" s="235"/>
      <c r="M515" s="235"/>
      <c r="N515" s="235"/>
      <c r="O515" s="235"/>
      <c r="P515" s="235"/>
      <c r="Q515" s="235"/>
      <c r="R515" s="235"/>
      <c r="S515" s="235"/>
      <c r="T515" s="235"/>
      <c r="U515" s="235"/>
      <c r="V515" s="235"/>
      <c r="W515" s="235"/>
      <c r="X515" s="235"/>
      <c r="Y515" s="235"/>
      <c r="Z515" s="235"/>
      <c r="AA515" s="235"/>
      <c r="AB515" s="235"/>
      <c r="AC515" s="235"/>
    </row>
    <row r="516">
      <c r="A516" s="194" t="s">
        <v>1115</v>
      </c>
      <c r="B516" s="193">
        <v>103869.0</v>
      </c>
      <c r="C516" s="192" t="s">
        <v>1106</v>
      </c>
      <c r="D516" s="192" t="s">
        <v>295</v>
      </c>
      <c r="E516" s="235"/>
      <c r="F516" s="235"/>
      <c r="G516" s="325"/>
      <c r="H516" s="235"/>
      <c r="I516" s="235"/>
      <c r="J516" s="235"/>
      <c r="K516" s="235"/>
      <c r="L516" s="235"/>
      <c r="M516" s="235"/>
      <c r="N516" s="235"/>
      <c r="O516" s="235"/>
      <c r="P516" s="235"/>
      <c r="Q516" s="235"/>
      <c r="R516" s="235"/>
      <c r="S516" s="235"/>
      <c r="T516" s="235"/>
      <c r="U516" s="235"/>
      <c r="V516" s="235"/>
      <c r="W516" s="235"/>
      <c r="X516" s="235"/>
      <c r="Y516" s="235"/>
      <c r="Z516" s="235"/>
      <c r="AA516" s="235"/>
      <c r="AB516" s="235"/>
      <c r="AC516" s="235"/>
    </row>
    <row r="517">
      <c r="A517" s="194" t="s">
        <v>1060</v>
      </c>
      <c r="B517" s="193">
        <v>103789.0</v>
      </c>
      <c r="C517" s="192" t="s">
        <v>1059</v>
      </c>
      <c r="D517" s="192" t="s">
        <v>427</v>
      </c>
      <c r="E517" s="235"/>
      <c r="F517" s="235"/>
      <c r="G517" s="325"/>
      <c r="H517" s="235"/>
      <c r="I517" s="235"/>
      <c r="J517" s="235"/>
      <c r="K517" s="235"/>
      <c r="L517" s="235"/>
      <c r="M517" s="235"/>
      <c r="N517" s="235"/>
      <c r="O517" s="235"/>
      <c r="P517" s="235"/>
      <c r="Q517" s="235"/>
      <c r="R517" s="235"/>
      <c r="S517" s="235"/>
      <c r="T517" s="235"/>
      <c r="U517" s="235"/>
      <c r="V517" s="235"/>
      <c r="W517" s="235"/>
      <c r="X517" s="235"/>
      <c r="Y517" s="235"/>
      <c r="Z517" s="235"/>
      <c r="AA517" s="235"/>
      <c r="AB517" s="235"/>
      <c r="AC517" s="235"/>
    </row>
    <row r="518">
      <c r="A518" s="194" t="s">
        <v>590</v>
      </c>
      <c r="B518" s="193">
        <v>102100.0</v>
      </c>
      <c r="C518" s="192" t="s">
        <v>589</v>
      </c>
      <c r="D518" s="192" t="s">
        <v>295</v>
      </c>
      <c r="E518" s="235"/>
      <c r="F518" s="235"/>
      <c r="G518" s="325"/>
      <c r="H518" s="235"/>
      <c r="I518" s="235"/>
      <c r="J518" s="235"/>
      <c r="K518" s="235"/>
      <c r="L518" s="235"/>
      <c r="M518" s="235"/>
      <c r="N518" s="235"/>
      <c r="O518" s="235"/>
      <c r="P518" s="235"/>
      <c r="Q518" s="235"/>
      <c r="R518" s="235"/>
      <c r="S518" s="235"/>
      <c r="T518" s="235"/>
      <c r="U518" s="235"/>
      <c r="V518" s="235"/>
      <c r="W518" s="235"/>
      <c r="X518" s="235"/>
      <c r="Y518" s="235"/>
      <c r="Z518" s="235"/>
      <c r="AA518" s="235"/>
      <c r="AB518" s="235"/>
      <c r="AC518" s="235"/>
    </row>
    <row r="519">
      <c r="A519" s="194" t="s">
        <v>228</v>
      </c>
      <c r="B519" s="193">
        <v>101600.0</v>
      </c>
      <c r="C519" s="192" t="s">
        <v>229</v>
      </c>
      <c r="D519" s="192" t="s">
        <v>225</v>
      </c>
      <c r="E519" s="235"/>
      <c r="F519" s="235"/>
      <c r="G519" s="325"/>
      <c r="H519" s="235"/>
      <c r="I519" s="235"/>
      <c r="J519" s="235"/>
      <c r="K519" s="235"/>
      <c r="L519" s="235"/>
      <c r="M519" s="235"/>
      <c r="N519" s="235"/>
      <c r="O519" s="235"/>
      <c r="P519" s="235"/>
      <c r="Q519" s="235"/>
      <c r="R519" s="235"/>
      <c r="S519" s="235"/>
      <c r="T519" s="235"/>
      <c r="U519" s="235"/>
      <c r="V519" s="235"/>
      <c r="W519" s="235"/>
      <c r="X519" s="235"/>
      <c r="Y519" s="235"/>
      <c r="Z519" s="235"/>
      <c r="AA519" s="235"/>
      <c r="AB519" s="235"/>
      <c r="AC519" s="235"/>
    </row>
    <row r="520">
      <c r="A520" s="194" t="s">
        <v>304</v>
      </c>
      <c r="B520" s="193">
        <v>101695.0</v>
      </c>
      <c r="C520" s="192" t="s">
        <v>305</v>
      </c>
      <c r="D520" s="192" t="s">
        <v>306</v>
      </c>
      <c r="E520" s="235"/>
      <c r="F520" s="235"/>
      <c r="G520" s="325"/>
      <c r="H520" s="235"/>
      <c r="I520" s="235"/>
      <c r="J520" s="235"/>
      <c r="K520" s="235"/>
      <c r="L520" s="235"/>
      <c r="M520" s="235"/>
      <c r="N520" s="235"/>
      <c r="O520" s="235"/>
      <c r="P520" s="235"/>
      <c r="Q520" s="235"/>
      <c r="R520" s="235"/>
      <c r="S520" s="235"/>
      <c r="T520" s="235"/>
      <c r="U520" s="235"/>
      <c r="V520" s="235"/>
      <c r="W520" s="235"/>
      <c r="X520" s="235"/>
      <c r="Y520" s="235"/>
      <c r="Z520" s="235"/>
      <c r="AA520" s="235"/>
      <c r="AB520" s="235"/>
      <c r="AC520" s="235"/>
    </row>
    <row r="521">
      <c r="A521" s="194" t="s">
        <v>458</v>
      </c>
      <c r="B521" s="193">
        <v>101971.0</v>
      </c>
      <c r="C521" s="192" t="s">
        <v>459</v>
      </c>
      <c r="D521" s="192" t="s">
        <v>141</v>
      </c>
      <c r="E521" s="235"/>
      <c r="F521" s="235"/>
      <c r="G521" s="325"/>
      <c r="H521" s="235"/>
      <c r="I521" s="235"/>
      <c r="J521" s="235"/>
      <c r="K521" s="235"/>
      <c r="L521" s="235"/>
      <c r="M521" s="235"/>
      <c r="N521" s="235"/>
      <c r="O521" s="235"/>
      <c r="P521" s="235"/>
      <c r="Q521" s="235"/>
      <c r="R521" s="235"/>
      <c r="S521" s="235"/>
      <c r="T521" s="235"/>
      <c r="U521" s="235"/>
      <c r="V521" s="235"/>
      <c r="W521" s="235"/>
      <c r="X521" s="235"/>
      <c r="Y521" s="235"/>
      <c r="Z521" s="235"/>
      <c r="AA521" s="235"/>
      <c r="AB521" s="235"/>
      <c r="AC521" s="235"/>
    </row>
    <row r="522">
      <c r="A522" s="194" t="s">
        <v>223</v>
      </c>
      <c r="B522" s="193">
        <v>101598.0</v>
      </c>
      <c r="C522" s="192" t="s">
        <v>224</v>
      </c>
      <c r="D522" s="192" t="s">
        <v>225</v>
      </c>
      <c r="E522" s="235"/>
      <c r="F522" s="235"/>
      <c r="G522" s="325"/>
      <c r="H522" s="235"/>
      <c r="I522" s="235"/>
      <c r="J522" s="235"/>
      <c r="K522" s="235"/>
      <c r="L522" s="235"/>
      <c r="M522" s="235"/>
      <c r="N522" s="235"/>
      <c r="O522" s="235"/>
      <c r="P522" s="235"/>
      <c r="Q522" s="235"/>
      <c r="R522" s="235"/>
      <c r="S522" s="235"/>
      <c r="T522" s="235"/>
      <c r="U522" s="235"/>
      <c r="V522" s="235"/>
      <c r="W522" s="235"/>
      <c r="X522" s="235"/>
      <c r="Y522" s="235"/>
      <c r="Z522" s="235"/>
      <c r="AA522" s="235"/>
      <c r="AB522" s="235"/>
      <c r="AC522" s="235"/>
    </row>
    <row r="523">
      <c r="A523" s="194" t="s">
        <v>226</v>
      </c>
      <c r="B523" s="193">
        <v>101599.0</v>
      </c>
      <c r="C523" s="192" t="s">
        <v>227</v>
      </c>
      <c r="D523" s="192" t="s">
        <v>225</v>
      </c>
      <c r="E523" s="235"/>
      <c r="F523" s="235"/>
      <c r="G523" s="325"/>
      <c r="H523" s="235"/>
      <c r="I523" s="235"/>
      <c r="J523" s="235"/>
      <c r="K523" s="235"/>
      <c r="L523" s="235"/>
      <c r="M523" s="235"/>
      <c r="N523" s="235"/>
      <c r="O523" s="235"/>
      <c r="P523" s="235"/>
      <c r="Q523" s="235"/>
      <c r="R523" s="235"/>
      <c r="S523" s="235"/>
      <c r="T523" s="235"/>
      <c r="U523" s="235"/>
      <c r="V523" s="235"/>
      <c r="W523" s="235"/>
      <c r="X523" s="235"/>
      <c r="Y523" s="235"/>
      <c r="Z523" s="235"/>
      <c r="AA523" s="235"/>
      <c r="AB523" s="235"/>
      <c r="AC523" s="235"/>
    </row>
    <row r="524">
      <c r="A524" s="194" t="s">
        <v>216</v>
      </c>
      <c r="B524" s="193">
        <v>101601.0</v>
      </c>
      <c r="C524" s="192" t="s">
        <v>217</v>
      </c>
      <c r="D524" s="192" t="s">
        <v>219</v>
      </c>
      <c r="E524" s="235"/>
      <c r="F524" s="235"/>
      <c r="G524" s="325"/>
      <c r="H524" s="235"/>
      <c r="I524" s="235"/>
      <c r="J524" s="235"/>
      <c r="K524" s="235"/>
      <c r="L524" s="235"/>
      <c r="M524" s="235"/>
      <c r="N524" s="235"/>
      <c r="O524" s="235"/>
      <c r="P524" s="235"/>
      <c r="Q524" s="235"/>
      <c r="R524" s="235"/>
      <c r="S524" s="235"/>
      <c r="T524" s="235"/>
      <c r="U524" s="235"/>
      <c r="V524" s="235"/>
      <c r="W524" s="235"/>
      <c r="X524" s="235"/>
      <c r="Y524" s="235"/>
      <c r="Z524" s="235"/>
      <c r="AA524" s="235"/>
      <c r="AB524" s="235"/>
      <c r="AC524" s="235"/>
    </row>
    <row r="525">
      <c r="A525" s="194" t="s">
        <v>221</v>
      </c>
      <c r="B525" s="193">
        <v>101601.0</v>
      </c>
      <c r="C525" s="192" t="s">
        <v>217</v>
      </c>
      <c r="D525" s="192" t="s">
        <v>94</v>
      </c>
      <c r="E525" s="235"/>
      <c r="F525" s="235"/>
      <c r="G525" s="325"/>
      <c r="H525" s="235"/>
      <c r="I525" s="235"/>
      <c r="J525" s="235"/>
      <c r="K525" s="235"/>
      <c r="L525" s="235"/>
      <c r="M525" s="235"/>
      <c r="N525" s="235"/>
      <c r="O525" s="235"/>
      <c r="P525" s="235"/>
      <c r="Q525" s="235"/>
      <c r="R525" s="235"/>
      <c r="S525" s="235"/>
      <c r="T525" s="235"/>
      <c r="U525" s="235"/>
      <c r="V525" s="235"/>
      <c r="W525" s="235"/>
      <c r="X525" s="235"/>
      <c r="Y525" s="235"/>
      <c r="Z525" s="235"/>
      <c r="AA525" s="235"/>
      <c r="AB525" s="235"/>
      <c r="AC525" s="235"/>
    </row>
    <row r="526">
      <c r="A526" s="194" t="s">
        <v>2398</v>
      </c>
      <c r="B526" s="193">
        <v>104790.0</v>
      </c>
      <c r="C526" s="192"/>
      <c r="D526" s="192"/>
      <c r="E526" s="235"/>
      <c r="F526" s="235"/>
      <c r="G526" s="325"/>
      <c r="H526" s="235"/>
      <c r="I526" s="235"/>
      <c r="J526" s="235"/>
      <c r="K526" s="235"/>
      <c r="L526" s="235"/>
      <c r="M526" s="235"/>
      <c r="N526" s="235"/>
      <c r="O526" s="235"/>
      <c r="P526" s="235"/>
      <c r="Q526" s="235"/>
      <c r="R526" s="235"/>
      <c r="S526" s="235"/>
      <c r="T526" s="235"/>
      <c r="U526" s="235"/>
      <c r="V526" s="235"/>
      <c r="W526" s="235"/>
      <c r="X526" s="235"/>
      <c r="Y526" s="235"/>
      <c r="Z526" s="235"/>
      <c r="AA526" s="235"/>
      <c r="AB526" s="235"/>
      <c r="AC526" s="235"/>
    </row>
    <row r="527">
      <c r="A527" s="194" t="s">
        <v>1249</v>
      </c>
      <c r="B527" s="193">
        <v>104197.0</v>
      </c>
      <c r="C527" s="192" t="s">
        <v>1250</v>
      </c>
      <c r="D527" s="192" t="s">
        <v>51</v>
      </c>
      <c r="E527" s="235"/>
      <c r="F527" s="235"/>
      <c r="G527" s="325"/>
      <c r="H527" s="235"/>
      <c r="I527" s="235"/>
      <c r="J527" s="235"/>
      <c r="K527" s="235"/>
      <c r="L527" s="235"/>
      <c r="M527" s="235"/>
      <c r="N527" s="235"/>
      <c r="O527" s="235"/>
      <c r="P527" s="235"/>
      <c r="Q527" s="235"/>
      <c r="R527" s="235"/>
      <c r="S527" s="235"/>
      <c r="T527" s="235"/>
      <c r="U527" s="235"/>
      <c r="V527" s="235"/>
      <c r="W527" s="235"/>
      <c r="X527" s="235"/>
      <c r="Y527" s="235"/>
      <c r="Z527" s="235"/>
      <c r="AA527" s="235"/>
      <c r="AB527" s="235"/>
      <c r="AC527" s="235"/>
    </row>
    <row r="528">
      <c r="A528" s="194" t="s">
        <v>1251</v>
      </c>
      <c r="B528" s="193">
        <v>104206.0</v>
      </c>
      <c r="C528" s="192" t="s">
        <v>1252</v>
      </c>
      <c r="D528" s="192" t="s">
        <v>51</v>
      </c>
      <c r="E528" s="235"/>
      <c r="F528" s="235"/>
      <c r="G528" s="325"/>
      <c r="H528" s="235"/>
      <c r="I528" s="235"/>
      <c r="J528" s="235"/>
      <c r="K528" s="235"/>
      <c r="L528" s="235"/>
      <c r="M528" s="235"/>
      <c r="N528" s="235"/>
      <c r="O528" s="235"/>
      <c r="P528" s="235"/>
      <c r="Q528" s="235"/>
      <c r="R528" s="235"/>
      <c r="S528" s="235"/>
      <c r="T528" s="235"/>
      <c r="U528" s="235"/>
      <c r="V528" s="235"/>
      <c r="W528" s="235"/>
      <c r="X528" s="235"/>
      <c r="Y528" s="235"/>
      <c r="Z528" s="235"/>
      <c r="AA528" s="235"/>
      <c r="AB528" s="235"/>
      <c r="AC528" s="235"/>
    </row>
    <row r="529">
      <c r="A529" s="194" t="s">
        <v>1187</v>
      </c>
      <c r="B529" s="193">
        <v>104043.0</v>
      </c>
      <c r="C529" s="192" t="s">
        <v>1188</v>
      </c>
      <c r="D529" s="192" t="s">
        <v>51</v>
      </c>
      <c r="E529" s="235"/>
      <c r="F529" s="235"/>
      <c r="G529" s="325"/>
      <c r="H529" s="235"/>
      <c r="I529" s="235"/>
      <c r="J529" s="235"/>
      <c r="K529" s="235"/>
      <c r="L529" s="235"/>
      <c r="M529" s="235"/>
      <c r="N529" s="235"/>
      <c r="O529" s="235"/>
      <c r="P529" s="235"/>
      <c r="Q529" s="235"/>
      <c r="R529" s="235"/>
      <c r="S529" s="235"/>
      <c r="T529" s="235"/>
      <c r="U529" s="235"/>
      <c r="V529" s="235"/>
      <c r="W529" s="235"/>
      <c r="X529" s="235"/>
      <c r="Y529" s="235"/>
      <c r="Z529" s="235"/>
      <c r="AA529" s="235"/>
      <c r="AB529" s="235"/>
      <c r="AC529" s="235"/>
    </row>
    <row r="530">
      <c r="A530" s="194" t="s">
        <v>1180</v>
      </c>
      <c r="B530" s="193">
        <v>103418.0</v>
      </c>
      <c r="C530" s="192" t="s">
        <v>1181</v>
      </c>
      <c r="D530" s="192" t="s">
        <v>1140</v>
      </c>
      <c r="E530" s="235"/>
      <c r="F530" s="235"/>
      <c r="G530" s="325"/>
      <c r="H530" s="235"/>
      <c r="I530" s="235"/>
      <c r="J530" s="235"/>
      <c r="K530" s="235"/>
      <c r="L530" s="235"/>
      <c r="M530" s="235"/>
      <c r="N530" s="235"/>
      <c r="O530" s="235"/>
      <c r="P530" s="235"/>
      <c r="Q530" s="235"/>
      <c r="R530" s="235"/>
      <c r="S530" s="235"/>
      <c r="T530" s="235"/>
      <c r="U530" s="235"/>
      <c r="V530" s="235"/>
      <c r="W530" s="235"/>
      <c r="X530" s="235"/>
      <c r="Y530" s="235"/>
      <c r="Z530" s="235"/>
      <c r="AA530" s="235"/>
      <c r="AB530" s="235"/>
      <c r="AC530" s="235"/>
    </row>
    <row r="531">
      <c r="A531" s="194" t="s">
        <v>1253</v>
      </c>
      <c r="B531" s="193">
        <v>104185.0</v>
      </c>
      <c r="C531" s="192" t="s">
        <v>1254</v>
      </c>
      <c r="D531" s="192" t="s">
        <v>51</v>
      </c>
      <c r="E531" s="235"/>
      <c r="F531" s="235"/>
      <c r="G531" s="325"/>
      <c r="H531" s="235"/>
      <c r="I531" s="235"/>
      <c r="J531" s="235"/>
      <c r="K531" s="235"/>
      <c r="L531" s="235"/>
      <c r="M531" s="235"/>
      <c r="N531" s="235"/>
      <c r="O531" s="235"/>
      <c r="P531" s="235"/>
      <c r="Q531" s="235"/>
      <c r="R531" s="235"/>
      <c r="S531" s="235"/>
      <c r="T531" s="235"/>
      <c r="U531" s="235"/>
      <c r="V531" s="235"/>
      <c r="W531" s="235"/>
      <c r="X531" s="235"/>
      <c r="Y531" s="235"/>
      <c r="Z531" s="235"/>
      <c r="AA531" s="235"/>
      <c r="AB531" s="235"/>
      <c r="AC531" s="235"/>
    </row>
    <row r="532">
      <c r="A532" s="194" t="s">
        <v>1109</v>
      </c>
      <c r="B532" s="193">
        <v>103915.0</v>
      </c>
      <c r="C532" s="192" t="s">
        <v>1110</v>
      </c>
      <c r="D532" s="192" t="s">
        <v>51</v>
      </c>
      <c r="E532" s="235"/>
      <c r="F532" s="235"/>
      <c r="G532" s="325"/>
      <c r="H532" s="235"/>
      <c r="I532" s="235"/>
      <c r="J532" s="235"/>
      <c r="K532" s="235"/>
      <c r="L532" s="235"/>
      <c r="M532" s="235"/>
      <c r="N532" s="235"/>
      <c r="O532" s="235"/>
      <c r="P532" s="235"/>
      <c r="Q532" s="235"/>
      <c r="R532" s="235"/>
      <c r="S532" s="235"/>
      <c r="T532" s="235"/>
      <c r="U532" s="235"/>
      <c r="V532" s="235"/>
      <c r="W532" s="235"/>
      <c r="X532" s="235"/>
      <c r="Y532" s="235"/>
      <c r="Z532" s="235"/>
      <c r="AA532" s="235"/>
      <c r="AB532" s="235"/>
      <c r="AC532" s="235"/>
    </row>
    <row r="533">
      <c r="A533" s="194" t="s">
        <v>1096</v>
      </c>
      <c r="B533" s="193">
        <v>103825.0</v>
      </c>
      <c r="C533" s="192" t="s">
        <v>1097</v>
      </c>
      <c r="D533" s="192" t="s">
        <v>1098</v>
      </c>
      <c r="E533" s="235"/>
      <c r="F533" s="235"/>
      <c r="G533" s="325"/>
      <c r="H533" s="235"/>
      <c r="I533" s="235"/>
      <c r="J533" s="235"/>
      <c r="K533" s="235"/>
      <c r="L533" s="235"/>
      <c r="M533" s="235"/>
      <c r="N533" s="235"/>
      <c r="O533" s="235"/>
      <c r="P533" s="235"/>
      <c r="Q533" s="235"/>
      <c r="R533" s="235"/>
      <c r="S533" s="235"/>
      <c r="T533" s="235"/>
      <c r="U533" s="235"/>
      <c r="V533" s="235"/>
      <c r="W533" s="235"/>
      <c r="X533" s="235"/>
      <c r="Y533" s="235"/>
      <c r="Z533" s="235"/>
      <c r="AA533" s="235"/>
      <c r="AB533" s="235"/>
      <c r="AC533" s="235"/>
    </row>
    <row r="534">
      <c r="A534" s="194" t="s">
        <v>1136</v>
      </c>
      <c r="B534" s="193">
        <v>103753.0</v>
      </c>
      <c r="C534" s="192" t="s">
        <v>1137</v>
      </c>
      <c r="D534" s="192" t="s">
        <v>51</v>
      </c>
      <c r="E534" s="235"/>
      <c r="F534" s="235"/>
      <c r="G534" s="325"/>
      <c r="H534" s="235"/>
      <c r="I534" s="235"/>
      <c r="J534" s="235"/>
      <c r="K534" s="235"/>
      <c r="L534" s="235"/>
      <c r="M534" s="235"/>
      <c r="N534" s="235"/>
      <c r="O534" s="235"/>
      <c r="P534" s="235"/>
      <c r="Q534" s="235"/>
      <c r="R534" s="235"/>
      <c r="S534" s="235"/>
      <c r="T534" s="235"/>
      <c r="U534" s="235"/>
      <c r="V534" s="235"/>
      <c r="W534" s="235"/>
      <c r="X534" s="235"/>
      <c r="Y534" s="235"/>
      <c r="Z534" s="235"/>
      <c r="AA534" s="235"/>
      <c r="AB534" s="235"/>
      <c r="AC534" s="235"/>
    </row>
    <row r="535">
      <c r="A535" s="194" t="s">
        <v>1176</v>
      </c>
      <c r="B535" s="193">
        <v>104021.0</v>
      </c>
      <c r="C535" s="192" t="s">
        <v>1177</v>
      </c>
      <c r="D535" s="192" t="s">
        <v>1140</v>
      </c>
      <c r="E535" s="235"/>
      <c r="F535" s="235"/>
      <c r="G535" s="325"/>
      <c r="H535" s="235"/>
      <c r="I535" s="235"/>
      <c r="J535" s="235"/>
      <c r="K535" s="235"/>
      <c r="L535" s="235"/>
      <c r="M535" s="235"/>
      <c r="N535" s="235"/>
      <c r="O535" s="235"/>
      <c r="P535" s="235"/>
      <c r="Q535" s="235"/>
      <c r="R535" s="235"/>
      <c r="S535" s="235"/>
      <c r="T535" s="235"/>
      <c r="U535" s="235"/>
      <c r="V535" s="235"/>
      <c r="W535" s="235"/>
      <c r="X535" s="235"/>
      <c r="Y535" s="235"/>
      <c r="Z535" s="235"/>
      <c r="AA535" s="235"/>
      <c r="AB535" s="235"/>
      <c r="AC535" s="235"/>
    </row>
    <row r="536">
      <c r="A536" s="194" t="s">
        <v>1279</v>
      </c>
      <c r="B536" s="193">
        <v>104053.0</v>
      </c>
      <c r="C536" s="192" t="s">
        <v>1280</v>
      </c>
      <c r="D536" s="192" t="s">
        <v>806</v>
      </c>
      <c r="E536" s="235"/>
      <c r="F536" s="235"/>
      <c r="G536" s="325"/>
      <c r="H536" s="235"/>
      <c r="I536" s="235"/>
      <c r="J536" s="235"/>
      <c r="K536" s="235"/>
      <c r="L536" s="235"/>
      <c r="M536" s="235"/>
      <c r="N536" s="235"/>
      <c r="O536" s="235"/>
      <c r="P536" s="235"/>
      <c r="Q536" s="235"/>
      <c r="R536" s="235"/>
      <c r="S536" s="235"/>
      <c r="T536" s="235"/>
      <c r="U536" s="235"/>
      <c r="V536" s="235"/>
      <c r="W536" s="235"/>
      <c r="X536" s="235"/>
      <c r="Y536" s="235"/>
      <c r="Z536" s="235"/>
      <c r="AA536" s="235"/>
      <c r="AB536" s="235"/>
      <c r="AC536" s="235"/>
    </row>
    <row r="537">
      <c r="A537" s="194" t="s">
        <v>1206</v>
      </c>
      <c r="B537" s="193">
        <v>104105.0</v>
      </c>
      <c r="C537" s="192" t="s">
        <v>1207</v>
      </c>
      <c r="D537" s="192" t="s">
        <v>1208</v>
      </c>
      <c r="E537" s="235"/>
      <c r="F537" s="235"/>
      <c r="G537" s="325"/>
      <c r="H537" s="235"/>
      <c r="I537" s="235"/>
      <c r="J537" s="235"/>
      <c r="K537" s="235"/>
      <c r="L537" s="235"/>
      <c r="M537" s="235"/>
      <c r="N537" s="235"/>
      <c r="O537" s="235"/>
      <c r="P537" s="235"/>
      <c r="Q537" s="235"/>
      <c r="R537" s="235"/>
      <c r="S537" s="235"/>
      <c r="T537" s="235"/>
      <c r="U537" s="235"/>
      <c r="V537" s="235"/>
      <c r="W537" s="235"/>
      <c r="X537" s="235"/>
      <c r="Y537" s="235"/>
      <c r="Z537" s="235"/>
      <c r="AA537" s="235"/>
      <c r="AB537" s="235"/>
      <c r="AC537" s="235"/>
    </row>
    <row r="538">
      <c r="A538" s="194" t="s">
        <v>1266</v>
      </c>
      <c r="B538" s="193">
        <v>104229.0</v>
      </c>
      <c r="C538" s="192" t="s">
        <v>1267</v>
      </c>
      <c r="D538" s="192" t="s">
        <v>427</v>
      </c>
      <c r="E538" s="235"/>
      <c r="F538" s="235"/>
      <c r="G538" s="325"/>
      <c r="H538" s="235"/>
      <c r="I538" s="235"/>
      <c r="J538" s="235"/>
      <c r="K538" s="235"/>
      <c r="L538" s="235"/>
      <c r="M538" s="235"/>
      <c r="N538" s="235"/>
      <c r="O538" s="235"/>
      <c r="P538" s="235"/>
      <c r="Q538" s="235"/>
      <c r="R538" s="235"/>
      <c r="S538" s="235"/>
      <c r="T538" s="235"/>
      <c r="U538" s="235"/>
      <c r="V538" s="235"/>
      <c r="W538" s="235"/>
      <c r="X538" s="235"/>
      <c r="Y538" s="235"/>
      <c r="Z538" s="235"/>
      <c r="AA538" s="235"/>
      <c r="AB538" s="235"/>
      <c r="AC538" s="235"/>
    </row>
    <row r="539">
      <c r="A539" s="194" t="s">
        <v>1225</v>
      </c>
      <c r="B539" s="193">
        <v>104123.0</v>
      </c>
      <c r="C539" s="192" t="s">
        <v>1226</v>
      </c>
      <c r="D539" s="192" t="s">
        <v>806</v>
      </c>
      <c r="E539" s="235"/>
      <c r="F539" s="235"/>
      <c r="G539" s="325"/>
      <c r="H539" s="235"/>
      <c r="I539" s="235"/>
      <c r="J539" s="235"/>
      <c r="K539" s="235"/>
      <c r="L539" s="235"/>
      <c r="M539" s="235"/>
      <c r="N539" s="235"/>
      <c r="O539" s="235"/>
      <c r="P539" s="235"/>
      <c r="Q539" s="235"/>
      <c r="R539" s="235"/>
      <c r="S539" s="235"/>
      <c r="T539" s="235"/>
      <c r="U539" s="235"/>
      <c r="V539" s="235"/>
      <c r="W539" s="235"/>
      <c r="X539" s="235"/>
      <c r="Y539" s="235"/>
      <c r="Z539" s="235"/>
      <c r="AA539" s="235"/>
      <c r="AB539" s="235"/>
      <c r="AC539" s="235"/>
    </row>
    <row r="540">
      <c r="A540" s="194" t="s">
        <v>228</v>
      </c>
      <c r="B540" s="193">
        <v>101600.0</v>
      </c>
      <c r="C540" s="192" t="s">
        <v>229</v>
      </c>
      <c r="D540" s="192" t="s">
        <v>225</v>
      </c>
      <c r="E540" s="235"/>
      <c r="F540" s="235"/>
      <c r="G540" s="325"/>
      <c r="H540" s="235"/>
      <c r="I540" s="235"/>
      <c r="J540" s="235"/>
      <c r="K540" s="235"/>
      <c r="L540" s="235"/>
      <c r="M540" s="235"/>
      <c r="N540" s="235"/>
      <c r="O540" s="235"/>
      <c r="P540" s="235"/>
      <c r="Q540" s="235"/>
      <c r="R540" s="235"/>
      <c r="S540" s="235"/>
      <c r="T540" s="235"/>
      <c r="U540" s="235"/>
      <c r="V540" s="235"/>
      <c r="W540" s="235"/>
      <c r="X540" s="235"/>
      <c r="Y540" s="235"/>
      <c r="Z540" s="235"/>
      <c r="AA540" s="235"/>
      <c r="AB540" s="235"/>
      <c r="AC540" s="235"/>
    </row>
    <row r="541">
      <c r="A541" s="234"/>
      <c r="B541" s="194"/>
      <c r="C541" s="196"/>
      <c r="D541" s="192"/>
      <c r="E541" s="235"/>
      <c r="F541" s="235"/>
      <c r="G541" s="325"/>
      <c r="H541" s="235"/>
      <c r="I541" s="235"/>
      <c r="J541" s="235"/>
      <c r="K541" s="235"/>
      <c r="L541" s="235"/>
      <c r="M541" s="235"/>
      <c r="N541" s="235"/>
      <c r="O541" s="235"/>
      <c r="P541" s="235"/>
      <c r="Q541" s="235"/>
      <c r="R541" s="235"/>
      <c r="S541" s="235"/>
      <c r="T541" s="235"/>
      <c r="U541" s="235"/>
      <c r="V541" s="235"/>
      <c r="W541" s="235"/>
      <c r="X541" s="235"/>
      <c r="Y541" s="235"/>
      <c r="Z541" s="235"/>
      <c r="AA541" s="235"/>
      <c r="AB541" s="235"/>
      <c r="AC541" s="235"/>
    </row>
    <row r="542">
      <c r="A542" s="194" t="s">
        <v>1025</v>
      </c>
      <c r="B542" s="193">
        <v>103555.0</v>
      </c>
      <c r="C542" s="192" t="s">
        <v>1026</v>
      </c>
      <c r="D542" s="192" t="s">
        <v>254</v>
      </c>
      <c r="E542" s="235"/>
      <c r="F542" s="235"/>
      <c r="G542" s="325"/>
      <c r="H542" s="235"/>
      <c r="I542" s="235"/>
      <c r="J542" s="235"/>
      <c r="K542" s="235"/>
      <c r="L542" s="235"/>
      <c r="M542" s="235"/>
      <c r="N542" s="235"/>
      <c r="O542" s="235"/>
      <c r="P542" s="235"/>
      <c r="Q542" s="235"/>
      <c r="R542" s="235"/>
      <c r="S542" s="235"/>
      <c r="T542" s="235"/>
      <c r="U542" s="235"/>
      <c r="V542" s="235"/>
      <c r="W542" s="235"/>
      <c r="X542" s="235"/>
      <c r="Y542" s="235"/>
      <c r="Z542" s="235"/>
      <c r="AA542" s="235"/>
      <c r="AB542" s="235"/>
      <c r="AC542" s="235"/>
    </row>
    <row r="543">
      <c r="A543" s="194" t="s">
        <v>1324</v>
      </c>
      <c r="B543" s="193">
        <v>104202.0</v>
      </c>
      <c r="C543" s="192" t="s">
        <v>1325</v>
      </c>
      <c r="D543" s="192" t="s">
        <v>625</v>
      </c>
      <c r="E543" s="235"/>
      <c r="F543" s="235"/>
      <c r="G543" s="325"/>
      <c r="H543" s="235"/>
      <c r="I543" s="235"/>
      <c r="J543" s="235"/>
      <c r="K543" s="235"/>
      <c r="L543" s="235"/>
      <c r="M543" s="235"/>
      <c r="N543" s="235"/>
      <c r="O543" s="235"/>
      <c r="P543" s="235"/>
      <c r="Q543" s="235"/>
      <c r="R543" s="235"/>
      <c r="S543" s="235"/>
      <c r="T543" s="235"/>
      <c r="U543" s="235"/>
      <c r="V543" s="235"/>
      <c r="W543" s="235"/>
      <c r="X543" s="235"/>
      <c r="Y543" s="235"/>
      <c r="Z543" s="235"/>
      <c r="AA543" s="235"/>
      <c r="AB543" s="235"/>
      <c r="AC543" s="235"/>
    </row>
    <row r="544">
      <c r="A544" s="234"/>
      <c r="B544" s="193">
        <v>104157.0</v>
      </c>
      <c r="C544" s="192" t="s">
        <v>1362</v>
      </c>
      <c r="D544" s="192" t="s">
        <v>1363</v>
      </c>
      <c r="E544" s="235"/>
      <c r="F544" s="235"/>
      <c r="G544" s="325"/>
      <c r="H544" s="235"/>
      <c r="I544" s="235"/>
      <c r="J544" s="235"/>
      <c r="K544" s="235"/>
      <c r="L544" s="235"/>
      <c r="M544" s="235"/>
      <c r="N544" s="235"/>
      <c r="O544" s="235"/>
      <c r="P544" s="235"/>
      <c r="Q544" s="235"/>
      <c r="R544" s="235"/>
      <c r="S544" s="235"/>
      <c r="T544" s="235"/>
      <c r="U544" s="235"/>
      <c r="V544" s="235"/>
      <c r="W544" s="235"/>
      <c r="X544" s="235"/>
      <c r="Y544" s="235"/>
      <c r="Z544" s="235"/>
      <c r="AA544" s="235"/>
      <c r="AB544" s="235"/>
      <c r="AC544" s="235"/>
    </row>
    <row r="545">
      <c r="A545" s="194" t="s">
        <v>988</v>
      </c>
      <c r="B545" s="193">
        <v>103518.0</v>
      </c>
      <c r="C545" s="192" t="s">
        <v>989</v>
      </c>
      <c r="D545" s="192" t="s">
        <v>113</v>
      </c>
      <c r="E545" s="235"/>
      <c r="F545" s="235"/>
      <c r="G545" s="325"/>
      <c r="H545" s="235"/>
      <c r="I545" s="235"/>
      <c r="J545" s="235"/>
      <c r="K545" s="235"/>
      <c r="L545" s="235"/>
      <c r="M545" s="235"/>
      <c r="N545" s="235"/>
      <c r="O545" s="235"/>
      <c r="P545" s="235"/>
      <c r="Q545" s="235"/>
      <c r="R545" s="235"/>
      <c r="S545" s="235"/>
      <c r="T545" s="235"/>
      <c r="U545" s="235"/>
      <c r="V545" s="235"/>
      <c r="W545" s="235"/>
      <c r="X545" s="235"/>
      <c r="Y545" s="235"/>
      <c r="Z545" s="235"/>
      <c r="AA545" s="235"/>
      <c r="AB545" s="235"/>
      <c r="AC545" s="235"/>
    </row>
    <row r="546">
      <c r="A546" s="194" t="s">
        <v>255</v>
      </c>
      <c r="B546" s="193">
        <v>101694.0</v>
      </c>
      <c r="C546" s="192" t="s">
        <v>253</v>
      </c>
      <c r="D546" s="192" t="s">
        <v>254</v>
      </c>
      <c r="E546" s="235"/>
      <c r="F546" s="235"/>
      <c r="G546" s="325"/>
      <c r="H546" s="235"/>
      <c r="I546" s="235"/>
      <c r="J546" s="235"/>
      <c r="K546" s="235"/>
      <c r="L546" s="235"/>
      <c r="M546" s="235"/>
      <c r="N546" s="235"/>
      <c r="O546" s="235"/>
      <c r="P546" s="235"/>
      <c r="Q546" s="235"/>
      <c r="R546" s="235"/>
      <c r="S546" s="235"/>
      <c r="T546" s="235"/>
      <c r="U546" s="235"/>
      <c r="V546" s="235"/>
      <c r="W546" s="235"/>
      <c r="X546" s="235"/>
      <c r="Y546" s="235"/>
      <c r="Z546" s="235"/>
      <c r="AA546" s="235"/>
      <c r="AB546" s="235"/>
      <c r="AC546" s="235"/>
    </row>
    <row r="547">
      <c r="A547" s="194" t="s">
        <v>525</v>
      </c>
      <c r="B547" s="193">
        <v>102040.0</v>
      </c>
      <c r="C547" s="192" t="s">
        <v>526</v>
      </c>
      <c r="D547" s="192" t="s">
        <v>432</v>
      </c>
      <c r="E547" s="235"/>
      <c r="F547" s="235"/>
      <c r="G547" s="325"/>
      <c r="H547" s="235"/>
      <c r="I547" s="235"/>
      <c r="J547" s="235"/>
      <c r="K547" s="235"/>
      <c r="L547" s="235"/>
      <c r="M547" s="235"/>
      <c r="N547" s="235"/>
      <c r="O547" s="235"/>
      <c r="P547" s="235"/>
      <c r="Q547" s="235"/>
      <c r="R547" s="235"/>
      <c r="S547" s="235"/>
      <c r="T547" s="235"/>
      <c r="U547" s="235"/>
      <c r="V547" s="235"/>
      <c r="W547" s="235"/>
      <c r="X547" s="235"/>
      <c r="Y547" s="235"/>
      <c r="Z547" s="235"/>
      <c r="AA547" s="235"/>
      <c r="AB547" s="235"/>
      <c r="AC547" s="235"/>
    </row>
    <row r="548">
      <c r="A548" s="194" t="s">
        <v>827</v>
      </c>
      <c r="B548" s="193">
        <v>102833.0</v>
      </c>
      <c r="C548" s="192" t="s">
        <v>828</v>
      </c>
      <c r="D548" s="192" t="s">
        <v>51</v>
      </c>
      <c r="E548" s="235"/>
      <c r="F548" s="235"/>
      <c r="G548" s="325"/>
      <c r="H548" s="235"/>
      <c r="I548" s="235"/>
      <c r="J548" s="235"/>
      <c r="K548" s="235"/>
      <c r="L548" s="235"/>
      <c r="M548" s="235"/>
      <c r="N548" s="235"/>
      <c r="O548" s="235"/>
      <c r="P548" s="235"/>
      <c r="Q548" s="235"/>
      <c r="R548" s="235"/>
      <c r="S548" s="235"/>
      <c r="T548" s="235"/>
      <c r="U548" s="235"/>
      <c r="V548" s="235"/>
      <c r="W548" s="235"/>
      <c r="X548" s="235"/>
      <c r="Y548" s="235"/>
      <c r="Z548" s="235"/>
      <c r="AA548" s="235"/>
      <c r="AB548" s="235"/>
      <c r="AC548" s="235"/>
    </row>
    <row r="549">
      <c r="A549" s="194" t="s">
        <v>825</v>
      </c>
      <c r="B549" s="193">
        <v>102831.0</v>
      </c>
      <c r="C549" s="192" t="s">
        <v>826</v>
      </c>
      <c r="D549" s="192" t="s">
        <v>625</v>
      </c>
      <c r="E549" s="235"/>
      <c r="F549" s="235"/>
      <c r="G549" s="325"/>
      <c r="H549" s="235"/>
      <c r="I549" s="235"/>
      <c r="J549" s="235"/>
      <c r="K549" s="235"/>
      <c r="L549" s="235"/>
      <c r="M549" s="235"/>
      <c r="N549" s="235"/>
      <c r="O549" s="235"/>
      <c r="P549" s="235"/>
      <c r="Q549" s="235"/>
      <c r="R549" s="235"/>
      <c r="S549" s="235"/>
      <c r="T549" s="235"/>
      <c r="U549" s="235"/>
      <c r="V549" s="235"/>
      <c r="W549" s="235"/>
      <c r="X549" s="235"/>
      <c r="Y549" s="235"/>
      <c r="Z549" s="235"/>
      <c r="AA549" s="235"/>
      <c r="AB549" s="235"/>
      <c r="AC549" s="235"/>
    </row>
    <row r="550">
      <c r="A550" s="194" t="s">
        <v>865</v>
      </c>
      <c r="B550" s="193">
        <v>102940.0</v>
      </c>
      <c r="C550" s="192" t="s">
        <v>866</v>
      </c>
      <c r="D550" s="192" t="s">
        <v>51</v>
      </c>
      <c r="E550" s="235"/>
      <c r="F550" s="235"/>
      <c r="G550" s="325"/>
      <c r="H550" s="235"/>
      <c r="I550" s="235"/>
      <c r="J550" s="235"/>
      <c r="K550" s="235"/>
      <c r="L550" s="235"/>
      <c r="M550" s="235"/>
      <c r="N550" s="235"/>
      <c r="O550" s="235"/>
      <c r="P550" s="235"/>
      <c r="Q550" s="235"/>
      <c r="R550" s="235"/>
      <c r="S550" s="235"/>
      <c r="T550" s="235"/>
      <c r="U550" s="235"/>
      <c r="V550" s="235"/>
      <c r="W550" s="235"/>
      <c r="X550" s="235"/>
      <c r="Y550" s="235"/>
      <c r="Z550" s="235"/>
      <c r="AA550" s="235"/>
      <c r="AB550" s="235"/>
      <c r="AC550" s="235"/>
    </row>
    <row r="551">
      <c r="A551" s="194" t="s">
        <v>906</v>
      </c>
      <c r="B551" s="193">
        <v>103022.0</v>
      </c>
      <c r="C551" s="192" t="s">
        <v>907</v>
      </c>
      <c r="D551" s="192" t="s">
        <v>522</v>
      </c>
      <c r="E551" s="235"/>
      <c r="F551" s="235"/>
      <c r="G551" s="325"/>
      <c r="H551" s="235"/>
      <c r="I551" s="235"/>
      <c r="J551" s="235"/>
      <c r="K551" s="235"/>
      <c r="L551" s="235"/>
      <c r="M551" s="235"/>
      <c r="N551" s="235"/>
      <c r="O551" s="235"/>
      <c r="P551" s="235"/>
      <c r="Q551" s="235"/>
      <c r="R551" s="235"/>
      <c r="S551" s="235"/>
      <c r="T551" s="235"/>
      <c r="U551" s="235"/>
      <c r="V551" s="235"/>
      <c r="W551" s="235"/>
      <c r="X551" s="235"/>
      <c r="Y551" s="235"/>
      <c r="Z551" s="235"/>
      <c r="AA551" s="235"/>
      <c r="AB551" s="235"/>
      <c r="AC551" s="235"/>
    </row>
    <row r="552">
      <c r="A552" s="194" t="s">
        <v>804</v>
      </c>
      <c r="B552" s="193">
        <v>102560.0</v>
      </c>
      <c r="C552" s="192" t="s">
        <v>805</v>
      </c>
      <c r="D552" s="192" t="s">
        <v>806</v>
      </c>
      <c r="E552" s="235"/>
      <c r="F552" s="235"/>
      <c r="G552" s="325"/>
      <c r="H552" s="235"/>
      <c r="I552" s="235"/>
      <c r="J552" s="235"/>
      <c r="K552" s="235"/>
      <c r="L552" s="235"/>
      <c r="M552" s="235"/>
      <c r="N552" s="235"/>
      <c r="O552" s="235"/>
      <c r="P552" s="235"/>
      <c r="Q552" s="235"/>
      <c r="R552" s="235"/>
      <c r="S552" s="235"/>
      <c r="T552" s="235"/>
      <c r="U552" s="235"/>
      <c r="V552" s="235"/>
      <c r="W552" s="235"/>
      <c r="X552" s="235"/>
      <c r="Y552" s="235"/>
      <c r="Z552" s="235"/>
      <c r="AA552" s="235"/>
      <c r="AB552" s="235"/>
      <c r="AC552" s="235"/>
    </row>
    <row r="553">
      <c r="A553" s="194" t="s">
        <v>858</v>
      </c>
      <c r="B553" s="193">
        <v>102881.0</v>
      </c>
      <c r="C553" s="192" t="s">
        <v>859</v>
      </c>
      <c r="D553" s="192" t="s">
        <v>125</v>
      </c>
      <c r="E553" s="235"/>
      <c r="F553" s="235"/>
      <c r="G553" s="325"/>
      <c r="H553" s="235"/>
      <c r="I553" s="235"/>
      <c r="J553" s="235"/>
      <c r="K553" s="235"/>
      <c r="L553" s="235"/>
      <c r="M553" s="235"/>
      <c r="N553" s="235"/>
      <c r="O553" s="235"/>
      <c r="P553" s="235"/>
      <c r="Q553" s="235"/>
      <c r="R553" s="235"/>
      <c r="S553" s="235"/>
      <c r="T553" s="235"/>
      <c r="U553" s="235"/>
      <c r="V553" s="235"/>
      <c r="W553" s="235"/>
      <c r="X553" s="235"/>
      <c r="Y553" s="235"/>
      <c r="Z553" s="235"/>
      <c r="AA553" s="235"/>
      <c r="AB553" s="235"/>
      <c r="AC553" s="235"/>
    </row>
    <row r="554">
      <c r="A554" s="194" t="s">
        <v>807</v>
      </c>
      <c r="B554" s="193">
        <v>102602.0</v>
      </c>
      <c r="C554" s="192" t="s">
        <v>808</v>
      </c>
      <c r="D554" s="192" t="s">
        <v>295</v>
      </c>
      <c r="E554" s="235"/>
      <c r="F554" s="235"/>
      <c r="G554" s="325"/>
      <c r="H554" s="235"/>
      <c r="I554" s="235"/>
      <c r="J554" s="235"/>
      <c r="K554" s="235"/>
      <c r="L554" s="235"/>
      <c r="M554" s="235"/>
      <c r="N554" s="235"/>
      <c r="O554" s="235"/>
      <c r="P554" s="235"/>
      <c r="Q554" s="235"/>
      <c r="R554" s="235"/>
      <c r="S554" s="235"/>
      <c r="T554" s="235"/>
      <c r="U554" s="235"/>
      <c r="V554" s="235"/>
      <c r="W554" s="235"/>
      <c r="X554" s="235"/>
      <c r="Y554" s="235"/>
      <c r="Z554" s="235"/>
      <c r="AA554" s="235"/>
      <c r="AB554" s="235"/>
      <c r="AC554" s="235"/>
    </row>
    <row r="555">
      <c r="A555" s="194" t="s">
        <v>883</v>
      </c>
      <c r="B555" s="193">
        <v>102540.0</v>
      </c>
      <c r="C555" s="192" t="s">
        <v>884</v>
      </c>
      <c r="D555" s="192" t="s">
        <v>885</v>
      </c>
      <c r="E555" s="235"/>
      <c r="F555" s="235"/>
      <c r="G555" s="325"/>
      <c r="H555" s="235"/>
      <c r="I555" s="235"/>
      <c r="J555" s="235"/>
      <c r="K555" s="235"/>
      <c r="L555" s="235"/>
      <c r="M555" s="235"/>
      <c r="N555" s="235"/>
      <c r="O555" s="235"/>
      <c r="P555" s="235"/>
      <c r="Q555" s="235"/>
      <c r="R555" s="235"/>
      <c r="S555" s="235"/>
      <c r="T555" s="235"/>
      <c r="U555" s="235"/>
      <c r="V555" s="235"/>
      <c r="W555" s="235"/>
      <c r="X555" s="235"/>
      <c r="Y555" s="235"/>
      <c r="Z555" s="235"/>
      <c r="AA555" s="235"/>
      <c r="AB555" s="235"/>
      <c r="AC555" s="235"/>
    </row>
    <row r="556">
      <c r="A556" s="194" t="s">
        <v>802</v>
      </c>
      <c r="B556" s="193">
        <v>102539.0</v>
      </c>
      <c r="C556" s="192" t="s">
        <v>803</v>
      </c>
      <c r="D556" s="192" t="s">
        <v>689</v>
      </c>
      <c r="E556" s="235"/>
      <c r="F556" s="235"/>
      <c r="G556" s="325"/>
      <c r="H556" s="235"/>
      <c r="I556" s="235"/>
      <c r="J556" s="235"/>
      <c r="K556" s="235"/>
      <c r="L556" s="235"/>
      <c r="M556" s="235"/>
      <c r="N556" s="235"/>
      <c r="O556" s="235"/>
      <c r="P556" s="235"/>
      <c r="Q556" s="235"/>
      <c r="R556" s="235"/>
      <c r="S556" s="235"/>
      <c r="T556" s="235"/>
      <c r="U556" s="235"/>
      <c r="V556" s="235"/>
      <c r="W556" s="235"/>
      <c r="X556" s="235"/>
      <c r="Y556" s="235"/>
      <c r="Z556" s="235"/>
      <c r="AA556" s="235"/>
      <c r="AB556" s="235"/>
      <c r="AC556" s="235"/>
    </row>
    <row r="557">
      <c r="A557" s="194" t="s">
        <v>796</v>
      </c>
      <c r="B557" s="193">
        <v>102678.0</v>
      </c>
      <c r="C557" s="192" t="s">
        <v>797</v>
      </c>
      <c r="D557" s="192" t="s">
        <v>265</v>
      </c>
      <c r="E557" s="235"/>
      <c r="F557" s="235"/>
      <c r="G557" s="325"/>
      <c r="H557" s="235"/>
      <c r="I557" s="235"/>
      <c r="J557" s="235"/>
      <c r="K557" s="235"/>
      <c r="L557" s="235"/>
      <c r="M557" s="235"/>
      <c r="N557" s="235"/>
      <c r="O557" s="235"/>
      <c r="P557" s="235"/>
      <c r="Q557" s="235"/>
      <c r="R557" s="235"/>
      <c r="S557" s="235"/>
      <c r="T557" s="235"/>
      <c r="U557" s="235"/>
      <c r="V557" s="235"/>
      <c r="W557" s="235"/>
      <c r="X557" s="235"/>
      <c r="Y557" s="235"/>
      <c r="Z557" s="235"/>
      <c r="AA557" s="235"/>
      <c r="AB557" s="235"/>
      <c r="AC557" s="235"/>
    </row>
    <row r="558">
      <c r="A558" s="194" t="s">
        <v>958</v>
      </c>
      <c r="B558" s="193">
        <v>103194.0</v>
      </c>
      <c r="C558" s="192" t="s">
        <v>959</v>
      </c>
      <c r="D558" s="192" t="s">
        <v>522</v>
      </c>
      <c r="E558" s="235"/>
      <c r="F558" s="235"/>
      <c r="G558" s="325"/>
      <c r="H558" s="235"/>
      <c r="I558" s="235"/>
      <c r="J558" s="235"/>
      <c r="K558" s="235"/>
      <c r="L558" s="235"/>
      <c r="M558" s="235"/>
      <c r="N558" s="235"/>
      <c r="O558" s="235"/>
      <c r="P558" s="235"/>
      <c r="Q558" s="235"/>
      <c r="R558" s="235"/>
      <c r="S558" s="235"/>
      <c r="T558" s="235"/>
      <c r="U558" s="235"/>
      <c r="V558" s="235"/>
      <c r="W558" s="235"/>
      <c r="X558" s="235"/>
      <c r="Y558" s="235"/>
      <c r="Z558" s="235"/>
      <c r="AA558" s="235"/>
      <c r="AB558" s="235"/>
      <c r="AC558" s="235"/>
    </row>
    <row r="559">
      <c r="A559" s="194" t="s">
        <v>819</v>
      </c>
      <c r="B559" s="193">
        <v>102809.0</v>
      </c>
      <c r="C559" s="192" t="s">
        <v>820</v>
      </c>
      <c r="D559" s="192" t="s">
        <v>295</v>
      </c>
      <c r="E559" s="235"/>
      <c r="F559" s="235"/>
      <c r="G559" s="325"/>
      <c r="H559" s="235"/>
      <c r="I559" s="235"/>
      <c r="J559" s="235"/>
      <c r="K559" s="235"/>
      <c r="L559" s="235"/>
      <c r="M559" s="235"/>
      <c r="N559" s="235"/>
      <c r="O559" s="235"/>
      <c r="P559" s="235"/>
      <c r="Q559" s="235"/>
      <c r="R559" s="235"/>
      <c r="S559" s="235"/>
      <c r="T559" s="235"/>
      <c r="U559" s="235"/>
      <c r="V559" s="235"/>
      <c r="W559" s="235"/>
      <c r="X559" s="235"/>
      <c r="Y559" s="235"/>
      <c r="Z559" s="235"/>
      <c r="AA559" s="235"/>
      <c r="AB559" s="235"/>
      <c r="AC559" s="235"/>
    </row>
    <row r="560">
      <c r="A560" s="194" t="s">
        <v>869</v>
      </c>
      <c r="B560" s="193">
        <v>102966.0</v>
      </c>
      <c r="C560" s="192" t="s">
        <v>870</v>
      </c>
      <c r="D560" s="192" t="s">
        <v>871</v>
      </c>
      <c r="E560" s="235"/>
      <c r="F560" s="235"/>
      <c r="G560" s="325"/>
      <c r="H560" s="235"/>
      <c r="I560" s="235"/>
      <c r="J560" s="235"/>
      <c r="K560" s="235"/>
      <c r="L560" s="235"/>
      <c r="M560" s="235"/>
      <c r="N560" s="235"/>
      <c r="O560" s="235"/>
      <c r="P560" s="235"/>
      <c r="Q560" s="235"/>
      <c r="R560" s="235"/>
      <c r="S560" s="235"/>
      <c r="T560" s="235"/>
      <c r="U560" s="235"/>
      <c r="V560" s="235"/>
      <c r="W560" s="235"/>
      <c r="X560" s="235"/>
      <c r="Y560" s="235"/>
      <c r="Z560" s="235"/>
      <c r="AA560" s="235"/>
      <c r="AB560" s="235"/>
      <c r="AC560" s="235"/>
    </row>
    <row r="561">
      <c r="A561" s="194" t="s">
        <v>829</v>
      </c>
      <c r="B561" s="193">
        <v>102698.0</v>
      </c>
      <c r="C561" s="192" t="s">
        <v>830</v>
      </c>
      <c r="D561" s="192" t="s">
        <v>625</v>
      </c>
      <c r="E561" s="235"/>
      <c r="F561" s="235"/>
      <c r="G561" s="325"/>
      <c r="H561" s="235"/>
      <c r="I561" s="235"/>
      <c r="J561" s="235"/>
      <c r="K561" s="235"/>
      <c r="L561" s="235"/>
      <c r="M561" s="235"/>
      <c r="N561" s="235"/>
      <c r="O561" s="235"/>
      <c r="P561" s="235"/>
      <c r="Q561" s="235"/>
      <c r="R561" s="235"/>
      <c r="S561" s="235"/>
      <c r="T561" s="235"/>
      <c r="U561" s="235"/>
      <c r="V561" s="235"/>
      <c r="W561" s="235"/>
      <c r="X561" s="235"/>
      <c r="Y561" s="235"/>
      <c r="Z561" s="235"/>
      <c r="AA561" s="235"/>
      <c r="AB561" s="235"/>
      <c r="AC561" s="235"/>
    </row>
    <row r="562">
      <c r="A562" s="194" t="s">
        <v>785</v>
      </c>
      <c r="B562" s="193">
        <v>102594.0</v>
      </c>
      <c r="C562" s="192" t="s">
        <v>786</v>
      </c>
      <c r="D562" s="192" t="s">
        <v>265</v>
      </c>
      <c r="E562" s="235"/>
      <c r="F562" s="235"/>
      <c r="G562" s="325"/>
      <c r="H562" s="235"/>
      <c r="I562" s="235"/>
      <c r="J562" s="235"/>
      <c r="K562" s="235"/>
      <c r="L562" s="235"/>
      <c r="M562" s="235"/>
      <c r="N562" s="235"/>
      <c r="O562" s="235"/>
      <c r="P562" s="235"/>
      <c r="Q562" s="235"/>
      <c r="R562" s="235"/>
      <c r="S562" s="235"/>
      <c r="T562" s="235"/>
      <c r="U562" s="235"/>
      <c r="V562" s="235"/>
      <c r="W562" s="235"/>
      <c r="X562" s="235"/>
      <c r="Y562" s="235"/>
      <c r="Z562" s="235"/>
      <c r="AA562" s="235"/>
      <c r="AB562" s="235"/>
      <c r="AC562" s="235"/>
    </row>
    <row r="563">
      <c r="A563" s="194" t="s">
        <v>781</v>
      </c>
      <c r="B563" s="193">
        <v>102585.0</v>
      </c>
      <c r="C563" s="192" t="s">
        <v>782</v>
      </c>
      <c r="D563" s="192" t="s">
        <v>198</v>
      </c>
      <c r="E563" s="235"/>
      <c r="F563" s="235"/>
      <c r="G563" s="325"/>
      <c r="H563" s="235"/>
      <c r="I563" s="235"/>
      <c r="J563" s="235"/>
      <c r="K563" s="235"/>
      <c r="L563" s="235"/>
      <c r="M563" s="235"/>
      <c r="N563" s="235"/>
      <c r="O563" s="235"/>
      <c r="P563" s="235"/>
      <c r="Q563" s="235"/>
      <c r="R563" s="235"/>
      <c r="S563" s="235"/>
      <c r="T563" s="235"/>
      <c r="U563" s="235"/>
      <c r="V563" s="235"/>
      <c r="W563" s="235"/>
      <c r="X563" s="235"/>
      <c r="Y563" s="235"/>
      <c r="Z563" s="235"/>
      <c r="AA563" s="235"/>
      <c r="AB563" s="235"/>
      <c r="AC563" s="235"/>
    </row>
    <row r="564">
      <c r="A564" s="194" t="s">
        <v>783</v>
      </c>
      <c r="B564" s="193">
        <v>102584.0</v>
      </c>
      <c r="C564" s="192" t="s">
        <v>784</v>
      </c>
      <c r="D564" s="192" t="s">
        <v>309</v>
      </c>
      <c r="E564" s="235"/>
      <c r="F564" s="235"/>
      <c r="G564" s="325"/>
      <c r="H564" s="235"/>
      <c r="I564" s="235"/>
      <c r="J564" s="235"/>
      <c r="K564" s="235"/>
      <c r="L564" s="235"/>
      <c r="M564" s="235"/>
      <c r="N564" s="235"/>
      <c r="O564" s="235"/>
      <c r="P564" s="235"/>
      <c r="Q564" s="235"/>
      <c r="R564" s="235"/>
      <c r="S564" s="235"/>
      <c r="T564" s="235"/>
      <c r="U564" s="235"/>
      <c r="V564" s="235"/>
      <c r="W564" s="235"/>
      <c r="X564" s="235"/>
      <c r="Y564" s="235"/>
      <c r="Z564" s="235"/>
      <c r="AA564" s="235"/>
      <c r="AB564" s="235"/>
      <c r="AC564" s="235"/>
    </row>
    <row r="565">
      <c r="A565" s="194" t="s">
        <v>867</v>
      </c>
      <c r="B565" s="193">
        <v>102974.0</v>
      </c>
      <c r="C565" s="192" t="s">
        <v>868</v>
      </c>
      <c r="D565" s="192" t="s">
        <v>51</v>
      </c>
      <c r="E565" s="235"/>
      <c r="F565" s="235"/>
      <c r="G565" s="325"/>
      <c r="H565" s="235"/>
      <c r="I565" s="235"/>
      <c r="J565" s="235"/>
      <c r="K565" s="235"/>
      <c r="L565" s="235"/>
      <c r="M565" s="235"/>
      <c r="N565" s="235"/>
      <c r="O565" s="235"/>
      <c r="P565" s="235"/>
      <c r="Q565" s="235"/>
      <c r="R565" s="235"/>
      <c r="S565" s="235"/>
      <c r="T565" s="235"/>
      <c r="U565" s="235"/>
      <c r="V565" s="235"/>
      <c r="W565" s="235"/>
      <c r="X565" s="235"/>
      <c r="Y565" s="235"/>
      <c r="Z565" s="235"/>
      <c r="AA565" s="235"/>
      <c r="AB565" s="235"/>
      <c r="AC565" s="235"/>
    </row>
    <row r="566">
      <c r="A566" s="194" t="s">
        <v>1291</v>
      </c>
      <c r="B566" s="193">
        <v>104179.0</v>
      </c>
      <c r="C566" s="192" t="s">
        <v>1292</v>
      </c>
      <c r="D566" s="192" t="s">
        <v>295</v>
      </c>
      <c r="E566" s="235"/>
      <c r="F566" s="235"/>
      <c r="G566" s="325"/>
      <c r="H566" s="235"/>
      <c r="I566" s="235"/>
      <c r="J566" s="235"/>
      <c r="K566" s="235"/>
      <c r="L566" s="235"/>
      <c r="M566" s="235"/>
      <c r="N566" s="235"/>
      <c r="O566" s="235"/>
      <c r="P566" s="235"/>
      <c r="Q566" s="235"/>
      <c r="R566" s="235"/>
      <c r="S566" s="235"/>
      <c r="T566" s="235"/>
      <c r="U566" s="235"/>
      <c r="V566" s="235"/>
      <c r="W566" s="235"/>
      <c r="X566" s="235"/>
      <c r="Y566" s="235"/>
      <c r="Z566" s="235"/>
      <c r="AA566" s="235"/>
      <c r="AB566" s="235"/>
      <c r="AC566" s="235"/>
    </row>
    <row r="567">
      <c r="A567" s="194" t="s">
        <v>1297</v>
      </c>
      <c r="B567" s="193">
        <v>104199.0</v>
      </c>
      <c r="C567" s="192" t="s">
        <v>1298</v>
      </c>
      <c r="D567" s="192" t="s">
        <v>360</v>
      </c>
      <c r="E567" s="235"/>
      <c r="F567" s="235"/>
      <c r="G567" s="325"/>
      <c r="H567" s="235"/>
      <c r="I567" s="235"/>
      <c r="J567" s="235"/>
      <c r="K567" s="235"/>
      <c r="L567" s="235"/>
      <c r="M567" s="235"/>
      <c r="N567" s="235"/>
      <c r="O567" s="235"/>
      <c r="P567" s="235"/>
      <c r="Q567" s="235"/>
      <c r="R567" s="235"/>
      <c r="S567" s="235"/>
      <c r="T567" s="235"/>
      <c r="U567" s="235"/>
      <c r="V567" s="235"/>
      <c r="W567" s="235"/>
      <c r="X567" s="235"/>
      <c r="Y567" s="235"/>
      <c r="Z567" s="235"/>
      <c r="AA567" s="235"/>
      <c r="AB567" s="235"/>
      <c r="AC567" s="235"/>
    </row>
    <row r="568">
      <c r="A568" s="194" t="s">
        <v>1299</v>
      </c>
      <c r="B568" s="193">
        <v>104178.0</v>
      </c>
      <c r="C568" s="192" t="s">
        <v>1300</v>
      </c>
      <c r="D568" s="192" t="s">
        <v>360</v>
      </c>
      <c r="E568" s="235"/>
      <c r="F568" s="235"/>
      <c r="G568" s="325"/>
      <c r="H568" s="235"/>
      <c r="I568" s="235"/>
      <c r="J568" s="235"/>
      <c r="K568" s="235"/>
      <c r="L568" s="235"/>
      <c r="M568" s="235"/>
      <c r="N568" s="235"/>
      <c r="O568" s="235"/>
      <c r="P568" s="235"/>
      <c r="Q568" s="235"/>
      <c r="R568" s="235"/>
      <c r="S568" s="235"/>
      <c r="T568" s="235"/>
      <c r="U568" s="235"/>
      <c r="V568" s="235"/>
      <c r="W568" s="235"/>
      <c r="X568" s="235"/>
      <c r="Y568" s="235"/>
      <c r="Z568" s="235"/>
      <c r="AA568" s="235"/>
      <c r="AB568" s="235"/>
      <c r="AC568" s="235"/>
    </row>
    <row r="569">
      <c r="A569" s="194" t="s">
        <v>1285</v>
      </c>
      <c r="B569" s="193">
        <v>104186.0</v>
      </c>
      <c r="C569" s="192" t="s">
        <v>1286</v>
      </c>
      <c r="D569" s="192" t="s">
        <v>557</v>
      </c>
      <c r="E569" s="235"/>
      <c r="F569" s="235"/>
      <c r="G569" s="325"/>
      <c r="H569" s="235"/>
      <c r="I569" s="235"/>
      <c r="J569" s="235"/>
      <c r="K569" s="235"/>
      <c r="L569" s="235"/>
      <c r="M569" s="235"/>
      <c r="N569" s="235"/>
      <c r="O569" s="235"/>
      <c r="P569" s="235"/>
      <c r="Q569" s="235"/>
      <c r="R569" s="235"/>
      <c r="S569" s="235"/>
      <c r="T569" s="235"/>
      <c r="U569" s="235"/>
      <c r="V569" s="235"/>
      <c r="W569" s="235"/>
      <c r="X569" s="235"/>
      <c r="Y569" s="235"/>
      <c r="Z569" s="235"/>
      <c r="AA569" s="235"/>
      <c r="AB569" s="235"/>
      <c r="AC569" s="235"/>
    </row>
    <row r="570">
      <c r="A570" s="194" t="s">
        <v>1283</v>
      </c>
      <c r="B570" s="193">
        <v>104248.0</v>
      </c>
      <c r="C570" s="192" t="s">
        <v>1284</v>
      </c>
      <c r="D570" s="192" t="s">
        <v>360</v>
      </c>
      <c r="E570" s="235"/>
      <c r="F570" s="235"/>
      <c r="G570" s="325"/>
      <c r="H570" s="235"/>
      <c r="I570" s="235"/>
      <c r="J570" s="235"/>
      <c r="K570" s="235"/>
      <c r="L570" s="235"/>
      <c r="M570" s="235"/>
      <c r="N570" s="235"/>
      <c r="O570" s="235"/>
      <c r="P570" s="235"/>
      <c r="Q570" s="235"/>
      <c r="R570" s="235"/>
      <c r="S570" s="235"/>
      <c r="T570" s="235"/>
      <c r="U570" s="235"/>
      <c r="V570" s="235"/>
      <c r="W570" s="235"/>
      <c r="X570" s="235"/>
      <c r="Y570" s="235"/>
      <c r="Z570" s="235"/>
      <c r="AA570" s="235"/>
      <c r="AB570" s="235"/>
      <c r="AC570" s="235"/>
    </row>
    <row r="571">
      <c r="A571" s="194" t="s">
        <v>1293</v>
      </c>
      <c r="B571" s="193">
        <v>104208.0</v>
      </c>
      <c r="C571" s="192" t="s">
        <v>1294</v>
      </c>
      <c r="D571" s="192" t="s">
        <v>295</v>
      </c>
      <c r="E571" s="235"/>
      <c r="F571" s="235"/>
      <c r="G571" s="325"/>
      <c r="H571" s="235"/>
      <c r="I571" s="235"/>
      <c r="J571" s="235"/>
      <c r="K571" s="235"/>
      <c r="L571" s="235"/>
      <c r="M571" s="235"/>
      <c r="N571" s="235"/>
      <c r="O571" s="235"/>
      <c r="P571" s="235"/>
      <c r="Q571" s="235"/>
      <c r="R571" s="235"/>
      <c r="S571" s="235"/>
      <c r="T571" s="235"/>
      <c r="U571" s="235"/>
      <c r="V571" s="235"/>
      <c r="W571" s="235"/>
      <c r="X571" s="235"/>
      <c r="Y571" s="235"/>
      <c r="Z571" s="235"/>
      <c r="AA571" s="235"/>
      <c r="AB571" s="235"/>
      <c r="AC571" s="235"/>
    </row>
    <row r="572">
      <c r="A572" s="194" t="s">
        <v>1310</v>
      </c>
      <c r="B572" s="193">
        <v>103963.0</v>
      </c>
      <c r="C572" s="192" t="s">
        <v>1311</v>
      </c>
      <c r="D572" s="192" t="s">
        <v>265</v>
      </c>
      <c r="E572" s="235"/>
      <c r="F572" s="235"/>
      <c r="G572" s="325"/>
      <c r="H572" s="235"/>
      <c r="I572" s="235"/>
      <c r="J572" s="235"/>
      <c r="K572" s="235"/>
      <c r="L572" s="235"/>
      <c r="M572" s="235"/>
      <c r="N572" s="235"/>
      <c r="O572" s="235"/>
      <c r="P572" s="235"/>
      <c r="Q572" s="235"/>
      <c r="R572" s="235"/>
      <c r="S572" s="235"/>
      <c r="T572" s="235"/>
      <c r="U572" s="235"/>
      <c r="V572" s="235"/>
      <c r="W572" s="235"/>
      <c r="X572" s="235"/>
      <c r="Y572" s="235"/>
      <c r="Z572" s="235"/>
      <c r="AA572" s="235"/>
      <c r="AB572" s="235"/>
      <c r="AC572" s="235"/>
    </row>
    <row r="573">
      <c r="A573" s="194" t="s">
        <v>1383</v>
      </c>
      <c r="B573" s="193">
        <v>104356.0</v>
      </c>
      <c r="C573" s="192" t="s">
        <v>1384</v>
      </c>
      <c r="D573" s="192" t="s">
        <v>94</v>
      </c>
      <c r="E573" s="235"/>
      <c r="F573" s="235"/>
      <c r="G573" s="325"/>
      <c r="H573" s="235"/>
      <c r="I573" s="235"/>
      <c r="J573" s="235"/>
      <c r="K573" s="235"/>
      <c r="L573" s="235"/>
      <c r="M573" s="235"/>
      <c r="N573" s="235"/>
      <c r="O573" s="235"/>
      <c r="P573" s="235"/>
      <c r="Q573" s="235"/>
      <c r="R573" s="235"/>
      <c r="S573" s="235"/>
      <c r="T573" s="235"/>
      <c r="U573" s="235"/>
      <c r="V573" s="235"/>
      <c r="W573" s="235"/>
      <c r="X573" s="235"/>
      <c r="Y573" s="235"/>
      <c r="Z573" s="235"/>
      <c r="AA573" s="235"/>
      <c r="AB573" s="235"/>
      <c r="AC573" s="235"/>
    </row>
    <row r="574">
      <c r="A574" s="194" t="s">
        <v>1385</v>
      </c>
      <c r="B574" s="193">
        <v>104355.0</v>
      </c>
      <c r="C574" s="192" t="s">
        <v>1386</v>
      </c>
      <c r="D574" s="192" t="s">
        <v>94</v>
      </c>
      <c r="E574" s="235"/>
      <c r="F574" s="235"/>
      <c r="G574" s="325"/>
      <c r="H574" s="235"/>
      <c r="I574" s="235"/>
      <c r="J574" s="235"/>
      <c r="K574" s="235"/>
      <c r="L574" s="235"/>
      <c r="M574" s="235"/>
      <c r="N574" s="235"/>
      <c r="O574" s="235"/>
      <c r="P574" s="235"/>
      <c r="Q574" s="235"/>
      <c r="R574" s="235"/>
      <c r="S574" s="235"/>
      <c r="T574" s="235"/>
      <c r="U574" s="235"/>
      <c r="V574" s="235"/>
      <c r="W574" s="235"/>
      <c r="X574" s="235"/>
      <c r="Y574" s="235"/>
      <c r="Z574" s="235"/>
      <c r="AA574" s="235"/>
      <c r="AB574" s="235"/>
      <c r="AC574" s="235"/>
    </row>
    <row r="575">
      <c r="A575" s="194" t="s">
        <v>1387</v>
      </c>
      <c r="B575" s="193">
        <v>104345.0</v>
      </c>
      <c r="C575" s="192" t="s">
        <v>1388</v>
      </c>
      <c r="D575" s="192" t="s">
        <v>94</v>
      </c>
      <c r="E575" s="235"/>
      <c r="F575" s="235"/>
      <c r="G575" s="325"/>
      <c r="H575" s="235"/>
      <c r="I575" s="235"/>
      <c r="J575" s="235"/>
      <c r="K575" s="235"/>
      <c r="L575" s="235"/>
      <c r="M575" s="235"/>
      <c r="N575" s="235"/>
      <c r="O575" s="235"/>
      <c r="P575" s="235"/>
      <c r="Q575" s="235"/>
      <c r="R575" s="235"/>
      <c r="S575" s="235"/>
      <c r="T575" s="235"/>
      <c r="U575" s="235"/>
      <c r="V575" s="235"/>
      <c r="W575" s="235"/>
      <c r="X575" s="235"/>
      <c r="Y575" s="235"/>
      <c r="Z575" s="235"/>
      <c r="AA575" s="235"/>
      <c r="AB575" s="235"/>
      <c r="AC575" s="235"/>
    </row>
    <row r="576">
      <c r="A576" s="194" t="s">
        <v>1379</v>
      </c>
      <c r="B576" s="193">
        <v>104327.0</v>
      </c>
      <c r="C576" s="192" t="s">
        <v>1380</v>
      </c>
      <c r="D576" s="192" t="s">
        <v>87</v>
      </c>
      <c r="E576" s="235"/>
      <c r="F576" s="235"/>
      <c r="G576" s="325"/>
      <c r="H576" s="235"/>
      <c r="I576" s="235"/>
      <c r="J576" s="235"/>
      <c r="K576" s="235"/>
      <c r="L576" s="235"/>
      <c r="M576" s="235"/>
      <c r="N576" s="235"/>
      <c r="O576" s="235"/>
      <c r="P576" s="235"/>
      <c r="Q576" s="235"/>
      <c r="R576" s="235"/>
      <c r="S576" s="235"/>
      <c r="T576" s="235"/>
      <c r="U576" s="235"/>
      <c r="V576" s="235"/>
      <c r="W576" s="235"/>
      <c r="X576" s="235"/>
      <c r="Y576" s="235"/>
      <c r="Z576" s="235"/>
      <c r="AA576" s="235"/>
      <c r="AB576" s="235"/>
      <c r="AC576" s="235"/>
    </row>
    <row r="577">
      <c r="A577" s="194" t="s">
        <v>1381</v>
      </c>
      <c r="B577" s="193">
        <v>104386.0</v>
      </c>
      <c r="C577" s="192" t="s">
        <v>1382</v>
      </c>
      <c r="D577" s="192" t="s">
        <v>87</v>
      </c>
      <c r="E577" s="235"/>
      <c r="F577" s="235"/>
      <c r="G577" s="325"/>
      <c r="H577" s="235"/>
      <c r="I577" s="235"/>
      <c r="J577" s="235"/>
      <c r="K577" s="235"/>
      <c r="L577" s="235"/>
      <c r="M577" s="235"/>
      <c r="N577" s="235"/>
      <c r="O577" s="235"/>
      <c r="P577" s="235"/>
      <c r="Q577" s="235"/>
      <c r="R577" s="235"/>
      <c r="S577" s="235"/>
      <c r="T577" s="235"/>
      <c r="U577" s="235"/>
      <c r="V577" s="235"/>
      <c r="W577" s="235"/>
      <c r="X577" s="235"/>
      <c r="Y577" s="235"/>
      <c r="Z577" s="235"/>
      <c r="AA577" s="235"/>
      <c r="AB577" s="235"/>
      <c r="AC577" s="235"/>
    </row>
    <row r="578">
      <c r="A578" s="194" t="s">
        <v>1373</v>
      </c>
      <c r="B578" s="193">
        <v>104311.0</v>
      </c>
      <c r="C578" s="192" t="s">
        <v>1374</v>
      </c>
      <c r="D578" s="192" t="s">
        <v>87</v>
      </c>
      <c r="E578" s="235"/>
      <c r="F578" s="235"/>
      <c r="G578" s="325"/>
      <c r="H578" s="235"/>
      <c r="I578" s="235"/>
      <c r="J578" s="235"/>
      <c r="K578" s="235"/>
      <c r="L578" s="235"/>
      <c r="M578" s="235"/>
      <c r="N578" s="235"/>
      <c r="O578" s="235"/>
      <c r="P578" s="235"/>
      <c r="Q578" s="235"/>
      <c r="R578" s="235"/>
      <c r="S578" s="235"/>
      <c r="T578" s="235"/>
      <c r="U578" s="235"/>
      <c r="V578" s="235"/>
      <c r="W578" s="235"/>
      <c r="X578" s="235"/>
      <c r="Y578" s="235"/>
      <c r="Z578" s="235"/>
      <c r="AA578" s="235"/>
      <c r="AB578" s="235"/>
      <c r="AC578" s="235"/>
    </row>
    <row r="579">
      <c r="A579" s="194" t="s">
        <v>1364</v>
      </c>
      <c r="B579" s="193">
        <v>104157.0</v>
      </c>
      <c r="C579" s="192" t="s">
        <v>1362</v>
      </c>
      <c r="D579" s="192" t="s">
        <v>1363</v>
      </c>
      <c r="E579" s="235"/>
      <c r="F579" s="235"/>
      <c r="G579" s="325"/>
      <c r="H579" s="235"/>
      <c r="I579" s="235"/>
      <c r="J579" s="235"/>
      <c r="K579" s="235"/>
      <c r="L579" s="235"/>
      <c r="M579" s="235"/>
      <c r="N579" s="235"/>
      <c r="O579" s="235"/>
      <c r="P579" s="235"/>
      <c r="Q579" s="235"/>
      <c r="R579" s="235"/>
      <c r="S579" s="235"/>
      <c r="T579" s="235"/>
      <c r="U579" s="235"/>
      <c r="V579" s="235"/>
      <c r="W579" s="235"/>
      <c r="X579" s="235"/>
      <c r="Y579" s="235"/>
      <c r="Z579" s="235"/>
      <c r="AA579" s="235"/>
      <c r="AB579" s="235"/>
      <c r="AC579" s="235"/>
    </row>
    <row r="580">
      <c r="A580" s="194" t="s">
        <v>1328</v>
      </c>
      <c r="B580" s="193">
        <v>104320.0</v>
      </c>
      <c r="C580" s="192" t="s">
        <v>1329</v>
      </c>
      <c r="D580" s="192" t="s">
        <v>1184</v>
      </c>
      <c r="E580" s="235"/>
      <c r="F580" s="235"/>
      <c r="G580" s="325"/>
      <c r="H580" s="235"/>
      <c r="I580" s="235"/>
      <c r="J580" s="235"/>
      <c r="K580" s="235"/>
      <c r="L580" s="235"/>
      <c r="M580" s="235"/>
      <c r="N580" s="235"/>
      <c r="O580" s="235"/>
      <c r="P580" s="235"/>
      <c r="Q580" s="235"/>
      <c r="R580" s="235"/>
      <c r="S580" s="235"/>
      <c r="T580" s="235"/>
      <c r="U580" s="235"/>
      <c r="V580" s="235"/>
      <c r="W580" s="235"/>
      <c r="X580" s="235"/>
      <c r="Y580" s="235"/>
      <c r="Z580" s="235"/>
      <c r="AA580" s="235"/>
      <c r="AB580" s="235"/>
      <c r="AC580" s="235"/>
    </row>
    <row r="581">
      <c r="A581" s="194" t="s">
        <v>1351</v>
      </c>
      <c r="B581" s="193">
        <v>104357.0</v>
      </c>
      <c r="C581" s="192" t="s">
        <v>1352</v>
      </c>
      <c r="D581" s="192" t="s">
        <v>1353</v>
      </c>
      <c r="E581" s="235"/>
      <c r="F581" s="235"/>
      <c r="G581" s="325"/>
      <c r="H581" s="235"/>
      <c r="I581" s="235"/>
      <c r="J581" s="235"/>
      <c r="K581" s="235"/>
      <c r="L581" s="235"/>
      <c r="M581" s="235"/>
      <c r="N581" s="235"/>
      <c r="O581" s="235"/>
      <c r="P581" s="235"/>
      <c r="Q581" s="235"/>
      <c r="R581" s="235"/>
      <c r="S581" s="235"/>
      <c r="T581" s="235"/>
      <c r="U581" s="235"/>
      <c r="V581" s="235"/>
      <c r="W581" s="235"/>
      <c r="X581" s="235"/>
      <c r="Y581" s="235"/>
      <c r="Z581" s="235"/>
      <c r="AA581" s="235"/>
      <c r="AB581" s="235"/>
      <c r="AC581" s="235"/>
    </row>
    <row r="582">
      <c r="A582" s="194" t="s">
        <v>1193</v>
      </c>
      <c r="B582" s="193">
        <v>104063.0</v>
      </c>
      <c r="C582" s="192" t="s">
        <v>1194</v>
      </c>
      <c r="D582" s="192" t="s">
        <v>522</v>
      </c>
      <c r="E582" s="235"/>
      <c r="F582" s="235"/>
      <c r="G582" s="325"/>
      <c r="H582" s="235"/>
      <c r="I582" s="235"/>
      <c r="J582" s="235"/>
      <c r="K582" s="235"/>
      <c r="L582" s="235"/>
      <c r="M582" s="235"/>
      <c r="N582" s="235"/>
      <c r="O582" s="235"/>
      <c r="P582" s="235"/>
      <c r="Q582" s="235"/>
      <c r="R582" s="235"/>
      <c r="S582" s="235"/>
      <c r="T582" s="235"/>
      <c r="U582" s="235"/>
      <c r="V582" s="235"/>
      <c r="W582" s="235"/>
      <c r="X582" s="235"/>
      <c r="Y582" s="235"/>
      <c r="Z582" s="235"/>
      <c r="AA582" s="235"/>
      <c r="AB582" s="235"/>
      <c r="AC582" s="235"/>
    </row>
    <row r="583">
      <c r="A583" s="194" t="s">
        <v>1215</v>
      </c>
      <c r="B583" s="193">
        <v>104063.0</v>
      </c>
      <c r="C583" s="192" t="s">
        <v>1194</v>
      </c>
      <c r="D583" s="192" t="s">
        <v>265</v>
      </c>
      <c r="E583" s="235"/>
      <c r="F583" s="235"/>
      <c r="G583" s="325"/>
      <c r="H583" s="235"/>
      <c r="I583" s="235"/>
      <c r="J583" s="235"/>
      <c r="K583" s="235"/>
      <c r="L583" s="235"/>
      <c r="M583" s="235"/>
      <c r="N583" s="235"/>
      <c r="O583" s="235"/>
      <c r="P583" s="235"/>
      <c r="Q583" s="235"/>
      <c r="R583" s="235"/>
      <c r="S583" s="235"/>
      <c r="T583" s="235"/>
      <c r="U583" s="235"/>
      <c r="V583" s="235"/>
      <c r="W583" s="235"/>
      <c r="X583" s="235"/>
      <c r="Y583" s="235"/>
      <c r="Z583" s="235"/>
      <c r="AA583" s="235"/>
      <c r="AB583" s="235"/>
      <c r="AC583" s="235"/>
    </row>
    <row r="584">
      <c r="A584" s="194" t="s">
        <v>1270</v>
      </c>
      <c r="B584" s="193">
        <v>104079.0</v>
      </c>
      <c r="C584" s="192" t="s">
        <v>1271</v>
      </c>
      <c r="D584" s="192" t="s">
        <v>522</v>
      </c>
      <c r="E584" s="235"/>
      <c r="F584" s="235"/>
      <c r="G584" s="325"/>
      <c r="H584" s="235"/>
      <c r="I584" s="235"/>
      <c r="J584" s="235"/>
      <c r="K584" s="235"/>
      <c r="L584" s="235"/>
      <c r="M584" s="235"/>
      <c r="N584" s="235"/>
      <c r="O584" s="235"/>
      <c r="P584" s="235"/>
      <c r="Q584" s="235"/>
      <c r="R584" s="235"/>
      <c r="S584" s="235"/>
      <c r="T584" s="235"/>
      <c r="U584" s="235"/>
      <c r="V584" s="235"/>
      <c r="W584" s="235"/>
      <c r="X584" s="235"/>
      <c r="Y584" s="235"/>
      <c r="Z584" s="235"/>
      <c r="AA584" s="235"/>
      <c r="AB584" s="235"/>
      <c r="AC584" s="235"/>
    </row>
    <row r="585">
      <c r="A585" s="194" t="s">
        <v>1312</v>
      </c>
      <c r="B585" s="193">
        <v>104061.0</v>
      </c>
      <c r="C585" s="192" t="s">
        <v>1313</v>
      </c>
      <c r="D585" s="192" t="s">
        <v>522</v>
      </c>
      <c r="E585" s="235"/>
      <c r="F585" s="235"/>
      <c r="G585" s="325"/>
      <c r="H585" s="235"/>
      <c r="I585" s="235"/>
      <c r="J585" s="235"/>
      <c r="K585" s="235"/>
      <c r="L585" s="235"/>
      <c r="M585" s="235"/>
      <c r="N585" s="235"/>
      <c r="O585" s="235"/>
      <c r="P585" s="235"/>
      <c r="Q585" s="235"/>
      <c r="R585" s="235"/>
      <c r="S585" s="235"/>
      <c r="T585" s="235"/>
      <c r="U585" s="235"/>
      <c r="V585" s="235"/>
      <c r="W585" s="235"/>
      <c r="X585" s="235"/>
      <c r="Y585" s="235"/>
      <c r="Z585" s="235"/>
      <c r="AA585" s="235"/>
      <c r="AB585" s="235"/>
      <c r="AC585" s="235"/>
    </row>
    <row r="586">
      <c r="A586" s="194" t="s">
        <v>1354</v>
      </c>
      <c r="B586" s="193">
        <v>104373.0</v>
      </c>
      <c r="C586" s="192" t="s">
        <v>1359</v>
      </c>
      <c r="D586" s="192" t="s">
        <v>1353</v>
      </c>
      <c r="E586" s="235"/>
      <c r="F586" s="235"/>
      <c r="G586" s="325"/>
      <c r="H586" s="235"/>
      <c r="I586" s="235"/>
      <c r="J586" s="235"/>
      <c r="K586" s="235"/>
      <c r="L586" s="235"/>
      <c r="M586" s="235"/>
      <c r="N586" s="235"/>
      <c r="O586" s="235"/>
      <c r="P586" s="235"/>
      <c r="Q586" s="235"/>
      <c r="R586" s="235"/>
      <c r="S586" s="235"/>
      <c r="T586" s="235"/>
      <c r="U586" s="235"/>
      <c r="V586" s="235"/>
      <c r="W586" s="235"/>
      <c r="X586" s="235"/>
      <c r="Y586" s="235"/>
      <c r="Z586" s="235"/>
      <c r="AA586" s="235"/>
      <c r="AB586" s="235"/>
      <c r="AC586" s="235"/>
    </row>
    <row r="587">
      <c r="A587" s="194" t="s">
        <v>1354</v>
      </c>
      <c r="B587" s="193">
        <v>104369.0</v>
      </c>
      <c r="C587" s="192" t="s">
        <v>1355</v>
      </c>
      <c r="D587" s="192" t="s">
        <v>1353</v>
      </c>
      <c r="E587" s="235"/>
      <c r="F587" s="235"/>
      <c r="G587" s="325"/>
      <c r="H587" s="235"/>
      <c r="I587" s="235"/>
      <c r="J587" s="235"/>
      <c r="K587" s="235"/>
      <c r="L587" s="235"/>
      <c r="M587" s="235"/>
      <c r="N587" s="235"/>
      <c r="O587" s="235"/>
      <c r="P587" s="235"/>
      <c r="Q587" s="235"/>
      <c r="R587" s="235"/>
      <c r="S587" s="235"/>
      <c r="T587" s="235"/>
      <c r="U587" s="235"/>
      <c r="V587" s="235"/>
      <c r="W587" s="235"/>
      <c r="X587" s="235"/>
      <c r="Y587" s="235"/>
      <c r="Z587" s="235"/>
      <c r="AA587" s="235"/>
      <c r="AB587" s="235"/>
      <c r="AC587" s="235"/>
    </row>
    <row r="588">
      <c r="A588" s="194" t="s">
        <v>1198</v>
      </c>
      <c r="B588" s="193">
        <v>104111.0</v>
      </c>
      <c r="C588" s="192" t="s">
        <v>1199</v>
      </c>
      <c r="D588" s="192" t="s">
        <v>1140</v>
      </c>
      <c r="E588" s="235"/>
      <c r="F588" s="235"/>
      <c r="G588" s="325"/>
      <c r="H588" s="235"/>
      <c r="I588" s="235"/>
      <c r="J588" s="235"/>
      <c r="K588" s="235"/>
      <c r="L588" s="235"/>
      <c r="M588" s="235"/>
      <c r="N588" s="235"/>
      <c r="O588" s="235"/>
      <c r="P588" s="235"/>
      <c r="Q588" s="235"/>
      <c r="R588" s="235"/>
      <c r="S588" s="235"/>
      <c r="T588" s="235"/>
      <c r="U588" s="235"/>
      <c r="V588" s="235"/>
      <c r="W588" s="235"/>
      <c r="X588" s="235"/>
      <c r="Y588" s="235"/>
      <c r="Z588" s="235"/>
      <c r="AA588" s="235"/>
      <c r="AB588" s="235"/>
      <c r="AC588" s="235"/>
    </row>
    <row r="589">
      <c r="A589" s="194" t="s">
        <v>1369</v>
      </c>
      <c r="B589" s="193">
        <v>104376.0</v>
      </c>
      <c r="C589" s="192" t="s">
        <v>1370</v>
      </c>
      <c r="D589" s="192" t="s">
        <v>1140</v>
      </c>
      <c r="E589" s="235"/>
      <c r="F589" s="235"/>
      <c r="G589" s="325"/>
      <c r="H589" s="235"/>
      <c r="I589" s="235"/>
      <c r="J589" s="235"/>
      <c r="K589" s="235"/>
      <c r="L589" s="235"/>
      <c r="M589" s="235"/>
      <c r="N589" s="235"/>
      <c r="O589" s="235"/>
      <c r="P589" s="235"/>
      <c r="Q589" s="235"/>
      <c r="R589" s="235"/>
      <c r="S589" s="235"/>
      <c r="T589" s="235"/>
      <c r="U589" s="235"/>
      <c r="V589" s="235"/>
      <c r="W589" s="235"/>
      <c r="X589" s="235"/>
      <c r="Y589" s="235"/>
      <c r="Z589" s="235"/>
      <c r="AA589" s="235"/>
      <c r="AB589" s="235"/>
      <c r="AC589" s="235"/>
    </row>
    <row r="590">
      <c r="A590" s="194" t="s">
        <v>1365</v>
      </c>
      <c r="B590" s="193">
        <v>104301.0</v>
      </c>
      <c r="C590" s="192" t="s">
        <v>1366</v>
      </c>
      <c r="D590" s="192" t="s">
        <v>51</v>
      </c>
      <c r="E590" s="235"/>
      <c r="F590" s="235"/>
      <c r="G590" s="325"/>
      <c r="H590" s="235"/>
      <c r="I590" s="235"/>
      <c r="J590" s="235"/>
      <c r="K590" s="235"/>
      <c r="L590" s="235"/>
      <c r="M590" s="235"/>
      <c r="N590" s="235"/>
      <c r="O590" s="235"/>
      <c r="P590" s="235"/>
      <c r="Q590" s="235"/>
      <c r="R590" s="235"/>
      <c r="S590" s="235"/>
      <c r="T590" s="235"/>
      <c r="U590" s="235"/>
      <c r="V590" s="235"/>
      <c r="W590" s="235"/>
      <c r="X590" s="235"/>
      <c r="Y590" s="235"/>
      <c r="Z590" s="235"/>
      <c r="AA590" s="235"/>
      <c r="AB590" s="235"/>
      <c r="AC590" s="235"/>
    </row>
    <row r="591">
      <c r="A591" s="234"/>
      <c r="B591" s="193">
        <v>104113.0</v>
      </c>
      <c r="C591" s="192" t="s">
        <v>1216</v>
      </c>
      <c r="D591" s="192" t="s">
        <v>1140</v>
      </c>
      <c r="E591" s="235"/>
      <c r="F591" s="235"/>
      <c r="G591" s="325"/>
      <c r="H591" s="235"/>
      <c r="I591" s="235"/>
      <c r="J591" s="235"/>
      <c r="K591" s="235"/>
      <c r="L591" s="235"/>
      <c r="M591" s="235"/>
      <c r="N591" s="235"/>
      <c r="O591" s="235"/>
      <c r="P591" s="235"/>
      <c r="Q591" s="235"/>
      <c r="R591" s="235"/>
      <c r="S591" s="235"/>
      <c r="T591" s="235"/>
      <c r="U591" s="235"/>
      <c r="V591" s="235"/>
      <c r="W591" s="235"/>
      <c r="X591" s="235"/>
      <c r="Y591" s="235"/>
      <c r="Z591" s="235"/>
      <c r="AA591" s="235"/>
      <c r="AB591" s="235"/>
      <c r="AC591" s="235"/>
    </row>
    <row r="592">
      <c r="A592" s="194" t="s">
        <v>1367</v>
      </c>
      <c r="B592" s="193">
        <v>104324.0</v>
      </c>
      <c r="C592" s="192" t="s">
        <v>1368</v>
      </c>
      <c r="D592" s="192" t="s">
        <v>51</v>
      </c>
      <c r="E592" s="235"/>
      <c r="F592" s="235"/>
      <c r="G592" s="325"/>
      <c r="H592" s="235"/>
      <c r="I592" s="235"/>
      <c r="J592" s="235"/>
      <c r="K592" s="235"/>
      <c r="L592" s="235"/>
      <c r="M592" s="235"/>
      <c r="N592" s="235"/>
      <c r="O592" s="235"/>
      <c r="P592" s="235"/>
      <c r="Q592" s="235"/>
      <c r="R592" s="235"/>
      <c r="S592" s="235"/>
      <c r="T592" s="235"/>
      <c r="U592" s="235"/>
      <c r="V592" s="235"/>
      <c r="W592" s="235"/>
      <c r="X592" s="235"/>
      <c r="Y592" s="235"/>
      <c r="Z592" s="235"/>
      <c r="AA592" s="235"/>
      <c r="AB592" s="235"/>
      <c r="AC592" s="235"/>
    </row>
    <row r="593">
      <c r="A593" s="194" t="s">
        <v>1330</v>
      </c>
      <c r="B593" s="193">
        <v>104299.0</v>
      </c>
      <c r="C593" s="192" t="s">
        <v>1331</v>
      </c>
      <c r="D593" s="192" t="s">
        <v>254</v>
      </c>
      <c r="E593" s="235"/>
      <c r="F593" s="235"/>
      <c r="G593" s="325"/>
      <c r="H593" s="235"/>
      <c r="I593" s="235"/>
      <c r="J593" s="235"/>
      <c r="K593" s="235"/>
      <c r="L593" s="235"/>
      <c r="M593" s="235"/>
      <c r="N593" s="235"/>
      <c r="O593" s="235"/>
      <c r="P593" s="235"/>
      <c r="Q593" s="235"/>
      <c r="R593" s="235"/>
      <c r="S593" s="235"/>
      <c r="T593" s="235"/>
      <c r="U593" s="235"/>
      <c r="V593" s="235"/>
      <c r="W593" s="235"/>
      <c r="X593" s="235"/>
      <c r="Y593" s="235"/>
      <c r="Z593" s="235"/>
      <c r="AA593" s="235"/>
      <c r="AB593" s="235"/>
      <c r="AC593" s="235"/>
    </row>
    <row r="594">
      <c r="A594" s="194" t="s">
        <v>1301</v>
      </c>
      <c r="B594" s="193">
        <v>104300.0</v>
      </c>
      <c r="C594" s="192" t="s">
        <v>1302</v>
      </c>
      <c r="D594" s="192" t="s">
        <v>51</v>
      </c>
      <c r="E594" s="235"/>
      <c r="F594" s="235"/>
      <c r="G594" s="325"/>
      <c r="H594" s="235"/>
      <c r="I594" s="235"/>
      <c r="J594" s="235"/>
      <c r="K594" s="235"/>
      <c r="L594" s="235"/>
      <c r="M594" s="235"/>
      <c r="N594" s="235"/>
      <c r="O594" s="235"/>
      <c r="P594" s="235"/>
      <c r="Q594" s="235"/>
      <c r="R594" s="235"/>
      <c r="S594" s="235"/>
      <c r="T594" s="235"/>
      <c r="U594" s="235"/>
      <c r="V594" s="235"/>
      <c r="W594" s="235"/>
      <c r="X594" s="235"/>
      <c r="Y594" s="235"/>
      <c r="Z594" s="235"/>
      <c r="AA594" s="235"/>
      <c r="AB594" s="235"/>
      <c r="AC594" s="235"/>
    </row>
    <row r="595">
      <c r="A595" s="194" t="s">
        <v>1200</v>
      </c>
      <c r="B595" s="193">
        <v>104112.0</v>
      </c>
      <c r="C595" s="192" t="s">
        <v>1201</v>
      </c>
      <c r="D595" s="192" t="s">
        <v>1140</v>
      </c>
      <c r="E595" s="235"/>
      <c r="F595" s="235"/>
      <c r="G595" s="325"/>
      <c r="H595" s="235"/>
      <c r="I595" s="235"/>
      <c r="J595" s="235"/>
      <c r="K595" s="235"/>
      <c r="L595" s="235"/>
      <c r="M595" s="235"/>
      <c r="N595" s="235"/>
      <c r="O595" s="235"/>
      <c r="P595" s="235"/>
      <c r="Q595" s="235"/>
      <c r="R595" s="235"/>
      <c r="S595" s="235"/>
      <c r="T595" s="235"/>
      <c r="U595" s="235"/>
      <c r="V595" s="235"/>
      <c r="W595" s="235"/>
      <c r="X595" s="235"/>
      <c r="Y595" s="235"/>
      <c r="Z595" s="235"/>
      <c r="AA595" s="235"/>
      <c r="AB595" s="235"/>
      <c r="AC595" s="235"/>
    </row>
    <row r="596">
      <c r="A596" s="194" t="s">
        <v>1321</v>
      </c>
      <c r="B596" s="193">
        <v>104283.0</v>
      </c>
      <c r="C596" s="192" t="s">
        <v>1322</v>
      </c>
      <c r="D596" s="192" t="s">
        <v>1323</v>
      </c>
      <c r="E596" s="235"/>
      <c r="F596" s="235"/>
      <c r="G596" s="325"/>
      <c r="H596" s="235"/>
      <c r="I596" s="235"/>
      <c r="J596" s="235"/>
      <c r="K596" s="235"/>
      <c r="L596" s="235"/>
      <c r="M596" s="235"/>
      <c r="N596" s="235"/>
      <c r="O596" s="235"/>
      <c r="P596" s="235"/>
      <c r="Q596" s="235"/>
      <c r="R596" s="235"/>
      <c r="S596" s="235"/>
      <c r="T596" s="235"/>
      <c r="U596" s="235"/>
      <c r="V596" s="235"/>
      <c r="W596" s="235"/>
      <c r="X596" s="235"/>
      <c r="Y596" s="235"/>
      <c r="Z596" s="235"/>
      <c r="AA596" s="235"/>
      <c r="AB596" s="235"/>
      <c r="AC596" s="235"/>
    </row>
    <row r="597">
      <c r="A597" s="194" t="s">
        <v>1336</v>
      </c>
      <c r="B597" s="193">
        <v>104274.0</v>
      </c>
      <c r="C597" s="192" t="s">
        <v>1337</v>
      </c>
      <c r="D597" s="192" t="s">
        <v>1338</v>
      </c>
      <c r="E597" s="235"/>
      <c r="F597" s="235"/>
      <c r="G597" s="325"/>
      <c r="H597" s="235"/>
      <c r="I597" s="235"/>
      <c r="J597" s="235"/>
      <c r="K597" s="235"/>
      <c r="L597" s="235"/>
      <c r="M597" s="235"/>
      <c r="N597" s="235"/>
      <c r="O597" s="235"/>
      <c r="P597" s="235"/>
      <c r="Q597" s="235"/>
      <c r="R597" s="235"/>
      <c r="S597" s="235"/>
      <c r="T597" s="235"/>
      <c r="U597" s="235"/>
      <c r="V597" s="235"/>
      <c r="W597" s="235"/>
      <c r="X597" s="235"/>
      <c r="Y597" s="235"/>
      <c r="Z597" s="235"/>
      <c r="AA597" s="235"/>
      <c r="AB597" s="235"/>
      <c r="AC597" s="235"/>
    </row>
    <row r="598">
      <c r="A598" s="194" t="s">
        <v>1341</v>
      </c>
      <c r="B598" s="193">
        <v>104293.0</v>
      </c>
      <c r="C598" s="192" t="s">
        <v>1342</v>
      </c>
      <c r="D598" s="192" t="s">
        <v>1343</v>
      </c>
      <c r="E598" s="235"/>
      <c r="F598" s="235"/>
      <c r="G598" s="325"/>
      <c r="H598" s="235"/>
      <c r="I598" s="235"/>
      <c r="J598" s="235"/>
      <c r="K598" s="235"/>
      <c r="L598" s="235"/>
      <c r="M598" s="235"/>
      <c r="N598" s="235"/>
      <c r="O598" s="235"/>
      <c r="P598" s="235"/>
      <c r="Q598" s="235"/>
      <c r="R598" s="235"/>
      <c r="S598" s="235"/>
      <c r="T598" s="235"/>
      <c r="U598" s="235"/>
      <c r="V598" s="235"/>
      <c r="W598" s="235"/>
      <c r="X598" s="235"/>
      <c r="Y598" s="235"/>
      <c r="Z598" s="235"/>
      <c r="AA598" s="235"/>
      <c r="AB598" s="235"/>
      <c r="AC598" s="235"/>
    </row>
    <row r="599">
      <c r="A599" s="194" t="s">
        <v>1130</v>
      </c>
      <c r="B599" s="193">
        <v>103714.0</v>
      </c>
      <c r="C599" s="192" t="s">
        <v>1131</v>
      </c>
      <c r="D599" s="192" t="s">
        <v>125</v>
      </c>
      <c r="E599" s="235"/>
      <c r="F599" s="235"/>
      <c r="G599" s="325"/>
      <c r="H599" s="235"/>
      <c r="I599" s="235"/>
      <c r="J599" s="235"/>
      <c r="K599" s="235"/>
      <c r="L599" s="235"/>
      <c r="M599" s="235"/>
      <c r="N599" s="235"/>
      <c r="O599" s="235"/>
      <c r="P599" s="235"/>
      <c r="Q599" s="235"/>
      <c r="R599" s="235"/>
      <c r="S599" s="235"/>
      <c r="T599" s="235"/>
      <c r="U599" s="235"/>
      <c r="V599" s="235"/>
      <c r="W599" s="235"/>
      <c r="X599" s="235"/>
      <c r="Y599" s="235"/>
      <c r="Z599" s="235"/>
      <c r="AA599" s="235"/>
      <c r="AB599" s="235"/>
      <c r="AC599" s="235"/>
    </row>
    <row r="600">
      <c r="A600" s="234"/>
      <c r="B600" s="234"/>
      <c r="C600" s="192" t="e">
        <v>#REF!</v>
      </c>
      <c r="D600" s="196"/>
      <c r="E600" s="235"/>
      <c r="F600" s="235"/>
      <c r="G600" s="325"/>
      <c r="H600" s="235"/>
      <c r="I600" s="235"/>
      <c r="J600" s="235"/>
      <c r="K600" s="235"/>
      <c r="L600" s="235"/>
      <c r="M600" s="235"/>
      <c r="N600" s="235"/>
      <c r="O600" s="235"/>
      <c r="P600" s="235"/>
      <c r="Q600" s="235"/>
      <c r="R600" s="235"/>
      <c r="S600" s="235"/>
      <c r="T600" s="235"/>
      <c r="U600" s="235"/>
      <c r="V600" s="235"/>
      <c r="W600" s="235"/>
      <c r="X600" s="235"/>
      <c r="Y600" s="235"/>
      <c r="Z600" s="235"/>
      <c r="AA600" s="235"/>
      <c r="AB600" s="235"/>
      <c r="AC600" s="235"/>
    </row>
    <row r="601">
      <c r="A601" s="194" t="s">
        <v>1303</v>
      </c>
      <c r="B601" s="193">
        <v>104261.0</v>
      </c>
      <c r="C601" s="192" t="s">
        <v>1304</v>
      </c>
      <c r="D601" s="192" t="s">
        <v>51</v>
      </c>
      <c r="E601" s="235"/>
      <c r="F601" s="235"/>
      <c r="G601" s="325"/>
      <c r="H601" s="235"/>
      <c r="I601" s="235"/>
      <c r="J601" s="235"/>
      <c r="K601" s="235"/>
      <c r="L601" s="235"/>
      <c r="M601" s="235"/>
      <c r="N601" s="235"/>
      <c r="O601" s="235"/>
      <c r="P601" s="235"/>
      <c r="Q601" s="235"/>
      <c r="R601" s="235"/>
      <c r="S601" s="235"/>
      <c r="T601" s="235"/>
      <c r="U601" s="235"/>
      <c r="V601" s="235"/>
      <c r="W601" s="235"/>
      <c r="X601" s="235"/>
      <c r="Y601" s="235"/>
      <c r="Z601" s="235"/>
      <c r="AA601" s="235"/>
      <c r="AB601" s="235"/>
      <c r="AC601" s="235"/>
    </row>
    <row r="602">
      <c r="A602" s="194" t="s">
        <v>1289</v>
      </c>
      <c r="B602" s="193">
        <v>104102.0</v>
      </c>
      <c r="C602" s="192" t="s">
        <v>1288</v>
      </c>
      <c r="D602" s="192" t="s">
        <v>1290</v>
      </c>
      <c r="E602" s="235"/>
      <c r="F602" s="235"/>
      <c r="G602" s="325"/>
      <c r="H602" s="235"/>
      <c r="I602" s="235"/>
      <c r="J602" s="235"/>
      <c r="K602" s="235"/>
      <c r="L602" s="235"/>
      <c r="M602" s="235"/>
      <c r="N602" s="235"/>
      <c r="O602" s="235"/>
      <c r="P602" s="235"/>
      <c r="Q602" s="235"/>
      <c r="R602" s="235"/>
      <c r="S602" s="235"/>
      <c r="T602" s="235"/>
      <c r="U602" s="235"/>
      <c r="V602" s="235"/>
      <c r="W602" s="235"/>
      <c r="X602" s="235"/>
      <c r="Y602" s="235"/>
      <c r="Z602" s="235"/>
      <c r="AA602" s="235"/>
      <c r="AB602" s="235"/>
      <c r="AC602" s="235"/>
    </row>
    <row r="603">
      <c r="A603" s="194" t="s">
        <v>1287</v>
      </c>
      <c r="B603" s="193">
        <v>104102.0</v>
      </c>
      <c r="C603" s="192" t="s">
        <v>1288</v>
      </c>
      <c r="D603" s="192" t="s">
        <v>885</v>
      </c>
      <c r="E603" s="235"/>
      <c r="F603" s="235"/>
      <c r="G603" s="325"/>
      <c r="H603" s="235"/>
      <c r="I603" s="235"/>
      <c r="J603" s="235"/>
      <c r="K603" s="235"/>
      <c r="L603" s="235"/>
      <c r="M603" s="235"/>
      <c r="N603" s="235"/>
      <c r="O603" s="235"/>
      <c r="P603" s="235"/>
      <c r="Q603" s="235"/>
      <c r="R603" s="235"/>
      <c r="S603" s="235"/>
      <c r="T603" s="235"/>
      <c r="U603" s="235"/>
      <c r="V603" s="235"/>
      <c r="W603" s="235"/>
      <c r="X603" s="235"/>
      <c r="Y603" s="235"/>
      <c r="Z603" s="235"/>
      <c r="AA603" s="235"/>
      <c r="AB603" s="235"/>
      <c r="AC603" s="235"/>
    </row>
    <row r="604">
      <c r="A604" s="194" t="s">
        <v>1371</v>
      </c>
      <c r="B604" s="193">
        <v>104363.0</v>
      </c>
      <c r="C604" s="192" t="s">
        <v>1372</v>
      </c>
      <c r="D604" s="192" t="s">
        <v>1140</v>
      </c>
      <c r="E604" s="235"/>
      <c r="F604" s="235"/>
      <c r="G604" s="325"/>
      <c r="H604" s="235"/>
      <c r="I604" s="235"/>
      <c r="J604" s="235"/>
      <c r="K604" s="235"/>
      <c r="L604" s="235"/>
      <c r="M604" s="235"/>
      <c r="N604" s="235"/>
      <c r="O604" s="235"/>
      <c r="P604" s="235"/>
      <c r="Q604" s="235"/>
      <c r="R604" s="235"/>
      <c r="S604" s="235"/>
      <c r="T604" s="235"/>
      <c r="U604" s="235"/>
      <c r="V604" s="235"/>
      <c r="W604" s="235"/>
      <c r="X604" s="235"/>
      <c r="Y604" s="235"/>
      <c r="Z604" s="235"/>
      <c r="AA604" s="235"/>
      <c r="AB604" s="235"/>
      <c r="AC604" s="235"/>
    </row>
    <row r="605">
      <c r="A605" s="194" t="s">
        <v>1360</v>
      </c>
      <c r="B605" s="193">
        <v>104295.0</v>
      </c>
      <c r="C605" s="192" t="s">
        <v>1361</v>
      </c>
      <c r="D605" s="192" t="s">
        <v>522</v>
      </c>
      <c r="E605" s="235"/>
      <c r="F605" s="235"/>
      <c r="G605" s="325"/>
      <c r="H605" s="235"/>
      <c r="I605" s="235"/>
      <c r="J605" s="235"/>
      <c r="K605" s="235"/>
      <c r="L605" s="235"/>
      <c r="M605" s="235"/>
      <c r="N605" s="235"/>
      <c r="O605" s="235"/>
      <c r="P605" s="235"/>
      <c r="Q605" s="235"/>
      <c r="R605" s="235"/>
      <c r="S605" s="235"/>
      <c r="T605" s="235"/>
      <c r="U605" s="235"/>
      <c r="V605" s="235"/>
      <c r="W605" s="235"/>
      <c r="X605" s="235"/>
      <c r="Y605" s="235"/>
      <c r="Z605" s="235"/>
      <c r="AA605" s="235"/>
      <c r="AB605" s="235"/>
      <c r="AC605" s="235"/>
    </row>
    <row r="606">
      <c r="A606" s="194" t="s">
        <v>1044</v>
      </c>
      <c r="B606" s="193">
        <v>104340.0</v>
      </c>
      <c r="C606" s="192" t="s">
        <v>1045</v>
      </c>
      <c r="D606" s="192" t="s">
        <v>254</v>
      </c>
      <c r="E606" s="235"/>
      <c r="F606" s="235"/>
      <c r="G606" s="325"/>
      <c r="H606" s="235"/>
      <c r="I606" s="235"/>
      <c r="J606" s="235"/>
      <c r="K606" s="235"/>
      <c r="L606" s="235"/>
      <c r="M606" s="235"/>
      <c r="N606" s="235"/>
      <c r="O606" s="235"/>
      <c r="P606" s="235"/>
      <c r="Q606" s="235"/>
      <c r="R606" s="235"/>
      <c r="S606" s="235"/>
      <c r="T606" s="235"/>
      <c r="U606" s="235"/>
      <c r="V606" s="235"/>
      <c r="W606" s="235"/>
      <c r="X606" s="235"/>
      <c r="Y606" s="235"/>
      <c r="Z606" s="235"/>
      <c r="AA606" s="235"/>
      <c r="AB606" s="235"/>
      <c r="AC606" s="235"/>
    </row>
    <row r="607">
      <c r="A607" s="194" t="s">
        <v>1021</v>
      </c>
      <c r="B607" s="193">
        <v>103626.0</v>
      </c>
      <c r="C607" s="192" t="s">
        <v>1022</v>
      </c>
      <c r="D607" s="192" t="s">
        <v>254</v>
      </c>
      <c r="E607" s="235"/>
      <c r="F607" s="235"/>
      <c r="G607" s="325"/>
      <c r="H607" s="235"/>
      <c r="I607" s="235"/>
      <c r="J607" s="235"/>
      <c r="K607" s="235"/>
      <c r="L607" s="235"/>
      <c r="M607" s="235"/>
      <c r="N607" s="235"/>
      <c r="O607" s="235"/>
      <c r="P607" s="235"/>
      <c r="Q607" s="235"/>
      <c r="R607" s="235"/>
      <c r="S607" s="235"/>
      <c r="T607" s="235"/>
      <c r="U607" s="235"/>
      <c r="V607" s="235"/>
      <c r="W607" s="235"/>
      <c r="X607" s="235"/>
      <c r="Y607" s="235"/>
      <c r="Z607" s="235"/>
      <c r="AA607" s="235"/>
      <c r="AB607" s="235"/>
      <c r="AC607" s="235"/>
    </row>
    <row r="608">
      <c r="A608" s="194" t="s">
        <v>376</v>
      </c>
      <c r="B608" s="193">
        <v>101790.0</v>
      </c>
      <c r="C608" s="192" t="s">
        <v>377</v>
      </c>
      <c r="D608" s="192" t="s">
        <v>113</v>
      </c>
      <c r="E608" s="235"/>
      <c r="F608" s="235"/>
      <c r="G608" s="325"/>
      <c r="H608" s="235"/>
      <c r="I608" s="235"/>
      <c r="J608" s="235"/>
      <c r="K608" s="235"/>
      <c r="L608" s="235"/>
      <c r="M608" s="235"/>
      <c r="N608" s="235"/>
      <c r="O608" s="235"/>
      <c r="P608" s="235"/>
      <c r="Q608" s="235"/>
      <c r="R608" s="235"/>
      <c r="S608" s="235"/>
      <c r="T608" s="235"/>
      <c r="U608" s="235"/>
      <c r="V608" s="235"/>
      <c r="W608" s="235"/>
      <c r="X608" s="235"/>
      <c r="Y608" s="235"/>
      <c r="Z608" s="235"/>
      <c r="AA608" s="235"/>
      <c r="AB608" s="235"/>
      <c r="AC608" s="235"/>
    </row>
    <row r="609">
      <c r="A609" s="194" t="s">
        <v>1332</v>
      </c>
      <c r="B609" s="193">
        <v>104263.0</v>
      </c>
      <c r="C609" s="192" t="s">
        <v>1333</v>
      </c>
      <c r="D609" s="192" t="s">
        <v>94</v>
      </c>
      <c r="E609" s="235"/>
      <c r="F609" s="235"/>
      <c r="G609" s="325"/>
      <c r="H609" s="235"/>
      <c r="I609" s="235"/>
      <c r="J609" s="235"/>
      <c r="K609" s="235"/>
      <c r="L609" s="235"/>
      <c r="M609" s="235"/>
      <c r="N609" s="235"/>
      <c r="O609" s="235"/>
      <c r="P609" s="235"/>
      <c r="Q609" s="235"/>
      <c r="R609" s="235"/>
      <c r="S609" s="235"/>
      <c r="T609" s="235"/>
      <c r="U609" s="235"/>
      <c r="V609" s="235"/>
      <c r="W609" s="235"/>
      <c r="X609" s="235"/>
      <c r="Y609" s="235"/>
      <c r="Z609" s="235"/>
      <c r="AA609" s="235"/>
      <c r="AB609" s="235"/>
      <c r="AC609" s="235"/>
    </row>
    <row r="610">
      <c r="A610" s="194" t="s">
        <v>813</v>
      </c>
      <c r="B610" s="193">
        <v>102674.0</v>
      </c>
      <c r="C610" s="192" t="s">
        <v>814</v>
      </c>
      <c r="D610" s="192" t="s">
        <v>522</v>
      </c>
      <c r="E610" s="235"/>
      <c r="F610" s="235"/>
      <c r="G610" s="325"/>
      <c r="H610" s="235"/>
      <c r="I610" s="235"/>
      <c r="J610" s="235"/>
      <c r="K610" s="235"/>
      <c r="L610" s="235"/>
      <c r="M610" s="235"/>
      <c r="N610" s="235"/>
      <c r="O610" s="235"/>
      <c r="P610" s="235"/>
      <c r="Q610" s="235"/>
      <c r="R610" s="235"/>
      <c r="S610" s="235"/>
      <c r="T610" s="235"/>
      <c r="U610" s="235"/>
      <c r="V610" s="235"/>
      <c r="W610" s="235"/>
      <c r="X610" s="235"/>
      <c r="Y610" s="235"/>
      <c r="Z610" s="235"/>
      <c r="AA610" s="235"/>
      <c r="AB610" s="235"/>
      <c r="AC610" s="235"/>
    </row>
    <row r="611">
      <c r="A611" s="194" t="s">
        <v>1316</v>
      </c>
      <c r="B611" s="193">
        <v>104346.0</v>
      </c>
      <c r="C611" s="192" t="s">
        <v>1317</v>
      </c>
      <c r="D611" s="192" t="s">
        <v>312</v>
      </c>
      <c r="E611" s="235"/>
      <c r="F611" s="235"/>
      <c r="G611" s="325"/>
      <c r="H611" s="235"/>
      <c r="I611" s="235"/>
      <c r="J611" s="235"/>
      <c r="K611" s="235"/>
      <c r="L611" s="235"/>
      <c r="M611" s="235"/>
      <c r="N611" s="235"/>
      <c r="O611" s="235"/>
      <c r="P611" s="235"/>
      <c r="Q611" s="235"/>
      <c r="R611" s="235"/>
      <c r="S611" s="235"/>
      <c r="T611" s="235"/>
      <c r="U611" s="235"/>
      <c r="V611" s="235"/>
      <c r="W611" s="235"/>
      <c r="X611" s="235"/>
      <c r="Y611" s="235"/>
      <c r="Z611" s="235"/>
      <c r="AA611" s="235"/>
      <c r="AB611" s="235"/>
      <c r="AC611" s="235"/>
    </row>
    <row r="612">
      <c r="A612" s="194" t="s">
        <v>242</v>
      </c>
      <c r="B612" s="193">
        <v>101457.0</v>
      </c>
      <c r="C612" s="192" t="s">
        <v>243</v>
      </c>
      <c r="D612" s="192" t="s">
        <v>244</v>
      </c>
      <c r="E612" s="235"/>
      <c r="F612" s="235"/>
      <c r="G612" s="325"/>
      <c r="H612" s="235"/>
      <c r="I612" s="235"/>
      <c r="J612" s="235"/>
      <c r="K612" s="235"/>
      <c r="L612" s="235"/>
      <c r="M612" s="235"/>
      <c r="N612" s="235"/>
      <c r="O612" s="235"/>
      <c r="P612" s="235"/>
      <c r="Q612" s="235"/>
      <c r="R612" s="235"/>
      <c r="S612" s="235"/>
      <c r="T612" s="235"/>
      <c r="U612" s="235"/>
      <c r="V612" s="235"/>
      <c r="W612" s="235"/>
      <c r="X612" s="235"/>
      <c r="Y612" s="235"/>
      <c r="Z612" s="235"/>
      <c r="AA612" s="235"/>
      <c r="AB612" s="235"/>
      <c r="AC612" s="235"/>
    </row>
    <row r="613">
      <c r="A613" s="194" t="s">
        <v>763</v>
      </c>
      <c r="B613" s="193">
        <v>102567.0</v>
      </c>
      <c r="C613" s="192" t="s">
        <v>764</v>
      </c>
      <c r="D613" s="192" t="s">
        <v>87</v>
      </c>
      <c r="E613" s="235"/>
      <c r="F613" s="235"/>
      <c r="G613" s="325"/>
      <c r="H613" s="235"/>
      <c r="I613" s="235"/>
      <c r="J613" s="235"/>
      <c r="K613" s="235"/>
      <c r="L613" s="235"/>
      <c r="M613" s="235"/>
      <c r="N613" s="235"/>
      <c r="O613" s="235"/>
      <c r="P613" s="235"/>
      <c r="Q613" s="235"/>
      <c r="R613" s="235"/>
      <c r="S613" s="235"/>
      <c r="T613" s="235"/>
      <c r="U613" s="235"/>
      <c r="V613" s="235"/>
      <c r="W613" s="235"/>
      <c r="X613" s="235"/>
      <c r="Y613" s="235"/>
      <c r="Z613" s="235"/>
      <c r="AA613" s="235"/>
      <c r="AB613" s="235"/>
      <c r="AC613" s="235"/>
    </row>
    <row r="614">
      <c r="A614" s="234"/>
      <c r="B614" s="193">
        <v>102802.0</v>
      </c>
      <c r="C614" s="192" t="s">
        <v>824</v>
      </c>
      <c r="D614" s="192" t="s">
        <v>225</v>
      </c>
      <c r="E614" s="235"/>
      <c r="F614" s="235"/>
      <c r="G614" s="325"/>
      <c r="H614" s="235"/>
      <c r="I614" s="235"/>
      <c r="J614" s="235"/>
      <c r="K614" s="235"/>
      <c r="L614" s="235"/>
      <c r="M614" s="235"/>
      <c r="N614" s="235"/>
      <c r="O614" s="235"/>
      <c r="P614" s="235"/>
      <c r="Q614" s="235"/>
      <c r="R614" s="235"/>
      <c r="S614" s="235"/>
      <c r="T614" s="235"/>
      <c r="U614" s="235"/>
      <c r="V614" s="235"/>
      <c r="W614" s="235"/>
      <c r="X614" s="235"/>
      <c r="Y614" s="235"/>
      <c r="Z614" s="235"/>
      <c r="AA614" s="235"/>
      <c r="AB614" s="235"/>
      <c r="AC614" s="235"/>
    </row>
    <row r="615">
      <c r="A615" s="194" t="s">
        <v>817</v>
      </c>
      <c r="B615" s="193">
        <v>102810.0</v>
      </c>
      <c r="C615" s="192" t="s">
        <v>818</v>
      </c>
      <c r="D615" s="192" t="s">
        <v>154</v>
      </c>
      <c r="E615" s="235"/>
      <c r="F615" s="235"/>
      <c r="G615" s="325"/>
      <c r="H615" s="235"/>
      <c r="I615" s="235"/>
      <c r="J615" s="235"/>
      <c r="K615" s="235"/>
      <c r="L615" s="235"/>
      <c r="M615" s="235"/>
      <c r="N615" s="235"/>
      <c r="O615" s="235"/>
      <c r="P615" s="235"/>
      <c r="Q615" s="235"/>
      <c r="R615" s="235"/>
      <c r="S615" s="235"/>
      <c r="T615" s="235"/>
      <c r="U615" s="235"/>
      <c r="V615" s="235"/>
      <c r="W615" s="235"/>
      <c r="X615" s="235"/>
      <c r="Y615" s="235"/>
      <c r="Z615" s="235"/>
      <c r="AA615" s="235"/>
      <c r="AB615" s="235"/>
      <c r="AC615" s="235"/>
    </row>
    <row r="616">
      <c r="A616" s="194" t="s">
        <v>809</v>
      </c>
      <c r="B616" s="193">
        <v>102770.0</v>
      </c>
      <c r="C616" s="192" t="s">
        <v>810</v>
      </c>
      <c r="D616" s="192" t="s">
        <v>295</v>
      </c>
      <c r="E616" s="235"/>
      <c r="F616" s="235"/>
      <c r="G616" s="325"/>
      <c r="H616" s="235"/>
      <c r="I616" s="235"/>
      <c r="J616" s="235"/>
      <c r="K616" s="235"/>
      <c r="L616" s="235"/>
      <c r="M616" s="235"/>
      <c r="N616" s="235"/>
      <c r="O616" s="235"/>
      <c r="P616" s="235"/>
      <c r="Q616" s="235"/>
      <c r="R616" s="235"/>
      <c r="S616" s="235"/>
      <c r="T616" s="235"/>
      <c r="U616" s="235"/>
      <c r="V616" s="235"/>
      <c r="W616" s="235"/>
      <c r="X616" s="235"/>
      <c r="Y616" s="235"/>
      <c r="Z616" s="235"/>
      <c r="AA616" s="235"/>
      <c r="AB616" s="235"/>
      <c r="AC616" s="235"/>
    </row>
    <row r="617">
      <c r="A617" s="194" t="s">
        <v>811</v>
      </c>
      <c r="B617" s="193">
        <v>102779.0</v>
      </c>
      <c r="C617" s="192" t="s">
        <v>812</v>
      </c>
      <c r="D617" s="192" t="s">
        <v>295</v>
      </c>
      <c r="E617" s="235"/>
      <c r="F617" s="235"/>
      <c r="G617" s="325"/>
      <c r="H617" s="235"/>
      <c r="I617" s="235"/>
      <c r="J617" s="235"/>
      <c r="K617" s="235"/>
      <c r="L617" s="235"/>
      <c r="M617" s="235"/>
      <c r="N617" s="235"/>
      <c r="O617" s="235"/>
      <c r="P617" s="235"/>
      <c r="Q617" s="235"/>
      <c r="R617" s="235"/>
      <c r="S617" s="235"/>
      <c r="T617" s="235"/>
      <c r="U617" s="235"/>
      <c r="V617" s="235"/>
      <c r="W617" s="235"/>
      <c r="X617" s="235"/>
      <c r="Y617" s="235"/>
      <c r="Z617" s="235"/>
      <c r="AA617" s="235"/>
      <c r="AB617" s="235"/>
      <c r="AC617" s="235"/>
    </row>
    <row r="618">
      <c r="A618" s="194" t="s">
        <v>823</v>
      </c>
      <c r="B618" s="193">
        <v>102802.0</v>
      </c>
      <c r="C618" s="192" t="s">
        <v>824</v>
      </c>
      <c r="D618" s="192" t="s">
        <v>233</v>
      </c>
      <c r="E618" s="235"/>
      <c r="F618" s="235"/>
      <c r="G618" s="325"/>
      <c r="H618" s="235"/>
      <c r="I618" s="235"/>
      <c r="J618" s="235"/>
      <c r="K618" s="235"/>
      <c r="L618" s="235"/>
      <c r="M618" s="235"/>
      <c r="N618" s="235"/>
      <c r="O618" s="235"/>
      <c r="P618" s="235"/>
      <c r="Q618" s="235"/>
      <c r="R618" s="235"/>
      <c r="S618" s="235"/>
      <c r="T618" s="235"/>
      <c r="U618" s="235"/>
      <c r="V618" s="235"/>
      <c r="W618" s="235"/>
      <c r="X618" s="235"/>
      <c r="Y618" s="235"/>
      <c r="Z618" s="235"/>
      <c r="AA618" s="235"/>
      <c r="AB618" s="235"/>
      <c r="AC618" s="235"/>
    </row>
    <row r="619">
      <c r="A619" s="194" t="s">
        <v>833</v>
      </c>
      <c r="B619" s="193">
        <v>102828.0</v>
      </c>
      <c r="C619" s="192" t="s">
        <v>834</v>
      </c>
      <c r="D619" s="192" t="s">
        <v>87</v>
      </c>
      <c r="E619" s="235"/>
      <c r="F619" s="235"/>
      <c r="G619" s="325"/>
      <c r="H619" s="235"/>
      <c r="I619" s="235"/>
      <c r="J619" s="235"/>
      <c r="K619" s="235"/>
      <c r="L619" s="235"/>
      <c r="M619" s="235"/>
      <c r="N619" s="235"/>
      <c r="O619" s="235"/>
      <c r="P619" s="235"/>
      <c r="Q619" s="235"/>
      <c r="R619" s="235"/>
      <c r="S619" s="235"/>
      <c r="T619" s="235"/>
      <c r="U619" s="235"/>
      <c r="V619" s="235"/>
      <c r="W619" s="235"/>
      <c r="X619" s="235"/>
      <c r="Y619" s="235"/>
      <c r="Z619" s="235"/>
      <c r="AA619" s="235"/>
      <c r="AB619" s="235"/>
      <c r="AC619" s="235"/>
    </row>
    <row r="620">
      <c r="A620" s="194" t="s">
        <v>792</v>
      </c>
      <c r="B620" s="193">
        <v>102595.0</v>
      </c>
      <c r="C620" s="192" t="s">
        <v>793</v>
      </c>
      <c r="D620" s="192" t="s">
        <v>295</v>
      </c>
      <c r="E620" s="235"/>
      <c r="F620" s="235"/>
      <c r="G620" s="325"/>
      <c r="H620" s="235"/>
      <c r="I620" s="235"/>
      <c r="J620" s="235"/>
      <c r="K620" s="235"/>
      <c r="L620" s="235"/>
      <c r="M620" s="235"/>
      <c r="N620" s="235"/>
      <c r="O620" s="235"/>
      <c r="P620" s="235"/>
      <c r="Q620" s="235"/>
      <c r="R620" s="235"/>
      <c r="S620" s="235"/>
      <c r="T620" s="235"/>
      <c r="U620" s="235"/>
      <c r="V620" s="235"/>
      <c r="W620" s="235"/>
      <c r="X620" s="235"/>
      <c r="Y620" s="235"/>
      <c r="Z620" s="235"/>
      <c r="AA620" s="235"/>
      <c r="AB620" s="235"/>
      <c r="AC620" s="235"/>
    </row>
    <row r="621">
      <c r="A621" s="194" t="s">
        <v>839</v>
      </c>
      <c r="B621" s="193">
        <v>102822.0</v>
      </c>
      <c r="C621" s="192" t="s">
        <v>840</v>
      </c>
      <c r="D621" s="192" t="s">
        <v>295</v>
      </c>
      <c r="E621" s="235"/>
      <c r="F621" s="235"/>
      <c r="G621" s="325"/>
      <c r="H621" s="235"/>
      <c r="I621" s="235"/>
      <c r="J621" s="235"/>
      <c r="K621" s="235"/>
      <c r="L621" s="235"/>
      <c r="M621" s="235"/>
      <c r="N621" s="235"/>
      <c r="O621" s="235"/>
      <c r="P621" s="235"/>
      <c r="Q621" s="235"/>
      <c r="R621" s="235"/>
      <c r="S621" s="235"/>
      <c r="T621" s="235"/>
      <c r="U621" s="235"/>
      <c r="V621" s="235"/>
      <c r="W621" s="235"/>
      <c r="X621" s="235"/>
      <c r="Y621" s="235"/>
      <c r="Z621" s="235"/>
      <c r="AA621" s="235"/>
      <c r="AB621" s="235"/>
      <c r="AC621" s="235"/>
    </row>
    <row r="622">
      <c r="A622" s="194" t="s">
        <v>761</v>
      </c>
      <c r="B622" s="193">
        <v>102566.0</v>
      </c>
      <c r="C622" s="192" t="s">
        <v>762</v>
      </c>
      <c r="D622" s="192" t="s">
        <v>295</v>
      </c>
      <c r="E622" s="235"/>
      <c r="F622" s="235"/>
      <c r="G622" s="325"/>
      <c r="H622" s="235"/>
      <c r="I622" s="235"/>
      <c r="J622" s="235"/>
      <c r="K622" s="235"/>
      <c r="L622" s="235"/>
      <c r="M622" s="235"/>
      <c r="N622" s="235"/>
      <c r="O622" s="235"/>
      <c r="P622" s="235"/>
      <c r="Q622" s="235"/>
      <c r="R622" s="235"/>
      <c r="S622" s="235"/>
      <c r="T622" s="235"/>
      <c r="U622" s="235"/>
      <c r="V622" s="235"/>
      <c r="W622" s="235"/>
      <c r="X622" s="235"/>
      <c r="Y622" s="235"/>
      <c r="Z622" s="235"/>
      <c r="AA622" s="235"/>
      <c r="AB622" s="235"/>
      <c r="AC622" s="235"/>
    </row>
    <row r="623">
      <c r="A623" s="194" t="s">
        <v>1268</v>
      </c>
      <c r="B623" s="193">
        <v>104207.0</v>
      </c>
      <c r="C623" s="192" t="s">
        <v>1269</v>
      </c>
      <c r="D623" s="192" t="s">
        <v>295</v>
      </c>
      <c r="E623" s="235"/>
      <c r="F623" s="235"/>
      <c r="G623" s="325"/>
      <c r="H623" s="235"/>
      <c r="I623" s="235"/>
      <c r="J623" s="235"/>
      <c r="K623" s="235"/>
      <c r="L623" s="235"/>
      <c r="M623" s="235"/>
      <c r="N623" s="235"/>
      <c r="O623" s="235"/>
      <c r="P623" s="235"/>
      <c r="Q623" s="235"/>
      <c r="R623" s="235"/>
      <c r="S623" s="235"/>
      <c r="T623" s="235"/>
      <c r="U623" s="235"/>
      <c r="V623" s="235"/>
      <c r="W623" s="235"/>
      <c r="X623" s="235"/>
      <c r="Y623" s="235"/>
      <c r="Z623" s="235"/>
      <c r="AA623" s="235"/>
      <c r="AB623" s="235"/>
      <c r="AC623" s="235"/>
    </row>
    <row r="624">
      <c r="A624" s="194" t="s">
        <v>1197</v>
      </c>
      <c r="B624" s="193">
        <v>104060.0</v>
      </c>
      <c r="C624" s="192" t="s">
        <v>1183</v>
      </c>
      <c r="D624" s="192" t="s">
        <v>1184</v>
      </c>
      <c r="E624" s="235"/>
      <c r="F624" s="235"/>
      <c r="G624" s="325"/>
      <c r="H624" s="235"/>
      <c r="I624" s="235"/>
      <c r="J624" s="235"/>
      <c r="K624" s="235"/>
      <c r="L624" s="235"/>
      <c r="M624" s="235"/>
      <c r="N624" s="235"/>
      <c r="O624" s="235"/>
      <c r="P624" s="235"/>
      <c r="Q624" s="235"/>
      <c r="R624" s="235"/>
      <c r="S624" s="235"/>
      <c r="T624" s="235"/>
      <c r="U624" s="235"/>
      <c r="V624" s="235"/>
      <c r="W624" s="235"/>
      <c r="X624" s="235"/>
      <c r="Y624" s="235"/>
      <c r="Z624" s="235"/>
      <c r="AA624" s="235"/>
      <c r="AB624" s="235"/>
      <c r="AC624" s="235"/>
    </row>
    <row r="625">
      <c r="A625" s="194" t="s">
        <v>1182</v>
      </c>
      <c r="B625" s="193">
        <v>104060.0</v>
      </c>
      <c r="C625" s="192" t="s">
        <v>1183</v>
      </c>
      <c r="D625" s="192" t="s">
        <v>1184</v>
      </c>
      <c r="E625" s="235"/>
      <c r="F625" s="235"/>
      <c r="G625" s="325"/>
      <c r="H625" s="235"/>
      <c r="I625" s="235"/>
      <c r="J625" s="235"/>
      <c r="K625" s="235"/>
      <c r="L625" s="235"/>
      <c r="M625" s="235"/>
      <c r="N625" s="235"/>
      <c r="O625" s="235"/>
      <c r="P625" s="235"/>
      <c r="Q625" s="235"/>
      <c r="R625" s="235"/>
      <c r="S625" s="235"/>
      <c r="T625" s="235"/>
      <c r="U625" s="235"/>
      <c r="V625" s="235"/>
      <c r="W625" s="235"/>
      <c r="X625" s="235"/>
      <c r="Y625" s="235"/>
      <c r="Z625" s="235"/>
      <c r="AA625" s="235"/>
      <c r="AB625" s="235"/>
      <c r="AC625" s="235"/>
    </row>
    <row r="626">
      <c r="A626" s="194" t="s">
        <v>1375</v>
      </c>
      <c r="B626" s="193">
        <v>104348.0</v>
      </c>
      <c r="C626" s="192" t="s">
        <v>1376</v>
      </c>
      <c r="D626" s="192" t="s">
        <v>312</v>
      </c>
      <c r="E626" s="235"/>
      <c r="F626" s="235"/>
      <c r="G626" s="325"/>
      <c r="H626" s="235"/>
      <c r="I626" s="235"/>
      <c r="J626" s="235"/>
      <c r="K626" s="235"/>
      <c r="L626" s="235"/>
      <c r="M626" s="235"/>
      <c r="N626" s="235"/>
      <c r="O626" s="235"/>
      <c r="P626" s="235"/>
      <c r="Q626" s="235"/>
      <c r="R626" s="235"/>
      <c r="S626" s="235"/>
      <c r="T626" s="235"/>
      <c r="U626" s="235"/>
      <c r="V626" s="235"/>
      <c r="W626" s="235"/>
      <c r="X626" s="235"/>
      <c r="Y626" s="235"/>
      <c r="Z626" s="235"/>
      <c r="AA626" s="235"/>
      <c r="AB626" s="235"/>
      <c r="AC626" s="235"/>
    </row>
    <row r="627">
      <c r="A627" s="194" t="s">
        <v>1100</v>
      </c>
      <c r="B627" s="193">
        <v>103850.0</v>
      </c>
      <c r="C627" s="192" t="s">
        <v>1101</v>
      </c>
      <c r="D627" s="192" t="s">
        <v>225</v>
      </c>
      <c r="E627" s="235"/>
      <c r="F627" s="235"/>
      <c r="G627" s="325"/>
      <c r="H627" s="235"/>
      <c r="I627" s="235"/>
      <c r="J627" s="235"/>
      <c r="K627" s="235"/>
      <c r="L627" s="235"/>
      <c r="M627" s="235"/>
      <c r="N627" s="235"/>
      <c r="O627" s="235"/>
      <c r="P627" s="235"/>
      <c r="Q627" s="235"/>
      <c r="R627" s="235"/>
      <c r="S627" s="235"/>
      <c r="T627" s="235"/>
      <c r="U627" s="235"/>
      <c r="V627" s="235"/>
      <c r="W627" s="235"/>
      <c r="X627" s="235"/>
      <c r="Y627" s="235"/>
      <c r="Z627" s="235"/>
      <c r="AA627" s="235"/>
      <c r="AB627" s="235"/>
      <c r="AC627" s="235"/>
    </row>
    <row r="628">
      <c r="A628" s="194" t="s">
        <v>1003</v>
      </c>
      <c r="B628" s="193">
        <v>103562.0</v>
      </c>
      <c r="C628" s="192" t="s">
        <v>1004</v>
      </c>
      <c r="D628" s="192" t="s">
        <v>979</v>
      </c>
      <c r="E628" s="235"/>
      <c r="F628" s="235"/>
      <c r="G628" s="325"/>
      <c r="H628" s="235"/>
      <c r="I628" s="235"/>
      <c r="J628" s="235"/>
      <c r="K628" s="235"/>
      <c r="L628" s="235"/>
      <c r="M628" s="235"/>
      <c r="N628" s="235"/>
      <c r="O628" s="235"/>
      <c r="P628" s="235"/>
      <c r="Q628" s="235"/>
      <c r="R628" s="235"/>
      <c r="S628" s="235"/>
      <c r="T628" s="235"/>
      <c r="U628" s="235"/>
      <c r="V628" s="235"/>
      <c r="W628" s="235"/>
      <c r="X628" s="235"/>
      <c r="Y628" s="235"/>
      <c r="Z628" s="235"/>
      <c r="AA628" s="235"/>
      <c r="AB628" s="235"/>
      <c r="AC628" s="235"/>
    </row>
    <row r="629">
      <c r="A629" s="194" t="s">
        <v>1420</v>
      </c>
      <c r="B629" s="193">
        <v>104425.0</v>
      </c>
      <c r="C629" s="192" t="s">
        <v>1421</v>
      </c>
      <c r="D629" s="192" t="s">
        <v>113</v>
      </c>
      <c r="E629" s="235"/>
      <c r="F629" s="235"/>
      <c r="G629" s="325"/>
      <c r="H629" s="235"/>
      <c r="I629" s="235"/>
      <c r="J629" s="235"/>
      <c r="K629" s="235"/>
      <c r="L629" s="235"/>
      <c r="M629" s="235"/>
      <c r="N629" s="235"/>
      <c r="O629" s="235"/>
      <c r="P629" s="235"/>
      <c r="Q629" s="235"/>
      <c r="R629" s="235"/>
      <c r="S629" s="235"/>
      <c r="T629" s="235"/>
      <c r="U629" s="235"/>
      <c r="V629" s="235"/>
      <c r="W629" s="235"/>
      <c r="X629" s="235"/>
      <c r="Y629" s="235"/>
      <c r="Z629" s="235"/>
      <c r="AA629" s="235"/>
      <c r="AB629" s="235"/>
      <c r="AC629" s="235"/>
    </row>
    <row r="630">
      <c r="A630" s="194" t="s">
        <v>1246</v>
      </c>
      <c r="B630" s="193">
        <v>104184.0</v>
      </c>
      <c r="C630" s="192" t="s">
        <v>1247</v>
      </c>
      <c r="D630" s="192" t="s">
        <v>1248</v>
      </c>
      <c r="E630" s="235"/>
      <c r="F630" s="235"/>
      <c r="G630" s="325"/>
      <c r="H630" s="235"/>
      <c r="I630" s="235"/>
      <c r="J630" s="235"/>
      <c r="K630" s="235"/>
      <c r="L630" s="235"/>
      <c r="M630" s="235"/>
      <c r="N630" s="235"/>
      <c r="O630" s="235"/>
      <c r="P630" s="235"/>
      <c r="Q630" s="235"/>
      <c r="R630" s="235"/>
      <c r="S630" s="235"/>
      <c r="T630" s="235"/>
      <c r="U630" s="235"/>
      <c r="V630" s="235"/>
      <c r="W630" s="235"/>
      <c r="X630" s="235"/>
      <c r="Y630" s="235"/>
      <c r="Z630" s="235"/>
      <c r="AA630" s="235"/>
      <c r="AB630" s="235"/>
      <c r="AC630" s="235"/>
    </row>
    <row r="631">
      <c r="A631" s="194" t="s">
        <v>1027</v>
      </c>
      <c r="B631" s="193">
        <v>103682.0</v>
      </c>
      <c r="C631" s="192" t="s">
        <v>1028</v>
      </c>
      <c r="D631" s="192" t="s">
        <v>625</v>
      </c>
      <c r="E631" s="235"/>
      <c r="F631" s="235"/>
      <c r="G631" s="325"/>
      <c r="H631" s="235"/>
      <c r="I631" s="235"/>
      <c r="J631" s="235"/>
      <c r="K631" s="235"/>
      <c r="L631" s="235"/>
      <c r="M631" s="235"/>
      <c r="N631" s="235"/>
      <c r="O631" s="235"/>
      <c r="P631" s="235"/>
      <c r="Q631" s="235"/>
      <c r="R631" s="235"/>
      <c r="S631" s="235"/>
      <c r="T631" s="235"/>
      <c r="U631" s="235"/>
      <c r="V631" s="235"/>
      <c r="W631" s="235"/>
      <c r="X631" s="235"/>
      <c r="Y631" s="235"/>
      <c r="Z631" s="235"/>
      <c r="AA631" s="235"/>
      <c r="AB631" s="235"/>
      <c r="AC631" s="235"/>
    </row>
    <row r="632">
      <c r="A632" s="194" t="s">
        <v>378</v>
      </c>
      <c r="B632" s="193">
        <v>101855.0</v>
      </c>
      <c r="C632" s="192" t="s">
        <v>379</v>
      </c>
      <c r="D632" s="192" t="s">
        <v>380</v>
      </c>
      <c r="E632" s="235"/>
      <c r="F632" s="235"/>
      <c r="G632" s="325"/>
      <c r="H632" s="235"/>
      <c r="I632" s="235"/>
      <c r="J632" s="235"/>
      <c r="K632" s="235"/>
      <c r="L632" s="235"/>
      <c r="M632" s="235"/>
      <c r="N632" s="235"/>
      <c r="O632" s="235"/>
      <c r="P632" s="235"/>
      <c r="Q632" s="235"/>
      <c r="R632" s="235"/>
      <c r="S632" s="235"/>
      <c r="T632" s="235"/>
      <c r="U632" s="235"/>
      <c r="V632" s="235"/>
      <c r="W632" s="235"/>
      <c r="X632" s="235"/>
      <c r="Y632" s="235"/>
      <c r="Z632" s="235"/>
      <c r="AA632" s="235"/>
      <c r="AB632" s="235"/>
      <c r="AC632" s="235"/>
    </row>
    <row r="633">
      <c r="A633" s="194" t="s">
        <v>421</v>
      </c>
      <c r="B633" s="193">
        <v>101868.0</v>
      </c>
      <c r="C633" s="192" t="s">
        <v>422</v>
      </c>
      <c r="D633" s="192" t="s">
        <v>87</v>
      </c>
      <c r="E633" s="235"/>
      <c r="F633" s="235"/>
      <c r="G633" s="325"/>
      <c r="H633" s="235"/>
      <c r="I633" s="235"/>
      <c r="J633" s="235"/>
      <c r="K633" s="235"/>
      <c r="L633" s="235"/>
      <c r="M633" s="235"/>
      <c r="N633" s="235"/>
      <c r="O633" s="235"/>
      <c r="P633" s="235"/>
      <c r="Q633" s="235"/>
      <c r="R633" s="235"/>
      <c r="S633" s="235"/>
      <c r="T633" s="235"/>
      <c r="U633" s="235"/>
      <c r="V633" s="235"/>
      <c r="W633" s="235"/>
      <c r="X633" s="235"/>
      <c r="Y633" s="235"/>
      <c r="Z633" s="235"/>
      <c r="AA633" s="235"/>
      <c r="AB633" s="235"/>
      <c r="AC633" s="235"/>
    </row>
    <row r="634">
      <c r="A634" s="194" t="s">
        <v>374</v>
      </c>
      <c r="B634" s="193">
        <v>101854.0</v>
      </c>
      <c r="C634" s="192" t="s">
        <v>375</v>
      </c>
      <c r="D634" s="192" t="s">
        <v>295</v>
      </c>
      <c r="E634" s="235"/>
      <c r="F634" s="235"/>
      <c r="G634" s="325"/>
      <c r="H634" s="235"/>
      <c r="I634" s="235"/>
      <c r="J634" s="235"/>
      <c r="K634" s="235"/>
      <c r="L634" s="235"/>
      <c r="M634" s="235"/>
      <c r="N634" s="235"/>
      <c r="O634" s="235"/>
      <c r="P634" s="235"/>
      <c r="Q634" s="235"/>
      <c r="R634" s="235"/>
      <c r="S634" s="235"/>
      <c r="T634" s="235"/>
      <c r="U634" s="235"/>
      <c r="V634" s="235"/>
      <c r="W634" s="235"/>
      <c r="X634" s="235"/>
      <c r="Y634" s="235"/>
      <c r="Z634" s="235"/>
      <c r="AA634" s="235"/>
      <c r="AB634" s="235"/>
      <c r="AC634" s="235"/>
    </row>
    <row r="635">
      <c r="A635" s="194" t="s">
        <v>384</v>
      </c>
      <c r="B635" s="193">
        <v>101854.0</v>
      </c>
      <c r="C635" s="192" t="s">
        <v>375</v>
      </c>
      <c r="D635" s="192" t="s">
        <v>295</v>
      </c>
      <c r="E635" s="235"/>
      <c r="F635" s="235"/>
      <c r="G635" s="325"/>
      <c r="H635" s="235"/>
      <c r="I635" s="235"/>
      <c r="J635" s="235"/>
      <c r="K635" s="235"/>
      <c r="L635" s="235"/>
      <c r="M635" s="235"/>
      <c r="N635" s="235"/>
      <c r="O635" s="235"/>
      <c r="P635" s="235"/>
      <c r="Q635" s="235"/>
      <c r="R635" s="235"/>
      <c r="S635" s="235"/>
      <c r="T635" s="235"/>
      <c r="U635" s="235"/>
      <c r="V635" s="235"/>
      <c r="W635" s="235"/>
      <c r="X635" s="235"/>
      <c r="Y635" s="235"/>
      <c r="Z635" s="235"/>
      <c r="AA635" s="235"/>
      <c r="AB635" s="235"/>
      <c r="AC635" s="235"/>
    </row>
    <row r="636">
      <c r="A636" s="194" t="s">
        <v>418</v>
      </c>
      <c r="B636" s="193">
        <v>101867.0</v>
      </c>
      <c r="C636" s="192" t="s">
        <v>419</v>
      </c>
      <c r="D636" s="192" t="s">
        <v>357</v>
      </c>
      <c r="E636" s="235"/>
      <c r="F636" s="235"/>
      <c r="G636" s="325"/>
      <c r="H636" s="235"/>
      <c r="I636" s="235"/>
      <c r="J636" s="235"/>
      <c r="K636" s="235"/>
      <c r="L636" s="235"/>
      <c r="M636" s="235"/>
      <c r="N636" s="235"/>
      <c r="O636" s="235"/>
      <c r="P636" s="235"/>
      <c r="Q636" s="235"/>
      <c r="R636" s="235"/>
      <c r="S636" s="235"/>
      <c r="T636" s="235"/>
      <c r="U636" s="235"/>
      <c r="V636" s="235"/>
      <c r="W636" s="235"/>
      <c r="X636" s="235"/>
      <c r="Y636" s="235"/>
      <c r="Z636" s="235"/>
      <c r="AA636" s="235"/>
      <c r="AB636" s="235"/>
      <c r="AC636" s="235"/>
    </row>
    <row r="637">
      <c r="A637" s="194" t="s">
        <v>466</v>
      </c>
      <c r="B637" s="193">
        <v>101971.0</v>
      </c>
      <c r="C637" s="192" t="s">
        <v>459</v>
      </c>
      <c r="D637" s="192" t="s">
        <v>51</v>
      </c>
      <c r="E637" s="235"/>
      <c r="F637" s="235"/>
      <c r="G637" s="325"/>
      <c r="H637" s="235"/>
      <c r="I637" s="235"/>
      <c r="J637" s="235"/>
      <c r="K637" s="235"/>
      <c r="L637" s="235"/>
      <c r="M637" s="235"/>
      <c r="N637" s="235"/>
      <c r="O637" s="235"/>
      <c r="P637" s="235"/>
      <c r="Q637" s="235"/>
      <c r="R637" s="235"/>
      <c r="S637" s="235"/>
      <c r="T637" s="235"/>
      <c r="U637" s="235"/>
      <c r="V637" s="235"/>
      <c r="W637" s="235"/>
      <c r="X637" s="235"/>
      <c r="Y637" s="235"/>
      <c r="Z637" s="235"/>
      <c r="AA637" s="235"/>
      <c r="AB637" s="235"/>
      <c r="AC637" s="235"/>
    </row>
    <row r="638">
      <c r="A638" s="194" t="s">
        <v>502</v>
      </c>
      <c r="B638" s="193">
        <v>101986.0</v>
      </c>
      <c r="C638" s="192" t="s">
        <v>465</v>
      </c>
      <c r="D638" s="192" t="s">
        <v>51</v>
      </c>
      <c r="E638" s="235"/>
      <c r="F638" s="235"/>
      <c r="G638" s="325"/>
      <c r="H638" s="235"/>
      <c r="I638" s="235"/>
      <c r="J638" s="235"/>
      <c r="K638" s="235"/>
      <c r="L638" s="235"/>
      <c r="M638" s="235"/>
      <c r="N638" s="235"/>
      <c r="O638" s="235"/>
      <c r="P638" s="235"/>
      <c r="Q638" s="235"/>
      <c r="R638" s="235"/>
      <c r="S638" s="235"/>
      <c r="T638" s="235"/>
      <c r="U638" s="235"/>
      <c r="V638" s="235"/>
      <c r="W638" s="235"/>
      <c r="X638" s="235"/>
      <c r="Y638" s="235"/>
      <c r="Z638" s="235"/>
      <c r="AA638" s="235"/>
      <c r="AB638" s="235"/>
      <c r="AC638" s="235"/>
    </row>
    <row r="639">
      <c r="A639" s="194" t="s">
        <v>461</v>
      </c>
      <c r="B639" s="193">
        <v>101985.0</v>
      </c>
      <c r="C639" s="192" t="s">
        <v>462</v>
      </c>
      <c r="D639" s="192" t="s">
        <v>51</v>
      </c>
      <c r="E639" s="235"/>
      <c r="F639" s="235"/>
      <c r="G639" s="325"/>
      <c r="H639" s="235"/>
      <c r="I639" s="235"/>
      <c r="J639" s="235"/>
      <c r="K639" s="235"/>
      <c r="L639" s="235"/>
      <c r="M639" s="235"/>
      <c r="N639" s="235"/>
      <c r="O639" s="235"/>
      <c r="P639" s="235"/>
      <c r="Q639" s="235"/>
      <c r="R639" s="235"/>
      <c r="S639" s="235"/>
      <c r="T639" s="235"/>
      <c r="U639" s="235"/>
      <c r="V639" s="235"/>
      <c r="W639" s="235"/>
      <c r="X639" s="235"/>
      <c r="Y639" s="235"/>
      <c r="Z639" s="235"/>
      <c r="AA639" s="235"/>
      <c r="AB639" s="235"/>
      <c r="AC639" s="235"/>
    </row>
    <row r="640">
      <c r="A640" s="194" t="s">
        <v>1390</v>
      </c>
      <c r="B640" s="193">
        <v>103982.0</v>
      </c>
      <c r="C640" s="192" t="s">
        <v>1391</v>
      </c>
      <c r="D640" s="192" t="s">
        <v>1392</v>
      </c>
      <c r="E640" s="235"/>
      <c r="F640" s="235"/>
      <c r="G640" s="325"/>
      <c r="H640" s="235"/>
      <c r="I640" s="235"/>
      <c r="J640" s="235"/>
      <c r="K640" s="235"/>
      <c r="L640" s="235"/>
      <c r="M640" s="235"/>
      <c r="N640" s="235"/>
      <c r="O640" s="235"/>
      <c r="P640" s="235"/>
      <c r="Q640" s="235"/>
      <c r="R640" s="235"/>
      <c r="S640" s="235"/>
      <c r="T640" s="235"/>
      <c r="U640" s="235"/>
      <c r="V640" s="235"/>
      <c r="W640" s="235"/>
      <c r="X640" s="235"/>
      <c r="Y640" s="235"/>
      <c r="Z640" s="235"/>
      <c r="AA640" s="235"/>
      <c r="AB640" s="235"/>
      <c r="AC640" s="235"/>
    </row>
    <row r="641">
      <c r="A641" s="194" t="s">
        <v>1401</v>
      </c>
      <c r="B641" s="193">
        <v>104473.0</v>
      </c>
      <c r="C641" s="192" t="s">
        <v>1402</v>
      </c>
      <c r="D641" s="192" t="s">
        <v>1140</v>
      </c>
      <c r="E641" s="235"/>
      <c r="F641" s="235"/>
      <c r="G641" s="325"/>
      <c r="H641" s="235"/>
      <c r="I641" s="235"/>
      <c r="J641" s="235"/>
      <c r="K641" s="235"/>
      <c r="L641" s="235"/>
      <c r="M641" s="235"/>
      <c r="N641" s="235"/>
      <c r="O641" s="235"/>
      <c r="P641" s="235"/>
      <c r="Q641" s="235"/>
      <c r="R641" s="235"/>
      <c r="S641" s="235"/>
      <c r="T641" s="235"/>
      <c r="U641" s="235"/>
      <c r="V641" s="235"/>
      <c r="W641" s="235"/>
      <c r="X641" s="235"/>
      <c r="Y641" s="235"/>
      <c r="Z641" s="235"/>
      <c r="AA641" s="235"/>
      <c r="AB641" s="235"/>
      <c r="AC641" s="235"/>
    </row>
    <row r="642">
      <c r="A642" s="194" t="s">
        <v>1397</v>
      </c>
      <c r="B642" s="193">
        <v>104402.0</v>
      </c>
      <c r="C642" s="192" t="s">
        <v>1398</v>
      </c>
      <c r="D642" s="192" t="s">
        <v>1140</v>
      </c>
      <c r="E642" s="235"/>
      <c r="F642" s="235"/>
      <c r="G642" s="325"/>
      <c r="H642" s="235"/>
      <c r="I642" s="235"/>
      <c r="J642" s="235"/>
      <c r="K642" s="235"/>
      <c r="L642" s="235"/>
      <c r="M642" s="235"/>
      <c r="N642" s="235"/>
      <c r="O642" s="235"/>
      <c r="P642" s="235"/>
      <c r="Q642" s="235"/>
      <c r="R642" s="235"/>
      <c r="S642" s="235"/>
      <c r="T642" s="235"/>
      <c r="U642" s="235"/>
      <c r="V642" s="235"/>
      <c r="W642" s="235"/>
      <c r="X642" s="235"/>
      <c r="Y642" s="235"/>
      <c r="Z642" s="235"/>
      <c r="AA642" s="235"/>
      <c r="AB642" s="235"/>
      <c r="AC642" s="235"/>
    </row>
    <row r="643">
      <c r="A643" s="194" t="s">
        <v>1424</v>
      </c>
      <c r="B643" s="193">
        <v>104488.0</v>
      </c>
      <c r="C643" s="192" t="s">
        <v>1425</v>
      </c>
      <c r="D643" s="192" t="s">
        <v>154</v>
      </c>
      <c r="E643" s="235"/>
      <c r="F643" s="235"/>
      <c r="G643" s="325"/>
      <c r="H643" s="235"/>
      <c r="I643" s="235"/>
      <c r="J643" s="235"/>
      <c r="K643" s="235"/>
      <c r="L643" s="235"/>
      <c r="M643" s="235"/>
      <c r="N643" s="235"/>
      <c r="O643" s="235"/>
      <c r="P643" s="235"/>
      <c r="Q643" s="235"/>
      <c r="R643" s="235"/>
      <c r="S643" s="235"/>
      <c r="T643" s="235"/>
      <c r="U643" s="235"/>
      <c r="V643" s="235"/>
      <c r="W643" s="235"/>
      <c r="X643" s="235"/>
      <c r="Y643" s="235"/>
      <c r="Z643" s="235"/>
      <c r="AA643" s="235"/>
      <c r="AB643" s="235"/>
      <c r="AC643" s="235"/>
    </row>
    <row r="644">
      <c r="A644" s="194" t="s">
        <v>1407</v>
      </c>
      <c r="B644" s="193">
        <v>104438.0</v>
      </c>
      <c r="C644" s="192" t="s">
        <v>1408</v>
      </c>
      <c r="D644" s="192" t="s">
        <v>806</v>
      </c>
      <c r="E644" s="235"/>
      <c r="F644" s="235"/>
      <c r="G644" s="325"/>
      <c r="H644" s="235"/>
      <c r="I644" s="235"/>
      <c r="J644" s="235"/>
      <c r="K644" s="235"/>
      <c r="L644" s="235"/>
      <c r="M644" s="235"/>
      <c r="N644" s="235"/>
      <c r="O644" s="235"/>
      <c r="P644" s="235"/>
      <c r="Q644" s="235"/>
      <c r="R644" s="235"/>
      <c r="S644" s="235"/>
      <c r="T644" s="235"/>
      <c r="U644" s="235"/>
      <c r="V644" s="235"/>
      <c r="W644" s="235"/>
      <c r="X644" s="235"/>
      <c r="Y644" s="235"/>
      <c r="Z644" s="235"/>
      <c r="AA644" s="235"/>
      <c r="AB644" s="235"/>
      <c r="AC644" s="235"/>
    </row>
    <row r="645">
      <c r="A645" s="194" t="s">
        <v>1435</v>
      </c>
      <c r="B645" s="193">
        <v>104428.0</v>
      </c>
      <c r="C645" s="192" t="s">
        <v>1436</v>
      </c>
      <c r="D645" s="192" t="s">
        <v>646</v>
      </c>
      <c r="E645" s="235"/>
      <c r="F645" s="235"/>
      <c r="G645" s="325"/>
      <c r="H645" s="235"/>
      <c r="I645" s="235"/>
      <c r="J645" s="235"/>
      <c r="K645" s="235"/>
      <c r="L645" s="235"/>
      <c r="M645" s="235"/>
      <c r="N645" s="235"/>
      <c r="O645" s="235"/>
      <c r="P645" s="235"/>
      <c r="Q645" s="235"/>
      <c r="R645" s="235"/>
      <c r="S645" s="235"/>
      <c r="T645" s="235"/>
      <c r="U645" s="235"/>
      <c r="V645" s="235"/>
      <c r="W645" s="235"/>
      <c r="X645" s="235"/>
      <c r="Y645" s="235"/>
      <c r="Z645" s="235"/>
      <c r="AA645" s="235"/>
      <c r="AB645" s="235"/>
      <c r="AC645" s="235"/>
    </row>
    <row r="646">
      <c r="A646" s="194" t="s">
        <v>1063</v>
      </c>
      <c r="B646" s="193">
        <v>103731.0</v>
      </c>
      <c r="C646" s="192" t="s">
        <v>1064</v>
      </c>
      <c r="D646" s="192" t="s">
        <v>51</v>
      </c>
      <c r="E646" s="235"/>
      <c r="F646" s="235"/>
      <c r="G646" s="325"/>
      <c r="H646" s="235"/>
      <c r="I646" s="235"/>
      <c r="J646" s="235"/>
      <c r="K646" s="235"/>
      <c r="L646" s="235"/>
      <c r="M646" s="235"/>
      <c r="N646" s="235"/>
      <c r="O646" s="235"/>
      <c r="P646" s="235"/>
      <c r="Q646" s="235"/>
      <c r="R646" s="235"/>
      <c r="S646" s="235"/>
      <c r="T646" s="235"/>
      <c r="U646" s="235"/>
      <c r="V646" s="235"/>
      <c r="W646" s="235"/>
      <c r="X646" s="235"/>
      <c r="Y646" s="235"/>
      <c r="Z646" s="235"/>
      <c r="AA646" s="235"/>
      <c r="AB646" s="235"/>
      <c r="AC646" s="235"/>
    </row>
    <row r="647">
      <c r="A647" s="194" t="s">
        <v>1017</v>
      </c>
      <c r="B647" s="193">
        <v>103587.0</v>
      </c>
      <c r="C647" s="192" t="s">
        <v>1018</v>
      </c>
      <c r="D647" s="192" t="s">
        <v>360</v>
      </c>
      <c r="E647" s="235"/>
      <c r="F647" s="235"/>
      <c r="G647" s="325"/>
      <c r="H647" s="235"/>
      <c r="I647" s="235"/>
      <c r="J647" s="235"/>
      <c r="K647" s="235"/>
      <c r="L647" s="235"/>
      <c r="M647" s="235"/>
      <c r="N647" s="235"/>
      <c r="O647" s="235"/>
      <c r="P647" s="235"/>
      <c r="Q647" s="235"/>
      <c r="R647" s="235"/>
      <c r="S647" s="235"/>
      <c r="T647" s="235"/>
      <c r="U647" s="235"/>
      <c r="V647" s="235"/>
      <c r="W647" s="235"/>
      <c r="X647" s="235"/>
      <c r="Y647" s="235"/>
      <c r="Z647" s="235"/>
      <c r="AA647" s="235"/>
      <c r="AB647" s="235"/>
      <c r="AC647" s="235"/>
    </row>
    <row r="648">
      <c r="A648" s="194" t="s">
        <v>1399</v>
      </c>
      <c r="B648" s="193">
        <v>104457.0</v>
      </c>
      <c r="C648" s="192" t="s">
        <v>1400</v>
      </c>
      <c r="D648" s="192" t="s">
        <v>646</v>
      </c>
      <c r="E648" s="235"/>
      <c r="F648" s="235"/>
      <c r="G648" s="325"/>
      <c r="H648" s="235"/>
      <c r="I648" s="235"/>
      <c r="J648" s="235"/>
      <c r="K648" s="235"/>
      <c r="L648" s="235"/>
      <c r="M648" s="235"/>
      <c r="N648" s="235"/>
      <c r="O648" s="235"/>
      <c r="P648" s="235"/>
      <c r="Q648" s="235"/>
      <c r="R648" s="235"/>
      <c r="S648" s="235"/>
      <c r="T648" s="235"/>
      <c r="U648" s="235"/>
      <c r="V648" s="235"/>
      <c r="W648" s="235"/>
      <c r="X648" s="235"/>
      <c r="Y648" s="235"/>
      <c r="Z648" s="235"/>
      <c r="AA648" s="235"/>
      <c r="AB648" s="235"/>
      <c r="AC648" s="235"/>
    </row>
    <row r="649">
      <c r="A649" s="194" t="s">
        <v>1440</v>
      </c>
      <c r="B649" s="193">
        <v>104413.0</v>
      </c>
      <c r="C649" s="192" t="s">
        <v>1441</v>
      </c>
      <c r="D649" s="192" t="s">
        <v>51</v>
      </c>
      <c r="E649" s="235"/>
      <c r="F649" s="235"/>
      <c r="G649" s="325"/>
      <c r="H649" s="235"/>
      <c r="I649" s="235"/>
      <c r="J649" s="235"/>
      <c r="K649" s="235"/>
      <c r="L649" s="235"/>
      <c r="M649" s="235"/>
      <c r="N649" s="235"/>
      <c r="O649" s="235"/>
      <c r="P649" s="235"/>
      <c r="Q649" s="235"/>
      <c r="R649" s="235"/>
      <c r="S649" s="235"/>
      <c r="T649" s="235"/>
      <c r="U649" s="235"/>
      <c r="V649" s="235"/>
      <c r="W649" s="235"/>
      <c r="X649" s="235"/>
      <c r="Y649" s="235"/>
      <c r="Z649" s="235"/>
      <c r="AA649" s="235"/>
      <c r="AB649" s="235"/>
      <c r="AC649" s="235"/>
    </row>
    <row r="650">
      <c r="A650" s="194" t="s">
        <v>1430</v>
      </c>
      <c r="B650" s="193">
        <v>104466.0</v>
      </c>
      <c r="C650" s="192" t="s">
        <v>1431</v>
      </c>
      <c r="D650" s="192" t="s">
        <v>806</v>
      </c>
      <c r="E650" s="235"/>
      <c r="F650" s="235"/>
      <c r="G650" s="325"/>
      <c r="H650" s="235"/>
      <c r="I650" s="235"/>
      <c r="J650" s="235"/>
      <c r="K650" s="235"/>
      <c r="L650" s="235"/>
      <c r="M650" s="235"/>
      <c r="N650" s="235"/>
      <c r="O650" s="235"/>
      <c r="P650" s="235"/>
      <c r="Q650" s="235"/>
      <c r="R650" s="235"/>
      <c r="S650" s="235"/>
      <c r="T650" s="235"/>
      <c r="U650" s="235"/>
      <c r="V650" s="235"/>
      <c r="W650" s="235"/>
      <c r="X650" s="235"/>
      <c r="Y650" s="235"/>
      <c r="Z650" s="235"/>
      <c r="AA650" s="235"/>
      <c r="AB650" s="235"/>
      <c r="AC650" s="235"/>
    </row>
    <row r="651">
      <c r="A651" s="194" t="s">
        <v>992</v>
      </c>
      <c r="B651" s="193">
        <v>103522.0</v>
      </c>
      <c r="C651" s="192" t="s">
        <v>993</v>
      </c>
      <c r="D651" s="192" t="s">
        <v>198</v>
      </c>
      <c r="E651" s="235"/>
      <c r="F651" s="235"/>
      <c r="G651" s="325"/>
      <c r="H651" s="235"/>
      <c r="I651" s="235"/>
      <c r="J651" s="235"/>
      <c r="K651" s="235"/>
      <c r="L651" s="235"/>
      <c r="M651" s="235"/>
      <c r="N651" s="235"/>
      <c r="O651" s="235"/>
      <c r="P651" s="235"/>
      <c r="Q651" s="235"/>
      <c r="R651" s="235"/>
      <c r="S651" s="235"/>
      <c r="T651" s="235"/>
      <c r="U651" s="235"/>
      <c r="V651" s="235"/>
      <c r="W651" s="235"/>
      <c r="X651" s="235"/>
      <c r="Y651" s="235"/>
      <c r="Z651" s="235"/>
      <c r="AA651" s="235"/>
      <c r="AB651" s="235"/>
      <c r="AC651" s="235"/>
    </row>
    <row r="652">
      <c r="A652" s="194" t="s">
        <v>1202</v>
      </c>
      <c r="B652" s="193">
        <v>104075.0</v>
      </c>
      <c r="C652" s="192" t="s">
        <v>1203</v>
      </c>
      <c r="D652" s="192" t="s">
        <v>94</v>
      </c>
      <c r="E652" s="235"/>
      <c r="F652" s="235"/>
      <c r="G652" s="325"/>
      <c r="H652" s="235"/>
      <c r="I652" s="235"/>
      <c r="J652" s="235"/>
      <c r="K652" s="235"/>
      <c r="L652" s="235"/>
      <c r="M652" s="235"/>
      <c r="N652" s="235"/>
      <c r="O652" s="235"/>
      <c r="P652" s="235"/>
      <c r="Q652" s="235"/>
      <c r="R652" s="235"/>
      <c r="S652" s="235"/>
      <c r="T652" s="235"/>
      <c r="U652" s="235"/>
      <c r="V652" s="235"/>
      <c r="W652" s="235"/>
      <c r="X652" s="235"/>
      <c r="Y652" s="235"/>
      <c r="Z652" s="235"/>
      <c r="AA652" s="235"/>
      <c r="AB652" s="235"/>
      <c r="AC652" s="235"/>
    </row>
    <row r="653">
      <c r="A653" s="194" t="s">
        <v>1143</v>
      </c>
      <c r="B653" s="193">
        <v>103886.0</v>
      </c>
      <c r="C653" s="192" t="s">
        <v>1144</v>
      </c>
      <c r="D653" s="192" t="s">
        <v>398</v>
      </c>
      <c r="E653" s="235"/>
      <c r="F653" s="235"/>
      <c r="G653" s="325"/>
      <c r="H653" s="235"/>
      <c r="I653" s="235"/>
      <c r="J653" s="235"/>
      <c r="K653" s="235"/>
      <c r="L653" s="235"/>
      <c r="M653" s="235"/>
      <c r="N653" s="235"/>
      <c r="O653" s="235"/>
      <c r="P653" s="235"/>
      <c r="Q653" s="235"/>
      <c r="R653" s="235"/>
      <c r="S653" s="235"/>
      <c r="T653" s="235"/>
      <c r="U653" s="235"/>
      <c r="V653" s="235"/>
      <c r="W653" s="235"/>
      <c r="X653" s="235"/>
      <c r="Y653" s="235"/>
      <c r="Z653" s="235"/>
      <c r="AA653" s="235"/>
      <c r="AB653" s="235"/>
      <c r="AC653" s="235"/>
    </row>
    <row r="654">
      <c r="A654" s="194" t="s">
        <v>990</v>
      </c>
      <c r="B654" s="193">
        <v>103466.0</v>
      </c>
      <c r="C654" s="192" t="s">
        <v>991</v>
      </c>
      <c r="D654" s="192" t="s">
        <v>312</v>
      </c>
      <c r="E654" s="235"/>
      <c r="F654" s="235"/>
      <c r="G654" s="325"/>
      <c r="H654" s="235"/>
      <c r="I654" s="235"/>
      <c r="J654" s="235"/>
      <c r="K654" s="235"/>
      <c r="L654" s="235"/>
      <c r="M654" s="235"/>
      <c r="N654" s="235"/>
      <c r="O654" s="235"/>
      <c r="P654" s="235"/>
      <c r="Q654" s="235"/>
      <c r="R654" s="235"/>
      <c r="S654" s="235"/>
      <c r="T654" s="235"/>
      <c r="U654" s="235"/>
      <c r="V654" s="235"/>
      <c r="W654" s="235"/>
      <c r="X654" s="235"/>
      <c r="Y654" s="235"/>
      <c r="Z654" s="235"/>
      <c r="AA654" s="235"/>
      <c r="AB654" s="235"/>
      <c r="AC654" s="235"/>
    </row>
    <row r="655">
      <c r="A655" s="194" t="s">
        <v>982</v>
      </c>
      <c r="B655" s="193">
        <v>103363.0</v>
      </c>
      <c r="C655" s="192" t="s">
        <v>983</v>
      </c>
      <c r="D655" s="192" t="s">
        <v>625</v>
      </c>
      <c r="E655" s="235"/>
      <c r="F655" s="235"/>
      <c r="G655" s="325"/>
      <c r="H655" s="235"/>
      <c r="I655" s="235"/>
      <c r="J655" s="235"/>
      <c r="K655" s="235"/>
      <c r="L655" s="235"/>
      <c r="M655" s="235"/>
      <c r="N655" s="235"/>
      <c r="O655" s="235"/>
      <c r="P655" s="235"/>
      <c r="Q655" s="235"/>
      <c r="R655" s="235"/>
      <c r="S655" s="235"/>
      <c r="T655" s="235"/>
      <c r="U655" s="235"/>
      <c r="V655" s="235"/>
      <c r="W655" s="235"/>
      <c r="X655" s="235"/>
      <c r="Y655" s="235"/>
      <c r="Z655" s="235"/>
      <c r="AA655" s="235"/>
      <c r="AB655" s="235"/>
      <c r="AC655" s="235"/>
    </row>
    <row r="656">
      <c r="A656" s="194" t="s">
        <v>1013</v>
      </c>
      <c r="B656" s="193">
        <v>103544.0</v>
      </c>
      <c r="C656" s="192" t="s">
        <v>1014</v>
      </c>
      <c r="D656" s="192" t="s">
        <v>295</v>
      </c>
      <c r="E656" s="235"/>
      <c r="F656" s="235"/>
      <c r="G656" s="325"/>
      <c r="H656" s="235"/>
      <c r="I656" s="235"/>
      <c r="J656" s="235"/>
      <c r="K656" s="235"/>
      <c r="L656" s="235"/>
      <c r="M656" s="235"/>
      <c r="N656" s="235"/>
      <c r="O656" s="235"/>
      <c r="P656" s="235"/>
      <c r="Q656" s="235"/>
      <c r="R656" s="235"/>
      <c r="S656" s="235"/>
      <c r="T656" s="235"/>
      <c r="U656" s="235"/>
      <c r="V656" s="235"/>
      <c r="W656" s="235"/>
      <c r="X656" s="235"/>
      <c r="Y656" s="235"/>
      <c r="Z656" s="235"/>
      <c r="AA656" s="235"/>
      <c r="AB656" s="235"/>
      <c r="AC656" s="235"/>
    </row>
    <row r="657">
      <c r="A657" s="194" t="s">
        <v>1052</v>
      </c>
      <c r="B657" s="193">
        <v>103694.0</v>
      </c>
      <c r="C657" s="192" t="s">
        <v>1053</v>
      </c>
      <c r="D657" s="192" t="s">
        <v>1054</v>
      </c>
      <c r="E657" s="235"/>
      <c r="F657" s="235"/>
      <c r="G657" s="325"/>
      <c r="H657" s="235"/>
      <c r="I657" s="235"/>
      <c r="J657" s="235"/>
      <c r="K657" s="235"/>
      <c r="L657" s="235"/>
      <c r="M657" s="235"/>
      <c r="N657" s="235"/>
      <c r="O657" s="235"/>
      <c r="P657" s="235"/>
      <c r="Q657" s="235"/>
      <c r="R657" s="235"/>
      <c r="S657" s="235"/>
      <c r="T657" s="235"/>
      <c r="U657" s="235"/>
      <c r="V657" s="235"/>
      <c r="W657" s="235"/>
      <c r="X657" s="235"/>
      <c r="Y657" s="235"/>
      <c r="Z657" s="235"/>
      <c r="AA657" s="235"/>
      <c r="AB657" s="235"/>
      <c r="AC657" s="235"/>
    </row>
    <row r="658">
      <c r="A658" s="194" t="s">
        <v>1172</v>
      </c>
      <c r="B658" s="193">
        <v>103926.0</v>
      </c>
      <c r="C658" s="192" t="s">
        <v>1173</v>
      </c>
      <c r="D658" s="192" t="s">
        <v>1174</v>
      </c>
      <c r="E658" s="235"/>
      <c r="F658" s="235"/>
      <c r="G658" s="325"/>
      <c r="H658" s="235"/>
      <c r="I658" s="235"/>
      <c r="J658" s="235"/>
      <c r="K658" s="235"/>
      <c r="L658" s="235"/>
      <c r="M658" s="235"/>
      <c r="N658" s="235"/>
      <c r="O658" s="235"/>
      <c r="P658" s="235"/>
      <c r="Q658" s="235"/>
      <c r="R658" s="235"/>
      <c r="S658" s="235"/>
      <c r="T658" s="235"/>
      <c r="U658" s="235"/>
      <c r="V658" s="235"/>
      <c r="W658" s="235"/>
      <c r="X658" s="235"/>
      <c r="Y658" s="235"/>
      <c r="Z658" s="235"/>
      <c r="AA658" s="235"/>
      <c r="AB658" s="235"/>
      <c r="AC658" s="235"/>
    </row>
    <row r="659">
      <c r="A659" s="194" t="s">
        <v>1235</v>
      </c>
      <c r="B659" s="193">
        <v>104137.0</v>
      </c>
      <c r="C659" s="192" t="s">
        <v>1236</v>
      </c>
      <c r="D659" s="192" t="s">
        <v>767</v>
      </c>
      <c r="E659" s="235"/>
      <c r="F659" s="235"/>
      <c r="G659" s="325"/>
      <c r="H659" s="235"/>
      <c r="I659" s="235"/>
      <c r="J659" s="235"/>
      <c r="K659" s="235"/>
      <c r="L659" s="235"/>
      <c r="M659" s="235"/>
      <c r="N659" s="235"/>
      <c r="O659" s="235"/>
      <c r="P659" s="235"/>
      <c r="Q659" s="235"/>
      <c r="R659" s="235"/>
      <c r="S659" s="235"/>
      <c r="T659" s="235"/>
      <c r="U659" s="235"/>
      <c r="V659" s="235"/>
      <c r="W659" s="235"/>
      <c r="X659" s="235"/>
      <c r="Y659" s="235"/>
      <c r="Z659" s="235"/>
      <c r="AA659" s="235"/>
      <c r="AB659" s="235"/>
      <c r="AC659" s="235"/>
    </row>
    <row r="660">
      <c r="A660" s="194" t="s">
        <v>1237</v>
      </c>
      <c r="B660" s="193">
        <v>104139.0</v>
      </c>
      <c r="C660" s="192" t="s">
        <v>1238</v>
      </c>
      <c r="D660" s="192" t="s">
        <v>247</v>
      </c>
      <c r="E660" s="235"/>
      <c r="F660" s="235"/>
      <c r="G660" s="325"/>
      <c r="H660" s="235"/>
      <c r="I660" s="235"/>
      <c r="J660" s="235"/>
      <c r="K660" s="235"/>
      <c r="L660" s="235"/>
      <c r="M660" s="235"/>
      <c r="N660" s="235"/>
      <c r="O660" s="235"/>
      <c r="P660" s="235"/>
      <c r="Q660" s="235"/>
      <c r="R660" s="235"/>
      <c r="S660" s="235"/>
      <c r="T660" s="235"/>
      <c r="U660" s="235"/>
      <c r="V660" s="235"/>
      <c r="W660" s="235"/>
      <c r="X660" s="235"/>
      <c r="Y660" s="235"/>
      <c r="Z660" s="235"/>
      <c r="AA660" s="235"/>
      <c r="AB660" s="235"/>
      <c r="AC660" s="235"/>
    </row>
    <row r="661">
      <c r="A661" s="194" t="s">
        <v>1239</v>
      </c>
      <c r="B661" s="193">
        <v>104140.0</v>
      </c>
      <c r="C661" s="192" t="s">
        <v>1240</v>
      </c>
      <c r="D661" s="192" t="s">
        <v>247</v>
      </c>
      <c r="E661" s="235"/>
      <c r="F661" s="235"/>
      <c r="G661" s="325"/>
      <c r="H661" s="235"/>
      <c r="I661" s="235"/>
      <c r="J661" s="235"/>
      <c r="K661" s="235"/>
      <c r="L661" s="235"/>
      <c r="M661" s="235"/>
      <c r="N661" s="235"/>
      <c r="O661" s="235"/>
      <c r="P661" s="235"/>
      <c r="Q661" s="235"/>
      <c r="R661" s="235"/>
      <c r="S661" s="235"/>
      <c r="T661" s="235"/>
      <c r="U661" s="235"/>
      <c r="V661" s="235"/>
      <c r="W661" s="235"/>
      <c r="X661" s="235"/>
      <c r="Y661" s="235"/>
      <c r="Z661" s="235"/>
      <c r="AA661" s="235"/>
      <c r="AB661" s="235"/>
      <c r="AC661" s="235"/>
    </row>
    <row r="662">
      <c r="A662" s="194" t="s">
        <v>1227</v>
      </c>
      <c r="B662" s="193">
        <v>104135.0</v>
      </c>
      <c r="C662" s="192" t="s">
        <v>1228</v>
      </c>
      <c r="D662" s="192" t="s">
        <v>767</v>
      </c>
      <c r="E662" s="235"/>
      <c r="F662" s="235"/>
      <c r="G662" s="325"/>
      <c r="H662" s="235"/>
      <c r="I662" s="235"/>
      <c r="J662" s="235"/>
      <c r="K662" s="235"/>
      <c r="L662" s="235"/>
      <c r="M662" s="235"/>
      <c r="N662" s="235"/>
      <c r="O662" s="235"/>
      <c r="P662" s="235"/>
      <c r="Q662" s="235"/>
      <c r="R662" s="235"/>
      <c r="S662" s="235"/>
      <c r="T662" s="235"/>
      <c r="U662" s="235"/>
      <c r="V662" s="235"/>
      <c r="W662" s="235"/>
      <c r="X662" s="235"/>
      <c r="Y662" s="235"/>
      <c r="Z662" s="235"/>
      <c r="AA662" s="235"/>
      <c r="AB662" s="235"/>
      <c r="AC662" s="235"/>
    </row>
    <row r="663">
      <c r="A663" s="194" t="s">
        <v>1243</v>
      </c>
      <c r="B663" s="193">
        <v>104138.0</v>
      </c>
      <c r="C663" s="192" t="s">
        <v>1236</v>
      </c>
      <c r="D663" s="192" t="s">
        <v>767</v>
      </c>
      <c r="E663" s="235"/>
      <c r="F663" s="235"/>
      <c r="G663" s="325"/>
      <c r="H663" s="235"/>
      <c r="I663" s="235"/>
      <c r="J663" s="235"/>
      <c r="K663" s="235"/>
      <c r="L663" s="235"/>
      <c r="M663" s="235"/>
      <c r="N663" s="235"/>
      <c r="O663" s="235"/>
      <c r="P663" s="235"/>
      <c r="Q663" s="235"/>
      <c r="R663" s="235"/>
      <c r="S663" s="235"/>
      <c r="T663" s="235"/>
      <c r="U663" s="235"/>
      <c r="V663" s="235"/>
      <c r="W663" s="235"/>
      <c r="X663" s="235"/>
      <c r="Y663" s="235"/>
      <c r="Z663" s="235"/>
      <c r="AA663" s="235"/>
      <c r="AB663" s="235"/>
      <c r="AC663" s="235"/>
    </row>
    <row r="664">
      <c r="A664" s="194" t="s">
        <v>1244</v>
      </c>
      <c r="B664" s="193">
        <v>104136.0</v>
      </c>
      <c r="C664" s="192" t="s">
        <v>1245</v>
      </c>
      <c r="D664" s="192" t="s">
        <v>767</v>
      </c>
      <c r="E664" s="235"/>
      <c r="F664" s="235"/>
      <c r="G664" s="325"/>
      <c r="H664" s="235"/>
      <c r="I664" s="235"/>
      <c r="J664" s="235"/>
      <c r="K664" s="235"/>
      <c r="L664" s="235"/>
      <c r="M664" s="235"/>
      <c r="N664" s="235"/>
      <c r="O664" s="235"/>
      <c r="P664" s="235"/>
      <c r="Q664" s="235"/>
      <c r="R664" s="235"/>
      <c r="S664" s="235"/>
      <c r="T664" s="235"/>
      <c r="U664" s="235"/>
      <c r="V664" s="235"/>
      <c r="W664" s="235"/>
      <c r="X664" s="235"/>
      <c r="Y664" s="235"/>
      <c r="Z664" s="235"/>
      <c r="AA664" s="235"/>
      <c r="AB664" s="235"/>
      <c r="AC664" s="235"/>
    </row>
    <row r="665">
      <c r="A665" s="194" t="s">
        <v>984</v>
      </c>
      <c r="B665" s="193">
        <v>103368.0</v>
      </c>
      <c r="C665" s="192" t="s">
        <v>985</v>
      </c>
      <c r="D665" s="192" t="s">
        <v>107</v>
      </c>
      <c r="E665" s="235"/>
      <c r="F665" s="235"/>
      <c r="G665" s="325"/>
      <c r="H665" s="235"/>
      <c r="I665" s="235"/>
      <c r="J665" s="235"/>
      <c r="K665" s="235"/>
      <c r="L665" s="235"/>
      <c r="M665" s="235"/>
      <c r="N665" s="235"/>
      <c r="O665" s="235"/>
      <c r="P665" s="235"/>
      <c r="Q665" s="235"/>
      <c r="R665" s="235"/>
      <c r="S665" s="235"/>
      <c r="T665" s="235"/>
      <c r="U665" s="235"/>
      <c r="V665" s="235"/>
      <c r="W665" s="235"/>
      <c r="X665" s="235"/>
      <c r="Y665" s="235"/>
      <c r="Z665" s="235"/>
      <c r="AA665" s="235"/>
      <c r="AB665" s="235"/>
      <c r="AC665" s="235"/>
    </row>
    <row r="666">
      <c r="A666" s="194" t="s">
        <v>1350</v>
      </c>
      <c r="B666" s="193">
        <v>104308.0</v>
      </c>
      <c r="C666" s="192" t="s">
        <v>1349</v>
      </c>
      <c r="D666" s="192" t="s">
        <v>94</v>
      </c>
      <c r="E666" s="235"/>
      <c r="F666" s="235"/>
      <c r="G666" s="325"/>
      <c r="H666" s="235"/>
      <c r="I666" s="235"/>
      <c r="J666" s="235"/>
      <c r="K666" s="235"/>
      <c r="L666" s="235"/>
      <c r="M666" s="235"/>
      <c r="N666" s="235"/>
      <c r="O666" s="235"/>
      <c r="P666" s="235"/>
      <c r="Q666" s="235"/>
      <c r="R666" s="235"/>
      <c r="S666" s="235"/>
      <c r="T666" s="235"/>
      <c r="U666" s="235"/>
      <c r="V666" s="235"/>
      <c r="W666" s="235"/>
      <c r="X666" s="235"/>
      <c r="Y666" s="235"/>
      <c r="Z666" s="235"/>
      <c r="AA666" s="235"/>
      <c r="AB666" s="235"/>
      <c r="AC666" s="235"/>
    </row>
    <row r="667">
      <c r="A667" s="194" t="s">
        <v>1346</v>
      </c>
      <c r="B667" s="193">
        <v>104313.0</v>
      </c>
      <c r="C667" s="192" t="s">
        <v>1347</v>
      </c>
      <c r="D667" s="192" t="s">
        <v>295</v>
      </c>
      <c r="E667" s="235"/>
      <c r="F667" s="235"/>
      <c r="G667" s="325"/>
      <c r="H667" s="235"/>
      <c r="I667" s="235"/>
      <c r="J667" s="235"/>
      <c r="K667" s="235"/>
      <c r="L667" s="235"/>
      <c r="M667" s="235"/>
      <c r="N667" s="235"/>
      <c r="O667" s="235"/>
      <c r="P667" s="235"/>
      <c r="Q667" s="235"/>
      <c r="R667" s="235"/>
      <c r="S667" s="235"/>
      <c r="T667" s="235"/>
      <c r="U667" s="235"/>
      <c r="V667" s="235"/>
      <c r="W667" s="235"/>
      <c r="X667" s="235"/>
      <c r="Y667" s="235"/>
      <c r="Z667" s="235"/>
      <c r="AA667" s="235"/>
      <c r="AB667" s="235"/>
      <c r="AC667" s="235"/>
    </row>
    <row r="668">
      <c r="A668" s="194" t="s">
        <v>1348</v>
      </c>
      <c r="B668" s="193">
        <v>104308.0</v>
      </c>
      <c r="C668" s="192" t="s">
        <v>1349</v>
      </c>
      <c r="D668" s="192" t="s">
        <v>295</v>
      </c>
      <c r="E668" s="235"/>
      <c r="F668" s="235"/>
      <c r="G668" s="325"/>
      <c r="H668" s="235"/>
      <c r="I668" s="235"/>
      <c r="J668" s="235"/>
      <c r="K668" s="235"/>
      <c r="L668" s="235"/>
      <c r="M668" s="235"/>
      <c r="N668" s="235"/>
      <c r="O668" s="235"/>
      <c r="P668" s="235"/>
      <c r="Q668" s="235"/>
      <c r="R668" s="235"/>
      <c r="S668" s="235"/>
      <c r="T668" s="235"/>
      <c r="U668" s="235"/>
      <c r="V668" s="235"/>
      <c r="W668" s="235"/>
      <c r="X668" s="235"/>
      <c r="Y668" s="235"/>
      <c r="Z668" s="235"/>
      <c r="AA668" s="235"/>
      <c r="AB668" s="235"/>
      <c r="AC668" s="235"/>
    </row>
    <row r="669">
      <c r="A669" s="194" t="s">
        <v>1422</v>
      </c>
      <c r="B669" s="193">
        <v>104484.0</v>
      </c>
      <c r="C669" s="192" t="s">
        <v>1423</v>
      </c>
      <c r="D669" s="192" t="s">
        <v>295</v>
      </c>
      <c r="E669" s="235"/>
      <c r="F669" s="235"/>
      <c r="G669" s="325"/>
      <c r="H669" s="235"/>
      <c r="I669" s="235"/>
      <c r="J669" s="235"/>
      <c r="K669" s="235"/>
      <c r="L669" s="235"/>
      <c r="M669" s="235"/>
      <c r="N669" s="235"/>
      <c r="O669" s="235"/>
      <c r="P669" s="235"/>
      <c r="Q669" s="235"/>
      <c r="R669" s="235"/>
      <c r="S669" s="235"/>
      <c r="T669" s="235"/>
      <c r="U669" s="235"/>
      <c r="V669" s="235"/>
      <c r="W669" s="235"/>
      <c r="X669" s="235"/>
      <c r="Y669" s="235"/>
      <c r="Z669" s="235"/>
      <c r="AA669" s="235"/>
      <c r="AB669" s="235"/>
      <c r="AC669" s="235"/>
    </row>
    <row r="670">
      <c r="A670" s="194" t="s">
        <v>1395</v>
      </c>
      <c r="B670" s="193">
        <v>104312.0</v>
      </c>
      <c r="C670" s="192" t="s">
        <v>1396</v>
      </c>
      <c r="D670" s="192" t="s">
        <v>295</v>
      </c>
      <c r="E670" s="235"/>
      <c r="F670" s="235"/>
      <c r="G670" s="325"/>
      <c r="H670" s="235"/>
      <c r="I670" s="235"/>
      <c r="J670" s="235"/>
      <c r="K670" s="235"/>
      <c r="L670" s="235"/>
      <c r="M670" s="235"/>
      <c r="N670" s="235"/>
      <c r="O670" s="235"/>
      <c r="P670" s="235"/>
      <c r="Q670" s="235"/>
      <c r="R670" s="235"/>
      <c r="S670" s="235"/>
      <c r="T670" s="235"/>
      <c r="U670" s="235"/>
      <c r="V670" s="235"/>
      <c r="W670" s="235"/>
      <c r="X670" s="235"/>
      <c r="Y670" s="235"/>
      <c r="Z670" s="235"/>
      <c r="AA670" s="235"/>
      <c r="AB670" s="235"/>
      <c r="AC670" s="235"/>
    </row>
    <row r="671">
      <c r="A671" s="194" t="s">
        <v>1418</v>
      </c>
      <c r="B671" s="193">
        <v>104309.0</v>
      </c>
      <c r="C671" s="192" t="s">
        <v>1419</v>
      </c>
      <c r="D671" s="192" t="s">
        <v>360</v>
      </c>
      <c r="E671" s="235"/>
      <c r="F671" s="235"/>
      <c r="G671" s="325"/>
      <c r="H671" s="235"/>
      <c r="I671" s="235"/>
      <c r="J671" s="235"/>
      <c r="K671" s="235"/>
      <c r="L671" s="235"/>
      <c r="M671" s="235"/>
      <c r="N671" s="235"/>
      <c r="O671" s="235"/>
      <c r="P671" s="235"/>
      <c r="Q671" s="235"/>
      <c r="R671" s="235"/>
      <c r="S671" s="235"/>
      <c r="T671" s="235"/>
      <c r="U671" s="235"/>
      <c r="V671" s="235"/>
      <c r="W671" s="235"/>
      <c r="X671" s="235"/>
      <c r="Y671" s="235"/>
      <c r="Z671" s="235"/>
      <c r="AA671" s="235"/>
      <c r="AB671" s="235"/>
      <c r="AC671" s="235"/>
    </row>
    <row r="672">
      <c r="A672" s="194" t="s">
        <v>1393</v>
      </c>
      <c r="B672" s="193">
        <v>104383.0</v>
      </c>
      <c r="C672" s="192" t="s">
        <v>1394</v>
      </c>
      <c r="D672" s="192" t="s">
        <v>87</v>
      </c>
      <c r="E672" s="235"/>
      <c r="F672" s="235"/>
      <c r="G672" s="325"/>
      <c r="H672" s="235"/>
      <c r="I672" s="235"/>
      <c r="J672" s="235"/>
      <c r="K672" s="235"/>
      <c r="L672" s="235"/>
      <c r="M672" s="235"/>
      <c r="N672" s="235"/>
      <c r="O672" s="235"/>
      <c r="P672" s="235"/>
      <c r="Q672" s="235"/>
      <c r="R672" s="235"/>
      <c r="S672" s="235"/>
      <c r="T672" s="235"/>
      <c r="U672" s="235"/>
      <c r="V672" s="235"/>
      <c r="W672" s="235"/>
      <c r="X672" s="235"/>
      <c r="Y672" s="235"/>
      <c r="Z672" s="235"/>
      <c r="AA672" s="235"/>
      <c r="AB672" s="235"/>
      <c r="AC672" s="235"/>
    </row>
    <row r="673">
      <c r="A673" s="194" t="s">
        <v>1497</v>
      </c>
      <c r="B673" s="193">
        <v>104649.0</v>
      </c>
      <c r="C673" s="192" t="s">
        <v>1498</v>
      </c>
      <c r="D673" s="192" t="s">
        <v>209</v>
      </c>
      <c r="E673" s="235"/>
      <c r="F673" s="235"/>
      <c r="G673" s="325"/>
      <c r="H673" s="235"/>
      <c r="I673" s="235"/>
      <c r="J673" s="235"/>
      <c r="K673" s="235"/>
      <c r="L673" s="235"/>
      <c r="M673" s="235"/>
      <c r="N673" s="235"/>
      <c r="O673" s="235"/>
      <c r="P673" s="235"/>
      <c r="Q673" s="235"/>
      <c r="R673" s="235"/>
      <c r="S673" s="235"/>
      <c r="T673" s="235"/>
      <c r="U673" s="235"/>
      <c r="V673" s="235"/>
      <c r="W673" s="235"/>
      <c r="X673" s="235"/>
      <c r="Y673" s="235"/>
      <c r="Z673" s="235"/>
      <c r="AA673" s="235"/>
      <c r="AB673" s="235"/>
      <c r="AC673" s="235"/>
    </row>
    <row r="674">
      <c r="A674" s="194" t="s">
        <v>1456</v>
      </c>
      <c r="B674" s="193">
        <v>104540.0</v>
      </c>
      <c r="C674" s="192" t="s">
        <v>1457</v>
      </c>
      <c r="D674" s="192" t="s">
        <v>1140</v>
      </c>
      <c r="E674" s="235"/>
      <c r="F674" s="235"/>
      <c r="G674" s="325"/>
      <c r="H674" s="235"/>
      <c r="I674" s="235"/>
      <c r="J674" s="235"/>
      <c r="K674" s="235"/>
      <c r="L674" s="235"/>
      <c r="M674" s="235"/>
      <c r="N674" s="235"/>
      <c r="O674" s="235"/>
      <c r="P674" s="235"/>
      <c r="Q674" s="235"/>
      <c r="R674" s="235"/>
      <c r="S674" s="235"/>
      <c r="T674" s="235"/>
      <c r="U674" s="235"/>
      <c r="V674" s="235"/>
      <c r="W674" s="235"/>
      <c r="X674" s="235"/>
      <c r="Y674" s="235"/>
      <c r="Z674" s="235"/>
      <c r="AA674" s="235"/>
      <c r="AB674" s="235"/>
      <c r="AC674" s="235"/>
    </row>
    <row r="675">
      <c r="A675" s="194" t="s">
        <v>1195</v>
      </c>
      <c r="B675" s="193">
        <v>104083.0</v>
      </c>
      <c r="C675" s="192" t="s">
        <v>1196</v>
      </c>
      <c r="D675" s="192" t="s">
        <v>87</v>
      </c>
      <c r="E675" s="235"/>
      <c r="F675" s="235"/>
      <c r="G675" s="325"/>
      <c r="H675" s="235"/>
      <c r="I675" s="235"/>
      <c r="J675" s="235"/>
      <c r="K675" s="235"/>
      <c r="L675" s="235"/>
      <c r="M675" s="235"/>
      <c r="N675" s="235"/>
      <c r="O675" s="235"/>
      <c r="P675" s="235"/>
      <c r="Q675" s="235"/>
      <c r="R675" s="235"/>
      <c r="S675" s="235"/>
      <c r="T675" s="235"/>
      <c r="U675" s="235"/>
      <c r="V675" s="235"/>
      <c r="W675" s="235"/>
      <c r="X675" s="235"/>
      <c r="Y675" s="235"/>
      <c r="Z675" s="235"/>
      <c r="AA675" s="235"/>
      <c r="AB675" s="235"/>
      <c r="AC675" s="235"/>
    </row>
    <row r="676">
      <c r="A676" s="194" t="s">
        <v>1482</v>
      </c>
      <c r="B676" s="193">
        <v>104616.0</v>
      </c>
      <c r="C676" s="192" t="s">
        <v>1483</v>
      </c>
      <c r="D676" s="192" t="s">
        <v>1140</v>
      </c>
      <c r="E676" s="235"/>
      <c r="F676" s="235"/>
      <c r="G676" s="325"/>
      <c r="H676" s="235"/>
      <c r="I676" s="235"/>
      <c r="J676" s="235"/>
      <c r="K676" s="235"/>
      <c r="L676" s="235"/>
      <c r="M676" s="235"/>
      <c r="N676" s="235"/>
      <c r="O676" s="235"/>
      <c r="P676" s="235"/>
      <c r="Q676" s="235"/>
      <c r="R676" s="235"/>
      <c r="S676" s="235"/>
      <c r="T676" s="235"/>
      <c r="U676" s="235"/>
      <c r="V676" s="235"/>
      <c r="W676" s="235"/>
      <c r="X676" s="235"/>
      <c r="Y676" s="235"/>
      <c r="Z676" s="235"/>
      <c r="AA676" s="235"/>
      <c r="AB676" s="235"/>
      <c r="AC676" s="235"/>
    </row>
    <row r="677">
      <c r="A677" s="194" t="s">
        <v>1491</v>
      </c>
      <c r="B677" s="193">
        <v>104585.0</v>
      </c>
      <c r="C677" s="192" t="s">
        <v>1492</v>
      </c>
      <c r="D677" s="192" t="s">
        <v>254</v>
      </c>
      <c r="E677" s="235"/>
      <c r="F677" s="235"/>
      <c r="G677" s="325"/>
      <c r="H677" s="235"/>
      <c r="I677" s="235"/>
      <c r="J677" s="235"/>
      <c r="K677" s="235"/>
      <c r="L677" s="235"/>
      <c r="M677" s="235"/>
      <c r="N677" s="235"/>
      <c r="O677" s="235"/>
      <c r="P677" s="235"/>
      <c r="Q677" s="235"/>
      <c r="R677" s="235"/>
      <c r="S677" s="235"/>
      <c r="T677" s="235"/>
      <c r="U677" s="235"/>
      <c r="V677" s="235"/>
      <c r="W677" s="235"/>
      <c r="X677" s="235"/>
      <c r="Y677" s="235"/>
      <c r="Z677" s="235"/>
      <c r="AA677" s="235"/>
      <c r="AB677" s="235"/>
      <c r="AC677" s="235"/>
    </row>
    <row r="678">
      <c r="A678" s="194" t="s">
        <v>1019</v>
      </c>
      <c r="B678" s="193">
        <v>103620.0</v>
      </c>
      <c r="C678" s="192" t="s">
        <v>1020</v>
      </c>
      <c r="D678" s="192" t="s">
        <v>625</v>
      </c>
      <c r="E678" s="235"/>
      <c r="F678" s="235"/>
      <c r="G678" s="325"/>
      <c r="H678" s="235"/>
      <c r="I678" s="235"/>
      <c r="J678" s="235"/>
      <c r="K678" s="235"/>
      <c r="L678" s="235"/>
      <c r="M678" s="235"/>
      <c r="N678" s="235"/>
      <c r="O678" s="235"/>
      <c r="P678" s="235"/>
      <c r="Q678" s="235"/>
      <c r="R678" s="235"/>
      <c r="S678" s="235"/>
      <c r="T678" s="235"/>
      <c r="U678" s="235"/>
      <c r="V678" s="235"/>
      <c r="W678" s="235"/>
      <c r="X678" s="235"/>
      <c r="Y678" s="235"/>
      <c r="Z678" s="235"/>
      <c r="AA678" s="235"/>
      <c r="AB678" s="235"/>
      <c r="AC678" s="235"/>
    </row>
    <row r="679">
      <c r="A679" s="194" t="s">
        <v>1464</v>
      </c>
      <c r="B679" s="193">
        <v>104544.0</v>
      </c>
      <c r="C679" s="192" t="s">
        <v>1465</v>
      </c>
      <c r="D679" s="192" t="s">
        <v>265</v>
      </c>
      <c r="E679" s="235"/>
      <c r="F679" s="235"/>
      <c r="G679" s="325"/>
      <c r="H679" s="235"/>
      <c r="I679" s="235"/>
      <c r="J679" s="235"/>
      <c r="K679" s="235"/>
      <c r="L679" s="235"/>
      <c r="M679" s="235"/>
      <c r="N679" s="235"/>
      <c r="O679" s="235"/>
      <c r="P679" s="235"/>
      <c r="Q679" s="235"/>
      <c r="R679" s="235"/>
      <c r="S679" s="235"/>
      <c r="T679" s="235"/>
      <c r="U679" s="235"/>
      <c r="V679" s="235"/>
      <c r="W679" s="235"/>
      <c r="X679" s="235"/>
      <c r="Y679" s="235"/>
      <c r="Z679" s="235"/>
      <c r="AA679" s="235"/>
      <c r="AB679" s="235"/>
      <c r="AC679" s="235"/>
    </row>
    <row r="680">
      <c r="A680" s="194" t="s">
        <v>1486</v>
      </c>
      <c r="B680" s="193">
        <v>104648.0</v>
      </c>
      <c r="C680" s="192" t="s">
        <v>1487</v>
      </c>
      <c r="D680" s="192" t="s">
        <v>1140</v>
      </c>
      <c r="E680" s="235"/>
      <c r="F680" s="235"/>
      <c r="G680" s="325"/>
      <c r="H680" s="235"/>
      <c r="I680" s="235"/>
      <c r="J680" s="235"/>
      <c r="K680" s="235"/>
      <c r="L680" s="235"/>
      <c r="M680" s="235"/>
      <c r="N680" s="235"/>
      <c r="O680" s="235"/>
      <c r="P680" s="235"/>
      <c r="Q680" s="235"/>
      <c r="R680" s="235"/>
      <c r="S680" s="235"/>
      <c r="T680" s="235"/>
      <c r="U680" s="235"/>
      <c r="V680" s="235"/>
      <c r="W680" s="235"/>
      <c r="X680" s="235"/>
      <c r="Y680" s="235"/>
      <c r="Z680" s="235"/>
      <c r="AA680" s="235"/>
      <c r="AB680" s="235"/>
      <c r="AC680" s="235"/>
    </row>
    <row r="681">
      <c r="A681" s="194" t="s">
        <v>1488</v>
      </c>
      <c r="B681" s="193">
        <v>104667.0</v>
      </c>
      <c r="C681" s="192" t="s">
        <v>1489</v>
      </c>
      <c r="D681" s="192" t="s">
        <v>1140</v>
      </c>
      <c r="E681" s="235"/>
      <c r="F681" s="235"/>
      <c r="G681" s="325"/>
      <c r="H681" s="235"/>
      <c r="I681" s="235"/>
      <c r="J681" s="235"/>
      <c r="K681" s="235"/>
      <c r="L681" s="235"/>
      <c r="M681" s="235"/>
      <c r="N681" s="235"/>
      <c r="O681" s="235"/>
      <c r="P681" s="235"/>
      <c r="Q681" s="235"/>
      <c r="R681" s="235"/>
      <c r="S681" s="235"/>
      <c r="T681" s="235"/>
      <c r="U681" s="235"/>
      <c r="V681" s="235"/>
      <c r="W681" s="235"/>
      <c r="X681" s="235"/>
      <c r="Y681" s="235"/>
      <c r="Z681" s="235"/>
      <c r="AA681" s="235"/>
      <c r="AB681" s="235"/>
      <c r="AC681" s="235"/>
    </row>
    <row r="682">
      <c r="A682" s="194" t="s">
        <v>1029</v>
      </c>
      <c r="B682" s="193">
        <v>103672.0</v>
      </c>
      <c r="C682" s="192" t="s">
        <v>1030</v>
      </c>
      <c r="D682" s="192" t="s">
        <v>625</v>
      </c>
      <c r="E682" s="235"/>
      <c r="F682" s="235"/>
      <c r="G682" s="325"/>
      <c r="H682" s="235"/>
      <c r="I682" s="235"/>
      <c r="J682" s="235"/>
      <c r="K682" s="235"/>
      <c r="L682" s="235"/>
      <c r="M682" s="235"/>
      <c r="N682" s="235"/>
      <c r="O682" s="235"/>
      <c r="P682" s="235"/>
      <c r="Q682" s="235"/>
      <c r="R682" s="235"/>
      <c r="S682" s="235"/>
      <c r="T682" s="235"/>
      <c r="U682" s="235"/>
      <c r="V682" s="235"/>
      <c r="W682" s="235"/>
      <c r="X682" s="235"/>
      <c r="Y682" s="235"/>
      <c r="Z682" s="235"/>
      <c r="AA682" s="235"/>
      <c r="AB682" s="235"/>
      <c r="AC682" s="235"/>
    </row>
    <row r="683">
      <c r="A683" s="194" t="s">
        <v>1339</v>
      </c>
      <c r="B683" s="193">
        <v>104266.0</v>
      </c>
      <c r="C683" s="192" t="s">
        <v>1340</v>
      </c>
      <c r="D683" s="192" t="s">
        <v>1338</v>
      </c>
      <c r="E683" s="235"/>
      <c r="F683" s="235"/>
      <c r="G683" s="325"/>
      <c r="H683" s="235"/>
      <c r="I683" s="235"/>
      <c r="J683" s="235"/>
      <c r="K683" s="235"/>
      <c r="L683" s="235"/>
      <c r="M683" s="235"/>
      <c r="N683" s="235"/>
      <c r="O683" s="235"/>
      <c r="P683" s="235"/>
      <c r="Q683" s="235"/>
      <c r="R683" s="235"/>
      <c r="S683" s="235"/>
      <c r="T683" s="235"/>
      <c r="U683" s="235"/>
      <c r="V683" s="235"/>
      <c r="W683" s="235"/>
      <c r="X683" s="235"/>
      <c r="Y683" s="235"/>
      <c r="Z683" s="235"/>
      <c r="AA683" s="235"/>
      <c r="AB683" s="235"/>
      <c r="AC683" s="235"/>
    </row>
    <row r="684">
      <c r="A684" s="194" t="s">
        <v>1409</v>
      </c>
      <c r="B684" s="193">
        <v>104426.0</v>
      </c>
      <c r="C684" s="192" t="s">
        <v>1410</v>
      </c>
      <c r="D684" s="192" t="s">
        <v>806</v>
      </c>
      <c r="E684" s="235"/>
      <c r="F684" s="235"/>
      <c r="G684" s="325"/>
      <c r="H684" s="235"/>
      <c r="I684" s="235"/>
      <c r="J684" s="235"/>
      <c r="K684" s="235"/>
      <c r="L684" s="235"/>
      <c r="M684" s="235"/>
      <c r="N684" s="235"/>
      <c r="O684" s="235"/>
      <c r="P684" s="235"/>
      <c r="Q684" s="235"/>
      <c r="R684" s="235"/>
      <c r="S684" s="235"/>
      <c r="T684" s="235"/>
      <c r="U684" s="235"/>
      <c r="V684" s="235"/>
      <c r="W684" s="235"/>
      <c r="X684" s="235"/>
      <c r="Y684" s="235"/>
      <c r="Z684" s="235"/>
      <c r="AA684" s="235"/>
      <c r="AB684" s="235"/>
      <c r="AC684" s="235"/>
    </row>
    <row r="685">
      <c r="A685" s="194" t="s">
        <v>1437</v>
      </c>
      <c r="B685" s="193">
        <v>104431.0</v>
      </c>
      <c r="C685" s="192" t="s">
        <v>1438</v>
      </c>
      <c r="D685" s="192" t="s">
        <v>646</v>
      </c>
      <c r="E685" s="235"/>
      <c r="F685" s="235"/>
      <c r="G685" s="325"/>
      <c r="H685" s="235"/>
      <c r="I685" s="235"/>
      <c r="J685" s="235"/>
      <c r="K685" s="235"/>
      <c r="L685" s="235"/>
      <c r="M685" s="235"/>
      <c r="N685" s="235"/>
      <c r="O685" s="235"/>
      <c r="P685" s="235"/>
      <c r="Q685" s="235"/>
      <c r="R685" s="235"/>
      <c r="S685" s="235"/>
      <c r="T685" s="235"/>
      <c r="U685" s="235"/>
      <c r="V685" s="235"/>
      <c r="W685" s="235"/>
      <c r="X685" s="235"/>
      <c r="Y685" s="235"/>
      <c r="Z685" s="235"/>
      <c r="AA685" s="235"/>
      <c r="AB685" s="235"/>
      <c r="AC685" s="235"/>
    </row>
    <row r="686">
      <c r="A686" s="194" t="s">
        <v>1005</v>
      </c>
      <c r="B686" s="193">
        <v>103592.0</v>
      </c>
      <c r="C686" s="192" t="s">
        <v>1006</v>
      </c>
      <c r="D686" s="192" t="s">
        <v>979</v>
      </c>
      <c r="E686" s="235"/>
      <c r="F686" s="235"/>
      <c r="G686" s="325"/>
      <c r="H686" s="235"/>
      <c r="I686" s="235"/>
      <c r="J686" s="235"/>
      <c r="K686" s="235"/>
      <c r="L686" s="235"/>
      <c r="M686" s="235"/>
      <c r="N686" s="235"/>
      <c r="O686" s="235"/>
      <c r="P686" s="235"/>
      <c r="Q686" s="235"/>
      <c r="R686" s="235"/>
      <c r="S686" s="235"/>
      <c r="T686" s="235"/>
      <c r="U686" s="235"/>
      <c r="V686" s="235"/>
      <c r="W686" s="235"/>
      <c r="X686" s="235"/>
      <c r="Y686" s="235"/>
      <c r="Z686" s="235"/>
      <c r="AA686" s="235"/>
      <c r="AB686" s="235"/>
      <c r="AC686" s="235"/>
    </row>
    <row r="687">
      <c r="A687" s="194" t="s">
        <v>1007</v>
      </c>
      <c r="B687" s="193">
        <v>103594.0</v>
      </c>
      <c r="C687" s="192" t="s">
        <v>1008</v>
      </c>
      <c r="D687" s="192" t="s">
        <v>979</v>
      </c>
      <c r="E687" s="235"/>
      <c r="F687" s="235"/>
      <c r="G687" s="325"/>
      <c r="H687" s="235"/>
      <c r="I687" s="235"/>
      <c r="J687" s="235"/>
      <c r="K687" s="235"/>
      <c r="L687" s="235"/>
      <c r="M687" s="235"/>
      <c r="N687" s="235"/>
      <c r="O687" s="235"/>
      <c r="P687" s="235"/>
      <c r="Q687" s="235"/>
      <c r="R687" s="235"/>
      <c r="S687" s="235"/>
      <c r="T687" s="235"/>
      <c r="U687" s="235"/>
      <c r="V687" s="235"/>
      <c r="W687" s="235"/>
      <c r="X687" s="235"/>
      <c r="Y687" s="235"/>
      <c r="Z687" s="235"/>
      <c r="AA687" s="235"/>
      <c r="AB687" s="235"/>
      <c r="AC687" s="235"/>
    </row>
    <row r="688">
      <c r="A688" s="194" t="s">
        <v>1009</v>
      </c>
      <c r="B688" s="193">
        <v>103596.0</v>
      </c>
      <c r="C688" s="192" t="s">
        <v>1010</v>
      </c>
      <c r="D688" s="192" t="s">
        <v>979</v>
      </c>
      <c r="E688" s="235"/>
      <c r="F688" s="235"/>
      <c r="G688" s="325"/>
      <c r="H688" s="235"/>
      <c r="I688" s="235"/>
      <c r="J688" s="235"/>
      <c r="K688" s="235"/>
      <c r="L688" s="235"/>
      <c r="M688" s="235"/>
      <c r="N688" s="235"/>
      <c r="O688" s="235"/>
      <c r="P688" s="235"/>
      <c r="Q688" s="235"/>
      <c r="R688" s="235"/>
      <c r="S688" s="235"/>
      <c r="T688" s="235"/>
      <c r="U688" s="235"/>
      <c r="V688" s="235"/>
      <c r="W688" s="235"/>
      <c r="X688" s="235"/>
      <c r="Y688" s="235"/>
      <c r="Z688" s="235"/>
      <c r="AA688" s="235"/>
      <c r="AB688" s="235"/>
      <c r="AC688" s="235"/>
    </row>
    <row r="689">
      <c r="A689" s="194" t="s">
        <v>1011</v>
      </c>
      <c r="B689" s="193">
        <v>103595.0</v>
      </c>
      <c r="C689" s="192" t="s">
        <v>1012</v>
      </c>
      <c r="D689" s="192" t="s">
        <v>979</v>
      </c>
      <c r="E689" s="235"/>
      <c r="F689" s="235"/>
      <c r="G689" s="325"/>
      <c r="H689" s="235"/>
      <c r="I689" s="235"/>
      <c r="J689" s="235"/>
      <c r="K689" s="235"/>
      <c r="L689" s="235"/>
      <c r="M689" s="235"/>
      <c r="N689" s="235"/>
      <c r="O689" s="235"/>
      <c r="P689" s="235"/>
      <c r="Q689" s="235"/>
      <c r="R689" s="235"/>
      <c r="S689" s="235"/>
      <c r="T689" s="235"/>
      <c r="U689" s="235"/>
      <c r="V689" s="235"/>
      <c r="W689" s="235"/>
      <c r="X689" s="235"/>
      <c r="Y689" s="235"/>
      <c r="Z689" s="235"/>
      <c r="AA689" s="235"/>
      <c r="AB689" s="235"/>
      <c r="AC689" s="235"/>
    </row>
    <row r="690">
      <c r="A690" s="194" t="s">
        <v>1073</v>
      </c>
      <c r="B690" s="193">
        <v>103696.0</v>
      </c>
      <c r="C690" s="192" t="s">
        <v>1074</v>
      </c>
      <c r="D690" s="192" t="s">
        <v>1054</v>
      </c>
      <c r="E690" s="235"/>
      <c r="F690" s="235"/>
      <c r="G690" s="325"/>
      <c r="H690" s="235"/>
      <c r="I690" s="235"/>
      <c r="J690" s="235"/>
      <c r="K690" s="235"/>
      <c r="L690" s="235"/>
      <c r="M690" s="235"/>
      <c r="N690" s="235"/>
      <c r="O690" s="235"/>
      <c r="P690" s="235"/>
      <c r="Q690" s="235"/>
      <c r="R690" s="235"/>
      <c r="S690" s="235"/>
      <c r="T690" s="235"/>
      <c r="U690" s="235"/>
      <c r="V690" s="235"/>
      <c r="W690" s="235"/>
      <c r="X690" s="235"/>
      <c r="Y690" s="235"/>
      <c r="Z690" s="235"/>
      <c r="AA690" s="235"/>
      <c r="AB690" s="235"/>
      <c r="AC690" s="235"/>
    </row>
    <row r="691">
      <c r="A691" s="194" t="s">
        <v>1055</v>
      </c>
      <c r="B691" s="193">
        <v>103707.0</v>
      </c>
      <c r="C691" s="192" t="s">
        <v>1056</v>
      </c>
      <c r="D691" s="192" t="s">
        <v>1054</v>
      </c>
      <c r="E691" s="235"/>
      <c r="F691" s="235"/>
      <c r="G691" s="325"/>
      <c r="H691" s="235"/>
      <c r="I691" s="235"/>
      <c r="J691" s="235"/>
      <c r="K691" s="235"/>
      <c r="L691" s="235"/>
      <c r="M691" s="235"/>
      <c r="N691" s="235"/>
      <c r="O691" s="235"/>
      <c r="P691" s="235"/>
      <c r="Q691" s="235"/>
      <c r="R691" s="235"/>
      <c r="S691" s="235"/>
      <c r="T691" s="235"/>
      <c r="U691" s="235"/>
      <c r="V691" s="235"/>
      <c r="W691" s="235"/>
      <c r="X691" s="235"/>
      <c r="Y691" s="235"/>
      <c r="Z691" s="235"/>
      <c r="AA691" s="235"/>
      <c r="AB691" s="235"/>
      <c r="AC691" s="235"/>
    </row>
    <row r="692">
      <c r="A692" s="194" t="s">
        <v>1057</v>
      </c>
      <c r="B692" s="193">
        <v>103693.0</v>
      </c>
      <c r="C692" s="192" t="s">
        <v>1058</v>
      </c>
      <c r="D692" s="192" t="s">
        <v>1054</v>
      </c>
      <c r="E692" s="235"/>
      <c r="F692" s="235"/>
      <c r="G692" s="325"/>
      <c r="H692" s="235"/>
      <c r="I692" s="235"/>
      <c r="J692" s="235"/>
      <c r="K692" s="235"/>
      <c r="L692" s="235"/>
      <c r="M692" s="235"/>
      <c r="N692" s="235"/>
      <c r="O692" s="235"/>
      <c r="P692" s="235"/>
      <c r="Q692" s="235"/>
      <c r="R692" s="235"/>
      <c r="S692" s="235"/>
      <c r="T692" s="235"/>
      <c r="U692" s="235"/>
      <c r="V692" s="235"/>
      <c r="W692" s="235"/>
      <c r="X692" s="235"/>
      <c r="Y692" s="235"/>
      <c r="Z692" s="235"/>
      <c r="AA692" s="235"/>
      <c r="AB692" s="235"/>
      <c r="AC692" s="235"/>
    </row>
    <row r="693">
      <c r="A693" s="194" t="s">
        <v>1084</v>
      </c>
      <c r="B693" s="193">
        <v>103828.0</v>
      </c>
      <c r="C693" s="192" t="s">
        <v>1085</v>
      </c>
      <c r="D693" s="192" t="s">
        <v>51</v>
      </c>
      <c r="E693" s="235"/>
      <c r="F693" s="235"/>
      <c r="G693" s="325"/>
      <c r="H693" s="235"/>
      <c r="I693" s="235"/>
      <c r="J693" s="235"/>
      <c r="K693" s="235"/>
      <c r="L693" s="235"/>
      <c r="M693" s="235"/>
      <c r="N693" s="235"/>
      <c r="O693" s="235"/>
      <c r="P693" s="235"/>
      <c r="Q693" s="235"/>
      <c r="R693" s="235"/>
      <c r="S693" s="235"/>
      <c r="T693" s="235"/>
      <c r="U693" s="235"/>
      <c r="V693" s="235"/>
      <c r="W693" s="235"/>
      <c r="X693" s="235"/>
      <c r="Y693" s="235"/>
      <c r="Z693" s="235"/>
      <c r="AA693" s="235"/>
      <c r="AB693" s="235"/>
      <c r="AC693" s="235"/>
    </row>
    <row r="694">
      <c r="A694" s="194" t="s">
        <v>1033</v>
      </c>
      <c r="B694" s="193">
        <v>103717.0</v>
      </c>
      <c r="C694" s="192" t="s">
        <v>1034</v>
      </c>
      <c r="D694" s="192" t="s">
        <v>427</v>
      </c>
      <c r="E694" s="235"/>
      <c r="F694" s="235"/>
      <c r="G694" s="325"/>
      <c r="H694" s="235"/>
      <c r="I694" s="235"/>
      <c r="J694" s="235"/>
      <c r="K694" s="235"/>
      <c r="L694" s="235"/>
      <c r="M694" s="235"/>
      <c r="N694" s="235"/>
      <c r="O694" s="235"/>
      <c r="P694" s="235"/>
      <c r="Q694" s="235"/>
      <c r="R694" s="235"/>
      <c r="S694" s="235"/>
      <c r="T694" s="235"/>
      <c r="U694" s="235"/>
      <c r="V694" s="235"/>
      <c r="W694" s="235"/>
      <c r="X694" s="235"/>
      <c r="Y694" s="235"/>
      <c r="Z694" s="235"/>
      <c r="AA694" s="235"/>
      <c r="AB694" s="235"/>
      <c r="AC694" s="235"/>
    </row>
    <row r="695">
      <c r="A695" s="194" t="s">
        <v>1041</v>
      </c>
      <c r="B695" s="193">
        <v>103708.0</v>
      </c>
      <c r="C695" s="192" t="s">
        <v>1042</v>
      </c>
      <c r="D695" s="192" t="s">
        <v>1043</v>
      </c>
      <c r="E695" s="235"/>
      <c r="F695" s="235"/>
      <c r="G695" s="325"/>
      <c r="H695" s="235"/>
      <c r="I695" s="235"/>
      <c r="J695" s="235"/>
      <c r="K695" s="235"/>
      <c r="L695" s="235"/>
      <c r="M695" s="235"/>
      <c r="N695" s="235"/>
      <c r="O695" s="235"/>
      <c r="P695" s="235"/>
      <c r="Q695" s="235"/>
      <c r="R695" s="235"/>
      <c r="S695" s="235"/>
      <c r="T695" s="235"/>
      <c r="U695" s="235"/>
      <c r="V695" s="235"/>
      <c r="W695" s="235"/>
      <c r="X695" s="235"/>
      <c r="Y695" s="235"/>
      <c r="Z695" s="235"/>
      <c r="AA695" s="235"/>
      <c r="AB695" s="235"/>
      <c r="AC695" s="235"/>
    </row>
    <row r="696">
      <c r="A696" s="194" t="s">
        <v>1472</v>
      </c>
      <c r="B696" s="193">
        <v>104476.0</v>
      </c>
      <c r="C696" s="192" t="s">
        <v>1473</v>
      </c>
      <c r="D696" s="192" t="s">
        <v>233</v>
      </c>
      <c r="E696" s="235"/>
      <c r="F696" s="235"/>
      <c r="G696" s="325"/>
      <c r="H696" s="235"/>
      <c r="I696" s="235"/>
      <c r="J696" s="235"/>
      <c r="K696" s="235"/>
      <c r="L696" s="235"/>
      <c r="M696" s="235"/>
      <c r="N696" s="235"/>
      <c r="O696" s="235"/>
      <c r="P696" s="235"/>
      <c r="Q696" s="235"/>
      <c r="R696" s="235"/>
      <c r="S696" s="235"/>
      <c r="T696" s="235"/>
      <c r="U696" s="235"/>
      <c r="V696" s="235"/>
      <c r="W696" s="235"/>
      <c r="X696" s="235"/>
      <c r="Y696" s="235"/>
      <c r="Z696" s="235"/>
      <c r="AA696" s="235"/>
      <c r="AB696" s="235"/>
      <c r="AC696" s="235"/>
    </row>
    <row r="697">
      <c r="A697" s="194" t="s">
        <v>1466</v>
      </c>
      <c r="B697" s="193">
        <v>104475.0</v>
      </c>
      <c r="C697" s="192" t="s">
        <v>1467</v>
      </c>
      <c r="D697" s="192" t="s">
        <v>225</v>
      </c>
      <c r="E697" s="235"/>
      <c r="F697" s="235"/>
      <c r="G697" s="325"/>
      <c r="H697" s="235"/>
      <c r="I697" s="235"/>
      <c r="J697" s="235"/>
      <c r="K697" s="235"/>
      <c r="L697" s="235"/>
      <c r="M697" s="235"/>
      <c r="N697" s="235"/>
      <c r="O697" s="235"/>
      <c r="P697" s="235"/>
      <c r="Q697" s="235"/>
      <c r="R697" s="235"/>
      <c r="S697" s="235"/>
      <c r="T697" s="235"/>
      <c r="U697" s="235"/>
      <c r="V697" s="235"/>
      <c r="W697" s="235"/>
      <c r="X697" s="235"/>
      <c r="Y697" s="235"/>
      <c r="Z697" s="235"/>
      <c r="AA697" s="235"/>
      <c r="AB697" s="235"/>
      <c r="AC697" s="235"/>
    </row>
    <row r="698">
      <c r="A698" s="194" t="s">
        <v>1468</v>
      </c>
      <c r="B698" s="193">
        <v>104477.0</v>
      </c>
      <c r="C698" s="192" t="s">
        <v>1469</v>
      </c>
      <c r="D698" s="192" t="s">
        <v>225</v>
      </c>
      <c r="E698" s="235"/>
      <c r="F698" s="235"/>
      <c r="G698" s="325"/>
      <c r="H698" s="235"/>
      <c r="I698" s="235"/>
      <c r="J698" s="235"/>
      <c r="K698" s="235"/>
      <c r="L698" s="235"/>
      <c r="M698" s="235"/>
      <c r="N698" s="235"/>
      <c r="O698" s="235"/>
      <c r="P698" s="235"/>
      <c r="Q698" s="235"/>
      <c r="R698" s="235"/>
      <c r="S698" s="235"/>
      <c r="T698" s="235"/>
      <c r="U698" s="235"/>
      <c r="V698" s="235"/>
      <c r="W698" s="235"/>
      <c r="X698" s="235"/>
      <c r="Y698" s="235"/>
      <c r="Z698" s="235"/>
      <c r="AA698" s="235"/>
      <c r="AB698" s="235"/>
      <c r="AC698" s="235"/>
    </row>
    <row r="699">
      <c r="A699" s="194" t="s">
        <v>1460</v>
      </c>
      <c r="B699" s="193">
        <v>104553.0</v>
      </c>
      <c r="C699" s="192" t="s">
        <v>1461</v>
      </c>
      <c r="D699" s="192" t="s">
        <v>806</v>
      </c>
      <c r="E699" s="235"/>
      <c r="F699" s="235"/>
      <c r="G699" s="325"/>
      <c r="H699" s="235"/>
      <c r="I699" s="235"/>
      <c r="J699" s="235"/>
      <c r="K699" s="235"/>
      <c r="L699" s="235"/>
      <c r="M699" s="235"/>
      <c r="N699" s="235"/>
      <c r="O699" s="235"/>
      <c r="P699" s="235"/>
      <c r="Q699" s="235"/>
      <c r="R699" s="235"/>
      <c r="S699" s="235"/>
      <c r="T699" s="235"/>
      <c r="U699" s="235"/>
      <c r="V699" s="235"/>
      <c r="W699" s="235"/>
      <c r="X699" s="235"/>
      <c r="Y699" s="235"/>
      <c r="Z699" s="235"/>
      <c r="AA699" s="235"/>
      <c r="AB699" s="235"/>
      <c r="AC699" s="235"/>
    </row>
    <row r="700">
      <c r="A700" s="194" t="s">
        <v>1458</v>
      </c>
      <c r="B700" s="193">
        <v>104554.0</v>
      </c>
      <c r="C700" s="192" t="s">
        <v>1459</v>
      </c>
      <c r="D700" s="192" t="s">
        <v>646</v>
      </c>
      <c r="E700" s="235"/>
      <c r="F700" s="235"/>
      <c r="G700" s="325"/>
      <c r="H700" s="235"/>
      <c r="I700" s="235"/>
      <c r="J700" s="235"/>
      <c r="K700" s="235"/>
      <c r="L700" s="235"/>
      <c r="M700" s="235"/>
      <c r="N700" s="235"/>
      <c r="O700" s="235"/>
      <c r="P700" s="235"/>
      <c r="Q700" s="235"/>
      <c r="R700" s="235"/>
      <c r="S700" s="235"/>
      <c r="T700" s="235"/>
      <c r="U700" s="235"/>
      <c r="V700" s="235"/>
      <c r="W700" s="235"/>
      <c r="X700" s="235"/>
      <c r="Y700" s="235"/>
      <c r="Z700" s="235"/>
      <c r="AA700" s="235"/>
      <c r="AB700" s="235"/>
      <c r="AC700" s="235"/>
    </row>
    <row r="701">
      <c r="A701" s="194" t="s">
        <v>1470</v>
      </c>
      <c r="B701" s="193">
        <v>104474.0</v>
      </c>
      <c r="C701" s="192" t="s">
        <v>1471</v>
      </c>
      <c r="D701" s="192" t="s">
        <v>225</v>
      </c>
      <c r="E701" s="235"/>
      <c r="F701" s="235"/>
      <c r="G701" s="325"/>
      <c r="H701" s="235"/>
      <c r="I701" s="235"/>
      <c r="J701" s="235"/>
      <c r="K701" s="235"/>
      <c r="L701" s="235"/>
      <c r="M701" s="235"/>
      <c r="N701" s="235"/>
      <c r="O701" s="235"/>
      <c r="P701" s="235"/>
      <c r="Q701" s="235"/>
      <c r="R701" s="235"/>
      <c r="S701" s="235"/>
      <c r="T701" s="235"/>
      <c r="U701" s="235"/>
      <c r="V701" s="235"/>
      <c r="W701" s="235"/>
      <c r="X701" s="235"/>
      <c r="Y701" s="235"/>
      <c r="Z701" s="235"/>
      <c r="AA701" s="235"/>
      <c r="AB701" s="235"/>
      <c r="AC701" s="235"/>
    </row>
    <row r="702">
      <c r="A702" s="194" t="s">
        <v>1476</v>
      </c>
      <c r="B702" s="193">
        <v>104599.0</v>
      </c>
      <c r="C702" s="192" t="s">
        <v>1477</v>
      </c>
      <c r="D702" s="192" t="s">
        <v>806</v>
      </c>
      <c r="E702" s="235"/>
      <c r="F702" s="235"/>
      <c r="G702" s="325"/>
      <c r="H702" s="235"/>
      <c r="I702" s="235"/>
      <c r="J702" s="235"/>
      <c r="K702" s="235"/>
      <c r="L702" s="235"/>
      <c r="M702" s="235"/>
      <c r="N702" s="235"/>
      <c r="O702" s="235"/>
      <c r="P702" s="235"/>
      <c r="Q702" s="235"/>
      <c r="R702" s="235"/>
      <c r="S702" s="235"/>
      <c r="T702" s="235"/>
      <c r="U702" s="235"/>
      <c r="V702" s="235"/>
      <c r="W702" s="235"/>
      <c r="X702" s="235"/>
      <c r="Y702" s="235"/>
      <c r="Z702" s="235"/>
      <c r="AA702" s="235"/>
      <c r="AB702" s="235"/>
      <c r="AC702" s="235"/>
    </row>
    <row r="703">
      <c r="A703" s="194" t="s">
        <v>1128</v>
      </c>
      <c r="B703" s="193">
        <v>103817.0</v>
      </c>
      <c r="C703" s="192" t="s">
        <v>1112</v>
      </c>
      <c r="D703" s="192" t="s">
        <v>1129</v>
      </c>
      <c r="E703" s="235"/>
      <c r="F703" s="235"/>
      <c r="G703" s="325"/>
      <c r="H703" s="235"/>
      <c r="I703" s="235"/>
      <c r="J703" s="235"/>
      <c r="K703" s="235"/>
      <c r="L703" s="235"/>
      <c r="M703" s="235"/>
      <c r="N703" s="235"/>
      <c r="O703" s="235"/>
      <c r="P703" s="235"/>
      <c r="Q703" s="235"/>
      <c r="R703" s="235"/>
      <c r="S703" s="235"/>
      <c r="T703" s="235"/>
      <c r="U703" s="235"/>
      <c r="V703" s="235"/>
      <c r="W703" s="235"/>
      <c r="X703" s="235"/>
      <c r="Y703" s="235"/>
      <c r="Z703" s="235"/>
      <c r="AA703" s="235"/>
      <c r="AB703" s="235"/>
      <c r="AC703" s="235"/>
    </row>
    <row r="704">
      <c r="A704" s="194" t="s">
        <v>1356</v>
      </c>
      <c r="B704" s="193">
        <v>104331.0</v>
      </c>
      <c r="C704" s="192" t="s">
        <v>1357</v>
      </c>
      <c r="D704" s="192" t="s">
        <v>87</v>
      </c>
      <c r="E704" s="235"/>
      <c r="F704" s="235"/>
      <c r="G704" s="325"/>
      <c r="H704" s="235"/>
      <c r="I704" s="235"/>
      <c r="J704" s="235"/>
      <c r="K704" s="235"/>
      <c r="L704" s="235"/>
      <c r="M704" s="235"/>
      <c r="N704" s="235"/>
      <c r="O704" s="235"/>
      <c r="P704" s="235"/>
      <c r="Q704" s="235"/>
      <c r="R704" s="235"/>
      <c r="S704" s="235"/>
      <c r="T704" s="235"/>
      <c r="U704" s="235"/>
      <c r="V704" s="235"/>
      <c r="W704" s="235"/>
      <c r="X704" s="235"/>
      <c r="Y704" s="235"/>
      <c r="Z704" s="235"/>
      <c r="AA704" s="235"/>
      <c r="AB704" s="235"/>
      <c r="AC704" s="235"/>
    </row>
    <row r="705">
      <c r="A705" s="194" t="s">
        <v>1314</v>
      </c>
      <c r="B705" s="193">
        <v>104269.0</v>
      </c>
      <c r="C705" s="192" t="s">
        <v>1315</v>
      </c>
      <c r="D705" s="192" t="s">
        <v>87</v>
      </c>
      <c r="E705" s="235"/>
      <c r="F705" s="235"/>
      <c r="G705" s="325"/>
      <c r="H705" s="235"/>
      <c r="I705" s="235"/>
      <c r="J705" s="235"/>
      <c r="K705" s="235"/>
      <c r="L705" s="235"/>
      <c r="M705" s="235"/>
      <c r="N705" s="235"/>
      <c r="O705" s="235"/>
      <c r="P705" s="235"/>
      <c r="Q705" s="235"/>
      <c r="R705" s="235"/>
      <c r="S705" s="235"/>
      <c r="T705" s="235"/>
      <c r="U705" s="235"/>
      <c r="V705" s="235"/>
      <c r="W705" s="235"/>
      <c r="X705" s="235"/>
      <c r="Y705" s="235"/>
      <c r="Z705" s="235"/>
      <c r="AA705" s="235"/>
      <c r="AB705" s="235"/>
      <c r="AC705" s="235"/>
    </row>
    <row r="706">
      <c r="A706" s="194" t="s">
        <v>1326</v>
      </c>
      <c r="B706" s="193">
        <v>104280.0</v>
      </c>
      <c r="C706" s="192" t="s">
        <v>1327</v>
      </c>
      <c r="D706" s="192" t="s">
        <v>1257</v>
      </c>
      <c r="E706" s="235"/>
      <c r="F706" s="235"/>
      <c r="G706" s="325"/>
      <c r="H706" s="235"/>
      <c r="I706" s="235"/>
      <c r="J706" s="235"/>
      <c r="K706" s="235"/>
      <c r="L706" s="235"/>
      <c r="M706" s="235"/>
      <c r="N706" s="235"/>
      <c r="O706" s="235"/>
      <c r="P706" s="235"/>
      <c r="Q706" s="235"/>
      <c r="R706" s="235"/>
      <c r="S706" s="235"/>
      <c r="T706" s="235"/>
      <c r="U706" s="235"/>
      <c r="V706" s="235"/>
      <c r="W706" s="235"/>
      <c r="X706" s="235"/>
      <c r="Y706" s="235"/>
      <c r="Z706" s="235"/>
      <c r="AA706" s="235"/>
      <c r="AB706" s="235"/>
      <c r="AC706" s="235"/>
    </row>
    <row r="707">
      <c r="A707" s="194" t="s">
        <v>1305</v>
      </c>
      <c r="B707" s="193">
        <v>104270.0</v>
      </c>
      <c r="C707" s="192" t="s">
        <v>1306</v>
      </c>
      <c r="D707" s="192" t="s">
        <v>87</v>
      </c>
      <c r="E707" s="235"/>
      <c r="F707" s="235"/>
      <c r="G707" s="325"/>
      <c r="H707" s="235"/>
      <c r="I707" s="235"/>
      <c r="J707" s="235"/>
      <c r="K707" s="235"/>
      <c r="L707" s="235"/>
      <c r="M707" s="235"/>
      <c r="N707" s="235"/>
      <c r="O707" s="235"/>
      <c r="P707" s="235"/>
      <c r="Q707" s="235"/>
      <c r="R707" s="235"/>
      <c r="S707" s="235"/>
      <c r="T707" s="235"/>
      <c r="U707" s="235"/>
      <c r="V707" s="235"/>
      <c r="W707" s="235"/>
      <c r="X707" s="235"/>
      <c r="Y707" s="235"/>
      <c r="Z707" s="235"/>
      <c r="AA707" s="235"/>
      <c r="AB707" s="235"/>
      <c r="AC707" s="235"/>
    </row>
    <row r="708">
      <c r="A708" s="194" t="s">
        <v>1318</v>
      </c>
      <c r="B708" s="193">
        <v>104271.0</v>
      </c>
      <c r="C708" s="192" t="s">
        <v>1319</v>
      </c>
      <c r="D708" s="192" t="s">
        <v>87</v>
      </c>
      <c r="E708" s="235"/>
      <c r="F708" s="235"/>
      <c r="G708" s="325"/>
      <c r="H708" s="235"/>
      <c r="I708" s="235"/>
      <c r="J708" s="235"/>
      <c r="K708" s="235"/>
      <c r="L708" s="235"/>
      <c r="M708" s="235"/>
      <c r="N708" s="235"/>
      <c r="O708" s="235"/>
      <c r="P708" s="235"/>
      <c r="Q708" s="235"/>
      <c r="R708" s="235"/>
      <c r="S708" s="235"/>
      <c r="T708" s="235"/>
      <c r="U708" s="235"/>
      <c r="V708" s="235"/>
      <c r="W708" s="235"/>
      <c r="X708" s="235"/>
      <c r="Y708" s="235"/>
      <c r="Z708" s="235"/>
      <c r="AA708" s="235"/>
      <c r="AB708" s="235"/>
      <c r="AC708" s="235"/>
    </row>
    <row r="709">
      <c r="A709" s="194" t="s">
        <v>1320</v>
      </c>
      <c r="B709" s="193">
        <v>104272.0</v>
      </c>
      <c r="C709" s="192" t="s">
        <v>1309</v>
      </c>
      <c r="D709" s="192" t="s">
        <v>87</v>
      </c>
      <c r="E709" s="235"/>
      <c r="F709" s="235"/>
      <c r="G709" s="325"/>
      <c r="H709" s="235"/>
      <c r="I709" s="235"/>
      <c r="J709" s="235"/>
      <c r="K709" s="235"/>
      <c r="L709" s="235"/>
      <c r="M709" s="235"/>
      <c r="N709" s="235"/>
      <c r="O709" s="235"/>
      <c r="P709" s="235"/>
      <c r="Q709" s="235"/>
      <c r="R709" s="235"/>
      <c r="S709" s="235"/>
      <c r="T709" s="235"/>
      <c r="U709" s="235"/>
      <c r="V709" s="235"/>
      <c r="W709" s="235"/>
      <c r="X709" s="235"/>
      <c r="Y709" s="235"/>
      <c r="Z709" s="235"/>
      <c r="AA709" s="235"/>
      <c r="AB709" s="235"/>
      <c r="AC709" s="235"/>
    </row>
    <row r="710">
      <c r="A710" s="234"/>
      <c r="B710" s="193">
        <v>104330.0</v>
      </c>
      <c r="C710" s="192" t="s">
        <v>1389</v>
      </c>
      <c r="D710" s="192" t="s">
        <v>1154</v>
      </c>
      <c r="E710" s="235"/>
      <c r="F710" s="235"/>
      <c r="G710" s="325"/>
      <c r="H710" s="235"/>
      <c r="I710" s="235"/>
      <c r="J710" s="235"/>
      <c r="K710" s="235"/>
      <c r="L710" s="235"/>
      <c r="M710" s="235"/>
      <c r="N710" s="235"/>
      <c r="O710" s="235"/>
      <c r="P710" s="235"/>
      <c r="Q710" s="235"/>
      <c r="R710" s="235"/>
      <c r="S710" s="235"/>
      <c r="T710" s="235"/>
      <c r="U710" s="235"/>
      <c r="V710" s="235"/>
      <c r="W710" s="235"/>
      <c r="X710" s="235"/>
      <c r="Y710" s="235"/>
      <c r="Z710" s="235"/>
      <c r="AA710" s="235"/>
      <c r="AB710" s="235"/>
      <c r="AC710" s="235"/>
    </row>
    <row r="711">
      <c r="A711" s="194" t="s">
        <v>1334</v>
      </c>
      <c r="B711" s="193">
        <v>104335.0</v>
      </c>
      <c r="C711" s="192" t="s">
        <v>1335</v>
      </c>
      <c r="D711" s="192" t="s">
        <v>427</v>
      </c>
      <c r="E711" s="235"/>
      <c r="F711" s="235"/>
      <c r="G711" s="325"/>
      <c r="H711" s="235"/>
      <c r="I711" s="235"/>
      <c r="J711" s="235"/>
      <c r="K711" s="235"/>
      <c r="L711" s="235"/>
      <c r="M711" s="235"/>
      <c r="N711" s="235"/>
      <c r="O711" s="235"/>
      <c r="P711" s="235"/>
      <c r="Q711" s="235"/>
      <c r="R711" s="235"/>
      <c r="S711" s="235"/>
      <c r="T711" s="235"/>
      <c r="U711" s="235"/>
      <c r="V711" s="235"/>
      <c r="W711" s="235"/>
      <c r="X711" s="235"/>
      <c r="Y711" s="235"/>
      <c r="Z711" s="235"/>
      <c r="AA711" s="235"/>
      <c r="AB711" s="235"/>
      <c r="AC711" s="235"/>
    </row>
    <row r="712">
      <c r="A712" s="194" t="s">
        <v>1344</v>
      </c>
      <c r="B712" s="193">
        <v>104332.0</v>
      </c>
      <c r="C712" s="192" t="s">
        <v>1345</v>
      </c>
      <c r="D712" s="192" t="s">
        <v>87</v>
      </c>
      <c r="E712" s="235"/>
      <c r="F712" s="235"/>
      <c r="G712" s="325"/>
      <c r="H712" s="235"/>
      <c r="I712" s="235"/>
      <c r="J712" s="235"/>
      <c r="K712" s="235"/>
      <c r="L712" s="235"/>
      <c r="M712" s="235"/>
      <c r="N712" s="235"/>
      <c r="O712" s="235"/>
      <c r="P712" s="235"/>
      <c r="Q712" s="235"/>
      <c r="R712" s="235"/>
      <c r="S712" s="235"/>
      <c r="T712" s="235"/>
      <c r="U712" s="235"/>
      <c r="V712" s="235"/>
      <c r="W712" s="235"/>
      <c r="X712" s="235"/>
      <c r="Y712" s="235"/>
      <c r="Z712" s="235"/>
      <c r="AA712" s="235"/>
      <c r="AB712" s="235"/>
      <c r="AC712" s="235"/>
    </row>
    <row r="713">
      <c r="A713" s="194" t="s">
        <v>1241</v>
      </c>
      <c r="B713" s="193">
        <v>104129.0</v>
      </c>
      <c r="C713" s="192" t="s">
        <v>1242</v>
      </c>
      <c r="D713" s="192" t="s">
        <v>87</v>
      </c>
      <c r="E713" s="235"/>
      <c r="F713" s="235"/>
      <c r="G713" s="325"/>
      <c r="H713" s="235"/>
      <c r="I713" s="235"/>
      <c r="J713" s="235"/>
      <c r="K713" s="235"/>
      <c r="L713" s="235"/>
      <c r="M713" s="235"/>
      <c r="N713" s="235"/>
      <c r="O713" s="235"/>
      <c r="P713" s="235"/>
      <c r="Q713" s="235"/>
      <c r="R713" s="235"/>
      <c r="S713" s="235"/>
      <c r="T713" s="235"/>
      <c r="U713" s="235"/>
      <c r="V713" s="235"/>
      <c r="W713" s="235"/>
      <c r="X713" s="235"/>
      <c r="Y713" s="235"/>
      <c r="Z713" s="235"/>
      <c r="AA713" s="235"/>
      <c r="AB713" s="235"/>
      <c r="AC713" s="235"/>
    </row>
    <row r="714">
      <c r="A714" s="194" t="s">
        <v>1255</v>
      </c>
      <c r="B714" s="193">
        <v>104152.0</v>
      </c>
      <c r="C714" s="192" t="s">
        <v>1256</v>
      </c>
      <c r="D714" s="192" t="s">
        <v>1257</v>
      </c>
      <c r="E714" s="235"/>
      <c r="F714" s="235"/>
      <c r="G714" s="325"/>
      <c r="H714" s="235"/>
      <c r="I714" s="235"/>
      <c r="J714" s="235"/>
      <c r="K714" s="235"/>
      <c r="L714" s="235"/>
      <c r="M714" s="235"/>
      <c r="N714" s="235"/>
      <c r="O714" s="235"/>
      <c r="P714" s="235"/>
      <c r="Q714" s="235"/>
      <c r="R714" s="235"/>
      <c r="S714" s="235"/>
      <c r="T714" s="235"/>
      <c r="U714" s="235"/>
      <c r="V714" s="235"/>
      <c r="W714" s="235"/>
      <c r="X714" s="235"/>
      <c r="Y714" s="235"/>
      <c r="Z714" s="235"/>
      <c r="AA714" s="235"/>
      <c r="AB714" s="235"/>
      <c r="AC714" s="235"/>
    </row>
    <row r="715">
      <c r="A715" s="194" t="s">
        <v>1204</v>
      </c>
      <c r="B715" s="193">
        <v>104080.0</v>
      </c>
      <c r="C715" s="192" t="s">
        <v>1205</v>
      </c>
      <c r="D715" s="192" t="s">
        <v>87</v>
      </c>
      <c r="E715" s="235"/>
      <c r="F715" s="235"/>
      <c r="G715" s="325"/>
      <c r="H715" s="235"/>
      <c r="I715" s="235"/>
      <c r="J715" s="235"/>
      <c r="K715" s="235"/>
      <c r="L715" s="235"/>
      <c r="M715" s="235"/>
      <c r="N715" s="235"/>
      <c r="O715" s="235"/>
      <c r="P715" s="235"/>
      <c r="Q715" s="235"/>
      <c r="R715" s="235"/>
      <c r="S715" s="235"/>
      <c r="T715" s="235"/>
      <c r="U715" s="235"/>
      <c r="V715" s="235"/>
      <c r="W715" s="235"/>
      <c r="X715" s="235"/>
      <c r="Y715" s="235"/>
      <c r="Z715" s="235"/>
      <c r="AA715" s="235"/>
      <c r="AB715" s="235"/>
      <c r="AC715" s="235"/>
    </row>
    <row r="716">
      <c r="A716" s="194" t="s">
        <v>1209</v>
      </c>
      <c r="B716" s="193">
        <v>104084.0</v>
      </c>
      <c r="C716" s="192" t="s">
        <v>1210</v>
      </c>
      <c r="D716" s="192" t="s">
        <v>483</v>
      </c>
      <c r="E716" s="235"/>
      <c r="F716" s="235"/>
      <c r="G716" s="325"/>
      <c r="H716" s="235"/>
      <c r="I716" s="235"/>
      <c r="J716" s="235"/>
      <c r="K716" s="235"/>
      <c r="L716" s="235"/>
      <c r="M716" s="235"/>
      <c r="N716" s="235"/>
      <c r="O716" s="235"/>
      <c r="P716" s="235"/>
      <c r="Q716" s="235"/>
      <c r="R716" s="235"/>
      <c r="S716" s="235"/>
      <c r="T716" s="235"/>
      <c r="U716" s="235"/>
      <c r="V716" s="235"/>
      <c r="W716" s="235"/>
      <c r="X716" s="235"/>
      <c r="Y716" s="235"/>
      <c r="Z716" s="235"/>
      <c r="AA716" s="235"/>
      <c r="AB716" s="235"/>
      <c r="AC716" s="235"/>
    </row>
    <row r="717">
      <c r="A717" s="194" t="s">
        <v>1281</v>
      </c>
      <c r="B717" s="193">
        <v>104230.0</v>
      </c>
      <c r="C717" s="192" t="s">
        <v>1282</v>
      </c>
      <c r="D717" s="192" t="s">
        <v>87</v>
      </c>
      <c r="E717" s="235"/>
      <c r="F717" s="235"/>
      <c r="G717" s="325"/>
      <c r="H717" s="235"/>
      <c r="I717" s="235"/>
      <c r="J717" s="235"/>
      <c r="K717" s="235"/>
      <c r="L717" s="235"/>
      <c r="M717" s="235"/>
      <c r="N717" s="235"/>
      <c r="O717" s="235"/>
      <c r="P717" s="235"/>
      <c r="Q717" s="235"/>
      <c r="R717" s="235"/>
      <c r="S717" s="235"/>
      <c r="T717" s="235"/>
      <c r="U717" s="235"/>
      <c r="V717" s="235"/>
      <c r="W717" s="235"/>
      <c r="X717" s="235"/>
      <c r="Y717" s="235"/>
      <c r="Z717" s="235"/>
      <c r="AA717" s="235"/>
      <c r="AB717" s="235"/>
      <c r="AC717" s="235"/>
    </row>
    <row r="718">
      <c r="A718" s="194" t="s">
        <v>1307</v>
      </c>
      <c r="B718" s="193">
        <v>104233.0</v>
      </c>
      <c r="C718" s="192" t="s">
        <v>1308</v>
      </c>
      <c r="D718" s="192" t="s">
        <v>87</v>
      </c>
      <c r="E718" s="235"/>
      <c r="F718" s="235"/>
      <c r="G718" s="325"/>
      <c r="H718" s="235"/>
      <c r="I718" s="235"/>
      <c r="J718" s="235"/>
      <c r="K718" s="235"/>
      <c r="L718" s="235"/>
      <c r="M718" s="235"/>
      <c r="N718" s="235"/>
      <c r="O718" s="235"/>
      <c r="P718" s="235"/>
      <c r="Q718" s="235"/>
      <c r="R718" s="235"/>
      <c r="S718" s="235"/>
      <c r="T718" s="235"/>
      <c r="U718" s="235"/>
      <c r="V718" s="235"/>
      <c r="W718" s="235"/>
      <c r="X718" s="235"/>
      <c r="Y718" s="235"/>
      <c r="Z718" s="235"/>
      <c r="AA718" s="235"/>
      <c r="AB718" s="235"/>
      <c r="AC718" s="235"/>
    </row>
    <row r="719">
      <c r="A719" s="234"/>
      <c r="B719" s="193">
        <v>104234.0</v>
      </c>
      <c r="C719" s="192" t="s">
        <v>1309</v>
      </c>
      <c r="D719" s="192" t="s">
        <v>87</v>
      </c>
      <c r="E719" s="235"/>
      <c r="F719" s="235"/>
      <c r="G719" s="325"/>
      <c r="H719" s="235"/>
      <c r="I719" s="235"/>
      <c r="J719" s="235"/>
      <c r="K719" s="235"/>
      <c r="L719" s="235"/>
      <c r="M719" s="235"/>
      <c r="N719" s="235"/>
      <c r="O719" s="235"/>
      <c r="P719" s="235"/>
      <c r="Q719" s="235"/>
      <c r="R719" s="235"/>
      <c r="S719" s="235"/>
      <c r="T719" s="235"/>
      <c r="U719" s="235"/>
      <c r="V719" s="235"/>
      <c r="W719" s="235"/>
      <c r="X719" s="235"/>
      <c r="Y719" s="235"/>
      <c r="Z719" s="235"/>
      <c r="AA719" s="235"/>
      <c r="AB719" s="235"/>
      <c r="AC719" s="235"/>
    </row>
    <row r="720">
      <c r="A720" s="194" t="s">
        <v>1031</v>
      </c>
      <c r="B720" s="193">
        <v>103718.0</v>
      </c>
      <c r="C720" s="192" t="s">
        <v>1032</v>
      </c>
      <c r="D720" s="192" t="s">
        <v>360</v>
      </c>
      <c r="E720" s="235"/>
      <c r="F720" s="235"/>
      <c r="G720" s="325"/>
      <c r="H720" s="235"/>
      <c r="I720" s="235"/>
      <c r="J720" s="235"/>
      <c r="K720" s="235"/>
      <c r="L720" s="235"/>
      <c r="M720" s="235"/>
      <c r="N720" s="235"/>
      <c r="O720" s="235"/>
      <c r="P720" s="235"/>
      <c r="Q720" s="235"/>
      <c r="R720" s="235"/>
      <c r="S720" s="235"/>
      <c r="T720" s="235"/>
      <c r="U720" s="235"/>
      <c r="V720" s="235"/>
      <c r="W720" s="235"/>
      <c r="X720" s="235"/>
      <c r="Y720" s="235"/>
      <c r="Z720" s="235"/>
      <c r="AA720" s="235"/>
      <c r="AB720" s="235"/>
      <c r="AC720" s="235"/>
    </row>
    <row r="721">
      <c r="A721" s="194" t="s">
        <v>1430</v>
      </c>
      <c r="B721" s="193">
        <v>104466.0</v>
      </c>
      <c r="C721" s="192" t="s">
        <v>1431</v>
      </c>
      <c r="D721" s="192" t="s">
        <v>806</v>
      </c>
      <c r="E721" s="235"/>
      <c r="F721" s="235"/>
      <c r="G721" s="325"/>
      <c r="H721" s="235"/>
      <c r="I721" s="235"/>
      <c r="J721" s="235"/>
      <c r="K721" s="235"/>
      <c r="L721" s="235"/>
      <c r="M721" s="235"/>
      <c r="N721" s="235"/>
      <c r="O721" s="235"/>
      <c r="P721" s="235"/>
      <c r="Q721" s="235"/>
      <c r="R721" s="235"/>
      <c r="S721" s="235"/>
      <c r="T721" s="235"/>
      <c r="U721" s="235"/>
      <c r="V721" s="235"/>
      <c r="W721" s="235"/>
      <c r="X721" s="235"/>
      <c r="Y721" s="235"/>
      <c r="Z721" s="235"/>
      <c r="AA721" s="235"/>
      <c r="AB721" s="235"/>
      <c r="AC721" s="235"/>
    </row>
    <row r="722">
      <c r="A722" s="194" t="s">
        <v>1039</v>
      </c>
      <c r="B722" s="193">
        <v>103719.0</v>
      </c>
      <c r="C722" s="192" t="s">
        <v>1040</v>
      </c>
      <c r="D722" s="192" t="s">
        <v>295</v>
      </c>
      <c r="E722" s="235"/>
      <c r="F722" s="235"/>
      <c r="G722" s="325"/>
      <c r="H722" s="235"/>
      <c r="I722" s="235"/>
      <c r="J722" s="235"/>
      <c r="K722" s="235"/>
      <c r="L722" s="235"/>
      <c r="M722" s="235"/>
      <c r="N722" s="235"/>
      <c r="O722" s="235"/>
      <c r="P722" s="235"/>
      <c r="Q722" s="235"/>
      <c r="R722" s="235"/>
      <c r="S722" s="235"/>
      <c r="T722" s="235"/>
      <c r="U722" s="235"/>
      <c r="V722" s="235"/>
      <c r="W722" s="235"/>
      <c r="X722" s="235"/>
      <c r="Y722" s="235"/>
      <c r="Z722" s="235"/>
      <c r="AA722" s="235"/>
      <c r="AB722" s="235"/>
      <c r="AC722" s="235"/>
    </row>
    <row r="723">
      <c r="A723" s="194" t="s">
        <v>1143</v>
      </c>
      <c r="B723" s="193">
        <v>103886.0</v>
      </c>
      <c r="C723" s="192" t="s">
        <v>1144</v>
      </c>
      <c r="D723" s="192" t="s">
        <v>398</v>
      </c>
      <c r="E723" s="235"/>
      <c r="F723" s="235"/>
      <c r="G723" s="325"/>
      <c r="H723" s="235"/>
      <c r="I723" s="235"/>
      <c r="J723" s="235"/>
      <c r="K723" s="235"/>
      <c r="L723" s="235"/>
      <c r="M723" s="235"/>
      <c r="N723" s="235"/>
      <c r="O723" s="235"/>
      <c r="P723" s="235"/>
      <c r="Q723" s="235"/>
      <c r="R723" s="235"/>
      <c r="S723" s="235"/>
      <c r="T723" s="235"/>
      <c r="U723" s="235"/>
      <c r="V723" s="235"/>
      <c r="W723" s="235"/>
      <c r="X723" s="235"/>
      <c r="Y723" s="235"/>
      <c r="Z723" s="235"/>
      <c r="AA723" s="235"/>
      <c r="AB723" s="235"/>
      <c r="AC723" s="235"/>
    </row>
    <row r="724">
      <c r="A724" s="194" t="s">
        <v>1035</v>
      </c>
      <c r="B724" s="193">
        <v>103716.0</v>
      </c>
      <c r="C724" s="192" t="s">
        <v>1036</v>
      </c>
      <c r="D724" s="192" t="s">
        <v>427</v>
      </c>
      <c r="E724" s="235"/>
      <c r="F724" s="235"/>
      <c r="G724" s="325"/>
      <c r="H724" s="235"/>
      <c r="I724" s="235"/>
      <c r="J724" s="235"/>
      <c r="K724" s="235"/>
      <c r="L724" s="235"/>
      <c r="M724" s="235"/>
      <c r="N724" s="235"/>
      <c r="O724" s="235"/>
      <c r="P724" s="235"/>
      <c r="Q724" s="235"/>
      <c r="R724" s="235"/>
      <c r="S724" s="235"/>
      <c r="T724" s="235"/>
      <c r="U724" s="235"/>
      <c r="V724" s="235"/>
      <c r="W724" s="235"/>
      <c r="X724" s="235"/>
      <c r="Y724" s="235"/>
      <c r="Z724" s="235"/>
      <c r="AA724" s="235"/>
      <c r="AB724" s="235"/>
      <c r="AC724" s="235"/>
    </row>
    <row r="725">
      <c r="A725" s="194" t="s">
        <v>998</v>
      </c>
      <c r="B725" s="193">
        <v>103554.0</v>
      </c>
      <c r="C725" s="192" t="s">
        <v>999</v>
      </c>
      <c r="D725" s="192" t="s">
        <v>87</v>
      </c>
      <c r="E725" s="235"/>
      <c r="F725" s="235"/>
      <c r="G725" s="325"/>
      <c r="H725" s="235"/>
      <c r="I725" s="235"/>
      <c r="J725" s="235"/>
      <c r="K725" s="235"/>
      <c r="L725" s="235"/>
      <c r="M725" s="235"/>
      <c r="N725" s="235"/>
      <c r="O725" s="235"/>
      <c r="P725" s="235"/>
      <c r="Q725" s="235"/>
      <c r="R725" s="235"/>
      <c r="S725" s="235"/>
      <c r="T725" s="235"/>
      <c r="U725" s="235"/>
      <c r="V725" s="235"/>
      <c r="W725" s="235"/>
      <c r="X725" s="235"/>
      <c r="Y725" s="235"/>
      <c r="Z725" s="235"/>
      <c r="AA725" s="235"/>
      <c r="AB725" s="235"/>
      <c r="AC725" s="235"/>
    </row>
    <row r="726">
      <c r="A726" s="194" t="s">
        <v>1001</v>
      </c>
      <c r="B726" s="193">
        <v>103583.0</v>
      </c>
      <c r="C726" s="192" t="s">
        <v>1002</v>
      </c>
      <c r="D726" s="192" t="s">
        <v>87</v>
      </c>
      <c r="E726" s="235"/>
      <c r="F726" s="235"/>
      <c r="G726" s="325"/>
      <c r="H726" s="235"/>
      <c r="I726" s="235"/>
      <c r="J726" s="235"/>
      <c r="K726" s="235"/>
      <c r="L726" s="235"/>
      <c r="M726" s="235"/>
      <c r="N726" s="235"/>
      <c r="O726" s="235"/>
      <c r="P726" s="235"/>
      <c r="Q726" s="235"/>
      <c r="R726" s="235"/>
      <c r="S726" s="235"/>
      <c r="T726" s="235"/>
      <c r="U726" s="235"/>
      <c r="V726" s="235"/>
      <c r="W726" s="235"/>
      <c r="X726" s="235"/>
      <c r="Y726" s="235"/>
      <c r="Z726" s="235"/>
      <c r="AA726" s="235"/>
      <c r="AB726" s="235"/>
      <c r="AC726" s="235"/>
    </row>
    <row r="727">
      <c r="A727" s="194" t="s">
        <v>1067</v>
      </c>
      <c r="B727" s="193">
        <v>103791.0</v>
      </c>
      <c r="C727" s="192" t="s">
        <v>1068</v>
      </c>
      <c r="D727" s="192" t="s">
        <v>156</v>
      </c>
      <c r="E727" s="235"/>
      <c r="F727" s="235"/>
      <c r="G727" s="325"/>
      <c r="H727" s="235"/>
      <c r="I727" s="235"/>
      <c r="J727" s="235"/>
      <c r="K727" s="235"/>
      <c r="L727" s="235"/>
      <c r="M727" s="235"/>
      <c r="N727" s="235"/>
      <c r="O727" s="235"/>
      <c r="P727" s="235"/>
      <c r="Q727" s="235"/>
      <c r="R727" s="235"/>
      <c r="S727" s="235"/>
      <c r="T727" s="235"/>
      <c r="U727" s="235"/>
      <c r="V727" s="235"/>
      <c r="W727" s="235"/>
      <c r="X727" s="235"/>
      <c r="Y727" s="235"/>
      <c r="Z727" s="235"/>
      <c r="AA727" s="235"/>
      <c r="AB727" s="235"/>
      <c r="AC727" s="235"/>
    </row>
    <row r="728">
      <c r="A728" s="194" t="s">
        <v>1077</v>
      </c>
      <c r="B728" s="193">
        <v>103790.0</v>
      </c>
      <c r="C728" s="192" t="s">
        <v>1078</v>
      </c>
      <c r="D728" s="192" t="s">
        <v>1079</v>
      </c>
      <c r="E728" s="235"/>
      <c r="F728" s="235"/>
      <c r="G728" s="325"/>
      <c r="H728" s="235"/>
      <c r="I728" s="235"/>
      <c r="J728" s="235"/>
      <c r="K728" s="235"/>
      <c r="L728" s="235"/>
      <c r="M728" s="235"/>
      <c r="N728" s="235"/>
      <c r="O728" s="235"/>
      <c r="P728" s="235"/>
      <c r="Q728" s="235"/>
      <c r="R728" s="235"/>
      <c r="S728" s="235"/>
      <c r="T728" s="235"/>
      <c r="U728" s="235"/>
      <c r="V728" s="235"/>
      <c r="W728" s="235"/>
      <c r="X728" s="235"/>
      <c r="Y728" s="235"/>
      <c r="Z728" s="235"/>
      <c r="AA728" s="235"/>
      <c r="AB728" s="235"/>
      <c r="AC728" s="235"/>
    </row>
    <row r="729">
      <c r="A729" s="194" t="s">
        <v>1065</v>
      </c>
      <c r="B729" s="193">
        <v>103745.0</v>
      </c>
      <c r="C729" s="192" t="s">
        <v>1066</v>
      </c>
      <c r="D729" s="192" t="s">
        <v>87</v>
      </c>
      <c r="E729" s="235"/>
      <c r="F729" s="235"/>
      <c r="G729" s="325"/>
      <c r="H729" s="235"/>
      <c r="I729" s="235"/>
      <c r="J729" s="235"/>
      <c r="K729" s="235"/>
      <c r="L729" s="235"/>
      <c r="M729" s="235"/>
      <c r="N729" s="235"/>
      <c r="O729" s="235"/>
      <c r="P729" s="235"/>
      <c r="Q729" s="235"/>
      <c r="R729" s="235"/>
      <c r="S729" s="235"/>
      <c r="T729" s="235"/>
      <c r="U729" s="235"/>
      <c r="V729" s="235"/>
      <c r="W729" s="235"/>
      <c r="X729" s="235"/>
      <c r="Y729" s="235"/>
      <c r="Z729" s="235"/>
      <c r="AA729" s="235"/>
      <c r="AB729" s="235"/>
      <c r="AC729" s="235"/>
    </row>
    <row r="730">
      <c r="A730" s="194" t="s">
        <v>1080</v>
      </c>
      <c r="B730" s="193">
        <v>103792.0</v>
      </c>
      <c r="C730" s="192" t="s">
        <v>1081</v>
      </c>
      <c r="D730" s="192" t="s">
        <v>483</v>
      </c>
      <c r="E730" s="235"/>
      <c r="F730" s="235"/>
      <c r="G730" s="325"/>
      <c r="H730" s="235"/>
      <c r="I730" s="235"/>
      <c r="J730" s="235"/>
      <c r="K730" s="235"/>
      <c r="L730" s="235"/>
      <c r="M730" s="235"/>
      <c r="N730" s="235"/>
      <c r="O730" s="235"/>
      <c r="P730" s="235"/>
      <c r="Q730" s="235"/>
      <c r="R730" s="235"/>
      <c r="S730" s="235"/>
      <c r="T730" s="235"/>
      <c r="U730" s="235"/>
      <c r="V730" s="235"/>
      <c r="W730" s="235"/>
      <c r="X730" s="235"/>
      <c r="Y730" s="235"/>
      <c r="Z730" s="235"/>
      <c r="AA730" s="235"/>
      <c r="AB730" s="235"/>
      <c r="AC730" s="235"/>
    </row>
    <row r="731">
      <c r="A731" s="194" t="s">
        <v>1426</v>
      </c>
      <c r="B731" s="193">
        <v>104309.0</v>
      </c>
      <c r="C731" s="192" t="s">
        <v>1427</v>
      </c>
      <c r="D731" s="192" t="s">
        <v>295</v>
      </c>
      <c r="E731" s="235"/>
      <c r="F731" s="235"/>
      <c r="G731" s="325"/>
      <c r="H731" s="235"/>
      <c r="I731" s="235"/>
      <c r="J731" s="235"/>
      <c r="K731" s="235"/>
      <c r="L731" s="235"/>
      <c r="M731" s="235"/>
      <c r="N731" s="235"/>
      <c r="O731" s="235"/>
      <c r="P731" s="235"/>
      <c r="Q731" s="235"/>
      <c r="R731" s="235"/>
      <c r="S731" s="235"/>
      <c r="T731" s="235"/>
      <c r="U731" s="235"/>
      <c r="V731" s="235"/>
      <c r="W731" s="235"/>
      <c r="X731" s="235"/>
      <c r="Y731" s="235"/>
      <c r="Z731" s="235"/>
      <c r="AA731" s="235"/>
      <c r="AB731" s="235"/>
      <c r="AC731" s="235"/>
    </row>
    <row r="732">
      <c r="A732" s="194" t="s">
        <v>1377</v>
      </c>
      <c r="B732" s="193">
        <v>104314.0</v>
      </c>
      <c r="C732" s="192" t="s">
        <v>1378</v>
      </c>
      <c r="D732" s="192" t="s">
        <v>495</v>
      </c>
      <c r="E732" s="235"/>
      <c r="F732" s="235"/>
      <c r="G732" s="325"/>
      <c r="H732" s="235"/>
      <c r="I732" s="235"/>
      <c r="J732" s="235"/>
      <c r="K732" s="235"/>
      <c r="L732" s="235"/>
      <c r="M732" s="235"/>
      <c r="N732" s="235"/>
      <c r="O732" s="235"/>
      <c r="P732" s="235"/>
      <c r="Q732" s="235"/>
      <c r="R732" s="235"/>
      <c r="S732" s="235"/>
      <c r="T732" s="235"/>
      <c r="U732" s="235"/>
      <c r="V732" s="235"/>
      <c r="W732" s="235"/>
      <c r="X732" s="235"/>
      <c r="Y732" s="235"/>
      <c r="Z732" s="235"/>
      <c r="AA732" s="235"/>
      <c r="AB732" s="235"/>
      <c r="AC732" s="235"/>
    </row>
    <row r="733">
      <c r="A733" s="194" t="s">
        <v>1403</v>
      </c>
      <c r="B733" s="193">
        <v>104454.0</v>
      </c>
      <c r="C733" s="192" t="s">
        <v>1404</v>
      </c>
      <c r="D733" s="192" t="s">
        <v>87</v>
      </c>
      <c r="E733" s="235"/>
      <c r="F733" s="235"/>
      <c r="G733" s="325"/>
      <c r="H733" s="235"/>
      <c r="I733" s="235"/>
      <c r="J733" s="235"/>
      <c r="K733" s="235"/>
      <c r="L733" s="235"/>
      <c r="M733" s="235"/>
      <c r="N733" s="235"/>
      <c r="O733" s="235"/>
      <c r="P733" s="235"/>
      <c r="Q733" s="235"/>
      <c r="R733" s="235"/>
      <c r="S733" s="235"/>
      <c r="T733" s="235"/>
      <c r="U733" s="235"/>
      <c r="V733" s="235"/>
      <c r="W733" s="235"/>
      <c r="X733" s="235"/>
      <c r="Y733" s="235"/>
      <c r="Z733" s="235"/>
      <c r="AA733" s="235"/>
      <c r="AB733" s="235"/>
      <c r="AC733" s="235"/>
    </row>
    <row r="734">
      <c r="A734" s="194" t="s">
        <v>1446</v>
      </c>
      <c r="B734" s="193">
        <v>104342.0</v>
      </c>
      <c r="C734" s="192" t="s">
        <v>1447</v>
      </c>
      <c r="D734" s="192" t="s">
        <v>360</v>
      </c>
      <c r="E734" s="235"/>
      <c r="F734" s="235"/>
      <c r="G734" s="325"/>
      <c r="H734" s="235"/>
      <c r="I734" s="235"/>
      <c r="J734" s="235"/>
      <c r="K734" s="235"/>
      <c r="L734" s="235"/>
      <c r="M734" s="235"/>
      <c r="N734" s="235"/>
      <c r="O734" s="235"/>
      <c r="P734" s="235"/>
      <c r="Q734" s="235"/>
      <c r="R734" s="235"/>
      <c r="S734" s="235"/>
      <c r="T734" s="235"/>
      <c r="U734" s="235"/>
      <c r="V734" s="235"/>
      <c r="W734" s="235"/>
      <c r="X734" s="235"/>
      <c r="Y734" s="235"/>
      <c r="Z734" s="235"/>
      <c r="AA734" s="235"/>
      <c r="AB734" s="235"/>
      <c r="AC734" s="235"/>
    </row>
    <row r="735">
      <c r="A735" s="194" t="s">
        <v>994</v>
      </c>
      <c r="B735" s="193">
        <v>103563.0</v>
      </c>
      <c r="C735" s="192" t="s">
        <v>995</v>
      </c>
      <c r="D735" s="192" t="s">
        <v>295</v>
      </c>
      <c r="E735" s="235"/>
      <c r="F735" s="235"/>
      <c r="G735" s="325"/>
      <c r="H735" s="235"/>
      <c r="I735" s="235"/>
      <c r="J735" s="235"/>
      <c r="K735" s="235"/>
      <c r="L735" s="235"/>
      <c r="M735" s="235"/>
      <c r="N735" s="235"/>
      <c r="O735" s="235"/>
      <c r="P735" s="235"/>
      <c r="Q735" s="235"/>
      <c r="R735" s="235"/>
      <c r="S735" s="235"/>
      <c r="T735" s="235"/>
      <c r="U735" s="235"/>
      <c r="V735" s="235"/>
      <c r="W735" s="235"/>
      <c r="X735" s="235"/>
      <c r="Y735" s="235"/>
      <c r="Z735" s="235"/>
      <c r="AA735" s="235"/>
      <c r="AB735" s="235"/>
      <c r="AC735" s="235"/>
    </row>
    <row r="736">
      <c r="A736" s="194" t="s">
        <v>1428</v>
      </c>
      <c r="B736" s="193">
        <v>104343.0</v>
      </c>
      <c r="C736" s="192" t="s">
        <v>1429</v>
      </c>
      <c r="D736" s="192" t="s">
        <v>360</v>
      </c>
      <c r="E736" s="235"/>
      <c r="F736" s="235"/>
      <c r="G736" s="325"/>
      <c r="H736" s="235"/>
      <c r="I736" s="235"/>
      <c r="J736" s="235"/>
      <c r="K736" s="235"/>
      <c r="L736" s="235"/>
      <c r="M736" s="235"/>
      <c r="N736" s="235"/>
      <c r="O736" s="235"/>
      <c r="P736" s="235"/>
      <c r="Q736" s="235"/>
      <c r="R736" s="235"/>
      <c r="S736" s="235"/>
      <c r="T736" s="235"/>
      <c r="U736" s="235"/>
      <c r="V736" s="235"/>
      <c r="W736" s="235"/>
      <c r="X736" s="235"/>
      <c r="Y736" s="235"/>
      <c r="Z736" s="235"/>
      <c r="AA736" s="235"/>
      <c r="AB736" s="235"/>
      <c r="AC736" s="235"/>
    </row>
    <row r="737">
      <c r="A737" s="234"/>
      <c r="B737" s="193">
        <v>104342.0</v>
      </c>
      <c r="C737" s="192" t="s">
        <v>1447</v>
      </c>
      <c r="D737" s="192" t="s">
        <v>219</v>
      </c>
      <c r="E737" s="235"/>
      <c r="F737" s="235"/>
      <c r="G737" s="325"/>
      <c r="H737" s="235"/>
      <c r="I737" s="235"/>
      <c r="J737" s="235"/>
      <c r="K737" s="235"/>
      <c r="L737" s="235"/>
      <c r="M737" s="235"/>
      <c r="N737" s="235"/>
      <c r="O737" s="235"/>
      <c r="P737" s="235"/>
      <c r="Q737" s="235"/>
      <c r="R737" s="235"/>
      <c r="S737" s="235"/>
      <c r="T737" s="235"/>
      <c r="U737" s="235"/>
      <c r="V737" s="235"/>
      <c r="W737" s="235"/>
      <c r="X737" s="235"/>
      <c r="Y737" s="235"/>
      <c r="Z737" s="235"/>
      <c r="AA737" s="235"/>
      <c r="AB737" s="235"/>
      <c r="AC737" s="235"/>
    </row>
    <row r="738">
      <c r="A738" s="194" t="s">
        <v>1168</v>
      </c>
      <c r="B738" s="193">
        <v>103775.0</v>
      </c>
      <c r="C738" s="192" t="s">
        <v>1169</v>
      </c>
      <c r="D738" s="192" t="s">
        <v>98</v>
      </c>
      <c r="E738" s="235"/>
      <c r="F738" s="235"/>
      <c r="G738" s="325"/>
      <c r="H738" s="235"/>
      <c r="I738" s="235"/>
      <c r="J738" s="235"/>
      <c r="K738" s="235"/>
      <c r="L738" s="235"/>
      <c r="M738" s="235"/>
      <c r="N738" s="235"/>
      <c r="O738" s="235"/>
      <c r="P738" s="235"/>
      <c r="Q738" s="235"/>
      <c r="R738" s="235"/>
      <c r="S738" s="235"/>
      <c r="T738" s="235"/>
      <c r="U738" s="235"/>
      <c r="V738" s="235"/>
      <c r="W738" s="235"/>
      <c r="X738" s="235"/>
      <c r="Y738" s="235"/>
      <c r="Z738" s="235"/>
      <c r="AA738" s="235"/>
      <c r="AB738" s="235"/>
      <c r="AC738" s="235"/>
    </row>
    <row r="739">
      <c r="A739" s="194" t="s">
        <v>1233</v>
      </c>
      <c r="B739" s="193">
        <v>104131.0</v>
      </c>
      <c r="C739" s="192" t="s">
        <v>1234</v>
      </c>
      <c r="D739" s="192" t="s">
        <v>295</v>
      </c>
      <c r="E739" s="235"/>
      <c r="F739" s="235"/>
      <c r="G739" s="325"/>
      <c r="H739" s="235"/>
      <c r="I739" s="235"/>
      <c r="J739" s="235"/>
      <c r="K739" s="235"/>
      <c r="L739" s="235"/>
      <c r="M739" s="235"/>
      <c r="N739" s="235"/>
      <c r="O739" s="235"/>
      <c r="P739" s="235"/>
      <c r="Q739" s="235"/>
      <c r="R739" s="235"/>
      <c r="S739" s="235"/>
      <c r="T739" s="235"/>
      <c r="U739" s="235"/>
      <c r="V739" s="235"/>
      <c r="W739" s="235"/>
      <c r="X739" s="235"/>
      <c r="Y739" s="235"/>
      <c r="Z739" s="235"/>
      <c r="AA739" s="235"/>
      <c r="AB739" s="235"/>
      <c r="AC739" s="235"/>
    </row>
    <row r="740">
      <c r="A740" s="194" t="s">
        <v>1233</v>
      </c>
      <c r="B740" s="193">
        <v>104131.0</v>
      </c>
      <c r="C740" s="192" t="s">
        <v>1234</v>
      </c>
      <c r="D740" s="192" t="s">
        <v>295</v>
      </c>
      <c r="E740" s="235"/>
      <c r="F740" s="235"/>
      <c r="G740" s="325"/>
      <c r="H740" s="235"/>
      <c r="I740" s="235"/>
      <c r="J740" s="235"/>
      <c r="K740" s="235"/>
      <c r="L740" s="235"/>
      <c r="M740" s="235"/>
      <c r="N740" s="235"/>
      <c r="O740" s="235"/>
      <c r="P740" s="235"/>
      <c r="Q740" s="235"/>
      <c r="R740" s="235"/>
      <c r="S740" s="235"/>
      <c r="T740" s="235"/>
      <c r="U740" s="235"/>
      <c r="V740" s="235"/>
      <c r="W740" s="235"/>
      <c r="X740" s="235"/>
      <c r="Y740" s="235"/>
      <c r="Z740" s="235"/>
      <c r="AA740" s="235"/>
      <c r="AB740" s="235"/>
      <c r="AC740" s="235"/>
    </row>
    <row r="741">
      <c r="A741" s="194" t="s">
        <v>1264</v>
      </c>
      <c r="B741" s="193">
        <v>104212.0</v>
      </c>
      <c r="C741" s="192" t="s">
        <v>1265</v>
      </c>
      <c r="D741" s="192" t="s">
        <v>295</v>
      </c>
      <c r="E741" s="235"/>
      <c r="F741" s="235"/>
      <c r="G741" s="325"/>
      <c r="H741" s="235"/>
      <c r="I741" s="235"/>
      <c r="J741" s="235"/>
      <c r="K741" s="235"/>
      <c r="L741" s="235"/>
      <c r="M741" s="235"/>
      <c r="N741" s="235"/>
      <c r="O741" s="235"/>
      <c r="P741" s="235"/>
      <c r="Q741" s="235"/>
      <c r="R741" s="235"/>
      <c r="S741" s="235"/>
      <c r="T741" s="235"/>
      <c r="U741" s="235"/>
      <c r="V741" s="235"/>
      <c r="W741" s="235"/>
      <c r="X741" s="235"/>
      <c r="Y741" s="235"/>
      <c r="Z741" s="235"/>
      <c r="AA741" s="235"/>
      <c r="AB741" s="235"/>
      <c r="AC741" s="235"/>
    </row>
    <row r="742">
      <c r="A742" s="194" t="s">
        <v>1274</v>
      </c>
      <c r="B742" s="193">
        <v>104212.0</v>
      </c>
      <c r="C742" s="192" t="s">
        <v>1265</v>
      </c>
      <c r="D742" s="192" t="s">
        <v>295</v>
      </c>
      <c r="E742" s="235"/>
      <c r="F742" s="235"/>
      <c r="G742" s="325"/>
      <c r="H742" s="235"/>
      <c r="I742" s="235"/>
      <c r="J742" s="235"/>
      <c r="K742" s="235"/>
      <c r="L742" s="235"/>
      <c r="M742" s="235"/>
      <c r="N742" s="235"/>
      <c r="O742" s="235"/>
      <c r="P742" s="235"/>
      <c r="Q742" s="235"/>
      <c r="R742" s="235"/>
      <c r="S742" s="235"/>
      <c r="T742" s="235"/>
      <c r="U742" s="235"/>
      <c r="V742" s="235"/>
      <c r="W742" s="235"/>
      <c r="X742" s="235"/>
      <c r="Y742" s="235"/>
      <c r="Z742" s="235"/>
      <c r="AA742" s="235"/>
      <c r="AB742" s="235"/>
      <c r="AC742" s="235"/>
    </row>
    <row r="743">
      <c r="A743" s="194" t="s">
        <v>1262</v>
      </c>
      <c r="B743" s="193">
        <v>104211.0</v>
      </c>
      <c r="C743" s="192" t="s">
        <v>1263</v>
      </c>
      <c r="D743" s="192" t="s">
        <v>360</v>
      </c>
      <c r="E743" s="235"/>
      <c r="F743" s="235"/>
      <c r="G743" s="325"/>
      <c r="H743" s="235"/>
      <c r="I743" s="235"/>
      <c r="J743" s="235"/>
      <c r="K743" s="235"/>
      <c r="L743" s="235"/>
      <c r="M743" s="235"/>
      <c r="N743" s="235"/>
      <c r="O743" s="235"/>
      <c r="P743" s="235"/>
      <c r="Q743" s="235"/>
      <c r="R743" s="235"/>
      <c r="S743" s="235"/>
      <c r="T743" s="235"/>
      <c r="U743" s="235"/>
      <c r="V743" s="235"/>
      <c r="W743" s="235"/>
      <c r="X743" s="235"/>
      <c r="Y743" s="235"/>
      <c r="Z743" s="235"/>
      <c r="AA743" s="235"/>
      <c r="AB743" s="235"/>
      <c r="AC743" s="235"/>
    </row>
    <row r="744">
      <c r="A744" s="194" t="s">
        <v>1277</v>
      </c>
      <c r="B744" s="193">
        <v>104215.0</v>
      </c>
      <c r="C744" s="192" t="s">
        <v>1278</v>
      </c>
      <c r="D744" s="192" t="s">
        <v>265</v>
      </c>
      <c r="E744" s="235"/>
      <c r="F744" s="235"/>
      <c r="G744" s="325"/>
      <c r="H744" s="235"/>
      <c r="I744" s="235"/>
      <c r="J744" s="235"/>
      <c r="K744" s="235"/>
      <c r="L744" s="235"/>
      <c r="M744" s="235"/>
      <c r="N744" s="235"/>
      <c r="O744" s="235"/>
      <c r="P744" s="235"/>
      <c r="Q744" s="235"/>
      <c r="R744" s="235"/>
      <c r="S744" s="235"/>
      <c r="T744" s="235"/>
      <c r="U744" s="235"/>
      <c r="V744" s="235"/>
      <c r="W744" s="235"/>
      <c r="X744" s="235"/>
      <c r="Y744" s="235"/>
      <c r="Z744" s="235"/>
      <c r="AA744" s="235"/>
      <c r="AB744" s="235"/>
      <c r="AC744" s="235"/>
    </row>
    <row r="745">
      <c r="A745" s="194" t="s">
        <v>1260</v>
      </c>
      <c r="B745" s="193">
        <v>104183.0</v>
      </c>
      <c r="C745" s="192" t="s">
        <v>1261</v>
      </c>
      <c r="D745" s="192" t="s">
        <v>295</v>
      </c>
      <c r="E745" s="235"/>
      <c r="F745" s="235"/>
      <c r="G745" s="325"/>
      <c r="H745" s="235"/>
      <c r="I745" s="235"/>
      <c r="J745" s="235"/>
      <c r="K745" s="235"/>
      <c r="L745" s="235"/>
      <c r="M745" s="235"/>
      <c r="N745" s="235"/>
      <c r="O745" s="235"/>
      <c r="P745" s="235"/>
      <c r="Q745" s="235"/>
      <c r="R745" s="235"/>
      <c r="S745" s="235"/>
      <c r="T745" s="235"/>
      <c r="U745" s="235"/>
      <c r="V745" s="235"/>
      <c r="W745" s="235"/>
      <c r="X745" s="235"/>
      <c r="Y745" s="235"/>
      <c r="Z745" s="235"/>
      <c r="AA745" s="235"/>
      <c r="AB745" s="235"/>
      <c r="AC745" s="235"/>
    </row>
    <row r="746">
      <c r="A746" s="194" t="s">
        <v>1275</v>
      </c>
      <c r="B746" s="193">
        <v>104210.0</v>
      </c>
      <c r="C746" s="192" t="s">
        <v>1276</v>
      </c>
      <c r="D746" s="192" t="s">
        <v>1159</v>
      </c>
      <c r="E746" s="235"/>
      <c r="F746" s="235"/>
      <c r="G746" s="325"/>
      <c r="H746" s="235"/>
      <c r="I746" s="235"/>
      <c r="J746" s="235"/>
      <c r="K746" s="235"/>
      <c r="L746" s="235"/>
      <c r="M746" s="235"/>
      <c r="N746" s="235"/>
      <c r="O746" s="235"/>
      <c r="P746" s="235"/>
      <c r="Q746" s="235"/>
      <c r="R746" s="235"/>
      <c r="S746" s="235"/>
      <c r="T746" s="235"/>
      <c r="U746" s="235"/>
      <c r="V746" s="235"/>
      <c r="W746" s="235"/>
      <c r="X746" s="235"/>
      <c r="Y746" s="235"/>
      <c r="Z746" s="235"/>
      <c r="AA746" s="235"/>
      <c r="AB746" s="235"/>
      <c r="AC746" s="235"/>
    </row>
    <row r="747">
      <c r="A747" s="194" t="s">
        <v>1295</v>
      </c>
      <c r="B747" s="193">
        <v>104176.0</v>
      </c>
      <c r="C747" s="192" t="s">
        <v>1296</v>
      </c>
      <c r="D747" s="192" t="s">
        <v>1159</v>
      </c>
      <c r="E747" s="235"/>
      <c r="F747" s="235"/>
      <c r="G747" s="325"/>
      <c r="H747" s="235"/>
      <c r="I747" s="235"/>
      <c r="J747" s="235"/>
      <c r="K747" s="235"/>
      <c r="L747" s="235"/>
      <c r="M747" s="235"/>
      <c r="N747" s="235"/>
      <c r="O747" s="235"/>
      <c r="P747" s="235"/>
      <c r="Q747" s="235"/>
      <c r="R747" s="235"/>
      <c r="S747" s="235"/>
      <c r="T747" s="235"/>
      <c r="U747" s="235"/>
      <c r="V747" s="235"/>
      <c r="W747" s="235"/>
      <c r="X747" s="235"/>
      <c r="Y747" s="235"/>
      <c r="Z747" s="235"/>
      <c r="AA747" s="235"/>
      <c r="AB747" s="235"/>
      <c r="AC747" s="235"/>
    </row>
    <row r="748">
      <c r="A748" s="194" t="s">
        <v>1258</v>
      </c>
      <c r="B748" s="193">
        <v>104180.0</v>
      </c>
      <c r="C748" s="192" t="s">
        <v>1259</v>
      </c>
      <c r="D748" s="192" t="s">
        <v>380</v>
      </c>
      <c r="E748" s="235"/>
      <c r="F748" s="235"/>
      <c r="G748" s="325"/>
      <c r="H748" s="235"/>
      <c r="I748" s="235"/>
      <c r="J748" s="235"/>
      <c r="K748" s="235"/>
      <c r="L748" s="235"/>
      <c r="M748" s="235"/>
      <c r="N748" s="235"/>
      <c r="O748" s="235"/>
      <c r="P748" s="235"/>
      <c r="Q748" s="235"/>
      <c r="R748" s="235"/>
      <c r="S748" s="235"/>
      <c r="T748" s="235"/>
      <c r="U748" s="235"/>
      <c r="V748" s="235"/>
      <c r="W748" s="235"/>
      <c r="X748" s="235"/>
      <c r="Y748" s="235"/>
      <c r="Z748" s="235"/>
      <c r="AA748" s="235"/>
      <c r="AB748" s="235"/>
      <c r="AC748" s="235"/>
    </row>
    <row r="749">
      <c r="A749" s="194" t="s">
        <v>1229</v>
      </c>
      <c r="B749" s="193">
        <v>104110.0</v>
      </c>
      <c r="C749" s="192" t="s">
        <v>1230</v>
      </c>
      <c r="D749" s="192" t="s">
        <v>94</v>
      </c>
      <c r="E749" s="235"/>
      <c r="F749" s="235"/>
      <c r="G749" s="325"/>
      <c r="H749" s="235"/>
      <c r="I749" s="235"/>
      <c r="J749" s="235"/>
      <c r="K749" s="235"/>
      <c r="L749" s="235"/>
      <c r="M749" s="235"/>
      <c r="N749" s="235"/>
      <c r="O749" s="235"/>
      <c r="P749" s="235"/>
      <c r="Q749" s="235"/>
      <c r="R749" s="235"/>
      <c r="S749" s="235"/>
      <c r="T749" s="235"/>
      <c r="U749" s="235"/>
      <c r="V749" s="235"/>
      <c r="W749" s="235"/>
      <c r="X749" s="235"/>
      <c r="Y749" s="235"/>
      <c r="Z749" s="235"/>
      <c r="AA749" s="235"/>
      <c r="AB749" s="235"/>
      <c r="AC749" s="235"/>
    </row>
    <row r="750">
      <c r="A750" s="194" t="s">
        <v>1231</v>
      </c>
      <c r="B750" s="193">
        <v>104130.0</v>
      </c>
      <c r="C750" s="192" t="s">
        <v>1232</v>
      </c>
      <c r="D750" s="192" t="s">
        <v>295</v>
      </c>
      <c r="E750" s="235"/>
      <c r="F750" s="235"/>
      <c r="G750" s="325"/>
      <c r="H750" s="235"/>
      <c r="I750" s="235"/>
      <c r="J750" s="235"/>
      <c r="K750" s="235"/>
      <c r="L750" s="235"/>
      <c r="M750" s="235"/>
      <c r="N750" s="235"/>
      <c r="O750" s="235"/>
      <c r="P750" s="235"/>
      <c r="Q750" s="235"/>
      <c r="R750" s="235"/>
      <c r="S750" s="235"/>
      <c r="T750" s="235"/>
      <c r="U750" s="235"/>
      <c r="V750" s="235"/>
      <c r="W750" s="235"/>
      <c r="X750" s="235"/>
      <c r="Y750" s="235"/>
      <c r="Z750" s="235"/>
      <c r="AA750" s="235"/>
      <c r="AB750" s="235"/>
      <c r="AC750" s="235"/>
    </row>
    <row r="751">
      <c r="A751" s="194" t="s">
        <v>1272</v>
      </c>
      <c r="B751" s="193">
        <v>104092.0</v>
      </c>
      <c r="C751" s="192" t="s">
        <v>1273</v>
      </c>
      <c r="D751" s="192" t="s">
        <v>522</v>
      </c>
      <c r="E751" s="235"/>
      <c r="F751" s="235"/>
      <c r="G751" s="325"/>
      <c r="H751" s="235"/>
      <c r="I751" s="235"/>
      <c r="J751" s="235"/>
      <c r="K751" s="235"/>
      <c r="L751" s="235"/>
      <c r="M751" s="235"/>
      <c r="N751" s="235"/>
      <c r="O751" s="235"/>
      <c r="P751" s="235"/>
      <c r="Q751" s="235"/>
      <c r="R751" s="235"/>
      <c r="S751" s="235"/>
      <c r="T751" s="235"/>
      <c r="U751" s="235"/>
      <c r="V751" s="235"/>
      <c r="W751" s="235"/>
      <c r="X751" s="235"/>
      <c r="Y751" s="235"/>
      <c r="Z751" s="235"/>
      <c r="AA751" s="235"/>
      <c r="AB751" s="235"/>
      <c r="AC751" s="235"/>
    </row>
    <row r="752">
      <c r="A752" s="194" t="s">
        <v>1200</v>
      </c>
      <c r="B752" s="193">
        <v>104093.0</v>
      </c>
      <c r="C752" s="192" t="s">
        <v>1214</v>
      </c>
      <c r="D752" s="192" t="s">
        <v>87</v>
      </c>
      <c r="E752" s="235"/>
      <c r="F752" s="235"/>
      <c r="G752" s="325"/>
      <c r="H752" s="235"/>
      <c r="I752" s="235"/>
      <c r="J752" s="235"/>
      <c r="K752" s="235"/>
      <c r="L752" s="235"/>
      <c r="M752" s="235"/>
      <c r="N752" s="235"/>
      <c r="O752" s="235"/>
      <c r="P752" s="235"/>
      <c r="Q752" s="235"/>
      <c r="R752" s="235"/>
      <c r="S752" s="235"/>
      <c r="T752" s="235"/>
      <c r="U752" s="235"/>
      <c r="V752" s="235"/>
      <c r="W752" s="235"/>
      <c r="X752" s="235"/>
      <c r="Y752" s="235"/>
      <c r="Z752" s="235"/>
      <c r="AA752" s="235"/>
      <c r="AB752" s="235"/>
      <c r="AC752" s="235"/>
    </row>
    <row r="753">
      <c r="A753" s="194" t="s">
        <v>1405</v>
      </c>
      <c r="B753" s="193">
        <v>104503.0</v>
      </c>
      <c r="C753" s="192" t="s">
        <v>1406</v>
      </c>
      <c r="D753" s="192" t="s">
        <v>380</v>
      </c>
      <c r="E753" s="235"/>
      <c r="F753" s="235"/>
      <c r="G753" s="325"/>
      <c r="H753" s="235"/>
      <c r="I753" s="235"/>
      <c r="J753" s="235"/>
      <c r="K753" s="235"/>
      <c r="L753" s="235"/>
      <c r="M753" s="235"/>
      <c r="N753" s="235"/>
      <c r="O753" s="235"/>
      <c r="P753" s="235"/>
      <c r="Q753" s="235"/>
      <c r="R753" s="235"/>
      <c r="S753" s="235"/>
      <c r="T753" s="235"/>
      <c r="U753" s="235"/>
      <c r="V753" s="235"/>
      <c r="W753" s="235"/>
      <c r="X753" s="235"/>
      <c r="Y753" s="235"/>
      <c r="Z753" s="235"/>
      <c r="AA753" s="235"/>
      <c r="AB753" s="235"/>
      <c r="AC753" s="235"/>
    </row>
    <row r="754">
      <c r="A754" s="194" t="s">
        <v>1015</v>
      </c>
      <c r="B754" s="193">
        <v>103582.0</v>
      </c>
      <c r="C754" s="192" t="s">
        <v>1016</v>
      </c>
      <c r="D754" s="192" t="s">
        <v>487</v>
      </c>
      <c r="E754" s="235"/>
      <c r="F754" s="235"/>
      <c r="G754" s="325"/>
      <c r="H754" s="235"/>
      <c r="I754" s="235"/>
      <c r="J754" s="235"/>
      <c r="K754" s="235"/>
      <c r="L754" s="235"/>
      <c r="M754" s="235"/>
      <c r="N754" s="235"/>
      <c r="O754" s="235"/>
      <c r="P754" s="235"/>
      <c r="Q754" s="235"/>
      <c r="R754" s="235"/>
      <c r="S754" s="235"/>
      <c r="T754" s="235"/>
      <c r="U754" s="235"/>
      <c r="V754" s="235"/>
      <c r="W754" s="235"/>
      <c r="X754" s="235"/>
      <c r="Y754" s="235"/>
      <c r="Z754" s="235"/>
      <c r="AA754" s="235"/>
      <c r="AB754" s="235"/>
      <c r="AC754" s="235"/>
    </row>
    <row r="755">
      <c r="A755" s="194" t="s">
        <v>1015</v>
      </c>
      <c r="B755" s="193">
        <v>103582.0</v>
      </c>
      <c r="C755" s="192" t="s">
        <v>1016</v>
      </c>
      <c r="D755" s="192" t="s">
        <v>487</v>
      </c>
      <c r="E755" s="235"/>
      <c r="F755" s="235"/>
      <c r="G755" s="325"/>
      <c r="H755" s="235"/>
      <c r="I755" s="235"/>
      <c r="J755" s="235"/>
      <c r="K755" s="235"/>
      <c r="L755" s="235"/>
      <c r="M755" s="235"/>
      <c r="N755" s="235"/>
      <c r="O755" s="235"/>
      <c r="P755" s="235"/>
      <c r="Q755" s="235"/>
      <c r="R755" s="235"/>
      <c r="S755" s="235"/>
      <c r="T755" s="235"/>
      <c r="U755" s="235"/>
      <c r="V755" s="235"/>
      <c r="W755" s="235"/>
      <c r="X755" s="235"/>
      <c r="Y755" s="235"/>
      <c r="Z755" s="235"/>
      <c r="AA755" s="235"/>
      <c r="AB755" s="235"/>
      <c r="AC755" s="235"/>
    </row>
    <row r="756">
      <c r="A756" s="194" t="s">
        <v>996</v>
      </c>
      <c r="B756" s="193">
        <v>103540.0</v>
      </c>
      <c r="C756" s="192" t="s">
        <v>997</v>
      </c>
      <c r="D756" s="192" t="s">
        <v>979</v>
      </c>
      <c r="E756" s="235"/>
      <c r="F756" s="235"/>
      <c r="G756" s="325"/>
      <c r="H756" s="235"/>
      <c r="I756" s="235"/>
      <c r="J756" s="235"/>
      <c r="K756" s="235"/>
      <c r="L756" s="235"/>
      <c r="M756" s="235"/>
      <c r="N756" s="235"/>
      <c r="O756" s="235"/>
      <c r="P756" s="235"/>
      <c r="Q756" s="235"/>
      <c r="R756" s="235"/>
      <c r="S756" s="235"/>
      <c r="T756" s="235"/>
      <c r="U756" s="235"/>
      <c r="V756" s="235"/>
      <c r="W756" s="235"/>
      <c r="X756" s="235"/>
      <c r="Y756" s="235"/>
      <c r="Z756" s="235"/>
      <c r="AA756" s="235"/>
      <c r="AB756" s="235"/>
      <c r="AC756" s="235"/>
    </row>
    <row r="757">
      <c r="A757" s="194" t="s">
        <v>1432</v>
      </c>
      <c r="B757" s="193">
        <v>104439.0</v>
      </c>
      <c r="C757" s="192" t="s">
        <v>1433</v>
      </c>
      <c r="D757" s="192" t="s">
        <v>1434</v>
      </c>
      <c r="E757" s="235"/>
      <c r="F757" s="235"/>
      <c r="G757" s="325"/>
      <c r="H757" s="235"/>
      <c r="I757" s="235"/>
      <c r="J757" s="235"/>
      <c r="K757" s="235"/>
      <c r="L757" s="235"/>
      <c r="M757" s="235"/>
      <c r="N757" s="235"/>
      <c r="O757" s="235"/>
      <c r="P757" s="235"/>
      <c r="Q757" s="235"/>
      <c r="R757" s="235"/>
      <c r="S757" s="235"/>
      <c r="T757" s="235"/>
      <c r="U757" s="235"/>
      <c r="V757" s="235"/>
      <c r="W757" s="235"/>
      <c r="X757" s="235"/>
      <c r="Y757" s="235"/>
      <c r="Z757" s="235"/>
      <c r="AA757" s="235"/>
      <c r="AB757" s="235"/>
      <c r="AC757" s="235"/>
    </row>
    <row r="758">
      <c r="A758" s="194" t="s">
        <v>1411</v>
      </c>
      <c r="B758" s="193">
        <v>104411.0</v>
      </c>
      <c r="C758" s="192" t="s">
        <v>1412</v>
      </c>
      <c r="D758" s="192" t="s">
        <v>806</v>
      </c>
      <c r="E758" s="235"/>
      <c r="F758" s="235"/>
      <c r="G758" s="325"/>
      <c r="H758" s="235"/>
      <c r="I758" s="235"/>
      <c r="J758" s="235"/>
      <c r="K758" s="235"/>
      <c r="L758" s="235"/>
      <c r="M758" s="235"/>
      <c r="N758" s="235"/>
      <c r="O758" s="235"/>
      <c r="P758" s="235"/>
      <c r="Q758" s="235"/>
      <c r="R758" s="235"/>
      <c r="S758" s="235"/>
      <c r="T758" s="235"/>
      <c r="U758" s="235"/>
      <c r="V758" s="235"/>
      <c r="W758" s="235"/>
      <c r="X758" s="235"/>
      <c r="Y758" s="235"/>
      <c r="Z758" s="235"/>
      <c r="AA758" s="235"/>
      <c r="AB758" s="235"/>
      <c r="AC758" s="235"/>
    </row>
    <row r="759">
      <c r="A759" s="194" t="s">
        <v>1448</v>
      </c>
      <c r="B759" s="193">
        <v>104504.0</v>
      </c>
      <c r="C759" s="192" t="s">
        <v>1449</v>
      </c>
      <c r="D759" s="192" t="s">
        <v>51</v>
      </c>
      <c r="E759" s="235"/>
      <c r="F759" s="235"/>
      <c r="G759" s="325"/>
      <c r="H759" s="235"/>
      <c r="I759" s="235"/>
      <c r="J759" s="235"/>
      <c r="K759" s="235"/>
      <c r="L759" s="235"/>
      <c r="M759" s="235"/>
      <c r="N759" s="235"/>
      <c r="O759" s="235"/>
      <c r="P759" s="235"/>
      <c r="Q759" s="235"/>
      <c r="R759" s="235"/>
      <c r="S759" s="235"/>
      <c r="T759" s="235"/>
      <c r="U759" s="235"/>
      <c r="V759" s="235"/>
      <c r="W759" s="235"/>
      <c r="X759" s="235"/>
      <c r="Y759" s="235"/>
      <c r="Z759" s="235"/>
      <c r="AA759" s="235"/>
      <c r="AB759" s="235"/>
      <c r="AC759" s="235"/>
    </row>
    <row r="760">
      <c r="A760" s="194" t="s">
        <v>1462</v>
      </c>
      <c r="B760" s="193">
        <v>104486.0</v>
      </c>
      <c r="C760" s="192" t="s">
        <v>1463</v>
      </c>
      <c r="D760" s="192" t="s">
        <v>154</v>
      </c>
      <c r="E760" s="235"/>
      <c r="F760" s="235"/>
      <c r="G760" s="325"/>
      <c r="H760" s="235"/>
      <c r="I760" s="235"/>
      <c r="J760" s="235"/>
      <c r="K760" s="235"/>
      <c r="L760" s="235"/>
      <c r="M760" s="235"/>
      <c r="N760" s="235"/>
      <c r="O760" s="235"/>
      <c r="P760" s="235"/>
      <c r="Q760" s="235"/>
      <c r="R760" s="235"/>
      <c r="S760" s="235"/>
      <c r="T760" s="235"/>
      <c r="U760" s="235"/>
      <c r="V760" s="235"/>
      <c r="W760" s="235"/>
      <c r="X760" s="235"/>
      <c r="Y760" s="235"/>
      <c r="Z760" s="235"/>
      <c r="AA760" s="235"/>
      <c r="AB760" s="235"/>
      <c r="AC760" s="235"/>
    </row>
    <row r="761">
      <c r="A761" s="194" t="s">
        <v>1478</v>
      </c>
      <c r="B761" s="193">
        <v>104613.0</v>
      </c>
      <c r="C761" s="192" t="s">
        <v>1479</v>
      </c>
      <c r="D761" s="192" t="s">
        <v>397</v>
      </c>
      <c r="E761" s="235"/>
      <c r="F761" s="235"/>
      <c r="G761" s="325"/>
      <c r="H761" s="235"/>
      <c r="I761" s="235"/>
      <c r="J761" s="235"/>
      <c r="K761" s="235"/>
      <c r="L761" s="235"/>
      <c r="M761" s="235"/>
      <c r="N761" s="235"/>
      <c r="O761" s="235"/>
      <c r="P761" s="235"/>
      <c r="Q761" s="235"/>
      <c r="R761" s="235"/>
      <c r="S761" s="235"/>
      <c r="T761" s="235"/>
      <c r="U761" s="235"/>
      <c r="V761" s="235"/>
      <c r="W761" s="235"/>
      <c r="X761" s="235"/>
      <c r="Y761" s="235"/>
      <c r="Z761" s="235"/>
      <c r="AA761" s="235"/>
      <c r="AB761" s="235"/>
      <c r="AC761" s="235"/>
    </row>
    <row r="762">
      <c r="A762" s="194" t="s">
        <v>1484</v>
      </c>
      <c r="B762" s="193">
        <v>104576.0</v>
      </c>
      <c r="C762" s="192" t="s">
        <v>1485</v>
      </c>
      <c r="D762" s="192" t="s">
        <v>185</v>
      </c>
      <c r="E762" s="235"/>
      <c r="F762" s="235"/>
      <c r="G762" s="325"/>
      <c r="H762" s="235"/>
      <c r="I762" s="235"/>
      <c r="J762" s="235"/>
      <c r="K762" s="235"/>
      <c r="L762" s="235"/>
      <c r="M762" s="235"/>
      <c r="N762" s="235"/>
      <c r="O762" s="235"/>
      <c r="P762" s="235"/>
      <c r="Q762" s="235"/>
      <c r="R762" s="235"/>
      <c r="S762" s="235"/>
      <c r="T762" s="235"/>
      <c r="U762" s="235"/>
      <c r="V762" s="235"/>
      <c r="W762" s="235"/>
      <c r="X762" s="235"/>
      <c r="Y762" s="235"/>
      <c r="Z762" s="235"/>
      <c r="AA762" s="235"/>
      <c r="AB762" s="235"/>
      <c r="AC762" s="235"/>
    </row>
    <row r="763">
      <c r="A763" s="194" t="s">
        <v>1517</v>
      </c>
      <c r="B763" s="193">
        <v>104222.0</v>
      </c>
      <c r="C763" s="192" t="s">
        <v>1518</v>
      </c>
      <c r="D763" s="192" t="s">
        <v>1519</v>
      </c>
      <c r="E763" s="235"/>
      <c r="F763" s="235"/>
      <c r="G763" s="325"/>
      <c r="H763" s="235"/>
      <c r="I763" s="235"/>
      <c r="J763" s="235"/>
      <c r="K763" s="235"/>
      <c r="L763" s="235"/>
      <c r="M763" s="235"/>
      <c r="N763" s="235"/>
      <c r="O763" s="235"/>
      <c r="P763" s="235"/>
      <c r="Q763" s="235"/>
      <c r="R763" s="235"/>
      <c r="S763" s="235"/>
      <c r="T763" s="235"/>
      <c r="U763" s="235"/>
      <c r="V763" s="235"/>
      <c r="W763" s="235"/>
      <c r="X763" s="235"/>
      <c r="Y763" s="235"/>
      <c r="Z763" s="235"/>
      <c r="AA763" s="235"/>
      <c r="AB763" s="235"/>
      <c r="AC763" s="235"/>
    </row>
    <row r="764">
      <c r="A764" s="194" t="s">
        <v>1405</v>
      </c>
      <c r="B764" s="193">
        <v>104503.0</v>
      </c>
      <c r="C764" s="192" t="s">
        <v>1406</v>
      </c>
      <c r="D764" s="192" t="s">
        <v>380</v>
      </c>
      <c r="E764" s="235"/>
      <c r="F764" s="235"/>
      <c r="G764" s="325"/>
      <c r="H764" s="235"/>
      <c r="I764" s="235"/>
      <c r="J764" s="235"/>
      <c r="K764" s="235"/>
      <c r="L764" s="235"/>
      <c r="M764" s="235"/>
      <c r="N764" s="235"/>
      <c r="O764" s="235"/>
      <c r="P764" s="235"/>
      <c r="Q764" s="235"/>
      <c r="R764" s="235"/>
      <c r="S764" s="235"/>
      <c r="T764" s="235"/>
      <c r="U764" s="235"/>
      <c r="V764" s="235"/>
      <c r="W764" s="235"/>
      <c r="X764" s="235"/>
      <c r="Y764" s="235"/>
      <c r="Z764" s="235"/>
      <c r="AA764" s="235"/>
      <c r="AB764" s="235"/>
      <c r="AC764" s="235"/>
    </row>
    <row r="765">
      <c r="A765" s="194" t="s">
        <v>1213</v>
      </c>
      <c r="B765" s="193">
        <v>104093.0</v>
      </c>
      <c r="C765" s="192" t="s">
        <v>1214</v>
      </c>
      <c r="D765" s="192" t="s">
        <v>87</v>
      </c>
      <c r="E765" s="235"/>
      <c r="F765" s="235"/>
      <c r="G765" s="325"/>
      <c r="H765" s="235"/>
      <c r="I765" s="235"/>
      <c r="J765" s="235"/>
      <c r="K765" s="235"/>
      <c r="L765" s="235"/>
      <c r="M765" s="235"/>
      <c r="N765" s="235"/>
      <c r="O765" s="235"/>
      <c r="P765" s="235"/>
      <c r="Q765" s="235"/>
      <c r="R765" s="235"/>
      <c r="S765" s="235"/>
      <c r="T765" s="235"/>
      <c r="U765" s="235"/>
      <c r="V765" s="235"/>
      <c r="W765" s="235"/>
      <c r="X765" s="235"/>
      <c r="Y765" s="235"/>
      <c r="Z765" s="235"/>
      <c r="AA765" s="235"/>
      <c r="AB765" s="235"/>
      <c r="AC765" s="235"/>
    </row>
    <row r="766">
      <c r="A766" s="194" t="s">
        <v>1272</v>
      </c>
      <c r="B766" s="193">
        <v>104092.0</v>
      </c>
      <c r="C766" s="192" t="s">
        <v>1273</v>
      </c>
      <c r="D766" s="192" t="s">
        <v>522</v>
      </c>
      <c r="E766" s="235"/>
      <c r="F766" s="235"/>
      <c r="G766" s="325"/>
      <c r="H766" s="235"/>
      <c r="I766" s="235"/>
      <c r="J766" s="235"/>
      <c r="K766" s="235"/>
      <c r="L766" s="235"/>
      <c r="M766" s="235"/>
      <c r="N766" s="235"/>
      <c r="O766" s="235"/>
      <c r="P766" s="235"/>
      <c r="Q766" s="235"/>
      <c r="R766" s="235"/>
      <c r="S766" s="235"/>
      <c r="T766" s="235"/>
      <c r="U766" s="235"/>
      <c r="V766" s="235"/>
      <c r="W766" s="235"/>
      <c r="X766" s="235"/>
      <c r="Y766" s="235"/>
      <c r="Z766" s="235"/>
      <c r="AA766" s="235"/>
      <c r="AB766" s="235"/>
      <c r="AC766" s="235"/>
    </row>
    <row r="767">
      <c r="A767" s="194" t="s">
        <v>1231</v>
      </c>
      <c r="B767" s="193">
        <v>104130.0</v>
      </c>
      <c r="C767" s="192" t="s">
        <v>1232</v>
      </c>
      <c r="D767" s="192" t="s">
        <v>295</v>
      </c>
      <c r="E767" s="235"/>
      <c r="F767" s="235"/>
      <c r="G767" s="325"/>
      <c r="H767" s="235"/>
      <c r="I767" s="235"/>
      <c r="J767" s="235"/>
      <c r="K767" s="235"/>
      <c r="L767" s="235"/>
      <c r="M767" s="235"/>
      <c r="N767" s="235"/>
      <c r="O767" s="235"/>
      <c r="P767" s="235"/>
      <c r="Q767" s="235"/>
      <c r="R767" s="235"/>
      <c r="S767" s="235"/>
      <c r="T767" s="235"/>
      <c r="U767" s="235"/>
      <c r="V767" s="235"/>
      <c r="W767" s="235"/>
      <c r="X767" s="235"/>
      <c r="Y767" s="235"/>
      <c r="Z767" s="235"/>
      <c r="AA767" s="235"/>
      <c r="AB767" s="235"/>
      <c r="AC767" s="235"/>
    </row>
    <row r="768">
      <c r="A768" s="194" t="s">
        <v>1229</v>
      </c>
      <c r="B768" s="193">
        <v>104110.0</v>
      </c>
      <c r="C768" s="192" t="s">
        <v>1230</v>
      </c>
      <c r="D768" s="192" t="s">
        <v>94</v>
      </c>
      <c r="E768" s="235"/>
      <c r="F768" s="235"/>
      <c r="G768" s="325"/>
      <c r="H768" s="235"/>
      <c r="I768" s="235"/>
      <c r="J768" s="235"/>
      <c r="K768" s="235"/>
      <c r="L768" s="235"/>
      <c r="M768" s="235"/>
      <c r="N768" s="235"/>
      <c r="O768" s="235"/>
      <c r="P768" s="235"/>
      <c r="Q768" s="235"/>
      <c r="R768" s="235"/>
      <c r="S768" s="235"/>
      <c r="T768" s="235"/>
      <c r="U768" s="235"/>
      <c r="V768" s="235"/>
      <c r="W768" s="235"/>
      <c r="X768" s="235"/>
      <c r="Y768" s="235"/>
      <c r="Z768" s="235"/>
      <c r="AA768" s="235"/>
      <c r="AB768" s="235"/>
      <c r="AC768" s="235"/>
    </row>
    <row r="769">
      <c r="A769" s="194" t="s">
        <v>1258</v>
      </c>
      <c r="B769" s="193">
        <v>104180.0</v>
      </c>
      <c r="C769" s="192" t="s">
        <v>1259</v>
      </c>
      <c r="D769" s="192" t="s">
        <v>380</v>
      </c>
      <c r="E769" s="235"/>
      <c r="F769" s="235"/>
      <c r="G769" s="325"/>
      <c r="H769" s="235"/>
      <c r="I769" s="235"/>
      <c r="J769" s="235"/>
      <c r="K769" s="235"/>
      <c r="L769" s="235"/>
      <c r="M769" s="235"/>
      <c r="N769" s="235"/>
      <c r="O769" s="235"/>
      <c r="P769" s="235"/>
      <c r="Q769" s="235"/>
      <c r="R769" s="235"/>
      <c r="S769" s="235"/>
      <c r="T769" s="235"/>
      <c r="U769" s="235"/>
      <c r="V769" s="235"/>
      <c r="W769" s="235"/>
      <c r="X769" s="235"/>
      <c r="Y769" s="235"/>
      <c r="Z769" s="235"/>
      <c r="AA769" s="235"/>
      <c r="AB769" s="235"/>
      <c r="AC769" s="235"/>
    </row>
    <row r="770">
      <c r="A770" s="194" t="s">
        <v>1295</v>
      </c>
      <c r="B770" s="193">
        <v>104176.0</v>
      </c>
      <c r="C770" s="192" t="s">
        <v>1296</v>
      </c>
      <c r="D770" s="192" t="s">
        <v>1159</v>
      </c>
      <c r="E770" s="235"/>
      <c r="F770" s="235"/>
      <c r="G770" s="325"/>
      <c r="H770" s="235"/>
      <c r="I770" s="235"/>
      <c r="J770" s="235"/>
      <c r="K770" s="235"/>
      <c r="L770" s="235"/>
      <c r="M770" s="235"/>
      <c r="N770" s="235"/>
      <c r="O770" s="235"/>
      <c r="P770" s="235"/>
      <c r="Q770" s="235"/>
      <c r="R770" s="235"/>
      <c r="S770" s="235"/>
      <c r="T770" s="235"/>
      <c r="U770" s="235"/>
      <c r="V770" s="235"/>
      <c r="W770" s="235"/>
      <c r="X770" s="235"/>
      <c r="Y770" s="235"/>
      <c r="Z770" s="235"/>
      <c r="AA770" s="235"/>
      <c r="AB770" s="235"/>
      <c r="AC770" s="235"/>
    </row>
    <row r="771">
      <c r="A771" s="194" t="s">
        <v>1275</v>
      </c>
      <c r="B771" s="193">
        <v>104210.0</v>
      </c>
      <c r="C771" s="192" t="s">
        <v>1276</v>
      </c>
      <c r="D771" s="192" t="s">
        <v>1159</v>
      </c>
      <c r="E771" s="235"/>
      <c r="F771" s="235"/>
      <c r="G771" s="325"/>
      <c r="H771" s="235"/>
      <c r="I771" s="235"/>
      <c r="J771" s="235"/>
      <c r="K771" s="235"/>
      <c r="L771" s="235"/>
      <c r="M771" s="235"/>
      <c r="N771" s="235"/>
      <c r="O771" s="235"/>
      <c r="P771" s="235"/>
      <c r="Q771" s="235"/>
      <c r="R771" s="235"/>
      <c r="S771" s="235"/>
      <c r="T771" s="235"/>
      <c r="U771" s="235"/>
      <c r="V771" s="235"/>
      <c r="W771" s="235"/>
      <c r="X771" s="235"/>
      <c r="Y771" s="235"/>
      <c r="Z771" s="235"/>
      <c r="AA771" s="235"/>
      <c r="AB771" s="235"/>
      <c r="AC771" s="235"/>
    </row>
    <row r="772">
      <c r="A772" s="194" t="s">
        <v>1260</v>
      </c>
      <c r="B772" s="193">
        <v>104183.0</v>
      </c>
      <c r="C772" s="192" t="s">
        <v>1261</v>
      </c>
      <c r="D772" s="192" t="s">
        <v>295</v>
      </c>
      <c r="E772" s="235"/>
      <c r="F772" s="235"/>
      <c r="G772" s="325"/>
      <c r="H772" s="235"/>
      <c r="I772" s="235"/>
      <c r="J772" s="235"/>
      <c r="K772" s="235"/>
      <c r="L772" s="235"/>
      <c r="M772" s="235"/>
      <c r="N772" s="235"/>
      <c r="O772" s="235"/>
      <c r="P772" s="235"/>
      <c r="Q772" s="235"/>
      <c r="R772" s="235"/>
      <c r="S772" s="235"/>
      <c r="T772" s="235"/>
      <c r="U772" s="235"/>
      <c r="V772" s="235"/>
      <c r="W772" s="235"/>
      <c r="X772" s="235"/>
      <c r="Y772" s="235"/>
      <c r="Z772" s="235"/>
      <c r="AA772" s="235"/>
      <c r="AB772" s="235"/>
      <c r="AC772" s="235"/>
    </row>
    <row r="773">
      <c r="A773" s="194" t="s">
        <v>1277</v>
      </c>
      <c r="B773" s="193">
        <v>104215.0</v>
      </c>
      <c r="C773" s="192" t="s">
        <v>1278</v>
      </c>
      <c r="D773" s="192" t="s">
        <v>265</v>
      </c>
      <c r="E773" s="235"/>
      <c r="F773" s="235"/>
      <c r="G773" s="325"/>
      <c r="H773" s="235"/>
      <c r="I773" s="235"/>
      <c r="J773" s="235"/>
      <c r="K773" s="235"/>
      <c r="L773" s="235"/>
      <c r="M773" s="235"/>
      <c r="N773" s="235"/>
      <c r="O773" s="235"/>
      <c r="P773" s="235"/>
      <c r="Q773" s="235"/>
      <c r="R773" s="235"/>
      <c r="S773" s="235"/>
      <c r="T773" s="235"/>
      <c r="U773" s="235"/>
      <c r="V773" s="235"/>
      <c r="W773" s="235"/>
      <c r="X773" s="235"/>
      <c r="Y773" s="235"/>
      <c r="Z773" s="235"/>
      <c r="AA773" s="235"/>
      <c r="AB773" s="235"/>
      <c r="AC773" s="235"/>
    </row>
    <row r="774">
      <c r="A774" s="194" t="s">
        <v>1262</v>
      </c>
      <c r="B774" s="193">
        <v>104211.0</v>
      </c>
      <c r="C774" s="192" t="s">
        <v>1263</v>
      </c>
      <c r="D774" s="192" t="s">
        <v>360</v>
      </c>
      <c r="E774" s="235"/>
      <c r="F774" s="235"/>
      <c r="G774" s="325"/>
      <c r="H774" s="235"/>
      <c r="I774" s="235"/>
      <c r="J774" s="235"/>
      <c r="K774" s="235"/>
      <c r="L774" s="235"/>
      <c r="M774" s="235"/>
      <c r="N774" s="235"/>
      <c r="O774" s="235"/>
      <c r="P774" s="235"/>
      <c r="Q774" s="235"/>
      <c r="R774" s="235"/>
      <c r="S774" s="235"/>
      <c r="T774" s="235"/>
      <c r="U774" s="235"/>
      <c r="V774" s="235"/>
      <c r="W774" s="235"/>
      <c r="X774" s="235"/>
      <c r="Y774" s="235"/>
      <c r="Z774" s="235"/>
      <c r="AA774" s="235"/>
      <c r="AB774" s="235"/>
      <c r="AC774" s="235"/>
    </row>
    <row r="775">
      <c r="A775" s="194" t="s">
        <v>1264</v>
      </c>
      <c r="B775" s="193">
        <v>104212.0</v>
      </c>
      <c r="C775" s="192" t="s">
        <v>1265</v>
      </c>
      <c r="D775" s="192" t="s">
        <v>295</v>
      </c>
      <c r="E775" s="235"/>
      <c r="F775" s="235"/>
      <c r="G775" s="325"/>
      <c r="H775" s="235"/>
      <c r="I775" s="235"/>
      <c r="J775" s="235"/>
      <c r="K775" s="235"/>
      <c r="L775" s="235"/>
      <c r="M775" s="235"/>
      <c r="N775" s="235"/>
      <c r="O775" s="235"/>
      <c r="P775" s="235"/>
      <c r="Q775" s="235"/>
      <c r="R775" s="235"/>
      <c r="S775" s="235"/>
      <c r="T775" s="235"/>
      <c r="U775" s="235"/>
      <c r="V775" s="235"/>
      <c r="W775" s="235"/>
      <c r="X775" s="235"/>
      <c r="Y775" s="235"/>
      <c r="Z775" s="235"/>
      <c r="AA775" s="235"/>
      <c r="AB775" s="235"/>
      <c r="AC775" s="235"/>
    </row>
    <row r="776">
      <c r="A776" s="194" t="s">
        <v>1480</v>
      </c>
      <c r="B776" s="193">
        <v>104281.0</v>
      </c>
      <c r="C776" s="192" t="s">
        <v>1481</v>
      </c>
      <c r="D776" s="192" t="s">
        <v>397</v>
      </c>
      <c r="E776" s="235"/>
      <c r="F776" s="235"/>
      <c r="G776" s="325"/>
      <c r="H776" s="235"/>
      <c r="I776" s="235"/>
      <c r="J776" s="235"/>
      <c r="K776" s="235"/>
      <c r="L776" s="235"/>
      <c r="M776" s="235"/>
      <c r="N776" s="235"/>
      <c r="O776" s="235"/>
      <c r="P776" s="235"/>
      <c r="Q776" s="235"/>
      <c r="R776" s="235"/>
      <c r="S776" s="235"/>
      <c r="T776" s="235"/>
      <c r="U776" s="235"/>
      <c r="V776" s="235"/>
      <c r="W776" s="235"/>
      <c r="X776" s="235"/>
      <c r="Y776" s="235"/>
      <c r="Z776" s="235"/>
      <c r="AA776" s="235"/>
      <c r="AB776" s="235"/>
      <c r="AC776" s="235"/>
    </row>
    <row r="777">
      <c r="A777" s="194" t="s">
        <v>1442</v>
      </c>
      <c r="B777" s="193">
        <v>104494.0</v>
      </c>
      <c r="C777" s="192" t="s">
        <v>1443</v>
      </c>
      <c r="D777" s="192" t="s">
        <v>1434</v>
      </c>
      <c r="E777" s="235"/>
      <c r="F777" s="235"/>
      <c r="G777" s="325"/>
      <c r="H777" s="235"/>
      <c r="I777" s="235"/>
      <c r="J777" s="235"/>
      <c r="K777" s="235"/>
      <c r="L777" s="235"/>
      <c r="M777" s="235"/>
      <c r="N777" s="235"/>
      <c r="O777" s="235"/>
      <c r="P777" s="235"/>
      <c r="Q777" s="235"/>
      <c r="R777" s="235"/>
      <c r="S777" s="235"/>
      <c r="T777" s="235"/>
      <c r="U777" s="235"/>
      <c r="V777" s="235"/>
      <c r="W777" s="235"/>
      <c r="X777" s="235"/>
      <c r="Y777" s="235"/>
      <c r="Z777" s="235"/>
      <c r="AA777" s="235"/>
      <c r="AB777" s="235"/>
      <c r="AC777" s="235"/>
    </row>
    <row r="778">
      <c r="A778" s="194" t="s">
        <v>1444</v>
      </c>
      <c r="B778" s="193">
        <v>104463.0</v>
      </c>
      <c r="C778" s="192" t="s">
        <v>1445</v>
      </c>
      <c r="D778" s="192" t="s">
        <v>646</v>
      </c>
      <c r="E778" s="235"/>
      <c r="F778" s="235"/>
      <c r="G778" s="325"/>
      <c r="H778" s="235"/>
      <c r="I778" s="235"/>
      <c r="J778" s="235"/>
      <c r="K778" s="235"/>
      <c r="L778" s="235"/>
      <c r="M778" s="235"/>
      <c r="N778" s="235"/>
      <c r="O778" s="235"/>
      <c r="P778" s="235"/>
      <c r="Q778" s="235"/>
      <c r="R778" s="235"/>
      <c r="S778" s="235"/>
      <c r="T778" s="235"/>
      <c r="U778" s="235"/>
      <c r="V778" s="235"/>
      <c r="W778" s="235"/>
      <c r="X778" s="235"/>
      <c r="Y778" s="235"/>
      <c r="Z778" s="235"/>
      <c r="AA778" s="235"/>
      <c r="AB778" s="235"/>
      <c r="AC778" s="235"/>
    </row>
    <row r="779">
      <c r="A779" s="194" t="s">
        <v>1450</v>
      </c>
      <c r="B779" s="193">
        <v>104465.0</v>
      </c>
      <c r="C779" s="192" t="s">
        <v>1451</v>
      </c>
      <c r="D779" s="192" t="s">
        <v>1140</v>
      </c>
      <c r="E779" s="235"/>
      <c r="F779" s="235"/>
      <c r="G779" s="325"/>
      <c r="H779" s="235"/>
      <c r="I779" s="235"/>
      <c r="J779" s="235"/>
      <c r="K779" s="235"/>
      <c r="L779" s="235"/>
      <c r="M779" s="235"/>
      <c r="N779" s="235"/>
      <c r="O779" s="235"/>
      <c r="P779" s="235"/>
      <c r="Q779" s="235"/>
      <c r="R779" s="235"/>
      <c r="S779" s="235"/>
      <c r="T779" s="235"/>
      <c r="U779" s="235"/>
      <c r="V779" s="235"/>
      <c r="W779" s="235"/>
      <c r="X779" s="235"/>
      <c r="Y779" s="235"/>
      <c r="Z779" s="235"/>
      <c r="AA779" s="235"/>
      <c r="AB779" s="235"/>
      <c r="AC779" s="235"/>
    </row>
    <row r="780">
      <c r="A780" s="194" t="s">
        <v>1454</v>
      </c>
      <c r="B780" s="193">
        <v>104487.0</v>
      </c>
      <c r="C780" s="192" t="s">
        <v>1455</v>
      </c>
      <c r="D780" s="192" t="s">
        <v>427</v>
      </c>
      <c r="E780" s="235"/>
      <c r="F780" s="235"/>
      <c r="G780" s="325"/>
      <c r="H780" s="235"/>
      <c r="I780" s="235"/>
      <c r="J780" s="235"/>
      <c r="K780" s="235"/>
      <c r="L780" s="235"/>
      <c r="M780" s="235"/>
      <c r="N780" s="235"/>
      <c r="O780" s="235"/>
      <c r="P780" s="235"/>
      <c r="Q780" s="235"/>
      <c r="R780" s="235"/>
      <c r="S780" s="235"/>
      <c r="T780" s="235"/>
      <c r="U780" s="235"/>
      <c r="V780" s="235"/>
      <c r="W780" s="235"/>
      <c r="X780" s="235"/>
      <c r="Y780" s="235"/>
      <c r="Z780" s="235"/>
      <c r="AA780" s="235"/>
      <c r="AB780" s="235"/>
      <c r="AC780" s="235"/>
    </row>
    <row r="781">
      <c r="A781" s="194" t="s">
        <v>1415</v>
      </c>
      <c r="B781" s="193">
        <v>104400.0</v>
      </c>
      <c r="C781" s="192" t="s">
        <v>1416</v>
      </c>
      <c r="D781" s="192" t="s">
        <v>1417</v>
      </c>
      <c r="E781" s="235"/>
      <c r="F781" s="235"/>
      <c r="G781" s="325"/>
      <c r="H781" s="235"/>
      <c r="I781" s="235"/>
      <c r="J781" s="235"/>
      <c r="K781" s="235"/>
      <c r="L781" s="235"/>
      <c r="M781" s="235"/>
      <c r="N781" s="235"/>
      <c r="O781" s="235"/>
      <c r="P781" s="235"/>
      <c r="Q781" s="235"/>
      <c r="R781" s="235"/>
      <c r="S781" s="235"/>
      <c r="T781" s="235"/>
      <c r="U781" s="235"/>
      <c r="V781" s="235"/>
      <c r="W781" s="235"/>
      <c r="X781" s="235"/>
      <c r="Y781" s="235"/>
      <c r="Z781" s="235"/>
      <c r="AA781" s="235"/>
      <c r="AB781" s="235"/>
      <c r="AC781" s="235"/>
    </row>
    <row r="782">
      <c r="A782" s="194" t="s">
        <v>1452</v>
      </c>
      <c r="B782" s="193">
        <v>104460.0</v>
      </c>
      <c r="C782" s="192" t="s">
        <v>1453</v>
      </c>
      <c r="D782" s="192" t="s">
        <v>646</v>
      </c>
      <c r="E782" s="235"/>
      <c r="F782" s="235"/>
      <c r="G782" s="325"/>
      <c r="H782" s="235"/>
      <c r="I782" s="235"/>
      <c r="J782" s="235"/>
      <c r="K782" s="235"/>
      <c r="L782" s="235"/>
      <c r="M782" s="235"/>
      <c r="N782" s="235"/>
      <c r="O782" s="235"/>
      <c r="P782" s="235"/>
      <c r="Q782" s="235"/>
      <c r="R782" s="235"/>
      <c r="S782" s="235"/>
      <c r="T782" s="235"/>
      <c r="U782" s="235"/>
      <c r="V782" s="235"/>
      <c r="W782" s="235"/>
      <c r="X782" s="235"/>
      <c r="Y782" s="235"/>
      <c r="Z782" s="235"/>
      <c r="AA782" s="235"/>
      <c r="AB782" s="235"/>
      <c r="AC782" s="235"/>
    </row>
    <row r="783">
      <c r="A783" s="194" t="s">
        <v>1474</v>
      </c>
      <c r="B783" s="193">
        <v>104642.0</v>
      </c>
      <c r="C783" s="192" t="s">
        <v>1475</v>
      </c>
      <c r="D783" s="192" t="s">
        <v>427</v>
      </c>
      <c r="E783" s="235"/>
      <c r="F783" s="235"/>
      <c r="G783" s="325"/>
      <c r="H783" s="235"/>
      <c r="I783" s="235"/>
      <c r="J783" s="235"/>
      <c r="K783" s="235"/>
      <c r="L783" s="235"/>
      <c r="M783" s="235"/>
      <c r="N783" s="235"/>
      <c r="O783" s="235"/>
      <c r="P783" s="235"/>
      <c r="Q783" s="235"/>
      <c r="R783" s="235"/>
      <c r="S783" s="235"/>
      <c r="T783" s="235"/>
      <c r="U783" s="235"/>
      <c r="V783" s="235"/>
      <c r="W783" s="235"/>
      <c r="X783" s="235"/>
      <c r="Y783" s="235"/>
      <c r="Z783" s="235"/>
      <c r="AA783" s="235"/>
      <c r="AB783" s="235"/>
      <c r="AC783" s="235"/>
    </row>
    <row r="784">
      <c r="A784" s="194" t="s">
        <v>1490</v>
      </c>
      <c r="B784" s="193">
        <v>104460.0</v>
      </c>
      <c r="C784" s="192" t="s">
        <v>1453</v>
      </c>
      <c r="D784" s="192" t="s">
        <v>646</v>
      </c>
      <c r="E784" s="235"/>
      <c r="F784" s="235"/>
      <c r="G784" s="325"/>
      <c r="H784" s="235"/>
      <c r="I784" s="235"/>
      <c r="J784" s="235"/>
      <c r="K784" s="235"/>
      <c r="L784" s="235"/>
      <c r="M784" s="235"/>
      <c r="N784" s="235"/>
      <c r="O784" s="235"/>
      <c r="P784" s="235"/>
      <c r="Q784" s="235"/>
      <c r="R784" s="235"/>
      <c r="S784" s="235"/>
      <c r="T784" s="235"/>
      <c r="U784" s="235"/>
      <c r="V784" s="235"/>
      <c r="W784" s="235"/>
      <c r="X784" s="235"/>
      <c r="Y784" s="235"/>
      <c r="Z784" s="235"/>
      <c r="AA784" s="235"/>
      <c r="AB784" s="235"/>
      <c r="AC784" s="235"/>
    </row>
    <row r="785">
      <c r="A785" s="194" t="s">
        <v>1495</v>
      </c>
      <c r="B785" s="193">
        <v>104693.0</v>
      </c>
      <c r="C785" s="192" t="s">
        <v>1496</v>
      </c>
      <c r="D785" s="192" t="s">
        <v>646</v>
      </c>
      <c r="E785" s="235"/>
      <c r="F785" s="235"/>
      <c r="G785" s="325"/>
      <c r="H785" s="235"/>
      <c r="I785" s="235"/>
      <c r="J785" s="235"/>
      <c r="K785" s="235"/>
      <c r="L785" s="235"/>
      <c r="M785" s="235"/>
      <c r="N785" s="235"/>
      <c r="O785" s="235"/>
      <c r="P785" s="235"/>
      <c r="Q785" s="235"/>
      <c r="R785" s="235"/>
      <c r="S785" s="235"/>
      <c r="T785" s="235"/>
      <c r="U785" s="235"/>
      <c r="V785" s="235"/>
      <c r="W785" s="235"/>
      <c r="X785" s="235"/>
      <c r="Y785" s="235"/>
      <c r="Z785" s="235"/>
      <c r="AA785" s="235"/>
      <c r="AB785" s="235"/>
      <c r="AC785" s="235"/>
    </row>
    <row r="786">
      <c r="A786" s="194" t="s">
        <v>1499</v>
      </c>
      <c r="B786" s="193">
        <v>104676.0</v>
      </c>
      <c r="C786" s="192" t="s">
        <v>1500</v>
      </c>
      <c r="D786" s="192" t="s">
        <v>646</v>
      </c>
      <c r="E786" s="235"/>
      <c r="F786" s="235"/>
      <c r="G786" s="325"/>
      <c r="H786" s="235"/>
      <c r="I786" s="235"/>
      <c r="J786" s="235"/>
      <c r="K786" s="235"/>
      <c r="L786" s="235"/>
      <c r="M786" s="235"/>
      <c r="N786" s="235"/>
      <c r="O786" s="235"/>
      <c r="P786" s="235"/>
      <c r="Q786" s="235"/>
      <c r="R786" s="235"/>
      <c r="S786" s="235"/>
      <c r="T786" s="235"/>
      <c r="U786" s="235"/>
      <c r="V786" s="235"/>
      <c r="W786" s="235"/>
      <c r="X786" s="235"/>
      <c r="Y786" s="235"/>
      <c r="Z786" s="235"/>
      <c r="AA786" s="235"/>
      <c r="AB786" s="235"/>
      <c r="AC786" s="235"/>
    </row>
    <row r="787">
      <c r="A787" s="194" t="s">
        <v>1853</v>
      </c>
      <c r="B787" s="193">
        <v>105405.0</v>
      </c>
      <c r="C787" s="192" t="s">
        <v>1854</v>
      </c>
      <c r="D787" s="192" t="s">
        <v>806</v>
      </c>
      <c r="E787" s="235"/>
      <c r="F787" s="235"/>
      <c r="G787" s="325"/>
      <c r="H787" s="235"/>
      <c r="I787" s="235"/>
      <c r="J787" s="235"/>
      <c r="K787" s="235"/>
      <c r="L787" s="235"/>
      <c r="M787" s="235"/>
      <c r="N787" s="235"/>
      <c r="O787" s="235"/>
      <c r="P787" s="235"/>
      <c r="Q787" s="235"/>
      <c r="R787" s="235"/>
      <c r="S787" s="235"/>
      <c r="T787" s="235"/>
      <c r="U787" s="235"/>
      <c r="V787" s="235"/>
      <c r="W787" s="235"/>
      <c r="X787" s="235"/>
      <c r="Y787" s="235"/>
      <c r="Z787" s="235"/>
      <c r="AA787" s="235"/>
      <c r="AB787" s="235"/>
      <c r="AC787" s="235"/>
    </row>
    <row r="788">
      <c r="A788" s="194" t="s">
        <v>1768</v>
      </c>
      <c r="B788" s="193">
        <v>105335.0</v>
      </c>
      <c r="C788" s="192" t="s">
        <v>1769</v>
      </c>
      <c r="D788" s="192" t="s">
        <v>427</v>
      </c>
      <c r="E788" s="235"/>
      <c r="F788" s="235"/>
      <c r="G788" s="325"/>
      <c r="H788" s="235"/>
      <c r="I788" s="235"/>
      <c r="J788" s="235"/>
      <c r="K788" s="235"/>
      <c r="L788" s="235"/>
      <c r="M788" s="235"/>
      <c r="N788" s="235"/>
      <c r="O788" s="235"/>
      <c r="P788" s="235"/>
      <c r="Q788" s="235"/>
      <c r="R788" s="235"/>
      <c r="S788" s="235"/>
      <c r="T788" s="235"/>
      <c r="U788" s="235"/>
      <c r="V788" s="235"/>
      <c r="W788" s="235"/>
      <c r="X788" s="235"/>
      <c r="Y788" s="235"/>
      <c r="Z788" s="235"/>
      <c r="AA788" s="235"/>
      <c r="AB788" s="235"/>
      <c r="AC788" s="235"/>
    </row>
    <row r="789">
      <c r="A789" s="194" t="s">
        <v>1806</v>
      </c>
      <c r="B789" s="193">
        <v>105340.0</v>
      </c>
      <c r="C789" s="192" t="s">
        <v>1807</v>
      </c>
      <c r="D789" s="192" t="s">
        <v>87</v>
      </c>
      <c r="E789" s="235"/>
      <c r="F789" s="235"/>
      <c r="G789" s="325"/>
      <c r="H789" s="235"/>
      <c r="I789" s="235"/>
      <c r="J789" s="235"/>
      <c r="K789" s="235"/>
      <c r="L789" s="235"/>
      <c r="M789" s="235"/>
      <c r="N789" s="235"/>
      <c r="O789" s="235"/>
      <c r="P789" s="235"/>
      <c r="Q789" s="235"/>
      <c r="R789" s="235"/>
      <c r="S789" s="235"/>
      <c r="T789" s="235"/>
      <c r="U789" s="235"/>
      <c r="V789" s="235"/>
      <c r="W789" s="235"/>
      <c r="X789" s="235"/>
      <c r="Y789" s="235"/>
      <c r="Z789" s="235"/>
      <c r="AA789" s="235"/>
      <c r="AB789" s="235"/>
      <c r="AC789" s="235"/>
    </row>
    <row r="790">
      <c r="A790" s="194" t="s">
        <v>1817</v>
      </c>
      <c r="B790" s="193">
        <v>105336.0</v>
      </c>
      <c r="C790" s="192" t="s">
        <v>1818</v>
      </c>
      <c r="D790" s="192" t="s">
        <v>87</v>
      </c>
      <c r="E790" s="235"/>
      <c r="F790" s="235"/>
      <c r="G790" s="325"/>
      <c r="H790" s="235"/>
      <c r="I790" s="235"/>
      <c r="J790" s="235"/>
      <c r="K790" s="235"/>
      <c r="L790" s="235"/>
      <c r="M790" s="235"/>
      <c r="N790" s="235"/>
      <c r="O790" s="235"/>
      <c r="P790" s="235"/>
      <c r="Q790" s="235"/>
      <c r="R790" s="235"/>
      <c r="S790" s="235"/>
      <c r="T790" s="235"/>
      <c r="U790" s="235"/>
      <c r="V790" s="235"/>
      <c r="W790" s="235"/>
      <c r="X790" s="235"/>
      <c r="Y790" s="235"/>
      <c r="Z790" s="235"/>
      <c r="AA790" s="235"/>
      <c r="AB790" s="235"/>
      <c r="AC790" s="235"/>
    </row>
    <row r="791">
      <c r="A791" s="194" t="s">
        <v>1819</v>
      </c>
      <c r="B791" s="193">
        <v>105336.0</v>
      </c>
      <c r="C791" s="192" t="s">
        <v>1818</v>
      </c>
      <c r="D791" s="192" t="s">
        <v>1212</v>
      </c>
      <c r="E791" s="235"/>
      <c r="F791" s="235"/>
      <c r="G791" s="325"/>
      <c r="H791" s="235"/>
      <c r="I791" s="235"/>
      <c r="J791" s="235"/>
      <c r="K791" s="235"/>
      <c r="L791" s="235"/>
      <c r="M791" s="235"/>
      <c r="N791" s="235"/>
      <c r="O791" s="235"/>
      <c r="P791" s="235"/>
      <c r="Q791" s="235"/>
      <c r="R791" s="235"/>
      <c r="S791" s="235"/>
      <c r="T791" s="235"/>
      <c r="U791" s="235"/>
      <c r="V791" s="235"/>
      <c r="W791" s="235"/>
      <c r="X791" s="235"/>
      <c r="Y791" s="235"/>
      <c r="Z791" s="235"/>
      <c r="AA791" s="235"/>
      <c r="AB791" s="235"/>
      <c r="AC791" s="235"/>
    </row>
    <row r="792">
      <c r="A792" s="194" t="s">
        <v>1820</v>
      </c>
      <c r="B792" s="193">
        <v>105325.0</v>
      </c>
      <c r="C792" s="192" t="s">
        <v>1821</v>
      </c>
      <c r="D792" s="192" t="s">
        <v>87</v>
      </c>
      <c r="E792" s="235"/>
      <c r="F792" s="235"/>
      <c r="G792" s="325"/>
      <c r="H792" s="235"/>
      <c r="I792" s="235"/>
      <c r="J792" s="235"/>
      <c r="K792" s="235"/>
      <c r="L792" s="235"/>
      <c r="M792" s="235"/>
      <c r="N792" s="235"/>
      <c r="O792" s="235"/>
      <c r="P792" s="235"/>
      <c r="Q792" s="235"/>
      <c r="R792" s="235"/>
      <c r="S792" s="235"/>
      <c r="T792" s="235"/>
      <c r="U792" s="235"/>
      <c r="V792" s="235"/>
      <c r="W792" s="235"/>
      <c r="X792" s="235"/>
      <c r="Y792" s="235"/>
      <c r="Z792" s="235"/>
      <c r="AA792" s="235"/>
      <c r="AB792" s="235"/>
      <c r="AC792" s="235"/>
    </row>
    <row r="793">
      <c r="A793" s="194" t="s">
        <v>1808</v>
      </c>
      <c r="B793" s="193">
        <v>105327.0</v>
      </c>
      <c r="C793" s="192" t="s">
        <v>1809</v>
      </c>
      <c r="D793" s="192" t="s">
        <v>87</v>
      </c>
      <c r="E793" s="235"/>
      <c r="F793" s="235"/>
      <c r="G793" s="325"/>
      <c r="H793" s="235"/>
      <c r="I793" s="235"/>
      <c r="J793" s="235"/>
      <c r="K793" s="235"/>
      <c r="L793" s="235"/>
      <c r="M793" s="235"/>
      <c r="N793" s="235"/>
      <c r="O793" s="235"/>
      <c r="P793" s="235"/>
      <c r="Q793" s="235"/>
      <c r="R793" s="235"/>
      <c r="S793" s="235"/>
      <c r="T793" s="235"/>
      <c r="U793" s="235"/>
      <c r="V793" s="235"/>
      <c r="W793" s="235"/>
      <c r="X793" s="235"/>
      <c r="Y793" s="235"/>
      <c r="Z793" s="235"/>
      <c r="AA793" s="235"/>
      <c r="AB793" s="235"/>
      <c r="AC793" s="235"/>
    </row>
    <row r="794">
      <c r="A794" s="194" t="s">
        <v>1810</v>
      </c>
      <c r="B794" s="193">
        <v>105295.0</v>
      </c>
      <c r="C794" s="192" t="s">
        <v>1811</v>
      </c>
      <c r="D794" s="192" t="s">
        <v>87</v>
      </c>
      <c r="E794" s="235"/>
      <c r="F794" s="235"/>
      <c r="G794" s="325"/>
      <c r="H794" s="235"/>
      <c r="I794" s="235"/>
      <c r="J794" s="235"/>
      <c r="K794" s="235"/>
      <c r="L794" s="235"/>
      <c r="M794" s="235"/>
      <c r="N794" s="235"/>
      <c r="O794" s="235"/>
      <c r="P794" s="235"/>
      <c r="Q794" s="235"/>
      <c r="R794" s="235"/>
      <c r="S794" s="235"/>
      <c r="T794" s="235"/>
      <c r="U794" s="235"/>
      <c r="V794" s="235"/>
      <c r="W794" s="235"/>
      <c r="X794" s="235"/>
      <c r="Y794" s="235"/>
      <c r="Z794" s="235"/>
      <c r="AA794" s="235"/>
      <c r="AB794" s="235"/>
      <c r="AC794" s="235"/>
    </row>
    <row r="795">
      <c r="A795" s="194" t="s">
        <v>1772</v>
      </c>
      <c r="B795" s="193">
        <v>105291.0</v>
      </c>
      <c r="C795" s="192" t="s">
        <v>1773</v>
      </c>
      <c r="D795" s="192" t="s">
        <v>87</v>
      </c>
      <c r="E795" s="235"/>
      <c r="F795" s="235"/>
      <c r="G795" s="325"/>
      <c r="H795" s="235"/>
      <c r="I795" s="235"/>
      <c r="J795" s="235"/>
      <c r="K795" s="235"/>
      <c r="L795" s="235"/>
      <c r="M795" s="235"/>
      <c r="N795" s="235"/>
      <c r="O795" s="235"/>
      <c r="P795" s="235"/>
      <c r="Q795" s="235"/>
      <c r="R795" s="235"/>
      <c r="S795" s="235"/>
      <c r="T795" s="235"/>
      <c r="U795" s="235"/>
      <c r="V795" s="235"/>
      <c r="W795" s="235"/>
      <c r="X795" s="235"/>
      <c r="Y795" s="235"/>
      <c r="Z795" s="235"/>
      <c r="AA795" s="235"/>
      <c r="AB795" s="235"/>
      <c r="AC795" s="235"/>
    </row>
    <row r="796">
      <c r="A796" s="194" t="s">
        <v>1766</v>
      </c>
      <c r="B796" s="193">
        <v>105273.0</v>
      </c>
      <c r="C796" s="192" t="s">
        <v>1767</v>
      </c>
      <c r="D796" s="192" t="s">
        <v>87</v>
      </c>
      <c r="E796" s="235"/>
      <c r="F796" s="235"/>
      <c r="G796" s="325"/>
      <c r="H796" s="235"/>
      <c r="I796" s="235"/>
      <c r="J796" s="235"/>
      <c r="K796" s="235"/>
      <c r="L796" s="235"/>
      <c r="M796" s="235"/>
      <c r="N796" s="235"/>
      <c r="O796" s="235"/>
      <c r="P796" s="235"/>
      <c r="Q796" s="235"/>
      <c r="R796" s="235"/>
      <c r="S796" s="235"/>
      <c r="T796" s="235"/>
      <c r="U796" s="235"/>
      <c r="V796" s="235"/>
      <c r="W796" s="235"/>
      <c r="X796" s="235"/>
      <c r="Y796" s="235"/>
      <c r="Z796" s="235"/>
      <c r="AA796" s="235"/>
      <c r="AB796" s="235"/>
      <c r="AC796" s="235"/>
    </row>
    <row r="797">
      <c r="A797" s="194" t="s">
        <v>1612</v>
      </c>
      <c r="B797" s="193">
        <v>104894.0</v>
      </c>
      <c r="C797" s="192" t="s">
        <v>1613</v>
      </c>
      <c r="D797" s="192" t="s">
        <v>87</v>
      </c>
      <c r="E797" s="235"/>
      <c r="F797" s="235"/>
      <c r="G797" s="325"/>
      <c r="H797" s="235"/>
      <c r="I797" s="235"/>
      <c r="J797" s="235"/>
      <c r="K797" s="235"/>
      <c r="L797" s="235"/>
      <c r="M797" s="235"/>
      <c r="N797" s="235"/>
      <c r="O797" s="235"/>
      <c r="P797" s="235"/>
      <c r="Q797" s="235"/>
      <c r="R797" s="235"/>
      <c r="S797" s="235"/>
      <c r="T797" s="235"/>
      <c r="U797" s="235"/>
      <c r="V797" s="235"/>
      <c r="W797" s="235"/>
      <c r="X797" s="235"/>
      <c r="Y797" s="235"/>
      <c r="Z797" s="235"/>
      <c r="AA797" s="235"/>
      <c r="AB797" s="235"/>
      <c r="AC797" s="235"/>
    </row>
    <row r="798">
      <c r="A798" s="194" t="s">
        <v>1833</v>
      </c>
      <c r="B798" s="193">
        <v>105332.0</v>
      </c>
      <c r="C798" s="192" t="s">
        <v>1834</v>
      </c>
      <c r="D798" s="192" t="s">
        <v>254</v>
      </c>
      <c r="E798" s="235"/>
      <c r="F798" s="235"/>
      <c r="G798" s="325"/>
      <c r="H798" s="235"/>
      <c r="I798" s="235"/>
      <c r="J798" s="235"/>
      <c r="K798" s="235"/>
      <c r="L798" s="235"/>
      <c r="M798" s="235"/>
      <c r="N798" s="235"/>
      <c r="O798" s="235"/>
      <c r="P798" s="235"/>
      <c r="Q798" s="235"/>
      <c r="R798" s="235"/>
      <c r="S798" s="235"/>
      <c r="T798" s="235"/>
      <c r="U798" s="235"/>
      <c r="V798" s="235"/>
      <c r="W798" s="235"/>
      <c r="X798" s="235"/>
      <c r="Y798" s="235"/>
      <c r="Z798" s="235"/>
      <c r="AA798" s="235"/>
      <c r="AB798" s="235"/>
      <c r="AC798" s="235"/>
    </row>
    <row r="799">
      <c r="A799" s="194" t="s">
        <v>1788</v>
      </c>
      <c r="B799" s="193">
        <v>105315.0</v>
      </c>
      <c r="C799" s="192" t="s">
        <v>1789</v>
      </c>
      <c r="D799" s="192" t="s">
        <v>254</v>
      </c>
      <c r="E799" s="235"/>
      <c r="F799" s="235"/>
      <c r="G799" s="325"/>
      <c r="H799" s="235"/>
      <c r="I799" s="235"/>
      <c r="J799" s="235"/>
      <c r="K799" s="235"/>
      <c r="L799" s="235"/>
      <c r="M799" s="235"/>
      <c r="N799" s="235"/>
      <c r="O799" s="235"/>
      <c r="P799" s="235"/>
      <c r="Q799" s="235"/>
      <c r="R799" s="235"/>
      <c r="S799" s="235"/>
      <c r="T799" s="235"/>
      <c r="U799" s="235"/>
      <c r="V799" s="235"/>
      <c r="W799" s="235"/>
      <c r="X799" s="235"/>
      <c r="Y799" s="235"/>
      <c r="Z799" s="235"/>
      <c r="AA799" s="235"/>
      <c r="AB799" s="235"/>
      <c r="AC799" s="235"/>
    </row>
    <row r="800">
      <c r="A800" s="194" t="s">
        <v>1724</v>
      </c>
      <c r="B800" s="193">
        <v>105153.0</v>
      </c>
      <c r="C800" s="192" t="s">
        <v>1725</v>
      </c>
      <c r="D800" s="192" t="s">
        <v>1726</v>
      </c>
      <c r="E800" s="235"/>
      <c r="F800" s="235"/>
      <c r="G800" s="325"/>
      <c r="H800" s="235"/>
      <c r="I800" s="235"/>
      <c r="J800" s="235"/>
      <c r="K800" s="235"/>
      <c r="L800" s="235"/>
      <c r="M800" s="235"/>
      <c r="N800" s="235"/>
      <c r="O800" s="235"/>
      <c r="P800" s="235"/>
      <c r="Q800" s="235"/>
      <c r="R800" s="235"/>
      <c r="S800" s="235"/>
      <c r="T800" s="235"/>
      <c r="U800" s="235"/>
      <c r="V800" s="235"/>
      <c r="W800" s="235"/>
      <c r="X800" s="235"/>
      <c r="Y800" s="235"/>
      <c r="Z800" s="235"/>
      <c r="AA800" s="235"/>
      <c r="AB800" s="235"/>
      <c r="AC800" s="235"/>
    </row>
    <row r="801">
      <c r="A801" s="194" t="s">
        <v>1822</v>
      </c>
      <c r="B801" s="193">
        <v>105328.0</v>
      </c>
      <c r="C801" s="192" t="s">
        <v>1823</v>
      </c>
      <c r="D801" s="192" t="s">
        <v>254</v>
      </c>
      <c r="E801" s="235"/>
      <c r="F801" s="235"/>
      <c r="G801" s="325"/>
      <c r="H801" s="235"/>
      <c r="I801" s="235"/>
      <c r="J801" s="235"/>
      <c r="K801" s="235"/>
      <c r="L801" s="235"/>
      <c r="M801" s="235"/>
      <c r="N801" s="235"/>
      <c r="O801" s="235"/>
      <c r="P801" s="235"/>
      <c r="Q801" s="235"/>
      <c r="R801" s="235"/>
      <c r="S801" s="235"/>
      <c r="T801" s="235"/>
      <c r="U801" s="235"/>
      <c r="V801" s="235"/>
      <c r="W801" s="235"/>
      <c r="X801" s="235"/>
      <c r="Y801" s="235"/>
      <c r="Z801" s="235"/>
      <c r="AA801" s="235"/>
      <c r="AB801" s="235"/>
      <c r="AC801" s="235"/>
    </row>
    <row r="802">
      <c r="A802" s="194" t="s">
        <v>1743</v>
      </c>
      <c r="B802" s="193">
        <v>105192.0</v>
      </c>
      <c r="C802" s="192" t="s">
        <v>1744</v>
      </c>
      <c r="D802" s="192" t="s">
        <v>113</v>
      </c>
      <c r="E802" s="235"/>
      <c r="F802" s="235"/>
      <c r="G802" s="325"/>
      <c r="H802" s="235"/>
      <c r="I802" s="235"/>
      <c r="J802" s="235"/>
      <c r="K802" s="235"/>
      <c r="L802" s="235"/>
      <c r="M802" s="235"/>
      <c r="N802" s="235"/>
      <c r="O802" s="235"/>
      <c r="P802" s="235"/>
      <c r="Q802" s="235"/>
      <c r="R802" s="235"/>
      <c r="S802" s="235"/>
      <c r="T802" s="235"/>
      <c r="U802" s="235"/>
      <c r="V802" s="235"/>
      <c r="W802" s="235"/>
      <c r="X802" s="235"/>
      <c r="Y802" s="235"/>
      <c r="Z802" s="235"/>
      <c r="AA802" s="235"/>
      <c r="AB802" s="235"/>
      <c r="AC802" s="235"/>
    </row>
    <row r="803">
      <c r="A803" s="194" t="s">
        <v>1593</v>
      </c>
      <c r="B803" s="193">
        <v>104972.0</v>
      </c>
      <c r="C803" s="192" t="s">
        <v>1594</v>
      </c>
      <c r="D803" s="192" t="s">
        <v>1140</v>
      </c>
      <c r="E803" s="235"/>
      <c r="F803" s="235"/>
      <c r="G803" s="325"/>
      <c r="H803" s="235"/>
      <c r="I803" s="235"/>
      <c r="J803" s="235"/>
      <c r="K803" s="235"/>
      <c r="L803" s="235"/>
      <c r="M803" s="235"/>
      <c r="N803" s="235"/>
      <c r="O803" s="235"/>
      <c r="P803" s="235"/>
      <c r="Q803" s="235"/>
      <c r="R803" s="235"/>
      <c r="S803" s="235"/>
      <c r="T803" s="235"/>
      <c r="U803" s="235"/>
      <c r="V803" s="235"/>
      <c r="W803" s="235"/>
      <c r="X803" s="235"/>
      <c r="Y803" s="235"/>
      <c r="Z803" s="235"/>
      <c r="AA803" s="235"/>
      <c r="AB803" s="235"/>
      <c r="AC803" s="235"/>
    </row>
    <row r="804">
      <c r="A804" s="194" t="s">
        <v>1606</v>
      </c>
      <c r="B804" s="193">
        <v>105024.0</v>
      </c>
      <c r="C804" s="192" t="s">
        <v>1607</v>
      </c>
      <c r="D804" s="192" t="s">
        <v>1140</v>
      </c>
      <c r="E804" s="235"/>
      <c r="F804" s="235"/>
      <c r="G804" s="325"/>
      <c r="H804" s="235"/>
      <c r="I804" s="235"/>
      <c r="J804" s="235"/>
      <c r="K804" s="235"/>
      <c r="L804" s="235"/>
      <c r="M804" s="235"/>
      <c r="N804" s="235"/>
      <c r="O804" s="235"/>
      <c r="P804" s="235"/>
      <c r="Q804" s="235"/>
      <c r="R804" s="235"/>
      <c r="S804" s="235"/>
      <c r="T804" s="235"/>
      <c r="U804" s="235"/>
      <c r="V804" s="235"/>
      <c r="W804" s="235"/>
      <c r="X804" s="235"/>
      <c r="Y804" s="235"/>
      <c r="Z804" s="235"/>
      <c r="AA804" s="235"/>
      <c r="AB804" s="235"/>
      <c r="AC804" s="235"/>
    </row>
    <row r="805">
      <c r="A805" s="194" t="s">
        <v>1677</v>
      </c>
      <c r="B805" s="193">
        <v>105090.0</v>
      </c>
      <c r="C805" s="192" t="s">
        <v>1678</v>
      </c>
      <c r="D805" s="192" t="s">
        <v>1140</v>
      </c>
      <c r="E805" s="235"/>
      <c r="F805" s="235"/>
      <c r="G805" s="325"/>
      <c r="H805" s="235"/>
      <c r="I805" s="235"/>
      <c r="J805" s="235"/>
      <c r="K805" s="235"/>
      <c r="L805" s="235"/>
      <c r="M805" s="235"/>
      <c r="N805" s="235"/>
      <c r="O805" s="235"/>
      <c r="P805" s="235"/>
      <c r="Q805" s="235"/>
      <c r="R805" s="235"/>
      <c r="S805" s="235"/>
      <c r="T805" s="235"/>
      <c r="U805" s="235"/>
      <c r="V805" s="235"/>
      <c r="W805" s="235"/>
      <c r="X805" s="235"/>
      <c r="Y805" s="235"/>
      <c r="Z805" s="235"/>
      <c r="AA805" s="235"/>
      <c r="AB805" s="235"/>
      <c r="AC805" s="235"/>
    </row>
    <row r="806">
      <c r="A806" s="194" t="s">
        <v>1654</v>
      </c>
      <c r="B806" s="193">
        <v>105029.0</v>
      </c>
      <c r="C806" s="192" t="s">
        <v>1655</v>
      </c>
      <c r="D806" s="192" t="s">
        <v>254</v>
      </c>
      <c r="E806" s="235"/>
      <c r="F806" s="235"/>
      <c r="G806" s="325"/>
      <c r="H806" s="235"/>
      <c r="I806" s="235"/>
      <c r="J806" s="235"/>
      <c r="K806" s="235"/>
      <c r="L806" s="235"/>
      <c r="M806" s="235"/>
      <c r="N806" s="235"/>
      <c r="O806" s="235"/>
      <c r="P806" s="235"/>
      <c r="Q806" s="235"/>
      <c r="R806" s="235"/>
      <c r="S806" s="235"/>
      <c r="T806" s="235"/>
      <c r="U806" s="235"/>
      <c r="V806" s="235"/>
      <c r="W806" s="235"/>
      <c r="X806" s="235"/>
      <c r="Y806" s="235"/>
      <c r="Z806" s="235"/>
      <c r="AA806" s="235"/>
      <c r="AB806" s="235"/>
      <c r="AC806" s="235"/>
    </row>
    <row r="807">
      <c r="A807" s="194" t="s">
        <v>1852</v>
      </c>
      <c r="B807" s="193">
        <v>105029.0</v>
      </c>
      <c r="C807" s="192" t="s">
        <v>1655</v>
      </c>
      <c r="D807" s="192" t="s">
        <v>254</v>
      </c>
      <c r="E807" s="235"/>
      <c r="F807" s="235"/>
      <c r="G807" s="325"/>
      <c r="H807" s="235"/>
      <c r="I807" s="235"/>
      <c r="J807" s="235"/>
      <c r="K807" s="235"/>
      <c r="L807" s="235"/>
      <c r="M807" s="235"/>
      <c r="N807" s="235"/>
      <c r="O807" s="235"/>
      <c r="P807" s="235"/>
      <c r="Q807" s="235"/>
      <c r="R807" s="235"/>
      <c r="S807" s="235"/>
      <c r="T807" s="235"/>
      <c r="U807" s="235"/>
      <c r="V807" s="235"/>
      <c r="W807" s="235"/>
      <c r="X807" s="235"/>
      <c r="Y807" s="235"/>
      <c r="Z807" s="235"/>
      <c r="AA807" s="235"/>
      <c r="AB807" s="235"/>
      <c r="AC807" s="235"/>
    </row>
    <row r="808">
      <c r="A808" s="194" t="s">
        <v>1558</v>
      </c>
      <c r="B808" s="193">
        <v>104879.0</v>
      </c>
      <c r="C808" s="192" t="s">
        <v>1559</v>
      </c>
      <c r="D808" s="192" t="s">
        <v>1363</v>
      </c>
      <c r="E808" s="235"/>
      <c r="F808" s="235"/>
      <c r="G808" s="325"/>
      <c r="H808" s="235"/>
      <c r="I808" s="235"/>
      <c r="J808" s="235"/>
      <c r="K808" s="235"/>
      <c r="L808" s="235"/>
      <c r="M808" s="235"/>
      <c r="N808" s="235"/>
      <c r="O808" s="235"/>
      <c r="P808" s="235"/>
      <c r="Q808" s="235"/>
      <c r="R808" s="235"/>
      <c r="S808" s="235"/>
      <c r="T808" s="235"/>
      <c r="U808" s="235"/>
      <c r="V808" s="235"/>
      <c r="W808" s="235"/>
      <c r="X808" s="235"/>
      <c r="Y808" s="235"/>
      <c r="Z808" s="235"/>
      <c r="AA808" s="235"/>
      <c r="AB808" s="235"/>
      <c r="AC808" s="235"/>
    </row>
    <row r="809">
      <c r="A809" s="194" t="s">
        <v>1691</v>
      </c>
      <c r="B809" s="193">
        <v>105080.0</v>
      </c>
      <c r="C809" s="192" t="s">
        <v>1692</v>
      </c>
      <c r="D809" s="192" t="s">
        <v>113</v>
      </c>
      <c r="E809" s="235"/>
      <c r="F809" s="235"/>
      <c r="G809" s="325"/>
      <c r="H809" s="235"/>
      <c r="I809" s="235"/>
      <c r="J809" s="235"/>
      <c r="K809" s="235"/>
      <c r="L809" s="235"/>
      <c r="M809" s="235"/>
      <c r="N809" s="235"/>
      <c r="O809" s="235"/>
      <c r="P809" s="235"/>
      <c r="Q809" s="235"/>
      <c r="R809" s="235"/>
      <c r="S809" s="235"/>
      <c r="T809" s="235"/>
      <c r="U809" s="235"/>
      <c r="V809" s="235"/>
      <c r="W809" s="235"/>
      <c r="X809" s="235"/>
      <c r="Y809" s="235"/>
      <c r="Z809" s="235"/>
      <c r="AA809" s="235"/>
      <c r="AB809" s="235"/>
      <c r="AC809" s="235"/>
    </row>
    <row r="810">
      <c r="A810" s="194" t="s">
        <v>1698</v>
      </c>
      <c r="B810" s="193">
        <v>105152.0</v>
      </c>
      <c r="C810" s="192" t="s">
        <v>1699</v>
      </c>
      <c r="D810" s="192" t="s">
        <v>295</v>
      </c>
      <c r="E810" s="235"/>
      <c r="F810" s="235"/>
      <c r="G810" s="325"/>
      <c r="H810" s="235"/>
      <c r="I810" s="235"/>
      <c r="J810" s="235"/>
      <c r="K810" s="235"/>
      <c r="L810" s="235"/>
      <c r="M810" s="235"/>
      <c r="N810" s="235"/>
      <c r="O810" s="235"/>
      <c r="P810" s="235"/>
      <c r="Q810" s="235"/>
      <c r="R810" s="235"/>
      <c r="S810" s="235"/>
      <c r="T810" s="235"/>
      <c r="U810" s="235"/>
      <c r="V810" s="235"/>
      <c r="W810" s="235"/>
      <c r="X810" s="235"/>
      <c r="Y810" s="235"/>
      <c r="Z810" s="235"/>
      <c r="AA810" s="235"/>
      <c r="AB810" s="235"/>
      <c r="AC810" s="235"/>
    </row>
    <row r="811">
      <c r="A811" s="194" t="s">
        <v>1572</v>
      </c>
      <c r="B811" s="193">
        <v>104963.0</v>
      </c>
      <c r="C811" s="192" t="s">
        <v>1573</v>
      </c>
      <c r="D811" s="192" t="s">
        <v>254</v>
      </c>
      <c r="E811" s="235"/>
      <c r="F811" s="235"/>
      <c r="G811" s="325"/>
      <c r="H811" s="235"/>
      <c r="I811" s="235"/>
      <c r="J811" s="235"/>
      <c r="K811" s="235"/>
      <c r="L811" s="235"/>
      <c r="M811" s="235"/>
      <c r="N811" s="235"/>
      <c r="O811" s="235"/>
      <c r="P811" s="235"/>
      <c r="Q811" s="235"/>
      <c r="R811" s="235"/>
      <c r="S811" s="235"/>
      <c r="T811" s="235"/>
      <c r="U811" s="235"/>
      <c r="V811" s="235"/>
      <c r="W811" s="235"/>
      <c r="X811" s="235"/>
      <c r="Y811" s="235"/>
      <c r="Z811" s="235"/>
      <c r="AA811" s="235"/>
      <c r="AB811" s="235"/>
      <c r="AC811" s="235"/>
    </row>
    <row r="812">
      <c r="A812" s="194" t="s">
        <v>1648</v>
      </c>
      <c r="B812" s="193">
        <v>104955.0</v>
      </c>
      <c r="C812" s="192" t="s">
        <v>1649</v>
      </c>
      <c r="D812" s="192" t="s">
        <v>1140</v>
      </c>
      <c r="E812" s="235"/>
      <c r="F812" s="235"/>
      <c r="G812" s="325"/>
      <c r="H812" s="235"/>
      <c r="I812" s="235"/>
      <c r="J812" s="235"/>
      <c r="K812" s="235"/>
      <c r="L812" s="235"/>
      <c r="M812" s="235"/>
      <c r="N812" s="235"/>
      <c r="O812" s="235"/>
      <c r="P812" s="235"/>
      <c r="Q812" s="235"/>
      <c r="R812" s="235"/>
      <c r="S812" s="235"/>
      <c r="T812" s="235"/>
      <c r="U812" s="235"/>
      <c r="V812" s="235"/>
      <c r="W812" s="235"/>
      <c r="X812" s="235"/>
      <c r="Y812" s="235"/>
      <c r="Z812" s="235"/>
      <c r="AA812" s="235"/>
      <c r="AB812" s="235"/>
      <c r="AC812" s="235"/>
    </row>
    <row r="813">
      <c r="A813" s="194" t="s">
        <v>980</v>
      </c>
      <c r="B813" s="193">
        <v>103502.0</v>
      </c>
      <c r="C813" s="192" t="s">
        <v>981</v>
      </c>
      <c r="D813" s="192" t="s">
        <v>265</v>
      </c>
      <c r="E813" s="235"/>
      <c r="F813" s="235"/>
      <c r="G813" s="325"/>
      <c r="H813" s="235"/>
      <c r="I813" s="235"/>
      <c r="J813" s="235"/>
      <c r="K813" s="235"/>
      <c r="L813" s="235"/>
      <c r="M813" s="235"/>
      <c r="N813" s="235"/>
      <c r="O813" s="235"/>
      <c r="P813" s="235"/>
      <c r="Q813" s="235"/>
      <c r="R813" s="235"/>
      <c r="S813" s="235"/>
      <c r="T813" s="235"/>
      <c r="U813" s="235"/>
      <c r="V813" s="235"/>
      <c r="W813" s="235"/>
      <c r="X813" s="235"/>
      <c r="Y813" s="235"/>
      <c r="Z813" s="235"/>
      <c r="AA813" s="235"/>
      <c r="AB813" s="235"/>
      <c r="AC813" s="235"/>
    </row>
    <row r="814">
      <c r="A814" s="194" t="s">
        <v>1541</v>
      </c>
      <c r="B814" s="193">
        <v>104837.0</v>
      </c>
      <c r="C814" s="192" t="s">
        <v>1542</v>
      </c>
      <c r="D814" s="192" t="s">
        <v>209</v>
      </c>
      <c r="E814" s="235"/>
      <c r="F814" s="235"/>
      <c r="G814" s="325"/>
      <c r="H814" s="235"/>
      <c r="I814" s="235"/>
      <c r="J814" s="235"/>
      <c r="K814" s="235"/>
      <c r="L814" s="235"/>
      <c r="M814" s="235"/>
      <c r="N814" s="235"/>
      <c r="O814" s="235"/>
      <c r="P814" s="235"/>
      <c r="Q814" s="235"/>
      <c r="R814" s="235"/>
      <c r="S814" s="235"/>
      <c r="T814" s="235"/>
      <c r="U814" s="235"/>
      <c r="V814" s="235"/>
      <c r="W814" s="235"/>
      <c r="X814" s="235"/>
      <c r="Y814" s="235"/>
      <c r="Z814" s="235"/>
      <c r="AA814" s="235"/>
      <c r="AB814" s="235"/>
      <c r="AC814" s="235"/>
    </row>
    <row r="815">
      <c r="A815" s="194" t="s">
        <v>1591</v>
      </c>
      <c r="B815" s="193">
        <v>104996.0</v>
      </c>
      <c r="C815" s="192" t="s">
        <v>1592</v>
      </c>
      <c r="D815" s="192" t="s">
        <v>1159</v>
      </c>
      <c r="E815" s="235"/>
      <c r="F815" s="235"/>
      <c r="G815" s="325"/>
      <c r="H815" s="235"/>
      <c r="I815" s="235"/>
      <c r="J815" s="235"/>
      <c r="K815" s="235"/>
      <c r="L815" s="235"/>
      <c r="M815" s="235"/>
      <c r="N815" s="235"/>
      <c r="O815" s="235"/>
      <c r="P815" s="235"/>
      <c r="Q815" s="235"/>
      <c r="R815" s="235"/>
      <c r="S815" s="235"/>
      <c r="T815" s="235"/>
      <c r="U815" s="235"/>
      <c r="V815" s="235"/>
      <c r="W815" s="235"/>
      <c r="X815" s="235"/>
      <c r="Y815" s="235"/>
      <c r="Z815" s="235"/>
      <c r="AA815" s="235"/>
      <c r="AB815" s="235"/>
      <c r="AC815" s="235"/>
    </row>
    <row r="816">
      <c r="A816" s="194" t="s">
        <v>1550</v>
      </c>
      <c r="B816" s="193">
        <v>104895.0</v>
      </c>
      <c r="C816" s="192" t="s">
        <v>1551</v>
      </c>
      <c r="D816" s="192" t="s">
        <v>1140</v>
      </c>
      <c r="E816" s="235"/>
      <c r="F816" s="235"/>
      <c r="G816" s="325"/>
      <c r="H816" s="235"/>
      <c r="I816" s="235"/>
      <c r="J816" s="235"/>
      <c r="K816" s="235"/>
      <c r="L816" s="235"/>
      <c r="M816" s="235"/>
      <c r="N816" s="235"/>
      <c r="O816" s="235"/>
      <c r="P816" s="235"/>
      <c r="Q816" s="235"/>
      <c r="R816" s="235"/>
      <c r="S816" s="235"/>
      <c r="T816" s="235"/>
      <c r="U816" s="235"/>
      <c r="V816" s="235"/>
      <c r="W816" s="235"/>
      <c r="X816" s="235"/>
      <c r="Y816" s="235"/>
      <c r="Z816" s="235"/>
      <c r="AA816" s="235"/>
      <c r="AB816" s="235"/>
      <c r="AC816" s="235"/>
    </row>
    <row r="817">
      <c r="A817" s="194" t="s">
        <v>1520</v>
      </c>
      <c r="B817" s="193">
        <v>104822.0</v>
      </c>
      <c r="C817" s="192" t="s">
        <v>1521</v>
      </c>
      <c r="D817" s="192" t="s">
        <v>1140</v>
      </c>
      <c r="E817" s="235"/>
      <c r="F817" s="235"/>
      <c r="G817" s="325"/>
      <c r="H817" s="235"/>
      <c r="I817" s="235"/>
      <c r="J817" s="235"/>
      <c r="K817" s="235"/>
      <c r="L817" s="235"/>
      <c r="M817" s="235"/>
      <c r="N817" s="235"/>
      <c r="O817" s="235"/>
      <c r="P817" s="235"/>
      <c r="Q817" s="235"/>
      <c r="R817" s="235"/>
      <c r="S817" s="235"/>
      <c r="T817" s="235"/>
      <c r="U817" s="235"/>
      <c r="V817" s="235"/>
      <c r="W817" s="235"/>
      <c r="X817" s="235"/>
      <c r="Y817" s="235"/>
      <c r="Z817" s="235"/>
      <c r="AA817" s="235"/>
      <c r="AB817" s="235"/>
      <c r="AC817" s="235"/>
    </row>
    <row r="818">
      <c r="A818" s="194" t="s">
        <v>1693</v>
      </c>
      <c r="B818" s="193">
        <v>105095.0</v>
      </c>
      <c r="C818" s="192" t="s">
        <v>1694</v>
      </c>
      <c r="D818" s="192" t="s">
        <v>1695</v>
      </c>
      <c r="E818" s="235"/>
      <c r="F818" s="235"/>
      <c r="G818" s="325"/>
      <c r="H818" s="235"/>
      <c r="I818" s="235"/>
      <c r="J818" s="235"/>
      <c r="K818" s="235"/>
      <c r="L818" s="235"/>
      <c r="M818" s="235"/>
      <c r="N818" s="235"/>
      <c r="O818" s="235"/>
      <c r="P818" s="235"/>
      <c r="Q818" s="235"/>
      <c r="R818" s="235"/>
      <c r="S818" s="235"/>
      <c r="T818" s="235"/>
      <c r="U818" s="235"/>
      <c r="V818" s="235"/>
      <c r="W818" s="235"/>
      <c r="X818" s="235"/>
      <c r="Y818" s="235"/>
      <c r="Z818" s="235"/>
      <c r="AA818" s="235"/>
      <c r="AB818" s="235"/>
      <c r="AC818" s="235"/>
    </row>
    <row r="819">
      <c r="A819" s="194" t="s">
        <v>1552</v>
      </c>
      <c r="B819" s="193">
        <v>104813.0</v>
      </c>
      <c r="C819" s="192" t="s">
        <v>1553</v>
      </c>
      <c r="D819" s="192" t="s">
        <v>265</v>
      </c>
      <c r="E819" s="235"/>
      <c r="F819" s="235"/>
      <c r="G819" s="325"/>
      <c r="H819" s="235"/>
      <c r="I819" s="235"/>
      <c r="J819" s="235"/>
      <c r="K819" s="235"/>
      <c r="L819" s="235"/>
      <c r="M819" s="235"/>
      <c r="N819" s="235"/>
      <c r="O819" s="235"/>
      <c r="P819" s="235"/>
      <c r="Q819" s="235"/>
      <c r="R819" s="235"/>
      <c r="S819" s="235"/>
      <c r="T819" s="235"/>
      <c r="U819" s="235"/>
      <c r="V819" s="235"/>
      <c r="W819" s="235"/>
      <c r="X819" s="235"/>
      <c r="Y819" s="235"/>
      <c r="Z819" s="235"/>
      <c r="AA819" s="235"/>
      <c r="AB819" s="235"/>
      <c r="AC819" s="235"/>
    </row>
    <row r="820">
      <c r="A820" s="194" t="s">
        <v>1713</v>
      </c>
      <c r="B820" s="193">
        <v>105185.0</v>
      </c>
      <c r="C820" s="192" t="s">
        <v>1714</v>
      </c>
      <c r="D820" s="192" t="s">
        <v>265</v>
      </c>
      <c r="E820" s="235"/>
      <c r="F820" s="235"/>
      <c r="G820" s="325"/>
      <c r="H820" s="235"/>
      <c r="I820" s="235"/>
      <c r="J820" s="235"/>
      <c r="K820" s="235"/>
      <c r="L820" s="235"/>
      <c r="M820" s="235"/>
      <c r="N820" s="235"/>
      <c r="O820" s="235"/>
      <c r="P820" s="235"/>
      <c r="Q820" s="235"/>
      <c r="R820" s="235"/>
      <c r="S820" s="235"/>
      <c r="T820" s="235"/>
      <c r="U820" s="235"/>
      <c r="V820" s="235"/>
      <c r="W820" s="235"/>
      <c r="X820" s="235"/>
      <c r="Y820" s="235"/>
      <c r="Z820" s="235"/>
      <c r="AA820" s="235"/>
      <c r="AB820" s="235"/>
      <c r="AC820" s="235"/>
    </row>
    <row r="821">
      <c r="A821" s="194" t="s">
        <v>1543</v>
      </c>
      <c r="B821" s="193">
        <v>104843.0</v>
      </c>
      <c r="C821" s="192" t="s">
        <v>1544</v>
      </c>
      <c r="D821" s="192" t="s">
        <v>557</v>
      </c>
      <c r="E821" s="235"/>
      <c r="F821" s="235"/>
      <c r="G821" s="325"/>
      <c r="H821" s="235"/>
      <c r="I821" s="235"/>
      <c r="J821" s="235"/>
      <c r="K821" s="235"/>
      <c r="L821" s="235"/>
      <c r="M821" s="235"/>
      <c r="N821" s="235"/>
      <c r="O821" s="235"/>
      <c r="P821" s="235"/>
      <c r="Q821" s="235"/>
      <c r="R821" s="235"/>
      <c r="S821" s="235"/>
      <c r="T821" s="235"/>
      <c r="U821" s="235"/>
      <c r="V821" s="235"/>
      <c r="W821" s="235"/>
      <c r="X821" s="235"/>
      <c r="Y821" s="235"/>
      <c r="Z821" s="235"/>
      <c r="AA821" s="235"/>
      <c r="AB821" s="235"/>
      <c r="AC821" s="235"/>
    </row>
    <row r="822">
      <c r="A822" s="194" t="s">
        <v>1583</v>
      </c>
      <c r="B822" s="193">
        <v>104901.0</v>
      </c>
      <c r="C822" s="192" t="s">
        <v>1584</v>
      </c>
      <c r="D822" s="192" t="s">
        <v>254</v>
      </c>
      <c r="E822" s="235"/>
      <c r="F822" s="235"/>
      <c r="G822" s="325"/>
      <c r="H822" s="235"/>
      <c r="I822" s="235"/>
      <c r="J822" s="235"/>
      <c r="K822" s="235"/>
      <c r="L822" s="235"/>
      <c r="M822" s="235"/>
      <c r="N822" s="235"/>
      <c r="O822" s="235"/>
      <c r="P822" s="235"/>
      <c r="Q822" s="235"/>
      <c r="R822" s="235"/>
      <c r="S822" s="235"/>
      <c r="T822" s="235"/>
      <c r="U822" s="235"/>
      <c r="V822" s="235"/>
      <c r="W822" s="235"/>
      <c r="X822" s="235"/>
      <c r="Y822" s="235"/>
      <c r="Z822" s="235"/>
      <c r="AA822" s="235"/>
      <c r="AB822" s="235"/>
      <c r="AC822" s="235"/>
    </row>
    <row r="823">
      <c r="A823" s="194" t="s">
        <v>1715</v>
      </c>
      <c r="B823" s="193">
        <v>104650.0</v>
      </c>
      <c r="C823" s="192" t="s">
        <v>1716</v>
      </c>
      <c r="D823" s="192" t="s">
        <v>522</v>
      </c>
      <c r="E823" s="235"/>
      <c r="F823" s="235"/>
      <c r="G823" s="325"/>
      <c r="H823" s="235"/>
      <c r="I823" s="235"/>
      <c r="J823" s="235"/>
      <c r="K823" s="235"/>
      <c r="L823" s="235"/>
      <c r="M823" s="235"/>
      <c r="N823" s="235"/>
      <c r="O823" s="235"/>
      <c r="P823" s="235"/>
      <c r="Q823" s="235"/>
      <c r="R823" s="235"/>
      <c r="S823" s="235"/>
      <c r="T823" s="235"/>
      <c r="U823" s="235"/>
      <c r="V823" s="235"/>
      <c r="W823" s="235"/>
      <c r="X823" s="235"/>
      <c r="Y823" s="235"/>
      <c r="Z823" s="235"/>
      <c r="AA823" s="235"/>
      <c r="AB823" s="235"/>
      <c r="AC823" s="235"/>
    </row>
    <row r="824">
      <c r="A824" s="194" t="s">
        <v>1665</v>
      </c>
      <c r="B824" s="193">
        <v>105041.0</v>
      </c>
      <c r="C824" s="192" t="s">
        <v>1666</v>
      </c>
      <c r="D824" s="192" t="s">
        <v>265</v>
      </c>
      <c r="E824" s="235"/>
      <c r="F824" s="235"/>
      <c r="G824" s="325"/>
      <c r="H824" s="235"/>
      <c r="I824" s="235"/>
      <c r="J824" s="235"/>
      <c r="K824" s="235"/>
      <c r="L824" s="235"/>
      <c r="M824" s="235"/>
      <c r="N824" s="235"/>
      <c r="O824" s="235"/>
      <c r="P824" s="235"/>
      <c r="Q824" s="235"/>
      <c r="R824" s="235"/>
      <c r="S824" s="235"/>
      <c r="T824" s="235"/>
      <c r="U824" s="235"/>
      <c r="V824" s="235"/>
      <c r="W824" s="235"/>
      <c r="X824" s="235"/>
      <c r="Y824" s="235"/>
      <c r="Z824" s="235"/>
      <c r="AA824" s="235"/>
      <c r="AB824" s="235"/>
      <c r="AC824" s="235"/>
    </row>
    <row r="825">
      <c r="A825" s="194" t="s">
        <v>1600</v>
      </c>
      <c r="B825" s="193">
        <v>104914.0</v>
      </c>
      <c r="C825" s="192" t="s">
        <v>1601</v>
      </c>
      <c r="D825" s="192" t="s">
        <v>265</v>
      </c>
      <c r="E825" s="235"/>
      <c r="F825" s="235"/>
      <c r="G825" s="325"/>
      <c r="H825" s="235"/>
      <c r="I825" s="235"/>
      <c r="J825" s="235"/>
      <c r="K825" s="235"/>
      <c r="L825" s="235"/>
      <c r="M825" s="235"/>
      <c r="N825" s="235"/>
      <c r="O825" s="235"/>
      <c r="P825" s="235"/>
      <c r="Q825" s="235"/>
      <c r="R825" s="235"/>
      <c r="S825" s="235"/>
      <c r="T825" s="235"/>
      <c r="U825" s="235"/>
      <c r="V825" s="235"/>
      <c r="W825" s="235"/>
      <c r="X825" s="235"/>
      <c r="Y825" s="235"/>
      <c r="Z825" s="235"/>
      <c r="AA825" s="235"/>
      <c r="AB825" s="235"/>
      <c r="AC825" s="235"/>
    </row>
    <row r="826">
      <c r="A826" s="194" t="s">
        <v>1560</v>
      </c>
      <c r="B826" s="193">
        <v>104890.0</v>
      </c>
      <c r="C826" s="192" t="s">
        <v>1561</v>
      </c>
      <c r="D826" s="192" t="s">
        <v>1140</v>
      </c>
      <c r="E826" s="235"/>
      <c r="F826" s="235"/>
      <c r="G826" s="325"/>
      <c r="H826" s="235"/>
      <c r="I826" s="235"/>
      <c r="J826" s="235"/>
      <c r="K826" s="235"/>
      <c r="L826" s="235"/>
      <c r="M826" s="235"/>
      <c r="N826" s="235"/>
      <c r="O826" s="235"/>
      <c r="P826" s="235"/>
      <c r="Q826" s="235"/>
      <c r="R826" s="235"/>
      <c r="S826" s="235"/>
      <c r="T826" s="235"/>
      <c r="U826" s="235"/>
      <c r="V826" s="235"/>
      <c r="W826" s="235"/>
      <c r="X826" s="235"/>
      <c r="Y826" s="235"/>
      <c r="Z826" s="235"/>
      <c r="AA826" s="235"/>
      <c r="AB826" s="235"/>
      <c r="AC826" s="235"/>
    </row>
    <row r="827">
      <c r="A827" s="194" t="s">
        <v>1679</v>
      </c>
      <c r="B827" s="193">
        <v>104990.0</v>
      </c>
      <c r="C827" s="192" t="s">
        <v>1680</v>
      </c>
      <c r="D827" s="192" t="s">
        <v>1140</v>
      </c>
      <c r="E827" s="235"/>
      <c r="F827" s="235"/>
      <c r="G827" s="325"/>
      <c r="H827" s="235"/>
      <c r="I827" s="235"/>
      <c r="J827" s="235"/>
      <c r="K827" s="235"/>
      <c r="L827" s="235"/>
      <c r="M827" s="235"/>
      <c r="N827" s="235"/>
      <c r="O827" s="235"/>
      <c r="P827" s="235"/>
      <c r="Q827" s="235"/>
      <c r="R827" s="235"/>
      <c r="S827" s="235"/>
      <c r="T827" s="235"/>
      <c r="U827" s="235"/>
      <c r="V827" s="235"/>
      <c r="W827" s="235"/>
      <c r="X827" s="235"/>
      <c r="Y827" s="235"/>
      <c r="Z827" s="235"/>
      <c r="AA827" s="235"/>
      <c r="AB827" s="235"/>
      <c r="AC827" s="235"/>
    </row>
    <row r="828">
      <c r="A828" s="194" t="s">
        <v>1840</v>
      </c>
      <c r="B828" s="193">
        <v>105425.0</v>
      </c>
      <c r="C828" s="192" t="s">
        <v>1841</v>
      </c>
      <c r="D828" s="192" t="s">
        <v>1140</v>
      </c>
      <c r="E828" s="235"/>
      <c r="F828" s="235"/>
      <c r="G828" s="325"/>
      <c r="H828" s="235"/>
      <c r="I828" s="235"/>
      <c r="J828" s="235"/>
      <c r="K828" s="235"/>
      <c r="L828" s="235"/>
      <c r="M828" s="235"/>
      <c r="N828" s="235"/>
      <c r="O828" s="235"/>
      <c r="P828" s="235"/>
      <c r="Q828" s="235"/>
      <c r="R828" s="235"/>
      <c r="S828" s="235"/>
      <c r="T828" s="235"/>
      <c r="U828" s="235"/>
      <c r="V828" s="235"/>
      <c r="W828" s="235"/>
      <c r="X828" s="235"/>
      <c r="Y828" s="235"/>
      <c r="Z828" s="235"/>
      <c r="AA828" s="235"/>
      <c r="AB828" s="235"/>
      <c r="AC828" s="235"/>
    </row>
    <row r="829">
      <c r="A829" s="194" t="s">
        <v>1842</v>
      </c>
      <c r="B829" s="193">
        <v>105427.0</v>
      </c>
      <c r="C829" s="192" t="s">
        <v>1843</v>
      </c>
      <c r="D829" s="192" t="s">
        <v>1140</v>
      </c>
      <c r="E829" s="235"/>
      <c r="F829" s="235"/>
      <c r="G829" s="325"/>
      <c r="H829" s="235"/>
      <c r="I829" s="235"/>
      <c r="J829" s="235"/>
      <c r="K829" s="235"/>
      <c r="L829" s="235"/>
      <c r="M829" s="235"/>
      <c r="N829" s="235"/>
      <c r="O829" s="235"/>
      <c r="P829" s="235"/>
      <c r="Q829" s="235"/>
      <c r="R829" s="235"/>
      <c r="S829" s="235"/>
      <c r="T829" s="235"/>
      <c r="U829" s="235"/>
      <c r="V829" s="235"/>
      <c r="W829" s="235"/>
      <c r="X829" s="235"/>
      <c r="Y829" s="235"/>
      <c r="Z829" s="235"/>
      <c r="AA829" s="235"/>
      <c r="AB829" s="235"/>
      <c r="AC829" s="235"/>
    </row>
    <row r="830">
      <c r="A830" s="194" t="s">
        <v>1844</v>
      </c>
      <c r="B830" s="193">
        <v>105416.0</v>
      </c>
      <c r="C830" s="192" t="s">
        <v>1845</v>
      </c>
      <c r="D830" s="192" t="s">
        <v>1140</v>
      </c>
      <c r="E830" s="235"/>
      <c r="F830" s="235"/>
      <c r="G830" s="325"/>
      <c r="H830" s="235"/>
      <c r="I830" s="235"/>
      <c r="J830" s="235"/>
      <c r="K830" s="235"/>
      <c r="L830" s="235"/>
      <c r="M830" s="235"/>
      <c r="N830" s="235"/>
      <c r="O830" s="235"/>
      <c r="P830" s="235"/>
      <c r="Q830" s="235"/>
      <c r="R830" s="235"/>
      <c r="S830" s="235"/>
      <c r="T830" s="235"/>
      <c r="U830" s="235"/>
      <c r="V830" s="235"/>
      <c r="W830" s="235"/>
      <c r="X830" s="235"/>
      <c r="Y830" s="235"/>
      <c r="Z830" s="235"/>
      <c r="AA830" s="235"/>
      <c r="AB830" s="235"/>
      <c r="AC830" s="235"/>
    </row>
    <row r="831">
      <c r="A831" s="194" t="s">
        <v>1774</v>
      </c>
      <c r="B831" s="193">
        <v>105286.0</v>
      </c>
      <c r="C831" s="192" t="s">
        <v>1775</v>
      </c>
      <c r="D831" s="192" t="s">
        <v>1140</v>
      </c>
      <c r="E831" s="235"/>
      <c r="F831" s="235"/>
      <c r="G831" s="325"/>
      <c r="H831" s="235"/>
      <c r="I831" s="235"/>
      <c r="J831" s="235"/>
      <c r="K831" s="235"/>
      <c r="L831" s="235"/>
      <c r="M831" s="235"/>
      <c r="N831" s="235"/>
      <c r="O831" s="235"/>
      <c r="P831" s="235"/>
      <c r="Q831" s="235"/>
      <c r="R831" s="235"/>
      <c r="S831" s="235"/>
      <c r="T831" s="235"/>
      <c r="U831" s="235"/>
      <c r="V831" s="235"/>
      <c r="W831" s="235"/>
      <c r="X831" s="235"/>
      <c r="Y831" s="235"/>
      <c r="Z831" s="235"/>
      <c r="AA831" s="235"/>
      <c r="AB831" s="235"/>
      <c r="AC831" s="235"/>
    </row>
    <row r="832">
      <c r="A832" s="234"/>
      <c r="B832" s="234"/>
      <c r="C832" s="192" t="e">
        <v>#REF!</v>
      </c>
      <c r="D832" s="196"/>
      <c r="E832" s="235"/>
      <c r="F832" s="235"/>
      <c r="G832" s="325"/>
      <c r="H832" s="235"/>
      <c r="I832" s="235"/>
      <c r="J832" s="235"/>
      <c r="K832" s="235"/>
      <c r="L832" s="235"/>
      <c r="M832" s="235"/>
      <c r="N832" s="235"/>
      <c r="O832" s="235"/>
      <c r="P832" s="235"/>
      <c r="Q832" s="235"/>
      <c r="R832" s="235"/>
      <c r="S832" s="235"/>
      <c r="T832" s="235"/>
      <c r="U832" s="235"/>
      <c r="V832" s="235"/>
      <c r="W832" s="235"/>
      <c r="X832" s="235"/>
      <c r="Y832" s="235"/>
      <c r="Z832" s="235"/>
      <c r="AA832" s="235"/>
      <c r="AB832" s="235"/>
      <c r="AC832" s="235"/>
    </row>
    <row r="833">
      <c r="A833" s="194" t="s">
        <v>1776</v>
      </c>
      <c r="B833" s="193">
        <v>105320.0</v>
      </c>
      <c r="C833" s="192" t="s">
        <v>1777</v>
      </c>
      <c r="D833" s="192" t="s">
        <v>1140</v>
      </c>
      <c r="E833" s="235"/>
      <c r="F833" s="235"/>
      <c r="G833" s="325"/>
      <c r="H833" s="235"/>
      <c r="I833" s="235"/>
      <c r="J833" s="235"/>
      <c r="K833" s="235"/>
      <c r="L833" s="235"/>
      <c r="M833" s="235"/>
      <c r="N833" s="235"/>
      <c r="O833" s="235"/>
      <c r="P833" s="235"/>
      <c r="Q833" s="235"/>
      <c r="R833" s="235"/>
      <c r="S833" s="235"/>
      <c r="T833" s="235"/>
      <c r="U833" s="235"/>
      <c r="V833" s="235"/>
      <c r="W833" s="235"/>
      <c r="X833" s="235"/>
      <c r="Y833" s="235"/>
      <c r="Z833" s="235"/>
      <c r="AA833" s="235"/>
      <c r="AB833" s="235"/>
      <c r="AC833" s="235"/>
    </row>
    <row r="834">
      <c r="A834" s="194" t="s">
        <v>1778</v>
      </c>
      <c r="B834" s="193">
        <v>105307.0</v>
      </c>
      <c r="C834" s="192" t="s">
        <v>1779</v>
      </c>
      <c r="D834" s="192" t="s">
        <v>1140</v>
      </c>
      <c r="E834" s="235"/>
      <c r="F834" s="235"/>
      <c r="G834" s="325"/>
      <c r="H834" s="235"/>
      <c r="I834" s="235"/>
      <c r="J834" s="235"/>
      <c r="K834" s="235"/>
      <c r="L834" s="235"/>
      <c r="M834" s="235"/>
      <c r="N834" s="235"/>
      <c r="O834" s="235"/>
      <c r="P834" s="235"/>
      <c r="Q834" s="235"/>
      <c r="R834" s="235"/>
      <c r="S834" s="235"/>
      <c r="T834" s="235"/>
      <c r="U834" s="235"/>
      <c r="V834" s="235"/>
      <c r="W834" s="235"/>
      <c r="X834" s="235"/>
      <c r="Y834" s="235"/>
      <c r="Z834" s="235"/>
      <c r="AA834" s="235"/>
      <c r="AB834" s="235"/>
      <c r="AC834" s="235"/>
    </row>
    <row r="835">
      <c r="A835" s="194" t="s">
        <v>1861</v>
      </c>
      <c r="B835" s="193">
        <v>105455.0</v>
      </c>
      <c r="C835" s="192" t="s">
        <v>1862</v>
      </c>
      <c r="D835" s="192" t="s">
        <v>427</v>
      </c>
      <c r="E835" s="235"/>
      <c r="F835" s="235"/>
      <c r="G835" s="325"/>
      <c r="H835" s="235"/>
      <c r="I835" s="235"/>
      <c r="J835" s="235"/>
      <c r="K835" s="235"/>
      <c r="L835" s="235"/>
      <c r="M835" s="235"/>
      <c r="N835" s="235"/>
      <c r="O835" s="235"/>
      <c r="P835" s="235"/>
      <c r="Q835" s="235"/>
      <c r="R835" s="235"/>
      <c r="S835" s="235"/>
      <c r="T835" s="235"/>
      <c r="U835" s="235"/>
      <c r="V835" s="235"/>
      <c r="W835" s="235"/>
      <c r="X835" s="235"/>
      <c r="Y835" s="235"/>
      <c r="Z835" s="235"/>
      <c r="AA835" s="235"/>
      <c r="AB835" s="235"/>
      <c r="AC835" s="235"/>
    </row>
    <row r="836">
      <c r="A836" s="194" t="s">
        <v>1888</v>
      </c>
      <c r="B836" s="193">
        <v>105469.0</v>
      </c>
      <c r="C836" s="192" t="s">
        <v>1889</v>
      </c>
      <c r="D836" s="192" t="s">
        <v>95</v>
      </c>
      <c r="E836" s="235"/>
      <c r="F836" s="235"/>
      <c r="G836" s="325"/>
      <c r="H836" s="235"/>
      <c r="I836" s="235"/>
      <c r="J836" s="235"/>
      <c r="K836" s="235"/>
      <c r="L836" s="235"/>
      <c r="M836" s="235"/>
      <c r="N836" s="235"/>
      <c r="O836" s="235"/>
      <c r="P836" s="235"/>
      <c r="Q836" s="235"/>
      <c r="R836" s="235"/>
      <c r="S836" s="235"/>
      <c r="T836" s="235"/>
      <c r="U836" s="235"/>
      <c r="V836" s="235"/>
      <c r="W836" s="235"/>
      <c r="X836" s="235"/>
      <c r="Y836" s="235"/>
      <c r="Z836" s="235"/>
      <c r="AA836" s="235"/>
      <c r="AB836" s="235"/>
      <c r="AC836" s="235"/>
    </row>
    <row r="837">
      <c r="A837" s="194" t="s">
        <v>1882</v>
      </c>
      <c r="B837" s="193">
        <v>105474.0</v>
      </c>
      <c r="C837" s="192" t="s">
        <v>1883</v>
      </c>
      <c r="D837" s="192" t="s">
        <v>806</v>
      </c>
      <c r="E837" s="235"/>
      <c r="F837" s="235"/>
      <c r="G837" s="325"/>
      <c r="H837" s="235"/>
      <c r="I837" s="235"/>
      <c r="J837" s="235"/>
      <c r="K837" s="235"/>
      <c r="L837" s="235"/>
      <c r="M837" s="235"/>
      <c r="N837" s="235"/>
      <c r="O837" s="235"/>
      <c r="P837" s="235"/>
      <c r="Q837" s="235"/>
      <c r="R837" s="235"/>
      <c r="S837" s="235"/>
      <c r="T837" s="235"/>
      <c r="U837" s="235"/>
      <c r="V837" s="235"/>
      <c r="W837" s="235"/>
      <c r="X837" s="235"/>
      <c r="Y837" s="235"/>
      <c r="Z837" s="235"/>
      <c r="AA837" s="235"/>
      <c r="AB837" s="235"/>
      <c r="AC837" s="235"/>
    </row>
    <row r="838">
      <c r="A838" s="194" t="s">
        <v>1846</v>
      </c>
      <c r="B838" s="193">
        <v>105426.0</v>
      </c>
      <c r="C838" s="192" t="s">
        <v>1847</v>
      </c>
      <c r="D838" s="192" t="s">
        <v>1140</v>
      </c>
      <c r="E838" s="235"/>
      <c r="F838" s="235"/>
      <c r="G838" s="325"/>
      <c r="H838" s="235"/>
      <c r="I838" s="235"/>
      <c r="J838" s="235"/>
      <c r="K838" s="235"/>
      <c r="L838" s="235"/>
      <c r="M838" s="235"/>
      <c r="N838" s="235"/>
      <c r="O838" s="235"/>
      <c r="P838" s="235"/>
      <c r="Q838" s="235"/>
      <c r="R838" s="235"/>
      <c r="S838" s="235"/>
      <c r="T838" s="235"/>
      <c r="U838" s="235"/>
      <c r="V838" s="235"/>
      <c r="W838" s="235"/>
      <c r="X838" s="235"/>
      <c r="Y838" s="235"/>
      <c r="Z838" s="235"/>
      <c r="AA838" s="235"/>
      <c r="AB838" s="235"/>
      <c r="AC838" s="235"/>
    </row>
    <row r="839">
      <c r="A839" s="194" t="s">
        <v>1848</v>
      </c>
      <c r="B839" s="193">
        <v>105417.0</v>
      </c>
      <c r="C839" s="192" t="s">
        <v>1849</v>
      </c>
      <c r="D839" s="192" t="s">
        <v>1140</v>
      </c>
      <c r="E839" s="235"/>
      <c r="F839" s="235"/>
      <c r="G839" s="325"/>
      <c r="H839" s="235"/>
      <c r="I839" s="235"/>
      <c r="J839" s="235"/>
      <c r="K839" s="235"/>
      <c r="L839" s="235"/>
      <c r="M839" s="235"/>
      <c r="N839" s="235"/>
      <c r="O839" s="235"/>
      <c r="P839" s="235"/>
      <c r="Q839" s="235"/>
      <c r="R839" s="235"/>
      <c r="S839" s="235"/>
      <c r="T839" s="235"/>
      <c r="U839" s="235"/>
      <c r="V839" s="235"/>
      <c r="W839" s="235"/>
      <c r="X839" s="235"/>
      <c r="Y839" s="235"/>
      <c r="Z839" s="235"/>
      <c r="AA839" s="235"/>
      <c r="AB839" s="235"/>
      <c r="AC839" s="235"/>
    </row>
    <row r="840">
      <c r="A840" s="194" t="s">
        <v>1850</v>
      </c>
      <c r="B840" s="193">
        <v>105435.0</v>
      </c>
      <c r="C840" s="192" t="s">
        <v>1851</v>
      </c>
      <c r="D840" s="192" t="s">
        <v>1140</v>
      </c>
      <c r="E840" s="235"/>
      <c r="F840" s="235"/>
      <c r="G840" s="325"/>
      <c r="H840" s="235"/>
      <c r="I840" s="235"/>
      <c r="J840" s="235"/>
      <c r="K840" s="235"/>
      <c r="L840" s="235"/>
      <c r="M840" s="235"/>
      <c r="N840" s="235"/>
      <c r="O840" s="235"/>
      <c r="P840" s="235"/>
      <c r="Q840" s="235"/>
      <c r="R840" s="235"/>
      <c r="S840" s="235"/>
      <c r="T840" s="235"/>
      <c r="U840" s="235"/>
      <c r="V840" s="235"/>
      <c r="W840" s="235"/>
      <c r="X840" s="235"/>
      <c r="Y840" s="235"/>
      <c r="Z840" s="235"/>
      <c r="AA840" s="235"/>
      <c r="AB840" s="235"/>
      <c r="AC840" s="235"/>
    </row>
    <row r="841">
      <c r="A841" s="194" t="s">
        <v>1890</v>
      </c>
      <c r="B841" s="193">
        <v>105510.0</v>
      </c>
      <c r="C841" s="192" t="s">
        <v>1891</v>
      </c>
      <c r="D841" s="192" t="s">
        <v>1140</v>
      </c>
      <c r="E841" s="235"/>
      <c r="F841" s="235"/>
      <c r="G841" s="325"/>
      <c r="H841" s="235"/>
      <c r="I841" s="235"/>
      <c r="J841" s="235"/>
      <c r="K841" s="235"/>
      <c r="L841" s="235"/>
      <c r="M841" s="235"/>
      <c r="N841" s="235"/>
      <c r="O841" s="235"/>
      <c r="P841" s="235"/>
      <c r="Q841" s="235"/>
      <c r="R841" s="235"/>
      <c r="S841" s="235"/>
      <c r="T841" s="235"/>
      <c r="U841" s="235"/>
      <c r="V841" s="235"/>
      <c r="W841" s="235"/>
      <c r="X841" s="235"/>
      <c r="Y841" s="235"/>
      <c r="Z841" s="235"/>
      <c r="AA841" s="235"/>
      <c r="AB841" s="235"/>
      <c r="AC841" s="235"/>
    </row>
    <row r="842">
      <c r="A842" s="194" t="s">
        <v>1878</v>
      </c>
      <c r="B842" s="193">
        <v>105468.0</v>
      </c>
      <c r="C842" s="192" t="s">
        <v>1879</v>
      </c>
      <c r="D842" s="192" t="s">
        <v>1140</v>
      </c>
      <c r="E842" s="235"/>
      <c r="F842" s="235"/>
      <c r="G842" s="325"/>
      <c r="H842" s="235"/>
      <c r="I842" s="235"/>
      <c r="J842" s="235"/>
      <c r="K842" s="235"/>
      <c r="L842" s="235"/>
      <c r="M842" s="235"/>
      <c r="N842" s="235"/>
      <c r="O842" s="235"/>
      <c r="P842" s="235"/>
      <c r="Q842" s="235"/>
      <c r="R842" s="235"/>
      <c r="S842" s="235"/>
      <c r="T842" s="235"/>
      <c r="U842" s="235"/>
      <c r="V842" s="235"/>
      <c r="W842" s="235"/>
      <c r="X842" s="235"/>
      <c r="Y842" s="235"/>
      <c r="Z842" s="235"/>
      <c r="AA842" s="235"/>
      <c r="AB842" s="235"/>
      <c r="AC842" s="235"/>
    </row>
    <row r="843">
      <c r="A843" s="194" t="s">
        <v>1872</v>
      </c>
      <c r="B843" s="193">
        <v>105488.0</v>
      </c>
      <c r="C843" s="192" t="s">
        <v>1873</v>
      </c>
      <c r="D843" s="192" t="s">
        <v>1140</v>
      </c>
      <c r="E843" s="235"/>
      <c r="F843" s="235"/>
      <c r="G843" s="325"/>
      <c r="H843" s="235"/>
      <c r="I843" s="235"/>
      <c r="J843" s="235"/>
      <c r="K843" s="235"/>
      <c r="L843" s="235"/>
      <c r="M843" s="235"/>
      <c r="N843" s="235"/>
      <c r="O843" s="235"/>
      <c r="P843" s="235"/>
      <c r="Q843" s="235"/>
      <c r="R843" s="235"/>
      <c r="S843" s="235"/>
      <c r="T843" s="235"/>
      <c r="U843" s="235"/>
      <c r="V843" s="235"/>
      <c r="W843" s="235"/>
      <c r="X843" s="235"/>
      <c r="Y843" s="235"/>
      <c r="Z843" s="235"/>
      <c r="AA843" s="235"/>
      <c r="AB843" s="235"/>
      <c r="AC843" s="235"/>
    </row>
    <row r="844">
      <c r="A844" s="194" t="s">
        <v>1874</v>
      </c>
      <c r="B844" s="194">
        <v>105490.0</v>
      </c>
      <c r="C844" s="192" t="s">
        <v>1875</v>
      </c>
      <c r="D844" s="192" t="s">
        <v>1140</v>
      </c>
      <c r="E844" s="235"/>
      <c r="F844" s="235"/>
      <c r="G844" s="325"/>
      <c r="H844" s="235"/>
      <c r="I844" s="235"/>
      <c r="J844" s="235"/>
      <c r="K844" s="235"/>
      <c r="L844" s="235"/>
      <c r="M844" s="235"/>
      <c r="N844" s="235"/>
      <c r="O844" s="235"/>
      <c r="P844" s="235"/>
      <c r="Q844" s="235"/>
      <c r="R844" s="235"/>
      <c r="S844" s="235"/>
      <c r="T844" s="235"/>
      <c r="U844" s="235"/>
      <c r="V844" s="235"/>
      <c r="W844" s="235"/>
      <c r="X844" s="235"/>
      <c r="Y844" s="235"/>
      <c r="Z844" s="235"/>
      <c r="AA844" s="235"/>
      <c r="AB844" s="235"/>
      <c r="AC844" s="235"/>
    </row>
    <row r="845">
      <c r="A845" s="194" t="s">
        <v>1855</v>
      </c>
      <c r="B845" s="193">
        <v>105453.0</v>
      </c>
      <c r="C845" s="192" t="s">
        <v>1856</v>
      </c>
      <c r="D845" s="192" t="s">
        <v>1140</v>
      </c>
      <c r="E845" s="235"/>
      <c r="F845" s="235"/>
      <c r="G845" s="325"/>
      <c r="H845" s="235"/>
      <c r="I845" s="235"/>
      <c r="J845" s="235"/>
      <c r="K845" s="235"/>
      <c r="L845" s="235"/>
      <c r="M845" s="235"/>
      <c r="N845" s="235"/>
      <c r="O845" s="235"/>
      <c r="P845" s="235"/>
      <c r="Q845" s="235"/>
      <c r="R845" s="235"/>
      <c r="S845" s="235"/>
      <c r="T845" s="235"/>
      <c r="U845" s="235"/>
      <c r="V845" s="235"/>
      <c r="W845" s="235"/>
      <c r="X845" s="235"/>
      <c r="Y845" s="235"/>
      <c r="Z845" s="235"/>
      <c r="AA845" s="235"/>
      <c r="AB845" s="235"/>
      <c r="AC845" s="235"/>
    </row>
    <row r="846">
      <c r="A846" s="194" t="s">
        <v>1863</v>
      </c>
      <c r="B846" s="193">
        <v>105485.0</v>
      </c>
      <c r="C846" s="192" t="s">
        <v>1864</v>
      </c>
      <c r="D846" s="192" t="s">
        <v>1140</v>
      </c>
      <c r="E846" s="235"/>
      <c r="F846" s="235"/>
      <c r="G846" s="325"/>
      <c r="H846" s="235"/>
      <c r="I846" s="235"/>
      <c r="J846" s="235"/>
      <c r="K846" s="235"/>
      <c r="L846" s="235"/>
      <c r="M846" s="235"/>
      <c r="N846" s="235"/>
      <c r="O846" s="235"/>
      <c r="P846" s="235"/>
      <c r="Q846" s="235"/>
      <c r="R846" s="235"/>
      <c r="S846" s="235"/>
      <c r="T846" s="235"/>
      <c r="U846" s="235"/>
      <c r="V846" s="235"/>
      <c r="W846" s="235"/>
      <c r="X846" s="235"/>
      <c r="Y846" s="235"/>
      <c r="Z846" s="235"/>
      <c r="AA846" s="235"/>
      <c r="AB846" s="235"/>
      <c r="AC846" s="235"/>
    </row>
    <row r="847">
      <c r="A847" s="194" t="s">
        <v>1704</v>
      </c>
      <c r="B847" s="193">
        <v>105092.0</v>
      </c>
      <c r="C847" s="192" t="s">
        <v>1705</v>
      </c>
      <c r="D847" s="192" t="s">
        <v>806</v>
      </c>
      <c r="E847" s="235"/>
      <c r="F847" s="235"/>
      <c r="G847" s="325"/>
      <c r="H847" s="235"/>
      <c r="I847" s="235"/>
      <c r="J847" s="235"/>
      <c r="K847" s="235"/>
      <c r="L847" s="235"/>
      <c r="M847" s="235"/>
      <c r="N847" s="235"/>
      <c r="O847" s="235"/>
      <c r="P847" s="235"/>
      <c r="Q847" s="235"/>
      <c r="R847" s="235"/>
      <c r="S847" s="235"/>
      <c r="T847" s="235"/>
      <c r="U847" s="235"/>
      <c r="V847" s="235"/>
      <c r="W847" s="235"/>
      <c r="X847" s="235"/>
      <c r="Y847" s="235"/>
      <c r="Z847" s="235"/>
      <c r="AA847" s="235"/>
      <c r="AB847" s="235"/>
      <c r="AC847" s="235"/>
    </row>
    <row r="848">
      <c r="A848" s="194" t="s">
        <v>1658</v>
      </c>
      <c r="B848" s="193">
        <v>105044.0</v>
      </c>
      <c r="C848" s="192" t="s">
        <v>1659</v>
      </c>
      <c r="D848" s="192" t="s">
        <v>1660</v>
      </c>
      <c r="E848" s="235"/>
      <c r="F848" s="235"/>
      <c r="G848" s="325"/>
      <c r="H848" s="235"/>
      <c r="I848" s="235"/>
      <c r="J848" s="235"/>
      <c r="K848" s="235"/>
      <c r="L848" s="235"/>
      <c r="M848" s="235"/>
      <c r="N848" s="235"/>
      <c r="O848" s="235"/>
      <c r="P848" s="235"/>
      <c r="Q848" s="235"/>
      <c r="R848" s="235"/>
      <c r="S848" s="235"/>
      <c r="T848" s="235"/>
      <c r="U848" s="235"/>
      <c r="V848" s="235"/>
      <c r="W848" s="235"/>
      <c r="X848" s="235"/>
      <c r="Y848" s="235"/>
      <c r="Z848" s="235"/>
      <c r="AA848" s="235"/>
      <c r="AB848" s="235"/>
      <c r="AC848" s="235"/>
    </row>
    <row r="849">
      <c r="A849" s="194" t="s">
        <v>1674</v>
      </c>
      <c r="B849" s="193">
        <v>104927.0</v>
      </c>
      <c r="C849" s="192" t="s">
        <v>1675</v>
      </c>
      <c r="D849" s="192" t="s">
        <v>1676</v>
      </c>
      <c r="E849" s="235"/>
      <c r="F849" s="235"/>
      <c r="G849" s="325"/>
      <c r="H849" s="235"/>
      <c r="I849" s="235"/>
      <c r="J849" s="235"/>
      <c r="K849" s="235"/>
      <c r="L849" s="235"/>
      <c r="M849" s="235"/>
      <c r="N849" s="235"/>
      <c r="O849" s="235"/>
      <c r="P849" s="235"/>
      <c r="Q849" s="235"/>
      <c r="R849" s="235"/>
      <c r="S849" s="235"/>
      <c r="T849" s="235"/>
      <c r="U849" s="235"/>
      <c r="V849" s="235"/>
      <c r="W849" s="235"/>
      <c r="X849" s="235"/>
      <c r="Y849" s="235"/>
      <c r="Z849" s="235"/>
      <c r="AA849" s="235"/>
      <c r="AB849" s="235"/>
      <c r="AC849" s="235"/>
    </row>
    <row r="850">
      <c r="A850" s="194" t="s">
        <v>1763</v>
      </c>
      <c r="B850" s="193">
        <v>105128.0</v>
      </c>
      <c r="C850" s="192" t="s">
        <v>1764</v>
      </c>
      <c r="D850" s="192" t="s">
        <v>1765</v>
      </c>
      <c r="E850" s="235"/>
      <c r="F850" s="235"/>
      <c r="G850" s="325"/>
      <c r="H850" s="235"/>
      <c r="I850" s="235"/>
      <c r="J850" s="235"/>
      <c r="K850" s="235"/>
      <c r="L850" s="235"/>
      <c r="M850" s="235"/>
      <c r="N850" s="235"/>
      <c r="O850" s="235"/>
      <c r="P850" s="235"/>
      <c r="Q850" s="235"/>
      <c r="R850" s="235"/>
      <c r="S850" s="235"/>
      <c r="T850" s="235"/>
      <c r="U850" s="235"/>
      <c r="V850" s="235"/>
      <c r="W850" s="235"/>
      <c r="X850" s="235"/>
      <c r="Y850" s="235"/>
      <c r="Z850" s="235"/>
      <c r="AA850" s="235"/>
      <c r="AB850" s="235"/>
      <c r="AC850" s="235"/>
    </row>
    <row r="851">
      <c r="A851" s="194" t="s">
        <v>1661</v>
      </c>
      <c r="B851" s="193">
        <v>104880.0</v>
      </c>
      <c r="C851" s="192" t="s">
        <v>1662</v>
      </c>
      <c r="D851" s="192" t="s">
        <v>1363</v>
      </c>
      <c r="E851" s="235"/>
      <c r="F851" s="235"/>
      <c r="G851" s="325"/>
      <c r="H851" s="235"/>
      <c r="I851" s="235"/>
      <c r="J851" s="235"/>
      <c r="K851" s="235"/>
      <c r="L851" s="235"/>
      <c r="M851" s="235"/>
      <c r="N851" s="235"/>
      <c r="O851" s="235"/>
      <c r="P851" s="235"/>
      <c r="Q851" s="235"/>
      <c r="R851" s="235"/>
      <c r="S851" s="235"/>
      <c r="T851" s="235"/>
      <c r="U851" s="235"/>
      <c r="V851" s="235"/>
      <c r="W851" s="235"/>
      <c r="X851" s="235"/>
      <c r="Y851" s="235"/>
      <c r="Z851" s="235"/>
      <c r="AA851" s="235"/>
      <c r="AB851" s="235"/>
      <c r="AC851" s="235"/>
    </row>
    <row r="852">
      <c r="A852" s="194" t="s">
        <v>1706</v>
      </c>
      <c r="B852" s="193">
        <v>104880.0</v>
      </c>
      <c r="C852" s="192" t="s">
        <v>1662</v>
      </c>
      <c r="D852" s="192" t="s">
        <v>454</v>
      </c>
      <c r="E852" s="235"/>
      <c r="F852" s="235"/>
      <c r="G852" s="325"/>
      <c r="H852" s="235"/>
      <c r="I852" s="235"/>
      <c r="J852" s="235"/>
      <c r="K852" s="235"/>
      <c r="L852" s="235"/>
      <c r="M852" s="235"/>
      <c r="N852" s="235"/>
      <c r="O852" s="235"/>
      <c r="P852" s="235"/>
      <c r="Q852" s="235"/>
      <c r="R852" s="235"/>
      <c r="S852" s="235"/>
      <c r="T852" s="235"/>
      <c r="U852" s="235"/>
      <c r="V852" s="235"/>
      <c r="W852" s="235"/>
      <c r="X852" s="235"/>
      <c r="Y852" s="235"/>
      <c r="Z852" s="235"/>
      <c r="AA852" s="235"/>
      <c r="AB852" s="235"/>
      <c r="AC852" s="235"/>
    </row>
    <row r="853">
      <c r="A853" s="194" t="s">
        <v>1707</v>
      </c>
      <c r="B853" s="193">
        <v>105114.0</v>
      </c>
      <c r="C853" s="192" t="s">
        <v>1708</v>
      </c>
      <c r="D853" s="192" t="s">
        <v>625</v>
      </c>
      <c r="E853" s="235"/>
      <c r="F853" s="235"/>
      <c r="G853" s="325"/>
      <c r="H853" s="235"/>
      <c r="I853" s="235"/>
      <c r="J853" s="235"/>
      <c r="K853" s="235"/>
      <c r="L853" s="235"/>
      <c r="M853" s="235"/>
      <c r="N853" s="235"/>
      <c r="O853" s="235"/>
      <c r="P853" s="235"/>
      <c r="Q853" s="235"/>
      <c r="R853" s="235"/>
      <c r="S853" s="235"/>
      <c r="T853" s="235"/>
      <c r="U853" s="235"/>
      <c r="V853" s="235"/>
      <c r="W853" s="235"/>
      <c r="X853" s="235"/>
      <c r="Y853" s="235"/>
      <c r="Z853" s="235"/>
      <c r="AA853" s="235"/>
      <c r="AB853" s="235"/>
      <c r="AC853" s="235"/>
    </row>
    <row r="854">
      <c r="A854" s="194" t="s">
        <v>1745</v>
      </c>
      <c r="B854" s="193">
        <v>105194.0</v>
      </c>
      <c r="C854" s="192" t="s">
        <v>1746</v>
      </c>
      <c r="D854" s="192" t="s">
        <v>625</v>
      </c>
      <c r="E854" s="235"/>
      <c r="F854" s="235"/>
      <c r="G854" s="325"/>
      <c r="H854" s="235"/>
      <c r="I854" s="235"/>
      <c r="J854" s="235"/>
      <c r="K854" s="235"/>
      <c r="L854" s="235"/>
      <c r="M854" s="235"/>
      <c r="N854" s="235"/>
      <c r="O854" s="235"/>
      <c r="P854" s="235"/>
      <c r="Q854" s="235"/>
      <c r="R854" s="235"/>
      <c r="S854" s="235"/>
      <c r="T854" s="235"/>
      <c r="U854" s="235"/>
      <c r="V854" s="235"/>
      <c r="W854" s="235"/>
      <c r="X854" s="235"/>
      <c r="Y854" s="235"/>
      <c r="Z854" s="235"/>
      <c r="AA854" s="235"/>
      <c r="AB854" s="235"/>
      <c r="AC854" s="235"/>
    </row>
    <row r="855">
      <c r="A855" s="194" t="s">
        <v>1831</v>
      </c>
      <c r="B855" s="193">
        <v>105356.0</v>
      </c>
      <c r="C855" s="192" t="s">
        <v>1832</v>
      </c>
      <c r="D855" s="192" t="s">
        <v>254</v>
      </c>
      <c r="E855" s="235"/>
      <c r="F855" s="235"/>
      <c r="G855" s="325"/>
      <c r="H855" s="235"/>
      <c r="I855" s="235"/>
      <c r="J855" s="235"/>
      <c r="K855" s="235"/>
      <c r="L855" s="235"/>
      <c r="M855" s="235"/>
      <c r="N855" s="235"/>
      <c r="O855" s="235"/>
      <c r="P855" s="235"/>
      <c r="Q855" s="235"/>
      <c r="R855" s="235"/>
      <c r="S855" s="235"/>
      <c r="T855" s="235"/>
      <c r="U855" s="235"/>
      <c r="V855" s="235"/>
      <c r="W855" s="235"/>
      <c r="X855" s="235"/>
      <c r="Y855" s="235"/>
      <c r="Z855" s="235"/>
      <c r="AA855" s="235"/>
      <c r="AB855" s="235"/>
      <c r="AC855" s="235"/>
    </row>
    <row r="856">
      <c r="A856" s="194" t="s">
        <v>1747</v>
      </c>
      <c r="B856" s="193">
        <v>105196.0</v>
      </c>
      <c r="C856" s="192" t="s">
        <v>1748</v>
      </c>
      <c r="D856" s="192" t="s">
        <v>625</v>
      </c>
      <c r="E856" s="235"/>
      <c r="F856" s="235"/>
      <c r="G856" s="325"/>
      <c r="H856" s="235"/>
      <c r="I856" s="235"/>
      <c r="J856" s="235"/>
      <c r="K856" s="235"/>
      <c r="L856" s="235"/>
      <c r="M856" s="235"/>
      <c r="N856" s="235"/>
      <c r="O856" s="235"/>
      <c r="P856" s="235"/>
      <c r="Q856" s="235"/>
      <c r="R856" s="235"/>
      <c r="S856" s="235"/>
      <c r="T856" s="235"/>
      <c r="U856" s="235"/>
      <c r="V856" s="235"/>
      <c r="W856" s="235"/>
      <c r="X856" s="235"/>
      <c r="Y856" s="235"/>
      <c r="Z856" s="235"/>
      <c r="AA856" s="235"/>
      <c r="AB856" s="235"/>
      <c r="AC856" s="235"/>
    </row>
    <row r="857">
      <c r="A857" s="194" t="s">
        <v>1749</v>
      </c>
      <c r="B857" s="193">
        <v>105181.0</v>
      </c>
      <c r="C857" s="192" t="s">
        <v>1750</v>
      </c>
      <c r="D857" s="192" t="s">
        <v>625</v>
      </c>
      <c r="E857" s="235"/>
      <c r="F857" s="235"/>
      <c r="G857" s="325"/>
      <c r="H857" s="235"/>
      <c r="I857" s="235"/>
      <c r="J857" s="235"/>
      <c r="K857" s="235"/>
      <c r="L857" s="235"/>
      <c r="M857" s="235"/>
      <c r="N857" s="235"/>
      <c r="O857" s="235"/>
      <c r="P857" s="235"/>
      <c r="Q857" s="235"/>
      <c r="R857" s="235"/>
      <c r="S857" s="235"/>
      <c r="T857" s="235"/>
      <c r="U857" s="235"/>
      <c r="V857" s="235"/>
      <c r="W857" s="235"/>
      <c r="X857" s="235"/>
      <c r="Y857" s="235"/>
      <c r="Z857" s="235"/>
      <c r="AA857" s="235"/>
      <c r="AB857" s="235"/>
      <c r="AC857" s="235"/>
    </row>
    <row r="858">
      <c r="A858" s="194" t="s">
        <v>1585</v>
      </c>
      <c r="B858" s="193">
        <v>104867.0</v>
      </c>
      <c r="C858" s="192" t="s">
        <v>1586</v>
      </c>
      <c r="D858" s="192" t="s">
        <v>254</v>
      </c>
      <c r="E858" s="235"/>
      <c r="F858" s="235"/>
      <c r="G858" s="325"/>
      <c r="H858" s="235"/>
      <c r="I858" s="235"/>
      <c r="J858" s="235"/>
      <c r="K858" s="235"/>
      <c r="L858" s="235"/>
      <c r="M858" s="235"/>
      <c r="N858" s="235"/>
      <c r="O858" s="235"/>
      <c r="P858" s="235"/>
      <c r="Q858" s="235"/>
      <c r="R858" s="235"/>
      <c r="S858" s="235"/>
      <c r="T858" s="235"/>
      <c r="U858" s="235"/>
      <c r="V858" s="235"/>
      <c r="W858" s="235"/>
      <c r="X858" s="235"/>
      <c r="Y858" s="235"/>
      <c r="Z858" s="235"/>
      <c r="AA858" s="235"/>
      <c r="AB858" s="235"/>
      <c r="AC858" s="235"/>
    </row>
    <row r="859">
      <c r="A859" s="194" t="s">
        <v>1751</v>
      </c>
      <c r="B859" s="193">
        <v>105168.0</v>
      </c>
      <c r="C859" s="192" t="s">
        <v>1752</v>
      </c>
      <c r="D859" s="192" t="s">
        <v>625</v>
      </c>
      <c r="E859" s="235"/>
      <c r="F859" s="235"/>
      <c r="G859" s="325"/>
      <c r="H859" s="235"/>
      <c r="I859" s="235"/>
      <c r="J859" s="235"/>
      <c r="K859" s="235"/>
      <c r="L859" s="235"/>
      <c r="M859" s="235"/>
      <c r="N859" s="235"/>
      <c r="O859" s="235"/>
      <c r="P859" s="235"/>
      <c r="Q859" s="235"/>
      <c r="R859" s="235"/>
      <c r="S859" s="235"/>
      <c r="T859" s="235"/>
      <c r="U859" s="235"/>
      <c r="V859" s="235"/>
      <c r="W859" s="235"/>
      <c r="X859" s="235"/>
      <c r="Y859" s="235"/>
      <c r="Z859" s="235"/>
      <c r="AA859" s="235"/>
      <c r="AB859" s="235"/>
      <c r="AC859" s="235"/>
    </row>
    <row r="860">
      <c r="A860" s="194" t="s">
        <v>1753</v>
      </c>
      <c r="B860" s="193">
        <v>105180.0</v>
      </c>
      <c r="C860" s="192" t="s">
        <v>1754</v>
      </c>
      <c r="D860" s="192" t="s">
        <v>625</v>
      </c>
      <c r="E860" s="235"/>
      <c r="F860" s="235"/>
      <c r="G860" s="325"/>
      <c r="H860" s="235"/>
      <c r="I860" s="235"/>
      <c r="J860" s="235"/>
      <c r="K860" s="235"/>
      <c r="L860" s="235"/>
      <c r="M860" s="235"/>
      <c r="N860" s="235"/>
      <c r="O860" s="235"/>
      <c r="P860" s="235"/>
      <c r="Q860" s="235"/>
      <c r="R860" s="235"/>
      <c r="S860" s="235"/>
      <c r="T860" s="235"/>
      <c r="U860" s="235"/>
      <c r="V860" s="235"/>
      <c r="W860" s="235"/>
      <c r="X860" s="235"/>
      <c r="Y860" s="235"/>
      <c r="Z860" s="235"/>
      <c r="AA860" s="235"/>
      <c r="AB860" s="235"/>
      <c r="AC860" s="235"/>
    </row>
    <row r="861">
      <c r="A861" s="194" t="s">
        <v>1780</v>
      </c>
      <c r="B861" s="193">
        <v>105265.0</v>
      </c>
      <c r="C861" s="192" t="s">
        <v>1781</v>
      </c>
      <c r="D861" s="192" t="s">
        <v>254</v>
      </c>
      <c r="E861" s="235"/>
      <c r="F861" s="235"/>
      <c r="G861" s="325"/>
      <c r="H861" s="235"/>
      <c r="I861" s="235"/>
      <c r="J861" s="235"/>
      <c r="K861" s="235"/>
      <c r="L861" s="235"/>
      <c r="M861" s="235"/>
      <c r="N861" s="235"/>
      <c r="O861" s="235"/>
      <c r="P861" s="235"/>
      <c r="Q861" s="235"/>
      <c r="R861" s="235"/>
      <c r="S861" s="235"/>
      <c r="T861" s="235"/>
      <c r="U861" s="235"/>
      <c r="V861" s="235"/>
      <c r="W861" s="235"/>
      <c r="X861" s="235"/>
      <c r="Y861" s="235"/>
      <c r="Z861" s="235"/>
      <c r="AA861" s="235"/>
      <c r="AB861" s="235"/>
      <c r="AC861" s="235"/>
    </row>
    <row r="862">
      <c r="A862" s="194" t="s">
        <v>1739</v>
      </c>
      <c r="B862" s="193">
        <v>105175.0</v>
      </c>
      <c r="C862" s="192" t="s">
        <v>1740</v>
      </c>
      <c r="D862" s="192" t="s">
        <v>1723</v>
      </c>
      <c r="E862" s="235"/>
      <c r="F862" s="235"/>
      <c r="G862" s="325"/>
      <c r="H862" s="235"/>
      <c r="I862" s="235"/>
      <c r="J862" s="235"/>
      <c r="K862" s="235"/>
      <c r="L862" s="235"/>
      <c r="M862" s="235"/>
      <c r="N862" s="235"/>
      <c r="O862" s="235"/>
      <c r="P862" s="235"/>
      <c r="Q862" s="235"/>
      <c r="R862" s="235"/>
      <c r="S862" s="235"/>
      <c r="T862" s="235"/>
      <c r="U862" s="235"/>
      <c r="V862" s="235"/>
      <c r="W862" s="235"/>
      <c r="X862" s="235"/>
      <c r="Y862" s="235"/>
      <c r="Z862" s="235"/>
      <c r="AA862" s="235"/>
      <c r="AB862" s="235"/>
      <c r="AC862" s="235"/>
    </row>
    <row r="863">
      <c r="A863" s="194" t="s">
        <v>1514</v>
      </c>
      <c r="B863" s="193">
        <v>104574.0</v>
      </c>
      <c r="C863" s="192" t="s">
        <v>1515</v>
      </c>
      <c r="D863" s="192" t="s">
        <v>1516</v>
      </c>
      <c r="E863" s="235"/>
      <c r="F863" s="235"/>
      <c r="G863" s="325"/>
      <c r="H863" s="235"/>
      <c r="I863" s="235"/>
      <c r="J863" s="235"/>
      <c r="K863" s="235"/>
      <c r="L863" s="235"/>
      <c r="M863" s="235"/>
      <c r="N863" s="235"/>
      <c r="O863" s="235"/>
      <c r="P863" s="235"/>
      <c r="Q863" s="235"/>
      <c r="R863" s="235"/>
      <c r="S863" s="235"/>
      <c r="T863" s="235"/>
      <c r="U863" s="235"/>
      <c r="V863" s="235"/>
      <c r="W863" s="235"/>
      <c r="X863" s="235"/>
      <c r="Y863" s="235"/>
      <c r="Z863" s="235"/>
      <c r="AA863" s="235"/>
      <c r="AB863" s="235"/>
      <c r="AC863" s="235"/>
    </row>
    <row r="864">
      <c r="A864" s="194" t="s">
        <v>1727</v>
      </c>
      <c r="B864" s="193">
        <v>105205.0</v>
      </c>
      <c r="C864" s="192" t="s">
        <v>1728</v>
      </c>
      <c r="D864" s="192" t="s">
        <v>265</v>
      </c>
      <c r="E864" s="235"/>
      <c r="F864" s="235"/>
      <c r="G864" s="325"/>
      <c r="H864" s="235"/>
      <c r="I864" s="235"/>
      <c r="J864" s="235"/>
      <c r="K864" s="235"/>
      <c r="L864" s="235"/>
      <c r="M864" s="235"/>
      <c r="N864" s="235"/>
      <c r="O864" s="235"/>
      <c r="P864" s="235"/>
      <c r="Q864" s="235"/>
      <c r="R864" s="235"/>
      <c r="S864" s="235"/>
      <c r="T864" s="235"/>
      <c r="U864" s="235"/>
      <c r="V864" s="235"/>
      <c r="W864" s="235"/>
      <c r="X864" s="235"/>
      <c r="Y864" s="235"/>
      <c r="Z864" s="235"/>
      <c r="AA864" s="235"/>
      <c r="AB864" s="235"/>
      <c r="AC864" s="235"/>
    </row>
    <row r="865">
      <c r="A865" s="194" t="s">
        <v>1721</v>
      </c>
      <c r="B865" s="193">
        <v>105065.0</v>
      </c>
      <c r="C865" s="192" t="s">
        <v>1722</v>
      </c>
      <c r="D865" s="192" t="s">
        <v>1723</v>
      </c>
      <c r="E865" s="235"/>
      <c r="F865" s="235"/>
      <c r="G865" s="325"/>
      <c r="H865" s="235"/>
      <c r="I865" s="235"/>
      <c r="J865" s="235"/>
      <c r="K865" s="235"/>
      <c r="L865" s="235"/>
      <c r="M865" s="235"/>
      <c r="N865" s="235"/>
      <c r="O865" s="235"/>
      <c r="P865" s="235"/>
      <c r="Q865" s="235"/>
      <c r="R865" s="235"/>
      <c r="S865" s="235"/>
      <c r="T865" s="235"/>
      <c r="U865" s="235"/>
      <c r="V865" s="235"/>
      <c r="W865" s="235"/>
      <c r="X865" s="235"/>
      <c r="Y865" s="235"/>
      <c r="Z865" s="235"/>
      <c r="AA865" s="235"/>
      <c r="AB865" s="235"/>
      <c r="AC865" s="235"/>
    </row>
    <row r="866">
      <c r="A866" s="194" t="s">
        <v>1812</v>
      </c>
      <c r="B866" s="193">
        <v>105284.0</v>
      </c>
      <c r="C866" s="192" t="s">
        <v>1813</v>
      </c>
      <c r="D866" s="192" t="s">
        <v>1726</v>
      </c>
      <c r="E866" s="235"/>
      <c r="F866" s="235"/>
      <c r="G866" s="325"/>
      <c r="H866" s="235"/>
      <c r="I866" s="235"/>
      <c r="J866" s="235"/>
      <c r="K866" s="235"/>
      <c r="L866" s="235"/>
      <c r="M866" s="235"/>
      <c r="N866" s="235"/>
      <c r="O866" s="235"/>
      <c r="P866" s="235"/>
      <c r="Q866" s="235"/>
      <c r="R866" s="235"/>
      <c r="S866" s="235"/>
      <c r="T866" s="235"/>
      <c r="U866" s="235"/>
      <c r="V866" s="235"/>
      <c r="W866" s="235"/>
      <c r="X866" s="235"/>
      <c r="Y866" s="235"/>
      <c r="Z866" s="235"/>
      <c r="AA866" s="235"/>
      <c r="AB866" s="235"/>
      <c r="AC866" s="235"/>
    </row>
    <row r="867">
      <c r="A867" s="194" t="s">
        <v>1589</v>
      </c>
      <c r="B867" s="193">
        <v>104962.0</v>
      </c>
      <c r="C867" s="192" t="s">
        <v>1590</v>
      </c>
      <c r="D867" s="192" t="s">
        <v>1140</v>
      </c>
      <c r="E867" s="235"/>
      <c r="F867" s="235"/>
      <c r="G867" s="325"/>
      <c r="H867" s="235"/>
      <c r="I867" s="235"/>
      <c r="J867" s="235"/>
      <c r="K867" s="235"/>
      <c r="L867" s="235"/>
      <c r="M867" s="235"/>
      <c r="N867" s="235"/>
      <c r="O867" s="235"/>
      <c r="P867" s="235"/>
      <c r="Q867" s="235"/>
      <c r="R867" s="235"/>
      <c r="S867" s="235"/>
      <c r="T867" s="235"/>
      <c r="U867" s="235"/>
      <c r="V867" s="235"/>
      <c r="W867" s="235"/>
      <c r="X867" s="235"/>
      <c r="Y867" s="235"/>
      <c r="Z867" s="235"/>
      <c r="AA867" s="235"/>
      <c r="AB867" s="235"/>
      <c r="AC867" s="235"/>
    </row>
    <row r="868">
      <c r="A868" s="194" t="s">
        <v>1671</v>
      </c>
      <c r="B868" s="193">
        <v>104910.0</v>
      </c>
      <c r="C868" s="192" t="s">
        <v>1672</v>
      </c>
      <c r="D868" s="192" t="s">
        <v>1673</v>
      </c>
      <c r="E868" s="235"/>
      <c r="F868" s="235"/>
      <c r="G868" s="325"/>
      <c r="H868" s="235"/>
      <c r="I868" s="235"/>
      <c r="J868" s="235"/>
      <c r="K868" s="235"/>
      <c r="L868" s="235"/>
      <c r="M868" s="235"/>
      <c r="N868" s="235"/>
      <c r="O868" s="235"/>
      <c r="P868" s="235"/>
      <c r="Q868" s="235"/>
      <c r="R868" s="235"/>
      <c r="S868" s="235"/>
      <c r="T868" s="235"/>
      <c r="U868" s="235"/>
      <c r="V868" s="235"/>
      <c r="W868" s="235"/>
      <c r="X868" s="235"/>
      <c r="Y868" s="235"/>
      <c r="Z868" s="235"/>
      <c r="AA868" s="235"/>
      <c r="AB868" s="235"/>
      <c r="AC868" s="235"/>
    </row>
    <row r="869">
      <c r="A869" s="194" t="s">
        <v>1741</v>
      </c>
      <c r="B869" s="193">
        <v>105076.0</v>
      </c>
      <c r="C869" s="192" t="s">
        <v>1742</v>
      </c>
      <c r="D869" s="192" t="s">
        <v>1673</v>
      </c>
      <c r="E869" s="235"/>
      <c r="F869" s="235"/>
      <c r="G869" s="325"/>
      <c r="H869" s="235"/>
      <c r="I869" s="235"/>
      <c r="J869" s="235"/>
      <c r="K869" s="235"/>
      <c r="L869" s="235"/>
      <c r="M869" s="235"/>
      <c r="N869" s="235"/>
      <c r="O869" s="235"/>
      <c r="P869" s="235"/>
      <c r="Q869" s="235"/>
      <c r="R869" s="235"/>
      <c r="S869" s="235"/>
      <c r="T869" s="235"/>
      <c r="U869" s="235"/>
      <c r="V869" s="235"/>
      <c r="W869" s="235"/>
      <c r="X869" s="235"/>
      <c r="Y869" s="235"/>
      <c r="Z869" s="235"/>
      <c r="AA869" s="235"/>
      <c r="AB869" s="235"/>
      <c r="AC869" s="235"/>
    </row>
    <row r="870">
      <c r="A870" s="194" t="s">
        <v>1824</v>
      </c>
      <c r="B870" s="193">
        <v>105269.0</v>
      </c>
      <c r="C870" s="192" t="s">
        <v>1825</v>
      </c>
      <c r="D870" s="192" t="s">
        <v>646</v>
      </c>
      <c r="E870" s="235"/>
      <c r="F870" s="235"/>
      <c r="G870" s="325"/>
      <c r="H870" s="235"/>
      <c r="I870" s="235"/>
      <c r="J870" s="235"/>
      <c r="K870" s="235"/>
      <c r="L870" s="235"/>
      <c r="M870" s="235"/>
      <c r="N870" s="235"/>
      <c r="O870" s="235"/>
      <c r="P870" s="235"/>
      <c r="Q870" s="235"/>
      <c r="R870" s="235"/>
      <c r="S870" s="235"/>
      <c r="T870" s="235"/>
      <c r="U870" s="235"/>
      <c r="V870" s="235"/>
      <c r="W870" s="235"/>
      <c r="X870" s="235"/>
      <c r="Y870" s="235"/>
      <c r="Z870" s="235"/>
      <c r="AA870" s="235"/>
      <c r="AB870" s="235"/>
      <c r="AC870" s="235"/>
    </row>
    <row r="871">
      <c r="A871" s="194" t="s">
        <v>1782</v>
      </c>
      <c r="B871" s="193">
        <v>105271.0</v>
      </c>
      <c r="C871" s="192" t="s">
        <v>1783</v>
      </c>
      <c r="D871" s="192" t="s">
        <v>806</v>
      </c>
      <c r="E871" s="235"/>
      <c r="F871" s="235"/>
      <c r="G871" s="325"/>
      <c r="H871" s="235"/>
      <c r="I871" s="235"/>
      <c r="J871" s="235"/>
      <c r="K871" s="235"/>
      <c r="L871" s="235"/>
      <c r="M871" s="235"/>
      <c r="N871" s="235"/>
      <c r="O871" s="235"/>
      <c r="P871" s="235"/>
      <c r="Q871" s="235"/>
      <c r="R871" s="235"/>
      <c r="S871" s="235"/>
      <c r="T871" s="235"/>
      <c r="U871" s="235"/>
      <c r="V871" s="235"/>
      <c r="W871" s="235"/>
      <c r="X871" s="235"/>
      <c r="Y871" s="235"/>
      <c r="Z871" s="235"/>
      <c r="AA871" s="235"/>
      <c r="AB871" s="235"/>
      <c r="AC871" s="235"/>
    </row>
    <row r="872">
      <c r="A872" s="194" t="s">
        <v>1587</v>
      </c>
      <c r="B872" s="193">
        <v>104875.0</v>
      </c>
      <c r="C872" s="192" t="s">
        <v>1588</v>
      </c>
      <c r="D872" s="192" t="s">
        <v>254</v>
      </c>
      <c r="E872" s="235"/>
      <c r="F872" s="235"/>
      <c r="G872" s="325"/>
      <c r="H872" s="235"/>
      <c r="I872" s="235"/>
      <c r="J872" s="235"/>
      <c r="K872" s="235"/>
      <c r="L872" s="235"/>
      <c r="M872" s="235"/>
      <c r="N872" s="235"/>
      <c r="O872" s="235"/>
      <c r="P872" s="235"/>
      <c r="Q872" s="235"/>
      <c r="R872" s="235"/>
      <c r="S872" s="235"/>
      <c r="T872" s="235"/>
      <c r="U872" s="235"/>
      <c r="V872" s="235"/>
      <c r="W872" s="235"/>
      <c r="X872" s="235"/>
      <c r="Y872" s="235"/>
      <c r="Z872" s="235"/>
      <c r="AA872" s="235"/>
      <c r="AB872" s="235"/>
      <c r="AC872" s="235"/>
    </row>
    <row r="873">
      <c r="A873" s="194" t="s">
        <v>1568</v>
      </c>
      <c r="B873" s="193">
        <v>104888.0</v>
      </c>
      <c r="C873" s="192" t="s">
        <v>1569</v>
      </c>
      <c r="D873" s="192" t="s">
        <v>522</v>
      </c>
      <c r="E873" s="235"/>
      <c r="F873" s="235"/>
      <c r="G873" s="325"/>
      <c r="H873" s="235"/>
      <c r="I873" s="235"/>
      <c r="J873" s="235"/>
      <c r="K873" s="235"/>
      <c r="L873" s="235"/>
      <c r="M873" s="235"/>
      <c r="N873" s="235"/>
      <c r="O873" s="235"/>
      <c r="P873" s="235"/>
      <c r="Q873" s="235"/>
      <c r="R873" s="235"/>
      <c r="S873" s="235"/>
      <c r="T873" s="235"/>
      <c r="U873" s="235"/>
      <c r="V873" s="235"/>
      <c r="W873" s="235"/>
      <c r="X873" s="235"/>
      <c r="Y873" s="235"/>
      <c r="Z873" s="235"/>
      <c r="AA873" s="235"/>
      <c r="AB873" s="235"/>
      <c r="AC873" s="235"/>
    </row>
    <row r="874">
      <c r="A874" s="194" t="s">
        <v>1857</v>
      </c>
      <c r="B874" s="193">
        <v>105429.0</v>
      </c>
      <c r="C874" s="192" t="s">
        <v>1858</v>
      </c>
      <c r="D874" s="192" t="s">
        <v>87</v>
      </c>
      <c r="E874" s="235"/>
      <c r="F874" s="235"/>
      <c r="G874" s="325"/>
      <c r="H874" s="235"/>
      <c r="I874" s="235"/>
      <c r="J874" s="235"/>
      <c r="K874" s="235"/>
      <c r="L874" s="235"/>
      <c r="M874" s="235"/>
      <c r="N874" s="235"/>
      <c r="O874" s="235"/>
      <c r="P874" s="235"/>
      <c r="Q874" s="235"/>
      <c r="R874" s="235"/>
      <c r="S874" s="235"/>
      <c r="T874" s="235"/>
      <c r="U874" s="235"/>
      <c r="V874" s="235"/>
      <c r="W874" s="235"/>
      <c r="X874" s="235"/>
      <c r="Y874" s="235"/>
      <c r="Z874" s="235"/>
      <c r="AA874" s="235"/>
      <c r="AB874" s="235"/>
      <c r="AC874" s="235"/>
    </row>
    <row r="875">
      <c r="A875" s="194" t="s">
        <v>1880</v>
      </c>
      <c r="B875" s="193">
        <v>105439.0</v>
      </c>
      <c r="C875" s="192" t="s">
        <v>1881</v>
      </c>
      <c r="D875" s="192" t="s">
        <v>87</v>
      </c>
      <c r="E875" s="235"/>
      <c r="F875" s="235"/>
      <c r="G875" s="325"/>
      <c r="H875" s="235"/>
      <c r="I875" s="235"/>
      <c r="J875" s="235"/>
      <c r="K875" s="235"/>
      <c r="L875" s="235"/>
      <c r="M875" s="235"/>
      <c r="N875" s="235"/>
      <c r="O875" s="235"/>
      <c r="P875" s="235"/>
      <c r="Q875" s="235"/>
      <c r="R875" s="235"/>
      <c r="S875" s="235"/>
      <c r="T875" s="235"/>
      <c r="U875" s="235"/>
      <c r="V875" s="235"/>
      <c r="W875" s="235"/>
      <c r="X875" s="235"/>
      <c r="Y875" s="235"/>
      <c r="Z875" s="235"/>
      <c r="AA875" s="235"/>
      <c r="AB875" s="235"/>
      <c r="AC875" s="235"/>
    </row>
    <row r="876">
      <c r="A876" s="194" t="s">
        <v>1867</v>
      </c>
      <c r="B876" s="193">
        <v>105421.0</v>
      </c>
      <c r="C876" s="192" t="s">
        <v>1868</v>
      </c>
      <c r="D876" s="192" t="s">
        <v>154</v>
      </c>
      <c r="E876" s="235"/>
      <c r="F876" s="235"/>
      <c r="G876" s="325"/>
      <c r="H876" s="235"/>
      <c r="I876" s="235"/>
      <c r="J876" s="235"/>
      <c r="K876" s="235"/>
      <c r="L876" s="235"/>
      <c r="M876" s="235"/>
      <c r="N876" s="235"/>
      <c r="O876" s="235"/>
      <c r="P876" s="235"/>
      <c r="Q876" s="235"/>
      <c r="R876" s="235"/>
      <c r="S876" s="235"/>
      <c r="T876" s="235"/>
      <c r="U876" s="235"/>
      <c r="V876" s="235"/>
      <c r="W876" s="235"/>
      <c r="X876" s="235"/>
      <c r="Y876" s="235"/>
      <c r="Z876" s="235"/>
      <c r="AA876" s="235"/>
      <c r="AB876" s="235"/>
      <c r="AC876" s="235"/>
    </row>
    <row r="877">
      <c r="A877" s="194" t="s">
        <v>1869</v>
      </c>
      <c r="B877" s="193">
        <v>105451.0</v>
      </c>
      <c r="C877" s="192" t="s">
        <v>1870</v>
      </c>
      <c r="D877" s="192" t="s">
        <v>1871</v>
      </c>
      <c r="E877" s="235"/>
      <c r="F877" s="235"/>
      <c r="G877" s="325"/>
      <c r="H877" s="235"/>
      <c r="I877" s="235"/>
      <c r="J877" s="235"/>
      <c r="K877" s="235"/>
      <c r="L877" s="235"/>
      <c r="M877" s="235"/>
      <c r="N877" s="235"/>
      <c r="O877" s="235"/>
      <c r="P877" s="235"/>
      <c r="Q877" s="235"/>
      <c r="R877" s="235"/>
      <c r="S877" s="235"/>
      <c r="T877" s="235"/>
      <c r="U877" s="235"/>
      <c r="V877" s="235"/>
      <c r="W877" s="235"/>
      <c r="X877" s="235"/>
      <c r="Y877" s="235"/>
      <c r="Z877" s="235"/>
      <c r="AA877" s="235"/>
      <c r="AB877" s="235"/>
      <c r="AC877" s="235"/>
    </row>
    <row r="878">
      <c r="A878" s="194" t="s">
        <v>1898</v>
      </c>
      <c r="B878" s="193">
        <v>105506.0</v>
      </c>
      <c r="C878" s="192" t="s">
        <v>1899</v>
      </c>
      <c r="D878" s="192" t="s">
        <v>87</v>
      </c>
      <c r="E878" s="235"/>
      <c r="F878" s="235"/>
      <c r="G878" s="325"/>
      <c r="H878" s="235"/>
      <c r="I878" s="235"/>
      <c r="J878" s="235"/>
      <c r="K878" s="235"/>
      <c r="L878" s="235"/>
      <c r="M878" s="235"/>
      <c r="N878" s="235"/>
      <c r="O878" s="235"/>
      <c r="P878" s="235"/>
      <c r="Q878" s="235"/>
      <c r="R878" s="235"/>
      <c r="S878" s="235"/>
      <c r="T878" s="235"/>
      <c r="U878" s="235"/>
      <c r="V878" s="235"/>
      <c r="W878" s="235"/>
      <c r="X878" s="235"/>
      <c r="Y878" s="235"/>
      <c r="Z878" s="235"/>
      <c r="AA878" s="235"/>
      <c r="AB878" s="235"/>
      <c r="AC878" s="235"/>
    </row>
    <row r="879">
      <c r="A879" s="234"/>
      <c r="B879" s="193">
        <v>105481.0</v>
      </c>
      <c r="C879" s="192" t="s">
        <v>1900</v>
      </c>
      <c r="D879" s="192" t="s">
        <v>87</v>
      </c>
      <c r="E879" s="235"/>
      <c r="F879" s="235"/>
      <c r="G879" s="325"/>
      <c r="H879" s="235"/>
      <c r="I879" s="235"/>
      <c r="J879" s="235"/>
      <c r="K879" s="235"/>
      <c r="L879" s="235"/>
      <c r="M879" s="235"/>
      <c r="N879" s="235"/>
      <c r="O879" s="235"/>
      <c r="P879" s="235"/>
      <c r="Q879" s="235"/>
      <c r="R879" s="235"/>
      <c r="S879" s="235"/>
      <c r="T879" s="235"/>
      <c r="U879" s="235"/>
      <c r="V879" s="235"/>
      <c r="W879" s="235"/>
      <c r="X879" s="235"/>
      <c r="Y879" s="235"/>
      <c r="Z879" s="235"/>
      <c r="AA879" s="235"/>
      <c r="AB879" s="235"/>
      <c r="AC879" s="235"/>
    </row>
    <row r="880">
      <c r="A880" s="234"/>
      <c r="B880" s="193">
        <v>105409.0</v>
      </c>
      <c r="C880" s="192" t="s">
        <v>1837</v>
      </c>
      <c r="D880" s="192" t="s">
        <v>1140</v>
      </c>
      <c r="E880" s="235"/>
      <c r="F880" s="235"/>
      <c r="G880" s="325"/>
      <c r="H880" s="235"/>
      <c r="I880" s="235"/>
      <c r="J880" s="235"/>
      <c r="K880" s="235"/>
      <c r="L880" s="235"/>
      <c r="M880" s="235"/>
      <c r="N880" s="235"/>
      <c r="O880" s="235"/>
      <c r="P880" s="235"/>
      <c r="Q880" s="235"/>
      <c r="R880" s="235"/>
      <c r="S880" s="235"/>
      <c r="T880" s="235"/>
      <c r="U880" s="235"/>
      <c r="V880" s="235"/>
      <c r="W880" s="235"/>
      <c r="X880" s="235"/>
      <c r="Y880" s="235"/>
      <c r="Z880" s="235"/>
      <c r="AA880" s="235"/>
      <c r="AB880" s="235"/>
      <c r="AC880" s="235"/>
    </row>
    <row r="881">
      <c r="A881" s="194" t="s">
        <v>1886</v>
      </c>
      <c r="B881" s="193">
        <v>105503.0</v>
      </c>
      <c r="C881" s="192" t="s">
        <v>1887</v>
      </c>
      <c r="D881" s="192" t="s">
        <v>1140</v>
      </c>
      <c r="E881" s="235"/>
      <c r="F881" s="235"/>
      <c r="G881" s="325"/>
      <c r="H881" s="235"/>
      <c r="I881" s="235"/>
      <c r="J881" s="235"/>
      <c r="K881" s="235"/>
      <c r="L881" s="235"/>
      <c r="M881" s="235"/>
      <c r="N881" s="235"/>
      <c r="O881" s="235"/>
      <c r="P881" s="235"/>
      <c r="Q881" s="235"/>
      <c r="R881" s="235"/>
      <c r="S881" s="235"/>
      <c r="T881" s="235"/>
      <c r="U881" s="235"/>
      <c r="V881" s="235"/>
      <c r="W881" s="235"/>
      <c r="X881" s="235"/>
      <c r="Y881" s="235"/>
      <c r="Z881" s="235"/>
      <c r="AA881" s="235"/>
      <c r="AB881" s="235"/>
      <c r="AC881" s="235"/>
    </row>
    <row r="882">
      <c r="A882" s="194" t="s">
        <v>1865</v>
      </c>
      <c r="B882" s="193">
        <v>105486.0</v>
      </c>
      <c r="C882" s="192" t="s">
        <v>1866</v>
      </c>
      <c r="D882" s="192" t="s">
        <v>1140</v>
      </c>
      <c r="E882" s="235"/>
      <c r="F882" s="235"/>
      <c r="G882" s="325"/>
      <c r="H882" s="235"/>
      <c r="I882" s="235"/>
      <c r="J882" s="235"/>
      <c r="K882" s="235"/>
      <c r="L882" s="235"/>
      <c r="M882" s="235"/>
      <c r="N882" s="235"/>
      <c r="O882" s="235"/>
      <c r="P882" s="235"/>
      <c r="Q882" s="235"/>
      <c r="R882" s="235"/>
      <c r="S882" s="235"/>
      <c r="T882" s="235"/>
      <c r="U882" s="235"/>
      <c r="V882" s="235"/>
      <c r="W882" s="235"/>
      <c r="X882" s="235"/>
      <c r="Y882" s="235"/>
      <c r="Z882" s="235"/>
      <c r="AA882" s="235"/>
      <c r="AB882" s="235"/>
      <c r="AC882" s="235"/>
    </row>
    <row r="883">
      <c r="A883" s="194" t="s">
        <v>1892</v>
      </c>
      <c r="B883" s="193">
        <v>105436.0</v>
      </c>
      <c r="C883" s="192" t="s">
        <v>1893</v>
      </c>
      <c r="D883" s="192" t="s">
        <v>265</v>
      </c>
      <c r="E883" s="235"/>
      <c r="F883" s="235"/>
      <c r="G883" s="325"/>
      <c r="H883" s="235"/>
      <c r="I883" s="235"/>
      <c r="J883" s="235"/>
      <c r="K883" s="235"/>
      <c r="L883" s="235"/>
      <c r="M883" s="235"/>
      <c r="N883" s="235"/>
      <c r="O883" s="235"/>
      <c r="P883" s="235"/>
      <c r="Q883" s="235"/>
      <c r="R883" s="235"/>
      <c r="S883" s="235"/>
      <c r="T883" s="235"/>
      <c r="U883" s="235"/>
      <c r="V883" s="235"/>
      <c r="W883" s="235"/>
      <c r="X883" s="235"/>
      <c r="Y883" s="235"/>
      <c r="Z883" s="235"/>
      <c r="AA883" s="235"/>
      <c r="AB883" s="235"/>
      <c r="AC883" s="235"/>
    </row>
    <row r="884">
      <c r="A884" s="194" t="s">
        <v>1896</v>
      </c>
      <c r="B884" s="193">
        <v>105542.0</v>
      </c>
      <c r="C884" s="192" t="s">
        <v>1897</v>
      </c>
      <c r="D884" s="192" t="s">
        <v>265</v>
      </c>
      <c r="E884" s="235"/>
      <c r="F884" s="235"/>
      <c r="G884" s="325"/>
      <c r="H884" s="235"/>
      <c r="I884" s="235"/>
      <c r="J884" s="235"/>
      <c r="K884" s="235"/>
      <c r="L884" s="235"/>
      <c r="M884" s="235"/>
      <c r="N884" s="235"/>
      <c r="O884" s="235"/>
      <c r="P884" s="235"/>
      <c r="Q884" s="235"/>
      <c r="R884" s="235"/>
      <c r="S884" s="235"/>
      <c r="T884" s="235"/>
      <c r="U884" s="235"/>
      <c r="V884" s="235"/>
      <c r="W884" s="235"/>
      <c r="X884" s="235"/>
      <c r="Y884" s="235"/>
      <c r="Z884" s="235"/>
      <c r="AA884" s="235"/>
      <c r="AB884" s="235"/>
      <c r="AC884" s="235"/>
    </row>
    <row r="885">
      <c r="A885" s="194" t="s">
        <v>1838</v>
      </c>
      <c r="B885" s="193">
        <v>105172.0</v>
      </c>
      <c r="C885" s="192" t="s">
        <v>1839</v>
      </c>
      <c r="D885" s="192" t="s">
        <v>233</v>
      </c>
      <c r="E885" s="235"/>
      <c r="F885" s="235"/>
      <c r="G885" s="325"/>
      <c r="H885" s="235"/>
      <c r="I885" s="235"/>
      <c r="J885" s="235"/>
      <c r="K885" s="235"/>
      <c r="L885" s="235"/>
      <c r="M885" s="235"/>
      <c r="N885" s="235"/>
      <c r="O885" s="235"/>
      <c r="P885" s="235"/>
      <c r="Q885" s="235"/>
      <c r="R885" s="235"/>
      <c r="S885" s="235"/>
      <c r="T885" s="235"/>
      <c r="U885" s="235"/>
      <c r="V885" s="235"/>
      <c r="W885" s="235"/>
      <c r="X885" s="235"/>
      <c r="Y885" s="235"/>
      <c r="Z885" s="235"/>
      <c r="AA885" s="235"/>
      <c r="AB885" s="235"/>
      <c r="AC885" s="235"/>
    </row>
    <row r="886">
      <c r="A886" s="194" t="s">
        <v>1876</v>
      </c>
      <c r="B886" s="193">
        <v>105191.0</v>
      </c>
      <c r="C886" s="192" t="s">
        <v>1877</v>
      </c>
      <c r="D886" s="192" t="s">
        <v>483</v>
      </c>
      <c r="E886" s="235"/>
      <c r="F886" s="235"/>
      <c r="G886" s="325"/>
      <c r="H886" s="235"/>
      <c r="I886" s="235"/>
      <c r="J886" s="235"/>
      <c r="K886" s="235"/>
      <c r="L886" s="235"/>
      <c r="M886" s="235"/>
      <c r="N886" s="235"/>
      <c r="O886" s="235"/>
      <c r="P886" s="235"/>
      <c r="Q886" s="235"/>
      <c r="R886" s="235"/>
      <c r="S886" s="235"/>
      <c r="T886" s="235"/>
      <c r="U886" s="235"/>
      <c r="V886" s="235"/>
      <c r="W886" s="235"/>
      <c r="X886" s="235"/>
      <c r="Y886" s="235"/>
      <c r="Z886" s="235"/>
      <c r="AA886" s="235"/>
      <c r="AB886" s="235"/>
      <c r="AC886" s="235"/>
    </row>
    <row r="887">
      <c r="A887" s="194" t="s">
        <v>1884</v>
      </c>
      <c r="B887" s="193">
        <v>105473.0</v>
      </c>
      <c r="C887" s="192" t="s">
        <v>1885</v>
      </c>
      <c r="D887" s="192" t="s">
        <v>806</v>
      </c>
      <c r="E887" s="235"/>
      <c r="F887" s="235"/>
      <c r="G887" s="325"/>
      <c r="H887" s="235"/>
      <c r="I887" s="235"/>
      <c r="J887" s="235"/>
      <c r="K887" s="235"/>
      <c r="L887" s="235"/>
      <c r="M887" s="235"/>
      <c r="N887" s="235"/>
      <c r="O887" s="235"/>
      <c r="P887" s="235"/>
      <c r="Q887" s="235"/>
      <c r="R887" s="235"/>
      <c r="S887" s="235"/>
      <c r="T887" s="235"/>
      <c r="U887" s="235"/>
      <c r="V887" s="235"/>
      <c r="W887" s="235"/>
      <c r="X887" s="235"/>
      <c r="Y887" s="235"/>
      <c r="Z887" s="235"/>
      <c r="AA887" s="235"/>
      <c r="AB887" s="235"/>
      <c r="AC887" s="235"/>
    </row>
    <row r="888">
      <c r="A888" s="194" t="s">
        <v>6007</v>
      </c>
      <c r="B888" s="193">
        <v>105481.0</v>
      </c>
      <c r="C888" s="192" t="s">
        <v>1900</v>
      </c>
      <c r="D888" s="192" t="s">
        <v>1140</v>
      </c>
      <c r="E888" s="235"/>
      <c r="F888" s="235"/>
      <c r="G888" s="325"/>
      <c r="H888" s="235"/>
      <c r="I888" s="235"/>
      <c r="J888" s="235"/>
      <c r="K888" s="235"/>
      <c r="L888" s="235"/>
      <c r="M888" s="235"/>
      <c r="N888" s="235"/>
      <c r="O888" s="235"/>
      <c r="P888" s="235"/>
      <c r="Q888" s="235"/>
      <c r="R888" s="235"/>
      <c r="S888" s="235"/>
      <c r="T888" s="235"/>
      <c r="U888" s="235"/>
      <c r="V888" s="235"/>
      <c r="W888" s="235"/>
      <c r="X888" s="235"/>
      <c r="Y888" s="235"/>
      <c r="Z888" s="235"/>
      <c r="AA888" s="235"/>
      <c r="AB888" s="235"/>
      <c r="AC888" s="235"/>
    </row>
    <row r="889">
      <c r="A889" s="194" t="s">
        <v>1836</v>
      </c>
      <c r="B889" s="193">
        <v>105409.0</v>
      </c>
      <c r="C889" s="192" t="s">
        <v>1837</v>
      </c>
      <c r="D889" s="192" t="s">
        <v>1140</v>
      </c>
      <c r="E889" s="235"/>
      <c r="F889" s="235"/>
      <c r="G889" s="325"/>
      <c r="H889" s="235"/>
      <c r="I889" s="235"/>
      <c r="J889" s="235"/>
      <c r="K889" s="235"/>
      <c r="L889" s="235"/>
      <c r="M889" s="235"/>
      <c r="N889" s="235"/>
      <c r="O889" s="235"/>
      <c r="P889" s="235"/>
      <c r="Q889" s="235"/>
      <c r="R889" s="235"/>
      <c r="S889" s="235"/>
      <c r="T889" s="235"/>
      <c r="U889" s="235"/>
      <c r="V889" s="235"/>
      <c r="W889" s="235"/>
      <c r="X889" s="235"/>
      <c r="Y889" s="235"/>
      <c r="Z889" s="235"/>
      <c r="AA889" s="235"/>
      <c r="AB889" s="235"/>
      <c r="AC889" s="235"/>
    </row>
    <row r="890">
      <c r="A890" s="194" t="s">
        <v>6007</v>
      </c>
      <c r="B890" s="193">
        <v>105481.0</v>
      </c>
      <c r="C890" s="192" t="s">
        <v>1900</v>
      </c>
      <c r="D890" s="192" t="s">
        <v>87</v>
      </c>
      <c r="E890" s="235"/>
      <c r="F890" s="235"/>
      <c r="G890" s="325"/>
      <c r="H890" s="235"/>
      <c r="I890" s="235"/>
      <c r="J890" s="235"/>
      <c r="K890" s="235"/>
      <c r="L890" s="235"/>
      <c r="M890" s="235"/>
      <c r="N890" s="235"/>
      <c r="O890" s="235"/>
      <c r="P890" s="235"/>
      <c r="Q890" s="235"/>
      <c r="R890" s="235"/>
      <c r="S890" s="235"/>
      <c r="T890" s="235"/>
      <c r="U890" s="235"/>
      <c r="V890" s="235"/>
      <c r="W890" s="235"/>
      <c r="X890" s="235"/>
      <c r="Y890" s="235"/>
      <c r="Z890" s="235"/>
      <c r="AA890" s="235"/>
      <c r="AB890" s="235"/>
      <c r="AC890" s="235"/>
    </row>
    <row r="891">
      <c r="A891" s="194" t="s">
        <v>1859</v>
      </c>
      <c r="B891" s="193">
        <v>105382.0</v>
      </c>
      <c r="C891" s="192" t="s">
        <v>1860</v>
      </c>
      <c r="D891" s="192" t="s">
        <v>398</v>
      </c>
      <c r="E891" s="235"/>
      <c r="F891" s="235"/>
      <c r="G891" s="325"/>
      <c r="H891" s="235"/>
      <c r="I891" s="235"/>
      <c r="J891" s="235"/>
      <c r="K891" s="235"/>
      <c r="L891" s="235"/>
      <c r="M891" s="235"/>
      <c r="N891" s="235"/>
      <c r="O891" s="235"/>
      <c r="P891" s="235"/>
      <c r="Q891" s="235"/>
      <c r="R891" s="235"/>
      <c r="S891" s="235"/>
      <c r="T891" s="235"/>
      <c r="U891" s="235"/>
      <c r="V891" s="235"/>
      <c r="W891" s="235"/>
      <c r="X891" s="235"/>
      <c r="Y891" s="235"/>
      <c r="Z891" s="235"/>
      <c r="AA891" s="235"/>
      <c r="AB891" s="235"/>
      <c r="AC891" s="235"/>
    </row>
    <row r="892">
      <c r="A892" s="194" t="s">
        <v>1770</v>
      </c>
      <c r="B892" s="193">
        <v>105314.0</v>
      </c>
      <c r="C892" s="192" t="s">
        <v>1771</v>
      </c>
      <c r="D892" s="192" t="s">
        <v>340</v>
      </c>
      <c r="E892" s="235"/>
      <c r="F892" s="235"/>
      <c r="G892" s="325"/>
      <c r="H892" s="235"/>
      <c r="I892" s="235"/>
      <c r="J892" s="235"/>
      <c r="K892" s="235"/>
      <c r="L892" s="235"/>
      <c r="M892" s="235"/>
      <c r="N892" s="235"/>
      <c r="O892" s="235"/>
      <c r="P892" s="235"/>
      <c r="Q892" s="235"/>
      <c r="R892" s="235"/>
      <c r="S892" s="235"/>
      <c r="T892" s="235"/>
      <c r="U892" s="235"/>
      <c r="V892" s="235"/>
      <c r="W892" s="235"/>
      <c r="X892" s="235"/>
      <c r="Y892" s="235"/>
      <c r="Z892" s="235"/>
      <c r="AA892" s="235"/>
      <c r="AB892" s="235"/>
      <c r="AC892" s="235"/>
    </row>
    <row r="893">
      <c r="A893" s="194" t="s">
        <v>1790</v>
      </c>
      <c r="B893" s="193">
        <v>105310.0</v>
      </c>
      <c r="C893" s="192" t="s">
        <v>1791</v>
      </c>
      <c r="D893" s="192" t="s">
        <v>295</v>
      </c>
      <c r="E893" s="235"/>
      <c r="F893" s="235"/>
      <c r="G893" s="325"/>
      <c r="H893" s="235"/>
      <c r="I893" s="235"/>
      <c r="J893" s="235"/>
      <c r="K893" s="235"/>
      <c r="L893" s="235"/>
      <c r="M893" s="235"/>
      <c r="N893" s="235"/>
      <c r="O893" s="235"/>
      <c r="P893" s="235"/>
      <c r="Q893" s="235"/>
      <c r="R893" s="235"/>
      <c r="S893" s="235"/>
      <c r="T893" s="235"/>
      <c r="U893" s="235"/>
      <c r="V893" s="235"/>
      <c r="W893" s="235"/>
      <c r="X893" s="235"/>
      <c r="Y893" s="235"/>
      <c r="Z893" s="235"/>
      <c r="AA893" s="235"/>
      <c r="AB893" s="235"/>
      <c r="AC893" s="235"/>
    </row>
    <row r="894">
      <c r="A894" s="194" t="s">
        <v>1792</v>
      </c>
      <c r="B894" s="193">
        <v>105321.0</v>
      </c>
      <c r="C894" s="192" t="s">
        <v>1793</v>
      </c>
      <c r="D894" s="192" t="s">
        <v>295</v>
      </c>
      <c r="E894" s="235"/>
      <c r="F894" s="235"/>
      <c r="G894" s="325"/>
      <c r="H894" s="235"/>
      <c r="I894" s="235"/>
      <c r="J894" s="235"/>
      <c r="K894" s="235"/>
      <c r="L894" s="235"/>
      <c r="M894" s="235"/>
      <c r="N894" s="235"/>
      <c r="O894" s="235"/>
      <c r="P894" s="235"/>
      <c r="Q894" s="235"/>
      <c r="R894" s="235"/>
      <c r="S894" s="235"/>
      <c r="T894" s="235"/>
      <c r="U894" s="235"/>
      <c r="V894" s="235"/>
      <c r="W894" s="235"/>
      <c r="X894" s="235"/>
      <c r="Y894" s="235"/>
      <c r="Z894" s="235"/>
      <c r="AA894" s="235"/>
      <c r="AB894" s="235"/>
      <c r="AC894" s="235"/>
    </row>
    <row r="895">
      <c r="A895" s="194" t="s">
        <v>1827</v>
      </c>
      <c r="B895" s="193">
        <v>105313.0</v>
      </c>
      <c r="C895" s="192" t="s">
        <v>1828</v>
      </c>
      <c r="D895" s="192" t="s">
        <v>522</v>
      </c>
      <c r="E895" s="235"/>
      <c r="F895" s="235"/>
      <c r="G895" s="325"/>
      <c r="H895" s="235"/>
      <c r="I895" s="235"/>
      <c r="J895" s="235"/>
      <c r="K895" s="235"/>
      <c r="L895" s="235"/>
      <c r="M895" s="235"/>
      <c r="N895" s="235"/>
      <c r="O895" s="235"/>
      <c r="P895" s="235"/>
      <c r="Q895" s="235"/>
      <c r="R895" s="235"/>
      <c r="S895" s="235"/>
      <c r="T895" s="235"/>
      <c r="U895" s="235"/>
      <c r="V895" s="235"/>
      <c r="W895" s="235"/>
      <c r="X895" s="235"/>
      <c r="Y895" s="235"/>
      <c r="Z895" s="235"/>
      <c r="AA895" s="235"/>
      <c r="AB895" s="235"/>
      <c r="AC895" s="235"/>
    </row>
    <row r="896">
      <c r="A896" s="194" t="s">
        <v>1829</v>
      </c>
      <c r="B896" s="193">
        <v>105203.0</v>
      </c>
      <c r="C896" s="192" t="s">
        <v>1830</v>
      </c>
      <c r="D896" s="192" t="s">
        <v>522</v>
      </c>
      <c r="E896" s="235"/>
      <c r="F896" s="235"/>
      <c r="G896" s="325"/>
      <c r="H896" s="235"/>
      <c r="I896" s="235"/>
      <c r="J896" s="235"/>
      <c r="K896" s="235"/>
      <c r="L896" s="235"/>
      <c r="M896" s="235"/>
      <c r="N896" s="235"/>
      <c r="O896" s="235"/>
      <c r="P896" s="235"/>
      <c r="Q896" s="235"/>
      <c r="R896" s="235"/>
      <c r="S896" s="235"/>
      <c r="T896" s="235"/>
      <c r="U896" s="235"/>
      <c r="V896" s="235"/>
      <c r="W896" s="235"/>
      <c r="X896" s="235"/>
      <c r="Y896" s="235"/>
      <c r="Z896" s="235"/>
      <c r="AA896" s="235"/>
      <c r="AB896" s="235"/>
      <c r="AC896" s="235"/>
    </row>
    <row r="897">
      <c r="A897" s="194" t="s">
        <v>1794</v>
      </c>
      <c r="B897" s="193">
        <v>105311.0</v>
      </c>
      <c r="C897" s="192" t="s">
        <v>1795</v>
      </c>
      <c r="D897" s="192" t="s">
        <v>295</v>
      </c>
      <c r="E897" s="235"/>
      <c r="F897" s="235"/>
      <c r="G897" s="325"/>
      <c r="H897" s="235"/>
      <c r="I897" s="235"/>
      <c r="J897" s="235"/>
      <c r="K897" s="235"/>
      <c r="L897" s="235"/>
      <c r="M897" s="235"/>
      <c r="N897" s="235"/>
      <c r="O897" s="235"/>
      <c r="P897" s="235"/>
      <c r="Q897" s="235"/>
      <c r="R897" s="235"/>
      <c r="S897" s="235"/>
      <c r="T897" s="235"/>
      <c r="U897" s="235"/>
      <c r="V897" s="235"/>
      <c r="W897" s="235"/>
      <c r="X897" s="235"/>
      <c r="Y897" s="235"/>
      <c r="Z897" s="235"/>
      <c r="AA897" s="235"/>
      <c r="AB897" s="235"/>
      <c r="AC897" s="235"/>
    </row>
    <row r="898">
      <c r="A898" s="194" t="s">
        <v>1784</v>
      </c>
      <c r="B898" s="193">
        <v>105322.0</v>
      </c>
      <c r="C898" s="192" t="s">
        <v>1785</v>
      </c>
      <c r="D898" s="192" t="s">
        <v>295</v>
      </c>
      <c r="E898" s="235"/>
      <c r="F898" s="235"/>
      <c r="G898" s="325"/>
      <c r="H898" s="235"/>
      <c r="I898" s="235"/>
      <c r="J898" s="235"/>
      <c r="K898" s="235"/>
      <c r="L898" s="235"/>
      <c r="M898" s="235"/>
      <c r="N898" s="235"/>
      <c r="O898" s="235"/>
      <c r="P898" s="235"/>
      <c r="Q898" s="235"/>
      <c r="R898" s="235"/>
      <c r="S898" s="235"/>
      <c r="T898" s="235"/>
      <c r="U898" s="235"/>
      <c r="V898" s="235"/>
      <c r="W898" s="235"/>
      <c r="X898" s="235"/>
      <c r="Y898" s="235"/>
      <c r="Z898" s="235"/>
      <c r="AA898" s="235"/>
      <c r="AB898" s="235"/>
      <c r="AC898" s="235"/>
    </row>
    <row r="899">
      <c r="A899" s="194" t="s">
        <v>1729</v>
      </c>
      <c r="B899" s="193">
        <v>105258.0</v>
      </c>
      <c r="C899" s="192" t="s">
        <v>1730</v>
      </c>
      <c r="D899" s="192" t="s">
        <v>295</v>
      </c>
      <c r="E899" s="235"/>
      <c r="F899" s="235"/>
      <c r="G899" s="325"/>
      <c r="H899" s="235"/>
      <c r="I899" s="235"/>
      <c r="J899" s="235"/>
      <c r="K899" s="235"/>
      <c r="L899" s="235"/>
      <c r="M899" s="235"/>
      <c r="N899" s="235"/>
      <c r="O899" s="235"/>
      <c r="P899" s="235"/>
      <c r="Q899" s="235"/>
      <c r="R899" s="235"/>
      <c r="S899" s="235"/>
      <c r="T899" s="235"/>
      <c r="U899" s="235"/>
      <c r="V899" s="235"/>
      <c r="W899" s="235"/>
      <c r="X899" s="235"/>
      <c r="Y899" s="235"/>
      <c r="Z899" s="235"/>
      <c r="AA899" s="235"/>
      <c r="AB899" s="235"/>
      <c r="AC899" s="235"/>
    </row>
    <row r="900">
      <c r="A900" s="194" t="s">
        <v>1757</v>
      </c>
      <c r="B900" s="193">
        <v>105112.0</v>
      </c>
      <c r="C900" s="192" t="s">
        <v>1758</v>
      </c>
      <c r="D900" s="192" t="s">
        <v>360</v>
      </c>
      <c r="E900" s="235"/>
      <c r="F900" s="235"/>
      <c r="G900" s="325"/>
      <c r="H900" s="235"/>
      <c r="I900" s="235"/>
      <c r="J900" s="235"/>
      <c r="K900" s="235"/>
      <c r="L900" s="235"/>
      <c r="M900" s="235"/>
      <c r="N900" s="235"/>
      <c r="O900" s="235"/>
      <c r="P900" s="235"/>
      <c r="Q900" s="235"/>
      <c r="R900" s="235"/>
      <c r="S900" s="235"/>
      <c r="T900" s="235"/>
      <c r="U900" s="235"/>
      <c r="V900" s="235"/>
      <c r="W900" s="235"/>
      <c r="X900" s="235"/>
      <c r="Y900" s="235"/>
      <c r="Z900" s="235"/>
      <c r="AA900" s="235"/>
      <c r="AB900" s="235"/>
      <c r="AC900" s="235"/>
    </row>
    <row r="901">
      <c r="A901" s="194" t="s">
        <v>1755</v>
      </c>
      <c r="B901" s="193">
        <v>105233.0</v>
      </c>
      <c r="C901" s="192" t="s">
        <v>1756</v>
      </c>
      <c r="D901" s="192" t="s">
        <v>360</v>
      </c>
      <c r="E901" s="235"/>
      <c r="F901" s="235"/>
      <c r="G901" s="325"/>
      <c r="H901" s="235"/>
      <c r="I901" s="235"/>
      <c r="J901" s="235"/>
      <c r="K901" s="235"/>
      <c r="L901" s="235"/>
      <c r="M901" s="235"/>
      <c r="N901" s="235"/>
      <c r="O901" s="235"/>
      <c r="P901" s="235"/>
      <c r="Q901" s="235"/>
      <c r="R901" s="235"/>
      <c r="S901" s="235"/>
      <c r="T901" s="235"/>
      <c r="U901" s="235"/>
      <c r="V901" s="235"/>
      <c r="W901" s="235"/>
      <c r="X901" s="235"/>
      <c r="Y901" s="235"/>
      <c r="Z901" s="235"/>
      <c r="AA901" s="235"/>
      <c r="AB901" s="235"/>
      <c r="AC901" s="235"/>
    </row>
    <row r="902">
      <c r="A902" s="194" t="s">
        <v>1761</v>
      </c>
      <c r="B902" s="193">
        <v>105236.0</v>
      </c>
      <c r="C902" s="192" t="s">
        <v>1762</v>
      </c>
      <c r="D902" s="192" t="s">
        <v>1159</v>
      </c>
      <c r="E902" s="235"/>
      <c r="F902" s="235"/>
      <c r="G902" s="325"/>
      <c r="H902" s="235"/>
      <c r="I902" s="235"/>
      <c r="J902" s="235"/>
      <c r="K902" s="235"/>
      <c r="L902" s="235"/>
      <c r="M902" s="235"/>
      <c r="N902" s="235"/>
      <c r="O902" s="235"/>
      <c r="P902" s="235"/>
      <c r="Q902" s="235"/>
      <c r="R902" s="235"/>
      <c r="S902" s="235"/>
      <c r="T902" s="235"/>
      <c r="U902" s="235"/>
      <c r="V902" s="235"/>
      <c r="W902" s="235"/>
      <c r="X902" s="235"/>
      <c r="Y902" s="235"/>
      <c r="Z902" s="235"/>
      <c r="AA902" s="235"/>
      <c r="AB902" s="235"/>
      <c r="AC902" s="235"/>
    </row>
    <row r="903">
      <c r="A903" s="194" t="s">
        <v>1759</v>
      </c>
      <c r="B903" s="193">
        <v>105237.0</v>
      </c>
      <c r="C903" s="192" t="s">
        <v>1760</v>
      </c>
      <c r="D903" s="192" t="s">
        <v>360</v>
      </c>
      <c r="E903" s="235"/>
      <c r="F903" s="235"/>
      <c r="G903" s="325"/>
      <c r="H903" s="235"/>
      <c r="I903" s="235"/>
      <c r="J903" s="235"/>
      <c r="K903" s="235"/>
      <c r="L903" s="235"/>
      <c r="M903" s="235"/>
      <c r="N903" s="235"/>
      <c r="O903" s="235"/>
      <c r="P903" s="235"/>
      <c r="Q903" s="235"/>
      <c r="R903" s="235"/>
      <c r="S903" s="235"/>
      <c r="T903" s="235"/>
      <c r="U903" s="235"/>
      <c r="V903" s="235"/>
      <c r="W903" s="235"/>
      <c r="X903" s="235"/>
      <c r="Y903" s="235"/>
      <c r="Z903" s="235"/>
      <c r="AA903" s="235"/>
      <c r="AB903" s="235"/>
      <c r="AC903" s="235"/>
    </row>
    <row r="904">
      <c r="A904" s="194" t="s">
        <v>1731</v>
      </c>
      <c r="B904" s="193">
        <v>105234.0</v>
      </c>
      <c r="C904" s="192" t="s">
        <v>1732</v>
      </c>
      <c r="D904" s="192" t="s">
        <v>295</v>
      </c>
      <c r="E904" s="235"/>
      <c r="F904" s="235"/>
      <c r="G904" s="325"/>
      <c r="H904" s="235"/>
      <c r="I904" s="235"/>
      <c r="J904" s="235"/>
      <c r="K904" s="235"/>
      <c r="L904" s="235"/>
      <c r="M904" s="235"/>
      <c r="N904" s="235"/>
      <c r="O904" s="235"/>
      <c r="P904" s="235"/>
      <c r="Q904" s="235"/>
      <c r="R904" s="235"/>
      <c r="S904" s="235"/>
      <c r="T904" s="235"/>
      <c r="U904" s="235"/>
      <c r="V904" s="235"/>
      <c r="W904" s="235"/>
      <c r="X904" s="235"/>
      <c r="Y904" s="235"/>
      <c r="Z904" s="235"/>
      <c r="AA904" s="235"/>
      <c r="AB904" s="235"/>
      <c r="AC904" s="235"/>
    </row>
    <row r="905">
      <c r="A905" s="194" t="s">
        <v>1733</v>
      </c>
      <c r="B905" s="193">
        <v>105232.0</v>
      </c>
      <c r="C905" s="192" t="s">
        <v>1734</v>
      </c>
      <c r="D905" s="192" t="s">
        <v>295</v>
      </c>
      <c r="E905" s="235"/>
      <c r="F905" s="235"/>
      <c r="G905" s="325"/>
      <c r="H905" s="235"/>
      <c r="I905" s="235"/>
      <c r="J905" s="235"/>
      <c r="K905" s="235"/>
      <c r="L905" s="235"/>
      <c r="M905" s="235"/>
      <c r="N905" s="235"/>
      <c r="O905" s="235"/>
      <c r="P905" s="235"/>
      <c r="Q905" s="235"/>
      <c r="R905" s="235"/>
      <c r="S905" s="235"/>
      <c r="T905" s="235"/>
      <c r="U905" s="235"/>
      <c r="V905" s="235"/>
      <c r="W905" s="235"/>
      <c r="X905" s="235"/>
      <c r="Y905" s="235"/>
      <c r="Z905" s="235"/>
      <c r="AA905" s="235"/>
      <c r="AB905" s="235"/>
      <c r="AC905" s="235"/>
    </row>
    <row r="906">
      <c r="A906" s="194" t="s">
        <v>1735</v>
      </c>
      <c r="B906" s="193">
        <v>105235.0</v>
      </c>
      <c r="C906" s="192" t="s">
        <v>1736</v>
      </c>
      <c r="D906" s="192" t="s">
        <v>295</v>
      </c>
      <c r="E906" s="235"/>
      <c r="F906" s="235"/>
      <c r="G906" s="325"/>
      <c r="H906" s="235"/>
      <c r="I906" s="235"/>
      <c r="J906" s="235"/>
      <c r="K906" s="235"/>
      <c r="L906" s="235"/>
      <c r="M906" s="235"/>
      <c r="N906" s="235"/>
      <c r="O906" s="235"/>
      <c r="P906" s="235"/>
      <c r="Q906" s="235"/>
      <c r="R906" s="235"/>
      <c r="S906" s="235"/>
      <c r="T906" s="235"/>
      <c r="U906" s="235"/>
      <c r="V906" s="235"/>
      <c r="W906" s="235"/>
      <c r="X906" s="235"/>
      <c r="Y906" s="235"/>
      <c r="Z906" s="235"/>
      <c r="AA906" s="235"/>
      <c r="AB906" s="235"/>
      <c r="AC906" s="235"/>
    </row>
    <row r="907">
      <c r="A907" s="194" t="s">
        <v>1737</v>
      </c>
      <c r="B907" s="193">
        <v>105217.0</v>
      </c>
      <c r="C907" s="192" t="s">
        <v>1738</v>
      </c>
      <c r="D907" s="192" t="s">
        <v>295</v>
      </c>
      <c r="E907" s="235"/>
      <c r="F907" s="235"/>
      <c r="G907" s="325"/>
      <c r="H907" s="235"/>
      <c r="I907" s="235"/>
      <c r="J907" s="235"/>
      <c r="K907" s="235"/>
      <c r="L907" s="235"/>
      <c r="M907" s="235"/>
      <c r="N907" s="235"/>
      <c r="O907" s="235"/>
      <c r="P907" s="235"/>
      <c r="Q907" s="235"/>
      <c r="R907" s="235"/>
      <c r="S907" s="235"/>
      <c r="T907" s="235"/>
      <c r="U907" s="235"/>
      <c r="V907" s="235"/>
      <c r="W907" s="235"/>
      <c r="X907" s="235"/>
      <c r="Y907" s="235"/>
      <c r="Z907" s="235"/>
      <c r="AA907" s="235"/>
      <c r="AB907" s="235"/>
      <c r="AC907" s="235"/>
    </row>
    <row r="908">
      <c r="A908" s="194" t="s">
        <v>1816</v>
      </c>
      <c r="B908" s="193">
        <v>105195.0</v>
      </c>
      <c r="C908" s="192" t="s">
        <v>1799</v>
      </c>
      <c r="D908" s="192" t="s">
        <v>94</v>
      </c>
      <c r="E908" s="235"/>
      <c r="F908" s="235"/>
      <c r="G908" s="325"/>
      <c r="H908" s="235"/>
      <c r="I908" s="235"/>
      <c r="J908" s="235"/>
      <c r="K908" s="235"/>
      <c r="L908" s="235"/>
      <c r="M908" s="235"/>
      <c r="N908" s="235"/>
      <c r="O908" s="235"/>
      <c r="P908" s="235"/>
      <c r="Q908" s="235"/>
      <c r="R908" s="235"/>
      <c r="S908" s="235"/>
      <c r="T908" s="235"/>
      <c r="U908" s="235"/>
      <c r="V908" s="235"/>
      <c r="W908" s="235"/>
      <c r="X908" s="235"/>
      <c r="Y908" s="235"/>
      <c r="Z908" s="235"/>
      <c r="AA908" s="235"/>
      <c r="AB908" s="235"/>
      <c r="AC908" s="235"/>
    </row>
    <row r="909">
      <c r="A909" s="194" t="s">
        <v>1814</v>
      </c>
      <c r="B909" s="193">
        <v>105323.0</v>
      </c>
      <c r="C909" s="192" t="s">
        <v>1815</v>
      </c>
      <c r="D909" s="192" t="s">
        <v>1159</v>
      </c>
      <c r="E909" s="235"/>
      <c r="F909" s="235"/>
      <c r="G909" s="325"/>
      <c r="H909" s="235"/>
      <c r="I909" s="235"/>
      <c r="J909" s="235"/>
      <c r="K909" s="235"/>
      <c r="L909" s="235"/>
      <c r="M909" s="235"/>
      <c r="N909" s="235"/>
      <c r="O909" s="235"/>
      <c r="P909" s="235"/>
      <c r="Q909" s="235"/>
      <c r="R909" s="235"/>
      <c r="S909" s="235"/>
      <c r="T909" s="235"/>
      <c r="U909" s="235"/>
      <c r="V909" s="235"/>
      <c r="W909" s="235"/>
      <c r="X909" s="235"/>
      <c r="Y909" s="235"/>
      <c r="Z909" s="235"/>
      <c r="AA909" s="235"/>
      <c r="AB909" s="235"/>
      <c r="AC909" s="235"/>
    </row>
    <row r="910">
      <c r="A910" s="194" t="s">
        <v>1530</v>
      </c>
      <c r="B910" s="193">
        <v>104797.0</v>
      </c>
      <c r="C910" s="192" t="s">
        <v>1531</v>
      </c>
      <c r="D910" s="192" t="s">
        <v>1159</v>
      </c>
      <c r="E910" s="235"/>
      <c r="F910" s="235"/>
      <c r="G910" s="325"/>
      <c r="H910" s="235"/>
      <c r="I910" s="235"/>
      <c r="J910" s="235"/>
      <c r="K910" s="235"/>
      <c r="L910" s="235"/>
      <c r="M910" s="235"/>
      <c r="N910" s="235"/>
      <c r="O910" s="235"/>
      <c r="P910" s="235"/>
      <c r="Q910" s="235"/>
      <c r="R910" s="235"/>
      <c r="S910" s="235"/>
      <c r="T910" s="235"/>
      <c r="U910" s="235"/>
      <c r="V910" s="235"/>
      <c r="W910" s="235"/>
      <c r="X910" s="235"/>
      <c r="Y910" s="235"/>
      <c r="Z910" s="235"/>
      <c r="AA910" s="235"/>
      <c r="AB910" s="235"/>
      <c r="AC910" s="235"/>
    </row>
    <row r="911">
      <c r="A911" s="194" t="s">
        <v>1532</v>
      </c>
      <c r="B911" s="193">
        <v>104829.0</v>
      </c>
      <c r="C911" s="192" t="s">
        <v>1533</v>
      </c>
      <c r="D911" s="192" t="s">
        <v>340</v>
      </c>
      <c r="E911" s="235"/>
      <c r="F911" s="235"/>
      <c r="G911" s="325"/>
      <c r="H911" s="235"/>
      <c r="I911" s="235"/>
      <c r="J911" s="235"/>
      <c r="K911" s="235"/>
      <c r="L911" s="235"/>
      <c r="M911" s="235"/>
      <c r="N911" s="235"/>
      <c r="O911" s="235"/>
      <c r="P911" s="235"/>
      <c r="Q911" s="235"/>
      <c r="R911" s="235"/>
      <c r="S911" s="235"/>
      <c r="T911" s="235"/>
      <c r="U911" s="235"/>
      <c r="V911" s="235"/>
      <c r="W911" s="235"/>
      <c r="X911" s="235"/>
      <c r="Y911" s="235"/>
      <c r="Z911" s="235"/>
      <c r="AA911" s="235"/>
      <c r="AB911" s="235"/>
      <c r="AC911" s="235"/>
    </row>
    <row r="912">
      <c r="A912" s="194" t="s">
        <v>1614</v>
      </c>
      <c r="B912" s="193">
        <v>104985.0</v>
      </c>
      <c r="C912" s="192" t="s">
        <v>1615</v>
      </c>
      <c r="D912" s="192" t="s">
        <v>295</v>
      </c>
      <c r="E912" s="235"/>
      <c r="F912" s="235"/>
      <c r="G912" s="325"/>
      <c r="H912" s="235"/>
      <c r="I912" s="235"/>
      <c r="J912" s="235"/>
      <c r="K912" s="235"/>
      <c r="L912" s="235"/>
      <c r="M912" s="235"/>
      <c r="N912" s="235"/>
      <c r="O912" s="235"/>
      <c r="P912" s="235"/>
      <c r="Q912" s="235"/>
      <c r="R912" s="235"/>
      <c r="S912" s="235"/>
      <c r="T912" s="235"/>
      <c r="U912" s="235"/>
      <c r="V912" s="235"/>
      <c r="W912" s="235"/>
      <c r="X912" s="235"/>
      <c r="Y912" s="235"/>
      <c r="Z912" s="235"/>
      <c r="AA912" s="235"/>
      <c r="AB912" s="235"/>
      <c r="AC912" s="235"/>
    </row>
    <row r="913">
      <c r="A913" s="194" t="s">
        <v>1616</v>
      </c>
      <c r="B913" s="193">
        <v>104988.0</v>
      </c>
      <c r="C913" s="192" t="s">
        <v>1617</v>
      </c>
      <c r="D913" s="192" t="s">
        <v>295</v>
      </c>
      <c r="E913" s="235"/>
      <c r="F913" s="235"/>
      <c r="G913" s="325"/>
      <c r="H913" s="235"/>
      <c r="I913" s="235"/>
      <c r="J913" s="235"/>
      <c r="K913" s="235"/>
      <c r="L913" s="235"/>
      <c r="M913" s="235"/>
      <c r="N913" s="235"/>
      <c r="O913" s="235"/>
      <c r="P913" s="235"/>
      <c r="Q913" s="235"/>
      <c r="R913" s="235"/>
      <c r="S913" s="235"/>
      <c r="T913" s="235"/>
      <c r="U913" s="235"/>
      <c r="V913" s="235"/>
      <c r="W913" s="235"/>
      <c r="X913" s="235"/>
      <c r="Y913" s="235"/>
      <c r="Z913" s="235"/>
      <c r="AA913" s="235"/>
      <c r="AB913" s="235"/>
      <c r="AC913" s="235"/>
    </row>
    <row r="914">
      <c r="A914" s="194" t="s">
        <v>1618</v>
      </c>
      <c r="B914" s="193">
        <v>104976.0</v>
      </c>
      <c r="C914" s="192" t="s">
        <v>1619</v>
      </c>
      <c r="D914" s="192" t="s">
        <v>295</v>
      </c>
      <c r="E914" s="235"/>
      <c r="F914" s="235"/>
      <c r="G914" s="325"/>
      <c r="H914" s="235"/>
      <c r="I914" s="235"/>
      <c r="J914" s="235"/>
      <c r="K914" s="235"/>
      <c r="L914" s="235"/>
      <c r="M914" s="235"/>
      <c r="N914" s="235"/>
      <c r="O914" s="235"/>
      <c r="P914" s="235"/>
      <c r="Q914" s="235"/>
      <c r="R914" s="235"/>
      <c r="S914" s="235"/>
      <c r="T914" s="235"/>
      <c r="U914" s="235"/>
      <c r="V914" s="235"/>
      <c r="W914" s="235"/>
      <c r="X914" s="235"/>
      <c r="Y914" s="235"/>
      <c r="Z914" s="235"/>
      <c r="AA914" s="235"/>
      <c r="AB914" s="235"/>
      <c r="AC914" s="235"/>
    </row>
    <row r="915">
      <c r="A915" s="194" t="s">
        <v>1536</v>
      </c>
      <c r="B915" s="193">
        <v>104804.0</v>
      </c>
      <c r="C915" s="192" t="s">
        <v>1537</v>
      </c>
      <c r="D915" s="192" t="s">
        <v>1159</v>
      </c>
      <c r="E915" s="235"/>
      <c r="F915" s="235"/>
      <c r="G915" s="325"/>
      <c r="H915" s="235"/>
      <c r="I915" s="235"/>
      <c r="J915" s="235"/>
      <c r="K915" s="235"/>
      <c r="L915" s="235"/>
      <c r="M915" s="235"/>
      <c r="N915" s="235"/>
      <c r="O915" s="235"/>
      <c r="P915" s="235"/>
      <c r="Q915" s="235"/>
      <c r="R915" s="235"/>
      <c r="S915" s="235"/>
      <c r="T915" s="235"/>
      <c r="U915" s="235"/>
      <c r="V915" s="235"/>
      <c r="W915" s="235"/>
      <c r="X915" s="235"/>
      <c r="Y915" s="235"/>
      <c r="Z915" s="235"/>
      <c r="AA915" s="235"/>
      <c r="AB915" s="235"/>
      <c r="AC915" s="235"/>
    </row>
    <row r="916">
      <c r="A916" s="194" t="s">
        <v>1574</v>
      </c>
      <c r="B916" s="193">
        <v>104896.0</v>
      </c>
      <c r="C916" s="192" t="s">
        <v>1575</v>
      </c>
      <c r="D916" s="192" t="s">
        <v>295</v>
      </c>
      <c r="E916" s="235"/>
      <c r="F916" s="235"/>
      <c r="G916" s="325"/>
      <c r="H916" s="235"/>
      <c r="I916" s="235"/>
      <c r="J916" s="235"/>
      <c r="K916" s="235"/>
      <c r="L916" s="235"/>
      <c r="M916" s="235"/>
      <c r="N916" s="235"/>
      <c r="O916" s="235"/>
      <c r="P916" s="235"/>
      <c r="Q916" s="235"/>
      <c r="R916" s="235"/>
      <c r="S916" s="235"/>
      <c r="T916" s="235"/>
      <c r="U916" s="235"/>
      <c r="V916" s="235"/>
      <c r="W916" s="235"/>
      <c r="X916" s="235"/>
      <c r="Y916" s="235"/>
      <c r="Z916" s="235"/>
      <c r="AA916" s="235"/>
      <c r="AB916" s="235"/>
      <c r="AC916" s="235"/>
    </row>
    <row r="917">
      <c r="A917" s="194" t="s">
        <v>1620</v>
      </c>
      <c r="B917" s="193">
        <v>104989.0</v>
      </c>
      <c r="C917" s="192" t="s">
        <v>1621</v>
      </c>
      <c r="D917" s="192" t="s">
        <v>295</v>
      </c>
      <c r="E917" s="235"/>
      <c r="F917" s="235"/>
      <c r="G917" s="325"/>
      <c r="H917" s="235"/>
      <c r="I917" s="235"/>
      <c r="J917" s="235"/>
      <c r="K917" s="235"/>
      <c r="L917" s="235"/>
      <c r="M917" s="235"/>
      <c r="N917" s="235"/>
      <c r="O917" s="235"/>
      <c r="P917" s="235"/>
      <c r="Q917" s="235"/>
      <c r="R917" s="235"/>
      <c r="S917" s="235"/>
      <c r="T917" s="235"/>
      <c r="U917" s="235"/>
      <c r="V917" s="235"/>
      <c r="W917" s="235"/>
      <c r="X917" s="235"/>
      <c r="Y917" s="235"/>
      <c r="Z917" s="235"/>
      <c r="AA917" s="235"/>
      <c r="AB917" s="235"/>
      <c r="AC917" s="235"/>
    </row>
    <row r="918">
      <c r="A918" s="194" t="s">
        <v>1622</v>
      </c>
      <c r="B918" s="193">
        <v>104995.0</v>
      </c>
      <c r="C918" s="192" t="s">
        <v>1623</v>
      </c>
      <c r="D918" s="192" t="s">
        <v>295</v>
      </c>
      <c r="E918" s="235"/>
      <c r="F918" s="235"/>
      <c r="G918" s="325"/>
      <c r="H918" s="235"/>
      <c r="I918" s="235"/>
      <c r="J918" s="235"/>
      <c r="K918" s="235"/>
      <c r="L918" s="235"/>
      <c r="M918" s="235"/>
      <c r="N918" s="235"/>
      <c r="O918" s="235"/>
      <c r="P918" s="235"/>
      <c r="Q918" s="235"/>
      <c r="R918" s="235"/>
      <c r="S918" s="235"/>
      <c r="T918" s="235"/>
      <c r="U918" s="235"/>
      <c r="V918" s="235"/>
      <c r="W918" s="235"/>
      <c r="X918" s="235"/>
      <c r="Y918" s="235"/>
      <c r="Z918" s="235"/>
      <c r="AA918" s="235"/>
      <c r="AB918" s="235"/>
      <c r="AC918" s="235"/>
    </row>
    <row r="919">
      <c r="A919" s="194" t="s">
        <v>1528</v>
      </c>
      <c r="B919" s="193">
        <v>104785.0</v>
      </c>
      <c r="C919" s="192" t="s">
        <v>1529</v>
      </c>
      <c r="D919" s="192" t="s">
        <v>360</v>
      </c>
      <c r="E919" s="235"/>
      <c r="F919" s="235"/>
      <c r="G919" s="325"/>
      <c r="H919" s="235"/>
      <c r="I919" s="235"/>
      <c r="J919" s="235"/>
      <c r="K919" s="235"/>
      <c r="L919" s="235"/>
      <c r="M919" s="235"/>
      <c r="N919" s="235"/>
      <c r="O919" s="235"/>
      <c r="P919" s="235"/>
      <c r="Q919" s="235"/>
      <c r="R919" s="235"/>
      <c r="S919" s="235"/>
      <c r="T919" s="235"/>
      <c r="U919" s="235"/>
      <c r="V919" s="235"/>
      <c r="W919" s="235"/>
      <c r="X919" s="235"/>
      <c r="Y919" s="235"/>
      <c r="Z919" s="235"/>
      <c r="AA919" s="235"/>
      <c r="AB919" s="235"/>
      <c r="AC919" s="235"/>
    </row>
    <row r="920">
      <c r="A920" s="194" t="s">
        <v>1524</v>
      </c>
      <c r="B920" s="193">
        <v>104621.0</v>
      </c>
      <c r="C920" s="192" t="s">
        <v>1525</v>
      </c>
      <c r="D920" s="192" t="s">
        <v>295</v>
      </c>
      <c r="E920" s="235"/>
      <c r="F920" s="235"/>
      <c r="G920" s="325"/>
      <c r="H920" s="235"/>
      <c r="I920" s="235"/>
      <c r="J920" s="235"/>
      <c r="K920" s="235"/>
      <c r="L920" s="235"/>
      <c r="M920" s="235"/>
      <c r="N920" s="235"/>
      <c r="O920" s="235"/>
      <c r="P920" s="235"/>
      <c r="Q920" s="235"/>
      <c r="R920" s="235"/>
      <c r="S920" s="235"/>
      <c r="T920" s="235"/>
      <c r="U920" s="235"/>
      <c r="V920" s="235"/>
      <c r="W920" s="235"/>
      <c r="X920" s="235"/>
      <c r="Y920" s="235"/>
      <c r="Z920" s="235"/>
      <c r="AA920" s="235"/>
      <c r="AB920" s="235"/>
      <c r="AC920" s="235"/>
    </row>
    <row r="921">
      <c r="A921" s="194" t="s">
        <v>1504</v>
      </c>
      <c r="B921" s="193">
        <v>104718.0</v>
      </c>
      <c r="C921" s="192" t="s">
        <v>1505</v>
      </c>
      <c r="D921" s="192" t="s">
        <v>1159</v>
      </c>
      <c r="E921" s="235"/>
      <c r="F921" s="235"/>
      <c r="G921" s="325"/>
      <c r="H921" s="235"/>
      <c r="I921" s="235"/>
      <c r="J921" s="235"/>
      <c r="K921" s="235"/>
      <c r="L921" s="235"/>
      <c r="M921" s="235"/>
      <c r="N921" s="235"/>
      <c r="O921" s="235"/>
      <c r="P921" s="235"/>
      <c r="Q921" s="235"/>
      <c r="R921" s="235"/>
      <c r="S921" s="235"/>
      <c r="T921" s="235"/>
      <c r="U921" s="235"/>
      <c r="V921" s="235"/>
      <c r="W921" s="235"/>
      <c r="X921" s="235"/>
      <c r="Y921" s="235"/>
      <c r="Z921" s="235"/>
      <c r="AA921" s="235"/>
      <c r="AB921" s="235"/>
      <c r="AC921" s="235"/>
    </row>
    <row r="922">
      <c r="A922" s="194" t="s">
        <v>1512</v>
      </c>
      <c r="B922" s="193">
        <v>104622.0</v>
      </c>
      <c r="C922" s="192" t="s">
        <v>1513</v>
      </c>
      <c r="D922" s="192" t="s">
        <v>295</v>
      </c>
      <c r="E922" s="235"/>
      <c r="F922" s="235"/>
      <c r="G922" s="325"/>
      <c r="H922" s="235"/>
      <c r="I922" s="235"/>
      <c r="J922" s="235"/>
      <c r="K922" s="235"/>
      <c r="L922" s="235"/>
      <c r="M922" s="235"/>
      <c r="N922" s="235"/>
      <c r="O922" s="235"/>
      <c r="P922" s="235"/>
      <c r="Q922" s="235"/>
      <c r="R922" s="235"/>
      <c r="S922" s="235"/>
      <c r="T922" s="235"/>
      <c r="U922" s="235"/>
      <c r="V922" s="235"/>
      <c r="W922" s="235"/>
      <c r="X922" s="235"/>
      <c r="Y922" s="235"/>
      <c r="Z922" s="235"/>
      <c r="AA922" s="235"/>
      <c r="AB922" s="235"/>
      <c r="AC922" s="235"/>
    </row>
    <row r="923">
      <c r="A923" s="194" t="s">
        <v>1538</v>
      </c>
      <c r="B923" s="193">
        <v>104804.0</v>
      </c>
      <c r="C923" s="192" t="s">
        <v>1537</v>
      </c>
      <c r="D923" s="192" t="s">
        <v>360</v>
      </c>
      <c r="E923" s="235"/>
      <c r="F923" s="235"/>
      <c r="G923" s="325"/>
      <c r="H923" s="235"/>
      <c r="I923" s="235"/>
      <c r="J923" s="235"/>
      <c r="K923" s="235"/>
      <c r="L923" s="235"/>
      <c r="M923" s="235"/>
      <c r="N923" s="235"/>
      <c r="O923" s="235"/>
      <c r="P923" s="235"/>
      <c r="Q923" s="235"/>
      <c r="R923" s="235"/>
      <c r="S923" s="235"/>
      <c r="T923" s="235"/>
      <c r="U923" s="235"/>
      <c r="V923" s="235"/>
      <c r="W923" s="235"/>
      <c r="X923" s="235"/>
      <c r="Y923" s="235"/>
      <c r="Z923" s="235"/>
      <c r="AA923" s="235"/>
      <c r="AB923" s="235"/>
      <c r="AC923" s="235"/>
    </row>
    <row r="924">
      <c r="A924" s="194" t="s">
        <v>1534</v>
      </c>
      <c r="B924" s="193">
        <v>104842.0</v>
      </c>
      <c r="C924" s="192" t="s">
        <v>1535</v>
      </c>
      <c r="D924" s="192" t="s">
        <v>380</v>
      </c>
      <c r="E924" s="235"/>
      <c r="F924" s="235"/>
      <c r="G924" s="325"/>
      <c r="H924" s="235"/>
      <c r="I924" s="235"/>
      <c r="J924" s="235"/>
      <c r="K924" s="235"/>
      <c r="L924" s="235"/>
      <c r="M924" s="235"/>
      <c r="N924" s="235"/>
      <c r="O924" s="235"/>
      <c r="P924" s="235"/>
      <c r="Q924" s="235"/>
      <c r="R924" s="235"/>
      <c r="S924" s="235"/>
      <c r="T924" s="235"/>
      <c r="U924" s="235"/>
      <c r="V924" s="235"/>
      <c r="W924" s="235"/>
      <c r="X924" s="235"/>
      <c r="Y924" s="235"/>
      <c r="Z924" s="235"/>
      <c r="AA924" s="235"/>
      <c r="AB924" s="235"/>
      <c r="AC924" s="235"/>
    </row>
    <row r="925">
      <c r="A925" s="194" t="s">
        <v>1564</v>
      </c>
      <c r="B925" s="193">
        <v>104828.0</v>
      </c>
      <c r="C925" s="192" t="s">
        <v>1565</v>
      </c>
      <c r="D925" s="192" t="s">
        <v>295</v>
      </c>
      <c r="E925" s="235"/>
      <c r="F925" s="235"/>
      <c r="G925" s="325"/>
      <c r="H925" s="235"/>
      <c r="I925" s="235"/>
      <c r="J925" s="235"/>
      <c r="K925" s="235"/>
      <c r="L925" s="235"/>
      <c r="M925" s="235"/>
      <c r="N925" s="235"/>
      <c r="O925" s="235"/>
      <c r="P925" s="235"/>
      <c r="Q925" s="235"/>
      <c r="R925" s="235"/>
      <c r="S925" s="235"/>
      <c r="T925" s="235"/>
      <c r="U925" s="235"/>
      <c r="V925" s="235"/>
      <c r="W925" s="235"/>
      <c r="X925" s="235"/>
      <c r="Y925" s="235"/>
      <c r="Z925" s="235"/>
      <c r="AA925" s="235"/>
      <c r="AB925" s="235"/>
      <c r="AC925" s="235"/>
    </row>
    <row r="926">
      <c r="A926" s="194" t="s">
        <v>1566</v>
      </c>
      <c r="B926" s="193">
        <v>104835.0</v>
      </c>
      <c r="C926" s="192" t="s">
        <v>1567</v>
      </c>
      <c r="D926" s="192" t="s">
        <v>295</v>
      </c>
      <c r="E926" s="235"/>
      <c r="F926" s="235"/>
      <c r="G926" s="325"/>
      <c r="H926" s="235"/>
      <c r="I926" s="235"/>
      <c r="J926" s="235"/>
      <c r="K926" s="235"/>
      <c r="L926" s="235"/>
      <c r="M926" s="235"/>
      <c r="N926" s="235"/>
      <c r="O926" s="235"/>
      <c r="P926" s="235"/>
      <c r="Q926" s="235"/>
      <c r="R926" s="235"/>
      <c r="S926" s="235"/>
      <c r="T926" s="235"/>
      <c r="U926" s="235"/>
      <c r="V926" s="235"/>
      <c r="W926" s="235"/>
      <c r="X926" s="235"/>
      <c r="Y926" s="235"/>
      <c r="Z926" s="235"/>
      <c r="AA926" s="235"/>
      <c r="AB926" s="235"/>
      <c r="AC926" s="235"/>
    </row>
    <row r="927">
      <c r="A927" s="194" t="s">
        <v>1562</v>
      </c>
      <c r="B927" s="193">
        <v>104784.0</v>
      </c>
      <c r="C927" s="192" t="s">
        <v>1563</v>
      </c>
      <c r="D927" s="192" t="s">
        <v>557</v>
      </c>
      <c r="E927" s="235"/>
      <c r="F927" s="235"/>
      <c r="G927" s="325"/>
      <c r="H927" s="235"/>
      <c r="I927" s="235"/>
      <c r="J927" s="235"/>
      <c r="K927" s="235"/>
      <c r="L927" s="235"/>
      <c r="M927" s="235"/>
      <c r="N927" s="235"/>
      <c r="O927" s="235"/>
      <c r="P927" s="235"/>
      <c r="Q927" s="235"/>
      <c r="R927" s="235"/>
      <c r="S927" s="235"/>
      <c r="T927" s="235"/>
      <c r="U927" s="235"/>
      <c r="V927" s="235"/>
      <c r="W927" s="235"/>
      <c r="X927" s="235"/>
      <c r="Y927" s="235"/>
      <c r="Z927" s="235"/>
      <c r="AA927" s="235"/>
      <c r="AB927" s="235"/>
      <c r="AC927" s="235"/>
    </row>
    <row r="928">
      <c r="A928" s="194" t="s">
        <v>1522</v>
      </c>
      <c r="B928" s="193">
        <v>104796.0</v>
      </c>
      <c r="C928" s="192" t="s">
        <v>1523</v>
      </c>
      <c r="D928" s="192" t="s">
        <v>1159</v>
      </c>
      <c r="E928" s="235"/>
      <c r="F928" s="235"/>
      <c r="G928" s="325"/>
      <c r="H928" s="235"/>
      <c r="I928" s="235"/>
      <c r="J928" s="235"/>
      <c r="K928" s="235"/>
      <c r="L928" s="235"/>
      <c r="M928" s="235"/>
      <c r="N928" s="235"/>
      <c r="O928" s="235"/>
      <c r="P928" s="235"/>
      <c r="Q928" s="235"/>
      <c r="R928" s="235"/>
      <c r="S928" s="235"/>
      <c r="T928" s="235"/>
      <c r="U928" s="235"/>
      <c r="V928" s="235"/>
      <c r="W928" s="235"/>
      <c r="X928" s="235"/>
      <c r="Y928" s="235"/>
      <c r="Z928" s="235"/>
      <c r="AA928" s="235"/>
      <c r="AB928" s="235"/>
      <c r="AC928" s="235"/>
    </row>
    <row r="929">
      <c r="A929" s="194" t="s">
        <v>1548</v>
      </c>
      <c r="B929" s="193">
        <v>104830.0</v>
      </c>
      <c r="C929" s="192" t="s">
        <v>1549</v>
      </c>
      <c r="D929" s="192" t="s">
        <v>295</v>
      </c>
      <c r="E929" s="235"/>
      <c r="F929" s="235"/>
      <c r="G929" s="325"/>
      <c r="H929" s="235"/>
      <c r="I929" s="235"/>
      <c r="J929" s="235"/>
      <c r="K929" s="235"/>
      <c r="L929" s="235"/>
      <c r="M929" s="235"/>
      <c r="N929" s="235"/>
      <c r="O929" s="235"/>
      <c r="P929" s="235"/>
      <c r="Q929" s="235"/>
      <c r="R929" s="235"/>
      <c r="S929" s="235"/>
      <c r="T929" s="235"/>
      <c r="U929" s="235"/>
      <c r="V929" s="235"/>
      <c r="W929" s="235"/>
      <c r="X929" s="235"/>
      <c r="Y929" s="235"/>
      <c r="Z929" s="235"/>
      <c r="AA929" s="235"/>
      <c r="AB929" s="235"/>
      <c r="AC929" s="235"/>
    </row>
    <row r="930">
      <c r="A930" s="194" t="s">
        <v>1709</v>
      </c>
      <c r="B930" s="193">
        <v>105093.0</v>
      </c>
      <c r="C930" s="192" t="s">
        <v>1710</v>
      </c>
      <c r="D930" s="192" t="s">
        <v>295</v>
      </c>
      <c r="E930" s="235"/>
      <c r="F930" s="235"/>
      <c r="G930" s="325"/>
      <c r="H930" s="235"/>
      <c r="I930" s="235"/>
      <c r="J930" s="235"/>
      <c r="K930" s="235"/>
      <c r="L930" s="235"/>
      <c r="M930" s="235"/>
      <c r="N930" s="235"/>
      <c r="O930" s="235"/>
      <c r="P930" s="235"/>
      <c r="Q930" s="235"/>
      <c r="R930" s="235"/>
      <c r="S930" s="235"/>
      <c r="T930" s="235"/>
      <c r="U930" s="235"/>
      <c r="V930" s="235"/>
      <c r="W930" s="235"/>
      <c r="X930" s="235"/>
      <c r="Y930" s="235"/>
      <c r="Z930" s="235"/>
      <c r="AA930" s="235"/>
      <c r="AB930" s="235"/>
      <c r="AC930" s="235"/>
    </row>
    <row r="931">
      <c r="A931" s="194" t="s">
        <v>1602</v>
      </c>
      <c r="B931" s="193">
        <v>104906.0</v>
      </c>
      <c r="C931" s="192" t="s">
        <v>1603</v>
      </c>
      <c r="D931" s="192" t="s">
        <v>265</v>
      </c>
      <c r="E931" s="235"/>
      <c r="F931" s="235"/>
      <c r="G931" s="325"/>
      <c r="H931" s="235"/>
      <c r="I931" s="235"/>
      <c r="J931" s="235"/>
      <c r="K931" s="235"/>
      <c r="L931" s="235"/>
      <c r="M931" s="235"/>
      <c r="N931" s="235"/>
      <c r="O931" s="235"/>
      <c r="P931" s="235"/>
      <c r="Q931" s="235"/>
      <c r="R931" s="235"/>
      <c r="S931" s="235"/>
      <c r="T931" s="235"/>
      <c r="U931" s="235"/>
      <c r="V931" s="235"/>
      <c r="W931" s="235"/>
      <c r="X931" s="235"/>
      <c r="Y931" s="235"/>
      <c r="Z931" s="235"/>
      <c r="AA931" s="235"/>
      <c r="AB931" s="235"/>
      <c r="AC931" s="235"/>
    </row>
    <row r="932">
      <c r="A932" s="194" t="s">
        <v>1608</v>
      </c>
      <c r="B932" s="193">
        <v>104937.0</v>
      </c>
      <c r="C932" s="192" t="s">
        <v>1609</v>
      </c>
      <c r="D932" s="192" t="s">
        <v>1159</v>
      </c>
      <c r="E932" s="235"/>
      <c r="F932" s="235"/>
      <c r="G932" s="325"/>
      <c r="H932" s="235"/>
      <c r="I932" s="235"/>
      <c r="J932" s="235"/>
      <c r="K932" s="235"/>
      <c r="L932" s="235"/>
      <c r="M932" s="235"/>
      <c r="N932" s="235"/>
      <c r="O932" s="235"/>
      <c r="P932" s="235"/>
      <c r="Q932" s="235"/>
      <c r="R932" s="235"/>
      <c r="S932" s="235"/>
      <c r="T932" s="235"/>
      <c r="U932" s="235"/>
      <c r="V932" s="235"/>
      <c r="W932" s="235"/>
      <c r="X932" s="235"/>
      <c r="Y932" s="235"/>
      <c r="Z932" s="235"/>
      <c r="AA932" s="235"/>
      <c r="AB932" s="235"/>
      <c r="AC932" s="235"/>
    </row>
    <row r="933">
      <c r="A933" s="194" t="s">
        <v>1624</v>
      </c>
      <c r="B933" s="193">
        <v>104977.0</v>
      </c>
      <c r="C933" s="192" t="s">
        <v>1625</v>
      </c>
      <c r="D933" s="192" t="s">
        <v>295</v>
      </c>
      <c r="E933" s="235"/>
      <c r="F933" s="235"/>
      <c r="G933" s="325"/>
      <c r="H933" s="235"/>
      <c r="I933" s="235"/>
      <c r="J933" s="235"/>
      <c r="K933" s="235"/>
      <c r="L933" s="235"/>
      <c r="M933" s="235"/>
      <c r="N933" s="235"/>
      <c r="O933" s="235"/>
      <c r="P933" s="235"/>
      <c r="Q933" s="235"/>
      <c r="R933" s="235"/>
      <c r="S933" s="235"/>
      <c r="T933" s="235"/>
      <c r="U933" s="235"/>
      <c r="V933" s="235"/>
      <c r="W933" s="235"/>
      <c r="X933" s="235"/>
      <c r="Y933" s="235"/>
      <c r="Z933" s="235"/>
      <c r="AA933" s="235"/>
      <c r="AB933" s="235"/>
      <c r="AC933" s="235"/>
    </row>
    <row r="934">
      <c r="A934" s="194" t="s">
        <v>1626</v>
      </c>
      <c r="B934" s="193">
        <v>104994.0</v>
      </c>
      <c r="C934" s="192" t="s">
        <v>1627</v>
      </c>
      <c r="D934" s="192" t="s">
        <v>295</v>
      </c>
      <c r="E934" s="235"/>
      <c r="F934" s="235"/>
      <c r="G934" s="325"/>
      <c r="H934" s="235"/>
      <c r="I934" s="235"/>
      <c r="J934" s="235"/>
      <c r="K934" s="235"/>
      <c r="L934" s="235"/>
      <c r="M934" s="235"/>
      <c r="N934" s="235"/>
      <c r="O934" s="235"/>
      <c r="P934" s="235"/>
      <c r="Q934" s="235"/>
      <c r="R934" s="235"/>
      <c r="S934" s="235"/>
      <c r="T934" s="235"/>
      <c r="U934" s="235"/>
      <c r="V934" s="235"/>
      <c r="W934" s="235"/>
      <c r="X934" s="235"/>
      <c r="Y934" s="235"/>
      <c r="Z934" s="235"/>
      <c r="AA934" s="235"/>
      <c r="AB934" s="235"/>
      <c r="AC934" s="235"/>
    </row>
    <row r="935">
      <c r="A935" s="194" t="s">
        <v>1667</v>
      </c>
      <c r="B935" s="193">
        <v>105057.0</v>
      </c>
      <c r="C935" s="192" t="s">
        <v>1668</v>
      </c>
      <c r="D935" s="192" t="s">
        <v>295</v>
      </c>
      <c r="E935" s="235"/>
      <c r="F935" s="235"/>
      <c r="G935" s="325"/>
      <c r="H935" s="235"/>
      <c r="I935" s="235"/>
      <c r="J935" s="235"/>
      <c r="K935" s="235"/>
      <c r="L935" s="235"/>
      <c r="M935" s="235"/>
      <c r="N935" s="235"/>
      <c r="O935" s="235"/>
      <c r="P935" s="235"/>
      <c r="Q935" s="235"/>
      <c r="R935" s="235"/>
      <c r="S935" s="235"/>
      <c r="T935" s="235"/>
      <c r="U935" s="235"/>
      <c r="V935" s="235"/>
      <c r="W935" s="235"/>
      <c r="X935" s="235"/>
      <c r="Y935" s="235"/>
      <c r="Z935" s="235"/>
      <c r="AA935" s="235"/>
      <c r="AB935" s="235"/>
      <c r="AC935" s="235"/>
    </row>
    <row r="936">
      <c r="A936" s="194" t="s">
        <v>1685</v>
      </c>
      <c r="B936" s="193">
        <v>105036.0</v>
      </c>
      <c r="C936" s="192" t="s">
        <v>1686</v>
      </c>
      <c r="D936" s="192" t="s">
        <v>1516</v>
      </c>
      <c r="E936" s="235"/>
      <c r="F936" s="235"/>
      <c r="G936" s="325"/>
      <c r="H936" s="235"/>
      <c r="I936" s="235"/>
      <c r="J936" s="235"/>
      <c r="K936" s="235"/>
      <c r="L936" s="235"/>
      <c r="M936" s="235"/>
      <c r="N936" s="235"/>
      <c r="O936" s="235"/>
      <c r="P936" s="235"/>
      <c r="Q936" s="235"/>
      <c r="R936" s="235"/>
      <c r="S936" s="235"/>
      <c r="T936" s="235"/>
      <c r="U936" s="235"/>
      <c r="V936" s="235"/>
      <c r="W936" s="235"/>
      <c r="X936" s="235"/>
      <c r="Y936" s="235"/>
      <c r="Z936" s="235"/>
      <c r="AA936" s="235"/>
      <c r="AB936" s="235"/>
      <c r="AC936" s="235"/>
    </row>
    <row r="937">
      <c r="A937" s="194" t="s">
        <v>1650</v>
      </c>
      <c r="B937" s="193">
        <v>104949.0</v>
      </c>
      <c r="C937" s="192" t="s">
        <v>1651</v>
      </c>
      <c r="D937" s="192" t="s">
        <v>295</v>
      </c>
      <c r="E937" s="235"/>
      <c r="F937" s="235"/>
      <c r="G937" s="325"/>
      <c r="H937" s="235"/>
      <c r="I937" s="235"/>
      <c r="J937" s="235"/>
      <c r="K937" s="235"/>
      <c r="L937" s="235"/>
      <c r="M937" s="235"/>
      <c r="N937" s="235"/>
      <c r="O937" s="235"/>
      <c r="P937" s="235"/>
      <c r="Q937" s="235"/>
      <c r="R937" s="235"/>
      <c r="S937" s="235"/>
      <c r="T937" s="235"/>
      <c r="U937" s="235"/>
      <c r="V937" s="235"/>
      <c r="W937" s="235"/>
      <c r="X937" s="235"/>
      <c r="Y937" s="235"/>
      <c r="Z937" s="235"/>
      <c r="AA937" s="235"/>
      <c r="AB937" s="235"/>
      <c r="AC937" s="235"/>
    </row>
    <row r="938">
      <c r="A938" s="194" t="s">
        <v>1656</v>
      </c>
      <c r="B938" s="193">
        <v>105023.0</v>
      </c>
      <c r="C938" s="192" t="s">
        <v>1657</v>
      </c>
      <c r="D938" s="192" t="s">
        <v>295</v>
      </c>
      <c r="E938" s="235"/>
      <c r="F938" s="235"/>
      <c r="G938" s="325"/>
      <c r="H938" s="235"/>
      <c r="I938" s="235"/>
      <c r="J938" s="235"/>
      <c r="K938" s="235"/>
      <c r="L938" s="235"/>
      <c r="M938" s="235"/>
      <c r="N938" s="235"/>
      <c r="O938" s="235"/>
      <c r="P938" s="235"/>
      <c r="Q938" s="235"/>
      <c r="R938" s="235"/>
      <c r="S938" s="235"/>
      <c r="T938" s="235"/>
      <c r="U938" s="235"/>
      <c r="V938" s="235"/>
      <c r="W938" s="235"/>
      <c r="X938" s="235"/>
      <c r="Y938" s="235"/>
      <c r="Z938" s="235"/>
      <c r="AA938" s="235"/>
      <c r="AB938" s="235"/>
      <c r="AC938" s="235"/>
    </row>
    <row r="939">
      <c r="A939" s="194" t="s">
        <v>1717</v>
      </c>
      <c r="B939" s="193">
        <v>105118.0</v>
      </c>
      <c r="C939" s="192" t="s">
        <v>1718</v>
      </c>
      <c r="D939" s="192" t="s">
        <v>295</v>
      </c>
      <c r="E939" s="235"/>
      <c r="F939" s="235"/>
      <c r="G939" s="325"/>
      <c r="H939" s="235"/>
      <c r="I939" s="235"/>
      <c r="J939" s="235"/>
      <c r="K939" s="235"/>
      <c r="L939" s="235"/>
      <c r="M939" s="235"/>
      <c r="N939" s="235"/>
      <c r="O939" s="235"/>
      <c r="P939" s="235"/>
      <c r="Q939" s="235"/>
      <c r="R939" s="235"/>
      <c r="S939" s="235"/>
      <c r="T939" s="235"/>
      <c r="U939" s="235"/>
      <c r="V939" s="235"/>
      <c r="W939" s="235"/>
      <c r="X939" s="235"/>
      <c r="Y939" s="235"/>
      <c r="Z939" s="235"/>
      <c r="AA939" s="235"/>
      <c r="AB939" s="235"/>
      <c r="AC939" s="235"/>
    </row>
    <row r="940">
      <c r="A940" s="194" t="s">
        <v>1687</v>
      </c>
      <c r="B940" s="193">
        <v>104948.0</v>
      </c>
      <c r="C940" s="192" t="s">
        <v>1688</v>
      </c>
      <c r="D940" s="192" t="s">
        <v>360</v>
      </c>
      <c r="E940" s="235"/>
      <c r="F940" s="235"/>
      <c r="G940" s="325"/>
      <c r="H940" s="235"/>
      <c r="I940" s="235"/>
      <c r="J940" s="235"/>
      <c r="K940" s="235"/>
      <c r="L940" s="235"/>
      <c r="M940" s="235"/>
      <c r="N940" s="235"/>
      <c r="O940" s="235"/>
      <c r="P940" s="235"/>
      <c r="Q940" s="235"/>
      <c r="R940" s="235"/>
      <c r="S940" s="235"/>
      <c r="T940" s="235"/>
      <c r="U940" s="235"/>
      <c r="V940" s="235"/>
      <c r="W940" s="235"/>
      <c r="X940" s="235"/>
      <c r="Y940" s="235"/>
      <c r="Z940" s="235"/>
      <c r="AA940" s="235"/>
      <c r="AB940" s="235"/>
      <c r="AC940" s="235"/>
    </row>
    <row r="941">
      <c r="A941" s="194" t="s">
        <v>1539</v>
      </c>
      <c r="B941" s="193">
        <v>104799.0</v>
      </c>
      <c r="C941" s="192" t="s">
        <v>1540</v>
      </c>
      <c r="D941" s="192" t="s">
        <v>1159</v>
      </c>
      <c r="E941" s="235"/>
      <c r="F941" s="235"/>
      <c r="G941" s="325"/>
      <c r="H941" s="235"/>
      <c r="I941" s="235"/>
      <c r="J941" s="235"/>
      <c r="K941" s="235"/>
      <c r="L941" s="235"/>
      <c r="M941" s="235"/>
      <c r="N941" s="235"/>
      <c r="O941" s="235"/>
      <c r="P941" s="235"/>
      <c r="Q941" s="235"/>
      <c r="R941" s="235"/>
      <c r="S941" s="235"/>
      <c r="T941" s="235"/>
      <c r="U941" s="235"/>
      <c r="V941" s="235"/>
      <c r="W941" s="235"/>
      <c r="X941" s="235"/>
      <c r="Y941" s="235"/>
      <c r="Z941" s="235"/>
      <c r="AA941" s="235"/>
      <c r="AB941" s="235"/>
      <c r="AC941" s="235"/>
    </row>
    <row r="942">
      <c r="A942" s="194" t="s">
        <v>1786</v>
      </c>
      <c r="B942" s="193">
        <v>105162.0</v>
      </c>
      <c r="C942" s="192" t="s">
        <v>1787</v>
      </c>
      <c r="D942" s="192" t="s">
        <v>295</v>
      </c>
      <c r="E942" s="235"/>
      <c r="F942" s="235"/>
      <c r="G942" s="325"/>
      <c r="H942" s="235"/>
      <c r="I942" s="235"/>
      <c r="J942" s="235"/>
      <c r="K942" s="235"/>
      <c r="L942" s="235"/>
      <c r="M942" s="235"/>
      <c r="N942" s="235"/>
      <c r="O942" s="235"/>
      <c r="P942" s="235"/>
      <c r="Q942" s="235"/>
      <c r="R942" s="235"/>
      <c r="S942" s="235"/>
      <c r="T942" s="235"/>
      <c r="U942" s="235"/>
      <c r="V942" s="235"/>
      <c r="W942" s="235"/>
      <c r="X942" s="235"/>
      <c r="Y942" s="235"/>
      <c r="Z942" s="235"/>
      <c r="AA942" s="235"/>
      <c r="AB942" s="235"/>
      <c r="AC942" s="235"/>
    </row>
    <row r="943">
      <c r="A943" s="194" t="s">
        <v>1796</v>
      </c>
      <c r="B943" s="193">
        <v>105303.0</v>
      </c>
      <c r="C943" s="192" t="s">
        <v>1797</v>
      </c>
      <c r="D943" s="192" t="s">
        <v>295</v>
      </c>
      <c r="E943" s="235"/>
      <c r="F943" s="235"/>
      <c r="G943" s="325"/>
      <c r="H943" s="235"/>
      <c r="I943" s="235"/>
      <c r="J943" s="235"/>
      <c r="K943" s="235"/>
      <c r="L943" s="235"/>
      <c r="M943" s="235"/>
      <c r="N943" s="235"/>
      <c r="O943" s="235"/>
      <c r="P943" s="235"/>
      <c r="Q943" s="235"/>
      <c r="R943" s="235"/>
      <c r="S943" s="235"/>
      <c r="T943" s="235"/>
      <c r="U943" s="235"/>
      <c r="V943" s="235"/>
      <c r="W943" s="235"/>
      <c r="X943" s="235"/>
      <c r="Y943" s="235"/>
      <c r="Z943" s="235"/>
      <c r="AA943" s="235"/>
      <c r="AB943" s="235"/>
      <c r="AC943" s="235"/>
    </row>
    <row r="944">
      <c r="A944" s="194" t="s">
        <v>1798</v>
      </c>
      <c r="B944" s="193">
        <v>105195.0</v>
      </c>
      <c r="C944" s="192" t="s">
        <v>1799</v>
      </c>
      <c r="D944" s="192" t="s">
        <v>295</v>
      </c>
      <c r="E944" s="235"/>
      <c r="F944" s="235"/>
      <c r="G944" s="325"/>
      <c r="H944" s="235"/>
      <c r="I944" s="235"/>
      <c r="J944" s="235"/>
      <c r="K944" s="235"/>
      <c r="L944" s="235"/>
      <c r="M944" s="235"/>
      <c r="N944" s="235"/>
      <c r="O944" s="235"/>
      <c r="P944" s="235"/>
      <c r="Q944" s="235"/>
      <c r="R944" s="235"/>
      <c r="S944" s="235"/>
      <c r="T944" s="235"/>
      <c r="U944" s="235"/>
      <c r="V944" s="235"/>
      <c r="W944" s="235"/>
      <c r="X944" s="235"/>
      <c r="Y944" s="235"/>
      <c r="Z944" s="235"/>
      <c r="AA944" s="235"/>
      <c r="AB944" s="235"/>
      <c r="AC944" s="235"/>
    </row>
    <row r="945">
      <c r="A945" s="194" t="s">
        <v>1800</v>
      </c>
      <c r="B945" s="193">
        <v>105305.0</v>
      </c>
      <c r="C945" s="192" t="s">
        <v>1801</v>
      </c>
      <c r="D945" s="192" t="s">
        <v>295</v>
      </c>
      <c r="E945" s="235"/>
      <c r="F945" s="235"/>
      <c r="G945" s="325"/>
      <c r="H945" s="235"/>
      <c r="I945" s="235"/>
      <c r="J945" s="235"/>
      <c r="K945" s="235"/>
      <c r="L945" s="235"/>
      <c r="M945" s="235"/>
      <c r="N945" s="235"/>
      <c r="O945" s="235"/>
      <c r="P945" s="235"/>
      <c r="Q945" s="235"/>
      <c r="R945" s="235"/>
      <c r="S945" s="235"/>
      <c r="T945" s="235"/>
      <c r="U945" s="235"/>
      <c r="V945" s="235"/>
      <c r="W945" s="235"/>
      <c r="X945" s="235"/>
      <c r="Y945" s="235"/>
      <c r="Z945" s="235"/>
      <c r="AA945" s="235"/>
      <c r="AB945" s="235"/>
      <c r="AC945" s="235"/>
    </row>
    <row r="946">
      <c r="A946" s="194" t="s">
        <v>1802</v>
      </c>
      <c r="B946" s="193">
        <v>105306.0</v>
      </c>
      <c r="C946" s="192" t="s">
        <v>1803</v>
      </c>
      <c r="D946" s="192" t="s">
        <v>295</v>
      </c>
      <c r="E946" s="235"/>
      <c r="F946" s="235"/>
      <c r="G946" s="325"/>
      <c r="H946" s="235"/>
      <c r="I946" s="235"/>
      <c r="J946" s="235"/>
      <c r="K946" s="235"/>
      <c r="L946" s="235"/>
      <c r="M946" s="235"/>
      <c r="N946" s="235"/>
      <c r="O946" s="235"/>
      <c r="P946" s="235"/>
      <c r="Q946" s="235"/>
      <c r="R946" s="235"/>
      <c r="S946" s="235"/>
      <c r="T946" s="235"/>
      <c r="U946" s="235"/>
      <c r="V946" s="235"/>
      <c r="W946" s="235"/>
      <c r="X946" s="235"/>
      <c r="Y946" s="235"/>
      <c r="Z946" s="235"/>
      <c r="AA946" s="235"/>
      <c r="AB946" s="235"/>
      <c r="AC946" s="235"/>
    </row>
    <row r="947">
      <c r="A947" s="194" t="s">
        <v>1804</v>
      </c>
      <c r="B947" s="193">
        <v>105324.0</v>
      </c>
      <c r="C947" s="192" t="s">
        <v>1805</v>
      </c>
      <c r="D947" s="192" t="s">
        <v>295</v>
      </c>
      <c r="E947" s="235"/>
      <c r="F947" s="235"/>
      <c r="G947" s="325"/>
      <c r="H947" s="235"/>
      <c r="I947" s="235"/>
      <c r="J947" s="235"/>
      <c r="K947" s="235"/>
      <c r="L947" s="235"/>
      <c r="M947" s="235"/>
      <c r="N947" s="235"/>
      <c r="O947" s="235"/>
      <c r="P947" s="235"/>
      <c r="Q947" s="235"/>
      <c r="R947" s="235"/>
      <c r="S947" s="235"/>
      <c r="T947" s="235"/>
      <c r="U947" s="235"/>
      <c r="V947" s="235"/>
      <c r="W947" s="235"/>
      <c r="X947" s="235"/>
      <c r="Y947" s="235"/>
      <c r="Z947" s="235"/>
      <c r="AA947" s="235"/>
      <c r="AB947" s="235"/>
      <c r="AC947" s="235"/>
    </row>
    <row r="948">
      <c r="A948" s="194" t="s">
        <v>1604</v>
      </c>
      <c r="B948" s="193">
        <v>104903.0</v>
      </c>
      <c r="C948" s="192" t="s">
        <v>1605</v>
      </c>
      <c r="D948" s="192" t="s">
        <v>265</v>
      </c>
      <c r="E948" s="235"/>
      <c r="F948" s="235"/>
      <c r="G948" s="325"/>
      <c r="H948" s="235"/>
      <c r="I948" s="235"/>
      <c r="J948" s="235"/>
      <c r="K948" s="235"/>
      <c r="L948" s="235"/>
      <c r="M948" s="235"/>
      <c r="N948" s="235"/>
      <c r="O948" s="235"/>
      <c r="P948" s="235"/>
      <c r="Q948" s="235"/>
      <c r="R948" s="235"/>
      <c r="S948" s="235"/>
      <c r="T948" s="235"/>
      <c r="U948" s="235"/>
      <c r="V948" s="235"/>
      <c r="W948" s="235"/>
      <c r="X948" s="235"/>
      <c r="Y948" s="235"/>
      <c r="Z948" s="235"/>
      <c r="AA948" s="235"/>
      <c r="AB948" s="235"/>
      <c r="AC948" s="235"/>
    </row>
    <row r="949">
      <c r="A949" s="194" t="s">
        <v>1570</v>
      </c>
      <c r="B949" s="193">
        <v>104892.0</v>
      </c>
      <c r="C949" s="192" t="s">
        <v>1571</v>
      </c>
      <c r="D949" s="192" t="s">
        <v>1212</v>
      </c>
      <c r="E949" s="235"/>
      <c r="F949" s="235"/>
      <c r="G949" s="325"/>
      <c r="H949" s="235"/>
      <c r="I949" s="235"/>
      <c r="J949" s="235"/>
      <c r="K949" s="235"/>
      <c r="L949" s="235"/>
      <c r="M949" s="235"/>
      <c r="N949" s="235"/>
      <c r="O949" s="235"/>
      <c r="P949" s="235"/>
      <c r="Q949" s="235"/>
      <c r="R949" s="235"/>
      <c r="S949" s="235"/>
      <c r="T949" s="235"/>
      <c r="U949" s="235"/>
      <c r="V949" s="235"/>
      <c r="W949" s="235"/>
      <c r="X949" s="235"/>
      <c r="Y949" s="235"/>
      <c r="Z949" s="235"/>
      <c r="AA949" s="235"/>
      <c r="AB949" s="235"/>
      <c r="AC949" s="235"/>
    </row>
    <row r="950">
      <c r="A950" s="194" t="s">
        <v>1663</v>
      </c>
      <c r="B950" s="193">
        <v>104983.0</v>
      </c>
      <c r="C950" s="192" t="s">
        <v>1664</v>
      </c>
      <c r="D950" s="192" t="s">
        <v>1257</v>
      </c>
      <c r="E950" s="235"/>
      <c r="F950" s="235"/>
      <c r="G950" s="325"/>
      <c r="H950" s="235"/>
      <c r="I950" s="235"/>
      <c r="J950" s="235"/>
      <c r="K950" s="235"/>
      <c r="L950" s="235"/>
      <c r="M950" s="235"/>
      <c r="N950" s="235"/>
      <c r="O950" s="235"/>
      <c r="P950" s="235"/>
      <c r="Q950" s="235"/>
      <c r="R950" s="235"/>
      <c r="S950" s="235"/>
      <c r="T950" s="235"/>
      <c r="U950" s="235"/>
      <c r="V950" s="235"/>
      <c r="W950" s="235"/>
      <c r="X950" s="235"/>
      <c r="Y950" s="235"/>
      <c r="Z950" s="235"/>
      <c r="AA950" s="235"/>
      <c r="AB950" s="235"/>
      <c r="AC950" s="235"/>
    </row>
    <row r="951">
      <c r="A951" s="194" t="s">
        <v>1700</v>
      </c>
      <c r="B951" s="193">
        <v>105038.0</v>
      </c>
      <c r="C951" s="192" t="s">
        <v>1701</v>
      </c>
      <c r="D951" s="192" t="s">
        <v>87</v>
      </c>
      <c r="E951" s="235"/>
      <c r="F951" s="235"/>
      <c r="G951" s="325"/>
      <c r="H951" s="235"/>
      <c r="I951" s="235"/>
      <c r="J951" s="235"/>
      <c r="K951" s="235"/>
      <c r="L951" s="235"/>
      <c r="M951" s="235"/>
      <c r="N951" s="235"/>
      <c r="O951" s="235"/>
      <c r="P951" s="235"/>
      <c r="Q951" s="235"/>
      <c r="R951" s="235"/>
      <c r="S951" s="235"/>
      <c r="T951" s="235"/>
      <c r="U951" s="235"/>
      <c r="V951" s="235"/>
      <c r="W951" s="235"/>
      <c r="X951" s="235"/>
      <c r="Y951" s="235"/>
      <c r="Z951" s="235"/>
      <c r="AA951" s="235"/>
      <c r="AB951" s="235"/>
      <c r="AC951" s="235"/>
    </row>
    <row r="952">
      <c r="A952" s="194" t="s">
        <v>1636</v>
      </c>
      <c r="B952" s="193">
        <v>104999.0</v>
      </c>
      <c r="C952" s="192" t="s">
        <v>1637</v>
      </c>
      <c r="D952" s="192" t="s">
        <v>87</v>
      </c>
      <c r="E952" s="235"/>
      <c r="F952" s="235"/>
      <c r="G952" s="325"/>
      <c r="H952" s="235"/>
      <c r="I952" s="235"/>
      <c r="J952" s="235"/>
      <c r="K952" s="235"/>
      <c r="L952" s="235"/>
      <c r="M952" s="235"/>
      <c r="N952" s="235"/>
      <c r="O952" s="235"/>
      <c r="P952" s="235"/>
      <c r="Q952" s="235"/>
      <c r="R952" s="235"/>
      <c r="S952" s="235"/>
      <c r="T952" s="235"/>
      <c r="U952" s="235"/>
      <c r="V952" s="235"/>
      <c r="W952" s="235"/>
      <c r="X952" s="235"/>
      <c r="Y952" s="235"/>
      <c r="Z952" s="235"/>
      <c r="AA952" s="235"/>
      <c r="AB952" s="235"/>
      <c r="AC952" s="235"/>
    </row>
    <row r="953">
      <c r="A953" s="194" t="s">
        <v>1638</v>
      </c>
      <c r="B953" s="193">
        <v>104987.0</v>
      </c>
      <c r="C953" s="192" t="s">
        <v>1639</v>
      </c>
      <c r="D953" s="192" t="s">
        <v>87</v>
      </c>
      <c r="E953" s="235"/>
      <c r="F953" s="235"/>
      <c r="G953" s="325"/>
      <c r="H953" s="235"/>
      <c r="I953" s="235"/>
      <c r="J953" s="235"/>
      <c r="K953" s="235"/>
      <c r="L953" s="235"/>
      <c r="M953" s="235"/>
      <c r="N953" s="235"/>
      <c r="O953" s="235"/>
      <c r="P953" s="235"/>
      <c r="Q953" s="235"/>
      <c r="R953" s="235"/>
      <c r="S953" s="235"/>
      <c r="T953" s="235"/>
      <c r="U953" s="235"/>
      <c r="V953" s="235"/>
      <c r="W953" s="235"/>
      <c r="X953" s="235"/>
      <c r="Y953" s="235"/>
      <c r="Z953" s="235"/>
      <c r="AA953" s="235"/>
      <c r="AB953" s="235"/>
      <c r="AC953" s="235"/>
    </row>
    <row r="954">
      <c r="A954" s="194" t="s">
        <v>1640</v>
      </c>
      <c r="B954" s="193">
        <v>105003.0</v>
      </c>
      <c r="C954" s="192" t="s">
        <v>1641</v>
      </c>
      <c r="D954" s="192" t="s">
        <v>87</v>
      </c>
      <c r="E954" s="235"/>
      <c r="F954" s="235"/>
      <c r="G954" s="325"/>
      <c r="H954" s="235"/>
      <c r="I954" s="235"/>
      <c r="J954" s="235"/>
      <c r="K954" s="235"/>
      <c r="L954" s="235"/>
      <c r="M954" s="235"/>
      <c r="N954" s="235"/>
      <c r="O954" s="235"/>
      <c r="P954" s="235"/>
      <c r="Q954" s="235"/>
      <c r="R954" s="235"/>
      <c r="S954" s="235"/>
      <c r="T954" s="235"/>
      <c r="U954" s="235"/>
      <c r="V954" s="235"/>
      <c r="W954" s="235"/>
      <c r="X954" s="235"/>
      <c r="Y954" s="235"/>
      <c r="Z954" s="235"/>
      <c r="AA954" s="235"/>
      <c r="AB954" s="235"/>
      <c r="AC954" s="235"/>
    </row>
    <row r="955">
      <c r="A955" s="194" t="s">
        <v>1683</v>
      </c>
      <c r="B955" s="193">
        <v>105061.0</v>
      </c>
      <c r="C955" s="192" t="s">
        <v>1684</v>
      </c>
      <c r="D955" s="192" t="s">
        <v>625</v>
      </c>
      <c r="E955" s="235"/>
      <c r="F955" s="235"/>
      <c r="G955" s="325"/>
      <c r="H955" s="235"/>
      <c r="I955" s="235"/>
      <c r="J955" s="235"/>
      <c r="K955" s="235"/>
      <c r="L955" s="235"/>
      <c r="M955" s="235"/>
      <c r="N955" s="235"/>
      <c r="O955" s="235"/>
      <c r="P955" s="235"/>
      <c r="Q955" s="235"/>
      <c r="R955" s="235"/>
      <c r="S955" s="235"/>
      <c r="T955" s="235"/>
      <c r="U955" s="235"/>
      <c r="V955" s="235"/>
      <c r="W955" s="235"/>
      <c r="X955" s="235"/>
      <c r="Y955" s="235"/>
      <c r="Z955" s="235"/>
      <c r="AA955" s="235"/>
      <c r="AB955" s="235"/>
      <c r="AC955" s="235"/>
    </row>
    <row r="956">
      <c r="A956" s="194" t="s">
        <v>1696</v>
      </c>
      <c r="B956" s="193">
        <v>105060.0</v>
      </c>
      <c r="C956" s="192" t="s">
        <v>1697</v>
      </c>
      <c r="D956" s="192" t="s">
        <v>113</v>
      </c>
      <c r="E956" s="235"/>
      <c r="F956" s="235"/>
      <c r="G956" s="325"/>
      <c r="H956" s="235"/>
      <c r="I956" s="235"/>
      <c r="J956" s="235"/>
      <c r="K956" s="235"/>
      <c r="L956" s="235"/>
      <c r="M956" s="235"/>
      <c r="N956" s="235"/>
      <c r="O956" s="235"/>
      <c r="P956" s="235"/>
      <c r="Q956" s="235"/>
      <c r="R956" s="235"/>
      <c r="S956" s="235"/>
      <c r="T956" s="235"/>
      <c r="U956" s="235"/>
      <c r="V956" s="235"/>
      <c r="W956" s="235"/>
      <c r="X956" s="235"/>
      <c r="Y956" s="235"/>
      <c r="Z956" s="235"/>
      <c r="AA956" s="235"/>
      <c r="AB956" s="235"/>
      <c r="AC956" s="235"/>
    </row>
    <row r="957">
      <c r="A957" s="194" t="s">
        <v>1595</v>
      </c>
      <c r="B957" s="193">
        <v>104848.0</v>
      </c>
      <c r="C957" s="192" t="s">
        <v>1596</v>
      </c>
      <c r="D957" s="192" t="s">
        <v>625</v>
      </c>
      <c r="E957" s="235"/>
      <c r="F957" s="235"/>
      <c r="G957" s="325"/>
      <c r="H957" s="235"/>
      <c r="I957" s="235"/>
      <c r="J957" s="235"/>
      <c r="K957" s="235"/>
      <c r="L957" s="235"/>
      <c r="M957" s="235"/>
      <c r="N957" s="235"/>
      <c r="O957" s="235"/>
      <c r="P957" s="235"/>
      <c r="Q957" s="235"/>
      <c r="R957" s="235"/>
      <c r="S957" s="235"/>
      <c r="T957" s="235"/>
      <c r="U957" s="235"/>
      <c r="V957" s="235"/>
      <c r="W957" s="235"/>
      <c r="X957" s="235"/>
      <c r="Y957" s="235"/>
      <c r="Z957" s="235"/>
      <c r="AA957" s="235"/>
      <c r="AB957" s="235"/>
      <c r="AC957" s="235"/>
    </row>
    <row r="958">
      <c r="A958" s="194" t="s">
        <v>1597</v>
      </c>
      <c r="B958" s="193">
        <v>104848.0</v>
      </c>
      <c r="C958" s="192" t="s">
        <v>1596</v>
      </c>
      <c r="D958" s="192" t="s">
        <v>806</v>
      </c>
      <c r="E958" s="235"/>
      <c r="F958" s="235"/>
      <c r="G958" s="325"/>
      <c r="H958" s="235"/>
      <c r="I958" s="235"/>
      <c r="J958" s="235"/>
      <c r="K958" s="235"/>
      <c r="L958" s="235"/>
      <c r="M958" s="235"/>
      <c r="N958" s="235"/>
      <c r="O958" s="235"/>
      <c r="P958" s="235"/>
      <c r="Q958" s="235"/>
      <c r="R958" s="235"/>
      <c r="S958" s="235"/>
      <c r="T958" s="235"/>
      <c r="U958" s="235"/>
      <c r="V958" s="235"/>
      <c r="W958" s="235"/>
      <c r="X958" s="235"/>
      <c r="Y958" s="235"/>
      <c r="Z958" s="235"/>
      <c r="AA958" s="235"/>
      <c r="AB958" s="235"/>
      <c r="AC958" s="235"/>
    </row>
    <row r="959">
      <c r="A959" s="194" t="s">
        <v>1576</v>
      </c>
      <c r="B959" s="193">
        <v>104851.0</v>
      </c>
      <c r="C959" s="192" t="s">
        <v>1577</v>
      </c>
      <c r="D959" s="192" t="s">
        <v>254</v>
      </c>
      <c r="E959" s="235"/>
      <c r="F959" s="235"/>
      <c r="G959" s="325"/>
      <c r="H959" s="235"/>
      <c r="I959" s="235"/>
      <c r="J959" s="235"/>
      <c r="K959" s="235"/>
      <c r="L959" s="235"/>
      <c r="M959" s="235"/>
      <c r="N959" s="235"/>
      <c r="O959" s="235"/>
      <c r="P959" s="235"/>
      <c r="Q959" s="235"/>
      <c r="R959" s="235"/>
      <c r="S959" s="235"/>
      <c r="T959" s="235"/>
      <c r="U959" s="235"/>
      <c r="V959" s="235"/>
      <c r="W959" s="235"/>
      <c r="X959" s="235"/>
      <c r="Y959" s="235"/>
      <c r="Z959" s="235"/>
      <c r="AA959" s="235"/>
      <c r="AB959" s="235"/>
      <c r="AC959" s="235"/>
    </row>
    <row r="960">
      <c r="A960" s="194" t="s">
        <v>1578</v>
      </c>
      <c r="B960" s="193">
        <v>104849.0</v>
      </c>
      <c r="C960" s="192" t="s">
        <v>1579</v>
      </c>
      <c r="D960" s="192" t="s">
        <v>806</v>
      </c>
      <c r="E960" s="235"/>
      <c r="F960" s="235"/>
      <c r="G960" s="325"/>
      <c r="H960" s="235"/>
      <c r="I960" s="235"/>
      <c r="J960" s="235"/>
      <c r="K960" s="235"/>
      <c r="L960" s="235"/>
      <c r="M960" s="235"/>
      <c r="N960" s="235"/>
      <c r="O960" s="235"/>
      <c r="P960" s="235"/>
      <c r="Q960" s="235"/>
      <c r="R960" s="235"/>
      <c r="S960" s="235"/>
      <c r="T960" s="235"/>
      <c r="U960" s="235"/>
      <c r="V960" s="235"/>
      <c r="W960" s="235"/>
      <c r="X960" s="235"/>
      <c r="Y960" s="235"/>
      <c r="Z960" s="235"/>
      <c r="AA960" s="235"/>
      <c r="AB960" s="235"/>
      <c r="AC960" s="235"/>
    </row>
    <row r="961">
      <c r="A961" s="194" t="s">
        <v>1580</v>
      </c>
      <c r="B961" s="193">
        <v>104851.0</v>
      </c>
      <c r="C961" s="192" t="s">
        <v>1577</v>
      </c>
      <c r="D961" s="192" t="s">
        <v>625</v>
      </c>
      <c r="E961" s="235"/>
      <c r="F961" s="235"/>
      <c r="G961" s="325"/>
      <c r="H961" s="235"/>
      <c r="I961" s="235"/>
      <c r="J961" s="235"/>
      <c r="K961" s="235"/>
      <c r="L961" s="235"/>
      <c r="M961" s="235"/>
      <c r="N961" s="235"/>
      <c r="O961" s="235"/>
      <c r="P961" s="235"/>
      <c r="Q961" s="235"/>
      <c r="R961" s="235"/>
      <c r="S961" s="235"/>
      <c r="T961" s="235"/>
      <c r="U961" s="235"/>
      <c r="V961" s="235"/>
      <c r="W961" s="235"/>
      <c r="X961" s="235"/>
      <c r="Y961" s="235"/>
      <c r="Z961" s="235"/>
      <c r="AA961" s="235"/>
      <c r="AB961" s="235"/>
      <c r="AC961" s="235"/>
    </row>
    <row r="962">
      <c r="A962" s="194" t="s">
        <v>1581</v>
      </c>
      <c r="B962" s="193">
        <v>104905.0</v>
      </c>
      <c r="C962" s="192" t="s">
        <v>1582</v>
      </c>
      <c r="D962" s="192" t="s">
        <v>1140</v>
      </c>
      <c r="E962" s="235"/>
      <c r="F962" s="235"/>
      <c r="G962" s="325"/>
      <c r="H962" s="235"/>
      <c r="I962" s="235"/>
      <c r="J962" s="235"/>
      <c r="K962" s="235"/>
      <c r="L962" s="235"/>
      <c r="M962" s="235"/>
      <c r="N962" s="235"/>
      <c r="O962" s="235"/>
      <c r="P962" s="235"/>
      <c r="Q962" s="235"/>
      <c r="R962" s="235"/>
      <c r="S962" s="235"/>
      <c r="T962" s="235"/>
      <c r="U962" s="235"/>
      <c r="V962" s="235"/>
      <c r="W962" s="235"/>
      <c r="X962" s="235"/>
      <c r="Y962" s="235"/>
      <c r="Z962" s="235"/>
      <c r="AA962" s="235"/>
      <c r="AB962" s="235"/>
      <c r="AC962" s="235"/>
    </row>
    <row r="963">
      <c r="A963" s="194" t="s">
        <v>1681</v>
      </c>
      <c r="B963" s="193">
        <v>105079.0</v>
      </c>
      <c r="C963" s="192" t="s">
        <v>1682</v>
      </c>
      <c r="D963" s="192" t="s">
        <v>1140</v>
      </c>
      <c r="E963" s="235"/>
      <c r="F963" s="235"/>
      <c r="G963" s="325"/>
      <c r="H963" s="235"/>
      <c r="I963" s="235"/>
      <c r="J963" s="235"/>
      <c r="K963" s="235"/>
      <c r="L963" s="235"/>
      <c r="M963" s="235"/>
      <c r="N963" s="235"/>
      <c r="O963" s="235"/>
      <c r="P963" s="235"/>
      <c r="Q963" s="235"/>
      <c r="R963" s="235"/>
      <c r="S963" s="235"/>
      <c r="T963" s="235"/>
      <c r="U963" s="235"/>
      <c r="V963" s="235"/>
      <c r="W963" s="235"/>
      <c r="X963" s="235"/>
      <c r="Y963" s="235"/>
      <c r="Z963" s="235"/>
      <c r="AA963" s="235"/>
      <c r="AB963" s="235"/>
      <c r="AC963" s="235"/>
    </row>
    <row r="964">
      <c r="A964" s="194" t="s">
        <v>1719</v>
      </c>
      <c r="B964" s="193">
        <v>105161.0</v>
      </c>
      <c r="C964" s="192" t="s">
        <v>1720</v>
      </c>
      <c r="D964" s="192" t="s">
        <v>1140</v>
      </c>
      <c r="E964" s="235"/>
      <c r="F964" s="235"/>
      <c r="G964" s="325"/>
      <c r="H964" s="235"/>
      <c r="I964" s="235"/>
      <c r="J964" s="235"/>
      <c r="K964" s="235"/>
      <c r="L964" s="235"/>
      <c r="M964" s="235"/>
      <c r="N964" s="235"/>
      <c r="O964" s="235"/>
      <c r="P964" s="235"/>
      <c r="Q964" s="235"/>
      <c r="R964" s="235"/>
      <c r="S964" s="235"/>
      <c r="T964" s="235"/>
      <c r="U964" s="235"/>
      <c r="V964" s="235"/>
      <c r="W964" s="235"/>
      <c r="X964" s="235"/>
      <c r="Y964" s="235"/>
      <c r="Z964" s="235"/>
      <c r="AA964" s="235"/>
      <c r="AB964" s="235"/>
      <c r="AC964" s="235"/>
    </row>
    <row r="965">
      <c r="A965" s="194" t="s">
        <v>1554</v>
      </c>
      <c r="B965" s="193">
        <v>104877.0</v>
      </c>
      <c r="C965" s="192" t="s">
        <v>1555</v>
      </c>
      <c r="D965" s="192" t="s">
        <v>1140</v>
      </c>
      <c r="E965" s="235"/>
      <c r="F965" s="235"/>
      <c r="G965" s="325"/>
      <c r="H965" s="235"/>
      <c r="I965" s="235"/>
      <c r="J965" s="235"/>
      <c r="K965" s="235"/>
      <c r="L965" s="235"/>
      <c r="M965" s="235"/>
      <c r="N965" s="235"/>
      <c r="O965" s="235"/>
      <c r="P965" s="235"/>
      <c r="Q965" s="235"/>
      <c r="R965" s="235"/>
      <c r="S965" s="235"/>
      <c r="T965" s="235"/>
      <c r="U965" s="235"/>
      <c r="V965" s="235"/>
      <c r="W965" s="235"/>
      <c r="X965" s="235"/>
      <c r="Y965" s="235"/>
      <c r="Z965" s="235"/>
      <c r="AA965" s="235"/>
      <c r="AB965" s="235"/>
      <c r="AC965" s="235"/>
    </row>
    <row r="966">
      <c r="A966" s="194" t="s">
        <v>1652</v>
      </c>
      <c r="B966" s="193">
        <v>105042.0</v>
      </c>
      <c r="C966" s="192" t="s">
        <v>1653</v>
      </c>
      <c r="D966" s="192" t="s">
        <v>1140</v>
      </c>
      <c r="E966" s="235"/>
      <c r="F966" s="235"/>
      <c r="G966" s="325"/>
      <c r="H966" s="235"/>
      <c r="I966" s="235"/>
      <c r="J966" s="235"/>
      <c r="K966" s="235"/>
      <c r="L966" s="235"/>
      <c r="M966" s="235"/>
      <c r="N966" s="235"/>
      <c r="O966" s="235"/>
      <c r="P966" s="235"/>
      <c r="Q966" s="235"/>
      <c r="R966" s="235"/>
      <c r="S966" s="235"/>
      <c r="T966" s="235"/>
      <c r="U966" s="235"/>
      <c r="V966" s="235"/>
      <c r="W966" s="235"/>
      <c r="X966" s="235"/>
      <c r="Y966" s="235"/>
      <c r="Z966" s="235"/>
      <c r="AA966" s="235"/>
      <c r="AB966" s="235"/>
      <c r="AC966" s="235"/>
    </row>
    <row r="967">
      <c r="A967" s="194" t="s">
        <v>1610</v>
      </c>
      <c r="B967" s="193">
        <v>105028.0</v>
      </c>
      <c r="C967" s="192" t="s">
        <v>1611</v>
      </c>
      <c r="D967" s="192" t="s">
        <v>1140</v>
      </c>
      <c r="E967" s="235"/>
      <c r="F967" s="235"/>
      <c r="G967" s="325"/>
      <c r="H967" s="235"/>
      <c r="I967" s="235"/>
      <c r="J967" s="235"/>
      <c r="K967" s="235"/>
      <c r="L967" s="235"/>
      <c r="M967" s="235"/>
      <c r="N967" s="235"/>
      <c r="O967" s="235"/>
      <c r="P967" s="235"/>
      <c r="Q967" s="235"/>
      <c r="R967" s="235"/>
      <c r="S967" s="235"/>
      <c r="T967" s="235"/>
      <c r="U967" s="235"/>
      <c r="V967" s="235"/>
      <c r="W967" s="235"/>
      <c r="X967" s="235"/>
      <c r="Y967" s="235"/>
      <c r="Z967" s="235"/>
      <c r="AA967" s="235"/>
      <c r="AB967" s="235"/>
      <c r="AC967" s="235"/>
    </row>
    <row r="968">
      <c r="A968" s="194" t="s">
        <v>1702</v>
      </c>
      <c r="B968" s="193">
        <v>105064.0</v>
      </c>
      <c r="C968" s="192" t="s">
        <v>1703</v>
      </c>
      <c r="D968" s="192" t="s">
        <v>87</v>
      </c>
      <c r="E968" s="235"/>
      <c r="F968" s="235"/>
      <c r="G968" s="325"/>
      <c r="H968" s="235"/>
      <c r="I968" s="235"/>
      <c r="J968" s="235"/>
      <c r="K968" s="235"/>
      <c r="L968" s="235"/>
      <c r="M968" s="235"/>
      <c r="N968" s="235"/>
      <c r="O968" s="235"/>
      <c r="P968" s="235"/>
      <c r="Q968" s="235"/>
      <c r="R968" s="235"/>
      <c r="S968" s="235"/>
      <c r="T968" s="235"/>
      <c r="U968" s="235"/>
      <c r="V968" s="235"/>
      <c r="W968" s="235"/>
      <c r="X968" s="235"/>
      <c r="Y968" s="235"/>
      <c r="Z968" s="235"/>
      <c r="AA968" s="235"/>
      <c r="AB968" s="235"/>
      <c r="AC968" s="235"/>
    </row>
    <row r="969">
      <c r="A969" s="194" t="s">
        <v>1598</v>
      </c>
      <c r="B969" s="193">
        <v>104950.0</v>
      </c>
      <c r="C969" s="192" t="s">
        <v>1599</v>
      </c>
      <c r="D969" s="192" t="s">
        <v>427</v>
      </c>
      <c r="E969" s="235"/>
      <c r="F969" s="235"/>
      <c r="G969" s="325"/>
      <c r="H969" s="235"/>
      <c r="I969" s="235"/>
      <c r="J969" s="235"/>
      <c r="K969" s="235"/>
      <c r="L969" s="235"/>
      <c r="M969" s="235"/>
      <c r="N969" s="235"/>
      <c r="O969" s="235"/>
      <c r="P969" s="235"/>
      <c r="Q969" s="235"/>
      <c r="R969" s="235"/>
      <c r="S969" s="235"/>
      <c r="T969" s="235"/>
      <c r="U969" s="235"/>
      <c r="V969" s="235"/>
      <c r="W969" s="235"/>
      <c r="X969" s="235"/>
      <c r="Y969" s="235"/>
      <c r="Z969" s="235"/>
      <c r="AA969" s="235"/>
      <c r="AB969" s="235"/>
      <c r="AC969" s="235"/>
    </row>
    <row r="970">
      <c r="A970" s="194" t="s">
        <v>1711</v>
      </c>
      <c r="B970" s="193">
        <v>104907.0</v>
      </c>
      <c r="C970" s="192" t="s">
        <v>1712</v>
      </c>
      <c r="D970" s="192" t="s">
        <v>87</v>
      </c>
      <c r="E970" s="235"/>
      <c r="F970" s="235"/>
      <c r="G970" s="325"/>
      <c r="H970" s="235"/>
      <c r="I970" s="235"/>
      <c r="J970" s="235"/>
      <c r="K970" s="235"/>
      <c r="L970" s="235"/>
      <c r="M970" s="235"/>
      <c r="N970" s="235"/>
      <c r="O970" s="235"/>
      <c r="P970" s="235"/>
      <c r="Q970" s="235"/>
      <c r="R970" s="235"/>
      <c r="S970" s="235"/>
      <c r="T970" s="235"/>
      <c r="U970" s="235"/>
      <c r="V970" s="235"/>
      <c r="W970" s="235"/>
      <c r="X970" s="235"/>
      <c r="Y970" s="235"/>
      <c r="Z970" s="235"/>
      <c r="AA970" s="235"/>
      <c r="AB970" s="235"/>
      <c r="AC970" s="235"/>
    </row>
    <row r="971">
      <c r="A971" s="194" t="s">
        <v>1628</v>
      </c>
      <c r="B971" s="193">
        <v>104981.0</v>
      </c>
      <c r="C971" s="192" t="s">
        <v>1629</v>
      </c>
      <c r="D971" s="192" t="s">
        <v>87</v>
      </c>
      <c r="E971" s="235"/>
      <c r="F971" s="235"/>
      <c r="G971" s="325"/>
      <c r="H971" s="235"/>
      <c r="I971" s="235"/>
      <c r="J971" s="235"/>
      <c r="K971" s="235"/>
      <c r="L971" s="235"/>
      <c r="M971" s="235"/>
      <c r="N971" s="235"/>
      <c r="O971" s="235"/>
      <c r="P971" s="235"/>
      <c r="Q971" s="235"/>
      <c r="R971" s="235"/>
      <c r="S971" s="235"/>
      <c r="T971" s="235"/>
      <c r="U971" s="235"/>
      <c r="V971" s="235"/>
      <c r="W971" s="235"/>
      <c r="X971" s="235"/>
      <c r="Y971" s="235"/>
      <c r="Z971" s="235"/>
      <c r="AA971" s="235"/>
      <c r="AB971" s="235"/>
      <c r="AC971" s="235"/>
    </row>
    <row r="972">
      <c r="A972" s="194" t="s">
        <v>1630</v>
      </c>
      <c r="B972" s="193">
        <v>104908.0</v>
      </c>
      <c r="C972" s="192" t="s">
        <v>1631</v>
      </c>
      <c r="D972" s="192" t="s">
        <v>87</v>
      </c>
      <c r="E972" s="235"/>
      <c r="F972" s="235"/>
      <c r="G972" s="325"/>
      <c r="H972" s="235"/>
      <c r="I972" s="235"/>
      <c r="J972" s="235"/>
      <c r="K972" s="235"/>
      <c r="L972" s="235"/>
      <c r="M972" s="235"/>
      <c r="N972" s="235"/>
      <c r="O972" s="235"/>
      <c r="P972" s="235"/>
      <c r="Q972" s="235"/>
      <c r="R972" s="235"/>
      <c r="S972" s="235"/>
      <c r="T972" s="235"/>
      <c r="U972" s="235"/>
      <c r="V972" s="235"/>
      <c r="W972" s="235"/>
      <c r="X972" s="235"/>
      <c r="Y972" s="235"/>
      <c r="Z972" s="235"/>
      <c r="AA972" s="235"/>
      <c r="AB972" s="235"/>
      <c r="AC972" s="235"/>
    </row>
    <row r="973">
      <c r="A973" s="194" t="s">
        <v>1632</v>
      </c>
      <c r="B973" s="193">
        <v>105021.0</v>
      </c>
      <c r="C973" s="192" t="s">
        <v>1633</v>
      </c>
      <c r="D973" s="192" t="s">
        <v>427</v>
      </c>
      <c r="E973" s="235"/>
      <c r="F973" s="235"/>
      <c r="G973" s="325"/>
      <c r="H973" s="235"/>
      <c r="I973" s="235"/>
      <c r="J973" s="235"/>
      <c r="K973" s="235"/>
      <c r="L973" s="235"/>
      <c r="M973" s="235"/>
      <c r="N973" s="235"/>
      <c r="O973" s="235"/>
      <c r="P973" s="235"/>
      <c r="Q973" s="235"/>
      <c r="R973" s="235"/>
      <c r="S973" s="235"/>
      <c r="T973" s="235"/>
      <c r="U973" s="235"/>
      <c r="V973" s="235"/>
      <c r="W973" s="235"/>
      <c r="X973" s="235"/>
      <c r="Y973" s="235"/>
      <c r="Z973" s="235"/>
      <c r="AA973" s="235"/>
      <c r="AB973" s="235"/>
      <c r="AC973" s="235"/>
    </row>
    <row r="974">
      <c r="A974" s="194" t="s">
        <v>1634</v>
      </c>
      <c r="B974" s="193">
        <v>104984.0</v>
      </c>
      <c r="C974" s="192" t="s">
        <v>1635</v>
      </c>
      <c r="D974" s="192" t="s">
        <v>427</v>
      </c>
      <c r="E974" s="235"/>
      <c r="F974" s="235"/>
      <c r="G974" s="325"/>
      <c r="H974" s="235"/>
      <c r="I974" s="235"/>
      <c r="J974" s="235"/>
      <c r="K974" s="235"/>
      <c r="L974" s="235"/>
      <c r="M974" s="235"/>
      <c r="N974" s="235"/>
      <c r="O974" s="235"/>
      <c r="P974" s="235"/>
      <c r="Q974" s="235"/>
      <c r="R974" s="235"/>
      <c r="S974" s="235"/>
      <c r="T974" s="235"/>
      <c r="U974" s="235"/>
      <c r="V974" s="235"/>
      <c r="W974" s="235"/>
      <c r="X974" s="235"/>
      <c r="Y974" s="235"/>
      <c r="Z974" s="235"/>
      <c r="AA974" s="235"/>
      <c r="AB974" s="235"/>
      <c r="AC974" s="235"/>
    </row>
    <row r="975">
      <c r="A975" s="194" t="s">
        <v>1642</v>
      </c>
      <c r="B975" s="193">
        <v>104980.0</v>
      </c>
      <c r="C975" s="192" t="s">
        <v>1643</v>
      </c>
      <c r="D975" s="192" t="s">
        <v>87</v>
      </c>
      <c r="E975" s="235"/>
      <c r="F975" s="235"/>
      <c r="G975" s="325"/>
      <c r="H975" s="235"/>
      <c r="I975" s="235"/>
      <c r="J975" s="235"/>
      <c r="K975" s="235"/>
      <c r="L975" s="235"/>
      <c r="M975" s="235"/>
      <c r="N975" s="235"/>
      <c r="O975" s="235"/>
      <c r="P975" s="235"/>
      <c r="Q975" s="235"/>
      <c r="R975" s="235"/>
      <c r="S975" s="235"/>
      <c r="T975" s="235"/>
      <c r="U975" s="235"/>
      <c r="V975" s="235"/>
      <c r="W975" s="235"/>
      <c r="X975" s="235"/>
      <c r="Y975" s="235"/>
      <c r="Z975" s="235"/>
      <c r="AA975" s="235"/>
      <c r="AB975" s="235"/>
      <c r="AC975" s="235"/>
    </row>
    <row r="976">
      <c r="A976" s="194" t="s">
        <v>1644</v>
      </c>
      <c r="B976" s="193">
        <v>105001.0</v>
      </c>
      <c r="C976" s="192" t="s">
        <v>1645</v>
      </c>
      <c r="D976" s="192" t="s">
        <v>87</v>
      </c>
      <c r="E976" s="235"/>
      <c r="F976" s="235"/>
      <c r="G976" s="325"/>
      <c r="H976" s="235"/>
      <c r="I976" s="235"/>
      <c r="J976" s="235"/>
      <c r="K976" s="235"/>
      <c r="L976" s="235"/>
      <c r="M976" s="235"/>
      <c r="N976" s="235"/>
      <c r="O976" s="235"/>
      <c r="P976" s="235"/>
      <c r="Q976" s="235"/>
      <c r="R976" s="235"/>
      <c r="S976" s="235"/>
      <c r="T976" s="235"/>
      <c r="U976" s="235"/>
      <c r="V976" s="235"/>
      <c r="W976" s="235"/>
      <c r="X976" s="235"/>
      <c r="Y976" s="235"/>
      <c r="Z976" s="235"/>
      <c r="AA976" s="235"/>
      <c r="AB976" s="235"/>
      <c r="AC976" s="235"/>
    </row>
    <row r="977">
      <c r="A977" s="194" t="s">
        <v>1689</v>
      </c>
      <c r="B977" s="193">
        <v>105000.0</v>
      </c>
      <c r="C977" s="192" t="s">
        <v>1690</v>
      </c>
      <c r="D977" s="192" t="s">
        <v>156</v>
      </c>
      <c r="E977" s="235"/>
      <c r="F977" s="235"/>
      <c r="G977" s="325"/>
      <c r="H977" s="235"/>
      <c r="I977" s="235"/>
      <c r="J977" s="235"/>
      <c r="K977" s="235"/>
      <c r="L977" s="235"/>
      <c r="M977" s="235"/>
      <c r="N977" s="235"/>
      <c r="O977" s="235"/>
      <c r="P977" s="235"/>
      <c r="Q977" s="235"/>
      <c r="R977" s="235"/>
      <c r="S977" s="235"/>
      <c r="T977" s="235"/>
      <c r="U977" s="235"/>
      <c r="V977" s="235"/>
      <c r="W977" s="235"/>
      <c r="X977" s="235"/>
      <c r="Y977" s="235"/>
      <c r="Z977" s="235"/>
      <c r="AA977" s="235"/>
      <c r="AB977" s="235"/>
      <c r="AC977" s="235"/>
    </row>
    <row r="978">
      <c r="A978" s="194" t="s">
        <v>1669</v>
      </c>
      <c r="B978" s="193">
        <v>105039.0</v>
      </c>
      <c r="C978" s="192" t="s">
        <v>1670</v>
      </c>
      <c r="D978" s="192" t="s">
        <v>87</v>
      </c>
      <c r="E978" s="235"/>
      <c r="F978" s="235"/>
      <c r="G978" s="325"/>
      <c r="H978" s="235"/>
      <c r="I978" s="235"/>
      <c r="J978" s="235"/>
      <c r="K978" s="235"/>
      <c r="L978" s="235"/>
      <c r="M978" s="235"/>
      <c r="N978" s="235"/>
      <c r="O978" s="235"/>
      <c r="P978" s="235"/>
      <c r="Q978" s="235"/>
      <c r="R978" s="235"/>
      <c r="S978" s="235"/>
      <c r="T978" s="235"/>
      <c r="U978" s="235"/>
      <c r="V978" s="235"/>
      <c r="W978" s="235"/>
      <c r="X978" s="235"/>
      <c r="Y978" s="235"/>
      <c r="Z978" s="235"/>
      <c r="AA978" s="235"/>
      <c r="AB978" s="235"/>
      <c r="AC978" s="235"/>
    </row>
    <row r="979">
      <c r="A979" s="194" t="s">
        <v>1646</v>
      </c>
      <c r="B979" s="193">
        <v>105005.0</v>
      </c>
      <c r="C979" s="192" t="s">
        <v>1647</v>
      </c>
      <c r="D979" s="192" t="s">
        <v>87</v>
      </c>
      <c r="E979" s="235"/>
      <c r="F979" s="235"/>
      <c r="G979" s="325"/>
      <c r="H979" s="235"/>
      <c r="I979" s="235"/>
      <c r="J979" s="235"/>
      <c r="K979" s="235"/>
      <c r="L979" s="235"/>
      <c r="M979" s="235"/>
      <c r="N979" s="235"/>
      <c r="O979" s="235"/>
      <c r="P979" s="235"/>
      <c r="Q979" s="235"/>
      <c r="R979" s="235"/>
      <c r="S979" s="235"/>
      <c r="T979" s="235"/>
      <c r="U979" s="235"/>
      <c r="V979" s="235"/>
      <c r="W979" s="235"/>
      <c r="X979" s="235"/>
      <c r="Y979" s="235"/>
      <c r="Z979" s="235"/>
      <c r="AA979" s="235"/>
      <c r="AB979" s="235"/>
      <c r="AC979" s="235"/>
    </row>
    <row r="980">
      <c r="A980" s="194" t="s">
        <v>1354</v>
      </c>
      <c r="B980" s="193">
        <v>104373.0</v>
      </c>
      <c r="C980" s="192" t="s">
        <v>1359</v>
      </c>
      <c r="D980" s="192" t="s">
        <v>1353</v>
      </c>
      <c r="E980" s="235"/>
      <c r="F980" s="235"/>
      <c r="G980" s="325"/>
      <c r="H980" s="235"/>
      <c r="I980" s="235"/>
      <c r="J980" s="235"/>
      <c r="K980" s="235"/>
      <c r="L980" s="235"/>
      <c r="M980" s="235"/>
      <c r="N980" s="235"/>
      <c r="O980" s="235"/>
      <c r="P980" s="235"/>
      <c r="Q980" s="235"/>
      <c r="R980" s="235"/>
      <c r="S980" s="235"/>
      <c r="T980" s="235"/>
      <c r="U980" s="235"/>
      <c r="V980" s="235"/>
      <c r="W980" s="235"/>
      <c r="X980" s="235"/>
      <c r="Y980" s="235"/>
      <c r="Z980" s="235"/>
      <c r="AA980" s="235"/>
      <c r="AB980" s="235"/>
      <c r="AC980" s="235"/>
    </row>
    <row r="981">
      <c r="A981" s="194" t="s">
        <v>1358</v>
      </c>
      <c r="B981" s="193">
        <v>104373.0</v>
      </c>
      <c r="C981" s="192" t="s">
        <v>1359</v>
      </c>
      <c r="D981" s="192" t="s">
        <v>1353</v>
      </c>
      <c r="E981" s="235"/>
      <c r="F981" s="235"/>
      <c r="G981" s="325"/>
      <c r="H981" s="235"/>
      <c r="I981" s="235"/>
      <c r="J981" s="235"/>
      <c r="K981" s="235"/>
      <c r="L981" s="235"/>
      <c r="M981" s="235"/>
      <c r="N981" s="235"/>
      <c r="O981" s="235"/>
      <c r="P981" s="235"/>
      <c r="Q981" s="235"/>
      <c r="R981" s="235"/>
      <c r="S981" s="235"/>
      <c r="T981" s="235"/>
      <c r="U981" s="235"/>
      <c r="V981" s="235"/>
      <c r="W981" s="235"/>
      <c r="X981" s="235"/>
      <c r="Y981" s="235"/>
      <c r="Z981" s="235"/>
      <c r="AA981" s="235"/>
      <c r="AB981" s="235"/>
      <c r="AC981" s="235"/>
    </row>
    <row r="982">
      <c r="A982" s="194" t="s">
        <v>1894</v>
      </c>
      <c r="B982" s="193">
        <v>105450.0</v>
      </c>
      <c r="C982" s="192" t="s">
        <v>1895</v>
      </c>
      <c r="D982" s="192" t="s">
        <v>806</v>
      </c>
      <c r="E982" s="235"/>
      <c r="F982" s="235"/>
      <c r="G982" s="325"/>
      <c r="H982" s="235"/>
      <c r="I982" s="235"/>
      <c r="J982" s="235"/>
      <c r="K982" s="235"/>
      <c r="L982" s="235"/>
      <c r="M982" s="235"/>
      <c r="N982" s="235"/>
      <c r="O982" s="235"/>
      <c r="P982" s="235"/>
      <c r="Q982" s="235"/>
      <c r="R982" s="235"/>
      <c r="S982" s="235"/>
      <c r="T982" s="235"/>
      <c r="U982" s="235"/>
      <c r="V982" s="235"/>
      <c r="W982" s="235"/>
      <c r="X982" s="235"/>
      <c r="Y982" s="235"/>
      <c r="Z982" s="235"/>
      <c r="AA982" s="235"/>
      <c r="AB982" s="235"/>
      <c r="AC982" s="235"/>
    </row>
    <row r="983">
      <c r="A983" s="194" t="s">
        <v>1506</v>
      </c>
      <c r="B983" s="193">
        <v>104654.0</v>
      </c>
      <c r="C983" s="192" t="s">
        <v>1507</v>
      </c>
      <c r="D983" s="192" t="s">
        <v>61</v>
      </c>
      <c r="E983" s="235"/>
      <c r="F983" s="235"/>
      <c r="G983" s="325"/>
      <c r="H983" s="235"/>
      <c r="I983" s="235"/>
      <c r="J983" s="235"/>
      <c r="K983" s="235"/>
      <c r="L983" s="235"/>
      <c r="M983" s="235"/>
      <c r="N983" s="235"/>
      <c r="O983" s="235"/>
      <c r="P983" s="235"/>
      <c r="Q983" s="235"/>
      <c r="R983" s="235"/>
      <c r="S983" s="235"/>
      <c r="T983" s="235"/>
      <c r="U983" s="235"/>
      <c r="V983" s="235"/>
      <c r="W983" s="235"/>
      <c r="X983" s="235"/>
      <c r="Y983" s="235"/>
      <c r="Z983" s="235"/>
      <c r="AA983" s="235"/>
      <c r="AB983" s="235"/>
      <c r="AC983" s="235"/>
    </row>
    <row r="984">
      <c r="A984" s="234"/>
      <c r="B984" s="193">
        <v>103849.0</v>
      </c>
      <c r="C984" s="192" t="s">
        <v>1175</v>
      </c>
      <c r="D984" s="192" t="s">
        <v>113</v>
      </c>
      <c r="E984" s="235"/>
      <c r="F984" s="235"/>
      <c r="G984" s="325"/>
      <c r="H984" s="235"/>
      <c r="I984" s="235"/>
      <c r="J984" s="235"/>
      <c r="K984" s="235"/>
      <c r="L984" s="235"/>
      <c r="M984" s="235"/>
      <c r="N984" s="235"/>
      <c r="O984" s="235"/>
      <c r="P984" s="235"/>
      <c r="Q984" s="235"/>
      <c r="R984" s="235"/>
      <c r="S984" s="235"/>
      <c r="T984" s="235"/>
      <c r="U984" s="235"/>
      <c r="V984" s="235"/>
      <c r="W984" s="235"/>
      <c r="X984" s="235"/>
      <c r="Y984" s="235"/>
      <c r="Z984" s="235"/>
      <c r="AA984" s="235"/>
      <c r="AB984" s="235"/>
      <c r="AC984" s="235"/>
    </row>
    <row r="985">
      <c r="A985" s="194" t="s">
        <v>1439</v>
      </c>
      <c r="B985" s="193">
        <v>104459.0</v>
      </c>
      <c r="C985" s="192" t="s">
        <v>1414</v>
      </c>
      <c r="D985" s="192" t="s">
        <v>312</v>
      </c>
      <c r="E985" s="235"/>
      <c r="F985" s="235"/>
      <c r="G985" s="325"/>
      <c r="H985" s="235"/>
      <c r="I985" s="235"/>
      <c r="J985" s="235"/>
      <c r="K985" s="235"/>
      <c r="L985" s="235"/>
      <c r="M985" s="235"/>
      <c r="N985" s="235"/>
      <c r="O985" s="235"/>
      <c r="P985" s="235"/>
      <c r="Q985" s="235"/>
      <c r="R985" s="235"/>
      <c r="S985" s="235"/>
      <c r="T985" s="235"/>
      <c r="U985" s="235"/>
      <c r="V985" s="235"/>
      <c r="W985" s="235"/>
      <c r="X985" s="235"/>
      <c r="Y985" s="235"/>
      <c r="Z985" s="235"/>
      <c r="AA985" s="235"/>
      <c r="AB985" s="235"/>
      <c r="AC985" s="235"/>
    </row>
    <row r="986">
      <c r="A986" s="194" t="s">
        <v>1413</v>
      </c>
      <c r="B986" s="193">
        <v>104458.0</v>
      </c>
      <c r="C986" s="192" t="s">
        <v>1414</v>
      </c>
      <c r="D986" s="192" t="s">
        <v>312</v>
      </c>
      <c r="E986" s="235"/>
      <c r="F986" s="235"/>
      <c r="G986" s="325"/>
      <c r="H986" s="235"/>
      <c r="I986" s="235"/>
      <c r="J986" s="235"/>
      <c r="K986" s="235"/>
      <c r="L986" s="235"/>
      <c r="M986" s="235"/>
      <c r="N986" s="235"/>
      <c r="O986" s="235"/>
      <c r="P986" s="235"/>
      <c r="Q986" s="235"/>
      <c r="R986" s="235"/>
      <c r="S986" s="235"/>
      <c r="T986" s="235"/>
      <c r="U986" s="235"/>
      <c r="V986" s="235"/>
      <c r="W986" s="235"/>
      <c r="X986" s="235"/>
      <c r="Y986" s="235"/>
      <c r="Z986" s="235"/>
      <c r="AA986" s="235"/>
      <c r="AB986" s="235"/>
      <c r="AC986" s="235"/>
    </row>
    <row r="987">
      <c r="A987" s="194" t="s">
        <v>980</v>
      </c>
      <c r="B987" s="193">
        <v>103502.0</v>
      </c>
      <c r="C987" s="192" t="s">
        <v>981</v>
      </c>
      <c r="D987" s="192" t="s">
        <v>265</v>
      </c>
      <c r="E987" s="235"/>
      <c r="F987" s="235"/>
      <c r="G987" s="325"/>
      <c r="H987" s="235"/>
      <c r="I987" s="235"/>
      <c r="J987" s="235"/>
      <c r="K987" s="235"/>
      <c r="L987" s="235"/>
      <c r="M987" s="235"/>
      <c r="N987" s="235"/>
      <c r="O987" s="235"/>
      <c r="P987" s="235"/>
      <c r="Q987" s="235"/>
      <c r="R987" s="235"/>
      <c r="S987" s="235"/>
      <c r="T987" s="235"/>
      <c r="U987" s="235"/>
      <c r="V987" s="235"/>
      <c r="W987" s="235"/>
      <c r="X987" s="235"/>
      <c r="Y987" s="235"/>
      <c r="Z987" s="235"/>
      <c r="AA987" s="235"/>
      <c r="AB987" s="235"/>
      <c r="AC987" s="235"/>
    </row>
    <row r="988">
      <c r="A988" s="194" t="s">
        <v>1508</v>
      </c>
      <c r="B988" s="193">
        <v>104592.0</v>
      </c>
      <c r="C988" s="192" t="s">
        <v>1509</v>
      </c>
      <c r="D988" s="192" t="s">
        <v>767</v>
      </c>
      <c r="E988" s="235"/>
      <c r="F988" s="235"/>
      <c r="G988" s="325"/>
      <c r="H988" s="235"/>
      <c r="I988" s="235"/>
      <c r="J988" s="235"/>
      <c r="K988" s="235"/>
      <c r="L988" s="235"/>
      <c r="M988" s="235"/>
      <c r="N988" s="235"/>
      <c r="O988" s="235"/>
      <c r="P988" s="235"/>
      <c r="Q988" s="235"/>
      <c r="R988" s="235"/>
      <c r="S988" s="235"/>
      <c r="T988" s="235"/>
      <c r="U988" s="235"/>
      <c r="V988" s="235"/>
      <c r="W988" s="235"/>
      <c r="X988" s="235"/>
      <c r="Y988" s="235"/>
      <c r="Z988" s="235"/>
      <c r="AA988" s="235"/>
      <c r="AB988" s="235"/>
      <c r="AC988" s="235"/>
    </row>
    <row r="989">
      <c r="A989" s="194" t="s">
        <v>1526</v>
      </c>
      <c r="B989" s="193">
        <v>104711.0</v>
      </c>
      <c r="C989" s="192" t="s">
        <v>1527</v>
      </c>
      <c r="D989" s="192" t="s">
        <v>767</v>
      </c>
      <c r="E989" s="235"/>
      <c r="F989" s="235"/>
      <c r="G989" s="325"/>
      <c r="H989" s="235"/>
      <c r="I989" s="235"/>
      <c r="J989" s="235"/>
      <c r="K989" s="235"/>
      <c r="L989" s="235"/>
      <c r="M989" s="235"/>
      <c r="N989" s="235"/>
      <c r="O989" s="235"/>
      <c r="P989" s="235"/>
      <c r="Q989" s="235"/>
      <c r="R989" s="235"/>
      <c r="S989" s="235"/>
      <c r="T989" s="235"/>
      <c r="U989" s="235"/>
      <c r="V989" s="235"/>
      <c r="W989" s="235"/>
      <c r="X989" s="235"/>
      <c r="Y989" s="235"/>
      <c r="Z989" s="235"/>
      <c r="AA989" s="235"/>
      <c r="AB989" s="235"/>
      <c r="AC989" s="235"/>
    </row>
    <row r="990">
      <c r="A990" s="194" t="s">
        <v>1556</v>
      </c>
      <c r="B990" s="193">
        <v>104806.0</v>
      </c>
      <c r="C990" s="192" t="s">
        <v>1557</v>
      </c>
      <c r="D990" s="192" t="s">
        <v>1503</v>
      </c>
      <c r="E990" s="235"/>
      <c r="F990" s="235"/>
      <c r="G990" s="325"/>
      <c r="H990" s="235"/>
      <c r="I990" s="235"/>
      <c r="J990" s="235"/>
      <c r="K990" s="235"/>
      <c r="L990" s="235"/>
      <c r="M990" s="235"/>
      <c r="N990" s="235"/>
      <c r="O990" s="235"/>
      <c r="P990" s="235"/>
      <c r="Q990" s="235"/>
      <c r="R990" s="235"/>
      <c r="S990" s="235"/>
      <c r="T990" s="235"/>
      <c r="U990" s="235"/>
      <c r="V990" s="235"/>
      <c r="W990" s="235"/>
      <c r="X990" s="235"/>
      <c r="Y990" s="235"/>
      <c r="Z990" s="235"/>
      <c r="AA990" s="235"/>
      <c r="AB990" s="235"/>
      <c r="AC990" s="235"/>
    </row>
    <row r="991">
      <c r="A991" s="194" t="s">
        <v>1545</v>
      </c>
      <c r="B991" s="193">
        <v>104807.0</v>
      </c>
      <c r="C991" s="192" t="s">
        <v>1546</v>
      </c>
      <c r="D991" s="192" t="s">
        <v>1547</v>
      </c>
      <c r="E991" s="235"/>
      <c r="F991" s="235"/>
      <c r="G991" s="325"/>
      <c r="H991" s="235"/>
      <c r="I991" s="235"/>
      <c r="J991" s="235"/>
      <c r="K991" s="235"/>
      <c r="L991" s="235"/>
      <c r="M991" s="235"/>
      <c r="N991" s="235"/>
      <c r="O991" s="235"/>
      <c r="P991" s="235"/>
      <c r="Q991" s="235"/>
      <c r="R991" s="235"/>
      <c r="S991" s="235"/>
      <c r="T991" s="235"/>
      <c r="U991" s="235"/>
      <c r="V991" s="235"/>
      <c r="W991" s="235"/>
      <c r="X991" s="235"/>
      <c r="Y991" s="235"/>
      <c r="Z991" s="235"/>
      <c r="AA991" s="235"/>
      <c r="AB991" s="235"/>
      <c r="AC991" s="235"/>
    </row>
    <row r="992">
      <c r="A992" s="194" t="s">
        <v>1493</v>
      </c>
      <c r="B992" s="193">
        <v>104716.0</v>
      </c>
      <c r="C992" s="192" t="s">
        <v>1494</v>
      </c>
      <c r="D992" s="192" t="s">
        <v>51</v>
      </c>
      <c r="E992" s="235"/>
      <c r="F992" s="235"/>
      <c r="G992" s="325"/>
      <c r="H992" s="235"/>
      <c r="I992" s="235"/>
      <c r="J992" s="235"/>
      <c r="K992" s="235"/>
      <c r="L992" s="235"/>
      <c r="M992" s="235"/>
      <c r="N992" s="235"/>
      <c r="O992" s="235"/>
      <c r="P992" s="235"/>
      <c r="Q992" s="235"/>
      <c r="R992" s="235"/>
      <c r="S992" s="235"/>
      <c r="T992" s="235"/>
      <c r="U992" s="235"/>
      <c r="V992" s="235"/>
      <c r="W992" s="235"/>
      <c r="X992" s="235"/>
      <c r="Y992" s="235"/>
      <c r="Z992" s="235"/>
      <c r="AA992" s="235"/>
      <c r="AB992" s="235"/>
      <c r="AC992" s="235"/>
    </row>
    <row r="993">
      <c r="A993" s="194" t="s">
        <v>1501</v>
      </c>
      <c r="B993" s="193">
        <v>104688.0</v>
      </c>
      <c r="C993" s="192" t="s">
        <v>1502</v>
      </c>
      <c r="D993" s="192" t="s">
        <v>1503</v>
      </c>
      <c r="E993" s="235"/>
      <c r="F993" s="235"/>
      <c r="G993" s="325"/>
      <c r="H993" s="235"/>
      <c r="I993" s="235"/>
      <c r="J993" s="235"/>
      <c r="K993" s="235"/>
      <c r="L993" s="235"/>
      <c r="M993" s="235"/>
      <c r="N993" s="235"/>
      <c r="O993" s="235"/>
      <c r="P993" s="235"/>
      <c r="Q993" s="235"/>
      <c r="R993" s="235"/>
      <c r="S993" s="235"/>
      <c r="T993" s="235"/>
      <c r="U993" s="235"/>
      <c r="V993" s="235"/>
      <c r="W993" s="235"/>
      <c r="X993" s="235"/>
      <c r="Y993" s="235"/>
      <c r="Z993" s="235"/>
      <c r="AA993" s="235"/>
      <c r="AB993" s="235"/>
      <c r="AC993" s="235"/>
    </row>
    <row r="994">
      <c r="A994" s="194" t="s">
        <v>1510</v>
      </c>
      <c r="B994" s="193">
        <v>104709.0</v>
      </c>
      <c r="C994" s="192" t="s">
        <v>1511</v>
      </c>
      <c r="D994" s="192" t="s">
        <v>767</v>
      </c>
      <c r="E994" s="235"/>
      <c r="F994" s="235"/>
      <c r="G994" s="325"/>
      <c r="H994" s="235"/>
      <c r="I994" s="235"/>
      <c r="J994" s="235"/>
      <c r="K994" s="235"/>
      <c r="L994" s="235"/>
      <c r="M994" s="235"/>
      <c r="N994" s="235"/>
      <c r="O994" s="235"/>
      <c r="P994" s="235"/>
      <c r="Q994" s="235"/>
      <c r="R994" s="235"/>
      <c r="S994" s="235"/>
      <c r="T994" s="235"/>
      <c r="U994" s="235"/>
      <c r="V994" s="235"/>
      <c r="W994" s="235"/>
      <c r="X994" s="235"/>
      <c r="Y994" s="235"/>
      <c r="Z994" s="235"/>
      <c r="AA994" s="235"/>
      <c r="AB994" s="235"/>
      <c r="AC994" s="235"/>
    </row>
    <row r="995">
      <c r="A995" s="194" t="s">
        <v>1904</v>
      </c>
      <c r="B995" s="193">
        <v>105354.0</v>
      </c>
      <c r="C995" s="192" t="s">
        <v>1905</v>
      </c>
      <c r="D995" s="192" t="s">
        <v>1906</v>
      </c>
      <c r="E995" s="235"/>
      <c r="F995" s="235"/>
      <c r="G995" s="325"/>
      <c r="H995" s="235"/>
      <c r="I995" s="235"/>
      <c r="J995" s="235"/>
      <c r="K995" s="235"/>
      <c r="L995" s="235"/>
      <c r="M995" s="235"/>
      <c r="N995" s="235"/>
      <c r="O995" s="235"/>
      <c r="P995" s="235"/>
      <c r="Q995" s="235"/>
      <c r="R995" s="235"/>
      <c r="S995" s="235"/>
      <c r="T995" s="235"/>
      <c r="U995" s="235"/>
      <c r="V995" s="235"/>
      <c r="W995" s="235"/>
      <c r="X995" s="235"/>
      <c r="Y995" s="235"/>
      <c r="Z995" s="235"/>
      <c r="AA995" s="235"/>
      <c r="AB995" s="235"/>
      <c r="AC995" s="235"/>
    </row>
    <row r="996">
      <c r="A996" s="194" t="s">
        <v>1907</v>
      </c>
      <c r="B996" s="193">
        <v>105354.0</v>
      </c>
      <c r="C996" s="192" t="s">
        <v>1905</v>
      </c>
      <c r="D996" s="192" t="s">
        <v>1290</v>
      </c>
      <c r="E996" s="235"/>
      <c r="F996" s="235"/>
      <c r="G996" s="325"/>
      <c r="H996" s="235"/>
      <c r="I996" s="235"/>
      <c r="J996" s="235"/>
      <c r="K996" s="235"/>
      <c r="L996" s="235"/>
      <c r="M996" s="235"/>
      <c r="N996" s="235"/>
      <c r="O996" s="235"/>
      <c r="P996" s="235"/>
      <c r="Q996" s="235"/>
      <c r="R996" s="235"/>
      <c r="S996" s="235"/>
      <c r="T996" s="235"/>
      <c r="U996" s="235"/>
      <c r="V996" s="235"/>
      <c r="W996" s="235"/>
      <c r="X996" s="235"/>
      <c r="Y996" s="235"/>
      <c r="Z996" s="235"/>
      <c r="AA996" s="235"/>
      <c r="AB996" s="235"/>
      <c r="AC996" s="235"/>
    </row>
    <row r="997">
      <c r="A997" s="194" t="s">
        <v>1908</v>
      </c>
      <c r="B997" s="193">
        <v>105519.0</v>
      </c>
      <c r="C997" s="192" t="s">
        <v>1909</v>
      </c>
      <c r="D997" s="192" t="s">
        <v>295</v>
      </c>
      <c r="E997" s="235"/>
      <c r="F997" s="235"/>
      <c r="G997" s="325"/>
      <c r="H997" s="235"/>
      <c r="I997" s="235"/>
      <c r="J997" s="235"/>
      <c r="K997" s="235"/>
      <c r="L997" s="235"/>
      <c r="M997" s="235"/>
      <c r="N997" s="235"/>
      <c r="O997" s="235"/>
      <c r="P997" s="235"/>
      <c r="Q997" s="235"/>
      <c r="R997" s="235"/>
      <c r="S997" s="235"/>
      <c r="T997" s="235"/>
      <c r="U997" s="235"/>
      <c r="V997" s="235"/>
      <c r="W997" s="235"/>
      <c r="X997" s="235"/>
      <c r="Y997" s="235"/>
      <c r="Z997" s="235"/>
      <c r="AA997" s="235"/>
      <c r="AB997" s="235"/>
      <c r="AC997" s="235"/>
    </row>
    <row r="998">
      <c r="A998" s="194" t="s">
        <v>1910</v>
      </c>
      <c r="B998" s="193">
        <v>105187.0</v>
      </c>
      <c r="C998" s="192" t="s">
        <v>1911</v>
      </c>
      <c r="D998" s="192" t="s">
        <v>1912</v>
      </c>
      <c r="E998" s="235"/>
      <c r="F998" s="235"/>
      <c r="G998" s="325"/>
      <c r="H998" s="235"/>
      <c r="I998" s="235"/>
      <c r="J998" s="235"/>
      <c r="K998" s="235"/>
      <c r="L998" s="235"/>
      <c r="M998" s="235"/>
      <c r="N998" s="235"/>
      <c r="O998" s="235"/>
      <c r="P998" s="235"/>
      <c r="Q998" s="235"/>
      <c r="R998" s="235"/>
      <c r="S998" s="235"/>
      <c r="T998" s="235"/>
      <c r="U998" s="235"/>
      <c r="V998" s="235"/>
      <c r="W998" s="235"/>
      <c r="X998" s="235"/>
      <c r="Y998" s="235"/>
      <c r="Z998" s="235"/>
      <c r="AA998" s="235"/>
      <c r="AB998" s="235"/>
      <c r="AC998" s="235"/>
    </row>
    <row r="999">
      <c r="A999" s="194" t="s">
        <v>1913</v>
      </c>
      <c r="B999" s="193">
        <v>105539.0</v>
      </c>
      <c r="C999" s="192" t="s">
        <v>1914</v>
      </c>
      <c r="D999" s="192" t="s">
        <v>427</v>
      </c>
      <c r="E999" s="235"/>
      <c r="F999" s="235"/>
      <c r="G999" s="325"/>
      <c r="H999" s="235"/>
      <c r="I999" s="235"/>
      <c r="J999" s="235"/>
      <c r="K999" s="235"/>
      <c r="L999" s="235"/>
      <c r="M999" s="235"/>
      <c r="N999" s="235"/>
      <c r="O999" s="235"/>
      <c r="P999" s="235"/>
      <c r="Q999" s="235"/>
      <c r="R999" s="235"/>
      <c r="S999" s="235"/>
      <c r="T999" s="235"/>
      <c r="U999" s="235"/>
      <c r="V999" s="235"/>
      <c r="W999" s="235"/>
      <c r="X999" s="235"/>
      <c r="Y999" s="235"/>
      <c r="Z999" s="235"/>
      <c r="AA999" s="235"/>
      <c r="AB999" s="235"/>
      <c r="AC999" s="235"/>
    </row>
    <row r="1000">
      <c r="A1000" s="194">
        <v>32257.0</v>
      </c>
      <c r="B1000" s="193">
        <v>105535.0</v>
      </c>
      <c r="C1000" s="192" t="s">
        <v>1915</v>
      </c>
      <c r="D1000" s="192" t="s">
        <v>87</v>
      </c>
      <c r="E1000" s="235"/>
      <c r="F1000" s="235"/>
      <c r="G1000" s="325"/>
      <c r="H1000" s="235"/>
      <c r="I1000" s="235"/>
      <c r="J1000" s="235"/>
      <c r="K1000" s="235"/>
      <c r="L1000" s="235"/>
      <c r="M1000" s="235"/>
      <c r="N1000" s="235"/>
      <c r="O1000" s="235"/>
      <c r="P1000" s="235"/>
      <c r="Q1000" s="235"/>
      <c r="R1000" s="235"/>
      <c r="S1000" s="235"/>
      <c r="T1000" s="235"/>
      <c r="U1000" s="235"/>
      <c r="V1000" s="235"/>
      <c r="W1000" s="235"/>
      <c r="X1000" s="235"/>
      <c r="Y1000" s="235"/>
      <c r="Z1000" s="235"/>
      <c r="AA1000" s="235"/>
      <c r="AB1000" s="235"/>
      <c r="AC1000" s="235"/>
    </row>
    <row r="1001">
      <c r="A1001" s="194" t="s">
        <v>1916</v>
      </c>
      <c r="B1001" s="193">
        <v>105572.0</v>
      </c>
      <c r="C1001" s="192" t="s">
        <v>1917</v>
      </c>
      <c r="D1001" s="192" t="s">
        <v>87</v>
      </c>
      <c r="E1001" s="235"/>
      <c r="F1001" s="235"/>
      <c r="G1001" s="325"/>
      <c r="H1001" s="235"/>
      <c r="I1001" s="235"/>
      <c r="J1001" s="235"/>
      <c r="K1001" s="235"/>
      <c r="L1001" s="235"/>
      <c r="M1001" s="235"/>
      <c r="N1001" s="235"/>
      <c r="O1001" s="235"/>
      <c r="P1001" s="235"/>
      <c r="Q1001" s="235"/>
      <c r="R1001" s="235"/>
      <c r="S1001" s="235"/>
      <c r="T1001" s="235"/>
      <c r="U1001" s="235"/>
      <c r="V1001" s="235"/>
      <c r="W1001" s="235"/>
      <c r="X1001" s="235"/>
      <c r="Y1001" s="235"/>
      <c r="Z1001" s="235"/>
      <c r="AA1001" s="235"/>
      <c r="AB1001" s="235"/>
      <c r="AC1001" s="235"/>
    </row>
    <row r="1002">
      <c r="A1002" s="194">
        <v>32209.0</v>
      </c>
      <c r="B1002" s="193">
        <v>105378.0</v>
      </c>
      <c r="C1002" s="192" t="s">
        <v>1918</v>
      </c>
      <c r="D1002" s="192" t="s">
        <v>646</v>
      </c>
      <c r="E1002" s="235"/>
      <c r="F1002" s="235"/>
      <c r="G1002" s="325"/>
      <c r="H1002" s="235"/>
      <c r="I1002" s="235"/>
      <c r="J1002" s="235"/>
      <c r="K1002" s="235"/>
      <c r="L1002" s="235"/>
      <c r="M1002" s="235"/>
      <c r="N1002" s="235"/>
      <c r="O1002" s="235"/>
      <c r="P1002" s="235"/>
      <c r="Q1002" s="235"/>
      <c r="R1002" s="235"/>
      <c r="S1002" s="235"/>
      <c r="T1002" s="235"/>
      <c r="U1002" s="235"/>
      <c r="V1002" s="235"/>
      <c r="W1002" s="235"/>
      <c r="X1002" s="235"/>
      <c r="Y1002" s="235"/>
      <c r="Z1002" s="235"/>
      <c r="AA1002" s="235"/>
      <c r="AB1002" s="235"/>
      <c r="AC1002" s="235"/>
    </row>
    <row r="1003">
      <c r="A1003" s="194" t="s">
        <v>1919</v>
      </c>
      <c r="B1003" s="193">
        <v>105266.0</v>
      </c>
      <c r="C1003" s="192" t="s">
        <v>1920</v>
      </c>
      <c r="D1003" s="192" t="s">
        <v>602</v>
      </c>
      <c r="E1003" s="235"/>
      <c r="F1003" s="235"/>
      <c r="G1003" s="325"/>
      <c r="H1003" s="235"/>
      <c r="I1003" s="235"/>
      <c r="J1003" s="235"/>
      <c r="K1003" s="235"/>
      <c r="L1003" s="235"/>
      <c r="M1003" s="235"/>
      <c r="N1003" s="235"/>
      <c r="O1003" s="235"/>
      <c r="P1003" s="235"/>
      <c r="Q1003" s="235"/>
      <c r="R1003" s="235"/>
      <c r="S1003" s="235"/>
      <c r="T1003" s="235"/>
      <c r="U1003" s="235"/>
      <c r="V1003" s="235"/>
      <c r="W1003" s="235"/>
      <c r="X1003" s="235"/>
      <c r="Y1003" s="235"/>
      <c r="Z1003" s="235"/>
      <c r="AA1003" s="235"/>
      <c r="AB1003" s="235"/>
      <c r="AC1003" s="235"/>
    </row>
    <row r="1004">
      <c r="A1004" s="194" t="s">
        <v>1921</v>
      </c>
      <c r="B1004" s="193">
        <v>105150.0</v>
      </c>
      <c r="C1004" s="192" t="s">
        <v>1922</v>
      </c>
      <c r="D1004" s="192" t="s">
        <v>94</v>
      </c>
      <c r="E1004" s="235"/>
      <c r="F1004" s="235"/>
      <c r="G1004" s="325"/>
      <c r="H1004" s="235"/>
      <c r="I1004" s="235"/>
      <c r="J1004" s="235"/>
      <c r="K1004" s="235"/>
      <c r="L1004" s="235"/>
      <c r="M1004" s="235"/>
      <c r="N1004" s="235"/>
      <c r="O1004" s="235"/>
      <c r="P1004" s="235"/>
      <c r="Q1004" s="235"/>
      <c r="R1004" s="235"/>
      <c r="S1004" s="235"/>
      <c r="T1004" s="235"/>
      <c r="U1004" s="235"/>
      <c r="V1004" s="235"/>
      <c r="W1004" s="235"/>
      <c r="X1004" s="235"/>
      <c r="Y1004" s="235"/>
      <c r="Z1004" s="235"/>
      <c r="AA1004" s="235"/>
      <c r="AB1004" s="235"/>
      <c r="AC1004" s="235"/>
    </row>
    <row r="1005">
      <c r="A1005" s="194" t="s">
        <v>1923</v>
      </c>
      <c r="B1005" s="193">
        <v>105509.0</v>
      </c>
      <c r="C1005" s="192" t="s">
        <v>1924</v>
      </c>
      <c r="D1005" s="192" t="s">
        <v>646</v>
      </c>
      <c r="E1005" s="235"/>
      <c r="F1005" s="235"/>
      <c r="G1005" s="325"/>
      <c r="H1005" s="235"/>
      <c r="I1005" s="235"/>
      <c r="J1005" s="235"/>
      <c r="K1005" s="235"/>
      <c r="L1005" s="235"/>
      <c r="M1005" s="235"/>
      <c r="N1005" s="235"/>
      <c r="O1005" s="235"/>
      <c r="P1005" s="235"/>
      <c r="Q1005" s="235"/>
      <c r="R1005" s="235"/>
      <c r="S1005" s="235"/>
      <c r="T1005" s="235"/>
      <c r="U1005" s="235"/>
      <c r="V1005" s="235"/>
      <c r="W1005" s="235"/>
      <c r="X1005" s="235"/>
      <c r="Y1005" s="235"/>
      <c r="Z1005" s="235"/>
      <c r="AA1005" s="235"/>
      <c r="AB1005" s="235"/>
      <c r="AC1005" s="235"/>
    </row>
    <row r="1006">
      <c r="A1006" s="194">
        <v>32187.0</v>
      </c>
      <c r="B1006" s="193">
        <v>105375.0</v>
      </c>
      <c r="C1006" s="192" t="s">
        <v>1925</v>
      </c>
      <c r="D1006" s="192" t="s">
        <v>646</v>
      </c>
      <c r="E1006" s="235"/>
      <c r="F1006" s="235"/>
      <c r="G1006" s="325"/>
      <c r="H1006" s="235"/>
      <c r="I1006" s="235"/>
      <c r="J1006" s="235"/>
      <c r="K1006" s="235"/>
      <c r="L1006" s="235"/>
      <c r="M1006" s="235"/>
      <c r="N1006" s="235"/>
      <c r="O1006" s="235"/>
      <c r="P1006" s="235"/>
      <c r="Q1006" s="235"/>
      <c r="R1006" s="235"/>
      <c r="S1006" s="235"/>
      <c r="T1006" s="235"/>
      <c r="U1006" s="235"/>
      <c r="V1006" s="235"/>
      <c r="W1006" s="235"/>
      <c r="X1006" s="235"/>
      <c r="Y1006" s="235"/>
      <c r="Z1006" s="235"/>
      <c r="AA1006" s="235"/>
      <c r="AB1006" s="235"/>
      <c r="AC1006" s="235"/>
    </row>
    <row r="1007">
      <c r="A1007" s="194" t="s">
        <v>1927</v>
      </c>
      <c r="B1007" s="194" t="s">
        <v>1926</v>
      </c>
      <c r="C1007" s="192" t="e">
        <v>#N/A</v>
      </c>
      <c r="D1007" s="192" t="s">
        <v>94</v>
      </c>
      <c r="E1007" s="235"/>
      <c r="F1007" s="235"/>
      <c r="G1007" s="325"/>
      <c r="H1007" s="235"/>
      <c r="I1007" s="235"/>
      <c r="J1007" s="235"/>
      <c r="K1007" s="235"/>
      <c r="L1007" s="235"/>
      <c r="M1007" s="235"/>
      <c r="N1007" s="235"/>
      <c r="O1007" s="235"/>
      <c r="P1007" s="235"/>
      <c r="Q1007" s="235"/>
      <c r="R1007" s="235"/>
      <c r="S1007" s="235"/>
      <c r="T1007" s="235"/>
      <c r="U1007" s="235"/>
      <c r="V1007" s="235"/>
      <c r="W1007" s="235"/>
      <c r="X1007" s="235"/>
      <c r="Y1007" s="235"/>
      <c r="Z1007" s="235"/>
      <c r="AA1007" s="235"/>
      <c r="AB1007" s="235"/>
      <c r="AC1007" s="235"/>
    </row>
    <row r="1008">
      <c r="A1008" s="194" t="s">
        <v>1928</v>
      </c>
      <c r="B1008" s="194">
        <v>105659.0</v>
      </c>
      <c r="C1008" s="192" t="s">
        <v>1929</v>
      </c>
      <c r="D1008" s="192" t="s">
        <v>380</v>
      </c>
      <c r="E1008" s="235"/>
      <c r="F1008" s="235"/>
      <c r="G1008" s="325"/>
      <c r="H1008" s="235"/>
      <c r="I1008" s="235"/>
      <c r="J1008" s="235"/>
      <c r="K1008" s="235"/>
      <c r="L1008" s="235"/>
      <c r="M1008" s="235"/>
      <c r="N1008" s="235"/>
      <c r="O1008" s="235"/>
      <c r="P1008" s="235"/>
      <c r="Q1008" s="235"/>
      <c r="R1008" s="235"/>
      <c r="S1008" s="235"/>
      <c r="T1008" s="235"/>
      <c r="U1008" s="235"/>
      <c r="V1008" s="235"/>
      <c r="W1008" s="235"/>
      <c r="X1008" s="235"/>
      <c r="Y1008" s="235"/>
      <c r="Z1008" s="235"/>
      <c r="AA1008" s="235"/>
      <c r="AB1008" s="235"/>
      <c r="AC1008" s="235"/>
    </row>
    <row r="1009">
      <c r="A1009" s="194" t="s">
        <v>1930</v>
      </c>
      <c r="B1009" s="194">
        <v>105669.0</v>
      </c>
      <c r="C1009" s="192" t="s">
        <v>1931</v>
      </c>
      <c r="D1009" s="192" t="s">
        <v>443</v>
      </c>
      <c r="E1009" s="235"/>
      <c r="F1009" s="235"/>
      <c r="G1009" s="325"/>
      <c r="H1009" s="235"/>
      <c r="I1009" s="235"/>
      <c r="J1009" s="235"/>
      <c r="K1009" s="235"/>
      <c r="L1009" s="235"/>
      <c r="M1009" s="235"/>
      <c r="N1009" s="235"/>
      <c r="O1009" s="235"/>
      <c r="P1009" s="235"/>
      <c r="Q1009" s="235"/>
      <c r="R1009" s="235"/>
      <c r="S1009" s="235"/>
      <c r="T1009" s="235"/>
      <c r="U1009" s="235"/>
      <c r="V1009" s="235"/>
      <c r="W1009" s="235"/>
      <c r="X1009" s="235"/>
      <c r="Y1009" s="235"/>
      <c r="Z1009" s="235"/>
      <c r="AA1009" s="235"/>
      <c r="AB1009" s="235"/>
      <c r="AC1009" s="235"/>
    </row>
    <row r="1010">
      <c r="A1010" s="194" t="s">
        <v>1933</v>
      </c>
      <c r="B1010" s="194" t="s">
        <v>1932</v>
      </c>
      <c r="C1010" s="192" t="e">
        <v>#N/A</v>
      </c>
      <c r="D1010" s="192" t="s">
        <v>295</v>
      </c>
      <c r="E1010" s="235"/>
      <c r="F1010" s="235"/>
      <c r="G1010" s="325"/>
      <c r="H1010" s="235"/>
      <c r="I1010" s="235"/>
      <c r="J1010" s="235"/>
      <c r="K1010" s="235"/>
      <c r="L1010" s="235"/>
      <c r="M1010" s="235"/>
      <c r="N1010" s="235"/>
      <c r="O1010" s="235"/>
      <c r="P1010" s="235"/>
      <c r="Q1010" s="235"/>
      <c r="R1010" s="235"/>
      <c r="S1010" s="235"/>
      <c r="T1010" s="235"/>
      <c r="U1010" s="235"/>
      <c r="V1010" s="235"/>
      <c r="W1010" s="235"/>
      <c r="X1010" s="235"/>
      <c r="Y1010" s="235"/>
      <c r="Z1010" s="235"/>
      <c r="AA1010" s="235"/>
      <c r="AB1010" s="235"/>
      <c r="AC1010" s="235"/>
    </row>
    <row r="1011">
      <c r="A1011" s="194" t="s">
        <v>1934</v>
      </c>
      <c r="B1011" s="194">
        <v>105594.0</v>
      </c>
      <c r="C1011" s="192" t="s">
        <v>1935</v>
      </c>
      <c r="D1011" s="192" t="s">
        <v>94</v>
      </c>
      <c r="E1011" s="235"/>
      <c r="F1011" s="235"/>
      <c r="G1011" s="325"/>
      <c r="H1011" s="235"/>
      <c r="I1011" s="235"/>
      <c r="J1011" s="235"/>
      <c r="K1011" s="235"/>
      <c r="L1011" s="235"/>
      <c r="M1011" s="235"/>
      <c r="N1011" s="235"/>
      <c r="O1011" s="235"/>
      <c r="P1011" s="235"/>
      <c r="Q1011" s="235"/>
      <c r="R1011" s="235"/>
      <c r="S1011" s="235"/>
      <c r="T1011" s="235"/>
      <c r="U1011" s="235"/>
      <c r="V1011" s="235"/>
      <c r="W1011" s="235"/>
      <c r="X1011" s="235"/>
      <c r="Y1011" s="235"/>
      <c r="Z1011" s="235"/>
      <c r="AA1011" s="235"/>
      <c r="AB1011" s="235"/>
      <c r="AC1011" s="235"/>
    </row>
    <row r="1012">
      <c r="A1012" s="194" t="s">
        <v>1937</v>
      </c>
      <c r="B1012" s="194" t="s">
        <v>1936</v>
      </c>
      <c r="C1012" s="192" t="e">
        <v>#N/A</v>
      </c>
      <c r="D1012" s="192" t="s">
        <v>1159</v>
      </c>
      <c r="E1012" s="235"/>
      <c r="F1012" s="235"/>
      <c r="G1012" s="325"/>
      <c r="H1012" s="235"/>
      <c r="I1012" s="235"/>
      <c r="J1012" s="235"/>
      <c r="K1012" s="235"/>
      <c r="L1012" s="235"/>
      <c r="M1012" s="235"/>
      <c r="N1012" s="235"/>
      <c r="O1012" s="235"/>
      <c r="P1012" s="235"/>
      <c r="Q1012" s="235"/>
      <c r="R1012" s="235"/>
      <c r="S1012" s="235"/>
      <c r="T1012" s="235"/>
      <c r="U1012" s="235"/>
      <c r="V1012" s="235"/>
      <c r="W1012" s="235"/>
      <c r="X1012" s="235"/>
      <c r="Y1012" s="235"/>
      <c r="Z1012" s="235"/>
      <c r="AA1012" s="235"/>
      <c r="AB1012" s="235"/>
      <c r="AC1012" s="235"/>
    </row>
    <row r="1013">
      <c r="A1013" s="194" t="s">
        <v>1938</v>
      </c>
      <c r="B1013" s="194">
        <v>105058.0</v>
      </c>
      <c r="C1013" s="192" t="s">
        <v>1939</v>
      </c>
      <c r="D1013" s="192" t="s">
        <v>625</v>
      </c>
      <c r="E1013" s="235"/>
      <c r="F1013" s="235"/>
      <c r="G1013" s="325"/>
      <c r="H1013" s="235"/>
      <c r="I1013" s="235"/>
      <c r="J1013" s="235"/>
      <c r="K1013" s="235"/>
      <c r="L1013" s="235"/>
      <c r="M1013" s="235"/>
      <c r="N1013" s="235"/>
      <c r="O1013" s="235"/>
      <c r="P1013" s="235"/>
      <c r="Q1013" s="235"/>
      <c r="R1013" s="235"/>
      <c r="S1013" s="235"/>
      <c r="T1013" s="235"/>
      <c r="U1013" s="235"/>
      <c r="V1013" s="235"/>
      <c r="W1013" s="235"/>
      <c r="X1013" s="235"/>
      <c r="Y1013" s="235"/>
      <c r="Z1013" s="235"/>
      <c r="AA1013" s="235"/>
      <c r="AB1013" s="235"/>
      <c r="AC1013" s="235"/>
    </row>
    <row r="1014">
      <c r="A1014" s="194" t="s">
        <v>1941</v>
      </c>
      <c r="B1014" s="194">
        <v>105498.0</v>
      </c>
      <c r="C1014" s="192" t="s">
        <v>1942</v>
      </c>
      <c r="D1014" s="192" t="s">
        <v>1140</v>
      </c>
      <c r="E1014" s="235"/>
      <c r="F1014" s="235"/>
      <c r="G1014" s="325"/>
      <c r="H1014" s="235"/>
      <c r="I1014" s="235"/>
      <c r="J1014" s="235"/>
      <c r="K1014" s="235"/>
      <c r="L1014" s="235"/>
      <c r="M1014" s="235"/>
      <c r="N1014" s="235"/>
      <c r="O1014" s="235"/>
      <c r="P1014" s="235"/>
      <c r="Q1014" s="235"/>
      <c r="R1014" s="235"/>
      <c r="S1014" s="235"/>
      <c r="T1014" s="235"/>
      <c r="U1014" s="235"/>
      <c r="V1014" s="235"/>
      <c r="W1014" s="235"/>
      <c r="X1014" s="235"/>
      <c r="Y1014" s="235"/>
      <c r="Z1014" s="235"/>
      <c r="AA1014" s="235"/>
      <c r="AB1014" s="235"/>
      <c r="AC1014" s="235"/>
    </row>
    <row r="1015">
      <c r="A1015" s="194" t="s">
        <v>1944</v>
      </c>
      <c r="B1015" s="194" t="s">
        <v>1943</v>
      </c>
      <c r="C1015" s="192" t="e">
        <v>#N/A</v>
      </c>
      <c r="D1015" s="192" t="s">
        <v>254</v>
      </c>
      <c r="E1015" s="235"/>
      <c r="F1015" s="235"/>
      <c r="G1015" s="325"/>
      <c r="H1015" s="235"/>
      <c r="I1015" s="235"/>
      <c r="J1015" s="235"/>
      <c r="K1015" s="235"/>
      <c r="L1015" s="235"/>
      <c r="M1015" s="235"/>
      <c r="N1015" s="235"/>
      <c r="O1015" s="235"/>
      <c r="P1015" s="235"/>
      <c r="Q1015" s="235"/>
      <c r="R1015" s="235"/>
      <c r="S1015" s="235"/>
      <c r="T1015" s="235"/>
      <c r="U1015" s="235"/>
      <c r="V1015" s="235"/>
      <c r="W1015" s="235"/>
      <c r="X1015" s="235"/>
      <c r="Y1015" s="235"/>
      <c r="Z1015" s="235"/>
      <c r="AA1015" s="235"/>
      <c r="AB1015" s="235"/>
      <c r="AC1015" s="235"/>
    </row>
    <row r="1016">
      <c r="A1016" s="194" t="s">
        <v>1945</v>
      </c>
      <c r="B1016" s="194">
        <v>104849.0</v>
      </c>
      <c r="C1016" s="192" t="s">
        <v>1579</v>
      </c>
      <c r="D1016" s="192" t="s">
        <v>254</v>
      </c>
      <c r="E1016" s="235"/>
      <c r="F1016" s="235"/>
      <c r="G1016" s="325"/>
      <c r="H1016" s="235"/>
      <c r="I1016" s="235"/>
      <c r="J1016" s="235"/>
      <c r="K1016" s="235"/>
      <c r="L1016" s="235"/>
      <c r="M1016" s="235"/>
      <c r="N1016" s="235"/>
      <c r="O1016" s="235"/>
      <c r="P1016" s="235"/>
      <c r="Q1016" s="235"/>
      <c r="R1016" s="235"/>
      <c r="S1016" s="235"/>
      <c r="T1016" s="235"/>
      <c r="U1016" s="235"/>
      <c r="V1016" s="235"/>
      <c r="W1016" s="235"/>
      <c r="X1016" s="235"/>
      <c r="Y1016" s="235"/>
      <c r="Z1016" s="235"/>
      <c r="AA1016" s="235"/>
      <c r="AB1016" s="235"/>
      <c r="AC1016" s="235"/>
    </row>
    <row r="1017">
      <c r="A1017" s="194" t="s">
        <v>1946</v>
      </c>
      <c r="B1017" s="194">
        <v>105049.0</v>
      </c>
      <c r="C1017" s="192" t="s">
        <v>1947</v>
      </c>
      <c r="D1017" s="192" t="s">
        <v>1140</v>
      </c>
      <c r="E1017" s="235"/>
      <c r="F1017" s="235"/>
      <c r="G1017" s="325"/>
      <c r="H1017" s="235"/>
      <c r="I1017" s="235"/>
      <c r="J1017" s="235"/>
      <c r="K1017" s="235"/>
      <c r="L1017" s="235"/>
      <c r="M1017" s="235"/>
      <c r="N1017" s="235"/>
      <c r="O1017" s="235"/>
      <c r="P1017" s="235"/>
      <c r="Q1017" s="235"/>
      <c r="R1017" s="235"/>
      <c r="S1017" s="235"/>
      <c r="T1017" s="235"/>
      <c r="U1017" s="235"/>
      <c r="V1017" s="235"/>
      <c r="W1017" s="235"/>
      <c r="X1017" s="235"/>
      <c r="Y1017" s="235"/>
      <c r="Z1017" s="235"/>
      <c r="AA1017" s="235"/>
      <c r="AB1017" s="235"/>
      <c r="AC1017" s="235"/>
    </row>
    <row r="1018">
      <c r="A1018" s="194" t="s">
        <v>1015</v>
      </c>
      <c r="B1018" s="194">
        <v>103582.0</v>
      </c>
      <c r="C1018" s="192" t="s">
        <v>1016</v>
      </c>
      <c r="D1018" s="192" t="s">
        <v>487</v>
      </c>
      <c r="E1018" s="235"/>
      <c r="F1018" s="235"/>
      <c r="G1018" s="325"/>
      <c r="H1018" s="235"/>
      <c r="I1018" s="235"/>
      <c r="J1018" s="235"/>
      <c r="K1018" s="235"/>
      <c r="L1018" s="235"/>
      <c r="M1018" s="235"/>
      <c r="N1018" s="235"/>
      <c r="O1018" s="235"/>
      <c r="P1018" s="235"/>
      <c r="Q1018" s="235"/>
      <c r="R1018" s="235"/>
      <c r="S1018" s="235"/>
      <c r="T1018" s="235"/>
      <c r="U1018" s="235"/>
      <c r="V1018" s="235"/>
      <c r="W1018" s="235"/>
      <c r="X1018" s="235"/>
      <c r="Y1018" s="235"/>
      <c r="Z1018" s="235"/>
      <c r="AA1018" s="235"/>
      <c r="AB1018" s="235"/>
      <c r="AC1018" s="235"/>
    </row>
    <row r="1019">
      <c r="A1019" s="194" t="s">
        <v>996</v>
      </c>
      <c r="B1019" s="194">
        <v>103540.0</v>
      </c>
      <c r="C1019" s="192" t="s">
        <v>997</v>
      </c>
      <c r="D1019" s="192" t="s">
        <v>979</v>
      </c>
      <c r="E1019" s="235"/>
      <c r="F1019" s="235"/>
      <c r="G1019" s="325"/>
      <c r="H1019" s="235"/>
      <c r="I1019" s="235"/>
      <c r="J1019" s="235"/>
      <c r="K1019" s="235"/>
      <c r="L1019" s="235"/>
      <c r="M1019" s="235"/>
      <c r="N1019" s="235"/>
      <c r="O1019" s="235"/>
      <c r="P1019" s="235"/>
      <c r="Q1019" s="235"/>
      <c r="R1019" s="235"/>
      <c r="S1019" s="235"/>
      <c r="T1019" s="235"/>
      <c r="U1019" s="235"/>
      <c r="V1019" s="235"/>
      <c r="W1019" s="235"/>
      <c r="X1019" s="235"/>
      <c r="Y1019" s="235"/>
      <c r="Z1019" s="235"/>
      <c r="AA1019" s="235"/>
      <c r="AB1019" s="235"/>
      <c r="AC1019" s="235"/>
    </row>
    <row r="1020">
      <c r="A1020" s="194" t="s">
        <v>1432</v>
      </c>
      <c r="B1020" s="194">
        <v>104439.0</v>
      </c>
      <c r="C1020" s="192" t="s">
        <v>1433</v>
      </c>
      <c r="D1020" s="192" t="s">
        <v>1434</v>
      </c>
      <c r="E1020" s="235"/>
      <c r="F1020" s="235"/>
      <c r="G1020" s="325"/>
      <c r="H1020" s="235"/>
      <c r="I1020" s="235"/>
      <c r="J1020" s="235"/>
      <c r="K1020" s="235"/>
      <c r="L1020" s="235"/>
      <c r="M1020" s="235"/>
      <c r="N1020" s="235"/>
      <c r="O1020" s="235"/>
      <c r="P1020" s="235"/>
      <c r="Q1020" s="235"/>
      <c r="R1020" s="235"/>
      <c r="S1020" s="235"/>
      <c r="T1020" s="235"/>
      <c r="U1020" s="235"/>
      <c r="V1020" s="235"/>
      <c r="W1020" s="235"/>
      <c r="X1020" s="235"/>
      <c r="Y1020" s="235"/>
      <c r="Z1020" s="235"/>
      <c r="AA1020" s="235"/>
      <c r="AB1020" s="235"/>
      <c r="AC1020" s="235"/>
    </row>
    <row r="1021">
      <c r="A1021" s="194" t="s">
        <v>1411</v>
      </c>
      <c r="B1021" s="194">
        <v>104411.0</v>
      </c>
      <c r="C1021" s="192" t="s">
        <v>1412</v>
      </c>
      <c r="D1021" s="192" t="s">
        <v>806</v>
      </c>
      <c r="E1021" s="235"/>
      <c r="F1021" s="235"/>
      <c r="G1021" s="325"/>
      <c r="H1021" s="235"/>
      <c r="I1021" s="235"/>
      <c r="J1021" s="235"/>
      <c r="K1021" s="235"/>
      <c r="L1021" s="235"/>
      <c r="M1021" s="235"/>
      <c r="N1021" s="235"/>
      <c r="O1021" s="235"/>
      <c r="P1021" s="235"/>
      <c r="Q1021" s="235"/>
      <c r="R1021" s="235"/>
      <c r="S1021" s="235"/>
      <c r="T1021" s="235"/>
      <c r="U1021" s="235"/>
      <c r="V1021" s="235"/>
      <c r="W1021" s="235"/>
      <c r="X1021" s="235"/>
      <c r="Y1021" s="235"/>
      <c r="Z1021" s="235"/>
      <c r="AA1021" s="235"/>
      <c r="AB1021" s="235"/>
      <c r="AC1021" s="235"/>
    </row>
    <row r="1022">
      <c r="A1022" s="194" t="s">
        <v>1448</v>
      </c>
      <c r="B1022" s="194">
        <v>104504.0</v>
      </c>
      <c r="C1022" s="192" t="s">
        <v>1449</v>
      </c>
      <c r="D1022" s="192" t="s">
        <v>51</v>
      </c>
      <c r="E1022" s="235"/>
      <c r="F1022" s="235"/>
      <c r="G1022" s="325"/>
      <c r="H1022" s="235"/>
      <c r="I1022" s="235"/>
      <c r="J1022" s="235"/>
      <c r="K1022" s="235"/>
      <c r="L1022" s="235"/>
      <c r="M1022" s="235"/>
      <c r="N1022" s="235"/>
      <c r="O1022" s="235"/>
      <c r="P1022" s="235"/>
      <c r="Q1022" s="235"/>
      <c r="R1022" s="235"/>
      <c r="S1022" s="235"/>
      <c r="T1022" s="235"/>
      <c r="U1022" s="235"/>
      <c r="V1022" s="235"/>
      <c r="W1022" s="235"/>
      <c r="X1022" s="235"/>
      <c r="Y1022" s="235"/>
      <c r="Z1022" s="235"/>
      <c r="AA1022" s="235"/>
      <c r="AB1022" s="235"/>
      <c r="AC1022" s="235"/>
    </row>
    <row r="1023">
      <c r="A1023" s="194" t="s">
        <v>1478</v>
      </c>
      <c r="B1023" s="194">
        <v>104613.0</v>
      </c>
      <c r="C1023" s="192" t="s">
        <v>1479</v>
      </c>
      <c r="D1023" s="192" t="s">
        <v>397</v>
      </c>
      <c r="E1023" s="235"/>
      <c r="F1023" s="235"/>
      <c r="G1023" s="325"/>
      <c r="H1023" s="235"/>
      <c r="I1023" s="235"/>
      <c r="J1023" s="235"/>
      <c r="K1023" s="235"/>
      <c r="L1023" s="235"/>
      <c r="M1023" s="235"/>
      <c r="N1023" s="235"/>
      <c r="O1023" s="235"/>
      <c r="P1023" s="235"/>
      <c r="Q1023" s="235"/>
      <c r="R1023" s="235"/>
      <c r="S1023" s="235"/>
      <c r="T1023" s="235"/>
      <c r="U1023" s="235"/>
      <c r="V1023" s="235"/>
      <c r="W1023" s="235"/>
      <c r="X1023" s="235"/>
      <c r="Y1023" s="235"/>
      <c r="Z1023" s="235"/>
      <c r="AA1023" s="235"/>
      <c r="AB1023" s="235"/>
      <c r="AC1023" s="235"/>
    </row>
    <row r="1024">
      <c r="A1024" s="194" t="s">
        <v>1484</v>
      </c>
      <c r="B1024" s="194">
        <v>104576.0</v>
      </c>
      <c r="C1024" s="192" t="s">
        <v>1485</v>
      </c>
      <c r="D1024" s="192" t="s">
        <v>185</v>
      </c>
      <c r="E1024" s="235"/>
      <c r="F1024" s="235"/>
      <c r="G1024" s="325"/>
      <c r="H1024" s="235"/>
      <c r="I1024" s="235"/>
      <c r="J1024" s="235"/>
      <c r="K1024" s="235"/>
      <c r="L1024" s="235"/>
      <c r="M1024" s="235"/>
      <c r="N1024" s="235"/>
      <c r="O1024" s="235"/>
      <c r="P1024" s="235"/>
      <c r="Q1024" s="235"/>
      <c r="R1024" s="235"/>
      <c r="S1024" s="235"/>
      <c r="T1024" s="235"/>
      <c r="U1024" s="235"/>
      <c r="V1024" s="235"/>
      <c r="W1024" s="235"/>
      <c r="X1024" s="235"/>
      <c r="Y1024" s="235"/>
      <c r="Z1024" s="235"/>
      <c r="AA1024" s="235"/>
      <c r="AB1024" s="235"/>
      <c r="AC1024" s="235"/>
    </row>
    <row r="1025">
      <c r="A1025" s="194" t="s">
        <v>1517</v>
      </c>
      <c r="B1025" s="194">
        <v>104222.0</v>
      </c>
      <c r="C1025" s="192" t="s">
        <v>1518</v>
      </c>
      <c r="D1025" s="192" t="s">
        <v>1519</v>
      </c>
      <c r="E1025" s="235"/>
      <c r="F1025" s="235"/>
      <c r="G1025" s="325"/>
      <c r="H1025" s="235"/>
      <c r="I1025" s="235"/>
      <c r="J1025" s="235"/>
      <c r="K1025" s="235"/>
      <c r="L1025" s="235"/>
      <c r="M1025" s="235"/>
      <c r="N1025" s="235"/>
      <c r="O1025" s="235"/>
      <c r="P1025" s="235"/>
      <c r="Q1025" s="235"/>
      <c r="R1025" s="235"/>
      <c r="S1025" s="235"/>
      <c r="T1025" s="235"/>
      <c r="U1025" s="235"/>
      <c r="V1025" s="235"/>
      <c r="W1025" s="235"/>
      <c r="X1025" s="235"/>
      <c r="Y1025" s="235"/>
      <c r="Z1025" s="235"/>
      <c r="AA1025" s="235"/>
      <c r="AB1025" s="235"/>
      <c r="AC1025" s="235"/>
    </row>
    <row r="1026">
      <c r="A1026" s="194" t="s">
        <v>1517</v>
      </c>
      <c r="B1026" s="194">
        <v>104222.0</v>
      </c>
      <c r="C1026" s="192" t="s">
        <v>1518</v>
      </c>
      <c r="D1026" s="192" t="s">
        <v>1519</v>
      </c>
      <c r="E1026" s="235"/>
      <c r="F1026" s="235"/>
      <c r="G1026" s="325"/>
      <c r="H1026" s="235"/>
      <c r="I1026" s="235"/>
      <c r="J1026" s="235"/>
      <c r="K1026" s="235"/>
      <c r="L1026" s="235"/>
      <c r="M1026" s="235"/>
      <c r="N1026" s="235"/>
      <c r="O1026" s="235"/>
      <c r="P1026" s="235"/>
      <c r="Q1026" s="235"/>
      <c r="R1026" s="235"/>
      <c r="S1026" s="235"/>
      <c r="T1026" s="235"/>
      <c r="U1026" s="235"/>
      <c r="V1026" s="235"/>
      <c r="W1026" s="235"/>
      <c r="X1026" s="235"/>
      <c r="Y1026" s="235"/>
      <c r="Z1026" s="235"/>
      <c r="AA1026" s="235"/>
      <c r="AB1026" s="235"/>
      <c r="AC1026" s="235"/>
    </row>
    <row r="1027">
      <c r="A1027" s="194" t="s">
        <v>1948</v>
      </c>
      <c r="B1027" s="194">
        <v>105151.0</v>
      </c>
      <c r="C1027" s="192" t="s">
        <v>1949</v>
      </c>
      <c r="D1027" s="192" t="s">
        <v>225</v>
      </c>
      <c r="E1027" s="235"/>
      <c r="F1027" s="235"/>
      <c r="G1027" s="325"/>
      <c r="H1027" s="235"/>
      <c r="I1027" s="235"/>
      <c r="J1027" s="235"/>
      <c r="K1027" s="235"/>
      <c r="L1027" s="235"/>
      <c r="M1027" s="235"/>
      <c r="N1027" s="235"/>
      <c r="O1027" s="235"/>
      <c r="P1027" s="235"/>
      <c r="Q1027" s="235"/>
      <c r="R1027" s="235"/>
      <c r="S1027" s="235"/>
      <c r="T1027" s="235"/>
      <c r="U1027" s="235"/>
      <c r="V1027" s="235"/>
      <c r="W1027" s="235"/>
      <c r="X1027" s="235"/>
      <c r="Y1027" s="235"/>
      <c r="Z1027" s="235"/>
      <c r="AA1027" s="235"/>
      <c r="AB1027" s="235"/>
      <c r="AC1027" s="235"/>
    </row>
    <row r="1028">
      <c r="A1028" s="194" t="s">
        <v>1950</v>
      </c>
      <c r="B1028" s="194">
        <v>104695.0</v>
      </c>
      <c r="C1028" s="192" t="s">
        <v>1951</v>
      </c>
      <c r="D1028" s="192" t="s">
        <v>408</v>
      </c>
      <c r="E1028" s="235"/>
      <c r="F1028" s="235"/>
      <c r="G1028" s="325"/>
      <c r="H1028" s="235"/>
      <c r="I1028" s="235"/>
      <c r="J1028" s="235"/>
      <c r="K1028" s="235"/>
      <c r="L1028" s="235"/>
      <c r="M1028" s="235"/>
      <c r="N1028" s="235"/>
      <c r="O1028" s="235"/>
      <c r="P1028" s="235"/>
      <c r="Q1028" s="235"/>
      <c r="R1028" s="235"/>
      <c r="S1028" s="235"/>
      <c r="T1028" s="235"/>
      <c r="U1028" s="235"/>
      <c r="V1028" s="235"/>
      <c r="W1028" s="235"/>
      <c r="X1028" s="235"/>
      <c r="Y1028" s="235"/>
      <c r="Z1028" s="235"/>
      <c r="AA1028" s="235"/>
      <c r="AB1028" s="235"/>
      <c r="AC1028" s="235"/>
    </row>
    <row r="1029">
      <c r="A1029" s="194" t="s">
        <v>1953</v>
      </c>
      <c r="B1029" s="194">
        <v>104712.0</v>
      </c>
      <c r="C1029" s="192" t="s">
        <v>1954</v>
      </c>
      <c r="D1029" s="192" t="s">
        <v>1955</v>
      </c>
      <c r="E1029" s="235"/>
      <c r="F1029" s="235"/>
      <c r="G1029" s="325"/>
      <c r="H1029" s="235"/>
      <c r="I1029" s="235"/>
      <c r="J1029" s="235"/>
      <c r="K1029" s="235"/>
      <c r="L1029" s="235"/>
      <c r="M1029" s="235"/>
      <c r="N1029" s="235"/>
      <c r="O1029" s="235"/>
      <c r="P1029" s="235"/>
      <c r="Q1029" s="235"/>
      <c r="R1029" s="235"/>
      <c r="S1029" s="235"/>
      <c r="T1029" s="235"/>
      <c r="U1029" s="235"/>
      <c r="V1029" s="235"/>
      <c r="W1029" s="235"/>
      <c r="X1029" s="235"/>
      <c r="Y1029" s="235"/>
      <c r="Z1029" s="235"/>
      <c r="AA1029" s="235"/>
      <c r="AB1029" s="235"/>
      <c r="AC1029" s="235"/>
    </row>
    <row r="1030">
      <c r="A1030" s="194" t="s">
        <v>1956</v>
      </c>
      <c r="B1030" s="194">
        <v>105032.0</v>
      </c>
      <c r="C1030" s="192" t="s">
        <v>1957</v>
      </c>
      <c r="D1030" s="192" t="s">
        <v>625</v>
      </c>
      <c r="E1030" s="235"/>
      <c r="F1030" s="235"/>
      <c r="G1030" s="325"/>
      <c r="H1030" s="235"/>
      <c r="I1030" s="235"/>
      <c r="J1030" s="235"/>
      <c r="K1030" s="235"/>
      <c r="L1030" s="235"/>
      <c r="M1030" s="235"/>
      <c r="N1030" s="235"/>
      <c r="O1030" s="235"/>
      <c r="P1030" s="235"/>
      <c r="Q1030" s="235"/>
      <c r="R1030" s="235"/>
      <c r="S1030" s="235"/>
      <c r="T1030" s="235"/>
      <c r="U1030" s="235"/>
      <c r="V1030" s="235"/>
      <c r="W1030" s="235"/>
      <c r="X1030" s="235"/>
      <c r="Y1030" s="235"/>
      <c r="Z1030" s="235"/>
      <c r="AA1030" s="235"/>
      <c r="AB1030" s="235"/>
      <c r="AC1030" s="235"/>
    </row>
    <row r="1031">
      <c r="A1031" s="194" t="s">
        <v>1958</v>
      </c>
      <c r="B1031" s="194">
        <v>104578.0</v>
      </c>
      <c r="C1031" s="192" t="s">
        <v>1959</v>
      </c>
      <c r="D1031" s="192" t="s">
        <v>113</v>
      </c>
      <c r="E1031" s="235"/>
      <c r="F1031" s="235"/>
      <c r="G1031" s="325"/>
      <c r="H1031" s="235"/>
      <c r="I1031" s="235"/>
      <c r="J1031" s="235"/>
      <c r="K1031" s="235"/>
      <c r="L1031" s="235"/>
      <c r="M1031" s="235"/>
      <c r="N1031" s="235"/>
      <c r="O1031" s="235"/>
      <c r="P1031" s="235"/>
      <c r="Q1031" s="235"/>
      <c r="R1031" s="235"/>
      <c r="S1031" s="235"/>
      <c r="T1031" s="235"/>
      <c r="U1031" s="235"/>
      <c r="V1031" s="235"/>
      <c r="W1031" s="235"/>
      <c r="X1031" s="235"/>
      <c r="Y1031" s="235"/>
      <c r="Z1031" s="235"/>
      <c r="AA1031" s="235"/>
      <c r="AB1031" s="235"/>
      <c r="AC1031" s="235"/>
    </row>
    <row r="1032">
      <c r="A1032" s="194" t="s">
        <v>1960</v>
      </c>
      <c r="B1032" s="194">
        <v>104614.0</v>
      </c>
      <c r="C1032" s="192" t="s">
        <v>1961</v>
      </c>
      <c r="D1032" s="192" t="s">
        <v>557</v>
      </c>
      <c r="E1032" s="235"/>
      <c r="F1032" s="235"/>
      <c r="G1032" s="325"/>
      <c r="H1032" s="235"/>
      <c r="I1032" s="235"/>
      <c r="J1032" s="235"/>
      <c r="K1032" s="235"/>
      <c r="L1032" s="235"/>
      <c r="M1032" s="235"/>
      <c r="N1032" s="235"/>
      <c r="O1032" s="235"/>
      <c r="P1032" s="235"/>
      <c r="Q1032" s="235"/>
      <c r="R1032" s="235"/>
      <c r="S1032" s="235"/>
      <c r="T1032" s="235"/>
      <c r="U1032" s="235"/>
      <c r="V1032" s="235"/>
      <c r="W1032" s="235"/>
      <c r="X1032" s="235"/>
      <c r="Y1032" s="235"/>
      <c r="Z1032" s="235"/>
      <c r="AA1032" s="235"/>
      <c r="AB1032" s="235"/>
      <c r="AC1032" s="235"/>
    </row>
    <row r="1033">
      <c r="A1033" s="194" t="s">
        <v>1962</v>
      </c>
      <c r="B1033" s="194">
        <v>105032.0</v>
      </c>
      <c r="C1033" s="192" t="s">
        <v>1957</v>
      </c>
      <c r="D1033" s="192" t="s">
        <v>625</v>
      </c>
      <c r="E1033" s="235"/>
      <c r="F1033" s="235"/>
      <c r="G1033" s="325"/>
      <c r="H1033" s="235"/>
      <c r="I1033" s="235"/>
      <c r="J1033" s="235"/>
      <c r="K1033" s="235"/>
      <c r="L1033" s="235"/>
      <c r="M1033" s="235"/>
      <c r="N1033" s="235"/>
      <c r="O1033" s="235"/>
      <c r="P1033" s="235"/>
      <c r="Q1033" s="235"/>
      <c r="R1033" s="235"/>
      <c r="S1033" s="235"/>
      <c r="T1033" s="235"/>
      <c r="U1033" s="235"/>
      <c r="V1033" s="235"/>
      <c r="W1033" s="235"/>
      <c r="X1033" s="235"/>
      <c r="Y1033" s="235"/>
      <c r="Z1033" s="235"/>
      <c r="AA1033" s="235"/>
      <c r="AB1033" s="235"/>
      <c r="AC1033" s="235"/>
    </row>
    <row r="1034">
      <c r="A1034" s="194" t="s">
        <v>1963</v>
      </c>
      <c r="B1034" s="194">
        <v>105033.0</v>
      </c>
      <c r="C1034" s="192" t="s">
        <v>1964</v>
      </c>
      <c r="D1034" s="192" t="s">
        <v>806</v>
      </c>
      <c r="E1034" s="235"/>
      <c r="F1034" s="235"/>
      <c r="G1034" s="325"/>
      <c r="H1034" s="235"/>
      <c r="I1034" s="235"/>
      <c r="J1034" s="235"/>
      <c r="K1034" s="235"/>
      <c r="L1034" s="235"/>
      <c r="M1034" s="235"/>
      <c r="N1034" s="235"/>
      <c r="O1034" s="235"/>
      <c r="P1034" s="235"/>
      <c r="Q1034" s="235"/>
      <c r="R1034" s="235"/>
      <c r="S1034" s="235"/>
      <c r="T1034" s="235"/>
      <c r="U1034" s="235"/>
      <c r="V1034" s="235"/>
      <c r="W1034" s="235"/>
      <c r="X1034" s="235"/>
      <c r="Y1034" s="235"/>
      <c r="Z1034" s="235"/>
      <c r="AA1034" s="235"/>
      <c r="AB1034" s="235"/>
      <c r="AC1034" s="235"/>
    </row>
    <row r="1035">
      <c r="A1035" s="194" t="s">
        <v>1965</v>
      </c>
      <c r="B1035" s="194">
        <v>104947.0</v>
      </c>
      <c r="C1035" s="192" t="s">
        <v>1966</v>
      </c>
      <c r="D1035" s="192" t="s">
        <v>625</v>
      </c>
      <c r="E1035" s="235"/>
      <c r="F1035" s="235"/>
      <c r="G1035" s="325"/>
      <c r="H1035" s="235"/>
      <c r="I1035" s="235"/>
      <c r="J1035" s="235"/>
      <c r="K1035" s="235"/>
      <c r="L1035" s="235"/>
      <c r="M1035" s="235"/>
      <c r="N1035" s="235"/>
      <c r="O1035" s="235"/>
      <c r="P1035" s="235"/>
      <c r="Q1035" s="235"/>
      <c r="R1035" s="235"/>
      <c r="S1035" s="235"/>
      <c r="T1035" s="235"/>
      <c r="U1035" s="235"/>
      <c r="V1035" s="235"/>
      <c r="W1035" s="235"/>
      <c r="X1035" s="235"/>
      <c r="Y1035" s="235"/>
      <c r="Z1035" s="235"/>
      <c r="AA1035" s="235"/>
      <c r="AB1035" s="235"/>
      <c r="AC1035" s="235"/>
    </row>
    <row r="1036">
      <c r="A1036" s="194" t="s">
        <v>1967</v>
      </c>
      <c r="B1036" s="194">
        <v>104891.0</v>
      </c>
      <c r="C1036" s="192" t="s">
        <v>1968</v>
      </c>
      <c r="D1036" s="192" t="s">
        <v>625</v>
      </c>
      <c r="E1036" s="235"/>
      <c r="F1036" s="235"/>
      <c r="G1036" s="325"/>
      <c r="H1036" s="235"/>
      <c r="I1036" s="235"/>
      <c r="J1036" s="235"/>
      <c r="K1036" s="235"/>
      <c r="L1036" s="235"/>
      <c r="M1036" s="235"/>
      <c r="N1036" s="235"/>
      <c r="O1036" s="235"/>
      <c r="P1036" s="235"/>
      <c r="Q1036" s="235"/>
      <c r="R1036" s="235"/>
      <c r="S1036" s="235"/>
      <c r="T1036" s="235"/>
      <c r="U1036" s="235"/>
      <c r="V1036" s="235"/>
      <c r="W1036" s="235"/>
      <c r="X1036" s="235"/>
      <c r="Y1036" s="235"/>
      <c r="Z1036" s="235"/>
      <c r="AA1036" s="235"/>
      <c r="AB1036" s="235"/>
      <c r="AC1036" s="235"/>
    </row>
    <row r="1037">
      <c r="A1037" s="194" t="s">
        <v>1969</v>
      </c>
      <c r="B1037" s="194">
        <v>104873.0</v>
      </c>
      <c r="C1037" s="192" t="s">
        <v>1970</v>
      </c>
      <c r="D1037" s="192" t="s">
        <v>254</v>
      </c>
      <c r="E1037" s="235"/>
      <c r="F1037" s="235"/>
      <c r="G1037" s="325"/>
      <c r="H1037" s="235"/>
      <c r="I1037" s="235"/>
      <c r="J1037" s="235"/>
      <c r="K1037" s="235"/>
      <c r="L1037" s="235"/>
      <c r="M1037" s="235"/>
      <c r="N1037" s="235"/>
      <c r="O1037" s="235"/>
      <c r="P1037" s="235"/>
      <c r="Q1037" s="235"/>
      <c r="R1037" s="235"/>
      <c r="S1037" s="235"/>
      <c r="T1037" s="235"/>
      <c r="U1037" s="235"/>
      <c r="V1037" s="235"/>
      <c r="W1037" s="235"/>
      <c r="X1037" s="235"/>
      <c r="Y1037" s="235"/>
      <c r="Z1037" s="235"/>
      <c r="AA1037" s="235"/>
      <c r="AB1037" s="235"/>
      <c r="AC1037" s="235"/>
    </row>
    <row r="1038">
      <c r="A1038" s="194" t="s">
        <v>1499</v>
      </c>
      <c r="B1038" s="194">
        <v>104676.0</v>
      </c>
      <c r="C1038" s="192" t="s">
        <v>1500</v>
      </c>
      <c r="D1038" s="192" t="s">
        <v>646</v>
      </c>
      <c r="E1038" s="235"/>
      <c r="F1038" s="235"/>
      <c r="G1038" s="325"/>
      <c r="H1038" s="235"/>
      <c r="I1038" s="235"/>
      <c r="J1038" s="235"/>
      <c r="K1038" s="235"/>
      <c r="L1038" s="235"/>
      <c r="M1038" s="235"/>
      <c r="N1038" s="235"/>
      <c r="O1038" s="235"/>
      <c r="P1038" s="235"/>
      <c r="Q1038" s="235"/>
      <c r="R1038" s="235"/>
      <c r="S1038" s="235"/>
      <c r="T1038" s="235"/>
      <c r="U1038" s="235"/>
      <c r="V1038" s="235"/>
      <c r="W1038" s="235"/>
      <c r="X1038" s="235"/>
      <c r="Y1038" s="235"/>
      <c r="Z1038" s="235"/>
      <c r="AA1038" s="235"/>
      <c r="AB1038" s="235"/>
      <c r="AC1038" s="235"/>
    </row>
    <row r="1039">
      <c r="A1039" s="194" t="s">
        <v>1495</v>
      </c>
      <c r="B1039" s="194">
        <v>104693.0</v>
      </c>
      <c r="C1039" s="192" t="s">
        <v>1496</v>
      </c>
      <c r="D1039" s="192" t="s">
        <v>646</v>
      </c>
      <c r="E1039" s="235"/>
      <c r="F1039" s="235"/>
      <c r="G1039" s="325"/>
      <c r="H1039" s="235"/>
      <c r="I1039" s="235"/>
      <c r="J1039" s="235"/>
      <c r="K1039" s="235"/>
      <c r="L1039" s="235"/>
      <c r="M1039" s="235"/>
      <c r="N1039" s="235"/>
      <c r="O1039" s="235"/>
      <c r="P1039" s="235"/>
      <c r="Q1039" s="235"/>
      <c r="R1039" s="235"/>
      <c r="S1039" s="235"/>
      <c r="T1039" s="235"/>
      <c r="U1039" s="235"/>
      <c r="V1039" s="235"/>
      <c r="W1039" s="235"/>
      <c r="X1039" s="235"/>
      <c r="Y1039" s="235"/>
      <c r="Z1039" s="235"/>
      <c r="AA1039" s="235"/>
      <c r="AB1039" s="235"/>
      <c r="AC1039" s="235"/>
    </row>
    <row r="1040">
      <c r="A1040" s="194" t="s">
        <v>1971</v>
      </c>
      <c r="B1040" s="194">
        <v>104723.0</v>
      </c>
      <c r="C1040" s="192" t="s">
        <v>1972</v>
      </c>
      <c r="D1040" s="192" t="s">
        <v>295</v>
      </c>
      <c r="E1040" s="235"/>
      <c r="F1040" s="235"/>
      <c r="G1040" s="325"/>
      <c r="H1040" s="235"/>
      <c r="I1040" s="235"/>
      <c r="J1040" s="235"/>
      <c r="K1040" s="235"/>
      <c r="L1040" s="235"/>
      <c r="M1040" s="235"/>
      <c r="N1040" s="235"/>
      <c r="O1040" s="235"/>
      <c r="P1040" s="235"/>
      <c r="Q1040" s="235"/>
      <c r="R1040" s="235"/>
      <c r="S1040" s="235"/>
      <c r="T1040" s="235"/>
      <c r="U1040" s="235"/>
      <c r="V1040" s="235"/>
      <c r="W1040" s="235"/>
      <c r="X1040" s="235"/>
      <c r="Y1040" s="235"/>
      <c r="Z1040" s="235"/>
      <c r="AA1040" s="235"/>
      <c r="AB1040" s="235"/>
      <c r="AC1040" s="235"/>
    </row>
    <row r="1041">
      <c r="A1041" s="194" t="s">
        <v>1973</v>
      </c>
      <c r="B1041" s="194">
        <v>104717.0</v>
      </c>
      <c r="C1041" s="192" t="s">
        <v>1974</v>
      </c>
      <c r="D1041" s="192" t="s">
        <v>265</v>
      </c>
      <c r="E1041" s="235"/>
      <c r="F1041" s="235"/>
      <c r="G1041" s="325"/>
      <c r="H1041" s="235"/>
      <c r="I1041" s="235"/>
      <c r="J1041" s="235"/>
      <c r="K1041" s="235"/>
      <c r="L1041" s="235"/>
      <c r="M1041" s="235"/>
      <c r="N1041" s="235"/>
      <c r="O1041" s="235"/>
      <c r="P1041" s="235"/>
      <c r="Q1041" s="235"/>
      <c r="R1041" s="235"/>
      <c r="S1041" s="235"/>
      <c r="T1041" s="235"/>
      <c r="U1041" s="235"/>
      <c r="V1041" s="235"/>
      <c r="W1041" s="235"/>
      <c r="X1041" s="235"/>
      <c r="Y1041" s="235"/>
      <c r="Z1041" s="235"/>
      <c r="AA1041" s="235"/>
      <c r="AB1041" s="235"/>
      <c r="AC1041" s="235"/>
    </row>
    <row r="1042">
      <c r="A1042" s="194" t="s">
        <v>1975</v>
      </c>
      <c r="B1042" s="194">
        <v>104569.0</v>
      </c>
      <c r="C1042" s="192" t="s">
        <v>1976</v>
      </c>
      <c r="D1042" s="192" t="s">
        <v>1977</v>
      </c>
      <c r="E1042" s="235"/>
      <c r="F1042" s="235"/>
      <c r="G1042" s="325"/>
      <c r="H1042" s="235"/>
      <c r="I1042" s="235"/>
      <c r="J1042" s="235"/>
      <c r="K1042" s="235"/>
      <c r="L1042" s="235"/>
      <c r="M1042" s="235"/>
      <c r="N1042" s="235"/>
      <c r="O1042" s="235"/>
      <c r="P1042" s="235"/>
      <c r="Q1042" s="235"/>
      <c r="R1042" s="235"/>
      <c r="S1042" s="235"/>
      <c r="T1042" s="235"/>
      <c r="U1042" s="235"/>
      <c r="V1042" s="235"/>
      <c r="W1042" s="235"/>
      <c r="X1042" s="235"/>
      <c r="Y1042" s="235"/>
      <c r="Z1042" s="235"/>
      <c r="AA1042" s="235"/>
      <c r="AB1042" s="235"/>
      <c r="AC1042" s="235"/>
    </row>
    <row r="1043">
      <c r="A1043" s="194" t="s">
        <v>1978</v>
      </c>
      <c r="B1043" s="194">
        <v>104673.0</v>
      </c>
      <c r="C1043" s="192" t="s">
        <v>1979</v>
      </c>
      <c r="D1043" s="192" t="s">
        <v>295</v>
      </c>
      <c r="E1043" s="235"/>
      <c r="F1043" s="235"/>
      <c r="G1043" s="325"/>
      <c r="H1043" s="235"/>
      <c r="I1043" s="235"/>
      <c r="J1043" s="235"/>
      <c r="K1043" s="235"/>
      <c r="L1043" s="235"/>
      <c r="M1043" s="235"/>
      <c r="N1043" s="235"/>
      <c r="O1043" s="235"/>
      <c r="P1043" s="235"/>
      <c r="Q1043" s="235"/>
      <c r="R1043" s="235"/>
      <c r="S1043" s="235"/>
      <c r="T1043" s="235"/>
      <c r="U1043" s="235"/>
      <c r="V1043" s="235"/>
      <c r="W1043" s="235"/>
      <c r="X1043" s="235"/>
      <c r="Y1043" s="235"/>
      <c r="Z1043" s="235"/>
      <c r="AA1043" s="235"/>
      <c r="AB1043" s="235"/>
      <c r="AC1043" s="235"/>
    </row>
    <row r="1044">
      <c r="A1044" s="194" t="s">
        <v>1980</v>
      </c>
      <c r="B1044" s="194">
        <v>104674.0</v>
      </c>
      <c r="C1044" s="192" t="s">
        <v>1981</v>
      </c>
      <c r="D1044" s="192" t="s">
        <v>360</v>
      </c>
      <c r="E1044" s="235"/>
      <c r="F1044" s="235"/>
      <c r="G1044" s="325"/>
      <c r="H1044" s="235"/>
      <c r="I1044" s="235"/>
      <c r="J1044" s="235"/>
      <c r="K1044" s="235"/>
      <c r="L1044" s="235"/>
      <c r="M1044" s="235"/>
      <c r="N1044" s="235"/>
      <c r="O1044" s="235"/>
      <c r="P1044" s="235"/>
      <c r="Q1044" s="235"/>
      <c r="R1044" s="235"/>
      <c r="S1044" s="235"/>
      <c r="T1044" s="235"/>
      <c r="U1044" s="235"/>
      <c r="V1044" s="235"/>
      <c r="W1044" s="235"/>
      <c r="X1044" s="235"/>
      <c r="Y1044" s="235"/>
      <c r="Z1044" s="235"/>
      <c r="AA1044" s="235"/>
      <c r="AB1044" s="235"/>
      <c r="AC1044" s="235"/>
    </row>
    <row r="1045">
      <c r="A1045" s="194" t="s">
        <v>1490</v>
      </c>
      <c r="B1045" s="194">
        <v>104460.0</v>
      </c>
      <c r="C1045" s="192" t="s">
        <v>1453</v>
      </c>
      <c r="D1045" s="192" t="s">
        <v>646</v>
      </c>
      <c r="E1045" s="235"/>
      <c r="F1045" s="235"/>
      <c r="G1045" s="325"/>
      <c r="H1045" s="235"/>
      <c r="I1045" s="235"/>
      <c r="J1045" s="235"/>
      <c r="K1045" s="235"/>
      <c r="L1045" s="235"/>
      <c r="M1045" s="235"/>
      <c r="N1045" s="235"/>
      <c r="O1045" s="235"/>
      <c r="P1045" s="235"/>
      <c r="Q1045" s="235"/>
      <c r="R1045" s="235"/>
      <c r="S1045" s="235"/>
      <c r="T1045" s="235"/>
      <c r="U1045" s="235"/>
      <c r="V1045" s="235"/>
      <c r="W1045" s="235"/>
      <c r="X1045" s="235"/>
      <c r="Y1045" s="235"/>
      <c r="Z1045" s="235"/>
      <c r="AA1045" s="235"/>
      <c r="AB1045" s="235"/>
      <c r="AC1045" s="235"/>
    </row>
    <row r="1046">
      <c r="A1046" s="194" t="s">
        <v>1982</v>
      </c>
      <c r="B1046" s="194">
        <v>104691.0</v>
      </c>
      <c r="C1046" s="192" t="s">
        <v>1983</v>
      </c>
      <c r="D1046" s="192" t="s">
        <v>87</v>
      </c>
      <c r="E1046" s="235"/>
      <c r="F1046" s="235"/>
      <c r="G1046" s="325"/>
      <c r="H1046" s="235"/>
      <c r="I1046" s="235"/>
      <c r="J1046" s="235"/>
      <c r="K1046" s="235"/>
      <c r="L1046" s="235"/>
      <c r="M1046" s="235"/>
      <c r="N1046" s="235"/>
      <c r="O1046" s="235"/>
      <c r="P1046" s="235"/>
      <c r="Q1046" s="235"/>
      <c r="R1046" s="235"/>
      <c r="S1046" s="235"/>
      <c r="T1046" s="235"/>
      <c r="U1046" s="235"/>
      <c r="V1046" s="235"/>
      <c r="W1046" s="235"/>
      <c r="X1046" s="235"/>
      <c r="Y1046" s="235"/>
      <c r="Z1046" s="235"/>
      <c r="AA1046" s="235"/>
      <c r="AB1046" s="235"/>
      <c r="AC1046" s="235"/>
    </row>
    <row r="1047">
      <c r="A1047" s="194" t="s">
        <v>1984</v>
      </c>
      <c r="B1047" s="194">
        <v>104653.0</v>
      </c>
      <c r="C1047" s="192" t="s">
        <v>1985</v>
      </c>
      <c r="D1047" s="192" t="s">
        <v>1986</v>
      </c>
      <c r="E1047" s="235"/>
      <c r="F1047" s="235"/>
      <c r="G1047" s="325"/>
      <c r="H1047" s="235"/>
      <c r="I1047" s="235"/>
      <c r="J1047" s="235"/>
      <c r="K1047" s="235"/>
      <c r="L1047" s="235"/>
      <c r="M1047" s="235"/>
      <c r="N1047" s="235"/>
      <c r="O1047" s="235"/>
      <c r="P1047" s="235"/>
      <c r="Q1047" s="235"/>
      <c r="R1047" s="235"/>
      <c r="S1047" s="235"/>
      <c r="T1047" s="235"/>
      <c r="U1047" s="235"/>
      <c r="V1047" s="235"/>
      <c r="W1047" s="235"/>
      <c r="X1047" s="235"/>
      <c r="Y1047" s="235"/>
      <c r="Z1047" s="235"/>
      <c r="AA1047" s="235"/>
      <c r="AB1047" s="235"/>
      <c r="AC1047" s="235"/>
    </row>
    <row r="1048">
      <c r="A1048" s="194" t="s">
        <v>1987</v>
      </c>
      <c r="B1048" s="194">
        <v>104630.0</v>
      </c>
      <c r="C1048" s="192" t="s">
        <v>1988</v>
      </c>
      <c r="D1048" s="192" t="s">
        <v>522</v>
      </c>
      <c r="E1048" s="235"/>
      <c r="F1048" s="235"/>
      <c r="G1048" s="325"/>
      <c r="H1048" s="235"/>
      <c r="I1048" s="235"/>
      <c r="J1048" s="235"/>
      <c r="K1048" s="235"/>
      <c r="L1048" s="235"/>
      <c r="M1048" s="235"/>
      <c r="N1048" s="235"/>
      <c r="O1048" s="235"/>
      <c r="P1048" s="235"/>
      <c r="Q1048" s="235"/>
      <c r="R1048" s="235"/>
      <c r="S1048" s="235"/>
      <c r="T1048" s="235"/>
      <c r="U1048" s="235"/>
      <c r="V1048" s="235"/>
      <c r="W1048" s="235"/>
      <c r="X1048" s="235"/>
      <c r="Y1048" s="235"/>
      <c r="Z1048" s="235"/>
      <c r="AA1048" s="235"/>
      <c r="AB1048" s="235"/>
      <c r="AC1048" s="235"/>
    </row>
    <row r="1049">
      <c r="A1049" s="194" t="s">
        <v>1989</v>
      </c>
      <c r="B1049" s="194">
        <v>104624.0</v>
      </c>
      <c r="C1049" s="192" t="s">
        <v>1990</v>
      </c>
      <c r="D1049" s="192" t="s">
        <v>295</v>
      </c>
      <c r="E1049" s="235"/>
      <c r="F1049" s="235"/>
      <c r="G1049" s="325"/>
      <c r="H1049" s="235"/>
      <c r="I1049" s="235"/>
      <c r="J1049" s="235"/>
      <c r="K1049" s="235"/>
      <c r="L1049" s="235"/>
      <c r="M1049" s="235"/>
      <c r="N1049" s="235"/>
      <c r="O1049" s="235"/>
      <c r="P1049" s="235"/>
      <c r="Q1049" s="235"/>
      <c r="R1049" s="235"/>
      <c r="S1049" s="235"/>
      <c r="T1049" s="235"/>
      <c r="U1049" s="235"/>
      <c r="V1049" s="235"/>
      <c r="W1049" s="235"/>
      <c r="X1049" s="235"/>
      <c r="Y1049" s="235"/>
      <c r="Z1049" s="235"/>
      <c r="AA1049" s="235"/>
      <c r="AB1049" s="235"/>
      <c r="AC1049" s="235"/>
    </row>
    <row r="1050">
      <c r="A1050" s="194" t="s">
        <v>1991</v>
      </c>
      <c r="B1050" s="194">
        <v>104620.0</v>
      </c>
      <c r="C1050" s="192" t="s">
        <v>1992</v>
      </c>
      <c r="D1050" s="192" t="s">
        <v>295</v>
      </c>
      <c r="E1050" s="235"/>
      <c r="F1050" s="235"/>
      <c r="G1050" s="325"/>
      <c r="H1050" s="235"/>
      <c r="I1050" s="235"/>
      <c r="J1050" s="235"/>
      <c r="K1050" s="235"/>
      <c r="L1050" s="235"/>
      <c r="M1050" s="235"/>
      <c r="N1050" s="235"/>
      <c r="O1050" s="235"/>
      <c r="P1050" s="235"/>
      <c r="Q1050" s="235"/>
      <c r="R1050" s="235"/>
      <c r="S1050" s="235"/>
      <c r="T1050" s="235"/>
      <c r="U1050" s="235"/>
      <c r="V1050" s="235"/>
      <c r="W1050" s="235"/>
      <c r="X1050" s="235"/>
      <c r="Y1050" s="235"/>
      <c r="Z1050" s="235"/>
      <c r="AA1050" s="235"/>
      <c r="AB1050" s="235"/>
      <c r="AC1050" s="235"/>
    </row>
    <row r="1051">
      <c r="A1051" s="194" t="s">
        <v>1480</v>
      </c>
      <c r="B1051" s="194">
        <v>104613.0</v>
      </c>
      <c r="C1051" s="192" t="s">
        <v>1479</v>
      </c>
      <c r="D1051" s="192" t="s">
        <v>397</v>
      </c>
      <c r="E1051" s="235"/>
      <c r="F1051" s="235"/>
      <c r="G1051" s="325"/>
      <c r="H1051" s="235"/>
      <c r="I1051" s="235"/>
      <c r="J1051" s="235"/>
      <c r="K1051" s="235"/>
      <c r="L1051" s="235"/>
      <c r="M1051" s="235"/>
      <c r="N1051" s="235"/>
      <c r="O1051" s="235"/>
      <c r="P1051" s="235"/>
      <c r="Q1051" s="235"/>
      <c r="R1051" s="235"/>
      <c r="S1051" s="235"/>
      <c r="T1051" s="235"/>
      <c r="U1051" s="235"/>
      <c r="V1051" s="235"/>
      <c r="W1051" s="235"/>
      <c r="X1051" s="235"/>
      <c r="Y1051" s="235"/>
      <c r="Z1051" s="235"/>
      <c r="AA1051" s="235"/>
      <c r="AB1051" s="235"/>
      <c r="AC1051" s="235"/>
    </row>
    <row r="1052">
      <c r="A1052" s="194" t="s">
        <v>1480</v>
      </c>
      <c r="B1052" s="194">
        <v>104613.0</v>
      </c>
      <c r="C1052" s="192" t="s">
        <v>1479</v>
      </c>
      <c r="D1052" s="192" t="s">
        <v>397</v>
      </c>
      <c r="E1052" s="235"/>
      <c r="F1052" s="235"/>
      <c r="G1052" s="325"/>
      <c r="H1052" s="235"/>
      <c r="I1052" s="235"/>
      <c r="J1052" s="235"/>
      <c r="K1052" s="235"/>
      <c r="L1052" s="235"/>
      <c r="M1052" s="235"/>
      <c r="N1052" s="235"/>
      <c r="O1052" s="235"/>
      <c r="P1052" s="235"/>
      <c r="Q1052" s="235"/>
      <c r="R1052" s="235"/>
      <c r="S1052" s="235"/>
      <c r="T1052" s="235"/>
      <c r="U1052" s="235"/>
      <c r="V1052" s="235"/>
      <c r="W1052" s="235"/>
      <c r="X1052" s="235"/>
      <c r="Y1052" s="235"/>
      <c r="Z1052" s="235"/>
      <c r="AA1052" s="235"/>
      <c r="AB1052" s="235"/>
      <c r="AC1052" s="235"/>
    </row>
    <row r="1053">
      <c r="A1053" s="194" t="s">
        <v>1950</v>
      </c>
      <c r="B1053" s="194">
        <v>104695.0</v>
      </c>
      <c r="C1053" s="192" t="s">
        <v>1951</v>
      </c>
      <c r="D1053" s="192" t="s">
        <v>408</v>
      </c>
      <c r="E1053" s="235"/>
      <c r="F1053" s="235"/>
      <c r="G1053" s="325"/>
      <c r="H1053" s="235"/>
      <c r="I1053" s="235"/>
      <c r="J1053" s="235"/>
      <c r="K1053" s="235"/>
      <c r="L1053" s="235"/>
      <c r="M1053" s="235"/>
      <c r="N1053" s="235"/>
      <c r="O1053" s="235"/>
      <c r="P1053" s="235"/>
      <c r="Q1053" s="235"/>
      <c r="R1053" s="235"/>
      <c r="S1053" s="235"/>
      <c r="T1053" s="235"/>
      <c r="U1053" s="235"/>
      <c r="V1053" s="235"/>
      <c r="W1053" s="235"/>
      <c r="X1053" s="235"/>
      <c r="Y1053" s="235"/>
      <c r="Z1053" s="235"/>
      <c r="AA1053" s="235"/>
      <c r="AB1053" s="235"/>
      <c r="AC1053" s="235"/>
    </row>
    <row r="1054">
      <c r="A1054" s="194" t="s">
        <v>1944</v>
      </c>
      <c r="B1054" s="194">
        <v>105448.0</v>
      </c>
      <c r="C1054" s="192" t="s">
        <v>1993</v>
      </c>
      <c r="D1054" s="192" t="s">
        <v>254</v>
      </c>
      <c r="E1054" s="235"/>
      <c r="F1054" s="235"/>
      <c r="G1054" s="325"/>
      <c r="H1054" s="235"/>
      <c r="I1054" s="235"/>
      <c r="J1054" s="235"/>
      <c r="K1054" s="235"/>
      <c r="L1054" s="235"/>
      <c r="M1054" s="235"/>
      <c r="N1054" s="235"/>
      <c r="O1054" s="235"/>
      <c r="P1054" s="235"/>
      <c r="Q1054" s="235"/>
      <c r="R1054" s="235"/>
      <c r="S1054" s="235"/>
      <c r="T1054" s="235"/>
      <c r="U1054" s="235"/>
      <c r="V1054" s="235"/>
      <c r="W1054" s="235"/>
      <c r="X1054" s="235"/>
      <c r="Y1054" s="235"/>
      <c r="Z1054" s="235"/>
      <c r="AA1054" s="235"/>
      <c r="AB1054" s="235"/>
      <c r="AC1054" s="235"/>
    </row>
    <row r="1055">
      <c r="A1055" s="194" t="s">
        <v>1474</v>
      </c>
      <c r="B1055" s="194">
        <v>104642.0</v>
      </c>
      <c r="C1055" s="192" t="s">
        <v>1475</v>
      </c>
      <c r="D1055" s="192" t="s">
        <v>427</v>
      </c>
      <c r="E1055" s="235"/>
      <c r="F1055" s="235"/>
      <c r="G1055" s="325"/>
      <c r="H1055" s="235"/>
      <c r="I1055" s="235"/>
      <c r="J1055" s="235"/>
      <c r="K1055" s="235"/>
      <c r="L1055" s="235"/>
      <c r="M1055" s="235"/>
      <c r="N1055" s="235"/>
      <c r="O1055" s="235"/>
      <c r="P1055" s="235"/>
      <c r="Q1055" s="235"/>
      <c r="R1055" s="235"/>
      <c r="S1055" s="235"/>
      <c r="T1055" s="235"/>
      <c r="U1055" s="235"/>
      <c r="V1055" s="235"/>
      <c r="W1055" s="235"/>
      <c r="X1055" s="235"/>
      <c r="Y1055" s="235"/>
      <c r="Z1055" s="235"/>
      <c r="AA1055" s="235"/>
      <c r="AB1055" s="235"/>
      <c r="AC1055" s="235"/>
    </row>
    <row r="1056">
      <c r="A1056" s="194" t="s">
        <v>1994</v>
      </c>
      <c r="B1056" s="194">
        <v>104568.0</v>
      </c>
      <c r="C1056" s="192" t="s">
        <v>1995</v>
      </c>
      <c r="D1056" s="192" t="s">
        <v>295</v>
      </c>
      <c r="E1056" s="235"/>
      <c r="F1056" s="235"/>
      <c r="G1056" s="325"/>
      <c r="H1056" s="235"/>
      <c r="I1056" s="235"/>
      <c r="J1056" s="235"/>
      <c r="K1056" s="235"/>
      <c r="L1056" s="235"/>
      <c r="M1056" s="235"/>
      <c r="N1056" s="235"/>
      <c r="O1056" s="235"/>
      <c r="P1056" s="235"/>
      <c r="Q1056" s="235"/>
      <c r="R1056" s="235"/>
      <c r="S1056" s="235"/>
      <c r="T1056" s="235"/>
      <c r="U1056" s="235"/>
      <c r="V1056" s="235"/>
      <c r="W1056" s="235"/>
      <c r="X1056" s="235"/>
      <c r="Y1056" s="235"/>
      <c r="Z1056" s="235"/>
      <c r="AA1056" s="235"/>
      <c r="AB1056" s="235"/>
      <c r="AC1056" s="235"/>
    </row>
    <row r="1057">
      <c r="A1057" s="194" t="s">
        <v>1996</v>
      </c>
      <c r="B1057" s="194">
        <v>104175.0</v>
      </c>
      <c r="C1057" s="192" t="s">
        <v>1997</v>
      </c>
      <c r="D1057" s="192" t="s">
        <v>625</v>
      </c>
      <c r="E1057" s="235"/>
      <c r="F1057" s="235"/>
      <c r="G1057" s="325"/>
      <c r="H1057" s="235"/>
      <c r="I1057" s="235"/>
      <c r="J1057" s="235"/>
      <c r="K1057" s="235"/>
      <c r="L1057" s="235"/>
      <c r="M1057" s="235"/>
      <c r="N1057" s="235"/>
      <c r="O1057" s="235"/>
      <c r="P1057" s="235"/>
      <c r="Q1057" s="235"/>
      <c r="R1057" s="235"/>
      <c r="S1057" s="235"/>
      <c r="T1057" s="235"/>
      <c r="U1057" s="235"/>
      <c r="V1057" s="235"/>
      <c r="W1057" s="235"/>
      <c r="X1057" s="235"/>
      <c r="Y1057" s="235"/>
      <c r="Z1057" s="235"/>
      <c r="AA1057" s="235"/>
      <c r="AB1057" s="235"/>
      <c r="AC1057" s="235"/>
    </row>
    <row r="1058">
      <c r="A1058" s="194" t="s">
        <v>1998</v>
      </c>
      <c r="B1058" s="194">
        <v>105414.0</v>
      </c>
      <c r="C1058" s="192" t="s">
        <v>1999</v>
      </c>
      <c r="D1058" s="192" t="s">
        <v>625</v>
      </c>
      <c r="E1058" s="235"/>
      <c r="F1058" s="235"/>
      <c r="G1058" s="325"/>
      <c r="H1058" s="235"/>
      <c r="I1058" s="235"/>
      <c r="J1058" s="235"/>
      <c r="K1058" s="235"/>
      <c r="L1058" s="235"/>
      <c r="M1058" s="235"/>
      <c r="N1058" s="235"/>
      <c r="O1058" s="235"/>
      <c r="P1058" s="235"/>
      <c r="Q1058" s="235"/>
      <c r="R1058" s="235"/>
      <c r="S1058" s="235"/>
      <c r="T1058" s="235"/>
      <c r="U1058" s="235"/>
      <c r="V1058" s="235"/>
      <c r="W1058" s="235"/>
      <c r="X1058" s="235"/>
      <c r="Y1058" s="235"/>
      <c r="Z1058" s="235"/>
      <c r="AA1058" s="235"/>
      <c r="AB1058" s="235"/>
      <c r="AC1058" s="235"/>
    </row>
    <row r="1059">
      <c r="A1059" s="194" t="s">
        <v>2000</v>
      </c>
      <c r="B1059" s="194">
        <v>105567.0</v>
      </c>
      <c r="C1059" s="192" t="s">
        <v>2001</v>
      </c>
      <c r="D1059" s="192" t="s">
        <v>2002</v>
      </c>
      <c r="E1059" s="235"/>
      <c r="F1059" s="235"/>
      <c r="G1059" s="325"/>
      <c r="H1059" s="235"/>
      <c r="I1059" s="235"/>
      <c r="J1059" s="235"/>
      <c r="K1059" s="235"/>
      <c r="L1059" s="235"/>
      <c r="M1059" s="235"/>
      <c r="N1059" s="235"/>
      <c r="O1059" s="235"/>
      <c r="P1059" s="235"/>
      <c r="Q1059" s="235"/>
      <c r="R1059" s="235"/>
      <c r="S1059" s="235"/>
      <c r="T1059" s="235"/>
      <c r="U1059" s="235"/>
      <c r="V1059" s="235"/>
      <c r="W1059" s="235"/>
      <c r="X1059" s="235"/>
      <c r="Y1059" s="235"/>
      <c r="Z1059" s="235"/>
      <c r="AA1059" s="235"/>
      <c r="AB1059" s="235"/>
      <c r="AC1059" s="235"/>
    </row>
    <row r="1060">
      <c r="A1060" s="194" t="s">
        <v>2003</v>
      </c>
      <c r="B1060" s="194">
        <v>104567.0</v>
      </c>
      <c r="C1060" s="192" t="s">
        <v>2004</v>
      </c>
      <c r="D1060" s="192" t="s">
        <v>295</v>
      </c>
      <c r="E1060" s="235"/>
      <c r="F1060" s="235"/>
      <c r="G1060" s="325"/>
      <c r="H1060" s="235"/>
      <c r="I1060" s="235"/>
      <c r="J1060" s="235"/>
      <c r="K1060" s="235"/>
      <c r="L1060" s="235"/>
      <c r="M1060" s="235"/>
      <c r="N1060" s="235"/>
      <c r="O1060" s="235"/>
      <c r="P1060" s="235"/>
      <c r="Q1060" s="235"/>
      <c r="R1060" s="235"/>
      <c r="S1060" s="235"/>
      <c r="T1060" s="235"/>
      <c r="U1060" s="235"/>
      <c r="V1060" s="235"/>
      <c r="W1060" s="235"/>
      <c r="X1060" s="235"/>
      <c r="Y1060" s="235"/>
      <c r="Z1060" s="235"/>
      <c r="AA1060" s="235"/>
      <c r="AB1060" s="235"/>
      <c r="AC1060" s="235"/>
    </row>
    <row r="1061">
      <c r="A1061" s="194" t="s">
        <v>2005</v>
      </c>
      <c r="B1061" s="194">
        <v>104733.0</v>
      </c>
      <c r="C1061" s="192" t="s">
        <v>2006</v>
      </c>
      <c r="D1061" s="192" t="s">
        <v>125</v>
      </c>
      <c r="E1061" s="235"/>
      <c r="F1061" s="235"/>
      <c r="G1061" s="325"/>
      <c r="H1061" s="235"/>
      <c r="I1061" s="235"/>
      <c r="J1061" s="235"/>
      <c r="K1061" s="235"/>
      <c r="L1061" s="235"/>
      <c r="M1061" s="235"/>
      <c r="N1061" s="235"/>
      <c r="O1061" s="235"/>
      <c r="P1061" s="235"/>
      <c r="Q1061" s="235"/>
      <c r="R1061" s="235"/>
      <c r="S1061" s="235"/>
      <c r="T1061" s="235"/>
      <c r="U1061" s="235"/>
      <c r="V1061" s="235"/>
      <c r="W1061" s="235"/>
      <c r="X1061" s="235"/>
      <c r="Y1061" s="235"/>
      <c r="Z1061" s="235"/>
      <c r="AA1061" s="235"/>
      <c r="AB1061" s="235"/>
      <c r="AC1061" s="235"/>
    </row>
    <row r="1062">
      <c r="A1062" s="194" t="s">
        <v>2007</v>
      </c>
      <c r="B1062" s="194">
        <v>104242.0</v>
      </c>
      <c r="C1062" s="192" t="s">
        <v>2008</v>
      </c>
      <c r="D1062" s="192" t="s">
        <v>646</v>
      </c>
      <c r="E1062" s="235"/>
      <c r="F1062" s="235"/>
      <c r="G1062" s="325"/>
      <c r="H1062" s="235"/>
      <c r="I1062" s="235"/>
      <c r="J1062" s="235"/>
      <c r="K1062" s="235"/>
      <c r="L1062" s="235"/>
      <c r="M1062" s="235"/>
      <c r="N1062" s="235"/>
      <c r="O1062" s="235"/>
      <c r="P1062" s="235"/>
      <c r="Q1062" s="235"/>
      <c r="R1062" s="235"/>
      <c r="S1062" s="235"/>
      <c r="T1062" s="235"/>
      <c r="U1062" s="235"/>
      <c r="V1062" s="235"/>
      <c r="W1062" s="235"/>
      <c r="X1062" s="235"/>
      <c r="Y1062" s="235"/>
      <c r="Z1062" s="235"/>
      <c r="AA1062" s="235"/>
      <c r="AB1062" s="235"/>
      <c r="AC1062" s="235"/>
    </row>
    <row r="1063">
      <c r="A1063" s="194" t="s">
        <v>2009</v>
      </c>
      <c r="B1063" s="194">
        <v>104671.0</v>
      </c>
      <c r="C1063" s="192" t="s">
        <v>2010</v>
      </c>
      <c r="D1063" s="192" t="s">
        <v>625</v>
      </c>
      <c r="E1063" s="235"/>
      <c r="F1063" s="235"/>
      <c r="G1063" s="325"/>
      <c r="H1063" s="235"/>
      <c r="I1063" s="235"/>
      <c r="J1063" s="235"/>
      <c r="K1063" s="235"/>
      <c r="L1063" s="235"/>
      <c r="M1063" s="235"/>
      <c r="N1063" s="235"/>
      <c r="O1063" s="235"/>
      <c r="P1063" s="235"/>
      <c r="Q1063" s="235"/>
      <c r="R1063" s="235"/>
      <c r="S1063" s="235"/>
      <c r="T1063" s="235"/>
      <c r="U1063" s="235"/>
      <c r="V1063" s="235"/>
      <c r="W1063" s="235"/>
      <c r="X1063" s="235"/>
      <c r="Y1063" s="235"/>
      <c r="Z1063" s="235"/>
      <c r="AA1063" s="235"/>
      <c r="AB1063" s="235"/>
      <c r="AC1063" s="235"/>
    </row>
    <row r="1064">
      <c r="A1064" s="194" t="s">
        <v>2011</v>
      </c>
      <c r="B1064" s="194">
        <v>105569.0</v>
      </c>
      <c r="C1064" s="192" t="s">
        <v>2012</v>
      </c>
      <c r="D1064" s="192" t="s">
        <v>254</v>
      </c>
      <c r="E1064" s="235"/>
      <c r="F1064" s="235"/>
      <c r="G1064" s="325"/>
      <c r="H1064" s="235"/>
      <c r="I1064" s="235"/>
      <c r="J1064" s="235"/>
      <c r="K1064" s="235"/>
      <c r="L1064" s="235"/>
      <c r="M1064" s="235"/>
      <c r="N1064" s="235"/>
      <c r="O1064" s="235"/>
      <c r="P1064" s="235"/>
      <c r="Q1064" s="235"/>
      <c r="R1064" s="235"/>
      <c r="S1064" s="235"/>
      <c r="T1064" s="235"/>
      <c r="U1064" s="235"/>
      <c r="V1064" s="235"/>
      <c r="W1064" s="235"/>
      <c r="X1064" s="235"/>
      <c r="Y1064" s="235"/>
      <c r="Z1064" s="235"/>
      <c r="AA1064" s="235"/>
      <c r="AB1064" s="235"/>
      <c r="AC1064" s="235"/>
    </row>
    <row r="1065">
      <c r="A1065" s="194" t="s">
        <v>2014</v>
      </c>
      <c r="B1065" s="194">
        <v>104902.0</v>
      </c>
      <c r="C1065" s="192" t="s">
        <v>2015</v>
      </c>
      <c r="D1065" s="192" t="s">
        <v>254</v>
      </c>
      <c r="E1065" s="235"/>
      <c r="F1065" s="235"/>
      <c r="G1065" s="325"/>
      <c r="H1065" s="235"/>
      <c r="I1065" s="235"/>
      <c r="J1065" s="235"/>
      <c r="K1065" s="235"/>
      <c r="L1065" s="235"/>
      <c r="M1065" s="235"/>
      <c r="N1065" s="235"/>
      <c r="O1065" s="235"/>
      <c r="P1065" s="235"/>
      <c r="Q1065" s="235"/>
      <c r="R1065" s="235"/>
      <c r="S1065" s="235"/>
      <c r="T1065" s="235"/>
      <c r="U1065" s="235"/>
      <c r="V1065" s="235"/>
      <c r="W1065" s="235"/>
      <c r="X1065" s="235"/>
      <c r="Y1065" s="235"/>
      <c r="Z1065" s="235"/>
      <c r="AA1065" s="235"/>
      <c r="AB1065" s="235"/>
      <c r="AC1065" s="235"/>
    </row>
    <row r="1066">
      <c r="A1066" s="194" t="s">
        <v>2016</v>
      </c>
      <c r="B1066" s="194">
        <v>104727.0</v>
      </c>
      <c r="C1066" s="192" t="s">
        <v>2017</v>
      </c>
      <c r="D1066" s="192" t="s">
        <v>326</v>
      </c>
      <c r="E1066" s="235"/>
      <c r="F1066" s="235"/>
      <c r="G1066" s="325"/>
      <c r="H1066" s="235"/>
      <c r="I1066" s="235"/>
      <c r="J1066" s="235"/>
      <c r="K1066" s="235"/>
      <c r="L1066" s="235"/>
      <c r="M1066" s="235"/>
      <c r="N1066" s="235"/>
      <c r="O1066" s="235"/>
      <c r="P1066" s="235"/>
      <c r="Q1066" s="235"/>
      <c r="R1066" s="235"/>
      <c r="S1066" s="235"/>
      <c r="T1066" s="235"/>
      <c r="U1066" s="235"/>
      <c r="V1066" s="235"/>
      <c r="W1066" s="235"/>
      <c r="X1066" s="235"/>
      <c r="Y1066" s="235"/>
      <c r="Z1066" s="235"/>
      <c r="AA1066" s="235"/>
      <c r="AB1066" s="235"/>
      <c r="AC1066" s="235"/>
    </row>
    <row r="1067">
      <c r="A1067" s="194" t="s">
        <v>2018</v>
      </c>
      <c r="B1067" s="194">
        <v>105616.0</v>
      </c>
      <c r="C1067" s="192" t="s">
        <v>2019</v>
      </c>
      <c r="D1067" s="192" t="s">
        <v>1140</v>
      </c>
      <c r="E1067" s="235"/>
      <c r="F1067" s="235"/>
      <c r="G1067" s="325"/>
      <c r="H1067" s="235"/>
      <c r="I1067" s="235"/>
      <c r="J1067" s="235"/>
      <c r="K1067" s="235"/>
      <c r="L1067" s="235"/>
      <c r="M1067" s="235"/>
      <c r="N1067" s="235"/>
      <c r="O1067" s="235"/>
      <c r="P1067" s="235"/>
      <c r="Q1067" s="235"/>
      <c r="R1067" s="235"/>
      <c r="S1067" s="235"/>
      <c r="T1067" s="235"/>
      <c r="U1067" s="235"/>
      <c r="V1067" s="235"/>
      <c r="W1067" s="235"/>
      <c r="X1067" s="235"/>
      <c r="Y1067" s="235"/>
      <c r="Z1067" s="235"/>
      <c r="AA1067" s="235"/>
      <c r="AB1067" s="235"/>
      <c r="AC1067" s="235"/>
    </row>
    <row r="1068">
      <c r="A1068" s="194" t="s">
        <v>2018</v>
      </c>
      <c r="B1068" s="194">
        <v>105616.0</v>
      </c>
      <c r="C1068" s="192" t="s">
        <v>2019</v>
      </c>
      <c r="D1068" s="192"/>
      <c r="E1068" s="235"/>
      <c r="F1068" s="235"/>
      <c r="G1068" s="325"/>
      <c r="H1068" s="235"/>
      <c r="I1068" s="235"/>
      <c r="J1068" s="235"/>
      <c r="K1068" s="235"/>
      <c r="L1068" s="235"/>
      <c r="M1068" s="235"/>
      <c r="N1068" s="235"/>
      <c r="O1068" s="235"/>
      <c r="P1068" s="235"/>
      <c r="Q1068" s="235"/>
      <c r="R1068" s="235"/>
      <c r="S1068" s="235"/>
      <c r="T1068" s="235"/>
      <c r="U1068" s="235"/>
      <c r="V1068" s="235"/>
      <c r="W1068" s="235"/>
      <c r="X1068" s="235"/>
      <c r="Y1068" s="235"/>
      <c r="Z1068" s="235"/>
      <c r="AA1068" s="235"/>
      <c r="AB1068" s="235"/>
      <c r="AC1068" s="235"/>
    </row>
    <row r="1069">
      <c r="A1069" s="194" t="s">
        <v>2020</v>
      </c>
      <c r="B1069" s="194">
        <v>105622.0</v>
      </c>
      <c r="C1069" s="192" t="s">
        <v>2021</v>
      </c>
      <c r="D1069" s="192" t="s">
        <v>1140</v>
      </c>
      <c r="E1069" s="235"/>
      <c r="F1069" s="235"/>
      <c r="G1069" s="325"/>
      <c r="H1069" s="235"/>
      <c r="I1069" s="235"/>
      <c r="J1069" s="235"/>
      <c r="K1069" s="235"/>
      <c r="L1069" s="235"/>
      <c r="M1069" s="235"/>
      <c r="N1069" s="235"/>
      <c r="O1069" s="235"/>
      <c r="P1069" s="235"/>
      <c r="Q1069" s="235"/>
      <c r="R1069" s="235"/>
      <c r="S1069" s="235"/>
      <c r="T1069" s="235"/>
      <c r="U1069" s="235"/>
      <c r="V1069" s="235"/>
      <c r="W1069" s="235"/>
      <c r="X1069" s="235"/>
      <c r="Y1069" s="235"/>
      <c r="Z1069" s="235"/>
      <c r="AA1069" s="235"/>
      <c r="AB1069" s="235"/>
      <c r="AC1069" s="235"/>
    </row>
    <row r="1070">
      <c r="A1070" s="194" t="s">
        <v>2022</v>
      </c>
      <c r="B1070" s="194">
        <v>104594.0</v>
      </c>
      <c r="C1070" s="192" t="s">
        <v>2023</v>
      </c>
      <c r="D1070" s="192" t="s">
        <v>295</v>
      </c>
      <c r="E1070" s="235"/>
      <c r="F1070" s="235"/>
      <c r="G1070" s="325"/>
      <c r="H1070" s="235"/>
      <c r="I1070" s="235"/>
      <c r="J1070" s="235"/>
      <c r="K1070" s="235"/>
      <c r="L1070" s="235"/>
      <c r="M1070" s="235"/>
      <c r="N1070" s="235"/>
      <c r="O1070" s="235"/>
      <c r="P1070" s="235"/>
      <c r="Q1070" s="235"/>
      <c r="R1070" s="235"/>
      <c r="S1070" s="235"/>
      <c r="T1070" s="235"/>
      <c r="U1070" s="235"/>
      <c r="V1070" s="235"/>
      <c r="W1070" s="235"/>
      <c r="X1070" s="235"/>
      <c r="Y1070" s="235"/>
      <c r="Z1070" s="235"/>
      <c r="AA1070" s="235"/>
      <c r="AB1070" s="235"/>
      <c r="AC1070" s="235"/>
    </row>
    <row r="1071">
      <c r="A1071" s="194" t="s">
        <v>2024</v>
      </c>
      <c r="B1071" s="194">
        <v>104593.0</v>
      </c>
      <c r="C1071" s="192" t="s">
        <v>2025</v>
      </c>
      <c r="D1071" s="192" t="s">
        <v>295</v>
      </c>
      <c r="E1071" s="235"/>
      <c r="F1071" s="235"/>
      <c r="G1071" s="325"/>
      <c r="H1071" s="235"/>
      <c r="I1071" s="235"/>
      <c r="J1071" s="235"/>
      <c r="K1071" s="235"/>
      <c r="L1071" s="235"/>
      <c r="M1071" s="235"/>
      <c r="N1071" s="235"/>
      <c r="O1071" s="235"/>
      <c r="P1071" s="235"/>
      <c r="Q1071" s="235"/>
      <c r="R1071" s="235"/>
      <c r="S1071" s="235"/>
      <c r="T1071" s="235"/>
      <c r="U1071" s="235"/>
      <c r="V1071" s="235"/>
      <c r="W1071" s="235"/>
      <c r="X1071" s="235"/>
      <c r="Y1071" s="235"/>
      <c r="Z1071" s="235"/>
      <c r="AA1071" s="235"/>
      <c r="AB1071" s="235"/>
      <c r="AC1071" s="235"/>
    </row>
    <row r="1072">
      <c r="A1072" s="194" t="s">
        <v>2026</v>
      </c>
      <c r="B1072" s="194">
        <v>105573.0</v>
      </c>
      <c r="C1072" s="192" t="s">
        <v>2027</v>
      </c>
      <c r="D1072" s="192" t="s">
        <v>1140</v>
      </c>
      <c r="E1072" s="235"/>
      <c r="F1072" s="235"/>
      <c r="G1072" s="325"/>
      <c r="H1072" s="235"/>
      <c r="I1072" s="235"/>
      <c r="J1072" s="235"/>
      <c r="K1072" s="235"/>
      <c r="L1072" s="235"/>
      <c r="M1072" s="235"/>
      <c r="N1072" s="235"/>
      <c r="O1072" s="235"/>
      <c r="P1072" s="235"/>
      <c r="Q1072" s="235"/>
      <c r="R1072" s="235"/>
      <c r="S1072" s="235"/>
      <c r="T1072" s="235"/>
      <c r="U1072" s="235"/>
      <c r="V1072" s="235"/>
      <c r="W1072" s="235"/>
      <c r="X1072" s="235"/>
      <c r="Y1072" s="235"/>
      <c r="Z1072" s="235"/>
      <c r="AA1072" s="235"/>
      <c r="AB1072" s="235"/>
      <c r="AC1072" s="235"/>
    </row>
    <row r="1073">
      <c r="A1073" s="194" t="s">
        <v>2028</v>
      </c>
      <c r="B1073" s="194">
        <v>104607.0</v>
      </c>
      <c r="C1073" s="192" t="s">
        <v>2029</v>
      </c>
      <c r="D1073" s="192" t="s">
        <v>360</v>
      </c>
      <c r="E1073" s="235"/>
      <c r="F1073" s="235"/>
      <c r="G1073" s="325"/>
      <c r="H1073" s="235"/>
      <c r="I1073" s="235"/>
      <c r="J1073" s="235"/>
      <c r="K1073" s="235"/>
      <c r="L1073" s="235"/>
      <c r="M1073" s="235"/>
      <c r="N1073" s="235"/>
      <c r="O1073" s="235"/>
      <c r="P1073" s="235"/>
      <c r="Q1073" s="235"/>
      <c r="R1073" s="235"/>
      <c r="S1073" s="235"/>
      <c r="T1073" s="235"/>
      <c r="U1073" s="235"/>
      <c r="V1073" s="235"/>
      <c r="W1073" s="235"/>
      <c r="X1073" s="235"/>
      <c r="Y1073" s="235"/>
      <c r="Z1073" s="235"/>
      <c r="AA1073" s="235"/>
      <c r="AB1073" s="235"/>
      <c r="AC1073" s="235"/>
    </row>
    <row r="1074">
      <c r="A1074" s="194" t="s">
        <v>2030</v>
      </c>
      <c r="B1074" s="194">
        <v>105615.0</v>
      </c>
      <c r="C1074" s="192" t="s">
        <v>2031</v>
      </c>
      <c r="D1074" s="192" t="s">
        <v>1140</v>
      </c>
      <c r="E1074" s="235"/>
      <c r="F1074" s="235"/>
      <c r="G1074" s="325"/>
      <c r="H1074" s="235"/>
      <c r="I1074" s="235"/>
      <c r="J1074" s="235"/>
      <c r="K1074" s="235"/>
      <c r="L1074" s="235"/>
      <c r="M1074" s="235"/>
      <c r="N1074" s="235"/>
      <c r="O1074" s="235"/>
      <c r="P1074" s="235"/>
      <c r="Q1074" s="235"/>
      <c r="R1074" s="235"/>
      <c r="S1074" s="235"/>
      <c r="T1074" s="235"/>
      <c r="U1074" s="235"/>
      <c r="V1074" s="235"/>
      <c r="W1074" s="235"/>
      <c r="X1074" s="235"/>
      <c r="Y1074" s="235"/>
      <c r="Z1074" s="235"/>
      <c r="AA1074" s="235"/>
      <c r="AB1074" s="235"/>
      <c r="AC1074" s="235"/>
    </row>
    <row r="1075">
      <c r="A1075" s="194" t="s">
        <v>2032</v>
      </c>
      <c r="B1075" s="194">
        <v>105640.0</v>
      </c>
      <c r="C1075" s="192" t="s">
        <v>2033</v>
      </c>
      <c r="D1075" s="192" t="s">
        <v>1140</v>
      </c>
      <c r="E1075" s="235"/>
      <c r="F1075" s="235"/>
      <c r="G1075" s="325"/>
      <c r="H1075" s="235"/>
      <c r="I1075" s="235"/>
      <c r="J1075" s="235"/>
      <c r="K1075" s="235"/>
      <c r="L1075" s="235"/>
      <c r="M1075" s="235"/>
      <c r="N1075" s="235"/>
      <c r="O1075" s="235"/>
      <c r="P1075" s="235"/>
      <c r="Q1075" s="235"/>
      <c r="R1075" s="235"/>
      <c r="S1075" s="235"/>
      <c r="T1075" s="235"/>
      <c r="U1075" s="235"/>
      <c r="V1075" s="235"/>
      <c r="W1075" s="235"/>
      <c r="X1075" s="235"/>
      <c r="Y1075" s="235"/>
      <c r="Z1075" s="235"/>
      <c r="AA1075" s="235"/>
      <c r="AB1075" s="235"/>
      <c r="AC1075" s="235"/>
    </row>
    <row r="1076">
      <c r="A1076" s="194" t="s">
        <v>2034</v>
      </c>
      <c r="B1076" s="194">
        <v>105637.0</v>
      </c>
      <c r="C1076" s="192" t="s">
        <v>2035</v>
      </c>
      <c r="D1076" s="192" t="s">
        <v>1140</v>
      </c>
      <c r="E1076" s="235"/>
      <c r="F1076" s="235"/>
      <c r="G1076" s="325"/>
      <c r="H1076" s="235"/>
      <c r="I1076" s="235"/>
      <c r="J1076" s="235"/>
      <c r="K1076" s="235"/>
      <c r="L1076" s="235"/>
      <c r="M1076" s="235"/>
      <c r="N1076" s="235"/>
      <c r="O1076" s="235"/>
      <c r="P1076" s="235"/>
      <c r="Q1076" s="235"/>
      <c r="R1076" s="235"/>
      <c r="S1076" s="235"/>
      <c r="T1076" s="235"/>
      <c r="U1076" s="235"/>
      <c r="V1076" s="235"/>
      <c r="W1076" s="235"/>
      <c r="X1076" s="235"/>
      <c r="Y1076" s="235"/>
      <c r="Z1076" s="235"/>
      <c r="AA1076" s="235"/>
      <c r="AB1076" s="235"/>
      <c r="AC1076" s="235"/>
    </row>
    <row r="1077">
      <c r="A1077" s="194" t="s">
        <v>2034</v>
      </c>
      <c r="B1077" s="194"/>
      <c r="C1077" s="192" t="e">
        <v>#REF!</v>
      </c>
      <c r="D1077" s="192"/>
      <c r="E1077" s="235"/>
      <c r="F1077" s="235"/>
      <c r="G1077" s="325"/>
      <c r="H1077" s="235"/>
      <c r="I1077" s="235"/>
      <c r="J1077" s="235"/>
      <c r="K1077" s="235"/>
      <c r="L1077" s="235"/>
      <c r="M1077" s="235"/>
      <c r="N1077" s="235"/>
      <c r="O1077" s="235"/>
      <c r="P1077" s="235"/>
      <c r="Q1077" s="235"/>
      <c r="R1077" s="235"/>
      <c r="S1077" s="235"/>
      <c r="T1077" s="235"/>
      <c r="U1077" s="235"/>
      <c r="V1077" s="235"/>
      <c r="W1077" s="235"/>
      <c r="X1077" s="235"/>
      <c r="Y1077" s="235"/>
      <c r="Z1077" s="235"/>
      <c r="AA1077" s="235"/>
      <c r="AB1077" s="235"/>
      <c r="AC1077" s="235"/>
    </row>
    <row r="1078">
      <c r="A1078" s="194" t="s">
        <v>2036</v>
      </c>
      <c r="B1078" s="194">
        <v>105651.0</v>
      </c>
      <c r="C1078" s="192" t="s">
        <v>2037</v>
      </c>
      <c r="D1078" s="192" t="s">
        <v>1140</v>
      </c>
      <c r="E1078" s="235"/>
      <c r="F1078" s="235"/>
      <c r="G1078" s="325"/>
      <c r="H1078" s="235"/>
      <c r="I1078" s="235"/>
      <c r="J1078" s="235"/>
      <c r="K1078" s="235"/>
      <c r="L1078" s="235"/>
      <c r="M1078" s="235"/>
      <c r="N1078" s="235"/>
      <c r="O1078" s="235"/>
      <c r="P1078" s="235"/>
      <c r="Q1078" s="235"/>
      <c r="R1078" s="235"/>
      <c r="S1078" s="235"/>
      <c r="T1078" s="235"/>
      <c r="U1078" s="235"/>
      <c r="V1078" s="235"/>
      <c r="W1078" s="235"/>
      <c r="X1078" s="235"/>
      <c r="Y1078" s="235"/>
      <c r="Z1078" s="235"/>
      <c r="AA1078" s="235"/>
      <c r="AB1078" s="235"/>
      <c r="AC1078" s="235"/>
    </row>
    <row r="1079">
      <c r="A1079" s="194" t="s">
        <v>2038</v>
      </c>
      <c r="B1079" s="194">
        <v>105132.0</v>
      </c>
      <c r="C1079" s="192" t="s">
        <v>2039</v>
      </c>
      <c r="D1079" s="192" t="s">
        <v>185</v>
      </c>
      <c r="E1079" s="235"/>
      <c r="F1079" s="235"/>
      <c r="G1079" s="325"/>
      <c r="H1079" s="235"/>
      <c r="I1079" s="235"/>
      <c r="J1079" s="235"/>
      <c r="K1079" s="235"/>
      <c r="L1079" s="235"/>
      <c r="M1079" s="235"/>
      <c r="N1079" s="235"/>
      <c r="O1079" s="235"/>
      <c r="P1079" s="235"/>
      <c r="Q1079" s="235"/>
      <c r="R1079" s="235"/>
      <c r="S1079" s="235"/>
      <c r="T1079" s="235"/>
      <c r="U1079" s="235"/>
      <c r="V1079" s="235"/>
      <c r="W1079" s="235"/>
      <c r="X1079" s="235"/>
      <c r="Y1079" s="235"/>
      <c r="Z1079" s="235"/>
      <c r="AA1079" s="235"/>
      <c r="AB1079" s="235"/>
      <c r="AC1079" s="235"/>
    </row>
    <row r="1080">
      <c r="A1080" s="194" t="s">
        <v>2040</v>
      </c>
      <c r="B1080" s="194">
        <v>105423.0</v>
      </c>
      <c r="C1080" s="192" t="s">
        <v>2041</v>
      </c>
      <c r="D1080" s="192" t="s">
        <v>454</v>
      </c>
      <c r="E1080" s="235"/>
      <c r="F1080" s="235"/>
      <c r="G1080" s="325"/>
      <c r="H1080" s="235"/>
      <c r="I1080" s="235"/>
      <c r="J1080" s="235"/>
      <c r="K1080" s="235"/>
      <c r="L1080" s="235"/>
      <c r="M1080" s="235"/>
      <c r="N1080" s="235"/>
      <c r="O1080" s="235"/>
      <c r="P1080" s="235"/>
      <c r="Q1080" s="235"/>
      <c r="R1080" s="235"/>
      <c r="S1080" s="235"/>
      <c r="T1080" s="235"/>
      <c r="U1080" s="235"/>
      <c r="V1080" s="235"/>
      <c r="W1080" s="235"/>
      <c r="X1080" s="235"/>
      <c r="Y1080" s="235"/>
      <c r="Z1080" s="235"/>
      <c r="AA1080" s="235"/>
      <c r="AB1080" s="235"/>
      <c r="AC1080" s="235"/>
    </row>
    <row r="1081">
      <c r="A1081" s="194" t="s">
        <v>2042</v>
      </c>
      <c r="B1081" s="194">
        <v>104926.0</v>
      </c>
      <c r="C1081" s="192" t="s">
        <v>2043</v>
      </c>
      <c r="D1081" s="192" t="s">
        <v>87</v>
      </c>
      <c r="E1081" s="235"/>
      <c r="F1081" s="235"/>
      <c r="G1081" s="325"/>
      <c r="H1081" s="235"/>
      <c r="I1081" s="235"/>
      <c r="J1081" s="235"/>
      <c r="K1081" s="235"/>
      <c r="L1081" s="235"/>
      <c r="M1081" s="235"/>
      <c r="N1081" s="235"/>
      <c r="O1081" s="235"/>
      <c r="P1081" s="235"/>
      <c r="Q1081" s="235"/>
      <c r="R1081" s="235"/>
      <c r="S1081" s="235"/>
      <c r="T1081" s="235"/>
      <c r="U1081" s="235"/>
      <c r="V1081" s="235"/>
      <c r="W1081" s="235"/>
      <c r="X1081" s="235"/>
      <c r="Y1081" s="235"/>
      <c r="Z1081" s="235"/>
      <c r="AA1081" s="235"/>
      <c r="AB1081" s="235"/>
      <c r="AC1081" s="235"/>
    </row>
    <row r="1082">
      <c r="A1082" s="194" t="s">
        <v>2045</v>
      </c>
      <c r="B1082" s="194">
        <v>105097.0</v>
      </c>
      <c r="C1082" s="192" t="s">
        <v>2046</v>
      </c>
      <c r="D1082" s="192" t="s">
        <v>806</v>
      </c>
      <c r="E1082" s="235"/>
      <c r="F1082" s="235"/>
      <c r="G1082" s="325"/>
      <c r="H1082" s="235"/>
      <c r="I1082" s="235"/>
      <c r="J1082" s="235"/>
      <c r="K1082" s="235"/>
      <c r="L1082" s="235"/>
      <c r="M1082" s="235"/>
      <c r="N1082" s="235"/>
      <c r="O1082" s="235"/>
      <c r="P1082" s="235"/>
      <c r="Q1082" s="235"/>
      <c r="R1082" s="235"/>
      <c r="S1082" s="235"/>
      <c r="T1082" s="235"/>
      <c r="U1082" s="235"/>
      <c r="V1082" s="235"/>
      <c r="W1082" s="235"/>
      <c r="X1082" s="235"/>
      <c r="Y1082" s="235"/>
      <c r="Z1082" s="235"/>
      <c r="AA1082" s="235"/>
      <c r="AB1082" s="235"/>
      <c r="AC1082" s="235"/>
    </row>
    <row r="1083">
      <c r="A1083" s="194" t="s">
        <v>2047</v>
      </c>
      <c r="B1083" s="194">
        <v>104936.0</v>
      </c>
      <c r="C1083" s="192" t="s">
        <v>2048</v>
      </c>
      <c r="D1083" s="192" t="s">
        <v>2049</v>
      </c>
      <c r="E1083" s="235"/>
      <c r="F1083" s="235"/>
      <c r="G1083" s="325"/>
      <c r="H1083" s="235"/>
      <c r="I1083" s="235"/>
      <c r="J1083" s="235"/>
      <c r="K1083" s="235"/>
      <c r="L1083" s="235"/>
      <c r="M1083" s="235"/>
      <c r="N1083" s="235"/>
      <c r="O1083" s="235"/>
      <c r="P1083" s="235"/>
      <c r="Q1083" s="235"/>
      <c r="R1083" s="235"/>
      <c r="S1083" s="235"/>
      <c r="T1083" s="235"/>
      <c r="U1083" s="235"/>
      <c r="V1083" s="235"/>
      <c r="W1083" s="235"/>
      <c r="X1083" s="235"/>
      <c r="Y1083" s="235"/>
      <c r="Z1083" s="235"/>
      <c r="AA1083" s="235"/>
      <c r="AB1083" s="235"/>
      <c r="AC1083" s="235"/>
    </row>
    <row r="1084">
      <c r="A1084" s="194" t="s">
        <v>2050</v>
      </c>
      <c r="B1084" s="194">
        <v>104736.0</v>
      </c>
      <c r="C1084" s="192" t="s">
        <v>2051</v>
      </c>
      <c r="D1084" s="192" t="s">
        <v>1726</v>
      </c>
      <c r="E1084" s="235"/>
      <c r="F1084" s="235"/>
      <c r="G1084" s="325"/>
      <c r="H1084" s="235"/>
      <c r="I1084" s="235"/>
      <c r="J1084" s="235"/>
      <c r="K1084" s="235"/>
      <c r="L1084" s="235"/>
      <c r="M1084" s="235"/>
      <c r="N1084" s="235"/>
      <c r="O1084" s="235"/>
      <c r="P1084" s="235"/>
      <c r="Q1084" s="235"/>
      <c r="R1084" s="235"/>
      <c r="S1084" s="235"/>
      <c r="T1084" s="235"/>
      <c r="U1084" s="235"/>
      <c r="V1084" s="235"/>
      <c r="W1084" s="235"/>
      <c r="X1084" s="235"/>
      <c r="Y1084" s="235"/>
      <c r="Z1084" s="235"/>
      <c r="AA1084" s="235"/>
      <c r="AB1084" s="235"/>
      <c r="AC1084" s="235"/>
    </row>
    <row r="1085">
      <c r="A1085" s="194" t="s">
        <v>2052</v>
      </c>
      <c r="B1085" s="194">
        <v>105256.0</v>
      </c>
      <c r="C1085" s="192" t="s">
        <v>2053</v>
      </c>
      <c r="D1085" s="192" t="s">
        <v>646</v>
      </c>
      <c r="E1085" s="235"/>
      <c r="F1085" s="235"/>
      <c r="G1085" s="325"/>
      <c r="H1085" s="235"/>
      <c r="I1085" s="235"/>
      <c r="J1085" s="235"/>
      <c r="K1085" s="235"/>
      <c r="L1085" s="235"/>
      <c r="M1085" s="235"/>
      <c r="N1085" s="235"/>
      <c r="O1085" s="235"/>
      <c r="P1085" s="235"/>
      <c r="Q1085" s="235"/>
      <c r="R1085" s="235"/>
      <c r="S1085" s="235"/>
      <c r="T1085" s="235"/>
      <c r="U1085" s="235"/>
      <c r="V1085" s="235"/>
      <c r="W1085" s="235"/>
      <c r="X1085" s="235"/>
      <c r="Y1085" s="235"/>
      <c r="Z1085" s="235"/>
      <c r="AA1085" s="235"/>
      <c r="AB1085" s="235"/>
      <c r="AC1085" s="235"/>
    </row>
    <row r="1086">
      <c r="A1086" s="194" t="s">
        <v>2054</v>
      </c>
      <c r="B1086" s="194">
        <v>104824.0</v>
      </c>
      <c r="C1086" s="192" t="s">
        <v>2055</v>
      </c>
      <c r="D1086" s="192" t="s">
        <v>1392</v>
      </c>
      <c r="E1086" s="235"/>
      <c r="F1086" s="235"/>
      <c r="G1086" s="325"/>
      <c r="H1086" s="235"/>
      <c r="I1086" s="235"/>
      <c r="J1086" s="235"/>
      <c r="K1086" s="235"/>
      <c r="L1086" s="235"/>
      <c r="M1086" s="235"/>
      <c r="N1086" s="235"/>
      <c r="O1086" s="235"/>
      <c r="P1086" s="235"/>
      <c r="Q1086" s="235"/>
      <c r="R1086" s="235"/>
      <c r="S1086" s="235"/>
      <c r="T1086" s="235"/>
      <c r="U1086" s="235"/>
      <c r="V1086" s="235"/>
      <c r="W1086" s="235"/>
      <c r="X1086" s="235"/>
      <c r="Y1086" s="235"/>
      <c r="Z1086" s="235"/>
      <c r="AA1086" s="235"/>
      <c r="AB1086" s="235"/>
      <c r="AC1086" s="235"/>
    </row>
    <row r="1087">
      <c r="A1087" s="194" t="s">
        <v>2056</v>
      </c>
      <c r="B1087" s="194">
        <v>104825.0</v>
      </c>
      <c r="C1087" s="192" t="s">
        <v>2057</v>
      </c>
      <c r="D1087" s="192" t="s">
        <v>1140</v>
      </c>
      <c r="E1087" s="235"/>
      <c r="F1087" s="235"/>
      <c r="G1087" s="325"/>
      <c r="H1087" s="235"/>
      <c r="I1087" s="235"/>
      <c r="J1087" s="235"/>
      <c r="K1087" s="235"/>
      <c r="L1087" s="235"/>
      <c r="M1087" s="235"/>
      <c r="N1087" s="235"/>
      <c r="O1087" s="235"/>
      <c r="P1087" s="235"/>
      <c r="Q1087" s="235"/>
      <c r="R1087" s="235"/>
      <c r="S1087" s="235"/>
      <c r="T1087" s="235"/>
      <c r="U1087" s="235"/>
      <c r="V1087" s="235"/>
      <c r="W1087" s="235"/>
      <c r="X1087" s="235"/>
      <c r="Y1087" s="235"/>
      <c r="Z1087" s="235"/>
      <c r="AA1087" s="235"/>
      <c r="AB1087" s="235"/>
      <c r="AC1087" s="235"/>
    </row>
    <row r="1088">
      <c r="A1088" s="194" t="s">
        <v>2058</v>
      </c>
      <c r="B1088" s="194">
        <v>104834.0</v>
      </c>
      <c r="C1088" s="192" t="s">
        <v>2059</v>
      </c>
      <c r="D1088" s="192" t="s">
        <v>1140</v>
      </c>
      <c r="E1088" s="235"/>
      <c r="F1088" s="235"/>
      <c r="G1088" s="325"/>
      <c r="H1088" s="235"/>
      <c r="I1088" s="235"/>
      <c r="J1088" s="235"/>
      <c r="K1088" s="235"/>
      <c r="L1088" s="235"/>
      <c r="M1088" s="235"/>
      <c r="N1088" s="235"/>
      <c r="O1088" s="235"/>
      <c r="P1088" s="235"/>
      <c r="Q1088" s="235"/>
      <c r="R1088" s="235"/>
      <c r="S1088" s="235"/>
      <c r="T1088" s="235"/>
      <c r="U1088" s="235"/>
      <c r="V1088" s="235"/>
      <c r="W1088" s="235"/>
      <c r="X1088" s="235"/>
      <c r="Y1088" s="235"/>
      <c r="Z1088" s="235"/>
      <c r="AA1088" s="235"/>
      <c r="AB1088" s="235"/>
      <c r="AC1088" s="235"/>
    </row>
    <row r="1089">
      <c r="A1089" s="194" t="s">
        <v>2060</v>
      </c>
      <c r="B1089" s="194">
        <v>104511.0</v>
      </c>
      <c r="C1089" s="192" t="s">
        <v>2061</v>
      </c>
      <c r="D1089" s="192" t="s">
        <v>1723</v>
      </c>
      <c r="E1089" s="235"/>
      <c r="F1089" s="235"/>
      <c r="G1089" s="325"/>
      <c r="H1089" s="235"/>
      <c r="I1089" s="235"/>
      <c r="J1089" s="235"/>
      <c r="K1089" s="235"/>
      <c r="L1089" s="235"/>
      <c r="M1089" s="235"/>
      <c r="N1089" s="235"/>
      <c r="O1089" s="235"/>
      <c r="P1089" s="235"/>
      <c r="Q1089" s="235"/>
      <c r="R1089" s="235"/>
      <c r="S1089" s="235"/>
      <c r="T1089" s="235"/>
      <c r="U1089" s="235"/>
      <c r="V1089" s="235"/>
      <c r="W1089" s="235"/>
      <c r="X1089" s="235"/>
      <c r="Y1089" s="235"/>
      <c r="Z1089" s="235"/>
      <c r="AA1089" s="235"/>
      <c r="AB1089" s="235"/>
      <c r="AC1089" s="235"/>
    </row>
    <row r="1090">
      <c r="A1090" s="194" t="s">
        <v>2062</v>
      </c>
      <c r="B1090" s="194">
        <v>104595.0</v>
      </c>
      <c r="C1090" s="192" t="s">
        <v>2063</v>
      </c>
      <c r="D1090" s="192" t="s">
        <v>380</v>
      </c>
      <c r="E1090" s="235"/>
      <c r="F1090" s="235"/>
      <c r="G1090" s="325"/>
      <c r="H1090" s="235"/>
      <c r="I1090" s="235"/>
      <c r="J1090" s="235"/>
      <c r="K1090" s="235"/>
      <c r="L1090" s="235"/>
      <c r="M1090" s="235"/>
      <c r="N1090" s="235"/>
      <c r="O1090" s="235"/>
      <c r="P1090" s="235"/>
      <c r="Q1090" s="235"/>
      <c r="R1090" s="235"/>
      <c r="S1090" s="235"/>
      <c r="T1090" s="235"/>
      <c r="U1090" s="235"/>
      <c r="V1090" s="235"/>
      <c r="W1090" s="235"/>
      <c r="X1090" s="235"/>
      <c r="Y1090" s="235"/>
      <c r="Z1090" s="235"/>
      <c r="AA1090" s="235"/>
      <c r="AB1090" s="235"/>
      <c r="AC1090" s="235"/>
    </row>
    <row r="1091">
      <c r="A1091" s="194" t="s">
        <v>2064</v>
      </c>
      <c r="B1091" s="194">
        <v>105131.0</v>
      </c>
      <c r="C1091" s="192" t="s">
        <v>2065</v>
      </c>
      <c r="D1091" s="192" t="s">
        <v>51</v>
      </c>
      <c r="E1091" s="235"/>
      <c r="F1091" s="235"/>
      <c r="G1091" s="325"/>
      <c r="H1091" s="235"/>
      <c r="I1091" s="235"/>
      <c r="J1091" s="235"/>
      <c r="K1091" s="235"/>
      <c r="L1091" s="235"/>
      <c r="M1091" s="235"/>
      <c r="N1091" s="235"/>
      <c r="O1091" s="235"/>
      <c r="P1091" s="235"/>
      <c r="Q1091" s="235"/>
      <c r="R1091" s="235"/>
      <c r="S1091" s="235"/>
      <c r="T1091" s="235"/>
      <c r="U1091" s="235"/>
      <c r="V1091" s="235"/>
      <c r="W1091" s="235"/>
      <c r="X1091" s="235"/>
      <c r="Y1091" s="235"/>
      <c r="Z1091" s="235"/>
      <c r="AA1091" s="235"/>
      <c r="AB1091" s="235"/>
      <c r="AC1091" s="235"/>
    </row>
    <row r="1092">
      <c r="A1092" s="194" t="s">
        <v>2066</v>
      </c>
      <c r="B1092" s="194">
        <v>104541.0</v>
      </c>
      <c r="C1092" s="192" t="s">
        <v>2067</v>
      </c>
      <c r="D1092" s="192" t="s">
        <v>360</v>
      </c>
      <c r="E1092" s="235"/>
      <c r="F1092" s="235"/>
      <c r="G1092" s="325"/>
      <c r="H1092" s="235"/>
      <c r="I1092" s="235"/>
      <c r="J1092" s="235"/>
      <c r="K1092" s="235"/>
      <c r="L1092" s="235"/>
      <c r="M1092" s="235"/>
      <c r="N1092" s="235"/>
      <c r="O1092" s="235"/>
      <c r="P1092" s="235"/>
      <c r="Q1092" s="235"/>
      <c r="R1092" s="235"/>
      <c r="S1092" s="235"/>
      <c r="T1092" s="235"/>
      <c r="U1092" s="235"/>
      <c r="V1092" s="235"/>
      <c r="W1092" s="235"/>
      <c r="X1092" s="235"/>
      <c r="Y1092" s="235"/>
      <c r="Z1092" s="235"/>
      <c r="AA1092" s="235"/>
      <c r="AB1092" s="235"/>
      <c r="AC1092" s="235"/>
    </row>
    <row r="1093">
      <c r="A1093" s="194" t="s">
        <v>2068</v>
      </c>
      <c r="B1093" s="194">
        <v>104561.0</v>
      </c>
      <c r="C1093" s="192" t="s">
        <v>2069</v>
      </c>
      <c r="D1093" s="192" t="s">
        <v>125</v>
      </c>
      <c r="E1093" s="235"/>
      <c r="F1093" s="235"/>
      <c r="G1093" s="325"/>
      <c r="H1093" s="235"/>
      <c r="I1093" s="235"/>
      <c r="J1093" s="235"/>
      <c r="K1093" s="235"/>
      <c r="L1093" s="235"/>
      <c r="M1093" s="235"/>
      <c r="N1093" s="235"/>
      <c r="O1093" s="235"/>
      <c r="P1093" s="235"/>
      <c r="Q1093" s="235"/>
      <c r="R1093" s="235"/>
      <c r="S1093" s="235"/>
      <c r="T1093" s="235"/>
      <c r="U1093" s="235"/>
      <c r="V1093" s="235"/>
      <c r="W1093" s="235"/>
      <c r="X1093" s="235"/>
      <c r="Y1093" s="235"/>
      <c r="Z1093" s="235"/>
      <c r="AA1093" s="235"/>
      <c r="AB1093" s="235"/>
      <c r="AC1093" s="235"/>
    </row>
    <row r="1094">
      <c r="A1094" s="194" t="s">
        <v>1454</v>
      </c>
      <c r="B1094" s="194">
        <v>104487.0</v>
      </c>
      <c r="C1094" s="192" t="s">
        <v>1455</v>
      </c>
      <c r="D1094" s="192" t="s">
        <v>427</v>
      </c>
      <c r="E1094" s="235"/>
      <c r="F1094" s="235"/>
      <c r="G1094" s="325"/>
      <c r="H1094" s="235"/>
      <c r="I1094" s="235"/>
      <c r="J1094" s="235"/>
      <c r="K1094" s="235"/>
      <c r="L1094" s="235"/>
      <c r="M1094" s="235"/>
      <c r="N1094" s="235"/>
      <c r="O1094" s="235"/>
      <c r="P1094" s="235"/>
      <c r="Q1094" s="235"/>
      <c r="R1094" s="235"/>
      <c r="S1094" s="235"/>
      <c r="T1094" s="235"/>
      <c r="U1094" s="235"/>
      <c r="V1094" s="235"/>
      <c r="W1094" s="235"/>
      <c r="X1094" s="235"/>
      <c r="Y1094" s="235"/>
      <c r="Z1094" s="235"/>
      <c r="AA1094" s="235"/>
      <c r="AB1094" s="235"/>
      <c r="AC1094" s="235"/>
    </row>
    <row r="1095">
      <c r="A1095" s="194" t="s">
        <v>1452</v>
      </c>
      <c r="B1095" s="194">
        <v>104460.0</v>
      </c>
      <c r="C1095" s="192" t="s">
        <v>1453</v>
      </c>
      <c r="D1095" s="192" t="s">
        <v>646</v>
      </c>
      <c r="E1095" s="235"/>
      <c r="F1095" s="235"/>
      <c r="G1095" s="325"/>
      <c r="H1095" s="235"/>
      <c r="I1095" s="235"/>
      <c r="J1095" s="235"/>
      <c r="K1095" s="235"/>
      <c r="L1095" s="235"/>
      <c r="M1095" s="235"/>
      <c r="N1095" s="235"/>
      <c r="O1095" s="235"/>
      <c r="P1095" s="235"/>
      <c r="Q1095" s="235"/>
      <c r="R1095" s="235"/>
      <c r="S1095" s="235"/>
      <c r="T1095" s="235"/>
      <c r="U1095" s="235"/>
      <c r="V1095" s="235"/>
      <c r="W1095" s="235"/>
      <c r="X1095" s="235"/>
      <c r="Y1095" s="235"/>
      <c r="Z1095" s="235"/>
      <c r="AA1095" s="235"/>
      <c r="AB1095" s="235"/>
      <c r="AC1095" s="235"/>
    </row>
    <row r="1096">
      <c r="A1096" s="194" t="s">
        <v>2070</v>
      </c>
      <c r="B1096" s="194">
        <v>104545.0</v>
      </c>
      <c r="C1096" s="192" t="s">
        <v>2071</v>
      </c>
      <c r="D1096" s="192" t="s">
        <v>326</v>
      </c>
      <c r="E1096" s="235"/>
      <c r="F1096" s="235"/>
      <c r="G1096" s="325"/>
      <c r="H1096" s="235"/>
      <c r="I1096" s="235"/>
      <c r="J1096" s="235"/>
      <c r="K1096" s="235"/>
      <c r="L1096" s="235"/>
      <c r="M1096" s="235"/>
      <c r="N1096" s="235"/>
      <c r="O1096" s="235"/>
      <c r="P1096" s="235"/>
      <c r="Q1096" s="235"/>
      <c r="R1096" s="235"/>
      <c r="S1096" s="235"/>
      <c r="T1096" s="235"/>
      <c r="U1096" s="235"/>
      <c r="V1096" s="235"/>
      <c r="W1096" s="235"/>
      <c r="X1096" s="235"/>
      <c r="Y1096" s="235"/>
      <c r="Z1096" s="235"/>
      <c r="AA1096" s="235"/>
      <c r="AB1096" s="235"/>
      <c r="AC1096" s="235"/>
    </row>
    <row r="1097">
      <c r="A1097" s="194" t="s">
        <v>1450</v>
      </c>
      <c r="B1097" s="194">
        <v>104465.0</v>
      </c>
      <c r="C1097" s="192" t="s">
        <v>1451</v>
      </c>
      <c r="D1097" s="192" t="s">
        <v>1140</v>
      </c>
      <c r="E1097" s="235"/>
      <c r="F1097" s="235"/>
      <c r="G1097" s="325"/>
      <c r="H1097" s="235"/>
      <c r="I1097" s="235"/>
      <c r="J1097" s="235"/>
      <c r="K1097" s="235"/>
      <c r="L1097" s="235"/>
      <c r="M1097" s="235"/>
      <c r="N1097" s="235"/>
      <c r="O1097" s="235"/>
      <c r="P1097" s="235"/>
      <c r="Q1097" s="235"/>
      <c r="R1097" s="235"/>
      <c r="S1097" s="235"/>
      <c r="T1097" s="235"/>
      <c r="U1097" s="235"/>
      <c r="V1097" s="235"/>
      <c r="W1097" s="235"/>
      <c r="X1097" s="235"/>
      <c r="Y1097" s="235"/>
      <c r="Z1097" s="235"/>
      <c r="AA1097" s="235"/>
      <c r="AB1097" s="235"/>
      <c r="AC1097" s="235"/>
    </row>
    <row r="1098">
      <c r="A1098" s="194" t="s">
        <v>2072</v>
      </c>
      <c r="B1098" s="194">
        <v>104495.0</v>
      </c>
      <c r="C1098" s="192" t="s">
        <v>2073</v>
      </c>
      <c r="D1098" s="192" t="s">
        <v>646</v>
      </c>
      <c r="E1098" s="235"/>
      <c r="F1098" s="235"/>
      <c r="G1098" s="325"/>
      <c r="H1098" s="235"/>
      <c r="I1098" s="235"/>
      <c r="J1098" s="235"/>
      <c r="K1098" s="235"/>
      <c r="L1098" s="235"/>
      <c r="M1098" s="235"/>
      <c r="N1098" s="235"/>
      <c r="O1098" s="235"/>
      <c r="P1098" s="235"/>
      <c r="Q1098" s="235"/>
      <c r="R1098" s="235"/>
      <c r="S1098" s="235"/>
      <c r="T1098" s="235"/>
      <c r="U1098" s="235"/>
      <c r="V1098" s="235"/>
      <c r="W1098" s="235"/>
      <c r="X1098" s="235"/>
      <c r="Y1098" s="235"/>
      <c r="Z1098" s="235"/>
      <c r="AA1098" s="235"/>
      <c r="AB1098" s="235"/>
      <c r="AC1098" s="235"/>
    </row>
    <row r="1099">
      <c r="A1099" s="194" t="s">
        <v>2074</v>
      </c>
      <c r="B1099" s="194">
        <v>105134.0</v>
      </c>
      <c r="C1099" s="192" t="s">
        <v>2075</v>
      </c>
      <c r="D1099" s="192" t="s">
        <v>185</v>
      </c>
      <c r="E1099" s="235"/>
      <c r="F1099" s="235"/>
      <c r="G1099" s="325"/>
      <c r="H1099" s="235"/>
      <c r="I1099" s="235"/>
      <c r="J1099" s="235"/>
      <c r="K1099" s="235"/>
      <c r="L1099" s="235"/>
      <c r="M1099" s="235"/>
      <c r="N1099" s="235"/>
      <c r="O1099" s="235"/>
      <c r="P1099" s="235"/>
      <c r="Q1099" s="235"/>
      <c r="R1099" s="235"/>
      <c r="S1099" s="235"/>
      <c r="T1099" s="235"/>
      <c r="U1099" s="235"/>
      <c r="V1099" s="235"/>
      <c r="W1099" s="235"/>
      <c r="X1099" s="235"/>
      <c r="Y1099" s="235"/>
      <c r="Z1099" s="235"/>
      <c r="AA1099" s="235"/>
      <c r="AB1099" s="235"/>
      <c r="AC1099" s="235"/>
    </row>
    <row r="1100">
      <c r="A1100" s="194" t="s">
        <v>1415</v>
      </c>
      <c r="B1100" s="194">
        <v>104400.0</v>
      </c>
      <c r="C1100" s="192" t="s">
        <v>1416</v>
      </c>
      <c r="D1100" s="192" t="s">
        <v>1417</v>
      </c>
      <c r="E1100" s="235"/>
      <c r="F1100" s="235"/>
      <c r="G1100" s="325"/>
      <c r="H1100" s="235"/>
      <c r="I1100" s="235"/>
      <c r="J1100" s="235"/>
      <c r="K1100" s="235"/>
      <c r="L1100" s="235"/>
      <c r="M1100" s="235"/>
      <c r="N1100" s="235"/>
      <c r="O1100" s="235"/>
      <c r="P1100" s="235"/>
      <c r="Q1100" s="235"/>
      <c r="R1100" s="235"/>
      <c r="S1100" s="235"/>
      <c r="T1100" s="235"/>
      <c r="U1100" s="235"/>
      <c r="V1100" s="235"/>
      <c r="W1100" s="235"/>
      <c r="X1100" s="235"/>
      <c r="Y1100" s="235"/>
      <c r="Z1100" s="235"/>
      <c r="AA1100" s="235"/>
      <c r="AB1100" s="235"/>
      <c r="AC1100" s="235"/>
    </row>
    <row r="1101">
      <c r="A1101" s="194">
        <v>32331.0</v>
      </c>
      <c r="B1101" s="194">
        <v>105515.0</v>
      </c>
      <c r="C1101" s="192" t="s">
        <v>2077</v>
      </c>
      <c r="D1101" s="192" t="s">
        <v>625</v>
      </c>
      <c r="E1101" s="235"/>
      <c r="F1101" s="235"/>
      <c r="G1101" s="325"/>
      <c r="H1101" s="235"/>
      <c r="I1101" s="235"/>
      <c r="J1101" s="235"/>
      <c r="K1101" s="235"/>
      <c r="L1101" s="235"/>
      <c r="M1101" s="235"/>
      <c r="N1101" s="235"/>
      <c r="O1101" s="235"/>
      <c r="P1101" s="235"/>
      <c r="Q1101" s="235"/>
      <c r="R1101" s="235"/>
      <c r="S1101" s="235"/>
      <c r="T1101" s="235"/>
      <c r="U1101" s="235"/>
      <c r="V1101" s="235"/>
      <c r="W1101" s="235"/>
      <c r="X1101" s="235"/>
      <c r="Y1101" s="235"/>
      <c r="Z1101" s="235"/>
      <c r="AA1101" s="235"/>
      <c r="AB1101" s="235"/>
      <c r="AC1101" s="235"/>
    </row>
    <row r="1102">
      <c r="A1102" s="194"/>
      <c r="B1102" s="194"/>
      <c r="C1102" s="192" t="e">
        <v>#REF!</v>
      </c>
      <c r="D1102" s="192"/>
      <c r="E1102" s="235"/>
      <c r="F1102" s="235"/>
      <c r="G1102" s="325"/>
      <c r="H1102" s="235"/>
      <c r="I1102" s="235"/>
      <c r="J1102" s="235"/>
      <c r="K1102" s="235"/>
      <c r="L1102" s="235"/>
      <c r="M1102" s="235"/>
      <c r="N1102" s="235"/>
      <c r="O1102" s="235"/>
      <c r="P1102" s="235"/>
      <c r="Q1102" s="235"/>
      <c r="R1102" s="235"/>
      <c r="S1102" s="235"/>
      <c r="T1102" s="235"/>
      <c r="U1102" s="235"/>
      <c r="V1102" s="235"/>
      <c r="W1102" s="235"/>
      <c r="X1102" s="235"/>
      <c r="Y1102" s="235"/>
      <c r="Z1102" s="235"/>
      <c r="AA1102" s="235"/>
      <c r="AB1102" s="235"/>
      <c r="AC1102" s="235"/>
    </row>
    <row r="1103">
      <c r="A1103" s="194" t="s">
        <v>2079</v>
      </c>
      <c r="B1103" s="194" t="s">
        <v>2078</v>
      </c>
      <c r="C1103" s="192" t="e">
        <v>#N/A</v>
      </c>
      <c r="D1103" s="192" t="s">
        <v>2080</v>
      </c>
      <c r="E1103" s="235"/>
      <c r="F1103" s="235"/>
      <c r="G1103" s="325"/>
      <c r="H1103" s="235"/>
      <c r="I1103" s="235"/>
      <c r="J1103" s="235"/>
      <c r="K1103" s="235"/>
      <c r="L1103" s="235"/>
      <c r="M1103" s="235"/>
      <c r="N1103" s="235"/>
      <c r="O1103" s="235"/>
      <c r="P1103" s="235"/>
      <c r="Q1103" s="235"/>
      <c r="R1103" s="235"/>
      <c r="S1103" s="235"/>
      <c r="T1103" s="235"/>
      <c r="U1103" s="235"/>
      <c r="V1103" s="235"/>
      <c r="W1103" s="235"/>
      <c r="X1103" s="235"/>
      <c r="Y1103" s="235"/>
      <c r="Z1103" s="235"/>
      <c r="AA1103" s="235"/>
      <c r="AB1103" s="235"/>
      <c r="AC1103" s="235"/>
    </row>
    <row r="1104">
      <c r="A1104" s="194" t="s">
        <v>2081</v>
      </c>
      <c r="B1104" s="194">
        <v>105407.0</v>
      </c>
      <c r="C1104" s="192" t="s">
        <v>2082</v>
      </c>
      <c r="D1104" s="192" t="s">
        <v>360</v>
      </c>
      <c r="E1104" s="235"/>
      <c r="F1104" s="235"/>
      <c r="G1104" s="325"/>
      <c r="H1104" s="235"/>
      <c r="I1104" s="235"/>
      <c r="J1104" s="235"/>
      <c r="K1104" s="235"/>
      <c r="L1104" s="235"/>
      <c r="M1104" s="235"/>
      <c r="N1104" s="235"/>
      <c r="O1104" s="235"/>
      <c r="P1104" s="235"/>
      <c r="Q1104" s="235"/>
      <c r="R1104" s="235"/>
      <c r="S1104" s="235"/>
      <c r="T1104" s="235"/>
      <c r="U1104" s="235"/>
      <c r="V1104" s="235"/>
      <c r="W1104" s="235"/>
      <c r="X1104" s="235"/>
      <c r="Y1104" s="235"/>
      <c r="Z1104" s="235"/>
      <c r="AA1104" s="235"/>
      <c r="AB1104" s="235"/>
      <c r="AC1104" s="235"/>
    </row>
    <row r="1105">
      <c r="A1105" s="194" t="s">
        <v>2083</v>
      </c>
      <c r="B1105" s="194">
        <v>105441.0</v>
      </c>
      <c r="C1105" s="192" t="s">
        <v>2084</v>
      </c>
      <c r="D1105" s="192" t="s">
        <v>312</v>
      </c>
      <c r="E1105" s="235"/>
      <c r="F1105" s="235"/>
      <c r="G1105" s="325"/>
      <c r="H1105" s="235"/>
      <c r="I1105" s="235"/>
      <c r="J1105" s="235"/>
      <c r="K1105" s="235"/>
      <c r="L1105" s="235"/>
      <c r="M1105" s="235"/>
      <c r="N1105" s="235"/>
      <c r="O1105" s="235"/>
      <c r="P1105" s="235"/>
      <c r="Q1105" s="235"/>
      <c r="R1105" s="235"/>
      <c r="S1105" s="235"/>
      <c r="T1105" s="235"/>
      <c r="U1105" s="235"/>
      <c r="V1105" s="235"/>
      <c r="W1105" s="235"/>
      <c r="X1105" s="235"/>
      <c r="Y1105" s="235"/>
      <c r="Z1105" s="235"/>
      <c r="AA1105" s="235"/>
      <c r="AB1105" s="235"/>
      <c r="AC1105" s="235"/>
    </row>
    <row r="1106">
      <c r="A1106" s="194" t="s">
        <v>2085</v>
      </c>
      <c r="B1106" s="194">
        <v>105430.0</v>
      </c>
      <c r="C1106" s="192" t="s">
        <v>2086</v>
      </c>
      <c r="D1106" s="192" t="s">
        <v>1986</v>
      </c>
      <c r="E1106" s="235"/>
      <c r="F1106" s="235"/>
      <c r="G1106" s="325"/>
      <c r="H1106" s="235"/>
      <c r="I1106" s="235"/>
      <c r="J1106" s="235"/>
      <c r="K1106" s="235"/>
      <c r="L1106" s="235"/>
      <c r="M1106" s="235"/>
      <c r="N1106" s="235"/>
      <c r="O1106" s="235"/>
      <c r="P1106" s="235"/>
      <c r="Q1106" s="235"/>
      <c r="R1106" s="235"/>
      <c r="S1106" s="235"/>
      <c r="T1106" s="235"/>
      <c r="U1106" s="235"/>
      <c r="V1106" s="235"/>
      <c r="W1106" s="235"/>
      <c r="X1106" s="235"/>
      <c r="Y1106" s="235"/>
      <c r="Z1106" s="235"/>
      <c r="AA1106" s="235"/>
      <c r="AB1106" s="235"/>
      <c r="AC1106" s="235"/>
    </row>
    <row r="1107">
      <c r="A1107" s="194" t="s">
        <v>2087</v>
      </c>
      <c r="B1107" s="194">
        <v>105408.0</v>
      </c>
      <c r="C1107" s="192" t="s">
        <v>2088</v>
      </c>
      <c r="D1107" s="192" t="s">
        <v>380</v>
      </c>
      <c r="E1107" s="235"/>
      <c r="F1107" s="235"/>
      <c r="G1107" s="325"/>
      <c r="H1107" s="235"/>
      <c r="I1107" s="235"/>
      <c r="J1107" s="235"/>
      <c r="K1107" s="235"/>
      <c r="L1107" s="235"/>
      <c r="M1107" s="235"/>
      <c r="N1107" s="235"/>
      <c r="O1107" s="235"/>
      <c r="P1107" s="235"/>
      <c r="Q1107" s="235"/>
      <c r="R1107" s="235"/>
      <c r="S1107" s="235"/>
      <c r="T1107" s="235"/>
      <c r="U1107" s="235"/>
      <c r="V1107" s="235"/>
      <c r="W1107" s="235"/>
      <c r="X1107" s="235"/>
      <c r="Y1107" s="235"/>
      <c r="Z1107" s="235"/>
      <c r="AA1107" s="235"/>
      <c r="AB1107" s="235"/>
      <c r="AC1107" s="235"/>
    </row>
    <row r="1108">
      <c r="A1108" s="194" t="s">
        <v>2089</v>
      </c>
      <c r="B1108" s="194">
        <v>105470.0</v>
      </c>
      <c r="C1108" s="192" t="s">
        <v>2090</v>
      </c>
      <c r="D1108" s="192" t="s">
        <v>295</v>
      </c>
      <c r="E1108" s="235"/>
      <c r="F1108" s="235"/>
      <c r="G1108" s="325"/>
      <c r="H1108" s="235"/>
      <c r="I1108" s="235"/>
      <c r="J1108" s="235"/>
      <c r="K1108" s="235"/>
      <c r="L1108" s="235"/>
      <c r="M1108" s="235"/>
      <c r="N1108" s="235"/>
      <c r="O1108" s="235"/>
      <c r="P1108" s="235"/>
      <c r="Q1108" s="235"/>
      <c r="R1108" s="235"/>
      <c r="S1108" s="235"/>
      <c r="T1108" s="235"/>
      <c r="U1108" s="235"/>
      <c r="V1108" s="235"/>
      <c r="W1108" s="235"/>
      <c r="X1108" s="235"/>
      <c r="Y1108" s="235"/>
      <c r="Z1108" s="235"/>
      <c r="AA1108" s="235"/>
      <c r="AB1108" s="235"/>
      <c r="AC1108" s="235"/>
    </row>
    <row r="1109">
      <c r="A1109" s="194" t="s">
        <v>2091</v>
      </c>
      <c r="B1109" s="194">
        <v>105461.0</v>
      </c>
      <c r="C1109" s="192" t="s">
        <v>2092</v>
      </c>
      <c r="D1109" s="192" t="s">
        <v>1986</v>
      </c>
      <c r="E1109" s="235"/>
      <c r="F1109" s="235"/>
      <c r="G1109" s="325"/>
      <c r="H1109" s="235"/>
      <c r="I1109" s="235"/>
      <c r="J1109" s="235"/>
      <c r="K1109" s="235"/>
      <c r="L1109" s="235"/>
      <c r="M1109" s="235"/>
      <c r="N1109" s="235"/>
      <c r="O1109" s="235"/>
      <c r="P1109" s="235"/>
      <c r="Q1109" s="235"/>
      <c r="R1109" s="235"/>
      <c r="S1109" s="235"/>
      <c r="T1109" s="235"/>
      <c r="U1109" s="235"/>
      <c r="V1109" s="235"/>
      <c r="W1109" s="235"/>
      <c r="X1109" s="235"/>
      <c r="Y1109" s="235"/>
      <c r="Z1109" s="235"/>
      <c r="AA1109" s="235"/>
      <c r="AB1109" s="235"/>
      <c r="AC1109" s="235"/>
    </row>
    <row r="1110">
      <c r="A1110" s="194" t="s">
        <v>2093</v>
      </c>
      <c r="B1110" s="194">
        <v>104966.0</v>
      </c>
      <c r="C1110" s="192" t="s">
        <v>2094</v>
      </c>
      <c r="D1110" s="192" t="s">
        <v>1726</v>
      </c>
      <c r="E1110" s="235"/>
      <c r="F1110" s="235"/>
      <c r="G1110" s="325"/>
      <c r="H1110" s="235"/>
      <c r="I1110" s="235"/>
      <c r="J1110" s="235"/>
      <c r="K1110" s="235"/>
      <c r="L1110" s="235"/>
      <c r="M1110" s="235"/>
      <c r="N1110" s="235"/>
      <c r="O1110" s="235"/>
      <c r="P1110" s="235"/>
      <c r="Q1110" s="235"/>
      <c r="R1110" s="235"/>
      <c r="S1110" s="235"/>
      <c r="T1110" s="235"/>
      <c r="U1110" s="235"/>
      <c r="V1110" s="235"/>
      <c r="W1110" s="235"/>
      <c r="X1110" s="235"/>
      <c r="Y1110" s="235"/>
      <c r="Z1110" s="235"/>
      <c r="AA1110" s="235"/>
      <c r="AB1110" s="235"/>
      <c r="AC1110" s="235"/>
    </row>
    <row r="1111">
      <c r="A1111" s="194" t="s">
        <v>2095</v>
      </c>
      <c r="B1111" s="194">
        <v>104844.0</v>
      </c>
      <c r="C1111" s="192" t="s">
        <v>2096</v>
      </c>
      <c r="D1111" s="192" t="s">
        <v>2097</v>
      </c>
      <c r="E1111" s="235"/>
      <c r="F1111" s="235"/>
      <c r="G1111" s="325"/>
      <c r="H1111" s="235"/>
      <c r="I1111" s="235"/>
      <c r="J1111" s="235"/>
      <c r="K1111" s="235"/>
      <c r="L1111" s="235"/>
      <c r="M1111" s="235"/>
      <c r="N1111" s="235"/>
      <c r="O1111" s="235"/>
      <c r="P1111" s="235"/>
      <c r="Q1111" s="235"/>
      <c r="R1111" s="235"/>
      <c r="S1111" s="235"/>
      <c r="T1111" s="235"/>
      <c r="U1111" s="235"/>
      <c r="V1111" s="235"/>
      <c r="W1111" s="235"/>
      <c r="X1111" s="235"/>
      <c r="Y1111" s="235"/>
      <c r="Z1111" s="235"/>
      <c r="AA1111" s="235"/>
      <c r="AB1111" s="235"/>
      <c r="AC1111" s="235"/>
    </row>
    <row r="1112">
      <c r="A1112" s="194" t="s">
        <v>2098</v>
      </c>
      <c r="B1112" s="194">
        <v>104702.0</v>
      </c>
      <c r="C1112" s="192" t="s">
        <v>2099</v>
      </c>
      <c r="D1112" s="192" t="s">
        <v>1726</v>
      </c>
      <c r="E1112" s="235"/>
      <c r="F1112" s="235"/>
      <c r="G1112" s="325"/>
      <c r="H1112" s="235"/>
      <c r="I1112" s="235"/>
      <c r="J1112" s="235"/>
      <c r="K1112" s="235"/>
      <c r="L1112" s="235"/>
      <c r="M1112" s="235"/>
      <c r="N1112" s="235"/>
      <c r="O1112" s="235"/>
      <c r="P1112" s="235"/>
      <c r="Q1112" s="235"/>
      <c r="R1112" s="235"/>
      <c r="S1112" s="235"/>
      <c r="T1112" s="235"/>
      <c r="U1112" s="235"/>
      <c r="V1112" s="235"/>
      <c r="W1112" s="235"/>
      <c r="X1112" s="235"/>
      <c r="Y1112" s="235"/>
      <c r="Z1112" s="235"/>
      <c r="AA1112" s="235"/>
      <c r="AB1112" s="235"/>
      <c r="AC1112" s="235"/>
    </row>
    <row r="1113">
      <c r="A1113" s="194" t="s">
        <v>2101</v>
      </c>
      <c r="B1113" s="194">
        <v>105459.0</v>
      </c>
      <c r="C1113" s="192" t="s">
        <v>2102</v>
      </c>
      <c r="D1113" s="192" t="s">
        <v>209</v>
      </c>
      <c r="E1113" s="235"/>
      <c r="F1113" s="235"/>
      <c r="G1113" s="325"/>
      <c r="H1113" s="235"/>
      <c r="I1113" s="235"/>
      <c r="J1113" s="235"/>
      <c r="K1113" s="235"/>
      <c r="L1113" s="235"/>
      <c r="M1113" s="235"/>
      <c r="N1113" s="235"/>
      <c r="O1113" s="235"/>
      <c r="P1113" s="235"/>
      <c r="Q1113" s="235"/>
      <c r="R1113" s="235"/>
      <c r="S1113" s="235"/>
      <c r="T1113" s="235"/>
      <c r="U1113" s="235"/>
      <c r="V1113" s="235"/>
      <c r="W1113" s="235"/>
      <c r="X1113" s="235"/>
      <c r="Y1113" s="235"/>
      <c r="Z1113" s="235"/>
      <c r="AA1113" s="235"/>
      <c r="AB1113" s="235"/>
      <c r="AC1113" s="235"/>
    </row>
    <row r="1114">
      <c r="A1114" s="194" t="s">
        <v>2103</v>
      </c>
      <c r="B1114" s="194">
        <v>105549.0</v>
      </c>
      <c r="C1114" s="192" t="s">
        <v>2104</v>
      </c>
      <c r="D1114" s="192" t="s">
        <v>360</v>
      </c>
      <c r="E1114" s="235"/>
      <c r="F1114" s="235"/>
      <c r="G1114" s="325"/>
      <c r="H1114" s="235"/>
      <c r="I1114" s="235"/>
      <c r="J1114" s="235"/>
      <c r="K1114" s="235"/>
      <c r="L1114" s="235"/>
      <c r="M1114" s="235"/>
      <c r="N1114" s="235"/>
      <c r="O1114" s="235"/>
      <c r="P1114" s="235"/>
      <c r="Q1114" s="235"/>
      <c r="R1114" s="235"/>
      <c r="S1114" s="235"/>
      <c r="T1114" s="235"/>
      <c r="U1114" s="235"/>
      <c r="V1114" s="235"/>
      <c r="W1114" s="235"/>
      <c r="X1114" s="235"/>
      <c r="Y1114" s="235"/>
      <c r="Z1114" s="235"/>
      <c r="AA1114" s="235"/>
      <c r="AB1114" s="235"/>
      <c r="AC1114" s="235"/>
    </row>
    <row r="1115">
      <c r="A1115" s="194" t="s">
        <v>2105</v>
      </c>
      <c r="B1115" s="194">
        <v>105560.0</v>
      </c>
      <c r="C1115" s="192" t="s">
        <v>2106</v>
      </c>
      <c r="D1115" s="192" t="s">
        <v>357</v>
      </c>
      <c r="E1115" s="235"/>
      <c r="F1115" s="235"/>
      <c r="G1115" s="325"/>
      <c r="H1115" s="235"/>
      <c r="I1115" s="235"/>
      <c r="J1115" s="235"/>
      <c r="K1115" s="235"/>
      <c r="L1115" s="235"/>
      <c r="M1115" s="235"/>
      <c r="N1115" s="235"/>
      <c r="O1115" s="235"/>
      <c r="P1115" s="235"/>
      <c r="Q1115" s="235"/>
      <c r="R1115" s="235"/>
      <c r="S1115" s="235"/>
      <c r="T1115" s="235"/>
      <c r="U1115" s="235"/>
      <c r="V1115" s="235"/>
      <c r="W1115" s="235"/>
      <c r="X1115" s="235"/>
      <c r="Y1115" s="235"/>
      <c r="Z1115" s="235"/>
      <c r="AA1115" s="235"/>
      <c r="AB1115" s="235"/>
      <c r="AC1115" s="235"/>
    </row>
    <row r="1116">
      <c r="A1116" s="194" t="s">
        <v>2107</v>
      </c>
      <c r="B1116" s="194">
        <v>105541.0</v>
      </c>
      <c r="C1116" s="192" t="s">
        <v>2108</v>
      </c>
      <c r="D1116" s="192" t="s">
        <v>1516</v>
      </c>
      <c r="E1116" s="235"/>
      <c r="F1116" s="235"/>
      <c r="G1116" s="325"/>
      <c r="H1116" s="235"/>
      <c r="I1116" s="235"/>
      <c r="J1116" s="235"/>
      <c r="K1116" s="235"/>
      <c r="L1116" s="235"/>
      <c r="M1116" s="235"/>
      <c r="N1116" s="235"/>
      <c r="O1116" s="235"/>
      <c r="P1116" s="235"/>
      <c r="Q1116" s="235"/>
      <c r="R1116" s="235"/>
      <c r="S1116" s="235"/>
      <c r="T1116" s="235"/>
      <c r="U1116" s="235"/>
      <c r="V1116" s="235"/>
      <c r="W1116" s="235"/>
      <c r="X1116" s="235"/>
      <c r="Y1116" s="235"/>
      <c r="Z1116" s="235"/>
      <c r="AA1116" s="235"/>
      <c r="AB1116" s="235"/>
      <c r="AC1116" s="235"/>
    </row>
    <row r="1117">
      <c r="A1117" s="194" t="s">
        <v>2109</v>
      </c>
      <c r="B1117" s="194">
        <v>105511.0</v>
      </c>
      <c r="C1117" s="192" t="s">
        <v>2110</v>
      </c>
      <c r="D1117" s="192" t="s">
        <v>295</v>
      </c>
      <c r="E1117" s="235"/>
      <c r="F1117" s="235"/>
      <c r="G1117" s="325"/>
      <c r="H1117" s="235"/>
      <c r="I1117" s="235"/>
      <c r="J1117" s="235"/>
      <c r="K1117" s="235"/>
      <c r="L1117" s="235"/>
      <c r="M1117" s="235"/>
      <c r="N1117" s="235"/>
      <c r="O1117" s="235"/>
      <c r="P1117" s="235"/>
      <c r="Q1117" s="235"/>
      <c r="R1117" s="235"/>
      <c r="S1117" s="235"/>
      <c r="T1117" s="235"/>
      <c r="U1117" s="235"/>
      <c r="V1117" s="235"/>
      <c r="W1117" s="235"/>
      <c r="X1117" s="235"/>
      <c r="Y1117" s="235"/>
      <c r="Z1117" s="235"/>
      <c r="AA1117" s="235"/>
      <c r="AB1117" s="235"/>
      <c r="AC1117" s="235"/>
    </row>
    <row r="1118">
      <c r="A1118" s="194" t="s">
        <v>2111</v>
      </c>
      <c r="B1118" s="194">
        <v>105548.0</v>
      </c>
      <c r="C1118" s="192" t="s">
        <v>2112</v>
      </c>
      <c r="D1118" s="192" t="s">
        <v>295</v>
      </c>
      <c r="E1118" s="235"/>
      <c r="F1118" s="235"/>
      <c r="G1118" s="325"/>
      <c r="H1118" s="235"/>
      <c r="I1118" s="235"/>
      <c r="J1118" s="235"/>
      <c r="K1118" s="235"/>
      <c r="L1118" s="235"/>
      <c r="M1118" s="235"/>
      <c r="N1118" s="235"/>
      <c r="O1118" s="235"/>
      <c r="P1118" s="235"/>
      <c r="Q1118" s="235"/>
      <c r="R1118" s="235"/>
      <c r="S1118" s="235"/>
      <c r="T1118" s="235"/>
      <c r="U1118" s="235"/>
      <c r="V1118" s="235"/>
      <c r="W1118" s="235"/>
      <c r="X1118" s="235"/>
      <c r="Y1118" s="235"/>
      <c r="Z1118" s="235"/>
      <c r="AA1118" s="235"/>
      <c r="AB1118" s="235"/>
      <c r="AC1118" s="235"/>
    </row>
    <row r="1119">
      <c r="A1119" s="194" t="s">
        <v>2113</v>
      </c>
      <c r="B1119" s="194">
        <v>105170.0</v>
      </c>
      <c r="C1119" s="192" t="s">
        <v>2114</v>
      </c>
      <c r="D1119" s="192" t="s">
        <v>806</v>
      </c>
      <c r="E1119" s="235"/>
      <c r="F1119" s="235"/>
      <c r="G1119" s="325"/>
      <c r="H1119" s="235"/>
      <c r="I1119" s="235"/>
      <c r="J1119" s="235"/>
      <c r="K1119" s="235"/>
      <c r="L1119" s="235"/>
      <c r="M1119" s="235"/>
      <c r="N1119" s="235"/>
      <c r="O1119" s="235"/>
      <c r="P1119" s="235"/>
      <c r="Q1119" s="235"/>
      <c r="R1119" s="235"/>
      <c r="S1119" s="235"/>
      <c r="T1119" s="235"/>
      <c r="U1119" s="235"/>
      <c r="V1119" s="235"/>
      <c r="W1119" s="235"/>
      <c r="X1119" s="235"/>
      <c r="Y1119" s="235"/>
      <c r="Z1119" s="235"/>
      <c r="AA1119" s="235"/>
      <c r="AB1119" s="235"/>
      <c r="AC1119" s="235"/>
    </row>
    <row r="1120">
      <c r="A1120" s="194" t="s">
        <v>2115</v>
      </c>
      <c r="B1120" s="194">
        <v>105031.0</v>
      </c>
      <c r="C1120" s="192" t="s">
        <v>2116</v>
      </c>
      <c r="D1120" s="192" t="s">
        <v>154</v>
      </c>
      <c r="E1120" s="235"/>
      <c r="F1120" s="235"/>
      <c r="G1120" s="325"/>
      <c r="H1120" s="235"/>
      <c r="I1120" s="235"/>
      <c r="J1120" s="235"/>
      <c r="K1120" s="235"/>
      <c r="L1120" s="235"/>
      <c r="M1120" s="235"/>
      <c r="N1120" s="235"/>
      <c r="O1120" s="235"/>
      <c r="P1120" s="235"/>
      <c r="Q1120" s="235"/>
      <c r="R1120" s="235"/>
      <c r="S1120" s="235"/>
      <c r="T1120" s="235"/>
      <c r="U1120" s="235"/>
      <c r="V1120" s="235"/>
      <c r="W1120" s="235"/>
      <c r="X1120" s="235"/>
      <c r="Y1120" s="235"/>
      <c r="Z1120" s="235"/>
      <c r="AA1120" s="235"/>
      <c r="AB1120" s="235"/>
      <c r="AC1120" s="235"/>
    </row>
    <row r="1121">
      <c r="A1121" s="194" t="s">
        <v>2117</v>
      </c>
      <c r="B1121" s="194">
        <v>104852.0</v>
      </c>
      <c r="C1121" s="192" t="s">
        <v>2118</v>
      </c>
      <c r="D1121" s="192" t="s">
        <v>602</v>
      </c>
      <c r="E1121" s="235"/>
      <c r="F1121" s="235"/>
      <c r="G1121" s="325"/>
      <c r="H1121" s="235"/>
      <c r="I1121" s="235"/>
      <c r="J1121" s="235"/>
      <c r="K1121" s="235"/>
      <c r="L1121" s="235"/>
      <c r="M1121" s="235"/>
      <c r="N1121" s="235"/>
      <c r="O1121" s="235"/>
      <c r="P1121" s="235"/>
      <c r="Q1121" s="235"/>
      <c r="R1121" s="235"/>
      <c r="S1121" s="235"/>
      <c r="T1121" s="235"/>
      <c r="U1121" s="235"/>
      <c r="V1121" s="235"/>
      <c r="W1121" s="235"/>
      <c r="X1121" s="235"/>
      <c r="Y1121" s="235"/>
      <c r="Z1121" s="235"/>
      <c r="AA1121" s="235"/>
      <c r="AB1121" s="235"/>
      <c r="AC1121" s="235"/>
    </row>
    <row r="1122">
      <c r="A1122" s="194" t="s">
        <v>2119</v>
      </c>
      <c r="B1122" s="194">
        <v>105363.0</v>
      </c>
      <c r="C1122" s="192" t="s">
        <v>2120</v>
      </c>
      <c r="D1122" s="192" t="s">
        <v>602</v>
      </c>
      <c r="E1122" s="235"/>
      <c r="F1122" s="235"/>
      <c r="G1122" s="325"/>
      <c r="H1122" s="235"/>
      <c r="I1122" s="235"/>
      <c r="J1122" s="235"/>
      <c r="K1122" s="235"/>
      <c r="L1122" s="235"/>
      <c r="M1122" s="235"/>
      <c r="N1122" s="235"/>
      <c r="O1122" s="235"/>
      <c r="P1122" s="235"/>
      <c r="Q1122" s="235"/>
      <c r="R1122" s="235"/>
      <c r="S1122" s="235"/>
      <c r="T1122" s="235"/>
      <c r="U1122" s="235"/>
      <c r="V1122" s="235"/>
      <c r="W1122" s="235"/>
      <c r="X1122" s="235"/>
      <c r="Y1122" s="235"/>
      <c r="Z1122" s="235"/>
      <c r="AA1122" s="235"/>
      <c r="AB1122" s="235"/>
      <c r="AC1122" s="235"/>
    </row>
    <row r="1123">
      <c r="A1123" s="194">
        <v>32112.0</v>
      </c>
      <c r="B1123" s="194">
        <v>105363.0</v>
      </c>
      <c r="C1123" s="192" t="s">
        <v>2120</v>
      </c>
      <c r="D1123" s="192" t="s">
        <v>602</v>
      </c>
      <c r="E1123" s="235"/>
      <c r="F1123" s="235"/>
      <c r="G1123" s="325"/>
      <c r="H1123" s="235"/>
      <c r="I1123" s="235"/>
      <c r="J1123" s="235"/>
      <c r="K1123" s="235"/>
      <c r="L1123" s="235"/>
      <c r="M1123" s="235"/>
      <c r="N1123" s="235"/>
      <c r="O1123" s="235"/>
      <c r="P1123" s="235"/>
      <c r="Q1123" s="235"/>
      <c r="R1123" s="235"/>
      <c r="S1123" s="235"/>
      <c r="T1123" s="235"/>
      <c r="U1123" s="235"/>
      <c r="V1123" s="235"/>
      <c r="W1123" s="235"/>
      <c r="X1123" s="235"/>
      <c r="Y1123" s="235"/>
      <c r="Z1123" s="235"/>
      <c r="AA1123" s="235"/>
      <c r="AB1123" s="235"/>
      <c r="AC1123" s="235"/>
    </row>
    <row r="1124">
      <c r="A1124" s="194" t="s">
        <v>2117</v>
      </c>
      <c r="B1124" s="194">
        <v>104852.0</v>
      </c>
      <c r="C1124" s="192" t="s">
        <v>2118</v>
      </c>
      <c r="D1124" s="192" t="s">
        <v>602</v>
      </c>
      <c r="E1124" s="235"/>
      <c r="F1124" s="235"/>
      <c r="G1124" s="325"/>
      <c r="H1124" s="235"/>
      <c r="I1124" s="235"/>
      <c r="J1124" s="235"/>
      <c r="K1124" s="235"/>
      <c r="L1124" s="235"/>
      <c r="M1124" s="235"/>
      <c r="N1124" s="235"/>
      <c r="O1124" s="235"/>
      <c r="P1124" s="235"/>
      <c r="Q1124" s="235"/>
      <c r="R1124" s="235"/>
      <c r="S1124" s="235"/>
      <c r="T1124" s="235"/>
      <c r="U1124" s="235"/>
      <c r="V1124" s="235"/>
      <c r="W1124" s="235"/>
      <c r="X1124" s="235"/>
      <c r="Y1124" s="235"/>
      <c r="Z1124" s="235"/>
      <c r="AA1124" s="235"/>
      <c r="AB1124" s="235"/>
      <c r="AC1124" s="235"/>
    </row>
    <row r="1125">
      <c r="A1125" s="194" t="s">
        <v>2121</v>
      </c>
      <c r="B1125" s="194">
        <v>105177.0</v>
      </c>
      <c r="C1125" s="192" t="s">
        <v>2122</v>
      </c>
      <c r="D1125" s="192" t="s">
        <v>295</v>
      </c>
      <c r="E1125" s="235"/>
      <c r="F1125" s="235"/>
      <c r="G1125" s="325"/>
      <c r="H1125" s="235"/>
      <c r="I1125" s="235"/>
      <c r="J1125" s="235"/>
      <c r="K1125" s="235"/>
      <c r="L1125" s="235"/>
      <c r="M1125" s="235"/>
      <c r="N1125" s="235"/>
      <c r="O1125" s="235"/>
      <c r="P1125" s="235"/>
      <c r="Q1125" s="235"/>
      <c r="R1125" s="235"/>
      <c r="S1125" s="235"/>
      <c r="T1125" s="235"/>
      <c r="U1125" s="235"/>
      <c r="V1125" s="235"/>
      <c r="W1125" s="235"/>
      <c r="X1125" s="235"/>
      <c r="Y1125" s="235"/>
      <c r="Z1125" s="235"/>
      <c r="AA1125" s="235"/>
      <c r="AB1125" s="235"/>
      <c r="AC1125" s="235"/>
    </row>
    <row r="1126">
      <c r="A1126" s="194" t="s">
        <v>2123</v>
      </c>
      <c r="B1126" s="194">
        <v>105163.0</v>
      </c>
      <c r="C1126" s="192" t="s">
        <v>2124</v>
      </c>
      <c r="D1126" s="192" t="s">
        <v>295</v>
      </c>
      <c r="E1126" s="235"/>
      <c r="F1126" s="235"/>
      <c r="G1126" s="325"/>
      <c r="H1126" s="235"/>
      <c r="I1126" s="235"/>
      <c r="J1126" s="235"/>
      <c r="K1126" s="235"/>
      <c r="L1126" s="235"/>
      <c r="M1126" s="235"/>
      <c r="N1126" s="235"/>
      <c r="O1126" s="235"/>
      <c r="P1126" s="235"/>
      <c r="Q1126" s="235"/>
      <c r="R1126" s="235"/>
      <c r="S1126" s="235"/>
      <c r="T1126" s="235"/>
      <c r="U1126" s="235"/>
      <c r="V1126" s="235"/>
      <c r="W1126" s="235"/>
      <c r="X1126" s="235"/>
      <c r="Y1126" s="235"/>
      <c r="Z1126" s="235"/>
      <c r="AA1126" s="235"/>
      <c r="AB1126" s="235"/>
      <c r="AC1126" s="235"/>
    </row>
    <row r="1127">
      <c r="A1127" s="194" t="s">
        <v>2125</v>
      </c>
      <c r="B1127" s="194">
        <v>105115.0</v>
      </c>
      <c r="C1127" s="192" t="s">
        <v>2126</v>
      </c>
      <c r="D1127" s="192" t="s">
        <v>295</v>
      </c>
      <c r="E1127" s="235"/>
      <c r="F1127" s="235"/>
      <c r="G1127" s="325"/>
      <c r="H1127" s="235"/>
      <c r="I1127" s="235"/>
      <c r="J1127" s="235"/>
      <c r="K1127" s="235"/>
      <c r="L1127" s="235"/>
      <c r="M1127" s="235"/>
      <c r="N1127" s="235"/>
      <c r="O1127" s="235"/>
      <c r="P1127" s="235"/>
      <c r="Q1127" s="235"/>
      <c r="R1127" s="235"/>
      <c r="S1127" s="235"/>
      <c r="T1127" s="235"/>
      <c r="U1127" s="235"/>
      <c r="V1127" s="235"/>
      <c r="W1127" s="235"/>
      <c r="X1127" s="235"/>
      <c r="Y1127" s="235"/>
      <c r="Z1127" s="235"/>
      <c r="AA1127" s="235"/>
      <c r="AB1127" s="235"/>
      <c r="AC1127" s="235"/>
    </row>
    <row r="1128">
      <c r="A1128" s="194" t="s">
        <v>2127</v>
      </c>
      <c r="B1128" s="194">
        <v>105116.0</v>
      </c>
      <c r="C1128" s="192" t="s">
        <v>2128</v>
      </c>
      <c r="D1128" s="192" t="s">
        <v>295</v>
      </c>
      <c r="E1128" s="235"/>
      <c r="F1128" s="235"/>
      <c r="G1128" s="325"/>
      <c r="H1128" s="235"/>
      <c r="I1128" s="235"/>
      <c r="J1128" s="235"/>
      <c r="K1128" s="235"/>
      <c r="L1128" s="235"/>
      <c r="M1128" s="235"/>
      <c r="N1128" s="235"/>
      <c r="O1128" s="235"/>
      <c r="P1128" s="235"/>
      <c r="Q1128" s="235"/>
      <c r="R1128" s="235"/>
      <c r="S1128" s="235"/>
      <c r="T1128" s="235"/>
      <c r="U1128" s="235"/>
      <c r="V1128" s="235"/>
      <c r="W1128" s="235"/>
      <c r="X1128" s="235"/>
      <c r="Y1128" s="235"/>
      <c r="Z1128" s="235"/>
      <c r="AA1128" s="235"/>
      <c r="AB1128" s="235"/>
      <c r="AC1128" s="235"/>
    </row>
    <row r="1129">
      <c r="A1129" s="194" t="s">
        <v>2129</v>
      </c>
      <c r="B1129" s="194">
        <v>105120.0</v>
      </c>
      <c r="C1129" s="192" t="s">
        <v>2130</v>
      </c>
      <c r="D1129" s="192" t="s">
        <v>87</v>
      </c>
      <c r="E1129" s="235"/>
      <c r="F1129" s="235"/>
      <c r="G1129" s="325"/>
      <c r="H1129" s="235"/>
      <c r="I1129" s="235"/>
      <c r="J1129" s="235"/>
      <c r="K1129" s="235"/>
      <c r="L1129" s="235"/>
      <c r="M1129" s="235"/>
      <c r="N1129" s="235"/>
      <c r="O1129" s="235"/>
      <c r="P1129" s="235"/>
      <c r="Q1129" s="235"/>
      <c r="R1129" s="235"/>
      <c r="S1129" s="235"/>
      <c r="T1129" s="235"/>
      <c r="U1129" s="235"/>
      <c r="V1129" s="235"/>
      <c r="W1129" s="235"/>
      <c r="X1129" s="235"/>
      <c r="Y1129" s="235"/>
      <c r="Z1129" s="235"/>
      <c r="AA1129" s="235"/>
      <c r="AB1129" s="235"/>
      <c r="AC1129" s="235"/>
    </row>
    <row r="1130">
      <c r="A1130" s="194" t="s">
        <v>2131</v>
      </c>
      <c r="B1130" s="194">
        <v>105121.0</v>
      </c>
      <c r="C1130" s="192" t="s">
        <v>2132</v>
      </c>
      <c r="D1130" s="192" t="s">
        <v>360</v>
      </c>
      <c r="E1130" s="235"/>
      <c r="F1130" s="235"/>
      <c r="G1130" s="325"/>
      <c r="H1130" s="235"/>
      <c r="I1130" s="235"/>
      <c r="J1130" s="235"/>
      <c r="K1130" s="235"/>
      <c r="L1130" s="235"/>
      <c r="M1130" s="235"/>
      <c r="N1130" s="235"/>
      <c r="O1130" s="235"/>
      <c r="P1130" s="235"/>
      <c r="Q1130" s="235"/>
      <c r="R1130" s="235"/>
      <c r="S1130" s="235"/>
      <c r="T1130" s="235"/>
      <c r="U1130" s="235"/>
      <c r="V1130" s="235"/>
      <c r="W1130" s="235"/>
      <c r="X1130" s="235"/>
      <c r="Y1130" s="235"/>
      <c r="Z1130" s="235"/>
      <c r="AA1130" s="235"/>
      <c r="AB1130" s="235"/>
      <c r="AC1130" s="235"/>
    </row>
    <row r="1131">
      <c r="A1131" s="194" t="s">
        <v>2133</v>
      </c>
      <c r="B1131" s="194">
        <v>105176.0</v>
      </c>
      <c r="C1131" s="192" t="s">
        <v>2134</v>
      </c>
      <c r="D1131" s="192" t="s">
        <v>1159</v>
      </c>
      <c r="E1131" s="235"/>
      <c r="F1131" s="235"/>
      <c r="G1131" s="325"/>
      <c r="H1131" s="235"/>
      <c r="I1131" s="235"/>
      <c r="J1131" s="235"/>
      <c r="K1131" s="235"/>
      <c r="L1131" s="235"/>
      <c r="M1131" s="235"/>
      <c r="N1131" s="235"/>
      <c r="O1131" s="235"/>
      <c r="P1131" s="235"/>
      <c r="Q1131" s="235"/>
      <c r="R1131" s="235"/>
      <c r="S1131" s="235"/>
      <c r="T1131" s="235"/>
      <c r="U1131" s="235"/>
      <c r="V1131" s="235"/>
      <c r="W1131" s="235"/>
      <c r="X1131" s="235"/>
      <c r="Y1131" s="235"/>
      <c r="Z1131" s="235"/>
      <c r="AA1131" s="235"/>
      <c r="AB1131" s="235"/>
      <c r="AC1131" s="235"/>
    </row>
    <row r="1132">
      <c r="A1132" s="194" t="s">
        <v>1663</v>
      </c>
      <c r="B1132" s="194">
        <v>104983.0</v>
      </c>
      <c r="C1132" s="192" t="s">
        <v>1664</v>
      </c>
      <c r="D1132" s="192" t="s">
        <v>1257</v>
      </c>
      <c r="E1132" s="235"/>
      <c r="F1132" s="235"/>
      <c r="G1132" s="325"/>
      <c r="H1132" s="235"/>
      <c r="I1132" s="235"/>
      <c r="J1132" s="235"/>
      <c r="K1132" s="235"/>
      <c r="L1132" s="235"/>
      <c r="M1132" s="235"/>
      <c r="N1132" s="235"/>
      <c r="O1132" s="235"/>
      <c r="P1132" s="235"/>
      <c r="Q1132" s="235"/>
      <c r="R1132" s="235"/>
      <c r="S1132" s="235"/>
      <c r="T1132" s="235"/>
      <c r="U1132" s="235"/>
      <c r="V1132" s="235"/>
      <c r="W1132" s="235"/>
      <c r="X1132" s="235"/>
      <c r="Y1132" s="235"/>
      <c r="Z1132" s="235"/>
      <c r="AA1132" s="235"/>
      <c r="AB1132" s="235"/>
      <c r="AC1132" s="235"/>
    </row>
    <row r="1133">
      <c r="A1133" s="194" t="s">
        <v>2135</v>
      </c>
      <c r="B1133" s="194">
        <v>105030.0</v>
      </c>
      <c r="C1133" s="192" t="s">
        <v>2136</v>
      </c>
      <c r="D1133" s="192" t="s">
        <v>154</v>
      </c>
      <c r="E1133" s="235"/>
      <c r="F1133" s="235"/>
      <c r="G1133" s="325"/>
      <c r="H1133" s="235"/>
      <c r="I1133" s="235"/>
      <c r="J1133" s="235"/>
      <c r="K1133" s="235"/>
      <c r="L1133" s="235"/>
      <c r="M1133" s="235"/>
      <c r="N1133" s="235"/>
      <c r="O1133" s="235"/>
      <c r="P1133" s="235"/>
      <c r="Q1133" s="235"/>
      <c r="R1133" s="235"/>
      <c r="S1133" s="235"/>
      <c r="T1133" s="235"/>
      <c r="U1133" s="235"/>
      <c r="V1133" s="235"/>
      <c r="W1133" s="235"/>
      <c r="X1133" s="235"/>
      <c r="Y1133" s="235"/>
      <c r="Z1133" s="235"/>
      <c r="AA1133" s="235"/>
      <c r="AB1133" s="235"/>
      <c r="AC1133" s="235"/>
    </row>
    <row r="1134">
      <c r="A1134" s="194" t="s">
        <v>2137</v>
      </c>
      <c r="B1134" s="194">
        <v>105140.0</v>
      </c>
      <c r="C1134" s="192" t="s">
        <v>2138</v>
      </c>
      <c r="D1134" s="192" t="s">
        <v>398</v>
      </c>
      <c r="E1134" s="235"/>
      <c r="F1134" s="235"/>
      <c r="G1134" s="325"/>
      <c r="H1134" s="235"/>
      <c r="I1134" s="235"/>
      <c r="J1134" s="235"/>
      <c r="K1134" s="235"/>
      <c r="L1134" s="235"/>
      <c r="M1134" s="235"/>
      <c r="N1134" s="235"/>
      <c r="O1134" s="235"/>
      <c r="P1134" s="235"/>
      <c r="Q1134" s="235"/>
      <c r="R1134" s="235"/>
      <c r="S1134" s="235"/>
      <c r="T1134" s="235"/>
      <c r="U1134" s="235"/>
      <c r="V1134" s="235"/>
      <c r="W1134" s="235"/>
      <c r="X1134" s="235"/>
      <c r="Y1134" s="235"/>
      <c r="Z1134" s="235"/>
      <c r="AA1134" s="235"/>
      <c r="AB1134" s="235"/>
      <c r="AC1134" s="235"/>
    </row>
    <row r="1135">
      <c r="A1135" s="194" t="s">
        <v>2139</v>
      </c>
      <c r="B1135" s="194">
        <v>105137.0</v>
      </c>
      <c r="C1135" s="192" t="s">
        <v>2140</v>
      </c>
      <c r="D1135" s="192" t="s">
        <v>87</v>
      </c>
      <c r="E1135" s="235"/>
      <c r="F1135" s="235"/>
      <c r="G1135" s="325"/>
      <c r="H1135" s="235"/>
      <c r="I1135" s="235"/>
      <c r="J1135" s="235"/>
      <c r="K1135" s="235"/>
      <c r="L1135" s="235"/>
      <c r="M1135" s="235"/>
      <c r="N1135" s="235"/>
      <c r="O1135" s="235"/>
      <c r="P1135" s="235"/>
      <c r="Q1135" s="235"/>
      <c r="R1135" s="235"/>
      <c r="S1135" s="235"/>
      <c r="T1135" s="235"/>
      <c r="U1135" s="235"/>
      <c r="V1135" s="235"/>
      <c r="W1135" s="235"/>
      <c r="X1135" s="235"/>
      <c r="Y1135" s="235"/>
      <c r="Z1135" s="235"/>
      <c r="AA1135" s="235"/>
      <c r="AB1135" s="235"/>
      <c r="AC1135" s="235"/>
    </row>
    <row r="1136">
      <c r="A1136" s="194" t="s">
        <v>2142</v>
      </c>
      <c r="B1136" s="194">
        <v>105206.0</v>
      </c>
      <c r="C1136" s="192" t="s">
        <v>2143</v>
      </c>
      <c r="D1136" s="192" t="s">
        <v>427</v>
      </c>
      <c r="E1136" s="235"/>
      <c r="F1136" s="235"/>
      <c r="G1136" s="325"/>
      <c r="H1136" s="235"/>
      <c r="I1136" s="235"/>
      <c r="J1136" s="235"/>
      <c r="K1136" s="235"/>
      <c r="L1136" s="235"/>
      <c r="M1136" s="235"/>
      <c r="N1136" s="235"/>
      <c r="O1136" s="235"/>
      <c r="P1136" s="235"/>
      <c r="Q1136" s="235"/>
      <c r="R1136" s="235"/>
      <c r="S1136" s="235"/>
      <c r="T1136" s="235"/>
      <c r="U1136" s="235"/>
      <c r="V1136" s="235"/>
      <c r="W1136" s="235"/>
      <c r="X1136" s="235"/>
      <c r="Y1136" s="235"/>
      <c r="Z1136" s="235"/>
      <c r="AA1136" s="235"/>
      <c r="AB1136" s="235"/>
      <c r="AC1136" s="235"/>
    </row>
    <row r="1137">
      <c r="A1137" s="194" t="s">
        <v>2144</v>
      </c>
      <c r="B1137" s="194">
        <v>105190.0</v>
      </c>
      <c r="C1137" s="192" t="s">
        <v>2145</v>
      </c>
      <c r="D1137" s="192" t="s">
        <v>427</v>
      </c>
      <c r="E1137" s="235"/>
      <c r="F1137" s="235"/>
      <c r="G1137" s="325"/>
      <c r="H1137" s="235"/>
      <c r="I1137" s="235"/>
      <c r="J1137" s="235"/>
      <c r="K1137" s="235"/>
      <c r="L1137" s="235"/>
      <c r="M1137" s="235"/>
      <c r="N1137" s="235"/>
      <c r="O1137" s="235"/>
      <c r="P1137" s="235"/>
      <c r="Q1137" s="235"/>
      <c r="R1137" s="235"/>
      <c r="S1137" s="235"/>
      <c r="T1137" s="235"/>
      <c r="U1137" s="235"/>
      <c r="V1137" s="235"/>
      <c r="W1137" s="235"/>
      <c r="X1137" s="235"/>
      <c r="Y1137" s="235"/>
      <c r="Z1137" s="235"/>
      <c r="AA1137" s="235"/>
      <c r="AB1137" s="235"/>
      <c r="AC1137" s="235"/>
    </row>
    <row r="1138">
      <c r="A1138" s="194" t="s">
        <v>2147</v>
      </c>
      <c r="B1138" s="194">
        <v>104735.0</v>
      </c>
      <c r="C1138" s="192" t="s">
        <v>2149</v>
      </c>
      <c r="D1138" s="192" t="s">
        <v>767</v>
      </c>
      <c r="E1138" s="235"/>
      <c r="F1138" s="235"/>
      <c r="G1138" s="325"/>
      <c r="H1138" s="235"/>
      <c r="I1138" s="235"/>
      <c r="J1138" s="235"/>
      <c r="K1138" s="235"/>
      <c r="L1138" s="235"/>
      <c r="M1138" s="235"/>
      <c r="N1138" s="235"/>
      <c r="O1138" s="235"/>
      <c r="P1138" s="235"/>
      <c r="Q1138" s="235"/>
      <c r="R1138" s="235"/>
      <c r="S1138" s="235"/>
      <c r="T1138" s="235"/>
      <c r="U1138" s="235"/>
      <c r="V1138" s="235"/>
      <c r="W1138" s="235"/>
      <c r="X1138" s="235"/>
      <c r="Y1138" s="235"/>
      <c r="Z1138" s="235"/>
      <c r="AA1138" s="235"/>
      <c r="AB1138" s="235"/>
      <c r="AC1138" s="235"/>
    </row>
    <row r="1139">
      <c r="A1139" s="194" t="s">
        <v>2151</v>
      </c>
      <c r="B1139" s="194" t="s">
        <v>2150</v>
      </c>
      <c r="C1139" s="192" t="e">
        <v>#N/A</v>
      </c>
      <c r="D1139" s="192" t="s">
        <v>646</v>
      </c>
      <c r="E1139" s="235"/>
      <c r="F1139" s="235"/>
      <c r="G1139" s="325"/>
      <c r="H1139" s="235"/>
      <c r="I1139" s="235"/>
      <c r="J1139" s="235"/>
      <c r="K1139" s="235"/>
      <c r="L1139" s="235"/>
      <c r="M1139" s="235"/>
      <c r="N1139" s="235"/>
      <c r="O1139" s="235"/>
      <c r="P1139" s="235"/>
      <c r="Q1139" s="235"/>
      <c r="R1139" s="235"/>
      <c r="S1139" s="235"/>
      <c r="T1139" s="235"/>
      <c r="U1139" s="235"/>
      <c r="V1139" s="235"/>
      <c r="W1139" s="235"/>
      <c r="X1139" s="235"/>
      <c r="Y1139" s="235"/>
      <c r="Z1139" s="235"/>
      <c r="AA1139" s="235"/>
      <c r="AB1139" s="235"/>
      <c r="AC1139" s="235"/>
    </row>
    <row r="1140">
      <c r="A1140" s="194" t="s">
        <v>2152</v>
      </c>
      <c r="B1140" s="194">
        <v>105249.0</v>
      </c>
      <c r="C1140" s="192" t="s">
        <v>2153</v>
      </c>
      <c r="D1140" s="192" t="s">
        <v>767</v>
      </c>
      <c r="E1140" s="235"/>
      <c r="F1140" s="235"/>
      <c r="G1140" s="325"/>
      <c r="H1140" s="235"/>
      <c r="I1140" s="235"/>
      <c r="J1140" s="235"/>
      <c r="K1140" s="235"/>
      <c r="L1140" s="235"/>
      <c r="M1140" s="235"/>
      <c r="N1140" s="235"/>
      <c r="O1140" s="235"/>
      <c r="P1140" s="235"/>
      <c r="Q1140" s="235"/>
      <c r="R1140" s="235"/>
      <c r="S1140" s="235"/>
      <c r="T1140" s="235"/>
      <c r="U1140" s="235"/>
      <c r="V1140" s="235"/>
      <c r="W1140" s="235"/>
      <c r="X1140" s="235"/>
      <c r="Y1140" s="235"/>
      <c r="Z1140" s="235"/>
      <c r="AA1140" s="235"/>
      <c r="AB1140" s="235"/>
      <c r="AC1140" s="235"/>
    </row>
    <row r="1141">
      <c r="A1141" s="194" t="s">
        <v>1761</v>
      </c>
      <c r="B1141" s="194">
        <v>105236.0</v>
      </c>
      <c r="C1141" s="192" t="s">
        <v>1762</v>
      </c>
      <c r="D1141" s="192" t="s">
        <v>1159</v>
      </c>
      <c r="E1141" s="235"/>
      <c r="F1141" s="235"/>
      <c r="G1141" s="325"/>
      <c r="H1141" s="235"/>
      <c r="I1141" s="235"/>
      <c r="J1141" s="235"/>
      <c r="K1141" s="235"/>
      <c r="L1141" s="235"/>
      <c r="M1141" s="235"/>
      <c r="N1141" s="235"/>
      <c r="O1141" s="235"/>
      <c r="P1141" s="235"/>
      <c r="Q1141" s="235"/>
      <c r="R1141" s="235"/>
      <c r="S1141" s="235"/>
      <c r="T1141" s="235"/>
      <c r="U1141" s="235"/>
      <c r="V1141" s="235"/>
      <c r="W1141" s="235"/>
      <c r="X1141" s="235"/>
      <c r="Y1141" s="235"/>
      <c r="Z1141" s="235"/>
      <c r="AA1141" s="235"/>
      <c r="AB1141" s="235"/>
      <c r="AC1141" s="235"/>
    </row>
    <row r="1142">
      <c r="A1142" s="194" t="s">
        <v>1235</v>
      </c>
      <c r="B1142" s="194">
        <v>104137.0</v>
      </c>
      <c r="C1142" s="192" t="s">
        <v>1236</v>
      </c>
      <c r="D1142" s="192" t="s">
        <v>767</v>
      </c>
      <c r="E1142" s="235"/>
      <c r="F1142" s="235"/>
      <c r="G1142" s="325"/>
      <c r="H1142" s="235"/>
      <c r="I1142" s="235"/>
      <c r="J1142" s="235"/>
      <c r="K1142" s="235"/>
      <c r="L1142" s="235"/>
      <c r="M1142" s="235"/>
      <c r="N1142" s="235"/>
      <c r="O1142" s="235"/>
      <c r="P1142" s="235"/>
      <c r="Q1142" s="235"/>
      <c r="R1142" s="235"/>
      <c r="S1142" s="235"/>
      <c r="T1142" s="235"/>
      <c r="U1142" s="235"/>
      <c r="V1142" s="235"/>
      <c r="W1142" s="235"/>
      <c r="X1142" s="235"/>
      <c r="Y1142" s="235"/>
      <c r="Z1142" s="235"/>
      <c r="AA1142" s="235"/>
      <c r="AB1142" s="235"/>
      <c r="AC1142" s="235"/>
    </row>
    <row r="1143">
      <c r="A1143" s="194" t="s">
        <v>2157</v>
      </c>
      <c r="B1143" s="194">
        <v>105193.0</v>
      </c>
      <c r="C1143" s="192" t="s">
        <v>2158</v>
      </c>
      <c r="D1143" s="192" t="s">
        <v>254</v>
      </c>
      <c r="E1143" s="235"/>
      <c r="F1143" s="235"/>
      <c r="G1143" s="325"/>
      <c r="H1143" s="235"/>
      <c r="I1143" s="235"/>
      <c r="J1143" s="235"/>
      <c r="K1143" s="235"/>
      <c r="L1143" s="235"/>
      <c r="M1143" s="235"/>
      <c r="N1143" s="235"/>
      <c r="O1143" s="235"/>
      <c r="P1143" s="235"/>
      <c r="Q1143" s="235"/>
      <c r="R1143" s="235"/>
      <c r="S1143" s="235"/>
      <c r="T1143" s="235"/>
      <c r="U1143" s="235"/>
      <c r="V1143" s="235"/>
      <c r="W1143" s="235"/>
      <c r="X1143" s="235"/>
      <c r="Y1143" s="235"/>
      <c r="Z1143" s="235"/>
      <c r="AA1143" s="235"/>
      <c r="AB1143" s="235"/>
      <c r="AC1143" s="235"/>
    </row>
    <row r="1144">
      <c r="A1144" s="194" t="s">
        <v>2161</v>
      </c>
      <c r="B1144" s="194" t="s">
        <v>2159</v>
      </c>
      <c r="C1144" s="192" t="e">
        <v>#N/A</v>
      </c>
      <c r="D1144" s="192" t="s">
        <v>646</v>
      </c>
      <c r="E1144" s="235"/>
      <c r="F1144" s="235"/>
      <c r="G1144" s="325"/>
      <c r="H1144" s="235"/>
      <c r="I1144" s="235"/>
      <c r="J1144" s="235"/>
      <c r="K1144" s="235"/>
      <c r="L1144" s="235"/>
      <c r="M1144" s="235"/>
      <c r="N1144" s="235"/>
      <c r="O1144" s="235"/>
      <c r="P1144" s="235"/>
      <c r="Q1144" s="235"/>
      <c r="R1144" s="235"/>
      <c r="S1144" s="235"/>
      <c r="T1144" s="235"/>
      <c r="U1144" s="235"/>
      <c r="V1144" s="235"/>
      <c r="W1144" s="235"/>
      <c r="X1144" s="235"/>
      <c r="Y1144" s="235"/>
      <c r="Z1144" s="235"/>
      <c r="AA1144" s="235"/>
      <c r="AB1144" s="235"/>
      <c r="AC1144" s="235"/>
    </row>
    <row r="1145">
      <c r="A1145" s="194" t="s">
        <v>2162</v>
      </c>
      <c r="B1145" s="194">
        <v>104791.0</v>
      </c>
      <c r="C1145" s="192" t="s">
        <v>2163</v>
      </c>
      <c r="D1145" s="192" t="s">
        <v>125</v>
      </c>
      <c r="E1145" s="235"/>
      <c r="F1145" s="235"/>
      <c r="G1145" s="325"/>
      <c r="H1145" s="235"/>
      <c r="I1145" s="235"/>
      <c r="J1145" s="235"/>
      <c r="K1145" s="235"/>
      <c r="L1145" s="235"/>
      <c r="M1145" s="235"/>
      <c r="N1145" s="235"/>
      <c r="O1145" s="235"/>
      <c r="P1145" s="235"/>
      <c r="Q1145" s="235"/>
      <c r="R1145" s="235"/>
      <c r="S1145" s="235"/>
      <c r="T1145" s="235"/>
      <c r="U1145" s="235"/>
      <c r="V1145" s="235"/>
      <c r="W1145" s="235"/>
      <c r="X1145" s="235"/>
      <c r="Y1145" s="235"/>
      <c r="Z1145" s="235"/>
      <c r="AA1145" s="235"/>
      <c r="AB1145" s="235"/>
      <c r="AC1145" s="235"/>
    </row>
    <row r="1146">
      <c r="A1146" s="194" t="s">
        <v>2165</v>
      </c>
      <c r="B1146" s="194">
        <v>105437.0</v>
      </c>
      <c r="C1146" s="192" t="s">
        <v>2166</v>
      </c>
      <c r="D1146" s="192" t="s">
        <v>625</v>
      </c>
      <c r="E1146" s="235"/>
      <c r="F1146" s="235"/>
      <c r="G1146" s="325"/>
      <c r="H1146" s="235"/>
      <c r="I1146" s="235"/>
      <c r="J1146" s="235"/>
      <c r="K1146" s="235"/>
      <c r="L1146" s="235"/>
      <c r="M1146" s="235"/>
      <c r="N1146" s="235"/>
      <c r="O1146" s="235"/>
      <c r="P1146" s="235"/>
      <c r="Q1146" s="235"/>
      <c r="R1146" s="235"/>
      <c r="S1146" s="235"/>
      <c r="T1146" s="235"/>
      <c r="U1146" s="235"/>
      <c r="V1146" s="235"/>
      <c r="W1146" s="235"/>
      <c r="X1146" s="235"/>
      <c r="Y1146" s="235"/>
      <c r="Z1146" s="235"/>
      <c r="AA1146" s="235"/>
      <c r="AB1146" s="235"/>
      <c r="AC1146" s="235"/>
    </row>
    <row r="1147">
      <c r="A1147" s="194" t="s">
        <v>2168</v>
      </c>
      <c r="B1147" s="194">
        <v>105551.0</v>
      </c>
      <c r="C1147" s="192" t="s">
        <v>2169</v>
      </c>
      <c r="D1147" s="192" t="s">
        <v>625</v>
      </c>
      <c r="E1147" s="235"/>
      <c r="F1147" s="235"/>
      <c r="G1147" s="325"/>
      <c r="H1147" s="235"/>
      <c r="I1147" s="235"/>
      <c r="J1147" s="235"/>
      <c r="K1147" s="235"/>
      <c r="L1147" s="235"/>
      <c r="M1147" s="235"/>
      <c r="N1147" s="235"/>
      <c r="O1147" s="235"/>
      <c r="P1147" s="235"/>
      <c r="Q1147" s="235"/>
      <c r="R1147" s="235"/>
      <c r="S1147" s="235"/>
      <c r="T1147" s="235"/>
      <c r="U1147" s="235"/>
      <c r="V1147" s="235"/>
      <c r="W1147" s="235"/>
      <c r="X1147" s="235"/>
      <c r="Y1147" s="235"/>
      <c r="Z1147" s="235"/>
      <c r="AA1147" s="235"/>
      <c r="AB1147" s="235"/>
      <c r="AC1147" s="235"/>
    </row>
    <row r="1148">
      <c r="A1148" s="194" t="s">
        <v>2172</v>
      </c>
      <c r="B1148" s="194" t="s">
        <v>2171</v>
      </c>
      <c r="C1148" s="192" t="e">
        <v>#N/A</v>
      </c>
      <c r="D1148" s="192" t="s">
        <v>326</v>
      </c>
      <c r="E1148" s="235"/>
      <c r="F1148" s="235"/>
      <c r="G1148" s="325"/>
      <c r="H1148" s="235"/>
      <c r="I1148" s="235"/>
      <c r="J1148" s="235"/>
      <c r="K1148" s="235"/>
      <c r="L1148" s="235"/>
      <c r="M1148" s="235"/>
      <c r="N1148" s="235"/>
      <c r="O1148" s="235"/>
      <c r="P1148" s="235"/>
      <c r="Q1148" s="235"/>
      <c r="R1148" s="235"/>
      <c r="S1148" s="235"/>
      <c r="T1148" s="235"/>
      <c r="U1148" s="235"/>
      <c r="V1148" s="235"/>
      <c r="W1148" s="235"/>
      <c r="X1148" s="235"/>
      <c r="Y1148" s="235"/>
      <c r="Z1148" s="235"/>
      <c r="AA1148" s="235"/>
      <c r="AB1148" s="235"/>
      <c r="AC1148" s="235"/>
    </row>
    <row r="1149">
      <c r="A1149" s="194" t="s">
        <v>2173</v>
      </c>
      <c r="B1149" s="194">
        <v>105577.0</v>
      </c>
      <c r="C1149" s="192" t="s">
        <v>2174</v>
      </c>
      <c r="D1149" s="192" t="s">
        <v>1140</v>
      </c>
      <c r="E1149" s="235"/>
      <c r="F1149" s="235"/>
      <c r="G1149" s="325"/>
      <c r="H1149" s="235"/>
      <c r="I1149" s="235"/>
      <c r="J1149" s="235"/>
      <c r="K1149" s="235"/>
      <c r="L1149" s="235"/>
      <c r="M1149" s="235"/>
      <c r="N1149" s="235"/>
      <c r="O1149" s="235"/>
      <c r="P1149" s="235"/>
      <c r="Q1149" s="235"/>
      <c r="R1149" s="235"/>
      <c r="S1149" s="235"/>
      <c r="T1149" s="235"/>
      <c r="U1149" s="235"/>
      <c r="V1149" s="235"/>
      <c r="W1149" s="235"/>
      <c r="X1149" s="235"/>
      <c r="Y1149" s="235"/>
      <c r="Z1149" s="235"/>
      <c r="AA1149" s="235"/>
      <c r="AB1149" s="235"/>
      <c r="AC1149" s="235"/>
    </row>
    <row r="1150">
      <c r="A1150" s="194" t="s">
        <v>2014</v>
      </c>
      <c r="B1150" s="245">
        <v>45534.0</v>
      </c>
      <c r="C1150" s="192" t="e">
        <v>#N/A</v>
      </c>
      <c r="D1150" s="192" t="s">
        <v>646</v>
      </c>
      <c r="E1150" s="235"/>
      <c r="F1150" s="235"/>
      <c r="G1150" s="325"/>
      <c r="H1150" s="235"/>
      <c r="I1150" s="235"/>
      <c r="J1150" s="235"/>
      <c r="K1150" s="235"/>
      <c r="L1150" s="235"/>
      <c r="M1150" s="235"/>
      <c r="N1150" s="235"/>
      <c r="O1150" s="235"/>
      <c r="P1150" s="235"/>
      <c r="Q1150" s="235"/>
      <c r="R1150" s="235"/>
      <c r="S1150" s="235"/>
      <c r="T1150" s="235"/>
      <c r="U1150" s="235"/>
      <c r="V1150" s="235"/>
      <c r="W1150" s="235"/>
      <c r="X1150" s="235"/>
      <c r="Y1150" s="235"/>
      <c r="Z1150" s="235"/>
      <c r="AA1150" s="235"/>
      <c r="AB1150" s="235"/>
      <c r="AC1150" s="235"/>
    </row>
    <row r="1151">
      <c r="A1151" s="194" t="s">
        <v>2177</v>
      </c>
      <c r="B1151" s="245">
        <v>105588.0</v>
      </c>
      <c r="C1151" s="192" t="s">
        <v>2178</v>
      </c>
      <c r="D1151" s="192" t="s">
        <v>1257</v>
      </c>
      <c r="E1151" s="235"/>
      <c r="F1151" s="235"/>
      <c r="G1151" s="325"/>
      <c r="H1151" s="235"/>
      <c r="I1151" s="235"/>
      <c r="J1151" s="235"/>
      <c r="K1151" s="235"/>
      <c r="L1151" s="235"/>
      <c r="M1151" s="235"/>
      <c r="N1151" s="235"/>
      <c r="O1151" s="235"/>
      <c r="P1151" s="235"/>
      <c r="Q1151" s="235"/>
      <c r="R1151" s="235"/>
      <c r="S1151" s="235"/>
      <c r="T1151" s="235"/>
      <c r="U1151" s="235"/>
      <c r="V1151" s="235"/>
      <c r="W1151" s="235"/>
      <c r="X1151" s="235"/>
      <c r="Y1151" s="235"/>
      <c r="Z1151" s="235"/>
      <c r="AA1151" s="235"/>
      <c r="AB1151" s="235"/>
      <c r="AC1151" s="235"/>
    </row>
    <row r="1152">
      <c r="A1152" s="194" t="s">
        <v>2180</v>
      </c>
      <c r="B1152" s="245">
        <v>104698.0</v>
      </c>
      <c r="C1152" s="192" t="s">
        <v>2181</v>
      </c>
      <c r="D1152" s="192" t="s">
        <v>625</v>
      </c>
      <c r="E1152" s="235"/>
      <c r="F1152" s="235"/>
      <c r="G1152" s="325"/>
      <c r="H1152" s="235"/>
      <c r="I1152" s="235"/>
      <c r="J1152" s="235"/>
      <c r="K1152" s="235"/>
      <c r="L1152" s="235"/>
      <c r="M1152" s="235"/>
      <c r="N1152" s="235"/>
      <c r="O1152" s="235"/>
      <c r="P1152" s="235"/>
      <c r="Q1152" s="235"/>
      <c r="R1152" s="235"/>
      <c r="S1152" s="235"/>
      <c r="T1152" s="235"/>
      <c r="U1152" s="235"/>
      <c r="V1152" s="235"/>
      <c r="W1152" s="235"/>
      <c r="X1152" s="235"/>
      <c r="Y1152" s="235"/>
      <c r="Z1152" s="235"/>
      <c r="AA1152" s="235"/>
      <c r="AB1152" s="235"/>
      <c r="AC1152" s="235"/>
    </row>
    <row r="1153">
      <c r="A1153" s="194" t="s">
        <v>2183</v>
      </c>
      <c r="B1153" s="245">
        <v>104791.0</v>
      </c>
      <c r="C1153" s="192" t="s">
        <v>2163</v>
      </c>
      <c r="D1153" s="192" t="s">
        <v>625</v>
      </c>
      <c r="E1153" s="235"/>
      <c r="F1153" s="235"/>
      <c r="G1153" s="325"/>
      <c r="H1153" s="235"/>
      <c r="I1153" s="235"/>
      <c r="J1153" s="235"/>
      <c r="K1153" s="235"/>
      <c r="L1153" s="235"/>
      <c r="M1153" s="235"/>
      <c r="N1153" s="235"/>
      <c r="O1153" s="235"/>
      <c r="P1153" s="235"/>
      <c r="Q1153" s="235"/>
      <c r="R1153" s="235"/>
      <c r="S1153" s="235"/>
      <c r="T1153" s="235"/>
      <c r="U1153" s="235"/>
      <c r="V1153" s="235"/>
      <c r="W1153" s="235"/>
      <c r="X1153" s="235"/>
      <c r="Y1153" s="235"/>
      <c r="Z1153" s="235"/>
      <c r="AA1153" s="235"/>
      <c r="AB1153" s="235"/>
      <c r="AC1153" s="235"/>
    </row>
    <row r="1154">
      <c r="A1154" s="194" t="s">
        <v>2186</v>
      </c>
      <c r="B1154" s="245">
        <v>105184.0</v>
      </c>
      <c r="C1154" s="192" t="s">
        <v>2187</v>
      </c>
      <c r="D1154" s="192" t="s">
        <v>646</v>
      </c>
      <c r="E1154" s="235"/>
      <c r="F1154" s="235"/>
      <c r="G1154" s="325"/>
      <c r="H1154" s="235"/>
      <c r="I1154" s="235"/>
      <c r="J1154" s="235"/>
      <c r="K1154" s="235"/>
      <c r="L1154" s="235"/>
      <c r="M1154" s="235"/>
      <c r="N1154" s="235"/>
      <c r="O1154" s="235"/>
      <c r="P1154" s="235"/>
      <c r="Q1154" s="235"/>
      <c r="R1154" s="235"/>
      <c r="S1154" s="235"/>
      <c r="T1154" s="235"/>
      <c r="U1154" s="235"/>
      <c r="V1154" s="235"/>
      <c r="W1154" s="235"/>
      <c r="X1154" s="235"/>
      <c r="Y1154" s="235"/>
      <c r="Z1154" s="235"/>
      <c r="AA1154" s="235"/>
      <c r="AB1154" s="235"/>
      <c r="AC1154" s="235"/>
    </row>
    <row r="1155">
      <c r="A1155" s="194" t="s">
        <v>2188</v>
      </c>
      <c r="B1155" s="245">
        <v>104663.0</v>
      </c>
      <c r="C1155" s="192" t="s">
        <v>2189</v>
      </c>
      <c r="D1155" s="192" t="s">
        <v>625</v>
      </c>
      <c r="E1155" s="235"/>
      <c r="F1155" s="235"/>
      <c r="G1155" s="325"/>
      <c r="H1155" s="235"/>
      <c r="I1155" s="235"/>
      <c r="J1155" s="235"/>
      <c r="K1155" s="235"/>
      <c r="L1155" s="235"/>
      <c r="M1155" s="235"/>
      <c r="N1155" s="235"/>
      <c r="O1155" s="235"/>
      <c r="P1155" s="235"/>
      <c r="Q1155" s="235"/>
      <c r="R1155" s="235"/>
      <c r="S1155" s="235"/>
      <c r="T1155" s="235"/>
      <c r="U1155" s="235"/>
      <c r="V1155" s="235"/>
      <c r="W1155" s="235"/>
      <c r="X1155" s="235"/>
      <c r="Y1155" s="235"/>
      <c r="Z1155" s="235"/>
      <c r="AA1155" s="235"/>
      <c r="AB1155" s="235"/>
      <c r="AC1155" s="235"/>
    </row>
    <row r="1156">
      <c r="A1156" s="194" t="s">
        <v>2191</v>
      </c>
      <c r="B1156" s="245">
        <v>104044.0</v>
      </c>
      <c r="C1156" s="192" t="s">
        <v>2192</v>
      </c>
      <c r="D1156" s="192" t="s">
        <v>254</v>
      </c>
      <c r="E1156" s="235"/>
      <c r="F1156" s="235"/>
      <c r="G1156" s="325"/>
      <c r="H1156" s="235"/>
      <c r="I1156" s="235"/>
      <c r="J1156" s="235"/>
      <c r="K1156" s="235"/>
      <c r="L1156" s="235"/>
      <c r="M1156" s="235"/>
      <c r="N1156" s="235"/>
      <c r="O1156" s="235"/>
      <c r="P1156" s="235"/>
      <c r="Q1156" s="235"/>
      <c r="R1156" s="235"/>
      <c r="S1156" s="235"/>
      <c r="T1156" s="235"/>
      <c r="U1156" s="235"/>
      <c r="V1156" s="235"/>
      <c r="W1156" s="235"/>
      <c r="X1156" s="235"/>
      <c r="Y1156" s="235"/>
      <c r="Z1156" s="235"/>
      <c r="AA1156" s="235"/>
      <c r="AB1156" s="235"/>
      <c r="AC1156" s="235"/>
    </row>
    <row r="1157">
      <c r="A1157" s="194" t="s">
        <v>2194</v>
      </c>
      <c r="B1157" s="245">
        <v>104255.0</v>
      </c>
      <c r="C1157" s="192" t="s">
        <v>2195</v>
      </c>
      <c r="D1157" s="192" t="s">
        <v>113</v>
      </c>
      <c r="E1157" s="235"/>
      <c r="F1157" s="235"/>
      <c r="G1157" s="325"/>
      <c r="H1157" s="235"/>
      <c r="I1157" s="235"/>
      <c r="J1157" s="235"/>
      <c r="K1157" s="235"/>
      <c r="L1157" s="235"/>
      <c r="M1157" s="235"/>
      <c r="N1157" s="235"/>
      <c r="O1157" s="235"/>
      <c r="P1157" s="235"/>
      <c r="Q1157" s="235"/>
      <c r="R1157" s="235"/>
      <c r="S1157" s="235"/>
      <c r="T1157" s="235"/>
      <c r="U1157" s="235"/>
      <c r="V1157" s="235"/>
      <c r="W1157" s="235"/>
      <c r="X1157" s="235"/>
      <c r="Y1157" s="235"/>
      <c r="Z1157" s="235"/>
      <c r="AA1157" s="235"/>
      <c r="AB1157" s="235"/>
      <c r="AC1157" s="235"/>
    </row>
    <row r="1158">
      <c r="A1158" s="194" t="s">
        <v>2194</v>
      </c>
      <c r="B1158" s="245">
        <v>104255.0</v>
      </c>
      <c r="C1158" s="192" t="s">
        <v>2195</v>
      </c>
      <c r="D1158" s="192" t="s">
        <v>113</v>
      </c>
      <c r="E1158" s="235"/>
      <c r="F1158" s="235"/>
      <c r="G1158" s="325"/>
      <c r="H1158" s="235"/>
      <c r="I1158" s="235"/>
      <c r="J1158" s="235"/>
      <c r="K1158" s="235"/>
      <c r="L1158" s="235"/>
      <c r="M1158" s="235"/>
      <c r="N1158" s="235"/>
      <c r="O1158" s="235"/>
      <c r="P1158" s="235"/>
      <c r="Q1158" s="235"/>
      <c r="R1158" s="235"/>
      <c r="S1158" s="235"/>
      <c r="T1158" s="235"/>
      <c r="U1158" s="235"/>
      <c r="V1158" s="235"/>
      <c r="W1158" s="235"/>
      <c r="X1158" s="235"/>
      <c r="Y1158" s="235"/>
      <c r="Z1158" s="235"/>
      <c r="AA1158" s="235"/>
      <c r="AB1158" s="235"/>
      <c r="AC1158" s="235"/>
    </row>
    <row r="1159">
      <c r="A1159" s="194" t="s">
        <v>2197</v>
      </c>
      <c r="B1159" s="245">
        <v>105512.0</v>
      </c>
      <c r="C1159" s="192" t="s">
        <v>2198</v>
      </c>
      <c r="D1159" s="192" t="s">
        <v>265</v>
      </c>
      <c r="E1159" s="235"/>
      <c r="F1159" s="235"/>
      <c r="G1159" s="325"/>
      <c r="H1159" s="235"/>
      <c r="I1159" s="235"/>
      <c r="J1159" s="235"/>
      <c r="K1159" s="235"/>
      <c r="L1159" s="235"/>
      <c r="M1159" s="235"/>
      <c r="N1159" s="235"/>
      <c r="O1159" s="235"/>
      <c r="P1159" s="235"/>
      <c r="Q1159" s="235"/>
      <c r="R1159" s="235"/>
      <c r="S1159" s="235"/>
      <c r="T1159" s="235"/>
      <c r="U1159" s="235"/>
      <c r="V1159" s="235"/>
      <c r="W1159" s="235"/>
      <c r="X1159" s="235"/>
      <c r="Y1159" s="235"/>
      <c r="Z1159" s="235"/>
      <c r="AA1159" s="235"/>
      <c r="AB1159" s="235"/>
      <c r="AC1159" s="235"/>
    </row>
    <row r="1160">
      <c r="A1160" s="194" t="s">
        <v>2200</v>
      </c>
      <c r="B1160" s="245">
        <v>105656.0</v>
      </c>
      <c r="C1160" s="192" t="s">
        <v>2201</v>
      </c>
      <c r="D1160" s="192" t="s">
        <v>87</v>
      </c>
      <c r="E1160" s="235"/>
      <c r="F1160" s="235"/>
      <c r="G1160" s="325"/>
      <c r="H1160" s="235"/>
      <c r="I1160" s="235"/>
      <c r="J1160" s="235"/>
      <c r="K1160" s="235"/>
      <c r="L1160" s="235"/>
      <c r="M1160" s="235"/>
      <c r="N1160" s="235"/>
      <c r="O1160" s="235"/>
      <c r="P1160" s="235"/>
      <c r="Q1160" s="235"/>
      <c r="R1160" s="235"/>
      <c r="S1160" s="235"/>
      <c r="T1160" s="235"/>
      <c r="U1160" s="235"/>
      <c r="V1160" s="235"/>
      <c r="W1160" s="235"/>
      <c r="X1160" s="235"/>
      <c r="Y1160" s="235"/>
      <c r="Z1160" s="235"/>
      <c r="AA1160" s="235"/>
      <c r="AB1160" s="235"/>
      <c r="AC1160" s="235"/>
    </row>
    <row r="1161">
      <c r="A1161" s="194" t="s">
        <v>2203</v>
      </c>
      <c r="B1161" s="245">
        <v>105604.0</v>
      </c>
      <c r="C1161" s="192" t="s">
        <v>2204</v>
      </c>
      <c r="D1161" s="192" t="s">
        <v>87</v>
      </c>
      <c r="E1161" s="235"/>
      <c r="F1161" s="235"/>
      <c r="G1161" s="325"/>
      <c r="H1161" s="235"/>
      <c r="I1161" s="235"/>
      <c r="J1161" s="235"/>
      <c r="K1161" s="235"/>
      <c r="L1161" s="235"/>
      <c r="M1161" s="235"/>
      <c r="N1161" s="235"/>
      <c r="O1161" s="235"/>
      <c r="P1161" s="235"/>
      <c r="Q1161" s="235"/>
      <c r="R1161" s="235"/>
      <c r="S1161" s="235"/>
      <c r="T1161" s="235"/>
      <c r="U1161" s="235"/>
      <c r="V1161" s="235"/>
      <c r="W1161" s="235"/>
      <c r="X1161" s="235"/>
      <c r="Y1161" s="235"/>
      <c r="Z1161" s="235"/>
      <c r="AA1161" s="235"/>
      <c r="AB1161" s="235"/>
      <c r="AC1161" s="235"/>
    </row>
    <row r="1162">
      <c r="A1162" s="194" t="s">
        <v>2205</v>
      </c>
      <c r="B1162" s="245">
        <v>105611.0</v>
      </c>
      <c r="C1162" s="192" t="s">
        <v>1858</v>
      </c>
      <c r="D1162" s="192" t="s">
        <v>87</v>
      </c>
      <c r="E1162" s="235"/>
      <c r="F1162" s="235"/>
      <c r="G1162" s="325"/>
      <c r="H1162" s="235"/>
      <c r="I1162" s="235"/>
      <c r="J1162" s="235"/>
      <c r="K1162" s="235"/>
      <c r="L1162" s="235"/>
      <c r="M1162" s="235"/>
      <c r="N1162" s="235"/>
      <c r="O1162" s="235"/>
      <c r="P1162" s="235"/>
      <c r="Q1162" s="235"/>
      <c r="R1162" s="235"/>
      <c r="S1162" s="235"/>
      <c r="T1162" s="235"/>
      <c r="U1162" s="235"/>
      <c r="V1162" s="235"/>
      <c r="W1162" s="235"/>
      <c r="X1162" s="235"/>
      <c r="Y1162" s="235"/>
      <c r="Z1162" s="235"/>
      <c r="AA1162" s="235"/>
      <c r="AB1162" s="235"/>
      <c r="AC1162" s="235"/>
    </row>
    <row r="1163">
      <c r="A1163" s="194" t="s">
        <v>2206</v>
      </c>
      <c r="B1163" s="245">
        <v>105647.0</v>
      </c>
      <c r="C1163" s="192" t="s">
        <v>2207</v>
      </c>
      <c r="D1163" s="192" t="s">
        <v>427</v>
      </c>
      <c r="E1163" s="235"/>
      <c r="F1163" s="235"/>
      <c r="G1163" s="325"/>
      <c r="H1163" s="235"/>
      <c r="I1163" s="235"/>
      <c r="J1163" s="235"/>
      <c r="K1163" s="235"/>
      <c r="L1163" s="235"/>
      <c r="M1163" s="235"/>
      <c r="N1163" s="235"/>
      <c r="O1163" s="235"/>
      <c r="P1163" s="235"/>
      <c r="Q1163" s="235"/>
      <c r="R1163" s="235"/>
      <c r="S1163" s="235"/>
      <c r="T1163" s="235"/>
      <c r="U1163" s="235"/>
      <c r="V1163" s="235"/>
      <c r="W1163" s="235"/>
      <c r="X1163" s="235"/>
      <c r="Y1163" s="235"/>
      <c r="Z1163" s="235"/>
      <c r="AA1163" s="235"/>
      <c r="AB1163" s="235"/>
      <c r="AC1163" s="235"/>
    </row>
    <row r="1164">
      <c r="A1164" s="194" t="s">
        <v>2208</v>
      </c>
      <c r="B1164" s="245">
        <v>104403.0</v>
      </c>
      <c r="C1164" s="192" t="s">
        <v>2209</v>
      </c>
      <c r="D1164" s="192" t="s">
        <v>209</v>
      </c>
      <c r="E1164" s="235"/>
      <c r="F1164" s="235"/>
      <c r="G1164" s="325"/>
      <c r="H1164" s="235"/>
      <c r="I1164" s="235"/>
      <c r="J1164" s="235"/>
      <c r="K1164" s="235"/>
      <c r="L1164" s="235"/>
      <c r="M1164" s="235"/>
      <c r="N1164" s="235"/>
      <c r="O1164" s="235"/>
      <c r="P1164" s="235"/>
      <c r="Q1164" s="235"/>
      <c r="R1164" s="235"/>
      <c r="S1164" s="235"/>
      <c r="T1164" s="235"/>
      <c r="U1164" s="235"/>
      <c r="V1164" s="235"/>
      <c r="W1164" s="235"/>
      <c r="X1164" s="235"/>
      <c r="Y1164" s="235"/>
      <c r="Z1164" s="235"/>
      <c r="AA1164" s="235"/>
      <c r="AB1164" s="235"/>
      <c r="AC1164" s="235"/>
    </row>
    <row r="1165">
      <c r="A1165" s="194" t="s">
        <v>2210</v>
      </c>
      <c r="B1165" s="245">
        <v>103849.0</v>
      </c>
      <c r="C1165" s="192" t="s">
        <v>1175</v>
      </c>
      <c r="D1165" s="192" t="s">
        <v>113</v>
      </c>
      <c r="E1165" s="235"/>
      <c r="F1165" s="235"/>
      <c r="G1165" s="325"/>
      <c r="H1165" s="235"/>
      <c r="I1165" s="235"/>
      <c r="J1165" s="235"/>
      <c r="K1165" s="235"/>
      <c r="L1165" s="235"/>
      <c r="M1165" s="235"/>
      <c r="N1165" s="235"/>
      <c r="O1165" s="235"/>
      <c r="P1165" s="235"/>
      <c r="Q1165" s="235"/>
      <c r="R1165" s="235"/>
      <c r="S1165" s="235"/>
      <c r="T1165" s="235"/>
      <c r="U1165" s="235"/>
      <c r="V1165" s="235"/>
      <c r="W1165" s="235"/>
      <c r="X1165" s="235"/>
      <c r="Y1165" s="235"/>
      <c r="Z1165" s="235"/>
      <c r="AA1165" s="235"/>
      <c r="AB1165" s="235"/>
      <c r="AC1165" s="235"/>
    </row>
    <row r="1166">
      <c r="A1166" s="194" t="s">
        <v>1439</v>
      </c>
      <c r="B1166" s="245">
        <v>104459.0</v>
      </c>
      <c r="C1166" s="192" t="s">
        <v>1414</v>
      </c>
      <c r="D1166" s="192" t="s">
        <v>312</v>
      </c>
      <c r="E1166" s="235"/>
      <c r="F1166" s="235"/>
      <c r="G1166" s="325"/>
      <c r="H1166" s="235"/>
      <c r="I1166" s="235"/>
      <c r="J1166" s="235"/>
      <c r="K1166" s="235"/>
      <c r="L1166" s="235"/>
      <c r="M1166" s="235"/>
      <c r="N1166" s="235"/>
      <c r="O1166" s="235"/>
      <c r="P1166" s="235"/>
      <c r="Q1166" s="235"/>
      <c r="R1166" s="235"/>
      <c r="S1166" s="235"/>
      <c r="T1166" s="235"/>
      <c r="U1166" s="235"/>
      <c r="V1166" s="235"/>
      <c r="W1166" s="235"/>
      <c r="X1166" s="235"/>
      <c r="Y1166" s="235"/>
      <c r="Z1166" s="235"/>
      <c r="AA1166" s="235"/>
      <c r="AB1166" s="235"/>
      <c r="AC1166" s="235"/>
    </row>
    <row r="1167">
      <c r="A1167" s="194" t="s">
        <v>1413</v>
      </c>
      <c r="B1167" s="245">
        <v>104458.0</v>
      </c>
      <c r="C1167" s="192" t="s">
        <v>1414</v>
      </c>
      <c r="D1167" s="192" t="s">
        <v>312</v>
      </c>
      <c r="E1167" s="235"/>
      <c r="F1167" s="235"/>
      <c r="G1167" s="325"/>
      <c r="H1167" s="235"/>
      <c r="I1167" s="235"/>
      <c r="J1167" s="235"/>
      <c r="K1167" s="235"/>
      <c r="L1167" s="235"/>
      <c r="M1167" s="235"/>
      <c r="N1167" s="235"/>
      <c r="O1167" s="235"/>
      <c r="P1167" s="235"/>
      <c r="Q1167" s="235"/>
      <c r="R1167" s="235"/>
      <c r="S1167" s="235"/>
      <c r="T1167" s="235"/>
      <c r="U1167" s="235"/>
      <c r="V1167" s="235"/>
      <c r="W1167" s="235"/>
      <c r="X1167" s="235"/>
      <c r="Y1167" s="235"/>
      <c r="Z1167" s="235"/>
      <c r="AA1167" s="235"/>
      <c r="AB1167" s="235"/>
      <c r="AC1167" s="235"/>
    </row>
    <row r="1168">
      <c r="A1168" s="194" t="s">
        <v>2211</v>
      </c>
      <c r="B1168" s="245">
        <v>104710.0</v>
      </c>
      <c r="C1168" s="192" t="s">
        <v>2212</v>
      </c>
      <c r="D1168" s="192" t="s">
        <v>767</v>
      </c>
      <c r="E1168" s="235"/>
      <c r="F1168" s="235"/>
      <c r="G1168" s="325"/>
      <c r="H1168" s="235"/>
      <c r="I1168" s="235"/>
      <c r="J1168" s="235"/>
      <c r="K1168" s="235"/>
      <c r="L1168" s="235"/>
      <c r="M1168" s="235"/>
      <c r="N1168" s="235"/>
      <c r="O1168" s="235"/>
      <c r="P1168" s="235"/>
      <c r="Q1168" s="235"/>
      <c r="R1168" s="235"/>
      <c r="S1168" s="235"/>
      <c r="T1168" s="235"/>
      <c r="U1168" s="235"/>
      <c r="V1168" s="235"/>
      <c r="W1168" s="235"/>
      <c r="X1168" s="235"/>
      <c r="Y1168" s="235"/>
      <c r="Z1168" s="235"/>
      <c r="AA1168" s="235"/>
      <c r="AB1168" s="235"/>
      <c r="AC1168" s="235"/>
    </row>
    <row r="1169">
      <c r="A1169" s="194" t="s">
        <v>2213</v>
      </c>
      <c r="B1169" s="245">
        <v>104590.0</v>
      </c>
      <c r="C1169" s="192" t="s">
        <v>2214</v>
      </c>
      <c r="D1169" s="192" t="s">
        <v>767</v>
      </c>
      <c r="E1169" s="235"/>
      <c r="F1169" s="235"/>
      <c r="G1169" s="325"/>
      <c r="H1169" s="235"/>
      <c r="I1169" s="235"/>
      <c r="J1169" s="235"/>
      <c r="K1169" s="235"/>
      <c r="L1169" s="235"/>
      <c r="M1169" s="235"/>
      <c r="N1169" s="235"/>
      <c r="O1169" s="235"/>
      <c r="P1169" s="235"/>
      <c r="Q1169" s="235"/>
      <c r="R1169" s="235"/>
      <c r="S1169" s="235"/>
      <c r="T1169" s="235"/>
      <c r="U1169" s="235"/>
      <c r="V1169" s="235"/>
      <c r="W1169" s="235"/>
      <c r="X1169" s="235"/>
      <c r="Y1169" s="235"/>
      <c r="Z1169" s="235"/>
      <c r="AA1169" s="235"/>
      <c r="AB1169" s="235"/>
      <c r="AC1169" s="235"/>
    </row>
    <row r="1170">
      <c r="A1170" s="194" t="s">
        <v>2215</v>
      </c>
      <c r="B1170" s="245">
        <v>104591.0</v>
      </c>
      <c r="C1170" s="192" t="s">
        <v>2216</v>
      </c>
      <c r="D1170" s="192" t="s">
        <v>767</v>
      </c>
      <c r="E1170" s="235"/>
      <c r="F1170" s="235"/>
      <c r="G1170" s="325"/>
      <c r="H1170" s="235"/>
      <c r="I1170" s="235"/>
      <c r="J1170" s="235"/>
      <c r="K1170" s="235"/>
      <c r="L1170" s="235"/>
      <c r="M1170" s="235"/>
      <c r="N1170" s="235"/>
      <c r="O1170" s="235"/>
      <c r="P1170" s="235"/>
      <c r="Q1170" s="235"/>
      <c r="R1170" s="235"/>
      <c r="S1170" s="235"/>
      <c r="T1170" s="235"/>
      <c r="U1170" s="235"/>
      <c r="V1170" s="235"/>
      <c r="W1170" s="235"/>
      <c r="X1170" s="235"/>
      <c r="Y1170" s="235"/>
      <c r="Z1170" s="235"/>
      <c r="AA1170" s="235"/>
      <c r="AB1170" s="235"/>
      <c r="AC1170" s="235"/>
    </row>
    <row r="1171">
      <c r="A1171" s="194" t="s">
        <v>2217</v>
      </c>
      <c r="B1171" s="245">
        <v>104758.0</v>
      </c>
      <c r="C1171" s="192" t="s">
        <v>2218</v>
      </c>
      <c r="D1171" s="192" t="s">
        <v>51</v>
      </c>
      <c r="E1171" s="235"/>
      <c r="F1171" s="235"/>
      <c r="G1171" s="325"/>
      <c r="H1171" s="235"/>
      <c r="I1171" s="235"/>
      <c r="J1171" s="235"/>
      <c r="K1171" s="235"/>
      <c r="L1171" s="235"/>
      <c r="M1171" s="235"/>
      <c r="N1171" s="235"/>
      <c r="O1171" s="235"/>
      <c r="P1171" s="235"/>
      <c r="Q1171" s="235"/>
      <c r="R1171" s="235"/>
      <c r="S1171" s="235"/>
      <c r="T1171" s="235"/>
      <c r="U1171" s="235"/>
      <c r="V1171" s="235"/>
      <c r="W1171" s="235"/>
      <c r="X1171" s="235"/>
      <c r="Y1171" s="235"/>
      <c r="Z1171" s="235"/>
      <c r="AA1171" s="235"/>
      <c r="AB1171" s="235"/>
      <c r="AC1171" s="235"/>
    </row>
    <row r="1172">
      <c r="A1172" s="194" t="s">
        <v>1508</v>
      </c>
      <c r="B1172" s="245">
        <v>104592.0</v>
      </c>
      <c r="C1172" s="192" t="s">
        <v>1509</v>
      </c>
      <c r="D1172" s="192" t="s">
        <v>767</v>
      </c>
      <c r="E1172" s="235"/>
      <c r="F1172" s="235"/>
      <c r="G1172" s="325"/>
      <c r="H1172" s="235"/>
      <c r="I1172" s="235"/>
      <c r="J1172" s="235"/>
      <c r="K1172" s="235"/>
      <c r="L1172" s="235"/>
      <c r="M1172" s="235"/>
      <c r="N1172" s="235"/>
      <c r="O1172" s="235"/>
      <c r="P1172" s="235"/>
      <c r="Q1172" s="235"/>
      <c r="R1172" s="235"/>
      <c r="S1172" s="235"/>
      <c r="T1172" s="235"/>
      <c r="U1172" s="235"/>
      <c r="V1172" s="235"/>
      <c r="W1172" s="235"/>
      <c r="X1172" s="235"/>
      <c r="Y1172" s="235"/>
      <c r="Z1172" s="235"/>
      <c r="AA1172" s="235"/>
      <c r="AB1172" s="235"/>
      <c r="AC1172" s="235"/>
    </row>
    <row r="1173">
      <c r="A1173" s="194" t="s">
        <v>1526</v>
      </c>
      <c r="B1173" s="245">
        <v>104711.0</v>
      </c>
      <c r="C1173" s="192" t="s">
        <v>1527</v>
      </c>
      <c r="D1173" s="192" t="s">
        <v>767</v>
      </c>
      <c r="E1173" s="235"/>
      <c r="F1173" s="235"/>
      <c r="G1173" s="325"/>
      <c r="H1173" s="235"/>
      <c r="I1173" s="235"/>
      <c r="J1173" s="235"/>
      <c r="K1173" s="235"/>
      <c r="L1173" s="235"/>
      <c r="M1173" s="235"/>
      <c r="N1173" s="235"/>
      <c r="O1173" s="235"/>
      <c r="P1173" s="235"/>
      <c r="Q1173" s="235"/>
      <c r="R1173" s="235"/>
      <c r="S1173" s="235"/>
      <c r="T1173" s="235"/>
      <c r="U1173" s="235"/>
      <c r="V1173" s="235"/>
      <c r="W1173" s="235"/>
      <c r="X1173" s="235"/>
      <c r="Y1173" s="235"/>
      <c r="Z1173" s="235"/>
      <c r="AA1173" s="235"/>
      <c r="AB1173" s="235"/>
      <c r="AC1173" s="235"/>
    </row>
    <row r="1174">
      <c r="A1174" s="194" t="s">
        <v>1556</v>
      </c>
      <c r="B1174" s="245">
        <v>104806.0</v>
      </c>
      <c r="C1174" s="192" t="s">
        <v>1557</v>
      </c>
      <c r="D1174" s="192" t="s">
        <v>1503</v>
      </c>
      <c r="E1174" s="235"/>
      <c r="F1174" s="235"/>
      <c r="G1174" s="325"/>
      <c r="H1174" s="235"/>
      <c r="I1174" s="235"/>
      <c r="J1174" s="235"/>
      <c r="K1174" s="235"/>
      <c r="L1174" s="235"/>
      <c r="M1174" s="235"/>
      <c r="N1174" s="235"/>
      <c r="O1174" s="235"/>
      <c r="P1174" s="235"/>
      <c r="Q1174" s="235"/>
      <c r="R1174" s="235"/>
      <c r="S1174" s="235"/>
      <c r="T1174" s="235"/>
      <c r="U1174" s="235"/>
      <c r="V1174" s="235"/>
      <c r="W1174" s="235"/>
      <c r="X1174" s="235"/>
      <c r="Y1174" s="235"/>
      <c r="Z1174" s="235"/>
      <c r="AA1174" s="235"/>
      <c r="AB1174" s="235"/>
      <c r="AC1174" s="235"/>
    </row>
    <row r="1175">
      <c r="A1175" s="194" t="s">
        <v>1545</v>
      </c>
      <c r="B1175" s="245">
        <v>104807.0</v>
      </c>
      <c r="C1175" s="192" t="s">
        <v>1546</v>
      </c>
      <c r="D1175" s="192" t="s">
        <v>1547</v>
      </c>
      <c r="E1175" s="235"/>
      <c r="F1175" s="235"/>
      <c r="G1175" s="325"/>
      <c r="H1175" s="235"/>
      <c r="I1175" s="235"/>
      <c r="J1175" s="235"/>
      <c r="K1175" s="235"/>
      <c r="L1175" s="235"/>
      <c r="M1175" s="235"/>
      <c r="N1175" s="235"/>
      <c r="O1175" s="235"/>
      <c r="P1175" s="235"/>
      <c r="Q1175" s="235"/>
      <c r="R1175" s="235"/>
      <c r="S1175" s="235"/>
      <c r="T1175" s="235"/>
      <c r="U1175" s="235"/>
      <c r="V1175" s="235"/>
      <c r="W1175" s="235"/>
      <c r="X1175" s="235"/>
      <c r="Y1175" s="235"/>
      <c r="Z1175" s="235"/>
      <c r="AA1175" s="235"/>
      <c r="AB1175" s="235"/>
      <c r="AC1175" s="235"/>
    </row>
    <row r="1176">
      <c r="A1176" s="194" t="s">
        <v>1493</v>
      </c>
      <c r="B1176" s="245">
        <v>104716.0</v>
      </c>
      <c r="C1176" s="192" t="s">
        <v>1494</v>
      </c>
      <c r="D1176" s="192" t="s">
        <v>51</v>
      </c>
      <c r="E1176" s="235"/>
      <c r="F1176" s="235"/>
      <c r="G1176" s="325"/>
      <c r="H1176" s="235"/>
      <c r="I1176" s="235"/>
      <c r="J1176" s="235"/>
      <c r="K1176" s="235"/>
      <c r="L1176" s="235"/>
      <c r="M1176" s="235"/>
      <c r="N1176" s="235"/>
      <c r="O1176" s="235"/>
      <c r="P1176" s="235"/>
      <c r="Q1176" s="235"/>
      <c r="R1176" s="235"/>
      <c r="S1176" s="235"/>
      <c r="T1176" s="235"/>
      <c r="U1176" s="235"/>
      <c r="V1176" s="235"/>
      <c r="W1176" s="235"/>
      <c r="X1176" s="235"/>
      <c r="Y1176" s="235"/>
      <c r="Z1176" s="235"/>
      <c r="AA1176" s="235"/>
      <c r="AB1176" s="235"/>
      <c r="AC1176" s="235"/>
    </row>
    <row r="1177">
      <c r="A1177" s="194" t="s">
        <v>1501</v>
      </c>
      <c r="B1177" s="245">
        <v>104688.0</v>
      </c>
      <c r="C1177" s="192" t="s">
        <v>1502</v>
      </c>
      <c r="D1177" s="192" t="s">
        <v>1503</v>
      </c>
      <c r="E1177" s="235"/>
      <c r="F1177" s="235"/>
      <c r="G1177" s="325"/>
      <c r="H1177" s="235"/>
      <c r="I1177" s="235"/>
      <c r="J1177" s="235"/>
      <c r="K1177" s="235"/>
      <c r="L1177" s="235"/>
      <c r="M1177" s="235"/>
      <c r="N1177" s="235"/>
      <c r="O1177" s="235"/>
      <c r="P1177" s="235"/>
      <c r="Q1177" s="235"/>
      <c r="R1177" s="235"/>
      <c r="S1177" s="235"/>
      <c r="T1177" s="235"/>
      <c r="U1177" s="235"/>
      <c r="V1177" s="235"/>
      <c r="W1177" s="235"/>
      <c r="X1177" s="235"/>
      <c r="Y1177" s="235"/>
      <c r="Z1177" s="235"/>
      <c r="AA1177" s="235"/>
      <c r="AB1177" s="235"/>
      <c r="AC1177" s="235"/>
    </row>
    <row r="1178">
      <c r="A1178" s="194" t="s">
        <v>1510</v>
      </c>
      <c r="B1178" s="245">
        <v>104709.0</v>
      </c>
      <c r="C1178" s="192" t="s">
        <v>1511</v>
      </c>
      <c r="D1178" s="192" t="s">
        <v>767</v>
      </c>
      <c r="E1178" s="235"/>
      <c r="F1178" s="235"/>
      <c r="G1178" s="325"/>
      <c r="H1178" s="235"/>
      <c r="I1178" s="235"/>
      <c r="J1178" s="235"/>
      <c r="K1178" s="235"/>
      <c r="L1178" s="235"/>
      <c r="M1178" s="235"/>
      <c r="N1178" s="235"/>
      <c r="O1178" s="235"/>
      <c r="P1178" s="235"/>
      <c r="Q1178" s="235"/>
      <c r="R1178" s="235"/>
      <c r="S1178" s="235"/>
      <c r="T1178" s="235"/>
      <c r="U1178" s="235"/>
      <c r="V1178" s="235"/>
      <c r="W1178" s="235"/>
      <c r="X1178" s="235"/>
      <c r="Y1178" s="235"/>
      <c r="Z1178" s="235"/>
      <c r="AA1178" s="235"/>
      <c r="AB1178" s="235"/>
      <c r="AC1178" s="235"/>
    </row>
    <row r="1179">
      <c r="A1179" s="194" t="s">
        <v>980</v>
      </c>
      <c r="B1179" s="245">
        <v>103502.0</v>
      </c>
      <c r="C1179" s="192" t="s">
        <v>981</v>
      </c>
      <c r="D1179" s="192" t="s">
        <v>265</v>
      </c>
      <c r="E1179" s="235"/>
      <c r="F1179" s="235"/>
      <c r="G1179" s="325"/>
      <c r="H1179" s="235"/>
      <c r="I1179" s="235"/>
      <c r="J1179" s="235"/>
      <c r="K1179" s="235"/>
      <c r="L1179" s="235"/>
      <c r="M1179" s="235"/>
      <c r="N1179" s="235"/>
      <c r="O1179" s="235"/>
      <c r="P1179" s="235"/>
      <c r="Q1179" s="235"/>
      <c r="R1179" s="235"/>
      <c r="S1179" s="235"/>
      <c r="T1179" s="235"/>
      <c r="U1179" s="235"/>
      <c r="V1179" s="235"/>
      <c r="W1179" s="235"/>
      <c r="X1179" s="235"/>
      <c r="Y1179" s="235"/>
      <c r="Z1179" s="235"/>
      <c r="AA1179" s="235"/>
      <c r="AB1179" s="235"/>
      <c r="AC1179" s="235"/>
    </row>
    <row r="1180">
      <c r="A1180" s="194" t="s">
        <v>2219</v>
      </c>
      <c r="B1180" s="245">
        <v>104707.0</v>
      </c>
      <c r="C1180" s="192" t="s">
        <v>2220</v>
      </c>
      <c r="D1180" s="192" t="s">
        <v>767</v>
      </c>
      <c r="E1180" s="235"/>
      <c r="F1180" s="235"/>
      <c r="G1180" s="325"/>
      <c r="H1180" s="235"/>
      <c r="I1180" s="235"/>
      <c r="J1180" s="235"/>
      <c r="K1180" s="235"/>
      <c r="L1180" s="235"/>
      <c r="M1180" s="235"/>
      <c r="N1180" s="235"/>
      <c r="O1180" s="235"/>
      <c r="P1180" s="235"/>
      <c r="Q1180" s="235"/>
      <c r="R1180" s="235"/>
      <c r="S1180" s="235"/>
      <c r="T1180" s="235"/>
      <c r="U1180" s="235"/>
      <c r="V1180" s="235"/>
      <c r="W1180" s="235"/>
      <c r="X1180" s="235"/>
      <c r="Y1180" s="235"/>
      <c r="Z1180" s="235"/>
      <c r="AA1180" s="235"/>
      <c r="AB1180" s="235"/>
      <c r="AC1180" s="235"/>
    </row>
    <row r="1181">
      <c r="A1181" s="194" t="s">
        <v>2221</v>
      </c>
      <c r="B1181" s="245">
        <v>104660.0</v>
      </c>
      <c r="C1181" s="192" t="s">
        <v>2222</v>
      </c>
      <c r="D1181" s="192" t="s">
        <v>61</v>
      </c>
      <c r="E1181" s="235"/>
      <c r="F1181" s="235"/>
      <c r="G1181" s="325"/>
      <c r="H1181" s="235"/>
      <c r="I1181" s="235"/>
      <c r="J1181" s="235"/>
      <c r="K1181" s="235"/>
      <c r="L1181" s="235"/>
      <c r="M1181" s="235"/>
      <c r="N1181" s="235"/>
      <c r="O1181" s="235"/>
      <c r="P1181" s="235"/>
      <c r="Q1181" s="235"/>
      <c r="R1181" s="235"/>
      <c r="S1181" s="235"/>
      <c r="T1181" s="235"/>
      <c r="U1181" s="235"/>
      <c r="V1181" s="235"/>
      <c r="W1181" s="235"/>
      <c r="X1181" s="235"/>
      <c r="Y1181" s="235"/>
      <c r="Z1181" s="235"/>
      <c r="AA1181" s="235"/>
      <c r="AB1181" s="235"/>
      <c r="AC1181" s="235"/>
    </row>
    <row r="1182">
      <c r="A1182" s="194" t="s">
        <v>2223</v>
      </c>
      <c r="B1182" s="245">
        <v>104589.0</v>
      </c>
      <c r="C1182" s="192" t="s">
        <v>2224</v>
      </c>
      <c r="D1182" s="192" t="s">
        <v>2141</v>
      </c>
      <c r="E1182" s="235"/>
      <c r="F1182" s="235"/>
      <c r="G1182" s="325"/>
      <c r="H1182" s="235"/>
      <c r="I1182" s="235"/>
      <c r="J1182" s="235"/>
      <c r="K1182" s="235"/>
      <c r="L1182" s="235"/>
      <c r="M1182" s="235"/>
      <c r="N1182" s="235"/>
      <c r="O1182" s="235"/>
      <c r="P1182" s="235"/>
      <c r="Q1182" s="235"/>
      <c r="R1182" s="235"/>
      <c r="S1182" s="235"/>
      <c r="T1182" s="235"/>
      <c r="U1182" s="235"/>
      <c r="V1182" s="235"/>
      <c r="W1182" s="235"/>
      <c r="X1182" s="235"/>
      <c r="Y1182" s="235"/>
      <c r="Z1182" s="235"/>
      <c r="AA1182" s="235"/>
      <c r="AB1182" s="235"/>
      <c r="AC1182" s="235"/>
    </row>
    <row r="1183">
      <c r="A1183" s="194" t="s">
        <v>2225</v>
      </c>
      <c r="B1183" s="245">
        <v>104708.0</v>
      </c>
      <c r="C1183" s="192" t="s">
        <v>2226</v>
      </c>
      <c r="D1183" s="192" t="s">
        <v>767</v>
      </c>
      <c r="E1183" s="235"/>
      <c r="F1183" s="235"/>
      <c r="G1183" s="325"/>
      <c r="H1183" s="235"/>
      <c r="I1183" s="235"/>
      <c r="J1183" s="235"/>
      <c r="K1183" s="235"/>
      <c r="L1183" s="235"/>
      <c r="M1183" s="235"/>
      <c r="N1183" s="235"/>
      <c r="O1183" s="235"/>
      <c r="P1183" s="235"/>
      <c r="Q1183" s="235"/>
      <c r="R1183" s="235"/>
      <c r="S1183" s="235"/>
      <c r="T1183" s="235"/>
      <c r="U1183" s="235"/>
      <c r="V1183" s="235"/>
      <c r="W1183" s="235"/>
      <c r="X1183" s="235"/>
      <c r="Y1183" s="235"/>
      <c r="Z1183" s="235"/>
      <c r="AA1183" s="235"/>
      <c r="AB1183" s="235"/>
      <c r="AC1183" s="235"/>
    </row>
    <row r="1184">
      <c r="A1184" s="194" t="s">
        <v>2227</v>
      </c>
      <c r="B1184" s="245">
        <v>104656.0</v>
      </c>
      <c r="C1184" s="192" t="s">
        <v>2228</v>
      </c>
      <c r="D1184" s="192" t="s">
        <v>61</v>
      </c>
      <c r="E1184" s="235"/>
      <c r="F1184" s="235"/>
      <c r="G1184" s="325"/>
      <c r="H1184" s="235"/>
      <c r="I1184" s="235"/>
      <c r="J1184" s="235"/>
      <c r="K1184" s="235"/>
      <c r="L1184" s="235"/>
      <c r="M1184" s="235"/>
      <c r="N1184" s="235"/>
      <c r="O1184" s="235"/>
      <c r="P1184" s="235"/>
      <c r="Q1184" s="235"/>
      <c r="R1184" s="235"/>
      <c r="S1184" s="235"/>
      <c r="T1184" s="235"/>
      <c r="U1184" s="235"/>
      <c r="V1184" s="235"/>
      <c r="W1184" s="235"/>
      <c r="X1184" s="235"/>
      <c r="Y1184" s="235"/>
      <c r="Z1184" s="235"/>
      <c r="AA1184" s="235"/>
      <c r="AB1184" s="235"/>
      <c r="AC1184" s="235"/>
    </row>
    <row r="1185">
      <c r="A1185" s="194" t="s">
        <v>2229</v>
      </c>
      <c r="B1185" s="245">
        <v>104706.0</v>
      </c>
      <c r="C1185" s="192" t="s">
        <v>2230</v>
      </c>
      <c r="D1185" s="192" t="s">
        <v>767</v>
      </c>
      <c r="E1185" s="235"/>
      <c r="F1185" s="235"/>
      <c r="G1185" s="325"/>
      <c r="H1185" s="235"/>
      <c r="I1185" s="235"/>
      <c r="J1185" s="235"/>
      <c r="K1185" s="235"/>
      <c r="L1185" s="235"/>
      <c r="M1185" s="235"/>
      <c r="N1185" s="235"/>
      <c r="O1185" s="235"/>
      <c r="P1185" s="235"/>
      <c r="Q1185" s="235"/>
      <c r="R1185" s="235"/>
      <c r="S1185" s="235"/>
      <c r="T1185" s="235"/>
      <c r="U1185" s="235"/>
      <c r="V1185" s="235"/>
      <c r="W1185" s="235"/>
      <c r="X1185" s="235"/>
      <c r="Y1185" s="235"/>
      <c r="Z1185" s="235"/>
      <c r="AA1185" s="235"/>
      <c r="AB1185" s="235"/>
      <c r="AC1185" s="235"/>
    </row>
    <row r="1186">
      <c r="A1186" s="194" t="s">
        <v>1506</v>
      </c>
      <c r="B1186" s="245">
        <v>104654.0</v>
      </c>
      <c r="C1186" s="192" t="s">
        <v>1507</v>
      </c>
      <c r="D1186" s="192" t="s">
        <v>61</v>
      </c>
      <c r="E1186" s="235"/>
      <c r="F1186" s="235"/>
      <c r="G1186" s="325"/>
      <c r="H1186" s="235"/>
      <c r="I1186" s="235"/>
      <c r="J1186" s="235"/>
      <c r="K1186" s="235"/>
      <c r="L1186" s="235"/>
      <c r="M1186" s="235"/>
      <c r="N1186" s="235"/>
      <c r="O1186" s="235"/>
      <c r="P1186" s="235"/>
      <c r="Q1186" s="235"/>
      <c r="R1186" s="235"/>
      <c r="S1186" s="235"/>
      <c r="T1186" s="235"/>
      <c r="U1186" s="235"/>
      <c r="V1186" s="235"/>
      <c r="W1186" s="235"/>
      <c r="X1186" s="235"/>
      <c r="Y1186" s="235"/>
      <c r="Z1186" s="235"/>
      <c r="AA1186" s="235"/>
      <c r="AB1186" s="235"/>
      <c r="AC1186" s="235"/>
    </row>
    <row r="1187">
      <c r="A1187" s="194" t="s">
        <v>2231</v>
      </c>
      <c r="B1187" s="245">
        <v>105189.0</v>
      </c>
      <c r="C1187" s="192" t="s">
        <v>2232</v>
      </c>
      <c r="D1187" s="192" t="s">
        <v>646</v>
      </c>
      <c r="E1187" s="235"/>
      <c r="F1187" s="235"/>
      <c r="G1187" s="325"/>
      <c r="H1187" s="235"/>
      <c r="I1187" s="235"/>
      <c r="J1187" s="235"/>
      <c r="K1187" s="235"/>
      <c r="L1187" s="235"/>
      <c r="M1187" s="235"/>
      <c r="N1187" s="235"/>
      <c r="O1187" s="235"/>
      <c r="P1187" s="235"/>
      <c r="Q1187" s="235"/>
      <c r="R1187" s="235"/>
      <c r="S1187" s="235"/>
      <c r="T1187" s="235"/>
      <c r="U1187" s="235"/>
      <c r="V1187" s="235"/>
      <c r="W1187" s="235"/>
      <c r="X1187" s="235"/>
      <c r="Y1187" s="235"/>
      <c r="Z1187" s="235"/>
      <c r="AA1187" s="235"/>
      <c r="AB1187" s="235"/>
      <c r="AC1187" s="235"/>
    </row>
    <row r="1188">
      <c r="A1188" s="194" t="s">
        <v>2233</v>
      </c>
      <c r="B1188" s="245">
        <v>105136.0</v>
      </c>
      <c r="C1188" s="192" t="s">
        <v>2234</v>
      </c>
      <c r="D1188" s="192" t="s">
        <v>806</v>
      </c>
      <c r="E1188" s="235"/>
      <c r="F1188" s="235"/>
      <c r="G1188" s="325"/>
      <c r="H1188" s="235"/>
      <c r="I1188" s="235"/>
      <c r="J1188" s="235"/>
      <c r="K1188" s="235"/>
      <c r="L1188" s="235"/>
      <c r="M1188" s="235"/>
      <c r="N1188" s="235"/>
      <c r="O1188" s="235"/>
      <c r="P1188" s="235"/>
      <c r="Q1188" s="235"/>
      <c r="R1188" s="235"/>
      <c r="S1188" s="235"/>
      <c r="T1188" s="235"/>
      <c r="U1188" s="235"/>
      <c r="V1188" s="235"/>
      <c r="W1188" s="235"/>
      <c r="X1188" s="235"/>
      <c r="Y1188" s="235"/>
      <c r="Z1188" s="235"/>
      <c r="AA1188" s="235"/>
      <c r="AB1188" s="235"/>
      <c r="AC1188" s="235"/>
    </row>
    <row r="1189">
      <c r="A1189" s="194" t="s">
        <v>2235</v>
      </c>
      <c r="B1189" s="245">
        <v>105397.0</v>
      </c>
      <c r="C1189" s="192" t="s">
        <v>2236</v>
      </c>
      <c r="D1189" s="192" t="s">
        <v>2146</v>
      </c>
      <c r="E1189" s="235"/>
      <c r="F1189" s="235"/>
      <c r="G1189" s="325"/>
      <c r="H1189" s="235"/>
      <c r="I1189" s="235"/>
      <c r="J1189" s="235"/>
      <c r="K1189" s="235"/>
      <c r="L1189" s="235"/>
      <c r="M1189" s="235"/>
      <c r="N1189" s="235"/>
      <c r="O1189" s="235"/>
      <c r="P1189" s="235"/>
      <c r="Q1189" s="235"/>
      <c r="R1189" s="235"/>
      <c r="S1189" s="235"/>
      <c r="T1189" s="235"/>
      <c r="U1189" s="235"/>
      <c r="V1189" s="235"/>
      <c r="W1189" s="235"/>
      <c r="X1189" s="235"/>
      <c r="Y1189" s="235"/>
      <c r="Z1189" s="235"/>
      <c r="AA1189" s="235"/>
      <c r="AB1189" s="235"/>
      <c r="AC1189" s="235"/>
    </row>
    <row r="1190">
      <c r="A1190" s="194" t="s">
        <v>2237</v>
      </c>
      <c r="B1190" s="245">
        <v>104833.0</v>
      </c>
      <c r="C1190" s="192" t="s">
        <v>2238</v>
      </c>
      <c r="D1190" s="192" t="s">
        <v>646</v>
      </c>
      <c r="E1190" s="235"/>
      <c r="F1190" s="235"/>
      <c r="G1190" s="325"/>
      <c r="H1190" s="235"/>
      <c r="I1190" s="235"/>
      <c r="J1190" s="235"/>
      <c r="K1190" s="235"/>
      <c r="L1190" s="235"/>
      <c r="M1190" s="235"/>
      <c r="N1190" s="235"/>
      <c r="O1190" s="235"/>
      <c r="P1190" s="235"/>
      <c r="Q1190" s="235"/>
      <c r="R1190" s="235"/>
      <c r="S1190" s="235"/>
      <c r="T1190" s="235"/>
      <c r="U1190" s="235"/>
      <c r="V1190" s="235"/>
      <c r="W1190" s="235"/>
      <c r="X1190" s="235"/>
      <c r="Y1190" s="235"/>
      <c r="Z1190" s="235"/>
      <c r="AA1190" s="235"/>
      <c r="AB1190" s="235"/>
      <c r="AC1190" s="235"/>
    </row>
    <row r="1191">
      <c r="A1191" s="194" t="s">
        <v>2239</v>
      </c>
      <c r="B1191" s="245">
        <v>105267.0</v>
      </c>
      <c r="C1191" s="192" t="s">
        <v>2240</v>
      </c>
      <c r="D1191" s="192" t="s">
        <v>646</v>
      </c>
      <c r="E1191" s="235"/>
      <c r="F1191" s="235"/>
      <c r="G1191" s="325"/>
      <c r="H1191" s="235"/>
      <c r="I1191" s="235"/>
      <c r="J1191" s="235"/>
      <c r="K1191" s="235"/>
      <c r="L1191" s="235"/>
      <c r="M1191" s="235"/>
      <c r="N1191" s="235"/>
      <c r="O1191" s="235"/>
      <c r="P1191" s="235"/>
      <c r="Q1191" s="235"/>
      <c r="R1191" s="235"/>
      <c r="S1191" s="235"/>
      <c r="T1191" s="235"/>
      <c r="U1191" s="235"/>
      <c r="V1191" s="235"/>
      <c r="W1191" s="235"/>
      <c r="X1191" s="235"/>
      <c r="Y1191" s="235"/>
      <c r="Z1191" s="235"/>
      <c r="AA1191" s="235"/>
      <c r="AB1191" s="235"/>
      <c r="AC1191" s="235"/>
    </row>
    <row r="1192">
      <c r="A1192" s="194" t="s">
        <v>2135</v>
      </c>
      <c r="B1192" s="245">
        <v>105030.0</v>
      </c>
      <c r="C1192" s="192" t="s">
        <v>2136</v>
      </c>
      <c r="D1192" s="192" t="s">
        <v>154</v>
      </c>
      <c r="E1192" s="235"/>
      <c r="F1192" s="235"/>
      <c r="G1192" s="325"/>
      <c r="H1192" s="235"/>
      <c r="I1192" s="235"/>
      <c r="J1192" s="235"/>
      <c r="K1192" s="235"/>
      <c r="L1192" s="235"/>
      <c r="M1192" s="235"/>
      <c r="N1192" s="235"/>
      <c r="O1192" s="235"/>
      <c r="P1192" s="235"/>
      <c r="Q1192" s="235"/>
      <c r="R1192" s="235"/>
      <c r="S1192" s="235"/>
      <c r="T1192" s="235"/>
      <c r="U1192" s="235"/>
      <c r="V1192" s="235"/>
      <c r="W1192" s="235"/>
      <c r="X1192" s="235"/>
      <c r="Y1192" s="235"/>
      <c r="Z1192" s="235"/>
      <c r="AA1192" s="235"/>
      <c r="AB1192" s="235"/>
      <c r="AC1192" s="235"/>
    </row>
    <row r="1193">
      <c r="A1193" s="194" t="s">
        <v>2241</v>
      </c>
      <c r="B1193" s="245">
        <v>105096.0</v>
      </c>
      <c r="C1193" s="192" t="s">
        <v>2242</v>
      </c>
      <c r="D1193" s="192" t="s">
        <v>1695</v>
      </c>
      <c r="E1193" s="235"/>
      <c r="F1193" s="235"/>
      <c r="G1193" s="325"/>
      <c r="H1193" s="235"/>
      <c r="I1193" s="235"/>
      <c r="J1193" s="235"/>
      <c r="K1193" s="235"/>
      <c r="L1193" s="235"/>
      <c r="M1193" s="235"/>
      <c r="N1193" s="235"/>
      <c r="O1193" s="235"/>
      <c r="P1193" s="235"/>
      <c r="Q1193" s="235"/>
      <c r="R1193" s="235"/>
      <c r="S1193" s="235"/>
      <c r="T1193" s="235"/>
      <c r="U1193" s="235"/>
      <c r="V1193" s="235"/>
      <c r="W1193" s="235"/>
      <c r="X1193" s="235"/>
      <c r="Y1193" s="235"/>
      <c r="Z1193" s="235"/>
      <c r="AA1193" s="235"/>
      <c r="AB1193" s="235"/>
      <c r="AC1193" s="235"/>
    </row>
    <row r="1194">
      <c r="A1194" s="194" t="s">
        <v>2243</v>
      </c>
      <c r="B1194" s="245">
        <v>105053.0</v>
      </c>
      <c r="C1194" s="192" t="s">
        <v>2244</v>
      </c>
      <c r="D1194" s="192" t="s">
        <v>806</v>
      </c>
      <c r="E1194" s="235"/>
      <c r="F1194" s="235"/>
      <c r="G1194" s="325"/>
      <c r="H1194" s="235"/>
      <c r="I1194" s="235"/>
      <c r="J1194" s="235"/>
      <c r="K1194" s="235"/>
      <c r="L1194" s="235"/>
      <c r="M1194" s="235"/>
      <c r="N1194" s="235"/>
      <c r="O1194" s="235"/>
      <c r="P1194" s="235"/>
      <c r="Q1194" s="235"/>
      <c r="R1194" s="235"/>
      <c r="S1194" s="235"/>
      <c r="T1194" s="235"/>
      <c r="U1194" s="235"/>
      <c r="V1194" s="235"/>
      <c r="W1194" s="235"/>
      <c r="X1194" s="235"/>
      <c r="Y1194" s="235"/>
      <c r="Z1194" s="235"/>
      <c r="AA1194" s="235"/>
      <c r="AB1194" s="235"/>
      <c r="AC1194" s="235"/>
    </row>
    <row r="1195">
      <c r="A1195" s="194" t="s">
        <v>2245</v>
      </c>
      <c r="B1195" s="245">
        <v>105094.0</v>
      </c>
      <c r="C1195" s="192" t="s">
        <v>2246</v>
      </c>
      <c r="D1195" s="192" t="s">
        <v>1726</v>
      </c>
      <c r="E1195" s="235"/>
      <c r="F1195" s="235"/>
      <c r="G1195" s="325"/>
      <c r="H1195" s="235"/>
      <c r="I1195" s="235"/>
      <c r="J1195" s="235"/>
      <c r="K1195" s="235"/>
      <c r="L1195" s="235"/>
      <c r="M1195" s="235"/>
      <c r="N1195" s="235"/>
      <c r="O1195" s="235"/>
      <c r="P1195" s="235"/>
      <c r="Q1195" s="235"/>
      <c r="R1195" s="235"/>
      <c r="S1195" s="235"/>
      <c r="T1195" s="235"/>
      <c r="U1195" s="235"/>
      <c r="V1195" s="235"/>
      <c r="W1195" s="235"/>
      <c r="X1195" s="235"/>
      <c r="Y1195" s="235"/>
      <c r="Z1195" s="235"/>
      <c r="AA1195" s="235"/>
      <c r="AB1195" s="235"/>
      <c r="AC1195" s="235"/>
    </row>
    <row r="1196">
      <c r="A1196" s="194" t="s">
        <v>2247</v>
      </c>
      <c r="B1196" s="245">
        <v>104865.0</v>
      </c>
      <c r="C1196" s="192" t="s">
        <v>2248</v>
      </c>
      <c r="D1196" s="192" t="s">
        <v>806</v>
      </c>
      <c r="E1196" s="235"/>
      <c r="F1196" s="235"/>
      <c r="G1196" s="325"/>
      <c r="H1196" s="235"/>
      <c r="I1196" s="235"/>
      <c r="J1196" s="235"/>
      <c r="K1196" s="235"/>
      <c r="L1196" s="235"/>
      <c r="M1196" s="235"/>
      <c r="N1196" s="235"/>
      <c r="O1196" s="235"/>
      <c r="P1196" s="235"/>
      <c r="Q1196" s="235"/>
      <c r="R1196" s="235"/>
      <c r="S1196" s="235"/>
      <c r="T1196" s="235"/>
      <c r="U1196" s="235"/>
      <c r="V1196" s="235"/>
      <c r="W1196" s="235"/>
      <c r="X1196" s="235"/>
      <c r="Y1196" s="235"/>
      <c r="Z1196" s="235"/>
      <c r="AA1196" s="235"/>
      <c r="AB1196" s="235"/>
      <c r="AC1196" s="235"/>
    </row>
    <row r="1197">
      <c r="A1197" s="194" t="s">
        <v>2249</v>
      </c>
      <c r="B1197" s="245">
        <v>105075.0</v>
      </c>
      <c r="C1197" s="192" t="s">
        <v>2250</v>
      </c>
      <c r="D1197" s="192" t="s">
        <v>51</v>
      </c>
      <c r="E1197" s="235"/>
      <c r="F1197" s="235"/>
      <c r="G1197" s="325"/>
      <c r="H1197" s="235"/>
      <c r="I1197" s="235"/>
      <c r="J1197" s="235"/>
      <c r="K1197" s="235"/>
      <c r="L1197" s="235"/>
      <c r="M1197" s="235"/>
      <c r="N1197" s="235"/>
      <c r="O1197" s="235"/>
      <c r="P1197" s="235"/>
      <c r="Q1197" s="235"/>
      <c r="R1197" s="235"/>
      <c r="S1197" s="235"/>
      <c r="T1197" s="235"/>
      <c r="U1197" s="235"/>
      <c r="V1197" s="235"/>
      <c r="W1197" s="235"/>
      <c r="X1197" s="235"/>
      <c r="Y1197" s="235"/>
      <c r="Z1197" s="235"/>
      <c r="AA1197" s="235"/>
      <c r="AB1197" s="235"/>
      <c r="AC1197" s="235"/>
    </row>
    <row r="1198">
      <c r="A1198" s="194" t="s">
        <v>2251</v>
      </c>
      <c r="B1198" s="245">
        <v>105231.0</v>
      </c>
      <c r="C1198" s="192" t="s">
        <v>2252</v>
      </c>
      <c r="D1198" s="192" t="s">
        <v>2148</v>
      </c>
      <c r="E1198" s="235"/>
      <c r="F1198" s="235"/>
      <c r="G1198" s="325"/>
      <c r="H1198" s="235"/>
      <c r="I1198" s="235"/>
      <c r="J1198" s="235"/>
      <c r="K1198" s="235"/>
      <c r="L1198" s="235"/>
      <c r="M1198" s="235"/>
      <c r="N1198" s="235"/>
      <c r="O1198" s="235"/>
      <c r="P1198" s="235"/>
      <c r="Q1198" s="235"/>
      <c r="R1198" s="235"/>
      <c r="S1198" s="235"/>
      <c r="T1198" s="235"/>
      <c r="U1198" s="235"/>
      <c r="V1198" s="235"/>
      <c r="W1198" s="235"/>
      <c r="X1198" s="235"/>
      <c r="Y1198" s="235"/>
      <c r="Z1198" s="235"/>
      <c r="AA1198" s="235"/>
      <c r="AB1198" s="235"/>
      <c r="AC1198" s="235"/>
    </row>
    <row r="1199">
      <c r="A1199" s="194" t="s">
        <v>2253</v>
      </c>
      <c r="B1199" s="245">
        <v>100295.0</v>
      </c>
      <c r="C1199" s="192" t="s">
        <v>2254</v>
      </c>
      <c r="D1199" s="192" t="s">
        <v>194</v>
      </c>
      <c r="E1199" s="235"/>
      <c r="F1199" s="235"/>
      <c r="G1199" s="325"/>
      <c r="H1199" s="235"/>
      <c r="I1199" s="235"/>
      <c r="J1199" s="235"/>
      <c r="K1199" s="235"/>
      <c r="L1199" s="235"/>
      <c r="M1199" s="235"/>
      <c r="N1199" s="235"/>
      <c r="O1199" s="235"/>
      <c r="P1199" s="235"/>
      <c r="Q1199" s="235"/>
      <c r="R1199" s="235"/>
      <c r="S1199" s="235"/>
      <c r="T1199" s="235"/>
      <c r="U1199" s="235"/>
      <c r="V1199" s="235"/>
      <c r="W1199" s="235"/>
      <c r="X1199" s="235"/>
      <c r="Y1199" s="235"/>
      <c r="Z1199" s="235"/>
      <c r="AA1199" s="235"/>
      <c r="AB1199" s="235"/>
      <c r="AC1199" s="235"/>
    </row>
    <row r="1200">
      <c r="A1200" s="194" t="s">
        <v>2255</v>
      </c>
      <c r="B1200" s="245">
        <v>104526.0</v>
      </c>
      <c r="C1200" s="192" t="s">
        <v>2256</v>
      </c>
      <c r="D1200" s="192" t="s">
        <v>194</v>
      </c>
      <c r="E1200" s="235"/>
      <c r="F1200" s="235"/>
      <c r="G1200" s="325"/>
      <c r="H1200" s="235"/>
      <c r="I1200" s="235"/>
      <c r="J1200" s="235"/>
      <c r="K1200" s="235"/>
      <c r="L1200" s="235"/>
      <c r="M1200" s="235"/>
      <c r="N1200" s="235"/>
      <c r="O1200" s="235"/>
      <c r="P1200" s="235"/>
      <c r="Q1200" s="235"/>
      <c r="R1200" s="235"/>
      <c r="S1200" s="235"/>
      <c r="T1200" s="235"/>
      <c r="U1200" s="235"/>
      <c r="V1200" s="235"/>
      <c r="W1200" s="235"/>
      <c r="X1200" s="235"/>
      <c r="Y1200" s="235"/>
      <c r="Z1200" s="235"/>
      <c r="AA1200" s="235"/>
      <c r="AB1200" s="235"/>
      <c r="AC1200" s="235"/>
    </row>
    <row r="1201">
      <c r="A1201" s="194" t="s">
        <v>2257</v>
      </c>
      <c r="B1201" s="245">
        <v>105138.0</v>
      </c>
      <c r="C1201" s="192" t="s">
        <v>2258</v>
      </c>
      <c r="D1201" s="192" t="s">
        <v>51</v>
      </c>
      <c r="E1201" s="235"/>
      <c r="F1201" s="235"/>
      <c r="G1201" s="325"/>
      <c r="H1201" s="235"/>
      <c r="I1201" s="235"/>
      <c r="J1201" s="235"/>
      <c r="K1201" s="235"/>
      <c r="L1201" s="235"/>
      <c r="M1201" s="235"/>
      <c r="N1201" s="235"/>
      <c r="O1201" s="235"/>
      <c r="P1201" s="235"/>
      <c r="Q1201" s="235"/>
      <c r="R1201" s="235"/>
      <c r="S1201" s="235"/>
      <c r="T1201" s="235"/>
      <c r="U1201" s="235"/>
      <c r="V1201" s="235"/>
      <c r="W1201" s="235"/>
      <c r="X1201" s="235"/>
      <c r="Y1201" s="235"/>
      <c r="Z1201" s="235"/>
      <c r="AA1201" s="235"/>
      <c r="AB1201" s="235"/>
      <c r="AC1201" s="235"/>
    </row>
    <row r="1202">
      <c r="A1202" s="194" t="s">
        <v>2259</v>
      </c>
      <c r="B1202" s="245">
        <v>105343.0</v>
      </c>
      <c r="C1202" s="192" t="s">
        <v>2260</v>
      </c>
      <c r="D1202" s="192" t="s">
        <v>646</v>
      </c>
      <c r="E1202" s="235"/>
      <c r="F1202" s="235"/>
      <c r="G1202" s="325"/>
      <c r="H1202" s="235"/>
      <c r="I1202" s="235"/>
      <c r="J1202" s="235"/>
      <c r="K1202" s="235"/>
      <c r="L1202" s="235"/>
      <c r="M1202" s="235"/>
      <c r="N1202" s="235"/>
      <c r="O1202" s="235"/>
      <c r="P1202" s="235"/>
      <c r="Q1202" s="235"/>
      <c r="R1202" s="235"/>
      <c r="S1202" s="235"/>
      <c r="T1202" s="235"/>
      <c r="U1202" s="235"/>
      <c r="V1202" s="235"/>
      <c r="W1202" s="235"/>
      <c r="X1202" s="235"/>
      <c r="Y1202" s="235"/>
      <c r="Z1202" s="235"/>
      <c r="AA1202" s="235"/>
      <c r="AB1202" s="235"/>
      <c r="AC1202" s="235"/>
    </row>
    <row r="1203">
      <c r="A1203" s="194" t="s">
        <v>2261</v>
      </c>
      <c r="B1203" s="245">
        <v>105657.0</v>
      </c>
      <c r="C1203" s="192" t="s">
        <v>2262</v>
      </c>
      <c r="D1203" s="192" t="s">
        <v>51</v>
      </c>
      <c r="E1203" s="235"/>
      <c r="F1203" s="235"/>
      <c r="G1203" s="325"/>
      <c r="H1203" s="235"/>
      <c r="I1203" s="235"/>
      <c r="J1203" s="235"/>
      <c r="K1203" s="235"/>
      <c r="L1203" s="235"/>
      <c r="M1203" s="235"/>
      <c r="N1203" s="235"/>
      <c r="O1203" s="235"/>
      <c r="P1203" s="235"/>
      <c r="Q1203" s="235"/>
      <c r="R1203" s="235"/>
      <c r="S1203" s="235"/>
      <c r="T1203" s="235"/>
      <c r="U1203" s="235"/>
      <c r="V1203" s="235"/>
      <c r="W1203" s="235"/>
      <c r="X1203" s="235"/>
      <c r="Y1203" s="235"/>
      <c r="Z1203" s="235"/>
      <c r="AA1203" s="235"/>
      <c r="AB1203" s="235"/>
      <c r="AC1203" s="235"/>
    </row>
    <row r="1204">
      <c r="A1204" s="194" t="s">
        <v>2263</v>
      </c>
      <c r="B1204" s="245">
        <v>105288.0</v>
      </c>
      <c r="C1204" s="192" t="s">
        <v>2264</v>
      </c>
      <c r="D1204" s="192" t="s">
        <v>646</v>
      </c>
      <c r="E1204" s="235"/>
      <c r="F1204" s="235"/>
      <c r="G1204" s="325"/>
      <c r="H1204" s="235"/>
      <c r="I1204" s="235"/>
      <c r="J1204" s="235"/>
      <c r="K1204" s="235"/>
      <c r="L1204" s="235"/>
      <c r="M1204" s="235"/>
      <c r="N1204" s="235"/>
      <c r="O1204" s="235"/>
      <c r="P1204" s="235"/>
      <c r="Q1204" s="235"/>
      <c r="R1204" s="235"/>
      <c r="S1204" s="235"/>
      <c r="T1204" s="235"/>
      <c r="U1204" s="235"/>
      <c r="V1204" s="235"/>
      <c r="W1204" s="235"/>
      <c r="X1204" s="235"/>
      <c r="Y1204" s="235"/>
      <c r="Z1204" s="235"/>
      <c r="AA1204" s="235"/>
      <c r="AB1204" s="235"/>
      <c r="AC1204" s="235"/>
    </row>
    <row r="1205">
      <c r="A1205" s="194" t="s">
        <v>2265</v>
      </c>
      <c r="B1205" s="245">
        <v>104951.0</v>
      </c>
      <c r="C1205" s="192" t="s">
        <v>2266</v>
      </c>
      <c r="D1205" s="192" t="s">
        <v>806</v>
      </c>
      <c r="E1205" s="235"/>
      <c r="F1205" s="235"/>
      <c r="G1205" s="325"/>
      <c r="H1205" s="235"/>
      <c r="I1205" s="235"/>
      <c r="J1205" s="235"/>
      <c r="K1205" s="235"/>
      <c r="L1205" s="235"/>
      <c r="M1205" s="235"/>
      <c r="N1205" s="235"/>
      <c r="O1205" s="235"/>
      <c r="P1205" s="235"/>
      <c r="Q1205" s="235"/>
      <c r="R1205" s="235"/>
      <c r="S1205" s="235"/>
      <c r="T1205" s="235"/>
      <c r="U1205" s="235"/>
      <c r="V1205" s="235"/>
      <c r="W1205" s="235"/>
      <c r="X1205" s="235"/>
      <c r="Y1205" s="235"/>
      <c r="Z1205" s="235"/>
      <c r="AA1205" s="235"/>
      <c r="AB1205" s="235"/>
      <c r="AC1205" s="235"/>
    </row>
    <row r="1206">
      <c r="A1206" s="194" t="s">
        <v>2267</v>
      </c>
      <c r="B1206" s="245">
        <v>105283.0</v>
      </c>
      <c r="C1206" s="192" t="s">
        <v>2268</v>
      </c>
      <c r="D1206" s="192" t="s">
        <v>806</v>
      </c>
      <c r="E1206" s="235"/>
      <c r="F1206" s="235"/>
      <c r="G1206" s="325"/>
      <c r="H1206" s="235"/>
      <c r="I1206" s="235"/>
      <c r="J1206" s="235"/>
      <c r="K1206" s="235"/>
      <c r="L1206" s="235"/>
      <c r="M1206" s="235"/>
      <c r="N1206" s="235"/>
      <c r="O1206" s="235"/>
      <c r="P1206" s="235"/>
      <c r="Q1206" s="235"/>
      <c r="R1206" s="235"/>
      <c r="S1206" s="235"/>
      <c r="T1206" s="235"/>
      <c r="U1206" s="235"/>
      <c r="V1206" s="235"/>
      <c r="W1206" s="235"/>
      <c r="X1206" s="235"/>
      <c r="Y1206" s="235"/>
      <c r="Z1206" s="235"/>
      <c r="AA1206" s="235"/>
      <c r="AB1206" s="235"/>
      <c r="AC1206" s="235"/>
    </row>
    <row r="1207">
      <c r="A1207" s="194" t="s">
        <v>2269</v>
      </c>
      <c r="B1207" s="245">
        <v>105299.0</v>
      </c>
      <c r="C1207" s="192" t="s">
        <v>2270</v>
      </c>
      <c r="D1207" s="192" t="s">
        <v>806</v>
      </c>
      <c r="E1207" s="235"/>
      <c r="F1207" s="235"/>
      <c r="G1207" s="325"/>
      <c r="H1207" s="235"/>
      <c r="I1207" s="235"/>
      <c r="J1207" s="235"/>
      <c r="K1207" s="235"/>
      <c r="L1207" s="235"/>
      <c r="M1207" s="235"/>
      <c r="N1207" s="235"/>
      <c r="O1207" s="235"/>
      <c r="P1207" s="235"/>
      <c r="Q1207" s="235"/>
      <c r="R1207" s="235"/>
      <c r="S1207" s="235"/>
      <c r="T1207" s="235"/>
      <c r="U1207" s="235"/>
      <c r="V1207" s="235"/>
      <c r="W1207" s="235"/>
      <c r="X1207" s="235"/>
      <c r="Y1207" s="235"/>
      <c r="Z1207" s="235"/>
      <c r="AA1207" s="235"/>
      <c r="AB1207" s="235"/>
      <c r="AC1207" s="235"/>
    </row>
    <row r="1208">
      <c r="A1208" s="194" t="s">
        <v>2271</v>
      </c>
      <c r="B1208" s="245">
        <v>104808.0</v>
      </c>
      <c r="C1208" s="192" t="s">
        <v>2272</v>
      </c>
      <c r="D1208" s="192" t="s">
        <v>1726</v>
      </c>
      <c r="E1208" s="235"/>
      <c r="F1208" s="235"/>
      <c r="G1208" s="325"/>
      <c r="H1208" s="235"/>
      <c r="I1208" s="235"/>
      <c r="J1208" s="235"/>
      <c r="K1208" s="235"/>
      <c r="L1208" s="235"/>
      <c r="M1208" s="235"/>
      <c r="N1208" s="235"/>
      <c r="O1208" s="235"/>
      <c r="P1208" s="235"/>
      <c r="Q1208" s="235"/>
      <c r="R1208" s="235"/>
      <c r="S1208" s="235"/>
      <c r="T1208" s="235"/>
      <c r="U1208" s="235"/>
      <c r="V1208" s="235"/>
      <c r="W1208" s="235"/>
      <c r="X1208" s="235"/>
      <c r="Y1208" s="235"/>
      <c r="Z1208" s="235"/>
      <c r="AA1208" s="235"/>
      <c r="AB1208" s="235"/>
      <c r="AC1208" s="235"/>
    </row>
    <row r="1209">
      <c r="A1209" s="194" t="s">
        <v>2273</v>
      </c>
      <c r="B1209" s="245">
        <v>104845.0</v>
      </c>
      <c r="C1209" s="192" t="s">
        <v>2274</v>
      </c>
      <c r="D1209" s="192" t="s">
        <v>1726</v>
      </c>
      <c r="E1209" s="235"/>
      <c r="F1209" s="235"/>
      <c r="G1209" s="325"/>
      <c r="H1209" s="235"/>
      <c r="I1209" s="235"/>
      <c r="J1209" s="235"/>
      <c r="K1209" s="235"/>
      <c r="L1209" s="235"/>
      <c r="M1209" s="235"/>
      <c r="N1209" s="235"/>
      <c r="O1209" s="235"/>
      <c r="P1209" s="235"/>
      <c r="Q1209" s="235"/>
      <c r="R1209" s="235"/>
      <c r="S1209" s="235"/>
      <c r="T1209" s="235"/>
      <c r="U1209" s="235"/>
      <c r="V1209" s="235"/>
      <c r="W1209" s="235"/>
      <c r="X1209" s="235"/>
      <c r="Y1209" s="235"/>
      <c r="Z1209" s="235"/>
      <c r="AA1209" s="235"/>
      <c r="AB1209" s="235"/>
      <c r="AC1209" s="235"/>
    </row>
    <row r="1210">
      <c r="A1210" s="194" t="s">
        <v>2275</v>
      </c>
      <c r="B1210" s="245">
        <v>105559.0</v>
      </c>
      <c r="C1210" s="192" t="s">
        <v>2276</v>
      </c>
      <c r="D1210" s="192" t="s">
        <v>360</v>
      </c>
      <c r="E1210" s="235"/>
      <c r="F1210" s="235"/>
      <c r="G1210" s="325"/>
      <c r="H1210" s="235"/>
      <c r="I1210" s="235"/>
      <c r="J1210" s="235"/>
      <c r="K1210" s="235"/>
      <c r="L1210" s="235"/>
      <c r="M1210" s="235"/>
      <c r="N1210" s="235"/>
      <c r="O1210" s="235"/>
      <c r="P1210" s="235"/>
      <c r="Q1210" s="235"/>
      <c r="R1210" s="235"/>
      <c r="S1210" s="235"/>
      <c r="T1210" s="235"/>
      <c r="U1210" s="235"/>
      <c r="V1210" s="235"/>
      <c r="W1210" s="235"/>
      <c r="X1210" s="235"/>
      <c r="Y1210" s="235"/>
      <c r="Z1210" s="235"/>
      <c r="AA1210" s="235"/>
      <c r="AB1210" s="235"/>
      <c r="AC1210" s="235"/>
    </row>
    <row r="1211">
      <c r="A1211" s="194" t="s">
        <v>2277</v>
      </c>
      <c r="B1211" s="245">
        <v>105458.0</v>
      </c>
      <c r="C1211" s="192" t="s">
        <v>2278</v>
      </c>
      <c r="D1211" s="192" t="s">
        <v>625</v>
      </c>
      <c r="E1211" s="235"/>
      <c r="F1211" s="235"/>
      <c r="G1211" s="325"/>
      <c r="H1211" s="235"/>
      <c r="I1211" s="235"/>
      <c r="J1211" s="235"/>
      <c r="K1211" s="235"/>
      <c r="L1211" s="235"/>
      <c r="M1211" s="235"/>
      <c r="N1211" s="235"/>
      <c r="O1211" s="235"/>
      <c r="P1211" s="235"/>
      <c r="Q1211" s="235"/>
      <c r="R1211" s="235"/>
      <c r="S1211" s="235"/>
      <c r="T1211" s="235"/>
      <c r="U1211" s="235"/>
      <c r="V1211" s="235"/>
      <c r="W1211" s="235"/>
      <c r="X1211" s="235"/>
      <c r="Y1211" s="235"/>
      <c r="Z1211" s="235"/>
      <c r="AA1211" s="235"/>
      <c r="AB1211" s="235"/>
      <c r="AC1211" s="235"/>
    </row>
    <row r="1212">
      <c r="A1212" s="194" t="s">
        <v>2279</v>
      </c>
      <c r="B1212" s="245">
        <v>104968.0</v>
      </c>
      <c r="C1212" s="192" t="s">
        <v>2280</v>
      </c>
      <c r="D1212" s="192" t="s">
        <v>1695</v>
      </c>
      <c r="E1212" s="235"/>
      <c r="F1212" s="235"/>
      <c r="G1212" s="325"/>
      <c r="H1212" s="235"/>
      <c r="I1212" s="235"/>
      <c r="J1212" s="235"/>
      <c r="K1212" s="235"/>
      <c r="L1212" s="235"/>
      <c r="M1212" s="235"/>
      <c r="N1212" s="235"/>
      <c r="O1212" s="235"/>
      <c r="P1212" s="235"/>
      <c r="Q1212" s="235"/>
      <c r="R1212" s="235"/>
      <c r="S1212" s="235"/>
      <c r="T1212" s="235"/>
      <c r="U1212" s="235"/>
      <c r="V1212" s="235"/>
      <c r="W1212" s="235"/>
      <c r="X1212" s="235"/>
      <c r="Y1212" s="235"/>
      <c r="Z1212" s="235"/>
      <c r="AA1212" s="235"/>
      <c r="AB1212" s="235"/>
      <c r="AC1212" s="235"/>
    </row>
    <row r="1213">
      <c r="A1213" s="194" t="s">
        <v>2281</v>
      </c>
      <c r="B1213" s="245">
        <v>105358.0</v>
      </c>
      <c r="C1213" s="192" t="s">
        <v>2282</v>
      </c>
      <c r="D1213" s="192" t="s">
        <v>51</v>
      </c>
      <c r="E1213" s="235"/>
      <c r="F1213" s="235"/>
      <c r="G1213" s="325"/>
      <c r="H1213" s="235"/>
      <c r="I1213" s="235"/>
      <c r="J1213" s="235"/>
      <c r="K1213" s="235"/>
      <c r="L1213" s="235"/>
      <c r="M1213" s="235"/>
      <c r="N1213" s="235"/>
      <c r="O1213" s="235"/>
      <c r="P1213" s="235"/>
      <c r="Q1213" s="235"/>
      <c r="R1213" s="235"/>
      <c r="S1213" s="235"/>
      <c r="T1213" s="235"/>
      <c r="U1213" s="235"/>
      <c r="V1213" s="235"/>
      <c r="W1213" s="235"/>
      <c r="X1213" s="235"/>
      <c r="Y1213" s="235"/>
      <c r="Z1213" s="235"/>
      <c r="AA1213" s="235"/>
      <c r="AB1213" s="235"/>
      <c r="AC1213" s="235"/>
    </row>
    <row r="1214">
      <c r="A1214" s="194" t="s">
        <v>2283</v>
      </c>
      <c r="B1214" s="245">
        <v>105048.0</v>
      </c>
      <c r="C1214" s="192" t="s">
        <v>2284</v>
      </c>
      <c r="D1214" s="192" t="s">
        <v>646</v>
      </c>
      <c r="E1214" s="235"/>
      <c r="F1214" s="235"/>
      <c r="G1214" s="325"/>
      <c r="H1214" s="235"/>
      <c r="I1214" s="235"/>
      <c r="J1214" s="235"/>
      <c r="K1214" s="235"/>
      <c r="L1214" s="235"/>
      <c r="M1214" s="235"/>
      <c r="N1214" s="235"/>
      <c r="O1214" s="235"/>
      <c r="P1214" s="235"/>
      <c r="Q1214" s="235"/>
      <c r="R1214" s="235"/>
      <c r="S1214" s="235"/>
      <c r="T1214" s="235"/>
      <c r="U1214" s="235"/>
      <c r="V1214" s="235"/>
      <c r="W1214" s="235"/>
      <c r="X1214" s="235"/>
      <c r="Y1214" s="235"/>
      <c r="Z1214" s="235"/>
      <c r="AA1214" s="235"/>
      <c r="AB1214" s="235"/>
      <c r="AC1214" s="235"/>
    </row>
    <row r="1215">
      <c r="A1215" s="194" t="s">
        <v>2286</v>
      </c>
      <c r="B1215" s="245">
        <v>104954.0</v>
      </c>
      <c r="C1215" s="192" t="s">
        <v>2287</v>
      </c>
      <c r="D1215" s="192" t="s">
        <v>646</v>
      </c>
      <c r="E1215" s="235"/>
      <c r="F1215" s="235"/>
      <c r="G1215" s="325"/>
      <c r="H1215" s="235"/>
      <c r="I1215" s="235"/>
      <c r="J1215" s="235"/>
      <c r="K1215" s="235"/>
      <c r="L1215" s="235"/>
      <c r="M1215" s="235"/>
      <c r="N1215" s="235"/>
      <c r="O1215" s="235"/>
      <c r="P1215" s="235"/>
      <c r="Q1215" s="235"/>
      <c r="R1215" s="235"/>
      <c r="S1215" s="235"/>
      <c r="T1215" s="235"/>
      <c r="U1215" s="235"/>
      <c r="V1215" s="235"/>
      <c r="W1215" s="235"/>
      <c r="X1215" s="235"/>
      <c r="Y1215" s="235"/>
      <c r="Z1215" s="235"/>
      <c r="AA1215" s="235"/>
      <c r="AB1215" s="235"/>
      <c r="AC1215" s="235"/>
    </row>
    <row r="1216">
      <c r="A1216" s="194" t="s">
        <v>2288</v>
      </c>
      <c r="B1216" s="245">
        <v>104952.0</v>
      </c>
      <c r="C1216" s="192" t="s">
        <v>2289</v>
      </c>
      <c r="D1216" s="192" t="s">
        <v>646</v>
      </c>
      <c r="E1216" s="235"/>
      <c r="F1216" s="235"/>
      <c r="G1216" s="325"/>
      <c r="H1216" s="235"/>
      <c r="I1216" s="235"/>
      <c r="J1216" s="235"/>
      <c r="K1216" s="235"/>
      <c r="L1216" s="235"/>
      <c r="M1216" s="235"/>
      <c r="N1216" s="235"/>
      <c r="O1216" s="235"/>
      <c r="P1216" s="235"/>
      <c r="Q1216" s="235"/>
      <c r="R1216" s="235"/>
      <c r="S1216" s="235"/>
      <c r="T1216" s="235"/>
      <c r="U1216" s="235"/>
      <c r="V1216" s="235"/>
      <c r="W1216" s="235"/>
      <c r="X1216" s="235"/>
      <c r="Y1216" s="235"/>
      <c r="Z1216" s="235"/>
      <c r="AA1216" s="235"/>
      <c r="AB1216" s="235"/>
      <c r="AC1216" s="235"/>
    </row>
    <row r="1217">
      <c r="A1217" s="194" t="s">
        <v>2290</v>
      </c>
      <c r="B1217" s="245">
        <v>105603.0</v>
      </c>
      <c r="C1217" s="192" t="s">
        <v>2291</v>
      </c>
      <c r="D1217" s="192" t="s">
        <v>1343</v>
      </c>
      <c r="E1217" s="235"/>
      <c r="F1217" s="235"/>
      <c r="G1217" s="325"/>
      <c r="H1217" s="235"/>
      <c r="I1217" s="235"/>
      <c r="J1217" s="235"/>
      <c r="K1217" s="235"/>
      <c r="L1217" s="235"/>
      <c r="M1217" s="235"/>
      <c r="N1217" s="235"/>
      <c r="O1217" s="235"/>
      <c r="P1217" s="235"/>
      <c r="Q1217" s="235"/>
      <c r="R1217" s="235"/>
      <c r="S1217" s="235"/>
      <c r="T1217" s="235"/>
      <c r="U1217" s="235"/>
      <c r="V1217" s="235"/>
      <c r="W1217" s="235"/>
      <c r="X1217" s="235"/>
      <c r="Y1217" s="235"/>
      <c r="Z1217" s="235"/>
      <c r="AA1217" s="235"/>
      <c r="AB1217" s="235"/>
      <c r="AC1217" s="235"/>
    </row>
    <row r="1218">
      <c r="A1218" s="194" t="s">
        <v>2292</v>
      </c>
      <c r="B1218" s="245">
        <v>105433.0</v>
      </c>
      <c r="C1218" s="192" t="s">
        <v>2293</v>
      </c>
      <c r="D1218" s="192" t="s">
        <v>646</v>
      </c>
      <c r="E1218" s="235"/>
      <c r="F1218" s="235"/>
      <c r="G1218" s="325"/>
      <c r="H1218" s="235"/>
      <c r="I1218" s="235"/>
      <c r="J1218" s="235"/>
      <c r="K1218" s="235"/>
      <c r="L1218" s="235"/>
      <c r="M1218" s="235"/>
      <c r="N1218" s="235"/>
      <c r="O1218" s="235"/>
      <c r="P1218" s="235"/>
      <c r="Q1218" s="235"/>
      <c r="R1218" s="235"/>
      <c r="S1218" s="235"/>
      <c r="T1218" s="235"/>
      <c r="U1218" s="235"/>
      <c r="V1218" s="235"/>
      <c r="W1218" s="235"/>
      <c r="X1218" s="235"/>
      <c r="Y1218" s="235"/>
      <c r="Z1218" s="235"/>
      <c r="AA1218" s="235"/>
      <c r="AB1218" s="235"/>
      <c r="AC1218" s="235"/>
    </row>
    <row r="1219">
      <c r="A1219" s="194" t="s">
        <v>2294</v>
      </c>
      <c r="B1219" s="245">
        <v>104789.0</v>
      </c>
      <c r="C1219" s="192" t="s">
        <v>2295</v>
      </c>
      <c r="D1219" s="192" t="s">
        <v>625</v>
      </c>
      <c r="E1219" s="235"/>
      <c r="F1219" s="235"/>
      <c r="G1219" s="325"/>
      <c r="H1219" s="235"/>
      <c r="I1219" s="235"/>
      <c r="J1219" s="235"/>
      <c r="K1219" s="235"/>
      <c r="L1219" s="235"/>
      <c r="M1219" s="235"/>
      <c r="N1219" s="235"/>
      <c r="O1219" s="235"/>
      <c r="P1219" s="235"/>
      <c r="Q1219" s="235"/>
      <c r="R1219" s="235"/>
      <c r="S1219" s="235"/>
      <c r="T1219" s="235"/>
      <c r="U1219" s="235"/>
      <c r="V1219" s="235"/>
      <c r="W1219" s="235"/>
      <c r="X1219" s="235"/>
      <c r="Y1219" s="235"/>
      <c r="Z1219" s="235"/>
      <c r="AA1219" s="235"/>
      <c r="AB1219" s="235"/>
      <c r="AC1219" s="235"/>
    </row>
    <row r="1220">
      <c r="A1220" s="194" t="s">
        <v>2296</v>
      </c>
      <c r="B1220" s="245">
        <v>105046.0</v>
      </c>
      <c r="C1220" s="192" t="s">
        <v>2297</v>
      </c>
      <c r="D1220" s="192" t="s">
        <v>1140</v>
      </c>
      <c r="E1220" s="235"/>
      <c r="F1220" s="235"/>
      <c r="G1220" s="325"/>
      <c r="H1220" s="235"/>
      <c r="I1220" s="235"/>
      <c r="J1220" s="235"/>
      <c r="K1220" s="235"/>
      <c r="L1220" s="235"/>
      <c r="M1220" s="235"/>
      <c r="N1220" s="235"/>
      <c r="O1220" s="235"/>
      <c r="P1220" s="235"/>
      <c r="Q1220" s="235"/>
      <c r="R1220" s="235"/>
      <c r="S1220" s="235"/>
      <c r="T1220" s="235"/>
      <c r="U1220" s="235"/>
      <c r="V1220" s="235"/>
      <c r="W1220" s="235"/>
      <c r="X1220" s="235"/>
      <c r="Y1220" s="235"/>
      <c r="Z1220" s="235"/>
      <c r="AA1220" s="235"/>
      <c r="AB1220" s="235"/>
      <c r="AC1220" s="235"/>
    </row>
    <row r="1221">
      <c r="A1221" s="194" t="s">
        <v>2298</v>
      </c>
      <c r="B1221" s="245">
        <v>105719.0</v>
      </c>
      <c r="C1221" s="192" t="s">
        <v>2299</v>
      </c>
      <c r="D1221" s="192" t="s">
        <v>1140</v>
      </c>
      <c r="E1221" s="235"/>
      <c r="F1221" s="235"/>
      <c r="G1221" s="325"/>
      <c r="H1221" s="235"/>
      <c r="I1221" s="235"/>
      <c r="J1221" s="235"/>
      <c r="K1221" s="235"/>
      <c r="L1221" s="235"/>
      <c r="M1221" s="235"/>
      <c r="N1221" s="235"/>
      <c r="O1221" s="235"/>
      <c r="P1221" s="235"/>
      <c r="Q1221" s="235"/>
      <c r="R1221" s="235"/>
      <c r="S1221" s="235"/>
      <c r="T1221" s="235"/>
      <c r="U1221" s="235"/>
      <c r="V1221" s="235"/>
      <c r="W1221" s="235"/>
      <c r="X1221" s="235"/>
      <c r="Y1221" s="235"/>
      <c r="Z1221" s="235"/>
      <c r="AA1221" s="235"/>
      <c r="AB1221" s="235"/>
      <c r="AC1221" s="235"/>
    </row>
    <row r="1222">
      <c r="A1222" s="194" t="s">
        <v>2300</v>
      </c>
      <c r="B1222" s="245">
        <v>105571.0</v>
      </c>
      <c r="C1222" s="192" t="s">
        <v>2301</v>
      </c>
      <c r="D1222" s="192" t="s">
        <v>2148</v>
      </c>
      <c r="E1222" s="235"/>
      <c r="F1222" s="235"/>
      <c r="G1222" s="325"/>
      <c r="H1222" s="235"/>
      <c r="I1222" s="235"/>
      <c r="J1222" s="235"/>
      <c r="K1222" s="235"/>
      <c r="L1222" s="235"/>
      <c r="M1222" s="235"/>
      <c r="N1222" s="235"/>
      <c r="O1222" s="235"/>
      <c r="P1222" s="235"/>
      <c r="Q1222" s="235"/>
      <c r="R1222" s="235"/>
      <c r="S1222" s="235"/>
      <c r="T1222" s="235"/>
      <c r="U1222" s="235"/>
      <c r="V1222" s="235"/>
      <c r="W1222" s="235"/>
      <c r="X1222" s="235"/>
      <c r="Y1222" s="235"/>
      <c r="Z1222" s="235"/>
      <c r="AA1222" s="235"/>
      <c r="AB1222" s="235"/>
      <c r="AC1222" s="235"/>
    </row>
    <row r="1223">
      <c r="A1223" s="194" t="s">
        <v>2303</v>
      </c>
      <c r="B1223" s="245">
        <v>105144.0</v>
      </c>
      <c r="C1223" s="192" t="s">
        <v>2304</v>
      </c>
      <c r="D1223" s="192" t="s">
        <v>1726</v>
      </c>
      <c r="E1223" s="235"/>
      <c r="F1223" s="235"/>
      <c r="G1223" s="325"/>
      <c r="H1223" s="235"/>
      <c r="I1223" s="235"/>
      <c r="J1223" s="235"/>
      <c r="K1223" s="235"/>
      <c r="L1223" s="235"/>
      <c r="M1223" s="235"/>
      <c r="N1223" s="235"/>
      <c r="O1223" s="235"/>
      <c r="P1223" s="235"/>
      <c r="Q1223" s="235"/>
      <c r="R1223" s="235"/>
      <c r="S1223" s="235"/>
      <c r="T1223" s="235"/>
      <c r="U1223" s="235"/>
      <c r="V1223" s="235"/>
      <c r="W1223" s="235"/>
      <c r="X1223" s="235"/>
      <c r="Y1223" s="235"/>
      <c r="Z1223" s="235"/>
      <c r="AA1223" s="235"/>
      <c r="AB1223" s="235"/>
      <c r="AC1223" s="235"/>
    </row>
    <row r="1224">
      <c r="A1224" s="194" t="s">
        <v>2306</v>
      </c>
      <c r="B1224" s="245">
        <v>105403.0</v>
      </c>
      <c r="C1224" s="192" t="s">
        <v>2307</v>
      </c>
      <c r="D1224" s="192" t="s">
        <v>2148</v>
      </c>
      <c r="E1224" s="235"/>
      <c r="F1224" s="235"/>
      <c r="G1224" s="325"/>
      <c r="H1224" s="235"/>
      <c r="I1224" s="235"/>
      <c r="J1224" s="235"/>
      <c r="K1224" s="235"/>
      <c r="L1224" s="235"/>
      <c r="M1224" s="235"/>
      <c r="N1224" s="235"/>
      <c r="O1224" s="235"/>
      <c r="P1224" s="235"/>
      <c r="Q1224" s="235"/>
      <c r="R1224" s="235"/>
      <c r="S1224" s="235"/>
      <c r="T1224" s="235"/>
      <c r="U1224" s="235"/>
      <c r="V1224" s="235"/>
      <c r="W1224" s="235"/>
      <c r="X1224" s="235"/>
      <c r="Y1224" s="235"/>
      <c r="Z1224" s="235"/>
      <c r="AA1224" s="235"/>
      <c r="AB1224" s="235"/>
      <c r="AC1224" s="235"/>
    </row>
    <row r="1225">
      <c r="A1225" s="194" t="s">
        <v>2308</v>
      </c>
      <c r="B1225" s="245">
        <v>105475.0</v>
      </c>
      <c r="C1225" s="192" t="s">
        <v>2309</v>
      </c>
      <c r="D1225" s="192" t="s">
        <v>2154</v>
      </c>
      <c r="E1225" s="235"/>
      <c r="F1225" s="235"/>
      <c r="G1225" s="325"/>
      <c r="H1225" s="235"/>
      <c r="I1225" s="235"/>
      <c r="J1225" s="235"/>
      <c r="K1225" s="235"/>
      <c r="L1225" s="235"/>
      <c r="M1225" s="235"/>
      <c r="N1225" s="235"/>
      <c r="O1225" s="235"/>
      <c r="P1225" s="235"/>
      <c r="Q1225" s="235"/>
      <c r="R1225" s="235"/>
      <c r="S1225" s="235"/>
      <c r="T1225" s="235"/>
      <c r="U1225" s="235"/>
      <c r="V1225" s="235"/>
      <c r="W1225" s="235"/>
      <c r="X1225" s="235"/>
      <c r="Y1225" s="235"/>
      <c r="Z1225" s="235"/>
      <c r="AA1225" s="235"/>
      <c r="AB1225" s="235"/>
      <c r="AC1225" s="235"/>
    </row>
    <row r="1226">
      <c r="A1226" s="194" t="s">
        <v>2312</v>
      </c>
      <c r="B1226" s="245">
        <v>105370.0</v>
      </c>
      <c r="C1226" s="192" t="s">
        <v>2313</v>
      </c>
      <c r="D1226" s="192" t="s">
        <v>2148</v>
      </c>
      <c r="E1226" s="235"/>
      <c r="F1226" s="235"/>
      <c r="G1226" s="325"/>
      <c r="H1226" s="235"/>
      <c r="I1226" s="235"/>
      <c r="J1226" s="235"/>
      <c r="K1226" s="235"/>
      <c r="L1226" s="235"/>
      <c r="M1226" s="235"/>
      <c r="N1226" s="235"/>
      <c r="O1226" s="235"/>
      <c r="P1226" s="235"/>
      <c r="Q1226" s="235"/>
      <c r="R1226" s="235"/>
      <c r="S1226" s="235"/>
      <c r="T1226" s="235"/>
      <c r="U1226" s="235"/>
      <c r="V1226" s="235"/>
      <c r="W1226" s="235"/>
      <c r="X1226" s="235"/>
      <c r="Y1226" s="235"/>
      <c r="Z1226" s="235"/>
      <c r="AA1226" s="235"/>
      <c r="AB1226" s="235"/>
      <c r="AC1226" s="235"/>
    </row>
    <row r="1227">
      <c r="A1227" s="194" t="s">
        <v>2317</v>
      </c>
      <c r="B1227" s="245">
        <v>105298.0</v>
      </c>
      <c r="C1227" s="192" t="s">
        <v>2318</v>
      </c>
      <c r="D1227" s="192" t="s">
        <v>1695</v>
      </c>
      <c r="E1227" s="235"/>
      <c r="F1227" s="235"/>
      <c r="G1227" s="325"/>
      <c r="H1227" s="235"/>
      <c r="I1227" s="235"/>
      <c r="J1227" s="235"/>
      <c r="K1227" s="235"/>
      <c r="L1227" s="235"/>
      <c r="M1227" s="235"/>
      <c r="N1227" s="235"/>
      <c r="O1227" s="235"/>
      <c r="P1227" s="235"/>
      <c r="Q1227" s="235"/>
      <c r="R1227" s="235"/>
      <c r="S1227" s="235"/>
      <c r="T1227" s="235"/>
      <c r="U1227" s="235"/>
      <c r="V1227" s="235"/>
      <c r="W1227" s="235"/>
      <c r="X1227" s="235"/>
      <c r="Y1227" s="235"/>
      <c r="Z1227" s="235"/>
      <c r="AA1227" s="235"/>
      <c r="AB1227" s="235"/>
      <c r="AC1227" s="235"/>
    </row>
    <row r="1228">
      <c r="A1228" s="194" t="s">
        <v>2324</v>
      </c>
      <c r="B1228" s="194" t="s">
        <v>2323</v>
      </c>
      <c r="C1228" s="192" t="e">
        <v>#N/A</v>
      </c>
      <c r="D1228" s="192" t="s">
        <v>1323</v>
      </c>
      <c r="E1228" s="235"/>
      <c r="F1228" s="235"/>
      <c r="G1228" s="325"/>
      <c r="H1228" s="235"/>
      <c r="I1228" s="235"/>
      <c r="J1228" s="235"/>
      <c r="K1228" s="235"/>
      <c r="L1228" s="235"/>
      <c r="M1228" s="235"/>
      <c r="N1228" s="235"/>
      <c r="O1228" s="235"/>
      <c r="P1228" s="235"/>
      <c r="Q1228" s="235"/>
      <c r="R1228" s="235"/>
      <c r="S1228" s="235"/>
      <c r="T1228" s="235"/>
      <c r="U1228" s="235"/>
      <c r="V1228" s="235"/>
      <c r="W1228" s="235"/>
      <c r="X1228" s="235"/>
      <c r="Y1228" s="235"/>
      <c r="Z1228" s="235"/>
      <c r="AA1228" s="235"/>
      <c r="AB1228" s="235"/>
      <c r="AC1228" s="235"/>
    </row>
    <row r="1229">
      <c r="A1229" s="194" t="s">
        <v>2325</v>
      </c>
      <c r="B1229" s="194">
        <v>104855.0</v>
      </c>
      <c r="C1229" s="192" t="s">
        <v>2326</v>
      </c>
      <c r="D1229" s="192" t="s">
        <v>2155</v>
      </c>
      <c r="E1229" s="235"/>
      <c r="F1229" s="235"/>
      <c r="G1229" s="325"/>
      <c r="H1229" s="235"/>
      <c r="I1229" s="235"/>
      <c r="J1229" s="235"/>
      <c r="K1229" s="235"/>
      <c r="L1229" s="235"/>
      <c r="M1229" s="235"/>
      <c r="N1229" s="235"/>
      <c r="O1229" s="235"/>
      <c r="P1229" s="235"/>
      <c r="Q1229" s="235"/>
      <c r="R1229" s="235"/>
      <c r="S1229" s="235"/>
      <c r="T1229" s="235"/>
      <c r="U1229" s="235"/>
      <c r="V1229" s="235"/>
      <c r="W1229" s="235"/>
      <c r="X1229" s="235"/>
      <c r="Y1229" s="235"/>
      <c r="Z1229" s="235"/>
      <c r="AA1229" s="235"/>
      <c r="AB1229" s="235"/>
      <c r="AC1229" s="235"/>
    </row>
    <row r="1230">
      <c r="A1230" s="194" t="s">
        <v>1766</v>
      </c>
      <c r="B1230" s="194">
        <v>105273.0</v>
      </c>
      <c r="C1230" s="192" t="s">
        <v>1767</v>
      </c>
      <c r="D1230" s="192" t="s">
        <v>87</v>
      </c>
      <c r="E1230" s="235"/>
      <c r="F1230" s="235"/>
      <c r="G1230" s="325"/>
      <c r="H1230" s="235"/>
      <c r="I1230" s="235"/>
      <c r="J1230" s="235"/>
      <c r="K1230" s="235"/>
      <c r="L1230" s="235"/>
      <c r="M1230" s="235"/>
      <c r="N1230" s="235"/>
      <c r="O1230" s="235"/>
      <c r="P1230" s="235"/>
      <c r="Q1230" s="235"/>
      <c r="R1230" s="235"/>
      <c r="S1230" s="235"/>
      <c r="T1230" s="235"/>
      <c r="U1230" s="235"/>
      <c r="V1230" s="235"/>
      <c r="W1230" s="235"/>
      <c r="X1230" s="235"/>
      <c r="Y1230" s="235"/>
      <c r="Z1230" s="235"/>
      <c r="AA1230" s="235"/>
      <c r="AB1230" s="235"/>
      <c r="AC1230" s="235"/>
    </row>
    <row r="1231">
      <c r="A1231" s="194" t="s">
        <v>2327</v>
      </c>
      <c r="B1231" s="194">
        <v>105225.0</v>
      </c>
      <c r="C1231" s="192" t="s">
        <v>2328</v>
      </c>
      <c r="D1231" s="192" t="s">
        <v>806</v>
      </c>
      <c r="E1231" s="235"/>
      <c r="F1231" s="235"/>
      <c r="G1231" s="325"/>
      <c r="H1231" s="235"/>
      <c r="I1231" s="235"/>
      <c r="J1231" s="235"/>
      <c r="K1231" s="235"/>
      <c r="L1231" s="235"/>
      <c r="M1231" s="235"/>
      <c r="N1231" s="235"/>
      <c r="O1231" s="235"/>
      <c r="P1231" s="235"/>
      <c r="Q1231" s="235"/>
      <c r="R1231" s="235"/>
      <c r="S1231" s="235"/>
      <c r="T1231" s="235"/>
      <c r="U1231" s="235"/>
      <c r="V1231" s="235"/>
      <c r="W1231" s="235"/>
      <c r="X1231" s="235"/>
      <c r="Y1231" s="235"/>
      <c r="Z1231" s="235"/>
      <c r="AA1231" s="235"/>
      <c r="AB1231" s="235"/>
      <c r="AC1231" s="235"/>
    </row>
    <row r="1232">
      <c r="A1232" s="194" t="s">
        <v>2329</v>
      </c>
      <c r="B1232" s="194">
        <v>105472.0</v>
      </c>
      <c r="C1232" s="192" t="s">
        <v>2330</v>
      </c>
      <c r="D1232" s="192" t="s">
        <v>602</v>
      </c>
      <c r="E1232" s="235"/>
      <c r="F1232" s="235"/>
      <c r="G1232" s="325"/>
      <c r="H1232" s="235"/>
      <c r="I1232" s="235"/>
      <c r="J1232" s="235"/>
      <c r="K1232" s="235"/>
      <c r="L1232" s="235"/>
      <c r="M1232" s="235"/>
      <c r="N1232" s="235"/>
      <c r="O1232" s="235"/>
      <c r="P1232" s="235"/>
      <c r="Q1232" s="235"/>
      <c r="R1232" s="235"/>
      <c r="S1232" s="235"/>
      <c r="T1232" s="235"/>
      <c r="U1232" s="235"/>
      <c r="V1232" s="235"/>
      <c r="W1232" s="235"/>
      <c r="X1232" s="235"/>
      <c r="Y1232" s="235"/>
      <c r="Z1232" s="235"/>
      <c r="AA1232" s="235"/>
      <c r="AB1232" s="235"/>
      <c r="AC1232" s="235"/>
    </row>
    <row r="1233">
      <c r="A1233" s="194" t="s">
        <v>2331</v>
      </c>
      <c r="B1233" s="194">
        <v>105499.0</v>
      </c>
      <c r="C1233" s="192" t="s">
        <v>2332</v>
      </c>
      <c r="D1233" s="192" t="s">
        <v>454</v>
      </c>
      <c r="E1233" s="235"/>
      <c r="F1233" s="235"/>
      <c r="G1233" s="325"/>
      <c r="H1233" s="235"/>
      <c r="I1233" s="235"/>
      <c r="J1233" s="235"/>
      <c r="K1233" s="235"/>
      <c r="L1233" s="235"/>
      <c r="M1233" s="235"/>
      <c r="N1233" s="235"/>
      <c r="O1233" s="235"/>
      <c r="P1233" s="235"/>
      <c r="Q1233" s="235"/>
      <c r="R1233" s="235"/>
      <c r="S1233" s="235"/>
      <c r="T1233" s="235"/>
      <c r="U1233" s="235"/>
      <c r="V1233" s="235"/>
      <c r="W1233" s="235"/>
      <c r="X1233" s="235"/>
      <c r="Y1233" s="235"/>
      <c r="Z1233" s="235"/>
      <c r="AA1233" s="235"/>
      <c r="AB1233" s="235"/>
      <c r="AC1233" s="235"/>
    </row>
    <row r="1234">
      <c r="A1234" s="194" t="s">
        <v>839</v>
      </c>
      <c r="B1234" s="194">
        <v>102840.0</v>
      </c>
      <c r="C1234" s="192" t="s">
        <v>873</v>
      </c>
      <c r="D1234" s="192" t="s">
        <v>141</v>
      </c>
      <c r="E1234" s="235"/>
      <c r="F1234" s="235"/>
      <c r="G1234" s="325"/>
      <c r="H1234" s="235"/>
      <c r="I1234" s="235"/>
      <c r="J1234" s="235"/>
      <c r="K1234" s="235"/>
      <c r="L1234" s="235"/>
      <c r="M1234" s="235"/>
      <c r="N1234" s="235"/>
      <c r="O1234" s="235"/>
      <c r="P1234" s="235"/>
      <c r="Q1234" s="235"/>
      <c r="R1234" s="235"/>
      <c r="S1234" s="235"/>
      <c r="T1234" s="235"/>
      <c r="U1234" s="235"/>
      <c r="V1234" s="235"/>
      <c r="W1234" s="235"/>
      <c r="X1234" s="235"/>
      <c r="Y1234" s="235"/>
      <c r="Z1234" s="235"/>
      <c r="AA1234" s="235"/>
      <c r="AB1234" s="235"/>
      <c r="AC1234" s="235"/>
    </row>
    <row r="1235">
      <c r="A1235" s="194" t="s">
        <v>2333</v>
      </c>
      <c r="B1235" s="194">
        <v>105778.0</v>
      </c>
      <c r="C1235" s="192" t="s">
        <v>2334</v>
      </c>
      <c r="D1235" s="192" t="s">
        <v>2156</v>
      </c>
      <c r="E1235" s="235"/>
      <c r="F1235" s="235"/>
      <c r="G1235" s="325"/>
      <c r="H1235" s="235"/>
      <c r="I1235" s="235"/>
      <c r="J1235" s="235"/>
      <c r="K1235" s="235"/>
      <c r="L1235" s="235"/>
      <c r="M1235" s="235"/>
      <c r="N1235" s="235"/>
      <c r="O1235" s="235"/>
      <c r="P1235" s="235"/>
      <c r="Q1235" s="235"/>
      <c r="R1235" s="235"/>
      <c r="S1235" s="235"/>
      <c r="T1235" s="235"/>
      <c r="U1235" s="235"/>
      <c r="V1235" s="235"/>
      <c r="W1235" s="235"/>
      <c r="X1235" s="235"/>
      <c r="Y1235" s="235"/>
      <c r="Z1235" s="235"/>
      <c r="AA1235" s="235"/>
      <c r="AB1235" s="235"/>
      <c r="AC1235" s="235"/>
    </row>
    <row r="1236">
      <c r="A1236" s="194" t="s">
        <v>2335</v>
      </c>
      <c r="B1236" s="194">
        <v>105776.0</v>
      </c>
      <c r="C1236" s="192" t="s">
        <v>2336</v>
      </c>
      <c r="D1236" s="192" t="s">
        <v>2049</v>
      </c>
      <c r="E1236" s="235"/>
      <c r="F1236" s="235"/>
      <c r="G1236" s="325"/>
      <c r="H1236" s="235"/>
      <c r="I1236" s="235"/>
      <c r="J1236" s="235"/>
      <c r="K1236" s="235"/>
      <c r="L1236" s="235"/>
      <c r="M1236" s="235"/>
      <c r="N1236" s="235"/>
      <c r="O1236" s="235"/>
      <c r="P1236" s="235"/>
      <c r="Q1236" s="235"/>
      <c r="R1236" s="235"/>
      <c r="S1236" s="235"/>
      <c r="T1236" s="235"/>
      <c r="U1236" s="235"/>
      <c r="V1236" s="235"/>
      <c r="W1236" s="235"/>
      <c r="X1236" s="235"/>
      <c r="Y1236" s="235"/>
      <c r="Z1236" s="235"/>
      <c r="AA1236" s="235"/>
      <c r="AB1236" s="235"/>
      <c r="AC1236" s="235"/>
    </row>
    <row r="1237">
      <c r="A1237" s="194" t="s">
        <v>2335</v>
      </c>
      <c r="B1237" s="194">
        <v>105776.0</v>
      </c>
      <c r="C1237" s="192" t="s">
        <v>2336</v>
      </c>
      <c r="D1237" s="192" t="s">
        <v>2049</v>
      </c>
      <c r="E1237" s="235"/>
      <c r="F1237" s="235"/>
      <c r="G1237" s="325"/>
      <c r="H1237" s="235"/>
      <c r="I1237" s="235"/>
      <c r="J1237" s="235"/>
      <c r="K1237" s="235"/>
      <c r="L1237" s="235"/>
      <c r="M1237" s="235"/>
      <c r="N1237" s="235"/>
      <c r="O1237" s="235"/>
      <c r="P1237" s="235"/>
      <c r="Q1237" s="235"/>
      <c r="R1237" s="235"/>
      <c r="S1237" s="235"/>
      <c r="T1237" s="235"/>
      <c r="U1237" s="235"/>
      <c r="V1237" s="235"/>
      <c r="W1237" s="235"/>
      <c r="X1237" s="235"/>
      <c r="Y1237" s="235"/>
      <c r="Z1237" s="235"/>
      <c r="AA1237" s="235"/>
      <c r="AB1237" s="235"/>
      <c r="AC1237" s="235"/>
    </row>
    <row r="1238">
      <c r="A1238" s="194" t="s">
        <v>2337</v>
      </c>
      <c r="B1238" s="194">
        <v>105778.0</v>
      </c>
      <c r="C1238" s="192" t="s">
        <v>2334</v>
      </c>
      <c r="D1238" s="192" t="s">
        <v>87</v>
      </c>
      <c r="E1238" s="235"/>
      <c r="F1238" s="235"/>
      <c r="G1238" s="325"/>
      <c r="H1238" s="235"/>
      <c r="I1238" s="235"/>
      <c r="J1238" s="235"/>
      <c r="K1238" s="235"/>
      <c r="L1238" s="235"/>
      <c r="M1238" s="235"/>
      <c r="N1238" s="235"/>
      <c r="O1238" s="235"/>
      <c r="P1238" s="235"/>
      <c r="Q1238" s="235"/>
      <c r="R1238" s="235"/>
      <c r="S1238" s="235"/>
      <c r="T1238" s="235"/>
      <c r="U1238" s="235"/>
      <c r="V1238" s="235"/>
      <c r="W1238" s="235"/>
      <c r="X1238" s="235"/>
      <c r="Y1238" s="235"/>
      <c r="Z1238" s="235"/>
      <c r="AA1238" s="235"/>
      <c r="AB1238" s="235"/>
      <c r="AC1238" s="235"/>
    </row>
    <row r="1239">
      <c r="A1239" s="194" t="s">
        <v>2338</v>
      </c>
      <c r="B1239" s="194">
        <v>104931.0</v>
      </c>
      <c r="C1239" s="192" t="s">
        <v>2339</v>
      </c>
      <c r="D1239" s="192" t="s">
        <v>976</v>
      </c>
      <c r="E1239" s="235"/>
      <c r="F1239" s="235"/>
      <c r="G1239" s="325"/>
      <c r="H1239" s="235"/>
      <c r="I1239" s="235"/>
      <c r="J1239" s="235"/>
      <c r="K1239" s="235"/>
      <c r="L1239" s="235"/>
      <c r="M1239" s="235"/>
      <c r="N1239" s="235"/>
      <c r="O1239" s="235"/>
      <c r="P1239" s="235"/>
      <c r="Q1239" s="235"/>
      <c r="R1239" s="235"/>
      <c r="S1239" s="235"/>
      <c r="T1239" s="235"/>
      <c r="U1239" s="235"/>
      <c r="V1239" s="235"/>
      <c r="W1239" s="235"/>
      <c r="X1239" s="235"/>
      <c r="Y1239" s="235"/>
      <c r="Z1239" s="235"/>
      <c r="AA1239" s="235"/>
      <c r="AB1239" s="235"/>
      <c r="AC1239" s="235"/>
    </row>
    <row r="1240">
      <c r="A1240" s="194" t="s">
        <v>2340</v>
      </c>
      <c r="B1240" s="194">
        <v>105337.0</v>
      </c>
      <c r="C1240" s="192" t="s">
        <v>2341</v>
      </c>
      <c r="D1240" s="192" t="s">
        <v>2160</v>
      </c>
      <c r="E1240" s="235"/>
      <c r="F1240" s="235"/>
      <c r="G1240" s="325"/>
      <c r="H1240" s="235"/>
      <c r="I1240" s="235"/>
      <c r="J1240" s="235"/>
      <c r="K1240" s="235"/>
      <c r="L1240" s="235"/>
      <c r="M1240" s="235"/>
      <c r="N1240" s="235"/>
      <c r="O1240" s="235"/>
      <c r="P1240" s="235"/>
      <c r="Q1240" s="235"/>
      <c r="R1240" s="235"/>
      <c r="S1240" s="235"/>
      <c r="T1240" s="235"/>
      <c r="U1240" s="235"/>
      <c r="V1240" s="235"/>
      <c r="W1240" s="235"/>
      <c r="X1240" s="235"/>
      <c r="Y1240" s="235"/>
      <c r="Z1240" s="235"/>
      <c r="AA1240" s="235"/>
      <c r="AB1240" s="235"/>
      <c r="AC1240" s="235"/>
    </row>
    <row r="1241">
      <c r="A1241" s="194" t="s">
        <v>2342</v>
      </c>
      <c r="B1241" s="194">
        <v>104931.0</v>
      </c>
      <c r="C1241" s="192" t="s">
        <v>2339</v>
      </c>
      <c r="D1241" s="192" t="s">
        <v>2160</v>
      </c>
      <c r="E1241" s="235"/>
      <c r="F1241" s="235"/>
      <c r="G1241" s="325"/>
      <c r="H1241" s="235"/>
      <c r="I1241" s="235"/>
      <c r="J1241" s="235"/>
      <c r="K1241" s="235"/>
      <c r="L1241" s="235"/>
      <c r="M1241" s="235"/>
      <c r="N1241" s="235"/>
      <c r="O1241" s="235"/>
      <c r="P1241" s="235"/>
      <c r="Q1241" s="235"/>
      <c r="R1241" s="235"/>
      <c r="S1241" s="235"/>
      <c r="T1241" s="235"/>
      <c r="U1241" s="235"/>
      <c r="V1241" s="235"/>
      <c r="W1241" s="235"/>
      <c r="X1241" s="235"/>
      <c r="Y1241" s="235"/>
      <c r="Z1241" s="235"/>
      <c r="AA1241" s="235"/>
      <c r="AB1241" s="235"/>
      <c r="AC1241" s="235"/>
    </row>
    <row r="1242">
      <c r="A1242" s="194" t="s">
        <v>2343</v>
      </c>
      <c r="B1242" s="194">
        <v>104258.0</v>
      </c>
      <c r="C1242" s="192" t="s">
        <v>2344</v>
      </c>
      <c r="D1242" s="192" t="s">
        <v>113</v>
      </c>
      <c r="E1242" s="235"/>
      <c r="F1242" s="235"/>
      <c r="G1242" s="325"/>
      <c r="H1242" s="235"/>
      <c r="I1242" s="235"/>
      <c r="J1242" s="235"/>
      <c r="K1242" s="235"/>
      <c r="L1242" s="235"/>
      <c r="M1242" s="235"/>
      <c r="N1242" s="235"/>
      <c r="O1242" s="235"/>
      <c r="P1242" s="235"/>
      <c r="Q1242" s="235"/>
      <c r="R1242" s="235"/>
      <c r="S1242" s="235"/>
      <c r="T1242" s="235"/>
      <c r="U1242" s="235"/>
      <c r="V1242" s="235"/>
      <c r="W1242" s="235"/>
      <c r="X1242" s="235"/>
      <c r="Y1242" s="235"/>
      <c r="Z1242" s="235"/>
      <c r="AA1242" s="235"/>
      <c r="AB1242" s="235"/>
      <c r="AC1242" s="235"/>
    </row>
    <row r="1243">
      <c r="A1243" s="194" t="s">
        <v>2345</v>
      </c>
      <c r="B1243" s="194">
        <v>105613.0</v>
      </c>
      <c r="C1243" s="192" t="s">
        <v>2346</v>
      </c>
      <c r="D1243" s="192" t="s">
        <v>113</v>
      </c>
      <c r="E1243" s="235"/>
      <c r="F1243" s="235"/>
      <c r="G1243" s="325"/>
      <c r="H1243" s="235"/>
      <c r="I1243" s="235"/>
      <c r="J1243" s="235"/>
      <c r="K1243" s="235"/>
      <c r="L1243" s="235"/>
      <c r="M1243" s="235"/>
      <c r="N1243" s="235"/>
      <c r="O1243" s="235"/>
      <c r="P1243" s="235"/>
      <c r="Q1243" s="235"/>
      <c r="R1243" s="235"/>
      <c r="S1243" s="235"/>
      <c r="T1243" s="235"/>
      <c r="U1243" s="235"/>
      <c r="V1243" s="235"/>
      <c r="W1243" s="235"/>
      <c r="X1243" s="235"/>
      <c r="Y1243" s="235"/>
      <c r="Z1243" s="235"/>
      <c r="AA1243" s="235"/>
      <c r="AB1243" s="235"/>
      <c r="AC1243" s="235"/>
    </row>
    <row r="1244">
      <c r="A1244" s="194" t="s">
        <v>2347</v>
      </c>
      <c r="B1244" s="194">
        <v>105663.0</v>
      </c>
      <c r="C1244" s="192" t="s">
        <v>2348</v>
      </c>
      <c r="D1244" s="192" t="s">
        <v>254</v>
      </c>
      <c r="E1244" s="235"/>
      <c r="F1244" s="235"/>
      <c r="G1244" s="325"/>
      <c r="H1244" s="235"/>
      <c r="I1244" s="235"/>
      <c r="J1244" s="235"/>
      <c r="K1244" s="235"/>
      <c r="L1244" s="235"/>
      <c r="M1244" s="235"/>
      <c r="N1244" s="235"/>
      <c r="O1244" s="235"/>
      <c r="P1244" s="235"/>
      <c r="Q1244" s="235"/>
      <c r="R1244" s="235"/>
      <c r="S1244" s="235"/>
      <c r="T1244" s="235"/>
      <c r="U1244" s="235"/>
      <c r="V1244" s="235"/>
      <c r="W1244" s="235"/>
      <c r="X1244" s="235"/>
      <c r="Y1244" s="235"/>
      <c r="Z1244" s="235"/>
      <c r="AA1244" s="235"/>
      <c r="AB1244" s="235"/>
      <c r="AC1244" s="235"/>
    </row>
    <row r="1245">
      <c r="A1245" s="194" t="s">
        <v>2349</v>
      </c>
      <c r="B1245" s="194">
        <v>104944.0</v>
      </c>
      <c r="C1245" s="192" t="s">
        <v>2350</v>
      </c>
      <c r="D1245" s="192" t="s">
        <v>1695</v>
      </c>
      <c r="E1245" s="235"/>
      <c r="F1245" s="235"/>
      <c r="G1245" s="325"/>
      <c r="H1245" s="235"/>
      <c r="I1245" s="235"/>
      <c r="J1245" s="235"/>
      <c r="K1245" s="235"/>
      <c r="L1245" s="235"/>
      <c r="M1245" s="235"/>
      <c r="N1245" s="235"/>
      <c r="O1245" s="235"/>
      <c r="P1245" s="235"/>
      <c r="Q1245" s="235"/>
      <c r="R1245" s="235"/>
      <c r="S1245" s="235"/>
      <c r="T1245" s="235"/>
      <c r="U1245" s="235"/>
      <c r="V1245" s="235"/>
      <c r="W1245" s="235"/>
      <c r="X1245" s="235"/>
      <c r="Y1245" s="235"/>
      <c r="Z1245" s="235"/>
      <c r="AA1245" s="235"/>
      <c r="AB1245" s="235"/>
      <c r="AC1245" s="235"/>
    </row>
    <row r="1246">
      <c r="A1246" s="194" t="s">
        <v>2351</v>
      </c>
      <c r="B1246" s="194">
        <v>105520.0</v>
      </c>
      <c r="C1246" s="192" t="s">
        <v>2352</v>
      </c>
      <c r="D1246" s="192" t="s">
        <v>625</v>
      </c>
      <c r="E1246" s="235"/>
      <c r="F1246" s="235"/>
      <c r="G1246" s="325"/>
      <c r="H1246" s="235"/>
      <c r="I1246" s="235"/>
      <c r="J1246" s="235"/>
      <c r="K1246" s="235"/>
      <c r="L1246" s="235"/>
      <c r="M1246" s="235"/>
      <c r="N1246" s="235"/>
      <c r="O1246" s="235"/>
      <c r="P1246" s="235"/>
      <c r="Q1246" s="235"/>
      <c r="R1246" s="235"/>
      <c r="S1246" s="235"/>
      <c r="T1246" s="235"/>
      <c r="U1246" s="235"/>
      <c r="V1246" s="235"/>
      <c r="W1246" s="235"/>
      <c r="X1246" s="235"/>
      <c r="Y1246" s="235"/>
      <c r="Z1246" s="235"/>
      <c r="AA1246" s="235"/>
      <c r="AB1246" s="235"/>
      <c r="AC1246" s="235"/>
    </row>
    <row r="1247">
      <c r="A1247" s="194" t="s">
        <v>2354</v>
      </c>
      <c r="B1247" s="194">
        <v>105566.0</v>
      </c>
      <c r="C1247" s="192" t="s">
        <v>2355</v>
      </c>
      <c r="D1247" s="192" t="s">
        <v>113</v>
      </c>
      <c r="E1247" s="235"/>
      <c r="F1247" s="235"/>
      <c r="G1247" s="325"/>
      <c r="H1247" s="235"/>
      <c r="I1247" s="235"/>
      <c r="J1247" s="235"/>
      <c r="K1247" s="235"/>
      <c r="L1247" s="235"/>
      <c r="M1247" s="235"/>
      <c r="N1247" s="235"/>
      <c r="O1247" s="235"/>
      <c r="P1247" s="235"/>
      <c r="Q1247" s="235"/>
      <c r="R1247" s="235"/>
      <c r="S1247" s="235"/>
      <c r="T1247" s="235"/>
      <c r="U1247" s="235"/>
      <c r="V1247" s="235"/>
      <c r="W1247" s="235"/>
      <c r="X1247" s="235"/>
      <c r="Y1247" s="235"/>
      <c r="Z1247" s="235"/>
      <c r="AA1247" s="235"/>
      <c r="AB1247" s="235"/>
      <c r="AC1247" s="235"/>
    </row>
    <row r="1248">
      <c r="A1248" s="194" t="s">
        <v>2356</v>
      </c>
      <c r="B1248" s="194">
        <v>105357.0</v>
      </c>
      <c r="C1248" s="192" t="s">
        <v>2357</v>
      </c>
      <c r="D1248" s="192" t="s">
        <v>113</v>
      </c>
      <c r="E1248" s="235"/>
      <c r="F1248" s="235"/>
      <c r="G1248" s="325"/>
      <c r="H1248" s="235"/>
      <c r="I1248" s="235"/>
      <c r="J1248" s="235"/>
      <c r="K1248" s="235"/>
      <c r="L1248" s="235"/>
      <c r="M1248" s="235"/>
      <c r="N1248" s="235"/>
      <c r="O1248" s="235"/>
      <c r="P1248" s="235"/>
      <c r="Q1248" s="235"/>
      <c r="R1248" s="235"/>
      <c r="S1248" s="235"/>
      <c r="T1248" s="235"/>
      <c r="U1248" s="235"/>
      <c r="V1248" s="235"/>
      <c r="W1248" s="235"/>
      <c r="X1248" s="235"/>
      <c r="Y1248" s="235"/>
      <c r="Z1248" s="235"/>
      <c r="AA1248" s="235"/>
      <c r="AB1248" s="235"/>
      <c r="AC1248" s="235"/>
    </row>
    <row r="1249">
      <c r="A1249" s="194" t="s">
        <v>2360</v>
      </c>
      <c r="B1249" s="194">
        <v>105357.0</v>
      </c>
      <c r="C1249" s="192" t="s">
        <v>2357</v>
      </c>
      <c r="D1249" s="192" t="s">
        <v>806</v>
      </c>
      <c r="E1249" s="235"/>
      <c r="F1249" s="235"/>
      <c r="G1249" s="325"/>
      <c r="H1249" s="235"/>
      <c r="I1249" s="235"/>
      <c r="J1249" s="235"/>
      <c r="K1249" s="235"/>
      <c r="L1249" s="235"/>
      <c r="M1249" s="235"/>
      <c r="N1249" s="235"/>
      <c r="O1249" s="235"/>
      <c r="P1249" s="235"/>
      <c r="Q1249" s="235"/>
      <c r="R1249" s="235"/>
      <c r="S1249" s="235"/>
      <c r="T1249" s="235"/>
      <c r="U1249" s="235"/>
      <c r="V1249" s="235"/>
      <c r="W1249" s="235"/>
      <c r="X1249" s="235"/>
      <c r="Y1249" s="235"/>
      <c r="Z1249" s="235"/>
      <c r="AA1249" s="235"/>
      <c r="AB1249" s="235"/>
      <c r="AC1249" s="235"/>
    </row>
    <row r="1250">
      <c r="A1250" s="194" t="s">
        <v>2361</v>
      </c>
      <c r="B1250" s="194">
        <v>105357.0</v>
      </c>
      <c r="C1250" s="192" t="s">
        <v>2357</v>
      </c>
      <c r="D1250" s="192" t="s">
        <v>625</v>
      </c>
      <c r="E1250" s="235"/>
      <c r="F1250" s="235"/>
      <c r="G1250" s="325"/>
      <c r="H1250" s="235"/>
      <c r="I1250" s="235"/>
      <c r="J1250" s="235"/>
      <c r="K1250" s="235"/>
      <c r="L1250" s="235"/>
      <c r="M1250" s="235"/>
      <c r="N1250" s="235"/>
      <c r="O1250" s="235"/>
      <c r="P1250" s="235"/>
      <c r="Q1250" s="235"/>
      <c r="R1250" s="235"/>
      <c r="S1250" s="235"/>
      <c r="T1250" s="235"/>
      <c r="U1250" s="235"/>
      <c r="V1250" s="235"/>
      <c r="W1250" s="235"/>
      <c r="X1250" s="235"/>
      <c r="Y1250" s="235"/>
      <c r="Z1250" s="235"/>
      <c r="AA1250" s="235"/>
      <c r="AB1250" s="235"/>
      <c r="AC1250" s="235"/>
    </row>
    <row r="1251">
      <c r="A1251" s="194" t="s">
        <v>2362</v>
      </c>
      <c r="B1251" s="194">
        <v>105239.0</v>
      </c>
      <c r="C1251" s="192" t="s">
        <v>2363</v>
      </c>
      <c r="D1251" s="192" t="s">
        <v>646</v>
      </c>
      <c r="E1251" s="235"/>
      <c r="F1251" s="235"/>
      <c r="G1251" s="325"/>
      <c r="H1251" s="235"/>
      <c r="I1251" s="235"/>
      <c r="J1251" s="235"/>
      <c r="K1251" s="235"/>
      <c r="L1251" s="235"/>
      <c r="M1251" s="235"/>
      <c r="N1251" s="235"/>
      <c r="O1251" s="235"/>
      <c r="P1251" s="235"/>
      <c r="Q1251" s="235"/>
      <c r="R1251" s="235"/>
      <c r="S1251" s="235"/>
      <c r="T1251" s="235"/>
      <c r="U1251" s="235"/>
      <c r="V1251" s="235"/>
      <c r="W1251" s="235"/>
      <c r="X1251" s="235"/>
      <c r="Y1251" s="235"/>
      <c r="Z1251" s="235"/>
      <c r="AA1251" s="235"/>
      <c r="AB1251" s="235"/>
      <c r="AC1251" s="235"/>
    </row>
    <row r="1252">
      <c r="A1252" s="194" t="s">
        <v>2364</v>
      </c>
      <c r="B1252" s="194">
        <v>105062.0</v>
      </c>
      <c r="C1252" s="192" t="s">
        <v>2365</v>
      </c>
      <c r="D1252" s="192" t="s">
        <v>646</v>
      </c>
      <c r="E1252" s="235"/>
      <c r="F1252" s="235"/>
      <c r="G1252" s="325"/>
      <c r="H1252" s="235"/>
      <c r="I1252" s="235"/>
      <c r="J1252" s="235"/>
      <c r="K1252" s="235"/>
      <c r="L1252" s="235"/>
      <c r="M1252" s="235"/>
      <c r="N1252" s="235"/>
      <c r="O1252" s="235"/>
      <c r="P1252" s="235"/>
      <c r="Q1252" s="235"/>
      <c r="R1252" s="235"/>
      <c r="S1252" s="235"/>
      <c r="T1252" s="235"/>
      <c r="U1252" s="235"/>
      <c r="V1252" s="235"/>
      <c r="W1252" s="235"/>
      <c r="X1252" s="235"/>
      <c r="Y1252" s="235"/>
      <c r="Z1252" s="235"/>
      <c r="AA1252" s="235"/>
      <c r="AB1252" s="235"/>
      <c r="AC1252" s="235"/>
    </row>
    <row r="1253">
      <c r="A1253" s="194" t="s">
        <v>2366</v>
      </c>
      <c r="B1253" s="194">
        <v>105357.0</v>
      </c>
      <c r="C1253" s="192" t="s">
        <v>2357</v>
      </c>
      <c r="D1253" s="192" t="s">
        <v>254</v>
      </c>
      <c r="E1253" s="235"/>
      <c r="F1253" s="235"/>
      <c r="G1253" s="325"/>
      <c r="H1253" s="235"/>
      <c r="I1253" s="235"/>
      <c r="J1253" s="235"/>
      <c r="K1253" s="235"/>
      <c r="L1253" s="235"/>
      <c r="M1253" s="235"/>
      <c r="N1253" s="235"/>
      <c r="O1253" s="235"/>
      <c r="P1253" s="235"/>
      <c r="Q1253" s="235"/>
      <c r="R1253" s="235"/>
      <c r="S1253" s="235"/>
      <c r="T1253" s="235"/>
      <c r="U1253" s="235"/>
      <c r="V1253" s="235"/>
      <c r="W1253" s="235"/>
      <c r="X1253" s="235"/>
      <c r="Y1253" s="235"/>
      <c r="Z1253" s="235"/>
      <c r="AA1253" s="235"/>
      <c r="AB1253" s="235"/>
      <c r="AC1253" s="235"/>
    </row>
    <row r="1254">
      <c r="A1254" s="194" t="s">
        <v>2367</v>
      </c>
      <c r="B1254" s="194">
        <v>105147.0</v>
      </c>
      <c r="C1254" s="192" t="s">
        <v>2368</v>
      </c>
      <c r="D1254" s="192" t="s">
        <v>646</v>
      </c>
      <c r="E1254" s="235"/>
      <c r="F1254" s="235"/>
      <c r="G1254" s="325"/>
      <c r="H1254" s="235"/>
      <c r="I1254" s="235"/>
      <c r="J1254" s="235"/>
      <c r="K1254" s="235"/>
      <c r="L1254" s="235"/>
      <c r="M1254" s="235"/>
      <c r="N1254" s="235"/>
      <c r="O1254" s="235"/>
      <c r="P1254" s="235"/>
      <c r="Q1254" s="235"/>
      <c r="R1254" s="235"/>
      <c r="S1254" s="235"/>
      <c r="T1254" s="235"/>
      <c r="U1254" s="235"/>
      <c r="V1254" s="235"/>
      <c r="W1254" s="235"/>
      <c r="X1254" s="235"/>
      <c r="Y1254" s="235"/>
      <c r="Z1254" s="235"/>
      <c r="AA1254" s="235"/>
      <c r="AB1254" s="235"/>
      <c r="AC1254" s="235"/>
    </row>
    <row r="1255">
      <c r="A1255" s="194" t="s">
        <v>2369</v>
      </c>
      <c r="B1255" s="194">
        <v>105034.0</v>
      </c>
      <c r="C1255" s="192" t="s">
        <v>2370</v>
      </c>
      <c r="D1255" s="192" t="s">
        <v>646</v>
      </c>
      <c r="E1255" s="235"/>
      <c r="F1255" s="235"/>
      <c r="G1255" s="325"/>
      <c r="H1255" s="235"/>
      <c r="I1255" s="235"/>
      <c r="J1255" s="235"/>
      <c r="K1255" s="235"/>
      <c r="L1255" s="235"/>
      <c r="M1255" s="235"/>
      <c r="N1255" s="235"/>
      <c r="O1255" s="235"/>
      <c r="P1255" s="235"/>
      <c r="Q1255" s="235"/>
      <c r="R1255" s="235"/>
      <c r="S1255" s="235"/>
      <c r="T1255" s="235"/>
      <c r="U1255" s="235"/>
      <c r="V1255" s="235"/>
      <c r="W1255" s="235"/>
      <c r="X1255" s="235"/>
      <c r="Y1255" s="235"/>
      <c r="Z1255" s="235"/>
      <c r="AA1255" s="235"/>
      <c r="AB1255" s="235"/>
      <c r="AC1255" s="235"/>
    </row>
    <row r="1256">
      <c r="A1256" s="194" t="s">
        <v>2373</v>
      </c>
      <c r="B1256" s="194">
        <v>105230.0</v>
      </c>
      <c r="C1256" s="192" t="s">
        <v>2374</v>
      </c>
      <c r="D1256" s="192" t="s">
        <v>871</v>
      </c>
      <c r="E1256" s="235"/>
      <c r="F1256" s="235"/>
      <c r="G1256" s="325"/>
      <c r="H1256" s="235"/>
      <c r="I1256" s="235"/>
      <c r="J1256" s="235"/>
      <c r="K1256" s="235"/>
      <c r="L1256" s="235"/>
      <c r="M1256" s="235"/>
      <c r="N1256" s="235"/>
      <c r="O1256" s="235"/>
      <c r="P1256" s="235"/>
      <c r="Q1256" s="235"/>
      <c r="R1256" s="235"/>
      <c r="S1256" s="235"/>
      <c r="T1256" s="235"/>
      <c r="U1256" s="235"/>
      <c r="V1256" s="235"/>
      <c r="W1256" s="235"/>
      <c r="X1256" s="235"/>
      <c r="Y1256" s="235"/>
      <c r="Z1256" s="235"/>
      <c r="AA1256" s="235"/>
      <c r="AB1256" s="235"/>
      <c r="AC1256" s="235"/>
    </row>
    <row r="1257">
      <c r="A1257" s="194" t="s">
        <v>2375</v>
      </c>
      <c r="B1257" s="194">
        <v>104786.0</v>
      </c>
      <c r="C1257" s="192" t="s">
        <v>2376</v>
      </c>
      <c r="D1257" s="192" t="s">
        <v>625</v>
      </c>
      <c r="E1257" s="235"/>
      <c r="F1257" s="235"/>
      <c r="G1257" s="325"/>
      <c r="H1257" s="235"/>
      <c r="I1257" s="235"/>
      <c r="J1257" s="235"/>
      <c r="K1257" s="235"/>
      <c r="L1257" s="235"/>
      <c r="M1257" s="235"/>
      <c r="N1257" s="235"/>
      <c r="O1257" s="235"/>
      <c r="P1257" s="235"/>
      <c r="Q1257" s="235"/>
      <c r="R1257" s="235"/>
      <c r="S1257" s="235"/>
      <c r="T1257" s="235"/>
      <c r="U1257" s="235"/>
      <c r="V1257" s="235"/>
      <c r="W1257" s="235"/>
      <c r="X1257" s="235"/>
      <c r="Y1257" s="235"/>
      <c r="Z1257" s="235"/>
      <c r="AA1257" s="235"/>
      <c r="AB1257" s="235"/>
      <c r="AC1257" s="235"/>
    </row>
    <row r="1258">
      <c r="A1258" s="194" t="s">
        <v>2377</v>
      </c>
      <c r="B1258" s="194">
        <v>104668.0</v>
      </c>
      <c r="C1258" s="192" t="s">
        <v>2378</v>
      </c>
      <c r="D1258" s="192" t="s">
        <v>806</v>
      </c>
      <c r="E1258" s="235"/>
      <c r="F1258" s="235"/>
      <c r="G1258" s="325"/>
      <c r="H1258" s="235"/>
      <c r="I1258" s="235"/>
      <c r="J1258" s="235"/>
      <c r="K1258" s="235"/>
      <c r="L1258" s="235"/>
      <c r="M1258" s="235"/>
      <c r="N1258" s="235"/>
      <c r="O1258" s="235"/>
      <c r="P1258" s="235"/>
      <c r="Q1258" s="235"/>
      <c r="R1258" s="235"/>
      <c r="S1258" s="235"/>
      <c r="T1258" s="235"/>
      <c r="U1258" s="235"/>
      <c r="V1258" s="235"/>
      <c r="W1258" s="235"/>
      <c r="X1258" s="235"/>
      <c r="Y1258" s="235"/>
      <c r="Z1258" s="235"/>
      <c r="AA1258" s="235"/>
      <c r="AB1258" s="235"/>
      <c r="AC1258" s="235"/>
    </row>
    <row r="1259">
      <c r="A1259" s="194" t="s">
        <v>2379</v>
      </c>
      <c r="B1259" s="194">
        <v>104726.0</v>
      </c>
      <c r="C1259" s="192" t="s">
        <v>2380</v>
      </c>
      <c r="D1259" s="192" t="s">
        <v>625</v>
      </c>
      <c r="E1259" s="235"/>
      <c r="F1259" s="235"/>
      <c r="G1259" s="325"/>
      <c r="H1259" s="235"/>
      <c r="I1259" s="235"/>
      <c r="J1259" s="235"/>
      <c r="K1259" s="235"/>
      <c r="L1259" s="235"/>
      <c r="M1259" s="235"/>
      <c r="N1259" s="235"/>
      <c r="O1259" s="235"/>
      <c r="P1259" s="235"/>
      <c r="Q1259" s="235"/>
      <c r="R1259" s="235"/>
      <c r="S1259" s="235"/>
      <c r="T1259" s="235"/>
      <c r="U1259" s="235"/>
      <c r="V1259" s="235"/>
      <c r="W1259" s="235"/>
      <c r="X1259" s="235"/>
      <c r="Y1259" s="235"/>
      <c r="Z1259" s="235"/>
      <c r="AA1259" s="235"/>
      <c r="AB1259" s="235"/>
      <c r="AC1259" s="235"/>
    </row>
    <row r="1260">
      <c r="A1260" s="194" t="s">
        <v>2381</v>
      </c>
      <c r="B1260" s="194">
        <v>104788.0</v>
      </c>
      <c r="C1260" s="192" t="s">
        <v>2382</v>
      </c>
      <c r="D1260" s="192" t="s">
        <v>806</v>
      </c>
      <c r="E1260" s="235"/>
      <c r="F1260" s="235"/>
      <c r="G1260" s="325"/>
      <c r="H1260" s="235"/>
      <c r="I1260" s="235"/>
      <c r="J1260" s="235"/>
      <c r="K1260" s="235"/>
      <c r="L1260" s="235"/>
      <c r="M1260" s="235"/>
      <c r="N1260" s="235"/>
      <c r="O1260" s="235"/>
      <c r="P1260" s="235"/>
      <c r="Q1260" s="235"/>
      <c r="R1260" s="235"/>
      <c r="S1260" s="235"/>
      <c r="T1260" s="235"/>
      <c r="U1260" s="235"/>
      <c r="V1260" s="235"/>
      <c r="W1260" s="235"/>
      <c r="X1260" s="235"/>
      <c r="Y1260" s="235"/>
      <c r="Z1260" s="235"/>
      <c r="AA1260" s="235"/>
      <c r="AB1260" s="235"/>
      <c r="AC1260" s="235"/>
    </row>
    <row r="1261">
      <c r="A1261" s="194" t="s">
        <v>2383</v>
      </c>
      <c r="B1261" s="194">
        <v>105188.0</v>
      </c>
      <c r="C1261" s="192" t="s">
        <v>2384</v>
      </c>
      <c r="D1261" s="192" t="s">
        <v>646</v>
      </c>
      <c r="E1261" s="235"/>
      <c r="F1261" s="235"/>
      <c r="G1261" s="325"/>
      <c r="H1261" s="235"/>
      <c r="I1261" s="235"/>
      <c r="J1261" s="235"/>
      <c r="K1261" s="235"/>
      <c r="L1261" s="235"/>
      <c r="M1261" s="235"/>
      <c r="N1261" s="235"/>
      <c r="O1261" s="235"/>
      <c r="P1261" s="235"/>
      <c r="Q1261" s="235"/>
      <c r="R1261" s="235"/>
      <c r="S1261" s="235"/>
      <c r="T1261" s="235"/>
      <c r="U1261" s="235"/>
      <c r="V1261" s="235"/>
      <c r="W1261" s="235"/>
      <c r="X1261" s="235"/>
      <c r="Y1261" s="235"/>
      <c r="Z1261" s="235"/>
      <c r="AA1261" s="235"/>
      <c r="AB1261" s="235"/>
      <c r="AC1261" s="235"/>
    </row>
    <row r="1262">
      <c r="A1262" s="194" t="s">
        <v>2385</v>
      </c>
      <c r="B1262" s="194">
        <v>105508.0</v>
      </c>
      <c r="C1262" s="192" t="s">
        <v>2386</v>
      </c>
      <c r="D1262" s="192" t="s">
        <v>646</v>
      </c>
      <c r="E1262" s="235"/>
      <c r="F1262" s="235"/>
      <c r="G1262" s="325"/>
      <c r="H1262" s="235"/>
      <c r="I1262" s="235"/>
      <c r="J1262" s="235"/>
      <c r="K1262" s="235"/>
      <c r="L1262" s="235"/>
      <c r="M1262" s="235"/>
      <c r="N1262" s="235"/>
      <c r="O1262" s="235"/>
      <c r="P1262" s="235"/>
      <c r="Q1262" s="235"/>
      <c r="R1262" s="235"/>
      <c r="S1262" s="235"/>
      <c r="T1262" s="235"/>
      <c r="U1262" s="235"/>
      <c r="V1262" s="235"/>
      <c r="W1262" s="235"/>
      <c r="X1262" s="235"/>
      <c r="Y1262" s="235"/>
      <c r="Z1262" s="235"/>
      <c r="AA1262" s="235"/>
      <c r="AB1262" s="235"/>
      <c r="AC1262" s="235"/>
    </row>
    <row r="1263">
      <c r="A1263" s="194" t="s">
        <v>2387</v>
      </c>
      <c r="B1263" s="194">
        <v>105106.0</v>
      </c>
      <c r="C1263" s="192" t="s">
        <v>2388</v>
      </c>
      <c r="D1263" s="192" t="s">
        <v>646</v>
      </c>
      <c r="E1263" s="235"/>
      <c r="F1263" s="235"/>
      <c r="G1263" s="325"/>
      <c r="H1263" s="235"/>
      <c r="I1263" s="235"/>
      <c r="J1263" s="235"/>
      <c r="K1263" s="235"/>
      <c r="L1263" s="235"/>
      <c r="M1263" s="235"/>
      <c r="N1263" s="235"/>
      <c r="O1263" s="235"/>
      <c r="P1263" s="235"/>
      <c r="Q1263" s="235"/>
      <c r="R1263" s="235"/>
      <c r="S1263" s="235"/>
      <c r="T1263" s="235"/>
      <c r="U1263" s="235"/>
      <c r="V1263" s="235"/>
      <c r="W1263" s="235"/>
      <c r="X1263" s="235"/>
      <c r="Y1263" s="235"/>
      <c r="Z1263" s="235"/>
      <c r="AA1263" s="235"/>
      <c r="AB1263" s="235"/>
      <c r="AC1263" s="235"/>
    </row>
    <row r="1264">
      <c r="A1264" s="194" t="s">
        <v>2263</v>
      </c>
      <c r="B1264" s="194">
        <v>105288.0</v>
      </c>
      <c r="C1264" s="192" t="s">
        <v>2264</v>
      </c>
      <c r="D1264" s="192" t="s">
        <v>646</v>
      </c>
      <c r="E1264" s="235"/>
      <c r="F1264" s="235"/>
      <c r="G1264" s="325"/>
      <c r="H1264" s="235"/>
      <c r="I1264" s="235"/>
      <c r="J1264" s="235"/>
      <c r="K1264" s="235"/>
      <c r="L1264" s="235"/>
      <c r="M1264" s="235"/>
      <c r="N1264" s="235"/>
      <c r="O1264" s="235"/>
      <c r="P1264" s="235"/>
      <c r="Q1264" s="235"/>
      <c r="R1264" s="235"/>
      <c r="S1264" s="235"/>
      <c r="T1264" s="235"/>
      <c r="U1264" s="235"/>
      <c r="V1264" s="235"/>
      <c r="W1264" s="235"/>
      <c r="X1264" s="235"/>
      <c r="Y1264" s="235"/>
      <c r="Z1264" s="235"/>
      <c r="AA1264" s="235"/>
      <c r="AB1264" s="235"/>
      <c r="AC1264" s="235"/>
    </row>
    <row r="1265">
      <c r="A1265" s="194" t="s">
        <v>2389</v>
      </c>
      <c r="B1265" s="194">
        <v>104793.0</v>
      </c>
      <c r="C1265" s="192" t="s">
        <v>2390</v>
      </c>
      <c r="D1265" s="192" t="s">
        <v>326</v>
      </c>
      <c r="E1265" s="235"/>
      <c r="F1265" s="235"/>
      <c r="G1265" s="325"/>
      <c r="H1265" s="235"/>
      <c r="I1265" s="235"/>
      <c r="J1265" s="235"/>
      <c r="K1265" s="235"/>
      <c r="L1265" s="235"/>
      <c r="M1265" s="235"/>
      <c r="N1265" s="235"/>
      <c r="O1265" s="235"/>
      <c r="P1265" s="235"/>
      <c r="Q1265" s="235"/>
      <c r="R1265" s="235"/>
      <c r="S1265" s="235"/>
      <c r="T1265" s="235"/>
      <c r="U1265" s="235"/>
      <c r="V1265" s="235"/>
      <c r="W1265" s="235"/>
      <c r="X1265" s="235"/>
      <c r="Y1265" s="235"/>
      <c r="Z1265" s="235"/>
      <c r="AA1265" s="235"/>
      <c r="AB1265" s="235"/>
      <c r="AC1265" s="235"/>
    </row>
    <row r="1266">
      <c r="A1266" s="194" t="s">
        <v>2391</v>
      </c>
      <c r="B1266" s="194">
        <v>104615.0</v>
      </c>
      <c r="C1266" s="192" t="s">
        <v>2392</v>
      </c>
      <c r="D1266" s="192" t="s">
        <v>625</v>
      </c>
      <c r="E1266" s="235"/>
      <c r="F1266" s="235"/>
      <c r="G1266" s="325"/>
      <c r="H1266" s="235"/>
      <c r="I1266" s="235"/>
      <c r="J1266" s="235"/>
      <c r="K1266" s="235"/>
      <c r="L1266" s="235"/>
      <c r="M1266" s="235"/>
      <c r="N1266" s="235"/>
      <c r="O1266" s="235"/>
      <c r="P1266" s="235"/>
      <c r="Q1266" s="235"/>
      <c r="R1266" s="235"/>
      <c r="S1266" s="235"/>
      <c r="T1266" s="235"/>
      <c r="U1266" s="235"/>
      <c r="V1266" s="235"/>
      <c r="W1266" s="235"/>
      <c r="X1266" s="235"/>
      <c r="Y1266" s="235"/>
      <c r="Z1266" s="235"/>
      <c r="AA1266" s="235"/>
      <c r="AB1266" s="235"/>
      <c r="AC1266" s="235"/>
    </row>
    <row r="1267">
      <c r="A1267" s="194" t="s">
        <v>2394</v>
      </c>
      <c r="B1267" s="194">
        <v>104652.0</v>
      </c>
      <c r="C1267" s="192" t="s">
        <v>2395</v>
      </c>
      <c r="D1267" s="192" t="s">
        <v>326</v>
      </c>
      <c r="E1267" s="235"/>
      <c r="F1267" s="235"/>
      <c r="G1267" s="325"/>
      <c r="H1267" s="235"/>
      <c r="I1267" s="235"/>
      <c r="J1267" s="235"/>
      <c r="K1267" s="235"/>
      <c r="L1267" s="235"/>
      <c r="M1267" s="235"/>
      <c r="N1267" s="235"/>
      <c r="O1267" s="235"/>
      <c r="P1267" s="235"/>
      <c r="Q1267" s="235"/>
      <c r="R1267" s="235"/>
      <c r="S1267" s="235"/>
      <c r="T1267" s="235"/>
      <c r="U1267" s="235"/>
      <c r="V1267" s="235"/>
      <c r="W1267" s="235"/>
      <c r="X1267" s="235"/>
      <c r="Y1267" s="235"/>
      <c r="Z1267" s="235"/>
      <c r="AA1267" s="235"/>
      <c r="AB1267" s="235"/>
      <c r="AC1267" s="235"/>
    </row>
    <row r="1268">
      <c r="A1268" s="194" t="s">
        <v>2396</v>
      </c>
      <c r="B1268" s="194">
        <v>104679.0</v>
      </c>
      <c r="C1268" s="192" t="s">
        <v>2397</v>
      </c>
      <c r="D1268" s="192" t="s">
        <v>625</v>
      </c>
      <c r="E1268" s="235"/>
      <c r="F1268" s="235"/>
      <c r="G1268" s="325"/>
      <c r="H1268" s="235"/>
      <c r="I1268" s="235"/>
      <c r="J1268" s="235"/>
      <c r="K1268" s="235"/>
      <c r="L1268" s="235"/>
      <c r="M1268" s="235"/>
      <c r="N1268" s="235"/>
      <c r="O1268" s="235"/>
      <c r="P1268" s="235"/>
      <c r="Q1268" s="235"/>
      <c r="R1268" s="235"/>
      <c r="S1268" s="235"/>
      <c r="T1268" s="235"/>
      <c r="U1268" s="235"/>
      <c r="V1268" s="235"/>
      <c r="W1268" s="235"/>
      <c r="X1268" s="235"/>
      <c r="Y1268" s="235"/>
      <c r="Z1268" s="235"/>
      <c r="AA1268" s="235"/>
      <c r="AB1268" s="235"/>
      <c r="AC1268" s="235"/>
    </row>
    <row r="1269">
      <c r="A1269" s="194" t="s">
        <v>2398</v>
      </c>
      <c r="B1269" s="194">
        <v>104790.0</v>
      </c>
      <c r="C1269" s="192" t="s">
        <v>2399</v>
      </c>
      <c r="D1269" s="192" t="s">
        <v>113</v>
      </c>
      <c r="E1269" s="235"/>
      <c r="F1269" s="235"/>
      <c r="G1269" s="325"/>
      <c r="H1269" s="235"/>
      <c r="I1269" s="235"/>
      <c r="J1269" s="235"/>
      <c r="K1269" s="235"/>
      <c r="L1269" s="235"/>
      <c r="M1269" s="235"/>
      <c r="N1269" s="235"/>
      <c r="O1269" s="235"/>
      <c r="P1269" s="235"/>
      <c r="Q1269" s="235"/>
      <c r="R1269" s="235"/>
      <c r="S1269" s="235"/>
      <c r="T1269" s="235"/>
      <c r="U1269" s="235"/>
      <c r="V1269" s="235"/>
      <c r="W1269" s="235"/>
      <c r="X1269" s="235"/>
      <c r="Y1269" s="235"/>
      <c r="Z1269" s="235"/>
      <c r="AA1269" s="235"/>
      <c r="AB1269" s="235"/>
      <c r="AC1269" s="235"/>
    </row>
    <row r="1270">
      <c r="A1270" s="194" t="s">
        <v>2400</v>
      </c>
      <c r="B1270" s="194">
        <v>105780.0</v>
      </c>
      <c r="C1270" s="192" t="s">
        <v>2401</v>
      </c>
      <c r="D1270" s="192" t="s">
        <v>254</v>
      </c>
      <c r="E1270" s="235"/>
      <c r="F1270" s="235"/>
      <c r="G1270" s="325"/>
      <c r="H1270" s="235"/>
      <c r="I1270" s="235"/>
      <c r="J1270" s="235"/>
      <c r="K1270" s="235"/>
      <c r="L1270" s="235"/>
      <c r="M1270" s="235"/>
      <c r="N1270" s="235"/>
      <c r="O1270" s="235"/>
      <c r="P1270" s="235"/>
      <c r="Q1270" s="235"/>
      <c r="R1270" s="235"/>
      <c r="S1270" s="235"/>
      <c r="T1270" s="235"/>
      <c r="U1270" s="235"/>
      <c r="V1270" s="235"/>
      <c r="W1270" s="235"/>
      <c r="X1270" s="235"/>
      <c r="Y1270" s="235"/>
      <c r="Z1270" s="235"/>
      <c r="AA1270" s="235"/>
      <c r="AB1270" s="235"/>
      <c r="AC1270" s="235"/>
    </row>
    <row r="1271">
      <c r="A1271" s="194" t="s">
        <v>2402</v>
      </c>
      <c r="B1271" s="194">
        <v>105693.0</v>
      </c>
      <c r="C1271" s="192" t="s">
        <v>2403</v>
      </c>
      <c r="D1271" s="192" t="s">
        <v>113</v>
      </c>
      <c r="E1271" s="235"/>
      <c r="F1271" s="235"/>
      <c r="G1271" s="325"/>
      <c r="H1271" s="235"/>
      <c r="I1271" s="235"/>
      <c r="J1271" s="235"/>
      <c r="K1271" s="235"/>
      <c r="L1271" s="235"/>
      <c r="M1271" s="235"/>
      <c r="N1271" s="235"/>
      <c r="O1271" s="235"/>
      <c r="P1271" s="235"/>
      <c r="Q1271" s="235"/>
      <c r="R1271" s="235"/>
      <c r="S1271" s="235"/>
      <c r="T1271" s="235"/>
      <c r="U1271" s="235"/>
      <c r="V1271" s="235"/>
      <c r="W1271" s="235"/>
      <c r="X1271" s="235"/>
      <c r="Y1271" s="235"/>
      <c r="Z1271" s="235"/>
      <c r="AA1271" s="235"/>
      <c r="AB1271" s="235"/>
      <c r="AC1271" s="235"/>
    </row>
    <row r="1272">
      <c r="A1272" s="194" t="s">
        <v>2404</v>
      </c>
      <c r="B1272" s="194">
        <v>106096.0</v>
      </c>
      <c r="C1272" s="192" t="s">
        <v>2405</v>
      </c>
      <c r="D1272" s="192" t="s">
        <v>254</v>
      </c>
      <c r="E1272" s="235"/>
      <c r="F1272" s="235"/>
      <c r="G1272" s="325"/>
      <c r="H1272" s="235"/>
      <c r="I1272" s="235"/>
      <c r="J1272" s="235"/>
      <c r="K1272" s="235"/>
      <c r="L1272" s="235"/>
      <c r="M1272" s="235"/>
      <c r="N1272" s="235"/>
      <c r="O1272" s="235"/>
      <c r="P1272" s="235"/>
      <c r="Q1272" s="235"/>
      <c r="R1272" s="235"/>
      <c r="S1272" s="235"/>
      <c r="T1272" s="235"/>
      <c r="U1272" s="235"/>
      <c r="V1272" s="235"/>
      <c r="W1272" s="235"/>
      <c r="X1272" s="235"/>
      <c r="Y1272" s="235"/>
      <c r="Z1272" s="235"/>
      <c r="AA1272" s="235"/>
      <c r="AB1272" s="235"/>
      <c r="AC1272" s="235"/>
    </row>
    <row r="1273">
      <c r="A1273" s="194" t="s">
        <v>2406</v>
      </c>
      <c r="B1273" s="194">
        <v>106103.0</v>
      </c>
      <c r="C1273" s="192" t="s">
        <v>2407</v>
      </c>
      <c r="D1273" s="192" t="s">
        <v>254</v>
      </c>
      <c r="E1273" s="235"/>
      <c r="F1273" s="235"/>
      <c r="G1273" s="325"/>
      <c r="H1273" s="235"/>
      <c r="I1273" s="235"/>
      <c r="J1273" s="235"/>
      <c r="K1273" s="235"/>
      <c r="L1273" s="235"/>
      <c r="M1273" s="235"/>
      <c r="N1273" s="235"/>
      <c r="O1273" s="235"/>
      <c r="P1273" s="235"/>
      <c r="Q1273" s="235"/>
      <c r="R1273" s="235"/>
      <c r="S1273" s="235"/>
      <c r="T1273" s="235"/>
      <c r="U1273" s="235"/>
      <c r="V1273" s="235"/>
      <c r="W1273" s="235"/>
      <c r="X1273" s="235"/>
      <c r="Y1273" s="235"/>
      <c r="Z1273" s="235"/>
      <c r="AA1273" s="235"/>
      <c r="AB1273" s="235"/>
      <c r="AC1273" s="235"/>
    </row>
    <row r="1274">
      <c r="A1274" s="194" t="s">
        <v>2400</v>
      </c>
      <c r="B1274" s="194">
        <v>106051.0</v>
      </c>
      <c r="C1274" s="192" t="s">
        <v>2408</v>
      </c>
      <c r="D1274" s="192" t="s">
        <v>360</v>
      </c>
      <c r="E1274" s="235"/>
      <c r="F1274" s="235"/>
      <c r="G1274" s="325"/>
      <c r="H1274" s="235"/>
      <c r="I1274" s="235"/>
      <c r="J1274" s="235"/>
      <c r="K1274" s="235"/>
      <c r="L1274" s="235"/>
      <c r="M1274" s="235"/>
      <c r="N1274" s="235"/>
      <c r="O1274" s="235"/>
      <c r="P1274" s="235"/>
      <c r="Q1274" s="235"/>
      <c r="R1274" s="235"/>
      <c r="S1274" s="235"/>
      <c r="T1274" s="235"/>
      <c r="U1274" s="235"/>
      <c r="V1274" s="235"/>
      <c r="W1274" s="235"/>
      <c r="X1274" s="235"/>
      <c r="Y1274" s="235"/>
      <c r="Z1274" s="235"/>
      <c r="AA1274" s="235"/>
      <c r="AB1274" s="235"/>
      <c r="AC1274" s="235"/>
    </row>
    <row r="1275">
      <c r="A1275" s="194" t="s">
        <v>2409</v>
      </c>
      <c r="B1275" s="194">
        <v>105961.0</v>
      </c>
      <c r="C1275" s="192" t="s">
        <v>2410</v>
      </c>
      <c r="D1275" s="192" t="s">
        <v>360</v>
      </c>
      <c r="E1275" s="235"/>
      <c r="F1275" s="235"/>
      <c r="G1275" s="325"/>
      <c r="H1275" s="235"/>
      <c r="I1275" s="235"/>
      <c r="J1275" s="235"/>
      <c r="K1275" s="235"/>
      <c r="L1275" s="235"/>
      <c r="M1275" s="235"/>
      <c r="N1275" s="235"/>
      <c r="O1275" s="235"/>
      <c r="P1275" s="235"/>
      <c r="Q1275" s="235"/>
      <c r="R1275" s="235"/>
      <c r="S1275" s="235"/>
      <c r="T1275" s="235"/>
      <c r="U1275" s="235"/>
      <c r="V1275" s="235"/>
      <c r="W1275" s="235"/>
      <c r="X1275" s="235"/>
      <c r="Y1275" s="235"/>
      <c r="Z1275" s="235"/>
      <c r="AA1275" s="235"/>
      <c r="AB1275" s="235"/>
      <c r="AC1275" s="235"/>
    </row>
    <row r="1276">
      <c r="A1276" s="194" t="s">
        <v>2411</v>
      </c>
      <c r="B1276" s="194">
        <v>105598.0</v>
      </c>
      <c r="C1276" s="192" t="s">
        <v>2412</v>
      </c>
      <c r="D1276" s="192" t="s">
        <v>2164</v>
      </c>
      <c r="E1276" s="235"/>
      <c r="F1276" s="235"/>
      <c r="G1276" s="325"/>
      <c r="H1276" s="235"/>
      <c r="I1276" s="235"/>
      <c r="J1276" s="235"/>
      <c r="K1276" s="235"/>
      <c r="L1276" s="235"/>
      <c r="M1276" s="235"/>
      <c r="N1276" s="235"/>
      <c r="O1276" s="235"/>
      <c r="P1276" s="235"/>
      <c r="Q1276" s="235"/>
      <c r="R1276" s="235"/>
      <c r="S1276" s="235"/>
      <c r="T1276" s="235"/>
      <c r="U1276" s="235"/>
      <c r="V1276" s="235"/>
      <c r="W1276" s="235"/>
      <c r="X1276" s="235"/>
      <c r="Y1276" s="235"/>
      <c r="Z1276" s="235"/>
      <c r="AA1276" s="235"/>
      <c r="AB1276" s="235"/>
      <c r="AC1276" s="235"/>
    </row>
    <row r="1277">
      <c r="A1277" s="194" t="s">
        <v>2413</v>
      </c>
      <c r="B1277" s="194">
        <v>106145.0</v>
      </c>
      <c r="C1277" s="192" t="s">
        <v>2414</v>
      </c>
      <c r="D1277" s="192" t="s">
        <v>2167</v>
      </c>
      <c r="E1277" s="235"/>
      <c r="F1277" s="235"/>
      <c r="G1277" s="325"/>
      <c r="H1277" s="235"/>
      <c r="I1277" s="235"/>
      <c r="J1277" s="235"/>
      <c r="K1277" s="235"/>
      <c r="L1277" s="235"/>
      <c r="M1277" s="235"/>
      <c r="N1277" s="235"/>
      <c r="O1277" s="235"/>
      <c r="P1277" s="235"/>
      <c r="Q1277" s="235"/>
      <c r="R1277" s="235"/>
      <c r="S1277" s="235"/>
      <c r="T1277" s="235"/>
      <c r="U1277" s="235"/>
      <c r="V1277" s="235"/>
      <c r="W1277" s="235"/>
      <c r="X1277" s="235"/>
      <c r="Y1277" s="235"/>
      <c r="Z1277" s="235"/>
      <c r="AA1277" s="235"/>
      <c r="AB1277" s="235"/>
      <c r="AC1277" s="235"/>
    </row>
    <row r="1278">
      <c r="A1278" s="194" t="s">
        <v>2415</v>
      </c>
      <c r="B1278" s="194">
        <v>105220.0</v>
      </c>
      <c r="C1278" s="192" t="s">
        <v>2416</v>
      </c>
      <c r="D1278" s="192" t="s">
        <v>254</v>
      </c>
      <c r="E1278" s="235"/>
      <c r="F1278" s="235"/>
      <c r="G1278" s="325"/>
      <c r="H1278" s="235"/>
      <c r="I1278" s="235"/>
      <c r="J1278" s="235"/>
      <c r="K1278" s="235"/>
      <c r="L1278" s="235"/>
      <c r="M1278" s="235"/>
      <c r="N1278" s="235"/>
      <c r="O1278" s="235"/>
      <c r="P1278" s="235"/>
      <c r="Q1278" s="235"/>
      <c r="R1278" s="235"/>
      <c r="S1278" s="235"/>
      <c r="T1278" s="235"/>
      <c r="U1278" s="235"/>
      <c r="V1278" s="235"/>
      <c r="W1278" s="235"/>
      <c r="X1278" s="235"/>
      <c r="Y1278" s="235"/>
      <c r="Z1278" s="235"/>
      <c r="AA1278" s="235"/>
      <c r="AB1278" s="235"/>
      <c r="AC1278" s="235"/>
    </row>
    <row r="1279">
      <c r="A1279" s="194" t="s">
        <v>2418</v>
      </c>
      <c r="B1279" s="194">
        <v>105366.0</v>
      </c>
      <c r="C1279" s="192" t="s">
        <v>2419</v>
      </c>
      <c r="D1279" s="192" t="s">
        <v>2170</v>
      </c>
      <c r="E1279" s="235"/>
      <c r="F1279" s="235"/>
      <c r="G1279" s="325"/>
      <c r="H1279" s="235"/>
      <c r="I1279" s="235"/>
      <c r="J1279" s="235"/>
      <c r="K1279" s="235"/>
      <c r="L1279" s="235"/>
      <c r="M1279" s="235"/>
      <c r="N1279" s="235"/>
      <c r="O1279" s="235"/>
      <c r="P1279" s="235"/>
      <c r="Q1279" s="235"/>
      <c r="R1279" s="235"/>
      <c r="S1279" s="235"/>
      <c r="T1279" s="235"/>
      <c r="U1279" s="235"/>
      <c r="V1279" s="235"/>
      <c r="W1279" s="235"/>
      <c r="X1279" s="235"/>
      <c r="Y1279" s="235"/>
      <c r="Z1279" s="235"/>
      <c r="AA1279" s="235"/>
      <c r="AB1279" s="235"/>
      <c r="AC1279" s="235"/>
    </row>
    <row r="1280">
      <c r="A1280" s="194" t="s">
        <v>2420</v>
      </c>
      <c r="B1280" s="194">
        <v>105900.0</v>
      </c>
      <c r="C1280" s="192" t="s">
        <v>2421</v>
      </c>
      <c r="D1280" s="192" t="s">
        <v>767</v>
      </c>
      <c r="E1280" s="235"/>
      <c r="F1280" s="235"/>
      <c r="G1280" s="325"/>
      <c r="H1280" s="235"/>
      <c r="I1280" s="235"/>
      <c r="J1280" s="235"/>
      <c r="K1280" s="235"/>
      <c r="L1280" s="235"/>
      <c r="M1280" s="235"/>
      <c r="N1280" s="235"/>
      <c r="O1280" s="235"/>
      <c r="P1280" s="235"/>
      <c r="Q1280" s="235"/>
      <c r="R1280" s="235"/>
      <c r="S1280" s="235"/>
      <c r="T1280" s="235"/>
      <c r="U1280" s="235"/>
      <c r="V1280" s="235"/>
      <c r="W1280" s="235"/>
      <c r="X1280" s="235"/>
      <c r="Y1280" s="235"/>
      <c r="Z1280" s="235"/>
      <c r="AA1280" s="235"/>
      <c r="AB1280" s="235"/>
      <c r="AC1280" s="235"/>
    </row>
    <row r="1281">
      <c r="A1281" s="194" t="s">
        <v>2422</v>
      </c>
      <c r="B1281" s="194">
        <v>105901.0</v>
      </c>
      <c r="C1281" s="192" t="s">
        <v>2423</v>
      </c>
      <c r="D1281" s="192" t="s">
        <v>767</v>
      </c>
      <c r="E1281" s="235"/>
      <c r="F1281" s="235"/>
      <c r="G1281" s="325"/>
      <c r="H1281" s="235"/>
      <c r="I1281" s="235"/>
      <c r="J1281" s="235"/>
      <c r="K1281" s="235"/>
      <c r="L1281" s="235"/>
      <c r="M1281" s="235"/>
      <c r="N1281" s="235"/>
      <c r="O1281" s="235"/>
      <c r="P1281" s="235"/>
      <c r="Q1281" s="235"/>
      <c r="R1281" s="235"/>
      <c r="S1281" s="235"/>
      <c r="T1281" s="235"/>
      <c r="U1281" s="235"/>
      <c r="V1281" s="235"/>
      <c r="W1281" s="235"/>
      <c r="X1281" s="235"/>
      <c r="Y1281" s="235"/>
      <c r="Z1281" s="235"/>
      <c r="AA1281" s="235"/>
      <c r="AB1281" s="235"/>
      <c r="AC1281" s="235"/>
    </row>
    <row r="1282">
      <c r="A1282" s="194" t="s">
        <v>2424</v>
      </c>
      <c r="B1282" s="194">
        <v>106041.0</v>
      </c>
      <c r="C1282" s="192" t="s">
        <v>2425</v>
      </c>
      <c r="D1282" s="192" t="s">
        <v>2175</v>
      </c>
      <c r="E1282" s="235"/>
      <c r="F1282" s="235"/>
      <c r="G1282" s="325"/>
      <c r="H1282" s="235"/>
      <c r="I1282" s="235"/>
      <c r="J1282" s="235"/>
      <c r="K1282" s="235"/>
      <c r="L1282" s="235"/>
      <c r="M1282" s="235"/>
      <c r="N1282" s="235"/>
      <c r="O1282" s="235"/>
      <c r="P1282" s="235"/>
      <c r="Q1282" s="235"/>
      <c r="R1282" s="235"/>
      <c r="S1282" s="235"/>
      <c r="T1282" s="235"/>
      <c r="U1282" s="235"/>
      <c r="V1282" s="235"/>
      <c r="W1282" s="235"/>
      <c r="X1282" s="235"/>
      <c r="Y1282" s="235"/>
      <c r="Z1282" s="235"/>
      <c r="AA1282" s="235"/>
      <c r="AB1282" s="235"/>
      <c r="AC1282" s="235"/>
    </row>
    <row r="1283">
      <c r="A1283" s="194" t="s">
        <v>2426</v>
      </c>
      <c r="B1283" s="194">
        <v>106057.0</v>
      </c>
      <c r="C1283" s="192" t="s">
        <v>2427</v>
      </c>
      <c r="D1283" s="192" t="s">
        <v>2175</v>
      </c>
      <c r="E1283" s="235"/>
      <c r="F1283" s="235"/>
      <c r="G1283" s="325"/>
      <c r="H1283" s="235"/>
      <c r="I1283" s="235"/>
      <c r="J1283" s="235"/>
      <c r="K1283" s="235"/>
      <c r="L1283" s="235"/>
      <c r="M1283" s="235"/>
      <c r="N1283" s="235"/>
      <c r="O1283" s="235"/>
      <c r="P1283" s="235"/>
      <c r="Q1283" s="235"/>
      <c r="R1283" s="235"/>
      <c r="S1283" s="235"/>
      <c r="T1283" s="235"/>
      <c r="U1283" s="235"/>
      <c r="V1283" s="235"/>
      <c r="W1283" s="235"/>
      <c r="X1283" s="235"/>
      <c r="Y1283" s="235"/>
      <c r="Z1283" s="235"/>
      <c r="AA1283" s="235"/>
      <c r="AB1283" s="235"/>
      <c r="AC1283" s="235"/>
    </row>
    <row r="1284">
      <c r="A1284" s="194" t="s">
        <v>2428</v>
      </c>
      <c r="B1284" s="194">
        <v>105921.0</v>
      </c>
      <c r="C1284" s="192" t="s">
        <v>2429</v>
      </c>
      <c r="D1284" s="192" t="s">
        <v>767</v>
      </c>
      <c r="E1284" s="235"/>
      <c r="F1284" s="235"/>
      <c r="G1284" s="325"/>
      <c r="H1284" s="235"/>
      <c r="I1284" s="235"/>
      <c r="J1284" s="235"/>
      <c r="K1284" s="235"/>
      <c r="L1284" s="235"/>
      <c r="M1284" s="235"/>
      <c r="N1284" s="235"/>
      <c r="O1284" s="235"/>
      <c r="P1284" s="235"/>
      <c r="Q1284" s="235"/>
      <c r="R1284" s="235"/>
      <c r="S1284" s="235"/>
      <c r="T1284" s="235"/>
      <c r="U1284" s="235"/>
      <c r="V1284" s="235"/>
      <c r="W1284" s="235"/>
      <c r="X1284" s="235"/>
      <c r="Y1284" s="235"/>
      <c r="Z1284" s="235"/>
      <c r="AA1284" s="235"/>
      <c r="AB1284" s="235"/>
      <c r="AC1284" s="235"/>
    </row>
    <row r="1285">
      <c r="A1285" s="194" t="s">
        <v>2431</v>
      </c>
      <c r="B1285" s="194">
        <v>106040.0</v>
      </c>
      <c r="C1285" s="192" t="s">
        <v>2432</v>
      </c>
      <c r="D1285" s="192" t="s">
        <v>2175</v>
      </c>
      <c r="E1285" s="235"/>
      <c r="F1285" s="235"/>
      <c r="G1285" s="325"/>
      <c r="H1285" s="235"/>
      <c r="I1285" s="235"/>
      <c r="J1285" s="235"/>
      <c r="K1285" s="235"/>
      <c r="L1285" s="235"/>
      <c r="M1285" s="235"/>
      <c r="N1285" s="235"/>
      <c r="O1285" s="235"/>
      <c r="P1285" s="235"/>
      <c r="Q1285" s="235"/>
      <c r="R1285" s="235"/>
      <c r="S1285" s="235"/>
      <c r="T1285" s="235"/>
      <c r="U1285" s="235"/>
      <c r="V1285" s="235"/>
      <c r="W1285" s="235"/>
      <c r="X1285" s="235"/>
      <c r="Y1285" s="235"/>
      <c r="Z1285" s="235"/>
      <c r="AA1285" s="235"/>
      <c r="AB1285" s="235"/>
      <c r="AC1285" s="235"/>
    </row>
    <row r="1286">
      <c r="A1286" s="194" t="s">
        <v>2433</v>
      </c>
      <c r="B1286" s="194">
        <v>105920.0</v>
      </c>
      <c r="C1286" s="192" t="s">
        <v>2434</v>
      </c>
      <c r="D1286" s="192" t="s">
        <v>767</v>
      </c>
      <c r="E1286" s="235"/>
      <c r="F1286" s="235"/>
      <c r="G1286" s="325"/>
      <c r="H1286" s="235"/>
      <c r="I1286" s="235"/>
      <c r="J1286" s="235"/>
      <c r="K1286" s="235"/>
      <c r="L1286" s="235"/>
      <c r="M1286" s="235"/>
      <c r="N1286" s="235"/>
      <c r="O1286" s="235"/>
      <c r="P1286" s="235"/>
      <c r="Q1286" s="235"/>
      <c r="R1286" s="235"/>
      <c r="S1286" s="235"/>
      <c r="T1286" s="235"/>
      <c r="U1286" s="235"/>
      <c r="V1286" s="235"/>
      <c r="W1286" s="235"/>
      <c r="X1286" s="235"/>
      <c r="Y1286" s="235"/>
      <c r="Z1286" s="235"/>
      <c r="AA1286" s="235"/>
      <c r="AB1286" s="235"/>
      <c r="AC1286" s="235"/>
    </row>
    <row r="1287">
      <c r="A1287" s="194" t="s">
        <v>2435</v>
      </c>
      <c r="B1287" s="194">
        <v>105924.0</v>
      </c>
      <c r="C1287" s="192" t="s">
        <v>2436</v>
      </c>
      <c r="D1287" s="192" t="s">
        <v>767</v>
      </c>
      <c r="E1287" s="235"/>
      <c r="F1287" s="235"/>
      <c r="G1287" s="325"/>
      <c r="H1287" s="235"/>
      <c r="I1287" s="235"/>
      <c r="J1287" s="235"/>
      <c r="K1287" s="235"/>
      <c r="L1287" s="235"/>
      <c r="M1287" s="235"/>
      <c r="N1287" s="235"/>
      <c r="O1287" s="235"/>
      <c r="P1287" s="235"/>
      <c r="Q1287" s="235"/>
      <c r="R1287" s="235"/>
      <c r="S1287" s="235"/>
      <c r="T1287" s="235"/>
      <c r="U1287" s="235"/>
      <c r="V1287" s="235"/>
      <c r="W1287" s="235"/>
      <c r="X1287" s="235"/>
      <c r="Y1287" s="235"/>
      <c r="Z1287" s="235"/>
      <c r="AA1287" s="235"/>
      <c r="AB1287" s="235"/>
      <c r="AC1287" s="235"/>
    </row>
    <row r="1288">
      <c r="A1288" s="194" t="s">
        <v>2437</v>
      </c>
      <c r="B1288" s="194">
        <v>106056.0</v>
      </c>
      <c r="C1288" s="192" t="s">
        <v>2438</v>
      </c>
      <c r="D1288" s="192" t="s">
        <v>2175</v>
      </c>
      <c r="E1288" s="235"/>
      <c r="F1288" s="235"/>
      <c r="G1288" s="325"/>
      <c r="H1288" s="235"/>
      <c r="I1288" s="235"/>
      <c r="J1288" s="235"/>
      <c r="K1288" s="235"/>
      <c r="L1288" s="235"/>
      <c r="M1288" s="235"/>
      <c r="N1288" s="235"/>
      <c r="O1288" s="235"/>
      <c r="P1288" s="235"/>
      <c r="Q1288" s="235"/>
      <c r="R1288" s="235"/>
      <c r="S1288" s="235"/>
      <c r="T1288" s="235"/>
      <c r="U1288" s="235"/>
      <c r="V1288" s="235"/>
      <c r="W1288" s="235"/>
      <c r="X1288" s="235"/>
      <c r="Y1288" s="235"/>
      <c r="Z1288" s="235"/>
      <c r="AA1288" s="235"/>
      <c r="AB1288" s="235"/>
      <c r="AC1288" s="235"/>
    </row>
    <row r="1289">
      <c r="A1289" s="194" t="s">
        <v>2439</v>
      </c>
      <c r="B1289" s="194">
        <v>105843.0</v>
      </c>
      <c r="C1289" s="192" t="s">
        <v>2440</v>
      </c>
      <c r="D1289" s="192" t="s">
        <v>61</v>
      </c>
      <c r="E1289" s="235"/>
      <c r="F1289" s="235"/>
      <c r="G1289" s="325"/>
      <c r="H1289" s="235"/>
      <c r="I1289" s="235"/>
      <c r="J1289" s="235"/>
      <c r="K1289" s="235"/>
      <c r="L1289" s="235"/>
      <c r="M1289" s="235"/>
      <c r="N1289" s="235"/>
      <c r="O1289" s="235"/>
      <c r="P1289" s="235"/>
      <c r="Q1289" s="235"/>
      <c r="R1289" s="235"/>
      <c r="S1289" s="235"/>
      <c r="T1289" s="235"/>
      <c r="U1289" s="235"/>
      <c r="V1289" s="235"/>
      <c r="W1289" s="235"/>
      <c r="X1289" s="235"/>
      <c r="Y1289" s="235"/>
      <c r="Z1289" s="235"/>
      <c r="AA1289" s="235"/>
      <c r="AB1289" s="235"/>
      <c r="AC1289" s="235"/>
    </row>
    <row r="1290">
      <c r="A1290" s="194" t="s">
        <v>2441</v>
      </c>
      <c r="B1290" s="194">
        <v>105842.0</v>
      </c>
      <c r="C1290" s="192">
        <v>5.0</v>
      </c>
      <c r="D1290" s="192" t="s">
        <v>61</v>
      </c>
      <c r="E1290" s="235"/>
      <c r="F1290" s="235"/>
      <c r="G1290" s="325"/>
      <c r="H1290" s="235"/>
      <c r="I1290" s="235"/>
      <c r="J1290" s="235"/>
      <c r="K1290" s="235"/>
      <c r="L1290" s="235"/>
      <c r="M1290" s="235"/>
      <c r="N1290" s="235"/>
      <c r="O1290" s="235"/>
      <c r="P1290" s="235"/>
      <c r="Q1290" s="235"/>
      <c r="R1290" s="235"/>
      <c r="S1290" s="235"/>
      <c r="T1290" s="235"/>
      <c r="U1290" s="235"/>
      <c r="V1290" s="235"/>
      <c r="W1290" s="235"/>
      <c r="X1290" s="235"/>
      <c r="Y1290" s="235"/>
      <c r="Z1290" s="235"/>
      <c r="AA1290" s="235"/>
      <c r="AB1290" s="235"/>
      <c r="AC1290" s="235"/>
    </row>
    <row r="1291">
      <c r="A1291" s="194" t="s">
        <v>2442</v>
      </c>
      <c r="B1291" s="194">
        <v>105844.0</v>
      </c>
      <c r="C1291" s="192">
        <v>5.0</v>
      </c>
      <c r="D1291" s="192" t="s">
        <v>61</v>
      </c>
      <c r="E1291" s="235"/>
      <c r="F1291" s="235"/>
      <c r="G1291" s="325"/>
      <c r="H1291" s="235"/>
      <c r="I1291" s="235"/>
      <c r="J1291" s="235"/>
      <c r="K1291" s="235"/>
      <c r="L1291" s="235"/>
      <c r="M1291" s="235"/>
      <c r="N1291" s="235"/>
      <c r="O1291" s="235"/>
      <c r="P1291" s="235"/>
      <c r="Q1291" s="235"/>
      <c r="R1291" s="235"/>
      <c r="S1291" s="235"/>
      <c r="T1291" s="235"/>
      <c r="U1291" s="235"/>
      <c r="V1291" s="235"/>
      <c r="W1291" s="235"/>
      <c r="X1291" s="235"/>
      <c r="Y1291" s="235"/>
      <c r="Z1291" s="235"/>
      <c r="AA1291" s="235"/>
      <c r="AB1291" s="235"/>
      <c r="AC1291" s="235"/>
    </row>
    <row r="1292">
      <c r="A1292" s="194" t="s">
        <v>2443</v>
      </c>
      <c r="B1292" s="194">
        <v>106032.0</v>
      </c>
      <c r="C1292" s="192">
        <v>5.0</v>
      </c>
      <c r="D1292" s="192" t="s">
        <v>767</v>
      </c>
      <c r="E1292" s="235"/>
      <c r="F1292" s="235"/>
      <c r="G1292" s="325"/>
      <c r="H1292" s="235"/>
      <c r="I1292" s="235"/>
      <c r="J1292" s="235"/>
      <c r="K1292" s="235"/>
      <c r="L1292" s="235"/>
      <c r="M1292" s="235"/>
      <c r="N1292" s="235"/>
      <c r="O1292" s="235"/>
      <c r="P1292" s="235"/>
      <c r="Q1292" s="235"/>
      <c r="R1292" s="235"/>
      <c r="S1292" s="235"/>
      <c r="T1292" s="235"/>
      <c r="U1292" s="235"/>
      <c r="V1292" s="235"/>
      <c r="W1292" s="235"/>
      <c r="X1292" s="235"/>
      <c r="Y1292" s="235"/>
      <c r="Z1292" s="235"/>
      <c r="AA1292" s="235"/>
      <c r="AB1292" s="235"/>
      <c r="AC1292" s="235"/>
    </row>
    <row r="1293">
      <c r="A1293" s="194" t="s">
        <v>2444</v>
      </c>
      <c r="B1293" s="194">
        <v>105929.0</v>
      </c>
      <c r="C1293" s="192">
        <v>5.0</v>
      </c>
      <c r="D1293" s="192" t="s">
        <v>767</v>
      </c>
      <c r="E1293" s="235"/>
      <c r="F1293" s="235"/>
      <c r="G1293" s="325"/>
      <c r="H1293" s="235"/>
      <c r="I1293" s="235"/>
      <c r="J1293" s="235"/>
      <c r="K1293" s="235"/>
      <c r="L1293" s="235"/>
      <c r="M1293" s="235"/>
      <c r="N1293" s="235"/>
      <c r="O1293" s="235"/>
      <c r="P1293" s="235"/>
      <c r="Q1293" s="235"/>
      <c r="R1293" s="235"/>
      <c r="S1293" s="235"/>
      <c r="T1293" s="235"/>
      <c r="U1293" s="235"/>
      <c r="V1293" s="235"/>
      <c r="W1293" s="235"/>
      <c r="X1293" s="235"/>
      <c r="Y1293" s="235"/>
      <c r="Z1293" s="235"/>
      <c r="AA1293" s="235"/>
      <c r="AB1293" s="235"/>
      <c r="AC1293" s="235"/>
    </row>
    <row r="1294">
      <c r="A1294" s="194" t="s">
        <v>2445</v>
      </c>
      <c r="B1294" s="194">
        <v>105933.0</v>
      </c>
      <c r="C1294" s="192">
        <v>5.0</v>
      </c>
      <c r="D1294" s="192" t="s">
        <v>767</v>
      </c>
      <c r="E1294" s="235"/>
      <c r="F1294" s="235"/>
      <c r="G1294" s="325"/>
      <c r="H1294" s="235"/>
      <c r="I1294" s="235"/>
      <c r="J1294" s="235"/>
      <c r="K1294" s="235"/>
      <c r="L1294" s="235"/>
      <c r="M1294" s="235"/>
      <c r="N1294" s="235"/>
      <c r="O1294" s="235"/>
      <c r="P1294" s="235"/>
      <c r="Q1294" s="235"/>
      <c r="R1294" s="235"/>
      <c r="S1294" s="235"/>
      <c r="T1294" s="235"/>
      <c r="U1294" s="235"/>
      <c r="V1294" s="235"/>
      <c r="W1294" s="235"/>
      <c r="X1294" s="235"/>
      <c r="Y1294" s="235"/>
      <c r="Z1294" s="235"/>
      <c r="AA1294" s="235"/>
      <c r="AB1294" s="235"/>
      <c r="AC1294" s="235"/>
    </row>
    <row r="1295">
      <c r="A1295" s="194" t="s">
        <v>2446</v>
      </c>
      <c r="B1295" s="194">
        <v>106234.0</v>
      </c>
      <c r="C1295" s="192" t="s">
        <v>2447</v>
      </c>
      <c r="D1295" s="192" t="s">
        <v>254</v>
      </c>
      <c r="E1295" s="235"/>
      <c r="F1295" s="235"/>
      <c r="G1295" s="325"/>
      <c r="H1295" s="235"/>
      <c r="I1295" s="235"/>
      <c r="J1295" s="235"/>
      <c r="K1295" s="235"/>
      <c r="L1295" s="235"/>
      <c r="M1295" s="235"/>
      <c r="N1295" s="235"/>
      <c r="O1295" s="235"/>
      <c r="P1295" s="235"/>
      <c r="Q1295" s="235"/>
      <c r="R1295" s="235"/>
      <c r="S1295" s="235"/>
      <c r="T1295" s="235"/>
      <c r="U1295" s="235"/>
      <c r="V1295" s="235"/>
      <c r="W1295" s="235"/>
      <c r="X1295" s="235"/>
      <c r="Y1295" s="235"/>
      <c r="Z1295" s="235"/>
      <c r="AA1295" s="235"/>
      <c r="AB1295" s="235"/>
      <c r="AC1295" s="235"/>
    </row>
    <row r="1296">
      <c r="A1296" s="194" t="s">
        <v>2448</v>
      </c>
      <c r="B1296" s="194">
        <v>105393.0</v>
      </c>
      <c r="C1296" s="192" t="s">
        <v>2449</v>
      </c>
      <c r="D1296" s="192" t="s">
        <v>1140</v>
      </c>
      <c r="E1296" s="235"/>
      <c r="F1296" s="235"/>
      <c r="G1296" s="325"/>
      <c r="H1296" s="235"/>
      <c r="I1296" s="235"/>
      <c r="J1296" s="235"/>
      <c r="K1296" s="235"/>
      <c r="L1296" s="235"/>
      <c r="M1296" s="235"/>
      <c r="N1296" s="235"/>
      <c r="O1296" s="235"/>
      <c r="P1296" s="235"/>
      <c r="Q1296" s="235"/>
      <c r="R1296" s="235"/>
      <c r="S1296" s="235"/>
      <c r="T1296" s="235"/>
      <c r="U1296" s="235"/>
      <c r="V1296" s="235"/>
      <c r="W1296" s="235"/>
      <c r="X1296" s="235"/>
      <c r="Y1296" s="235"/>
      <c r="Z1296" s="235"/>
      <c r="AA1296" s="235"/>
      <c r="AB1296" s="235"/>
      <c r="AC1296" s="235"/>
    </row>
    <row r="1297">
      <c r="A1297" s="194" t="s">
        <v>2450</v>
      </c>
      <c r="B1297" s="194">
        <v>105393.0</v>
      </c>
      <c r="C1297" s="192"/>
      <c r="D1297" s="192" t="s">
        <v>1140</v>
      </c>
      <c r="E1297" s="235"/>
      <c r="F1297" s="235"/>
      <c r="G1297" s="325"/>
      <c r="H1297" s="235"/>
      <c r="I1297" s="235"/>
      <c r="J1297" s="235"/>
      <c r="K1297" s="235"/>
      <c r="L1297" s="235"/>
      <c r="M1297" s="235"/>
      <c r="N1297" s="235"/>
      <c r="O1297" s="235"/>
      <c r="P1297" s="235"/>
      <c r="Q1297" s="235"/>
      <c r="R1297" s="235"/>
      <c r="S1297" s="235"/>
      <c r="T1297" s="235"/>
      <c r="U1297" s="235"/>
      <c r="V1297" s="235"/>
      <c r="W1297" s="235"/>
      <c r="X1297" s="235"/>
      <c r="Y1297" s="235"/>
      <c r="Z1297" s="235"/>
      <c r="AA1297" s="235"/>
      <c r="AB1297" s="235"/>
      <c r="AC1297" s="235"/>
    </row>
    <row r="1298">
      <c r="A1298" s="194" t="s">
        <v>2451</v>
      </c>
      <c r="B1298" s="194">
        <v>104789.0</v>
      </c>
      <c r="C1298" s="192" t="s">
        <v>2295</v>
      </c>
      <c r="D1298" s="192" t="s">
        <v>254</v>
      </c>
      <c r="E1298" s="235"/>
      <c r="F1298" s="235"/>
      <c r="G1298" s="325"/>
      <c r="H1298" s="235"/>
      <c r="I1298" s="235"/>
      <c r="J1298" s="235"/>
      <c r="K1298" s="235"/>
      <c r="L1298" s="235"/>
      <c r="M1298" s="235"/>
      <c r="N1298" s="235"/>
      <c r="O1298" s="235"/>
      <c r="P1298" s="235"/>
      <c r="Q1298" s="235"/>
      <c r="R1298" s="235"/>
      <c r="S1298" s="235"/>
      <c r="T1298" s="235"/>
      <c r="U1298" s="235"/>
      <c r="V1298" s="235"/>
      <c r="W1298" s="235"/>
      <c r="X1298" s="235"/>
      <c r="Y1298" s="235"/>
      <c r="Z1298" s="235"/>
      <c r="AA1298" s="235"/>
      <c r="AB1298" s="235"/>
      <c r="AC1298" s="235"/>
    </row>
    <row r="1299">
      <c r="A1299" s="194" t="s">
        <v>2452</v>
      </c>
      <c r="B1299" s="194">
        <v>105751.0</v>
      </c>
      <c r="C1299" s="192" t="s">
        <v>2453</v>
      </c>
      <c r="D1299" s="192" t="s">
        <v>254</v>
      </c>
      <c r="E1299" s="235"/>
      <c r="F1299" s="235"/>
      <c r="G1299" s="325"/>
      <c r="H1299" s="235"/>
      <c r="I1299" s="235"/>
      <c r="J1299" s="235"/>
      <c r="K1299" s="235"/>
      <c r="L1299" s="235"/>
      <c r="M1299" s="235"/>
      <c r="N1299" s="235"/>
      <c r="O1299" s="235"/>
      <c r="P1299" s="235"/>
      <c r="Q1299" s="235"/>
      <c r="R1299" s="235"/>
      <c r="S1299" s="235"/>
      <c r="T1299" s="235"/>
      <c r="U1299" s="235"/>
      <c r="V1299" s="235"/>
      <c r="W1299" s="235"/>
      <c r="X1299" s="235"/>
      <c r="Y1299" s="235"/>
      <c r="Z1299" s="235"/>
      <c r="AA1299" s="235"/>
      <c r="AB1299" s="235"/>
      <c r="AC1299" s="235"/>
    </row>
    <row r="1300">
      <c r="A1300" s="194" t="s">
        <v>2454</v>
      </c>
      <c r="B1300" s="194">
        <v>105967.0</v>
      </c>
      <c r="C1300" s="192" t="s">
        <v>2455</v>
      </c>
      <c r="D1300" s="192" t="s">
        <v>254</v>
      </c>
      <c r="E1300" s="235"/>
      <c r="F1300" s="235"/>
      <c r="G1300" s="325"/>
      <c r="H1300" s="235"/>
      <c r="I1300" s="235"/>
      <c r="J1300" s="235"/>
      <c r="K1300" s="235"/>
      <c r="L1300" s="235"/>
      <c r="M1300" s="235"/>
      <c r="N1300" s="235"/>
      <c r="O1300" s="235"/>
      <c r="P1300" s="235"/>
      <c r="Q1300" s="235"/>
      <c r="R1300" s="235"/>
      <c r="S1300" s="235"/>
      <c r="T1300" s="235"/>
      <c r="U1300" s="235"/>
      <c r="V1300" s="235"/>
      <c r="W1300" s="235"/>
      <c r="X1300" s="235"/>
      <c r="Y1300" s="235"/>
      <c r="Z1300" s="235"/>
      <c r="AA1300" s="235"/>
      <c r="AB1300" s="235"/>
      <c r="AC1300" s="235"/>
    </row>
    <row r="1301">
      <c r="A1301" s="194" t="s">
        <v>2456</v>
      </c>
      <c r="B1301" s="194">
        <v>105751.0</v>
      </c>
      <c r="C1301" s="192" t="s">
        <v>2453</v>
      </c>
      <c r="D1301" s="192" t="s">
        <v>113</v>
      </c>
      <c r="E1301" s="235"/>
      <c r="F1301" s="235"/>
      <c r="G1301" s="325"/>
      <c r="H1301" s="235"/>
      <c r="I1301" s="235"/>
      <c r="J1301" s="235"/>
      <c r="K1301" s="235"/>
      <c r="L1301" s="235"/>
      <c r="M1301" s="235"/>
      <c r="N1301" s="235"/>
      <c r="O1301" s="235"/>
      <c r="P1301" s="235"/>
      <c r="Q1301" s="235"/>
      <c r="R1301" s="235"/>
      <c r="S1301" s="235"/>
      <c r="T1301" s="235"/>
      <c r="U1301" s="235"/>
      <c r="V1301" s="235"/>
      <c r="W1301" s="235"/>
      <c r="X1301" s="235"/>
      <c r="Y1301" s="235"/>
      <c r="Z1301" s="235"/>
      <c r="AA1301" s="235"/>
      <c r="AB1301" s="235"/>
      <c r="AC1301" s="235"/>
    </row>
    <row r="1302">
      <c r="A1302" s="194" t="s">
        <v>2457</v>
      </c>
      <c r="B1302" s="194">
        <v>105859.0</v>
      </c>
      <c r="C1302" s="192" t="s">
        <v>2458</v>
      </c>
      <c r="D1302" s="192" t="s">
        <v>144</v>
      </c>
      <c r="E1302" s="235"/>
      <c r="F1302" s="235"/>
      <c r="G1302" s="325"/>
      <c r="H1302" s="235"/>
      <c r="I1302" s="235"/>
      <c r="J1302" s="235"/>
      <c r="K1302" s="235"/>
      <c r="L1302" s="235"/>
      <c r="M1302" s="235"/>
      <c r="N1302" s="235"/>
      <c r="O1302" s="235"/>
      <c r="P1302" s="235"/>
      <c r="Q1302" s="235"/>
      <c r="R1302" s="235"/>
      <c r="S1302" s="235"/>
      <c r="T1302" s="235"/>
      <c r="U1302" s="235"/>
      <c r="V1302" s="235"/>
      <c r="W1302" s="235"/>
      <c r="X1302" s="235"/>
      <c r="Y1302" s="235"/>
      <c r="Z1302" s="235"/>
      <c r="AA1302" s="235"/>
      <c r="AB1302" s="235"/>
      <c r="AC1302" s="235"/>
    </row>
    <row r="1303">
      <c r="A1303" s="194" t="s">
        <v>2459</v>
      </c>
      <c r="B1303" s="194">
        <v>105879.0</v>
      </c>
      <c r="C1303" s="192" t="s">
        <v>2460</v>
      </c>
      <c r="D1303" s="192" t="s">
        <v>87</v>
      </c>
      <c r="E1303" s="235"/>
      <c r="F1303" s="235"/>
      <c r="G1303" s="325"/>
      <c r="H1303" s="235"/>
      <c r="I1303" s="235"/>
      <c r="J1303" s="235"/>
      <c r="K1303" s="235"/>
      <c r="L1303" s="235"/>
      <c r="M1303" s="235"/>
      <c r="N1303" s="235"/>
      <c r="O1303" s="235"/>
      <c r="P1303" s="235"/>
      <c r="Q1303" s="235"/>
      <c r="R1303" s="235"/>
      <c r="S1303" s="235"/>
      <c r="T1303" s="235"/>
      <c r="U1303" s="235"/>
      <c r="V1303" s="235"/>
      <c r="W1303" s="235"/>
      <c r="X1303" s="235"/>
      <c r="Y1303" s="235"/>
      <c r="Z1303" s="235"/>
      <c r="AA1303" s="235"/>
      <c r="AB1303" s="235"/>
      <c r="AC1303" s="235"/>
    </row>
    <row r="1304">
      <c r="A1304" s="194" t="s">
        <v>2461</v>
      </c>
      <c r="B1304" s="194">
        <v>105590.0</v>
      </c>
      <c r="C1304" s="192" t="s">
        <v>2462</v>
      </c>
      <c r="D1304" s="192" t="s">
        <v>427</v>
      </c>
      <c r="E1304" s="235"/>
      <c r="F1304" s="235"/>
      <c r="G1304" s="325"/>
      <c r="H1304" s="235"/>
      <c r="I1304" s="235"/>
      <c r="J1304" s="235"/>
      <c r="K1304" s="235"/>
      <c r="L1304" s="235"/>
      <c r="M1304" s="235"/>
      <c r="N1304" s="235"/>
      <c r="O1304" s="235"/>
      <c r="P1304" s="235"/>
      <c r="Q1304" s="235"/>
      <c r="R1304" s="235"/>
      <c r="S1304" s="235"/>
      <c r="T1304" s="235"/>
      <c r="U1304" s="235"/>
      <c r="V1304" s="235"/>
      <c r="W1304" s="235"/>
      <c r="X1304" s="235"/>
      <c r="Y1304" s="235"/>
      <c r="Z1304" s="235"/>
      <c r="AA1304" s="235"/>
      <c r="AB1304" s="235"/>
      <c r="AC1304" s="235"/>
    </row>
    <row r="1305">
      <c r="A1305" s="194" t="s">
        <v>2463</v>
      </c>
      <c r="B1305" s="194">
        <v>106301.0</v>
      </c>
      <c r="C1305" s="192" t="s">
        <v>2464</v>
      </c>
      <c r="D1305" s="192" t="s">
        <v>2167</v>
      </c>
      <c r="E1305" s="235"/>
      <c r="F1305" s="235"/>
      <c r="G1305" s="325"/>
      <c r="H1305" s="235"/>
      <c r="I1305" s="235"/>
      <c r="J1305" s="235"/>
      <c r="K1305" s="235"/>
      <c r="L1305" s="235"/>
      <c r="M1305" s="235"/>
      <c r="N1305" s="235"/>
      <c r="O1305" s="235"/>
      <c r="P1305" s="235"/>
      <c r="Q1305" s="235"/>
      <c r="R1305" s="235"/>
      <c r="S1305" s="235"/>
      <c r="T1305" s="235"/>
      <c r="U1305" s="235"/>
      <c r="V1305" s="235"/>
      <c r="W1305" s="235"/>
      <c r="X1305" s="235"/>
      <c r="Y1305" s="235"/>
      <c r="Z1305" s="235"/>
      <c r="AA1305" s="235"/>
      <c r="AB1305" s="235"/>
      <c r="AC1305" s="235"/>
    </row>
    <row r="1306">
      <c r="A1306" s="194" t="s">
        <v>2465</v>
      </c>
      <c r="B1306" s="194">
        <v>105960.0</v>
      </c>
      <c r="C1306" s="192" t="s">
        <v>2466</v>
      </c>
      <c r="D1306" s="192" t="s">
        <v>360</v>
      </c>
      <c r="E1306" s="235"/>
      <c r="F1306" s="235"/>
      <c r="G1306" s="325"/>
      <c r="H1306" s="235"/>
      <c r="I1306" s="235"/>
      <c r="J1306" s="235"/>
      <c r="K1306" s="235"/>
      <c r="L1306" s="235"/>
      <c r="M1306" s="235"/>
      <c r="N1306" s="235"/>
      <c r="O1306" s="235"/>
      <c r="P1306" s="235"/>
      <c r="Q1306" s="235"/>
      <c r="R1306" s="235"/>
      <c r="S1306" s="235"/>
      <c r="T1306" s="235"/>
      <c r="U1306" s="235"/>
      <c r="V1306" s="235"/>
      <c r="W1306" s="235"/>
      <c r="X1306" s="235"/>
      <c r="Y1306" s="235"/>
      <c r="Z1306" s="235"/>
      <c r="AA1306" s="235"/>
      <c r="AB1306" s="235"/>
      <c r="AC1306" s="235"/>
    </row>
    <row r="1307">
      <c r="A1307" s="194" t="s">
        <v>2467</v>
      </c>
      <c r="B1307" s="194">
        <v>106021.0</v>
      </c>
      <c r="C1307" s="192" t="s">
        <v>2468</v>
      </c>
      <c r="D1307" s="192" t="s">
        <v>360</v>
      </c>
      <c r="E1307" s="235"/>
      <c r="F1307" s="235"/>
      <c r="G1307" s="325"/>
      <c r="H1307" s="235"/>
      <c r="I1307" s="235"/>
      <c r="J1307" s="235"/>
      <c r="K1307" s="235"/>
      <c r="L1307" s="235"/>
      <c r="M1307" s="235"/>
      <c r="N1307" s="235"/>
      <c r="O1307" s="235"/>
      <c r="P1307" s="235"/>
      <c r="Q1307" s="235"/>
      <c r="R1307" s="235"/>
      <c r="S1307" s="235"/>
      <c r="T1307" s="235"/>
      <c r="U1307" s="235"/>
      <c r="V1307" s="235"/>
      <c r="W1307" s="235"/>
      <c r="X1307" s="235"/>
      <c r="Y1307" s="235"/>
      <c r="Z1307" s="235"/>
      <c r="AA1307" s="235"/>
      <c r="AB1307" s="235"/>
      <c r="AC1307" s="235"/>
    </row>
    <row r="1308">
      <c r="A1308" s="194" t="s">
        <v>2469</v>
      </c>
      <c r="B1308" s="194">
        <v>106064.0</v>
      </c>
      <c r="C1308" s="192" t="s">
        <v>2470</v>
      </c>
      <c r="D1308" s="192" t="s">
        <v>340</v>
      </c>
      <c r="E1308" s="235"/>
      <c r="F1308" s="235"/>
      <c r="G1308" s="325"/>
      <c r="H1308" s="235"/>
      <c r="I1308" s="235"/>
      <c r="J1308" s="235"/>
      <c r="K1308" s="235"/>
      <c r="L1308" s="235"/>
      <c r="M1308" s="235"/>
      <c r="N1308" s="235"/>
      <c r="O1308" s="235"/>
      <c r="P1308" s="235"/>
      <c r="Q1308" s="235"/>
      <c r="R1308" s="235"/>
      <c r="S1308" s="235"/>
      <c r="T1308" s="235"/>
      <c r="U1308" s="235"/>
      <c r="V1308" s="235"/>
      <c r="W1308" s="235"/>
      <c r="X1308" s="235"/>
      <c r="Y1308" s="235"/>
      <c r="Z1308" s="235"/>
      <c r="AA1308" s="235"/>
      <c r="AB1308" s="235"/>
      <c r="AC1308" s="235"/>
    </row>
    <row r="1309">
      <c r="A1309" s="194" t="s">
        <v>2471</v>
      </c>
      <c r="B1309" s="194">
        <v>105997.0</v>
      </c>
      <c r="C1309" s="192" t="s">
        <v>2472</v>
      </c>
      <c r="D1309" s="192" t="s">
        <v>2176</v>
      </c>
      <c r="E1309" s="235"/>
      <c r="F1309" s="235"/>
      <c r="G1309" s="325"/>
      <c r="H1309" s="235"/>
      <c r="I1309" s="235"/>
      <c r="J1309" s="235"/>
      <c r="K1309" s="235"/>
      <c r="L1309" s="235"/>
      <c r="M1309" s="235"/>
      <c r="N1309" s="235"/>
      <c r="O1309" s="235"/>
      <c r="P1309" s="235"/>
      <c r="Q1309" s="235"/>
      <c r="R1309" s="235"/>
      <c r="S1309" s="235"/>
      <c r="T1309" s="235"/>
      <c r="U1309" s="235"/>
      <c r="V1309" s="235"/>
      <c r="W1309" s="235"/>
      <c r="X1309" s="235"/>
      <c r="Y1309" s="235"/>
      <c r="Z1309" s="235"/>
      <c r="AA1309" s="235"/>
      <c r="AB1309" s="235"/>
      <c r="AC1309" s="235"/>
    </row>
    <row r="1310">
      <c r="A1310" s="194" t="s">
        <v>2473</v>
      </c>
      <c r="B1310" s="194">
        <v>106310.0</v>
      </c>
      <c r="C1310" s="192" t="s">
        <v>2474</v>
      </c>
      <c r="D1310" s="192" t="s">
        <v>2176</v>
      </c>
      <c r="E1310" s="235"/>
      <c r="F1310" s="235"/>
      <c r="G1310" s="325"/>
      <c r="H1310" s="235"/>
      <c r="I1310" s="235"/>
      <c r="J1310" s="235"/>
      <c r="K1310" s="235"/>
      <c r="L1310" s="235"/>
      <c r="M1310" s="235"/>
      <c r="N1310" s="235"/>
      <c r="O1310" s="235"/>
      <c r="P1310" s="235"/>
      <c r="Q1310" s="235"/>
      <c r="R1310" s="235"/>
      <c r="S1310" s="235"/>
      <c r="T1310" s="235"/>
      <c r="U1310" s="235"/>
      <c r="V1310" s="235"/>
      <c r="W1310" s="235"/>
      <c r="X1310" s="235"/>
      <c r="Y1310" s="235"/>
      <c r="Z1310" s="235"/>
      <c r="AA1310" s="235"/>
      <c r="AB1310" s="235"/>
      <c r="AC1310" s="235"/>
    </row>
    <row r="1311">
      <c r="A1311" s="194" t="s">
        <v>2475</v>
      </c>
      <c r="B1311" s="194">
        <v>106311.0</v>
      </c>
      <c r="C1311" s="192" t="s">
        <v>2476</v>
      </c>
      <c r="D1311" s="192" t="s">
        <v>2176</v>
      </c>
      <c r="E1311" s="235"/>
      <c r="F1311" s="235"/>
      <c r="G1311" s="325"/>
      <c r="H1311" s="235"/>
      <c r="I1311" s="235"/>
      <c r="J1311" s="235"/>
      <c r="K1311" s="235"/>
      <c r="L1311" s="235"/>
      <c r="M1311" s="235"/>
      <c r="N1311" s="235"/>
      <c r="O1311" s="235"/>
      <c r="P1311" s="235"/>
      <c r="Q1311" s="235"/>
      <c r="R1311" s="235"/>
      <c r="S1311" s="235"/>
      <c r="T1311" s="235"/>
      <c r="U1311" s="235"/>
      <c r="V1311" s="235"/>
      <c r="W1311" s="235"/>
      <c r="X1311" s="235"/>
      <c r="Y1311" s="235"/>
      <c r="Z1311" s="235"/>
      <c r="AA1311" s="235"/>
      <c r="AB1311" s="235"/>
      <c r="AC1311" s="235"/>
    </row>
    <row r="1312">
      <c r="A1312" s="194" t="s">
        <v>2477</v>
      </c>
      <c r="B1312" s="194">
        <v>106238.0</v>
      </c>
      <c r="C1312" s="192" t="s">
        <v>2478</v>
      </c>
      <c r="D1312" s="192" t="s">
        <v>326</v>
      </c>
      <c r="E1312" s="235"/>
      <c r="F1312" s="235"/>
      <c r="G1312" s="325"/>
      <c r="H1312" s="235"/>
      <c r="I1312" s="235"/>
      <c r="J1312" s="235"/>
      <c r="K1312" s="235"/>
      <c r="L1312" s="235"/>
      <c r="M1312" s="235"/>
      <c r="N1312" s="235"/>
      <c r="O1312" s="235"/>
      <c r="P1312" s="235"/>
      <c r="Q1312" s="235"/>
      <c r="R1312" s="235"/>
      <c r="S1312" s="235"/>
      <c r="T1312" s="235"/>
      <c r="U1312" s="235"/>
      <c r="V1312" s="235"/>
      <c r="W1312" s="235"/>
      <c r="X1312" s="235"/>
      <c r="Y1312" s="235"/>
      <c r="Z1312" s="235"/>
      <c r="AA1312" s="235"/>
      <c r="AB1312" s="235"/>
      <c r="AC1312" s="235"/>
    </row>
    <row r="1313">
      <c r="A1313" s="194" t="s">
        <v>2479</v>
      </c>
      <c r="B1313" s="194">
        <v>106236.0</v>
      </c>
      <c r="C1313" s="192" t="s">
        <v>2480</v>
      </c>
      <c r="D1313" s="192" t="s">
        <v>2179</v>
      </c>
      <c r="E1313" s="235"/>
      <c r="F1313" s="235"/>
      <c r="G1313" s="325"/>
      <c r="H1313" s="235"/>
      <c r="I1313" s="235"/>
      <c r="J1313" s="235"/>
      <c r="K1313" s="235"/>
      <c r="L1313" s="235"/>
      <c r="M1313" s="235"/>
      <c r="N1313" s="235"/>
      <c r="O1313" s="235"/>
      <c r="P1313" s="235"/>
      <c r="Q1313" s="235"/>
      <c r="R1313" s="235"/>
      <c r="S1313" s="235"/>
      <c r="T1313" s="235"/>
      <c r="U1313" s="235"/>
      <c r="V1313" s="235"/>
      <c r="W1313" s="235"/>
      <c r="X1313" s="235"/>
      <c r="Y1313" s="235"/>
      <c r="Z1313" s="235"/>
      <c r="AA1313" s="235"/>
      <c r="AB1313" s="235"/>
      <c r="AC1313" s="235"/>
    </row>
    <row r="1314">
      <c r="A1314" s="194"/>
      <c r="B1314" s="194">
        <v>106237.0</v>
      </c>
      <c r="C1314" s="192" t="s">
        <v>2481</v>
      </c>
      <c r="D1314" s="192" t="s">
        <v>2179</v>
      </c>
      <c r="E1314" s="235"/>
      <c r="F1314" s="235"/>
      <c r="G1314" s="325"/>
      <c r="H1314" s="235"/>
      <c r="I1314" s="235"/>
      <c r="J1314" s="235"/>
      <c r="K1314" s="235"/>
      <c r="L1314" s="235"/>
      <c r="M1314" s="235"/>
      <c r="N1314" s="235"/>
      <c r="O1314" s="235"/>
      <c r="P1314" s="235"/>
      <c r="Q1314" s="235"/>
      <c r="R1314" s="235"/>
      <c r="S1314" s="235"/>
      <c r="T1314" s="235"/>
      <c r="U1314" s="235"/>
      <c r="V1314" s="235"/>
      <c r="W1314" s="235"/>
      <c r="X1314" s="235"/>
      <c r="Y1314" s="235"/>
      <c r="Z1314" s="235"/>
      <c r="AA1314" s="235"/>
      <c r="AB1314" s="235"/>
      <c r="AC1314" s="235"/>
    </row>
    <row r="1315">
      <c r="A1315" s="194" t="s">
        <v>2482</v>
      </c>
      <c r="B1315" s="194">
        <v>106363.0</v>
      </c>
      <c r="C1315" s="192" t="s">
        <v>2483</v>
      </c>
      <c r="D1315" s="192" t="s">
        <v>602</v>
      </c>
      <c r="E1315" s="235"/>
      <c r="F1315" s="235"/>
      <c r="G1315" s="325"/>
      <c r="H1315" s="235"/>
      <c r="I1315" s="235"/>
      <c r="J1315" s="235"/>
      <c r="K1315" s="235"/>
      <c r="L1315" s="235"/>
      <c r="M1315" s="235"/>
      <c r="N1315" s="235"/>
      <c r="O1315" s="235"/>
      <c r="P1315" s="235"/>
      <c r="Q1315" s="235"/>
      <c r="R1315" s="235"/>
      <c r="S1315" s="235"/>
      <c r="T1315" s="235"/>
      <c r="U1315" s="235"/>
      <c r="V1315" s="235"/>
      <c r="W1315" s="235"/>
      <c r="X1315" s="235"/>
      <c r="Y1315" s="235"/>
      <c r="Z1315" s="235"/>
      <c r="AA1315" s="235"/>
      <c r="AB1315" s="235"/>
      <c r="AC1315" s="235"/>
    </row>
    <row r="1316">
      <c r="A1316" s="194" t="s">
        <v>2484</v>
      </c>
      <c r="B1316" s="194">
        <v>105972.0</v>
      </c>
      <c r="C1316" s="192" t="s">
        <v>2485</v>
      </c>
      <c r="D1316" s="192" t="s">
        <v>2080</v>
      </c>
      <c r="E1316" s="235"/>
      <c r="F1316" s="235"/>
      <c r="G1316" s="325"/>
      <c r="H1316" s="235"/>
      <c r="I1316" s="235"/>
      <c r="J1316" s="235"/>
      <c r="K1316" s="235"/>
      <c r="L1316" s="235"/>
      <c r="M1316" s="235"/>
      <c r="N1316" s="235"/>
      <c r="O1316" s="235"/>
      <c r="P1316" s="235"/>
      <c r="Q1316" s="235"/>
      <c r="R1316" s="235"/>
      <c r="S1316" s="235"/>
      <c r="T1316" s="235"/>
      <c r="U1316" s="235"/>
      <c r="V1316" s="235"/>
      <c r="W1316" s="235"/>
      <c r="X1316" s="235"/>
      <c r="Y1316" s="235"/>
      <c r="Z1316" s="235"/>
      <c r="AA1316" s="235"/>
      <c r="AB1316" s="235"/>
      <c r="AC1316" s="235"/>
    </row>
    <row r="1317">
      <c r="A1317" s="194" t="s">
        <v>2486</v>
      </c>
      <c r="B1317" s="194">
        <v>105701.0</v>
      </c>
      <c r="C1317" s="192" t="s">
        <v>2487</v>
      </c>
      <c r="D1317" s="192" t="s">
        <v>2080</v>
      </c>
      <c r="E1317" s="235"/>
      <c r="F1317" s="235"/>
      <c r="G1317" s="325"/>
      <c r="H1317" s="235"/>
      <c r="I1317" s="235"/>
      <c r="J1317" s="235"/>
      <c r="K1317" s="235"/>
      <c r="L1317" s="235"/>
      <c r="M1317" s="235"/>
      <c r="N1317" s="235"/>
      <c r="O1317" s="235"/>
      <c r="P1317" s="235"/>
      <c r="Q1317" s="235"/>
      <c r="R1317" s="235"/>
      <c r="S1317" s="235"/>
      <c r="T1317" s="235"/>
      <c r="U1317" s="235"/>
      <c r="V1317" s="235"/>
      <c r="W1317" s="235"/>
      <c r="X1317" s="235"/>
      <c r="Y1317" s="235"/>
      <c r="Z1317" s="235"/>
      <c r="AA1317" s="235"/>
      <c r="AB1317" s="235"/>
      <c r="AC1317" s="235"/>
    </row>
    <row r="1318">
      <c r="A1318" s="194" t="s">
        <v>2488</v>
      </c>
      <c r="B1318" s="194">
        <v>105701.0</v>
      </c>
      <c r="C1318" s="192" t="s">
        <v>2487</v>
      </c>
      <c r="D1318" s="192" t="s">
        <v>646</v>
      </c>
      <c r="E1318" s="235"/>
      <c r="F1318" s="235"/>
      <c r="G1318" s="325"/>
      <c r="H1318" s="235"/>
      <c r="I1318" s="235"/>
      <c r="J1318" s="235"/>
      <c r="K1318" s="235"/>
      <c r="L1318" s="235"/>
      <c r="M1318" s="235"/>
      <c r="N1318" s="235"/>
      <c r="O1318" s="235"/>
      <c r="P1318" s="235"/>
      <c r="Q1318" s="235"/>
      <c r="R1318" s="235"/>
      <c r="S1318" s="235"/>
      <c r="T1318" s="235"/>
      <c r="U1318" s="235"/>
      <c r="V1318" s="235"/>
      <c r="W1318" s="235"/>
      <c r="X1318" s="235"/>
      <c r="Y1318" s="235"/>
      <c r="Z1318" s="235"/>
      <c r="AA1318" s="235"/>
      <c r="AB1318" s="235"/>
      <c r="AC1318" s="235"/>
    </row>
    <row r="1319">
      <c r="A1319" s="194" t="s">
        <v>2489</v>
      </c>
      <c r="B1319" s="194">
        <v>105793.0</v>
      </c>
      <c r="C1319" s="192" t="s">
        <v>2490</v>
      </c>
      <c r="D1319" s="192" t="s">
        <v>646</v>
      </c>
      <c r="E1319" s="235"/>
      <c r="F1319" s="235"/>
      <c r="G1319" s="325"/>
      <c r="H1319" s="235"/>
      <c r="I1319" s="235"/>
      <c r="J1319" s="235"/>
      <c r="K1319" s="235"/>
      <c r="L1319" s="235"/>
      <c r="M1319" s="235"/>
      <c r="N1319" s="235"/>
      <c r="O1319" s="235"/>
      <c r="P1319" s="235"/>
      <c r="Q1319" s="235"/>
      <c r="R1319" s="235"/>
      <c r="S1319" s="235"/>
      <c r="T1319" s="235"/>
      <c r="U1319" s="235"/>
      <c r="V1319" s="235"/>
      <c r="W1319" s="235"/>
      <c r="X1319" s="235"/>
      <c r="Y1319" s="235"/>
      <c r="Z1319" s="235"/>
      <c r="AA1319" s="235"/>
      <c r="AB1319" s="235"/>
      <c r="AC1319" s="235"/>
    </row>
    <row r="1320">
      <c r="A1320" s="194" t="s">
        <v>2491</v>
      </c>
      <c r="B1320" s="194">
        <v>105655.0</v>
      </c>
      <c r="C1320" s="192" t="s">
        <v>2492</v>
      </c>
      <c r="D1320" s="192" t="s">
        <v>2080</v>
      </c>
      <c r="E1320" s="235"/>
      <c r="F1320" s="235"/>
      <c r="G1320" s="325"/>
      <c r="H1320" s="235"/>
      <c r="I1320" s="235"/>
      <c r="J1320" s="235"/>
      <c r="K1320" s="235"/>
      <c r="L1320" s="235"/>
      <c r="M1320" s="235"/>
      <c r="N1320" s="235"/>
      <c r="O1320" s="235"/>
      <c r="P1320" s="235"/>
      <c r="Q1320" s="235"/>
      <c r="R1320" s="235"/>
      <c r="S1320" s="235"/>
      <c r="T1320" s="235"/>
      <c r="U1320" s="235"/>
      <c r="V1320" s="235"/>
      <c r="W1320" s="235"/>
      <c r="X1320" s="235"/>
      <c r="Y1320" s="235"/>
      <c r="Z1320" s="235"/>
      <c r="AA1320" s="235"/>
      <c r="AB1320" s="235"/>
      <c r="AC1320" s="235"/>
    </row>
    <row r="1321">
      <c r="A1321" s="194" t="s">
        <v>2488</v>
      </c>
      <c r="B1321" s="194">
        <v>105701.0</v>
      </c>
      <c r="C1321" s="192" t="s">
        <v>2487</v>
      </c>
      <c r="D1321" s="192" t="s">
        <v>646</v>
      </c>
      <c r="E1321" s="235"/>
      <c r="F1321" s="235"/>
      <c r="G1321" s="325"/>
      <c r="H1321" s="235"/>
      <c r="I1321" s="235"/>
      <c r="J1321" s="235"/>
      <c r="K1321" s="235"/>
      <c r="L1321" s="235"/>
      <c r="M1321" s="235"/>
      <c r="N1321" s="235"/>
      <c r="O1321" s="235"/>
      <c r="P1321" s="235"/>
      <c r="Q1321" s="235"/>
      <c r="R1321" s="235"/>
      <c r="S1321" s="235"/>
      <c r="T1321" s="235"/>
      <c r="U1321" s="235"/>
      <c r="V1321" s="235"/>
      <c r="W1321" s="235"/>
      <c r="X1321" s="235"/>
      <c r="Y1321" s="235"/>
      <c r="Z1321" s="235"/>
      <c r="AA1321" s="235"/>
      <c r="AB1321" s="235"/>
      <c r="AC1321" s="235"/>
    </row>
    <row r="1322">
      <c r="A1322" s="194" t="s">
        <v>2493</v>
      </c>
      <c r="B1322" s="194">
        <v>105654.0</v>
      </c>
      <c r="C1322" s="192" t="s">
        <v>2494</v>
      </c>
      <c r="D1322" s="192" t="s">
        <v>2080</v>
      </c>
      <c r="E1322" s="235"/>
      <c r="F1322" s="235"/>
      <c r="G1322" s="325"/>
      <c r="H1322" s="235"/>
      <c r="I1322" s="235"/>
      <c r="J1322" s="235"/>
      <c r="K1322" s="235"/>
      <c r="L1322" s="235"/>
      <c r="M1322" s="235"/>
      <c r="N1322" s="235"/>
      <c r="O1322" s="235"/>
      <c r="P1322" s="235"/>
      <c r="Q1322" s="235"/>
      <c r="R1322" s="235"/>
      <c r="S1322" s="235"/>
      <c r="T1322" s="235"/>
      <c r="U1322" s="235"/>
      <c r="V1322" s="235"/>
      <c r="W1322" s="235"/>
      <c r="X1322" s="235"/>
      <c r="Y1322" s="235"/>
      <c r="Z1322" s="235"/>
      <c r="AA1322" s="235"/>
      <c r="AB1322" s="235"/>
      <c r="AC1322" s="235"/>
    </row>
    <row r="1323">
      <c r="A1323" s="194" t="s">
        <v>2495</v>
      </c>
      <c r="B1323" s="194">
        <v>104632.0</v>
      </c>
      <c r="C1323" s="192" t="s">
        <v>2496</v>
      </c>
      <c r="D1323" s="192" t="s">
        <v>51</v>
      </c>
      <c r="E1323" s="235"/>
      <c r="F1323" s="235"/>
      <c r="G1323" s="325"/>
      <c r="H1323" s="235"/>
      <c r="I1323" s="235"/>
      <c r="J1323" s="235"/>
      <c r="K1323" s="235"/>
      <c r="L1323" s="235"/>
      <c r="M1323" s="235"/>
      <c r="N1323" s="235"/>
      <c r="O1323" s="235"/>
      <c r="P1323" s="235"/>
      <c r="Q1323" s="235"/>
      <c r="R1323" s="235"/>
      <c r="S1323" s="235"/>
      <c r="T1323" s="235"/>
      <c r="U1323" s="235"/>
      <c r="V1323" s="235"/>
      <c r="W1323" s="235"/>
      <c r="X1323" s="235"/>
      <c r="Y1323" s="235"/>
      <c r="Z1323" s="235"/>
      <c r="AA1323" s="235"/>
      <c r="AB1323" s="235"/>
      <c r="AC1323" s="235"/>
    </row>
    <row r="1324">
      <c r="A1324" s="194" t="s">
        <v>2497</v>
      </c>
      <c r="B1324" s="194">
        <v>106261.0</v>
      </c>
      <c r="C1324" s="192" t="s">
        <v>2498</v>
      </c>
      <c r="D1324" s="192" t="s">
        <v>87</v>
      </c>
      <c r="E1324" s="235"/>
      <c r="F1324" s="235"/>
      <c r="G1324" s="325"/>
      <c r="H1324" s="235"/>
      <c r="I1324" s="235"/>
      <c r="J1324" s="235"/>
      <c r="K1324" s="235"/>
      <c r="L1324" s="235"/>
      <c r="M1324" s="235"/>
      <c r="N1324" s="235"/>
      <c r="O1324" s="235"/>
      <c r="P1324" s="235"/>
      <c r="Q1324" s="235"/>
      <c r="R1324" s="235"/>
      <c r="S1324" s="235"/>
      <c r="T1324" s="235"/>
      <c r="U1324" s="235"/>
      <c r="V1324" s="235"/>
      <c r="W1324" s="235"/>
      <c r="X1324" s="235"/>
      <c r="Y1324" s="235"/>
      <c r="Z1324" s="235"/>
      <c r="AA1324" s="235"/>
      <c r="AB1324" s="235"/>
      <c r="AC1324" s="235"/>
    </row>
    <row r="1325">
      <c r="A1325" s="194" t="s">
        <v>2499</v>
      </c>
      <c r="B1325" s="194">
        <v>105952.0</v>
      </c>
      <c r="C1325" s="192" t="s">
        <v>2500</v>
      </c>
      <c r="D1325" s="192" t="s">
        <v>767</v>
      </c>
      <c r="E1325" s="235"/>
      <c r="F1325" s="235"/>
      <c r="G1325" s="325"/>
      <c r="H1325" s="235"/>
      <c r="I1325" s="235"/>
      <c r="J1325" s="235"/>
      <c r="K1325" s="235"/>
      <c r="L1325" s="235"/>
      <c r="M1325" s="235"/>
      <c r="N1325" s="235"/>
      <c r="O1325" s="235"/>
      <c r="P1325" s="235"/>
      <c r="Q1325" s="235"/>
      <c r="R1325" s="235"/>
      <c r="S1325" s="235"/>
      <c r="T1325" s="235"/>
      <c r="U1325" s="235"/>
      <c r="V1325" s="235"/>
      <c r="W1325" s="235"/>
      <c r="X1325" s="235"/>
      <c r="Y1325" s="235"/>
      <c r="Z1325" s="235"/>
      <c r="AA1325" s="235"/>
      <c r="AB1325" s="235"/>
      <c r="AC1325" s="235"/>
    </row>
    <row r="1326">
      <c r="A1326" s="194" t="s">
        <v>2501</v>
      </c>
      <c r="B1326" s="194">
        <v>106423.0</v>
      </c>
      <c r="C1326" s="192" t="s">
        <v>2502</v>
      </c>
      <c r="D1326" s="192" t="s">
        <v>295</v>
      </c>
      <c r="E1326" s="235"/>
      <c r="F1326" s="235"/>
      <c r="G1326" s="325"/>
      <c r="H1326" s="235"/>
      <c r="I1326" s="235"/>
      <c r="J1326" s="235"/>
      <c r="K1326" s="235"/>
      <c r="L1326" s="235"/>
      <c r="M1326" s="235"/>
      <c r="N1326" s="235"/>
      <c r="O1326" s="235"/>
      <c r="P1326" s="235"/>
      <c r="Q1326" s="235"/>
      <c r="R1326" s="235"/>
      <c r="S1326" s="235"/>
      <c r="T1326" s="235"/>
      <c r="U1326" s="235"/>
      <c r="V1326" s="235"/>
      <c r="W1326" s="235"/>
      <c r="X1326" s="235"/>
      <c r="Y1326" s="235"/>
      <c r="Z1326" s="235"/>
      <c r="AA1326" s="235"/>
      <c r="AB1326" s="235"/>
      <c r="AC1326" s="235"/>
    </row>
    <row r="1327">
      <c r="A1327" s="194" t="s">
        <v>2505</v>
      </c>
      <c r="B1327" s="194">
        <v>106456.0</v>
      </c>
      <c r="C1327" s="192" t="s">
        <v>2506</v>
      </c>
      <c r="D1327" s="192" t="s">
        <v>360</v>
      </c>
      <c r="E1327" s="235"/>
      <c r="F1327" s="235"/>
      <c r="G1327" s="325"/>
      <c r="H1327" s="235"/>
      <c r="I1327" s="235"/>
      <c r="J1327" s="235"/>
      <c r="K1327" s="235"/>
      <c r="L1327" s="235"/>
      <c r="M1327" s="235"/>
      <c r="N1327" s="235"/>
      <c r="O1327" s="235"/>
      <c r="P1327" s="235"/>
      <c r="Q1327" s="235"/>
      <c r="R1327" s="235"/>
      <c r="S1327" s="235"/>
      <c r="T1327" s="235"/>
      <c r="U1327" s="235"/>
      <c r="V1327" s="235"/>
      <c r="W1327" s="235"/>
      <c r="X1327" s="235"/>
      <c r="Y1327" s="235"/>
      <c r="Z1327" s="235"/>
      <c r="AA1327" s="235"/>
      <c r="AB1327" s="235"/>
      <c r="AC1327" s="235"/>
    </row>
    <row r="1328">
      <c r="A1328" s="194" t="s">
        <v>2507</v>
      </c>
      <c r="B1328" s="194">
        <v>106445.0</v>
      </c>
      <c r="C1328" s="192" t="s">
        <v>2508</v>
      </c>
      <c r="D1328" s="192" t="s">
        <v>295</v>
      </c>
      <c r="E1328" s="235"/>
      <c r="F1328" s="235"/>
      <c r="G1328" s="325"/>
      <c r="H1328" s="235"/>
      <c r="I1328" s="235"/>
      <c r="J1328" s="235"/>
      <c r="K1328" s="235"/>
      <c r="L1328" s="235"/>
      <c r="M1328" s="235"/>
      <c r="N1328" s="235"/>
      <c r="O1328" s="235"/>
      <c r="P1328" s="235"/>
      <c r="Q1328" s="235"/>
      <c r="R1328" s="235"/>
      <c r="S1328" s="235"/>
      <c r="T1328" s="235"/>
      <c r="U1328" s="235"/>
      <c r="V1328" s="235"/>
      <c r="W1328" s="235"/>
      <c r="X1328" s="235"/>
      <c r="Y1328" s="235"/>
      <c r="Z1328" s="235"/>
      <c r="AA1328" s="235"/>
      <c r="AB1328" s="235"/>
      <c r="AC1328" s="235"/>
    </row>
    <row r="1329">
      <c r="A1329" s="194" t="s">
        <v>2509</v>
      </c>
      <c r="B1329" s="194">
        <v>106457.0</v>
      </c>
      <c r="C1329" s="192" t="s">
        <v>2510</v>
      </c>
      <c r="D1329" s="192" t="s">
        <v>2167</v>
      </c>
      <c r="E1329" s="235"/>
      <c r="F1329" s="235"/>
      <c r="G1329" s="325"/>
      <c r="H1329" s="235"/>
      <c r="I1329" s="235"/>
      <c r="J1329" s="235"/>
      <c r="K1329" s="235"/>
      <c r="L1329" s="235"/>
      <c r="M1329" s="235"/>
      <c r="N1329" s="235"/>
      <c r="O1329" s="235"/>
      <c r="P1329" s="235"/>
      <c r="Q1329" s="235"/>
      <c r="R1329" s="235"/>
      <c r="S1329" s="235"/>
      <c r="T1329" s="235"/>
      <c r="U1329" s="235"/>
      <c r="V1329" s="235"/>
      <c r="W1329" s="235"/>
      <c r="X1329" s="235"/>
      <c r="Y1329" s="235"/>
      <c r="Z1329" s="235"/>
      <c r="AA1329" s="235"/>
      <c r="AB1329" s="235"/>
      <c r="AC1329" s="235"/>
    </row>
    <row r="1330">
      <c r="A1330" s="194" t="s">
        <v>2511</v>
      </c>
      <c r="B1330" s="194">
        <v>106350.0</v>
      </c>
      <c r="C1330" s="192" t="s">
        <v>2512</v>
      </c>
      <c r="D1330" s="192" t="s">
        <v>312</v>
      </c>
      <c r="E1330" s="235"/>
      <c r="F1330" s="235"/>
      <c r="G1330" s="325"/>
      <c r="H1330" s="235"/>
      <c r="I1330" s="235"/>
      <c r="J1330" s="235"/>
      <c r="K1330" s="235"/>
      <c r="L1330" s="235"/>
      <c r="M1330" s="235"/>
      <c r="N1330" s="235"/>
      <c r="O1330" s="235"/>
      <c r="P1330" s="235"/>
      <c r="Q1330" s="235"/>
      <c r="R1330" s="235"/>
      <c r="S1330" s="235"/>
      <c r="T1330" s="235"/>
      <c r="U1330" s="235"/>
      <c r="V1330" s="235"/>
      <c r="W1330" s="235"/>
      <c r="X1330" s="235"/>
      <c r="Y1330" s="235"/>
      <c r="Z1330" s="235"/>
      <c r="AA1330" s="235"/>
      <c r="AB1330" s="235"/>
      <c r="AC1330" s="235"/>
    </row>
    <row r="1331">
      <c r="A1331" s="194" t="s">
        <v>2514</v>
      </c>
      <c r="B1331" s="194">
        <v>106349.0</v>
      </c>
      <c r="C1331" s="192" t="s">
        <v>2515</v>
      </c>
      <c r="D1331" s="192" t="s">
        <v>312</v>
      </c>
      <c r="E1331" s="235"/>
      <c r="F1331" s="235"/>
      <c r="G1331" s="325"/>
      <c r="H1331" s="235"/>
      <c r="I1331" s="235"/>
      <c r="J1331" s="235"/>
      <c r="K1331" s="235"/>
      <c r="L1331" s="235"/>
      <c r="M1331" s="235"/>
      <c r="N1331" s="235"/>
      <c r="O1331" s="235"/>
      <c r="P1331" s="235"/>
      <c r="Q1331" s="235"/>
      <c r="R1331" s="235"/>
      <c r="S1331" s="235"/>
      <c r="T1331" s="235"/>
      <c r="U1331" s="235"/>
      <c r="V1331" s="235"/>
      <c r="W1331" s="235"/>
      <c r="X1331" s="235"/>
      <c r="Y1331" s="235"/>
      <c r="Z1331" s="235"/>
      <c r="AA1331" s="235"/>
      <c r="AB1331" s="235"/>
      <c r="AC1331" s="235"/>
    </row>
    <row r="1332">
      <c r="A1332" s="194" t="s">
        <v>2516</v>
      </c>
      <c r="B1332" s="194">
        <v>106475.0</v>
      </c>
      <c r="C1332" s="192" t="s">
        <v>2517</v>
      </c>
      <c r="D1332" s="192" t="s">
        <v>295</v>
      </c>
      <c r="E1332" s="235"/>
      <c r="F1332" s="235"/>
      <c r="G1332" s="325"/>
      <c r="H1332" s="235"/>
      <c r="I1332" s="235"/>
      <c r="J1332" s="235"/>
      <c r="K1332" s="235"/>
      <c r="L1332" s="235"/>
      <c r="M1332" s="235"/>
      <c r="N1332" s="235"/>
      <c r="O1332" s="235"/>
      <c r="P1332" s="235"/>
      <c r="Q1332" s="235"/>
      <c r="R1332" s="235"/>
      <c r="S1332" s="235"/>
      <c r="T1332" s="235"/>
      <c r="U1332" s="235"/>
      <c r="V1332" s="235"/>
      <c r="W1332" s="235"/>
      <c r="X1332" s="235"/>
      <c r="Y1332" s="235"/>
      <c r="Z1332" s="235"/>
      <c r="AA1332" s="235"/>
      <c r="AB1332" s="235"/>
      <c r="AC1332" s="235"/>
    </row>
    <row r="1333">
      <c r="A1333" s="194" t="s">
        <v>2518</v>
      </c>
      <c r="B1333" s="194">
        <v>106460.0</v>
      </c>
      <c r="C1333" s="192" t="s">
        <v>2519</v>
      </c>
      <c r="D1333" s="192" t="s">
        <v>295</v>
      </c>
      <c r="E1333" s="235"/>
      <c r="F1333" s="235"/>
      <c r="G1333" s="325"/>
      <c r="H1333" s="235"/>
      <c r="I1333" s="235"/>
      <c r="J1333" s="235"/>
      <c r="K1333" s="235"/>
      <c r="L1333" s="235"/>
      <c r="M1333" s="235"/>
      <c r="N1333" s="235"/>
      <c r="O1333" s="235"/>
      <c r="P1333" s="235"/>
      <c r="Q1333" s="235"/>
      <c r="R1333" s="235"/>
      <c r="S1333" s="235"/>
      <c r="T1333" s="235"/>
      <c r="U1333" s="235"/>
      <c r="V1333" s="235"/>
      <c r="W1333" s="235"/>
      <c r="X1333" s="235"/>
      <c r="Y1333" s="235"/>
      <c r="Z1333" s="235"/>
      <c r="AA1333" s="235"/>
      <c r="AB1333" s="235"/>
      <c r="AC1333" s="235"/>
    </row>
    <row r="1334">
      <c r="A1334" s="194" t="s">
        <v>2520</v>
      </c>
      <c r="B1334" s="194">
        <v>106458.0</v>
      </c>
      <c r="C1334" s="192" t="s">
        <v>2521</v>
      </c>
      <c r="D1334" s="192" t="s">
        <v>295</v>
      </c>
      <c r="E1334" s="235"/>
      <c r="F1334" s="235"/>
      <c r="G1334" s="325"/>
      <c r="H1334" s="235"/>
      <c r="I1334" s="235"/>
      <c r="J1334" s="235"/>
      <c r="K1334" s="235"/>
      <c r="L1334" s="235"/>
      <c r="M1334" s="235"/>
      <c r="N1334" s="235"/>
      <c r="O1334" s="235"/>
      <c r="P1334" s="235"/>
      <c r="Q1334" s="235"/>
      <c r="R1334" s="235"/>
      <c r="S1334" s="235"/>
      <c r="T1334" s="235"/>
      <c r="U1334" s="235"/>
      <c r="V1334" s="235"/>
      <c r="W1334" s="235"/>
      <c r="X1334" s="235"/>
      <c r="Y1334" s="235"/>
      <c r="Z1334" s="235"/>
      <c r="AA1334" s="235"/>
      <c r="AB1334" s="235"/>
      <c r="AC1334" s="235"/>
    </row>
    <row r="1335">
      <c r="A1335" s="194" t="s">
        <v>2522</v>
      </c>
      <c r="B1335" s="194">
        <v>106476.0</v>
      </c>
      <c r="C1335" s="192" t="s">
        <v>2524</v>
      </c>
      <c r="D1335" s="192" t="s">
        <v>360</v>
      </c>
      <c r="E1335" s="235"/>
      <c r="F1335" s="235"/>
      <c r="G1335" s="325"/>
      <c r="H1335" s="235"/>
      <c r="I1335" s="235"/>
      <c r="J1335" s="235"/>
      <c r="K1335" s="235"/>
      <c r="L1335" s="235"/>
      <c r="M1335" s="235"/>
      <c r="N1335" s="235"/>
      <c r="O1335" s="235"/>
      <c r="P1335" s="235"/>
      <c r="Q1335" s="235"/>
      <c r="R1335" s="235"/>
      <c r="S1335" s="235"/>
      <c r="T1335" s="235"/>
      <c r="U1335" s="235"/>
      <c r="V1335" s="235"/>
      <c r="W1335" s="235"/>
      <c r="X1335" s="235"/>
      <c r="Y1335" s="235"/>
      <c r="Z1335" s="235"/>
      <c r="AA1335" s="235"/>
      <c r="AB1335" s="235"/>
      <c r="AC1335" s="235"/>
    </row>
    <row r="1336">
      <c r="A1336" s="194" t="s">
        <v>2525</v>
      </c>
      <c r="B1336" s="194">
        <v>106481.0</v>
      </c>
      <c r="C1336" s="192" t="s">
        <v>2526</v>
      </c>
      <c r="D1336" s="192" t="s">
        <v>522</v>
      </c>
      <c r="E1336" s="235"/>
      <c r="F1336" s="235"/>
      <c r="G1336" s="325"/>
      <c r="H1336" s="235"/>
      <c r="I1336" s="235"/>
      <c r="J1336" s="235"/>
      <c r="K1336" s="235"/>
      <c r="L1336" s="235"/>
      <c r="M1336" s="235"/>
      <c r="N1336" s="235"/>
      <c r="O1336" s="235"/>
      <c r="P1336" s="235"/>
      <c r="Q1336" s="235"/>
      <c r="R1336" s="235"/>
      <c r="S1336" s="235"/>
      <c r="T1336" s="235"/>
      <c r="U1336" s="235"/>
      <c r="V1336" s="235"/>
      <c r="W1336" s="235"/>
      <c r="X1336" s="235"/>
      <c r="Y1336" s="235"/>
      <c r="Z1336" s="235"/>
      <c r="AA1336" s="235"/>
      <c r="AB1336" s="235"/>
      <c r="AC1336" s="235"/>
    </row>
    <row r="1337">
      <c r="A1337" s="194" t="s">
        <v>2527</v>
      </c>
      <c r="B1337" s="194">
        <v>106422.0</v>
      </c>
      <c r="C1337" s="192" t="s">
        <v>2528</v>
      </c>
      <c r="D1337" s="192" t="s">
        <v>806</v>
      </c>
      <c r="E1337" s="235"/>
      <c r="F1337" s="235"/>
      <c r="G1337" s="325"/>
      <c r="H1337" s="235"/>
      <c r="I1337" s="235"/>
      <c r="J1337" s="235"/>
      <c r="K1337" s="235"/>
      <c r="L1337" s="235"/>
      <c r="M1337" s="235"/>
      <c r="N1337" s="235"/>
      <c r="O1337" s="235"/>
      <c r="P1337" s="235"/>
      <c r="Q1337" s="235"/>
      <c r="R1337" s="235"/>
      <c r="S1337" s="235"/>
      <c r="T1337" s="235"/>
      <c r="U1337" s="235"/>
      <c r="V1337" s="235"/>
      <c r="W1337" s="235"/>
      <c r="X1337" s="235"/>
      <c r="Y1337" s="235"/>
      <c r="Z1337" s="235"/>
      <c r="AA1337" s="235"/>
      <c r="AB1337" s="235"/>
      <c r="AC1337" s="235"/>
    </row>
    <row r="1338">
      <c r="A1338" s="194" t="s">
        <v>2529</v>
      </c>
      <c r="B1338" s="194">
        <v>106422.0</v>
      </c>
      <c r="C1338" s="192" t="s">
        <v>2528</v>
      </c>
      <c r="D1338" s="192" t="s">
        <v>360</v>
      </c>
      <c r="E1338" s="235"/>
      <c r="F1338" s="235"/>
      <c r="G1338" s="325"/>
      <c r="H1338" s="235"/>
      <c r="I1338" s="235"/>
      <c r="J1338" s="235"/>
      <c r="K1338" s="235"/>
      <c r="L1338" s="235"/>
      <c r="M1338" s="235"/>
      <c r="N1338" s="235"/>
      <c r="O1338" s="235"/>
      <c r="P1338" s="235"/>
      <c r="Q1338" s="235"/>
      <c r="R1338" s="235"/>
      <c r="S1338" s="235"/>
      <c r="T1338" s="235"/>
      <c r="U1338" s="235"/>
      <c r="V1338" s="235"/>
      <c r="W1338" s="235"/>
      <c r="X1338" s="235"/>
      <c r="Y1338" s="235"/>
      <c r="Z1338" s="235"/>
      <c r="AA1338" s="235"/>
      <c r="AB1338" s="235"/>
      <c r="AC1338" s="235"/>
    </row>
    <row r="1339">
      <c r="A1339" s="194" t="s">
        <v>2530</v>
      </c>
      <c r="B1339" s="194">
        <v>106459.0</v>
      </c>
      <c r="C1339" s="192" t="s">
        <v>2531</v>
      </c>
      <c r="D1339" s="192" t="s">
        <v>295</v>
      </c>
      <c r="E1339" s="235"/>
      <c r="F1339" s="235"/>
      <c r="G1339" s="325"/>
      <c r="H1339" s="235"/>
      <c r="I1339" s="235"/>
      <c r="J1339" s="235"/>
      <c r="K1339" s="235"/>
      <c r="L1339" s="235"/>
      <c r="M1339" s="235"/>
      <c r="N1339" s="235"/>
      <c r="O1339" s="235"/>
      <c r="P1339" s="235"/>
      <c r="Q1339" s="235"/>
      <c r="R1339" s="235"/>
      <c r="S1339" s="235"/>
      <c r="T1339" s="235"/>
      <c r="U1339" s="235"/>
      <c r="V1339" s="235"/>
      <c r="W1339" s="235"/>
      <c r="X1339" s="235"/>
      <c r="Y1339" s="235"/>
      <c r="Z1339" s="235"/>
      <c r="AA1339" s="235"/>
      <c r="AB1339" s="235"/>
      <c r="AC1339" s="235"/>
    </row>
    <row r="1340">
      <c r="A1340" s="194" t="s">
        <v>2532</v>
      </c>
      <c r="B1340" s="194">
        <v>106764.0</v>
      </c>
      <c r="C1340" s="192" t="s">
        <v>2533</v>
      </c>
      <c r="D1340" s="192" t="s">
        <v>2182</v>
      </c>
      <c r="E1340" s="235"/>
      <c r="F1340" s="235"/>
      <c r="G1340" s="325"/>
      <c r="H1340" s="235"/>
      <c r="I1340" s="235"/>
      <c r="J1340" s="235"/>
      <c r="K1340" s="235"/>
      <c r="L1340" s="235"/>
      <c r="M1340" s="235"/>
      <c r="N1340" s="235"/>
      <c r="O1340" s="235"/>
      <c r="P1340" s="235"/>
      <c r="Q1340" s="235"/>
      <c r="R1340" s="235"/>
      <c r="S1340" s="235"/>
      <c r="T1340" s="235"/>
      <c r="U1340" s="235"/>
      <c r="V1340" s="235"/>
      <c r="W1340" s="235"/>
      <c r="X1340" s="235"/>
      <c r="Y1340" s="235"/>
      <c r="Z1340" s="235"/>
      <c r="AA1340" s="235"/>
      <c r="AB1340" s="235"/>
      <c r="AC1340" s="235"/>
    </row>
    <row r="1341">
      <c r="A1341" s="194" t="s">
        <v>2534</v>
      </c>
      <c r="B1341" s="194">
        <v>106609.0</v>
      </c>
      <c r="C1341" s="192" t="s">
        <v>2535</v>
      </c>
      <c r="D1341" s="192" t="s">
        <v>295</v>
      </c>
      <c r="E1341" s="235"/>
      <c r="F1341" s="235"/>
      <c r="G1341" s="325"/>
      <c r="H1341" s="235"/>
      <c r="I1341" s="235"/>
      <c r="J1341" s="235"/>
      <c r="K1341" s="235"/>
      <c r="L1341" s="235"/>
      <c r="M1341" s="235"/>
      <c r="N1341" s="235"/>
      <c r="O1341" s="235"/>
      <c r="P1341" s="235"/>
      <c r="Q1341" s="235"/>
      <c r="R1341" s="235"/>
      <c r="S1341" s="235"/>
      <c r="T1341" s="235"/>
      <c r="U1341" s="235"/>
      <c r="V1341" s="235"/>
      <c r="W1341" s="235"/>
      <c r="X1341" s="235"/>
      <c r="Y1341" s="235"/>
      <c r="Z1341" s="235"/>
      <c r="AA1341" s="235"/>
      <c r="AB1341" s="235"/>
      <c r="AC1341" s="235"/>
    </row>
    <row r="1342">
      <c r="A1342" s="194" t="s">
        <v>2536</v>
      </c>
      <c r="B1342" s="194">
        <v>106763.0</v>
      </c>
      <c r="C1342" s="192" t="s">
        <v>2537</v>
      </c>
      <c r="D1342" s="192" t="s">
        <v>265</v>
      </c>
      <c r="E1342" s="235"/>
      <c r="F1342" s="235"/>
      <c r="G1342" s="325"/>
      <c r="H1342" s="235"/>
      <c r="I1342" s="235"/>
      <c r="J1342" s="235"/>
      <c r="K1342" s="235"/>
      <c r="L1342" s="235"/>
      <c r="M1342" s="235"/>
      <c r="N1342" s="235"/>
      <c r="O1342" s="235"/>
      <c r="P1342" s="235"/>
      <c r="Q1342" s="235"/>
      <c r="R1342" s="235"/>
      <c r="S1342" s="235"/>
      <c r="T1342" s="235"/>
      <c r="U1342" s="235"/>
      <c r="V1342" s="235"/>
      <c r="W1342" s="235"/>
      <c r="X1342" s="235"/>
      <c r="Y1342" s="235"/>
      <c r="Z1342" s="235"/>
      <c r="AA1342" s="235"/>
      <c r="AB1342" s="235"/>
      <c r="AC1342" s="235"/>
    </row>
    <row r="1343">
      <c r="A1343" s="194" t="s">
        <v>2538</v>
      </c>
      <c r="B1343" s="194">
        <v>106591.0</v>
      </c>
      <c r="C1343" s="192" t="s">
        <v>2539</v>
      </c>
      <c r="D1343" s="192" t="s">
        <v>94</v>
      </c>
      <c r="E1343" s="235"/>
      <c r="F1343" s="235"/>
      <c r="G1343" s="325"/>
      <c r="H1343" s="235"/>
      <c r="I1343" s="235"/>
      <c r="J1343" s="235"/>
      <c r="K1343" s="235"/>
      <c r="L1343" s="235"/>
      <c r="M1343" s="235"/>
      <c r="N1343" s="235"/>
      <c r="O1343" s="235"/>
      <c r="P1343" s="235"/>
      <c r="Q1343" s="235"/>
      <c r="R1343" s="235"/>
      <c r="S1343" s="235"/>
      <c r="T1343" s="235"/>
      <c r="U1343" s="235"/>
      <c r="V1343" s="235"/>
      <c r="W1343" s="235"/>
      <c r="X1343" s="235"/>
      <c r="Y1343" s="235"/>
      <c r="Z1343" s="235"/>
      <c r="AA1343" s="235"/>
      <c r="AB1343" s="235"/>
      <c r="AC1343" s="235"/>
    </row>
    <row r="1344">
      <c r="A1344" s="194" t="s">
        <v>2540</v>
      </c>
      <c r="B1344" s="194">
        <v>106591.0</v>
      </c>
      <c r="C1344" s="192" t="s">
        <v>2539</v>
      </c>
      <c r="D1344" s="192" t="s">
        <v>295</v>
      </c>
      <c r="E1344" s="235"/>
      <c r="F1344" s="235"/>
      <c r="G1344" s="325"/>
      <c r="H1344" s="235"/>
      <c r="I1344" s="235"/>
      <c r="J1344" s="235"/>
      <c r="K1344" s="235"/>
      <c r="L1344" s="235"/>
      <c r="M1344" s="235"/>
      <c r="N1344" s="235"/>
      <c r="O1344" s="235"/>
      <c r="P1344" s="235"/>
      <c r="Q1344" s="235"/>
      <c r="R1344" s="235"/>
      <c r="S1344" s="235"/>
      <c r="T1344" s="235"/>
      <c r="U1344" s="235"/>
      <c r="V1344" s="235"/>
      <c r="W1344" s="235"/>
      <c r="X1344" s="235"/>
      <c r="Y1344" s="235"/>
      <c r="Z1344" s="235"/>
      <c r="AA1344" s="235"/>
      <c r="AB1344" s="235"/>
      <c r="AC1344" s="235"/>
    </row>
    <row r="1345">
      <c r="A1345" s="194"/>
      <c r="B1345" s="194">
        <v>106607.0</v>
      </c>
      <c r="C1345" s="192" t="s">
        <v>2541</v>
      </c>
      <c r="D1345" s="192" t="s">
        <v>295</v>
      </c>
      <c r="E1345" s="235"/>
      <c r="F1345" s="235"/>
      <c r="G1345" s="325"/>
      <c r="H1345" s="235"/>
      <c r="I1345" s="235"/>
      <c r="J1345" s="235"/>
      <c r="K1345" s="235"/>
      <c r="L1345" s="235"/>
      <c r="M1345" s="235"/>
      <c r="N1345" s="235"/>
      <c r="O1345" s="235"/>
      <c r="P1345" s="235"/>
      <c r="Q1345" s="235"/>
      <c r="R1345" s="235"/>
      <c r="S1345" s="235"/>
      <c r="T1345" s="235"/>
      <c r="U1345" s="235"/>
      <c r="V1345" s="235"/>
      <c r="W1345" s="235"/>
      <c r="X1345" s="235"/>
      <c r="Y1345" s="235"/>
      <c r="Z1345" s="235"/>
      <c r="AA1345" s="235"/>
      <c r="AB1345" s="235"/>
      <c r="AC1345" s="235"/>
    </row>
    <row r="1346">
      <c r="A1346" s="194" t="s">
        <v>2542</v>
      </c>
      <c r="B1346" s="194">
        <v>106603.0</v>
      </c>
      <c r="C1346" s="192" t="s">
        <v>2543</v>
      </c>
      <c r="D1346" s="192" t="s">
        <v>2185</v>
      </c>
      <c r="E1346" s="235"/>
      <c r="F1346" s="235"/>
      <c r="G1346" s="325"/>
      <c r="H1346" s="235"/>
      <c r="I1346" s="235"/>
      <c r="J1346" s="235"/>
      <c r="K1346" s="235"/>
      <c r="L1346" s="235"/>
      <c r="M1346" s="235"/>
      <c r="N1346" s="235"/>
      <c r="O1346" s="235"/>
      <c r="P1346" s="235"/>
      <c r="Q1346" s="235"/>
      <c r="R1346" s="235"/>
      <c r="S1346" s="235"/>
      <c r="T1346" s="235"/>
      <c r="U1346" s="235"/>
      <c r="V1346" s="235"/>
      <c r="W1346" s="235"/>
      <c r="X1346" s="235"/>
      <c r="Y1346" s="235"/>
      <c r="Z1346" s="235"/>
      <c r="AA1346" s="235"/>
      <c r="AB1346" s="235"/>
      <c r="AC1346" s="235"/>
    </row>
    <row r="1347">
      <c r="A1347" s="194" t="s">
        <v>2545</v>
      </c>
      <c r="B1347" s="194">
        <v>106602.0</v>
      </c>
      <c r="C1347" s="192" t="s">
        <v>2546</v>
      </c>
      <c r="D1347" s="192" t="s">
        <v>1977</v>
      </c>
      <c r="E1347" s="235"/>
      <c r="F1347" s="235"/>
      <c r="G1347" s="325"/>
      <c r="H1347" s="235"/>
      <c r="I1347" s="235"/>
      <c r="J1347" s="235"/>
      <c r="K1347" s="235"/>
      <c r="L1347" s="235"/>
      <c r="M1347" s="235"/>
      <c r="N1347" s="235"/>
      <c r="O1347" s="235"/>
      <c r="P1347" s="235"/>
      <c r="Q1347" s="235"/>
      <c r="R1347" s="235"/>
      <c r="S1347" s="235"/>
      <c r="T1347" s="235"/>
      <c r="U1347" s="235"/>
      <c r="V1347" s="235"/>
      <c r="W1347" s="235"/>
      <c r="X1347" s="235"/>
      <c r="Y1347" s="235"/>
      <c r="Z1347" s="235"/>
      <c r="AA1347" s="235"/>
      <c r="AB1347" s="235"/>
      <c r="AC1347" s="235"/>
    </row>
    <row r="1348">
      <c r="A1348" s="194" t="s">
        <v>2547</v>
      </c>
      <c r="B1348" s="194">
        <v>106613.0</v>
      </c>
      <c r="C1348" s="192" t="s">
        <v>2548</v>
      </c>
      <c r="D1348" s="192" t="s">
        <v>94</v>
      </c>
      <c r="E1348" s="235"/>
      <c r="F1348" s="235"/>
      <c r="G1348" s="325"/>
      <c r="H1348" s="235"/>
      <c r="I1348" s="235"/>
      <c r="J1348" s="235"/>
      <c r="K1348" s="235"/>
      <c r="L1348" s="235"/>
      <c r="M1348" s="235"/>
      <c r="N1348" s="235"/>
      <c r="O1348" s="235"/>
      <c r="P1348" s="235"/>
      <c r="Q1348" s="235"/>
      <c r="R1348" s="235"/>
      <c r="S1348" s="235"/>
      <c r="T1348" s="235"/>
      <c r="U1348" s="235"/>
      <c r="V1348" s="235"/>
      <c r="W1348" s="235"/>
      <c r="X1348" s="235"/>
      <c r="Y1348" s="235"/>
      <c r="Z1348" s="235"/>
      <c r="AA1348" s="235"/>
      <c r="AB1348" s="235"/>
      <c r="AC1348" s="235"/>
    </row>
    <row r="1349">
      <c r="A1349" s="194" t="s">
        <v>2549</v>
      </c>
      <c r="B1349" s="194">
        <v>106827.0</v>
      </c>
      <c r="C1349" s="192" t="s">
        <v>2550</v>
      </c>
      <c r="D1349" s="192" t="s">
        <v>295</v>
      </c>
      <c r="E1349" s="235"/>
      <c r="F1349" s="235"/>
      <c r="G1349" s="325"/>
      <c r="H1349" s="235"/>
      <c r="I1349" s="235"/>
      <c r="J1349" s="235"/>
      <c r="K1349" s="235"/>
      <c r="L1349" s="235"/>
      <c r="M1349" s="235"/>
      <c r="N1349" s="235"/>
      <c r="O1349" s="235"/>
      <c r="P1349" s="235"/>
      <c r="Q1349" s="235"/>
      <c r="R1349" s="235"/>
      <c r="S1349" s="235"/>
      <c r="T1349" s="235"/>
      <c r="U1349" s="235"/>
      <c r="V1349" s="235"/>
      <c r="W1349" s="235"/>
      <c r="X1349" s="235"/>
      <c r="Y1349" s="235"/>
      <c r="Z1349" s="235"/>
      <c r="AA1349" s="235"/>
      <c r="AB1349" s="235"/>
      <c r="AC1349" s="235"/>
    </row>
    <row r="1350">
      <c r="A1350" s="194" t="s">
        <v>2551</v>
      </c>
      <c r="B1350" s="194">
        <v>106232.0</v>
      </c>
      <c r="C1350" s="192" t="s">
        <v>2552</v>
      </c>
      <c r="D1350" s="192" t="s">
        <v>254</v>
      </c>
      <c r="E1350" s="235"/>
      <c r="F1350" s="235"/>
      <c r="G1350" s="325"/>
      <c r="H1350" s="235"/>
      <c r="I1350" s="235"/>
      <c r="J1350" s="235"/>
      <c r="K1350" s="235"/>
      <c r="L1350" s="235"/>
      <c r="M1350" s="235"/>
      <c r="N1350" s="235"/>
      <c r="O1350" s="235"/>
      <c r="P1350" s="235"/>
      <c r="Q1350" s="235"/>
      <c r="R1350" s="235"/>
      <c r="S1350" s="235"/>
      <c r="T1350" s="235"/>
      <c r="U1350" s="235"/>
      <c r="V1350" s="235"/>
      <c r="W1350" s="235"/>
      <c r="X1350" s="235"/>
      <c r="Y1350" s="235"/>
      <c r="Z1350" s="235"/>
      <c r="AA1350" s="235"/>
      <c r="AB1350" s="235"/>
      <c r="AC1350" s="235"/>
    </row>
    <row r="1351">
      <c r="A1351" s="194" t="s">
        <v>2553</v>
      </c>
      <c r="B1351" s="194">
        <v>106232.0</v>
      </c>
      <c r="C1351" s="192" t="s">
        <v>2552</v>
      </c>
      <c r="D1351" s="192" t="s">
        <v>113</v>
      </c>
      <c r="E1351" s="235"/>
      <c r="F1351" s="235"/>
      <c r="G1351" s="325"/>
      <c r="H1351" s="235"/>
      <c r="I1351" s="235"/>
      <c r="J1351" s="235"/>
      <c r="K1351" s="235"/>
      <c r="L1351" s="235"/>
      <c r="M1351" s="235"/>
      <c r="N1351" s="235"/>
      <c r="O1351" s="235"/>
      <c r="P1351" s="235"/>
      <c r="Q1351" s="235"/>
      <c r="R1351" s="235"/>
      <c r="S1351" s="235"/>
      <c r="T1351" s="235"/>
      <c r="U1351" s="235"/>
      <c r="V1351" s="235"/>
      <c r="W1351" s="235"/>
      <c r="X1351" s="235"/>
      <c r="Y1351" s="235"/>
      <c r="Z1351" s="235"/>
      <c r="AA1351" s="235"/>
      <c r="AB1351" s="235"/>
      <c r="AC1351" s="235"/>
    </row>
    <row r="1352">
      <c r="A1352" s="194" t="s">
        <v>2554</v>
      </c>
      <c r="B1352" s="194">
        <v>106623.0</v>
      </c>
      <c r="C1352" s="192" t="s">
        <v>2555</v>
      </c>
      <c r="D1352" s="192" t="s">
        <v>625</v>
      </c>
      <c r="E1352" s="235"/>
      <c r="F1352" s="235"/>
      <c r="G1352" s="325"/>
      <c r="H1352" s="235"/>
      <c r="I1352" s="235"/>
      <c r="J1352" s="235"/>
      <c r="K1352" s="235"/>
      <c r="L1352" s="235"/>
      <c r="M1352" s="235"/>
      <c r="N1352" s="235"/>
      <c r="O1352" s="235"/>
      <c r="P1352" s="235"/>
      <c r="Q1352" s="235"/>
      <c r="R1352" s="235"/>
      <c r="S1352" s="235"/>
      <c r="T1352" s="235"/>
      <c r="U1352" s="235"/>
      <c r="V1352" s="235"/>
      <c r="W1352" s="235"/>
      <c r="X1352" s="235"/>
      <c r="Y1352" s="235"/>
      <c r="Z1352" s="235"/>
      <c r="AA1352" s="235"/>
      <c r="AB1352" s="235"/>
      <c r="AC1352" s="235"/>
    </row>
    <row r="1353">
      <c r="A1353" s="194" t="s">
        <v>2556</v>
      </c>
      <c r="B1353" s="194">
        <v>106908.0</v>
      </c>
      <c r="C1353" s="192" t="s">
        <v>2557</v>
      </c>
      <c r="D1353" s="192" t="s">
        <v>113</v>
      </c>
      <c r="E1353" s="235"/>
      <c r="F1353" s="235"/>
      <c r="G1353" s="325"/>
      <c r="H1353" s="235"/>
      <c r="I1353" s="235"/>
      <c r="J1353" s="235"/>
      <c r="K1353" s="235"/>
      <c r="L1353" s="235"/>
      <c r="M1353" s="235"/>
      <c r="N1353" s="235"/>
      <c r="O1353" s="235"/>
      <c r="P1353" s="235"/>
      <c r="Q1353" s="235"/>
      <c r="R1353" s="235"/>
      <c r="S1353" s="235"/>
      <c r="T1353" s="235"/>
      <c r="U1353" s="235"/>
      <c r="V1353" s="235"/>
      <c r="W1353" s="235"/>
      <c r="X1353" s="235"/>
      <c r="Y1353" s="235"/>
      <c r="Z1353" s="235"/>
      <c r="AA1353" s="235"/>
      <c r="AB1353" s="235"/>
      <c r="AC1353" s="235"/>
    </row>
    <row r="1354">
      <c r="A1354" s="194" t="s">
        <v>2558</v>
      </c>
      <c r="B1354" s="194">
        <v>106155.0</v>
      </c>
      <c r="C1354" s="192" t="s">
        <v>2559</v>
      </c>
      <c r="D1354" s="192" t="s">
        <v>2002</v>
      </c>
      <c r="E1354" s="235"/>
      <c r="F1354" s="235"/>
      <c r="G1354" s="325"/>
      <c r="H1354" s="235"/>
      <c r="I1354" s="235"/>
      <c r="J1354" s="235"/>
      <c r="K1354" s="235"/>
      <c r="L1354" s="235"/>
      <c r="M1354" s="235"/>
      <c r="N1354" s="235"/>
      <c r="O1354" s="235"/>
      <c r="P1354" s="235"/>
      <c r="Q1354" s="235"/>
      <c r="R1354" s="235"/>
      <c r="S1354" s="235"/>
      <c r="T1354" s="235"/>
      <c r="U1354" s="235"/>
      <c r="V1354" s="235"/>
      <c r="W1354" s="235"/>
      <c r="X1354" s="235"/>
      <c r="Y1354" s="235"/>
      <c r="Z1354" s="235"/>
      <c r="AA1354" s="235"/>
      <c r="AB1354" s="235"/>
      <c r="AC1354" s="235"/>
    </row>
    <row r="1355">
      <c r="A1355" s="194" t="s">
        <v>2560</v>
      </c>
      <c r="B1355" s="194">
        <v>106509.0</v>
      </c>
      <c r="C1355" s="192" t="s">
        <v>2561</v>
      </c>
      <c r="D1355" s="192" t="s">
        <v>806</v>
      </c>
      <c r="E1355" s="235"/>
      <c r="F1355" s="235"/>
      <c r="G1355" s="325"/>
      <c r="H1355" s="235"/>
      <c r="I1355" s="235"/>
      <c r="J1355" s="235"/>
      <c r="K1355" s="235"/>
      <c r="L1355" s="235"/>
      <c r="M1355" s="235"/>
      <c r="N1355" s="235"/>
      <c r="O1355" s="235"/>
      <c r="P1355" s="235"/>
      <c r="Q1355" s="235"/>
      <c r="R1355" s="235"/>
      <c r="S1355" s="235"/>
      <c r="T1355" s="235"/>
      <c r="U1355" s="235"/>
      <c r="V1355" s="235"/>
      <c r="W1355" s="235"/>
      <c r="X1355" s="235"/>
      <c r="Y1355" s="235"/>
      <c r="Z1355" s="235"/>
      <c r="AA1355" s="235"/>
      <c r="AB1355" s="235"/>
      <c r="AC1355" s="235"/>
    </row>
    <row r="1356">
      <c r="A1356" s="194" t="s">
        <v>2562</v>
      </c>
      <c r="B1356" s="194">
        <v>106375.0</v>
      </c>
      <c r="C1356" s="192" t="s">
        <v>2563</v>
      </c>
      <c r="D1356" s="192" t="s">
        <v>2179</v>
      </c>
      <c r="E1356" s="235"/>
      <c r="F1356" s="235"/>
      <c r="G1356" s="325"/>
      <c r="H1356" s="235"/>
      <c r="I1356" s="235"/>
      <c r="J1356" s="235"/>
      <c r="K1356" s="235"/>
      <c r="L1356" s="235"/>
      <c r="M1356" s="235"/>
      <c r="N1356" s="235"/>
      <c r="O1356" s="235"/>
      <c r="P1356" s="235"/>
      <c r="Q1356" s="235"/>
      <c r="R1356" s="235"/>
      <c r="S1356" s="235"/>
      <c r="T1356" s="235"/>
      <c r="U1356" s="235"/>
      <c r="V1356" s="235"/>
      <c r="W1356" s="235"/>
      <c r="X1356" s="235"/>
      <c r="Y1356" s="235"/>
      <c r="Z1356" s="235"/>
      <c r="AA1356" s="235"/>
      <c r="AB1356" s="235"/>
      <c r="AC1356" s="235"/>
    </row>
    <row r="1357">
      <c r="A1357" s="194" t="s">
        <v>2564</v>
      </c>
      <c r="B1357" s="194">
        <v>106441.0</v>
      </c>
      <c r="C1357" s="192" t="s">
        <v>2565</v>
      </c>
      <c r="D1357" s="192" t="s">
        <v>113</v>
      </c>
      <c r="E1357" s="235"/>
      <c r="F1357" s="235"/>
      <c r="G1357" s="325"/>
      <c r="H1357" s="235"/>
      <c r="I1357" s="235"/>
      <c r="J1357" s="235"/>
      <c r="K1357" s="235"/>
      <c r="L1357" s="235"/>
      <c r="M1357" s="235"/>
      <c r="N1357" s="235"/>
      <c r="O1357" s="235"/>
      <c r="P1357" s="235"/>
      <c r="Q1357" s="235"/>
      <c r="R1357" s="235"/>
      <c r="S1357" s="235"/>
      <c r="T1357" s="235"/>
      <c r="U1357" s="235"/>
      <c r="V1357" s="235"/>
      <c r="W1357" s="235"/>
      <c r="X1357" s="235"/>
      <c r="Y1357" s="235"/>
      <c r="Z1357" s="235"/>
      <c r="AA1357" s="235"/>
      <c r="AB1357" s="235"/>
      <c r="AC1357" s="235"/>
    </row>
    <row r="1358">
      <c r="A1358" s="194" t="s">
        <v>2566</v>
      </c>
      <c r="B1358" s="194">
        <v>106441.0</v>
      </c>
      <c r="C1358" s="192" t="s">
        <v>2565</v>
      </c>
      <c r="D1358" s="192" t="s">
        <v>2190</v>
      </c>
      <c r="E1358" s="235"/>
      <c r="F1358" s="235"/>
      <c r="G1358" s="325"/>
      <c r="H1358" s="235"/>
      <c r="I1358" s="235"/>
      <c r="J1358" s="235"/>
      <c r="K1358" s="235"/>
      <c r="L1358" s="235"/>
      <c r="M1358" s="235"/>
      <c r="N1358" s="235"/>
      <c r="O1358" s="235"/>
      <c r="P1358" s="235"/>
      <c r="Q1358" s="235"/>
      <c r="R1358" s="235"/>
      <c r="S1358" s="235"/>
      <c r="T1358" s="235"/>
      <c r="U1358" s="235"/>
      <c r="V1358" s="235"/>
      <c r="W1358" s="235"/>
      <c r="X1358" s="235"/>
      <c r="Y1358" s="235"/>
      <c r="Z1358" s="235"/>
      <c r="AA1358" s="235"/>
      <c r="AB1358" s="235"/>
      <c r="AC1358" s="235"/>
    </row>
    <row r="1359">
      <c r="A1359" s="194" t="s">
        <v>2567</v>
      </c>
      <c r="B1359" s="194">
        <v>106375.0</v>
      </c>
      <c r="C1359" s="192" t="s">
        <v>2563</v>
      </c>
      <c r="D1359" s="192" t="s">
        <v>113</v>
      </c>
      <c r="E1359" s="235"/>
      <c r="F1359" s="235"/>
      <c r="G1359" s="325"/>
      <c r="H1359" s="235"/>
      <c r="I1359" s="235"/>
      <c r="J1359" s="235"/>
      <c r="K1359" s="235"/>
      <c r="L1359" s="235"/>
      <c r="M1359" s="235"/>
      <c r="N1359" s="235"/>
      <c r="O1359" s="235"/>
      <c r="P1359" s="235"/>
      <c r="Q1359" s="235"/>
      <c r="R1359" s="235"/>
      <c r="S1359" s="235"/>
      <c r="T1359" s="235"/>
      <c r="U1359" s="235"/>
      <c r="V1359" s="235"/>
      <c r="W1359" s="235"/>
      <c r="X1359" s="235"/>
      <c r="Y1359" s="235"/>
      <c r="Z1359" s="235"/>
      <c r="AA1359" s="235"/>
      <c r="AB1359" s="235"/>
      <c r="AC1359" s="235"/>
    </row>
    <row r="1360">
      <c r="A1360" s="194" t="s">
        <v>2568</v>
      </c>
      <c r="B1360" s="194">
        <v>106375.0</v>
      </c>
      <c r="C1360" s="192" t="s">
        <v>2563</v>
      </c>
      <c r="D1360" s="192" t="s">
        <v>254</v>
      </c>
      <c r="E1360" s="235"/>
      <c r="F1360" s="235"/>
      <c r="G1360" s="325"/>
      <c r="H1360" s="235"/>
      <c r="I1360" s="235"/>
      <c r="J1360" s="235"/>
      <c r="K1360" s="235"/>
      <c r="L1360" s="235"/>
      <c r="M1360" s="235"/>
      <c r="N1360" s="235"/>
      <c r="O1360" s="235"/>
      <c r="P1360" s="235"/>
      <c r="Q1360" s="235"/>
      <c r="R1360" s="235"/>
      <c r="S1360" s="235"/>
      <c r="T1360" s="235"/>
      <c r="U1360" s="235"/>
      <c r="V1360" s="235"/>
      <c r="W1360" s="235"/>
      <c r="X1360" s="235"/>
      <c r="Y1360" s="235"/>
      <c r="Z1360" s="235"/>
      <c r="AA1360" s="235"/>
      <c r="AB1360" s="235"/>
      <c r="AC1360" s="235"/>
    </row>
    <row r="1361">
      <c r="A1361" s="194" t="s">
        <v>2570</v>
      </c>
      <c r="B1361" s="194">
        <v>106909.0</v>
      </c>
      <c r="C1361" s="192" t="s">
        <v>2571</v>
      </c>
      <c r="D1361" s="192" t="s">
        <v>254</v>
      </c>
      <c r="E1361" s="235"/>
      <c r="F1361" s="235"/>
      <c r="G1361" s="325"/>
      <c r="H1361" s="235"/>
      <c r="I1361" s="235"/>
      <c r="J1361" s="235"/>
      <c r="K1361" s="235"/>
      <c r="L1361" s="235"/>
      <c r="M1361" s="235"/>
      <c r="N1361" s="235"/>
      <c r="O1361" s="235"/>
      <c r="P1361" s="235"/>
      <c r="Q1361" s="235"/>
      <c r="R1361" s="235"/>
      <c r="S1361" s="235"/>
      <c r="T1361" s="235"/>
      <c r="U1361" s="235"/>
      <c r="V1361" s="235"/>
      <c r="W1361" s="235"/>
      <c r="X1361" s="235"/>
      <c r="Y1361" s="235"/>
      <c r="Z1361" s="235"/>
      <c r="AA1361" s="235"/>
      <c r="AB1361" s="235"/>
      <c r="AC1361" s="235"/>
    </row>
    <row r="1362">
      <c r="A1362" s="194"/>
      <c r="B1362" s="194"/>
      <c r="C1362" s="192" t="e">
        <v>#REF!</v>
      </c>
      <c r="D1362" s="192"/>
      <c r="E1362" s="235"/>
      <c r="F1362" s="235"/>
      <c r="G1362" s="325"/>
      <c r="H1362" s="235"/>
      <c r="I1362" s="235"/>
      <c r="J1362" s="235"/>
      <c r="K1362" s="235"/>
      <c r="L1362" s="235"/>
      <c r="M1362" s="235"/>
      <c r="N1362" s="235"/>
      <c r="O1362" s="235"/>
      <c r="P1362" s="235"/>
      <c r="Q1362" s="235"/>
      <c r="R1362" s="235"/>
      <c r="S1362" s="235"/>
      <c r="T1362" s="235"/>
      <c r="U1362" s="235"/>
      <c r="V1362" s="235"/>
      <c r="W1362" s="235"/>
      <c r="X1362" s="235"/>
      <c r="Y1362" s="235"/>
      <c r="Z1362" s="235"/>
      <c r="AA1362" s="235"/>
      <c r="AB1362" s="235"/>
      <c r="AC1362" s="235"/>
    </row>
    <row r="1363">
      <c r="A1363" s="194" t="s">
        <v>2572</v>
      </c>
      <c r="B1363" s="194">
        <v>106909.0</v>
      </c>
      <c r="C1363" s="192" t="s">
        <v>2571</v>
      </c>
      <c r="D1363" s="192" t="s">
        <v>806</v>
      </c>
      <c r="E1363" s="235"/>
      <c r="F1363" s="235"/>
      <c r="G1363" s="325"/>
      <c r="H1363" s="235"/>
      <c r="I1363" s="235"/>
      <c r="J1363" s="235"/>
      <c r="K1363" s="235"/>
      <c r="L1363" s="235"/>
      <c r="M1363" s="235"/>
      <c r="N1363" s="235"/>
      <c r="O1363" s="235"/>
      <c r="P1363" s="235"/>
      <c r="Q1363" s="235"/>
      <c r="R1363" s="235"/>
      <c r="S1363" s="235"/>
      <c r="T1363" s="235"/>
      <c r="U1363" s="235"/>
      <c r="V1363" s="235"/>
      <c r="W1363" s="235"/>
      <c r="X1363" s="235"/>
      <c r="Y1363" s="235"/>
      <c r="Z1363" s="235"/>
      <c r="AA1363" s="235"/>
      <c r="AB1363" s="235"/>
      <c r="AC1363" s="235"/>
    </row>
    <row r="1364">
      <c r="A1364" s="194" t="s">
        <v>2573</v>
      </c>
      <c r="B1364" s="194">
        <v>106909.0</v>
      </c>
      <c r="C1364" s="192" t="s">
        <v>2571</v>
      </c>
      <c r="D1364" s="192" t="s">
        <v>113</v>
      </c>
      <c r="E1364" s="235"/>
      <c r="F1364" s="235"/>
      <c r="G1364" s="325"/>
      <c r="H1364" s="235"/>
      <c r="I1364" s="235"/>
      <c r="J1364" s="235"/>
      <c r="K1364" s="235"/>
      <c r="L1364" s="235"/>
      <c r="M1364" s="235"/>
      <c r="N1364" s="235"/>
      <c r="O1364" s="235"/>
      <c r="P1364" s="235"/>
      <c r="Q1364" s="235"/>
      <c r="R1364" s="235"/>
      <c r="S1364" s="235"/>
      <c r="T1364" s="235"/>
      <c r="U1364" s="235"/>
      <c r="V1364" s="235"/>
      <c r="W1364" s="235"/>
      <c r="X1364" s="235"/>
      <c r="Y1364" s="235"/>
      <c r="Z1364" s="235"/>
      <c r="AA1364" s="235"/>
      <c r="AB1364" s="235"/>
      <c r="AC1364" s="235"/>
    </row>
    <row r="1365">
      <c r="A1365" s="194" t="s">
        <v>2574</v>
      </c>
      <c r="B1365" s="194">
        <v>106623.0</v>
      </c>
      <c r="C1365" s="192" t="s">
        <v>2555</v>
      </c>
      <c r="D1365" s="192" t="s">
        <v>254</v>
      </c>
      <c r="E1365" s="235"/>
      <c r="F1365" s="235"/>
      <c r="G1365" s="325"/>
      <c r="H1365" s="235"/>
      <c r="I1365" s="235"/>
      <c r="J1365" s="235"/>
      <c r="K1365" s="235"/>
      <c r="L1365" s="235"/>
      <c r="M1365" s="235"/>
      <c r="N1365" s="235"/>
      <c r="O1365" s="235"/>
      <c r="P1365" s="235"/>
      <c r="Q1365" s="235"/>
      <c r="R1365" s="235"/>
      <c r="S1365" s="235"/>
      <c r="T1365" s="235"/>
      <c r="U1365" s="235"/>
      <c r="V1365" s="235"/>
      <c r="W1365" s="235"/>
      <c r="X1365" s="235"/>
      <c r="Y1365" s="235"/>
      <c r="Z1365" s="235"/>
      <c r="AA1365" s="235"/>
      <c r="AB1365" s="235"/>
      <c r="AC1365" s="235"/>
    </row>
    <row r="1366">
      <c r="A1366" s="194" t="s">
        <v>2575</v>
      </c>
      <c r="B1366" s="194">
        <v>106530.0</v>
      </c>
      <c r="C1366" s="192" t="s">
        <v>2576</v>
      </c>
      <c r="D1366" s="192" t="s">
        <v>1054</v>
      </c>
      <c r="E1366" s="235"/>
      <c r="F1366" s="235"/>
      <c r="G1366" s="325"/>
      <c r="H1366" s="235"/>
      <c r="I1366" s="235"/>
      <c r="J1366" s="235"/>
      <c r="K1366" s="235"/>
      <c r="L1366" s="235"/>
      <c r="M1366" s="235"/>
      <c r="N1366" s="235"/>
      <c r="O1366" s="235"/>
      <c r="P1366" s="235"/>
      <c r="Q1366" s="235"/>
      <c r="R1366" s="235"/>
      <c r="S1366" s="235"/>
      <c r="T1366" s="235"/>
      <c r="U1366" s="235"/>
      <c r="V1366" s="235"/>
      <c r="W1366" s="235"/>
      <c r="X1366" s="235"/>
      <c r="Y1366" s="235"/>
      <c r="Z1366" s="235"/>
      <c r="AA1366" s="235"/>
      <c r="AB1366" s="235"/>
      <c r="AC1366" s="235"/>
    </row>
    <row r="1367">
      <c r="A1367" s="194" t="s">
        <v>2577</v>
      </c>
      <c r="B1367" s="194">
        <v>106527.0</v>
      </c>
      <c r="C1367" s="192" t="s">
        <v>2578</v>
      </c>
      <c r="D1367" s="192" t="s">
        <v>360</v>
      </c>
      <c r="E1367" s="235"/>
      <c r="F1367" s="235"/>
      <c r="G1367" s="325"/>
      <c r="H1367" s="235"/>
      <c r="I1367" s="235"/>
      <c r="J1367" s="235"/>
      <c r="K1367" s="235"/>
      <c r="L1367" s="235"/>
      <c r="M1367" s="235"/>
      <c r="N1367" s="235"/>
      <c r="O1367" s="235"/>
      <c r="P1367" s="235"/>
      <c r="Q1367" s="235"/>
      <c r="R1367" s="235"/>
      <c r="S1367" s="235"/>
      <c r="T1367" s="235"/>
      <c r="U1367" s="235"/>
      <c r="V1367" s="235"/>
      <c r="W1367" s="235"/>
      <c r="X1367" s="235"/>
      <c r="Y1367" s="235"/>
      <c r="Z1367" s="235"/>
      <c r="AA1367" s="235"/>
      <c r="AB1367" s="235"/>
      <c r="AC1367" s="235"/>
    </row>
    <row r="1368">
      <c r="A1368" s="194" t="s">
        <v>2579</v>
      </c>
      <c r="B1368" s="194">
        <v>106523.0</v>
      </c>
      <c r="C1368" s="192" t="s">
        <v>2580</v>
      </c>
      <c r="D1368" s="192" t="s">
        <v>1547</v>
      </c>
      <c r="E1368" s="235"/>
      <c r="F1368" s="235"/>
      <c r="G1368" s="325"/>
      <c r="H1368" s="235"/>
      <c r="I1368" s="235"/>
      <c r="J1368" s="235"/>
      <c r="K1368" s="235"/>
      <c r="L1368" s="235"/>
      <c r="M1368" s="235"/>
      <c r="N1368" s="235"/>
      <c r="O1368" s="235"/>
      <c r="P1368" s="235"/>
      <c r="Q1368" s="235"/>
      <c r="R1368" s="235"/>
      <c r="S1368" s="235"/>
      <c r="T1368" s="235"/>
      <c r="U1368" s="235"/>
      <c r="V1368" s="235"/>
      <c r="W1368" s="235"/>
      <c r="X1368" s="235"/>
      <c r="Y1368" s="235"/>
      <c r="Z1368" s="235"/>
      <c r="AA1368" s="235"/>
      <c r="AB1368" s="235"/>
      <c r="AC1368" s="235"/>
    </row>
    <row r="1369">
      <c r="A1369" s="194" t="s">
        <v>2581</v>
      </c>
      <c r="B1369" s="194">
        <v>106520.0</v>
      </c>
      <c r="C1369" s="192" t="s">
        <v>2582</v>
      </c>
      <c r="D1369" s="192" t="s">
        <v>2193</v>
      </c>
      <c r="E1369" s="235"/>
      <c r="F1369" s="235"/>
      <c r="G1369" s="325"/>
      <c r="H1369" s="235"/>
      <c r="I1369" s="235"/>
      <c r="J1369" s="235"/>
      <c r="K1369" s="235"/>
      <c r="L1369" s="235"/>
      <c r="M1369" s="235"/>
      <c r="N1369" s="235"/>
      <c r="O1369" s="235"/>
      <c r="P1369" s="235"/>
      <c r="Q1369" s="235"/>
      <c r="R1369" s="235"/>
      <c r="S1369" s="235"/>
      <c r="T1369" s="235"/>
      <c r="U1369" s="235"/>
      <c r="V1369" s="235"/>
      <c r="W1369" s="235"/>
      <c r="X1369" s="235"/>
      <c r="Y1369" s="235"/>
      <c r="Z1369" s="235"/>
      <c r="AA1369" s="235"/>
      <c r="AB1369" s="235"/>
      <c r="AC1369" s="235"/>
    </row>
    <row r="1370">
      <c r="A1370" s="194" t="s">
        <v>2583</v>
      </c>
      <c r="B1370" s="194">
        <v>106553.0</v>
      </c>
      <c r="C1370" s="192" t="s">
        <v>2584</v>
      </c>
      <c r="D1370" s="192" t="s">
        <v>87</v>
      </c>
      <c r="E1370" s="235"/>
      <c r="F1370" s="235"/>
      <c r="G1370" s="325"/>
      <c r="H1370" s="235"/>
      <c r="I1370" s="235"/>
      <c r="J1370" s="235"/>
      <c r="K1370" s="235"/>
      <c r="L1370" s="235"/>
      <c r="M1370" s="235"/>
      <c r="N1370" s="235"/>
      <c r="O1370" s="235"/>
      <c r="P1370" s="235"/>
      <c r="Q1370" s="235"/>
      <c r="R1370" s="235"/>
      <c r="S1370" s="235"/>
      <c r="T1370" s="235"/>
      <c r="U1370" s="235"/>
      <c r="V1370" s="235"/>
      <c r="W1370" s="235"/>
      <c r="X1370" s="235"/>
      <c r="Y1370" s="235"/>
      <c r="Z1370" s="235"/>
      <c r="AA1370" s="235"/>
      <c r="AB1370" s="235"/>
      <c r="AC1370" s="235"/>
    </row>
    <row r="1371">
      <c r="A1371" s="194" t="s">
        <v>2585</v>
      </c>
      <c r="B1371" s="194">
        <v>106494.0</v>
      </c>
      <c r="C1371" s="192" t="s">
        <v>2586</v>
      </c>
      <c r="D1371" s="192" t="s">
        <v>87</v>
      </c>
      <c r="E1371" s="235"/>
      <c r="F1371" s="235"/>
      <c r="G1371" s="325"/>
      <c r="H1371" s="235"/>
      <c r="I1371" s="235"/>
      <c r="J1371" s="235"/>
      <c r="K1371" s="235"/>
      <c r="L1371" s="235"/>
      <c r="M1371" s="235"/>
      <c r="N1371" s="235"/>
      <c r="O1371" s="235"/>
      <c r="P1371" s="235"/>
      <c r="Q1371" s="235"/>
      <c r="R1371" s="235"/>
      <c r="S1371" s="235"/>
      <c r="T1371" s="235"/>
      <c r="U1371" s="235"/>
      <c r="V1371" s="235"/>
      <c r="W1371" s="235"/>
      <c r="X1371" s="235"/>
      <c r="Y1371" s="235"/>
      <c r="Z1371" s="235"/>
      <c r="AA1371" s="235"/>
      <c r="AB1371" s="235"/>
      <c r="AC1371" s="235"/>
    </row>
    <row r="1372">
      <c r="A1372" s="194" t="s">
        <v>2585</v>
      </c>
      <c r="B1372" s="194">
        <v>106494.0</v>
      </c>
      <c r="C1372" s="192" t="s">
        <v>2586</v>
      </c>
      <c r="D1372" s="192" t="s">
        <v>87</v>
      </c>
      <c r="E1372" s="235"/>
      <c r="F1372" s="235"/>
      <c r="G1372" s="325"/>
      <c r="H1372" s="235"/>
      <c r="I1372" s="235"/>
      <c r="J1372" s="235"/>
      <c r="K1372" s="235"/>
      <c r="L1372" s="235"/>
      <c r="M1372" s="235"/>
      <c r="N1372" s="235"/>
      <c r="O1372" s="235"/>
      <c r="P1372" s="235"/>
      <c r="Q1372" s="235"/>
      <c r="R1372" s="235"/>
      <c r="S1372" s="235"/>
      <c r="T1372" s="235"/>
      <c r="U1372" s="235"/>
      <c r="V1372" s="235"/>
      <c r="W1372" s="235"/>
      <c r="X1372" s="235"/>
      <c r="Y1372" s="235"/>
      <c r="Z1372" s="235"/>
      <c r="AA1372" s="235"/>
      <c r="AB1372" s="235"/>
      <c r="AC1372" s="235"/>
    </row>
    <row r="1373">
      <c r="A1373" s="194" t="s">
        <v>2587</v>
      </c>
      <c r="B1373" s="194">
        <v>106507.0</v>
      </c>
      <c r="C1373" s="192" t="s">
        <v>2589</v>
      </c>
      <c r="D1373" s="192" t="s">
        <v>87</v>
      </c>
      <c r="E1373" s="235"/>
      <c r="F1373" s="235"/>
      <c r="G1373" s="325"/>
      <c r="H1373" s="235"/>
      <c r="I1373" s="235"/>
      <c r="J1373" s="235"/>
      <c r="K1373" s="235"/>
      <c r="L1373" s="235"/>
      <c r="M1373" s="235"/>
      <c r="N1373" s="235"/>
      <c r="O1373" s="235"/>
      <c r="P1373" s="235"/>
      <c r="Q1373" s="235"/>
      <c r="R1373" s="235"/>
      <c r="S1373" s="235"/>
      <c r="T1373" s="235"/>
      <c r="U1373" s="235"/>
      <c r="V1373" s="235"/>
      <c r="W1373" s="235"/>
      <c r="X1373" s="235"/>
      <c r="Y1373" s="235"/>
      <c r="Z1373" s="235"/>
      <c r="AA1373" s="235"/>
      <c r="AB1373" s="235"/>
      <c r="AC1373" s="235"/>
    </row>
    <row r="1374">
      <c r="A1374" s="194" t="s">
        <v>2590</v>
      </c>
      <c r="B1374" s="194">
        <v>106451.0</v>
      </c>
      <c r="C1374" s="192" t="s">
        <v>2591</v>
      </c>
      <c r="D1374" s="192" t="s">
        <v>87</v>
      </c>
      <c r="E1374" s="235"/>
      <c r="F1374" s="235"/>
      <c r="G1374" s="325"/>
      <c r="H1374" s="235"/>
      <c r="I1374" s="235"/>
      <c r="J1374" s="235"/>
      <c r="K1374" s="235"/>
      <c r="L1374" s="235"/>
      <c r="M1374" s="235"/>
      <c r="N1374" s="235"/>
      <c r="O1374" s="235"/>
      <c r="P1374" s="235"/>
      <c r="Q1374" s="235"/>
      <c r="R1374" s="235"/>
      <c r="S1374" s="235"/>
      <c r="T1374" s="235"/>
      <c r="U1374" s="235"/>
      <c r="V1374" s="235"/>
      <c r="W1374" s="235"/>
      <c r="X1374" s="235"/>
      <c r="Y1374" s="235"/>
      <c r="Z1374" s="235"/>
      <c r="AA1374" s="235"/>
      <c r="AB1374" s="235"/>
      <c r="AC1374" s="235"/>
    </row>
    <row r="1375">
      <c r="A1375" s="194"/>
      <c r="B1375" s="194"/>
      <c r="C1375" s="192" t="e">
        <v>#REF!</v>
      </c>
      <c r="D1375" s="192"/>
      <c r="E1375" s="235"/>
      <c r="F1375" s="235"/>
      <c r="G1375" s="325"/>
      <c r="H1375" s="235"/>
      <c r="I1375" s="235"/>
      <c r="J1375" s="235"/>
      <c r="K1375" s="235"/>
      <c r="L1375" s="235"/>
      <c r="M1375" s="235"/>
      <c r="N1375" s="235"/>
      <c r="O1375" s="235"/>
      <c r="P1375" s="235"/>
      <c r="Q1375" s="235"/>
      <c r="R1375" s="235"/>
      <c r="S1375" s="235"/>
      <c r="T1375" s="235"/>
      <c r="U1375" s="235"/>
      <c r="V1375" s="235"/>
      <c r="W1375" s="235"/>
      <c r="X1375" s="235"/>
      <c r="Y1375" s="235"/>
      <c r="Z1375" s="235"/>
      <c r="AA1375" s="235"/>
      <c r="AB1375" s="235"/>
      <c r="AC1375" s="235"/>
    </row>
    <row r="1376">
      <c r="A1376" s="194"/>
      <c r="B1376" s="194"/>
      <c r="C1376" s="192" t="e">
        <v>#REF!</v>
      </c>
      <c r="D1376" s="192"/>
      <c r="E1376" s="235"/>
      <c r="F1376" s="235"/>
      <c r="G1376" s="325"/>
      <c r="H1376" s="235"/>
      <c r="I1376" s="235"/>
      <c r="J1376" s="235"/>
      <c r="K1376" s="235"/>
      <c r="L1376" s="235"/>
      <c r="M1376" s="235"/>
      <c r="N1376" s="235"/>
      <c r="O1376" s="235"/>
      <c r="P1376" s="235"/>
      <c r="Q1376" s="235"/>
      <c r="R1376" s="235"/>
      <c r="S1376" s="235"/>
      <c r="T1376" s="235"/>
      <c r="U1376" s="235"/>
      <c r="V1376" s="235"/>
      <c r="W1376" s="235"/>
      <c r="X1376" s="235"/>
      <c r="Y1376" s="235"/>
      <c r="Z1376" s="235"/>
      <c r="AA1376" s="235"/>
      <c r="AB1376" s="235"/>
      <c r="AC1376" s="235"/>
    </row>
    <row r="1377">
      <c r="A1377" s="194"/>
      <c r="B1377" s="194"/>
      <c r="C1377" s="192" t="e">
        <v>#REF!</v>
      </c>
      <c r="D1377" s="192"/>
      <c r="E1377" s="235"/>
      <c r="F1377" s="235"/>
      <c r="G1377" s="325"/>
      <c r="H1377" s="235"/>
      <c r="I1377" s="235"/>
      <c r="J1377" s="235"/>
      <c r="K1377" s="235"/>
      <c r="L1377" s="235"/>
      <c r="M1377" s="235"/>
      <c r="N1377" s="235"/>
      <c r="O1377" s="235"/>
      <c r="P1377" s="235"/>
      <c r="Q1377" s="235"/>
      <c r="R1377" s="235"/>
      <c r="S1377" s="235"/>
      <c r="T1377" s="235"/>
      <c r="U1377" s="235"/>
      <c r="V1377" s="235"/>
      <c r="W1377" s="235"/>
      <c r="X1377" s="235"/>
      <c r="Y1377" s="235"/>
      <c r="Z1377" s="235"/>
      <c r="AA1377" s="235"/>
      <c r="AB1377" s="235"/>
      <c r="AC1377" s="235"/>
    </row>
    <row r="1378">
      <c r="A1378" s="194"/>
      <c r="B1378" s="194"/>
      <c r="C1378" s="192" t="e">
        <v>#REF!</v>
      </c>
      <c r="D1378" s="192"/>
      <c r="E1378" s="235"/>
      <c r="F1378" s="235"/>
      <c r="G1378" s="325"/>
      <c r="H1378" s="235"/>
      <c r="I1378" s="235"/>
      <c r="J1378" s="235"/>
      <c r="K1378" s="235"/>
      <c r="L1378" s="235"/>
      <c r="M1378" s="235"/>
      <c r="N1378" s="235"/>
      <c r="O1378" s="235"/>
      <c r="P1378" s="235"/>
      <c r="Q1378" s="235"/>
      <c r="R1378" s="235"/>
      <c r="S1378" s="235"/>
      <c r="T1378" s="235"/>
      <c r="U1378" s="235"/>
      <c r="V1378" s="235"/>
      <c r="W1378" s="235"/>
      <c r="X1378" s="235"/>
      <c r="Y1378" s="235"/>
      <c r="Z1378" s="235"/>
      <c r="AA1378" s="235"/>
      <c r="AB1378" s="235"/>
      <c r="AC1378" s="235"/>
    </row>
    <row r="1379">
      <c r="A1379" s="194"/>
      <c r="B1379" s="194"/>
      <c r="C1379" s="192" t="e">
        <v>#REF!</v>
      </c>
      <c r="D1379" s="192"/>
      <c r="E1379" s="235"/>
      <c r="F1379" s="235"/>
      <c r="G1379" s="325"/>
      <c r="H1379" s="235"/>
      <c r="I1379" s="235"/>
      <c r="J1379" s="235"/>
      <c r="K1379" s="235"/>
      <c r="L1379" s="235"/>
      <c r="M1379" s="235"/>
      <c r="N1379" s="235"/>
      <c r="O1379" s="235"/>
      <c r="P1379" s="235"/>
      <c r="Q1379" s="235"/>
      <c r="R1379" s="235"/>
      <c r="S1379" s="235"/>
      <c r="T1379" s="235"/>
      <c r="U1379" s="235"/>
      <c r="V1379" s="235"/>
      <c r="W1379" s="235"/>
      <c r="X1379" s="235"/>
      <c r="Y1379" s="235"/>
      <c r="Z1379" s="235"/>
      <c r="AA1379" s="235"/>
      <c r="AB1379" s="235"/>
      <c r="AC1379" s="235"/>
    </row>
    <row r="1380">
      <c r="A1380" s="194" t="s">
        <v>2592</v>
      </c>
      <c r="B1380" s="194">
        <v>106413.0</v>
      </c>
      <c r="C1380" s="192" t="s">
        <v>2593</v>
      </c>
      <c r="D1380" s="192" t="s">
        <v>87</v>
      </c>
      <c r="E1380" s="235"/>
      <c r="F1380" s="235"/>
      <c r="G1380" s="325"/>
      <c r="H1380" s="235"/>
      <c r="I1380" s="235"/>
      <c r="J1380" s="235"/>
      <c r="K1380" s="235"/>
      <c r="L1380" s="235"/>
      <c r="M1380" s="235"/>
      <c r="N1380" s="235"/>
      <c r="O1380" s="235"/>
      <c r="P1380" s="235"/>
      <c r="Q1380" s="235"/>
      <c r="R1380" s="235"/>
      <c r="S1380" s="235"/>
      <c r="T1380" s="235"/>
      <c r="U1380" s="235"/>
      <c r="V1380" s="235"/>
      <c r="W1380" s="235"/>
      <c r="X1380" s="235"/>
      <c r="Y1380" s="235"/>
      <c r="Z1380" s="235"/>
      <c r="AA1380" s="235"/>
      <c r="AB1380" s="235"/>
      <c r="AC1380" s="235"/>
    </row>
    <row r="1381">
      <c r="A1381" s="194" t="s">
        <v>2594</v>
      </c>
      <c r="B1381" s="194">
        <v>106430.0</v>
      </c>
      <c r="C1381" s="192" t="s">
        <v>2595</v>
      </c>
      <c r="D1381" s="192" t="s">
        <v>806</v>
      </c>
      <c r="E1381" s="235"/>
      <c r="F1381" s="235"/>
      <c r="G1381" s="325"/>
      <c r="H1381" s="235"/>
      <c r="I1381" s="235"/>
      <c r="J1381" s="235"/>
      <c r="K1381" s="235"/>
      <c r="L1381" s="235"/>
      <c r="M1381" s="235"/>
      <c r="N1381" s="235"/>
      <c r="O1381" s="235"/>
      <c r="P1381" s="235"/>
      <c r="Q1381" s="235"/>
      <c r="R1381" s="235"/>
      <c r="S1381" s="235"/>
      <c r="T1381" s="235"/>
      <c r="U1381" s="235"/>
      <c r="V1381" s="235"/>
      <c r="W1381" s="235"/>
      <c r="X1381" s="235"/>
      <c r="Y1381" s="235"/>
      <c r="Z1381" s="235"/>
      <c r="AA1381" s="235"/>
      <c r="AB1381" s="235"/>
      <c r="AC1381" s="235"/>
    </row>
    <row r="1382">
      <c r="A1382" s="194"/>
      <c r="B1382" s="194"/>
      <c r="C1382" s="192" t="e">
        <v>#REF!</v>
      </c>
      <c r="D1382" s="192"/>
      <c r="E1382" s="235"/>
      <c r="F1382" s="235"/>
      <c r="G1382" s="325"/>
      <c r="H1382" s="235"/>
      <c r="I1382" s="235"/>
      <c r="J1382" s="235"/>
      <c r="K1382" s="235"/>
      <c r="L1382" s="235"/>
      <c r="M1382" s="235"/>
      <c r="N1382" s="235"/>
      <c r="O1382" s="235"/>
      <c r="P1382" s="235"/>
      <c r="Q1382" s="235"/>
      <c r="R1382" s="235"/>
      <c r="S1382" s="235"/>
      <c r="T1382" s="235"/>
      <c r="U1382" s="235"/>
      <c r="V1382" s="235"/>
      <c r="W1382" s="235"/>
      <c r="X1382" s="235"/>
      <c r="Y1382" s="235"/>
      <c r="Z1382" s="235"/>
      <c r="AA1382" s="235"/>
      <c r="AB1382" s="235"/>
      <c r="AC1382" s="235"/>
    </row>
    <row r="1383">
      <c r="A1383" s="194" t="s">
        <v>2596</v>
      </c>
      <c r="B1383" s="194">
        <v>106419.0</v>
      </c>
      <c r="C1383" s="192" t="s">
        <v>2597</v>
      </c>
      <c r="D1383" s="192" t="s">
        <v>806</v>
      </c>
      <c r="E1383" s="235"/>
      <c r="F1383" s="235"/>
      <c r="G1383" s="325"/>
      <c r="H1383" s="235"/>
      <c r="I1383" s="235"/>
      <c r="J1383" s="235"/>
      <c r="K1383" s="235"/>
      <c r="L1383" s="235"/>
      <c r="M1383" s="235"/>
      <c r="N1383" s="235"/>
      <c r="O1383" s="235"/>
      <c r="P1383" s="235"/>
      <c r="Q1383" s="235"/>
      <c r="R1383" s="235"/>
      <c r="S1383" s="235"/>
      <c r="T1383" s="235"/>
      <c r="U1383" s="235"/>
      <c r="V1383" s="235"/>
      <c r="W1383" s="235"/>
      <c r="X1383" s="235"/>
      <c r="Y1383" s="235"/>
      <c r="Z1383" s="235"/>
      <c r="AA1383" s="235"/>
      <c r="AB1383" s="235"/>
      <c r="AC1383" s="235"/>
    </row>
    <row r="1384">
      <c r="A1384" s="194"/>
      <c r="B1384" s="194"/>
      <c r="C1384" s="192" t="e">
        <v>#REF!</v>
      </c>
      <c r="D1384" s="192"/>
      <c r="E1384" s="235"/>
      <c r="F1384" s="235"/>
      <c r="G1384" s="325"/>
      <c r="H1384" s="235"/>
      <c r="I1384" s="235"/>
      <c r="J1384" s="235"/>
      <c r="K1384" s="235"/>
      <c r="L1384" s="235"/>
      <c r="M1384" s="235"/>
      <c r="N1384" s="235"/>
      <c r="O1384" s="235"/>
      <c r="P1384" s="235"/>
      <c r="Q1384" s="235"/>
      <c r="R1384" s="235"/>
      <c r="S1384" s="235"/>
      <c r="T1384" s="235"/>
      <c r="U1384" s="235"/>
      <c r="V1384" s="235"/>
      <c r="W1384" s="235"/>
      <c r="X1384" s="235"/>
      <c r="Y1384" s="235"/>
      <c r="Z1384" s="235"/>
      <c r="AA1384" s="235"/>
      <c r="AB1384" s="235"/>
      <c r="AC1384" s="235"/>
    </row>
    <row r="1385">
      <c r="A1385" s="194" t="s">
        <v>2598</v>
      </c>
      <c r="B1385" s="194">
        <v>106487.0</v>
      </c>
      <c r="C1385" s="192" t="s">
        <v>2599</v>
      </c>
      <c r="D1385" s="192" t="s">
        <v>154</v>
      </c>
      <c r="E1385" s="235"/>
      <c r="F1385" s="235"/>
      <c r="G1385" s="325"/>
      <c r="H1385" s="235"/>
      <c r="I1385" s="235"/>
      <c r="J1385" s="235"/>
      <c r="K1385" s="235"/>
      <c r="L1385" s="235"/>
      <c r="M1385" s="235"/>
      <c r="N1385" s="235"/>
      <c r="O1385" s="235"/>
      <c r="P1385" s="235"/>
      <c r="Q1385" s="235"/>
      <c r="R1385" s="235"/>
      <c r="S1385" s="235"/>
      <c r="T1385" s="235"/>
      <c r="U1385" s="235"/>
      <c r="V1385" s="235"/>
      <c r="W1385" s="235"/>
      <c r="X1385" s="235"/>
      <c r="Y1385" s="235"/>
      <c r="Z1385" s="235"/>
      <c r="AA1385" s="235"/>
      <c r="AB1385" s="235"/>
      <c r="AC1385" s="235"/>
    </row>
    <row r="1386">
      <c r="A1386" s="194" t="s">
        <v>2600</v>
      </c>
      <c r="B1386" s="194">
        <v>106431.0</v>
      </c>
      <c r="C1386" s="192" t="s">
        <v>2601</v>
      </c>
      <c r="D1386" s="192" t="s">
        <v>87</v>
      </c>
      <c r="E1386" s="235"/>
      <c r="F1386" s="235"/>
      <c r="G1386" s="325"/>
      <c r="H1386" s="235"/>
      <c r="I1386" s="235"/>
      <c r="J1386" s="235"/>
      <c r="K1386" s="235"/>
      <c r="L1386" s="235"/>
      <c r="M1386" s="235"/>
      <c r="N1386" s="235"/>
      <c r="O1386" s="235"/>
      <c r="P1386" s="235"/>
      <c r="Q1386" s="235"/>
      <c r="R1386" s="235"/>
      <c r="S1386" s="235"/>
      <c r="T1386" s="235"/>
      <c r="U1386" s="235"/>
      <c r="V1386" s="235"/>
      <c r="W1386" s="235"/>
      <c r="X1386" s="235"/>
      <c r="Y1386" s="235"/>
      <c r="Z1386" s="235"/>
      <c r="AA1386" s="235"/>
      <c r="AB1386" s="235"/>
      <c r="AC1386" s="235"/>
    </row>
    <row r="1387">
      <c r="A1387" s="194" t="s">
        <v>2602</v>
      </c>
      <c r="B1387" s="194">
        <v>105799.0</v>
      </c>
      <c r="C1387" s="192" t="s">
        <v>2603</v>
      </c>
      <c r="D1387" s="192" t="s">
        <v>113</v>
      </c>
      <c r="E1387" s="235"/>
      <c r="F1387" s="235"/>
      <c r="G1387" s="325"/>
      <c r="H1387" s="235"/>
      <c r="I1387" s="235"/>
      <c r="J1387" s="235"/>
      <c r="K1387" s="235"/>
      <c r="L1387" s="235"/>
      <c r="M1387" s="235"/>
      <c r="N1387" s="235"/>
      <c r="O1387" s="235"/>
      <c r="P1387" s="235"/>
      <c r="Q1387" s="235"/>
      <c r="R1387" s="235"/>
      <c r="S1387" s="235"/>
      <c r="T1387" s="235"/>
      <c r="U1387" s="235"/>
      <c r="V1387" s="235"/>
      <c r="W1387" s="235"/>
      <c r="X1387" s="235"/>
      <c r="Y1387" s="235"/>
      <c r="Z1387" s="235"/>
      <c r="AA1387" s="235"/>
      <c r="AB1387" s="235"/>
      <c r="AC1387" s="235"/>
    </row>
    <row r="1388">
      <c r="A1388" s="194" t="s">
        <v>2604</v>
      </c>
      <c r="B1388" s="194">
        <v>106533.0</v>
      </c>
      <c r="C1388" s="192" t="s">
        <v>2605</v>
      </c>
      <c r="D1388" s="192" t="s">
        <v>87</v>
      </c>
      <c r="E1388" s="235"/>
      <c r="F1388" s="235"/>
      <c r="G1388" s="325"/>
      <c r="H1388" s="235"/>
      <c r="I1388" s="235"/>
      <c r="J1388" s="235"/>
      <c r="K1388" s="235"/>
      <c r="L1388" s="235"/>
      <c r="M1388" s="235"/>
      <c r="N1388" s="235"/>
      <c r="O1388" s="235"/>
      <c r="P1388" s="235"/>
      <c r="Q1388" s="235"/>
      <c r="R1388" s="235"/>
      <c r="S1388" s="235"/>
      <c r="T1388" s="235"/>
      <c r="U1388" s="235"/>
      <c r="V1388" s="235"/>
      <c r="W1388" s="235"/>
      <c r="X1388" s="235"/>
      <c r="Y1388" s="235"/>
      <c r="Z1388" s="235"/>
      <c r="AA1388" s="235"/>
      <c r="AB1388" s="235"/>
      <c r="AC1388" s="235"/>
    </row>
    <row r="1389">
      <c r="A1389" s="194" t="s">
        <v>2606</v>
      </c>
      <c r="B1389" s="194">
        <v>106395.0</v>
      </c>
      <c r="C1389" s="192" t="s">
        <v>2607</v>
      </c>
      <c r="D1389" s="192" t="s">
        <v>427</v>
      </c>
      <c r="E1389" s="235"/>
      <c r="F1389" s="235"/>
      <c r="G1389" s="325"/>
      <c r="H1389" s="235"/>
      <c r="I1389" s="235"/>
      <c r="J1389" s="235"/>
      <c r="K1389" s="235"/>
      <c r="L1389" s="235"/>
      <c r="M1389" s="235"/>
      <c r="N1389" s="235"/>
      <c r="O1389" s="235"/>
      <c r="P1389" s="235"/>
      <c r="Q1389" s="235"/>
      <c r="R1389" s="235"/>
      <c r="S1389" s="235"/>
      <c r="T1389" s="235"/>
      <c r="U1389" s="235"/>
      <c r="V1389" s="235"/>
      <c r="W1389" s="235"/>
      <c r="X1389" s="235"/>
      <c r="Y1389" s="235"/>
      <c r="Z1389" s="235"/>
      <c r="AA1389" s="235"/>
      <c r="AB1389" s="235"/>
      <c r="AC1389" s="235"/>
    </row>
    <row r="1390">
      <c r="A1390" s="194" t="s">
        <v>2608</v>
      </c>
      <c r="B1390" s="194">
        <v>106614.0</v>
      </c>
      <c r="C1390" s="192" t="s">
        <v>2609</v>
      </c>
      <c r="D1390" s="192" t="s">
        <v>87</v>
      </c>
      <c r="E1390" s="235"/>
      <c r="F1390" s="235"/>
      <c r="G1390" s="325"/>
      <c r="H1390" s="235"/>
      <c r="I1390" s="235"/>
      <c r="J1390" s="235"/>
      <c r="K1390" s="235"/>
      <c r="L1390" s="235"/>
      <c r="M1390" s="235"/>
      <c r="N1390" s="235"/>
      <c r="O1390" s="235"/>
      <c r="P1390" s="235"/>
      <c r="Q1390" s="235"/>
      <c r="R1390" s="235"/>
      <c r="S1390" s="235"/>
      <c r="T1390" s="235"/>
      <c r="U1390" s="235"/>
      <c r="V1390" s="235"/>
      <c r="W1390" s="235"/>
      <c r="X1390" s="235"/>
      <c r="Y1390" s="235"/>
      <c r="Z1390" s="235"/>
      <c r="AA1390" s="235"/>
      <c r="AB1390" s="235"/>
      <c r="AC1390" s="235"/>
    </row>
    <row r="1391">
      <c r="A1391" s="194" t="s">
        <v>2610</v>
      </c>
      <c r="B1391" s="194">
        <v>106635.0</v>
      </c>
      <c r="C1391" s="192" t="s">
        <v>2611</v>
      </c>
      <c r="D1391" s="192" t="s">
        <v>87</v>
      </c>
      <c r="E1391" s="235"/>
      <c r="F1391" s="235"/>
      <c r="G1391" s="325"/>
      <c r="H1391" s="235"/>
      <c r="I1391" s="235"/>
      <c r="J1391" s="235"/>
      <c r="K1391" s="235"/>
      <c r="L1391" s="235"/>
      <c r="M1391" s="235"/>
      <c r="N1391" s="235"/>
      <c r="O1391" s="235"/>
      <c r="P1391" s="235"/>
      <c r="Q1391" s="235"/>
      <c r="R1391" s="235"/>
      <c r="S1391" s="235"/>
      <c r="T1391" s="235"/>
      <c r="U1391" s="235"/>
      <c r="V1391" s="235"/>
      <c r="W1391" s="235"/>
      <c r="X1391" s="235"/>
      <c r="Y1391" s="235"/>
      <c r="Z1391" s="235"/>
      <c r="AA1391" s="235"/>
      <c r="AB1391" s="235"/>
      <c r="AC1391" s="235"/>
    </row>
    <row r="1392">
      <c r="A1392" s="194"/>
      <c r="B1392" s="194"/>
      <c r="C1392" s="192" t="e">
        <v>#REF!</v>
      </c>
      <c r="D1392" s="192"/>
      <c r="E1392" s="235"/>
      <c r="F1392" s="235"/>
      <c r="G1392" s="325"/>
      <c r="H1392" s="235"/>
      <c r="I1392" s="235"/>
      <c r="J1392" s="235"/>
      <c r="K1392" s="235"/>
      <c r="L1392" s="235"/>
      <c r="M1392" s="235"/>
      <c r="N1392" s="235"/>
      <c r="O1392" s="235"/>
      <c r="P1392" s="235"/>
      <c r="Q1392" s="235"/>
      <c r="R1392" s="235"/>
      <c r="S1392" s="235"/>
      <c r="T1392" s="235"/>
      <c r="U1392" s="235"/>
      <c r="V1392" s="235"/>
      <c r="W1392" s="235"/>
      <c r="X1392" s="235"/>
      <c r="Y1392" s="235"/>
      <c r="Z1392" s="235"/>
      <c r="AA1392" s="235"/>
      <c r="AB1392" s="235"/>
      <c r="AC1392" s="235"/>
    </row>
    <row r="1393">
      <c r="A1393" s="194" t="s">
        <v>2612</v>
      </c>
      <c r="B1393" s="194">
        <v>106582.0</v>
      </c>
      <c r="C1393" s="192" t="s">
        <v>2613</v>
      </c>
      <c r="D1393" s="192" t="s">
        <v>87</v>
      </c>
      <c r="E1393" s="235"/>
      <c r="F1393" s="235"/>
      <c r="G1393" s="325"/>
      <c r="H1393" s="235"/>
      <c r="I1393" s="235"/>
      <c r="J1393" s="235"/>
      <c r="K1393" s="235"/>
      <c r="L1393" s="235"/>
      <c r="M1393" s="235"/>
      <c r="N1393" s="235"/>
      <c r="O1393" s="235"/>
      <c r="P1393" s="235"/>
      <c r="Q1393" s="235"/>
      <c r="R1393" s="235"/>
      <c r="S1393" s="235"/>
      <c r="T1393" s="235"/>
      <c r="U1393" s="235"/>
      <c r="V1393" s="235"/>
      <c r="W1393" s="235"/>
      <c r="X1393" s="235"/>
      <c r="Y1393" s="235"/>
      <c r="Z1393" s="235"/>
      <c r="AA1393" s="235"/>
      <c r="AB1393" s="235"/>
      <c r="AC1393" s="235"/>
    </row>
    <row r="1394">
      <c r="A1394" s="194" t="s">
        <v>2614</v>
      </c>
      <c r="B1394" s="194">
        <v>106533.0</v>
      </c>
      <c r="C1394" s="192" t="s">
        <v>2605</v>
      </c>
      <c r="D1394" s="192" t="s">
        <v>1212</v>
      </c>
      <c r="E1394" s="235"/>
      <c r="F1394" s="235"/>
      <c r="G1394" s="325"/>
      <c r="H1394" s="235"/>
      <c r="I1394" s="235"/>
      <c r="J1394" s="235"/>
      <c r="K1394" s="235"/>
      <c r="L1394" s="235"/>
      <c r="M1394" s="235"/>
      <c r="N1394" s="235"/>
      <c r="O1394" s="235"/>
      <c r="P1394" s="235"/>
      <c r="Q1394" s="235"/>
      <c r="R1394" s="235"/>
      <c r="S1394" s="235"/>
      <c r="T1394" s="235"/>
      <c r="U1394" s="235"/>
      <c r="V1394" s="235"/>
      <c r="W1394" s="235"/>
      <c r="X1394" s="235"/>
      <c r="Y1394" s="235"/>
      <c r="Z1394" s="235"/>
      <c r="AA1394" s="235"/>
      <c r="AB1394" s="235"/>
      <c r="AC1394" s="235"/>
    </row>
    <row r="1395">
      <c r="A1395" s="194" t="s">
        <v>2615</v>
      </c>
      <c r="B1395" s="194">
        <v>106683.0</v>
      </c>
      <c r="C1395" s="192" t="s">
        <v>2616</v>
      </c>
      <c r="D1395" s="192" t="s">
        <v>87</v>
      </c>
      <c r="E1395" s="235"/>
      <c r="F1395" s="235"/>
      <c r="G1395" s="325"/>
      <c r="H1395" s="235"/>
      <c r="I1395" s="235"/>
      <c r="J1395" s="235"/>
      <c r="K1395" s="235"/>
      <c r="L1395" s="235"/>
      <c r="M1395" s="235"/>
      <c r="N1395" s="235"/>
      <c r="O1395" s="235"/>
      <c r="P1395" s="235"/>
      <c r="Q1395" s="235"/>
      <c r="R1395" s="235"/>
      <c r="S1395" s="235"/>
      <c r="T1395" s="235"/>
      <c r="U1395" s="235"/>
      <c r="V1395" s="235"/>
      <c r="W1395" s="235"/>
      <c r="X1395" s="235"/>
      <c r="Y1395" s="235"/>
      <c r="Z1395" s="235"/>
      <c r="AA1395" s="235"/>
      <c r="AB1395" s="235"/>
      <c r="AC1395" s="235"/>
    </row>
    <row r="1396">
      <c r="A1396" s="194" t="s">
        <v>2617</v>
      </c>
      <c r="B1396" s="194">
        <v>106668.0</v>
      </c>
      <c r="C1396" s="192" t="s">
        <v>2618</v>
      </c>
      <c r="D1396" s="192" t="s">
        <v>87</v>
      </c>
      <c r="E1396" s="235"/>
      <c r="F1396" s="235"/>
      <c r="G1396" s="325"/>
      <c r="H1396" s="235"/>
      <c r="I1396" s="235"/>
      <c r="J1396" s="235"/>
      <c r="K1396" s="235"/>
      <c r="L1396" s="235"/>
      <c r="M1396" s="235"/>
      <c r="N1396" s="235"/>
      <c r="O1396" s="235"/>
      <c r="P1396" s="235"/>
      <c r="Q1396" s="235"/>
      <c r="R1396" s="235"/>
      <c r="S1396" s="235"/>
      <c r="T1396" s="235"/>
      <c r="U1396" s="235"/>
      <c r="V1396" s="235"/>
      <c r="W1396" s="235"/>
      <c r="X1396" s="235"/>
      <c r="Y1396" s="235"/>
      <c r="Z1396" s="235"/>
      <c r="AA1396" s="235"/>
      <c r="AB1396" s="235"/>
      <c r="AC1396" s="235"/>
    </row>
    <row r="1397">
      <c r="A1397" s="194" t="s">
        <v>2619</v>
      </c>
      <c r="B1397" s="194">
        <v>106671.0</v>
      </c>
      <c r="C1397" s="192" t="s">
        <v>2620</v>
      </c>
      <c r="D1397" s="192" t="s">
        <v>87</v>
      </c>
      <c r="E1397" s="235"/>
      <c r="F1397" s="235"/>
      <c r="G1397" s="325"/>
      <c r="H1397" s="235"/>
      <c r="I1397" s="235"/>
      <c r="J1397" s="235"/>
      <c r="K1397" s="235"/>
      <c r="L1397" s="235"/>
      <c r="M1397" s="235"/>
      <c r="N1397" s="235"/>
      <c r="O1397" s="235"/>
      <c r="P1397" s="235"/>
      <c r="Q1397" s="235"/>
      <c r="R1397" s="235"/>
      <c r="S1397" s="235"/>
      <c r="T1397" s="235"/>
      <c r="U1397" s="235"/>
      <c r="V1397" s="235"/>
      <c r="W1397" s="235"/>
      <c r="X1397" s="235"/>
      <c r="Y1397" s="235"/>
      <c r="Z1397" s="235"/>
      <c r="AA1397" s="235"/>
      <c r="AB1397" s="235"/>
      <c r="AC1397" s="235"/>
    </row>
    <row r="1398">
      <c r="A1398" s="194" t="s">
        <v>2621</v>
      </c>
      <c r="B1398" s="194">
        <v>106684.0</v>
      </c>
      <c r="C1398" s="192" t="s">
        <v>2622</v>
      </c>
      <c r="D1398" s="192" t="s">
        <v>87</v>
      </c>
      <c r="E1398" s="235"/>
      <c r="F1398" s="235"/>
      <c r="G1398" s="325"/>
      <c r="H1398" s="235"/>
      <c r="I1398" s="235"/>
      <c r="J1398" s="235"/>
      <c r="K1398" s="235"/>
      <c r="L1398" s="235"/>
      <c r="M1398" s="235"/>
      <c r="N1398" s="235"/>
      <c r="O1398" s="235"/>
      <c r="P1398" s="235"/>
      <c r="Q1398" s="235"/>
      <c r="R1398" s="235"/>
      <c r="S1398" s="235"/>
      <c r="T1398" s="235"/>
      <c r="U1398" s="235"/>
      <c r="V1398" s="235"/>
      <c r="W1398" s="235"/>
      <c r="X1398" s="235"/>
      <c r="Y1398" s="235"/>
      <c r="Z1398" s="235"/>
      <c r="AA1398" s="235"/>
      <c r="AB1398" s="235"/>
      <c r="AC1398" s="235"/>
    </row>
    <row r="1399">
      <c r="A1399" s="194" t="s">
        <v>2623</v>
      </c>
      <c r="B1399" s="194">
        <v>106569.0</v>
      </c>
      <c r="C1399" s="192" t="s">
        <v>2624</v>
      </c>
      <c r="D1399" s="192" t="s">
        <v>427</v>
      </c>
      <c r="E1399" s="235"/>
      <c r="F1399" s="235"/>
      <c r="G1399" s="325"/>
      <c r="H1399" s="235"/>
      <c r="I1399" s="235"/>
      <c r="J1399" s="235"/>
      <c r="K1399" s="235"/>
      <c r="L1399" s="235"/>
      <c r="M1399" s="235"/>
      <c r="N1399" s="235"/>
      <c r="O1399" s="235"/>
      <c r="P1399" s="235"/>
      <c r="Q1399" s="235"/>
      <c r="R1399" s="235"/>
      <c r="S1399" s="235"/>
      <c r="T1399" s="235"/>
      <c r="U1399" s="235"/>
      <c r="V1399" s="235"/>
      <c r="W1399" s="235"/>
      <c r="X1399" s="235"/>
      <c r="Y1399" s="235"/>
      <c r="Z1399" s="235"/>
      <c r="AA1399" s="235"/>
      <c r="AB1399" s="235"/>
      <c r="AC1399" s="235"/>
    </row>
    <row r="1400">
      <c r="A1400" s="194" t="s">
        <v>2625</v>
      </c>
      <c r="B1400" s="194">
        <v>106568.0</v>
      </c>
      <c r="C1400" s="192" t="s">
        <v>2626</v>
      </c>
      <c r="D1400" s="192" t="s">
        <v>427</v>
      </c>
      <c r="E1400" s="235"/>
      <c r="F1400" s="235"/>
      <c r="G1400" s="325"/>
      <c r="H1400" s="235"/>
      <c r="I1400" s="235"/>
      <c r="J1400" s="235"/>
      <c r="K1400" s="235"/>
      <c r="L1400" s="235"/>
      <c r="M1400" s="235"/>
      <c r="N1400" s="235"/>
      <c r="O1400" s="235"/>
      <c r="P1400" s="235"/>
      <c r="Q1400" s="235"/>
      <c r="R1400" s="235"/>
      <c r="S1400" s="235"/>
      <c r="T1400" s="235"/>
      <c r="U1400" s="235"/>
      <c r="V1400" s="235"/>
      <c r="W1400" s="235"/>
      <c r="X1400" s="235"/>
      <c r="Y1400" s="235"/>
      <c r="Z1400" s="235"/>
      <c r="AA1400" s="235"/>
      <c r="AB1400" s="235"/>
      <c r="AC1400" s="235"/>
    </row>
    <row r="1401">
      <c r="A1401" s="194" t="s">
        <v>2627</v>
      </c>
      <c r="B1401" s="194">
        <v>106711.0</v>
      </c>
      <c r="C1401" s="192" t="s">
        <v>2628</v>
      </c>
      <c r="D1401" s="192" t="s">
        <v>87</v>
      </c>
      <c r="E1401" s="235"/>
      <c r="F1401" s="235"/>
      <c r="G1401" s="325"/>
      <c r="H1401" s="235"/>
      <c r="I1401" s="235"/>
      <c r="J1401" s="235"/>
      <c r="K1401" s="235"/>
      <c r="L1401" s="235"/>
      <c r="M1401" s="235"/>
      <c r="N1401" s="235"/>
      <c r="O1401" s="235"/>
      <c r="P1401" s="235"/>
      <c r="Q1401" s="235"/>
      <c r="R1401" s="235"/>
      <c r="S1401" s="235"/>
      <c r="T1401" s="235"/>
      <c r="U1401" s="235"/>
      <c r="V1401" s="235"/>
      <c r="W1401" s="235"/>
      <c r="X1401" s="235"/>
      <c r="Y1401" s="235"/>
      <c r="Z1401" s="235"/>
      <c r="AA1401" s="235"/>
      <c r="AB1401" s="235"/>
      <c r="AC1401" s="235"/>
    </row>
    <row r="1402">
      <c r="A1402" s="194" t="s">
        <v>2630</v>
      </c>
      <c r="B1402" s="194">
        <v>106696.0</v>
      </c>
      <c r="C1402" s="192" t="s">
        <v>2631</v>
      </c>
      <c r="D1402" s="192" t="s">
        <v>87</v>
      </c>
      <c r="E1402" s="235"/>
      <c r="F1402" s="235"/>
      <c r="G1402" s="325"/>
      <c r="H1402" s="235"/>
      <c r="I1402" s="235"/>
      <c r="J1402" s="235"/>
      <c r="K1402" s="235"/>
      <c r="L1402" s="235"/>
      <c r="M1402" s="235"/>
      <c r="N1402" s="235"/>
      <c r="O1402" s="235"/>
      <c r="P1402" s="235"/>
      <c r="Q1402" s="235"/>
      <c r="R1402" s="235"/>
      <c r="S1402" s="235"/>
      <c r="T1402" s="235"/>
      <c r="U1402" s="235"/>
      <c r="V1402" s="235"/>
      <c r="W1402" s="235"/>
      <c r="X1402" s="235"/>
      <c r="Y1402" s="235"/>
      <c r="Z1402" s="235"/>
      <c r="AA1402" s="235"/>
      <c r="AB1402" s="235"/>
      <c r="AC1402" s="235"/>
    </row>
    <row r="1403">
      <c r="A1403" s="194" t="s">
        <v>2632</v>
      </c>
      <c r="B1403" s="194">
        <v>106707.0</v>
      </c>
      <c r="C1403" s="192" t="s">
        <v>2633</v>
      </c>
      <c r="D1403" s="192" t="s">
        <v>87</v>
      </c>
      <c r="E1403" s="235"/>
      <c r="F1403" s="235"/>
      <c r="G1403" s="325"/>
      <c r="H1403" s="235"/>
      <c r="I1403" s="235"/>
      <c r="J1403" s="235"/>
      <c r="K1403" s="235"/>
      <c r="L1403" s="235"/>
      <c r="M1403" s="235"/>
      <c r="N1403" s="235"/>
      <c r="O1403" s="235"/>
      <c r="P1403" s="235"/>
      <c r="Q1403" s="235"/>
      <c r="R1403" s="235"/>
      <c r="S1403" s="235"/>
      <c r="T1403" s="235"/>
      <c r="U1403" s="235"/>
      <c r="V1403" s="235"/>
      <c r="W1403" s="235"/>
      <c r="X1403" s="235"/>
      <c r="Y1403" s="235"/>
      <c r="Z1403" s="235"/>
      <c r="AA1403" s="235"/>
      <c r="AB1403" s="235"/>
      <c r="AC1403" s="235"/>
    </row>
    <row r="1404">
      <c r="A1404" s="194" t="s">
        <v>2634</v>
      </c>
      <c r="B1404" s="194">
        <v>106854.0</v>
      </c>
      <c r="C1404" s="192" t="s">
        <v>2635</v>
      </c>
      <c r="D1404" s="192" t="s">
        <v>87</v>
      </c>
      <c r="E1404" s="235"/>
      <c r="F1404" s="235"/>
      <c r="G1404" s="325"/>
      <c r="H1404" s="235"/>
      <c r="I1404" s="235"/>
      <c r="J1404" s="235"/>
      <c r="K1404" s="235"/>
      <c r="L1404" s="235"/>
      <c r="M1404" s="235"/>
      <c r="N1404" s="235"/>
      <c r="O1404" s="235"/>
      <c r="P1404" s="235"/>
      <c r="Q1404" s="235"/>
      <c r="R1404" s="235"/>
      <c r="S1404" s="235"/>
      <c r="T1404" s="235"/>
      <c r="U1404" s="235"/>
      <c r="V1404" s="235"/>
      <c r="W1404" s="235"/>
      <c r="X1404" s="235"/>
      <c r="Y1404" s="235"/>
      <c r="Z1404" s="235"/>
      <c r="AA1404" s="235"/>
      <c r="AB1404" s="235"/>
      <c r="AC1404" s="235"/>
    </row>
    <row r="1405">
      <c r="A1405" s="194" t="s">
        <v>2636</v>
      </c>
      <c r="B1405" s="194">
        <v>106776.0</v>
      </c>
      <c r="C1405" s="192" t="s">
        <v>2637</v>
      </c>
      <c r="D1405" s="192" t="s">
        <v>87</v>
      </c>
      <c r="E1405" s="235"/>
      <c r="F1405" s="235"/>
      <c r="G1405" s="325"/>
      <c r="H1405" s="235"/>
      <c r="I1405" s="235"/>
      <c r="J1405" s="235"/>
      <c r="K1405" s="235"/>
      <c r="L1405" s="235"/>
      <c r="M1405" s="235"/>
      <c r="N1405" s="235"/>
      <c r="O1405" s="235"/>
      <c r="P1405" s="235"/>
      <c r="Q1405" s="235"/>
      <c r="R1405" s="235"/>
      <c r="S1405" s="235"/>
      <c r="T1405" s="235"/>
      <c r="U1405" s="235"/>
      <c r="V1405" s="235"/>
      <c r="W1405" s="235"/>
      <c r="X1405" s="235"/>
      <c r="Y1405" s="235"/>
      <c r="Z1405" s="235"/>
      <c r="AA1405" s="235"/>
      <c r="AB1405" s="235"/>
      <c r="AC1405" s="235"/>
    </row>
    <row r="1406">
      <c r="A1406" s="194" t="s">
        <v>2638</v>
      </c>
      <c r="B1406" s="194">
        <v>106775.0</v>
      </c>
      <c r="C1406" s="192" t="s">
        <v>2639</v>
      </c>
      <c r="D1406" s="192" t="s">
        <v>87</v>
      </c>
      <c r="E1406" s="235"/>
      <c r="F1406" s="235"/>
      <c r="G1406" s="325"/>
      <c r="H1406" s="235"/>
      <c r="I1406" s="235"/>
      <c r="J1406" s="235"/>
      <c r="K1406" s="235"/>
      <c r="L1406" s="235"/>
      <c r="M1406" s="235"/>
      <c r="N1406" s="235"/>
      <c r="O1406" s="235"/>
      <c r="P1406" s="235"/>
      <c r="Q1406" s="235"/>
      <c r="R1406" s="235"/>
      <c r="S1406" s="235"/>
      <c r="T1406" s="235"/>
      <c r="U1406" s="235"/>
      <c r="V1406" s="235"/>
      <c r="W1406" s="235"/>
      <c r="X1406" s="235"/>
      <c r="Y1406" s="235"/>
      <c r="Z1406" s="235"/>
      <c r="AA1406" s="235"/>
      <c r="AB1406" s="235"/>
      <c r="AC1406" s="235"/>
    </row>
    <row r="1407">
      <c r="A1407" s="194" t="s">
        <v>2640</v>
      </c>
      <c r="B1407" s="194">
        <v>106804.0</v>
      </c>
      <c r="C1407" s="192" t="s">
        <v>2641</v>
      </c>
      <c r="D1407" s="192" t="s">
        <v>2196</v>
      </c>
      <c r="E1407" s="235"/>
      <c r="F1407" s="235"/>
      <c r="G1407" s="325"/>
      <c r="H1407" s="235"/>
      <c r="I1407" s="235"/>
      <c r="J1407" s="235"/>
      <c r="K1407" s="235"/>
      <c r="L1407" s="235"/>
      <c r="M1407" s="235"/>
      <c r="N1407" s="235"/>
      <c r="O1407" s="235"/>
      <c r="P1407" s="235"/>
      <c r="Q1407" s="235"/>
      <c r="R1407" s="235"/>
      <c r="S1407" s="235"/>
      <c r="T1407" s="235"/>
      <c r="U1407" s="235"/>
      <c r="V1407" s="235"/>
      <c r="W1407" s="235"/>
      <c r="X1407" s="235"/>
      <c r="Y1407" s="235"/>
      <c r="Z1407" s="235"/>
      <c r="AA1407" s="235"/>
      <c r="AB1407" s="235"/>
      <c r="AC1407" s="235"/>
    </row>
    <row r="1408">
      <c r="A1408" s="194" t="s">
        <v>2642</v>
      </c>
      <c r="B1408" s="194">
        <v>106009.0</v>
      </c>
      <c r="C1408" s="192" t="s">
        <v>2643</v>
      </c>
      <c r="D1408" s="192" t="s">
        <v>254</v>
      </c>
      <c r="E1408" s="235"/>
      <c r="F1408" s="235"/>
      <c r="G1408" s="325"/>
      <c r="H1408" s="235"/>
      <c r="I1408" s="235"/>
      <c r="J1408" s="235"/>
      <c r="K1408" s="235"/>
      <c r="L1408" s="235"/>
      <c r="M1408" s="235"/>
      <c r="N1408" s="235"/>
      <c r="O1408" s="235"/>
      <c r="P1408" s="235"/>
      <c r="Q1408" s="235"/>
      <c r="R1408" s="235"/>
      <c r="S1408" s="235"/>
      <c r="T1408" s="235"/>
      <c r="U1408" s="235"/>
      <c r="V1408" s="235"/>
      <c r="W1408" s="235"/>
      <c r="X1408" s="235"/>
      <c r="Y1408" s="235"/>
      <c r="Z1408" s="235"/>
      <c r="AA1408" s="235"/>
      <c r="AB1408" s="235"/>
      <c r="AC1408" s="235"/>
    </row>
    <row r="1409">
      <c r="A1409" s="194"/>
      <c r="B1409" s="194"/>
      <c r="C1409" s="192" t="e">
        <v>#REF!</v>
      </c>
      <c r="D1409" s="192"/>
      <c r="E1409" s="235"/>
      <c r="F1409" s="235"/>
      <c r="G1409" s="325"/>
      <c r="H1409" s="235"/>
      <c r="I1409" s="235"/>
      <c r="J1409" s="235"/>
      <c r="K1409" s="235"/>
      <c r="L1409" s="235"/>
      <c r="M1409" s="235"/>
      <c r="N1409" s="235"/>
      <c r="O1409" s="235"/>
      <c r="P1409" s="235"/>
      <c r="Q1409" s="235"/>
      <c r="R1409" s="235"/>
      <c r="S1409" s="235"/>
      <c r="T1409" s="235"/>
      <c r="U1409" s="235"/>
      <c r="V1409" s="235"/>
      <c r="W1409" s="235"/>
      <c r="X1409" s="235"/>
      <c r="Y1409" s="235"/>
      <c r="Z1409" s="235"/>
      <c r="AA1409" s="235"/>
      <c r="AB1409" s="235"/>
      <c r="AC1409" s="235"/>
    </row>
    <row r="1410">
      <c r="A1410" s="194" t="s">
        <v>2642</v>
      </c>
      <c r="B1410" s="194">
        <v>106009.0</v>
      </c>
      <c r="C1410" s="192" t="s">
        <v>2643</v>
      </c>
      <c r="D1410" s="192" t="s">
        <v>254</v>
      </c>
      <c r="E1410" s="235"/>
      <c r="F1410" s="235"/>
      <c r="G1410" s="325"/>
      <c r="H1410" s="235"/>
      <c r="I1410" s="235"/>
      <c r="J1410" s="235"/>
      <c r="K1410" s="235"/>
      <c r="L1410" s="235"/>
      <c r="M1410" s="235"/>
      <c r="N1410" s="235"/>
      <c r="O1410" s="235"/>
      <c r="P1410" s="235"/>
      <c r="Q1410" s="235"/>
      <c r="R1410" s="235"/>
      <c r="S1410" s="235"/>
      <c r="T1410" s="235"/>
      <c r="U1410" s="235"/>
      <c r="V1410" s="235"/>
      <c r="W1410" s="235"/>
      <c r="X1410" s="235"/>
      <c r="Y1410" s="235"/>
      <c r="Z1410" s="235"/>
      <c r="AA1410" s="235"/>
      <c r="AB1410" s="235"/>
      <c r="AC1410" s="235"/>
    </row>
    <row r="1411">
      <c r="A1411" s="194" t="s">
        <v>2644</v>
      </c>
      <c r="B1411" s="194">
        <v>105788.0</v>
      </c>
      <c r="C1411" s="192" t="s">
        <v>2645</v>
      </c>
      <c r="D1411" s="192" t="s">
        <v>625</v>
      </c>
      <c r="E1411" s="235"/>
      <c r="F1411" s="235"/>
      <c r="G1411" s="325"/>
      <c r="H1411" s="235"/>
      <c r="I1411" s="235"/>
      <c r="J1411" s="235"/>
      <c r="K1411" s="235"/>
      <c r="L1411" s="235"/>
      <c r="M1411" s="235"/>
      <c r="N1411" s="235"/>
      <c r="O1411" s="235"/>
      <c r="P1411" s="235"/>
      <c r="Q1411" s="235"/>
      <c r="R1411" s="235"/>
      <c r="S1411" s="235"/>
      <c r="T1411" s="235"/>
      <c r="U1411" s="235"/>
      <c r="V1411" s="235"/>
      <c r="W1411" s="235"/>
      <c r="X1411" s="235"/>
      <c r="Y1411" s="235"/>
      <c r="Z1411" s="235"/>
      <c r="AA1411" s="235"/>
      <c r="AB1411" s="235"/>
      <c r="AC1411" s="235"/>
    </row>
    <row r="1412">
      <c r="A1412" s="194" t="s">
        <v>2452</v>
      </c>
      <c r="B1412" s="194">
        <v>105751.0</v>
      </c>
      <c r="C1412" s="192" t="s">
        <v>2453</v>
      </c>
      <c r="D1412" s="192" t="s">
        <v>254</v>
      </c>
      <c r="E1412" s="235"/>
      <c r="F1412" s="235"/>
      <c r="G1412" s="325"/>
      <c r="H1412" s="235"/>
      <c r="I1412" s="235"/>
      <c r="J1412" s="235"/>
      <c r="K1412" s="235"/>
      <c r="L1412" s="235"/>
      <c r="M1412" s="235"/>
      <c r="N1412" s="235"/>
      <c r="O1412" s="235"/>
      <c r="P1412" s="235"/>
      <c r="Q1412" s="235"/>
      <c r="R1412" s="235"/>
      <c r="S1412" s="235"/>
      <c r="T1412" s="235"/>
      <c r="U1412" s="235"/>
      <c r="V1412" s="235"/>
      <c r="W1412" s="235"/>
      <c r="X1412" s="235"/>
      <c r="Y1412" s="235"/>
      <c r="Z1412" s="235"/>
      <c r="AA1412" s="235"/>
      <c r="AB1412" s="235"/>
      <c r="AC1412" s="235"/>
    </row>
    <row r="1413">
      <c r="A1413" s="194" t="s">
        <v>2646</v>
      </c>
      <c r="B1413" s="194">
        <v>105907.0</v>
      </c>
      <c r="C1413" s="192" t="s">
        <v>2647</v>
      </c>
      <c r="D1413" s="192" t="s">
        <v>767</v>
      </c>
      <c r="E1413" s="235"/>
      <c r="F1413" s="235"/>
      <c r="G1413" s="325"/>
      <c r="H1413" s="235"/>
      <c r="I1413" s="235"/>
      <c r="J1413" s="235"/>
      <c r="K1413" s="235"/>
      <c r="L1413" s="235"/>
      <c r="M1413" s="235"/>
      <c r="N1413" s="235"/>
      <c r="O1413" s="235"/>
      <c r="P1413" s="235"/>
      <c r="Q1413" s="235"/>
      <c r="R1413" s="235"/>
      <c r="S1413" s="235"/>
      <c r="T1413" s="235"/>
      <c r="U1413" s="235"/>
      <c r="V1413" s="235"/>
      <c r="W1413" s="235"/>
      <c r="X1413" s="235"/>
      <c r="Y1413" s="235"/>
      <c r="Z1413" s="235"/>
      <c r="AA1413" s="235"/>
      <c r="AB1413" s="235"/>
      <c r="AC1413" s="235"/>
    </row>
    <row r="1414">
      <c r="A1414" s="194"/>
      <c r="B1414" s="194">
        <v>105939.0</v>
      </c>
      <c r="C1414" s="192" t="s">
        <v>2648</v>
      </c>
      <c r="D1414" s="192" t="s">
        <v>767</v>
      </c>
      <c r="E1414" s="235"/>
      <c r="F1414" s="235"/>
      <c r="G1414" s="325"/>
      <c r="H1414" s="235"/>
      <c r="I1414" s="235"/>
      <c r="J1414" s="235"/>
      <c r="K1414" s="235"/>
      <c r="L1414" s="235"/>
      <c r="M1414" s="235"/>
      <c r="N1414" s="235"/>
      <c r="O1414" s="235"/>
      <c r="P1414" s="235"/>
      <c r="Q1414" s="235"/>
      <c r="R1414" s="235"/>
      <c r="S1414" s="235"/>
      <c r="T1414" s="235"/>
      <c r="U1414" s="235"/>
      <c r="V1414" s="235"/>
      <c r="W1414" s="235"/>
      <c r="X1414" s="235"/>
      <c r="Y1414" s="235"/>
      <c r="Z1414" s="235"/>
      <c r="AA1414" s="235"/>
      <c r="AB1414" s="235"/>
      <c r="AC1414" s="235"/>
    </row>
    <row r="1415">
      <c r="A1415" s="194" t="s">
        <v>2649</v>
      </c>
      <c r="B1415" s="194">
        <v>105938.0</v>
      </c>
      <c r="C1415" s="192" t="s">
        <v>2650</v>
      </c>
      <c r="D1415" s="192" t="s">
        <v>767</v>
      </c>
      <c r="E1415" s="235"/>
      <c r="F1415" s="235"/>
      <c r="G1415" s="325"/>
      <c r="H1415" s="235"/>
      <c r="I1415" s="235"/>
      <c r="J1415" s="235"/>
      <c r="K1415" s="235"/>
      <c r="L1415" s="235"/>
      <c r="M1415" s="235"/>
      <c r="N1415" s="235"/>
      <c r="O1415" s="235"/>
      <c r="P1415" s="235"/>
      <c r="Q1415" s="235"/>
      <c r="R1415" s="235"/>
      <c r="S1415" s="235"/>
      <c r="T1415" s="235"/>
      <c r="U1415" s="235"/>
      <c r="V1415" s="235"/>
      <c r="W1415" s="235"/>
      <c r="X1415" s="235"/>
      <c r="Y1415" s="235"/>
      <c r="Z1415" s="235"/>
      <c r="AA1415" s="235"/>
      <c r="AB1415" s="235"/>
      <c r="AC1415" s="235"/>
    </row>
    <row r="1416">
      <c r="A1416" s="194" t="s">
        <v>2651</v>
      </c>
      <c r="B1416" s="194">
        <v>106039.0</v>
      </c>
      <c r="C1416" s="192" t="s">
        <v>2652</v>
      </c>
      <c r="D1416" s="192" t="s">
        <v>2175</v>
      </c>
      <c r="E1416" s="235"/>
      <c r="F1416" s="235"/>
      <c r="G1416" s="325"/>
      <c r="H1416" s="235"/>
      <c r="I1416" s="235"/>
      <c r="J1416" s="235"/>
      <c r="K1416" s="235"/>
      <c r="L1416" s="235"/>
      <c r="M1416" s="235"/>
      <c r="N1416" s="235"/>
      <c r="O1416" s="235"/>
      <c r="P1416" s="235"/>
      <c r="Q1416" s="235"/>
      <c r="R1416" s="235"/>
      <c r="S1416" s="235"/>
      <c r="T1416" s="235"/>
      <c r="U1416" s="235"/>
      <c r="V1416" s="235"/>
      <c r="W1416" s="235"/>
      <c r="X1416" s="235"/>
      <c r="Y1416" s="235"/>
      <c r="Z1416" s="235"/>
      <c r="AA1416" s="235"/>
      <c r="AB1416" s="235"/>
      <c r="AC1416" s="235"/>
    </row>
    <row r="1417">
      <c r="A1417" s="194" t="s">
        <v>2653</v>
      </c>
      <c r="B1417" s="194">
        <v>105905.0</v>
      </c>
      <c r="C1417" s="192" t="s">
        <v>2654</v>
      </c>
      <c r="D1417" s="192" t="s">
        <v>767</v>
      </c>
      <c r="E1417" s="235"/>
      <c r="F1417" s="235"/>
      <c r="G1417" s="325"/>
      <c r="H1417" s="235"/>
      <c r="I1417" s="235"/>
      <c r="J1417" s="235"/>
      <c r="K1417" s="235"/>
      <c r="L1417" s="235"/>
      <c r="M1417" s="235"/>
      <c r="N1417" s="235"/>
      <c r="O1417" s="235"/>
      <c r="P1417" s="235"/>
      <c r="Q1417" s="235"/>
      <c r="R1417" s="235"/>
      <c r="S1417" s="235"/>
      <c r="T1417" s="235"/>
      <c r="U1417" s="235"/>
      <c r="V1417" s="235"/>
      <c r="W1417" s="235"/>
      <c r="X1417" s="235"/>
      <c r="Y1417" s="235"/>
      <c r="Z1417" s="235"/>
      <c r="AA1417" s="235"/>
      <c r="AB1417" s="235"/>
      <c r="AC1417" s="235"/>
    </row>
    <row r="1418">
      <c r="A1418" s="194" t="s">
        <v>2655</v>
      </c>
      <c r="B1418" s="194">
        <v>105899.0</v>
      </c>
      <c r="C1418" s="192" t="s">
        <v>2656</v>
      </c>
      <c r="D1418" s="192" t="s">
        <v>767</v>
      </c>
      <c r="E1418" s="235"/>
      <c r="F1418" s="235"/>
      <c r="G1418" s="325"/>
      <c r="H1418" s="235"/>
      <c r="I1418" s="235"/>
      <c r="J1418" s="235"/>
      <c r="K1418" s="235"/>
      <c r="L1418" s="235"/>
      <c r="M1418" s="235"/>
      <c r="N1418" s="235"/>
      <c r="O1418" s="235"/>
      <c r="P1418" s="235"/>
      <c r="Q1418" s="235"/>
      <c r="R1418" s="235"/>
      <c r="S1418" s="235"/>
      <c r="T1418" s="235"/>
      <c r="U1418" s="235"/>
      <c r="V1418" s="235"/>
      <c r="W1418" s="235"/>
      <c r="X1418" s="235"/>
      <c r="Y1418" s="235"/>
      <c r="Z1418" s="235"/>
      <c r="AA1418" s="235"/>
      <c r="AB1418" s="235"/>
      <c r="AC1418" s="235"/>
    </row>
    <row r="1419">
      <c r="A1419" s="194" t="s">
        <v>2657</v>
      </c>
      <c r="B1419" s="194">
        <v>105903.0</v>
      </c>
      <c r="C1419" s="192" t="s">
        <v>2658</v>
      </c>
      <c r="D1419" s="192" t="s">
        <v>767</v>
      </c>
      <c r="E1419" s="235"/>
      <c r="F1419" s="235"/>
      <c r="G1419" s="325"/>
      <c r="H1419" s="235"/>
      <c r="I1419" s="235"/>
      <c r="J1419" s="235"/>
      <c r="K1419" s="235"/>
      <c r="L1419" s="235"/>
      <c r="M1419" s="235"/>
      <c r="N1419" s="235"/>
      <c r="O1419" s="235"/>
      <c r="P1419" s="235"/>
      <c r="Q1419" s="235"/>
      <c r="R1419" s="235"/>
      <c r="S1419" s="235"/>
      <c r="T1419" s="235"/>
      <c r="U1419" s="235"/>
      <c r="V1419" s="235"/>
      <c r="W1419" s="235"/>
      <c r="X1419" s="235"/>
      <c r="Y1419" s="235"/>
      <c r="Z1419" s="235"/>
      <c r="AA1419" s="235"/>
      <c r="AB1419" s="235"/>
      <c r="AC1419" s="235"/>
    </row>
    <row r="1420">
      <c r="A1420" s="194" t="s">
        <v>2659</v>
      </c>
      <c r="B1420" s="194">
        <v>105902.0</v>
      </c>
      <c r="C1420" s="192" t="s">
        <v>2660</v>
      </c>
      <c r="D1420" s="192" t="s">
        <v>767</v>
      </c>
      <c r="E1420" s="235"/>
      <c r="F1420" s="235"/>
      <c r="G1420" s="325"/>
      <c r="H1420" s="235"/>
      <c r="I1420" s="235"/>
      <c r="J1420" s="235"/>
      <c r="K1420" s="235"/>
      <c r="L1420" s="235"/>
      <c r="M1420" s="235"/>
      <c r="N1420" s="235"/>
      <c r="O1420" s="235"/>
      <c r="P1420" s="235"/>
      <c r="Q1420" s="235"/>
      <c r="R1420" s="235"/>
      <c r="S1420" s="235"/>
      <c r="T1420" s="235"/>
      <c r="U1420" s="235"/>
      <c r="V1420" s="235"/>
      <c r="W1420" s="235"/>
      <c r="X1420" s="235"/>
      <c r="Y1420" s="235"/>
      <c r="Z1420" s="235"/>
      <c r="AA1420" s="235"/>
      <c r="AB1420" s="235"/>
      <c r="AC1420" s="235"/>
    </row>
    <row r="1421">
      <c r="A1421" s="194" t="s">
        <v>2661</v>
      </c>
      <c r="B1421" s="194">
        <v>105942.0</v>
      </c>
      <c r="C1421" s="192" t="s">
        <v>2662</v>
      </c>
      <c r="D1421" s="192" t="s">
        <v>767</v>
      </c>
      <c r="E1421" s="235"/>
      <c r="F1421" s="235"/>
      <c r="G1421" s="325"/>
      <c r="H1421" s="235"/>
      <c r="I1421" s="235"/>
      <c r="J1421" s="235"/>
      <c r="K1421" s="235"/>
      <c r="L1421" s="235"/>
      <c r="M1421" s="235"/>
      <c r="N1421" s="235"/>
      <c r="O1421" s="235"/>
      <c r="P1421" s="235"/>
      <c r="Q1421" s="235"/>
      <c r="R1421" s="235"/>
      <c r="S1421" s="235"/>
      <c r="T1421" s="235"/>
      <c r="U1421" s="235"/>
      <c r="V1421" s="235"/>
      <c r="W1421" s="235"/>
      <c r="X1421" s="235"/>
      <c r="Y1421" s="235"/>
      <c r="Z1421" s="235"/>
      <c r="AA1421" s="235"/>
      <c r="AB1421" s="235"/>
      <c r="AC1421" s="235"/>
    </row>
    <row r="1422">
      <c r="A1422" s="194" t="s">
        <v>2663</v>
      </c>
      <c r="B1422" s="194">
        <v>105941.0</v>
      </c>
      <c r="C1422" s="192" t="s">
        <v>2664</v>
      </c>
      <c r="D1422" s="192" t="s">
        <v>767</v>
      </c>
      <c r="E1422" s="235"/>
      <c r="F1422" s="235"/>
      <c r="G1422" s="325"/>
      <c r="H1422" s="235"/>
      <c r="I1422" s="235"/>
      <c r="J1422" s="235"/>
      <c r="K1422" s="235"/>
      <c r="L1422" s="235"/>
      <c r="M1422" s="235"/>
      <c r="N1422" s="235"/>
      <c r="O1422" s="235"/>
      <c r="P1422" s="235"/>
      <c r="Q1422" s="235"/>
      <c r="R1422" s="235"/>
      <c r="S1422" s="235"/>
      <c r="T1422" s="235"/>
      <c r="U1422" s="235"/>
      <c r="V1422" s="235"/>
      <c r="W1422" s="235"/>
      <c r="X1422" s="235"/>
      <c r="Y1422" s="235"/>
      <c r="Z1422" s="235"/>
      <c r="AA1422" s="235"/>
      <c r="AB1422" s="235"/>
      <c r="AC1422" s="235"/>
    </row>
    <row r="1423">
      <c r="A1423" s="194" t="s">
        <v>2665</v>
      </c>
      <c r="B1423" s="194">
        <v>105935.0</v>
      </c>
      <c r="C1423" s="192" t="s">
        <v>2666</v>
      </c>
      <c r="D1423" s="192" t="s">
        <v>767</v>
      </c>
      <c r="E1423" s="235"/>
      <c r="F1423" s="235"/>
      <c r="G1423" s="325"/>
      <c r="H1423" s="235"/>
      <c r="I1423" s="235"/>
      <c r="J1423" s="235"/>
      <c r="K1423" s="235"/>
      <c r="L1423" s="235"/>
      <c r="M1423" s="235"/>
      <c r="N1423" s="235"/>
      <c r="O1423" s="235"/>
      <c r="P1423" s="235"/>
      <c r="Q1423" s="235"/>
      <c r="R1423" s="235"/>
      <c r="S1423" s="235"/>
      <c r="T1423" s="235"/>
      <c r="U1423" s="235"/>
      <c r="V1423" s="235"/>
      <c r="W1423" s="235"/>
      <c r="X1423" s="235"/>
      <c r="Y1423" s="235"/>
      <c r="Z1423" s="235"/>
      <c r="AA1423" s="235"/>
      <c r="AB1423" s="235"/>
      <c r="AC1423" s="235"/>
    </row>
    <row r="1424">
      <c r="A1424" s="194" t="s">
        <v>2667</v>
      </c>
      <c r="B1424" s="194">
        <v>105931.0</v>
      </c>
      <c r="C1424" s="192" t="s">
        <v>2668</v>
      </c>
      <c r="D1424" s="192" t="s">
        <v>767</v>
      </c>
      <c r="E1424" s="235"/>
      <c r="F1424" s="235"/>
      <c r="G1424" s="325"/>
      <c r="H1424" s="235"/>
      <c r="I1424" s="235"/>
      <c r="J1424" s="235"/>
      <c r="K1424" s="235"/>
      <c r="L1424" s="235"/>
      <c r="M1424" s="235"/>
      <c r="N1424" s="235"/>
      <c r="O1424" s="235"/>
      <c r="P1424" s="235"/>
      <c r="Q1424" s="235"/>
      <c r="R1424" s="235"/>
      <c r="S1424" s="235"/>
      <c r="T1424" s="235"/>
      <c r="U1424" s="235"/>
      <c r="V1424" s="235"/>
      <c r="W1424" s="235"/>
      <c r="X1424" s="235"/>
      <c r="Y1424" s="235"/>
      <c r="Z1424" s="235"/>
      <c r="AA1424" s="235"/>
      <c r="AB1424" s="235"/>
      <c r="AC1424" s="235"/>
    </row>
    <row r="1425">
      <c r="A1425" s="194" t="s">
        <v>2669</v>
      </c>
      <c r="B1425" s="194">
        <v>105937.0</v>
      </c>
      <c r="C1425" s="192" t="s">
        <v>2670</v>
      </c>
      <c r="D1425" s="192" t="s">
        <v>767</v>
      </c>
      <c r="E1425" s="235"/>
      <c r="F1425" s="235"/>
      <c r="G1425" s="325"/>
      <c r="H1425" s="235"/>
      <c r="I1425" s="235"/>
      <c r="J1425" s="235"/>
      <c r="K1425" s="235"/>
      <c r="L1425" s="235"/>
      <c r="M1425" s="235"/>
      <c r="N1425" s="235"/>
      <c r="O1425" s="235"/>
      <c r="P1425" s="235"/>
      <c r="Q1425" s="235"/>
      <c r="R1425" s="235"/>
      <c r="S1425" s="235"/>
      <c r="T1425" s="235"/>
      <c r="U1425" s="235"/>
      <c r="V1425" s="235"/>
      <c r="W1425" s="235"/>
      <c r="X1425" s="235"/>
      <c r="Y1425" s="235"/>
      <c r="Z1425" s="235"/>
      <c r="AA1425" s="235"/>
      <c r="AB1425" s="235"/>
      <c r="AC1425" s="235"/>
    </row>
    <row r="1426">
      <c r="A1426" s="194" t="s">
        <v>2671</v>
      </c>
      <c r="B1426" s="194">
        <v>105936.0</v>
      </c>
      <c r="C1426" s="192" t="s">
        <v>2672</v>
      </c>
      <c r="D1426" s="192" t="s">
        <v>767</v>
      </c>
      <c r="E1426" s="235"/>
      <c r="F1426" s="235"/>
      <c r="G1426" s="325"/>
      <c r="H1426" s="235"/>
      <c r="I1426" s="235"/>
      <c r="J1426" s="235"/>
      <c r="K1426" s="235"/>
      <c r="L1426" s="235"/>
      <c r="M1426" s="235"/>
      <c r="N1426" s="235"/>
      <c r="O1426" s="235"/>
      <c r="P1426" s="235"/>
      <c r="Q1426" s="235"/>
      <c r="R1426" s="235"/>
      <c r="S1426" s="235"/>
      <c r="T1426" s="235"/>
      <c r="U1426" s="235"/>
      <c r="V1426" s="235"/>
      <c r="W1426" s="235"/>
      <c r="X1426" s="235"/>
      <c r="Y1426" s="235"/>
      <c r="Z1426" s="235"/>
      <c r="AA1426" s="235"/>
      <c r="AB1426" s="235"/>
      <c r="AC1426" s="235"/>
    </row>
    <row r="1427">
      <c r="A1427" s="194" t="s">
        <v>2673</v>
      </c>
      <c r="B1427" s="194">
        <v>105932.0</v>
      </c>
      <c r="C1427" s="192" t="s">
        <v>2674</v>
      </c>
      <c r="D1427" s="192" t="s">
        <v>767</v>
      </c>
      <c r="E1427" s="235"/>
      <c r="F1427" s="235"/>
      <c r="G1427" s="325"/>
      <c r="H1427" s="235"/>
      <c r="I1427" s="235"/>
      <c r="J1427" s="235"/>
      <c r="K1427" s="235"/>
      <c r="L1427" s="235"/>
      <c r="M1427" s="235"/>
      <c r="N1427" s="235"/>
      <c r="O1427" s="235"/>
      <c r="P1427" s="235"/>
      <c r="Q1427" s="235"/>
      <c r="R1427" s="235"/>
      <c r="S1427" s="235"/>
      <c r="T1427" s="235"/>
      <c r="U1427" s="235"/>
      <c r="V1427" s="235"/>
      <c r="W1427" s="235"/>
      <c r="X1427" s="235"/>
      <c r="Y1427" s="235"/>
      <c r="Z1427" s="235"/>
      <c r="AA1427" s="235"/>
      <c r="AB1427" s="235"/>
      <c r="AC1427" s="235"/>
    </row>
    <row r="1428">
      <c r="A1428" s="194" t="s">
        <v>2675</v>
      </c>
      <c r="B1428" s="194">
        <v>105940.0</v>
      </c>
      <c r="C1428" s="192" t="s">
        <v>2676</v>
      </c>
      <c r="D1428" s="192" t="s">
        <v>767</v>
      </c>
      <c r="E1428" s="235"/>
      <c r="F1428" s="235"/>
      <c r="G1428" s="325"/>
      <c r="H1428" s="235"/>
      <c r="I1428" s="235"/>
      <c r="J1428" s="235"/>
      <c r="K1428" s="235"/>
      <c r="L1428" s="235"/>
      <c r="M1428" s="235"/>
      <c r="N1428" s="235"/>
      <c r="O1428" s="235"/>
      <c r="P1428" s="235"/>
      <c r="Q1428" s="235"/>
      <c r="R1428" s="235"/>
      <c r="S1428" s="235"/>
      <c r="T1428" s="235"/>
      <c r="U1428" s="235"/>
      <c r="V1428" s="235"/>
      <c r="W1428" s="235"/>
      <c r="X1428" s="235"/>
      <c r="Y1428" s="235"/>
      <c r="Z1428" s="235"/>
      <c r="AA1428" s="235"/>
      <c r="AB1428" s="235"/>
      <c r="AC1428" s="235"/>
    </row>
    <row r="1429">
      <c r="A1429" s="194" t="s">
        <v>2677</v>
      </c>
      <c r="B1429" s="194">
        <v>105913.0</v>
      </c>
      <c r="C1429" s="192" t="s">
        <v>2678</v>
      </c>
      <c r="D1429" s="192" t="s">
        <v>767</v>
      </c>
      <c r="E1429" s="235"/>
      <c r="F1429" s="235"/>
      <c r="G1429" s="325"/>
      <c r="H1429" s="235"/>
      <c r="I1429" s="235"/>
      <c r="J1429" s="235"/>
      <c r="K1429" s="235"/>
      <c r="L1429" s="235"/>
      <c r="M1429" s="235"/>
      <c r="N1429" s="235"/>
      <c r="O1429" s="235"/>
      <c r="P1429" s="235"/>
      <c r="Q1429" s="235"/>
      <c r="R1429" s="235"/>
      <c r="S1429" s="235"/>
      <c r="T1429" s="235"/>
      <c r="U1429" s="235"/>
      <c r="V1429" s="235"/>
      <c r="W1429" s="235"/>
      <c r="X1429" s="235"/>
      <c r="Y1429" s="235"/>
      <c r="Z1429" s="235"/>
      <c r="AA1429" s="235"/>
      <c r="AB1429" s="235"/>
      <c r="AC1429" s="235"/>
    </row>
    <row r="1430">
      <c r="A1430" s="194" t="s">
        <v>2679</v>
      </c>
      <c r="B1430" s="194">
        <v>105912.0</v>
      </c>
      <c r="C1430" s="192" t="s">
        <v>2680</v>
      </c>
      <c r="D1430" s="192" t="s">
        <v>767</v>
      </c>
      <c r="E1430" s="235"/>
      <c r="F1430" s="235"/>
      <c r="G1430" s="325"/>
      <c r="H1430" s="235"/>
      <c r="I1430" s="235"/>
      <c r="J1430" s="235"/>
      <c r="K1430" s="235"/>
      <c r="L1430" s="235"/>
      <c r="M1430" s="235"/>
      <c r="N1430" s="235"/>
      <c r="O1430" s="235"/>
      <c r="P1430" s="235"/>
      <c r="Q1430" s="235"/>
      <c r="R1430" s="235"/>
      <c r="S1430" s="235"/>
      <c r="T1430" s="235"/>
      <c r="U1430" s="235"/>
      <c r="V1430" s="235"/>
      <c r="W1430" s="235"/>
      <c r="X1430" s="235"/>
      <c r="Y1430" s="235"/>
      <c r="Z1430" s="235"/>
      <c r="AA1430" s="235"/>
      <c r="AB1430" s="235"/>
      <c r="AC1430" s="235"/>
    </row>
    <row r="1431">
      <c r="A1431" s="194" t="s">
        <v>2681</v>
      </c>
      <c r="B1431" s="194">
        <v>105846.0</v>
      </c>
      <c r="C1431" s="192" t="s">
        <v>2682</v>
      </c>
      <c r="D1431" s="192" t="s">
        <v>254</v>
      </c>
      <c r="E1431" s="235"/>
      <c r="F1431" s="235"/>
      <c r="G1431" s="325"/>
      <c r="H1431" s="235"/>
      <c r="I1431" s="235"/>
      <c r="J1431" s="235"/>
      <c r="K1431" s="235"/>
      <c r="L1431" s="235"/>
      <c r="M1431" s="235"/>
      <c r="N1431" s="235"/>
      <c r="O1431" s="235"/>
      <c r="P1431" s="235"/>
      <c r="Q1431" s="235"/>
      <c r="R1431" s="235"/>
      <c r="S1431" s="235"/>
      <c r="T1431" s="235"/>
      <c r="U1431" s="235"/>
      <c r="V1431" s="235"/>
      <c r="W1431" s="235"/>
      <c r="X1431" s="235"/>
      <c r="Y1431" s="235"/>
      <c r="Z1431" s="235"/>
      <c r="AA1431" s="235"/>
      <c r="AB1431" s="235"/>
      <c r="AC1431" s="235"/>
    </row>
    <row r="1432">
      <c r="A1432" s="194" t="s">
        <v>2683</v>
      </c>
      <c r="B1432" s="194">
        <v>105958.0</v>
      </c>
      <c r="C1432" s="192" t="s">
        <v>2684</v>
      </c>
      <c r="D1432" s="192" t="s">
        <v>806</v>
      </c>
      <c r="E1432" s="235"/>
      <c r="F1432" s="235"/>
      <c r="G1432" s="325"/>
      <c r="H1432" s="235"/>
      <c r="I1432" s="235"/>
      <c r="J1432" s="235"/>
      <c r="K1432" s="235"/>
      <c r="L1432" s="235"/>
      <c r="M1432" s="235"/>
      <c r="N1432" s="235"/>
      <c r="O1432" s="235"/>
      <c r="P1432" s="235"/>
      <c r="Q1432" s="235"/>
      <c r="R1432" s="235"/>
      <c r="S1432" s="235"/>
      <c r="T1432" s="235"/>
      <c r="U1432" s="235"/>
      <c r="V1432" s="235"/>
      <c r="W1432" s="235"/>
      <c r="X1432" s="235"/>
      <c r="Y1432" s="235"/>
      <c r="Z1432" s="235"/>
      <c r="AA1432" s="235"/>
      <c r="AB1432" s="235"/>
      <c r="AC1432" s="235"/>
    </row>
    <row r="1433">
      <c r="A1433" s="194" t="s">
        <v>2685</v>
      </c>
      <c r="B1433" s="194">
        <v>105978.0</v>
      </c>
      <c r="C1433" s="192" t="s">
        <v>2686</v>
      </c>
      <c r="D1433" s="192" t="s">
        <v>326</v>
      </c>
      <c r="E1433" s="235"/>
      <c r="F1433" s="235"/>
      <c r="G1433" s="325"/>
      <c r="H1433" s="235"/>
      <c r="I1433" s="235"/>
      <c r="J1433" s="235"/>
      <c r="K1433" s="235"/>
      <c r="L1433" s="235"/>
      <c r="M1433" s="235"/>
      <c r="N1433" s="235"/>
      <c r="O1433" s="235"/>
      <c r="P1433" s="235"/>
      <c r="Q1433" s="235"/>
      <c r="R1433" s="235"/>
      <c r="S1433" s="235"/>
      <c r="T1433" s="235"/>
      <c r="U1433" s="235"/>
      <c r="V1433" s="235"/>
      <c r="W1433" s="235"/>
      <c r="X1433" s="235"/>
      <c r="Y1433" s="235"/>
      <c r="Z1433" s="235"/>
      <c r="AA1433" s="235"/>
      <c r="AB1433" s="235"/>
      <c r="AC1433" s="235"/>
    </row>
    <row r="1434">
      <c r="A1434" s="194" t="s">
        <v>2687</v>
      </c>
      <c r="B1434" s="194">
        <v>105641.0</v>
      </c>
      <c r="C1434" s="192" t="s">
        <v>2688</v>
      </c>
      <c r="D1434" s="192" t="s">
        <v>2179</v>
      </c>
      <c r="E1434" s="235"/>
      <c r="F1434" s="235"/>
      <c r="G1434" s="325"/>
      <c r="H1434" s="235"/>
      <c r="I1434" s="235"/>
      <c r="J1434" s="235"/>
      <c r="K1434" s="235"/>
      <c r="L1434" s="235"/>
      <c r="M1434" s="235"/>
      <c r="N1434" s="235"/>
      <c r="O1434" s="235"/>
      <c r="P1434" s="235"/>
      <c r="Q1434" s="235"/>
      <c r="R1434" s="235"/>
      <c r="S1434" s="235"/>
      <c r="T1434" s="235"/>
      <c r="U1434" s="235"/>
      <c r="V1434" s="235"/>
      <c r="W1434" s="235"/>
      <c r="X1434" s="235"/>
      <c r="Y1434" s="235"/>
      <c r="Z1434" s="235"/>
      <c r="AA1434" s="235"/>
      <c r="AB1434" s="235"/>
      <c r="AC1434" s="235"/>
    </row>
    <row r="1435">
      <c r="A1435" s="194" t="s">
        <v>2687</v>
      </c>
      <c r="B1435" s="194">
        <v>105841.0</v>
      </c>
      <c r="C1435" s="192" t="s">
        <v>2689</v>
      </c>
      <c r="D1435" s="192" t="s">
        <v>2179</v>
      </c>
      <c r="E1435" s="235"/>
      <c r="F1435" s="235"/>
      <c r="G1435" s="325"/>
      <c r="H1435" s="235"/>
      <c r="I1435" s="235"/>
      <c r="J1435" s="235"/>
      <c r="K1435" s="235"/>
      <c r="L1435" s="235"/>
      <c r="M1435" s="235"/>
      <c r="N1435" s="235"/>
      <c r="O1435" s="235"/>
      <c r="P1435" s="235"/>
      <c r="Q1435" s="235"/>
      <c r="R1435" s="235"/>
      <c r="S1435" s="235"/>
      <c r="T1435" s="235"/>
      <c r="U1435" s="235"/>
      <c r="V1435" s="235"/>
      <c r="W1435" s="235"/>
      <c r="X1435" s="235"/>
      <c r="Y1435" s="235"/>
      <c r="Z1435" s="235"/>
      <c r="AA1435" s="235"/>
      <c r="AB1435" s="235"/>
      <c r="AC1435" s="235"/>
    </row>
    <row r="1436">
      <c r="A1436" s="194" t="s">
        <v>2690</v>
      </c>
      <c r="B1436" s="194">
        <v>105614.0</v>
      </c>
      <c r="C1436" s="192" t="s">
        <v>2691</v>
      </c>
      <c r="D1436" s="192" t="s">
        <v>2179</v>
      </c>
      <c r="E1436" s="235"/>
      <c r="F1436" s="235"/>
      <c r="G1436" s="325"/>
      <c r="H1436" s="235"/>
      <c r="I1436" s="235"/>
      <c r="J1436" s="235"/>
      <c r="K1436" s="235"/>
      <c r="L1436" s="235"/>
      <c r="M1436" s="235"/>
      <c r="N1436" s="235"/>
      <c r="O1436" s="235"/>
      <c r="P1436" s="235"/>
      <c r="Q1436" s="235"/>
      <c r="R1436" s="235"/>
      <c r="S1436" s="235"/>
      <c r="T1436" s="235"/>
      <c r="U1436" s="235"/>
      <c r="V1436" s="235"/>
      <c r="W1436" s="235"/>
      <c r="X1436" s="235"/>
      <c r="Y1436" s="235"/>
      <c r="Z1436" s="235"/>
      <c r="AA1436" s="235"/>
      <c r="AB1436" s="235"/>
      <c r="AC1436" s="235"/>
    </row>
    <row r="1437">
      <c r="A1437" s="194" t="s">
        <v>2692</v>
      </c>
      <c r="B1437" s="194">
        <v>106278.0</v>
      </c>
      <c r="C1437" s="192" t="s">
        <v>2693</v>
      </c>
      <c r="D1437" s="192" t="s">
        <v>113</v>
      </c>
      <c r="E1437" s="235"/>
      <c r="F1437" s="235"/>
      <c r="G1437" s="325"/>
      <c r="H1437" s="235"/>
      <c r="I1437" s="235"/>
      <c r="J1437" s="235"/>
      <c r="K1437" s="235"/>
      <c r="L1437" s="235"/>
      <c r="M1437" s="235"/>
      <c r="N1437" s="235"/>
      <c r="O1437" s="235"/>
      <c r="P1437" s="235"/>
      <c r="Q1437" s="235"/>
      <c r="R1437" s="235"/>
      <c r="S1437" s="235"/>
      <c r="T1437" s="235"/>
      <c r="U1437" s="235"/>
      <c r="V1437" s="235"/>
      <c r="W1437" s="235"/>
      <c r="X1437" s="235"/>
      <c r="Y1437" s="235"/>
      <c r="Z1437" s="235"/>
      <c r="AA1437" s="235"/>
      <c r="AB1437" s="235"/>
      <c r="AC1437" s="235"/>
    </row>
    <row r="1438">
      <c r="A1438" s="194" t="s">
        <v>2694</v>
      </c>
      <c r="B1438" s="194">
        <v>106474.0</v>
      </c>
      <c r="C1438" s="192" t="s">
        <v>2695</v>
      </c>
      <c r="D1438" s="192" t="s">
        <v>295</v>
      </c>
      <c r="E1438" s="235"/>
      <c r="F1438" s="235"/>
      <c r="G1438" s="325"/>
      <c r="H1438" s="235"/>
      <c r="I1438" s="235"/>
      <c r="J1438" s="235"/>
      <c r="K1438" s="235"/>
      <c r="L1438" s="235"/>
      <c r="M1438" s="235"/>
      <c r="N1438" s="235"/>
      <c r="O1438" s="235"/>
      <c r="P1438" s="235"/>
      <c r="Q1438" s="235"/>
      <c r="R1438" s="235"/>
      <c r="S1438" s="235"/>
      <c r="T1438" s="235"/>
      <c r="U1438" s="235"/>
      <c r="V1438" s="235"/>
      <c r="W1438" s="235"/>
      <c r="X1438" s="235"/>
      <c r="Y1438" s="235"/>
      <c r="Z1438" s="235"/>
      <c r="AA1438" s="235"/>
      <c r="AB1438" s="235"/>
      <c r="AC1438" s="235"/>
    </row>
    <row r="1439">
      <c r="A1439" s="194" t="s">
        <v>2696</v>
      </c>
      <c r="B1439" s="194">
        <v>106478.0</v>
      </c>
      <c r="C1439" s="192" t="s">
        <v>2697</v>
      </c>
      <c r="D1439" s="192" t="s">
        <v>295</v>
      </c>
      <c r="E1439" s="235"/>
      <c r="F1439" s="235"/>
      <c r="G1439" s="325"/>
      <c r="H1439" s="235"/>
      <c r="I1439" s="235"/>
      <c r="J1439" s="235"/>
      <c r="K1439" s="235"/>
      <c r="L1439" s="235"/>
      <c r="M1439" s="235"/>
      <c r="N1439" s="235"/>
      <c r="O1439" s="235"/>
      <c r="P1439" s="235"/>
      <c r="Q1439" s="235"/>
      <c r="R1439" s="235"/>
      <c r="S1439" s="235"/>
      <c r="T1439" s="235"/>
      <c r="U1439" s="235"/>
      <c r="V1439" s="235"/>
      <c r="W1439" s="235"/>
      <c r="X1439" s="235"/>
      <c r="Y1439" s="235"/>
      <c r="Z1439" s="235"/>
      <c r="AA1439" s="235"/>
      <c r="AB1439" s="235"/>
      <c r="AC1439" s="235"/>
    </row>
    <row r="1440">
      <c r="A1440" s="194" t="s">
        <v>2698</v>
      </c>
      <c r="B1440" s="194">
        <v>106513.0</v>
      </c>
      <c r="C1440" s="192" t="s">
        <v>2699</v>
      </c>
      <c r="D1440" s="192" t="s">
        <v>2185</v>
      </c>
      <c r="E1440" s="235"/>
      <c r="F1440" s="235"/>
      <c r="G1440" s="325"/>
      <c r="H1440" s="235"/>
      <c r="I1440" s="235"/>
      <c r="J1440" s="235"/>
      <c r="K1440" s="235"/>
      <c r="L1440" s="235"/>
      <c r="M1440" s="235"/>
      <c r="N1440" s="235"/>
      <c r="O1440" s="235"/>
      <c r="P1440" s="235"/>
      <c r="Q1440" s="235"/>
      <c r="R1440" s="235"/>
      <c r="S1440" s="235"/>
      <c r="T1440" s="235"/>
      <c r="U1440" s="235"/>
      <c r="V1440" s="235"/>
      <c r="W1440" s="235"/>
      <c r="X1440" s="235"/>
      <c r="Y1440" s="235"/>
      <c r="Z1440" s="235"/>
      <c r="AA1440" s="235"/>
      <c r="AB1440" s="235"/>
      <c r="AC1440" s="235"/>
    </row>
    <row r="1441">
      <c r="A1441" s="194" t="s">
        <v>2700</v>
      </c>
      <c r="B1441" s="194">
        <v>106446.0</v>
      </c>
      <c r="C1441" s="192" t="s">
        <v>2701</v>
      </c>
      <c r="D1441" s="192" t="s">
        <v>380</v>
      </c>
      <c r="E1441" s="235"/>
      <c r="F1441" s="235"/>
      <c r="G1441" s="325"/>
      <c r="H1441" s="235"/>
      <c r="I1441" s="235"/>
      <c r="J1441" s="235"/>
      <c r="K1441" s="235"/>
      <c r="L1441" s="235"/>
      <c r="M1441" s="235"/>
      <c r="N1441" s="235"/>
      <c r="O1441" s="235"/>
      <c r="P1441" s="235"/>
      <c r="Q1441" s="235"/>
      <c r="R1441" s="235"/>
      <c r="S1441" s="235"/>
      <c r="T1441" s="235"/>
      <c r="U1441" s="235"/>
      <c r="V1441" s="235"/>
      <c r="W1441" s="235"/>
      <c r="X1441" s="235"/>
      <c r="Y1441" s="235"/>
      <c r="Z1441" s="235"/>
      <c r="AA1441" s="235"/>
      <c r="AB1441" s="235"/>
      <c r="AC1441" s="235"/>
    </row>
    <row r="1442">
      <c r="A1442" s="194" t="s">
        <v>2702</v>
      </c>
      <c r="B1442" s="194">
        <v>106500.0</v>
      </c>
      <c r="C1442" s="192" t="s">
        <v>2703</v>
      </c>
      <c r="D1442" s="192" t="s">
        <v>360</v>
      </c>
      <c r="E1442" s="235"/>
      <c r="F1442" s="235"/>
      <c r="G1442" s="325"/>
      <c r="H1442" s="235"/>
      <c r="I1442" s="235"/>
      <c r="J1442" s="235"/>
      <c r="K1442" s="235"/>
      <c r="L1442" s="235"/>
      <c r="M1442" s="235"/>
      <c r="N1442" s="235"/>
      <c r="O1442" s="235"/>
      <c r="P1442" s="235"/>
      <c r="Q1442" s="235"/>
      <c r="R1442" s="235"/>
      <c r="S1442" s="235"/>
      <c r="T1442" s="235"/>
      <c r="U1442" s="235"/>
      <c r="V1442" s="235"/>
      <c r="W1442" s="235"/>
      <c r="X1442" s="235"/>
      <c r="Y1442" s="235"/>
      <c r="Z1442" s="235"/>
      <c r="AA1442" s="235"/>
      <c r="AB1442" s="235"/>
      <c r="AC1442" s="235"/>
    </row>
    <row r="1443">
      <c r="A1443" s="194" t="s">
        <v>2704</v>
      </c>
      <c r="B1443" s="194">
        <v>106519.0</v>
      </c>
      <c r="C1443" s="192" t="s">
        <v>2705</v>
      </c>
      <c r="D1443" s="192" t="s">
        <v>1547</v>
      </c>
      <c r="E1443" s="235"/>
      <c r="F1443" s="235"/>
      <c r="G1443" s="325"/>
      <c r="H1443" s="235"/>
      <c r="I1443" s="235"/>
      <c r="J1443" s="235"/>
      <c r="K1443" s="235"/>
      <c r="L1443" s="235"/>
      <c r="M1443" s="235"/>
      <c r="N1443" s="235"/>
      <c r="O1443" s="235"/>
      <c r="P1443" s="235"/>
      <c r="Q1443" s="235"/>
      <c r="R1443" s="235"/>
      <c r="S1443" s="235"/>
      <c r="T1443" s="235"/>
      <c r="U1443" s="235"/>
      <c r="V1443" s="235"/>
      <c r="W1443" s="235"/>
      <c r="X1443" s="235"/>
      <c r="Y1443" s="235"/>
      <c r="Z1443" s="235"/>
      <c r="AA1443" s="235"/>
      <c r="AB1443" s="235"/>
      <c r="AC1443" s="235"/>
    </row>
    <row r="1444">
      <c r="A1444" s="194" t="s">
        <v>2706</v>
      </c>
      <c r="B1444" s="194">
        <v>106528.0</v>
      </c>
      <c r="C1444" s="192" t="s">
        <v>2707</v>
      </c>
      <c r="D1444" s="192" t="s">
        <v>1547</v>
      </c>
      <c r="E1444" s="235"/>
      <c r="F1444" s="235"/>
      <c r="G1444" s="325"/>
      <c r="H1444" s="235"/>
      <c r="I1444" s="235"/>
      <c r="J1444" s="235"/>
      <c r="K1444" s="235"/>
      <c r="L1444" s="235"/>
      <c r="M1444" s="235"/>
      <c r="N1444" s="235"/>
      <c r="O1444" s="235"/>
      <c r="P1444" s="235"/>
      <c r="Q1444" s="235"/>
      <c r="R1444" s="235"/>
      <c r="S1444" s="235"/>
      <c r="T1444" s="235"/>
      <c r="U1444" s="235"/>
      <c r="V1444" s="235"/>
      <c r="W1444" s="235"/>
      <c r="X1444" s="235"/>
      <c r="Y1444" s="235"/>
      <c r="Z1444" s="235"/>
      <c r="AA1444" s="235"/>
      <c r="AB1444" s="235"/>
      <c r="AC1444" s="235"/>
    </row>
    <row r="1445">
      <c r="A1445" s="194" t="s">
        <v>2708</v>
      </c>
      <c r="B1445" s="194">
        <v>106524.0</v>
      </c>
      <c r="C1445" s="192" t="s">
        <v>2709</v>
      </c>
      <c r="D1445" s="192" t="s">
        <v>2193</v>
      </c>
      <c r="E1445" s="235"/>
      <c r="F1445" s="235"/>
      <c r="G1445" s="325"/>
      <c r="H1445" s="235"/>
      <c r="I1445" s="235"/>
      <c r="J1445" s="235"/>
      <c r="K1445" s="235"/>
      <c r="L1445" s="235"/>
      <c r="M1445" s="235"/>
      <c r="N1445" s="235"/>
      <c r="O1445" s="235"/>
      <c r="P1445" s="235"/>
      <c r="Q1445" s="235"/>
      <c r="R1445" s="235"/>
      <c r="S1445" s="235"/>
      <c r="T1445" s="235"/>
      <c r="U1445" s="235"/>
      <c r="V1445" s="235"/>
      <c r="W1445" s="235"/>
      <c r="X1445" s="235"/>
      <c r="Y1445" s="235"/>
      <c r="Z1445" s="235"/>
      <c r="AA1445" s="235"/>
      <c r="AB1445" s="235"/>
      <c r="AC1445" s="235"/>
    </row>
    <row r="1446">
      <c r="A1446" s="194" t="s">
        <v>2708</v>
      </c>
      <c r="B1446" s="194">
        <v>106524.0</v>
      </c>
      <c r="C1446" s="192" t="s">
        <v>2709</v>
      </c>
      <c r="D1446" s="192" t="s">
        <v>2193</v>
      </c>
      <c r="E1446" s="235"/>
      <c r="F1446" s="235"/>
      <c r="G1446" s="325"/>
      <c r="H1446" s="235"/>
      <c r="I1446" s="235"/>
      <c r="J1446" s="235"/>
      <c r="K1446" s="235"/>
      <c r="L1446" s="235"/>
      <c r="M1446" s="235"/>
      <c r="N1446" s="235"/>
      <c r="O1446" s="235"/>
      <c r="P1446" s="235"/>
      <c r="Q1446" s="235"/>
      <c r="R1446" s="235"/>
      <c r="S1446" s="235"/>
      <c r="T1446" s="235"/>
      <c r="U1446" s="235"/>
      <c r="V1446" s="235"/>
      <c r="W1446" s="235"/>
      <c r="X1446" s="235"/>
      <c r="Y1446" s="235"/>
      <c r="Z1446" s="235"/>
      <c r="AA1446" s="235"/>
      <c r="AB1446" s="235"/>
      <c r="AC1446" s="235"/>
    </row>
    <row r="1447">
      <c r="A1447" s="194" t="s">
        <v>2581</v>
      </c>
      <c r="B1447" s="194">
        <v>106524.0</v>
      </c>
      <c r="C1447" s="192" t="s">
        <v>2709</v>
      </c>
      <c r="D1447" s="192" t="s">
        <v>2193</v>
      </c>
      <c r="E1447" s="235"/>
      <c r="F1447" s="235"/>
      <c r="G1447" s="325"/>
      <c r="H1447" s="235"/>
      <c r="I1447" s="235"/>
      <c r="J1447" s="235"/>
      <c r="K1447" s="235"/>
      <c r="L1447" s="235"/>
      <c r="M1447" s="235"/>
      <c r="N1447" s="235"/>
      <c r="O1447" s="235"/>
      <c r="P1447" s="235"/>
      <c r="Q1447" s="235"/>
      <c r="R1447" s="235"/>
      <c r="S1447" s="235"/>
      <c r="T1447" s="235"/>
      <c r="U1447" s="235"/>
      <c r="V1447" s="235"/>
      <c r="W1447" s="235"/>
      <c r="X1447" s="235"/>
      <c r="Y1447" s="235"/>
      <c r="Z1447" s="235"/>
      <c r="AA1447" s="235"/>
      <c r="AB1447" s="235"/>
      <c r="AC1447" s="235"/>
    </row>
    <row r="1448">
      <c r="A1448" s="194" t="s">
        <v>2706</v>
      </c>
      <c r="B1448" s="194">
        <v>106528.0</v>
      </c>
      <c r="C1448" s="192" t="s">
        <v>2707</v>
      </c>
      <c r="D1448" s="192" t="s">
        <v>1547</v>
      </c>
      <c r="E1448" s="235"/>
      <c r="F1448" s="235"/>
      <c r="G1448" s="325"/>
      <c r="H1448" s="235"/>
      <c r="I1448" s="235"/>
      <c r="J1448" s="235"/>
      <c r="K1448" s="235"/>
      <c r="L1448" s="235"/>
      <c r="M1448" s="235"/>
      <c r="N1448" s="235"/>
      <c r="O1448" s="235"/>
      <c r="P1448" s="235"/>
      <c r="Q1448" s="235"/>
      <c r="R1448" s="235"/>
      <c r="S1448" s="235"/>
      <c r="T1448" s="235"/>
      <c r="U1448" s="235"/>
      <c r="V1448" s="235"/>
      <c r="W1448" s="235"/>
      <c r="X1448" s="235"/>
      <c r="Y1448" s="235"/>
      <c r="Z1448" s="235"/>
      <c r="AA1448" s="235"/>
      <c r="AB1448" s="235"/>
      <c r="AC1448" s="235"/>
    </row>
    <row r="1449">
      <c r="A1449" s="194" t="s">
        <v>2704</v>
      </c>
      <c r="B1449" s="194">
        <v>106519.0</v>
      </c>
      <c r="C1449" s="192" t="s">
        <v>2705</v>
      </c>
      <c r="D1449" s="192" t="s">
        <v>1547</v>
      </c>
      <c r="E1449" s="235"/>
      <c r="F1449" s="235"/>
      <c r="G1449" s="325"/>
      <c r="H1449" s="235"/>
      <c r="I1449" s="235"/>
      <c r="J1449" s="235"/>
      <c r="K1449" s="235"/>
      <c r="L1449" s="235"/>
      <c r="M1449" s="235"/>
      <c r="N1449" s="235"/>
      <c r="O1449" s="235"/>
      <c r="P1449" s="235"/>
      <c r="Q1449" s="235"/>
      <c r="R1449" s="235"/>
      <c r="S1449" s="235"/>
      <c r="T1449" s="235"/>
      <c r="U1449" s="235"/>
      <c r="V1449" s="235"/>
      <c r="W1449" s="235"/>
      <c r="X1449" s="235"/>
      <c r="Y1449" s="235"/>
      <c r="Z1449" s="235"/>
      <c r="AA1449" s="235"/>
      <c r="AB1449" s="235"/>
      <c r="AC1449" s="235"/>
    </row>
    <row r="1450">
      <c r="A1450" s="194" t="s">
        <v>2710</v>
      </c>
      <c r="B1450" s="194">
        <v>106522.0</v>
      </c>
      <c r="C1450" s="192" t="s">
        <v>2711</v>
      </c>
      <c r="D1450" s="192" t="s">
        <v>360</v>
      </c>
      <c r="E1450" s="235"/>
      <c r="F1450" s="235"/>
      <c r="G1450" s="325"/>
      <c r="H1450" s="235"/>
      <c r="I1450" s="235"/>
      <c r="J1450" s="235"/>
      <c r="K1450" s="235"/>
      <c r="L1450" s="235"/>
      <c r="M1450" s="235"/>
      <c r="N1450" s="235"/>
      <c r="O1450" s="235"/>
      <c r="P1450" s="235"/>
      <c r="Q1450" s="235"/>
      <c r="R1450" s="235"/>
      <c r="S1450" s="235"/>
      <c r="T1450" s="235"/>
      <c r="U1450" s="235"/>
      <c r="V1450" s="235"/>
      <c r="W1450" s="235"/>
      <c r="X1450" s="235"/>
      <c r="Y1450" s="235"/>
      <c r="Z1450" s="235"/>
      <c r="AA1450" s="235"/>
      <c r="AB1450" s="235"/>
      <c r="AC1450" s="235"/>
    </row>
    <row r="1451">
      <c r="A1451" s="194" t="s">
        <v>2712</v>
      </c>
      <c r="B1451" s="194">
        <v>106225.0</v>
      </c>
      <c r="C1451" s="192" t="s">
        <v>2713</v>
      </c>
      <c r="D1451" s="192" t="s">
        <v>360</v>
      </c>
      <c r="E1451" s="235"/>
      <c r="F1451" s="235"/>
      <c r="G1451" s="325"/>
      <c r="H1451" s="235"/>
      <c r="I1451" s="235"/>
      <c r="J1451" s="235"/>
      <c r="K1451" s="235"/>
      <c r="L1451" s="235"/>
      <c r="M1451" s="235"/>
      <c r="N1451" s="235"/>
      <c r="O1451" s="235"/>
      <c r="P1451" s="235"/>
      <c r="Q1451" s="235"/>
      <c r="R1451" s="235"/>
      <c r="S1451" s="235"/>
      <c r="T1451" s="235"/>
      <c r="U1451" s="235"/>
      <c r="V1451" s="235"/>
      <c r="W1451" s="235"/>
      <c r="X1451" s="235"/>
      <c r="Y1451" s="235"/>
      <c r="Z1451" s="235"/>
      <c r="AA1451" s="235"/>
      <c r="AB1451" s="235"/>
      <c r="AC1451" s="235"/>
    </row>
    <row r="1452">
      <c r="A1452" s="194" t="s">
        <v>2714</v>
      </c>
      <c r="B1452" s="194">
        <v>106046.0</v>
      </c>
      <c r="C1452" s="192" t="s">
        <v>2715</v>
      </c>
      <c r="D1452" s="192" t="s">
        <v>767</v>
      </c>
      <c r="E1452" s="235"/>
      <c r="F1452" s="235"/>
      <c r="G1452" s="325"/>
      <c r="H1452" s="235"/>
      <c r="I1452" s="235"/>
      <c r="J1452" s="235"/>
      <c r="K1452" s="235"/>
      <c r="L1452" s="235"/>
      <c r="M1452" s="235"/>
      <c r="N1452" s="235"/>
      <c r="O1452" s="235"/>
      <c r="P1452" s="235"/>
      <c r="Q1452" s="235"/>
      <c r="R1452" s="235"/>
      <c r="S1452" s="235"/>
      <c r="T1452" s="235"/>
      <c r="U1452" s="235"/>
      <c r="V1452" s="235"/>
      <c r="W1452" s="235"/>
      <c r="X1452" s="235"/>
      <c r="Y1452" s="235"/>
      <c r="Z1452" s="235"/>
      <c r="AA1452" s="235"/>
      <c r="AB1452" s="235"/>
      <c r="AC1452" s="235"/>
    </row>
    <row r="1453">
      <c r="A1453" s="194" t="s">
        <v>2579</v>
      </c>
      <c r="B1453" s="194">
        <v>106523.0</v>
      </c>
      <c r="C1453" s="192" t="s">
        <v>2580</v>
      </c>
      <c r="D1453" s="192" t="s">
        <v>1547</v>
      </c>
      <c r="E1453" s="235"/>
      <c r="F1453" s="235"/>
      <c r="G1453" s="325"/>
      <c r="H1453" s="235"/>
      <c r="I1453" s="235"/>
      <c r="J1453" s="235"/>
      <c r="K1453" s="235"/>
      <c r="L1453" s="235"/>
      <c r="M1453" s="235"/>
      <c r="N1453" s="235"/>
      <c r="O1453" s="235"/>
      <c r="P1453" s="235"/>
      <c r="Q1453" s="235"/>
      <c r="R1453" s="235"/>
      <c r="S1453" s="235"/>
      <c r="T1453" s="235"/>
      <c r="U1453" s="235"/>
      <c r="V1453" s="235"/>
      <c r="W1453" s="235"/>
      <c r="X1453" s="235"/>
      <c r="Y1453" s="235"/>
      <c r="Z1453" s="235"/>
      <c r="AA1453" s="235"/>
      <c r="AB1453" s="235"/>
      <c r="AC1453" s="235"/>
    </row>
    <row r="1454">
      <c r="A1454" s="194" t="s">
        <v>2716</v>
      </c>
      <c r="B1454" s="194">
        <v>104338.0</v>
      </c>
      <c r="C1454" s="192" t="s">
        <v>2717</v>
      </c>
      <c r="D1454" s="192" t="s">
        <v>193</v>
      </c>
      <c r="E1454" s="235"/>
      <c r="F1454" s="235"/>
      <c r="G1454" s="325"/>
      <c r="H1454" s="235"/>
      <c r="I1454" s="235"/>
      <c r="J1454" s="235"/>
      <c r="K1454" s="235"/>
      <c r="L1454" s="235"/>
      <c r="M1454" s="235"/>
      <c r="N1454" s="235"/>
      <c r="O1454" s="235"/>
      <c r="P1454" s="235"/>
      <c r="Q1454" s="235"/>
      <c r="R1454" s="235"/>
      <c r="S1454" s="235"/>
      <c r="T1454" s="235"/>
      <c r="U1454" s="235"/>
      <c r="V1454" s="235"/>
      <c r="W1454" s="235"/>
      <c r="X1454" s="235"/>
      <c r="Y1454" s="235"/>
      <c r="Z1454" s="235"/>
      <c r="AA1454" s="235"/>
      <c r="AB1454" s="235"/>
      <c r="AC1454" s="235"/>
    </row>
    <row r="1455">
      <c r="A1455" s="194" t="s">
        <v>2718</v>
      </c>
      <c r="B1455" s="194">
        <v>105904.0</v>
      </c>
      <c r="C1455" s="192" t="s">
        <v>2719</v>
      </c>
      <c r="D1455" s="192" t="s">
        <v>767</v>
      </c>
      <c r="E1455" s="235"/>
      <c r="F1455" s="235"/>
      <c r="G1455" s="325"/>
      <c r="H1455" s="235"/>
      <c r="I1455" s="235"/>
      <c r="J1455" s="235"/>
      <c r="K1455" s="235"/>
      <c r="L1455" s="235"/>
      <c r="M1455" s="235"/>
      <c r="N1455" s="235"/>
      <c r="O1455" s="235"/>
      <c r="P1455" s="235"/>
      <c r="Q1455" s="235"/>
      <c r="R1455" s="235"/>
      <c r="S1455" s="235"/>
      <c r="T1455" s="235"/>
      <c r="U1455" s="235"/>
      <c r="V1455" s="235"/>
      <c r="W1455" s="235"/>
      <c r="X1455" s="235"/>
      <c r="Y1455" s="235"/>
      <c r="Z1455" s="235"/>
      <c r="AA1455" s="235"/>
      <c r="AB1455" s="235"/>
      <c r="AC1455" s="235"/>
    </row>
    <row r="1456">
      <c r="A1456" s="194" t="s">
        <v>2720</v>
      </c>
      <c r="B1456" s="194">
        <v>105906.0</v>
      </c>
      <c r="C1456" s="192" t="s">
        <v>2721</v>
      </c>
      <c r="D1456" s="192" t="s">
        <v>767</v>
      </c>
      <c r="E1456" s="235"/>
      <c r="F1456" s="235"/>
      <c r="G1456" s="325"/>
      <c r="H1456" s="235"/>
      <c r="I1456" s="235"/>
      <c r="J1456" s="235"/>
      <c r="K1456" s="235"/>
      <c r="L1456" s="235"/>
      <c r="M1456" s="235"/>
      <c r="N1456" s="235"/>
      <c r="O1456" s="235"/>
      <c r="P1456" s="235"/>
      <c r="Q1456" s="235"/>
      <c r="R1456" s="235"/>
      <c r="S1456" s="235"/>
      <c r="T1456" s="235"/>
      <c r="U1456" s="235"/>
      <c r="V1456" s="235"/>
      <c r="W1456" s="235"/>
      <c r="X1456" s="235"/>
      <c r="Y1456" s="235"/>
      <c r="Z1456" s="235"/>
      <c r="AA1456" s="235"/>
      <c r="AB1456" s="235"/>
      <c r="AC1456" s="235"/>
    </row>
    <row r="1457">
      <c r="A1457" s="194" t="s">
        <v>2722</v>
      </c>
      <c r="B1457" s="194">
        <v>106030.0</v>
      </c>
      <c r="C1457" s="192" t="s">
        <v>2723</v>
      </c>
      <c r="D1457" s="192" t="s">
        <v>767</v>
      </c>
      <c r="E1457" s="235"/>
      <c r="F1457" s="235"/>
      <c r="G1457" s="325"/>
      <c r="H1457" s="235"/>
      <c r="I1457" s="235"/>
      <c r="J1457" s="235"/>
      <c r="K1457" s="235"/>
      <c r="L1457" s="235"/>
      <c r="M1457" s="235"/>
      <c r="N1457" s="235"/>
      <c r="O1457" s="235"/>
      <c r="P1457" s="235"/>
      <c r="Q1457" s="235"/>
      <c r="R1457" s="235"/>
      <c r="S1457" s="235"/>
      <c r="T1457" s="235"/>
      <c r="U1457" s="235"/>
      <c r="V1457" s="235"/>
      <c r="W1457" s="235"/>
      <c r="X1457" s="235"/>
      <c r="Y1457" s="235"/>
      <c r="Z1457" s="235"/>
      <c r="AA1457" s="235"/>
      <c r="AB1457" s="235"/>
      <c r="AC1457" s="235"/>
    </row>
    <row r="1458">
      <c r="A1458" s="194" t="s">
        <v>2724</v>
      </c>
      <c r="B1458" s="194">
        <v>106031.0</v>
      </c>
      <c r="C1458" s="192" t="s">
        <v>2725</v>
      </c>
      <c r="D1458" s="192" t="s">
        <v>767</v>
      </c>
      <c r="E1458" s="235"/>
      <c r="F1458" s="235"/>
      <c r="G1458" s="325"/>
      <c r="H1458" s="235"/>
      <c r="I1458" s="235"/>
      <c r="J1458" s="235"/>
      <c r="K1458" s="235"/>
      <c r="L1458" s="235"/>
      <c r="M1458" s="235"/>
      <c r="N1458" s="235"/>
      <c r="O1458" s="235"/>
      <c r="P1458" s="235"/>
      <c r="Q1458" s="235"/>
      <c r="R1458" s="235"/>
      <c r="S1458" s="235"/>
      <c r="T1458" s="235"/>
      <c r="U1458" s="235"/>
      <c r="V1458" s="235"/>
      <c r="W1458" s="235"/>
      <c r="X1458" s="235"/>
      <c r="Y1458" s="235"/>
      <c r="Z1458" s="235"/>
      <c r="AA1458" s="235"/>
      <c r="AB1458" s="235"/>
      <c r="AC1458" s="235"/>
    </row>
    <row r="1459">
      <c r="A1459" s="194" t="s">
        <v>2726</v>
      </c>
      <c r="B1459" s="194">
        <v>105946.0</v>
      </c>
      <c r="C1459" s="192" t="s">
        <v>2727</v>
      </c>
      <c r="D1459" s="192" t="s">
        <v>767</v>
      </c>
      <c r="E1459" s="235"/>
      <c r="F1459" s="235"/>
      <c r="G1459" s="325"/>
      <c r="H1459" s="235"/>
      <c r="I1459" s="235"/>
      <c r="J1459" s="235"/>
      <c r="K1459" s="235"/>
      <c r="L1459" s="235"/>
      <c r="M1459" s="235"/>
      <c r="N1459" s="235"/>
      <c r="O1459" s="235"/>
      <c r="P1459" s="235"/>
      <c r="Q1459" s="235"/>
      <c r="R1459" s="235"/>
      <c r="S1459" s="235"/>
      <c r="T1459" s="235"/>
      <c r="U1459" s="235"/>
      <c r="V1459" s="235"/>
      <c r="W1459" s="235"/>
      <c r="X1459" s="235"/>
      <c r="Y1459" s="235"/>
      <c r="Z1459" s="235"/>
      <c r="AA1459" s="235"/>
      <c r="AB1459" s="235"/>
      <c r="AC1459" s="235"/>
    </row>
    <row r="1460">
      <c r="A1460" s="194" t="s">
        <v>2726</v>
      </c>
      <c r="B1460" s="194">
        <v>105946.0</v>
      </c>
      <c r="C1460" s="192" t="s">
        <v>2727</v>
      </c>
      <c r="D1460" s="192"/>
      <c r="E1460" s="235"/>
      <c r="F1460" s="235"/>
      <c r="G1460" s="325"/>
      <c r="H1460" s="235"/>
      <c r="I1460" s="235"/>
      <c r="J1460" s="235"/>
      <c r="K1460" s="235"/>
      <c r="L1460" s="235"/>
      <c r="M1460" s="235"/>
      <c r="N1460" s="235"/>
      <c r="O1460" s="235"/>
      <c r="P1460" s="235"/>
      <c r="Q1460" s="235"/>
      <c r="R1460" s="235"/>
      <c r="S1460" s="235"/>
      <c r="T1460" s="235"/>
      <c r="U1460" s="235"/>
      <c r="V1460" s="235"/>
      <c r="W1460" s="235"/>
      <c r="X1460" s="235"/>
      <c r="Y1460" s="235"/>
      <c r="Z1460" s="235"/>
      <c r="AA1460" s="235"/>
      <c r="AB1460" s="235"/>
      <c r="AC1460" s="235"/>
    </row>
    <row r="1461">
      <c r="A1461" s="194" t="s">
        <v>2728</v>
      </c>
      <c r="B1461" s="194">
        <v>105911.0</v>
      </c>
      <c r="C1461" s="192" t="s">
        <v>2729</v>
      </c>
      <c r="D1461" s="192" t="s">
        <v>767</v>
      </c>
      <c r="E1461" s="235"/>
      <c r="F1461" s="235"/>
      <c r="G1461" s="325"/>
      <c r="H1461" s="235"/>
      <c r="I1461" s="235"/>
      <c r="J1461" s="235"/>
      <c r="K1461" s="235"/>
      <c r="L1461" s="235"/>
      <c r="M1461" s="235"/>
      <c r="N1461" s="235"/>
      <c r="O1461" s="235"/>
      <c r="P1461" s="235"/>
      <c r="Q1461" s="235"/>
      <c r="R1461" s="235"/>
      <c r="S1461" s="235"/>
      <c r="T1461" s="235"/>
      <c r="U1461" s="235"/>
      <c r="V1461" s="235"/>
      <c r="W1461" s="235"/>
      <c r="X1461" s="235"/>
      <c r="Y1461" s="235"/>
      <c r="Z1461" s="235"/>
      <c r="AA1461" s="235"/>
      <c r="AB1461" s="235"/>
      <c r="AC1461" s="235"/>
    </row>
    <row r="1462">
      <c r="A1462" s="194" t="s">
        <v>2730</v>
      </c>
      <c r="B1462" s="194">
        <v>105910.0</v>
      </c>
      <c r="C1462" s="192" t="s">
        <v>2731</v>
      </c>
      <c r="D1462" s="192" t="s">
        <v>767</v>
      </c>
      <c r="E1462" s="235"/>
      <c r="F1462" s="235"/>
      <c r="G1462" s="325"/>
      <c r="H1462" s="235"/>
      <c r="I1462" s="235"/>
      <c r="J1462" s="235"/>
      <c r="K1462" s="235"/>
      <c r="L1462" s="235"/>
      <c r="M1462" s="235"/>
      <c r="N1462" s="235"/>
      <c r="O1462" s="235"/>
      <c r="P1462" s="235"/>
      <c r="Q1462" s="235"/>
      <c r="R1462" s="235"/>
      <c r="S1462" s="235"/>
      <c r="T1462" s="235"/>
      <c r="U1462" s="235"/>
      <c r="V1462" s="235"/>
      <c r="W1462" s="235"/>
      <c r="X1462" s="235"/>
      <c r="Y1462" s="235"/>
      <c r="Z1462" s="235"/>
      <c r="AA1462" s="235"/>
      <c r="AB1462" s="235"/>
      <c r="AC1462" s="235"/>
    </row>
    <row r="1463">
      <c r="A1463" s="194" t="s">
        <v>2732</v>
      </c>
      <c r="B1463" s="194">
        <v>105909.0</v>
      </c>
      <c r="C1463" s="192" t="s">
        <v>2733</v>
      </c>
      <c r="D1463" s="192" t="s">
        <v>767</v>
      </c>
      <c r="E1463" s="235"/>
      <c r="F1463" s="235"/>
      <c r="G1463" s="325"/>
      <c r="H1463" s="235"/>
      <c r="I1463" s="235"/>
      <c r="J1463" s="235"/>
      <c r="K1463" s="235"/>
      <c r="L1463" s="235"/>
      <c r="M1463" s="235"/>
      <c r="N1463" s="235"/>
      <c r="O1463" s="235"/>
      <c r="P1463" s="235"/>
      <c r="Q1463" s="235"/>
      <c r="R1463" s="235"/>
      <c r="S1463" s="235"/>
      <c r="T1463" s="235"/>
      <c r="U1463" s="235"/>
      <c r="V1463" s="235"/>
      <c r="W1463" s="235"/>
      <c r="X1463" s="235"/>
      <c r="Y1463" s="235"/>
      <c r="Z1463" s="235"/>
      <c r="AA1463" s="235"/>
      <c r="AB1463" s="235"/>
      <c r="AC1463" s="235"/>
    </row>
    <row r="1464">
      <c r="A1464" s="194" t="s">
        <v>2734</v>
      </c>
      <c r="B1464" s="194">
        <v>105923.0</v>
      </c>
      <c r="C1464" s="192" t="s">
        <v>2735</v>
      </c>
      <c r="D1464" s="192" t="s">
        <v>767</v>
      </c>
      <c r="E1464" s="235"/>
      <c r="F1464" s="235"/>
      <c r="G1464" s="325"/>
      <c r="H1464" s="235"/>
      <c r="I1464" s="235"/>
      <c r="J1464" s="235"/>
      <c r="K1464" s="235"/>
      <c r="L1464" s="235"/>
      <c r="M1464" s="235"/>
      <c r="N1464" s="235"/>
      <c r="O1464" s="235"/>
      <c r="P1464" s="235"/>
      <c r="Q1464" s="235"/>
      <c r="R1464" s="235"/>
      <c r="S1464" s="235"/>
      <c r="T1464" s="235"/>
      <c r="U1464" s="235"/>
      <c r="V1464" s="235"/>
      <c r="W1464" s="235"/>
      <c r="X1464" s="235"/>
      <c r="Y1464" s="235"/>
      <c r="Z1464" s="235"/>
      <c r="AA1464" s="235"/>
      <c r="AB1464" s="235"/>
      <c r="AC1464" s="235"/>
    </row>
    <row r="1465">
      <c r="A1465" s="194" t="s">
        <v>2736</v>
      </c>
      <c r="B1465" s="194">
        <v>105927.0</v>
      </c>
      <c r="C1465" s="192" t="s">
        <v>2737</v>
      </c>
      <c r="D1465" s="192" t="s">
        <v>767</v>
      </c>
      <c r="E1465" s="235"/>
      <c r="F1465" s="235"/>
      <c r="G1465" s="325"/>
      <c r="H1465" s="235"/>
      <c r="I1465" s="235"/>
      <c r="J1465" s="235"/>
      <c r="K1465" s="235"/>
      <c r="L1465" s="235"/>
      <c r="M1465" s="235"/>
      <c r="N1465" s="235"/>
      <c r="O1465" s="235"/>
      <c r="P1465" s="235"/>
      <c r="Q1465" s="235"/>
      <c r="R1465" s="235"/>
      <c r="S1465" s="235"/>
      <c r="T1465" s="235"/>
      <c r="U1465" s="235"/>
      <c r="V1465" s="235"/>
      <c r="W1465" s="235"/>
      <c r="X1465" s="235"/>
      <c r="Y1465" s="235"/>
      <c r="Z1465" s="235"/>
      <c r="AA1465" s="235"/>
      <c r="AB1465" s="235"/>
      <c r="AC1465" s="235"/>
    </row>
    <row r="1466">
      <c r="A1466" s="194" t="s">
        <v>2738</v>
      </c>
      <c r="B1466" s="194">
        <v>105926.0</v>
      </c>
      <c r="C1466" s="192" t="s">
        <v>2739</v>
      </c>
      <c r="D1466" s="192" t="s">
        <v>767</v>
      </c>
      <c r="E1466" s="235"/>
      <c r="F1466" s="235"/>
      <c r="G1466" s="325"/>
      <c r="H1466" s="235"/>
      <c r="I1466" s="235"/>
      <c r="J1466" s="235"/>
      <c r="K1466" s="235"/>
      <c r="L1466" s="235"/>
      <c r="M1466" s="235"/>
      <c r="N1466" s="235"/>
      <c r="O1466" s="235"/>
      <c r="P1466" s="235"/>
      <c r="Q1466" s="235"/>
      <c r="R1466" s="235"/>
      <c r="S1466" s="235"/>
      <c r="T1466" s="235"/>
      <c r="U1466" s="235"/>
      <c r="V1466" s="235"/>
      <c r="W1466" s="235"/>
      <c r="X1466" s="235"/>
      <c r="Y1466" s="235"/>
      <c r="Z1466" s="235"/>
      <c r="AA1466" s="235"/>
      <c r="AB1466" s="235"/>
      <c r="AC1466" s="235"/>
    </row>
    <row r="1467">
      <c r="A1467" s="194" t="s">
        <v>2740</v>
      </c>
      <c r="B1467" s="194">
        <v>105922.0</v>
      </c>
      <c r="C1467" s="192" t="s">
        <v>2741</v>
      </c>
      <c r="D1467" s="192" t="s">
        <v>767</v>
      </c>
      <c r="E1467" s="235"/>
      <c r="F1467" s="235"/>
      <c r="G1467" s="325"/>
      <c r="H1467" s="235"/>
      <c r="I1467" s="235"/>
      <c r="J1467" s="235"/>
      <c r="K1467" s="235"/>
      <c r="L1467" s="235"/>
      <c r="M1467" s="235"/>
      <c r="N1467" s="235"/>
      <c r="O1467" s="235"/>
      <c r="P1467" s="235"/>
      <c r="Q1467" s="235"/>
      <c r="R1467" s="235"/>
      <c r="S1467" s="235"/>
      <c r="T1467" s="235"/>
      <c r="U1467" s="235"/>
      <c r="V1467" s="235"/>
      <c r="W1467" s="235"/>
      <c r="X1467" s="235"/>
      <c r="Y1467" s="235"/>
      <c r="Z1467" s="235"/>
      <c r="AA1467" s="235"/>
      <c r="AB1467" s="235"/>
      <c r="AC1467" s="235"/>
    </row>
    <row r="1468">
      <c r="A1468" s="194" t="s">
        <v>2742</v>
      </c>
      <c r="B1468" s="194">
        <v>104862.0</v>
      </c>
      <c r="C1468" s="192" t="s">
        <v>2743</v>
      </c>
      <c r="D1468" s="192" t="s">
        <v>2199</v>
      </c>
      <c r="E1468" s="235"/>
      <c r="F1468" s="235"/>
      <c r="G1468" s="325"/>
      <c r="H1468" s="235"/>
      <c r="I1468" s="235"/>
      <c r="J1468" s="235"/>
      <c r="K1468" s="235"/>
      <c r="L1468" s="235"/>
      <c r="M1468" s="235"/>
      <c r="N1468" s="235"/>
      <c r="O1468" s="235"/>
      <c r="P1468" s="235"/>
      <c r="Q1468" s="235"/>
      <c r="R1468" s="235"/>
      <c r="S1468" s="235"/>
      <c r="T1468" s="235"/>
      <c r="U1468" s="235"/>
      <c r="V1468" s="235"/>
      <c r="W1468" s="235"/>
      <c r="X1468" s="235"/>
      <c r="Y1468" s="235"/>
      <c r="Z1468" s="235"/>
      <c r="AA1468" s="235"/>
      <c r="AB1468" s="235"/>
      <c r="AC1468" s="235"/>
    </row>
    <row r="1469">
      <c r="A1469" s="194" t="s">
        <v>2744</v>
      </c>
      <c r="B1469" s="194">
        <v>106012.0</v>
      </c>
      <c r="C1469" s="192" t="s">
        <v>2745</v>
      </c>
      <c r="D1469" s="192" t="s">
        <v>312</v>
      </c>
      <c r="E1469" s="235"/>
      <c r="F1469" s="235"/>
      <c r="G1469" s="325"/>
      <c r="H1469" s="235"/>
      <c r="I1469" s="235"/>
      <c r="J1469" s="235"/>
      <c r="K1469" s="235"/>
      <c r="L1469" s="235"/>
      <c r="M1469" s="235"/>
      <c r="N1469" s="235"/>
      <c r="O1469" s="235"/>
      <c r="P1469" s="235"/>
      <c r="Q1469" s="235"/>
      <c r="R1469" s="235"/>
      <c r="S1469" s="235"/>
      <c r="T1469" s="235"/>
      <c r="U1469" s="235"/>
      <c r="V1469" s="235"/>
      <c r="W1469" s="235"/>
      <c r="X1469" s="235"/>
      <c r="Y1469" s="235"/>
      <c r="Z1469" s="235"/>
      <c r="AA1469" s="235"/>
      <c r="AB1469" s="235"/>
      <c r="AC1469" s="235"/>
    </row>
    <row r="1470">
      <c r="A1470" s="194" t="s">
        <v>2404</v>
      </c>
      <c r="B1470" s="194">
        <v>106096.0</v>
      </c>
      <c r="C1470" s="192" t="s">
        <v>2405</v>
      </c>
      <c r="D1470" s="192" t="s">
        <v>254</v>
      </c>
      <c r="E1470" s="235"/>
      <c r="F1470" s="235"/>
      <c r="G1470" s="325"/>
      <c r="H1470" s="235"/>
      <c r="I1470" s="235"/>
      <c r="J1470" s="235"/>
      <c r="K1470" s="235"/>
      <c r="L1470" s="235"/>
      <c r="M1470" s="235"/>
      <c r="N1470" s="235"/>
      <c r="O1470" s="235"/>
      <c r="P1470" s="235"/>
      <c r="Q1470" s="235"/>
      <c r="R1470" s="235"/>
      <c r="S1470" s="235"/>
      <c r="T1470" s="235"/>
      <c r="U1470" s="235"/>
      <c r="V1470" s="235"/>
      <c r="W1470" s="235"/>
      <c r="X1470" s="235"/>
      <c r="Y1470" s="235"/>
      <c r="Z1470" s="235"/>
      <c r="AA1470" s="235"/>
      <c r="AB1470" s="235"/>
      <c r="AC1470" s="235"/>
    </row>
    <row r="1471">
      <c r="A1471" s="194" t="s">
        <v>2402</v>
      </c>
      <c r="B1471" s="194">
        <v>105693.0</v>
      </c>
      <c r="C1471" s="192" t="s">
        <v>2403</v>
      </c>
      <c r="D1471" s="192" t="s">
        <v>113</v>
      </c>
      <c r="E1471" s="235"/>
      <c r="F1471" s="235"/>
      <c r="G1471" s="325"/>
      <c r="H1471" s="235"/>
      <c r="I1471" s="235"/>
      <c r="J1471" s="235"/>
      <c r="K1471" s="235"/>
      <c r="L1471" s="235"/>
      <c r="M1471" s="235"/>
      <c r="N1471" s="235"/>
      <c r="O1471" s="235"/>
      <c r="P1471" s="235"/>
      <c r="Q1471" s="235"/>
      <c r="R1471" s="235"/>
      <c r="S1471" s="235"/>
      <c r="T1471" s="235"/>
      <c r="U1471" s="235"/>
      <c r="V1471" s="235"/>
      <c r="W1471" s="235"/>
      <c r="X1471" s="235"/>
      <c r="Y1471" s="235"/>
      <c r="Z1471" s="235"/>
      <c r="AA1471" s="235"/>
      <c r="AB1471" s="235"/>
      <c r="AC1471" s="235"/>
    </row>
    <row r="1472">
      <c r="A1472" s="194" t="s">
        <v>2747</v>
      </c>
      <c r="B1472" s="194">
        <v>105972.0</v>
      </c>
      <c r="C1472" s="192" t="s">
        <v>2485</v>
      </c>
      <c r="D1472" s="192" t="s">
        <v>806</v>
      </c>
      <c r="E1472" s="235"/>
      <c r="F1472" s="235"/>
      <c r="G1472" s="325"/>
      <c r="H1472" s="235"/>
      <c r="I1472" s="235"/>
      <c r="J1472" s="235"/>
      <c r="K1472" s="235"/>
      <c r="L1472" s="235"/>
      <c r="M1472" s="235"/>
      <c r="N1472" s="235"/>
      <c r="O1472" s="235"/>
      <c r="P1472" s="235"/>
      <c r="Q1472" s="235"/>
      <c r="R1472" s="235"/>
      <c r="S1472" s="235"/>
      <c r="T1472" s="235"/>
      <c r="U1472" s="235"/>
      <c r="V1472" s="235"/>
      <c r="W1472" s="235"/>
      <c r="X1472" s="235"/>
      <c r="Y1472" s="235"/>
      <c r="Z1472" s="235"/>
      <c r="AA1472" s="235"/>
      <c r="AB1472" s="235"/>
      <c r="AC1472" s="235"/>
    </row>
    <row r="1473">
      <c r="A1473" s="194" t="s">
        <v>2406</v>
      </c>
      <c r="B1473" s="194">
        <v>106103.0</v>
      </c>
      <c r="C1473" s="192" t="s">
        <v>2407</v>
      </c>
      <c r="D1473" s="192" t="s">
        <v>254</v>
      </c>
      <c r="E1473" s="235"/>
      <c r="F1473" s="235"/>
      <c r="G1473" s="325"/>
      <c r="H1473" s="235"/>
      <c r="I1473" s="235"/>
      <c r="J1473" s="235"/>
      <c r="K1473" s="235"/>
      <c r="L1473" s="235"/>
      <c r="M1473" s="235"/>
      <c r="N1473" s="235"/>
      <c r="O1473" s="235"/>
      <c r="P1473" s="235"/>
      <c r="Q1473" s="235"/>
      <c r="R1473" s="235"/>
      <c r="S1473" s="235"/>
      <c r="T1473" s="235"/>
      <c r="U1473" s="235"/>
      <c r="V1473" s="235"/>
      <c r="W1473" s="235"/>
      <c r="X1473" s="235"/>
      <c r="Y1473" s="235"/>
      <c r="Z1473" s="235"/>
      <c r="AA1473" s="235"/>
      <c r="AB1473" s="235"/>
      <c r="AC1473" s="235"/>
    </row>
    <row r="1474">
      <c r="A1474" s="194" t="s">
        <v>2748</v>
      </c>
      <c r="B1474" s="194">
        <v>106087.0</v>
      </c>
      <c r="C1474" s="192" t="s">
        <v>2749</v>
      </c>
      <c r="D1474" s="192" t="s">
        <v>254</v>
      </c>
      <c r="E1474" s="235"/>
      <c r="F1474" s="235"/>
      <c r="G1474" s="325"/>
      <c r="H1474" s="235"/>
      <c r="I1474" s="235"/>
      <c r="J1474" s="235"/>
      <c r="K1474" s="235"/>
      <c r="L1474" s="235"/>
      <c r="M1474" s="235"/>
      <c r="N1474" s="235"/>
      <c r="O1474" s="235"/>
      <c r="P1474" s="235"/>
      <c r="Q1474" s="235"/>
      <c r="R1474" s="235"/>
      <c r="S1474" s="235"/>
      <c r="T1474" s="235"/>
      <c r="U1474" s="235"/>
      <c r="V1474" s="235"/>
      <c r="W1474" s="235"/>
      <c r="X1474" s="235"/>
      <c r="Y1474" s="235"/>
      <c r="Z1474" s="235"/>
      <c r="AA1474" s="235"/>
      <c r="AB1474" s="235"/>
      <c r="AC1474" s="235"/>
    </row>
    <row r="1475">
      <c r="A1475" s="194" t="s">
        <v>2750</v>
      </c>
      <c r="B1475" s="194">
        <v>105684.0</v>
      </c>
      <c r="C1475" s="192" t="s">
        <v>2751</v>
      </c>
      <c r="D1475" s="192" t="s">
        <v>87</v>
      </c>
      <c r="E1475" s="235"/>
      <c r="F1475" s="235"/>
      <c r="G1475" s="325"/>
      <c r="H1475" s="235"/>
      <c r="I1475" s="235"/>
      <c r="J1475" s="235"/>
      <c r="K1475" s="235"/>
      <c r="L1475" s="235"/>
      <c r="M1475" s="235"/>
      <c r="N1475" s="235"/>
      <c r="O1475" s="235"/>
      <c r="P1475" s="235"/>
      <c r="Q1475" s="235"/>
      <c r="R1475" s="235"/>
      <c r="S1475" s="235"/>
      <c r="T1475" s="235"/>
      <c r="U1475" s="235"/>
      <c r="V1475" s="235"/>
      <c r="W1475" s="235"/>
      <c r="X1475" s="235"/>
      <c r="Y1475" s="235"/>
      <c r="Z1475" s="235"/>
      <c r="AA1475" s="235"/>
      <c r="AB1475" s="235"/>
      <c r="AC1475" s="235"/>
    </row>
    <row r="1476">
      <c r="A1476" s="194" t="s">
        <v>2752</v>
      </c>
      <c r="B1476" s="194">
        <v>106265.0</v>
      </c>
      <c r="C1476" s="192" t="s">
        <v>2753</v>
      </c>
      <c r="D1476" s="192" t="s">
        <v>254</v>
      </c>
      <c r="E1476" s="235"/>
      <c r="F1476" s="235"/>
      <c r="G1476" s="325"/>
      <c r="H1476" s="235"/>
      <c r="I1476" s="235"/>
      <c r="J1476" s="235"/>
      <c r="K1476" s="235"/>
      <c r="L1476" s="235"/>
      <c r="M1476" s="235"/>
      <c r="N1476" s="235"/>
      <c r="O1476" s="235"/>
      <c r="P1476" s="235"/>
      <c r="Q1476" s="235"/>
      <c r="R1476" s="235"/>
      <c r="S1476" s="235"/>
      <c r="T1476" s="235"/>
      <c r="U1476" s="235"/>
      <c r="V1476" s="235"/>
      <c r="W1476" s="235"/>
      <c r="X1476" s="235"/>
      <c r="Y1476" s="235"/>
      <c r="Z1476" s="235"/>
      <c r="AA1476" s="235"/>
      <c r="AB1476" s="235"/>
      <c r="AC1476" s="235"/>
    </row>
    <row r="1477">
      <c r="A1477" s="194" t="s">
        <v>2754</v>
      </c>
      <c r="B1477" s="194">
        <v>106134.0</v>
      </c>
      <c r="C1477" s="192" t="s">
        <v>2755</v>
      </c>
      <c r="D1477" s="192" t="s">
        <v>193</v>
      </c>
      <c r="E1477" s="235"/>
      <c r="F1477" s="235"/>
      <c r="G1477" s="325"/>
      <c r="H1477" s="235"/>
      <c r="I1477" s="235"/>
      <c r="J1477" s="235"/>
      <c r="K1477" s="235"/>
      <c r="L1477" s="235"/>
      <c r="M1477" s="235"/>
      <c r="N1477" s="235"/>
      <c r="O1477" s="235"/>
      <c r="P1477" s="235"/>
      <c r="Q1477" s="235"/>
      <c r="R1477" s="235"/>
      <c r="S1477" s="235"/>
      <c r="T1477" s="235"/>
      <c r="U1477" s="235"/>
      <c r="V1477" s="235"/>
      <c r="W1477" s="235"/>
      <c r="X1477" s="235"/>
      <c r="Y1477" s="235"/>
      <c r="Z1477" s="235"/>
      <c r="AA1477" s="235"/>
      <c r="AB1477" s="235"/>
      <c r="AC1477" s="235"/>
    </row>
    <row r="1478">
      <c r="A1478" s="194" t="s">
        <v>2756</v>
      </c>
      <c r="B1478" s="194">
        <v>106392.0</v>
      </c>
      <c r="C1478" s="192" t="s">
        <v>2757</v>
      </c>
      <c r="D1478" s="192" t="s">
        <v>193</v>
      </c>
      <c r="E1478" s="235"/>
      <c r="F1478" s="235"/>
      <c r="G1478" s="325"/>
      <c r="H1478" s="235"/>
      <c r="I1478" s="235"/>
      <c r="J1478" s="235"/>
      <c r="K1478" s="235"/>
      <c r="L1478" s="235"/>
      <c r="M1478" s="235"/>
      <c r="N1478" s="235"/>
      <c r="O1478" s="235"/>
      <c r="P1478" s="235"/>
      <c r="Q1478" s="235"/>
      <c r="R1478" s="235"/>
      <c r="S1478" s="235"/>
      <c r="T1478" s="235"/>
      <c r="U1478" s="235"/>
      <c r="V1478" s="235"/>
      <c r="W1478" s="235"/>
      <c r="X1478" s="235"/>
      <c r="Y1478" s="235"/>
      <c r="Z1478" s="235"/>
      <c r="AA1478" s="235"/>
      <c r="AB1478" s="235"/>
      <c r="AC1478" s="235"/>
    </row>
    <row r="1479">
      <c r="A1479" s="194" t="s">
        <v>2758</v>
      </c>
      <c r="B1479" s="194">
        <v>106394.0</v>
      </c>
      <c r="C1479" s="192" t="s">
        <v>2759</v>
      </c>
      <c r="D1479" s="192" t="s">
        <v>2179</v>
      </c>
      <c r="E1479" s="235"/>
      <c r="F1479" s="235"/>
      <c r="G1479" s="325"/>
      <c r="H1479" s="235"/>
      <c r="I1479" s="235"/>
      <c r="J1479" s="235"/>
      <c r="K1479" s="235"/>
      <c r="L1479" s="235"/>
      <c r="M1479" s="235"/>
      <c r="N1479" s="235"/>
      <c r="O1479" s="235"/>
      <c r="P1479" s="235"/>
      <c r="Q1479" s="235"/>
      <c r="R1479" s="235"/>
      <c r="S1479" s="235"/>
      <c r="T1479" s="235"/>
      <c r="U1479" s="235"/>
      <c r="V1479" s="235"/>
      <c r="W1479" s="235"/>
      <c r="X1479" s="235"/>
      <c r="Y1479" s="235"/>
      <c r="Z1479" s="235"/>
      <c r="AA1479" s="235"/>
      <c r="AB1479" s="235"/>
      <c r="AC1479" s="235"/>
    </row>
    <row r="1480">
      <c r="A1480" s="194" t="s">
        <v>2760</v>
      </c>
      <c r="B1480" s="194">
        <v>106434.0</v>
      </c>
      <c r="C1480" s="192" t="s">
        <v>2761</v>
      </c>
      <c r="D1480" s="192" t="s">
        <v>1140</v>
      </c>
      <c r="E1480" s="235"/>
      <c r="F1480" s="235"/>
      <c r="G1480" s="325"/>
      <c r="H1480" s="235"/>
      <c r="I1480" s="235"/>
      <c r="J1480" s="235"/>
      <c r="K1480" s="235"/>
      <c r="L1480" s="235"/>
      <c r="M1480" s="235"/>
      <c r="N1480" s="235"/>
      <c r="O1480" s="235"/>
      <c r="P1480" s="235"/>
      <c r="Q1480" s="235"/>
      <c r="R1480" s="235"/>
      <c r="S1480" s="235"/>
      <c r="T1480" s="235"/>
      <c r="U1480" s="235"/>
      <c r="V1480" s="235"/>
      <c r="W1480" s="235"/>
      <c r="X1480" s="235"/>
      <c r="Y1480" s="235"/>
      <c r="Z1480" s="235"/>
      <c r="AA1480" s="235"/>
      <c r="AB1480" s="235"/>
      <c r="AC1480" s="235"/>
    </row>
    <row r="1481">
      <c r="A1481" s="194" t="s">
        <v>2762</v>
      </c>
      <c r="B1481" s="194">
        <v>106496.0</v>
      </c>
      <c r="C1481" s="192" t="s">
        <v>2763</v>
      </c>
      <c r="D1481" s="192" t="s">
        <v>1140</v>
      </c>
      <c r="E1481" s="235"/>
      <c r="F1481" s="235"/>
      <c r="G1481" s="325"/>
      <c r="H1481" s="235"/>
      <c r="I1481" s="235"/>
      <c r="J1481" s="235"/>
      <c r="K1481" s="235"/>
      <c r="L1481" s="235"/>
      <c r="M1481" s="235"/>
      <c r="N1481" s="235"/>
      <c r="O1481" s="235"/>
      <c r="P1481" s="235"/>
      <c r="Q1481" s="235"/>
      <c r="R1481" s="235"/>
      <c r="S1481" s="235"/>
      <c r="T1481" s="235"/>
      <c r="U1481" s="235"/>
      <c r="V1481" s="235"/>
      <c r="W1481" s="235"/>
      <c r="X1481" s="235"/>
      <c r="Y1481" s="235"/>
      <c r="Z1481" s="235"/>
      <c r="AA1481" s="235"/>
      <c r="AB1481" s="235"/>
      <c r="AC1481" s="235"/>
    </row>
    <row r="1482">
      <c r="A1482" s="194" t="s">
        <v>2764</v>
      </c>
      <c r="B1482" s="194">
        <v>106484.0</v>
      </c>
      <c r="C1482" s="192" t="s">
        <v>2765</v>
      </c>
      <c r="D1482" s="192" t="s">
        <v>1140</v>
      </c>
      <c r="E1482" s="235"/>
      <c r="F1482" s="235"/>
      <c r="G1482" s="325"/>
      <c r="H1482" s="235"/>
      <c r="I1482" s="235"/>
      <c r="J1482" s="235"/>
      <c r="K1482" s="235"/>
      <c r="L1482" s="235"/>
      <c r="M1482" s="235"/>
      <c r="N1482" s="235"/>
      <c r="O1482" s="235"/>
      <c r="P1482" s="235"/>
      <c r="Q1482" s="235"/>
      <c r="R1482" s="235"/>
      <c r="S1482" s="235"/>
      <c r="T1482" s="235"/>
      <c r="U1482" s="235"/>
      <c r="V1482" s="235"/>
      <c r="W1482" s="235"/>
      <c r="X1482" s="235"/>
      <c r="Y1482" s="235"/>
      <c r="Z1482" s="235"/>
      <c r="AA1482" s="235"/>
      <c r="AB1482" s="235"/>
      <c r="AC1482" s="235"/>
    </row>
    <row r="1483">
      <c r="A1483" s="194" t="s">
        <v>2766</v>
      </c>
      <c r="B1483" s="194">
        <v>106495.0</v>
      </c>
      <c r="C1483" s="192" t="s">
        <v>2767</v>
      </c>
      <c r="D1483" s="192" t="s">
        <v>1140</v>
      </c>
      <c r="E1483" s="235"/>
      <c r="F1483" s="235"/>
      <c r="G1483" s="325"/>
      <c r="H1483" s="235"/>
      <c r="I1483" s="235"/>
      <c r="J1483" s="235"/>
      <c r="K1483" s="235"/>
      <c r="L1483" s="235"/>
      <c r="M1483" s="235"/>
      <c r="N1483" s="235"/>
      <c r="O1483" s="235"/>
      <c r="P1483" s="235"/>
      <c r="Q1483" s="235"/>
      <c r="R1483" s="235"/>
      <c r="S1483" s="235"/>
      <c r="T1483" s="235"/>
      <c r="U1483" s="235"/>
      <c r="V1483" s="235"/>
      <c r="W1483" s="235"/>
      <c r="X1483" s="235"/>
      <c r="Y1483" s="235"/>
      <c r="Z1483" s="235"/>
      <c r="AA1483" s="235"/>
      <c r="AB1483" s="235"/>
      <c r="AC1483" s="235"/>
    </row>
    <row r="1484">
      <c r="A1484" s="194" t="s">
        <v>2768</v>
      </c>
      <c r="B1484" s="194">
        <v>106473.0</v>
      </c>
      <c r="C1484" s="192" t="s">
        <v>2769</v>
      </c>
      <c r="D1484" s="192" t="s">
        <v>1140</v>
      </c>
      <c r="E1484" s="235"/>
      <c r="F1484" s="235"/>
      <c r="G1484" s="325"/>
      <c r="H1484" s="235"/>
      <c r="I1484" s="235"/>
      <c r="J1484" s="235"/>
      <c r="K1484" s="235"/>
      <c r="L1484" s="235"/>
      <c r="M1484" s="235"/>
      <c r="N1484" s="235"/>
      <c r="O1484" s="235"/>
      <c r="P1484" s="235"/>
      <c r="Q1484" s="235"/>
      <c r="R1484" s="235"/>
      <c r="S1484" s="235"/>
      <c r="T1484" s="235"/>
      <c r="U1484" s="235"/>
      <c r="V1484" s="235"/>
      <c r="W1484" s="235"/>
      <c r="X1484" s="235"/>
      <c r="Y1484" s="235"/>
      <c r="Z1484" s="235"/>
      <c r="AA1484" s="235"/>
      <c r="AB1484" s="235"/>
      <c r="AC1484" s="235"/>
    </row>
    <row r="1485">
      <c r="A1485" s="194" t="s">
        <v>2770</v>
      </c>
      <c r="B1485" s="194">
        <v>106417.0</v>
      </c>
      <c r="C1485" s="192" t="s">
        <v>2771</v>
      </c>
      <c r="D1485" s="192" t="s">
        <v>1140</v>
      </c>
      <c r="E1485" s="235"/>
      <c r="F1485" s="235"/>
      <c r="G1485" s="325"/>
      <c r="H1485" s="235"/>
      <c r="I1485" s="235"/>
      <c r="J1485" s="235"/>
      <c r="K1485" s="235"/>
      <c r="L1485" s="235"/>
      <c r="M1485" s="235"/>
      <c r="N1485" s="235"/>
      <c r="O1485" s="235"/>
      <c r="P1485" s="235"/>
      <c r="Q1485" s="235"/>
      <c r="R1485" s="235"/>
      <c r="S1485" s="235"/>
      <c r="T1485" s="235"/>
      <c r="U1485" s="235"/>
      <c r="V1485" s="235"/>
      <c r="W1485" s="235"/>
      <c r="X1485" s="235"/>
      <c r="Y1485" s="235"/>
      <c r="Z1485" s="235"/>
      <c r="AA1485" s="235"/>
      <c r="AB1485" s="235"/>
      <c r="AC1485" s="235"/>
    </row>
    <row r="1486">
      <c r="A1486" s="194" t="s">
        <v>2772</v>
      </c>
      <c r="B1486" s="194">
        <v>106514.0</v>
      </c>
      <c r="C1486" s="192" t="s">
        <v>2773</v>
      </c>
      <c r="D1486" s="192" t="s">
        <v>1140</v>
      </c>
      <c r="E1486" s="235"/>
      <c r="F1486" s="235"/>
      <c r="G1486" s="325"/>
      <c r="H1486" s="235"/>
      <c r="I1486" s="235"/>
      <c r="J1486" s="235"/>
      <c r="K1486" s="235"/>
      <c r="L1486" s="235"/>
      <c r="M1486" s="235"/>
      <c r="N1486" s="235"/>
      <c r="O1486" s="235"/>
      <c r="P1486" s="235"/>
      <c r="Q1486" s="235"/>
      <c r="R1486" s="235"/>
      <c r="S1486" s="235"/>
      <c r="T1486" s="235"/>
      <c r="U1486" s="235"/>
      <c r="V1486" s="235"/>
      <c r="W1486" s="235"/>
      <c r="X1486" s="235"/>
      <c r="Y1486" s="235"/>
      <c r="Z1486" s="235"/>
      <c r="AA1486" s="235"/>
      <c r="AB1486" s="235"/>
      <c r="AC1486" s="235"/>
    </row>
    <row r="1487">
      <c r="A1487" s="194" t="s">
        <v>2774</v>
      </c>
      <c r="B1487" s="194">
        <v>106548.0</v>
      </c>
      <c r="C1487" s="192" t="s">
        <v>2775</v>
      </c>
      <c r="D1487" s="192" t="s">
        <v>1140</v>
      </c>
      <c r="E1487" s="235"/>
      <c r="F1487" s="235"/>
      <c r="G1487" s="325"/>
      <c r="H1487" s="235"/>
      <c r="I1487" s="235"/>
      <c r="J1487" s="235"/>
      <c r="K1487" s="235"/>
      <c r="L1487" s="235"/>
      <c r="M1487" s="235"/>
      <c r="N1487" s="235"/>
      <c r="O1487" s="235"/>
      <c r="P1487" s="235"/>
      <c r="Q1487" s="235"/>
      <c r="R1487" s="235"/>
      <c r="S1487" s="235"/>
      <c r="T1487" s="235"/>
      <c r="U1487" s="235"/>
      <c r="V1487" s="235"/>
      <c r="W1487" s="235"/>
      <c r="X1487" s="235"/>
      <c r="Y1487" s="235"/>
      <c r="Z1487" s="235"/>
      <c r="AA1487" s="235"/>
      <c r="AB1487" s="235"/>
      <c r="AC1487" s="235"/>
    </row>
    <row r="1488">
      <c r="A1488" s="194" t="s">
        <v>2776</v>
      </c>
      <c r="B1488" s="194">
        <v>105934.0</v>
      </c>
      <c r="C1488" s="192" t="s">
        <v>2777</v>
      </c>
      <c r="D1488" s="192" t="s">
        <v>767</v>
      </c>
      <c r="E1488" s="235"/>
      <c r="F1488" s="235"/>
      <c r="G1488" s="325"/>
      <c r="H1488" s="235"/>
      <c r="I1488" s="235"/>
      <c r="J1488" s="235"/>
      <c r="K1488" s="235"/>
      <c r="L1488" s="235"/>
      <c r="M1488" s="235"/>
      <c r="N1488" s="235"/>
      <c r="O1488" s="235"/>
      <c r="P1488" s="235"/>
      <c r="Q1488" s="235"/>
      <c r="R1488" s="235"/>
      <c r="S1488" s="235"/>
      <c r="T1488" s="235"/>
      <c r="U1488" s="235"/>
      <c r="V1488" s="235"/>
      <c r="W1488" s="235"/>
      <c r="X1488" s="235"/>
      <c r="Y1488" s="235"/>
      <c r="Z1488" s="235"/>
      <c r="AA1488" s="235"/>
      <c r="AB1488" s="235"/>
      <c r="AC1488" s="235"/>
    </row>
    <row r="1489">
      <c r="A1489" s="194" t="s">
        <v>2778</v>
      </c>
      <c r="B1489" s="194">
        <v>108925.0</v>
      </c>
      <c r="C1489" s="192" t="e">
        <v>#N/A</v>
      </c>
      <c r="D1489" s="192" t="s">
        <v>767</v>
      </c>
      <c r="E1489" s="235"/>
      <c r="F1489" s="235"/>
      <c r="G1489" s="325"/>
      <c r="H1489" s="235"/>
      <c r="I1489" s="235"/>
      <c r="J1489" s="235"/>
      <c r="K1489" s="235"/>
      <c r="L1489" s="235"/>
      <c r="M1489" s="235"/>
      <c r="N1489" s="235"/>
      <c r="O1489" s="235"/>
      <c r="P1489" s="235"/>
      <c r="Q1489" s="235"/>
      <c r="R1489" s="235"/>
      <c r="S1489" s="235"/>
      <c r="T1489" s="235"/>
      <c r="U1489" s="235"/>
      <c r="V1489" s="235"/>
      <c r="W1489" s="235"/>
      <c r="X1489" s="235"/>
      <c r="Y1489" s="235"/>
      <c r="Z1489" s="235"/>
      <c r="AA1489" s="235"/>
      <c r="AB1489" s="235"/>
      <c r="AC1489" s="235"/>
    </row>
    <row r="1490">
      <c r="A1490" s="194" t="s">
        <v>2779</v>
      </c>
      <c r="B1490" s="194">
        <v>105919.0</v>
      </c>
      <c r="C1490" s="192" t="s">
        <v>2780</v>
      </c>
      <c r="D1490" s="192" t="s">
        <v>767</v>
      </c>
      <c r="E1490" s="235"/>
      <c r="F1490" s="235"/>
      <c r="G1490" s="325"/>
      <c r="H1490" s="235"/>
      <c r="I1490" s="235"/>
      <c r="J1490" s="235"/>
      <c r="K1490" s="235"/>
      <c r="L1490" s="235"/>
      <c r="M1490" s="235"/>
      <c r="N1490" s="235"/>
      <c r="O1490" s="235"/>
      <c r="P1490" s="235"/>
      <c r="Q1490" s="235"/>
      <c r="R1490" s="235"/>
      <c r="S1490" s="235"/>
      <c r="T1490" s="235"/>
      <c r="U1490" s="235"/>
      <c r="V1490" s="235"/>
      <c r="W1490" s="235"/>
      <c r="X1490" s="235"/>
      <c r="Y1490" s="235"/>
      <c r="Z1490" s="235"/>
      <c r="AA1490" s="235"/>
      <c r="AB1490" s="235"/>
      <c r="AC1490" s="235"/>
    </row>
    <row r="1491">
      <c r="A1491" s="194" t="s">
        <v>2781</v>
      </c>
      <c r="B1491" s="194">
        <v>105928.0</v>
      </c>
      <c r="C1491" s="192" t="s">
        <v>2782</v>
      </c>
      <c r="D1491" s="192" t="s">
        <v>767</v>
      </c>
      <c r="E1491" s="235"/>
      <c r="F1491" s="235"/>
      <c r="G1491" s="325"/>
      <c r="H1491" s="235"/>
      <c r="I1491" s="235"/>
      <c r="J1491" s="235"/>
      <c r="K1491" s="235"/>
      <c r="L1491" s="235"/>
      <c r="M1491" s="235"/>
      <c r="N1491" s="235"/>
      <c r="O1491" s="235"/>
      <c r="P1491" s="235"/>
      <c r="Q1491" s="235"/>
      <c r="R1491" s="235"/>
      <c r="S1491" s="235"/>
      <c r="T1491" s="235"/>
      <c r="U1491" s="235"/>
      <c r="V1491" s="235"/>
      <c r="W1491" s="235"/>
      <c r="X1491" s="235"/>
      <c r="Y1491" s="235"/>
      <c r="Z1491" s="235"/>
      <c r="AA1491" s="235"/>
      <c r="AB1491" s="235"/>
      <c r="AC1491" s="235"/>
    </row>
    <row r="1492">
      <c r="A1492" s="194" t="s">
        <v>2783</v>
      </c>
      <c r="B1492" s="194">
        <v>105889.0</v>
      </c>
      <c r="C1492" s="192" t="s">
        <v>2784</v>
      </c>
      <c r="D1492" s="192" t="s">
        <v>767</v>
      </c>
      <c r="E1492" s="235"/>
      <c r="F1492" s="235"/>
      <c r="G1492" s="325"/>
      <c r="H1492" s="235"/>
      <c r="I1492" s="235"/>
      <c r="J1492" s="235"/>
      <c r="K1492" s="235"/>
      <c r="L1492" s="235"/>
      <c r="M1492" s="235"/>
      <c r="N1492" s="235"/>
      <c r="O1492" s="235"/>
      <c r="P1492" s="235"/>
      <c r="Q1492" s="235"/>
      <c r="R1492" s="235"/>
      <c r="S1492" s="235"/>
      <c r="T1492" s="235"/>
      <c r="U1492" s="235"/>
      <c r="V1492" s="235"/>
      <c r="W1492" s="235"/>
      <c r="X1492" s="235"/>
      <c r="Y1492" s="235"/>
      <c r="Z1492" s="235"/>
      <c r="AA1492" s="235"/>
      <c r="AB1492" s="235"/>
      <c r="AC1492" s="235"/>
    </row>
    <row r="1493">
      <c r="A1493" s="194" t="s">
        <v>2785</v>
      </c>
      <c r="B1493" s="194">
        <v>105898.0</v>
      </c>
      <c r="C1493" s="192" t="s">
        <v>2786</v>
      </c>
      <c r="D1493" s="192" t="s">
        <v>767</v>
      </c>
      <c r="E1493" s="235"/>
      <c r="F1493" s="235"/>
      <c r="G1493" s="325"/>
      <c r="H1493" s="235"/>
      <c r="I1493" s="235"/>
      <c r="J1493" s="235"/>
      <c r="K1493" s="235"/>
      <c r="L1493" s="235"/>
      <c r="M1493" s="235"/>
      <c r="N1493" s="235"/>
      <c r="O1493" s="235"/>
      <c r="P1493" s="235"/>
      <c r="Q1493" s="235"/>
      <c r="R1493" s="235"/>
      <c r="S1493" s="235"/>
      <c r="T1493" s="235"/>
      <c r="U1493" s="235"/>
      <c r="V1493" s="235"/>
      <c r="W1493" s="235"/>
      <c r="X1493" s="235"/>
      <c r="Y1493" s="235"/>
      <c r="Z1493" s="235"/>
      <c r="AA1493" s="235"/>
      <c r="AB1493" s="235"/>
      <c r="AC1493" s="235"/>
    </row>
    <row r="1494">
      <c r="A1494" s="194" t="s">
        <v>2787</v>
      </c>
      <c r="B1494" s="194">
        <v>105891.0</v>
      </c>
      <c r="C1494" s="192" t="s">
        <v>2788</v>
      </c>
      <c r="D1494" s="192" t="s">
        <v>767</v>
      </c>
      <c r="E1494" s="235"/>
      <c r="F1494" s="235"/>
      <c r="G1494" s="325"/>
      <c r="H1494" s="235"/>
      <c r="I1494" s="235"/>
      <c r="J1494" s="235"/>
      <c r="K1494" s="235"/>
      <c r="L1494" s="235"/>
      <c r="M1494" s="235"/>
      <c r="N1494" s="235"/>
      <c r="O1494" s="235"/>
      <c r="P1494" s="235"/>
      <c r="Q1494" s="235"/>
      <c r="R1494" s="235"/>
      <c r="S1494" s="235"/>
      <c r="T1494" s="235"/>
      <c r="U1494" s="235"/>
      <c r="V1494" s="235"/>
      <c r="W1494" s="235"/>
      <c r="X1494" s="235"/>
      <c r="Y1494" s="235"/>
      <c r="Z1494" s="235"/>
      <c r="AA1494" s="235"/>
      <c r="AB1494" s="235"/>
      <c r="AC1494" s="235"/>
    </row>
    <row r="1495">
      <c r="A1495" s="194" t="s">
        <v>2789</v>
      </c>
      <c r="B1495" s="194">
        <v>105888.0</v>
      </c>
      <c r="C1495" s="192" t="s">
        <v>2790</v>
      </c>
      <c r="D1495" s="192" t="s">
        <v>767</v>
      </c>
      <c r="E1495" s="235"/>
      <c r="F1495" s="235"/>
      <c r="G1495" s="325"/>
      <c r="H1495" s="235"/>
      <c r="I1495" s="235"/>
      <c r="J1495" s="235"/>
      <c r="K1495" s="235"/>
      <c r="L1495" s="235"/>
      <c r="M1495" s="235"/>
      <c r="N1495" s="235"/>
      <c r="O1495" s="235"/>
      <c r="P1495" s="235"/>
      <c r="Q1495" s="235"/>
      <c r="R1495" s="235"/>
      <c r="S1495" s="235"/>
      <c r="T1495" s="235"/>
      <c r="U1495" s="235"/>
      <c r="V1495" s="235"/>
      <c r="W1495" s="235"/>
      <c r="X1495" s="235"/>
      <c r="Y1495" s="235"/>
      <c r="Z1495" s="235"/>
      <c r="AA1495" s="235"/>
      <c r="AB1495" s="235"/>
      <c r="AC1495" s="235"/>
    </row>
    <row r="1496">
      <c r="A1496" s="194" t="s">
        <v>2791</v>
      </c>
      <c r="B1496" s="194">
        <v>105951.0</v>
      </c>
      <c r="C1496" s="192" t="s">
        <v>2792</v>
      </c>
      <c r="D1496" s="192" t="s">
        <v>767</v>
      </c>
      <c r="E1496" s="235"/>
      <c r="F1496" s="235"/>
      <c r="G1496" s="325"/>
      <c r="H1496" s="235"/>
      <c r="I1496" s="235"/>
      <c r="J1496" s="235"/>
      <c r="K1496" s="235"/>
      <c r="L1496" s="235"/>
      <c r="M1496" s="235"/>
      <c r="N1496" s="235"/>
      <c r="O1496" s="235"/>
      <c r="P1496" s="235"/>
      <c r="Q1496" s="235"/>
      <c r="R1496" s="235"/>
      <c r="S1496" s="235"/>
      <c r="T1496" s="235"/>
      <c r="U1496" s="235"/>
      <c r="V1496" s="235"/>
      <c r="W1496" s="235"/>
      <c r="X1496" s="235"/>
      <c r="Y1496" s="235"/>
      <c r="Z1496" s="235"/>
      <c r="AA1496" s="235"/>
      <c r="AB1496" s="235"/>
      <c r="AC1496" s="235"/>
    </row>
    <row r="1497">
      <c r="A1497" s="194" t="s">
        <v>2793</v>
      </c>
      <c r="B1497" s="194">
        <v>105908.0</v>
      </c>
      <c r="C1497" s="192" t="s">
        <v>2794</v>
      </c>
      <c r="D1497" s="192" t="s">
        <v>767</v>
      </c>
      <c r="E1497" s="235"/>
      <c r="F1497" s="235"/>
      <c r="G1497" s="325"/>
      <c r="H1497" s="235"/>
      <c r="I1497" s="235"/>
      <c r="J1497" s="235"/>
      <c r="K1497" s="235"/>
      <c r="L1497" s="235"/>
      <c r="M1497" s="235"/>
      <c r="N1497" s="235"/>
      <c r="O1497" s="235"/>
      <c r="P1497" s="235"/>
      <c r="Q1497" s="235"/>
      <c r="R1497" s="235"/>
      <c r="S1497" s="235"/>
      <c r="T1497" s="235"/>
      <c r="U1497" s="235"/>
      <c r="V1497" s="235"/>
      <c r="W1497" s="235"/>
      <c r="X1497" s="235"/>
      <c r="Y1497" s="235"/>
      <c r="Z1497" s="235"/>
      <c r="AA1497" s="235"/>
      <c r="AB1497" s="235"/>
      <c r="AC1497" s="235"/>
    </row>
    <row r="1498">
      <c r="A1498" s="194" t="s">
        <v>2795</v>
      </c>
      <c r="B1498" s="194">
        <v>105914.0</v>
      </c>
      <c r="C1498" s="192" t="s">
        <v>2796</v>
      </c>
      <c r="D1498" s="192" t="s">
        <v>767</v>
      </c>
      <c r="E1498" s="235"/>
      <c r="F1498" s="235"/>
      <c r="G1498" s="325"/>
      <c r="H1498" s="235"/>
      <c r="I1498" s="235"/>
      <c r="J1498" s="235"/>
      <c r="K1498" s="235"/>
      <c r="L1498" s="235"/>
      <c r="M1498" s="235"/>
      <c r="N1498" s="235"/>
      <c r="O1498" s="235"/>
      <c r="P1498" s="235"/>
      <c r="Q1498" s="235"/>
      <c r="R1498" s="235"/>
      <c r="S1498" s="235"/>
      <c r="T1498" s="235"/>
      <c r="U1498" s="235"/>
      <c r="V1498" s="235"/>
      <c r="W1498" s="235"/>
      <c r="X1498" s="235"/>
      <c r="Y1498" s="235"/>
      <c r="Z1498" s="235"/>
      <c r="AA1498" s="235"/>
      <c r="AB1498" s="235"/>
      <c r="AC1498" s="235"/>
    </row>
    <row r="1499">
      <c r="A1499" s="194" t="s">
        <v>2797</v>
      </c>
      <c r="B1499" s="194">
        <v>105915.0</v>
      </c>
      <c r="C1499" s="192" t="s">
        <v>2798</v>
      </c>
      <c r="D1499" s="192" t="s">
        <v>767</v>
      </c>
      <c r="E1499" s="235"/>
      <c r="F1499" s="235"/>
      <c r="G1499" s="325"/>
      <c r="H1499" s="235"/>
      <c r="I1499" s="235"/>
      <c r="J1499" s="235"/>
      <c r="K1499" s="235"/>
      <c r="L1499" s="235"/>
      <c r="M1499" s="235"/>
      <c r="N1499" s="235"/>
      <c r="O1499" s="235"/>
      <c r="P1499" s="235"/>
      <c r="Q1499" s="235"/>
      <c r="R1499" s="235"/>
      <c r="S1499" s="235"/>
      <c r="T1499" s="235"/>
      <c r="U1499" s="235"/>
      <c r="V1499" s="235"/>
      <c r="W1499" s="235"/>
      <c r="X1499" s="235"/>
      <c r="Y1499" s="235"/>
      <c r="Z1499" s="235"/>
      <c r="AA1499" s="235"/>
      <c r="AB1499" s="235"/>
      <c r="AC1499" s="235"/>
    </row>
    <row r="1500">
      <c r="A1500" s="194" t="s">
        <v>2799</v>
      </c>
      <c r="B1500" s="194">
        <v>105916.0</v>
      </c>
      <c r="C1500" s="192" t="s">
        <v>2800</v>
      </c>
      <c r="D1500" s="192" t="s">
        <v>767</v>
      </c>
      <c r="E1500" s="235"/>
      <c r="F1500" s="235"/>
      <c r="G1500" s="325"/>
      <c r="H1500" s="235"/>
      <c r="I1500" s="235"/>
      <c r="J1500" s="235"/>
      <c r="K1500" s="235"/>
      <c r="L1500" s="235"/>
      <c r="M1500" s="235"/>
      <c r="N1500" s="235"/>
      <c r="O1500" s="235"/>
      <c r="P1500" s="235"/>
      <c r="Q1500" s="235"/>
      <c r="R1500" s="235"/>
      <c r="S1500" s="235"/>
      <c r="T1500" s="235"/>
      <c r="U1500" s="235"/>
      <c r="V1500" s="235"/>
      <c r="W1500" s="235"/>
      <c r="X1500" s="235"/>
      <c r="Y1500" s="235"/>
      <c r="Z1500" s="235"/>
      <c r="AA1500" s="235"/>
      <c r="AB1500" s="235"/>
      <c r="AC1500" s="235"/>
    </row>
    <row r="1501">
      <c r="A1501" s="194" t="s">
        <v>2801</v>
      </c>
      <c r="B1501" s="194">
        <v>105917.0</v>
      </c>
      <c r="C1501" s="192" t="s">
        <v>2802</v>
      </c>
      <c r="D1501" s="192" t="s">
        <v>767</v>
      </c>
      <c r="E1501" s="235"/>
      <c r="F1501" s="235"/>
      <c r="G1501" s="325"/>
      <c r="H1501" s="235"/>
      <c r="I1501" s="235"/>
      <c r="J1501" s="235"/>
      <c r="K1501" s="235"/>
      <c r="L1501" s="235"/>
      <c r="M1501" s="235"/>
      <c r="N1501" s="235"/>
      <c r="O1501" s="235"/>
      <c r="P1501" s="235"/>
      <c r="Q1501" s="235"/>
      <c r="R1501" s="235"/>
      <c r="S1501" s="235"/>
      <c r="T1501" s="235"/>
      <c r="U1501" s="235"/>
      <c r="V1501" s="235"/>
      <c r="W1501" s="235"/>
      <c r="X1501" s="235"/>
      <c r="Y1501" s="235"/>
      <c r="Z1501" s="235"/>
      <c r="AA1501" s="235"/>
      <c r="AB1501" s="235"/>
      <c r="AC1501" s="235"/>
    </row>
    <row r="1502">
      <c r="A1502" s="194" t="s">
        <v>2801</v>
      </c>
      <c r="B1502" s="194">
        <v>105917.0</v>
      </c>
      <c r="C1502" s="192" t="s">
        <v>2802</v>
      </c>
      <c r="D1502" s="192" t="s">
        <v>767</v>
      </c>
      <c r="E1502" s="235"/>
      <c r="F1502" s="235"/>
      <c r="G1502" s="325"/>
      <c r="H1502" s="235"/>
      <c r="I1502" s="235"/>
      <c r="J1502" s="235"/>
      <c r="K1502" s="235"/>
      <c r="L1502" s="235"/>
      <c r="M1502" s="235"/>
      <c r="N1502" s="235"/>
      <c r="O1502" s="235"/>
      <c r="P1502" s="235"/>
      <c r="Q1502" s="235"/>
      <c r="R1502" s="235"/>
      <c r="S1502" s="235"/>
      <c r="T1502" s="235"/>
      <c r="U1502" s="235"/>
      <c r="V1502" s="235"/>
      <c r="W1502" s="235"/>
      <c r="X1502" s="235"/>
      <c r="Y1502" s="235"/>
      <c r="Z1502" s="235"/>
      <c r="AA1502" s="235"/>
      <c r="AB1502" s="235"/>
      <c r="AC1502" s="235"/>
    </row>
    <row r="1503">
      <c r="A1503" s="194" t="s">
        <v>2803</v>
      </c>
      <c r="B1503" s="194">
        <v>105918.0</v>
      </c>
      <c r="C1503" s="192" t="s">
        <v>2804</v>
      </c>
      <c r="D1503" s="192" t="s">
        <v>767</v>
      </c>
      <c r="E1503" s="235"/>
      <c r="F1503" s="235"/>
      <c r="G1503" s="325"/>
      <c r="H1503" s="235"/>
      <c r="I1503" s="235"/>
      <c r="J1503" s="235"/>
      <c r="K1503" s="235"/>
      <c r="L1503" s="235"/>
      <c r="M1503" s="235"/>
      <c r="N1503" s="235"/>
      <c r="O1503" s="235"/>
      <c r="P1503" s="235"/>
      <c r="Q1503" s="235"/>
      <c r="R1503" s="235"/>
      <c r="S1503" s="235"/>
      <c r="T1503" s="235"/>
      <c r="U1503" s="235"/>
      <c r="V1503" s="235"/>
      <c r="W1503" s="235"/>
      <c r="X1503" s="235"/>
      <c r="Y1503" s="235"/>
      <c r="Z1503" s="235"/>
      <c r="AA1503" s="235"/>
      <c r="AB1503" s="235"/>
      <c r="AC1503" s="235"/>
    </row>
    <row r="1504">
      <c r="A1504" s="194" t="s">
        <v>2805</v>
      </c>
      <c r="B1504" s="194">
        <v>106358.0</v>
      </c>
      <c r="C1504" s="192" t="s">
        <v>2806</v>
      </c>
      <c r="D1504" s="192" t="s">
        <v>1140</v>
      </c>
      <c r="E1504" s="235"/>
      <c r="F1504" s="235"/>
      <c r="G1504" s="325"/>
      <c r="H1504" s="235"/>
      <c r="I1504" s="235"/>
      <c r="J1504" s="235"/>
      <c r="K1504" s="235"/>
      <c r="L1504" s="235"/>
      <c r="M1504" s="235"/>
      <c r="N1504" s="235"/>
      <c r="O1504" s="235"/>
      <c r="P1504" s="235"/>
      <c r="Q1504" s="235"/>
      <c r="R1504" s="235"/>
      <c r="S1504" s="235"/>
      <c r="T1504" s="235"/>
      <c r="U1504" s="235"/>
      <c r="V1504" s="235"/>
      <c r="W1504" s="235"/>
      <c r="X1504" s="235"/>
      <c r="Y1504" s="235"/>
      <c r="Z1504" s="235"/>
      <c r="AA1504" s="235"/>
      <c r="AB1504" s="235"/>
      <c r="AC1504" s="235"/>
    </row>
    <row r="1505">
      <c r="A1505" s="194" t="s">
        <v>2807</v>
      </c>
      <c r="B1505" s="194">
        <v>106728.0</v>
      </c>
      <c r="C1505" s="192" t="s">
        <v>2808</v>
      </c>
      <c r="D1505" s="192" t="s">
        <v>94</v>
      </c>
      <c r="E1505" s="235"/>
      <c r="F1505" s="235"/>
      <c r="G1505" s="325"/>
      <c r="H1505" s="235"/>
      <c r="I1505" s="235"/>
      <c r="J1505" s="235"/>
      <c r="K1505" s="235"/>
      <c r="L1505" s="235"/>
      <c r="M1505" s="235"/>
      <c r="N1505" s="235"/>
      <c r="O1505" s="235"/>
      <c r="P1505" s="235"/>
      <c r="Q1505" s="235"/>
      <c r="R1505" s="235"/>
      <c r="S1505" s="235"/>
      <c r="T1505" s="235"/>
      <c r="U1505" s="235"/>
      <c r="V1505" s="235"/>
      <c r="W1505" s="235"/>
      <c r="X1505" s="235"/>
      <c r="Y1505" s="235"/>
      <c r="Z1505" s="235"/>
      <c r="AA1505" s="235"/>
      <c r="AB1505" s="235"/>
      <c r="AC1505" s="235"/>
    </row>
    <row r="1506">
      <c r="A1506" s="194" t="s">
        <v>2809</v>
      </c>
      <c r="B1506" s="194">
        <v>106723.0</v>
      </c>
      <c r="C1506" s="192" t="s">
        <v>2810</v>
      </c>
      <c r="D1506" s="192" t="s">
        <v>141</v>
      </c>
      <c r="E1506" s="235"/>
      <c r="F1506" s="235"/>
      <c r="G1506" s="325"/>
      <c r="H1506" s="235"/>
      <c r="I1506" s="235"/>
      <c r="J1506" s="235"/>
      <c r="K1506" s="235"/>
      <c r="L1506" s="235"/>
      <c r="M1506" s="235"/>
      <c r="N1506" s="235"/>
      <c r="O1506" s="235"/>
      <c r="P1506" s="235"/>
      <c r="Q1506" s="235"/>
      <c r="R1506" s="235"/>
      <c r="S1506" s="235"/>
      <c r="T1506" s="235"/>
      <c r="U1506" s="235"/>
      <c r="V1506" s="235"/>
      <c r="W1506" s="235"/>
      <c r="X1506" s="235"/>
      <c r="Y1506" s="235"/>
      <c r="Z1506" s="235"/>
      <c r="AA1506" s="235"/>
      <c r="AB1506" s="235"/>
      <c r="AC1506" s="235"/>
    </row>
    <row r="1507">
      <c r="A1507" s="194" t="s">
        <v>2811</v>
      </c>
      <c r="B1507" s="194">
        <v>106728.0</v>
      </c>
      <c r="C1507" s="192" t="s">
        <v>2808</v>
      </c>
      <c r="D1507" s="192" t="s">
        <v>295</v>
      </c>
      <c r="E1507" s="235"/>
      <c r="F1507" s="235"/>
      <c r="G1507" s="325"/>
      <c r="H1507" s="235"/>
      <c r="I1507" s="235"/>
      <c r="J1507" s="235"/>
      <c r="K1507" s="235"/>
      <c r="L1507" s="235"/>
      <c r="M1507" s="235"/>
      <c r="N1507" s="235"/>
      <c r="O1507" s="235"/>
      <c r="P1507" s="235"/>
      <c r="Q1507" s="235"/>
      <c r="R1507" s="235"/>
      <c r="S1507" s="235"/>
      <c r="T1507" s="235"/>
      <c r="U1507" s="235"/>
      <c r="V1507" s="235"/>
      <c r="W1507" s="235"/>
      <c r="X1507" s="235"/>
      <c r="Y1507" s="235"/>
      <c r="Z1507" s="235"/>
      <c r="AA1507" s="235"/>
      <c r="AB1507" s="235"/>
      <c r="AC1507" s="235"/>
    </row>
    <row r="1508">
      <c r="A1508" s="194" t="s">
        <v>2812</v>
      </c>
      <c r="B1508" s="194">
        <v>106721.0</v>
      </c>
      <c r="C1508" s="192" t="s">
        <v>2813</v>
      </c>
      <c r="D1508" s="192" t="s">
        <v>295</v>
      </c>
      <c r="E1508" s="235"/>
      <c r="F1508" s="235"/>
      <c r="G1508" s="325"/>
      <c r="H1508" s="235"/>
      <c r="I1508" s="235"/>
      <c r="J1508" s="235"/>
      <c r="K1508" s="235"/>
      <c r="L1508" s="235"/>
      <c r="M1508" s="235"/>
      <c r="N1508" s="235"/>
      <c r="O1508" s="235"/>
      <c r="P1508" s="235"/>
      <c r="Q1508" s="235"/>
      <c r="R1508" s="235"/>
      <c r="S1508" s="235"/>
      <c r="T1508" s="235"/>
      <c r="U1508" s="235"/>
      <c r="V1508" s="235"/>
      <c r="W1508" s="235"/>
      <c r="X1508" s="235"/>
      <c r="Y1508" s="235"/>
      <c r="Z1508" s="235"/>
      <c r="AA1508" s="235"/>
      <c r="AB1508" s="235"/>
      <c r="AC1508" s="235"/>
    </row>
    <row r="1509">
      <c r="A1509" s="194" t="s">
        <v>2814</v>
      </c>
      <c r="B1509" s="194">
        <v>106728.0</v>
      </c>
      <c r="C1509" s="192" t="s">
        <v>2808</v>
      </c>
      <c r="D1509" s="192" t="s">
        <v>219</v>
      </c>
      <c r="E1509" s="235"/>
      <c r="F1509" s="235"/>
      <c r="G1509" s="325"/>
      <c r="H1509" s="235"/>
      <c r="I1509" s="235"/>
      <c r="J1509" s="235"/>
      <c r="K1509" s="235"/>
      <c r="L1509" s="235"/>
      <c r="M1509" s="235"/>
      <c r="N1509" s="235"/>
      <c r="O1509" s="235"/>
      <c r="P1509" s="235"/>
      <c r="Q1509" s="235"/>
      <c r="R1509" s="235"/>
      <c r="S1509" s="235"/>
      <c r="T1509" s="235"/>
      <c r="U1509" s="235"/>
      <c r="V1509" s="235"/>
      <c r="W1509" s="235"/>
      <c r="X1509" s="235"/>
      <c r="Y1509" s="235"/>
      <c r="Z1509" s="235"/>
      <c r="AA1509" s="235"/>
      <c r="AB1509" s="235"/>
      <c r="AC1509" s="235"/>
    </row>
    <row r="1510">
      <c r="A1510" s="194" t="s">
        <v>2815</v>
      </c>
      <c r="B1510" s="194">
        <v>106722.0</v>
      </c>
      <c r="C1510" s="192" t="s">
        <v>2816</v>
      </c>
      <c r="D1510" s="192" t="s">
        <v>219</v>
      </c>
      <c r="E1510" s="235"/>
      <c r="F1510" s="235"/>
      <c r="G1510" s="325"/>
      <c r="H1510" s="235"/>
      <c r="I1510" s="235"/>
      <c r="J1510" s="235"/>
      <c r="K1510" s="235"/>
      <c r="L1510" s="235"/>
      <c r="M1510" s="235"/>
      <c r="N1510" s="235"/>
      <c r="O1510" s="235"/>
      <c r="P1510" s="235"/>
      <c r="Q1510" s="235"/>
      <c r="R1510" s="235"/>
      <c r="S1510" s="235"/>
      <c r="T1510" s="235"/>
      <c r="U1510" s="235"/>
      <c r="V1510" s="235"/>
      <c r="W1510" s="235"/>
      <c r="X1510" s="235"/>
      <c r="Y1510" s="235"/>
      <c r="Z1510" s="235"/>
      <c r="AA1510" s="235"/>
      <c r="AB1510" s="235"/>
      <c r="AC1510" s="235"/>
    </row>
    <row r="1511">
      <c r="A1511" s="194" t="s">
        <v>2817</v>
      </c>
      <c r="B1511" s="194">
        <v>106722.0</v>
      </c>
      <c r="C1511" s="192" t="s">
        <v>2816</v>
      </c>
      <c r="D1511" s="192" t="s">
        <v>295</v>
      </c>
      <c r="E1511" s="235"/>
      <c r="F1511" s="235"/>
      <c r="G1511" s="325"/>
      <c r="H1511" s="235"/>
      <c r="I1511" s="235"/>
      <c r="J1511" s="235"/>
      <c r="K1511" s="235"/>
      <c r="L1511" s="235"/>
      <c r="M1511" s="235"/>
      <c r="N1511" s="235"/>
      <c r="O1511" s="235"/>
      <c r="P1511" s="235"/>
      <c r="Q1511" s="235"/>
      <c r="R1511" s="235"/>
      <c r="S1511" s="235"/>
      <c r="T1511" s="235"/>
      <c r="U1511" s="235"/>
      <c r="V1511" s="235"/>
      <c r="W1511" s="235"/>
      <c r="X1511" s="235"/>
      <c r="Y1511" s="235"/>
      <c r="Z1511" s="235"/>
      <c r="AA1511" s="235"/>
      <c r="AB1511" s="235"/>
      <c r="AC1511" s="235"/>
    </row>
    <row r="1512">
      <c r="A1512" s="194" t="s">
        <v>2818</v>
      </c>
      <c r="B1512" s="194">
        <v>106726.0</v>
      </c>
      <c r="C1512" s="192" t="s">
        <v>2819</v>
      </c>
      <c r="D1512" s="192" t="s">
        <v>94</v>
      </c>
      <c r="E1512" s="235"/>
      <c r="F1512" s="235"/>
      <c r="G1512" s="325"/>
      <c r="H1512" s="235"/>
      <c r="I1512" s="235"/>
      <c r="J1512" s="235"/>
      <c r="K1512" s="235"/>
      <c r="L1512" s="235"/>
      <c r="M1512" s="235"/>
      <c r="N1512" s="235"/>
      <c r="O1512" s="235"/>
      <c r="P1512" s="235"/>
      <c r="Q1512" s="235"/>
      <c r="R1512" s="235"/>
      <c r="S1512" s="235"/>
      <c r="T1512" s="235"/>
      <c r="U1512" s="235"/>
      <c r="V1512" s="235"/>
      <c r="W1512" s="235"/>
      <c r="X1512" s="235"/>
      <c r="Y1512" s="235"/>
      <c r="Z1512" s="235"/>
      <c r="AA1512" s="235"/>
      <c r="AB1512" s="235"/>
      <c r="AC1512" s="235"/>
    </row>
    <row r="1513">
      <c r="A1513" s="194" t="s">
        <v>2820</v>
      </c>
      <c r="B1513" s="194">
        <v>105149.0</v>
      </c>
      <c r="C1513" s="192" t="s">
        <v>2821</v>
      </c>
      <c r="D1513" s="192" t="s">
        <v>2202</v>
      </c>
      <c r="E1513" s="235"/>
      <c r="F1513" s="235"/>
      <c r="G1513" s="325"/>
      <c r="H1513" s="235"/>
      <c r="I1513" s="235"/>
      <c r="J1513" s="235"/>
      <c r="K1513" s="235"/>
      <c r="L1513" s="235"/>
      <c r="M1513" s="235"/>
      <c r="N1513" s="235"/>
      <c r="O1513" s="235"/>
      <c r="P1513" s="235"/>
      <c r="Q1513" s="235"/>
      <c r="R1513" s="235"/>
      <c r="S1513" s="235"/>
      <c r="T1513" s="235"/>
      <c r="U1513" s="235"/>
      <c r="V1513" s="235"/>
      <c r="W1513" s="235"/>
      <c r="X1513" s="235"/>
      <c r="Y1513" s="235"/>
      <c r="Z1513" s="235"/>
      <c r="AA1513" s="235"/>
      <c r="AB1513" s="235"/>
      <c r="AC1513" s="235"/>
    </row>
    <row r="1514">
      <c r="A1514" s="194" t="s">
        <v>2822</v>
      </c>
      <c r="B1514" s="194">
        <v>105292.0</v>
      </c>
      <c r="C1514" s="192" t="s">
        <v>2823</v>
      </c>
      <c r="D1514" s="192" t="s">
        <v>265</v>
      </c>
      <c r="E1514" s="235"/>
      <c r="F1514" s="235"/>
      <c r="G1514" s="325"/>
      <c r="H1514" s="235"/>
      <c r="I1514" s="235"/>
      <c r="J1514" s="235"/>
      <c r="K1514" s="235"/>
      <c r="L1514" s="235"/>
      <c r="M1514" s="235"/>
      <c r="N1514" s="235"/>
      <c r="O1514" s="235"/>
      <c r="P1514" s="235"/>
      <c r="Q1514" s="235"/>
      <c r="R1514" s="235"/>
      <c r="S1514" s="235"/>
      <c r="T1514" s="235"/>
      <c r="U1514" s="235"/>
      <c r="V1514" s="235"/>
      <c r="W1514" s="235"/>
      <c r="X1514" s="235"/>
      <c r="Y1514" s="235"/>
      <c r="Z1514" s="235"/>
      <c r="AA1514" s="235"/>
      <c r="AB1514" s="235"/>
      <c r="AC1514" s="235"/>
    </row>
    <row r="1515">
      <c r="A1515" s="194" t="s">
        <v>2824</v>
      </c>
      <c r="B1515" s="194">
        <v>105528.0</v>
      </c>
      <c r="C1515" s="192" t="s">
        <v>2825</v>
      </c>
      <c r="D1515" s="192" t="s">
        <v>2141</v>
      </c>
      <c r="E1515" s="235"/>
      <c r="F1515" s="235"/>
      <c r="G1515" s="325"/>
      <c r="H1515" s="235"/>
      <c r="I1515" s="235"/>
      <c r="J1515" s="235"/>
      <c r="K1515" s="235"/>
      <c r="L1515" s="235"/>
      <c r="M1515" s="235"/>
      <c r="N1515" s="235"/>
      <c r="O1515" s="235"/>
      <c r="P1515" s="235"/>
      <c r="Q1515" s="235"/>
      <c r="R1515" s="235"/>
      <c r="S1515" s="235"/>
      <c r="T1515" s="235"/>
      <c r="U1515" s="235"/>
      <c r="V1515" s="235"/>
      <c r="W1515" s="235"/>
      <c r="X1515" s="235"/>
      <c r="Y1515" s="235"/>
      <c r="Z1515" s="235"/>
      <c r="AA1515" s="235"/>
      <c r="AB1515" s="235"/>
      <c r="AC1515" s="235"/>
    </row>
    <row r="1516">
      <c r="A1516" s="194" t="s">
        <v>2826</v>
      </c>
      <c r="B1516" s="194">
        <v>105491.0</v>
      </c>
      <c r="C1516" s="192" t="s">
        <v>2827</v>
      </c>
      <c r="D1516" s="192" t="s">
        <v>61</v>
      </c>
      <c r="E1516" s="235"/>
      <c r="F1516" s="235"/>
      <c r="G1516" s="325"/>
      <c r="H1516" s="235"/>
      <c r="I1516" s="235"/>
      <c r="J1516" s="235"/>
      <c r="K1516" s="235"/>
      <c r="L1516" s="235"/>
      <c r="M1516" s="235"/>
      <c r="N1516" s="235"/>
      <c r="O1516" s="235"/>
      <c r="P1516" s="235"/>
      <c r="Q1516" s="235"/>
      <c r="R1516" s="235"/>
      <c r="S1516" s="235"/>
      <c r="T1516" s="235"/>
      <c r="U1516" s="235"/>
      <c r="V1516" s="235"/>
      <c r="W1516" s="235"/>
      <c r="X1516" s="235"/>
      <c r="Y1516" s="235"/>
      <c r="Z1516" s="235"/>
      <c r="AA1516" s="235"/>
      <c r="AB1516" s="235"/>
      <c r="AC1516" s="235"/>
    </row>
    <row r="1517">
      <c r="A1517" s="194" t="s">
        <v>2828</v>
      </c>
      <c r="B1517" s="194">
        <v>105504.0</v>
      </c>
      <c r="C1517" s="192" t="s">
        <v>2829</v>
      </c>
      <c r="D1517" s="192" t="s">
        <v>2141</v>
      </c>
      <c r="E1517" s="235"/>
      <c r="F1517" s="235"/>
      <c r="G1517" s="325"/>
      <c r="H1517" s="235"/>
      <c r="I1517" s="235"/>
      <c r="J1517" s="235"/>
      <c r="K1517" s="235"/>
      <c r="L1517" s="235"/>
      <c r="M1517" s="235"/>
      <c r="N1517" s="235"/>
      <c r="O1517" s="235"/>
      <c r="P1517" s="235"/>
      <c r="Q1517" s="235"/>
      <c r="R1517" s="235"/>
      <c r="S1517" s="235"/>
      <c r="T1517" s="235"/>
      <c r="U1517" s="235"/>
      <c r="V1517" s="235"/>
      <c r="W1517" s="235"/>
      <c r="X1517" s="235"/>
      <c r="Y1517" s="235"/>
      <c r="Z1517" s="235"/>
      <c r="AA1517" s="235"/>
      <c r="AB1517" s="235"/>
      <c r="AC1517" s="235"/>
    </row>
    <row r="1518">
      <c r="A1518" s="194" t="s">
        <v>2830</v>
      </c>
      <c r="B1518" s="194">
        <v>105522.0</v>
      </c>
      <c r="C1518" s="192" t="s">
        <v>2831</v>
      </c>
      <c r="D1518" s="192" t="s">
        <v>2141</v>
      </c>
      <c r="E1518" s="235"/>
      <c r="F1518" s="235"/>
      <c r="G1518" s="325"/>
      <c r="H1518" s="235"/>
      <c r="I1518" s="235"/>
      <c r="J1518" s="235"/>
      <c r="K1518" s="235"/>
      <c r="L1518" s="235"/>
      <c r="M1518" s="235"/>
      <c r="N1518" s="235"/>
      <c r="O1518" s="235"/>
      <c r="P1518" s="235"/>
      <c r="Q1518" s="235"/>
      <c r="R1518" s="235"/>
      <c r="S1518" s="235"/>
      <c r="T1518" s="235"/>
      <c r="U1518" s="235"/>
      <c r="V1518" s="235"/>
      <c r="W1518" s="235"/>
      <c r="X1518" s="235"/>
      <c r="Y1518" s="235"/>
      <c r="Z1518" s="235"/>
      <c r="AA1518" s="235"/>
      <c r="AB1518" s="235"/>
      <c r="AC1518" s="235"/>
    </row>
    <row r="1519">
      <c r="A1519" s="194" t="s">
        <v>2832</v>
      </c>
      <c r="B1519" s="194">
        <v>105523.0</v>
      </c>
      <c r="C1519" s="192" t="s">
        <v>2833</v>
      </c>
      <c r="D1519" s="192" t="s">
        <v>2141</v>
      </c>
      <c r="E1519" s="235"/>
      <c r="F1519" s="235"/>
      <c r="G1519" s="325"/>
      <c r="H1519" s="235"/>
      <c r="I1519" s="235"/>
      <c r="J1519" s="235"/>
      <c r="K1519" s="235"/>
      <c r="L1519" s="235"/>
      <c r="M1519" s="235"/>
      <c r="N1519" s="235"/>
      <c r="O1519" s="235"/>
      <c r="P1519" s="235"/>
      <c r="Q1519" s="235"/>
      <c r="R1519" s="235"/>
      <c r="S1519" s="235"/>
      <c r="T1519" s="235"/>
      <c r="U1519" s="235"/>
      <c r="V1519" s="235"/>
      <c r="W1519" s="235"/>
      <c r="X1519" s="235"/>
      <c r="Y1519" s="235"/>
      <c r="Z1519" s="235"/>
      <c r="AA1519" s="235"/>
      <c r="AB1519" s="235"/>
      <c r="AC1519" s="235"/>
    </row>
    <row r="1520">
      <c r="A1520" s="194" t="s">
        <v>2834</v>
      </c>
      <c r="B1520" s="194">
        <v>105524.0</v>
      </c>
      <c r="C1520" s="192" t="s">
        <v>2835</v>
      </c>
      <c r="D1520" s="192" t="s">
        <v>2141</v>
      </c>
      <c r="E1520" s="235"/>
      <c r="F1520" s="235"/>
      <c r="G1520" s="325"/>
      <c r="H1520" s="235"/>
      <c r="I1520" s="235"/>
      <c r="J1520" s="235"/>
      <c r="K1520" s="235"/>
      <c r="L1520" s="235"/>
      <c r="M1520" s="235"/>
      <c r="N1520" s="235"/>
      <c r="O1520" s="235"/>
      <c r="P1520" s="235"/>
      <c r="Q1520" s="235"/>
      <c r="R1520" s="235"/>
      <c r="S1520" s="235"/>
      <c r="T1520" s="235"/>
      <c r="U1520" s="235"/>
      <c r="V1520" s="235"/>
      <c r="W1520" s="235"/>
      <c r="X1520" s="235"/>
      <c r="Y1520" s="235"/>
      <c r="Z1520" s="235"/>
      <c r="AA1520" s="235"/>
      <c r="AB1520" s="235"/>
      <c r="AC1520" s="235"/>
    </row>
    <row r="1521">
      <c r="A1521" s="194" t="s">
        <v>2836</v>
      </c>
      <c r="B1521" s="194">
        <v>105526.0</v>
      </c>
      <c r="C1521" s="192" t="s">
        <v>2837</v>
      </c>
      <c r="D1521" s="192" t="s">
        <v>2141</v>
      </c>
      <c r="E1521" s="235"/>
      <c r="F1521" s="235"/>
      <c r="G1521" s="325"/>
      <c r="H1521" s="235"/>
      <c r="I1521" s="235"/>
      <c r="J1521" s="235"/>
      <c r="K1521" s="235"/>
      <c r="L1521" s="235"/>
      <c r="M1521" s="235"/>
      <c r="N1521" s="235"/>
      <c r="O1521" s="235"/>
      <c r="P1521" s="235"/>
      <c r="Q1521" s="235"/>
      <c r="R1521" s="235"/>
      <c r="S1521" s="235"/>
      <c r="T1521" s="235"/>
      <c r="U1521" s="235"/>
      <c r="V1521" s="235"/>
      <c r="W1521" s="235"/>
      <c r="X1521" s="235"/>
      <c r="Y1521" s="235"/>
      <c r="Z1521" s="235"/>
      <c r="AA1521" s="235"/>
      <c r="AB1521" s="235"/>
      <c r="AC1521" s="235"/>
    </row>
    <row r="1522">
      <c r="A1522" s="194" t="s">
        <v>2838</v>
      </c>
      <c r="B1522" s="194">
        <v>105525.0</v>
      </c>
      <c r="C1522" s="192" t="s">
        <v>2839</v>
      </c>
      <c r="D1522" s="192" t="s">
        <v>2141</v>
      </c>
      <c r="E1522" s="235"/>
      <c r="F1522" s="235"/>
      <c r="G1522" s="325"/>
      <c r="H1522" s="235"/>
      <c r="I1522" s="235"/>
      <c r="J1522" s="235"/>
      <c r="K1522" s="235"/>
      <c r="L1522" s="235"/>
      <c r="M1522" s="235"/>
      <c r="N1522" s="235"/>
      <c r="O1522" s="235"/>
      <c r="P1522" s="235"/>
      <c r="Q1522" s="235"/>
      <c r="R1522" s="235"/>
      <c r="S1522" s="235"/>
      <c r="T1522" s="235"/>
      <c r="U1522" s="235"/>
      <c r="V1522" s="235"/>
      <c r="W1522" s="235"/>
      <c r="X1522" s="235"/>
      <c r="Y1522" s="235"/>
      <c r="Z1522" s="235"/>
      <c r="AA1522" s="235"/>
      <c r="AB1522" s="235"/>
      <c r="AC1522" s="235"/>
    </row>
    <row r="1523">
      <c r="A1523" s="194" t="s">
        <v>2840</v>
      </c>
      <c r="B1523" s="194">
        <v>105527.0</v>
      </c>
      <c r="C1523" s="192" t="s">
        <v>2841</v>
      </c>
      <c r="D1523" s="192" t="s">
        <v>2141</v>
      </c>
      <c r="E1523" s="235"/>
      <c r="F1523" s="235"/>
      <c r="G1523" s="325"/>
      <c r="H1523" s="235"/>
      <c r="I1523" s="235"/>
      <c r="J1523" s="235"/>
      <c r="K1523" s="235"/>
      <c r="L1523" s="235"/>
      <c r="M1523" s="235"/>
      <c r="N1523" s="235"/>
      <c r="O1523" s="235"/>
      <c r="P1523" s="235"/>
      <c r="Q1523" s="235"/>
      <c r="R1523" s="235"/>
      <c r="S1523" s="235"/>
      <c r="T1523" s="235"/>
      <c r="U1523" s="235"/>
      <c r="V1523" s="235"/>
      <c r="W1523" s="235"/>
      <c r="X1523" s="235"/>
      <c r="Y1523" s="235"/>
      <c r="Z1523" s="235"/>
      <c r="AA1523" s="235"/>
      <c r="AB1523" s="235"/>
      <c r="AC1523" s="235"/>
    </row>
    <row r="1524">
      <c r="A1524" s="194" t="s">
        <v>2842</v>
      </c>
      <c r="B1524" s="194">
        <v>105530.0</v>
      </c>
      <c r="C1524" s="192" t="s">
        <v>2843</v>
      </c>
      <c r="D1524" s="192" t="s">
        <v>2141</v>
      </c>
      <c r="E1524" s="235"/>
      <c r="F1524" s="235"/>
      <c r="G1524" s="325"/>
      <c r="H1524" s="235"/>
      <c r="I1524" s="235"/>
      <c r="J1524" s="235"/>
      <c r="K1524" s="235"/>
      <c r="L1524" s="235"/>
      <c r="M1524" s="235"/>
      <c r="N1524" s="235"/>
      <c r="O1524" s="235"/>
      <c r="P1524" s="235"/>
      <c r="Q1524" s="235"/>
      <c r="R1524" s="235"/>
      <c r="S1524" s="235"/>
      <c r="T1524" s="235"/>
      <c r="U1524" s="235"/>
      <c r="V1524" s="235"/>
      <c r="W1524" s="235"/>
      <c r="X1524" s="235"/>
      <c r="Y1524" s="235"/>
      <c r="Z1524" s="235"/>
      <c r="AA1524" s="235"/>
      <c r="AB1524" s="235"/>
      <c r="AC1524" s="235"/>
    </row>
    <row r="1525">
      <c r="A1525" s="194" t="s">
        <v>2844</v>
      </c>
      <c r="B1525" s="194">
        <v>105529.0</v>
      </c>
      <c r="C1525" s="192" t="s">
        <v>2845</v>
      </c>
      <c r="D1525" s="192" t="s">
        <v>2141</v>
      </c>
      <c r="E1525" s="235"/>
      <c r="F1525" s="235"/>
      <c r="G1525" s="325"/>
      <c r="H1525" s="235"/>
      <c r="I1525" s="235"/>
      <c r="J1525" s="235"/>
      <c r="K1525" s="235"/>
      <c r="L1525" s="235"/>
      <c r="M1525" s="235"/>
      <c r="N1525" s="235"/>
      <c r="O1525" s="235"/>
      <c r="P1525" s="235"/>
      <c r="Q1525" s="235"/>
      <c r="R1525" s="235"/>
      <c r="S1525" s="235"/>
      <c r="T1525" s="235"/>
      <c r="U1525" s="235"/>
      <c r="V1525" s="235"/>
      <c r="W1525" s="235"/>
      <c r="X1525" s="235"/>
      <c r="Y1525" s="235"/>
      <c r="Z1525" s="235"/>
      <c r="AA1525" s="235"/>
      <c r="AB1525" s="235"/>
      <c r="AC1525" s="235"/>
    </row>
    <row r="1526">
      <c r="A1526" s="194" t="s">
        <v>2846</v>
      </c>
      <c r="B1526" s="194">
        <v>106188.0</v>
      </c>
      <c r="C1526" s="192" t="s">
        <v>2847</v>
      </c>
      <c r="D1526" s="192" t="s">
        <v>265</v>
      </c>
      <c r="E1526" s="235"/>
      <c r="F1526" s="235"/>
      <c r="G1526" s="325"/>
      <c r="H1526" s="235"/>
      <c r="I1526" s="235"/>
      <c r="J1526" s="235"/>
      <c r="K1526" s="235"/>
      <c r="L1526" s="235"/>
      <c r="M1526" s="235"/>
      <c r="N1526" s="235"/>
      <c r="O1526" s="235"/>
      <c r="P1526" s="235"/>
      <c r="Q1526" s="235"/>
      <c r="R1526" s="235"/>
      <c r="S1526" s="235"/>
      <c r="T1526" s="235"/>
      <c r="U1526" s="235"/>
      <c r="V1526" s="235"/>
      <c r="W1526" s="235"/>
      <c r="X1526" s="235"/>
      <c r="Y1526" s="235"/>
      <c r="Z1526" s="235"/>
      <c r="AA1526" s="235"/>
      <c r="AB1526" s="235"/>
      <c r="AC1526" s="235"/>
    </row>
    <row r="1527">
      <c r="A1527" s="194" t="s">
        <v>2848</v>
      </c>
      <c r="B1527" s="194">
        <v>104478.0</v>
      </c>
      <c r="C1527" s="192" t="s">
        <v>2849</v>
      </c>
      <c r="D1527" s="192" t="s">
        <v>95</v>
      </c>
      <c r="E1527" s="235"/>
      <c r="F1527" s="235"/>
      <c r="G1527" s="325"/>
      <c r="H1527" s="235"/>
      <c r="I1527" s="235"/>
      <c r="J1527" s="235"/>
      <c r="K1527" s="235"/>
      <c r="L1527" s="235"/>
      <c r="M1527" s="235"/>
      <c r="N1527" s="235"/>
      <c r="O1527" s="235"/>
      <c r="P1527" s="235"/>
      <c r="Q1527" s="235"/>
      <c r="R1527" s="235"/>
      <c r="S1527" s="235"/>
      <c r="T1527" s="235"/>
      <c r="U1527" s="235"/>
      <c r="V1527" s="235"/>
      <c r="W1527" s="235"/>
      <c r="X1527" s="235"/>
      <c r="Y1527" s="235"/>
      <c r="Z1527" s="235"/>
      <c r="AA1527" s="235"/>
      <c r="AB1527" s="235"/>
      <c r="AC1527" s="235"/>
    </row>
    <row r="1528">
      <c r="A1528" s="194" t="s">
        <v>2850</v>
      </c>
      <c r="B1528" s="194">
        <v>105990.0</v>
      </c>
      <c r="C1528" s="192" t="s">
        <v>2851</v>
      </c>
      <c r="D1528" s="192" t="s">
        <v>1184</v>
      </c>
      <c r="E1528" s="235"/>
      <c r="F1528" s="235"/>
      <c r="G1528" s="325"/>
      <c r="H1528" s="235"/>
      <c r="I1528" s="235"/>
      <c r="J1528" s="235"/>
      <c r="K1528" s="235"/>
      <c r="L1528" s="235"/>
      <c r="M1528" s="235"/>
      <c r="N1528" s="235"/>
      <c r="O1528" s="235"/>
      <c r="P1528" s="235"/>
      <c r="Q1528" s="235"/>
      <c r="R1528" s="235"/>
      <c r="S1528" s="235"/>
      <c r="T1528" s="235"/>
      <c r="U1528" s="235"/>
      <c r="V1528" s="235"/>
      <c r="W1528" s="235"/>
      <c r="X1528" s="235"/>
      <c r="Y1528" s="235"/>
      <c r="Z1528" s="235"/>
      <c r="AA1528" s="235"/>
      <c r="AB1528" s="235"/>
      <c r="AC1528" s="235"/>
    </row>
    <row r="1529">
      <c r="A1529" s="194" t="s">
        <v>2852</v>
      </c>
      <c r="B1529" s="194">
        <v>105712.0</v>
      </c>
      <c r="C1529" s="192" t="s">
        <v>2853</v>
      </c>
      <c r="D1529" s="192" t="s">
        <v>265</v>
      </c>
      <c r="E1529" s="235"/>
      <c r="F1529" s="235"/>
      <c r="G1529" s="325"/>
      <c r="H1529" s="235"/>
      <c r="I1529" s="235"/>
      <c r="J1529" s="235"/>
      <c r="K1529" s="235"/>
      <c r="L1529" s="235"/>
      <c r="M1529" s="235"/>
      <c r="N1529" s="235"/>
      <c r="O1529" s="235"/>
      <c r="P1529" s="235"/>
      <c r="Q1529" s="235"/>
      <c r="R1529" s="235"/>
      <c r="S1529" s="235"/>
      <c r="T1529" s="235"/>
      <c r="U1529" s="235"/>
      <c r="V1529" s="235"/>
      <c r="W1529" s="235"/>
      <c r="X1529" s="235"/>
      <c r="Y1529" s="235"/>
      <c r="Z1529" s="235"/>
      <c r="AA1529" s="235"/>
      <c r="AB1529" s="235"/>
      <c r="AC1529" s="235"/>
    </row>
    <row r="1530">
      <c r="A1530" s="194" t="s">
        <v>2854</v>
      </c>
      <c r="B1530" s="194">
        <v>106355.0</v>
      </c>
      <c r="C1530" s="192" t="s">
        <v>2855</v>
      </c>
      <c r="D1530" s="192" t="s">
        <v>265</v>
      </c>
      <c r="E1530" s="235"/>
      <c r="F1530" s="235"/>
      <c r="G1530" s="325"/>
      <c r="H1530" s="235"/>
      <c r="I1530" s="235"/>
      <c r="J1530" s="235"/>
      <c r="K1530" s="235"/>
      <c r="L1530" s="235"/>
      <c r="M1530" s="235"/>
      <c r="N1530" s="235"/>
      <c r="O1530" s="235"/>
      <c r="P1530" s="235"/>
      <c r="Q1530" s="235"/>
      <c r="R1530" s="235"/>
      <c r="S1530" s="235"/>
      <c r="T1530" s="235"/>
      <c r="U1530" s="235"/>
      <c r="V1530" s="235"/>
      <c r="W1530" s="235"/>
      <c r="X1530" s="235"/>
      <c r="Y1530" s="235"/>
      <c r="Z1530" s="235"/>
      <c r="AA1530" s="235"/>
      <c r="AB1530" s="235"/>
      <c r="AC1530" s="235"/>
    </row>
    <row r="1531">
      <c r="A1531" s="194" t="s">
        <v>2856</v>
      </c>
      <c r="B1531" s="194">
        <v>105835.0</v>
      </c>
      <c r="C1531" s="192" t="s">
        <v>2857</v>
      </c>
      <c r="D1531" s="192" t="s">
        <v>265</v>
      </c>
      <c r="E1531" s="235"/>
      <c r="F1531" s="235"/>
      <c r="G1531" s="325"/>
      <c r="H1531" s="235"/>
      <c r="I1531" s="235"/>
      <c r="J1531" s="235"/>
      <c r="K1531" s="235"/>
      <c r="L1531" s="235"/>
      <c r="M1531" s="235"/>
      <c r="N1531" s="235"/>
      <c r="O1531" s="235"/>
      <c r="P1531" s="235"/>
      <c r="Q1531" s="235"/>
      <c r="R1531" s="235"/>
      <c r="S1531" s="235"/>
      <c r="T1531" s="235"/>
      <c r="U1531" s="235"/>
      <c r="V1531" s="235"/>
      <c r="W1531" s="235"/>
      <c r="X1531" s="235"/>
      <c r="Y1531" s="235"/>
      <c r="Z1531" s="235"/>
      <c r="AA1531" s="235"/>
      <c r="AB1531" s="235"/>
      <c r="AC1531" s="235"/>
    </row>
    <row r="1532">
      <c r="A1532" s="194" t="s">
        <v>2858</v>
      </c>
      <c r="B1532" s="194">
        <v>106029.0</v>
      </c>
      <c r="C1532" s="192" t="s">
        <v>2859</v>
      </c>
      <c r="D1532" s="192" t="s">
        <v>806</v>
      </c>
      <c r="E1532" s="235"/>
      <c r="F1532" s="235"/>
      <c r="G1532" s="325"/>
      <c r="H1532" s="235"/>
      <c r="I1532" s="235"/>
      <c r="J1532" s="235"/>
      <c r="K1532" s="235"/>
      <c r="L1532" s="235"/>
      <c r="M1532" s="235"/>
      <c r="N1532" s="235"/>
      <c r="O1532" s="235"/>
      <c r="P1532" s="235"/>
      <c r="Q1532" s="235"/>
      <c r="R1532" s="235"/>
      <c r="S1532" s="235"/>
      <c r="T1532" s="235"/>
      <c r="U1532" s="235"/>
      <c r="V1532" s="235"/>
      <c r="W1532" s="235"/>
      <c r="X1532" s="235"/>
      <c r="Y1532" s="235"/>
      <c r="Z1532" s="235"/>
      <c r="AA1532" s="235"/>
      <c r="AB1532" s="235"/>
      <c r="AC1532" s="235"/>
    </row>
    <row r="1533">
      <c r="A1533" s="194" t="s">
        <v>2860</v>
      </c>
      <c r="B1533" s="194">
        <v>105639.0</v>
      </c>
      <c r="C1533" s="192" t="s">
        <v>2861</v>
      </c>
      <c r="D1533" s="192" t="s">
        <v>265</v>
      </c>
      <c r="E1533" s="235"/>
      <c r="F1533" s="235"/>
      <c r="G1533" s="325"/>
      <c r="H1533" s="235"/>
      <c r="I1533" s="235"/>
      <c r="J1533" s="235"/>
      <c r="K1533" s="235"/>
      <c r="L1533" s="235"/>
      <c r="M1533" s="235"/>
      <c r="N1533" s="235"/>
      <c r="O1533" s="235"/>
      <c r="P1533" s="235"/>
      <c r="Q1533" s="235"/>
      <c r="R1533" s="235"/>
      <c r="S1533" s="235"/>
      <c r="T1533" s="235"/>
      <c r="U1533" s="235"/>
      <c r="V1533" s="235"/>
      <c r="W1533" s="235"/>
      <c r="X1533" s="235"/>
      <c r="Y1533" s="235"/>
      <c r="Z1533" s="235"/>
      <c r="AA1533" s="235"/>
      <c r="AB1533" s="235"/>
      <c r="AC1533" s="235"/>
    </row>
    <row r="1534">
      <c r="A1534" s="194"/>
      <c r="B1534" s="194">
        <v>105178.0</v>
      </c>
      <c r="C1534" s="192" t="s">
        <v>2862</v>
      </c>
      <c r="D1534" s="192" t="s">
        <v>265</v>
      </c>
      <c r="E1534" s="235"/>
      <c r="F1534" s="235"/>
      <c r="G1534" s="325"/>
      <c r="H1534" s="235"/>
      <c r="I1534" s="235"/>
      <c r="J1534" s="235"/>
      <c r="K1534" s="235"/>
      <c r="L1534" s="235"/>
      <c r="M1534" s="235"/>
      <c r="N1534" s="235"/>
      <c r="O1534" s="235"/>
      <c r="P1534" s="235"/>
      <c r="Q1534" s="235"/>
      <c r="R1534" s="235"/>
      <c r="S1534" s="235"/>
      <c r="T1534" s="235"/>
      <c r="U1534" s="235"/>
      <c r="V1534" s="235"/>
      <c r="W1534" s="235"/>
      <c r="X1534" s="235"/>
      <c r="Y1534" s="235"/>
      <c r="Z1534" s="235"/>
      <c r="AA1534" s="235"/>
      <c r="AB1534" s="235"/>
      <c r="AC1534" s="235"/>
    </row>
    <row r="1535">
      <c r="A1535" s="194" t="s">
        <v>2863</v>
      </c>
      <c r="B1535" s="194">
        <v>106079.0</v>
      </c>
      <c r="C1535" s="192" t="s">
        <v>2864</v>
      </c>
      <c r="D1535" s="192" t="s">
        <v>94</v>
      </c>
      <c r="E1535" s="235"/>
      <c r="F1535" s="235"/>
      <c r="G1535" s="325"/>
      <c r="H1535" s="235"/>
      <c r="I1535" s="235"/>
      <c r="J1535" s="235"/>
      <c r="K1535" s="235"/>
      <c r="L1535" s="235"/>
      <c r="M1535" s="235"/>
      <c r="N1535" s="235"/>
      <c r="O1535" s="235"/>
      <c r="P1535" s="235"/>
      <c r="Q1535" s="235"/>
      <c r="R1535" s="235"/>
      <c r="S1535" s="235"/>
      <c r="T1535" s="235"/>
      <c r="U1535" s="235"/>
      <c r="V1535" s="235"/>
      <c r="W1535" s="235"/>
      <c r="X1535" s="235"/>
      <c r="Y1535" s="235"/>
      <c r="Z1535" s="235"/>
      <c r="AA1535" s="235"/>
      <c r="AB1535" s="235"/>
      <c r="AC1535" s="235"/>
    </row>
    <row r="1536">
      <c r="A1536" s="194" t="s">
        <v>2865</v>
      </c>
      <c r="B1536" s="194">
        <v>106368.0</v>
      </c>
      <c r="C1536" s="192" t="s">
        <v>2866</v>
      </c>
      <c r="D1536" s="192" t="s">
        <v>295</v>
      </c>
      <c r="E1536" s="235"/>
      <c r="F1536" s="235"/>
      <c r="G1536" s="325"/>
      <c r="H1536" s="235"/>
      <c r="I1536" s="235"/>
      <c r="J1536" s="235"/>
      <c r="K1536" s="235"/>
      <c r="L1536" s="235"/>
      <c r="M1536" s="235"/>
      <c r="N1536" s="235"/>
      <c r="O1536" s="235"/>
      <c r="P1536" s="235"/>
      <c r="Q1536" s="235"/>
      <c r="R1536" s="235"/>
      <c r="S1536" s="235"/>
      <c r="T1536" s="235"/>
      <c r="U1536" s="235"/>
      <c r="V1536" s="235"/>
      <c r="W1536" s="235"/>
      <c r="X1536" s="235"/>
      <c r="Y1536" s="235"/>
      <c r="Z1536" s="235"/>
      <c r="AA1536" s="235"/>
      <c r="AB1536" s="235"/>
      <c r="AC1536" s="235"/>
    </row>
    <row r="1537">
      <c r="A1537" s="194" t="s">
        <v>2867</v>
      </c>
      <c r="B1537" s="194">
        <v>106061.0</v>
      </c>
      <c r="C1537" s="192" t="s">
        <v>2868</v>
      </c>
      <c r="D1537" s="192" t="s">
        <v>1140</v>
      </c>
      <c r="E1537" s="235"/>
      <c r="F1537" s="235"/>
      <c r="G1537" s="325"/>
      <c r="H1537" s="235"/>
      <c r="I1537" s="235"/>
      <c r="J1537" s="235"/>
      <c r="K1537" s="235"/>
      <c r="L1537" s="235"/>
      <c r="M1537" s="235"/>
      <c r="N1537" s="235"/>
      <c r="O1537" s="235"/>
      <c r="P1537" s="235"/>
      <c r="Q1537" s="235"/>
      <c r="R1537" s="235"/>
      <c r="S1537" s="235"/>
      <c r="T1537" s="235"/>
      <c r="U1537" s="235"/>
      <c r="V1537" s="235"/>
      <c r="W1537" s="235"/>
      <c r="X1537" s="235"/>
      <c r="Y1537" s="235"/>
      <c r="Z1537" s="235"/>
      <c r="AA1537" s="235"/>
      <c r="AB1537" s="235"/>
      <c r="AC1537" s="235"/>
    </row>
    <row r="1538">
      <c r="A1538" s="194" t="s">
        <v>2869</v>
      </c>
      <c r="B1538" s="194">
        <v>105980.0</v>
      </c>
      <c r="C1538" s="192" t="s">
        <v>2870</v>
      </c>
      <c r="D1538" s="192" t="s">
        <v>646</v>
      </c>
      <c r="E1538" s="235"/>
      <c r="F1538" s="235"/>
      <c r="G1538" s="325"/>
      <c r="H1538" s="235"/>
      <c r="I1538" s="235"/>
      <c r="J1538" s="235"/>
      <c r="K1538" s="235"/>
      <c r="L1538" s="235"/>
      <c r="M1538" s="235"/>
      <c r="N1538" s="235"/>
      <c r="O1538" s="235"/>
      <c r="P1538" s="235"/>
      <c r="Q1538" s="235"/>
      <c r="R1538" s="235"/>
      <c r="S1538" s="235"/>
      <c r="T1538" s="235"/>
      <c r="U1538" s="235"/>
      <c r="V1538" s="235"/>
      <c r="W1538" s="235"/>
      <c r="X1538" s="235"/>
      <c r="Y1538" s="235"/>
      <c r="Z1538" s="235"/>
      <c r="AA1538" s="235"/>
      <c r="AB1538" s="235"/>
      <c r="AC1538" s="235"/>
    </row>
    <row r="1539">
      <c r="A1539" s="194" t="s">
        <v>2871</v>
      </c>
      <c r="B1539" s="194">
        <v>105720.0</v>
      </c>
      <c r="C1539" s="192" t="s">
        <v>2872</v>
      </c>
      <c r="D1539" s="192" t="s">
        <v>1140</v>
      </c>
      <c r="E1539" s="235"/>
      <c r="F1539" s="235"/>
      <c r="G1539" s="325"/>
      <c r="H1539" s="235"/>
      <c r="I1539" s="235"/>
      <c r="J1539" s="235"/>
      <c r="K1539" s="235"/>
      <c r="L1539" s="235"/>
      <c r="M1539" s="235"/>
      <c r="N1539" s="235"/>
      <c r="O1539" s="235"/>
      <c r="P1539" s="235"/>
      <c r="Q1539" s="235"/>
      <c r="R1539" s="235"/>
      <c r="S1539" s="235"/>
      <c r="T1539" s="235"/>
      <c r="U1539" s="235"/>
      <c r="V1539" s="235"/>
      <c r="W1539" s="235"/>
      <c r="X1539" s="235"/>
      <c r="Y1539" s="235"/>
      <c r="Z1539" s="235"/>
      <c r="AA1539" s="235"/>
      <c r="AB1539" s="235"/>
      <c r="AC1539" s="235"/>
    </row>
    <row r="1540">
      <c r="A1540" s="194" t="s">
        <v>2873</v>
      </c>
      <c r="B1540" s="194">
        <v>105755.0</v>
      </c>
      <c r="C1540" s="192" t="s">
        <v>2874</v>
      </c>
      <c r="D1540" s="192" t="s">
        <v>1140</v>
      </c>
      <c r="E1540" s="235"/>
      <c r="F1540" s="235"/>
      <c r="G1540" s="325"/>
      <c r="H1540" s="235"/>
      <c r="I1540" s="235"/>
      <c r="J1540" s="235"/>
      <c r="K1540" s="235"/>
      <c r="L1540" s="235"/>
      <c r="M1540" s="235"/>
      <c r="N1540" s="235"/>
      <c r="O1540" s="235"/>
      <c r="P1540" s="235"/>
      <c r="Q1540" s="235"/>
      <c r="R1540" s="235"/>
      <c r="S1540" s="235"/>
      <c r="T1540" s="235"/>
      <c r="U1540" s="235"/>
      <c r="V1540" s="235"/>
      <c r="W1540" s="235"/>
      <c r="X1540" s="235"/>
      <c r="Y1540" s="235"/>
      <c r="Z1540" s="235"/>
      <c r="AA1540" s="235"/>
      <c r="AB1540" s="235"/>
      <c r="AC1540" s="235"/>
    </row>
    <row r="1541">
      <c r="A1541" s="194" t="s">
        <v>2875</v>
      </c>
      <c r="B1541" s="194">
        <v>105714.0</v>
      </c>
      <c r="C1541" s="192" t="s">
        <v>2876</v>
      </c>
      <c r="D1541" s="192" t="s">
        <v>1140</v>
      </c>
      <c r="E1541" s="235"/>
      <c r="F1541" s="235"/>
      <c r="G1541" s="325"/>
      <c r="H1541" s="235"/>
      <c r="I1541" s="235"/>
      <c r="J1541" s="235"/>
      <c r="K1541" s="235"/>
      <c r="L1541" s="235"/>
      <c r="M1541" s="235"/>
      <c r="N1541" s="235"/>
      <c r="O1541" s="235"/>
      <c r="P1541" s="235"/>
      <c r="Q1541" s="235"/>
      <c r="R1541" s="235"/>
      <c r="S1541" s="235"/>
      <c r="T1541" s="235"/>
      <c r="U1541" s="235"/>
      <c r="V1541" s="235"/>
      <c r="W1541" s="235"/>
      <c r="X1541" s="235"/>
      <c r="Y1541" s="235"/>
      <c r="Z1541" s="235"/>
      <c r="AA1541" s="235"/>
      <c r="AB1541" s="235"/>
      <c r="AC1541" s="235"/>
    </row>
    <row r="1542">
      <c r="A1542" s="194"/>
      <c r="B1542" s="194">
        <v>105715.0</v>
      </c>
      <c r="C1542" s="192" t="s">
        <v>2877</v>
      </c>
      <c r="D1542" s="192" t="s">
        <v>1140</v>
      </c>
      <c r="E1542" s="235"/>
      <c r="F1542" s="235"/>
      <c r="G1542" s="325"/>
      <c r="H1542" s="235"/>
      <c r="I1542" s="235"/>
      <c r="J1542" s="235"/>
      <c r="K1542" s="235"/>
      <c r="L1542" s="235"/>
      <c r="M1542" s="235"/>
      <c r="N1542" s="235"/>
      <c r="O1542" s="235"/>
      <c r="P1542" s="235"/>
      <c r="Q1542" s="235"/>
      <c r="R1542" s="235"/>
      <c r="S1542" s="235"/>
      <c r="T1542" s="235"/>
      <c r="U1542" s="235"/>
      <c r="V1542" s="235"/>
      <c r="W1542" s="235"/>
      <c r="X1542" s="235"/>
      <c r="Y1542" s="235"/>
      <c r="Z1542" s="235"/>
      <c r="AA1542" s="235"/>
      <c r="AB1542" s="235"/>
      <c r="AC1542" s="235"/>
    </row>
    <row r="1543">
      <c r="A1543" s="194" t="s">
        <v>105</v>
      </c>
      <c r="B1543" s="194">
        <v>106750.0</v>
      </c>
      <c r="C1543" s="192" t="s">
        <v>2878</v>
      </c>
      <c r="D1543" s="192" t="s">
        <v>1140</v>
      </c>
      <c r="E1543" s="235"/>
      <c r="F1543" s="235"/>
      <c r="G1543" s="325"/>
      <c r="H1543" s="235"/>
      <c r="I1543" s="235"/>
      <c r="J1543" s="235"/>
      <c r="K1543" s="235"/>
      <c r="L1543" s="235"/>
      <c r="M1543" s="235"/>
      <c r="N1543" s="235"/>
      <c r="O1543" s="235"/>
      <c r="P1543" s="235"/>
      <c r="Q1543" s="235"/>
      <c r="R1543" s="235"/>
      <c r="S1543" s="235"/>
      <c r="T1543" s="235"/>
      <c r="U1543" s="235"/>
      <c r="V1543" s="235"/>
      <c r="W1543" s="235"/>
      <c r="X1543" s="235"/>
      <c r="Y1543" s="235"/>
      <c r="Z1543" s="235"/>
      <c r="AA1543" s="235"/>
      <c r="AB1543" s="235"/>
      <c r="AC1543" s="235"/>
    </row>
    <row r="1544">
      <c r="A1544" s="194" t="s">
        <v>2879</v>
      </c>
      <c r="B1544" s="194">
        <v>106662.0</v>
      </c>
      <c r="C1544" s="192" t="s">
        <v>2880</v>
      </c>
      <c r="D1544" s="192" t="s">
        <v>1140</v>
      </c>
      <c r="E1544" s="235"/>
      <c r="F1544" s="235"/>
      <c r="G1544" s="325"/>
      <c r="H1544" s="235"/>
      <c r="I1544" s="235"/>
      <c r="J1544" s="235"/>
      <c r="K1544" s="235"/>
      <c r="L1544" s="235"/>
      <c r="M1544" s="235"/>
      <c r="N1544" s="235"/>
      <c r="O1544" s="235"/>
      <c r="P1544" s="235"/>
      <c r="Q1544" s="235"/>
      <c r="R1544" s="235"/>
      <c r="S1544" s="235"/>
      <c r="T1544" s="235"/>
      <c r="U1544" s="235"/>
      <c r="V1544" s="235"/>
      <c r="W1544" s="235"/>
      <c r="X1544" s="235"/>
      <c r="Y1544" s="235"/>
      <c r="Z1544" s="235"/>
      <c r="AA1544" s="235"/>
      <c r="AB1544" s="235"/>
      <c r="AC1544" s="235"/>
    </row>
    <row r="1545">
      <c r="A1545" s="194" t="s">
        <v>2881</v>
      </c>
      <c r="B1545" s="194">
        <v>106644.0</v>
      </c>
      <c r="C1545" s="192" t="s">
        <v>2882</v>
      </c>
      <c r="D1545" s="192" t="s">
        <v>1140</v>
      </c>
      <c r="E1545" s="235"/>
      <c r="F1545" s="235"/>
      <c r="G1545" s="325"/>
      <c r="H1545" s="235"/>
      <c r="I1545" s="235"/>
      <c r="J1545" s="235"/>
      <c r="K1545" s="235"/>
      <c r="L1545" s="235"/>
      <c r="M1545" s="235"/>
      <c r="N1545" s="235"/>
      <c r="O1545" s="235"/>
      <c r="P1545" s="235"/>
      <c r="Q1545" s="235"/>
      <c r="R1545" s="235"/>
      <c r="S1545" s="235"/>
      <c r="T1545" s="235"/>
      <c r="U1545" s="235"/>
      <c r="V1545" s="235"/>
      <c r="W1545" s="235"/>
      <c r="X1545" s="235"/>
      <c r="Y1545" s="235"/>
      <c r="Z1545" s="235"/>
      <c r="AA1545" s="235"/>
      <c r="AB1545" s="235"/>
      <c r="AC1545" s="235"/>
    </row>
    <row r="1546">
      <c r="A1546" s="194"/>
      <c r="B1546" s="194"/>
      <c r="C1546" s="192" t="e">
        <v>#REF!</v>
      </c>
      <c r="D1546" s="192"/>
      <c r="E1546" s="235"/>
      <c r="F1546" s="235"/>
      <c r="G1546" s="325"/>
      <c r="H1546" s="235"/>
      <c r="I1546" s="235"/>
      <c r="J1546" s="235"/>
      <c r="K1546" s="235"/>
      <c r="L1546" s="235"/>
      <c r="M1546" s="235"/>
      <c r="N1546" s="235"/>
      <c r="O1546" s="235"/>
      <c r="P1546" s="235"/>
      <c r="Q1546" s="235"/>
      <c r="R1546" s="235"/>
      <c r="S1546" s="235"/>
      <c r="T1546" s="235"/>
      <c r="U1546" s="235"/>
      <c r="V1546" s="235"/>
      <c r="W1546" s="235"/>
      <c r="X1546" s="235"/>
      <c r="Y1546" s="235"/>
      <c r="Z1546" s="235"/>
      <c r="AA1546" s="235"/>
      <c r="AB1546" s="235"/>
      <c r="AC1546" s="235"/>
    </row>
    <row r="1547">
      <c r="A1547" s="194"/>
      <c r="B1547" s="194"/>
      <c r="C1547" s="192" t="e">
        <v>#REF!</v>
      </c>
      <c r="D1547" s="192"/>
      <c r="E1547" s="235"/>
      <c r="F1547" s="235"/>
      <c r="G1547" s="325"/>
      <c r="H1547" s="235"/>
      <c r="I1547" s="235"/>
      <c r="J1547" s="235"/>
      <c r="K1547" s="235"/>
      <c r="L1547" s="235"/>
      <c r="M1547" s="235"/>
      <c r="N1547" s="235"/>
      <c r="O1547" s="235"/>
      <c r="P1547" s="235"/>
      <c r="Q1547" s="235"/>
      <c r="R1547" s="235"/>
      <c r="S1547" s="235"/>
      <c r="T1547" s="235"/>
      <c r="U1547" s="235"/>
      <c r="V1547" s="235"/>
      <c r="W1547" s="235"/>
      <c r="X1547" s="235"/>
      <c r="Y1547" s="235"/>
      <c r="Z1547" s="235"/>
      <c r="AA1547" s="235"/>
      <c r="AB1547" s="235"/>
      <c r="AC1547" s="235"/>
    </row>
    <row r="1548">
      <c r="A1548" s="194"/>
      <c r="B1548" s="194"/>
      <c r="C1548" s="192" t="e">
        <v>#REF!</v>
      </c>
      <c r="D1548" s="192"/>
      <c r="E1548" s="235"/>
      <c r="F1548" s="235"/>
      <c r="G1548" s="325"/>
      <c r="H1548" s="235"/>
      <c r="I1548" s="235"/>
      <c r="J1548" s="235"/>
      <c r="K1548" s="235"/>
      <c r="L1548" s="235"/>
      <c r="M1548" s="235"/>
      <c r="N1548" s="235"/>
      <c r="O1548" s="235"/>
      <c r="P1548" s="235"/>
      <c r="Q1548" s="235"/>
      <c r="R1548" s="235"/>
      <c r="S1548" s="235"/>
      <c r="T1548" s="235"/>
      <c r="U1548" s="235"/>
      <c r="V1548" s="235"/>
      <c r="W1548" s="235"/>
      <c r="X1548" s="235"/>
      <c r="Y1548" s="235"/>
      <c r="Z1548" s="235"/>
      <c r="AA1548" s="235"/>
      <c r="AB1548" s="235"/>
      <c r="AC1548" s="235"/>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0"/>
    <col customWidth="1" min="2" max="2" width="20.5"/>
    <col customWidth="1" min="3" max="3" width="17.0"/>
    <col customWidth="1" min="4" max="4" width="32.13"/>
  </cols>
  <sheetData>
    <row r="1">
      <c r="A1" s="326" t="s">
        <v>2948</v>
      </c>
      <c r="B1" s="326" t="s">
        <v>2949</v>
      </c>
      <c r="C1" s="326" t="s">
        <v>2950</v>
      </c>
      <c r="D1" s="326" t="s">
        <v>2951</v>
      </c>
    </row>
    <row r="2">
      <c r="A2" s="327" t="str">
        <f t="shared" ref="A2:A1010" si="1">CONCATENATE(B2," ",C2)</f>
        <v>5S Team</v>
      </c>
      <c r="B2" s="327" t="s">
        <v>2952</v>
      </c>
      <c r="C2" s="327" t="s">
        <v>2953</v>
      </c>
      <c r="D2" s="327" t="s">
        <v>2954</v>
      </c>
    </row>
    <row r="3">
      <c r="A3" s="327" t="str">
        <f t="shared" si="1"/>
        <v>Aaron Aguinaldo</v>
      </c>
      <c r="B3" s="327" t="s">
        <v>2955</v>
      </c>
      <c r="C3" s="327" t="s">
        <v>2956</v>
      </c>
      <c r="D3" s="327" t="s">
        <v>2957</v>
      </c>
    </row>
    <row r="4">
      <c r="A4" s="327" t="str">
        <f t="shared" si="1"/>
        <v>Aaron Pastidio</v>
      </c>
      <c r="B4" s="327" t="s">
        <v>2955</v>
      </c>
      <c r="C4" s="327" t="s">
        <v>2958</v>
      </c>
      <c r="D4" s="327" t="s">
        <v>2959</v>
      </c>
    </row>
    <row r="5">
      <c r="A5" s="327" t="str">
        <f t="shared" si="1"/>
        <v>Abigail Tobalado</v>
      </c>
      <c r="B5" s="327" t="s">
        <v>2960</v>
      </c>
      <c r="C5" s="327" t="s">
        <v>2961</v>
      </c>
      <c r="D5" s="327" t="s">
        <v>2962</v>
      </c>
    </row>
    <row r="6">
      <c r="A6" s="327" t="str">
        <f t="shared" si="1"/>
        <v>Abigail Vallente</v>
      </c>
      <c r="B6" s="327" t="s">
        <v>2960</v>
      </c>
      <c r="C6" s="327" t="s">
        <v>2963</v>
      </c>
      <c r="D6" s="327" t="s">
        <v>2964</v>
      </c>
    </row>
    <row r="7">
      <c r="A7" s="327" t="str">
        <f t="shared" si="1"/>
        <v>Abregale Joseph Monzon</v>
      </c>
      <c r="B7" s="327" t="s">
        <v>2965</v>
      </c>
      <c r="C7" s="327" t="s">
        <v>2966</v>
      </c>
      <c r="D7" s="327" t="s">
        <v>2967</v>
      </c>
    </row>
    <row r="8">
      <c r="A8" s="327" t="str">
        <f t="shared" si="1"/>
        <v>AC Calado</v>
      </c>
      <c r="B8" s="327" t="s">
        <v>2968</v>
      </c>
      <c r="C8" s="327" t="s">
        <v>2969</v>
      </c>
      <c r="D8" s="327" t="s">
        <v>2970</v>
      </c>
    </row>
    <row r="9">
      <c r="A9" s="327" t="str">
        <f t="shared" si="1"/>
        <v>Accounts Manager</v>
      </c>
      <c r="B9" s="327" t="s">
        <v>2971</v>
      </c>
      <c r="C9" s="327" t="s">
        <v>2972</v>
      </c>
      <c r="D9" s="327" t="s">
        <v>2973</v>
      </c>
    </row>
    <row r="10">
      <c r="A10" s="327" t="str">
        <f t="shared" si="1"/>
        <v>Adewale Leongson</v>
      </c>
      <c r="B10" s="327" t="s">
        <v>2974</v>
      </c>
      <c r="C10" s="327" t="s">
        <v>2975</v>
      </c>
      <c r="D10" s="327" t="s">
        <v>2976</v>
      </c>
    </row>
    <row r="11">
      <c r="A11" s="327" t="str">
        <f t="shared" si="1"/>
        <v>Adrian Vela</v>
      </c>
      <c r="B11" s="327" t="s">
        <v>2977</v>
      </c>
      <c r="C11" s="327" t="s">
        <v>2978</v>
      </c>
      <c r="D11" s="327" t="s">
        <v>2979</v>
      </c>
    </row>
    <row r="12">
      <c r="A12" s="327" t="str">
        <f t="shared" si="1"/>
        <v>Aida Dizon</v>
      </c>
      <c r="B12" s="327" t="s">
        <v>2980</v>
      </c>
      <c r="C12" s="327" t="s">
        <v>2981</v>
      </c>
      <c r="D12" s="327" t="s">
        <v>2982</v>
      </c>
    </row>
    <row r="13">
      <c r="A13" s="327" t="str">
        <f t="shared" si="1"/>
        <v>Aileen Sejas</v>
      </c>
      <c r="B13" s="327" t="s">
        <v>2983</v>
      </c>
      <c r="C13" s="327" t="s">
        <v>2984</v>
      </c>
      <c r="D13" s="327" t="s">
        <v>2985</v>
      </c>
    </row>
    <row r="14">
      <c r="A14" s="327" t="str">
        <f t="shared" si="1"/>
        <v>Ailene Fulgencio</v>
      </c>
      <c r="B14" s="327" t="s">
        <v>2986</v>
      </c>
      <c r="C14" s="327" t="s">
        <v>2987</v>
      </c>
      <c r="D14" s="327" t="s">
        <v>2988</v>
      </c>
    </row>
    <row r="15">
      <c r="A15" s="327" t="str">
        <f t="shared" si="1"/>
        <v>Aiza Natal</v>
      </c>
      <c r="B15" s="327" t="s">
        <v>2989</v>
      </c>
      <c r="C15" s="327" t="s">
        <v>2990</v>
      </c>
      <c r="D15" s="327" t="s">
        <v>2991</v>
      </c>
    </row>
    <row r="16">
      <c r="A16" s="327" t="str">
        <f t="shared" si="1"/>
        <v>Al Dave Lozano</v>
      </c>
      <c r="B16" s="327" t="s">
        <v>2992</v>
      </c>
      <c r="C16" s="327" t="s">
        <v>2993</v>
      </c>
      <c r="D16" s="327" t="s">
        <v>2994</v>
      </c>
    </row>
    <row r="17">
      <c r="A17" s="327" t="str">
        <f t="shared" si="1"/>
        <v>Alaiza Jaice Guinihin</v>
      </c>
      <c r="B17" s="327" t="s">
        <v>2995</v>
      </c>
      <c r="C17" s="327" t="s">
        <v>2996</v>
      </c>
      <c r="D17" s="327" t="s">
        <v>2997</v>
      </c>
    </row>
    <row r="18">
      <c r="A18" s="327" t="str">
        <f t="shared" si="1"/>
        <v>Albert Lupisan</v>
      </c>
      <c r="B18" s="327" t="s">
        <v>2998</v>
      </c>
      <c r="C18" s="327" t="s">
        <v>2999</v>
      </c>
      <c r="D18" s="327" t="s">
        <v>3000</v>
      </c>
    </row>
    <row r="19">
      <c r="A19" s="327" t="str">
        <f t="shared" si="1"/>
        <v>Aldrie Dominguez</v>
      </c>
      <c r="B19" s="327" t="s">
        <v>3001</v>
      </c>
      <c r="C19" s="327" t="s">
        <v>3002</v>
      </c>
      <c r="D19" s="327" t="s">
        <v>3003</v>
      </c>
    </row>
    <row r="20">
      <c r="A20" s="327" t="str">
        <f t="shared" si="1"/>
        <v>Aldrin Balite</v>
      </c>
      <c r="B20" s="327" t="s">
        <v>3005</v>
      </c>
      <c r="C20" s="327" t="s">
        <v>3006</v>
      </c>
      <c r="D20" s="327" t="s">
        <v>3007</v>
      </c>
    </row>
    <row r="21">
      <c r="A21" s="327" t="str">
        <f t="shared" si="1"/>
        <v>Aleli Baes</v>
      </c>
      <c r="B21" s="327" t="s">
        <v>3008</v>
      </c>
      <c r="C21" s="327" t="s">
        <v>3009</v>
      </c>
      <c r="D21" s="327" t="s">
        <v>3010</v>
      </c>
    </row>
    <row r="22">
      <c r="A22" s="327" t="str">
        <f t="shared" si="1"/>
        <v>Alexandra Lopez</v>
      </c>
      <c r="B22" s="327" t="s">
        <v>3011</v>
      </c>
      <c r="C22" s="327" t="s">
        <v>3012</v>
      </c>
      <c r="D22" s="327" t="s">
        <v>3013</v>
      </c>
    </row>
    <row r="23">
      <c r="A23" s="327" t="str">
        <f t="shared" si="1"/>
        <v>Alexandra Nicole Rafer</v>
      </c>
      <c r="B23" s="327" t="s">
        <v>3014</v>
      </c>
      <c r="C23" s="327" t="s">
        <v>3015</v>
      </c>
      <c r="D23" s="327" t="s">
        <v>3016</v>
      </c>
    </row>
    <row r="24">
      <c r="A24" s="327" t="str">
        <f t="shared" si="1"/>
        <v>Alfa De Leon</v>
      </c>
      <c r="B24" s="327" t="s">
        <v>3017</v>
      </c>
      <c r="C24" s="327" t="s">
        <v>3018</v>
      </c>
      <c r="D24" s="327" t="s">
        <v>3019</v>
      </c>
    </row>
    <row r="25">
      <c r="A25" s="327" t="str">
        <f t="shared" si="1"/>
        <v>Alfonso IÃ±igo Yusingco</v>
      </c>
      <c r="B25" s="327" t="s">
        <v>3020</v>
      </c>
      <c r="C25" s="327" t="s">
        <v>3021</v>
      </c>
      <c r="D25" s="327" t="s">
        <v>3022</v>
      </c>
    </row>
    <row r="26">
      <c r="A26" s="327" t="str">
        <f t="shared" si="1"/>
        <v>Alfred Libunao</v>
      </c>
      <c r="B26" s="327" t="s">
        <v>3023</v>
      </c>
      <c r="C26" s="327" t="s">
        <v>3024</v>
      </c>
      <c r="D26" s="327" t="s">
        <v>3025</v>
      </c>
    </row>
    <row r="27">
      <c r="A27" s="327" t="str">
        <f t="shared" si="1"/>
        <v>Alice Arellano</v>
      </c>
      <c r="B27" s="327" t="s">
        <v>3026</v>
      </c>
      <c r="C27" s="327" t="s">
        <v>3027</v>
      </c>
      <c r="D27" s="327" t="s">
        <v>3028</v>
      </c>
    </row>
    <row r="28">
      <c r="A28" s="327" t="str">
        <f t="shared" si="1"/>
        <v>Alicia Lopena</v>
      </c>
      <c r="B28" s="327" t="s">
        <v>3029</v>
      </c>
      <c r="C28" s="327" t="s">
        <v>3030</v>
      </c>
      <c r="D28" s="327" t="s">
        <v>3031</v>
      </c>
    </row>
    <row r="29">
      <c r="A29" s="327" t="str">
        <f t="shared" si="1"/>
        <v>Allisson Eunice Adajar</v>
      </c>
      <c r="B29" s="327" t="s">
        <v>3032</v>
      </c>
      <c r="C29" s="327" t="s">
        <v>3033</v>
      </c>
      <c r="D29" s="327" t="s">
        <v>3034</v>
      </c>
    </row>
    <row r="30">
      <c r="A30" s="327" t="str">
        <f t="shared" si="1"/>
        <v>Allistine Perez</v>
      </c>
      <c r="B30" s="327" t="s">
        <v>3035</v>
      </c>
      <c r="C30" s="327" t="s">
        <v>3036</v>
      </c>
      <c r="D30" s="327" t="s">
        <v>3037</v>
      </c>
    </row>
    <row r="31">
      <c r="A31" s="327" t="str">
        <f t="shared" si="1"/>
        <v>Alma Grace Apura</v>
      </c>
      <c r="B31" s="327" t="s">
        <v>3038</v>
      </c>
      <c r="C31" s="327" t="s">
        <v>3039</v>
      </c>
      <c r="D31" s="327" t="s">
        <v>3040</v>
      </c>
    </row>
    <row r="32">
      <c r="A32" s="327" t="str">
        <f t="shared" si="1"/>
        <v>Alogena Bele</v>
      </c>
      <c r="B32" s="327" t="s">
        <v>3041</v>
      </c>
      <c r="C32" s="327" t="s">
        <v>3042</v>
      </c>
      <c r="D32" s="327" t="s">
        <v>3043</v>
      </c>
    </row>
    <row r="33">
      <c r="A33" s="327" t="str">
        <f t="shared" si="1"/>
        <v>Aloja Sabidor</v>
      </c>
      <c r="B33" s="327" t="s">
        <v>3044</v>
      </c>
      <c r="C33" s="327" t="s">
        <v>3045</v>
      </c>
      <c r="D33" s="327" t="s">
        <v>3046</v>
      </c>
    </row>
    <row r="34">
      <c r="A34" s="327" t="str">
        <f t="shared" si="1"/>
        <v>Alona Macahia</v>
      </c>
      <c r="B34" s="327" t="s">
        <v>3047</v>
      </c>
      <c r="C34" s="327" t="s">
        <v>3048</v>
      </c>
      <c r="D34" s="327" t="s">
        <v>3049</v>
      </c>
    </row>
    <row r="35">
      <c r="A35" s="327" t="str">
        <f t="shared" si="1"/>
        <v>Alvin John Eugenio</v>
      </c>
      <c r="B35" s="327" t="s">
        <v>3050</v>
      </c>
      <c r="C35" s="327" t="s">
        <v>3051</v>
      </c>
      <c r="D35" s="327" t="s">
        <v>3052</v>
      </c>
    </row>
    <row r="36">
      <c r="A36" s="327" t="str">
        <f t="shared" si="1"/>
        <v>Alvin Rey Cana</v>
      </c>
      <c r="B36" s="327" t="s">
        <v>3053</v>
      </c>
      <c r="C36" s="327" t="s">
        <v>3054</v>
      </c>
      <c r="D36" s="327" t="s">
        <v>3055</v>
      </c>
    </row>
    <row r="37">
      <c r="A37" s="327" t="str">
        <f t="shared" si="1"/>
        <v>Ami Salanguit</v>
      </c>
      <c r="B37" s="327" t="s">
        <v>3056</v>
      </c>
      <c r="C37" s="327" t="s">
        <v>3057</v>
      </c>
      <c r="D37" s="327" t="s">
        <v>3058</v>
      </c>
    </row>
    <row r="38">
      <c r="A38" s="327" t="str">
        <f t="shared" si="1"/>
        <v>Amiel Yacon</v>
      </c>
      <c r="B38" s="327" t="s">
        <v>3059</v>
      </c>
      <c r="C38" s="327" t="s">
        <v>3060</v>
      </c>
      <c r="D38" s="327" t="s">
        <v>3061</v>
      </c>
    </row>
    <row r="39">
      <c r="A39" s="327" t="str">
        <f t="shared" si="1"/>
        <v>Amina Tan</v>
      </c>
      <c r="B39" s="327" t="s">
        <v>3062</v>
      </c>
      <c r="C39" s="327" t="s">
        <v>3063</v>
      </c>
      <c r="D39" s="327" t="s">
        <v>3064</v>
      </c>
    </row>
    <row r="40">
      <c r="A40" s="327" t="str">
        <f t="shared" si="1"/>
        <v>Amir Tohid</v>
      </c>
      <c r="B40" s="327" t="s">
        <v>3065</v>
      </c>
      <c r="C40" s="327" t="s">
        <v>3066</v>
      </c>
      <c r="D40" s="327" t="s">
        <v>3067</v>
      </c>
    </row>
    <row r="41">
      <c r="A41" s="327" t="str">
        <f t="shared" si="1"/>
        <v>Ana Rizchel Cordero</v>
      </c>
      <c r="B41" s="327" t="s">
        <v>3068</v>
      </c>
      <c r="C41" s="327" t="s">
        <v>3069</v>
      </c>
      <c r="D41" s="327" t="s">
        <v>3070</v>
      </c>
    </row>
    <row r="42">
      <c r="A42" s="327" t="str">
        <f t="shared" si="1"/>
        <v>Anabel Cortez</v>
      </c>
      <c r="B42" s="327" t="s">
        <v>3071</v>
      </c>
      <c r="C42" s="327" t="s">
        <v>3072</v>
      </c>
      <c r="D42" s="327" t="s">
        <v>3073</v>
      </c>
    </row>
    <row r="43">
      <c r="A43" s="327" t="str">
        <f t="shared" si="1"/>
        <v>Analiza Kaalim</v>
      </c>
      <c r="B43" s="327" t="s">
        <v>3074</v>
      </c>
      <c r="C43" s="327" t="s">
        <v>3075</v>
      </c>
      <c r="D43" s="327" t="s">
        <v>3076</v>
      </c>
    </row>
    <row r="44">
      <c r="A44" s="327" t="str">
        <f t="shared" si="1"/>
        <v>Andrei Irwin Maghirang</v>
      </c>
      <c r="B44" s="327" t="s">
        <v>3077</v>
      </c>
      <c r="C44" s="327" t="s">
        <v>3078</v>
      </c>
      <c r="D44" s="327" t="s">
        <v>3079</v>
      </c>
    </row>
    <row r="45">
      <c r="A45" s="327" t="str">
        <f t="shared" si="1"/>
        <v>Andrettimari Stevens</v>
      </c>
      <c r="B45" s="327" t="s">
        <v>3080</v>
      </c>
      <c r="C45" s="327" t="s">
        <v>3081</v>
      </c>
      <c r="D45" s="327" t="s">
        <v>3082</v>
      </c>
    </row>
    <row r="46">
      <c r="A46" s="327" t="str">
        <f t="shared" si="1"/>
        <v>Angel Gabriel Cuaresma</v>
      </c>
      <c r="B46" s="327" t="s">
        <v>3083</v>
      </c>
      <c r="C46" s="327" t="s">
        <v>3084</v>
      </c>
      <c r="D46" s="327" t="s">
        <v>3085</v>
      </c>
    </row>
    <row r="47">
      <c r="A47" s="327" t="str">
        <f t="shared" si="1"/>
        <v>Angela Vidal</v>
      </c>
      <c r="B47" s="327" t="s">
        <v>3086</v>
      </c>
      <c r="C47" s="327" t="s">
        <v>3087</v>
      </c>
      <c r="D47" s="327" t="s">
        <v>3088</v>
      </c>
    </row>
    <row r="48">
      <c r="A48" s="327" t="str">
        <f t="shared" si="1"/>
        <v>Angela Maita Ramos</v>
      </c>
      <c r="B48" s="327" t="s">
        <v>3089</v>
      </c>
      <c r="C48" s="327" t="s">
        <v>3090</v>
      </c>
      <c r="D48" s="327" t="s">
        <v>3091</v>
      </c>
    </row>
    <row r="49">
      <c r="A49" s="327" t="str">
        <f t="shared" si="1"/>
        <v>Angelaine Palada</v>
      </c>
      <c r="B49" s="327" t="s">
        <v>3092</v>
      </c>
      <c r="C49" s="327" t="s">
        <v>3093</v>
      </c>
      <c r="D49" s="327" t="s">
        <v>3094</v>
      </c>
    </row>
    <row r="50">
      <c r="A50" s="327" t="str">
        <f t="shared" si="1"/>
        <v>Angeli Acenas</v>
      </c>
      <c r="B50" s="327" t="s">
        <v>3095</v>
      </c>
      <c r="C50" s="327" t="s">
        <v>3096</v>
      </c>
      <c r="D50" s="327" t="s">
        <v>3097</v>
      </c>
    </row>
    <row r="51">
      <c r="A51" s="327" t="str">
        <f t="shared" si="1"/>
        <v>Angelica Rose Tan</v>
      </c>
      <c r="B51" s="327" t="s">
        <v>3098</v>
      </c>
      <c r="C51" s="327" t="s">
        <v>3063</v>
      </c>
      <c r="D51" s="327" t="s">
        <v>3099</v>
      </c>
    </row>
    <row r="52">
      <c r="A52" s="327" t="str">
        <f t="shared" si="1"/>
        <v>Angelie Madanlog</v>
      </c>
      <c r="B52" s="327" t="s">
        <v>3100</v>
      </c>
      <c r="C52" s="327" t="s">
        <v>3101</v>
      </c>
      <c r="D52" s="327" t="s">
        <v>3102</v>
      </c>
    </row>
    <row r="53">
      <c r="A53" s="327" t="str">
        <f t="shared" si="1"/>
        <v>Angelo Lance Ingco</v>
      </c>
      <c r="B53" s="327" t="s">
        <v>3103</v>
      </c>
      <c r="C53" s="327" t="s">
        <v>3104</v>
      </c>
      <c r="D53" s="327" t="s">
        <v>3105</v>
      </c>
    </row>
    <row r="54">
      <c r="A54" s="327" t="str">
        <f t="shared" si="1"/>
        <v>Angelo Rae Santos</v>
      </c>
      <c r="B54" s="327" t="s">
        <v>3106</v>
      </c>
      <c r="C54" s="327" t="s">
        <v>3107</v>
      </c>
      <c r="D54" s="327" t="s">
        <v>3108</v>
      </c>
    </row>
    <row r="55">
      <c r="A55" s="327" t="str">
        <f t="shared" si="1"/>
        <v>Angelou Perez</v>
      </c>
      <c r="B55" s="327" t="s">
        <v>3109</v>
      </c>
      <c r="C55" s="327" t="s">
        <v>3036</v>
      </c>
      <c r="D55" s="327" t="s">
        <v>3110</v>
      </c>
    </row>
    <row r="56">
      <c r="A56" s="327" t="str">
        <f t="shared" si="1"/>
        <v>Anita Ancot</v>
      </c>
      <c r="B56" s="327" t="s">
        <v>3111</v>
      </c>
      <c r="C56" s="327" t="s">
        <v>3112</v>
      </c>
      <c r="D56" s="327" t="s">
        <v>3113</v>
      </c>
    </row>
    <row r="57">
      <c r="A57" s="327" t="str">
        <f t="shared" si="1"/>
        <v>Anjenette Noarin</v>
      </c>
      <c r="B57" s="327" t="s">
        <v>3114</v>
      </c>
      <c r="C57" s="327" t="s">
        <v>3115</v>
      </c>
      <c r="D57" s="327" t="s">
        <v>3116</v>
      </c>
    </row>
    <row r="58">
      <c r="A58" s="327" t="str">
        <f t="shared" si="1"/>
        <v>Anjer May Bermejo</v>
      </c>
      <c r="B58" s="327" t="s">
        <v>3117</v>
      </c>
      <c r="C58" s="327" t="s">
        <v>3118</v>
      </c>
      <c r="D58" s="327" t="s">
        <v>3119</v>
      </c>
    </row>
    <row r="59">
      <c r="A59" s="327" t="str">
        <f t="shared" si="1"/>
        <v>Ann Felice Redondo</v>
      </c>
      <c r="B59" s="327" t="s">
        <v>3120</v>
      </c>
      <c r="C59" s="327" t="s">
        <v>3121</v>
      </c>
      <c r="D59" s="327" t="s">
        <v>3122</v>
      </c>
    </row>
    <row r="60">
      <c r="A60" s="327" t="str">
        <f t="shared" si="1"/>
        <v>Ann Kathrina Nazario</v>
      </c>
      <c r="B60" s="327" t="s">
        <v>3123</v>
      </c>
      <c r="C60" s="327" t="s">
        <v>3124</v>
      </c>
      <c r="D60" s="327" t="s">
        <v>3125</v>
      </c>
    </row>
    <row r="61">
      <c r="A61" s="327" t="str">
        <f t="shared" si="1"/>
        <v>Anna Katrina Maaba</v>
      </c>
      <c r="B61" s="327" t="s">
        <v>3126</v>
      </c>
      <c r="C61" s="327" t="s">
        <v>3127</v>
      </c>
      <c r="D61" s="327" t="s">
        <v>3128</v>
      </c>
    </row>
    <row r="62">
      <c r="A62" s="327" t="str">
        <f t="shared" si="1"/>
        <v>Anna Maria Villarruz</v>
      </c>
      <c r="B62" s="327" t="s">
        <v>3129</v>
      </c>
      <c r="C62" s="327" t="s">
        <v>3130</v>
      </c>
      <c r="D62" s="327" t="s">
        <v>3131</v>
      </c>
    </row>
    <row r="63">
      <c r="A63" s="327" t="str">
        <f t="shared" si="1"/>
        <v>Anna Marie Seva</v>
      </c>
      <c r="B63" s="327" t="s">
        <v>3132</v>
      </c>
      <c r="C63" s="327" t="s">
        <v>3133</v>
      </c>
      <c r="D63" s="327" t="s">
        <v>3134</v>
      </c>
    </row>
    <row r="64">
      <c r="A64" s="327" t="str">
        <f t="shared" si="1"/>
        <v>Annabelle Lesaca</v>
      </c>
      <c r="B64" s="327" t="s">
        <v>3135</v>
      </c>
      <c r="C64" s="327" t="s">
        <v>3136</v>
      </c>
      <c r="D64" s="327" t="s">
        <v>3137</v>
      </c>
    </row>
    <row r="65">
      <c r="A65" s="327" t="str">
        <f t="shared" si="1"/>
        <v>Anparo Liwag</v>
      </c>
      <c r="B65" s="327" t="s">
        <v>3138</v>
      </c>
      <c r="C65" s="327" t="s">
        <v>3139</v>
      </c>
      <c r="D65" s="327" t="s">
        <v>3140</v>
      </c>
    </row>
    <row r="66">
      <c r="A66" s="327" t="str">
        <f t="shared" si="1"/>
        <v>Anrica Malbas</v>
      </c>
      <c r="B66" s="327" t="s">
        <v>3141</v>
      </c>
      <c r="C66" s="327" t="s">
        <v>3142</v>
      </c>
      <c r="D66" s="327" t="s">
        <v>3143</v>
      </c>
    </row>
    <row r="67">
      <c r="A67" s="327" t="str">
        <f t="shared" si="1"/>
        <v>Anthea Jean Arante</v>
      </c>
      <c r="B67" s="327" t="s">
        <v>3144</v>
      </c>
      <c r="C67" s="327" t="s">
        <v>3145</v>
      </c>
      <c r="D67" s="327" t="s">
        <v>3146</v>
      </c>
    </row>
    <row r="68">
      <c r="A68" s="327" t="str">
        <f t="shared" si="1"/>
        <v>Anthony Bragais</v>
      </c>
      <c r="B68" s="327" t="s">
        <v>3147</v>
      </c>
      <c r="C68" s="327" t="s">
        <v>3148</v>
      </c>
      <c r="D68" s="327" t="s">
        <v>3149</v>
      </c>
    </row>
    <row r="69">
      <c r="A69" s="327" t="str">
        <f t="shared" si="1"/>
        <v>Anthony Laurence Blanca</v>
      </c>
      <c r="B69" s="327" t="s">
        <v>3150</v>
      </c>
      <c r="C69" s="327" t="s">
        <v>3151</v>
      </c>
      <c r="D69" s="327" t="s">
        <v>3152</v>
      </c>
    </row>
    <row r="70">
      <c r="A70" s="327" t="str">
        <f t="shared" si="1"/>
        <v>Apollo Mance</v>
      </c>
      <c r="B70" s="327" t="s">
        <v>3153</v>
      </c>
      <c r="C70" s="327" t="s">
        <v>3154</v>
      </c>
      <c r="D70" s="327" t="s">
        <v>3155</v>
      </c>
    </row>
    <row r="71">
      <c r="A71" s="327" t="str">
        <f t="shared" si="1"/>
        <v>Apple Vagallon</v>
      </c>
      <c r="B71" s="327" t="s">
        <v>3156</v>
      </c>
      <c r="C71" s="327" t="s">
        <v>3157</v>
      </c>
      <c r="D71" s="327" t="s">
        <v>3158</v>
      </c>
    </row>
    <row r="72">
      <c r="A72" s="327" t="str">
        <f t="shared" si="1"/>
        <v>Apriel Marvie Anne M. Alcazarin</v>
      </c>
      <c r="B72" s="327" t="s">
        <v>3159</v>
      </c>
      <c r="C72" s="327" t="s">
        <v>3160</v>
      </c>
      <c r="D72" s="327" t="s">
        <v>3161</v>
      </c>
    </row>
    <row r="73">
      <c r="A73" s="327" t="str">
        <f t="shared" si="1"/>
        <v>April Trajico</v>
      </c>
      <c r="B73" s="327" t="s">
        <v>3162</v>
      </c>
      <c r="C73" s="327" t="s">
        <v>3163</v>
      </c>
      <c r="D73" s="327" t="s">
        <v>3164</v>
      </c>
    </row>
    <row r="74">
      <c r="A74" s="327" t="str">
        <f t="shared" si="1"/>
        <v>April Anne Alberto</v>
      </c>
      <c r="B74" s="327" t="s">
        <v>3165</v>
      </c>
      <c r="C74" s="327" t="s">
        <v>3166</v>
      </c>
      <c r="D74" s="327" t="s">
        <v>3167</v>
      </c>
    </row>
    <row r="75">
      <c r="A75" s="327" t="str">
        <f t="shared" si="1"/>
        <v>April Joy Frias</v>
      </c>
      <c r="B75" s="327" t="s">
        <v>3168</v>
      </c>
      <c r="C75" s="327" t="s">
        <v>3169</v>
      </c>
      <c r="D75" s="327" t="s">
        <v>3170</v>
      </c>
    </row>
    <row r="76">
      <c r="A76" s="327" t="str">
        <f t="shared" si="1"/>
        <v>Ar-Jay Tambis</v>
      </c>
      <c r="B76" s="327" t="s">
        <v>3171</v>
      </c>
      <c r="C76" s="327" t="s">
        <v>3172</v>
      </c>
      <c r="D76" s="327" t="s">
        <v>3173</v>
      </c>
    </row>
    <row r="77">
      <c r="A77" s="327" t="str">
        <f t="shared" si="1"/>
        <v>Ara Anissa Vivo</v>
      </c>
      <c r="B77" s="327" t="s">
        <v>3174</v>
      </c>
      <c r="C77" s="327" t="s">
        <v>3175</v>
      </c>
      <c r="D77" s="327" t="s">
        <v>3176</v>
      </c>
    </row>
    <row r="78">
      <c r="A78" s="327" t="str">
        <f t="shared" si="1"/>
        <v>Ardee Donato</v>
      </c>
      <c r="B78" s="327" t="s">
        <v>3177</v>
      </c>
      <c r="C78" s="327" t="s">
        <v>3178</v>
      </c>
      <c r="D78" s="327" t="s">
        <v>3179</v>
      </c>
    </row>
    <row r="79">
      <c r="A79" s="327" t="str">
        <f t="shared" si="1"/>
        <v>Arianne Mae Camba</v>
      </c>
      <c r="B79" s="327" t="s">
        <v>3180</v>
      </c>
      <c r="C79" s="327" t="s">
        <v>3181</v>
      </c>
      <c r="D79" s="327" t="s">
        <v>3182</v>
      </c>
    </row>
    <row r="80">
      <c r="A80" s="327" t="str">
        <f t="shared" si="1"/>
        <v>Ariel Gozon</v>
      </c>
      <c r="B80" s="327" t="s">
        <v>3183</v>
      </c>
      <c r="C80" s="327" t="s">
        <v>3184</v>
      </c>
      <c r="D80" s="327" t="s">
        <v>3185</v>
      </c>
    </row>
    <row r="81">
      <c r="A81" s="327" t="str">
        <f t="shared" si="1"/>
        <v>Aris Ignacio</v>
      </c>
      <c r="B81" s="327" t="s">
        <v>3186</v>
      </c>
      <c r="C81" s="327" t="s">
        <v>3187</v>
      </c>
      <c r="D81" s="327" t="s">
        <v>3188</v>
      </c>
    </row>
    <row r="82">
      <c r="A82" s="327" t="str">
        <f t="shared" si="1"/>
        <v>Aristeo Santos</v>
      </c>
      <c r="B82" s="327" t="s">
        <v>3189</v>
      </c>
      <c r="C82" s="327" t="s">
        <v>3107</v>
      </c>
      <c r="D82" s="327" t="s">
        <v>3190</v>
      </c>
    </row>
    <row r="83">
      <c r="A83" s="327" t="str">
        <f t="shared" si="1"/>
        <v>Aristheo Lacuna</v>
      </c>
      <c r="B83" s="327" t="s">
        <v>3191</v>
      </c>
      <c r="C83" s="327" t="s">
        <v>3192</v>
      </c>
      <c r="D83" s="327" t="s">
        <v>3193</v>
      </c>
    </row>
    <row r="84">
      <c r="A84" s="327" t="str">
        <f t="shared" si="1"/>
        <v>Arjay Almanzor</v>
      </c>
      <c r="B84" s="327" t="s">
        <v>3194</v>
      </c>
      <c r="C84" s="327" t="s">
        <v>3195</v>
      </c>
      <c r="D84" s="327" t="s">
        <v>3196</v>
      </c>
    </row>
    <row r="85">
      <c r="A85" s="327" t="str">
        <f t="shared" si="1"/>
        <v>Arjumand Nageen</v>
      </c>
      <c r="B85" s="327" t="s">
        <v>3197</v>
      </c>
      <c r="C85" s="327" t="s">
        <v>3198</v>
      </c>
      <c r="D85" s="327" t="s">
        <v>3199</v>
      </c>
    </row>
    <row r="86">
      <c r="A86" s="327" t="str">
        <f t="shared" si="1"/>
        <v>Arlene Serdinia</v>
      </c>
      <c r="B86" s="327" t="s">
        <v>3200</v>
      </c>
      <c r="C86" s="327" t="s">
        <v>3201</v>
      </c>
      <c r="D86" s="327" t="s">
        <v>3202</v>
      </c>
    </row>
    <row r="87">
      <c r="A87" s="327" t="str">
        <f t="shared" si="1"/>
        <v>Armie Ababa</v>
      </c>
      <c r="B87" s="327" t="s">
        <v>3203</v>
      </c>
      <c r="C87" s="327" t="s">
        <v>3204</v>
      </c>
      <c r="D87" s="327" t="s">
        <v>3205</v>
      </c>
    </row>
    <row r="88">
      <c r="A88" s="327" t="str">
        <f t="shared" si="1"/>
        <v>Arnel Montablan</v>
      </c>
      <c r="B88" s="327" t="s">
        <v>3206</v>
      </c>
      <c r="C88" s="327" t="s">
        <v>3207</v>
      </c>
      <c r="D88" s="327" t="s">
        <v>3208</v>
      </c>
    </row>
    <row r="89">
      <c r="A89" s="327" t="str">
        <f t="shared" si="1"/>
        <v>Arnelle Nihkael Oqueno</v>
      </c>
      <c r="B89" s="327" t="s">
        <v>3209</v>
      </c>
      <c r="C89" s="327" t="s">
        <v>3210</v>
      </c>
      <c r="D89" s="327" t="s">
        <v>3211</v>
      </c>
    </row>
    <row r="90">
      <c r="A90" s="327" t="str">
        <f t="shared" si="1"/>
        <v>Austin Angcos</v>
      </c>
      <c r="B90" s="327" t="s">
        <v>3212</v>
      </c>
      <c r="C90" s="327" t="s">
        <v>3213</v>
      </c>
      <c r="D90" s="327" t="s">
        <v>3214</v>
      </c>
    </row>
    <row r="91">
      <c r="A91" s="327" t="str">
        <f t="shared" si="1"/>
        <v>Avic Suarez</v>
      </c>
      <c r="B91" s="327" t="s">
        <v>3215</v>
      </c>
      <c r="C91" s="327" t="s">
        <v>3216</v>
      </c>
      <c r="D91" s="327" t="s">
        <v>3217</v>
      </c>
    </row>
    <row r="92">
      <c r="A92" s="327" t="str">
        <f t="shared" si="1"/>
        <v>Baby Bolanos</v>
      </c>
      <c r="B92" s="327" t="s">
        <v>3218</v>
      </c>
      <c r="C92" s="327" t="s">
        <v>3219</v>
      </c>
      <c r="D92" s="327" t="s">
        <v>3220</v>
      </c>
    </row>
    <row r="93">
      <c r="A93" s="327" t="str">
        <f t="shared" si="1"/>
        <v>Beatrice Thea Orteza</v>
      </c>
      <c r="B93" s="327" t="s">
        <v>3221</v>
      </c>
      <c r="C93" s="327" t="s">
        <v>3222</v>
      </c>
      <c r="D93" s="327" t="s">
        <v>3223</v>
      </c>
    </row>
    <row r="94">
      <c r="A94" s="327" t="str">
        <f t="shared" si="1"/>
        <v>Belen Mandin</v>
      </c>
      <c r="B94" s="327" t="s">
        <v>3224</v>
      </c>
      <c r="C94" s="327" t="s">
        <v>3225</v>
      </c>
      <c r="D94" s="327" t="s">
        <v>3226</v>
      </c>
    </row>
    <row r="95">
      <c r="A95" s="327" t="str">
        <f t="shared" si="1"/>
        <v>Beng Yague</v>
      </c>
      <c r="B95" s="327" t="s">
        <v>3227</v>
      </c>
      <c r="C95" s="327" t="s">
        <v>3228</v>
      </c>
      <c r="D95" s="327" t="s">
        <v>3229</v>
      </c>
    </row>
    <row r="96">
      <c r="A96" s="327" t="str">
        <f t="shared" si="1"/>
        <v>Benjo Dela Cruz</v>
      </c>
      <c r="B96" s="327" t="s">
        <v>3230</v>
      </c>
      <c r="C96" s="327" t="s">
        <v>3231</v>
      </c>
      <c r="D96" s="327" t="s">
        <v>3232</v>
      </c>
    </row>
    <row r="97">
      <c r="A97" s="327" t="str">
        <f t="shared" si="1"/>
        <v>Bernadeth Dasalla</v>
      </c>
      <c r="B97" s="327" t="s">
        <v>3233</v>
      </c>
      <c r="C97" s="327" t="s">
        <v>3234</v>
      </c>
      <c r="D97" s="327" t="s">
        <v>3235</v>
      </c>
    </row>
    <row r="98">
      <c r="A98" s="327" t="str">
        <f t="shared" si="1"/>
        <v>Bernadette Nicole Lopez</v>
      </c>
      <c r="B98" s="327" t="s">
        <v>3236</v>
      </c>
      <c r="C98" s="327" t="s">
        <v>3012</v>
      </c>
      <c r="D98" s="327" t="s">
        <v>3237</v>
      </c>
    </row>
    <row r="99">
      <c r="A99" s="327" t="str">
        <f t="shared" si="1"/>
        <v>Bernardo Ramos</v>
      </c>
      <c r="B99" s="327" t="s">
        <v>3238</v>
      </c>
      <c r="C99" s="327" t="s">
        <v>3090</v>
      </c>
      <c r="D99" s="327" t="s">
        <v>3239</v>
      </c>
    </row>
    <row r="100">
      <c r="A100" s="327" t="str">
        <f t="shared" si="1"/>
        <v>Bernice Mata</v>
      </c>
      <c r="B100" s="327" t="s">
        <v>3240</v>
      </c>
      <c r="C100" s="327" t="s">
        <v>3241</v>
      </c>
      <c r="D100" s="327" t="s">
        <v>3242</v>
      </c>
    </row>
    <row r="101">
      <c r="A101" s="327" t="str">
        <f t="shared" si="1"/>
        <v>Beth Sullano</v>
      </c>
      <c r="B101" s="327" t="s">
        <v>3243</v>
      </c>
      <c r="C101" s="327" t="s">
        <v>3244</v>
      </c>
      <c r="D101" s="327" t="s">
        <v>3245</v>
      </c>
    </row>
    <row r="102">
      <c r="A102" s="327" t="str">
        <f t="shared" si="1"/>
        <v>Betina Faye Manuel</v>
      </c>
      <c r="B102" s="327" t="s">
        <v>3246</v>
      </c>
      <c r="C102" s="327" t="s">
        <v>3247</v>
      </c>
      <c r="D102" s="327" t="s">
        <v>3248</v>
      </c>
    </row>
    <row r="103">
      <c r="A103" s="327" t="str">
        <f t="shared" si="1"/>
        <v>Bin Yan</v>
      </c>
      <c r="B103" s="327" t="s">
        <v>3249</v>
      </c>
      <c r="C103" s="327" t="s">
        <v>3250</v>
      </c>
      <c r="D103" s="327" t="s">
        <v>3251</v>
      </c>
    </row>
    <row r="104">
      <c r="A104" s="327" t="str">
        <f t="shared" si="1"/>
        <v>Bin Yang Yan</v>
      </c>
      <c r="B104" s="327" t="s">
        <v>3252</v>
      </c>
      <c r="C104" s="327" t="s">
        <v>3250</v>
      </c>
      <c r="D104" s="327" t="s">
        <v>3253</v>
      </c>
    </row>
    <row r="105">
      <c r="A105" s="327" t="str">
        <f t="shared" si="1"/>
        <v>Bistro Lima</v>
      </c>
      <c r="B105" s="327" t="s">
        <v>3254</v>
      </c>
      <c r="C105" s="327" t="s">
        <v>3255</v>
      </c>
      <c r="D105" s="327" t="s">
        <v>3256</v>
      </c>
    </row>
    <row r="106">
      <c r="A106" s="327" t="str">
        <f t="shared" si="1"/>
        <v>Bless Ann Mea</v>
      </c>
      <c r="B106" s="327" t="s">
        <v>3257</v>
      </c>
      <c r="C106" s="327" t="s">
        <v>3258</v>
      </c>
      <c r="D106" s="327" t="s">
        <v>3259</v>
      </c>
    </row>
    <row r="107">
      <c r="A107" s="327" t="str">
        <f t="shared" si="1"/>
        <v>Bob James Carreon</v>
      </c>
      <c r="B107" s="327" t="s">
        <v>3260</v>
      </c>
      <c r="C107" s="327" t="s">
        <v>3261</v>
      </c>
      <c r="D107" s="327" t="s">
        <v>3262</v>
      </c>
    </row>
    <row r="108">
      <c r="A108" s="327" t="str">
        <f t="shared" si="1"/>
        <v>Bryan Arvin Acob</v>
      </c>
      <c r="B108" s="327" t="s">
        <v>3263</v>
      </c>
      <c r="C108" s="327" t="s">
        <v>3264</v>
      </c>
      <c r="D108" s="327" t="s">
        <v>3265</v>
      </c>
    </row>
    <row r="109">
      <c r="A109" s="327" t="str">
        <f t="shared" si="1"/>
        <v>Bryan S. Beato</v>
      </c>
      <c r="B109" s="327" t="s">
        <v>3266</v>
      </c>
      <c r="C109" s="327" t="s">
        <v>3267</v>
      </c>
      <c r="D109" s="327" t="s">
        <v>3268</v>
      </c>
    </row>
    <row r="110">
      <c r="A110" s="327" t="str">
        <f t="shared" si="1"/>
        <v>Calixto Terence Jr. Obong</v>
      </c>
      <c r="B110" s="327" t="s">
        <v>3269</v>
      </c>
      <c r="C110" s="327" t="s">
        <v>3270</v>
      </c>
      <c r="D110" s="327" t="s">
        <v>3271</v>
      </c>
    </row>
    <row r="111">
      <c r="A111" s="327" t="str">
        <f t="shared" si="1"/>
        <v>Camille Catanyag</v>
      </c>
      <c r="B111" s="327" t="s">
        <v>3272</v>
      </c>
      <c r="C111" s="327" t="s">
        <v>3273</v>
      </c>
      <c r="D111" s="327" t="s">
        <v>3274</v>
      </c>
    </row>
    <row r="112">
      <c r="A112" s="327" t="str">
        <f t="shared" si="1"/>
        <v>Camille Angela Zulueta</v>
      </c>
      <c r="B112" s="327" t="s">
        <v>3275</v>
      </c>
      <c r="C112" s="327" t="s">
        <v>3276</v>
      </c>
      <c r="D112" s="327" t="s">
        <v>3277</v>
      </c>
    </row>
    <row r="113">
      <c r="A113" s="327" t="str">
        <f t="shared" si="1"/>
        <v>Candy Rose Sundian</v>
      </c>
      <c r="B113" s="327" t="s">
        <v>3278</v>
      </c>
      <c r="C113" s="327" t="s">
        <v>3279</v>
      </c>
      <c r="D113" s="327" t="s">
        <v>3280</v>
      </c>
    </row>
    <row r="114">
      <c r="A114" s="327" t="str">
        <f t="shared" si="1"/>
        <v>Carl Ladica</v>
      </c>
      <c r="B114" s="327" t="s">
        <v>3281</v>
      </c>
      <c r="C114" s="327" t="s">
        <v>3282</v>
      </c>
      <c r="D114" s="327" t="s">
        <v>3283</v>
      </c>
    </row>
    <row r="115">
      <c r="A115" s="327" t="str">
        <f t="shared" si="1"/>
        <v>Carl Jovi Sasot</v>
      </c>
      <c r="B115" s="327" t="s">
        <v>3284</v>
      </c>
      <c r="C115" s="327" t="s">
        <v>3285</v>
      </c>
      <c r="D115" s="327" t="s">
        <v>3286</v>
      </c>
    </row>
    <row r="116">
      <c r="A116" s="327" t="str">
        <f t="shared" si="1"/>
        <v>Carla Zapanta</v>
      </c>
      <c r="B116" s="327" t="s">
        <v>3287</v>
      </c>
      <c r="C116" s="327" t="s">
        <v>3288</v>
      </c>
      <c r="D116" s="327" t="s">
        <v>3289</v>
      </c>
    </row>
    <row r="117">
      <c r="A117" s="327" t="str">
        <f t="shared" si="1"/>
        <v>Carla Guinto</v>
      </c>
      <c r="B117" s="327" t="s">
        <v>3287</v>
      </c>
      <c r="C117" s="327" t="s">
        <v>3290</v>
      </c>
      <c r="D117" s="327" t="s">
        <v>3291</v>
      </c>
    </row>
    <row r="118">
      <c r="A118" s="327" t="str">
        <f t="shared" si="1"/>
        <v>Carlito Dela Vega</v>
      </c>
      <c r="B118" s="327" t="s">
        <v>3292</v>
      </c>
      <c r="C118" s="327" t="s">
        <v>3293</v>
      </c>
      <c r="D118" s="327" t="s">
        <v>3294</v>
      </c>
    </row>
    <row r="119">
      <c r="A119" s="327" t="str">
        <f t="shared" si="1"/>
        <v>Carlo Murillo</v>
      </c>
      <c r="B119" s="327" t="s">
        <v>3295</v>
      </c>
      <c r="C119" s="327" t="s">
        <v>3296</v>
      </c>
      <c r="D119" s="327" t="s">
        <v>3297</v>
      </c>
    </row>
    <row r="120">
      <c r="A120" s="327" t="str">
        <f t="shared" si="1"/>
        <v>Carlos Dela Rosa</v>
      </c>
      <c r="B120" s="327" t="s">
        <v>3298</v>
      </c>
      <c r="C120" s="327" t="s">
        <v>3299</v>
      </c>
      <c r="D120" s="327" t="s">
        <v>3300</v>
      </c>
    </row>
    <row r="121">
      <c r="A121" s="327" t="str">
        <f t="shared" si="1"/>
        <v>Carlson Lomotan</v>
      </c>
      <c r="B121" s="327" t="s">
        <v>3301</v>
      </c>
      <c r="C121" s="327" t="s">
        <v>3302</v>
      </c>
      <c r="D121" s="327" t="s">
        <v>3303</v>
      </c>
    </row>
    <row r="122">
      <c r="A122" s="327" t="str">
        <f t="shared" si="1"/>
        <v>Carol Lacerna</v>
      </c>
      <c r="B122" s="327" t="s">
        <v>3304</v>
      </c>
      <c r="C122" s="327" t="s">
        <v>3305</v>
      </c>
      <c r="D122" s="327" t="s">
        <v>3306</v>
      </c>
    </row>
    <row r="123">
      <c r="A123" s="327" t="str">
        <f t="shared" si="1"/>
        <v>Carol Pido</v>
      </c>
      <c r="B123" s="327" t="s">
        <v>3304</v>
      </c>
      <c r="C123" s="327" t="s">
        <v>3307</v>
      </c>
      <c r="D123" s="327" t="s">
        <v>3308</v>
      </c>
    </row>
    <row r="124">
      <c r="A124" s="327" t="str">
        <f t="shared" si="1"/>
        <v>Carolina Manga</v>
      </c>
      <c r="B124" s="327" t="s">
        <v>3309</v>
      </c>
      <c r="C124" s="327" t="s">
        <v>3310</v>
      </c>
      <c r="D124" s="327" t="s">
        <v>3311</v>
      </c>
    </row>
    <row r="125">
      <c r="A125" s="327" t="str">
        <f t="shared" si="1"/>
        <v>Caroline Mediodia</v>
      </c>
      <c r="B125" s="327" t="s">
        <v>3312</v>
      </c>
      <c r="C125" s="327" t="s">
        <v>3313</v>
      </c>
      <c r="D125" s="327" t="s">
        <v>3314</v>
      </c>
    </row>
    <row r="126">
      <c r="A126" s="327" t="str">
        <f t="shared" si="1"/>
        <v>Catalina Fe Quinto</v>
      </c>
      <c r="B126" s="327" t="s">
        <v>3315</v>
      </c>
      <c r="C126" s="327" t="s">
        <v>3316</v>
      </c>
      <c r="D126" s="327" t="s">
        <v>3317</v>
      </c>
    </row>
    <row r="127">
      <c r="A127" s="327" t="str">
        <f t="shared" si="1"/>
        <v>Celia Olmedo</v>
      </c>
      <c r="B127" s="327" t="s">
        <v>3318</v>
      </c>
      <c r="C127" s="327" t="s">
        <v>3319</v>
      </c>
      <c r="D127" s="327" t="s">
        <v>3320</v>
      </c>
    </row>
    <row r="128">
      <c r="A128" s="327" t="str">
        <f t="shared" si="1"/>
        <v>Celina Angelica Canaber</v>
      </c>
      <c r="B128" s="327" t="s">
        <v>3321</v>
      </c>
      <c r="C128" s="327" t="s">
        <v>3322</v>
      </c>
      <c r="D128" s="327" t="s">
        <v>3323</v>
      </c>
    </row>
    <row r="129">
      <c r="A129" s="327" t="str">
        <f t="shared" si="1"/>
        <v>Ceshyr Bauzon</v>
      </c>
      <c r="B129" s="327" t="s">
        <v>3324</v>
      </c>
      <c r="C129" s="327" t="s">
        <v>3325</v>
      </c>
      <c r="D129" s="327" t="s">
        <v>3326</v>
      </c>
    </row>
    <row r="130">
      <c r="A130" s="327" t="str">
        <f t="shared" si="1"/>
        <v>Charisma Lomat</v>
      </c>
      <c r="B130" s="327" t="s">
        <v>3327</v>
      </c>
      <c r="C130" s="327" t="s">
        <v>3328</v>
      </c>
      <c r="D130" s="327" t="s">
        <v>3329</v>
      </c>
    </row>
    <row r="131">
      <c r="A131" s="327" t="str">
        <f t="shared" si="1"/>
        <v>Charito Ilagan</v>
      </c>
      <c r="B131" s="327" t="s">
        <v>3330</v>
      </c>
      <c r="C131" s="327" t="s">
        <v>3331</v>
      </c>
      <c r="D131" s="327" t="s">
        <v>3332</v>
      </c>
    </row>
    <row r="132">
      <c r="A132" s="327" t="str">
        <f t="shared" si="1"/>
        <v>Charlaine Maternal</v>
      </c>
      <c r="B132" s="327" t="s">
        <v>3333</v>
      </c>
      <c r="C132" s="327" t="s">
        <v>3334</v>
      </c>
      <c r="D132" s="327" t="s">
        <v>3335</v>
      </c>
    </row>
    <row r="133">
      <c r="A133" s="327" t="str">
        <f t="shared" si="1"/>
        <v>Charlene Episcope</v>
      </c>
      <c r="B133" s="327" t="s">
        <v>3336</v>
      </c>
      <c r="C133" s="327" t="s">
        <v>3337</v>
      </c>
      <c r="D133" s="327" t="s">
        <v>3338</v>
      </c>
    </row>
    <row r="134">
      <c r="A134" s="327" t="str">
        <f t="shared" si="1"/>
        <v>Charlito Abedejos</v>
      </c>
      <c r="B134" s="327" t="s">
        <v>3339</v>
      </c>
      <c r="C134" s="327" t="s">
        <v>3340</v>
      </c>
      <c r="D134" s="327" t="s">
        <v>3341</v>
      </c>
    </row>
    <row r="135">
      <c r="A135" s="327" t="str">
        <f t="shared" si="1"/>
        <v>Charlyn Ambay</v>
      </c>
      <c r="B135" s="327" t="s">
        <v>3342</v>
      </c>
      <c r="C135" s="327" t="s">
        <v>3343</v>
      </c>
      <c r="D135" s="327" t="s">
        <v>3344</v>
      </c>
    </row>
    <row r="136">
      <c r="A136" s="327" t="str">
        <f t="shared" si="1"/>
        <v>Charmagne Vidallon</v>
      </c>
      <c r="B136" s="327" t="s">
        <v>3345</v>
      </c>
      <c r="C136" s="327" t="s">
        <v>3346</v>
      </c>
      <c r="D136" s="327" t="s">
        <v>3347</v>
      </c>
    </row>
    <row r="137">
      <c r="A137" s="327" t="str">
        <f t="shared" si="1"/>
        <v>Charmaine Retuya</v>
      </c>
      <c r="B137" s="327" t="s">
        <v>3348</v>
      </c>
      <c r="C137" s="327" t="s">
        <v>3349</v>
      </c>
      <c r="D137" s="327" t="s">
        <v>3350</v>
      </c>
    </row>
    <row r="138">
      <c r="A138" s="327" t="str">
        <f t="shared" si="1"/>
        <v>Cherry Rose Venturillo</v>
      </c>
      <c r="B138" s="327" t="s">
        <v>3351</v>
      </c>
      <c r="C138" s="327" t="s">
        <v>3352</v>
      </c>
      <c r="D138" s="327" t="s">
        <v>3353</v>
      </c>
    </row>
    <row r="139">
      <c r="A139" s="327" t="str">
        <f t="shared" si="1"/>
        <v>Cheyenne Buitizon</v>
      </c>
      <c r="B139" s="327" t="s">
        <v>3354</v>
      </c>
      <c r="C139" s="327" t="s">
        <v>3355</v>
      </c>
      <c r="D139" s="327" t="s">
        <v>3356</v>
      </c>
    </row>
    <row r="140">
      <c r="A140" s="327" t="str">
        <f t="shared" si="1"/>
        <v>Chin Jean Du</v>
      </c>
      <c r="B140" s="327" t="s">
        <v>3357</v>
      </c>
      <c r="C140" s="327" t="s">
        <v>3358</v>
      </c>
      <c r="D140" s="327" t="s">
        <v>3359</v>
      </c>
    </row>
    <row r="141">
      <c r="A141" s="327" t="str">
        <f t="shared" si="1"/>
        <v>Chona Alday</v>
      </c>
      <c r="B141" s="327" t="s">
        <v>3361</v>
      </c>
      <c r="C141" s="327" t="s">
        <v>3362</v>
      </c>
      <c r="D141" s="327" t="s">
        <v>3363</v>
      </c>
    </row>
    <row r="142">
      <c r="A142" s="327" t="str">
        <f t="shared" si="1"/>
        <v>Chona de los Trinos</v>
      </c>
      <c r="B142" s="327" t="s">
        <v>3361</v>
      </c>
      <c r="C142" s="327" t="s">
        <v>3364</v>
      </c>
      <c r="D142" s="327" t="s">
        <v>3365</v>
      </c>
    </row>
    <row r="143">
      <c r="A143" s="327" t="str">
        <f t="shared" si="1"/>
        <v>Christar Joy Cadion</v>
      </c>
      <c r="B143" s="327" t="s">
        <v>3366</v>
      </c>
      <c r="C143" s="327" t="s">
        <v>3367</v>
      </c>
      <c r="D143" s="327" t="s">
        <v>3368</v>
      </c>
    </row>
    <row r="144">
      <c r="A144" s="327" t="str">
        <f t="shared" si="1"/>
        <v>Christelle Mae Aya</v>
      </c>
      <c r="B144" s="327" t="s">
        <v>3369</v>
      </c>
      <c r="C144" s="327" t="s">
        <v>3370</v>
      </c>
      <c r="D144" s="327" t="s">
        <v>3371</v>
      </c>
    </row>
    <row r="145">
      <c r="A145" s="327" t="str">
        <f t="shared" si="1"/>
        <v>Christian Andres</v>
      </c>
      <c r="B145" s="327" t="s">
        <v>3372</v>
      </c>
      <c r="C145" s="327" t="s">
        <v>3373</v>
      </c>
      <c r="D145" s="327" t="s">
        <v>3374</v>
      </c>
    </row>
    <row r="146">
      <c r="A146" s="327" t="str">
        <f t="shared" si="1"/>
        <v>Christian Dio</v>
      </c>
      <c r="B146" s="327" t="s">
        <v>3372</v>
      </c>
      <c r="C146" s="327" t="s">
        <v>3375</v>
      </c>
      <c r="D146" s="327" t="s">
        <v>3376</v>
      </c>
    </row>
    <row r="147">
      <c r="A147" s="327" t="str">
        <f t="shared" si="1"/>
        <v>Christian Dante Tapuro</v>
      </c>
      <c r="B147" s="327" t="s">
        <v>3377</v>
      </c>
      <c r="C147" s="327" t="s">
        <v>3378</v>
      </c>
      <c r="D147" s="327" t="s">
        <v>3379</v>
      </c>
    </row>
    <row r="148">
      <c r="A148" s="327" t="str">
        <f t="shared" si="1"/>
        <v>Christian George Melitante</v>
      </c>
      <c r="B148" s="327" t="s">
        <v>3380</v>
      </c>
      <c r="C148" s="327" t="s">
        <v>3381</v>
      </c>
      <c r="D148" s="327" t="s">
        <v>3382</v>
      </c>
    </row>
    <row r="149">
      <c r="A149" s="327" t="str">
        <f t="shared" si="1"/>
        <v>Christian Mark Marbibi</v>
      </c>
      <c r="B149" s="327" t="s">
        <v>3383</v>
      </c>
      <c r="C149" s="327" t="s">
        <v>3384</v>
      </c>
      <c r="D149" s="327" t="s">
        <v>3385</v>
      </c>
    </row>
    <row r="150">
      <c r="A150" s="327" t="str">
        <f t="shared" si="1"/>
        <v>Christian Mark Lorenzana</v>
      </c>
      <c r="B150" s="327" t="s">
        <v>3383</v>
      </c>
      <c r="C150" s="327" t="s">
        <v>3386</v>
      </c>
      <c r="D150" s="327" t="s">
        <v>3387</v>
      </c>
    </row>
    <row r="151">
      <c r="A151" s="327" t="str">
        <f t="shared" si="1"/>
        <v>Christian Paul Peligro</v>
      </c>
      <c r="B151" s="327" t="s">
        <v>3388</v>
      </c>
      <c r="C151" s="327" t="s">
        <v>3389</v>
      </c>
      <c r="D151" s="327" t="s">
        <v>3390</v>
      </c>
    </row>
    <row r="152">
      <c r="A152" s="327" t="str">
        <f t="shared" si="1"/>
        <v>Christie Babor</v>
      </c>
      <c r="B152" s="327" t="s">
        <v>3391</v>
      </c>
      <c r="C152" s="327" t="s">
        <v>3392</v>
      </c>
      <c r="D152" s="327" t="s">
        <v>3393</v>
      </c>
    </row>
    <row r="153">
      <c r="A153" s="327" t="str">
        <f t="shared" si="1"/>
        <v>Christina Camacho</v>
      </c>
      <c r="B153" s="327" t="s">
        <v>3394</v>
      </c>
      <c r="C153" s="327" t="s">
        <v>3395</v>
      </c>
      <c r="D153" s="327" t="s">
        <v>3396</v>
      </c>
    </row>
    <row r="154">
      <c r="A154" s="327" t="str">
        <f t="shared" si="1"/>
        <v>Christine Villacarlos</v>
      </c>
      <c r="B154" s="327" t="s">
        <v>3397</v>
      </c>
      <c r="C154" s="327" t="s">
        <v>3398</v>
      </c>
      <c r="D154" s="327" t="s">
        <v>3399</v>
      </c>
    </row>
    <row r="155">
      <c r="A155" s="327" t="str">
        <f t="shared" si="1"/>
        <v>Christine Ivy Baculao</v>
      </c>
      <c r="B155" s="327" t="s">
        <v>3400</v>
      </c>
      <c r="C155" s="327" t="s">
        <v>3401</v>
      </c>
      <c r="D155" s="327" t="s">
        <v>3402</v>
      </c>
    </row>
    <row r="156">
      <c r="A156" s="327" t="str">
        <f t="shared" si="1"/>
        <v>Christoff Graza</v>
      </c>
      <c r="B156" s="327" t="s">
        <v>3403</v>
      </c>
      <c r="C156" s="327" t="s">
        <v>3404</v>
      </c>
      <c r="D156" s="327" t="s">
        <v>3405</v>
      </c>
    </row>
    <row r="157">
      <c r="A157" s="327" t="str">
        <f t="shared" si="1"/>
        <v>Christopher Trinidad</v>
      </c>
      <c r="B157" s="327" t="s">
        <v>3406</v>
      </c>
      <c r="C157" s="327" t="s">
        <v>3407</v>
      </c>
      <c r="D157" s="327" t="s">
        <v>3408</v>
      </c>
    </row>
    <row r="158">
      <c r="A158" s="327" t="str">
        <f t="shared" si="1"/>
        <v>Christopher Slough</v>
      </c>
      <c r="B158" s="327" t="s">
        <v>3406</v>
      </c>
      <c r="C158" s="327" t="s">
        <v>3409</v>
      </c>
      <c r="D158" s="327" t="s">
        <v>3410</v>
      </c>
    </row>
    <row r="159">
      <c r="A159" s="327" t="str">
        <f t="shared" si="1"/>
        <v>Christopher Mortel</v>
      </c>
      <c r="B159" s="327" t="s">
        <v>3406</v>
      </c>
      <c r="C159" s="327" t="s">
        <v>3411</v>
      </c>
      <c r="D159" s="327" t="s">
        <v>3412</v>
      </c>
    </row>
    <row r="160">
      <c r="A160" s="327" t="str">
        <f t="shared" si="1"/>
        <v>Cindy Jurado</v>
      </c>
      <c r="B160" s="327" t="s">
        <v>3413</v>
      </c>
      <c r="C160" s="327" t="s">
        <v>3414</v>
      </c>
      <c r="D160" s="327" t="s">
        <v>3415</v>
      </c>
    </row>
    <row r="161">
      <c r="A161" s="327" t="str">
        <f t="shared" si="1"/>
        <v>Clarissa Rubio</v>
      </c>
      <c r="B161" s="327" t="s">
        <v>3416</v>
      </c>
      <c r="C161" s="327" t="s">
        <v>3417</v>
      </c>
      <c r="D161" s="327" t="s">
        <v>3418</v>
      </c>
    </row>
    <row r="162">
      <c r="A162" s="327" t="str">
        <f t="shared" si="1"/>
        <v>Clarissa Soriao</v>
      </c>
      <c r="B162" s="327" t="s">
        <v>3416</v>
      </c>
      <c r="C162" s="327" t="s">
        <v>3419</v>
      </c>
      <c r="D162" s="327" t="s">
        <v>3420</v>
      </c>
    </row>
    <row r="163">
      <c r="A163" s="327" t="str">
        <f t="shared" si="1"/>
        <v>Claudine Lumactud</v>
      </c>
      <c r="B163" s="327" t="s">
        <v>3421</v>
      </c>
      <c r="C163" s="327" t="s">
        <v>3422</v>
      </c>
      <c r="D163" s="327" t="s">
        <v>3423</v>
      </c>
    </row>
    <row r="164">
      <c r="A164" s="327" t="str">
        <f t="shared" si="1"/>
        <v>Claudine Jade Geronimo</v>
      </c>
      <c r="B164" s="327" t="s">
        <v>3424</v>
      </c>
      <c r="C164" s="327" t="s">
        <v>3425</v>
      </c>
      <c r="D164" s="327" t="s">
        <v>3426</v>
      </c>
    </row>
    <row r="165">
      <c r="A165" s="327" t="str">
        <f t="shared" si="1"/>
        <v>Clyde Rebadulla</v>
      </c>
      <c r="B165" s="327" t="s">
        <v>3427</v>
      </c>
      <c r="C165" s="327" t="s">
        <v>3428</v>
      </c>
      <c r="D165" s="327" t="s">
        <v>3429</v>
      </c>
    </row>
    <row r="166">
      <c r="A166" s="327" t="str">
        <f t="shared" si="1"/>
        <v>Colleen Reyes</v>
      </c>
      <c r="B166" s="327" t="s">
        <v>3430</v>
      </c>
      <c r="C166" s="327" t="s">
        <v>3431</v>
      </c>
      <c r="D166" s="327" t="s">
        <v>3432</v>
      </c>
    </row>
    <row r="167">
      <c r="A167" s="327" t="str">
        <f t="shared" si="1"/>
        <v>Conchita Crisostomo</v>
      </c>
      <c r="B167" s="327" t="s">
        <v>3433</v>
      </c>
      <c r="C167" s="327" t="s">
        <v>3434</v>
      </c>
      <c r="D167" s="327" t="s">
        <v>3435</v>
      </c>
    </row>
    <row r="168">
      <c r="A168" s="327" t="str">
        <f t="shared" si="1"/>
        <v>Connie Ponce</v>
      </c>
      <c r="B168" s="327" t="s">
        <v>3436</v>
      </c>
      <c r="C168" s="327" t="s">
        <v>3437</v>
      </c>
      <c r="D168" s="327" t="s">
        <v>3438</v>
      </c>
    </row>
    <row r="169">
      <c r="A169" s="327" t="str">
        <f t="shared" si="1"/>
        <v>Consuelo Cena</v>
      </c>
      <c r="B169" s="327" t="s">
        <v>3439</v>
      </c>
      <c r="C169" s="327" t="s">
        <v>3440</v>
      </c>
      <c r="D169" s="327" t="s">
        <v>3441</v>
      </c>
    </row>
    <row r="170">
      <c r="A170" s="327" t="str">
        <f t="shared" si="1"/>
        <v>Criselda Cueto</v>
      </c>
      <c r="B170" s="327" t="s">
        <v>3442</v>
      </c>
      <c r="C170" s="327" t="s">
        <v>3443</v>
      </c>
      <c r="D170" s="327" t="s">
        <v>3444</v>
      </c>
    </row>
    <row r="171">
      <c r="A171" s="327" t="str">
        <f t="shared" si="1"/>
        <v>Crismarie Espinosa</v>
      </c>
      <c r="B171" s="327" t="s">
        <v>3445</v>
      </c>
      <c r="C171" s="327" t="s">
        <v>3446</v>
      </c>
      <c r="D171" s="327" t="s">
        <v>3447</v>
      </c>
    </row>
    <row r="172">
      <c r="A172" s="327" t="str">
        <f t="shared" si="1"/>
        <v>Cristina Aguilar Borja</v>
      </c>
      <c r="B172" s="327" t="s">
        <v>3448</v>
      </c>
      <c r="C172" s="327" t="s">
        <v>3449</v>
      </c>
      <c r="D172" s="327" t="s">
        <v>3450</v>
      </c>
    </row>
    <row r="173">
      <c r="A173" s="327" t="str">
        <f t="shared" si="1"/>
        <v>Cristine Yap</v>
      </c>
      <c r="B173" s="327" t="s">
        <v>3451</v>
      </c>
      <c r="C173" s="327" t="s">
        <v>3452</v>
      </c>
      <c r="D173" s="327" t="s">
        <v>3453</v>
      </c>
    </row>
    <row r="174">
      <c r="A174" s="327" t="str">
        <f t="shared" si="1"/>
        <v>Culinary Institute Southville</v>
      </c>
      <c r="B174" s="327" t="s">
        <v>3454</v>
      </c>
      <c r="C174" s="327" t="s">
        <v>3455</v>
      </c>
      <c r="D174" s="327" t="s">
        <v>3456</v>
      </c>
    </row>
    <row r="175">
      <c r="A175" s="327" t="str">
        <f t="shared" si="1"/>
        <v>Czarina Cabrera</v>
      </c>
      <c r="B175" s="327" t="s">
        <v>3457</v>
      </c>
      <c r="C175" s="327" t="s">
        <v>3458</v>
      </c>
      <c r="D175" s="327" t="s">
        <v>3459</v>
      </c>
    </row>
    <row r="176">
      <c r="A176" s="327" t="str">
        <f t="shared" si="1"/>
        <v>Dabereth Baller</v>
      </c>
      <c r="B176" s="327" t="s">
        <v>3460</v>
      </c>
      <c r="C176" s="327" t="s">
        <v>3461</v>
      </c>
      <c r="D176" s="327" t="s">
        <v>3462</v>
      </c>
    </row>
    <row r="177">
      <c r="A177" s="327" t="str">
        <f t="shared" si="1"/>
        <v>Daisyrie Dela Cruz</v>
      </c>
      <c r="B177" s="327" t="s">
        <v>3463</v>
      </c>
      <c r="C177" s="327" t="s">
        <v>3231</v>
      </c>
      <c r="D177" s="327" t="s">
        <v>3464</v>
      </c>
    </row>
    <row r="178">
      <c r="A178" s="327" t="str">
        <f t="shared" si="1"/>
        <v>Dang Abanador</v>
      </c>
      <c r="B178" s="327" t="s">
        <v>3465</v>
      </c>
      <c r="C178" s="327" t="s">
        <v>3466</v>
      </c>
      <c r="D178" s="327" t="s">
        <v>3467</v>
      </c>
    </row>
    <row r="179">
      <c r="A179" s="327" t="str">
        <f t="shared" si="1"/>
        <v>Danica Gupit</v>
      </c>
      <c r="B179" s="327" t="s">
        <v>3468</v>
      </c>
      <c r="C179" s="327" t="s">
        <v>3469</v>
      </c>
      <c r="D179" s="327" t="s">
        <v>3470</v>
      </c>
    </row>
    <row r="180">
      <c r="A180" s="327" t="str">
        <f t="shared" si="1"/>
        <v>Daniel Steel</v>
      </c>
      <c r="B180" s="327" t="s">
        <v>3471</v>
      </c>
      <c r="C180" s="327" t="s">
        <v>3472</v>
      </c>
      <c r="D180" s="327" t="s">
        <v>3473</v>
      </c>
    </row>
    <row r="181">
      <c r="A181" s="327" t="str">
        <f t="shared" si="1"/>
        <v>Danielle Jay Gurbuxani</v>
      </c>
      <c r="B181" s="327" t="s">
        <v>3474</v>
      </c>
      <c r="C181" s="327" t="s">
        <v>3475</v>
      </c>
      <c r="D181" s="327" t="s">
        <v>3476</v>
      </c>
    </row>
    <row r="182">
      <c r="A182" s="327" t="str">
        <f t="shared" si="1"/>
        <v>Danielle Mae N. Mordeno</v>
      </c>
      <c r="B182" s="327" t="s">
        <v>3477</v>
      </c>
      <c r="C182" s="327" t="s">
        <v>3478</v>
      </c>
      <c r="D182" s="327" t="s">
        <v>3479</v>
      </c>
    </row>
    <row r="183">
      <c r="A183" s="327" t="str">
        <f t="shared" si="1"/>
        <v>Darlene Roxas</v>
      </c>
      <c r="B183" s="327" t="s">
        <v>3480</v>
      </c>
      <c r="C183" s="327" t="s">
        <v>3481</v>
      </c>
      <c r="D183" s="327" t="s">
        <v>3482</v>
      </c>
    </row>
    <row r="184">
      <c r="A184" s="327" t="str">
        <f t="shared" si="1"/>
        <v>Darwin Engracia</v>
      </c>
      <c r="B184" s="327" t="s">
        <v>3483</v>
      </c>
      <c r="C184" s="327" t="s">
        <v>3484</v>
      </c>
      <c r="D184" s="327" t="s">
        <v>3485</v>
      </c>
    </row>
    <row r="185">
      <c r="A185" s="327" t="str">
        <f t="shared" si="1"/>
        <v>Daryl Paderogo</v>
      </c>
      <c r="B185" s="327" t="s">
        <v>3486</v>
      </c>
      <c r="C185" s="327" t="s">
        <v>3487</v>
      </c>
      <c r="D185" s="327" t="s">
        <v>3488</v>
      </c>
    </row>
    <row r="186">
      <c r="A186" s="327" t="str">
        <f t="shared" si="1"/>
        <v>Daryl Jim Dela Cruz</v>
      </c>
      <c r="B186" s="327" t="s">
        <v>3489</v>
      </c>
      <c r="C186" s="327" t="s">
        <v>3231</v>
      </c>
      <c r="D186" s="327" t="s">
        <v>3490</v>
      </c>
    </row>
    <row r="187">
      <c r="A187" s="327" t="str">
        <f t="shared" si="1"/>
        <v>Dave Anthon Base</v>
      </c>
      <c r="B187" s="327" t="s">
        <v>3491</v>
      </c>
      <c r="C187" s="327" t="s">
        <v>3492</v>
      </c>
      <c r="D187" s="327" t="s">
        <v>3493</v>
      </c>
    </row>
    <row r="188">
      <c r="A188" s="327" t="str">
        <f t="shared" si="1"/>
        <v>Davy Rose Falceso</v>
      </c>
      <c r="B188" s="327" t="s">
        <v>3494</v>
      </c>
      <c r="C188" s="327" t="s">
        <v>3495</v>
      </c>
      <c r="D188" s="327" t="s">
        <v>3496</v>
      </c>
    </row>
    <row r="189">
      <c r="A189" s="327" t="str">
        <f t="shared" si="1"/>
        <v>DCO/ISO Department</v>
      </c>
      <c r="B189" s="327" t="s">
        <v>3497</v>
      </c>
      <c r="C189" s="327" t="s">
        <v>3498</v>
      </c>
      <c r="D189" s="327" t="s">
        <v>3499</v>
      </c>
    </row>
    <row r="190">
      <c r="A190" s="327" t="str">
        <f t="shared" si="1"/>
        <v>Debbie Almarez</v>
      </c>
      <c r="B190" s="327" t="s">
        <v>3500</v>
      </c>
      <c r="C190" s="327" t="s">
        <v>3501</v>
      </c>
      <c r="D190" s="327" t="s">
        <v>3502</v>
      </c>
    </row>
    <row r="191">
      <c r="A191" s="327" t="str">
        <f t="shared" si="1"/>
        <v>Debbie Blanco</v>
      </c>
      <c r="B191" s="327" t="s">
        <v>3500</v>
      </c>
      <c r="C191" s="327" t="s">
        <v>3503</v>
      </c>
      <c r="D191" s="327" t="s">
        <v>3504</v>
      </c>
    </row>
    <row r="192">
      <c r="A192" s="327" t="str">
        <f t="shared" si="1"/>
        <v>Denise Charleen Molinar</v>
      </c>
      <c r="B192" s="327" t="s">
        <v>3505</v>
      </c>
      <c r="C192" s="327" t="s">
        <v>3506</v>
      </c>
      <c r="D192" s="327" t="s">
        <v>3507</v>
      </c>
    </row>
    <row r="193">
      <c r="A193" s="327" t="str">
        <f t="shared" si="1"/>
        <v>Dennis Rinon</v>
      </c>
      <c r="B193" s="327" t="s">
        <v>3508</v>
      </c>
      <c r="C193" s="327" t="s">
        <v>3509</v>
      </c>
      <c r="D193" s="327" t="s">
        <v>3510</v>
      </c>
    </row>
    <row r="194">
      <c r="A194" s="327" t="str">
        <f t="shared" si="1"/>
        <v>Denver Bingski Dumanil Daradar</v>
      </c>
      <c r="B194" s="327" t="s">
        <v>3511</v>
      </c>
      <c r="C194" s="327" t="s">
        <v>3512</v>
      </c>
      <c r="D194" s="327" t="s">
        <v>3513</v>
      </c>
    </row>
    <row r="195">
      <c r="A195" s="327" t="str">
        <f t="shared" si="1"/>
        <v>Devika Ann Saycon</v>
      </c>
      <c r="B195" s="327" t="s">
        <v>3514</v>
      </c>
      <c r="C195" s="327" t="s">
        <v>3515</v>
      </c>
      <c r="D195" s="327" t="s">
        <v>3516</v>
      </c>
    </row>
    <row r="196">
      <c r="A196" s="327" t="str">
        <f t="shared" si="1"/>
        <v>Diana Imperio</v>
      </c>
      <c r="B196" s="327" t="s">
        <v>3517</v>
      </c>
      <c r="C196" s="327" t="s">
        <v>3518</v>
      </c>
      <c r="D196" s="327" t="s">
        <v>3519</v>
      </c>
    </row>
    <row r="197">
      <c r="A197" s="327" t="str">
        <f t="shared" si="1"/>
        <v>Diana Joy Meneses</v>
      </c>
      <c r="B197" s="327" t="s">
        <v>3520</v>
      </c>
      <c r="C197" s="327" t="s">
        <v>3521</v>
      </c>
      <c r="D197" s="327" t="s">
        <v>3522</v>
      </c>
    </row>
    <row r="198">
      <c r="A198" s="327" t="str">
        <f t="shared" si="1"/>
        <v>Diana Marie Libinting</v>
      </c>
      <c r="B198" s="327" t="s">
        <v>3523</v>
      </c>
      <c r="C198" s="327" t="s">
        <v>3524</v>
      </c>
      <c r="D198" s="327" t="s">
        <v>3525</v>
      </c>
    </row>
    <row r="199">
      <c r="A199" s="327" t="str">
        <f t="shared" si="1"/>
        <v>Diana Rose Tremedal</v>
      </c>
      <c r="B199" s="327" t="s">
        <v>3526</v>
      </c>
      <c r="C199" s="327" t="s">
        <v>3527</v>
      </c>
      <c r="D199" s="327" t="s">
        <v>3528</v>
      </c>
    </row>
    <row r="200">
      <c r="A200" s="327" t="str">
        <f t="shared" si="1"/>
        <v>Diane Trixia Palicpic</v>
      </c>
      <c r="B200" s="327" t="s">
        <v>3529</v>
      </c>
      <c r="C200" s="327" t="s">
        <v>3530</v>
      </c>
      <c r="D200" s="327" t="s">
        <v>3531</v>
      </c>
    </row>
    <row r="201">
      <c r="A201" s="327" t="str">
        <f t="shared" si="1"/>
        <v>Digital Marketing</v>
      </c>
      <c r="B201" s="327" t="s">
        <v>3532</v>
      </c>
      <c r="C201" s="327" t="s">
        <v>3533</v>
      </c>
      <c r="D201" s="327" t="s">
        <v>3534</v>
      </c>
    </row>
    <row r="202">
      <c r="A202" s="327" t="str">
        <f t="shared" si="1"/>
        <v>Dollydane Joyce Doronila</v>
      </c>
      <c r="B202" s="327" t="s">
        <v>3535</v>
      </c>
      <c r="C202" s="327" t="s">
        <v>3536</v>
      </c>
      <c r="D202" s="327" t="s">
        <v>3537</v>
      </c>
    </row>
    <row r="203">
      <c r="A203" s="327" t="str">
        <f t="shared" si="1"/>
        <v>Don Allen Matienzo</v>
      </c>
      <c r="B203" s="327" t="s">
        <v>3538</v>
      </c>
      <c r="C203" s="327" t="s">
        <v>3539</v>
      </c>
      <c r="D203" s="327" t="s">
        <v>3540</v>
      </c>
    </row>
    <row r="204">
      <c r="A204" s="327" t="str">
        <f t="shared" si="1"/>
        <v>DONTREPLY TO THIS EMAIL</v>
      </c>
      <c r="B204" s="327" t="s">
        <v>3541</v>
      </c>
      <c r="C204" s="327" t="s">
        <v>3542</v>
      </c>
      <c r="D204" s="327" t="s">
        <v>3543</v>
      </c>
    </row>
    <row r="205">
      <c r="A205" s="327" t="str">
        <f t="shared" si="1"/>
        <v>Donna Lingao</v>
      </c>
      <c r="B205" s="327" t="s">
        <v>3544</v>
      </c>
      <c r="C205" s="327" t="s">
        <v>3545</v>
      </c>
      <c r="D205" s="327" t="s">
        <v>3546</v>
      </c>
    </row>
    <row r="206">
      <c r="A206" s="327" t="str">
        <f t="shared" si="1"/>
        <v>Dorina Pelayo</v>
      </c>
      <c r="B206" s="327" t="s">
        <v>3547</v>
      </c>
      <c r="C206" s="327" t="s">
        <v>3548</v>
      </c>
      <c r="D206" s="327" t="s">
        <v>3549</v>
      </c>
    </row>
    <row r="207">
      <c r="A207" s="327" t="str">
        <f t="shared" si="1"/>
        <v>Dulce Gonda</v>
      </c>
      <c r="B207" s="327" t="s">
        <v>3550</v>
      </c>
      <c r="C207" s="327" t="s">
        <v>3551</v>
      </c>
      <c r="D207" s="327" t="s">
        <v>3552</v>
      </c>
    </row>
    <row r="208">
      <c r="A208" s="327" t="str">
        <f t="shared" si="1"/>
        <v>Dyan Jennifer Chavez</v>
      </c>
      <c r="B208" s="327" t="s">
        <v>3553</v>
      </c>
      <c r="C208" s="327" t="s">
        <v>3554</v>
      </c>
      <c r="D208" s="327" t="s">
        <v>3555</v>
      </c>
    </row>
    <row r="209">
      <c r="A209" s="327" t="str">
        <f t="shared" si="1"/>
        <v>Dynesa Rosales</v>
      </c>
      <c r="B209" s="327" t="s">
        <v>3556</v>
      </c>
      <c r="C209" s="327" t="s">
        <v>3557</v>
      </c>
      <c r="D209" s="327" t="s">
        <v>3558</v>
      </c>
    </row>
    <row r="210">
      <c r="A210" s="327" t="str">
        <f t="shared" si="1"/>
        <v>e-Admin Services</v>
      </c>
      <c r="B210" s="327" t="s">
        <v>3559</v>
      </c>
      <c r="C210" s="327" t="s">
        <v>564</v>
      </c>
      <c r="D210" s="327" t="s">
        <v>3561</v>
      </c>
    </row>
    <row r="211">
      <c r="A211" s="327" t="str">
        <f t="shared" si="1"/>
        <v>Eddielyn Bote</v>
      </c>
      <c r="B211" s="327" t="s">
        <v>3564</v>
      </c>
      <c r="C211" s="327" t="s">
        <v>3565</v>
      </c>
      <c r="D211" s="327" t="s">
        <v>3566</v>
      </c>
    </row>
    <row r="212">
      <c r="A212" s="327" t="str">
        <f t="shared" si="1"/>
        <v>Ederissa Eugenio</v>
      </c>
      <c r="B212" s="327" t="s">
        <v>3567</v>
      </c>
      <c r="C212" s="327" t="s">
        <v>3051</v>
      </c>
      <c r="D212" s="327" t="s">
        <v>3570</v>
      </c>
    </row>
    <row r="213">
      <c r="A213" s="327" t="str">
        <f t="shared" si="1"/>
        <v>Edgar Rebellon</v>
      </c>
      <c r="B213" s="327" t="s">
        <v>3572</v>
      </c>
      <c r="C213" s="327" t="s">
        <v>3573</v>
      </c>
      <c r="D213" s="327" t="s">
        <v>3574</v>
      </c>
    </row>
    <row r="214">
      <c r="A214" s="327" t="str">
        <f t="shared" si="1"/>
        <v>Edgardo Rene Pekson</v>
      </c>
      <c r="B214" s="327" t="s">
        <v>3575</v>
      </c>
      <c r="C214" s="327" t="s">
        <v>3576</v>
      </c>
      <c r="D214" s="327" t="s">
        <v>3577</v>
      </c>
    </row>
    <row r="215">
      <c r="A215" s="327" t="str">
        <f t="shared" si="1"/>
        <v>Edlyn Asi</v>
      </c>
      <c r="B215" s="327" t="s">
        <v>3578</v>
      </c>
      <c r="C215" s="327" t="s">
        <v>3579</v>
      </c>
      <c r="D215" s="327" t="s">
        <v>3580</v>
      </c>
    </row>
    <row r="216">
      <c r="A216" s="327" t="str">
        <f t="shared" si="1"/>
        <v>Edmund Bahinting</v>
      </c>
      <c r="B216" s="327" t="s">
        <v>3583</v>
      </c>
      <c r="C216" s="327" t="s">
        <v>3584</v>
      </c>
      <c r="D216" s="327" t="s">
        <v>3585</v>
      </c>
    </row>
    <row r="217">
      <c r="A217" s="327" t="str">
        <f t="shared" si="1"/>
        <v>Edna Sagala</v>
      </c>
      <c r="B217" s="327" t="s">
        <v>3586</v>
      </c>
      <c r="C217" s="327" t="s">
        <v>3587</v>
      </c>
      <c r="D217" s="327" t="s">
        <v>3588</v>
      </c>
    </row>
    <row r="218">
      <c r="A218" s="327" t="str">
        <f t="shared" si="1"/>
        <v>Ehric Quintana</v>
      </c>
      <c r="B218" s="327" t="s">
        <v>3591</v>
      </c>
      <c r="C218" s="327" t="s">
        <v>3593</v>
      </c>
      <c r="D218" s="327" t="s">
        <v>3594</v>
      </c>
    </row>
    <row r="219">
      <c r="A219" s="327" t="str">
        <f t="shared" si="1"/>
        <v>Eisen Lewis L. Sy</v>
      </c>
      <c r="B219" s="327" t="s">
        <v>3595</v>
      </c>
      <c r="C219" s="327" t="s">
        <v>3596</v>
      </c>
      <c r="D219" s="327" t="s">
        <v>3597</v>
      </c>
    </row>
    <row r="220">
      <c r="A220" s="327" t="str">
        <f t="shared" si="1"/>
        <v>Elaine Irish Barrion</v>
      </c>
      <c r="B220" s="327" t="s">
        <v>3598</v>
      </c>
      <c r="C220" s="327" t="s">
        <v>3599</v>
      </c>
      <c r="D220" s="327" t="s">
        <v>3600</v>
      </c>
    </row>
    <row r="221">
      <c r="A221" s="327" t="str">
        <f t="shared" si="1"/>
        <v>Elaine Marie Alejar</v>
      </c>
      <c r="B221" s="327" t="s">
        <v>3601</v>
      </c>
      <c r="C221" s="327" t="s">
        <v>3602</v>
      </c>
      <c r="D221" s="327" t="s">
        <v>3603</v>
      </c>
    </row>
    <row r="222">
      <c r="A222" s="327" t="str">
        <f t="shared" si="1"/>
        <v>Elisha Payumo</v>
      </c>
      <c r="B222" s="327" t="s">
        <v>3604</v>
      </c>
      <c r="C222" s="327" t="s">
        <v>3605</v>
      </c>
      <c r="D222" s="327" t="s">
        <v>3606</v>
      </c>
    </row>
    <row r="223">
      <c r="A223" s="327" t="str">
        <f t="shared" si="1"/>
        <v>Ella Cecilia Balina</v>
      </c>
      <c r="B223" s="327" t="s">
        <v>3607</v>
      </c>
      <c r="C223" s="327" t="s">
        <v>3608</v>
      </c>
      <c r="D223" s="327" t="s">
        <v>3609</v>
      </c>
    </row>
    <row r="224">
      <c r="A224" s="327" t="str">
        <f t="shared" si="1"/>
        <v>Ella Marie Pilapil</v>
      </c>
      <c r="B224" s="327" t="s">
        <v>3610</v>
      </c>
      <c r="C224" s="327" t="s">
        <v>3611</v>
      </c>
      <c r="D224" s="327" t="s">
        <v>3612</v>
      </c>
    </row>
    <row r="225">
      <c r="A225" s="327" t="str">
        <f t="shared" si="1"/>
        <v>Ellyssa Verzosa</v>
      </c>
      <c r="B225" s="327" t="s">
        <v>3613</v>
      </c>
      <c r="C225" s="327" t="s">
        <v>3614</v>
      </c>
      <c r="D225" s="327" t="s">
        <v>3615</v>
      </c>
    </row>
    <row r="226">
      <c r="A226" s="327" t="str">
        <f t="shared" si="1"/>
        <v>Elona Jean Dela Iglesia</v>
      </c>
      <c r="B226" s="327" t="s">
        <v>3616</v>
      </c>
      <c r="C226" s="327" t="s">
        <v>3617</v>
      </c>
      <c r="D226" s="327" t="s">
        <v>3618</v>
      </c>
    </row>
    <row r="227">
      <c r="A227" s="327" t="str">
        <f t="shared" si="1"/>
        <v>Elvie Quiazon</v>
      </c>
      <c r="B227" s="327" t="s">
        <v>3619</v>
      </c>
      <c r="C227" s="327" t="s">
        <v>3620</v>
      </c>
      <c r="D227" s="327" t="s">
        <v>3621</v>
      </c>
    </row>
    <row r="228">
      <c r="A228" s="327" t="str">
        <f t="shared" si="1"/>
        <v>Elydia Reyes</v>
      </c>
      <c r="B228" s="327" t="s">
        <v>3622</v>
      </c>
      <c r="C228" s="327" t="s">
        <v>3431</v>
      </c>
      <c r="D228" s="327" t="s">
        <v>3623</v>
      </c>
    </row>
    <row r="229">
      <c r="A229" s="327" t="str">
        <f t="shared" si="1"/>
        <v>Emelito Ercilla</v>
      </c>
      <c r="B229" s="327" t="s">
        <v>3624</v>
      </c>
      <c r="C229" s="327" t="s">
        <v>3625</v>
      </c>
      <c r="D229" s="327" t="s">
        <v>3626</v>
      </c>
    </row>
    <row r="230">
      <c r="A230" s="327" t="str">
        <f t="shared" si="1"/>
        <v>Emelu Majahrani Montinola</v>
      </c>
      <c r="B230" s="327" t="s">
        <v>3627</v>
      </c>
      <c r="C230" s="327" t="s">
        <v>3628</v>
      </c>
      <c r="D230" s="327" t="s">
        <v>3629</v>
      </c>
    </row>
    <row r="231">
      <c r="A231" s="327" t="str">
        <f t="shared" si="1"/>
        <v>Emiliana Ylagan</v>
      </c>
      <c r="B231" s="327" t="s">
        <v>3630</v>
      </c>
      <c r="C231" s="327" t="s">
        <v>3631</v>
      </c>
      <c r="D231" s="327" t="s">
        <v>3632</v>
      </c>
    </row>
    <row r="232">
      <c r="A232" s="327" t="str">
        <f t="shared" si="1"/>
        <v>Emjay Sheryll Carandang</v>
      </c>
      <c r="B232" s="327" t="s">
        <v>3633</v>
      </c>
      <c r="C232" s="327" t="s">
        <v>3634</v>
      </c>
      <c r="D232" s="327" t="s">
        <v>3635</v>
      </c>
    </row>
    <row r="233">
      <c r="A233" s="327" t="str">
        <f t="shared" si="1"/>
        <v>Emmanuel Surbano</v>
      </c>
      <c r="B233" s="327" t="s">
        <v>3636</v>
      </c>
      <c r="C233" s="327" t="s">
        <v>3637</v>
      </c>
      <c r="D233" s="327" t="s">
        <v>3638</v>
      </c>
    </row>
    <row r="234">
      <c r="A234" s="327" t="str">
        <f t="shared" si="1"/>
        <v>Emmanuel Corsame</v>
      </c>
      <c r="B234" s="327" t="s">
        <v>3636</v>
      </c>
      <c r="C234" s="327" t="s">
        <v>3639</v>
      </c>
      <c r="D234" s="327" t="s">
        <v>3640</v>
      </c>
    </row>
    <row r="235">
      <c r="A235" s="327" t="str">
        <f t="shared" si="1"/>
        <v>Emmanuel Javier Corsame</v>
      </c>
      <c r="B235" s="327" t="s">
        <v>3641</v>
      </c>
      <c r="C235" s="327" t="s">
        <v>3639</v>
      </c>
      <c r="D235" s="327" t="s">
        <v>3642</v>
      </c>
    </row>
    <row r="236">
      <c r="A236" s="327" t="str">
        <f t="shared" si="1"/>
        <v>Engelbert Canceran</v>
      </c>
      <c r="B236" s="327" t="s">
        <v>3643</v>
      </c>
      <c r="C236" s="327" t="s">
        <v>3644</v>
      </c>
      <c r="D236" s="327" t="s">
        <v>3645</v>
      </c>
    </row>
    <row r="237">
      <c r="A237" s="327" t="str">
        <f t="shared" si="1"/>
        <v>Epifania Indac</v>
      </c>
      <c r="B237" s="327" t="s">
        <v>3646</v>
      </c>
      <c r="C237" s="327" t="s">
        <v>3647</v>
      </c>
      <c r="D237" s="327" t="s">
        <v>3648</v>
      </c>
    </row>
    <row r="238">
      <c r="A238" s="327" t="str">
        <f t="shared" si="1"/>
        <v>Erika Larcia</v>
      </c>
      <c r="B238" s="327" t="s">
        <v>3649</v>
      </c>
      <c r="C238" s="327" t="s">
        <v>3650</v>
      </c>
      <c r="D238" s="327" t="s">
        <v>3651</v>
      </c>
    </row>
    <row r="239">
      <c r="A239" s="327" t="str">
        <f t="shared" si="1"/>
        <v>Erika Jane Saguil</v>
      </c>
      <c r="B239" s="327" t="s">
        <v>3652</v>
      </c>
      <c r="C239" s="327" t="s">
        <v>3653</v>
      </c>
      <c r="D239" s="327" t="s">
        <v>3654</v>
      </c>
    </row>
    <row r="240">
      <c r="A240" s="327" t="str">
        <f t="shared" si="1"/>
        <v>Ernest Levanza</v>
      </c>
      <c r="B240" s="327" t="s">
        <v>3655</v>
      </c>
      <c r="C240" s="327" t="s">
        <v>3656</v>
      </c>
      <c r="D240" s="327" t="s">
        <v>3657</v>
      </c>
    </row>
    <row r="241">
      <c r="A241" s="327" t="str">
        <f t="shared" si="1"/>
        <v>Ernie Magno</v>
      </c>
      <c r="B241" s="327" t="s">
        <v>3658</v>
      </c>
      <c r="C241" s="327" t="s">
        <v>3659</v>
      </c>
      <c r="D241" s="327" t="s">
        <v>3660</v>
      </c>
    </row>
    <row r="242">
      <c r="A242" s="327" t="str">
        <f t="shared" si="1"/>
        <v>Esaly Banitak</v>
      </c>
      <c r="B242" s="327" t="s">
        <v>3661</v>
      </c>
      <c r="C242" s="327" t="s">
        <v>3662</v>
      </c>
      <c r="D242" s="327" t="s">
        <v>3663</v>
      </c>
    </row>
    <row r="243">
      <c r="A243" s="327" t="str">
        <f t="shared" si="1"/>
        <v>Esther Joy Larita</v>
      </c>
      <c r="B243" s="327" t="s">
        <v>3666</v>
      </c>
      <c r="C243" s="327" t="s">
        <v>3667</v>
      </c>
      <c r="D243" s="327" t="s">
        <v>3668</v>
      </c>
    </row>
    <row r="244">
      <c r="A244" s="327" t="str">
        <f t="shared" si="1"/>
        <v>Estrella Cruz</v>
      </c>
      <c r="B244" s="327" t="s">
        <v>3669</v>
      </c>
      <c r="C244" s="327" t="s">
        <v>3670</v>
      </c>
      <c r="D244" s="327" t="s">
        <v>3671</v>
      </c>
    </row>
    <row r="245">
      <c r="A245" s="327" t="str">
        <f t="shared" si="1"/>
        <v>Eudier Yoingco</v>
      </c>
      <c r="B245" s="327" t="s">
        <v>3675</v>
      </c>
      <c r="C245" s="327" t="s">
        <v>3676</v>
      </c>
      <c r="D245" s="327" t="s">
        <v>3677</v>
      </c>
    </row>
    <row r="246">
      <c r="A246" s="327" t="str">
        <f t="shared" si="1"/>
        <v>Eugene Masilungan</v>
      </c>
      <c r="B246" s="327" t="s">
        <v>3678</v>
      </c>
      <c r="C246" s="327" t="s">
        <v>3679</v>
      </c>
      <c r="D246" s="327" t="s">
        <v>3680</v>
      </c>
    </row>
    <row r="247">
      <c r="A247" s="327" t="str">
        <f t="shared" si="1"/>
        <v>Eula Ivory Grace Raymundo</v>
      </c>
      <c r="B247" s="327" t="s">
        <v>3683</v>
      </c>
      <c r="C247" s="327" t="s">
        <v>3684</v>
      </c>
      <c r="D247" s="327" t="s">
        <v>3685</v>
      </c>
    </row>
    <row r="248">
      <c r="A248" s="327" t="str">
        <f t="shared" si="1"/>
        <v>Eulalia Rosales</v>
      </c>
      <c r="B248" s="327" t="s">
        <v>3686</v>
      </c>
      <c r="C248" s="327" t="s">
        <v>3557</v>
      </c>
      <c r="D248" s="327" t="s">
        <v>3687</v>
      </c>
    </row>
    <row r="249">
      <c r="A249" s="327" t="str">
        <f t="shared" si="1"/>
        <v>Eunice Resurrecion</v>
      </c>
      <c r="B249" s="327" t="s">
        <v>3690</v>
      </c>
      <c r="C249" s="327" t="s">
        <v>3691</v>
      </c>
      <c r="D249" s="327" t="s">
        <v>3692</v>
      </c>
    </row>
    <row r="250">
      <c r="A250" s="327" t="str">
        <f t="shared" si="1"/>
        <v>Eunice Joy Fernandez</v>
      </c>
      <c r="B250" s="327" t="s">
        <v>3693</v>
      </c>
      <c r="C250" s="327" t="s">
        <v>3694</v>
      </c>
      <c r="D250" s="327" t="s">
        <v>3695</v>
      </c>
    </row>
    <row r="251">
      <c r="A251" s="327" t="str">
        <f t="shared" si="1"/>
        <v>Eva Necosia</v>
      </c>
      <c r="B251" s="327" t="s">
        <v>3697</v>
      </c>
      <c r="C251" s="327" t="s">
        <v>3699</v>
      </c>
      <c r="D251" s="327" t="s">
        <v>3700</v>
      </c>
    </row>
    <row r="252">
      <c r="A252" s="327" t="str">
        <f t="shared" si="1"/>
        <v>Eve Fresnel</v>
      </c>
      <c r="B252" s="327" t="s">
        <v>3701</v>
      </c>
      <c r="C252" s="327" t="s">
        <v>3702</v>
      </c>
      <c r="D252" s="327" t="s">
        <v>3703</v>
      </c>
    </row>
    <row r="253">
      <c r="A253" s="327" t="str">
        <f t="shared" si="1"/>
        <v>Extended Essay</v>
      </c>
      <c r="B253" s="327" t="s">
        <v>3704</v>
      </c>
      <c r="C253" s="327" t="s">
        <v>3705</v>
      </c>
      <c r="D253" s="327" t="s">
        <v>3706</v>
      </c>
    </row>
    <row r="254">
      <c r="A254" s="327" t="str">
        <f t="shared" si="1"/>
        <v>Fatima Campaner</v>
      </c>
      <c r="B254" s="327" t="s">
        <v>3707</v>
      </c>
      <c r="C254" s="327" t="s">
        <v>3708</v>
      </c>
      <c r="D254" s="327" t="s">
        <v>3709</v>
      </c>
    </row>
    <row r="255">
      <c r="A255" s="327" t="str">
        <f t="shared" si="1"/>
        <v>Federico Colar</v>
      </c>
      <c r="B255" s="327" t="s">
        <v>3711</v>
      </c>
      <c r="C255" s="327" t="s">
        <v>3713</v>
      </c>
      <c r="D255" s="327" t="s">
        <v>3714</v>
      </c>
    </row>
    <row r="256">
      <c r="A256" s="327" t="str">
        <f t="shared" si="1"/>
        <v>Felix Barqueros</v>
      </c>
      <c r="B256" s="327" t="s">
        <v>3715</v>
      </c>
      <c r="C256" s="327" t="s">
        <v>3716</v>
      </c>
      <c r="D256" s="327" t="s">
        <v>3717</v>
      </c>
    </row>
    <row r="257">
      <c r="A257" s="327" t="str">
        <f t="shared" si="1"/>
        <v>Ferdinand Dela Cruz</v>
      </c>
      <c r="B257" s="327" t="s">
        <v>3718</v>
      </c>
      <c r="C257" s="327" t="s">
        <v>3231</v>
      </c>
      <c r="D257" s="327" t="s">
        <v>3719</v>
      </c>
    </row>
    <row r="258">
      <c r="A258" s="327" t="str">
        <f t="shared" si="1"/>
        <v>Fernan Fortunato</v>
      </c>
      <c r="B258" s="327" t="s">
        <v>3720</v>
      </c>
      <c r="C258" s="327" t="s">
        <v>3721</v>
      </c>
      <c r="D258" s="327" t="s">
        <v>3722</v>
      </c>
    </row>
    <row r="259">
      <c r="A259" s="327" t="str">
        <f t="shared" si="1"/>
        <v>Fides Adiviso</v>
      </c>
      <c r="B259" s="327" t="s">
        <v>3723</v>
      </c>
      <c r="C259" s="327" t="s">
        <v>3724</v>
      </c>
      <c r="D259" s="327" t="s">
        <v>3725</v>
      </c>
    </row>
    <row r="260">
      <c r="A260" s="327" t="str">
        <f t="shared" si="1"/>
        <v>Fiel Aldous Evidente</v>
      </c>
      <c r="B260" s="327" t="s">
        <v>3726</v>
      </c>
      <c r="C260" s="327" t="s">
        <v>3727</v>
      </c>
      <c r="D260" s="327" t="s">
        <v>3728</v>
      </c>
    </row>
    <row r="261">
      <c r="A261" s="327" t="str">
        <f t="shared" si="1"/>
        <v>Flor Mae Espina</v>
      </c>
      <c r="B261" s="327" t="s">
        <v>3730</v>
      </c>
      <c r="C261" s="327" t="s">
        <v>3732</v>
      </c>
      <c r="D261" s="327" t="s">
        <v>3734</v>
      </c>
    </row>
    <row r="262">
      <c r="A262" s="327" t="str">
        <f t="shared" si="1"/>
        <v>Floramae Aguilos</v>
      </c>
      <c r="B262" s="327" t="s">
        <v>3735</v>
      </c>
      <c r="C262" s="327" t="s">
        <v>3736</v>
      </c>
      <c r="D262" s="327" t="s">
        <v>3737</v>
      </c>
    </row>
    <row r="263">
      <c r="A263" s="327" t="str">
        <f t="shared" si="1"/>
        <v>Floyd Paguio</v>
      </c>
      <c r="B263" s="327" t="s">
        <v>3739</v>
      </c>
      <c r="C263" s="327" t="s">
        <v>3741</v>
      </c>
      <c r="D263" s="327" t="s">
        <v>3742</v>
      </c>
    </row>
    <row r="264">
      <c r="A264" s="327" t="str">
        <f t="shared" si="1"/>
        <v>Franklin Quiachon</v>
      </c>
      <c r="B264" s="327" t="s">
        <v>3743</v>
      </c>
      <c r="C264" s="327" t="s">
        <v>3744</v>
      </c>
      <c r="D264" s="327" t="s">
        <v>3745</v>
      </c>
    </row>
    <row r="265">
      <c r="A265" s="327" t="str">
        <f t="shared" si="1"/>
        <v>Fulgencio Ducut</v>
      </c>
      <c r="B265" s="327" t="s">
        <v>2987</v>
      </c>
      <c r="C265" s="327" t="s">
        <v>3746</v>
      </c>
      <c r="D265" s="327" t="s">
        <v>3747</v>
      </c>
    </row>
    <row r="266">
      <c r="A266" s="327" t="str">
        <f t="shared" si="1"/>
        <v>Garry Gonzalo</v>
      </c>
      <c r="B266" s="327" t="s">
        <v>3748</v>
      </c>
      <c r="C266" s="327" t="s">
        <v>3749</v>
      </c>
      <c r="D266" s="327" t="s">
        <v>3750</v>
      </c>
    </row>
    <row r="267">
      <c r="A267" s="327" t="str">
        <f t="shared" si="1"/>
        <v>Geneca Barola</v>
      </c>
      <c r="B267" s="327" t="s">
        <v>3751</v>
      </c>
      <c r="C267" s="327" t="s">
        <v>3752</v>
      </c>
      <c r="D267" s="327" t="s">
        <v>3753</v>
      </c>
    </row>
    <row r="268">
      <c r="A268" s="327" t="str">
        <f t="shared" si="1"/>
        <v>Geneva Winona Vila Elago</v>
      </c>
      <c r="B268" s="327" t="s">
        <v>3754</v>
      </c>
      <c r="C268" s="327" t="s">
        <v>3755</v>
      </c>
      <c r="D268" s="327" t="s">
        <v>3756</v>
      </c>
    </row>
    <row r="269">
      <c r="A269" s="327" t="str">
        <f t="shared" si="1"/>
        <v>Genevieve Tan</v>
      </c>
      <c r="B269" s="327" t="s">
        <v>3757</v>
      </c>
      <c r="C269" s="327" t="s">
        <v>3063</v>
      </c>
      <c r="D269" s="327" t="s">
        <v>3758</v>
      </c>
    </row>
    <row r="270">
      <c r="A270" s="327" t="str">
        <f t="shared" si="1"/>
        <v>Gennevic Ona</v>
      </c>
      <c r="B270" s="327" t="s">
        <v>3759</v>
      </c>
      <c r="C270" s="327" t="s">
        <v>3760</v>
      </c>
      <c r="D270" s="327" t="s">
        <v>3761</v>
      </c>
    </row>
    <row r="271">
      <c r="A271" s="327" t="str">
        <f t="shared" si="1"/>
        <v>Georgina Cruz</v>
      </c>
      <c r="B271" s="327" t="s">
        <v>3762</v>
      </c>
      <c r="C271" s="327" t="s">
        <v>3670</v>
      </c>
      <c r="D271" s="327" t="s">
        <v>3763</v>
      </c>
    </row>
    <row r="272">
      <c r="A272" s="327" t="str">
        <f t="shared" si="1"/>
        <v>Gerald Gamboa</v>
      </c>
      <c r="B272" s="327" t="s">
        <v>3764</v>
      </c>
      <c r="C272" s="327" t="s">
        <v>3765</v>
      </c>
      <c r="D272" s="327" t="s">
        <v>3766</v>
      </c>
    </row>
    <row r="273">
      <c r="A273" s="327" t="str">
        <f t="shared" si="1"/>
        <v>Geraldine Cacapit</v>
      </c>
      <c r="B273" s="327" t="s">
        <v>3767</v>
      </c>
      <c r="C273" s="327" t="s">
        <v>3768</v>
      </c>
      <c r="D273" s="327" t="s">
        <v>3769</v>
      </c>
    </row>
    <row r="274">
      <c r="A274" s="327" t="str">
        <f t="shared" si="1"/>
        <v>Gerardo Plana</v>
      </c>
      <c r="B274" s="327" t="s">
        <v>3770</v>
      </c>
      <c r="C274" s="327" t="s">
        <v>3771</v>
      </c>
      <c r="D274" s="327" t="s">
        <v>3772</v>
      </c>
    </row>
    <row r="275">
      <c r="A275" s="327" t="str">
        <f t="shared" si="1"/>
        <v>Gerlie Agravante</v>
      </c>
      <c r="B275" s="327" t="s">
        <v>3773</v>
      </c>
      <c r="C275" s="327" t="s">
        <v>3774</v>
      </c>
      <c r="D275" s="327" t="s">
        <v>3775</v>
      </c>
    </row>
    <row r="276">
      <c r="A276" s="327" t="str">
        <f t="shared" si="1"/>
        <v>Gerrimel Hernandez</v>
      </c>
      <c r="B276" s="327" t="s">
        <v>3776</v>
      </c>
      <c r="C276" s="327" t="s">
        <v>3777</v>
      </c>
      <c r="D276" s="327" t="s">
        <v>3778</v>
      </c>
    </row>
    <row r="277">
      <c r="A277" s="327" t="str">
        <f t="shared" si="1"/>
        <v>Gia Sogitao</v>
      </c>
      <c r="B277" s="327" t="s">
        <v>3779</v>
      </c>
      <c r="C277" s="327" t="s">
        <v>3780</v>
      </c>
      <c r="D277" s="327" t="s">
        <v>3781</v>
      </c>
    </row>
    <row r="278">
      <c r="A278" s="327" t="str">
        <f t="shared" si="1"/>
        <v>GianPaolo Rivera</v>
      </c>
      <c r="B278" s="327" t="s">
        <v>3782</v>
      </c>
      <c r="C278" s="327" t="s">
        <v>3783</v>
      </c>
      <c r="D278" s="327" t="s">
        <v>3784</v>
      </c>
    </row>
    <row r="279">
      <c r="A279" s="327" t="str">
        <f t="shared" si="1"/>
        <v>Gina Caneo</v>
      </c>
      <c r="B279" s="327" t="s">
        <v>3785</v>
      </c>
      <c r="C279" s="327" t="s">
        <v>3786</v>
      </c>
      <c r="D279" s="327" t="s">
        <v>3787</v>
      </c>
    </row>
    <row r="280">
      <c r="A280" s="327" t="str">
        <f t="shared" si="1"/>
        <v>Gladys Mintu</v>
      </c>
      <c r="B280" s="327" t="s">
        <v>3788</v>
      </c>
      <c r="C280" s="327" t="s">
        <v>3789</v>
      </c>
      <c r="D280" s="327" t="s">
        <v>3790</v>
      </c>
    </row>
    <row r="281">
      <c r="A281" s="327" t="str">
        <f t="shared" si="1"/>
        <v>Gliceria Kilapkilap</v>
      </c>
      <c r="B281" s="327" t="s">
        <v>3791</v>
      </c>
      <c r="C281" s="327" t="s">
        <v>3792</v>
      </c>
      <c r="D281" s="327" t="s">
        <v>3793</v>
      </c>
    </row>
    <row r="282">
      <c r="A282" s="327" t="str">
        <f t="shared" si="1"/>
        <v>Gloria Flor Tayco</v>
      </c>
      <c r="B282" s="327" t="s">
        <v>3794</v>
      </c>
      <c r="C282" s="327" t="s">
        <v>3795</v>
      </c>
      <c r="D282" s="327" t="s">
        <v>3796</v>
      </c>
    </row>
    <row r="283">
      <c r="A283" s="327" t="str">
        <f t="shared" si="1"/>
        <v>Godfrey Caccam</v>
      </c>
      <c r="B283" s="327" t="s">
        <v>3797</v>
      </c>
      <c r="C283" s="327" t="s">
        <v>3798</v>
      </c>
      <c r="D283" s="327" t="s">
        <v>3799</v>
      </c>
    </row>
    <row r="284">
      <c r="A284" s="327" t="str">
        <f t="shared" si="1"/>
        <v>Gou Lisha</v>
      </c>
      <c r="B284" s="327" t="s">
        <v>3800</v>
      </c>
      <c r="C284" s="327" t="s">
        <v>3801</v>
      </c>
      <c r="D284" s="327" t="s">
        <v>3802</v>
      </c>
    </row>
    <row r="285">
      <c r="A285" s="327" t="str">
        <f t="shared" si="1"/>
        <v>Grace Chong</v>
      </c>
      <c r="B285" s="327" t="s">
        <v>3803</v>
      </c>
      <c r="C285" s="327" t="s">
        <v>3804</v>
      </c>
      <c r="D285" s="327" t="s">
        <v>3805</v>
      </c>
    </row>
    <row r="286">
      <c r="A286" s="327" t="str">
        <f t="shared" si="1"/>
        <v>Grace Fe Tomas</v>
      </c>
      <c r="B286" s="327" t="s">
        <v>3806</v>
      </c>
      <c r="C286" s="327" t="s">
        <v>3807</v>
      </c>
      <c r="D286" s="327" t="s">
        <v>3808</v>
      </c>
    </row>
    <row r="287">
      <c r="A287" s="327" t="str">
        <f t="shared" si="1"/>
        <v>Gregoria Reyes Smith</v>
      </c>
      <c r="B287" s="327" t="s">
        <v>3809</v>
      </c>
      <c r="C287" s="327" t="s">
        <v>3810</v>
      </c>
      <c r="D287" s="327" t="s">
        <v>3811</v>
      </c>
    </row>
    <row r="288">
      <c r="A288" s="327" t="str">
        <f t="shared" si="1"/>
        <v>Gwen Faminialagao</v>
      </c>
      <c r="B288" s="327" t="s">
        <v>3812</v>
      </c>
      <c r="C288" s="327" t="s">
        <v>3813</v>
      </c>
      <c r="D288" s="327" t="s">
        <v>3814</v>
      </c>
    </row>
    <row r="289">
      <c r="A289" s="327" t="str">
        <f t="shared" si="1"/>
        <v>Haney Val Benlayo</v>
      </c>
      <c r="B289" s="327" t="s">
        <v>3817</v>
      </c>
      <c r="C289" s="327" t="s">
        <v>3818</v>
      </c>
      <c r="D289" s="327" t="s">
        <v>3819</v>
      </c>
    </row>
    <row r="290">
      <c r="A290" s="327" t="str">
        <f t="shared" si="1"/>
        <v>Hannah Jean Torralba</v>
      </c>
      <c r="B290" s="327" t="s">
        <v>3821</v>
      </c>
      <c r="C290" s="327" t="s">
        <v>3822</v>
      </c>
      <c r="D290" s="327" t="s">
        <v>3823</v>
      </c>
    </row>
    <row r="291">
      <c r="A291" s="327" t="str">
        <f t="shared" si="1"/>
        <v>Hannah Louise Sto. Domingo</v>
      </c>
      <c r="B291" s="327" t="s">
        <v>3825</v>
      </c>
      <c r="C291" s="327" t="s">
        <v>3826</v>
      </c>
      <c r="D291" s="327" t="s">
        <v>3828</v>
      </c>
    </row>
    <row r="292">
      <c r="A292" s="327" t="str">
        <f t="shared" si="1"/>
        <v>Hannamie Luching</v>
      </c>
      <c r="B292" s="327" t="s">
        <v>3829</v>
      </c>
      <c r="C292" s="327" t="s">
        <v>3830</v>
      </c>
      <c r="D292" s="327" t="s">
        <v>3831</v>
      </c>
    </row>
    <row r="293">
      <c r="A293" s="327" t="str">
        <f t="shared" si="1"/>
        <v>Harold Sabanal</v>
      </c>
      <c r="B293" s="327" t="s">
        <v>3833</v>
      </c>
      <c r="C293" s="327" t="s">
        <v>3835</v>
      </c>
      <c r="D293" s="327" t="s">
        <v>3836</v>
      </c>
    </row>
    <row r="294">
      <c r="A294" s="327" t="str">
        <f t="shared" si="1"/>
        <v>Haydee Cueto</v>
      </c>
      <c r="B294" s="327" t="s">
        <v>3837</v>
      </c>
      <c r="C294" s="327" t="s">
        <v>3443</v>
      </c>
      <c r="D294" s="327" t="s">
        <v>3838</v>
      </c>
    </row>
    <row r="295">
      <c r="A295" s="327" t="str">
        <f t="shared" si="1"/>
        <v>Hayyakallah Jameel Kristin Engbino</v>
      </c>
      <c r="B295" s="327" t="s">
        <v>3840</v>
      </c>
      <c r="C295" s="327" t="s">
        <v>3842</v>
      </c>
      <c r="D295" s="327" t="s">
        <v>3843</v>
      </c>
    </row>
    <row r="296">
      <c r="A296" s="327" t="str">
        <f t="shared" si="1"/>
        <v>Hazel Camposano</v>
      </c>
      <c r="B296" s="327" t="s">
        <v>3844</v>
      </c>
      <c r="C296" s="327" t="s">
        <v>3845</v>
      </c>
      <c r="D296" s="327" t="s">
        <v>3846</v>
      </c>
    </row>
    <row r="297">
      <c r="A297" s="327" t="str">
        <f t="shared" si="1"/>
        <v>Help Desk</v>
      </c>
      <c r="B297" s="327" t="s">
        <v>3849</v>
      </c>
      <c r="C297" s="327" t="s">
        <v>3850</v>
      </c>
      <c r="D297" s="327" t="s">
        <v>3851</v>
      </c>
    </row>
    <row r="298">
      <c r="A298" s="327" t="str">
        <f t="shared" si="1"/>
        <v>Herman Constantino Jr.</v>
      </c>
      <c r="B298" s="327" t="s">
        <v>3852</v>
      </c>
      <c r="C298" s="327" t="s">
        <v>3853</v>
      </c>
      <c r="D298" s="327" t="s">
        <v>3854</v>
      </c>
    </row>
    <row r="299">
      <c r="A299" s="327" t="str">
        <f t="shared" si="1"/>
        <v>HR Hiring</v>
      </c>
      <c r="B299" s="327" t="s">
        <v>3858</v>
      </c>
      <c r="C299" s="327" t="s">
        <v>3859</v>
      </c>
      <c r="D299" s="327" t="s">
        <v>3860</v>
      </c>
    </row>
    <row r="300">
      <c r="A300" s="327" t="str">
        <f t="shared" si="1"/>
        <v>Humphrey Soliman Jr.</v>
      </c>
      <c r="B300" s="327" t="s">
        <v>3861</v>
      </c>
      <c r="C300" s="327" t="s">
        <v>3862</v>
      </c>
      <c r="D300" s="327" t="s">
        <v>3863</v>
      </c>
    </row>
    <row r="301">
      <c r="A301" s="327" t="str">
        <f t="shared" si="1"/>
        <v>IB Secretary</v>
      </c>
      <c r="B301" s="327" t="s">
        <v>3867</v>
      </c>
      <c r="C301" s="327" t="s">
        <v>3868</v>
      </c>
      <c r="D301" s="327" t="s">
        <v>3869</v>
      </c>
    </row>
    <row r="302">
      <c r="A302" s="327" t="str">
        <f t="shared" si="1"/>
        <v>Imee Quitasol</v>
      </c>
      <c r="B302" s="327" t="s">
        <v>3870</v>
      </c>
      <c r="C302" s="327" t="s">
        <v>3871</v>
      </c>
      <c r="D302" s="327" t="s">
        <v>3873</v>
      </c>
    </row>
    <row r="303">
      <c r="A303" s="327" t="str">
        <f t="shared" si="1"/>
        <v>Imelda Devesa</v>
      </c>
      <c r="B303" s="327" t="s">
        <v>3875</v>
      </c>
      <c r="C303" s="327" t="s">
        <v>3876</v>
      </c>
      <c r="D303" s="327" t="s">
        <v>3877</v>
      </c>
    </row>
    <row r="304">
      <c r="A304" s="327" t="str">
        <f t="shared" si="1"/>
        <v>Irene Ramirez</v>
      </c>
      <c r="B304" s="327" t="s">
        <v>3879</v>
      </c>
      <c r="C304" s="327" t="s">
        <v>3880</v>
      </c>
      <c r="D304" s="327" t="s">
        <v>3882</v>
      </c>
    </row>
    <row r="305">
      <c r="A305" s="327" t="str">
        <f t="shared" si="1"/>
        <v>Irene Ilaga</v>
      </c>
      <c r="B305" s="327" t="s">
        <v>3879</v>
      </c>
      <c r="C305" s="327" t="s">
        <v>3883</v>
      </c>
      <c r="D305" s="327" t="s">
        <v>3884</v>
      </c>
    </row>
    <row r="306">
      <c r="A306" s="327" t="str">
        <f t="shared" si="1"/>
        <v>Isabelo Leopoldo</v>
      </c>
      <c r="B306" s="327" t="s">
        <v>3887</v>
      </c>
      <c r="C306" s="327" t="s">
        <v>3889</v>
      </c>
      <c r="D306" s="327" t="s">
        <v>3890</v>
      </c>
    </row>
    <row r="307">
      <c r="A307" s="327" t="str">
        <f t="shared" si="1"/>
        <v>Ivy Echano</v>
      </c>
      <c r="B307" s="327" t="s">
        <v>3891</v>
      </c>
      <c r="C307" s="327" t="s">
        <v>3892</v>
      </c>
      <c r="D307" s="327" t="s">
        <v>3893</v>
      </c>
    </row>
    <row r="308">
      <c r="A308" s="327" t="str">
        <f t="shared" si="1"/>
        <v>Jackie Mary Lynne Tullao</v>
      </c>
      <c r="B308" s="327" t="s">
        <v>3897</v>
      </c>
      <c r="C308" s="327" t="s">
        <v>3898</v>
      </c>
      <c r="D308" s="327" t="s">
        <v>3899</v>
      </c>
    </row>
    <row r="309">
      <c r="A309" s="327" t="str">
        <f t="shared" si="1"/>
        <v>Jackquero Datinguinoo</v>
      </c>
      <c r="B309" s="327" t="s">
        <v>3900</v>
      </c>
      <c r="C309" s="327" t="s">
        <v>3901</v>
      </c>
      <c r="D309" s="327" t="s">
        <v>3903</v>
      </c>
    </row>
    <row r="310">
      <c r="A310" s="327" t="str">
        <f t="shared" si="1"/>
        <v>Jahrel Tampil</v>
      </c>
      <c r="B310" s="327" t="s">
        <v>3905</v>
      </c>
      <c r="C310" s="327" t="s">
        <v>3906</v>
      </c>
      <c r="D310" s="327" t="s">
        <v>3907</v>
      </c>
    </row>
    <row r="311">
      <c r="A311" s="327" t="str">
        <f t="shared" si="1"/>
        <v>Jake Sagun</v>
      </c>
      <c r="B311" s="327" t="s">
        <v>3908</v>
      </c>
      <c r="C311" s="327" t="s">
        <v>3909</v>
      </c>
      <c r="D311" s="327" t="s">
        <v>3911</v>
      </c>
    </row>
    <row r="312">
      <c r="A312" s="327" t="str">
        <f t="shared" si="1"/>
        <v>January Gutierrez</v>
      </c>
      <c r="B312" s="327" t="s">
        <v>3913</v>
      </c>
      <c r="C312" s="327" t="s">
        <v>3914</v>
      </c>
      <c r="D312" s="327" t="s">
        <v>3915</v>
      </c>
    </row>
    <row r="313">
      <c r="A313" s="327" t="str">
        <f t="shared" si="1"/>
        <v>Jaqueline Errea</v>
      </c>
      <c r="B313" s="327" t="s">
        <v>3916</v>
      </c>
      <c r="C313" s="327" t="s">
        <v>3917</v>
      </c>
      <c r="D313" s="327" t="s">
        <v>3919</v>
      </c>
    </row>
    <row r="314">
      <c r="A314" s="327" t="str">
        <f t="shared" si="1"/>
        <v>Jasmin Amurao</v>
      </c>
      <c r="B314" s="327" t="s">
        <v>3921</v>
      </c>
      <c r="C314" s="327" t="s">
        <v>3922</v>
      </c>
      <c r="D314" s="327" t="s">
        <v>3923</v>
      </c>
    </row>
    <row r="315">
      <c r="A315" s="327" t="str">
        <f t="shared" si="1"/>
        <v>Jason Balatbat</v>
      </c>
      <c r="B315" s="327" t="s">
        <v>3924</v>
      </c>
      <c r="C315" s="327" t="s">
        <v>3925</v>
      </c>
      <c r="D315" s="327" t="s">
        <v>3926</v>
      </c>
    </row>
    <row r="316">
      <c r="A316" s="327" t="str">
        <f t="shared" si="1"/>
        <v>Jason Bugatan</v>
      </c>
      <c r="B316" s="327" t="s">
        <v>3924</v>
      </c>
      <c r="C316" s="327" t="s">
        <v>3927</v>
      </c>
      <c r="D316" s="327" t="s">
        <v>3928</v>
      </c>
    </row>
    <row r="317">
      <c r="A317" s="327" t="str">
        <f t="shared" si="1"/>
        <v>Jason Trinidad</v>
      </c>
      <c r="B317" s="327" t="s">
        <v>3924</v>
      </c>
      <c r="C317" s="327" t="s">
        <v>3407</v>
      </c>
      <c r="D317" s="327" t="s">
        <v>3929</v>
      </c>
    </row>
    <row r="318">
      <c r="A318" s="327" t="str">
        <f t="shared" si="1"/>
        <v>Jay Masangcay</v>
      </c>
      <c r="B318" s="327" t="s">
        <v>3931</v>
      </c>
      <c r="C318" s="327" t="s">
        <v>3932</v>
      </c>
      <c r="D318" s="327" t="s">
        <v>3933</v>
      </c>
    </row>
    <row r="319">
      <c r="A319" s="327" t="str">
        <f t="shared" si="1"/>
        <v>Jay Ayala</v>
      </c>
      <c r="B319" s="327" t="s">
        <v>3931</v>
      </c>
      <c r="C319" s="327" t="s">
        <v>3934</v>
      </c>
      <c r="D319" s="327" t="s">
        <v>3936</v>
      </c>
    </row>
    <row r="320">
      <c r="A320" s="327" t="str">
        <f t="shared" si="1"/>
        <v>Jay-Nieca Mercado</v>
      </c>
      <c r="B320" s="327" t="s">
        <v>3938</v>
      </c>
      <c r="C320" s="327" t="s">
        <v>3939</v>
      </c>
      <c r="D320" s="327" t="s">
        <v>3940</v>
      </c>
    </row>
    <row r="321">
      <c r="A321" s="327" t="str">
        <f t="shared" si="1"/>
        <v>Jaylou Perez</v>
      </c>
      <c r="B321" s="327" t="s">
        <v>3941</v>
      </c>
      <c r="C321" s="327" t="s">
        <v>3036</v>
      </c>
      <c r="D321" s="327" t="s">
        <v>3942</v>
      </c>
    </row>
    <row r="322">
      <c r="A322" s="327" t="str">
        <f t="shared" si="1"/>
        <v>Jaypee Gonzales</v>
      </c>
      <c r="B322" s="327" t="s">
        <v>3943</v>
      </c>
      <c r="C322" s="327" t="s">
        <v>3944</v>
      </c>
      <c r="D322" s="327" t="s">
        <v>3945</v>
      </c>
    </row>
    <row r="323">
      <c r="A323" s="327" t="str">
        <f t="shared" si="1"/>
        <v>Jayson Robellano</v>
      </c>
      <c r="B323" s="327" t="s">
        <v>3946</v>
      </c>
      <c r="C323" s="327" t="s">
        <v>3948</v>
      </c>
      <c r="D323" s="327" t="s">
        <v>3949</v>
      </c>
    </row>
    <row r="324">
      <c r="A324" s="327" t="str">
        <f t="shared" si="1"/>
        <v>Mark Jayven Poblete</v>
      </c>
      <c r="B324" s="327" t="s">
        <v>3952</v>
      </c>
      <c r="C324" s="327" t="s">
        <v>3953</v>
      </c>
      <c r="D324" s="327" t="s">
        <v>3954</v>
      </c>
    </row>
    <row r="325">
      <c r="A325" s="327" t="str">
        <f t="shared" si="1"/>
        <v>Jealyn Manalo</v>
      </c>
      <c r="B325" s="327" t="s">
        <v>3955</v>
      </c>
      <c r="C325" s="327" t="s">
        <v>3956</v>
      </c>
      <c r="D325" s="327" t="s">
        <v>3957</v>
      </c>
    </row>
    <row r="326">
      <c r="A326" s="327" t="str">
        <f t="shared" si="1"/>
        <v>Jeanel Sanchez</v>
      </c>
      <c r="B326" s="327" t="s">
        <v>3958</v>
      </c>
      <c r="C326" s="327" t="s">
        <v>3959</v>
      </c>
      <c r="D326" s="327" t="s">
        <v>3960</v>
      </c>
    </row>
    <row r="327">
      <c r="A327" s="327" t="str">
        <f t="shared" si="1"/>
        <v>Jeanie Lubis</v>
      </c>
      <c r="B327" s="327" t="s">
        <v>3961</v>
      </c>
      <c r="C327" s="327" t="s">
        <v>3962</v>
      </c>
      <c r="D327" s="327" t="s">
        <v>3963</v>
      </c>
    </row>
    <row r="328">
      <c r="A328" s="327" t="str">
        <f t="shared" si="1"/>
        <v>Jeannette Asi</v>
      </c>
      <c r="B328" s="327" t="s">
        <v>3964</v>
      </c>
      <c r="C328" s="327" t="s">
        <v>3579</v>
      </c>
      <c r="D328" s="327" t="s">
        <v>3965</v>
      </c>
    </row>
    <row r="329">
      <c r="A329" s="327" t="str">
        <f t="shared" si="1"/>
        <v>Jehnie Agorilla</v>
      </c>
      <c r="B329" s="327" t="s">
        <v>3966</v>
      </c>
      <c r="C329" s="327" t="s">
        <v>3967</v>
      </c>
      <c r="D329" s="327" t="s">
        <v>3968</v>
      </c>
    </row>
    <row r="330">
      <c r="A330" s="327" t="str">
        <f t="shared" si="1"/>
        <v>Jeline Pagdonsolan</v>
      </c>
      <c r="B330" s="327" t="s">
        <v>3969</v>
      </c>
      <c r="C330" s="327" t="s">
        <v>3970</v>
      </c>
      <c r="D330" s="327" t="s">
        <v>3971</v>
      </c>
    </row>
    <row r="331">
      <c r="A331" s="327" t="str">
        <f t="shared" si="1"/>
        <v>Jemalyn Caguicla</v>
      </c>
      <c r="B331" s="327" t="s">
        <v>3972</v>
      </c>
      <c r="C331" s="327" t="s">
        <v>3973</v>
      </c>
      <c r="D331" s="327" t="s">
        <v>3974</v>
      </c>
    </row>
    <row r="332">
      <c r="A332" s="327" t="str">
        <f t="shared" si="1"/>
        <v>Jemimah Joy Macarubbo</v>
      </c>
      <c r="B332" s="327" t="s">
        <v>3975</v>
      </c>
      <c r="C332" s="327" t="s">
        <v>3976</v>
      </c>
      <c r="D332" s="327" t="s">
        <v>3977</v>
      </c>
    </row>
    <row r="333">
      <c r="A333" s="327" t="str">
        <f t="shared" si="1"/>
        <v>Jennifer Pre</v>
      </c>
      <c r="B333" s="327" t="s">
        <v>3978</v>
      </c>
      <c r="C333" s="327" t="s">
        <v>3979</v>
      </c>
      <c r="D333" s="327" t="s">
        <v>3980</v>
      </c>
    </row>
    <row r="334">
      <c r="A334" s="327" t="str">
        <f t="shared" si="1"/>
        <v>Jennifer Hilario</v>
      </c>
      <c r="B334" s="327" t="s">
        <v>3978</v>
      </c>
      <c r="C334" s="327" t="s">
        <v>3981</v>
      </c>
      <c r="D334" s="327" t="s">
        <v>3982</v>
      </c>
    </row>
    <row r="335">
      <c r="A335" s="327" t="str">
        <f t="shared" si="1"/>
        <v>Jennifer Bajamundi</v>
      </c>
      <c r="B335" s="327" t="s">
        <v>3978</v>
      </c>
      <c r="C335" s="327" t="s">
        <v>3983</v>
      </c>
      <c r="D335" s="327" t="s">
        <v>3984</v>
      </c>
    </row>
    <row r="336">
      <c r="A336" s="327" t="str">
        <f t="shared" si="1"/>
        <v>Jennifer Tibayan</v>
      </c>
      <c r="B336" s="327" t="s">
        <v>3978</v>
      </c>
      <c r="C336" s="327" t="s">
        <v>3985</v>
      </c>
      <c r="D336" s="327" t="s">
        <v>3986</v>
      </c>
    </row>
    <row r="337">
      <c r="A337" s="327" t="str">
        <f t="shared" si="1"/>
        <v>Jenny Fonte</v>
      </c>
      <c r="B337" s="327" t="s">
        <v>3987</v>
      </c>
      <c r="C337" s="327" t="s">
        <v>3988</v>
      </c>
      <c r="D337" s="327" t="s">
        <v>3989</v>
      </c>
    </row>
    <row r="338">
      <c r="A338" s="327" t="str">
        <f t="shared" si="1"/>
        <v>Jenny Tecson</v>
      </c>
      <c r="B338" s="327" t="s">
        <v>3987</v>
      </c>
      <c r="C338" s="327" t="s">
        <v>3990</v>
      </c>
      <c r="D338" s="327" t="s">
        <v>3991</v>
      </c>
    </row>
    <row r="339">
      <c r="A339" s="327" t="str">
        <f t="shared" si="1"/>
        <v>Jermaine Rabot</v>
      </c>
      <c r="B339" s="327" t="s">
        <v>3992</v>
      </c>
      <c r="C339" s="327" t="s">
        <v>3993</v>
      </c>
      <c r="D339" s="327" t="s">
        <v>3994</v>
      </c>
    </row>
    <row r="340">
      <c r="A340" s="327" t="str">
        <f t="shared" si="1"/>
        <v>Jerome Bonifacio</v>
      </c>
      <c r="B340" s="327" t="s">
        <v>3995</v>
      </c>
      <c r="C340" s="327" t="s">
        <v>3996</v>
      </c>
      <c r="D340" s="327" t="s">
        <v>3997</v>
      </c>
    </row>
    <row r="341">
      <c r="A341" s="327" t="str">
        <f t="shared" si="1"/>
        <v>Jerry Aguilar</v>
      </c>
      <c r="B341" s="327" t="s">
        <v>3998</v>
      </c>
      <c r="C341" s="327" t="s">
        <v>3999</v>
      </c>
      <c r="D341" s="327" t="s">
        <v>4000</v>
      </c>
    </row>
    <row r="342">
      <c r="A342" s="327" t="str">
        <f t="shared" si="1"/>
        <v>Jerwin Derilo</v>
      </c>
      <c r="B342" s="327" t="s">
        <v>4001</v>
      </c>
      <c r="C342" s="327" t="s">
        <v>4002</v>
      </c>
      <c r="D342" s="327" t="s">
        <v>4003</v>
      </c>
    </row>
    <row r="343">
      <c r="A343" s="327" t="str">
        <f t="shared" si="1"/>
        <v>Jesulito Cornejo</v>
      </c>
      <c r="B343" s="327" t="s">
        <v>4004</v>
      </c>
      <c r="C343" s="327" t="s">
        <v>4005</v>
      </c>
      <c r="D343" s="327" t="s">
        <v>4006</v>
      </c>
    </row>
    <row r="344">
      <c r="A344" s="327" t="str">
        <f t="shared" si="1"/>
        <v>Jesus Rafael Canlas</v>
      </c>
      <c r="B344" s="327" t="s">
        <v>4007</v>
      </c>
      <c r="C344" s="327" t="s">
        <v>4008</v>
      </c>
      <c r="D344" s="327" t="s">
        <v>4009</v>
      </c>
    </row>
    <row r="345">
      <c r="A345" s="327" t="str">
        <f t="shared" si="1"/>
        <v>Jesusa Alulod</v>
      </c>
      <c r="B345" s="327" t="s">
        <v>4010</v>
      </c>
      <c r="C345" s="327" t="s">
        <v>4011</v>
      </c>
      <c r="D345" s="327" t="s">
        <v>4012</v>
      </c>
    </row>
    <row r="346">
      <c r="A346" s="327" t="str">
        <f t="shared" si="1"/>
        <v>Jesyl Origen Yague</v>
      </c>
      <c r="B346" s="327" t="s">
        <v>4013</v>
      </c>
      <c r="C346" s="327" t="s">
        <v>3228</v>
      </c>
      <c r="D346" s="327" t="s">
        <v>4014</v>
      </c>
    </row>
    <row r="347">
      <c r="A347" s="327" t="str">
        <f t="shared" si="1"/>
        <v>Jhun Lerry Tayan</v>
      </c>
      <c r="B347" s="327" t="s">
        <v>4015</v>
      </c>
      <c r="C347" s="327" t="s">
        <v>4016</v>
      </c>
      <c r="D347" s="327" t="s">
        <v>4017</v>
      </c>
    </row>
    <row r="348">
      <c r="A348" s="327" t="str">
        <f t="shared" si="1"/>
        <v>Jhun Paul Arana</v>
      </c>
      <c r="B348" s="327" t="s">
        <v>4018</v>
      </c>
      <c r="C348" s="327" t="s">
        <v>4019</v>
      </c>
      <c r="D348" s="327" t="s">
        <v>4020</v>
      </c>
    </row>
    <row r="349">
      <c r="A349" s="327" t="str">
        <f t="shared" si="1"/>
        <v>Jhunnie Ann May Balajadia</v>
      </c>
      <c r="B349" s="327" t="s">
        <v>4021</v>
      </c>
      <c r="C349" s="327" t="s">
        <v>4022</v>
      </c>
      <c r="D349" s="327" t="s">
        <v>4023</v>
      </c>
    </row>
    <row r="350">
      <c r="A350" s="327" t="str">
        <f t="shared" si="1"/>
        <v>Jimmu Mediavillo</v>
      </c>
      <c r="B350" s="327" t="s">
        <v>4024</v>
      </c>
      <c r="C350" s="327" t="s">
        <v>4025</v>
      </c>
      <c r="D350" s="327" t="s">
        <v>4026</v>
      </c>
    </row>
    <row r="351">
      <c r="A351" s="327" t="str">
        <f t="shared" si="1"/>
        <v>Jin Zhanjuan</v>
      </c>
      <c r="B351" s="327" t="s">
        <v>4027</v>
      </c>
      <c r="C351" s="327" t="s">
        <v>4028</v>
      </c>
      <c r="D351" s="327" t="s">
        <v>4029</v>
      </c>
    </row>
    <row r="352">
      <c r="A352" s="327" t="str">
        <f t="shared" si="1"/>
        <v>Jirah Porras</v>
      </c>
      <c r="B352" s="327" t="s">
        <v>4030</v>
      </c>
      <c r="C352" s="327" t="s">
        <v>4031</v>
      </c>
      <c r="D352" s="327" t="s">
        <v>4032</v>
      </c>
    </row>
    <row r="353">
      <c r="A353" s="327" t="str">
        <f t="shared" si="1"/>
        <v>Joan Mariel De Castro</v>
      </c>
      <c r="B353" s="327" t="s">
        <v>4033</v>
      </c>
      <c r="C353" s="327" t="s">
        <v>4034</v>
      </c>
      <c r="D353" s="327" t="s">
        <v>4035</v>
      </c>
    </row>
    <row r="354">
      <c r="A354" s="327" t="str">
        <f t="shared" si="1"/>
        <v>Joana Marie Gajardo</v>
      </c>
      <c r="B354" s="327" t="s">
        <v>4036</v>
      </c>
      <c r="C354" s="327" t="s">
        <v>4037</v>
      </c>
      <c r="D354" s="327" t="s">
        <v>4038</v>
      </c>
    </row>
    <row r="355">
      <c r="A355" s="327" t="str">
        <f t="shared" si="1"/>
        <v>Joanne Miranda</v>
      </c>
      <c r="B355" s="327" t="s">
        <v>4039</v>
      </c>
      <c r="C355" s="327" t="s">
        <v>4040</v>
      </c>
      <c r="D355" s="327" t="s">
        <v>4041</v>
      </c>
    </row>
    <row r="356">
      <c r="A356" s="327" t="str">
        <f t="shared" si="1"/>
        <v>Joanne Mae Martizano</v>
      </c>
      <c r="B356" s="327" t="s">
        <v>4042</v>
      </c>
      <c r="C356" s="327" t="s">
        <v>4043</v>
      </c>
      <c r="D356" s="327" t="s">
        <v>4044</v>
      </c>
    </row>
    <row r="357">
      <c r="A357" s="327" t="str">
        <f t="shared" si="1"/>
        <v>Jocelyn Tizon</v>
      </c>
      <c r="B357" s="327" t="s">
        <v>4045</v>
      </c>
      <c r="C357" s="327" t="s">
        <v>4046</v>
      </c>
      <c r="D357" s="327" t="s">
        <v>4047</v>
      </c>
    </row>
    <row r="358">
      <c r="A358" s="327" t="str">
        <f t="shared" si="1"/>
        <v>Joebert Pagdato</v>
      </c>
      <c r="B358" s="327" t="s">
        <v>4048</v>
      </c>
      <c r="C358" s="327" t="s">
        <v>4049</v>
      </c>
      <c r="D358" s="327" t="s">
        <v>4050</v>
      </c>
    </row>
    <row r="359">
      <c r="A359" s="327" t="str">
        <f t="shared" si="1"/>
        <v>Joey Reboredo</v>
      </c>
      <c r="B359" s="327" t="s">
        <v>4051</v>
      </c>
      <c r="C359" s="327" t="s">
        <v>4052</v>
      </c>
      <c r="D359" s="327" t="s">
        <v>4053</v>
      </c>
    </row>
    <row r="360">
      <c r="A360" s="327" t="str">
        <f t="shared" si="1"/>
        <v>John Chan</v>
      </c>
      <c r="B360" s="327" t="s">
        <v>4054</v>
      </c>
      <c r="C360" s="327" t="s">
        <v>4055</v>
      </c>
      <c r="D360" s="327" t="s">
        <v>4056</v>
      </c>
    </row>
    <row r="361">
      <c r="A361" s="327" t="str">
        <f t="shared" si="1"/>
        <v>John Wraith</v>
      </c>
      <c r="B361" s="327" t="s">
        <v>4054</v>
      </c>
      <c r="C361" s="327" t="s">
        <v>4057</v>
      </c>
      <c r="D361" s="327" t="s">
        <v>4058</v>
      </c>
    </row>
    <row r="362">
      <c r="A362" s="327" t="str">
        <f t="shared" si="1"/>
        <v>John Christian Escamillas</v>
      </c>
      <c r="B362" s="327" t="s">
        <v>4059</v>
      </c>
      <c r="C362" s="327" t="s">
        <v>4060</v>
      </c>
      <c r="D362" s="327" t="s">
        <v>4061</v>
      </c>
    </row>
    <row r="363">
      <c r="A363" s="327" t="str">
        <f t="shared" si="1"/>
        <v>John George Pastor</v>
      </c>
      <c r="B363" s="327" t="s">
        <v>4062</v>
      </c>
      <c r="C363" s="327" t="s">
        <v>4063</v>
      </c>
      <c r="D363" s="327" t="s">
        <v>4064</v>
      </c>
    </row>
    <row r="364">
      <c r="A364" s="327" t="str">
        <f t="shared" si="1"/>
        <v>John Henry Balaoro</v>
      </c>
      <c r="B364" s="327" t="s">
        <v>4065</v>
      </c>
      <c r="C364" s="327" t="s">
        <v>4066</v>
      </c>
      <c r="D364" s="327" t="s">
        <v>4067</v>
      </c>
    </row>
    <row r="365">
      <c r="A365" s="327" t="str">
        <f t="shared" si="1"/>
        <v>John Kenny Benosa</v>
      </c>
      <c r="B365" s="327" t="s">
        <v>4068</v>
      </c>
      <c r="C365" s="327" t="s">
        <v>4069</v>
      </c>
      <c r="D365" s="327" t="s">
        <v>4070</v>
      </c>
    </row>
    <row r="366">
      <c r="A366" s="327" t="str">
        <f t="shared" si="1"/>
        <v>John Michael Manansala</v>
      </c>
      <c r="B366" s="327" t="s">
        <v>4071</v>
      </c>
      <c r="C366" s="327" t="s">
        <v>4072</v>
      </c>
      <c r="D366" s="327" t="s">
        <v>4073</v>
      </c>
    </row>
    <row r="367">
      <c r="A367" s="327" t="str">
        <f t="shared" si="1"/>
        <v>John Paul Ragot</v>
      </c>
      <c r="B367" s="327" t="s">
        <v>4074</v>
      </c>
      <c r="C367" s="327" t="s">
        <v>4075</v>
      </c>
      <c r="D367" s="327" t="s">
        <v>4076</v>
      </c>
    </row>
    <row r="368">
      <c r="A368" s="327" t="str">
        <f t="shared" si="1"/>
        <v>John Philip Napal</v>
      </c>
      <c r="B368" s="327" t="s">
        <v>4077</v>
      </c>
      <c r="C368" s="327" t="s">
        <v>4078</v>
      </c>
      <c r="D368" s="327" t="s">
        <v>4079</v>
      </c>
    </row>
    <row r="369">
      <c r="A369" s="327" t="str">
        <f t="shared" si="1"/>
        <v>John Rod Balagtas</v>
      </c>
      <c r="B369" s="327" t="s">
        <v>4080</v>
      </c>
      <c r="C369" s="327" t="s">
        <v>4081</v>
      </c>
      <c r="D369" s="327" t="s">
        <v>4082</v>
      </c>
    </row>
    <row r="370">
      <c r="A370" s="327" t="str">
        <f t="shared" si="1"/>
        <v>John Wraith IBDPC</v>
      </c>
      <c r="B370" s="327" t="s">
        <v>4083</v>
      </c>
      <c r="C370" s="327" t="s">
        <v>4084</v>
      </c>
      <c r="D370" s="327" t="s">
        <v>4085</v>
      </c>
    </row>
    <row r="371">
      <c r="A371" s="327" t="str">
        <f t="shared" si="1"/>
        <v>Joie Iryll Balmes</v>
      </c>
      <c r="B371" s="327" t="s">
        <v>4086</v>
      </c>
      <c r="C371" s="327" t="s">
        <v>4087</v>
      </c>
      <c r="D371" s="327" t="s">
        <v>4089</v>
      </c>
    </row>
    <row r="372">
      <c r="A372" s="327" t="str">
        <f t="shared" si="1"/>
        <v>Joji Dela Pena</v>
      </c>
      <c r="B372" s="327" t="s">
        <v>4092</v>
      </c>
      <c r="C372" s="327" t="s">
        <v>4093</v>
      </c>
      <c r="D372" s="327" t="s">
        <v>4094</v>
      </c>
    </row>
    <row r="373">
      <c r="A373" s="327" t="str">
        <f t="shared" si="1"/>
        <v>Jojo T</v>
      </c>
      <c r="B373" s="327" t="s">
        <v>4095</v>
      </c>
      <c r="C373" s="327" t="s">
        <v>4096</v>
      </c>
      <c r="D373" s="327" t="s">
        <v>4097</v>
      </c>
    </row>
    <row r="374">
      <c r="A374" s="327" t="str">
        <f t="shared" si="1"/>
        <v>Jojo Custudio</v>
      </c>
      <c r="B374" s="327" t="s">
        <v>4095</v>
      </c>
      <c r="C374" s="327" t="s">
        <v>4098</v>
      </c>
      <c r="D374" s="327" t="s">
        <v>4100</v>
      </c>
    </row>
    <row r="375">
      <c r="A375" s="327" t="str">
        <f t="shared" si="1"/>
        <v>Jomar Aranilla</v>
      </c>
      <c r="B375" s="327" t="s">
        <v>4102</v>
      </c>
      <c r="C375" s="327" t="s">
        <v>4103</v>
      </c>
      <c r="D375" s="327" t="s">
        <v>4104</v>
      </c>
    </row>
    <row r="376">
      <c r="A376" s="327" t="str">
        <f t="shared" si="1"/>
        <v>Jonamae Ampong</v>
      </c>
      <c r="B376" s="327" t="s">
        <v>4105</v>
      </c>
      <c r="C376" s="327" t="s">
        <v>4106</v>
      </c>
      <c r="D376" s="327" t="s">
        <v>4107</v>
      </c>
    </row>
    <row r="377">
      <c r="A377" s="327" t="str">
        <f t="shared" si="1"/>
        <v>Jonathan Villaluz</v>
      </c>
      <c r="B377" s="327" t="s">
        <v>4108</v>
      </c>
      <c r="C377" s="327" t="s">
        <v>4109</v>
      </c>
      <c r="D377" s="327" t="s">
        <v>4111</v>
      </c>
    </row>
    <row r="378">
      <c r="A378" s="327" t="str">
        <f t="shared" si="1"/>
        <v>Jonathan Borja</v>
      </c>
      <c r="B378" s="327" t="s">
        <v>4108</v>
      </c>
      <c r="C378" s="327" t="s">
        <v>3449</v>
      </c>
      <c r="D378" s="327" t="s">
        <v>4113</v>
      </c>
    </row>
    <row r="379">
      <c r="A379" s="327" t="str">
        <f t="shared" si="1"/>
        <v>Joralyn Casis</v>
      </c>
      <c r="B379" s="327" t="s">
        <v>4114</v>
      </c>
      <c r="C379" s="327" t="s">
        <v>4115</v>
      </c>
      <c r="D379" s="327" t="s">
        <v>4116</v>
      </c>
    </row>
    <row r="380">
      <c r="A380" s="327" t="str">
        <f t="shared" si="1"/>
        <v>Joratio Jose Nuyda</v>
      </c>
      <c r="B380" s="327" t="s">
        <v>4117</v>
      </c>
      <c r="C380" s="327" t="s">
        <v>4118</v>
      </c>
      <c r="D380" s="327" t="s">
        <v>4119</v>
      </c>
    </row>
    <row r="381">
      <c r="A381" s="327" t="str">
        <f t="shared" si="1"/>
        <v>Jose Longasa</v>
      </c>
      <c r="B381" s="327" t="s">
        <v>4122</v>
      </c>
      <c r="C381" s="327" t="s">
        <v>4123</v>
      </c>
      <c r="D381" s="327" t="s">
        <v>4124</v>
      </c>
    </row>
    <row r="382">
      <c r="A382" s="327" t="str">
        <f t="shared" si="1"/>
        <v>Jose Reyes</v>
      </c>
      <c r="B382" s="327" t="s">
        <v>4122</v>
      </c>
      <c r="C382" s="327" t="s">
        <v>3431</v>
      </c>
      <c r="D382" s="327" t="s">
        <v>4125</v>
      </c>
    </row>
    <row r="383">
      <c r="A383" s="327" t="str">
        <f t="shared" si="1"/>
        <v>Jose Nestor Guevara II</v>
      </c>
      <c r="B383" s="327" t="s">
        <v>4126</v>
      </c>
      <c r="C383" s="327" t="s">
        <v>4127</v>
      </c>
      <c r="D383" s="327" t="s">
        <v>4128</v>
      </c>
    </row>
    <row r="384">
      <c r="A384" s="327" t="str">
        <f t="shared" si="1"/>
        <v>Josellie Opao</v>
      </c>
      <c r="B384" s="327" t="s">
        <v>4131</v>
      </c>
      <c r="C384" s="327" t="s">
        <v>4132</v>
      </c>
      <c r="D384" s="327" t="s">
        <v>4133</v>
      </c>
    </row>
    <row r="385">
      <c r="A385" s="327" t="str">
        <f t="shared" si="1"/>
        <v>Joseph Cipriano</v>
      </c>
      <c r="B385" s="327" t="s">
        <v>4134</v>
      </c>
      <c r="C385" s="327" t="s">
        <v>4135</v>
      </c>
      <c r="D385" s="327" t="s">
        <v>4136</v>
      </c>
    </row>
    <row r="386">
      <c r="A386" s="327" t="str">
        <f t="shared" si="1"/>
        <v>Joseph Aristole Gregorio</v>
      </c>
      <c r="B386" s="327" t="s">
        <v>4137</v>
      </c>
      <c r="C386" s="327" t="s">
        <v>4138</v>
      </c>
      <c r="D386" s="327" t="s">
        <v>4139</v>
      </c>
    </row>
    <row r="387">
      <c r="A387" s="327" t="str">
        <f t="shared" si="1"/>
        <v>Joseph Nicolai Gabriel</v>
      </c>
      <c r="B387" s="327" t="s">
        <v>4141</v>
      </c>
      <c r="C387" s="327" t="s">
        <v>4142</v>
      </c>
      <c r="D387" s="327" t="s">
        <v>4143</v>
      </c>
    </row>
    <row r="388">
      <c r="A388" s="327" t="str">
        <f t="shared" si="1"/>
        <v>Josephine Rogelio</v>
      </c>
      <c r="B388" s="327" t="s">
        <v>4144</v>
      </c>
      <c r="C388" s="327" t="s">
        <v>4145</v>
      </c>
      <c r="D388" s="327" t="s">
        <v>4146</v>
      </c>
    </row>
    <row r="389">
      <c r="A389" s="327" t="str">
        <f t="shared" si="1"/>
        <v>Josephine Dela Pena</v>
      </c>
      <c r="B389" s="327" t="s">
        <v>4144</v>
      </c>
      <c r="C389" s="327" t="s">
        <v>4093</v>
      </c>
      <c r="D389" s="327" t="s">
        <v>4149</v>
      </c>
    </row>
    <row r="390">
      <c r="A390" s="327" t="str">
        <f t="shared" si="1"/>
        <v>Josephine Petin</v>
      </c>
      <c r="B390" s="327" t="s">
        <v>4144</v>
      </c>
      <c r="C390" s="327" t="s">
        <v>4150</v>
      </c>
      <c r="D390" s="327" t="s">
        <v>4151</v>
      </c>
    </row>
    <row r="391">
      <c r="A391" s="327" t="str">
        <f t="shared" si="1"/>
        <v>Jovenil Sacop</v>
      </c>
      <c r="B391" s="327" t="s">
        <v>4152</v>
      </c>
      <c r="C391" s="327" t="s">
        <v>4153</v>
      </c>
      <c r="D391" s="327" t="s">
        <v>4154</v>
      </c>
    </row>
    <row r="392">
      <c r="A392" s="327" t="str">
        <f t="shared" si="1"/>
        <v>Jovit Mantala</v>
      </c>
      <c r="B392" s="327" t="s">
        <v>4155</v>
      </c>
      <c r="C392" s="327" t="s">
        <v>4157</v>
      </c>
      <c r="D392" s="327" t="s">
        <v>4158</v>
      </c>
    </row>
    <row r="393">
      <c r="A393" s="327" t="str">
        <f t="shared" si="1"/>
        <v>Jovit John Troy Clutario</v>
      </c>
      <c r="B393" s="327" t="s">
        <v>4160</v>
      </c>
      <c r="C393" s="327" t="s">
        <v>4161</v>
      </c>
      <c r="D393" s="327" t="s">
        <v>4162</v>
      </c>
    </row>
    <row r="394">
      <c r="A394" s="327" t="str">
        <f t="shared" si="1"/>
        <v>Joy Oracion</v>
      </c>
      <c r="B394" s="327" t="s">
        <v>4163</v>
      </c>
      <c r="C394" s="327" t="s">
        <v>4164</v>
      </c>
      <c r="D394" s="327" t="s">
        <v>4165</v>
      </c>
    </row>
    <row r="395">
      <c r="A395" s="327" t="str">
        <f t="shared" si="1"/>
        <v>Joy Aben</v>
      </c>
      <c r="B395" s="327" t="s">
        <v>4163</v>
      </c>
      <c r="C395" s="327" t="s">
        <v>4166</v>
      </c>
      <c r="D395" s="327" t="s">
        <v>4167</v>
      </c>
    </row>
    <row r="396">
      <c r="A396" s="327" t="str">
        <f t="shared" si="1"/>
        <v>Joyce Tubo</v>
      </c>
      <c r="B396" s="327" t="s">
        <v>4169</v>
      </c>
      <c r="C396" s="327" t="s">
        <v>4171</v>
      </c>
      <c r="D396" s="327" t="s">
        <v>4173</v>
      </c>
    </row>
    <row r="397">
      <c r="A397" s="327" t="str">
        <f t="shared" si="1"/>
        <v>Joyce Ann Ladra</v>
      </c>
      <c r="B397" s="327" t="s">
        <v>4174</v>
      </c>
      <c r="C397" s="327" t="s">
        <v>4175</v>
      </c>
      <c r="D397" s="327" t="s">
        <v>4176</v>
      </c>
    </row>
    <row r="398">
      <c r="A398" s="327" t="str">
        <f t="shared" si="1"/>
        <v>Jozen Caliwagan</v>
      </c>
      <c r="B398" s="327" t="s">
        <v>4177</v>
      </c>
      <c r="C398" s="327" t="s">
        <v>4178</v>
      </c>
      <c r="D398" s="327" t="s">
        <v>4179</v>
      </c>
    </row>
    <row r="399">
      <c r="A399" s="327" t="str">
        <f t="shared" si="1"/>
        <v>Jude Justino Agsalon</v>
      </c>
      <c r="B399" s="327" t="s">
        <v>4180</v>
      </c>
      <c r="C399" s="327" t="s">
        <v>4181</v>
      </c>
      <c r="D399" s="327" t="s">
        <v>4183</v>
      </c>
    </row>
    <row r="400">
      <c r="A400" s="327" t="str">
        <f t="shared" si="1"/>
        <v>Jude Russel Cuntapay</v>
      </c>
      <c r="B400" s="327" t="s">
        <v>4185</v>
      </c>
      <c r="C400" s="327" t="s">
        <v>4186</v>
      </c>
      <c r="D400" s="327" t="s">
        <v>4187</v>
      </c>
    </row>
    <row r="401">
      <c r="A401" s="327" t="str">
        <f t="shared" si="1"/>
        <v>Judy Arguelles</v>
      </c>
      <c r="B401" s="327" t="s">
        <v>4188</v>
      </c>
      <c r="C401" s="327" t="s">
        <v>4189</v>
      </c>
      <c r="D401" s="327" t="s">
        <v>4190</v>
      </c>
    </row>
    <row r="402">
      <c r="A402" s="327" t="str">
        <f t="shared" si="1"/>
        <v>Judy Mariel Barja</v>
      </c>
      <c r="B402" s="327" t="s">
        <v>4191</v>
      </c>
      <c r="C402" s="327" t="s">
        <v>4192</v>
      </c>
      <c r="D402" s="327" t="s">
        <v>4193</v>
      </c>
    </row>
    <row r="403">
      <c r="A403" s="327" t="str">
        <f t="shared" si="1"/>
        <v>Juli-Ann Alonso</v>
      </c>
      <c r="B403" s="327" t="s">
        <v>4195</v>
      </c>
      <c r="C403" s="327" t="s">
        <v>4197</v>
      </c>
      <c r="D403" s="327" t="s">
        <v>4198</v>
      </c>
    </row>
    <row r="404">
      <c r="A404" s="327" t="str">
        <f t="shared" si="1"/>
        <v>Julian Antonio Laspona</v>
      </c>
      <c r="B404" s="327" t="s">
        <v>4199</v>
      </c>
      <c r="C404" s="327" t="s">
        <v>4200</v>
      </c>
      <c r="D404" s="327" t="s">
        <v>4201</v>
      </c>
    </row>
    <row r="405">
      <c r="A405" s="327" t="str">
        <f t="shared" si="1"/>
        <v>Julien Friedel</v>
      </c>
      <c r="B405" s="327" t="s">
        <v>4202</v>
      </c>
      <c r="C405" s="327" t="s">
        <v>4203</v>
      </c>
      <c r="D405" s="327" t="s">
        <v>4204</v>
      </c>
    </row>
    <row r="406">
      <c r="A406" s="327" t="str">
        <f t="shared" si="1"/>
        <v>Juliet Kilapkilap</v>
      </c>
      <c r="B406" s="327" t="s">
        <v>4205</v>
      </c>
      <c r="C406" s="327" t="s">
        <v>3792</v>
      </c>
      <c r="D406" s="327" t="s">
        <v>4206</v>
      </c>
    </row>
    <row r="407">
      <c r="A407" s="327" t="str">
        <f t="shared" si="1"/>
        <v>Julieta Catungal</v>
      </c>
      <c r="B407" s="327" t="s">
        <v>4207</v>
      </c>
      <c r="C407" s="327" t="s">
        <v>4208</v>
      </c>
      <c r="D407" s="327" t="s">
        <v>4209</v>
      </c>
    </row>
    <row r="408">
      <c r="A408" s="327" t="str">
        <f t="shared" si="1"/>
        <v>Julius Anthony Segovia</v>
      </c>
      <c r="B408" s="327" t="s">
        <v>4210</v>
      </c>
      <c r="C408" s="327" t="s">
        <v>4211</v>
      </c>
      <c r="D408" s="327" t="s">
        <v>4212</v>
      </c>
    </row>
    <row r="409">
      <c r="A409" s="327" t="str">
        <f t="shared" si="1"/>
        <v>Jully Belle Carman</v>
      </c>
      <c r="B409" s="327" t="s">
        <v>4213</v>
      </c>
      <c r="C409" s="327" t="s">
        <v>4214</v>
      </c>
      <c r="D409" s="327" t="s">
        <v>4215</v>
      </c>
    </row>
    <row r="410">
      <c r="A410" s="327" t="str">
        <f t="shared" si="1"/>
        <v>Junessa Lumbres</v>
      </c>
      <c r="B410" s="327" t="s">
        <v>4216</v>
      </c>
      <c r="C410" s="327" t="s">
        <v>4217</v>
      </c>
      <c r="D410" s="327" t="s">
        <v>4218</v>
      </c>
    </row>
    <row r="411">
      <c r="A411" s="327" t="str">
        <f t="shared" si="1"/>
        <v>Juvelyn Detalla</v>
      </c>
      <c r="B411" s="327" t="s">
        <v>4219</v>
      </c>
      <c r="C411" s="327" t="s">
        <v>4220</v>
      </c>
      <c r="D411" s="327" t="s">
        <v>4221</v>
      </c>
    </row>
    <row r="412">
      <c r="A412" s="327" t="str">
        <f t="shared" si="1"/>
        <v>Juvy Celestial</v>
      </c>
      <c r="B412" s="327" t="s">
        <v>4222</v>
      </c>
      <c r="C412" s="327" t="s">
        <v>4223</v>
      </c>
      <c r="D412" s="327" t="s">
        <v>4224</v>
      </c>
    </row>
    <row r="413">
      <c r="A413" s="327" t="str">
        <f t="shared" si="1"/>
        <v>Kamille Gamaya</v>
      </c>
      <c r="B413" s="327" t="s">
        <v>4225</v>
      </c>
      <c r="C413" s="327" t="s">
        <v>4226</v>
      </c>
      <c r="D413" s="327" t="s">
        <v>4227</v>
      </c>
    </row>
    <row r="414">
      <c r="A414" s="327" t="str">
        <f t="shared" si="1"/>
        <v>Kareen Quindoza</v>
      </c>
      <c r="B414" s="327" t="s">
        <v>4228</v>
      </c>
      <c r="C414" s="327" t="s">
        <v>4229</v>
      </c>
      <c r="D414" s="327" t="s">
        <v>4230</v>
      </c>
    </row>
    <row r="415">
      <c r="A415" s="327" t="str">
        <f t="shared" si="1"/>
        <v>Karen Africano</v>
      </c>
      <c r="B415" s="327" t="s">
        <v>4231</v>
      </c>
      <c r="C415" s="327" t="s">
        <v>4232</v>
      </c>
      <c r="D415" s="327" t="s">
        <v>4233</v>
      </c>
    </row>
    <row r="416">
      <c r="A416" s="327" t="str">
        <f t="shared" si="1"/>
        <v>Karen Landicho</v>
      </c>
      <c r="B416" s="327" t="s">
        <v>4231</v>
      </c>
      <c r="C416" s="327" t="s">
        <v>4234</v>
      </c>
      <c r="D416" s="327" t="s">
        <v>4235</v>
      </c>
    </row>
    <row r="417">
      <c r="A417" s="327" t="str">
        <f t="shared" si="1"/>
        <v>Karen Leyson</v>
      </c>
      <c r="B417" s="327" t="s">
        <v>4231</v>
      </c>
      <c r="C417" s="327" t="s">
        <v>4236</v>
      </c>
      <c r="D417" s="327" t="s">
        <v>4237</v>
      </c>
    </row>
    <row r="418">
      <c r="A418" s="327" t="str">
        <f t="shared" si="1"/>
        <v>Karen Joy Intano</v>
      </c>
      <c r="B418" s="327" t="s">
        <v>4238</v>
      </c>
      <c r="C418" s="327" t="s">
        <v>4239</v>
      </c>
      <c r="D418" s="327" t="s">
        <v>4240</v>
      </c>
    </row>
    <row r="419">
      <c r="A419" s="327" t="str">
        <f t="shared" si="1"/>
        <v>Karl Cole Velhagen</v>
      </c>
      <c r="B419" s="327" t="s">
        <v>4241</v>
      </c>
      <c r="C419" s="327" t="s">
        <v>4242</v>
      </c>
      <c r="D419" s="327" t="s">
        <v>4243</v>
      </c>
    </row>
    <row r="420">
      <c r="A420" s="327" t="str">
        <f t="shared" si="1"/>
        <v>Karla Mae Lumaad</v>
      </c>
      <c r="B420" s="327" t="s">
        <v>4244</v>
      </c>
      <c r="C420" s="327" t="s">
        <v>4245</v>
      </c>
      <c r="D420" s="327" t="s">
        <v>4246</v>
      </c>
    </row>
    <row r="421">
      <c r="A421" s="327" t="str">
        <f t="shared" si="1"/>
        <v>Karlo May Portento</v>
      </c>
      <c r="B421" s="327" t="s">
        <v>4247</v>
      </c>
      <c r="C421" s="327" t="s">
        <v>4248</v>
      </c>
      <c r="D421" s="327" t="s">
        <v>4249</v>
      </c>
    </row>
    <row r="422">
      <c r="A422" s="327" t="str">
        <f t="shared" si="1"/>
        <v>Karren Napal</v>
      </c>
      <c r="B422" s="327" t="s">
        <v>4250</v>
      </c>
      <c r="C422" s="327" t="s">
        <v>4078</v>
      </c>
      <c r="D422" s="327" t="s">
        <v>4251</v>
      </c>
    </row>
    <row r="423">
      <c r="A423" s="327" t="str">
        <f t="shared" si="1"/>
        <v>Katelyn Tapel</v>
      </c>
      <c r="B423" s="327" t="s">
        <v>4252</v>
      </c>
      <c r="C423" s="327" t="s">
        <v>4253</v>
      </c>
      <c r="D423" s="327" t="s">
        <v>4254</v>
      </c>
    </row>
    <row r="424">
      <c r="A424" s="327" t="str">
        <f t="shared" si="1"/>
        <v>Katherine Corona</v>
      </c>
      <c r="B424" s="327" t="s">
        <v>4255</v>
      </c>
      <c r="C424" s="327" t="s">
        <v>4256</v>
      </c>
      <c r="D424" s="327" t="s">
        <v>4257</v>
      </c>
    </row>
    <row r="425">
      <c r="A425" s="327" t="str">
        <f t="shared" si="1"/>
        <v>Kathrina Santos</v>
      </c>
      <c r="B425" s="327" t="s">
        <v>4258</v>
      </c>
      <c r="C425" s="327" t="s">
        <v>3107</v>
      </c>
      <c r="D425" s="327" t="s">
        <v>4259</v>
      </c>
    </row>
    <row r="426">
      <c r="A426" s="327" t="str">
        <f t="shared" si="1"/>
        <v>Katricia Leonardo</v>
      </c>
      <c r="B426" s="327" t="s">
        <v>4260</v>
      </c>
      <c r="C426" s="327" t="s">
        <v>4261</v>
      </c>
      <c r="D426" s="327" t="s">
        <v>4262</v>
      </c>
    </row>
    <row r="427">
      <c r="A427" s="327" t="str">
        <f t="shared" si="1"/>
        <v>Katrina Malabanan</v>
      </c>
      <c r="B427" s="327" t="s">
        <v>4263</v>
      </c>
      <c r="C427" s="327" t="s">
        <v>4264</v>
      </c>
      <c r="D427" s="327" t="s">
        <v>4265</v>
      </c>
    </row>
    <row r="428">
      <c r="A428" s="327" t="str">
        <f t="shared" si="1"/>
        <v>Katrina Tubiano</v>
      </c>
      <c r="B428" s="327" t="s">
        <v>4263</v>
      </c>
      <c r="C428" s="327" t="s">
        <v>4266</v>
      </c>
      <c r="D428" s="327" t="s">
        <v>4267</v>
      </c>
    </row>
    <row r="429">
      <c r="A429" s="327" t="str">
        <f t="shared" si="1"/>
        <v>Katrina Correa</v>
      </c>
      <c r="B429" s="327" t="s">
        <v>4263</v>
      </c>
      <c r="C429" s="327" t="s">
        <v>4268</v>
      </c>
      <c r="D429" s="327" t="s">
        <v>4269</v>
      </c>
    </row>
    <row r="430">
      <c r="A430" s="327" t="str">
        <f t="shared" si="1"/>
        <v>Katrina Mariz Malabanan</v>
      </c>
      <c r="B430" s="327" t="s">
        <v>4270</v>
      </c>
      <c r="C430" s="327" t="s">
        <v>4264</v>
      </c>
      <c r="D430" s="327" t="s">
        <v>4271</v>
      </c>
    </row>
    <row r="431">
      <c r="A431" s="327" t="str">
        <f t="shared" si="1"/>
        <v>Keifer Hernandez</v>
      </c>
      <c r="B431" s="327" t="s">
        <v>4272</v>
      </c>
      <c r="C431" s="327" t="s">
        <v>3777</v>
      </c>
      <c r="D431" s="327" t="s">
        <v>4273</v>
      </c>
    </row>
    <row r="432">
      <c r="A432" s="327" t="str">
        <f t="shared" si="1"/>
        <v>Kenji Janssen Ronquillo</v>
      </c>
      <c r="B432" s="327" t="s">
        <v>4274</v>
      </c>
      <c r="C432" s="327" t="s">
        <v>4275</v>
      </c>
      <c r="D432" s="327" t="s">
        <v>4276</v>
      </c>
    </row>
    <row r="433">
      <c r="A433" s="327" t="str">
        <f t="shared" si="1"/>
        <v>Kezia Jillian Viray</v>
      </c>
      <c r="B433" s="327" t="s">
        <v>4277</v>
      </c>
      <c r="C433" s="327" t="s">
        <v>4278</v>
      </c>
      <c r="D433" s="327" t="s">
        <v>4279</v>
      </c>
    </row>
    <row r="434">
      <c r="A434" s="327" t="str">
        <f t="shared" si="1"/>
        <v>Khristine Angelica Santos</v>
      </c>
      <c r="B434" s="327" t="s">
        <v>4281</v>
      </c>
      <c r="C434" s="327" t="s">
        <v>3107</v>
      </c>
      <c r="D434" s="327" t="s">
        <v>4284</v>
      </c>
    </row>
    <row r="435">
      <c r="A435" s="327" t="str">
        <f t="shared" si="1"/>
        <v>Kim Magallon</v>
      </c>
      <c r="B435" s="327" t="s">
        <v>4285</v>
      </c>
      <c r="C435" s="327" t="s">
        <v>4286</v>
      </c>
      <c r="D435" s="327" t="s">
        <v>4287</v>
      </c>
    </row>
    <row r="436">
      <c r="A436" s="327" t="str">
        <f t="shared" si="1"/>
        <v>Kimberley Pedge</v>
      </c>
      <c r="B436" s="327" t="s">
        <v>4288</v>
      </c>
      <c r="C436" s="327" t="s">
        <v>4290</v>
      </c>
      <c r="D436" s="327" t="s">
        <v>4291</v>
      </c>
    </row>
    <row r="437">
      <c r="A437" s="327" t="str">
        <f t="shared" si="1"/>
        <v>Kimberly Favor</v>
      </c>
      <c r="B437" s="327" t="s">
        <v>4293</v>
      </c>
      <c r="C437" s="327" t="s">
        <v>4294</v>
      </c>
      <c r="D437" s="327" t="s">
        <v>4295</v>
      </c>
    </row>
    <row r="438">
      <c r="A438" s="327" t="str">
        <f t="shared" si="1"/>
        <v>King Paul Autor</v>
      </c>
      <c r="B438" s="327" t="s">
        <v>4296</v>
      </c>
      <c r="C438" s="327" t="s">
        <v>4297</v>
      </c>
      <c r="D438" s="327" t="s">
        <v>4298</v>
      </c>
    </row>
    <row r="439">
      <c r="A439" s="327" t="str">
        <f t="shared" si="1"/>
        <v>Kings Server</v>
      </c>
      <c r="B439" s="327" t="s">
        <v>4300</v>
      </c>
      <c r="C439" s="327" t="s">
        <v>4301</v>
      </c>
      <c r="D439" s="327" t="s">
        <v>4303</v>
      </c>
    </row>
    <row r="440">
      <c r="A440" s="327" t="str">
        <f t="shared" si="1"/>
        <v>Kings E-Comm</v>
      </c>
      <c r="B440" s="327" t="s">
        <v>4300</v>
      </c>
      <c r="C440" s="327" t="s">
        <v>4304</v>
      </c>
      <c r="D440" s="327" t="s">
        <v>4305</v>
      </c>
    </row>
    <row r="441">
      <c r="A441" s="327" t="str">
        <f t="shared" si="1"/>
        <v>Kit John Del Mundo</v>
      </c>
      <c r="B441" s="327" t="s">
        <v>4306</v>
      </c>
      <c r="C441" s="327" t="s">
        <v>4307</v>
      </c>
      <c r="D441" s="327" t="s">
        <v>4308</v>
      </c>
    </row>
    <row r="442">
      <c r="A442" s="327" t="str">
        <f t="shared" si="1"/>
        <v>Kristen Gabutero</v>
      </c>
      <c r="B442" s="327" t="s">
        <v>4312</v>
      </c>
      <c r="C442" s="327" t="s">
        <v>4313</v>
      </c>
      <c r="D442" s="327" t="s">
        <v>4314</v>
      </c>
    </row>
    <row r="443">
      <c r="A443" s="327" t="str">
        <f t="shared" si="1"/>
        <v>Kristen Joy Viloria</v>
      </c>
      <c r="B443" s="327" t="s">
        <v>4315</v>
      </c>
      <c r="C443" s="327" t="s">
        <v>4316</v>
      </c>
      <c r="D443" s="327" t="s">
        <v>4317</v>
      </c>
    </row>
    <row r="444">
      <c r="A444" s="327" t="str">
        <f t="shared" si="1"/>
        <v>Kristine Lim</v>
      </c>
      <c r="B444" s="327" t="s">
        <v>4320</v>
      </c>
      <c r="C444" s="327" t="s">
        <v>4322</v>
      </c>
      <c r="D444" s="327" t="s">
        <v>4323</v>
      </c>
    </row>
    <row r="445">
      <c r="A445" s="327" t="str">
        <f t="shared" si="1"/>
        <v>Kristine Anne Gumatay</v>
      </c>
      <c r="B445" s="327" t="s">
        <v>4324</v>
      </c>
      <c r="C445" s="327" t="s">
        <v>4325</v>
      </c>
      <c r="D445" s="327" t="s">
        <v>4326</v>
      </c>
    </row>
    <row r="446">
      <c r="A446" s="327" t="str">
        <f t="shared" si="1"/>
        <v>Kristine Kayne Libat</v>
      </c>
      <c r="B446" s="327" t="s">
        <v>4327</v>
      </c>
      <c r="C446" s="327" t="s">
        <v>4329</v>
      </c>
      <c r="D446" s="327" t="s">
        <v>4331</v>
      </c>
    </row>
    <row r="447">
      <c r="A447" s="327" t="str">
        <f t="shared" si="1"/>
        <v>Kristyne Capumpue</v>
      </c>
      <c r="B447" s="327" t="s">
        <v>4333</v>
      </c>
      <c r="C447" s="327" t="s">
        <v>4334</v>
      </c>
      <c r="D447" s="327" t="s">
        <v>4335</v>
      </c>
    </row>
    <row r="448">
      <c r="A448" s="327" t="str">
        <f t="shared" si="1"/>
        <v>Kurt Ross M. Castañeda</v>
      </c>
      <c r="B448" s="327" t="s">
        <v>4336</v>
      </c>
      <c r="C448" s="327" t="s">
        <v>4337</v>
      </c>
      <c r="D448" s="327" t="s">
        <v>4338</v>
      </c>
    </row>
    <row r="449">
      <c r="A449" s="327" t="str">
        <f t="shared" si="1"/>
        <v>Lady Ruth Onato</v>
      </c>
      <c r="B449" s="327" t="s">
        <v>4340</v>
      </c>
      <c r="C449" s="327" t="s">
        <v>4341</v>
      </c>
      <c r="D449" s="327" t="s">
        <v>4342</v>
      </c>
    </row>
    <row r="450">
      <c r="A450" s="327" t="str">
        <f t="shared" si="1"/>
        <v>Lara Krissel De Leon</v>
      </c>
      <c r="B450" s="327" t="s">
        <v>4343</v>
      </c>
      <c r="C450" s="327" t="s">
        <v>3018</v>
      </c>
      <c r="D450" s="327" t="s">
        <v>4344</v>
      </c>
    </row>
    <row r="451">
      <c r="A451" s="327" t="str">
        <f t="shared" si="1"/>
        <v>Lara Mae Ebora</v>
      </c>
      <c r="B451" s="327" t="s">
        <v>4345</v>
      </c>
      <c r="C451" s="327" t="s">
        <v>4346</v>
      </c>
      <c r="D451" s="327" t="s">
        <v>4347</v>
      </c>
    </row>
    <row r="452">
      <c r="A452" s="327" t="str">
        <f t="shared" si="1"/>
        <v>Lawrence Jr. Dulawan</v>
      </c>
      <c r="B452" s="327" t="s">
        <v>4348</v>
      </c>
      <c r="C452" s="327" t="s">
        <v>4349</v>
      </c>
      <c r="D452" s="327" t="s">
        <v>4350</v>
      </c>
    </row>
    <row r="453">
      <c r="A453" s="327" t="str">
        <f t="shared" si="1"/>
        <v>Lawrey Cielle Nopuente</v>
      </c>
      <c r="B453" s="327" t="s">
        <v>4351</v>
      </c>
      <c r="C453" s="327" t="s">
        <v>4352</v>
      </c>
      <c r="D453" s="327" t="s">
        <v>4353</v>
      </c>
    </row>
    <row r="454">
      <c r="A454" s="327" t="str">
        <f t="shared" si="1"/>
        <v>Lea Becerral</v>
      </c>
      <c r="B454" s="327" t="s">
        <v>4354</v>
      </c>
      <c r="C454" s="327" t="s">
        <v>4355</v>
      </c>
      <c r="D454" s="327" t="s">
        <v>4356</v>
      </c>
    </row>
    <row r="455">
      <c r="A455" s="327" t="str">
        <f t="shared" si="1"/>
        <v>Lea S. Mariquina</v>
      </c>
      <c r="B455" s="327" t="s">
        <v>4357</v>
      </c>
      <c r="C455" s="327" t="s">
        <v>4358</v>
      </c>
      <c r="D455" s="327" t="s">
        <v>4359</v>
      </c>
    </row>
    <row r="456">
      <c r="A456" s="327" t="str">
        <f t="shared" si="1"/>
        <v>Leah Ilagan</v>
      </c>
      <c r="B456" s="327" t="s">
        <v>4360</v>
      </c>
      <c r="C456" s="327" t="s">
        <v>3331</v>
      </c>
      <c r="D456" s="327" t="s">
        <v>4361</v>
      </c>
    </row>
    <row r="457">
      <c r="A457" s="327" t="str">
        <f t="shared" si="1"/>
        <v>Leah Buhay</v>
      </c>
      <c r="B457" s="327" t="s">
        <v>4360</v>
      </c>
      <c r="C457" s="327" t="s">
        <v>4362</v>
      </c>
      <c r="D457" s="327" t="s">
        <v>4363</v>
      </c>
    </row>
    <row r="458">
      <c r="A458" s="327" t="str">
        <f t="shared" si="1"/>
        <v>Leo Anoche</v>
      </c>
      <c r="B458" s="327" t="s">
        <v>4364</v>
      </c>
      <c r="C458" s="327" t="s">
        <v>4365</v>
      </c>
      <c r="D458" s="327" t="s">
        <v>4366</v>
      </c>
    </row>
    <row r="459">
      <c r="A459" s="327" t="str">
        <f t="shared" si="1"/>
        <v>Leo De Mesa</v>
      </c>
      <c r="B459" s="327" t="s">
        <v>4364</v>
      </c>
      <c r="C459" s="327" t="s">
        <v>4367</v>
      </c>
      <c r="D459" s="327" t="s">
        <v>4368</v>
      </c>
    </row>
    <row r="460">
      <c r="A460" s="327" t="str">
        <f t="shared" si="1"/>
        <v>Leo Anoche</v>
      </c>
      <c r="B460" s="327" t="s">
        <v>4364</v>
      </c>
      <c r="C460" s="327" t="s">
        <v>4365</v>
      </c>
      <c r="D460" s="327" t="s">
        <v>4369</v>
      </c>
    </row>
    <row r="461">
      <c r="A461" s="327" t="str">
        <f t="shared" si="1"/>
        <v>Leslie Dayupay</v>
      </c>
      <c r="B461" s="327" t="s">
        <v>4370</v>
      </c>
      <c r="C461" s="327" t="s">
        <v>4371</v>
      </c>
      <c r="D461" s="327" t="s">
        <v>4372</v>
      </c>
    </row>
    <row r="462">
      <c r="A462" s="327" t="str">
        <f t="shared" si="1"/>
        <v>Leslie Anne Vicente</v>
      </c>
      <c r="B462" s="327" t="s">
        <v>4373</v>
      </c>
      <c r="C462" s="327" t="s">
        <v>4374</v>
      </c>
      <c r="D462" s="327" t="s">
        <v>4375</v>
      </c>
    </row>
    <row r="463">
      <c r="A463" s="327" t="str">
        <f t="shared" si="1"/>
        <v>Lester Mark Tongohan</v>
      </c>
      <c r="B463" s="327" t="s">
        <v>4376</v>
      </c>
      <c r="C463" s="327" t="s">
        <v>4377</v>
      </c>
      <c r="D463" s="327" t="s">
        <v>4378</v>
      </c>
    </row>
    <row r="464">
      <c r="A464" s="327" t="str">
        <f t="shared" si="1"/>
        <v>Lia Amor Arcaina-Nuyda</v>
      </c>
      <c r="B464" s="327" t="s">
        <v>4379</v>
      </c>
      <c r="C464" s="327" t="s">
        <v>4380</v>
      </c>
      <c r="D464" s="327" t="s">
        <v>4381</v>
      </c>
    </row>
    <row r="465">
      <c r="A465" s="327" t="str">
        <f t="shared" si="1"/>
        <v>Library Clerk</v>
      </c>
      <c r="B465" s="327" t="s">
        <v>4382</v>
      </c>
      <c r="C465" s="327" t="s">
        <v>4383</v>
      </c>
      <c r="D465" s="327" t="s">
        <v>4384</v>
      </c>
    </row>
    <row r="466">
      <c r="A466" s="327" t="str">
        <f t="shared" si="1"/>
        <v>Licel Bandelaria</v>
      </c>
      <c r="B466" s="327" t="s">
        <v>4385</v>
      </c>
      <c r="C466" s="327" t="s">
        <v>4386</v>
      </c>
      <c r="D466" s="327" t="s">
        <v>4387</v>
      </c>
    </row>
    <row r="467">
      <c r="A467" s="327" t="str">
        <f t="shared" si="1"/>
        <v>Lisandro Adamos</v>
      </c>
      <c r="B467" s="327" t="s">
        <v>4388</v>
      </c>
      <c r="C467" s="327" t="s">
        <v>4389</v>
      </c>
      <c r="D467" s="327" t="s">
        <v>4390</v>
      </c>
    </row>
    <row r="468">
      <c r="A468" s="327" t="str">
        <f t="shared" si="1"/>
        <v>Liza Bulay</v>
      </c>
      <c r="B468" s="327" t="s">
        <v>4391</v>
      </c>
      <c r="C468" s="327" t="s">
        <v>4392</v>
      </c>
      <c r="D468" s="327" t="s">
        <v>4393</v>
      </c>
    </row>
    <row r="469">
      <c r="A469" s="327" t="str">
        <f t="shared" si="1"/>
        <v>Lorebelle Bautista</v>
      </c>
      <c r="B469" s="327" t="s">
        <v>4394</v>
      </c>
      <c r="C469" s="327" t="s">
        <v>4395</v>
      </c>
      <c r="D469" s="327" t="s">
        <v>4396</v>
      </c>
    </row>
    <row r="470">
      <c r="A470" s="327" t="str">
        <f t="shared" si="1"/>
        <v>Lorelie Cam</v>
      </c>
      <c r="B470" s="327" t="s">
        <v>4397</v>
      </c>
      <c r="C470" s="327" t="s">
        <v>4398</v>
      </c>
      <c r="D470" s="327" t="s">
        <v>4399</v>
      </c>
    </row>
    <row r="471">
      <c r="A471" s="327" t="str">
        <f t="shared" si="1"/>
        <v>Lorie Paguia</v>
      </c>
      <c r="B471" s="327" t="s">
        <v>4400</v>
      </c>
      <c r="C471" s="327" t="s">
        <v>4401</v>
      </c>
      <c r="D471" s="327" t="s">
        <v>4402</v>
      </c>
    </row>
    <row r="472">
      <c r="A472" s="327" t="str">
        <f t="shared" si="1"/>
        <v>Lorraine Almazan</v>
      </c>
      <c r="B472" s="327" t="s">
        <v>4403</v>
      </c>
      <c r="C472" s="327" t="s">
        <v>4404</v>
      </c>
      <c r="D472" s="327" t="s">
        <v>4405</v>
      </c>
    </row>
    <row r="473">
      <c r="A473" s="327" t="str">
        <f t="shared" si="1"/>
        <v>Lougene Hilario</v>
      </c>
      <c r="B473" s="327" t="s">
        <v>4406</v>
      </c>
      <c r="C473" s="327" t="s">
        <v>3981</v>
      </c>
      <c r="D473" s="327" t="s">
        <v>4407</v>
      </c>
    </row>
    <row r="474">
      <c r="A474" s="327" t="str">
        <f t="shared" si="1"/>
        <v>Lucille Beyer</v>
      </c>
      <c r="B474" s="327" t="s">
        <v>4408</v>
      </c>
      <c r="C474" s="327" t="s">
        <v>4409</v>
      </c>
      <c r="D474" s="327" t="s">
        <v>4410</v>
      </c>
    </row>
    <row r="475">
      <c r="A475" s="327" t="str">
        <f t="shared" si="1"/>
        <v>Ludy De Asis</v>
      </c>
      <c r="B475" s="327" t="s">
        <v>4411</v>
      </c>
      <c r="C475" s="327" t="s">
        <v>4412</v>
      </c>
      <c r="D475" s="327" t="s">
        <v>4413</v>
      </c>
    </row>
    <row r="476">
      <c r="A476" s="327" t="str">
        <f t="shared" si="1"/>
        <v>Luke Matthew Alcaide</v>
      </c>
      <c r="B476" s="327" t="s">
        <v>4414</v>
      </c>
      <c r="C476" s="327" t="s">
        <v>4415</v>
      </c>
      <c r="D476" s="327" t="s">
        <v>4416</v>
      </c>
    </row>
    <row r="477">
      <c r="A477" s="327" t="str">
        <f t="shared" si="1"/>
        <v>Luzviminda Octaviano</v>
      </c>
      <c r="B477" s="327" t="s">
        <v>4417</v>
      </c>
      <c r="C477" s="327" t="s">
        <v>4418</v>
      </c>
      <c r="D477" s="327" t="s">
        <v>4419</v>
      </c>
    </row>
    <row r="478">
      <c r="A478" s="327" t="str">
        <f t="shared" si="1"/>
        <v>Lyka Maquidato</v>
      </c>
      <c r="B478" s="327" t="s">
        <v>4420</v>
      </c>
      <c r="C478" s="327" t="s">
        <v>4421</v>
      </c>
      <c r="D478" s="327" t="s">
        <v>4422</v>
      </c>
    </row>
    <row r="479">
      <c r="A479" s="327" t="str">
        <f t="shared" si="1"/>
        <v>Lyzsa Mae Ritz Choa</v>
      </c>
      <c r="B479" s="327" t="s">
        <v>4423</v>
      </c>
      <c r="C479" s="327" t="s">
        <v>4424</v>
      </c>
      <c r="D479" s="327" t="s">
        <v>4425</v>
      </c>
    </row>
    <row r="480">
      <c r="A480" s="327" t="str">
        <f t="shared" si="1"/>
        <v>Ma Li</v>
      </c>
      <c r="B480" s="327" t="s">
        <v>4426</v>
      </c>
      <c r="C480" s="327" t="s">
        <v>4427</v>
      </c>
      <c r="D480" s="327" t="s">
        <v>4428</v>
      </c>
    </row>
    <row r="481">
      <c r="A481" s="327" t="str">
        <f t="shared" si="1"/>
        <v>Ma Cecilia Belleza</v>
      </c>
      <c r="B481" s="327" t="s">
        <v>4429</v>
      </c>
      <c r="C481" s="327" t="s">
        <v>4430</v>
      </c>
      <c r="D481" s="327" t="s">
        <v>4431</v>
      </c>
    </row>
    <row r="482">
      <c r="A482" s="327" t="str">
        <f t="shared" si="1"/>
        <v>Ma. Ana Tango</v>
      </c>
      <c r="B482" s="327" t="s">
        <v>4432</v>
      </c>
      <c r="C482" s="327" t="s">
        <v>4433</v>
      </c>
      <c r="D482" s="327" t="s">
        <v>4434</v>
      </c>
    </row>
    <row r="483">
      <c r="A483" s="327" t="str">
        <f t="shared" si="1"/>
        <v>Ma. Carmelita Villegas</v>
      </c>
      <c r="B483" s="327" t="s">
        <v>4435</v>
      </c>
      <c r="C483" s="327" t="s">
        <v>4436</v>
      </c>
      <c r="D483" s="327" t="s">
        <v>4437</v>
      </c>
    </row>
    <row r="484">
      <c r="A484" s="327" t="str">
        <f t="shared" si="1"/>
        <v>Ma. Corazon Josette Guzman</v>
      </c>
      <c r="B484" s="327" t="s">
        <v>4438</v>
      </c>
      <c r="C484" s="327" t="s">
        <v>4439</v>
      </c>
      <c r="D484" s="327" t="s">
        <v>4440</v>
      </c>
    </row>
    <row r="485">
      <c r="A485" s="327" t="str">
        <f t="shared" si="1"/>
        <v>Ma. Elena Ibañez</v>
      </c>
      <c r="B485" s="327" t="s">
        <v>4441</v>
      </c>
      <c r="C485" s="327" t="s">
        <v>4442</v>
      </c>
      <c r="D485" s="327" t="s">
        <v>4443</v>
      </c>
    </row>
    <row r="486">
      <c r="A486" s="327" t="str">
        <f t="shared" si="1"/>
        <v>Ma. Felma Tria</v>
      </c>
      <c r="B486" s="327" t="s">
        <v>4444</v>
      </c>
      <c r="C486" s="327" t="s">
        <v>4445</v>
      </c>
      <c r="D486" s="327" t="s">
        <v>4446</v>
      </c>
    </row>
    <row r="487">
      <c r="A487" s="327" t="str">
        <f t="shared" si="1"/>
        <v>Ma. Geraldine Pasia</v>
      </c>
      <c r="B487" s="327" t="s">
        <v>4447</v>
      </c>
      <c r="C487" s="327" t="s">
        <v>4448</v>
      </c>
      <c r="D487" s="327" t="s">
        <v>4449</v>
      </c>
    </row>
    <row r="488">
      <c r="A488" s="327" t="str">
        <f t="shared" si="1"/>
        <v>Ma. Gerlie Montellano</v>
      </c>
      <c r="B488" s="327" t="s">
        <v>4450</v>
      </c>
      <c r="C488" s="327" t="s">
        <v>4451</v>
      </c>
      <c r="D488" s="327" t="s">
        <v>4452</v>
      </c>
    </row>
    <row r="489">
      <c r="A489" s="327" t="str">
        <f t="shared" si="1"/>
        <v>Ma. Isabel Reyes</v>
      </c>
      <c r="B489" s="327" t="s">
        <v>4453</v>
      </c>
      <c r="C489" s="327" t="s">
        <v>3431</v>
      </c>
      <c r="D489" s="327" t="s">
        <v>4454</v>
      </c>
    </row>
    <row r="490">
      <c r="A490" s="327" t="str">
        <f t="shared" si="1"/>
        <v>Ma. Liza Jimenez</v>
      </c>
      <c r="B490" s="327" t="s">
        <v>4455</v>
      </c>
      <c r="C490" s="327" t="s">
        <v>4456</v>
      </c>
      <c r="D490" s="327" t="s">
        <v>4457</v>
      </c>
    </row>
    <row r="491">
      <c r="A491" s="327" t="str">
        <f t="shared" si="1"/>
        <v>Ma. Lourdes Boco</v>
      </c>
      <c r="B491" s="327" t="s">
        <v>4458</v>
      </c>
      <c r="C491" s="327" t="s">
        <v>4459</v>
      </c>
      <c r="D491" s="327" t="s">
        <v>4460</v>
      </c>
    </row>
    <row r="492">
      <c r="A492" s="327" t="str">
        <f t="shared" si="1"/>
        <v>Ma. Monica Rosario Sarao</v>
      </c>
      <c r="B492" s="327" t="s">
        <v>4461</v>
      </c>
      <c r="C492" s="327" t="s">
        <v>4462</v>
      </c>
      <c r="D492" s="327" t="s">
        <v>4463</v>
      </c>
    </row>
    <row r="493">
      <c r="A493" s="327" t="str">
        <f t="shared" si="1"/>
        <v>Ma. Narsisalyn Gorospe</v>
      </c>
      <c r="B493" s="327" t="s">
        <v>4464</v>
      </c>
      <c r="C493" s="327" t="s">
        <v>4465</v>
      </c>
      <c r="D493" s="327" t="s">
        <v>4466</v>
      </c>
    </row>
    <row r="494">
      <c r="A494" s="327" t="str">
        <f t="shared" si="1"/>
        <v>Ma. Priscilla Jessica Hernandez</v>
      </c>
      <c r="B494" s="327" t="s">
        <v>4467</v>
      </c>
      <c r="C494" s="327" t="s">
        <v>3777</v>
      </c>
      <c r="D494" s="327" t="s">
        <v>4468</v>
      </c>
    </row>
    <row r="495">
      <c r="A495" s="327" t="str">
        <f t="shared" si="1"/>
        <v>Ma. Theresa Ansano</v>
      </c>
      <c r="B495" s="327" t="s">
        <v>4469</v>
      </c>
      <c r="C495" s="327" t="s">
        <v>4470</v>
      </c>
      <c r="D495" s="327" t="s">
        <v>4471</v>
      </c>
    </row>
    <row r="496">
      <c r="A496" s="327" t="str">
        <f t="shared" si="1"/>
        <v>Ma. Theresa Danna Rilloza</v>
      </c>
      <c r="B496" s="327" t="s">
        <v>4472</v>
      </c>
      <c r="C496" s="327" t="s">
        <v>4473</v>
      </c>
      <c r="D496" s="327" t="s">
        <v>4474</v>
      </c>
    </row>
    <row r="497">
      <c r="A497" s="327" t="str">
        <f t="shared" si="1"/>
        <v>Ma. Veronica Cabrera</v>
      </c>
      <c r="B497" s="327" t="s">
        <v>4475</v>
      </c>
      <c r="C497" s="327" t="s">
        <v>3458</v>
      </c>
      <c r="D497" s="327" t="s">
        <v>4476</v>
      </c>
    </row>
    <row r="498">
      <c r="A498" s="327" t="str">
        <f t="shared" si="1"/>
        <v>Mafe Rebong</v>
      </c>
      <c r="B498" s="327" t="s">
        <v>4477</v>
      </c>
      <c r="C498" s="327" t="s">
        <v>4478</v>
      </c>
      <c r="D498" s="327" t="s">
        <v>4479</v>
      </c>
    </row>
    <row r="499">
      <c r="A499" s="327" t="str">
        <f t="shared" si="1"/>
        <v>Maggi Sanapo</v>
      </c>
      <c r="B499" s="327" t="s">
        <v>4480</v>
      </c>
      <c r="C499" s="327" t="s">
        <v>4481</v>
      </c>
      <c r="D499" s="327" t="s">
        <v>4482</v>
      </c>
    </row>
    <row r="500">
      <c r="A500" s="327" t="str">
        <f t="shared" si="1"/>
        <v>Mar Masias</v>
      </c>
      <c r="B500" s="327" t="s">
        <v>4483</v>
      </c>
      <c r="C500" s="327" t="s">
        <v>4484</v>
      </c>
      <c r="D500" s="327" t="s">
        <v>4485</v>
      </c>
    </row>
    <row r="501">
      <c r="A501" s="327" t="str">
        <f t="shared" si="1"/>
        <v>Mara Denisse Diwa</v>
      </c>
      <c r="B501" s="327" t="s">
        <v>4486</v>
      </c>
      <c r="C501" s="327" t="s">
        <v>4487</v>
      </c>
      <c r="D501" s="327" t="s">
        <v>4488</v>
      </c>
    </row>
    <row r="502">
      <c r="A502" s="327" t="str">
        <f t="shared" si="1"/>
        <v>Mara Princess Maravilla</v>
      </c>
      <c r="B502" s="327" t="s">
        <v>4489</v>
      </c>
      <c r="C502" s="327" t="s">
        <v>4490</v>
      </c>
      <c r="D502" s="327" t="s">
        <v>4491</v>
      </c>
    </row>
    <row r="503">
      <c r="A503" s="327" t="str">
        <f t="shared" si="1"/>
        <v>Marc Alvin Yee</v>
      </c>
      <c r="B503" s="327" t="s">
        <v>4492</v>
      </c>
      <c r="C503" s="327" t="s">
        <v>4493</v>
      </c>
      <c r="D503" s="327" t="s">
        <v>4494</v>
      </c>
    </row>
    <row r="504">
      <c r="A504" s="327" t="str">
        <f t="shared" si="1"/>
        <v>Marc Anthony Marquez</v>
      </c>
      <c r="B504" s="327" t="s">
        <v>4495</v>
      </c>
      <c r="C504" s="327" t="s">
        <v>4496</v>
      </c>
      <c r="D504" s="327" t="s">
        <v>4497</v>
      </c>
    </row>
    <row r="505">
      <c r="A505" s="327" t="str">
        <f t="shared" si="1"/>
        <v>Margarita San Jose</v>
      </c>
      <c r="B505" s="327" t="s">
        <v>4498</v>
      </c>
      <c r="C505" s="327" t="s">
        <v>4499</v>
      </c>
      <c r="D505" s="327" t="s">
        <v>4500</v>
      </c>
    </row>
    <row r="506">
      <c r="A506" s="327" t="str">
        <f t="shared" si="1"/>
        <v>Maria Carmen Jamias</v>
      </c>
      <c r="B506" s="327" t="s">
        <v>4501</v>
      </c>
      <c r="C506" s="327" t="s">
        <v>4502</v>
      </c>
      <c r="D506" s="327" t="s">
        <v>4503</v>
      </c>
    </row>
    <row r="507">
      <c r="A507" s="327" t="str">
        <f t="shared" si="1"/>
        <v>Maria Christina Cynthia Romulo</v>
      </c>
      <c r="B507" s="327" t="s">
        <v>4504</v>
      </c>
      <c r="C507" s="327" t="s">
        <v>4505</v>
      </c>
      <c r="D507" s="327" t="s">
        <v>4506</v>
      </c>
    </row>
    <row r="508">
      <c r="A508" s="327" t="str">
        <f t="shared" si="1"/>
        <v>Maria Cristina Molera</v>
      </c>
      <c r="B508" s="327" t="s">
        <v>4507</v>
      </c>
      <c r="C508" s="327" t="s">
        <v>4508</v>
      </c>
      <c r="D508" s="327" t="s">
        <v>4509</v>
      </c>
    </row>
    <row r="509">
      <c r="A509" s="327" t="str">
        <f t="shared" si="1"/>
        <v>Maria Elena Magracia</v>
      </c>
      <c r="B509" s="327" t="s">
        <v>4510</v>
      </c>
      <c r="C509" s="327" t="s">
        <v>4511</v>
      </c>
      <c r="D509" s="327" t="s">
        <v>4512</v>
      </c>
    </row>
    <row r="510">
      <c r="A510" s="327" t="str">
        <f t="shared" si="1"/>
        <v>Maria Hannah Asuncion</v>
      </c>
      <c r="B510" s="327" t="s">
        <v>4513</v>
      </c>
      <c r="C510" s="327" t="s">
        <v>4514</v>
      </c>
      <c r="D510" s="327" t="s">
        <v>4515</v>
      </c>
    </row>
    <row r="511">
      <c r="A511" s="327" t="str">
        <f t="shared" si="1"/>
        <v>Maria Janette Lavarino</v>
      </c>
      <c r="B511" s="327" t="s">
        <v>4516</v>
      </c>
      <c r="C511" s="327" t="s">
        <v>4517</v>
      </c>
      <c r="D511" s="327" t="s">
        <v>4518</v>
      </c>
    </row>
    <row r="512">
      <c r="A512" s="327" t="str">
        <f t="shared" si="1"/>
        <v>Maria Jessica Dominguez</v>
      </c>
      <c r="B512" s="327" t="s">
        <v>4519</v>
      </c>
      <c r="C512" s="327" t="s">
        <v>3002</v>
      </c>
      <c r="D512" s="327" t="s">
        <v>4520</v>
      </c>
    </row>
    <row r="513">
      <c r="A513" s="327" t="str">
        <f t="shared" si="1"/>
        <v>Maria Jesusa Jose</v>
      </c>
      <c r="B513" s="327" t="s">
        <v>4521</v>
      </c>
      <c r="C513" s="327" t="s">
        <v>4122</v>
      </c>
      <c r="D513" s="327" t="s">
        <v>4522</v>
      </c>
    </row>
    <row r="514">
      <c r="A514" s="327" t="str">
        <f t="shared" si="1"/>
        <v>Maria Kassandra Garcia</v>
      </c>
      <c r="B514" s="327" t="s">
        <v>4523</v>
      </c>
      <c r="C514" s="327" t="s">
        <v>4524</v>
      </c>
      <c r="D514" s="327" t="s">
        <v>4525</v>
      </c>
    </row>
    <row r="515">
      <c r="A515" s="327" t="str">
        <f t="shared" si="1"/>
        <v>Maria Loribel Marco</v>
      </c>
      <c r="B515" s="327" t="s">
        <v>4526</v>
      </c>
      <c r="C515" s="327" t="s">
        <v>4527</v>
      </c>
      <c r="D515" s="327" t="s">
        <v>4528</v>
      </c>
    </row>
    <row r="516">
      <c r="A516" s="327" t="str">
        <f t="shared" si="1"/>
        <v>Maria Marguerita Nina Kanapi</v>
      </c>
      <c r="B516" s="327" t="s">
        <v>4529</v>
      </c>
      <c r="C516" s="327" t="s">
        <v>4530</v>
      </c>
      <c r="D516" s="327" t="s">
        <v>4531</v>
      </c>
    </row>
    <row r="517">
      <c r="A517" s="327" t="str">
        <f t="shared" si="1"/>
        <v>Maria Patricia Belleza</v>
      </c>
      <c r="B517" s="327" t="s">
        <v>4532</v>
      </c>
      <c r="C517" s="327" t="s">
        <v>4430</v>
      </c>
      <c r="D517" s="327" t="s">
        <v>4533</v>
      </c>
    </row>
    <row r="518">
      <c r="A518" s="327" t="str">
        <f t="shared" si="1"/>
        <v>Maria Pilar Lopez</v>
      </c>
      <c r="B518" s="327" t="s">
        <v>4534</v>
      </c>
      <c r="C518" s="327" t="s">
        <v>3012</v>
      </c>
      <c r="D518" s="327" t="s">
        <v>4535</v>
      </c>
    </row>
    <row r="519">
      <c r="A519" s="327" t="str">
        <f t="shared" si="1"/>
        <v>Maria Seniz Calma</v>
      </c>
      <c r="B519" s="327" t="s">
        <v>4536</v>
      </c>
      <c r="C519" s="327" t="s">
        <v>4537</v>
      </c>
      <c r="D519" s="327" t="s">
        <v>4538</v>
      </c>
    </row>
    <row r="520">
      <c r="A520" s="327" t="str">
        <f t="shared" si="1"/>
        <v>Maria Viola Villena</v>
      </c>
      <c r="B520" s="327" t="s">
        <v>4539</v>
      </c>
      <c r="C520" s="327" t="s">
        <v>4540</v>
      </c>
      <c r="D520" s="327" t="s">
        <v>4541</v>
      </c>
    </row>
    <row r="521">
      <c r="A521" s="327" t="str">
        <f t="shared" si="1"/>
        <v>Marianne Joy Ligaya</v>
      </c>
      <c r="B521" s="327" t="s">
        <v>4542</v>
      </c>
      <c r="C521" s="327" t="s">
        <v>4543</v>
      </c>
      <c r="D521" s="327" t="s">
        <v>4544</v>
      </c>
    </row>
    <row r="522">
      <c r="A522" s="327" t="str">
        <f t="shared" si="1"/>
        <v>Marianne Therese Cadiz</v>
      </c>
      <c r="B522" s="327" t="s">
        <v>4545</v>
      </c>
      <c r="C522" s="327" t="s">
        <v>4546</v>
      </c>
      <c r="D522" s="327" t="s">
        <v>4547</v>
      </c>
    </row>
    <row r="523">
      <c r="A523" s="327" t="str">
        <f t="shared" si="1"/>
        <v>Marianne Trina Trinidad Peralta</v>
      </c>
      <c r="B523" s="327" t="s">
        <v>4548</v>
      </c>
      <c r="C523" s="327" t="s">
        <v>4549</v>
      </c>
      <c r="D523" s="327" t="s">
        <v>4550</v>
      </c>
    </row>
    <row r="524">
      <c r="A524" s="327" t="str">
        <f t="shared" si="1"/>
        <v>Maribeth Magpantay</v>
      </c>
      <c r="B524" s="327" t="s">
        <v>4551</v>
      </c>
      <c r="C524" s="327" t="s">
        <v>4552</v>
      </c>
      <c r="D524" s="327" t="s">
        <v>4553</v>
      </c>
    </row>
    <row r="525">
      <c r="A525" s="327" t="str">
        <f t="shared" si="1"/>
        <v>Maricar Abaricia</v>
      </c>
      <c r="B525" s="327" t="s">
        <v>4554</v>
      </c>
      <c r="C525" s="327" t="s">
        <v>4555</v>
      </c>
      <c r="D525" s="327" t="s">
        <v>4556</v>
      </c>
    </row>
    <row r="526">
      <c r="A526" s="327" t="str">
        <f t="shared" si="1"/>
        <v>Marie Mirando</v>
      </c>
      <c r="B526" s="327" t="s">
        <v>4557</v>
      </c>
      <c r="C526" s="327" t="s">
        <v>4558</v>
      </c>
      <c r="D526" s="327" t="s">
        <v>4559</v>
      </c>
    </row>
    <row r="527">
      <c r="A527" s="327" t="str">
        <f t="shared" si="1"/>
        <v>Marie Astrid De leon</v>
      </c>
      <c r="B527" s="327" t="s">
        <v>4560</v>
      </c>
      <c r="C527" s="327" t="s">
        <v>4561</v>
      </c>
      <c r="D527" s="327" t="s">
        <v>4562</v>
      </c>
    </row>
    <row r="528">
      <c r="A528" s="327" t="str">
        <f t="shared" si="1"/>
        <v>Marie Rose Oesman</v>
      </c>
      <c r="B528" s="327" t="s">
        <v>4563</v>
      </c>
      <c r="C528" s="327" t="s">
        <v>4564</v>
      </c>
      <c r="D528" s="327" t="s">
        <v>4565</v>
      </c>
    </row>
    <row r="529">
      <c r="A529" s="327" t="str">
        <f t="shared" si="1"/>
        <v>Mariel Estanislao</v>
      </c>
      <c r="B529" s="327" t="s">
        <v>4566</v>
      </c>
      <c r="C529" s="327" t="s">
        <v>4567</v>
      </c>
      <c r="D529" s="327" t="s">
        <v>4568</v>
      </c>
    </row>
    <row r="530">
      <c r="A530" s="327" t="str">
        <f t="shared" si="1"/>
        <v>Marielle Janica Galvez</v>
      </c>
      <c r="B530" s="327" t="s">
        <v>4569</v>
      </c>
      <c r="C530" s="327" t="s">
        <v>4570</v>
      </c>
      <c r="D530" s="327" t="s">
        <v>4571</v>
      </c>
    </row>
    <row r="531">
      <c r="A531" s="327" t="str">
        <f t="shared" si="1"/>
        <v>Marietta Candor</v>
      </c>
      <c r="B531" s="327" t="s">
        <v>4572</v>
      </c>
      <c r="C531" s="327" t="s">
        <v>4573</v>
      </c>
      <c r="D531" s="327" t="s">
        <v>4574</v>
      </c>
    </row>
    <row r="532">
      <c r="A532" s="327" t="str">
        <f t="shared" si="1"/>
        <v>Marieven Remojo</v>
      </c>
      <c r="B532" s="327" t="s">
        <v>4575</v>
      </c>
      <c r="C532" s="327" t="s">
        <v>4576</v>
      </c>
      <c r="D532" s="327" t="s">
        <v>4577</v>
      </c>
    </row>
    <row r="533">
      <c r="A533" s="327" t="str">
        <f t="shared" si="1"/>
        <v>Marilou Gonzales</v>
      </c>
      <c r="B533" s="327" t="s">
        <v>4578</v>
      </c>
      <c r="C533" s="327" t="s">
        <v>3944</v>
      </c>
      <c r="D533" s="327" t="s">
        <v>4579</v>
      </c>
    </row>
    <row r="534">
      <c r="A534" s="327" t="str">
        <f t="shared" si="1"/>
        <v>Marinela Paulino</v>
      </c>
      <c r="B534" s="327" t="s">
        <v>4580</v>
      </c>
      <c r="C534" s="327" t="s">
        <v>4581</v>
      </c>
      <c r="D534" s="327" t="s">
        <v>4582</v>
      </c>
    </row>
    <row r="535">
      <c r="A535" s="327" t="str">
        <f t="shared" si="1"/>
        <v>Marissa Gutierrez</v>
      </c>
      <c r="B535" s="327" t="s">
        <v>4583</v>
      </c>
      <c r="C535" s="327" t="s">
        <v>3914</v>
      </c>
      <c r="D535" s="327" t="s">
        <v>4584</v>
      </c>
    </row>
    <row r="536">
      <c r="A536" s="327" t="str">
        <f t="shared" si="1"/>
        <v>Marjorie S. Gutierrez-Tangog</v>
      </c>
      <c r="B536" s="327" t="s">
        <v>4585</v>
      </c>
      <c r="C536" s="327" t="s">
        <v>4586</v>
      </c>
      <c r="D536" s="327" t="s">
        <v>4587</v>
      </c>
    </row>
    <row r="537">
      <c r="A537" s="327" t="str">
        <f t="shared" si="1"/>
        <v>Mark Adrian Ho</v>
      </c>
      <c r="B537" s="327" t="s">
        <v>4588</v>
      </c>
      <c r="C537" s="327" t="s">
        <v>4589</v>
      </c>
      <c r="D537" s="327" t="s">
        <v>4590</v>
      </c>
    </row>
    <row r="538">
      <c r="A538" s="327" t="str">
        <f t="shared" si="1"/>
        <v>Mark Anthony Casanova</v>
      </c>
      <c r="B538" s="327" t="s">
        <v>4591</v>
      </c>
      <c r="C538" s="327" t="s">
        <v>4592</v>
      </c>
      <c r="D538" s="327" t="s">
        <v>4593</v>
      </c>
    </row>
    <row r="539">
      <c r="A539" s="327" t="str">
        <f t="shared" si="1"/>
        <v>Mark Edward Paulo</v>
      </c>
      <c r="B539" s="327" t="s">
        <v>4594</v>
      </c>
      <c r="C539" s="327" t="s">
        <v>4595</v>
      </c>
      <c r="D539" s="327" t="s">
        <v>4596</v>
      </c>
    </row>
    <row r="540">
      <c r="A540" s="327" t="str">
        <f t="shared" si="1"/>
        <v>Mark Ernest Isabelo</v>
      </c>
      <c r="B540" s="327" t="s">
        <v>4597</v>
      </c>
      <c r="C540" s="327" t="s">
        <v>3887</v>
      </c>
      <c r="D540" s="327" t="s">
        <v>4598</v>
      </c>
    </row>
    <row r="541">
      <c r="A541" s="327" t="str">
        <f t="shared" si="1"/>
        <v>Mark Gerard Austria</v>
      </c>
      <c r="B541" s="327" t="s">
        <v>4599</v>
      </c>
      <c r="C541" s="327" t="s">
        <v>4600</v>
      </c>
      <c r="D541" s="327" t="s">
        <v>4601</v>
      </c>
    </row>
    <row r="542">
      <c r="A542" s="327" t="str">
        <f t="shared" si="1"/>
        <v>Mark Gessie Dalogdog</v>
      </c>
      <c r="B542" s="327" t="s">
        <v>4602</v>
      </c>
      <c r="C542" s="327" t="s">
        <v>4603</v>
      </c>
      <c r="D542" s="327" t="s">
        <v>4604</v>
      </c>
    </row>
    <row r="543">
      <c r="A543" s="327" t="str">
        <f t="shared" si="1"/>
        <v>Mark Jonathan Salibio</v>
      </c>
      <c r="B543" s="327" t="s">
        <v>4605</v>
      </c>
      <c r="C543" s="327" t="s">
        <v>4606</v>
      </c>
      <c r="D543" s="327" t="s">
        <v>4607</v>
      </c>
    </row>
    <row r="544">
      <c r="A544" s="327" t="str">
        <f t="shared" si="1"/>
        <v>Mark Joseph Asoy</v>
      </c>
      <c r="B544" s="327" t="s">
        <v>4608</v>
      </c>
      <c r="C544" s="327" t="s">
        <v>4609</v>
      </c>
      <c r="D544" s="327" t="s">
        <v>4610</v>
      </c>
    </row>
    <row r="545">
      <c r="A545" s="327" t="str">
        <f t="shared" si="1"/>
        <v>Marl Ferenal</v>
      </c>
      <c r="B545" s="327" t="s">
        <v>4611</v>
      </c>
      <c r="C545" s="327" t="s">
        <v>4612</v>
      </c>
      <c r="D545" s="327" t="s">
        <v>4613</v>
      </c>
    </row>
    <row r="546">
      <c r="A546" s="327" t="str">
        <f t="shared" si="1"/>
        <v>Marl Ferenal</v>
      </c>
      <c r="B546" s="327" t="s">
        <v>4611</v>
      </c>
      <c r="C546" s="327" t="s">
        <v>4612</v>
      </c>
      <c r="D546" s="327" t="s">
        <v>4614</v>
      </c>
    </row>
    <row r="547">
      <c r="A547" s="327" t="str">
        <f t="shared" si="1"/>
        <v>Marlo Borromeo</v>
      </c>
      <c r="B547" s="327" t="s">
        <v>4615</v>
      </c>
      <c r="C547" s="327" t="s">
        <v>4616</v>
      </c>
      <c r="D547" s="327" t="s">
        <v>4617</v>
      </c>
    </row>
    <row r="548">
      <c r="A548" s="327" t="str">
        <f t="shared" si="1"/>
        <v>Martin Dee Migue</v>
      </c>
      <c r="B548" s="327" t="s">
        <v>4618</v>
      </c>
      <c r="C548" s="327" t="s">
        <v>4619</v>
      </c>
      <c r="D548" s="327" t="s">
        <v>4620</v>
      </c>
    </row>
    <row r="549">
      <c r="A549" s="327" t="str">
        <f t="shared" si="1"/>
        <v>Marvin Domasian</v>
      </c>
      <c r="B549" s="327" t="s">
        <v>4621</v>
      </c>
      <c r="C549" s="327" t="s">
        <v>4622</v>
      </c>
      <c r="D549" s="327" t="s">
        <v>4623</v>
      </c>
    </row>
    <row r="550">
      <c r="A550" s="327" t="str">
        <f t="shared" si="1"/>
        <v>Mary Magsino</v>
      </c>
      <c r="B550" s="327" t="s">
        <v>4624</v>
      </c>
      <c r="C550" s="327" t="s">
        <v>4625</v>
      </c>
      <c r="D550" s="327" t="s">
        <v>4626</v>
      </c>
    </row>
    <row r="551">
      <c r="A551" s="327" t="str">
        <f t="shared" si="1"/>
        <v>Mary Arlyn Alino</v>
      </c>
      <c r="B551" s="327" t="s">
        <v>4627</v>
      </c>
      <c r="C551" s="327" t="s">
        <v>4628</v>
      </c>
      <c r="D551" s="327" t="s">
        <v>4629</v>
      </c>
    </row>
    <row r="552">
      <c r="A552" s="327" t="str">
        <f t="shared" si="1"/>
        <v>Mary Beth Untalan</v>
      </c>
      <c r="B552" s="327" t="s">
        <v>4630</v>
      </c>
      <c r="C552" s="327" t="s">
        <v>4631</v>
      </c>
      <c r="D552" s="327" t="s">
        <v>4632</v>
      </c>
    </row>
    <row r="553">
      <c r="A553" s="327" t="str">
        <f t="shared" si="1"/>
        <v>Mary Gay Mondoy</v>
      </c>
      <c r="B553" s="327" t="s">
        <v>4633</v>
      </c>
      <c r="C553" s="327" t="s">
        <v>4634</v>
      </c>
      <c r="D553" s="327" t="s">
        <v>4635</v>
      </c>
    </row>
    <row r="554">
      <c r="A554" s="327" t="str">
        <f t="shared" si="1"/>
        <v>Mary Grace Asi</v>
      </c>
      <c r="B554" s="327" t="s">
        <v>4636</v>
      </c>
      <c r="C554" s="327" t="s">
        <v>3579</v>
      </c>
      <c r="D554" s="327" t="s">
        <v>4637</v>
      </c>
    </row>
    <row r="555">
      <c r="A555" s="327" t="str">
        <f t="shared" si="1"/>
        <v>Mary Grace La Rosa</v>
      </c>
      <c r="B555" s="327" t="s">
        <v>4636</v>
      </c>
      <c r="C555" s="327" t="s">
        <v>4638</v>
      </c>
      <c r="D555" s="327" t="s">
        <v>4639</v>
      </c>
    </row>
    <row r="556">
      <c r="A556" s="327" t="str">
        <f t="shared" si="1"/>
        <v>Mary Iphigene Dumanil Daradar</v>
      </c>
      <c r="B556" s="327" t="s">
        <v>4640</v>
      </c>
      <c r="C556" s="327" t="s">
        <v>3512</v>
      </c>
      <c r="D556" s="327" t="s">
        <v>4641</v>
      </c>
    </row>
    <row r="557">
      <c r="A557" s="327" t="str">
        <f t="shared" si="1"/>
        <v>Mary Joy Martinez</v>
      </c>
      <c r="B557" s="327" t="s">
        <v>4642</v>
      </c>
      <c r="C557" s="327" t="s">
        <v>4643</v>
      </c>
      <c r="D557" s="327" t="s">
        <v>4644</v>
      </c>
    </row>
    <row r="558">
      <c r="A558" s="327" t="str">
        <f t="shared" si="1"/>
        <v>Mary Joy Ramirez</v>
      </c>
      <c r="B558" s="327" t="s">
        <v>4642</v>
      </c>
      <c r="C558" s="327" t="s">
        <v>3880</v>
      </c>
      <c r="D558" s="327" t="s">
        <v>4645</v>
      </c>
    </row>
    <row r="559">
      <c r="A559" s="327" t="str">
        <f t="shared" si="1"/>
        <v>Mary Mae Gigantoni</v>
      </c>
      <c r="B559" s="327" t="s">
        <v>4646</v>
      </c>
      <c r="C559" s="327" t="s">
        <v>4647</v>
      </c>
      <c r="D559" s="327" t="s">
        <v>4648</v>
      </c>
    </row>
    <row r="560">
      <c r="A560" s="327" t="str">
        <f t="shared" si="1"/>
        <v>Mary Rose Mendoza</v>
      </c>
      <c r="B560" s="327" t="s">
        <v>4649</v>
      </c>
      <c r="C560" s="327" t="s">
        <v>4650</v>
      </c>
      <c r="D560" s="327" t="s">
        <v>4651</v>
      </c>
    </row>
    <row r="561">
      <c r="A561" s="327" t="str">
        <f t="shared" si="1"/>
        <v>Mary Rose Pastrana</v>
      </c>
      <c r="B561" s="327" t="s">
        <v>4649</v>
      </c>
      <c r="C561" s="327" t="s">
        <v>4652</v>
      </c>
      <c r="D561" s="327" t="s">
        <v>4653</v>
      </c>
    </row>
    <row r="562">
      <c r="A562" s="327" t="str">
        <f t="shared" si="1"/>
        <v>Mary Rose Kuan</v>
      </c>
      <c r="B562" s="327" t="s">
        <v>4649</v>
      </c>
      <c r="C562" s="327" t="s">
        <v>4654</v>
      </c>
      <c r="D562" s="327" t="s">
        <v>4655</v>
      </c>
    </row>
    <row r="563">
      <c r="A563" s="327" t="str">
        <f t="shared" si="1"/>
        <v>Mary Trisha Abedejos</v>
      </c>
      <c r="B563" s="327" t="s">
        <v>4656</v>
      </c>
      <c r="C563" s="327" t="s">
        <v>3340</v>
      </c>
      <c r="D563" s="327" t="s">
        <v>4657</v>
      </c>
    </row>
    <row r="564">
      <c r="A564" s="327" t="str">
        <f t="shared" si="1"/>
        <v>Mary-Ann Guilleno</v>
      </c>
      <c r="B564" s="327" t="s">
        <v>4658</v>
      </c>
      <c r="C564" s="327" t="s">
        <v>4659</v>
      </c>
      <c r="D564" s="327" t="s">
        <v>4660</v>
      </c>
    </row>
    <row r="565">
      <c r="A565" s="327" t="str">
        <f t="shared" si="1"/>
        <v>Maryknoll San Pedro</v>
      </c>
      <c r="B565" s="327" t="s">
        <v>4661</v>
      </c>
      <c r="C565" s="327" t="s">
        <v>4662</v>
      </c>
      <c r="D565" s="327" t="s">
        <v>4663</v>
      </c>
    </row>
    <row r="566">
      <c r="A566" s="327" t="str">
        <f t="shared" si="1"/>
        <v>Maryrdes Joy Soropia</v>
      </c>
      <c r="B566" s="327" t="s">
        <v>4664</v>
      </c>
      <c r="C566" s="327" t="s">
        <v>4665</v>
      </c>
      <c r="D566" s="327" t="s">
        <v>4666</v>
      </c>
    </row>
    <row r="567">
      <c r="A567" s="327" t="str">
        <f t="shared" si="1"/>
        <v>Mat Rupert Miranda</v>
      </c>
      <c r="B567" s="327" t="s">
        <v>4667</v>
      </c>
      <c r="C567" s="327" t="s">
        <v>4040</v>
      </c>
      <c r="D567" s="327" t="s">
        <v>4668</v>
      </c>
    </row>
    <row r="568">
      <c r="A568" s="327" t="str">
        <f t="shared" si="1"/>
        <v>May Anne Lacse</v>
      </c>
      <c r="B568" s="327" t="s">
        <v>4669</v>
      </c>
      <c r="C568" s="327" t="s">
        <v>4670</v>
      </c>
      <c r="D568" s="327" t="s">
        <v>4671</v>
      </c>
    </row>
    <row r="569">
      <c r="A569" s="327" t="str">
        <f t="shared" si="1"/>
        <v>May Anne Aves</v>
      </c>
      <c r="B569" s="327" t="s">
        <v>4669</v>
      </c>
      <c r="C569" s="327" t="s">
        <v>4672</v>
      </c>
      <c r="D569" s="327" t="s">
        <v>4673</v>
      </c>
    </row>
    <row r="570">
      <c r="A570" s="327" t="str">
        <f t="shared" si="1"/>
        <v>Mc Daryl Pedro</v>
      </c>
      <c r="B570" s="327" t="s">
        <v>4674</v>
      </c>
      <c r="C570" s="327" t="s">
        <v>4675</v>
      </c>
      <c r="D570" s="327" t="s">
        <v>4676</v>
      </c>
    </row>
    <row r="571">
      <c r="A571" s="327" t="str">
        <f t="shared" si="1"/>
        <v>Melanie Mendoza</v>
      </c>
      <c r="B571" s="327" t="s">
        <v>4677</v>
      </c>
      <c r="C571" s="327" t="s">
        <v>4650</v>
      </c>
      <c r="D571" s="327" t="s">
        <v>4678</v>
      </c>
    </row>
    <row r="572">
      <c r="A572" s="327" t="str">
        <f t="shared" si="1"/>
        <v>Melisa Arcamo</v>
      </c>
      <c r="B572" s="327" t="s">
        <v>4679</v>
      </c>
      <c r="C572" s="327" t="s">
        <v>4680</v>
      </c>
      <c r="D572" s="327" t="s">
        <v>4681</v>
      </c>
    </row>
    <row r="573">
      <c r="A573" s="327" t="str">
        <f t="shared" si="1"/>
        <v>Melissa Odoño</v>
      </c>
      <c r="B573" s="327" t="s">
        <v>4682</v>
      </c>
      <c r="C573" s="327" t="s">
        <v>4683</v>
      </c>
      <c r="D573" s="327" t="s">
        <v>4684</v>
      </c>
    </row>
    <row r="574">
      <c r="A574" s="327" t="str">
        <f t="shared" si="1"/>
        <v>Melva Diamante</v>
      </c>
      <c r="B574" s="327" t="s">
        <v>4685</v>
      </c>
      <c r="C574" s="327" t="s">
        <v>4686</v>
      </c>
      <c r="D574" s="327" t="s">
        <v>4687</v>
      </c>
    </row>
    <row r="575">
      <c r="A575" s="327" t="str">
        <f t="shared" si="1"/>
        <v>Melvin Moso</v>
      </c>
      <c r="B575" s="327" t="s">
        <v>4688</v>
      </c>
      <c r="C575" s="327" t="s">
        <v>4689</v>
      </c>
      <c r="D575" s="327" t="s">
        <v>4690</v>
      </c>
    </row>
    <row r="576">
      <c r="A576" s="327" t="str">
        <f t="shared" si="1"/>
        <v>Mersheil Balela</v>
      </c>
      <c r="B576" s="327" t="s">
        <v>4691</v>
      </c>
      <c r="C576" s="327" t="s">
        <v>4692</v>
      </c>
      <c r="D576" s="327" t="s">
        <v>4693</v>
      </c>
    </row>
    <row r="577">
      <c r="A577" s="327" t="str">
        <f t="shared" si="1"/>
        <v>Mhems Monfort</v>
      </c>
      <c r="B577" s="327" t="s">
        <v>4694</v>
      </c>
      <c r="C577" s="327" t="s">
        <v>4695</v>
      </c>
      <c r="D577" s="327" t="s">
        <v>4696</v>
      </c>
    </row>
    <row r="578">
      <c r="A578" s="327" t="str">
        <f t="shared" si="1"/>
        <v>Michael Montecillo</v>
      </c>
      <c r="B578" s="327" t="s">
        <v>4697</v>
      </c>
      <c r="C578" s="327" t="s">
        <v>4698</v>
      </c>
      <c r="D578" s="327" t="s">
        <v>4699</v>
      </c>
    </row>
    <row r="579">
      <c r="A579" s="327" t="str">
        <f t="shared" si="1"/>
        <v>Michael Berza</v>
      </c>
      <c r="B579" s="327" t="s">
        <v>4697</v>
      </c>
      <c r="C579" s="327" t="s">
        <v>4700</v>
      </c>
      <c r="D579" s="327" t="s">
        <v>4701</v>
      </c>
    </row>
    <row r="580">
      <c r="A580" s="327" t="str">
        <f t="shared" si="1"/>
        <v>Michael Blando</v>
      </c>
      <c r="B580" s="327" t="s">
        <v>4697</v>
      </c>
      <c r="C580" s="327" t="s">
        <v>4702</v>
      </c>
      <c r="D580" s="327" t="s">
        <v>4703</v>
      </c>
    </row>
    <row r="581">
      <c r="A581" s="327" t="str">
        <f t="shared" si="1"/>
        <v>Michael Gravamen</v>
      </c>
      <c r="B581" s="327" t="s">
        <v>4697</v>
      </c>
      <c r="C581" s="327" t="s">
        <v>4704</v>
      </c>
      <c r="D581" s="327" t="s">
        <v>4705</v>
      </c>
    </row>
    <row r="582">
      <c r="A582" s="327" t="str">
        <f t="shared" si="1"/>
        <v>Michael James Drilon</v>
      </c>
      <c r="B582" s="327" t="s">
        <v>4706</v>
      </c>
      <c r="C582" s="327" t="s">
        <v>4707</v>
      </c>
      <c r="D582" s="327" t="s">
        <v>4708</v>
      </c>
    </row>
    <row r="583">
      <c r="A583" s="327" t="str">
        <f t="shared" si="1"/>
        <v>Michelle Panopio</v>
      </c>
      <c r="B583" s="327" t="s">
        <v>4709</v>
      </c>
      <c r="C583" s="327" t="s">
        <v>4710</v>
      </c>
      <c r="D583" s="327" t="s">
        <v>4711</v>
      </c>
    </row>
    <row r="584">
      <c r="A584" s="327" t="str">
        <f t="shared" si="1"/>
        <v>Michelle Lopez</v>
      </c>
      <c r="B584" s="327" t="s">
        <v>4709</v>
      </c>
      <c r="C584" s="327" t="s">
        <v>3012</v>
      </c>
      <c r="D584" s="327" t="s">
        <v>4712</v>
      </c>
    </row>
    <row r="585">
      <c r="A585" s="327" t="str">
        <f t="shared" si="1"/>
        <v>Mickey Macasaet</v>
      </c>
      <c r="B585" s="327" t="s">
        <v>4713</v>
      </c>
      <c r="C585" s="327" t="s">
        <v>4714</v>
      </c>
      <c r="D585" s="327" t="s">
        <v>4715</v>
      </c>
    </row>
    <row r="586">
      <c r="A586" s="327" t="str">
        <f t="shared" si="1"/>
        <v>Mico Macandog</v>
      </c>
      <c r="B586" s="327" t="s">
        <v>4716</v>
      </c>
      <c r="C586" s="327" t="s">
        <v>4717</v>
      </c>
      <c r="D586" s="327" t="s">
        <v>4718</v>
      </c>
    </row>
    <row r="587">
      <c r="A587" s="327" t="str">
        <f t="shared" si="1"/>
        <v>Mikael Rae Robrigado</v>
      </c>
      <c r="B587" s="327" t="s">
        <v>4719</v>
      </c>
      <c r="C587" s="327" t="s">
        <v>4720</v>
      </c>
      <c r="D587" s="327" t="s">
        <v>4721</v>
      </c>
    </row>
    <row r="588">
      <c r="A588" s="327" t="str">
        <f t="shared" si="1"/>
        <v>Mikka Angela ElviÃ±a</v>
      </c>
      <c r="B588" s="327" t="s">
        <v>4722</v>
      </c>
      <c r="C588" s="327" t="s">
        <v>4723</v>
      </c>
      <c r="D588" s="327" t="s">
        <v>4724</v>
      </c>
    </row>
    <row r="589">
      <c r="A589" s="327" t="str">
        <f t="shared" si="1"/>
        <v>Mia Ganaden</v>
      </c>
      <c r="B589" s="327" t="s">
        <v>4725</v>
      </c>
      <c r="C589" s="327" t="s">
        <v>4726</v>
      </c>
      <c r="D589" s="327" t="s">
        <v>4727</v>
      </c>
    </row>
    <row r="590">
      <c r="A590" s="327" t="str">
        <f t="shared" si="1"/>
        <v>Miriam Hapiz</v>
      </c>
      <c r="B590" s="327" t="s">
        <v>4728</v>
      </c>
      <c r="C590" s="327" t="s">
        <v>4729</v>
      </c>
      <c r="D590" s="327" t="s">
        <v>4730</v>
      </c>
    </row>
    <row r="591">
      <c r="A591" s="327" t="str">
        <f t="shared" si="1"/>
        <v>MIS Team</v>
      </c>
      <c r="B591" s="327" t="s">
        <v>4731</v>
      </c>
      <c r="C591" s="327" t="s">
        <v>2953</v>
      </c>
      <c r="D591" s="327" t="s">
        <v>4732</v>
      </c>
    </row>
    <row r="592">
      <c r="A592" s="327" t="str">
        <f t="shared" si="1"/>
        <v>Monica Oas</v>
      </c>
      <c r="B592" s="327" t="s">
        <v>4733</v>
      </c>
      <c r="C592" s="327" t="s">
        <v>4734</v>
      </c>
      <c r="D592" s="327" t="s">
        <v>4735</v>
      </c>
    </row>
    <row r="593">
      <c r="A593" s="327" t="str">
        <f t="shared" si="1"/>
        <v>Myca Hernandez</v>
      </c>
      <c r="B593" s="327" t="s">
        <v>4736</v>
      </c>
      <c r="C593" s="327" t="s">
        <v>3777</v>
      </c>
      <c r="D593" s="327" t="s">
        <v>4737</v>
      </c>
    </row>
    <row r="594">
      <c r="A594" s="327" t="str">
        <f t="shared" si="1"/>
        <v>Mylene Cu</v>
      </c>
      <c r="B594" s="327" t="s">
        <v>4738</v>
      </c>
      <c r="C594" s="327" t="s">
        <v>4739</v>
      </c>
      <c r="D594" s="327" t="s">
        <v>4740</v>
      </c>
    </row>
    <row r="595">
      <c r="A595" s="327" t="str">
        <f t="shared" si="1"/>
        <v>Mylene Manalo</v>
      </c>
      <c r="B595" s="327" t="s">
        <v>4738</v>
      </c>
      <c r="C595" s="327" t="s">
        <v>3956</v>
      </c>
      <c r="D595" s="327" t="s">
        <v>4741</v>
      </c>
    </row>
    <row r="596">
      <c r="A596" s="327" t="str">
        <f t="shared" si="1"/>
        <v>Mylyn Botalon</v>
      </c>
      <c r="B596" s="327" t="s">
        <v>4742</v>
      </c>
      <c r="C596" s="327" t="s">
        <v>4743</v>
      </c>
      <c r="D596" s="327" t="s">
        <v>4744</v>
      </c>
    </row>
    <row r="597">
      <c r="A597" s="327" t="str">
        <f t="shared" si="1"/>
        <v>Myredeth Xyryll De Leon</v>
      </c>
      <c r="B597" s="327" t="s">
        <v>4745</v>
      </c>
      <c r="C597" s="327" t="s">
        <v>3018</v>
      </c>
      <c r="D597" s="327" t="s">
        <v>4746</v>
      </c>
    </row>
    <row r="598">
      <c r="A598" s="327" t="str">
        <f t="shared" si="1"/>
        <v>Myrna Gutierrez</v>
      </c>
      <c r="B598" s="327" t="s">
        <v>4747</v>
      </c>
      <c r="C598" s="327" t="s">
        <v>3914</v>
      </c>
      <c r="D598" s="327" t="s">
        <v>4748</v>
      </c>
    </row>
    <row r="599">
      <c r="A599" s="327" t="str">
        <f t="shared" si="1"/>
        <v>Nancy De Guia</v>
      </c>
      <c r="B599" s="327" t="s">
        <v>4749</v>
      </c>
      <c r="C599" s="327" t="s">
        <v>4750</v>
      </c>
      <c r="D599" s="327" t="s">
        <v>4751</v>
      </c>
    </row>
    <row r="600">
      <c r="A600" s="327" t="str">
        <f t="shared" si="1"/>
        <v>Nancy Montecillo</v>
      </c>
      <c r="B600" s="327" t="s">
        <v>4749</v>
      </c>
      <c r="C600" s="327" t="s">
        <v>4698</v>
      </c>
      <c r="D600" s="327" t="s">
        <v>4752</v>
      </c>
    </row>
    <row r="601">
      <c r="A601" s="327" t="str">
        <f t="shared" si="1"/>
        <v>Natalie Relampagos</v>
      </c>
      <c r="B601" s="327" t="s">
        <v>4753</v>
      </c>
      <c r="C601" s="327" t="s">
        <v>4754</v>
      </c>
      <c r="D601" s="327" t="s">
        <v>4755</v>
      </c>
    </row>
    <row r="602">
      <c r="A602" s="327" t="str">
        <f t="shared" si="1"/>
        <v>Nelson Locquiao</v>
      </c>
      <c r="B602" s="327" t="s">
        <v>4756</v>
      </c>
      <c r="C602" s="327" t="s">
        <v>4757</v>
      </c>
      <c r="D602" s="327" t="s">
        <v>4758</v>
      </c>
    </row>
    <row r="603">
      <c r="A603" s="327" t="str">
        <f t="shared" si="1"/>
        <v>Nerissa De Guzman</v>
      </c>
      <c r="B603" s="327" t="s">
        <v>4759</v>
      </c>
      <c r="C603" s="327" t="s">
        <v>4760</v>
      </c>
      <c r="D603" s="327" t="s">
        <v>4761</v>
      </c>
    </row>
    <row r="604">
      <c r="A604" s="327" t="str">
        <f t="shared" si="1"/>
        <v>Nerissa Aumentado</v>
      </c>
      <c r="B604" s="327" t="s">
        <v>4759</v>
      </c>
      <c r="C604" s="327" t="s">
        <v>4762</v>
      </c>
      <c r="D604" s="327" t="s">
        <v>4763</v>
      </c>
    </row>
    <row r="605">
      <c r="A605" s="327" t="str">
        <f t="shared" si="1"/>
        <v>Nerissa Tagulao</v>
      </c>
      <c r="B605" s="327" t="s">
        <v>4759</v>
      </c>
      <c r="C605" s="327" t="s">
        <v>4764</v>
      </c>
      <c r="D605" s="327" t="s">
        <v>4765</v>
      </c>
    </row>
    <row r="606">
      <c r="A606" s="327" t="str">
        <f t="shared" si="1"/>
        <v>Nerra Joy Romero</v>
      </c>
      <c r="B606" s="327" t="s">
        <v>4766</v>
      </c>
      <c r="C606" s="327" t="s">
        <v>4767</v>
      </c>
      <c r="D606" s="327" t="s">
        <v>4768</v>
      </c>
    </row>
    <row r="607">
      <c r="A607" s="327" t="str">
        <f t="shared" si="1"/>
        <v>Nikki Banzon</v>
      </c>
      <c r="B607" s="327" t="s">
        <v>4769</v>
      </c>
      <c r="C607" s="327" t="s">
        <v>4770</v>
      </c>
      <c r="D607" s="327" t="s">
        <v>4771</v>
      </c>
    </row>
    <row r="608">
      <c r="A608" s="327" t="str">
        <f t="shared" si="1"/>
        <v>Norielle Roldan</v>
      </c>
      <c r="B608" s="327" t="s">
        <v>4772</v>
      </c>
      <c r="C608" s="327" t="s">
        <v>4773</v>
      </c>
      <c r="D608" s="327" t="s">
        <v>4774</v>
      </c>
    </row>
    <row r="609">
      <c r="A609" s="327" t="str">
        <f t="shared" si="1"/>
        <v>Norielyn Maristanez</v>
      </c>
      <c r="B609" s="327" t="s">
        <v>4775</v>
      </c>
      <c r="C609" s="327" t="s">
        <v>4776</v>
      </c>
      <c r="D609" s="327" t="s">
        <v>4777</v>
      </c>
    </row>
    <row r="610">
      <c r="A610" s="327" t="str">
        <f t="shared" si="1"/>
        <v>Nursing College</v>
      </c>
      <c r="B610" s="327" t="s">
        <v>4778</v>
      </c>
      <c r="C610" s="327" t="s">
        <v>4779</v>
      </c>
      <c r="D610" s="327" t="s">
        <v>4780</v>
      </c>
    </row>
    <row r="611">
      <c r="A611" s="327" t="str">
        <f t="shared" si="1"/>
        <v>Office of the Security - SISC</v>
      </c>
      <c r="B611" s="327" t="s">
        <v>4781</v>
      </c>
      <c r="C611" s="327" t="s">
        <v>4782</v>
      </c>
      <c r="D611" s="327" t="s">
        <v>4783</v>
      </c>
    </row>
    <row r="612">
      <c r="A612" s="327" t="str">
        <f t="shared" si="1"/>
        <v>Onette Ventocilla</v>
      </c>
      <c r="B612" s="327" t="s">
        <v>4784</v>
      </c>
      <c r="C612" s="327" t="s">
        <v>4785</v>
      </c>
      <c r="D612" s="327" t="s">
        <v>4786</v>
      </c>
    </row>
    <row r="613">
      <c r="A613" s="327" t="str">
        <f t="shared" si="1"/>
        <v>Online Blended Learning</v>
      </c>
      <c r="B613" s="327" t="s">
        <v>4787</v>
      </c>
      <c r="C613" s="327" t="s">
        <v>4788</v>
      </c>
      <c r="D613" s="327" t="s">
        <v>4789</v>
      </c>
    </row>
    <row r="614">
      <c r="A614" s="327" t="str">
        <f t="shared" si="1"/>
        <v>Online Blended Learning</v>
      </c>
      <c r="B614" s="327" t="s">
        <v>4787</v>
      </c>
      <c r="C614" s="327" t="s">
        <v>4788</v>
      </c>
      <c r="D614" s="327" t="s">
        <v>4790</v>
      </c>
    </row>
    <row r="615">
      <c r="A615" s="327" t="str">
        <f t="shared" si="1"/>
        <v>Oscalon Baltazar</v>
      </c>
      <c r="B615" s="327" t="s">
        <v>4791</v>
      </c>
      <c r="C615" s="327" t="s">
        <v>4792</v>
      </c>
      <c r="D615" s="327" t="s">
        <v>4793</v>
      </c>
    </row>
    <row r="616">
      <c r="A616" s="327" t="str">
        <f t="shared" si="1"/>
        <v>Oscar Jr. Agorilla</v>
      </c>
      <c r="B616" s="327" t="s">
        <v>4794</v>
      </c>
      <c r="C616" s="327" t="s">
        <v>3967</v>
      </c>
      <c r="D616" s="327" t="s">
        <v>4795</v>
      </c>
    </row>
    <row r="617">
      <c r="A617" s="327" t="str">
        <f t="shared" si="1"/>
        <v>Osticket Client</v>
      </c>
      <c r="B617" s="327" t="s">
        <v>4796</v>
      </c>
      <c r="C617" s="327" t="s">
        <v>4797</v>
      </c>
      <c r="D617" s="327" t="s">
        <v>4798</v>
      </c>
    </row>
    <row r="618">
      <c r="A618" s="327" t="str">
        <f t="shared" si="1"/>
        <v>osticket support</v>
      </c>
      <c r="B618" s="327" t="s">
        <v>4799</v>
      </c>
      <c r="C618" s="327" t="s">
        <v>4800</v>
      </c>
      <c r="D618" s="327" t="s">
        <v>4801</v>
      </c>
    </row>
    <row r="619">
      <c r="A619" s="327" t="str">
        <f t="shared" si="1"/>
        <v>Overseas Linkages</v>
      </c>
      <c r="B619" s="327" t="s">
        <v>4802</v>
      </c>
      <c r="C619" s="327" t="s">
        <v>4803</v>
      </c>
      <c r="D619" s="327" t="s">
        <v>4804</v>
      </c>
    </row>
    <row r="620">
      <c r="A620" s="327" t="str">
        <f t="shared" si="1"/>
        <v>Pablo Tito David Jr</v>
      </c>
      <c r="B620" s="327" t="s">
        <v>4805</v>
      </c>
      <c r="C620" s="327" t="s">
        <v>4806</v>
      </c>
      <c r="D620" s="327" t="s">
        <v>4807</v>
      </c>
    </row>
    <row r="621">
      <c r="A621" s="327" t="str">
        <f t="shared" si="1"/>
        <v>Pamela Morales</v>
      </c>
      <c r="B621" s="327" t="s">
        <v>4808</v>
      </c>
      <c r="C621" s="327" t="s">
        <v>4809</v>
      </c>
      <c r="D621" s="327" t="s">
        <v>4810</v>
      </c>
    </row>
    <row r="622">
      <c r="A622" s="327" t="str">
        <f t="shared" si="1"/>
        <v>Paolo Angelo Leyva</v>
      </c>
      <c r="B622" s="327" t="s">
        <v>4811</v>
      </c>
      <c r="C622" s="327" t="s">
        <v>4812</v>
      </c>
      <c r="D622" s="327" t="s">
        <v>4813</v>
      </c>
    </row>
    <row r="623">
      <c r="A623" s="327" t="str">
        <f t="shared" si="1"/>
        <v>Patricia Cortez</v>
      </c>
      <c r="B623" s="327" t="s">
        <v>4814</v>
      </c>
      <c r="C623" s="327" t="s">
        <v>3072</v>
      </c>
      <c r="D623" s="327" t="s">
        <v>4815</v>
      </c>
    </row>
    <row r="624">
      <c r="A624" s="327" t="str">
        <f t="shared" si="1"/>
        <v>Patricia Anne Camandang</v>
      </c>
      <c r="B624" s="327" t="s">
        <v>4816</v>
      </c>
      <c r="C624" s="327" t="s">
        <v>4817</v>
      </c>
      <c r="D624" s="327" t="s">
        <v>4818</v>
      </c>
    </row>
    <row r="625">
      <c r="A625" s="327" t="str">
        <f t="shared" si="1"/>
        <v>Patricia Camille Patron</v>
      </c>
      <c r="B625" s="327" t="s">
        <v>4819</v>
      </c>
      <c r="C625" s="327" t="s">
        <v>4820</v>
      </c>
      <c r="D625" s="327" t="s">
        <v>4821</v>
      </c>
    </row>
    <row r="626">
      <c r="A626" s="327" t="str">
        <f t="shared" si="1"/>
        <v>Patricia Camille Ponce</v>
      </c>
      <c r="B626" s="327" t="s">
        <v>4819</v>
      </c>
      <c r="C626" s="327" t="s">
        <v>3437</v>
      </c>
      <c r="D626" s="327" t="s">
        <v>4822</v>
      </c>
    </row>
    <row r="627">
      <c r="A627" s="327" t="str">
        <f t="shared" si="1"/>
        <v>Patrick Loyola</v>
      </c>
      <c r="B627" s="327" t="s">
        <v>4823</v>
      </c>
      <c r="C627" s="327" t="s">
        <v>4824</v>
      </c>
      <c r="D627" s="327" t="s">
        <v>4825</v>
      </c>
    </row>
    <row r="628">
      <c r="A628" s="327" t="str">
        <f t="shared" si="1"/>
        <v>Patrick Edward Corvera</v>
      </c>
      <c r="B628" s="327" t="s">
        <v>4826</v>
      </c>
      <c r="C628" s="327" t="s">
        <v>4827</v>
      </c>
      <c r="D628" s="327" t="s">
        <v>4828</v>
      </c>
    </row>
    <row r="629">
      <c r="A629" s="327" t="str">
        <f t="shared" si="1"/>
        <v>Paula Bianca Tantay</v>
      </c>
      <c r="B629" s="327" t="s">
        <v>4829</v>
      </c>
      <c r="C629" s="327" t="s">
        <v>4830</v>
      </c>
      <c r="D629" s="327" t="s">
        <v>4831</v>
      </c>
    </row>
    <row r="630">
      <c r="A630" s="327" t="str">
        <f t="shared" si="1"/>
        <v>Paula Denise Hernandez</v>
      </c>
      <c r="B630" s="327" t="s">
        <v>4832</v>
      </c>
      <c r="C630" s="327" t="s">
        <v>3777</v>
      </c>
      <c r="D630" s="327" t="s">
        <v>4833</v>
      </c>
    </row>
    <row r="631">
      <c r="A631" s="327" t="str">
        <f t="shared" si="1"/>
        <v>Pauline Navarro</v>
      </c>
      <c r="B631" s="327" t="s">
        <v>4834</v>
      </c>
      <c r="C631" s="327" t="s">
        <v>4835</v>
      </c>
      <c r="D631" s="327" t="s">
        <v>4836</v>
      </c>
    </row>
    <row r="632">
      <c r="A632" s="327" t="str">
        <f t="shared" si="1"/>
        <v>Pauline Alexis Arevalo</v>
      </c>
      <c r="B632" s="327" t="s">
        <v>4837</v>
      </c>
      <c r="C632" s="327" t="s">
        <v>4838</v>
      </c>
      <c r="D632" s="327" t="s">
        <v>4839</v>
      </c>
    </row>
    <row r="633">
      <c r="A633" s="327" t="str">
        <f t="shared" si="1"/>
        <v>Pauline Rose Gregorio</v>
      </c>
      <c r="B633" s="327" t="s">
        <v>4840</v>
      </c>
      <c r="C633" s="327" t="s">
        <v>4138</v>
      </c>
      <c r="D633" s="327" t="s">
        <v>4841</v>
      </c>
    </row>
    <row r="634">
      <c r="A634" s="327" t="str">
        <f t="shared" si="1"/>
        <v>Paulo Quiniquini</v>
      </c>
      <c r="B634" s="327" t="s">
        <v>4595</v>
      </c>
      <c r="C634" s="327" t="s">
        <v>4842</v>
      </c>
      <c r="D634" s="327" t="s">
        <v>4843</v>
      </c>
    </row>
    <row r="635">
      <c r="A635" s="327" t="str">
        <f t="shared" si="1"/>
        <v>Pedrito Salvador</v>
      </c>
      <c r="B635" s="327" t="s">
        <v>4844</v>
      </c>
      <c r="C635" s="327" t="s">
        <v>4845</v>
      </c>
      <c r="D635" s="327" t="s">
        <v>4846</v>
      </c>
    </row>
    <row r="636">
      <c r="A636" s="327" t="str">
        <f t="shared" si="1"/>
        <v>Penelope Agustin</v>
      </c>
      <c r="B636" s="327" t="s">
        <v>4847</v>
      </c>
      <c r="C636" s="327" t="s">
        <v>4848</v>
      </c>
      <c r="D636" s="327" t="s">
        <v>4849</v>
      </c>
    </row>
    <row r="637">
      <c r="A637" s="327" t="str">
        <f t="shared" si="1"/>
        <v>Penelope Valdez</v>
      </c>
      <c r="B637" s="327" t="s">
        <v>4847</v>
      </c>
      <c r="C637" s="327" t="s">
        <v>4850</v>
      </c>
      <c r="D637" s="327" t="s">
        <v>4851</v>
      </c>
    </row>
    <row r="638">
      <c r="A638" s="327" t="str">
        <f t="shared" si="1"/>
        <v>Penny Mercado</v>
      </c>
      <c r="B638" s="327" t="s">
        <v>4852</v>
      </c>
      <c r="C638" s="327" t="s">
        <v>3939</v>
      </c>
      <c r="D638" s="327" t="s">
        <v>4853</v>
      </c>
    </row>
    <row r="639">
      <c r="A639" s="327" t="str">
        <f t="shared" si="1"/>
        <v>Phi anh Tatlonghari</v>
      </c>
      <c r="B639" s="327" t="s">
        <v>4854</v>
      </c>
      <c r="C639" s="327" t="s">
        <v>4855</v>
      </c>
      <c r="D639" s="327" t="s">
        <v>4856</v>
      </c>
    </row>
    <row r="640">
      <c r="A640" s="327" t="str">
        <f t="shared" si="1"/>
        <v>Precious Daluz</v>
      </c>
      <c r="B640" s="327" t="s">
        <v>4857</v>
      </c>
      <c r="C640" s="327" t="s">
        <v>4858</v>
      </c>
      <c r="D640" s="327" t="s">
        <v>4859</v>
      </c>
    </row>
    <row r="641">
      <c r="A641" s="327" t="str">
        <f t="shared" si="1"/>
        <v>Pretzel Cordero</v>
      </c>
      <c r="B641" s="327" t="s">
        <v>4860</v>
      </c>
      <c r="C641" s="327" t="s">
        <v>3069</v>
      </c>
      <c r="D641" s="327" t="s">
        <v>4861</v>
      </c>
    </row>
    <row r="642">
      <c r="A642" s="327" t="str">
        <f t="shared" si="1"/>
        <v>Qi Mao Romualdo</v>
      </c>
      <c r="B642" s="327" t="s">
        <v>4862</v>
      </c>
      <c r="C642" s="327" t="s">
        <v>4863</v>
      </c>
      <c r="D642" s="327" t="s">
        <v>4864</v>
      </c>
    </row>
    <row r="643">
      <c r="A643" s="327" t="str">
        <f t="shared" si="1"/>
        <v>Queene Balaoro</v>
      </c>
      <c r="B643" s="327" t="s">
        <v>4865</v>
      </c>
      <c r="C643" s="327" t="s">
        <v>4066</v>
      </c>
      <c r="D643" s="327" t="s">
        <v>4866</v>
      </c>
    </row>
    <row r="644">
      <c r="A644" s="327" t="str">
        <f t="shared" si="1"/>
        <v>Quennie Flores</v>
      </c>
      <c r="B644" s="327" t="s">
        <v>4867</v>
      </c>
      <c r="C644" s="327" t="s">
        <v>4868</v>
      </c>
      <c r="D644" s="327" t="s">
        <v>4869</v>
      </c>
    </row>
    <row r="645">
      <c r="A645" s="327" t="str">
        <f t="shared" si="1"/>
        <v>Raccine Marie Tiangco</v>
      </c>
      <c r="B645" s="327" t="s">
        <v>4870</v>
      </c>
      <c r="C645" s="327" t="s">
        <v>4871</v>
      </c>
      <c r="D645" s="327" t="s">
        <v>4872</v>
      </c>
    </row>
    <row r="646">
      <c r="A646" s="327" t="str">
        <f t="shared" si="1"/>
        <v>Rachel Chua</v>
      </c>
      <c r="B646" s="327" t="s">
        <v>4873</v>
      </c>
      <c r="C646" s="327" t="s">
        <v>4874</v>
      </c>
      <c r="D646" s="327" t="s">
        <v>4875</v>
      </c>
    </row>
    <row r="647">
      <c r="A647" s="327" t="str">
        <f t="shared" si="1"/>
        <v>Rahima Ona</v>
      </c>
      <c r="B647" s="327" t="s">
        <v>4876</v>
      </c>
      <c r="C647" s="327" t="s">
        <v>3760</v>
      </c>
      <c r="D647" s="327" t="s">
        <v>4877</v>
      </c>
    </row>
    <row r="648">
      <c r="A648" s="327" t="str">
        <f t="shared" si="1"/>
        <v>Ranulfa Duran</v>
      </c>
      <c r="B648" s="327" t="s">
        <v>4878</v>
      </c>
      <c r="C648" s="327" t="s">
        <v>4879</v>
      </c>
      <c r="D648" s="327" t="s">
        <v>4880</v>
      </c>
    </row>
    <row r="649">
      <c r="A649" s="327" t="str">
        <f t="shared" si="1"/>
        <v>Raquel Yu</v>
      </c>
      <c r="B649" s="327" t="s">
        <v>4881</v>
      </c>
      <c r="C649" s="327" t="s">
        <v>4882</v>
      </c>
      <c r="D649" s="327" t="s">
        <v>4883</v>
      </c>
    </row>
    <row r="650">
      <c r="A650" s="327" t="str">
        <f t="shared" si="1"/>
        <v>Raquel Plata</v>
      </c>
      <c r="B650" s="327" t="s">
        <v>4881</v>
      </c>
      <c r="C650" s="327" t="s">
        <v>4884</v>
      </c>
      <c r="D650" s="327" t="s">
        <v>4885</v>
      </c>
    </row>
    <row r="651">
      <c r="A651" s="327" t="str">
        <f t="shared" si="1"/>
        <v>Raquel Colangoy</v>
      </c>
      <c r="B651" s="327" t="s">
        <v>4881</v>
      </c>
      <c r="C651" s="327" t="s">
        <v>4886</v>
      </c>
      <c r="D651" s="327" t="s">
        <v>4887</v>
      </c>
    </row>
    <row r="652">
      <c r="A652" s="327" t="str">
        <f t="shared" si="1"/>
        <v>Raquelyn Nunez</v>
      </c>
      <c r="B652" s="327" t="s">
        <v>4888</v>
      </c>
      <c r="C652" s="327" t="s">
        <v>4889</v>
      </c>
      <c r="D652" s="327" t="s">
        <v>4890</v>
      </c>
    </row>
    <row r="653">
      <c r="A653" s="327" t="str">
        <f t="shared" si="1"/>
        <v>Raul Boledo</v>
      </c>
      <c r="B653" s="327" t="s">
        <v>4891</v>
      </c>
      <c r="C653" s="327" t="s">
        <v>4892</v>
      </c>
      <c r="D653" s="327" t="s">
        <v>4893</v>
      </c>
    </row>
    <row r="654">
      <c r="A654" s="327" t="str">
        <f t="shared" si="1"/>
        <v>Raymond Cuneta</v>
      </c>
      <c r="B654" s="327" t="s">
        <v>4894</v>
      </c>
      <c r="C654" s="327" t="s">
        <v>4895</v>
      </c>
      <c r="D654" s="327" t="s">
        <v>4896</v>
      </c>
    </row>
    <row r="655">
      <c r="A655" s="327" t="str">
        <f t="shared" si="1"/>
        <v>Raymond Joseph Calingasan</v>
      </c>
      <c r="B655" s="327" t="s">
        <v>4897</v>
      </c>
      <c r="C655" s="327" t="s">
        <v>4898</v>
      </c>
      <c r="D655" s="327" t="s">
        <v>4899</v>
      </c>
    </row>
    <row r="656">
      <c r="A656" s="327" t="str">
        <f t="shared" si="1"/>
        <v>rea celine villa</v>
      </c>
      <c r="B656" s="327" t="s">
        <v>4900</v>
      </c>
      <c r="C656" s="327" t="s">
        <v>4901</v>
      </c>
      <c r="D656" s="327" t="s">
        <v>4902</v>
      </c>
    </row>
    <row r="657">
      <c r="A657" s="327" t="str">
        <f t="shared" si="1"/>
        <v>Rebekah Canicosa</v>
      </c>
      <c r="B657" s="327" t="s">
        <v>4903</v>
      </c>
      <c r="C657" s="327" t="s">
        <v>4904</v>
      </c>
      <c r="D657" s="327" t="s">
        <v>4905</v>
      </c>
    </row>
    <row r="658">
      <c r="A658" s="327" t="str">
        <f t="shared" si="1"/>
        <v>Rechelle Sabalza</v>
      </c>
      <c r="B658" s="327" t="s">
        <v>4906</v>
      </c>
      <c r="C658" s="327" t="s">
        <v>4907</v>
      </c>
      <c r="D658" s="327" t="s">
        <v>4908</v>
      </c>
    </row>
    <row r="659">
      <c r="A659" s="327" t="str">
        <f t="shared" si="1"/>
        <v>Redante Gabanan</v>
      </c>
      <c r="B659" s="327" t="s">
        <v>4909</v>
      </c>
      <c r="C659" s="327" t="s">
        <v>4910</v>
      </c>
      <c r="D659" s="327" t="s">
        <v>4911</v>
      </c>
    </row>
    <row r="660">
      <c r="A660" s="327" t="str">
        <f t="shared" si="1"/>
        <v>Registration Support</v>
      </c>
      <c r="B660" s="327" t="s">
        <v>4912</v>
      </c>
      <c r="C660" s="327" t="s">
        <v>4913</v>
      </c>
      <c r="D660" s="327" t="s">
        <v>4914</v>
      </c>
    </row>
    <row r="661">
      <c r="A661" s="327" t="str">
        <f t="shared" si="1"/>
        <v>Remy Lagera</v>
      </c>
      <c r="B661" s="327" t="s">
        <v>4915</v>
      </c>
      <c r="C661" s="327" t="s">
        <v>4916</v>
      </c>
      <c r="D661" s="327" t="s">
        <v>4917</v>
      </c>
    </row>
    <row r="662">
      <c r="A662" s="327" t="str">
        <f t="shared" si="1"/>
        <v>Rene Aligonero</v>
      </c>
      <c r="B662" s="327" t="s">
        <v>4918</v>
      </c>
      <c r="C662" s="327" t="s">
        <v>4919</v>
      </c>
      <c r="D662" s="327" t="s">
        <v>4920</v>
      </c>
    </row>
    <row r="663">
      <c r="A663" s="327" t="str">
        <f t="shared" si="1"/>
        <v>Rene Jun De Castro</v>
      </c>
      <c r="B663" s="327" t="s">
        <v>4921</v>
      </c>
      <c r="C663" s="327" t="s">
        <v>4034</v>
      </c>
      <c r="D663" s="327" t="s">
        <v>4922</v>
      </c>
    </row>
    <row r="664">
      <c r="A664" s="327" t="str">
        <f t="shared" si="1"/>
        <v>Rennel Ardley Musni</v>
      </c>
      <c r="B664" s="327" t="s">
        <v>4923</v>
      </c>
      <c r="C664" s="327" t="s">
        <v>4924</v>
      </c>
      <c r="D664" s="327" t="s">
        <v>4925</v>
      </c>
    </row>
    <row r="665">
      <c r="A665" s="327" t="str">
        <f t="shared" si="1"/>
        <v>Rex Llonora</v>
      </c>
      <c r="B665" s="327" t="s">
        <v>4926</v>
      </c>
      <c r="C665" s="327" t="s">
        <v>4927</v>
      </c>
      <c r="D665" s="327" t="s">
        <v>4928</v>
      </c>
    </row>
    <row r="666">
      <c r="A666" s="327" t="str">
        <f t="shared" si="1"/>
        <v>Rex Wallen Tan</v>
      </c>
      <c r="B666" s="327" t="s">
        <v>4929</v>
      </c>
      <c r="C666" s="327" t="s">
        <v>3063</v>
      </c>
      <c r="D666" s="327" t="s">
        <v>4930</v>
      </c>
    </row>
    <row r="667">
      <c r="A667" s="327" t="str">
        <f t="shared" si="1"/>
        <v>Rey Soledad</v>
      </c>
      <c r="B667" s="327" t="s">
        <v>4931</v>
      </c>
      <c r="C667" s="327" t="s">
        <v>4932</v>
      </c>
      <c r="D667" s="327" t="s">
        <v>4933</v>
      </c>
    </row>
    <row r="668">
      <c r="A668" s="327" t="str">
        <f t="shared" si="1"/>
        <v>Rey Victor De Leon</v>
      </c>
      <c r="B668" s="327" t="s">
        <v>4934</v>
      </c>
      <c r="C668" s="327" t="s">
        <v>3018</v>
      </c>
      <c r="D668" s="327" t="s">
        <v>4935</v>
      </c>
    </row>
    <row r="669">
      <c r="A669" s="327" t="str">
        <f t="shared" si="1"/>
        <v>Reynaldo Cabuslay</v>
      </c>
      <c r="B669" s="327" t="s">
        <v>4936</v>
      </c>
      <c r="C669" s="327" t="s">
        <v>4937</v>
      </c>
      <c r="D669" s="327" t="s">
        <v>4938</v>
      </c>
    </row>
    <row r="670">
      <c r="A670" s="327" t="str">
        <f t="shared" si="1"/>
        <v>Reynaldo Nograles</v>
      </c>
      <c r="B670" s="327" t="s">
        <v>4936</v>
      </c>
      <c r="C670" s="327" t="s">
        <v>4939</v>
      </c>
      <c r="D670" s="327" t="s">
        <v>4940</v>
      </c>
    </row>
    <row r="671">
      <c r="A671" s="327" t="str">
        <f t="shared" si="1"/>
        <v>Rhea Benedicto</v>
      </c>
      <c r="B671" s="327" t="s">
        <v>4941</v>
      </c>
      <c r="C671" s="327" t="s">
        <v>4942</v>
      </c>
      <c r="D671" s="327" t="s">
        <v>4943</v>
      </c>
    </row>
    <row r="672">
      <c r="A672" s="327" t="str">
        <f t="shared" si="1"/>
        <v>Rhena NiÃ±a Gonzales</v>
      </c>
      <c r="B672" s="327" t="s">
        <v>4944</v>
      </c>
      <c r="C672" s="327" t="s">
        <v>3944</v>
      </c>
      <c r="D672" s="327" t="s">
        <v>4945</v>
      </c>
    </row>
    <row r="673">
      <c r="A673" s="327" t="str">
        <f t="shared" si="1"/>
        <v>Rhoda Vallado</v>
      </c>
      <c r="B673" s="327" t="s">
        <v>4946</v>
      </c>
      <c r="C673" s="327" t="s">
        <v>4947</v>
      </c>
      <c r="D673" s="327" t="s">
        <v>4948</v>
      </c>
    </row>
    <row r="674">
      <c r="A674" s="327" t="str">
        <f t="shared" si="1"/>
        <v>Rhoderick Santos</v>
      </c>
      <c r="B674" s="327" t="s">
        <v>4949</v>
      </c>
      <c r="C674" s="327" t="s">
        <v>3107</v>
      </c>
      <c r="D674" s="327" t="s">
        <v>4950</v>
      </c>
    </row>
    <row r="675">
      <c r="A675" s="327" t="str">
        <f t="shared" si="1"/>
        <v>Ria Caronongan</v>
      </c>
      <c r="B675" s="327" t="s">
        <v>4951</v>
      </c>
      <c r="C675" s="327" t="s">
        <v>4952</v>
      </c>
      <c r="D675" s="327" t="s">
        <v>4953</v>
      </c>
    </row>
    <row r="676">
      <c r="A676" s="327" t="str">
        <f t="shared" si="1"/>
        <v>Richard Nadera</v>
      </c>
      <c r="B676" s="327" t="s">
        <v>4954</v>
      </c>
      <c r="C676" s="327" t="s">
        <v>4955</v>
      </c>
      <c r="D676" s="327" t="s">
        <v>4956</v>
      </c>
    </row>
    <row r="677">
      <c r="A677" s="327" t="str">
        <f t="shared" si="1"/>
        <v>Richardo Peralta</v>
      </c>
      <c r="B677" s="327" t="s">
        <v>4957</v>
      </c>
      <c r="C677" s="327" t="s">
        <v>4549</v>
      </c>
      <c r="D677" s="327" t="s">
        <v>4958</v>
      </c>
    </row>
    <row r="678">
      <c r="A678" s="327" t="str">
        <f t="shared" si="1"/>
        <v>Richelle Millave</v>
      </c>
      <c r="B678" s="327" t="s">
        <v>4959</v>
      </c>
      <c r="C678" s="327" t="s">
        <v>4960</v>
      </c>
      <c r="D678" s="327" t="s">
        <v>4961</v>
      </c>
    </row>
    <row r="679">
      <c r="A679" s="327" t="str">
        <f t="shared" si="1"/>
        <v>Richmond Dela Vina</v>
      </c>
      <c r="B679" s="327" t="s">
        <v>4962</v>
      </c>
      <c r="C679" s="327" t="s">
        <v>4963</v>
      </c>
      <c r="D679" s="327" t="s">
        <v>4964</v>
      </c>
    </row>
    <row r="680">
      <c r="A680" s="327" t="str">
        <f t="shared" si="1"/>
        <v>Rikki Joi Capioso</v>
      </c>
      <c r="B680" s="327" t="s">
        <v>4965</v>
      </c>
      <c r="C680" s="327" t="s">
        <v>4966</v>
      </c>
      <c r="D680" s="327" t="s">
        <v>4967</v>
      </c>
    </row>
    <row r="681">
      <c r="A681" s="327" t="str">
        <f t="shared" si="1"/>
        <v>Riza Ho</v>
      </c>
      <c r="B681" s="327" t="s">
        <v>4968</v>
      </c>
      <c r="C681" s="327" t="s">
        <v>4589</v>
      </c>
      <c r="D681" s="327" t="s">
        <v>4969</v>
      </c>
    </row>
    <row r="682">
      <c r="A682" s="327" t="str">
        <f t="shared" si="1"/>
        <v>Robert Catequista</v>
      </c>
      <c r="B682" s="327" t="s">
        <v>4970</v>
      </c>
      <c r="C682" s="327" t="s">
        <v>4971</v>
      </c>
      <c r="D682" s="327" t="s">
        <v>4972</v>
      </c>
    </row>
    <row r="683">
      <c r="A683" s="327" t="str">
        <f t="shared" si="1"/>
        <v>Robert Norberte</v>
      </c>
      <c r="B683" s="327" t="s">
        <v>4970</v>
      </c>
      <c r="C683" s="327" t="s">
        <v>4973</v>
      </c>
      <c r="D683" s="327" t="s">
        <v>4974</v>
      </c>
    </row>
    <row r="684">
      <c r="A684" s="327" t="str">
        <f t="shared" si="1"/>
        <v>Robert Elrey Goce</v>
      </c>
      <c r="B684" s="327" t="s">
        <v>4976</v>
      </c>
      <c r="C684" s="327" t="s">
        <v>4977</v>
      </c>
      <c r="D684" s="327" t="s">
        <v>4978</v>
      </c>
    </row>
    <row r="685">
      <c r="A685" s="327" t="str">
        <f t="shared" si="1"/>
        <v>Rocella Lourdes Santiago</v>
      </c>
      <c r="B685" s="327" t="s">
        <v>4979</v>
      </c>
      <c r="C685" s="327" t="s">
        <v>4980</v>
      </c>
      <c r="D685" s="327" t="s">
        <v>4981</v>
      </c>
    </row>
    <row r="686">
      <c r="A686" s="327" t="str">
        <f t="shared" si="1"/>
        <v>Rod Allan A de Lara</v>
      </c>
      <c r="B686" s="327" t="s">
        <v>4982</v>
      </c>
      <c r="C686" s="327" t="s">
        <v>4983</v>
      </c>
      <c r="D686" s="327" t="s">
        <v>4984</v>
      </c>
    </row>
    <row r="687">
      <c r="A687" s="327" t="str">
        <f t="shared" si="1"/>
        <v>Rodel AcuÃ±a</v>
      </c>
      <c r="B687" s="327" t="s">
        <v>4985</v>
      </c>
      <c r="C687" s="327" t="s">
        <v>4986</v>
      </c>
      <c r="D687" s="327" t="s">
        <v>4987</v>
      </c>
    </row>
    <row r="688">
      <c r="A688" s="327" t="str">
        <f t="shared" si="1"/>
        <v>Rodel Mendoza</v>
      </c>
      <c r="B688" s="327" t="s">
        <v>4985</v>
      </c>
      <c r="C688" s="327" t="s">
        <v>4650</v>
      </c>
      <c r="D688" s="327" t="s">
        <v>4988</v>
      </c>
    </row>
    <row r="689">
      <c r="A689" s="327" t="str">
        <f t="shared" si="1"/>
        <v>Roderick Plastow</v>
      </c>
      <c r="B689" s="327" t="s">
        <v>4989</v>
      </c>
      <c r="C689" s="327" t="s">
        <v>4990</v>
      </c>
      <c r="D689" s="327" t="s">
        <v>4991</v>
      </c>
    </row>
    <row r="690">
      <c r="A690" s="327" t="str">
        <f t="shared" si="1"/>
        <v>Rodolfo Tanuan Jr</v>
      </c>
      <c r="B690" s="327" t="s">
        <v>4992</v>
      </c>
      <c r="C690" s="327" t="s">
        <v>4993</v>
      </c>
      <c r="D690" s="327" t="s">
        <v>4994</v>
      </c>
    </row>
    <row r="691">
      <c r="A691" s="327" t="str">
        <f t="shared" si="1"/>
        <v>Rogel Bico</v>
      </c>
      <c r="B691" s="327" t="s">
        <v>4995</v>
      </c>
      <c r="C691" s="327" t="s">
        <v>4996</v>
      </c>
      <c r="D691" s="327" t="s">
        <v>4997</v>
      </c>
    </row>
    <row r="692">
      <c r="A692" s="327" t="str">
        <f t="shared" si="1"/>
        <v>Rogelia Cañizares</v>
      </c>
      <c r="B692" s="327" t="s">
        <v>4998</v>
      </c>
      <c r="C692" s="327" t="s">
        <v>4999</v>
      </c>
      <c r="D692" s="327" t="s">
        <v>5000</v>
      </c>
    </row>
    <row r="693">
      <c r="A693" s="327" t="str">
        <f t="shared" si="1"/>
        <v>Roger Bartholomew</v>
      </c>
      <c r="B693" s="327" t="s">
        <v>5001</v>
      </c>
      <c r="C693" s="327" t="s">
        <v>5002</v>
      </c>
      <c r="D693" s="327" t="s">
        <v>5003</v>
      </c>
    </row>
    <row r="694">
      <c r="A694" s="327" t="str">
        <f t="shared" si="1"/>
        <v>Roie Rolice Raymundo</v>
      </c>
      <c r="B694" s="327" t="s">
        <v>5004</v>
      </c>
      <c r="C694" s="327" t="s">
        <v>3684</v>
      </c>
      <c r="D694" s="327" t="s">
        <v>5005</v>
      </c>
    </row>
    <row r="695">
      <c r="A695" s="327" t="str">
        <f t="shared" si="1"/>
        <v>Roman Baluyot</v>
      </c>
      <c r="B695" s="327" t="s">
        <v>5006</v>
      </c>
      <c r="C695" s="327" t="s">
        <v>5007</v>
      </c>
      <c r="D695" s="327" t="s">
        <v>5008</v>
      </c>
    </row>
    <row r="696">
      <c r="A696" s="327" t="str">
        <f t="shared" si="1"/>
        <v>Roman Christopher Tismo</v>
      </c>
      <c r="B696" s="327" t="s">
        <v>5009</v>
      </c>
      <c r="C696" s="327" t="s">
        <v>5010</v>
      </c>
      <c r="D696" s="327" t="s">
        <v>5011</v>
      </c>
    </row>
    <row r="697">
      <c r="A697" s="327" t="str">
        <f t="shared" si="1"/>
        <v>Roman Erricson Ogdol</v>
      </c>
      <c r="B697" s="327" t="s">
        <v>5012</v>
      </c>
      <c r="C697" s="327" t="s">
        <v>5013</v>
      </c>
      <c r="D697" s="327" t="s">
        <v>5014</v>
      </c>
    </row>
    <row r="698">
      <c r="A698" s="327" t="str">
        <f t="shared" si="1"/>
        <v>Romel Del Mundo</v>
      </c>
      <c r="B698" s="327" t="s">
        <v>5015</v>
      </c>
      <c r="C698" s="327" t="s">
        <v>4307</v>
      </c>
      <c r="D698" s="327" t="s">
        <v>5016</v>
      </c>
    </row>
    <row r="699">
      <c r="A699" s="327" t="str">
        <f t="shared" si="1"/>
        <v>Rommel Nicolas</v>
      </c>
      <c r="B699" s="327" t="s">
        <v>5017</v>
      </c>
      <c r="C699" s="327" t="s">
        <v>5018</v>
      </c>
      <c r="D699" s="327" t="s">
        <v>5019</v>
      </c>
    </row>
    <row r="700">
      <c r="A700" s="327" t="str">
        <f t="shared" si="1"/>
        <v>Romyr Reyes</v>
      </c>
      <c r="B700" s="327" t="s">
        <v>5020</v>
      </c>
      <c r="C700" s="327" t="s">
        <v>3431</v>
      </c>
      <c r="D700" s="327" t="s">
        <v>5021</v>
      </c>
    </row>
    <row r="701">
      <c r="A701" s="327" t="str">
        <f t="shared" si="1"/>
        <v>Ron Haarms</v>
      </c>
      <c r="B701" s="327" t="s">
        <v>5022</v>
      </c>
      <c r="C701" s="327" t="s">
        <v>5023</v>
      </c>
      <c r="D701" s="327" t="s">
        <v>5024</v>
      </c>
    </row>
    <row r="702">
      <c r="A702" s="327" t="str">
        <f t="shared" si="1"/>
        <v>Ron Haarms</v>
      </c>
      <c r="B702" s="327" t="s">
        <v>5022</v>
      </c>
      <c r="C702" s="327" t="s">
        <v>5023</v>
      </c>
      <c r="D702" s="327" t="s">
        <v>5025</v>
      </c>
    </row>
    <row r="703">
      <c r="A703" s="327" t="str">
        <f t="shared" si="1"/>
        <v>Ronald Ariate</v>
      </c>
      <c r="B703" s="327" t="s">
        <v>5026</v>
      </c>
      <c r="C703" s="327" t="s">
        <v>5027</v>
      </c>
      <c r="D703" s="327" t="s">
        <v>5028</v>
      </c>
    </row>
    <row r="704">
      <c r="A704" s="327" t="str">
        <f t="shared" si="1"/>
        <v>Ronald Obleno</v>
      </c>
      <c r="B704" s="327" t="s">
        <v>5026</v>
      </c>
      <c r="C704" s="327" t="s">
        <v>5029</v>
      </c>
      <c r="D704" s="327" t="s">
        <v>5030</v>
      </c>
    </row>
    <row r="705">
      <c r="A705" s="327" t="str">
        <f t="shared" si="1"/>
        <v>Ronaldo Brigino</v>
      </c>
      <c r="B705" s="327" t="s">
        <v>5031</v>
      </c>
      <c r="C705" s="327" t="s">
        <v>5032</v>
      </c>
      <c r="D705" s="327" t="s">
        <v>5033</v>
      </c>
    </row>
    <row r="706">
      <c r="A706" s="327" t="str">
        <f t="shared" si="1"/>
        <v>Ronaldo Verde</v>
      </c>
      <c r="B706" s="327" t="s">
        <v>5031</v>
      </c>
      <c r="C706" s="327" t="s">
        <v>5034</v>
      </c>
      <c r="D706" s="327" t="s">
        <v>5035</v>
      </c>
    </row>
    <row r="707">
      <c r="A707" s="327" t="str">
        <f t="shared" si="1"/>
        <v>Ronna Mirabueno</v>
      </c>
      <c r="B707" s="327" t="s">
        <v>5036</v>
      </c>
      <c r="C707" s="327" t="s">
        <v>5037</v>
      </c>
      <c r="D707" s="327" t="s">
        <v>5038</v>
      </c>
    </row>
    <row r="708">
      <c r="A708" s="327" t="str">
        <f t="shared" si="1"/>
        <v>Rory Stephen Mansbridge</v>
      </c>
      <c r="B708" s="327" t="s">
        <v>5039</v>
      </c>
      <c r="C708" s="327" t="s">
        <v>5040</v>
      </c>
      <c r="D708" s="327" t="s">
        <v>5041</v>
      </c>
    </row>
    <row r="709">
      <c r="A709" s="327" t="str">
        <f t="shared" si="1"/>
        <v>Rosalinda Caoile</v>
      </c>
      <c r="B709" s="327" t="s">
        <v>5042</v>
      </c>
      <c r="C709" s="327" t="s">
        <v>5043</v>
      </c>
      <c r="D709" s="327" t="s">
        <v>5044</v>
      </c>
    </row>
    <row r="710">
      <c r="A710" s="327" t="str">
        <f t="shared" si="1"/>
        <v>Rosanne Luancing</v>
      </c>
      <c r="B710" s="327" t="s">
        <v>5045</v>
      </c>
      <c r="C710" s="327" t="s">
        <v>5046</v>
      </c>
      <c r="D710" s="327" t="s">
        <v>5047</v>
      </c>
    </row>
    <row r="711">
      <c r="A711" s="327" t="str">
        <f t="shared" si="1"/>
        <v>Roschelle Salinas</v>
      </c>
      <c r="B711" s="327" t="s">
        <v>5048</v>
      </c>
      <c r="C711" s="327" t="s">
        <v>5049</v>
      </c>
      <c r="D711" s="327" t="s">
        <v>5050</v>
      </c>
    </row>
    <row r="712">
      <c r="A712" s="327" t="str">
        <f t="shared" si="1"/>
        <v>Rose Arenas</v>
      </c>
      <c r="B712" s="327" t="s">
        <v>5051</v>
      </c>
      <c r="C712" s="327" t="s">
        <v>5052</v>
      </c>
      <c r="D712" s="327" t="s">
        <v>5053</v>
      </c>
    </row>
    <row r="713">
      <c r="A713" s="327" t="str">
        <f t="shared" si="1"/>
        <v>Rose Anne Laydia</v>
      </c>
      <c r="B713" s="327" t="s">
        <v>5054</v>
      </c>
      <c r="C713" s="327" t="s">
        <v>5055</v>
      </c>
      <c r="D713" s="327" t="s">
        <v>5056</v>
      </c>
    </row>
    <row r="714">
      <c r="A714" s="327" t="str">
        <f t="shared" si="1"/>
        <v>Rosebell Remigio</v>
      </c>
      <c r="B714" s="327" t="s">
        <v>5057</v>
      </c>
      <c r="C714" s="327" t="s">
        <v>5058</v>
      </c>
      <c r="D714" s="327" t="s">
        <v>5059</v>
      </c>
    </row>
    <row r="715">
      <c r="A715" s="327" t="str">
        <f t="shared" si="1"/>
        <v>Rosita Manimtim</v>
      </c>
      <c r="B715" s="327" t="s">
        <v>5060</v>
      </c>
      <c r="C715" s="327" t="s">
        <v>5061</v>
      </c>
      <c r="D715" s="327" t="s">
        <v>5062</v>
      </c>
    </row>
    <row r="716">
      <c r="A716" s="327" t="str">
        <f t="shared" si="1"/>
        <v>Rowell Abello</v>
      </c>
      <c r="B716" s="327" t="s">
        <v>5063</v>
      </c>
      <c r="C716" s="327" t="s">
        <v>5064</v>
      </c>
      <c r="D716" s="327" t="s">
        <v>5065</v>
      </c>
    </row>
    <row r="717">
      <c r="A717" s="327" t="str">
        <f t="shared" si="1"/>
        <v>Rowelle Legaspi</v>
      </c>
      <c r="B717" s="327" t="s">
        <v>5066</v>
      </c>
      <c r="C717" s="327" t="s">
        <v>5067</v>
      </c>
      <c r="D717" s="327" t="s">
        <v>5068</v>
      </c>
    </row>
    <row r="718">
      <c r="A718" s="327" t="str">
        <f t="shared" si="1"/>
        <v>Rowena Sagaysay</v>
      </c>
      <c r="B718" s="327" t="s">
        <v>5069</v>
      </c>
      <c r="C718" s="327" t="s">
        <v>5070</v>
      </c>
      <c r="D718" s="327" t="s">
        <v>5071</v>
      </c>
    </row>
    <row r="719">
      <c r="A719" s="327" t="str">
        <f t="shared" si="1"/>
        <v>Rowena Castro</v>
      </c>
      <c r="B719" s="327" t="s">
        <v>5069</v>
      </c>
      <c r="C719" s="327" t="s">
        <v>5072</v>
      </c>
      <c r="D719" s="327" t="s">
        <v>5073</v>
      </c>
    </row>
    <row r="720">
      <c r="A720" s="327" t="str">
        <f t="shared" si="1"/>
        <v>Rowena Sonza Kakilala</v>
      </c>
      <c r="B720" s="327" t="s">
        <v>5074</v>
      </c>
      <c r="C720" s="327" t="s">
        <v>5075</v>
      </c>
      <c r="D720" s="327" t="s">
        <v>5076</v>
      </c>
    </row>
    <row r="721">
      <c r="A721" s="327" t="str">
        <f t="shared" si="1"/>
        <v>Roxan Victoriano</v>
      </c>
      <c r="B721" s="327" t="s">
        <v>5077</v>
      </c>
      <c r="C721" s="327" t="s">
        <v>5078</v>
      </c>
      <c r="D721" s="327" t="s">
        <v>5079</v>
      </c>
    </row>
    <row r="722">
      <c r="A722" s="327" t="str">
        <f t="shared" si="1"/>
        <v>Roy Mark Recomendable</v>
      </c>
      <c r="B722" s="327" t="s">
        <v>5080</v>
      </c>
      <c r="C722" s="327" t="s">
        <v>5081</v>
      </c>
      <c r="D722" s="327" t="s">
        <v>5082</v>
      </c>
    </row>
    <row r="723">
      <c r="A723" s="327" t="str">
        <f t="shared" si="1"/>
        <v>Ruben Bernardo IV</v>
      </c>
      <c r="B723" s="327" t="s">
        <v>5083</v>
      </c>
      <c r="C723" s="327" t="s">
        <v>5084</v>
      </c>
      <c r="D723" s="327" t="s">
        <v>5085</v>
      </c>
    </row>
    <row r="724">
      <c r="A724" s="327" t="str">
        <f t="shared" si="1"/>
        <v>Rudolph Benitez</v>
      </c>
      <c r="B724" s="327" t="s">
        <v>5086</v>
      </c>
      <c r="C724" s="327" t="s">
        <v>5087</v>
      </c>
      <c r="D724" s="327" t="s">
        <v>5088</v>
      </c>
    </row>
    <row r="725">
      <c r="A725" s="327" t="str">
        <f t="shared" si="1"/>
        <v>Rudy Ibanez</v>
      </c>
      <c r="B725" s="327" t="s">
        <v>5089</v>
      </c>
      <c r="C725" s="327" t="s">
        <v>5090</v>
      </c>
      <c r="D725" s="327" t="s">
        <v>5091</v>
      </c>
    </row>
    <row r="726">
      <c r="A726" s="327" t="str">
        <f t="shared" si="1"/>
        <v>Ruel Cajili</v>
      </c>
      <c r="B726" s="327" t="s">
        <v>5092</v>
      </c>
      <c r="C726" s="327" t="s">
        <v>5093</v>
      </c>
      <c r="D726" s="327" t="s">
        <v>5094</v>
      </c>
    </row>
    <row r="727">
      <c r="A727" s="327" t="str">
        <f t="shared" si="1"/>
        <v>Ruel Maningas</v>
      </c>
      <c r="B727" s="327" t="s">
        <v>5092</v>
      </c>
      <c r="C727" s="327" t="s">
        <v>5095</v>
      </c>
      <c r="D727" s="327" t="s">
        <v>5096</v>
      </c>
    </row>
    <row r="728">
      <c r="A728" s="327" t="str">
        <f t="shared" si="1"/>
        <v>Ruel Par</v>
      </c>
      <c r="B728" s="327" t="s">
        <v>5092</v>
      </c>
      <c r="C728" s="327" t="s">
        <v>5097</v>
      </c>
      <c r="D728" s="327" t="s">
        <v>5098</v>
      </c>
    </row>
    <row r="729">
      <c r="A729" s="327" t="str">
        <f t="shared" si="1"/>
        <v>Rushel Masilang</v>
      </c>
      <c r="B729" s="327" t="s">
        <v>5099</v>
      </c>
      <c r="C729" s="327" t="s">
        <v>5100</v>
      </c>
      <c r="D729" s="327" t="s">
        <v>5101</v>
      </c>
    </row>
    <row r="730">
      <c r="A730" s="327" t="str">
        <f t="shared" si="1"/>
        <v>Russel Del Campo</v>
      </c>
      <c r="B730" s="327" t="s">
        <v>5102</v>
      </c>
      <c r="C730" s="327" t="s">
        <v>5103</v>
      </c>
      <c r="D730" s="327" t="s">
        <v>5104</v>
      </c>
    </row>
    <row r="731">
      <c r="A731" s="327" t="str">
        <f t="shared" si="1"/>
        <v>Russelle Jolo Aramo</v>
      </c>
      <c r="B731" s="327" t="s">
        <v>5105</v>
      </c>
      <c r="C731" s="327" t="s">
        <v>5106</v>
      </c>
      <c r="D731" s="327" t="s">
        <v>5107</v>
      </c>
    </row>
    <row r="732">
      <c r="A732" s="327" t="str">
        <f t="shared" si="1"/>
        <v>Rustan Jay Mabico</v>
      </c>
      <c r="B732" s="327" t="s">
        <v>5108</v>
      </c>
      <c r="C732" s="327" t="s">
        <v>5109</v>
      </c>
      <c r="D732" s="327" t="s">
        <v>5110</v>
      </c>
    </row>
    <row r="733">
      <c r="A733" s="327" t="str">
        <f t="shared" si="1"/>
        <v>Ryan Jeff Mercado</v>
      </c>
      <c r="B733" s="327" t="s">
        <v>5111</v>
      </c>
      <c r="C733" s="327" t="s">
        <v>3939</v>
      </c>
      <c r="D733" s="327" t="s">
        <v>5112</v>
      </c>
    </row>
    <row r="734">
      <c r="A734" s="327" t="str">
        <f t="shared" si="1"/>
        <v>Ryan King Palma</v>
      </c>
      <c r="B734" s="327" t="s">
        <v>5113</v>
      </c>
      <c r="C734" s="327" t="s">
        <v>5114</v>
      </c>
      <c r="D734" s="327" t="s">
        <v>5115</v>
      </c>
    </row>
    <row r="735">
      <c r="A735" s="327" t="str">
        <f t="shared" si="1"/>
        <v>Ryk Ramos</v>
      </c>
      <c r="B735" s="327" t="s">
        <v>5116</v>
      </c>
      <c r="C735" s="327" t="s">
        <v>3090</v>
      </c>
      <c r="D735" s="327" t="s">
        <v>5117</v>
      </c>
    </row>
    <row r="736">
      <c r="A736" s="327" t="str">
        <f t="shared" si="1"/>
        <v>Sabina Panique</v>
      </c>
      <c r="B736" s="327" t="s">
        <v>5118</v>
      </c>
      <c r="C736" s="327" t="s">
        <v>5119</v>
      </c>
      <c r="D736" s="327" t="s">
        <v>5120</v>
      </c>
    </row>
    <row r="737">
      <c r="A737" s="327" t="str">
        <f t="shared" si="1"/>
        <v>Sam Bendo</v>
      </c>
      <c r="B737" s="327" t="s">
        <v>5121</v>
      </c>
      <c r="C737" s="327" t="s">
        <v>5122</v>
      </c>
      <c r="D737" s="327" t="s">
        <v>5123</v>
      </c>
    </row>
    <row r="738">
      <c r="A738" s="327" t="str">
        <f t="shared" si="1"/>
        <v>Sam Cedrick Velasco</v>
      </c>
      <c r="B738" s="327" t="s">
        <v>5124</v>
      </c>
      <c r="C738" s="327" t="s">
        <v>5125</v>
      </c>
      <c r="D738" s="327" t="s">
        <v>5126</v>
      </c>
    </row>
    <row r="739">
      <c r="A739" s="327" t="str">
        <f t="shared" si="1"/>
        <v>Samantha Ferol</v>
      </c>
      <c r="B739" s="327" t="s">
        <v>5127</v>
      </c>
      <c r="C739" s="327" t="s">
        <v>5128</v>
      </c>
      <c r="D739" s="327" t="s">
        <v>5129</v>
      </c>
    </row>
    <row r="740">
      <c r="A740" s="327" t="str">
        <f t="shared" si="1"/>
        <v>Samuel Galvez</v>
      </c>
      <c r="B740" s="327" t="s">
        <v>5130</v>
      </c>
      <c r="C740" s="327" t="s">
        <v>4570</v>
      </c>
      <c r="D740" s="327" t="s">
        <v>5131</v>
      </c>
    </row>
    <row r="741">
      <c r="A741" s="327" t="str">
        <f t="shared" si="1"/>
        <v>Sandra Roque</v>
      </c>
      <c r="B741" s="327" t="s">
        <v>5132</v>
      </c>
      <c r="C741" s="327" t="s">
        <v>5133</v>
      </c>
      <c r="D741" s="327" t="s">
        <v>5134</v>
      </c>
    </row>
    <row r="742">
      <c r="A742" s="327" t="str">
        <f t="shared" si="1"/>
        <v>Sandra Claire Dupio</v>
      </c>
      <c r="B742" s="327" t="s">
        <v>5135</v>
      </c>
      <c r="C742" s="327" t="s">
        <v>5136</v>
      </c>
      <c r="D742" s="327" t="s">
        <v>5137</v>
      </c>
    </row>
    <row r="743">
      <c r="A743" s="327" t="str">
        <f t="shared" si="1"/>
        <v>Santiana Garong</v>
      </c>
      <c r="B743" s="327" t="s">
        <v>5138</v>
      </c>
      <c r="C743" s="327" t="s">
        <v>5139</v>
      </c>
      <c r="D743" s="327" t="s">
        <v>5140</v>
      </c>
    </row>
    <row r="744">
      <c r="A744" s="327" t="str">
        <f t="shared" si="1"/>
        <v>Sarah Tecon</v>
      </c>
      <c r="B744" s="327" t="s">
        <v>5141</v>
      </c>
      <c r="C744" s="327" t="s">
        <v>5142</v>
      </c>
      <c r="D744" s="327" t="s">
        <v>5143</v>
      </c>
    </row>
    <row r="745">
      <c r="A745" s="327" t="str">
        <f t="shared" si="1"/>
        <v>Sarah Mae Velasquez</v>
      </c>
      <c r="B745" s="327" t="s">
        <v>5144</v>
      </c>
      <c r="C745" s="327" t="s">
        <v>5145</v>
      </c>
      <c r="D745" s="327" t="s">
        <v>5146</v>
      </c>
    </row>
    <row r="746">
      <c r="A746" s="327" t="str">
        <f t="shared" si="1"/>
        <v>Sary Ann Escurel</v>
      </c>
      <c r="B746" s="327" t="s">
        <v>5147</v>
      </c>
      <c r="C746" s="327" t="s">
        <v>5148</v>
      </c>
      <c r="D746" s="327" t="s">
        <v>5149</v>
      </c>
    </row>
    <row r="747">
      <c r="A747" s="327" t="str">
        <f t="shared" si="1"/>
        <v>Selena Monique Vista</v>
      </c>
      <c r="B747" s="327" t="s">
        <v>5150</v>
      </c>
      <c r="C747" s="327" t="s">
        <v>5151</v>
      </c>
      <c r="D747" s="327" t="s">
        <v>5152</v>
      </c>
    </row>
    <row r="748">
      <c r="A748" s="327" t="str">
        <f t="shared" si="1"/>
        <v>SGEN Support</v>
      </c>
      <c r="B748" s="327" t="s">
        <v>5153</v>
      </c>
      <c r="C748" s="327" t="s">
        <v>4913</v>
      </c>
      <c r="D748" s="327" t="s">
        <v>5154</v>
      </c>
    </row>
    <row r="749">
      <c r="A749" s="327" t="str">
        <f t="shared" si="1"/>
        <v>SGEN Research Review</v>
      </c>
      <c r="B749" s="327" t="s">
        <v>5153</v>
      </c>
      <c r="C749" s="327" t="s">
        <v>5155</v>
      </c>
      <c r="D749" s="327" t="s">
        <v>5156</v>
      </c>
    </row>
    <row r="750">
      <c r="A750" s="327" t="str">
        <f t="shared" si="1"/>
        <v>Sharjan Gatchalian</v>
      </c>
      <c r="B750" s="327" t="s">
        <v>5157</v>
      </c>
      <c r="C750" s="327" t="s">
        <v>5158</v>
      </c>
      <c r="D750" s="327" t="s">
        <v>5159</v>
      </c>
    </row>
    <row r="751">
      <c r="A751" s="327" t="str">
        <f t="shared" si="1"/>
        <v>Sharlyn Asajar</v>
      </c>
      <c r="B751" s="327" t="s">
        <v>5160</v>
      </c>
      <c r="C751" s="327" t="s">
        <v>5161</v>
      </c>
      <c r="D751" s="327" t="s">
        <v>5162</v>
      </c>
    </row>
    <row r="752">
      <c r="A752" s="327" t="str">
        <f t="shared" si="1"/>
        <v>Sharmaine Kristine Ginete</v>
      </c>
      <c r="B752" s="327" t="s">
        <v>5163</v>
      </c>
      <c r="C752" s="327" t="s">
        <v>5164</v>
      </c>
      <c r="D752" s="327" t="s">
        <v>5165</v>
      </c>
    </row>
    <row r="753">
      <c r="A753" s="327" t="str">
        <f t="shared" si="1"/>
        <v>Sharon FabaliÃ±a</v>
      </c>
      <c r="B753" s="327" t="s">
        <v>5166</v>
      </c>
      <c r="C753" s="327" t="s">
        <v>5167</v>
      </c>
      <c r="D753" s="327" t="s">
        <v>5168</v>
      </c>
    </row>
    <row r="754">
      <c r="A754" s="327" t="str">
        <f t="shared" si="1"/>
        <v>Sharri Anne Loraine Perolina</v>
      </c>
      <c r="B754" s="327" t="s">
        <v>5169</v>
      </c>
      <c r="C754" s="327" t="s">
        <v>5170</v>
      </c>
      <c r="D754" s="327" t="s">
        <v>5171</v>
      </c>
    </row>
    <row r="755">
      <c r="A755" s="327" t="str">
        <f t="shared" si="1"/>
        <v>Sharys Unica</v>
      </c>
      <c r="B755" s="327" t="s">
        <v>5172</v>
      </c>
      <c r="C755" s="327" t="s">
        <v>5173</v>
      </c>
      <c r="D755" s="327" t="s">
        <v>5174</v>
      </c>
    </row>
    <row r="756">
      <c r="A756" s="327" t="str">
        <f t="shared" si="1"/>
        <v>Shayne Camille Bianca Oliva</v>
      </c>
      <c r="B756" s="327" t="s">
        <v>5175</v>
      </c>
      <c r="C756" s="327" t="s">
        <v>5176</v>
      </c>
      <c r="D756" s="327" t="s">
        <v>5177</v>
      </c>
    </row>
    <row r="757">
      <c r="A757" s="327" t="str">
        <f t="shared" si="1"/>
        <v>Sheela Marie Aromin</v>
      </c>
      <c r="B757" s="327" t="s">
        <v>5178</v>
      </c>
      <c r="C757" s="327" t="s">
        <v>5179</v>
      </c>
      <c r="D757" s="327" t="s">
        <v>5180</v>
      </c>
    </row>
    <row r="758">
      <c r="A758" s="327" t="str">
        <f t="shared" si="1"/>
        <v>Sheree Espinosa</v>
      </c>
      <c r="B758" s="327" t="s">
        <v>5181</v>
      </c>
      <c r="C758" s="327" t="s">
        <v>3446</v>
      </c>
      <c r="D758" s="327" t="s">
        <v>5182</v>
      </c>
    </row>
    <row r="759">
      <c r="A759" s="327" t="str">
        <f t="shared" si="1"/>
        <v>Sherry Marie Saclot</v>
      </c>
      <c r="B759" s="327" t="s">
        <v>5183</v>
      </c>
      <c r="C759" s="327" t="s">
        <v>5184</v>
      </c>
      <c r="D759" s="327" t="s">
        <v>5185</v>
      </c>
    </row>
    <row r="760">
      <c r="A760" s="327" t="str">
        <f t="shared" si="1"/>
        <v>Sheryl Manalo</v>
      </c>
      <c r="B760" s="327" t="s">
        <v>5186</v>
      </c>
      <c r="C760" s="327" t="s">
        <v>3956</v>
      </c>
      <c r="D760" s="327" t="s">
        <v>5187</v>
      </c>
    </row>
    <row r="761">
      <c r="A761" s="327" t="str">
        <f t="shared" si="1"/>
        <v>Shiela Azon</v>
      </c>
      <c r="B761" s="327" t="s">
        <v>5188</v>
      </c>
      <c r="C761" s="327" t="s">
        <v>5189</v>
      </c>
      <c r="D761" s="327" t="s">
        <v>5190</v>
      </c>
    </row>
    <row r="762">
      <c r="A762" s="327" t="str">
        <f t="shared" si="1"/>
        <v>Shiela Mae J. Antalan</v>
      </c>
      <c r="B762" s="327" t="s">
        <v>5191</v>
      </c>
      <c r="C762" s="327" t="s">
        <v>5192</v>
      </c>
      <c r="D762" s="327" t="s">
        <v>5193</v>
      </c>
    </row>
    <row r="763">
      <c r="A763" s="327" t="str">
        <f t="shared" si="1"/>
        <v>Shiela May Cetron</v>
      </c>
      <c r="B763" s="327" t="s">
        <v>5194</v>
      </c>
      <c r="C763" s="327" t="s">
        <v>5195</v>
      </c>
      <c r="D763" s="327" t="s">
        <v>5196</v>
      </c>
    </row>
    <row r="764">
      <c r="A764" s="327" t="str">
        <f t="shared" si="1"/>
        <v>SISC Grammarly</v>
      </c>
      <c r="B764" s="327" t="s">
        <v>5197</v>
      </c>
      <c r="C764" s="327" t="s">
        <v>5198</v>
      </c>
      <c r="D764" s="327" t="s">
        <v>5199</v>
      </c>
    </row>
    <row r="765">
      <c r="A765" s="327" t="str">
        <f t="shared" si="1"/>
        <v>SISC Admin</v>
      </c>
      <c r="B765" s="327" t="s">
        <v>5197</v>
      </c>
      <c r="C765" s="327" t="s">
        <v>5200</v>
      </c>
      <c r="D765" s="327" t="s">
        <v>5201</v>
      </c>
    </row>
    <row r="766">
      <c r="A766" s="327" t="str">
        <f t="shared" si="1"/>
        <v>SISC BIR Emails</v>
      </c>
      <c r="B766" s="327" t="s">
        <v>5197</v>
      </c>
      <c r="C766" s="327" t="s">
        <v>5202</v>
      </c>
      <c r="D766" s="327" t="s">
        <v>5203</v>
      </c>
    </row>
    <row r="767">
      <c r="A767" s="327" t="str">
        <f t="shared" si="1"/>
        <v>SISFU Senior High School</v>
      </c>
      <c r="B767" s="327" t="s">
        <v>5204</v>
      </c>
      <c r="C767" s="327" t="s">
        <v>5205</v>
      </c>
      <c r="D767" s="327" t="s">
        <v>5206</v>
      </c>
    </row>
    <row r="768">
      <c r="A768" s="327" t="str">
        <f t="shared" si="1"/>
        <v>SISFU Culinary Institute</v>
      </c>
      <c r="B768" s="327" t="s">
        <v>5204</v>
      </c>
      <c r="C768" s="327" t="s">
        <v>3454</v>
      </c>
      <c r="D768" s="327" t="s">
        <v>5207</v>
      </c>
    </row>
    <row r="769">
      <c r="A769" s="327" t="str">
        <f t="shared" si="1"/>
        <v>SISFU Transportation</v>
      </c>
      <c r="B769" s="327" t="s">
        <v>5204</v>
      </c>
      <c r="C769" s="327" t="s">
        <v>5208</v>
      </c>
      <c r="D769" s="327" t="s">
        <v>5209</v>
      </c>
    </row>
    <row r="770">
      <c r="A770" s="327" t="str">
        <f t="shared" si="1"/>
        <v>SISFU Academic Support</v>
      </c>
      <c r="B770" s="327" t="s">
        <v>5204</v>
      </c>
      <c r="C770" s="327" t="s">
        <v>5210</v>
      </c>
      <c r="D770" s="327" t="s">
        <v>5211</v>
      </c>
    </row>
    <row r="771">
      <c r="A771" s="327" t="str">
        <f t="shared" si="1"/>
        <v>SISFU Alumni</v>
      </c>
      <c r="B771" s="327" t="s">
        <v>5204</v>
      </c>
      <c r="C771" s="327" t="s">
        <v>5212</v>
      </c>
      <c r="D771" s="327" t="s">
        <v>5213</v>
      </c>
    </row>
    <row r="772">
      <c r="A772" s="327" t="str">
        <f t="shared" si="1"/>
        <v>SISFU Competition</v>
      </c>
      <c r="B772" s="327" t="s">
        <v>5204</v>
      </c>
      <c r="C772" s="327" t="s">
        <v>5214</v>
      </c>
      <c r="D772" s="327" t="s">
        <v>5215</v>
      </c>
    </row>
    <row r="773">
      <c r="A773" s="327" t="str">
        <f t="shared" si="1"/>
        <v>SISFU SOBC</v>
      </c>
      <c r="B773" s="327" t="s">
        <v>5204</v>
      </c>
      <c r="C773" s="327" t="s">
        <v>5216</v>
      </c>
      <c r="D773" s="327" t="s">
        <v>5217</v>
      </c>
    </row>
    <row r="774">
      <c r="A774" s="327" t="str">
        <f t="shared" si="1"/>
        <v>SISFU Hospitality</v>
      </c>
      <c r="B774" s="327" t="s">
        <v>5204</v>
      </c>
      <c r="C774" s="327" t="s">
        <v>5218</v>
      </c>
      <c r="D774" s="327" t="s">
        <v>5219</v>
      </c>
    </row>
    <row r="775">
      <c r="A775" s="327" t="str">
        <f t="shared" si="1"/>
        <v>SISFU Registration</v>
      </c>
      <c r="B775" s="327" t="s">
        <v>5204</v>
      </c>
      <c r="C775" s="327" t="s">
        <v>4912</v>
      </c>
      <c r="D775" s="327" t="s">
        <v>5220</v>
      </c>
    </row>
    <row r="776">
      <c r="A776" s="327" t="str">
        <f t="shared" si="1"/>
        <v>SISFU SNX</v>
      </c>
      <c r="B776" s="327" t="s">
        <v>5204</v>
      </c>
      <c r="C776" s="327" t="s">
        <v>5221</v>
      </c>
      <c r="D776" s="327" t="s">
        <v>5222</v>
      </c>
    </row>
    <row r="777">
      <c r="A777" s="327" t="str">
        <f t="shared" si="1"/>
        <v>SISFU HR Support</v>
      </c>
      <c r="B777" s="327" t="s">
        <v>5204</v>
      </c>
      <c r="C777" s="327" t="s">
        <v>5223</v>
      </c>
      <c r="D777" s="327" t="s">
        <v>5224</v>
      </c>
    </row>
    <row r="778">
      <c r="A778" s="327" t="str">
        <f t="shared" si="1"/>
        <v>SISFU HR Support 2</v>
      </c>
      <c r="B778" s="327" t="s">
        <v>5204</v>
      </c>
      <c r="C778" s="327" t="s">
        <v>5225</v>
      </c>
      <c r="D778" s="327" t="s">
        <v>5226</v>
      </c>
    </row>
    <row r="779">
      <c r="A779" s="327" t="str">
        <f t="shared" si="1"/>
        <v>SISFU IT Support</v>
      </c>
      <c r="B779" s="327" t="s">
        <v>5227</v>
      </c>
      <c r="C779" s="327" t="s">
        <v>4913</v>
      </c>
      <c r="D779" s="327" t="s">
        <v>5228</v>
      </c>
    </row>
    <row r="780">
      <c r="A780" s="327" t="str">
        <f t="shared" si="1"/>
        <v>SISFU Marketing Support</v>
      </c>
      <c r="B780" s="327" t="s">
        <v>5229</v>
      </c>
      <c r="C780" s="327" t="s">
        <v>4913</v>
      </c>
      <c r="D780" s="327" t="s">
        <v>5230</v>
      </c>
    </row>
    <row r="781">
      <c r="A781" s="327" t="str">
        <f t="shared" si="1"/>
        <v>sisfu backup</v>
      </c>
      <c r="B781" s="327" t="s">
        <v>5231</v>
      </c>
      <c r="C781" s="327" t="s">
        <v>5232</v>
      </c>
      <c r="D781" s="327" t="s">
        <v>5233</v>
      </c>
    </row>
    <row r="782">
      <c r="A782" s="327" t="str">
        <f t="shared" si="1"/>
        <v>SJFinMan SJFinMan</v>
      </c>
      <c r="B782" s="327" t="s">
        <v>5234</v>
      </c>
      <c r="C782" s="327" t="s">
        <v>5234</v>
      </c>
      <c r="D782" s="327" t="s">
        <v>5235</v>
      </c>
    </row>
    <row r="783">
      <c r="A783" s="327" t="str">
        <f t="shared" si="1"/>
        <v>South SEED LPDH College</v>
      </c>
      <c r="B783" s="327" t="s">
        <v>5236</v>
      </c>
      <c r="C783" s="327" t="s">
        <v>5237</v>
      </c>
      <c r="D783" s="327" t="s">
        <v>5238</v>
      </c>
    </row>
    <row r="784">
      <c r="A784" s="327" t="str">
        <f t="shared" si="1"/>
        <v>Southville Privacy</v>
      </c>
      <c r="B784" s="327" t="s">
        <v>3455</v>
      </c>
      <c r="C784" s="327" t="s">
        <v>5239</v>
      </c>
      <c r="D784" s="327" t="s">
        <v>5240</v>
      </c>
    </row>
    <row r="785">
      <c r="A785" s="327" t="str">
        <f t="shared" si="1"/>
        <v>Southville MBA</v>
      </c>
      <c r="B785" s="327" t="s">
        <v>3455</v>
      </c>
      <c r="C785" s="327" t="s">
        <v>5241</v>
      </c>
      <c r="D785" s="327" t="s">
        <v>5242</v>
      </c>
    </row>
    <row r="786">
      <c r="A786" s="327" t="str">
        <f t="shared" si="1"/>
        <v>Southville Support</v>
      </c>
      <c r="B786" s="327" t="s">
        <v>3455</v>
      </c>
      <c r="C786" s="327" t="s">
        <v>4913</v>
      </c>
      <c r="D786" s="327" t="s">
        <v>5243</v>
      </c>
    </row>
    <row r="787">
      <c r="A787" s="327" t="str">
        <f t="shared" si="1"/>
        <v>Southville Computer Society</v>
      </c>
      <c r="B787" s="327" t="s">
        <v>3455</v>
      </c>
      <c r="C787" s="327" t="s">
        <v>5244</v>
      </c>
      <c r="D787" s="327" t="s">
        <v>5245</v>
      </c>
    </row>
    <row r="788">
      <c r="A788" s="327" t="str">
        <f t="shared" si="1"/>
        <v>Southville For Others SGEN</v>
      </c>
      <c r="B788" s="327" t="s">
        <v>5246</v>
      </c>
      <c r="C788" s="327" t="s">
        <v>5153</v>
      </c>
      <c r="D788" s="327" t="s">
        <v>5247</v>
      </c>
    </row>
    <row r="789">
      <c r="A789" s="327" t="str">
        <f t="shared" si="1"/>
        <v>SSLC Email</v>
      </c>
      <c r="B789" s="327" t="s">
        <v>5248</v>
      </c>
      <c r="C789" s="327" t="s">
        <v>5249</v>
      </c>
      <c r="D789" s="327" t="s">
        <v>5250</v>
      </c>
    </row>
    <row r="790">
      <c r="A790" s="327" t="str">
        <f t="shared" si="1"/>
        <v>Sulayman Plaridel Peralta</v>
      </c>
      <c r="B790" s="327" t="s">
        <v>5251</v>
      </c>
      <c r="C790" s="327" t="s">
        <v>4549</v>
      </c>
      <c r="D790" s="327" t="s">
        <v>5252</v>
      </c>
    </row>
    <row r="791">
      <c r="A791" s="327" t="str">
        <f t="shared" si="1"/>
        <v>Sunny Ban</v>
      </c>
      <c r="B791" s="327" t="s">
        <v>5253</v>
      </c>
      <c r="C791" s="327" t="s">
        <v>5254</v>
      </c>
      <c r="D791" s="327" t="s">
        <v>5255</v>
      </c>
    </row>
    <row r="792">
      <c r="A792" s="327" t="str">
        <f t="shared" si="1"/>
        <v>Support Staff</v>
      </c>
      <c r="B792" s="327" t="s">
        <v>4913</v>
      </c>
      <c r="C792" s="327" t="s">
        <v>5256</v>
      </c>
      <c r="D792" s="327" t="s">
        <v>5257</v>
      </c>
    </row>
    <row r="793">
      <c r="A793" s="327" t="str">
        <f t="shared" si="1"/>
        <v>Susan Lara</v>
      </c>
      <c r="B793" s="327" t="s">
        <v>5258</v>
      </c>
      <c r="C793" s="327" t="s">
        <v>5259</v>
      </c>
      <c r="D793" s="327" t="s">
        <v>5260</v>
      </c>
    </row>
    <row r="794">
      <c r="A794" s="327" t="str">
        <f t="shared" si="1"/>
        <v>Suzette Bongalosa</v>
      </c>
      <c r="B794" s="327" t="s">
        <v>5261</v>
      </c>
      <c r="C794" s="327" t="s">
        <v>5262</v>
      </c>
      <c r="D794" s="327" t="s">
        <v>5263</v>
      </c>
    </row>
    <row r="795">
      <c r="A795" s="327" t="str">
        <f t="shared" si="1"/>
        <v>Syra Logatoc</v>
      </c>
      <c r="B795" s="327" t="s">
        <v>5264</v>
      </c>
      <c r="C795" s="327" t="s">
        <v>5265</v>
      </c>
      <c r="D795" s="327" t="s">
        <v>5266</v>
      </c>
    </row>
    <row r="796">
      <c r="A796" s="327" t="str">
        <f t="shared" si="1"/>
        <v>Syra Jean Palma</v>
      </c>
      <c r="B796" s="327" t="s">
        <v>5267</v>
      </c>
      <c r="C796" s="327" t="s">
        <v>5114</v>
      </c>
      <c r="D796" s="327" t="s">
        <v>5268</v>
      </c>
    </row>
    <row r="797">
      <c r="A797" s="327" t="str">
        <f t="shared" si="1"/>
        <v>Tala Alzona</v>
      </c>
      <c r="B797" s="327" t="s">
        <v>5269</v>
      </c>
      <c r="C797" s="327" t="s">
        <v>5270</v>
      </c>
      <c r="D797" s="327" t="s">
        <v>5271</v>
      </c>
    </row>
    <row r="798">
      <c r="A798" s="327" t="str">
        <f t="shared" si="1"/>
        <v>Taylor Center</v>
      </c>
      <c r="B798" s="327" t="s">
        <v>5272</v>
      </c>
      <c r="C798" s="327" t="s">
        <v>5273</v>
      </c>
      <c r="D798" s="327" t="s">
        <v>5274</v>
      </c>
    </row>
    <row r="799">
      <c r="A799" s="327" t="str">
        <f t="shared" si="1"/>
        <v>Test Account</v>
      </c>
      <c r="B799" s="327" t="s">
        <v>5275</v>
      </c>
      <c r="C799" s="327" t="s">
        <v>5276</v>
      </c>
      <c r="D799" s="327" t="s">
        <v>5277</v>
      </c>
    </row>
    <row r="800">
      <c r="A800" s="327" t="str">
        <f t="shared" si="1"/>
        <v>Thefanie Balon</v>
      </c>
      <c r="B800" s="327" t="s">
        <v>5278</v>
      </c>
      <c r="C800" s="327" t="s">
        <v>5279</v>
      </c>
      <c r="D800" s="327" t="s">
        <v>5280</v>
      </c>
    </row>
    <row r="801">
      <c r="A801" s="327" t="str">
        <f t="shared" si="1"/>
        <v>Thelma Anteola</v>
      </c>
      <c r="B801" s="327" t="s">
        <v>5281</v>
      </c>
      <c r="C801" s="327" t="s">
        <v>5282</v>
      </c>
      <c r="D801" s="327" t="s">
        <v>5283</v>
      </c>
    </row>
    <row r="802">
      <c r="A802" s="327" t="str">
        <f t="shared" si="1"/>
        <v>Thelma Badon</v>
      </c>
      <c r="B802" s="327" t="s">
        <v>5281</v>
      </c>
      <c r="C802" s="327" t="s">
        <v>5284</v>
      </c>
      <c r="D802" s="327" t="s">
        <v>5285</v>
      </c>
    </row>
    <row r="803">
      <c r="A803" s="327" t="str">
        <f t="shared" si="1"/>
        <v>Timothy L. Tabanao</v>
      </c>
      <c r="B803" s="327" t="s">
        <v>5286</v>
      </c>
      <c r="C803" s="327" t="s">
        <v>5287</v>
      </c>
      <c r="D803" s="327" t="s">
        <v>5288</v>
      </c>
    </row>
    <row r="804">
      <c r="A804" s="327" t="str">
        <f t="shared" si="1"/>
        <v>Titania Marie Telado</v>
      </c>
      <c r="B804" s="327" t="s">
        <v>5289</v>
      </c>
      <c r="C804" s="327" t="s">
        <v>5290</v>
      </c>
      <c r="D804" s="327" t="s">
        <v>5291</v>
      </c>
    </row>
    <row r="805">
      <c r="A805" s="327" t="str">
        <f t="shared" si="1"/>
        <v>Toribio Cayanan</v>
      </c>
      <c r="B805" s="327" t="s">
        <v>5292</v>
      </c>
      <c r="C805" s="327" t="s">
        <v>5293</v>
      </c>
      <c r="D805" s="327" t="s">
        <v>5294</v>
      </c>
    </row>
    <row r="806">
      <c r="A806" s="327" t="str">
        <f t="shared" si="1"/>
        <v>TQM Steering Committee</v>
      </c>
      <c r="B806" s="327" t="s">
        <v>5295</v>
      </c>
      <c r="C806" s="327" t="s">
        <v>5296</v>
      </c>
      <c r="D806" s="327" t="s">
        <v>5297</v>
      </c>
    </row>
    <row r="807">
      <c r="A807" s="327" t="str">
        <f t="shared" si="1"/>
        <v>Trisha Tan</v>
      </c>
      <c r="B807" s="327" t="s">
        <v>5298</v>
      </c>
      <c r="C807" s="327" t="s">
        <v>3063</v>
      </c>
      <c r="D807" s="327" t="s">
        <v>5299</v>
      </c>
    </row>
    <row r="808">
      <c r="A808" s="327" t="str">
        <f t="shared" si="1"/>
        <v>Trisha Frances Abarrientos</v>
      </c>
      <c r="B808" s="327" t="s">
        <v>5300</v>
      </c>
      <c r="C808" s="327" t="s">
        <v>5301</v>
      </c>
      <c r="D808" s="327" t="s">
        <v>5302</v>
      </c>
    </row>
    <row r="809">
      <c r="A809" s="327" t="str">
        <f t="shared" si="1"/>
        <v>Trishia Janine Atienza</v>
      </c>
      <c r="B809" s="327" t="s">
        <v>5303</v>
      </c>
      <c r="C809" s="327" t="s">
        <v>5304</v>
      </c>
      <c r="D809" s="327" t="s">
        <v>5305</v>
      </c>
    </row>
    <row r="810">
      <c r="A810" s="327" t="str">
        <f t="shared" si="1"/>
        <v>Valine Divinagracia</v>
      </c>
      <c r="B810" s="327" t="s">
        <v>5306</v>
      </c>
      <c r="C810" s="327" t="s">
        <v>5307</v>
      </c>
      <c r="D810" s="327" t="s">
        <v>5308</v>
      </c>
    </row>
    <row r="811">
      <c r="A811" s="327" t="str">
        <f t="shared" si="1"/>
        <v>Vanessa Gazzingan</v>
      </c>
      <c r="B811" s="327" t="s">
        <v>5309</v>
      </c>
      <c r="C811" s="327" t="s">
        <v>5310</v>
      </c>
      <c r="D811" s="327" t="s">
        <v>5311</v>
      </c>
    </row>
    <row r="812">
      <c r="A812" s="327" t="str">
        <f t="shared" si="1"/>
        <v>Vanessa Kabigting</v>
      </c>
      <c r="B812" s="327" t="s">
        <v>5309</v>
      </c>
      <c r="C812" s="327" t="s">
        <v>5312</v>
      </c>
      <c r="D812" s="327" t="s">
        <v>5313</v>
      </c>
    </row>
    <row r="813">
      <c r="A813" s="327" t="str">
        <f t="shared" si="1"/>
        <v>Vanessa Andal</v>
      </c>
      <c r="B813" s="327" t="s">
        <v>5309</v>
      </c>
      <c r="C813" s="327" t="s">
        <v>5314</v>
      </c>
      <c r="D813" s="327" t="s">
        <v>5315</v>
      </c>
    </row>
    <row r="814">
      <c r="A814" s="327" t="str">
        <f t="shared" si="1"/>
        <v>Venice Chiao</v>
      </c>
      <c r="B814" s="327" t="s">
        <v>5316</v>
      </c>
      <c r="C814" s="327" t="s">
        <v>5317</v>
      </c>
      <c r="D814" s="327" t="s">
        <v>5318</v>
      </c>
    </row>
    <row r="815">
      <c r="A815" s="327" t="str">
        <f t="shared" si="1"/>
        <v>Verianne Gel Gutierrez</v>
      </c>
      <c r="B815" s="327" t="s">
        <v>5319</v>
      </c>
      <c r="C815" s="327" t="s">
        <v>3914</v>
      </c>
      <c r="D815" s="327" t="s">
        <v>5320</v>
      </c>
    </row>
    <row r="816">
      <c r="A816" s="327" t="str">
        <f t="shared" si="1"/>
        <v>Vhince Manaloto</v>
      </c>
      <c r="B816" s="327" t="s">
        <v>5321</v>
      </c>
      <c r="C816" s="327" t="s">
        <v>5322</v>
      </c>
      <c r="D816" s="327" t="s">
        <v>5323</v>
      </c>
    </row>
    <row r="817">
      <c r="A817" s="327" t="str">
        <f t="shared" si="1"/>
        <v>Vic Manabat</v>
      </c>
      <c r="B817" s="327" t="s">
        <v>5324</v>
      </c>
      <c r="C817" s="327" t="s">
        <v>5325</v>
      </c>
      <c r="D817" s="327" t="s">
        <v>5326</v>
      </c>
    </row>
    <row r="818">
      <c r="A818" s="327" t="str">
        <f t="shared" si="1"/>
        <v>Vina Gavilano</v>
      </c>
      <c r="B818" s="327" t="s">
        <v>5327</v>
      </c>
      <c r="C818" s="327" t="s">
        <v>5328</v>
      </c>
      <c r="D818" s="327" t="s">
        <v>5329</v>
      </c>
    </row>
    <row r="819">
      <c r="A819" s="327" t="str">
        <f t="shared" si="1"/>
        <v>Vincent Halili</v>
      </c>
      <c r="B819" s="327" t="s">
        <v>5330</v>
      </c>
      <c r="C819" s="327" t="s">
        <v>5331</v>
      </c>
      <c r="D819" s="327" t="s">
        <v>5332</v>
      </c>
    </row>
    <row r="820">
      <c r="A820" s="327" t="str">
        <f t="shared" si="1"/>
        <v>Violeta Revoltar</v>
      </c>
      <c r="B820" s="327" t="s">
        <v>5333</v>
      </c>
      <c r="C820" s="327" t="s">
        <v>5334</v>
      </c>
      <c r="D820" s="327" t="s">
        <v>5335</v>
      </c>
    </row>
    <row r="821">
      <c r="A821" s="327" t="str">
        <f t="shared" si="1"/>
        <v>Violeta Alducente</v>
      </c>
      <c r="B821" s="327" t="s">
        <v>5333</v>
      </c>
      <c r="C821" s="327" t="s">
        <v>5336</v>
      </c>
      <c r="D821" s="327" t="s">
        <v>5337</v>
      </c>
    </row>
    <row r="822">
      <c r="A822" s="327" t="str">
        <f t="shared" si="1"/>
        <v>Virgil Josef Morales</v>
      </c>
      <c r="B822" s="327" t="s">
        <v>5338</v>
      </c>
      <c r="C822" s="327" t="s">
        <v>4809</v>
      </c>
      <c r="D822" s="327" t="s">
        <v>5339</v>
      </c>
    </row>
    <row r="823">
      <c r="A823" s="327" t="str">
        <f t="shared" si="1"/>
        <v>Virginia Lineses</v>
      </c>
      <c r="B823" s="327" t="s">
        <v>5340</v>
      </c>
      <c r="C823" s="327" t="s">
        <v>5341</v>
      </c>
      <c r="D823" s="327" t="s">
        <v>5342</v>
      </c>
    </row>
    <row r="824">
      <c r="A824" s="327" t="str">
        <f t="shared" si="1"/>
        <v>Virna Angelly Magbitang</v>
      </c>
      <c r="B824" s="327" t="s">
        <v>5343</v>
      </c>
      <c r="C824" s="327" t="s">
        <v>5344</v>
      </c>
      <c r="D824" s="327" t="s">
        <v>5345</v>
      </c>
    </row>
    <row r="825">
      <c r="A825" s="327" t="str">
        <f t="shared" si="1"/>
        <v>Voz Patrick Andrada</v>
      </c>
      <c r="B825" s="327" t="s">
        <v>5346</v>
      </c>
      <c r="C825" s="327" t="s">
        <v>5347</v>
      </c>
      <c r="D825" s="327" t="s">
        <v>5348</v>
      </c>
    </row>
    <row r="826">
      <c r="A826" s="327" t="str">
        <f t="shared" si="1"/>
        <v>Wilbert Beltran</v>
      </c>
      <c r="B826" s="327" t="s">
        <v>5349</v>
      </c>
      <c r="C826" s="327" t="s">
        <v>5350</v>
      </c>
      <c r="D826" s="327" t="s">
        <v>5351</v>
      </c>
    </row>
    <row r="827">
      <c r="A827" s="327" t="str">
        <f t="shared" si="1"/>
        <v>William Njiondo</v>
      </c>
      <c r="B827" s="327" t="s">
        <v>5352</v>
      </c>
      <c r="C827" s="327" t="s">
        <v>5353</v>
      </c>
      <c r="D827" s="327" t="s">
        <v>5354</v>
      </c>
    </row>
    <row r="828">
      <c r="A828" s="327" t="str">
        <f t="shared" si="1"/>
        <v>Ynna Majella Panganiban</v>
      </c>
      <c r="B828" s="327" t="s">
        <v>5355</v>
      </c>
      <c r="C828" s="327" t="s">
        <v>5356</v>
      </c>
      <c r="D828" s="327" t="s">
        <v>5357</v>
      </c>
    </row>
    <row r="829">
      <c r="A829" s="327" t="str">
        <f t="shared" si="1"/>
        <v>Yzelle Xaira Dela Rea</v>
      </c>
      <c r="B829" s="327" t="s">
        <v>5358</v>
      </c>
      <c r="C829" s="327" t="s">
        <v>5359</v>
      </c>
      <c r="D829" s="327" t="s">
        <v>5360</v>
      </c>
    </row>
    <row r="830">
      <c r="A830" s="327" t="str">
        <f t="shared" si="1"/>
        <v>Zarah Eunice Velasquez</v>
      </c>
      <c r="B830" s="327" t="s">
        <v>5361</v>
      </c>
      <c r="C830" s="327" t="s">
        <v>5145</v>
      </c>
      <c r="D830" s="327" t="s">
        <v>5362</v>
      </c>
    </row>
    <row r="831">
      <c r="A831" s="327" t="str">
        <f t="shared" si="1"/>
        <v>Zendel Ann Zuniga</v>
      </c>
      <c r="B831" s="327" t="s">
        <v>5363</v>
      </c>
      <c r="C831" s="327" t="s">
        <v>5364</v>
      </c>
      <c r="D831" s="327" t="s">
        <v>5365</v>
      </c>
    </row>
    <row r="832">
      <c r="A832" s="327" t="str">
        <f t="shared" si="1"/>
        <v>Zhang Yaya</v>
      </c>
      <c r="B832" s="327" t="s">
        <v>5366</v>
      </c>
      <c r="C832" s="327" t="s">
        <v>5367</v>
      </c>
      <c r="D832" s="327" t="s">
        <v>5368</v>
      </c>
    </row>
    <row r="833">
      <c r="A833" s="327" t="str">
        <f t="shared" si="1"/>
        <v>Eleazar Guevarra</v>
      </c>
      <c r="B833" s="328" t="s">
        <v>5369</v>
      </c>
      <c r="C833" s="328" t="s">
        <v>5370</v>
      </c>
      <c r="D833" s="328" t="s">
        <v>5371</v>
      </c>
    </row>
    <row r="834">
      <c r="A834" s="327" t="str">
        <f t="shared" si="1"/>
        <v>Ronnel Calvendra</v>
      </c>
      <c r="B834" s="328" t="s">
        <v>5372</v>
      </c>
      <c r="C834" s="328" t="s">
        <v>5373</v>
      </c>
      <c r="D834" s="328" t="s">
        <v>5374</v>
      </c>
    </row>
    <row r="835">
      <c r="A835" s="327" t="str">
        <f t="shared" si="1"/>
        <v>Darwin Delos Reyes</v>
      </c>
      <c r="B835" s="328" t="s">
        <v>3483</v>
      </c>
      <c r="C835" s="328" t="s">
        <v>5375</v>
      </c>
      <c r="D835" s="328" t="s">
        <v>5376</v>
      </c>
    </row>
    <row r="836">
      <c r="A836" s="327" t="str">
        <f t="shared" si="1"/>
        <v>Jossa Marie Gallanosa</v>
      </c>
      <c r="B836" s="328" t="s">
        <v>5377</v>
      </c>
      <c r="C836" s="328" t="s">
        <v>5378</v>
      </c>
      <c r="D836" s="328" t="s">
        <v>5379</v>
      </c>
    </row>
    <row r="837">
      <c r="A837" s="327" t="str">
        <f t="shared" si="1"/>
        <v>Sharon Lotino</v>
      </c>
      <c r="B837" s="328" t="s">
        <v>5166</v>
      </c>
      <c r="C837" s="328" t="s">
        <v>5380</v>
      </c>
      <c r="D837" s="328" t="s">
        <v>5381</v>
      </c>
    </row>
    <row r="838">
      <c r="A838" s="327" t="str">
        <f t="shared" si="1"/>
        <v>Irish Fernando</v>
      </c>
      <c r="B838" s="328" t="s">
        <v>5382</v>
      </c>
      <c r="C838" s="328" t="s">
        <v>5383</v>
      </c>
      <c r="D838" s="328" t="s">
        <v>5384</v>
      </c>
    </row>
    <row r="839">
      <c r="A839" s="327" t="str">
        <f t="shared" si="1"/>
        <v>Raceter Necosia</v>
      </c>
      <c r="B839" s="328" t="s">
        <v>5385</v>
      </c>
      <c r="C839" s="328" t="s">
        <v>3699</v>
      </c>
      <c r="D839" s="328" t="s">
        <v>5386</v>
      </c>
    </row>
    <row r="840">
      <c r="A840" s="327" t="str">
        <f t="shared" si="1"/>
        <v>Genevieve Oliva</v>
      </c>
      <c r="B840" s="328" t="s">
        <v>3757</v>
      </c>
      <c r="C840" s="328" t="s">
        <v>5176</v>
      </c>
      <c r="D840" s="328" t="s">
        <v>5387</v>
      </c>
    </row>
    <row r="841">
      <c r="A841" s="327" t="str">
        <f t="shared" si="1"/>
        <v>Sheila Mae Fabellar</v>
      </c>
      <c r="B841" s="328" t="s">
        <v>5388</v>
      </c>
      <c r="C841" s="328" t="s">
        <v>5389</v>
      </c>
      <c r="D841" s="328" t="s">
        <v>5390</v>
      </c>
    </row>
    <row r="842">
      <c r="A842" s="327" t="str">
        <f t="shared" si="1"/>
        <v>Donna Rose Ocampo</v>
      </c>
      <c r="B842" s="328" t="s">
        <v>5391</v>
      </c>
      <c r="C842" s="328" t="s">
        <v>5392</v>
      </c>
      <c r="D842" s="328" t="s">
        <v>5393</v>
      </c>
    </row>
    <row r="843">
      <c r="A843" s="327" t="str">
        <f t="shared" si="1"/>
        <v>Windy Lyn Puli</v>
      </c>
      <c r="B843" s="328" t="s">
        <v>5394</v>
      </c>
      <c r="C843" s="328" t="s">
        <v>5395</v>
      </c>
      <c r="D843" s="329" t="s">
        <v>5396</v>
      </c>
    </row>
    <row r="844">
      <c r="A844" s="327" t="str">
        <f t="shared" si="1"/>
        <v>Gilbert Magallanes</v>
      </c>
      <c r="B844" s="328" t="s">
        <v>5397</v>
      </c>
      <c r="C844" s="328" t="s">
        <v>5398</v>
      </c>
      <c r="D844" s="328" t="s">
        <v>5399</v>
      </c>
    </row>
    <row r="845">
      <c r="A845" s="327" t="str">
        <f t="shared" si="1"/>
        <v>Marinel Martinez</v>
      </c>
      <c r="B845" s="328" t="s">
        <v>5400</v>
      </c>
      <c r="C845" s="328" t="s">
        <v>4643</v>
      </c>
      <c r="D845" s="328" t="s">
        <v>5401</v>
      </c>
    </row>
    <row r="846">
      <c r="A846" s="327" t="str">
        <f t="shared" si="1"/>
        <v>Nhyssa Adaoag</v>
      </c>
      <c r="B846" s="328" t="s">
        <v>5402</v>
      </c>
      <c r="C846" s="328" t="s">
        <v>5403</v>
      </c>
      <c r="D846" s="328" t="s">
        <v>5404</v>
      </c>
    </row>
    <row r="847">
      <c r="A847" s="327" t="str">
        <f t="shared" si="1"/>
        <v>Samuel Raiz</v>
      </c>
      <c r="B847" s="328" t="s">
        <v>5130</v>
      </c>
      <c r="C847" s="328" t="s">
        <v>5405</v>
      </c>
      <c r="D847" s="328" t="s">
        <v>5406</v>
      </c>
    </row>
    <row r="848">
      <c r="A848" s="327" t="str">
        <f t="shared" si="1"/>
        <v>Angeline Dumlao</v>
      </c>
      <c r="B848" s="328" t="s">
        <v>5407</v>
      </c>
      <c r="C848" s="328" t="s">
        <v>5408</v>
      </c>
      <c r="D848" s="328" t="s">
        <v>5409</v>
      </c>
    </row>
    <row r="849">
      <c r="A849" s="327" t="str">
        <f t="shared" si="1"/>
        <v>Kayziel Tadiaque</v>
      </c>
      <c r="B849" s="328" t="s">
        <v>5410</v>
      </c>
      <c r="C849" s="328" t="s">
        <v>5411</v>
      </c>
      <c r="D849" s="328" t="s">
        <v>5412</v>
      </c>
    </row>
    <row r="850">
      <c r="A850" s="327" t="str">
        <f t="shared" si="1"/>
        <v>Katrina Dela Cruz</v>
      </c>
      <c r="B850" s="328" t="s">
        <v>4263</v>
      </c>
      <c r="C850" s="328" t="s">
        <v>3231</v>
      </c>
      <c r="D850" s="328" t="s">
        <v>5413</v>
      </c>
    </row>
    <row r="851">
      <c r="A851" s="327" t="str">
        <f t="shared" si="1"/>
        <v>Ann Christonette Dela Isla</v>
      </c>
      <c r="B851" s="328" t="s">
        <v>5414</v>
      </c>
      <c r="C851" s="328" t="s">
        <v>5415</v>
      </c>
      <c r="D851" s="328" t="s">
        <v>5416</v>
      </c>
    </row>
    <row r="852">
      <c r="A852" s="327" t="str">
        <f t="shared" si="1"/>
        <v>Jairel Marvin Marasigan</v>
      </c>
      <c r="B852" s="328" t="s">
        <v>5417</v>
      </c>
      <c r="C852" s="328" t="s">
        <v>5418</v>
      </c>
      <c r="D852" s="328" t="s">
        <v>5419</v>
      </c>
    </row>
    <row r="853">
      <c r="A853" s="327" t="str">
        <f t="shared" si="1"/>
        <v>Jordan Manlapaz</v>
      </c>
      <c r="B853" s="328" t="s">
        <v>5420</v>
      </c>
      <c r="C853" s="328" t="s">
        <v>5421</v>
      </c>
      <c r="D853" s="328" t="s">
        <v>5422</v>
      </c>
    </row>
    <row r="854">
      <c r="A854" s="327" t="str">
        <f t="shared" si="1"/>
        <v>Reba Jeanne Casapao</v>
      </c>
      <c r="B854" s="328" t="s">
        <v>5423</v>
      </c>
      <c r="C854" s="328" t="s">
        <v>5424</v>
      </c>
      <c r="D854" s="328" t="s">
        <v>5425</v>
      </c>
    </row>
    <row r="855">
      <c r="A855" s="327" t="str">
        <f t="shared" si="1"/>
        <v>Wen Charls Macmac</v>
      </c>
      <c r="B855" s="328" t="s">
        <v>5426</v>
      </c>
      <c r="C855" s="328" t="s">
        <v>5427</v>
      </c>
      <c r="D855" s="328" t="s">
        <v>5428</v>
      </c>
    </row>
    <row r="856">
      <c r="A856" s="327" t="str">
        <f t="shared" si="1"/>
        <v>Joseph Wong</v>
      </c>
      <c r="B856" s="328" t="s">
        <v>4134</v>
      </c>
      <c r="C856" s="328" t="s">
        <v>5429</v>
      </c>
      <c r="D856" s="328" t="s">
        <v>5430</v>
      </c>
    </row>
    <row r="857">
      <c r="A857" s="327" t="str">
        <f t="shared" si="1"/>
        <v>John Carlo Campit</v>
      </c>
      <c r="B857" s="328" t="s">
        <v>5431</v>
      </c>
      <c r="C857" s="328" t="s">
        <v>5432</v>
      </c>
      <c r="D857" s="328" t="s">
        <v>5433</v>
      </c>
    </row>
    <row r="858">
      <c r="A858" s="327" t="str">
        <f t="shared" si="1"/>
        <v>Elaine Mae Mejos</v>
      </c>
      <c r="B858" s="328" t="s">
        <v>5434</v>
      </c>
      <c r="C858" s="328" t="s">
        <v>5435</v>
      </c>
      <c r="D858" s="328" t="s">
        <v>5436</v>
      </c>
    </row>
    <row r="859">
      <c r="A859" s="327" t="str">
        <f t="shared" si="1"/>
        <v>Esperanza Modesto</v>
      </c>
      <c r="B859" s="328" t="s">
        <v>5437</v>
      </c>
      <c r="C859" s="328" t="s">
        <v>5438</v>
      </c>
      <c r="D859" s="328" t="s">
        <v>5439</v>
      </c>
    </row>
    <row r="860">
      <c r="A860" s="327" t="str">
        <f t="shared" si="1"/>
        <v>Kathleen Anne Calison</v>
      </c>
      <c r="B860" s="328" t="s">
        <v>5440</v>
      </c>
      <c r="C860" s="328" t="s">
        <v>5441</v>
      </c>
      <c r="D860" s="328" t="s">
        <v>5442</v>
      </c>
    </row>
    <row r="861">
      <c r="A861" s="327" t="str">
        <f t="shared" si="1"/>
        <v>Christopher Madrid</v>
      </c>
      <c r="B861" s="328" t="s">
        <v>3406</v>
      </c>
      <c r="C861" s="328" t="s">
        <v>5443</v>
      </c>
      <c r="D861" s="328" t="s">
        <v>5444</v>
      </c>
    </row>
    <row r="862">
      <c r="A862" s="327" t="str">
        <f t="shared" si="1"/>
        <v>Elmie Laudiato</v>
      </c>
      <c r="B862" s="328" t="s">
        <v>5445</v>
      </c>
      <c r="C862" s="328" t="s">
        <v>5446</v>
      </c>
      <c r="D862" s="328" t="s">
        <v>5447</v>
      </c>
    </row>
    <row r="863">
      <c r="A863" s="327" t="str">
        <f t="shared" si="1"/>
        <v>Abegael Labradores</v>
      </c>
      <c r="B863" s="328" t="s">
        <v>5448</v>
      </c>
      <c r="C863" s="328" t="s">
        <v>5449</v>
      </c>
      <c r="D863" s="328" t="s">
        <v>5450</v>
      </c>
    </row>
    <row r="864">
      <c r="A864" s="327" t="str">
        <f t="shared" si="1"/>
        <v>James Edward Banate</v>
      </c>
      <c r="B864" s="328" t="s">
        <v>5451</v>
      </c>
      <c r="C864" s="328" t="s">
        <v>5452</v>
      </c>
      <c r="D864" s="328" t="s">
        <v>5453</v>
      </c>
    </row>
    <row r="865">
      <c r="A865" s="327" t="str">
        <f t="shared" si="1"/>
        <v>Ma. Raquel Dagami</v>
      </c>
      <c r="B865" s="328" t="s">
        <v>5454</v>
      </c>
      <c r="C865" s="328" t="s">
        <v>5455</v>
      </c>
      <c r="D865" s="328" t="s">
        <v>5456</v>
      </c>
    </row>
    <row r="866">
      <c r="A866" s="327" t="str">
        <f t="shared" si="1"/>
        <v>Arvin Ello</v>
      </c>
      <c r="B866" s="328" t="s">
        <v>5457</v>
      </c>
      <c r="C866" s="328" t="s">
        <v>5458</v>
      </c>
      <c r="D866" s="328" t="s">
        <v>5459</v>
      </c>
    </row>
    <row r="867">
      <c r="A867" s="327" t="str">
        <f t="shared" si="1"/>
        <v>Rochel Ann Gregorio</v>
      </c>
      <c r="B867" s="328" t="s">
        <v>5460</v>
      </c>
      <c r="C867" s="328" t="s">
        <v>4138</v>
      </c>
      <c r="D867" s="328" t="s">
        <v>5461</v>
      </c>
    </row>
    <row r="868">
      <c r="A868" s="327" t="str">
        <f t="shared" si="1"/>
        <v>Paulino Nathaniel Zamesa III</v>
      </c>
      <c r="B868" s="328" t="s">
        <v>5462</v>
      </c>
      <c r="C868" s="328" t="s">
        <v>5463</v>
      </c>
      <c r="D868" s="328" t="s">
        <v>5464</v>
      </c>
    </row>
    <row r="869">
      <c r="A869" s="327" t="str">
        <f t="shared" si="1"/>
        <v>Peter James Agada</v>
      </c>
      <c r="B869" s="328" t="s">
        <v>5465</v>
      </c>
      <c r="C869" s="328" t="s">
        <v>5466</v>
      </c>
      <c r="D869" s="328" t="s">
        <v>5467</v>
      </c>
    </row>
    <row r="870">
      <c r="A870" s="327" t="str">
        <f t="shared" si="1"/>
        <v>Edilberto Hidalgo Jr.</v>
      </c>
      <c r="B870" s="328" t="s">
        <v>5468</v>
      </c>
      <c r="C870" s="328" t="s">
        <v>5469</v>
      </c>
      <c r="D870" s="329" t="s">
        <v>5470</v>
      </c>
    </row>
    <row r="871">
      <c r="A871" s="327" t="str">
        <f t="shared" si="1"/>
        <v>Dan Lo  Famador</v>
      </c>
      <c r="B871" s="328" t="s">
        <v>5471</v>
      </c>
      <c r="C871" s="328" t="s">
        <v>5472</v>
      </c>
      <c r="D871" s="328" t="s">
        <v>5473</v>
      </c>
    </row>
    <row r="872">
      <c r="A872" s="327" t="str">
        <f t="shared" si="1"/>
        <v> </v>
      </c>
      <c r="B872" s="328"/>
      <c r="C872" s="328"/>
      <c r="D872" s="330" t="s">
        <v>2964</v>
      </c>
    </row>
    <row r="873">
      <c r="A873" s="327" t="str">
        <f t="shared" si="1"/>
        <v> </v>
      </c>
      <c r="B873" s="328"/>
      <c r="C873" s="328"/>
      <c r="D873" s="331" t="s">
        <v>5474</v>
      </c>
    </row>
    <row r="874">
      <c r="A874" s="327" t="str">
        <f t="shared" si="1"/>
        <v> </v>
      </c>
      <c r="B874" s="328"/>
      <c r="C874" s="328"/>
      <c r="D874" s="328" t="s">
        <v>5475</v>
      </c>
    </row>
    <row r="875">
      <c r="A875" s="327" t="str">
        <f t="shared" si="1"/>
        <v> </v>
      </c>
      <c r="B875" s="328"/>
      <c r="C875" s="328"/>
      <c r="D875" s="328" t="s">
        <v>5476</v>
      </c>
    </row>
    <row r="876">
      <c r="A876" s="327" t="str">
        <f t="shared" si="1"/>
        <v>Christina  Canong</v>
      </c>
      <c r="B876" s="328" t="s">
        <v>5477</v>
      </c>
      <c r="C876" s="328" t="s">
        <v>5478</v>
      </c>
      <c r="D876" s="328" t="s">
        <v>5479</v>
      </c>
    </row>
    <row r="877">
      <c r="A877" s="327" t="str">
        <f t="shared" si="1"/>
        <v>Ador Marinda</v>
      </c>
      <c r="B877" s="328" t="s">
        <v>5480</v>
      </c>
      <c r="C877" s="328" t="s">
        <v>5481</v>
      </c>
      <c r="D877" s="328" t="s">
        <v>5482</v>
      </c>
    </row>
    <row r="878">
      <c r="A878" s="327" t="str">
        <f t="shared" si="1"/>
        <v>Temotie Diosay</v>
      </c>
      <c r="B878" s="328" t="s">
        <v>5483</v>
      </c>
      <c r="C878" s="328" t="s">
        <v>5484</v>
      </c>
      <c r="D878" s="328" t="s">
        <v>5485</v>
      </c>
    </row>
    <row r="879">
      <c r="A879" s="327" t="str">
        <f t="shared" si="1"/>
        <v>Jomel Butial</v>
      </c>
      <c r="B879" s="328" t="s">
        <v>5486</v>
      </c>
      <c r="C879" s="328" t="s">
        <v>5487</v>
      </c>
      <c r="D879" s="328" t="s">
        <v>5488</v>
      </c>
    </row>
    <row r="880">
      <c r="A880" s="327" t="str">
        <f t="shared" si="1"/>
        <v>Jomarie Torres</v>
      </c>
      <c r="B880" s="328" t="s">
        <v>5489</v>
      </c>
      <c r="C880" s="328" t="s">
        <v>5490</v>
      </c>
      <c r="D880" s="328" t="s">
        <v>5491</v>
      </c>
    </row>
    <row r="881">
      <c r="A881" s="327" t="str">
        <f t="shared" si="1"/>
        <v>Beatrice Saminiano</v>
      </c>
      <c r="B881" s="328" t="s">
        <v>5492</v>
      </c>
      <c r="C881" s="328" t="s">
        <v>5493</v>
      </c>
      <c r="D881" s="328" t="s">
        <v>5494</v>
      </c>
    </row>
    <row r="882">
      <c r="A882" s="327" t="str">
        <f t="shared" si="1"/>
        <v>Vergilio Jr. De Villa</v>
      </c>
      <c r="B882" s="328" t="s">
        <v>5495</v>
      </c>
      <c r="C882" s="328" t="s">
        <v>5496</v>
      </c>
      <c r="D882" s="328" t="s">
        <v>5497</v>
      </c>
    </row>
    <row r="883">
      <c r="A883" s="327" t="str">
        <f t="shared" si="1"/>
        <v>Jyster Residuo</v>
      </c>
      <c r="B883" s="328" t="s">
        <v>5498</v>
      </c>
      <c r="C883" s="328" t="s">
        <v>5499</v>
      </c>
      <c r="D883" s="328" t="s">
        <v>5500</v>
      </c>
    </row>
    <row r="884">
      <c r="A884" s="327" t="str">
        <f t="shared" si="1"/>
        <v>Maurine Dollesin</v>
      </c>
      <c r="B884" s="328" t="s">
        <v>5501</v>
      </c>
      <c r="C884" s="328" t="s">
        <v>5502</v>
      </c>
      <c r="D884" s="328" t="s">
        <v>5503</v>
      </c>
    </row>
    <row r="885">
      <c r="A885" s="327" t="str">
        <f t="shared" si="1"/>
        <v>John Roezel Fuentes</v>
      </c>
      <c r="B885" s="328" t="s">
        <v>5504</v>
      </c>
      <c r="C885" s="328" t="s">
        <v>5505</v>
      </c>
      <c r="D885" s="328" t="s">
        <v>5506</v>
      </c>
    </row>
    <row r="886">
      <c r="A886" s="327" t="str">
        <f t="shared" si="1"/>
        <v>Dominic Javier</v>
      </c>
      <c r="B886" s="328" t="s">
        <v>5507</v>
      </c>
      <c r="C886" s="328" t="s">
        <v>5508</v>
      </c>
      <c r="D886" s="328" t="s">
        <v>5509</v>
      </c>
    </row>
    <row r="887">
      <c r="A887" s="327" t="str">
        <f t="shared" si="1"/>
        <v>Jancel Pradillada</v>
      </c>
      <c r="B887" s="328" t="s">
        <v>5510</v>
      </c>
      <c r="C887" s="328" t="s">
        <v>5511</v>
      </c>
      <c r="D887" s="328" t="s">
        <v>5512</v>
      </c>
    </row>
    <row r="888">
      <c r="A888" s="327" t="str">
        <f t="shared" si="1"/>
        <v>Hazel Loui De Guzman</v>
      </c>
      <c r="B888" s="328" t="s">
        <v>5513</v>
      </c>
      <c r="C888" s="328" t="s">
        <v>4760</v>
      </c>
      <c r="D888" s="328" t="s">
        <v>5475</v>
      </c>
    </row>
    <row r="889">
      <c r="A889" s="327" t="str">
        <f t="shared" si="1"/>
        <v>Darcy Anne Encabo</v>
      </c>
      <c r="B889" s="328" t="s">
        <v>5514</v>
      </c>
      <c r="C889" s="328" t="s">
        <v>5515</v>
      </c>
      <c r="D889" s="328" t="s">
        <v>5516</v>
      </c>
    </row>
    <row r="890">
      <c r="A890" s="327" t="str">
        <f t="shared" si="1"/>
        <v>Jommel Espigol</v>
      </c>
      <c r="B890" s="328" t="s">
        <v>5517</v>
      </c>
      <c r="C890" s="328" t="s">
        <v>5518</v>
      </c>
      <c r="D890" s="328" t="s">
        <v>5519</v>
      </c>
    </row>
    <row r="891">
      <c r="A891" s="327" t="str">
        <f t="shared" si="1"/>
        <v>Elizamae Gaw</v>
      </c>
      <c r="B891" s="328" t="s">
        <v>5520</v>
      </c>
      <c r="C891" s="328" t="s">
        <v>5521</v>
      </c>
      <c r="D891" s="328" t="s">
        <v>5522</v>
      </c>
    </row>
    <row r="892">
      <c r="A892" s="327" t="str">
        <f t="shared" si="1"/>
        <v>Rica Jeena Bautista</v>
      </c>
      <c r="B892" s="328" t="s">
        <v>5523</v>
      </c>
      <c r="C892" s="328" t="s">
        <v>4395</v>
      </c>
      <c r="D892" s="328" t="s">
        <v>5524</v>
      </c>
    </row>
    <row r="893">
      <c r="A893" s="327" t="str">
        <f t="shared" si="1"/>
        <v>Ellaine Gimenez</v>
      </c>
      <c r="B893" s="328" t="s">
        <v>5525</v>
      </c>
      <c r="C893" s="328" t="s">
        <v>5526</v>
      </c>
      <c r="D893" s="328" t="s">
        <v>5527</v>
      </c>
    </row>
    <row r="894">
      <c r="A894" s="327" t="str">
        <f t="shared" si="1"/>
        <v>Bea Dela Cruz</v>
      </c>
      <c r="B894" s="328" t="s">
        <v>5528</v>
      </c>
      <c r="C894" s="328" t="s">
        <v>3231</v>
      </c>
      <c r="D894" s="328" t="s">
        <v>5529</v>
      </c>
    </row>
    <row r="895">
      <c r="A895" s="327" t="str">
        <f t="shared" si="1"/>
        <v>Joseph Orbeso</v>
      </c>
      <c r="B895" s="328" t="s">
        <v>4134</v>
      </c>
      <c r="C895" s="328" t="s">
        <v>5530</v>
      </c>
      <c r="D895" s="328" t="s">
        <v>5531</v>
      </c>
    </row>
    <row r="896">
      <c r="A896" s="327" t="str">
        <f t="shared" si="1"/>
        <v>Erik Lloyd Timpug</v>
      </c>
      <c r="B896" s="328" t="s">
        <v>5532</v>
      </c>
      <c r="C896" s="328" t="s">
        <v>5533</v>
      </c>
      <c r="D896" s="328" t="s">
        <v>5534</v>
      </c>
    </row>
    <row r="897">
      <c r="A897" s="327" t="str">
        <f t="shared" si="1"/>
        <v>Tamika Kiarra Fernandez</v>
      </c>
      <c r="B897" s="328" t="s">
        <v>5535</v>
      </c>
      <c r="C897" s="328" t="s">
        <v>3694</v>
      </c>
      <c r="D897" s="328" t="s">
        <v>5536</v>
      </c>
    </row>
    <row r="898">
      <c r="A898" s="327" t="str">
        <f t="shared" si="1"/>
        <v>Klariza Jisele Crisostomo</v>
      </c>
      <c r="B898" s="328" t="s">
        <v>5537</v>
      </c>
      <c r="C898" s="328" t="s">
        <v>3434</v>
      </c>
      <c r="D898" s="328" t="s">
        <v>5538</v>
      </c>
    </row>
    <row r="899">
      <c r="A899" s="327" t="str">
        <f t="shared" si="1"/>
        <v>Jeanefer Lee</v>
      </c>
      <c r="B899" s="328" t="s">
        <v>5540</v>
      </c>
      <c r="C899" s="328" t="s">
        <v>5541</v>
      </c>
      <c r="D899" s="328" t="s">
        <v>5542</v>
      </c>
    </row>
    <row r="900">
      <c r="A900" s="327" t="str">
        <f t="shared" si="1"/>
        <v>Hanna Grace San Esteban</v>
      </c>
      <c r="B900" s="328" t="s">
        <v>5543</v>
      </c>
      <c r="C900" s="328" t="s">
        <v>5544</v>
      </c>
      <c r="D900" s="328" t="s">
        <v>5545</v>
      </c>
    </row>
    <row r="901">
      <c r="A901" s="327" t="str">
        <f t="shared" si="1"/>
        <v>Ronalyn Cortez</v>
      </c>
      <c r="B901" s="328" t="s">
        <v>5546</v>
      </c>
      <c r="C901" s="328" t="s">
        <v>3072</v>
      </c>
      <c r="D901" s="328" t="s">
        <v>5547</v>
      </c>
    </row>
    <row r="902">
      <c r="A902" s="327" t="str">
        <f t="shared" si="1"/>
        <v>JR Padre</v>
      </c>
      <c r="B902" s="328" t="s">
        <v>5548</v>
      </c>
      <c r="C902" s="328" t="s">
        <v>5549</v>
      </c>
      <c r="D902" s="328" t="s">
        <v>5550</v>
      </c>
    </row>
    <row r="903">
      <c r="A903" s="327" t="str">
        <f t="shared" si="1"/>
        <v>Jessabel Ariscon</v>
      </c>
      <c r="B903" s="328" t="s">
        <v>5551</v>
      </c>
      <c r="C903" s="328" t="s">
        <v>5552</v>
      </c>
      <c r="D903" s="328" t="s">
        <v>5553</v>
      </c>
    </row>
    <row r="904">
      <c r="A904" s="327" t="str">
        <f t="shared" si="1"/>
        <v>Abeer Napoco</v>
      </c>
      <c r="B904" s="328" t="s">
        <v>5554</v>
      </c>
      <c r="C904" s="328" t="s">
        <v>5555</v>
      </c>
      <c r="D904" s="328" t="s">
        <v>5556</v>
      </c>
    </row>
    <row r="905">
      <c r="A905" s="327" t="str">
        <f t="shared" si="1"/>
        <v>Jesuit Christian Galicia</v>
      </c>
      <c r="B905" s="328" t="s">
        <v>5557</v>
      </c>
      <c r="C905" s="328" t="s">
        <v>5558</v>
      </c>
      <c r="D905" s="328" t="s">
        <v>5559</v>
      </c>
    </row>
    <row r="906">
      <c r="A906" s="327" t="str">
        <f t="shared" si="1"/>
        <v>Gio Fuentes</v>
      </c>
      <c r="B906" s="328" t="s">
        <v>5560</v>
      </c>
      <c r="C906" s="328" t="s">
        <v>5505</v>
      </c>
      <c r="D906" s="328" t="s">
        <v>5561</v>
      </c>
    </row>
    <row r="907">
      <c r="A907" s="327" t="str">
        <f t="shared" si="1"/>
        <v> </v>
      </c>
      <c r="B907" s="328"/>
      <c r="C907" s="328"/>
      <c r="D907" s="328"/>
    </row>
    <row r="908">
      <c r="A908" s="327" t="str">
        <f t="shared" si="1"/>
        <v> </v>
      </c>
      <c r="B908" s="328"/>
      <c r="C908" s="328"/>
      <c r="D908" s="328"/>
    </row>
    <row r="909">
      <c r="A909" s="327" t="str">
        <f t="shared" si="1"/>
        <v> </v>
      </c>
      <c r="B909" s="328"/>
      <c r="C909" s="328"/>
      <c r="D909" s="328"/>
    </row>
    <row r="910">
      <c r="A910" s="327" t="str">
        <f t="shared" si="1"/>
        <v> </v>
      </c>
      <c r="B910" s="328"/>
      <c r="C910" s="328"/>
      <c r="D910" s="328"/>
    </row>
    <row r="911">
      <c r="A911" s="327" t="str">
        <f t="shared" si="1"/>
        <v> </v>
      </c>
      <c r="B911" s="328"/>
      <c r="C911" s="328"/>
      <c r="D911" s="328"/>
    </row>
    <row r="912">
      <c r="A912" s="327" t="str">
        <f t="shared" si="1"/>
        <v> </v>
      </c>
      <c r="B912" s="328"/>
      <c r="C912" s="328"/>
      <c r="D912" s="328"/>
    </row>
    <row r="913">
      <c r="A913" s="327" t="str">
        <f t="shared" si="1"/>
        <v> </v>
      </c>
      <c r="B913" s="328"/>
      <c r="C913" s="328"/>
      <c r="D913" s="328"/>
    </row>
    <row r="914">
      <c r="A914" s="327" t="str">
        <f t="shared" si="1"/>
        <v> </v>
      </c>
      <c r="B914" s="328"/>
      <c r="C914" s="328"/>
      <c r="D914" s="328"/>
    </row>
    <row r="915">
      <c r="A915" s="327" t="str">
        <f t="shared" si="1"/>
        <v> </v>
      </c>
      <c r="B915" s="328"/>
      <c r="C915" s="328"/>
      <c r="D915" s="328"/>
    </row>
    <row r="916">
      <c r="A916" s="327" t="str">
        <f t="shared" si="1"/>
        <v> </v>
      </c>
      <c r="B916" s="328"/>
      <c r="C916" s="328"/>
      <c r="D916" s="328"/>
    </row>
    <row r="917">
      <c r="A917" s="327" t="str">
        <f t="shared" si="1"/>
        <v> </v>
      </c>
      <c r="B917" s="328"/>
      <c r="C917" s="328"/>
      <c r="D917" s="328"/>
    </row>
    <row r="918">
      <c r="A918" s="327" t="str">
        <f t="shared" si="1"/>
        <v> </v>
      </c>
      <c r="B918" s="328"/>
      <c r="C918" s="328"/>
      <c r="D918" s="328"/>
    </row>
    <row r="919">
      <c r="A919" s="327" t="str">
        <f t="shared" si="1"/>
        <v> </v>
      </c>
      <c r="B919" s="328"/>
      <c r="C919" s="328"/>
      <c r="D919" s="328"/>
    </row>
    <row r="920">
      <c r="A920" s="327" t="str">
        <f t="shared" si="1"/>
        <v> </v>
      </c>
      <c r="B920" s="328"/>
      <c r="C920" s="328"/>
      <c r="D920" s="328"/>
    </row>
    <row r="921">
      <c r="A921" s="327" t="str">
        <f t="shared" si="1"/>
        <v> </v>
      </c>
      <c r="B921" s="328"/>
      <c r="C921" s="328"/>
      <c r="D921" s="328"/>
    </row>
    <row r="922">
      <c r="A922" s="327" t="str">
        <f t="shared" si="1"/>
        <v> </v>
      </c>
      <c r="B922" s="328"/>
      <c r="C922" s="328"/>
      <c r="D922" s="328"/>
    </row>
    <row r="923">
      <c r="A923" s="327" t="str">
        <f t="shared" si="1"/>
        <v> </v>
      </c>
      <c r="B923" s="328"/>
      <c r="C923" s="328"/>
      <c r="D923" s="328"/>
    </row>
    <row r="924">
      <c r="A924" s="327" t="str">
        <f t="shared" si="1"/>
        <v> </v>
      </c>
      <c r="B924" s="328"/>
      <c r="C924" s="328"/>
      <c r="D924" s="328"/>
    </row>
    <row r="925">
      <c r="A925" s="327" t="str">
        <f t="shared" si="1"/>
        <v> </v>
      </c>
      <c r="B925" s="328"/>
      <c r="C925" s="328"/>
      <c r="D925" s="328"/>
    </row>
    <row r="926">
      <c r="A926" s="327" t="str">
        <f t="shared" si="1"/>
        <v> </v>
      </c>
      <c r="B926" s="328"/>
      <c r="C926" s="328"/>
      <c r="D926" s="328"/>
    </row>
    <row r="927">
      <c r="A927" s="327" t="str">
        <f t="shared" si="1"/>
        <v> </v>
      </c>
      <c r="B927" s="328"/>
      <c r="C927" s="328"/>
      <c r="D927" s="328"/>
    </row>
    <row r="928">
      <c r="A928" s="327" t="str">
        <f t="shared" si="1"/>
        <v> </v>
      </c>
      <c r="B928" s="328"/>
      <c r="C928" s="328"/>
      <c r="D928" s="328"/>
    </row>
    <row r="929">
      <c r="A929" s="327" t="str">
        <f t="shared" si="1"/>
        <v> </v>
      </c>
      <c r="B929" s="328"/>
      <c r="C929" s="328"/>
      <c r="D929" s="328"/>
    </row>
    <row r="930">
      <c r="A930" s="327" t="str">
        <f t="shared" si="1"/>
        <v> </v>
      </c>
      <c r="B930" s="328"/>
      <c r="C930" s="328"/>
      <c r="D930" s="328"/>
    </row>
    <row r="931">
      <c r="A931" s="327" t="str">
        <f t="shared" si="1"/>
        <v> </v>
      </c>
      <c r="B931" s="328"/>
      <c r="C931" s="328"/>
      <c r="D931" s="328"/>
    </row>
    <row r="932">
      <c r="A932" s="327" t="str">
        <f t="shared" si="1"/>
        <v> </v>
      </c>
      <c r="B932" s="328"/>
      <c r="C932" s="328"/>
      <c r="D932" s="328"/>
    </row>
    <row r="933">
      <c r="A933" s="327" t="str">
        <f t="shared" si="1"/>
        <v> </v>
      </c>
      <c r="B933" s="328"/>
      <c r="C933" s="328"/>
      <c r="D933" s="328"/>
    </row>
    <row r="934">
      <c r="A934" s="327" t="str">
        <f t="shared" si="1"/>
        <v> </v>
      </c>
      <c r="B934" s="328"/>
      <c r="C934" s="328"/>
      <c r="D934" s="328"/>
    </row>
    <row r="935">
      <c r="A935" s="327" t="str">
        <f t="shared" si="1"/>
        <v> </v>
      </c>
      <c r="B935" s="328"/>
      <c r="C935" s="328"/>
      <c r="D935" s="328"/>
    </row>
    <row r="936">
      <c r="A936" s="327" t="str">
        <f t="shared" si="1"/>
        <v> </v>
      </c>
      <c r="B936" s="328"/>
      <c r="C936" s="328"/>
      <c r="D936" s="328"/>
    </row>
    <row r="937">
      <c r="A937" s="327" t="str">
        <f t="shared" si="1"/>
        <v> </v>
      </c>
      <c r="B937" s="328"/>
      <c r="C937" s="328"/>
      <c r="D937" s="328"/>
    </row>
    <row r="938">
      <c r="A938" s="327" t="str">
        <f t="shared" si="1"/>
        <v> </v>
      </c>
      <c r="B938" s="328"/>
      <c r="C938" s="328"/>
      <c r="D938" s="328"/>
    </row>
    <row r="939">
      <c r="A939" s="327" t="str">
        <f t="shared" si="1"/>
        <v> </v>
      </c>
      <c r="B939" s="328"/>
      <c r="C939" s="328"/>
      <c r="D939" s="328"/>
    </row>
    <row r="940">
      <c r="A940" s="327" t="str">
        <f t="shared" si="1"/>
        <v> </v>
      </c>
      <c r="B940" s="328"/>
      <c r="C940" s="328"/>
      <c r="D940" s="328"/>
    </row>
    <row r="941">
      <c r="A941" s="327" t="str">
        <f t="shared" si="1"/>
        <v> </v>
      </c>
      <c r="B941" s="328"/>
      <c r="C941" s="328"/>
      <c r="D941" s="328"/>
    </row>
    <row r="942">
      <c r="A942" s="327" t="str">
        <f t="shared" si="1"/>
        <v> </v>
      </c>
      <c r="B942" s="328"/>
      <c r="C942" s="328"/>
      <c r="D942" s="328"/>
    </row>
    <row r="943">
      <c r="A943" s="327" t="str">
        <f t="shared" si="1"/>
        <v> </v>
      </c>
      <c r="B943" s="328"/>
      <c r="C943" s="328"/>
      <c r="D943" s="328"/>
    </row>
    <row r="944">
      <c r="A944" s="327" t="str">
        <f t="shared" si="1"/>
        <v> </v>
      </c>
      <c r="B944" s="328"/>
      <c r="C944" s="328"/>
      <c r="D944" s="328"/>
    </row>
    <row r="945">
      <c r="A945" s="327" t="str">
        <f t="shared" si="1"/>
        <v> </v>
      </c>
      <c r="B945" s="328"/>
      <c r="C945" s="328"/>
      <c r="D945" s="328"/>
    </row>
    <row r="946">
      <c r="A946" s="327" t="str">
        <f t="shared" si="1"/>
        <v> </v>
      </c>
      <c r="B946" s="328"/>
      <c r="C946" s="328"/>
      <c r="D946" s="328"/>
    </row>
    <row r="947">
      <c r="A947" s="327" t="str">
        <f t="shared" si="1"/>
        <v> </v>
      </c>
      <c r="B947" s="328"/>
      <c r="C947" s="328"/>
      <c r="D947" s="328"/>
    </row>
    <row r="948">
      <c r="A948" s="327" t="str">
        <f t="shared" si="1"/>
        <v> </v>
      </c>
      <c r="B948" s="328"/>
      <c r="C948" s="328"/>
      <c r="D948" s="328"/>
    </row>
    <row r="949">
      <c r="A949" s="327" t="str">
        <f t="shared" si="1"/>
        <v> </v>
      </c>
      <c r="B949" s="328"/>
      <c r="C949" s="328"/>
      <c r="D949" s="328"/>
    </row>
    <row r="950">
      <c r="A950" s="327" t="str">
        <f t="shared" si="1"/>
        <v> </v>
      </c>
      <c r="B950" s="328"/>
      <c r="C950" s="328"/>
      <c r="D950" s="328"/>
    </row>
    <row r="951">
      <c r="A951" s="327" t="str">
        <f t="shared" si="1"/>
        <v> </v>
      </c>
      <c r="B951" s="328"/>
      <c r="C951" s="328"/>
      <c r="D951" s="328"/>
    </row>
    <row r="952">
      <c r="A952" s="327" t="str">
        <f t="shared" si="1"/>
        <v> </v>
      </c>
      <c r="B952" s="328"/>
      <c r="C952" s="328"/>
      <c r="D952" s="328"/>
    </row>
    <row r="953">
      <c r="A953" s="327" t="str">
        <f t="shared" si="1"/>
        <v> </v>
      </c>
      <c r="B953" s="328"/>
      <c r="C953" s="328"/>
      <c r="D953" s="328"/>
    </row>
    <row r="954">
      <c r="A954" s="327" t="str">
        <f t="shared" si="1"/>
        <v> </v>
      </c>
      <c r="B954" s="328"/>
      <c r="C954" s="328"/>
      <c r="D954" s="328"/>
    </row>
    <row r="955">
      <c r="A955" s="327" t="str">
        <f t="shared" si="1"/>
        <v> </v>
      </c>
      <c r="B955" s="328"/>
      <c r="C955" s="328"/>
      <c r="D955" s="328"/>
    </row>
    <row r="956">
      <c r="A956" s="327" t="str">
        <f t="shared" si="1"/>
        <v> </v>
      </c>
      <c r="B956" s="328"/>
      <c r="C956" s="328"/>
      <c r="D956" s="328"/>
    </row>
    <row r="957">
      <c r="A957" s="327" t="str">
        <f t="shared" si="1"/>
        <v> </v>
      </c>
      <c r="B957" s="328"/>
      <c r="C957" s="328"/>
      <c r="D957" s="328"/>
    </row>
    <row r="958">
      <c r="A958" s="327" t="str">
        <f t="shared" si="1"/>
        <v> </v>
      </c>
      <c r="B958" s="328"/>
      <c r="C958" s="328"/>
      <c r="D958" s="328"/>
    </row>
    <row r="959">
      <c r="A959" s="327" t="str">
        <f t="shared" si="1"/>
        <v> </v>
      </c>
      <c r="B959" s="328"/>
      <c r="C959" s="328"/>
      <c r="D959" s="328"/>
    </row>
    <row r="960">
      <c r="A960" s="327" t="str">
        <f t="shared" si="1"/>
        <v> </v>
      </c>
      <c r="B960" s="328"/>
      <c r="C960" s="328"/>
      <c r="D960" s="328"/>
    </row>
    <row r="961">
      <c r="A961" s="327" t="str">
        <f t="shared" si="1"/>
        <v> </v>
      </c>
      <c r="B961" s="328"/>
      <c r="C961" s="328"/>
      <c r="D961" s="328"/>
    </row>
    <row r="962">
      <c r="A962" s="327" t="str">
        <f t="shared" si="1"/>
        <v> </v>
      </c>
      <c r="B962" s="328"/>
      <c r="C962" s="328"/>
      <c r="D962" s="328"/>
    </row>
    <row r="963">
      <c r="A963" s="327" t="str">
        <f t="shared" si="1"/>
        <v> </v>
      </c>
      <c r="B963" s="328"/>
      <c r="C963" s="328"/>
      <c r="D963" s="328"/>
    </row>
    <row r="964">
      <c r="A964" s="327" t="str">
        <f t="shared" si="1"/>
        <v> </v>
      </c>
      <c r="B964" s="328"/>
      <c r="C964" s="328"/>
      <c r="D964" s="328"/>
    </row>
    <row r="965">
      <c r="A965" s="327" t="str">
        <f t="shared" si="1"/>
        <v> </v>
      </c>
      <c r="B965" s="328"/>
      <c r="C965" s="328"/>
      <c r="D965" s="328"/>
    </row>
    <row r="966">
      <c r="A966" s="327" t="str">
        <f t="shared" si="1"/>
        <v> </v>
      </c>
      <c r="B966" s="328"/>
      <c r="C966" s="328"/>
      <c r="D966" s="328"/>
    </row>
    <row r="967">
      <c r="A967" s="327" t="str">
        <f t="shared" si="1"/>
        <v> </v>
      </c>
      <c r="B967" s="328"/>
      <c r="C967" s="328"/>
      <c r="D967" s="328"/>
    </row>
    <row r="968">
      <c r="A968" s="327" t="str">
        <f t="shared" si="1"/>
        <v> </v>
      </c>
      <c r="B968" s="328"/>
      <c r="C968" s="328"/>
      <c r="D968" s="328"/>
    </row>
    <row r="969">
      <c r="A969" s="327" t="str">
        <f t="shared" si="1"/>
        <v> </v>
      </c>
      <c r="B969" s="328"/>
      <c r="C969" s="328"/>
      <c r="D969" s="328"/>
    </row>
    <row r="970">
      <c r="A970" s="327" t="str">
        <f t="shared" si="1"/>
        <v> </v>
      </c>
      <c r="B970" s="328"/>
      <c r="C970" s="328"/>
      <c r="D970" s="328"/>
    </row>
    <row r="971">
      <c r="A971" s="327" t="str">
        <f t="shared" si="1"/>
        <v> </v>
      </c>
      <c r="B971" s="328"/>
      <c r="C971" s="328"/>
      <c r="D971" s="328"/>
    </row>
    <row r="972">
      <c r="A972" s="327" t="str">
        <f t="shared" si="1"/>
        <v> </v>
      </c>
      <c r="B972" s="328"/>
      <c r="C972" s="328"/>
      <c r="D972" s="328"/>
    </row>
    <row r="973">
      <c r="A973" s="327" t="str">
        <f t="shared" si="1"/>
        <v> </v>
      </c>
      <c r="B973" s="328"/>
      <c r="C973" s="328"/>
      <c r="D973" s="328"/>
    </row>
    <row r="974">
      <c r="A974" s="327" t="str">
        <f t="shared" si="1"/>
        <v> </v>
      </c>
      <c r="B974" s="328"/>
      <c r="C974" s="328"/>
      <c r="D974" s="328"/>
    </row>
    <row r="975">
      <c r="A975" s="327" t="str">
        <f t="shared" si="1"/>
        <v> </v>
      </c>
      <c r="B975" s="328"/>
      <c r="C975" s="328"/>
      <c r="D975" s="328"/>
    </row>
    <row r="976">
      <c r="A976" s="327" t="str">
        <f t="shared" si="1"/>
        <v> </v>
      </c>
      <c r="B976" s="328"/>
      <c r="C976" s="328"/>
      <c r="D976" s="328"/>
    </row>
    <row r="977">
      <c r="A977" s="327" t="str">
        <f t="shared" si="1"/>
        <v> </v>
      </c>
      <c r="B977" s="328"/>
      <c r="C977" s="328"/>
      <c r="D977" s="328"/>
    </row>
    <row r="978">
      <c r="A978" s="327" t="str">
        <f t="shared" si="1"/>
        <v> </v>
      </c>
      <c r="B978" s="328"/>
      <c r="C978" s="328"/>
      <c r="D978" s="328"/>
    </row>
    <row r="979">
      <c r="A979" s="327" t="str">
        <f t="shared" si="1"/>
        <v> </v>
      </c>
      <c r="B979" s="328"/>
      <c r="C979" s="328"/>
      <c r="D979" s="328"/>
    </row>
    <row r="980">
      <c r="A980" s="327" t="str">
        <f t="shared" si="1"/>
        <v> </v>
      </c>
      <c r="B980" s="328"/>
      <c r="C980" s="328"/>
      <c r="D980" s="328"/>
    </row>
    <row r="981">
      <c r="A981" s="327" t="str">
        <f t="shared" si="1"/>
        <v> </v>
      </c>
      <c r="B981" s="328"/>
      <c r="C981" s="328"/>
      <c r="D981" s="328"/>
    </row>
    <row r="982">
      <c r="A982" s="327" t="str">
        <f t="shared" si="1"/>
        <v> </v>
      </c>
      <c r="B982" s="328"/>
      <c r="C982" s="328"/>
      <c r="D982" s="328"/>
    </row>
    <row r="983">
      <c r="A983" s="327" t="str">
        <f t="shared" si="1"/>
        <v> </v>
      </c>
      <c r="B983" s="328"/>
      <c r="C983" s="328"/>
      <c r="D983" s="328"/>
    </row>
    <row r="984">
      <c r="A984" s="327" t="str">
        <f t="shared" si="1"/>
        <v> </v>
      </c>
      <c r="B984" s="328"/>
      <c r="C984" s="328"/>
      <c r="D984" s="328"/>
    </row>
    <row r="985">
      <c r="A985" s="327" t="str">
        <f t="shared" si="1"/>
        <v> </v>
      </c>
      <c r="B985" s="328"/>
      <c r="C985" s="328"/>
      <c r="D985" s="328"/>
    </row>
    <row r="986">
      <c r="A986" s="327" t="str">
        <f t="shared" si="1"/>
        <v> </v>
      </c>
      <c r="B986" s="328"/>
      <c r="C986" s="328"/>
      <c r="D986" s="328"/>
    </row>
    <row r="987">
      <c r="A987" s="327" t="str">
        <f t="shared" si="1"/>
        <v> </v>
      </c>
      <c r="B987" s="328"/>
      <c r="C987" s="328"/>
      <c r="D987" s="328"/>
    </row>
    <row r="988">
      <c r="A988" s="327" t="str">
        <f t="shared" si="1"/>
        <v> </v>
      </c>
      <c r="B988" s="328"/>
      <c r="C988" s="328"/>
      <c r="D988" s="328"/>
    </row>
    <row r="989">
      <c r="A989" s="327" t="str">
        <f t="shared" si="1"/>
        <v> </v>
      </c>
      <c r="B989" s="328"/>
      <c r="C989" s="328"/>
      <c r="D989" s="328"/>
    </row>
    <row r="990">
      <c r="A990" s="327" t="str">
        <f t="shared" si="1"/>
        <v> </v>
      </c>
      <c r="B990" s="328"/>
      <c r="C990" s="328"/>
      <c r="D990" s="328"/>
    </row>
    <row r="991">
      <c r="A991" s="327" t="str">
        <f t="shared" si="1"/>
        <v> </v>
      </c>
      <c r="B991" s="328"/>
      <c r="C991" s="328"/>
      <c r="D991" s="328"/>
    </row>
    <row r="992">
      <c r="A992" s="327" t="str">
        <f t="shared" si="1"/>
        <v> </v>
      </c>
      <c r="B992" s="328"/>
      <c r="C992" s="328"/>
      <c r="D992" s="328"/>
    </row>
    <row r="993">
      <c r="A993" s="327" t="str">
        <f t="shared" si="1"/>
        <v> </v>
      </c>
      <c r="B993" s="328"/>
      <c r="C993" s="328"/>
      <c r="D993" s="328"/>
    </row>
    <row r="994">
      <c r="A994" s="327" t="str">
        <f t="shared" si="1"/>
        <v> </v>
      </c>
      <c r="B994" s="328"/>
      <c r="C994" s="328"/>
      <c r="D994" s="328"/>
    </row>
    <row r="995">
      <c r="A995" s="327" t="str">
        <f t="shared" si="1"/>
        <v> </v>
      </c>
      <c r="B995" s="328"/>
      <c r="C995" s="328"/>
      <c r="D995" s="328"/>
    </row>
    <row r="996">
      <c r="A996" s="327" t="str">
        <f t="shared" si="1"/>
        <v> </v>
      </c>
      <c r="B996" s="328"/>
      <c r="C996" s="328"/>
      <c r="D996" s="328"/>
    </row>
    <row r="997">
      <c r="A997" s="327" t="str">
        <f t="shared" si="1"/>
        <v> </v>
      </c>
      <c r="B997" s="328"/>
      <c r="C997" s="328"/>
      <c r="D997" s="328"/>
    </row>
    <row r="998">
      <c r="A998" s="327" t="str">
        <f t="shared" si="1"/>
        <v> </v>
      </c>
      <c r="B998" s="328"/>
      <c r="C998" s="328"/>
      <c r="D998" s="328"/>
    </row>
    <row r="999">
      <c r="A999" s="327" t="str">
        <f t="shared" si="1"/>
        <v> </v>
      </c>
      <c r="B999" s="328"/>
      <c r="C999" s="328"/>
      <c r="D999" s="328"/>
    </row>
    <row r="1000">
      <c r="A1000" s="327" t="str">
        <f t="shared" si="1"/>
        <v> </v>
      </c>
      <c r="B1000" s="328"/>
      <c r="C1000" s="328"/>
      <c r="D1000" s="328"/>
    </row>
    <row r="1001">
      <c r="A1001" s="327" t="str">
        <f t="shared" si="1"/>
        <v> </v>
      </c>
      <c r="B1001" s="328"/>
      <c r="C1001" s="328"/>
      <c r="D1001" s="328"/>
    </row>
    <row r="1002">
      <c r="A1002" s="327" t="str">
        <f t="shared" si="1"/>
        <v> </v>
      </c>
      <c r="B1002" s="328"/>
      <c r="C1002" s="328"/>
      <c r="D1002" s="328"/>
    </row>
    <row r="1003">
      <c r="A1003" s="327" t="str">
        <f t="shared" si="1"/>
        <v> </v>
      </c>
      <c r="B1003" s="328"/>
      <c r="C1003" s="328"/>
      <c r="D1003" s="328"/>
    </row>
    <row r="1004">
      <c r="A1004" s="327" t="str">
        <f t="shared" si="1"/>
        <v> </v>
      </c>
      <c r="B1004" s="328"/>
      <c r="C1004" s="328"/>
      <c r="D1004" s="328"/>
    </row>
    <row r="1005">
      <c r="A1005" s="327" t="str">
        <f t="shared" si="1"/>
        <v> </v>
      </c>
      <c r="B1005" s="328"/>
      <c r="C1005" s="328"/>
      <c r="D1005" s="328"/>
    </row>
    <row r="1006">
      <c r="A1006" s="327" t="str">
        <f t="shared" si="1"/>
        <v> </v>
      </c>
      <c r="B1006" s="328"/>
      <c r="C1006" s="328"/>
      <c r="D1006" s="328"/>
    </row>
    <row r="1007">
      <c r="A1007" s="327" t="str">
        <f t="shared" si="1"/>
        <v> </v>
      </c>
      <c r="B1007" s="328"/>
      <c r="C1007" s="328"/>
      <c r="D1007" s="328"/>
    </row>
    <row r="1008">
      <c r="A1008" s="327" t="str">
        <f t="shared" si="1"/>
        <v> </v>
      </c>
      <c r="B1008" s="328"/>
      <c r="C1008" s="328"/>
      <c r="D1008" s="328"/>
    </row>
    <row r="1009">
      <c r="A1009" s="327" t="str">
        <f t="shared" si="1"/>
        <v> </v>
      </c>
      <c r="B1009" s="328"/>
      <c r="C1009" s="328"/>
      <c r="D1009" s="328"/>
    </row>
    <row r="1010">
      <c r="A1010" s="327" t="str">
        <f t="shared" si="1"/>
        <v> </v>
      </c>
      <c r="B1010" s="328"/>
      <c r="C1010" s="328"/>
      <c r="D1010" s="328"/>
    </row>
    <row r="1011">
      <c r="A1011" s="327"/>
      <c r="B1011" s="328"/>
      <c r="C1011" s="328"/>
      <c r="D1011" s="328"/>
    </row>
  </sheetData>
  <hyperlinks>
    <hyperlink r:id="rId1" ref="D843"/>
    <hyperlink r:id="rId2" ref="D870"/>
    <hyperlink r:id="rId3" ref="D873"/>
  </hyperlinks>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33.63"/>
    <col customWidth="1" min="4" max="5" width="34.38"/>
    <col customWidth="1" min="6" max="6" width="34.25"/>
  </cols>
  <sheetData>
    <row r="1">
      <c r="B1" s="253" t="s">
        <v>5562</v>
      </c>
      <c r="C1" s="253" t="s">
        <v>2897</v>
      </c>
    </row>
    <row r="2">
      <c r="B2" s="332" t="s">
        <v>5563</v>
      </c>
      <c r="C2" s="333" t="s">
        <v>4204</v>
      </c>
      <c r="D2" s="332" t="s">
        <v>5564</v>
      </c>
      <c r="E2" s="333" t="s">
        <v>3306</v>
      </c>
    </row>
    <row r="3">
      <c r="B3" s="332" t="s">
        <v>5565</v>
      </c>
      <c r="C3" s="333" t="s">
        <v>5566</v>
      </c>
      <c r="D3" s="332" t="s">
        <v>5567</v>
      </c>
      <c r="E3" s="333" t="s">
        <v>3326</v>
      </c>
    </row>
    <row r="4">
      <c r="B4" s="332" t="s">
        <v>5568</v>
      </c>
      <c r="C4" s="333" t="s">
        <v>4201</v>
      </c>
      <c r="D4" s="332" t="s">
        <v>5569</v>
      </c>
      <c r="E4" s="333" t="s">
        <v>3338</v>
      </c>
    </row>
    <row r="5">
      <c r="B5" s="332" t="s">
        <v>5570</v>
      </c>
      <c r="C5" s="333" t="s">
        <v>3211</v>
      </c>
      <c r="D5" s="332" t="s">
        <v>5571</v>
      </c>
      <c r="E5" s="333" t="s">
        <v>5572</v>
      </c>
    </row>
    <row r="6">
      <c r="B6" s="332" t="s">
        <v>5573</v>
      </c>
      <c r="C6" s="333" t="s">
        <v>5574</v>
      </c>
      <c r="D6" s="332" t="s">
        <v>5575</v>
      </c>
      <c r="E6" s="333" t="s">
        <v>3353</v>
      </c>
    </row>
    <row r="7">
      <c r="B7" s="332" t="s">
        <v>5576</v>
      </c>
      <c r="C7" s="333" t="s">
        <v>5577</v>
      </c>
      <c r="D7" s="332" t="s">
        <v>5578</v>
      </c>
      <c r="E7" s="333" t="s">
        <v>3359</v>
      </c>
    </row>
    <row r="8">
      <c r="B8" s="332" t="s">
        <v>5579</v>
      </c>
      <c r="C8" s="333" t="s">
        <v>3099</v>
      </c>
      <c r="D8" s="332" t="s">
        <v>5580</v>
      </c>
      <c r="E8" s="333" t="s">
        <v>3365</v>
      </c>
    </row>
    <row r="9">
      <c r="B9" s="332" t="s">
        <v>5581</v>
      </c>
      <c r="C9" s="333" t="s">
        <v>5582</v>
      </c>
      <c r="D9" s="332" t="s">
        <v>5583</v>
      </c>
      <c r="E9" s="333" t="s">
        <v>4503</v>
      </c>
    </row>
    <row r="10">
      <c r="B10" s="332" t="s">
        <v>5584</v>
      </c>
      <c r="C10" s="333" t="s">
        <v>5585</v>
      </c>
      <c r="D10" s="332" t="s">
        <v>5586</v>
      </c>
      <c r="E10" s="333" t="s">
        <v>5587</v>
      </c>
    </row>
    <row r="11">
      <c r="B11" s="332" t="s">
        <v>5588</v>
      </c>
      <c r="C11" s="333" t="s">
        <v>5589</v>
      </c>
      <c r="D11" s="332" t="s">
        <v>5590</v>
      </c>
      <c r="E11" s="333" t="s">
        <v>5591</v>
      </c>
    </row>
    <row r="12">
      <c r="B12" s="332" t="s">
        <v>5592</v>
      </c>
      <c r="C12" s="333" t="s">
        <v>5593</v>
      </c>
      <c r="D12" s="332" t="s">
        <v>5594</v>
      </c>
      <c r="E12" s="333" t="s">
        <v>5595</v>
      </c>
    </row>
    <row r="13">
      <c r="B13" s="332" t="s">
        <v>5596</v>
      </c>
      <c r="C13" s="333" t="s">
        <v>5597</v>
      </c>
      <c r="D13" s="332" t="s">
        <v>5598</v>
      </c>
      <c r="E13" s="333" t="s">
        <v>3379</v>
      </c>
    </row>
    <row r="14">
      <c r="B14" s="332" t="s">
        <v>5599</v>
      </c>
      <c r="C14" s="333" t="s">
        <v>5600</v>
      </c>
      <c r="D14" s="332" t="s">
        <v>5601</v>
      </c>
      <c r="E14" s="333" t="s">
        <v>3393</v>
      </c>
    </row>
    <row r="15">
      <c r="B15" s="332" t="s">
        <v>5602</v>
      </c>
      <c r="C15" s="333" t="s">
        <v>4721</v>
      </c>
      <c r="D15" s="332" t="s">
        <v>5603</v>
      </c>
      <c r="E15" s="333" t="s">
        <v>5444</v>
      </c>
    </row>
    <row r="16">
      <c r="B16" s="332" t="s">
        <v>5604</v>
      </c>
      <c r="C16" s="333" t="s">
        <v>5605</v>
      </c>
      <c r="D16" s="332" t="s">
        <v>5606</v>
      </c>
      <c r="E16" s="333" t="s">
        <v>5607</v>
      </c>
    </row>
    <row r="17">
      <c r="B17" s="332" t="s">
        <v>5608</v>
      </c>
      <c r="C17" s="333" t="s">
        <v>5035</v>
      </c>
      <c r="D17" s="332" t="s">
        <v>5609</v>
      </c>
      <c r="E17" s="333" t="s">
        <v>3426</v>
      </c>
    </row>
    <row r="18">
      <c r="B18" s="332" t="s">
        <v>5610</v>
      </c>
      <c r="C18" s="333" t="s">
        <v>5447</v>
      </c>
      <c r="D18" s="332" t="s">
        <v>5611</v>
      </c>
      <c r="E18" s="333" t="s">
        <v>3423</v>
      </c>
    </row>
    <row r="19">
      <c r="B19" s="332" t="s">
        <v>5612</v>
      </c>
      <c r="C19" s="333" t="s">
        <v>5475</v>
      </c>
      <c r="D19" s="332" t="s">
        <v>5613</v>
      </c>
      <c r="E19" s="333" t="s">
        <v>3429</v>
      </c>
    </row>
    <row r="20">
      <c r="B20" s="332" t="s">
        <v>5614</v>
      </c>
      <c r="C20" s="333" t="s">
        <v>5497</v>
      </c>
      <c r="D20" s="332" t="s">
        <v>5615</v>
      </c>
      <c r="E20" s="333" t="s">
        <v>5616</v>
      </c>
    </row>
    <row r="21">
      <c r="B21" s="332" t="s">
        <v>5617</v>
      </c>
      <c r="C21" s="333" t="s">
        <v>5618</v>
      </c>
      <c r="D21" s="332" t="s">
        <v>5619</v>
      </c>
      <c r="E21" s="333" t="s">
        <v>4744</v>
      </c>
    </row>
    <row r="22">
      <c r="B22" s="332" t="s">
        <v>5620</v>
      </c>
      <c r="C22" s="333" t="s">
        <v>4531</v>
      </c>
      <c r="D22" s="332" t="s">
        <v>5621</v>
      </c>
      <c r="E22" s="333" t="s">
        <v>5622</v>
      </c>
    </row>
    <row r="23">
      <c r="B23" s="332" t="s">
        <v>5623</v>
      </c>
      <c r="C23" s="333" t="s">
        <v>3102</v>
      </c>
      <c r="D23" s="332" t="s">
        <v>5624</v>
      </c>
      <c r="E23" s="333" t="s">
        <v>4748</v>
      </c>
    </row>
    <row r="24">
      <c r="B24" s="332" t="s">
        <v>5625</v>
      </c>
      <c r="C24" s="333" t="s">
        <v>5626</v>
      </c>
      <c r="D24" s="332" t="s">
        <v>5627</v>
      </c>
      <c r="E24" s="333" t="s">
        <v>4751</v>
      </c>
    </row>
    <row r="25">
      <c r="B25" s="332" t="s">
        <v>5628</v>
      </c>
      <c r="C25" s="333" t="s">
        <v>4070</v>
      </c>
      <c r="D25" s="332" t="s">
        <v>5629</v>
      </c>
      <c r="E25" s="333" t="s">
        <v>5630</v>
      </c>
    </row>
    <row r="26">
      <c r="B26" s="332" t="s">
        <v>5631</v>
      </c>
      <c r="C26" s="333" t="s">
        <v>5632</v>
      </c>
      <c r="D26" s="332" t="s">
        <v>5633</v>
      </c>
      <c r="E26" s="334" t="s">
        <v>5634</v>
      </c>
    </row>
    <row r="27">
      <c r="B27" s="332" t="s">
        <v>5635</v>
      </c>
      <c r="C27" s="333" t="s">
        <v>5516</v>
      </c>
      <c r="D27" s="335" t="s">
        <v>5636</v>
      </c>
      <c r="E27" s="336" t="s">
        <v>4763</v>
      </c>
    </row>
    <row r="28">
      <c r="B28" s="332" t="s">
        <v>5637</v>
      </c>
      <c r="C28" s="333" t="s">
        <v>4020</v>
      </c>
      <c r="D28" s="335" t="s">
        <v>5638</v>
      </c>
      <c r="E28" s="336" t="s">
        <v>5639</v>
      </c>
    </row>
    <row r="29">
      <c r="B29" s="332" t="s">
        <v>5640</v>
      </c>
      <c r="C29" s="333" t="s">
        <v>5641</v>
      </c>
      <c r="D29" s="335" t="s">
        <v>5642</v>
      </c>
      <c r="E29" s="336" t="s">
        <v>5643</v>
      </c>
    </row>
    <row r="30">
      <c r="B30" s="332" t="s">
        <v>5644</v>
      </c>
      <c r="C30" s="333" t="s">
        <v>5485</v>
      </c>
      <c r="D30" s="335" t="s">
        <v>5645</v>
      </c>
      <c r="E30" s="336" t="s">
        <v>5646</v>
      </c>
    </row>
    <row r="31">
      <c r="B31" s="332" t="s">
        <v>5647</v>
      </c>
      <c r="C31" s="333" t="s">
        <v>5648</v>
      </c>
      <c r="D31" s="335" t="s">
        <v>5649</v>
      </c>
      <c r="E31" s="336" t="s">
        <v>4880</v>
      </c>
    </row>
    <row r="32">
      <c r="B32" s="332" t="s">
        <v>5650</v>
      </c>
      <c r="C32" s="333" t="s">
        <v>5651</v>
      </c>
      <c r="D32" s="335" t="s">
        <v>5652</v>
      </c>
      <c r="E32" s="336" t="s">
        <v>5653</v>
      </c>
    </row>
    <row r="33">
      <c r="B33" s="332" t="s">
        <v>5654</v>
      </c>
      <c r="C33" s="333" t="s">
        <v>5655</v>
      </c>
      <c r="D33" s="335" t="s">
        <v>5656</v>
      </c>
      <c r="E33" s="336" t="s">
        <v>5657</v>
      </c>
    </row>
    <row r="34">
      <c r="B34" s="332" t="s">
        <v>5658</v>
      </c>
      <c r="C34" s="333" t="s">
        <v>5659</v>
      </c>
      <c r="D34" s="335" t="s">
        <v>5660</v>
      </c>
      <c r="E34" s="336" t="s">
        <v>5661</v>
      </c>
    </row>
    <row r="35">
      <c r="B35" s="332" t="s">
        <v>5662</v>
      </c>
      <c r="C35" s="333" t="s">
        <v>3208</v>
      </c>
      <c r="D35" s="335" t="s">
        <v>5663</v>
      </c>
      <c r="E35" s="336" t="s">
        <v>4793</v>
      </c>
    </row>
    <row r="36">
      <c r="B36" s="332" t="s">
        <v>5664</v>
      </c>
      <c r="C36" s="333" t="s">
        <v>3335</v>
      </c>
      <c r="D36" s="335" t="s">
        <v>5665</v>
      </c>
      <c r="E36" s="336" t="s">
        <v>4807</v>
      </c>
    </row>
    <row r="37">
      <c r="B37" s="332" t="s">
        <v>5666</v>
      </c>
      <c r="C37" s="333" t="s">
        <v>5667</v>
      </c>
      <c r="D37" s="335" t="s">
        <v>5668</v>
      </c>
      <c r="E37" s="336" t="s">
        <v>4810</v>
      </c>
    </row>
    <row r="38">
      <c r="B38" s="332" t="s">
        <v>5669</v>
      </c>
      <c r="C38" s="333" t="s">
        <v>5670</v>
      </c>
      <c r="D38" s="335" t="s">
        <v>5671</v>
      </c>
      <c r="E38" s="336" t="s">
        <v>5672</v>
      </c>
    </row>
    <row r="39">
      <c r="B39" s="332" t="s">
        <v>5673</v>
      </c>
      <c r="C39" s="337" t="s">
        <v>4116</v>
      </c>
      <c r="D39" s="335" t="s">
        <v>5674</v>
      </c>
      <c r="E39" s="336" t="s">
        <v>5675</v>
      </c>
    </row>
    <row r="40">
      <c r="B40" s="332" t="s">
        <v>5676</v>
      </c>
      <c r="C40" s="333" t="s">
        <v>3374</v>
      </c>
      <c r="D40" s="332" t="s">
        <v>5677</v>
      </c>
      <c r="E40" s="333" t="s">
        <v>4440</v>
      </c>
    </row>
    <row r="41">
      <c r="B41" s="332" t="s">
        <v>5678</v>
      </c>
      <c r="C41" s="333" t="s">
        <v>5679</v>
      </c>
      <c r="D41" s="332" t="s">
        <v>5680</v>
      </c>
      <c r="E41" s="333" t="s">
        <v>3453</v>
      </c>
    </row>
    <row r="42">
      <c r="B42" s="332" t="s">
        <v>5681</v>
      </c>
      <c r="C42" s="333" t="s">
        <v>5682</v>
      </c>
      <c r="D42" s="332" t="s">
        <v>5683</v>
      </c>
      <c r="E42" s="333" t="s">
        <v>3459</v>
      </c>
    </row>
    <row r="43">
      <c r="B43" s="332" t="s">
        <v>5684</v>
      </c>
      <c r="C43" s="333" t="s">
        <v>5685</v>
      </c>
      <c r="D43" s="332" t="s">
        <v>5686</v>
      </c>
      <c r="E43" s="333" t="s">
        <v>3462</v>
      </c>
    </row>
    <row r="44">
      <c r="B44" s="332" t="s">
        <v>5687</v>
      </c>
      <c r="C44" s="333" t="s">
        <v>5688</v>
      </c>
      <c r="D44" s="332" t="s">
        <v>5689</v>
      </c>
      <c r="E44" s="333" t="s">
        <v>5690</v>
      </c>
    </row>
    <row r="45">
      <c r="B45" s="332" t="s">
        <v>5691</v>
      </c>
      <c r="C45" s="333" t="s">
        <v>5294</v>
      </c>
      <c r="D45" s="332" t="s">
        <v>5692</v>
      </c>
      <c r="E45" s="333" t="s">
        <v>5693</v>
      </c>
    </row>
    <row r="46">
      <c r="B46" s="332" t="s">
        <v>5694</v>
      </c>
      <c r="C46" s="333" t="s">
        <v>3415</v>
      </c>
      <c r="D46" s="332" t="s">
        <v>5695</v>
      </c>
      <c r="E46" s="333" t="s">
        <v>5696</v>
      </c>
    </row>
    <row r="47">
      <c r="B47" s="332" t="s">
        <v>5697</v>
      </c>
      <c r="C47" s="333" t="s">
        <v>5698</v>
      </c>
      <c r="D47" s="332" t="s">
        <v>5699</v>
      </c>
      <c r="E47" s="333" t="s">
        <v>3490</v>
      </c>
    </row>
    <row r="48">
      <c r="B48" s="332" t="s">
        <v>5700</v>
      </c>
      <c r="C48" s="333" t="s">
        <v>5390</v>
      </c>
      <c r="D48" s="332" t="s">
        <v>5701</v>
      </c>
      <c r="E48" s="333" t="s">
        <v>3488</v>
      </c>
    </row>
    <row r="49">
      <c r="B49" s="332" t="s">
        <v>5702</v>
      </c>
      <c r="C49" s="333" t="s">
        <v>3007</v>
      </c>
      <c r="D49" s="332" t="s">
        <v>5703</v>
      </c>
      <c r="E49" s="333" t="s">
        <v>5704</v>
      </c>
    </row>
    <row r="50">
      <c r="B50" s="332" t="s">
        <v>5705</v>
      </c>
      <c r="C50" s="333" t="s">
        <v>3928</v>
      </c>
      <c r="D50" s="332" t="s">
        <v>5706</v>
      </c>
      <c r="E50" s="333" t="s">
        <v>3555</v>
      </c>
    </row>
    <row r="51">
      <c r="B51" s="332" t="s">
        <v>5707</v>
      </c>
      <c r="C51" s="333" t="s">
        <v>5708</v>
      </c>
      <c r="D51" s="332" t="s">
        <v>5709</v>
      </c>
      <c r="E51" s="333" t="s">
        <v>5710</v>
      </c>
    </row>
    <row r="52">
      <c r="B52" s="332" t="s">
        <v>5711</v>
      </c>
      <c r="C52" s="333" t="s">
        <v>5556</v>
      </c>
      <c r="D52" s="332" t="s">
        <v>5712</v>
      </c>
      <c r="E52" s="333" t="s">
        <v>5713</v>
      </c>
    </row>
    <row r="53">
      <c r="B53" s="332" t="s">
        <v>5714</v>
      </c>
      <c r="C53" s="333" t="s">
        <v>5715</v>
      </c>
      <c r="D53" s="332" t="s">
        <v>5716</v>
      </c>
      <c r="E53" s="333" t="s">
        <v>5717</v>
      </c>
    </row>
    <row r="54">
      <c r="B54" s="332" t="s">
        <v>5718</v>
      </c>
      <c r="C54" s="333" t="s">
        <v>5719</v>
      </c>
      <c r="D54" s="332" t="s">
        <v>5720</v>
      </c>
      <c r="E54" s="333" t="s">
        <v>3519</v>
      </c>
    </row>
    <row r="55">
      <c r="B55" s="332" t="s">
        <v>5721</v>
      </c>
      <c r="C55" s="333" t="s">
        <v>5722</v>
      </c>
      <c r="D55" s="332" t="s">
        <v>5723</v>
      </c>
      <c r="E55" s="333" t="s">
        <v>3537</v>
      </c>
    </row>
    <row r="56">
      <c r="B56" s="332" t="s">
        <v>5724</v>
      </c>
      <c r="C56" s="333" t="s">
        <v>5550</v>
      </c>
      <c r="D56" s="332" t="s">
        <v>5725</v>
      </c>
      <c r="E56" s="333" t="s">
        <v>5726</v>
      </c>
    </row>
    <row r="57">
      <c r="B57" s="332" t="s">
        <v>5727</v>
      </c>
      <c r="C57" s="333" t="s">
        <v>5728</v>
      </c>
      <c r="D57" s="332" t="s">
        <v>5729</v>
      </c>
      <c r="E57" s="333" t="s">
        <v>5730</v>
      </c>
    </row>
    <row r="58">
      <c r="B58" s="332" t="s">
        <v>5731</v>
      </c>
      <c r="C58" s="333" t="s">
        <v>3037</v>
      </c>
      <c r="D58" s="332" t="s">
        <v>5732</v>
      </c>
      <c r="E58" s="333" t="s">
        <v>3570</v>
      </c>
    </row>
    <row r="59">
      <c r="B59" s="332" t="s">
        <v>5733</v>
      </c>
      <c r="C59" s="333" t="s">
        <v>4859</v>
      </c>
      <c r="D59" s="332" t="s">
        <v>5734</v>
      </c>
      <c r="E59" s="333" t="s">
        <v>5735</v>
      </c>
    </row>
    <row r="60">
      <c r="B60" s="332" t="s">
        <v>5736</v>
      </c>
      <c r="C60" s="333" t="s">
        <v>5494</v>
      </c>
      <c r="D60" s="332" t="s">
        <v>5737</v>
      </c>
      <c r="E60" s="333" t="s">
        <v>3574</v>
      </c>
    </row>
    <row r="61">
      <c r="B61" s="332" t="s">
        <v>5738</v>
      </c>
      <c r="C61" s="333" t="s">
        <v>4964</v>
      </c>
      <c r="D61" s="332" t="s">
        <v>5739</v>
      </c>
      <c r="E61" s="333" t="s">
        <v>5740</v>
      </c>
    </row>
    <row r="62">
      <c r="B62" s="332" t="s">
        <v>5741</v>
      </c>
      <c r="C62" s="333" t="s">
        <v>5742</v>
      </c>
      <c r="D62" s="332" t="s">
        <v>5743</v>
      </c>
      <c r="E62" s="333" t="s">
        <v>3585</v>
      </c>
    </row>
    <row r="63">
      <c r="B63" s="332" t="s">
        <v>5744</v>
      </c>
      <c r="C63" s="333" t="s">
        <v>4434</v>
      </c>
      <c r="D63" s="332" t="s">
        <v>5745</v>
      </c>
      <c r="E63" s="333" t="s">
        <v>5746</v>
      </c>
    </row>
    <row r="64">
      <c r="B64" s="332" t="s">
        <v>5747</v>
      </c>
      <c r="C64" s="333" t="s">
        <v>3668</v>
      </c>
      <c r="D64" s="332" t="s">
        <v>5748</v>
      </c>
      <c r="E64" s="333" t="s">
        <v>5749</v>
      </c>
    </row>
    <row r="65">
      <c r="B65" s="332" t="s">
        <v>5750</v>
      </c>
      <c r="C65" s="333" t="s">
        <v>5751</v>
      </c>
      <c r="D65" s="332" t="s">
        <v>5752</v>
      </c>
      <c r="E65" s="333" t="s">
        <v>3594</v>
      </c>
    </row>
    <row r="66">
      <c r="B66" s="332" t="s">
        <v>5753</v>
      </c>
      <c r="C66" s="333" t="s">
        <v>3911</v>
      </c>
      <c r="D66" s="332" t="s">
        <v>5754</v>
      </c>
      <c r="E66" s="333" t="s">
        <v>3642</v>
      </c>
    </row>
    <row r="67">
      <c r="B67" s="332" t="s">
        <v>5755</v>
      </c>
      <c r="C67" s="333" t="s">
        <v>3566</v>
      </c>
      <c r="D67" s="332" t="s">
        <v>5756</v>
      </c>
      <c r="E67" s="333" t="s">
        <v>5757</v>
      </c>
    </row>
    <row r="68">
      <c r="B68" s="332" t="s">
        <v>5758</v>
      </c>
      <c r="C68" s="333" t="s">
        <v>4183</v>
      </c>
      <c r="D68" s="332" t="s">
        <v>5759</v>
      </c>
      <c r="E68" s="333" t="s">
        <v>3618</v>
      </c>
    </row>
    <row r="69">
      <c r="B69" s="332" t="s">
        <v>5760</v>
      </c>
      <c r="C69" s="333" t="s">
        <v>3134</v>
      </c>
      <c r="D69" s="332" t="s">
        <v>5761</v>
      </c>
      <c r="E69" s="333" t="s">
        <v>5762</v>
      </c>
    </row>
    <row r="70">
      <c r="B70" s="332" t="s">
        <v>5763</v>
      </c>
      <c r="C70" s="333" t="s">
        <v>3828</v>
      </c>
      <c r="D70" s="332" t="s">
        <v>5764</v>
      </c>
      <c r="E70" s="333" t="s">
        <v>3623</v>
      </c>
    </row>
    <row r="71">
      <c r="B71" s="332" t="s">
        <v>5765</v>
      </c>
      <c r="C71" s="333" t="s">
        <v>4528</v>
      </c>
      <c r="D71" s="332" t="s">
        <v>5766</v>
      </c>
      <c r="E71" s="333" t="s">
        <v>5767</v>
      </c>
    </row>
    <row r="72">
      <c r="B72" s="332" t="s">
        <v>5768</v>
      </c>
      <c r="C72" s="333" t="s">
        <v>5769</v>
      </c>
      <c r="D72" s="332" t="s">
        <v>5770</v>
      </c>
      <c r="E72" s="333" t="s">
        <v>3640</v>
      </c>
    </row>
    <row r="73">
      <c r="B73" s="332" t="s">
        <v>5771</v>
      </c>
      <c r="C73" s="333" t="s">
        <v>5082</v>
      </c>
      <c r="D73" s="332" t="s">
        <v>5772</v>
      </c>
      <c r="E73" s="333" t="s">
        <v>5773</v>
      </c>
    </row>
    <row r="74">
      <c r="B74" s="332" t="s">
        <v>5774</v>
      </c>
      <c r="C74" s="333" t="s">
        <v>5775</v>
      </c>
      <c r="D74" s="332" t="s">
        <v>5776</v>
      </c>
      <c r="E74" s="333" t="s">
        <v>5777</v>
      </c>
    </row>
    <row r="75">
      <c r="B75" s="332" t="s">
        <v>5778</v>
      </c>
      <c r="C75" s="333" t="s">
        <v>5779</v>
      </c>
      <c r="D75" s="332" t="s">
        <v>5780</v>
      </c>
      <c r="E75" s="333" t="s">
        <v>3663</v>
      </c>
    </row>
    <row r="76">
      <c r="B76" s="332" t="s">
        <v>5781</v>
      </c>
      <c r="C76" s="333" t="s">
        <v>4893</v>
      </c>
      <c r="D76" s="332" t="s">
        <v>5782</v>
      </c>
      <c r="E76" s="333" t="s">
        <v>5783</v>
      </c>
    </row>
    <row r="77">
      <c r="B77" s="332" t="s">
        <v>5784</v>
      </c>
      <c r="C77" s="333" t="s">
        <v>5785</v>
      </c>
      <c r="D77" s="332" t="s">
        <v>5786</v>
      </c>
      <c r="E77" s="333" t="s">
        <v>5787</v>
      </c>
    </row>
    <row r="78">
      <c r="B78" s="332" t="s">
        <v>5788</v>
      </c>
      <c r="C78" s="333" t="s">
        <v>5789</v>
      </c>
      <c r="D78" s="332" t="s">
        <v>5790</v>
      </c>
      <c r="E78" s="333" t="s">
        <v>3677</v>
      </c>
    </row>
    <row r="79">
      <c r="B79" s="332" t="s">
        <v>5791</v>
      </c>
      <c r="C79" s="333" t="s">
        <v>5792</v>
      </c>
      <c r="D79" s="332" t="s">
        <v>5793</v>
      </c>
      <c r="E79" s="333" t="s">
        <v>3680</v>
      </c>
    </row>
    <row r="80">
      <c r="B80" s="332" t="s">
        <v>5794</v>
      </c>
      <c r="C80" s="333" t="s">
        <v>4215</v>
      </c>
      <c r="D80" s="332" t="s">
        <v>5795</v>
      </c>
      <c r="E80" s="333" t="s">
        <v>3687</v>
      </c>
    </row>
    <row r="81">
      <c r="B81" s="332" t="s">
        <v>5796</v>
      </c>
      <c r="C81" s="333" t="s">
        <v>5482</v>
      </c>
      <c r="D81" s="332" t="s">
        <v>5797</v>
      </c>
      <c r="E81" s="333" t="s">
        <v>5798</v>
      </c>
    </row>
    <row r="82">
      <c r="B82" s="332" t="s">
        <v>5799</v>
      </c>
      <c r="C82" s="333" t="s">
        <v>5800</v>
      </c>
      <c r="D82" s="332" t="s">
        <v>5801</v>
      </c>
      <c r="E82" s="333" t="s">
        <v>3700</v>
      </c>
    </row>
    <row r="83">
      <c r="B83" s="332" t="s">
        <v>5802</v>
      </c>
      <c r="C83" s="333" t="s">
        <v>5803</v>
      </c>
      <c r="D83" s="335" t="s">
        <v>5804</v>
      </c>
      <c r="E83" s="336" t="s">
        <v>4533</v>
      </c>
    </row>
    <row r="84">
      <c r="B84" s="332" t="s">
        <v>5805</v>
      </c>
      <c r="C84" s="333" t="s">
        <v>5806</v>
      </c>
      <c r="D84" s="335" t="s">
        <v>5807</v>
      </c>
      <c r="E84" s="336" t="s">
        <v>4821</v>
      </c>
    </row>
    <row r="85">
      <c r="B85" s="332" t="s">
        <v>5808</v>
      </c>
      <c r="C85" s="333" t="s">
        <v>5384</v>
      </c>
      <c r="D85" s="335" t="s">
        <v>5809</v>
      </c>
      <c r="E85" s="336" t="s">
        <v>5810</v>
      </c>
    </row>
    <row r="86">
      <c r="B86" s="332" t="s">
        <v>5811</v>
      </c>
      <c r="C86" s="333" t="s">
        <v>5479</v>
      </c>
      <c r="D86" s="335" t="s">
        <v>5812</v>
      </c>
      <c r="E86" s="336" t="s">
        <v>5813</v>
      </c>
    </row>
    <row r="87">
      <c r="B87" s="332" t="s">
        <v>5814</v>
      </c>
      <c r="C87" s="333" t="s">
        <v>3629</v>
      </c>
      <c r="D87" s="335" t="s">
        <v>5815</v>
      </c>
      <c r="E87" s="336" t="s">
        <v>4828</v>
      </c>
    </row>
    <row r="88">
      <c r="B88" s="332" t="s">
        <v>5816</v>
      </c>
      <c r="C88" s="333" t="s">
        <v>5817</v>
      </c>
      <c r="D88" s="335" t="s">
        <v>5818</v>
      </c>
      <c r="E88" s="336" t="s">
        <v>4825</v>
      </c>
    </row>
    <row r="89">
      <c r="B89" s="332" t="s">
        <v>5819</v>
      </c>
      <c r="C89" s="333" t="s">
        <v>5820</v>
      </c>
      <c r="D89" s="335" t="s">
        <v>5821</v>
      </c>
      <c r="E89" s="336" t="s">
        <v>4841</v>
      </c>
    </row>
    <row r="90">
      <c r="B90" s="332" t="s">
        <v>5822</v>
      </c>
      <c r="C90" s="333" t="s">
        <v>5823</v>
      </c>
      <c r="D90" s="335" t="s">
        <v>5824</v>
      </c>
      <c r="E90" s="336" t="s">
        <v>5825</v>
      </c>
    </row>
    <row r="91">
      <c r="B91" s="332" t="s">
        <v>5826</v>
      </c>
      <c r="C91" s="333" t="s">
        <v>5827</v>
      </c>
      <c r="D91" s="335" t="s">
        <v>5828</v>
      </c>
      <c r="E91" s="336" t="s">
        <v>4849</v>
      </c>
    </row>
    <row r="92">
      <c r="B92" s="332" t="s">
        <v>5829</v>
      </c>
      <c r="C92" s="333" t="s">
        <v>5470</v>
      </c>
      <c r="D92" s="335" t="s">
        <v>5830</v>
      </c>
      <c r="E92" s="336" t="s">
        <v>4856</v>
      </c>
    </row>
    <row r="93">
      <c r="B93" s="332" t="s">
        <v>5831</v>
      </c>
      <c r="C93" s="333" t="s">
        <v>5832</v>
      </c>
      <c r="D93" s="335" t="s">
        <v>5833</v>
      </c>
      <c r="E93" s="336" t="s">
        <v>5834</v>
      </c>
    </row>
    <row r="94">
      <c r="B94" s="332" t="s">
        <v>5835</v>
      </c>
      <c r="C94" s="333" t="s">
        <v>5836</v>
      </c>
      <c r="D94" s="335" t="s">
        <v>5837</v>
      </c>
      <c r="E94" s="336" t="s">
        <v>5838</v>
      </c>
    </row>
    <row r="95">
      <c r="B95" s="332" t="s">
        <v>5839</v>
      </c>
      <c r="C95" s="333" t="s">
        <v>5428</v>
      </c>
      <c r="D95" s="335" t="s">
        <v>5840</v>
      </c>
      <c r="E95" s="336" t="s">
        <v>5841</v>
      </c>
    </row>
    <row r="96">
      <c r="B96" s="332" t="s">
        <v>5842</v>
      </c>
      <c r="C96" s="333" t="s">
        <v>5843</v>
      </c>
      <c r="D96" s="335" t="s">
        <v>5844</v>
      </c>
      <c r="E96" s="336" t="s">
        <v>5845</v>
      </c>
    </row>
    <row r="97">
      <c r="B97" s="332" t="s">
        <v>5846</v>
      </c>
      <c r="C97" s="333" t="s">
        <v>5847</v>
      </c>
      <c r="D97" s="335" t="s">
        <v>5848</v>
      </c>
      <c r="E97" s="336" t="s">
        <v>5849</v>
      </c>
    </row>
    <row r="98">
      <c r="B98" s="332" t="s">
        <v>5850</v>
      </c>
      <c r="C98" s="333" t="s">
        <v>4158</v>
      </c>
      <c r="D98" s="335" t="s">
        <v>5851</v>
      </c>
      <c r="E98" s="336" t="s">
        <v>4875</v>
      </c>
    </row>
    <row r="99">
      <c r="B99" s="332" t="s">
        <v>5852</v>
      </c>
      <c r="C99" s="333" t="s">
        <v>3332</v>
      </c>
      <c r="D99" s="335" t="s">
        <v>5853</v>
      </c>
      <c r="E99" s="336" t="s">
        <v>5854</v>
      </c>
    </row>
    <row r="100">
      <c r="B100" s="332" t="s">
        <v>5855</v>
      </c>
      <c r="C100" s="333" t="s">
        <v>3549</v>
      </c>
      <c r="D100" s="335" t="s">
        <v>5856</v>
      </c>
      <c r="E100" s="336" t="s">
        <v>5857</v>
      </c>
    </row>
    <row r="101">
      <c r="B101" s="332" t="s">
        <v>5858</v>
      </c>
      <c r="C101" s="333" t="s">
        <v>5859</v>
      </c>
      <c r="D101" s="335" t="s">
        <v>5860</v>
      </c>
      <c r="E101" s="336" t="s">
        <v>5861</v>
      </c>
    </row>
    <row r="102">
      <c r="B102" s="332" t="s">
        <v>5862</v>
      </c>
      <c r="C102" s="333" t="s">
        <v>5416</v>
      </c>
      <c r="D102" s="335" t="s">
        <v>5863</v>
      </c>
      <c r="E102" s="336" t="s">
        <v>5864</v>
      </c>
    </row>
    <row r="103">
      <c r="B103" s="332" t="s">
        <v>5865</v>
      </c>
      <c r="C103" s="333" t="s">
        <v>5866</v>
      </c>
      <c r="D103" s="335" t="s">
        <v>5867</v>
      </c>
      <c r="E103" s="336" t="s">
        <v>5868</v>
      </c>
    </row>
    <row r="104">
      <c r="B104" s="332" t="s">
        <v>5869</v>
      </c>
      <c r="C104" s="333" t="s">
        <v>5870</v>
      </c>
      <c r="D104" s="335" t="s">
        <v>5871</v>
      </c>
      <c r="E104" s="336" t="s">
        <v>5872</v>
      </c>
    </row>
    <row r="105">
      <c r="B105" s="332" t="s">
        <v>5873</v>
      </c>
      <c r="C105" s="333" t="s">
        <v>3242</v>
      </c>
      <c r="D105" s="335" t="s">
        <v>5874</v>
      </c>
      <c r="E105" s="336" t="s">
        <v>5875</v>
      </c>
    </row>
    <row r="106">
      <c r="B106" s="332" t="s">
        <v>5876</v>
      </c>
      <c r="C106" s="333" t="s">
        <v>4254</v>
      </c>
      <c r="D106" s="335" t="s">
        <v>5877</v>
      </c>
      <c r="E106" s="336" t="s">
        <v>5878</v>
      </c>
    </row>
    <row r="107">
      <c r="B107" s="332" t="s">
        <v>5879</v>
      </c>
      <c r="C107" s="338" t="s">
        <v>3831</v>
      </c>
      <c r="D107" s="335" t="s">
        <v>5880</v>
      </c>
      <c r="E107" s="336" t="s">
        <v>4887</v>
      </c>
    </row>
    <row r="108">
      <c r="B108" s="332" t="s">
        <v>5881</v>
      </c>
      <c r="C108" s="338" t="s">
        <v>5882</v>
      </c>
      <c r="D108" s="335" t="s">
        <v>5883</v>
      </c>
      <c r="E108" s="336" t="s">
        <v>4896</v>
      </c>
    </row>
    <row r="109">
      <c r="B109" s="332" t="s">
        <v>5884</v>
      </c>
      <c r="C109" s="333" t="s">
        <v>5503</v>
      </c>
      <c r="D109" s="335" t="s">
        <v>5885</v>
      </c>
      <c r="E109" s="336" t="s">
        <v>5886</v>
      </c>
    </row>
    <row r="110">
      <c r="B110" s="332" t="s">
        <v>5887</v>
      </c>
      <c r="C110" s="333" t="s">
        <v>4890</v>
      </c>
      <c r="D110" s="335" t="s">
        <v>5888</v>
      </c>
      <c r="E110" s="336" t="s">
        <v>5000</v>
      </c>
    </row>
    <row r="111">
      <c r="B111" s="332" t="s">
        <v>5889</v>
      </c>
      <c r="C111" s="333" t="s">
        <v>5890</v>
      </c>
      <c r="D111" s="335" t="s">
        <v>5891</v>
      </c>
      <c r="E111" s="336" t="s">
        <v>5892</v>
      </c>
    </row>
    <row r="112">
      <c r="B112" s="332" t="s">
        <v>5893</v>
      </c>
      <c r="C112" s="333" t="s">
        <v>5126</v>
      </c>
      <c r="D112" s="335" t="s">
        <v>5894</v>
      </c>
      <c r="E112" s="336" t="s">
        <v>4905</v>
      </c>
    </row>
    <row r="113">
      <c r="B113" s="332" t="s">
        <v>5895</v>
      </c>
      <c r="C113" s="333" t="s">
        <v>5529</v>
      </c>
      <c r="D113" s="335" t="s">
        <v>5896</v>
      </c>
      <c r="E113" s="336" t="s">
        <v>4911</v>
      </c>
    </row>
    <row r="114">
      <c r="B114" s="332" t="s">
        <v>5897</v>
      </c>
      <c r="C114" s="333" t="s">
        <v>5339</v>
      </c>
      <c r="D114" s="335" t="s">
        <v>5898</v>
      </c>
      <c r="E114" s="336" t="s">
        <v>4917</v>
      </c>
    </row>
    <row r="115">
      <c r="B115" s="332" t="s">
        <v>5899</v>
      </c>
      <c r="C115" s="333" t="s">
        <v>4154</v>
      </c>
      <c r="D115" s="335" t="s">
        <v>5900</v>
      </c>
      <c r="E115" s="336" t="s">
        <v>4920</v>
      </c>
    </row>
    <row r="116">
      <c r="B116" s="332" t="s">
        <v>5901</v>
      </c>
      <c r="C116" s="333" t="s">
        <v>3745</v>
      </c>
      <c r="D116" s="335" t="s">
        <v>5902</v>
      </c>
      <c r="E116" s="336" t="s">
        <v>4928</v>
      </c>
    </row>
    <row r="117">
      <c r="B117" s="332" t="s">
        <v>5903</v>
      </c>
      <c r="C117" s="333" t="s">
        <v>5904</v>
      </c>
      <c r="D117" s="335" t="s">
        <v>5905</v>
      </c>
      <c r="E117" s="336" t="s">
        <v>4933</v>
      </c>
    </row>
    <row r="118">
      <c r="B118" s="332" t="s">
        <v>5906</v>
      </c>
      <c r="C118" s="333" t="s">
        <v>3196</v>
      </c>
      <c r="D118" s="335" t="s">
        <v>5907</v>
      </c>
      <c r="E118" s="336" t="s">
        <v>4938</v>
      </c>
    </row>
    <row r="119">
      <c r="B119" s="332" t="s">
        <v>5908</v>
      </c>
      <c r="C119" s="333" t="s">
        <v>5909</v>
      </c>
      <c r="D119" s="335" t="s">
        <v>5910</v>
      </c>
      <c r="E119" s="334" t="s">
        <v>5911</v>
      </c>
    </row>
    <row r="120">
      <c r="B120" s="332" t="s">
        <v>5912</v>
      </c>
      <c r="C120" s="333" t="s">
        <v>5913</v>
      </c>
      <c r="D120" s="335" t="s">
        <v>5914</v>
      </c>
      <c r="E120" s="336" t="s">
        <v>5915</v>
      </c>
    </row>
    <row r="121">
      <c r="B121" s="332" t="s">
        <v>5916</v>
      </c>
      <c r="C121" s="333" t="s">
        <v>5917</v>
      </c>
      <c r="D121" s="335" t="s">
        <v>5918</v>
      </c>
      <c r="E121" s="336" t="s">
        <v>5919</v>
      </c>
    </row>
    <row r="122">
      <c r="B122" s="332" t="s">
        <v>5920</v>
      </c>
      <c r="C122" s="333" t="s">
        <v>3447</v>
      </c>
      <c r="D122" s="335" t="s">
        <v>5921</v>
      </c>
      <c r="E122" s="336" t="s">
        <v>5922</v>
      </c>
    </row>
    <row r="123">
      <c r="B123" s="332" t="s">
        <v>5923</v>
      </c>
      <c r="C123" s="333" t="s">
        <v>5924</v>
      </c>
      <c r="D123" s="335" t="s">
        <v>5925</v>
      </c>
      <c r="E123" s="336" t="s">
        <v>5926</v>
      </c>
    </row>
    <row r="124">
      <c r="B124" s="332" t="s">
        <v>5927</v>
      </c>
      <c r="C124" s="333" t="s">
        <v>4032</v>
      </c>
      <c r="D124" s="335" t="s">
        <v>5928</v>
      </c>
      <c r="E124" s="336" t="s">
        <v>4953</v>
      </c>
    </row>
    <row r="125">
      <c r="B125" s="332" t="s">
        <v>5929</v>
      </c>
      <c r="C125" s="333" t="s">
        <v>5005</v>
      </c>
      <c r="D125" s="335" t="s">
        <v>5930</v>
      </c>
      <c r="E125" s="336" t="s">
        <v>4956</v>
      </c>
    </row>
    <row r="126">
      <c r="B126" s="332" t="s">
        <v>5931</v>
      </c>
      <c r="C126" s="333" t="s">
        <v>4314</v>
      </c>
      <c r="D126" s="332" t="s">
        <v>5932</v>
      </c>
      <c r="E126" s="333" t="s">
        <v>5933</v>
      </c>
    </row>
    <row r="127">
      <c r="B127" s="332" t="s">
        <v>5934</v>
      </c>
      <c r="C127" s="333" t="s">
        <v>3031</v>
      </c>
      <c r="D127" s="332" t="s">
        <v>5935</v>
      </c>
      <c r="E127" s="333" t="s">
        <v>5936</v>
      </c>
    </row>
    <row r="128">
      <c r="B128" s="332" t="s">
        <v>5937</v>
      </c>
      <c r="C128" s="333" t="s">
        <v>4676</v>
      </c>
      <c r="D128" s="332" t="s">
        <v>5938</v>
      </c>
      <c r="E128" s="333" t="s">
        <v>3648</v>
      </c>
    </row>
    <row r="129">
      <c r="B129" s="332" t="s">
        <v>5939</v>
      </c>
      <c r="C129" s="333" t="s">
        <v>5940</v>
      </c>
      <c r="D129" s="332" t="s">
        <v>5941</v>
      </c>
      <c r="E129" s="333" t="s">
        <v>4446</v>
      </c>
    </row>
    <row r="130">
      <c r="B130" s="332" t="s">
        <v>5942</v>
      </c>
      <c r="C130" s="333" t="s">
        <v>4165</v>
      </c>
      <c r="D130" s="332" t="s">
        <v>5943</v>
      </c>
      <c r="E130" s="333" t="s">
        <v>5944</v>
      </c>
    </row>
    <row r="131">
      <c r="B131" s="332" t="s">
        <v>5945</v>
      </c>
      <c r="C131" s="333" t="s">
        <v>5946</v>
      </c>
      <c r="D131" s="332" t="s">
        <v>5947</v>
      </c>
      <c r="E131" s="333" t="s">
        <v>3725</v>
      </c>
    </row>
    <row r="132">
      <c r="B132" s="332" t="s">
        <v>5948</v>
      </c>
      <c r="C132" s="333" t="s">
        <v>5393</v>
      </c>
      <c r="D132" s="332" t="s">
        <v>5949</v>
      </c>
      <c r="E132" s="333" t="s">
        <v>5950</v>
      </c>
    </row>
    <row r="133">
      <c r="B133" s="332" t="s">
        <v>5951</v>
      </c>
      <c r="C133" s="333" t="s">
        <v>5952</v>
      </c>
      <c r="D133" s="332" t="s">
        <v>5953</v>
      </c>
      <c r="E133" s="333" t="s">
        <v>3734</v>
      </c>
    </row>
    <row r="134">
      <c r="B134" s="332" t="s">
        <v>5954</v>
      </c>
      <c r="C134" s="333" t="s">
        <v>5439</v>
      </c>
      <c r="D134" s="332" t="s">
        <v>5955</v>
      </c>
      <c r="E134" s="333" t="s">
        <v>5956</v>
      </c>
    </row>
    <row r="135">
      <c r="B135" s="332" t="s">
        <v>5957</v>
      </c>
      <c r="C135" s="333" t="s">
        <v>5958</v>
      </c>
      <c r="D135" s="332" t="s">
        <v>5959</v>
      </c>
      <c r="E135" s="333" t="s">
        <v>5960</v>
      </c>
    </row>
    <row r="136">
      <c r="B136" s="332" t="s">
        <v>5961</v>
      </c>
      <c r="C136" s="333" t="s">
        <v>3929</v>
      </c>
      <c r="D136" s="332" t="s">
        <v>5962</v>
      </c>
      <c r="E136" s="333" t="s">
        <v>3747</v>
      </c>
      <c r="F136" s="335"/>
    </row>
    <row r="137">
      <c r="B137" s="332" t="s">
        <v>5963</v>
      </c>
      <c r="C137" s="333" t="s">
        <v>5088</v>
      </c>
      <c r="D137" s="332" t="s">
        <v>5964</v>
      </c>
      <c r="E137" s="333" t="s">
        <v>5965</v>
      </c>
    </row>
    <row r="138">
      <c r="B138" s="332" t="s">
        <v>5966</v>
      </c>
      <c r="C138" s="333" t="s">
        <v>5401</v>
      </c>
      <c r="D138" s="332" t="s">
        <v>5967</v>
      </c>
      <c r="E138" s="333" t="s">
        <v>5968</v>
      </c>
    </row>
    <row r="139">
      <c r="B139" s="332" t="s">
        <v>5969</v>
      </c>
      <c r="C139" s="333" t="s">
        <v>5970</v>
      </c>
      <c r="D139" s="332" t="s">
        <v>5971</v>
      </c>
      <c r="E139" s="333" t="s">
        <v>3758</v>
      </c>
    </row>
    <row r="140">
      <c r="B140" s="332" t="s">
        <v>5972</v>
      </c>
      <c r="C140" s="333" t="s">
        <v>5193</v>
      </c>
      <c r="D140" s="332" t="s">
        <v>5973</v>
      </c>
      <c r="E140" s="333" t="s">
        <v>3382</v>
      </c>
    </row>
    <row r="141">
      <c r="B141" s="332" t="s">
        <v>5974</v>
      </c>
      <c r="C141" s="333" t="s">
        <v>5538</v>
      </c>
      <c r="D141" s="332" t="s">
        <v>5975</v>
      </c>
      <c r="E141" s="333" t="s">
        <v>4452</v>
      </c>
    </row>
    <row r="142">
      <c r="B142" s="332" t="s">
        <v>5976</v>
      </c>
      <c r="C142" s="333" t="s">
        <v>5399</v>
      </c>
      <c r="D142" s="332" t="s">
        <v>5977</v>
      </c>
      <c r="E142" s="333" t="s">
        <v>3750</v>
      </c>
    </row>
    <row r="143">
      <c r="B143" s="332" t="s">
        <v>5978</v>
      </c>
      <c r="C143" s="333" t="s">
        <v>5979</v>
      </c>
      <c r="D143" s="332" t="s">
        <v>5980</v>
      </c>
      <c r="E143" s="333" t="s">
        <v>3781</v>
      </c>
    </row>
    <row r="144">
      <c r="B144" s="332" t="s">
        <v>5981</v>
      </c>
      <c r="C144" s="333" t="s">
        <v>4705</v>
      </c>
      <c r="D144" s="332" t="s">
        <v>5982</v>
      </c>
      <c r="E144" s="333" t="s">
        <v>3784</v>
      </c>
    </row>
    <row r="145">
      <c r="B145" s="332" t="s">
        <v>5983</v>
      </c>
      <c r="C145" s="333" t="s">
        <v>3405</v>
      </c>
      <c r="D145" s="332" t="s">
        <v>5984</v>
      </c>
      <c r="E145" s="333" t="s">
        <v>3769</v>
      </c>
    </row>
    <row r="146">
      <c r="B146" s="332" t="s">
        <v>5985</v>
      </c>
      <c r="C146" s="333" t="s">
        <v>3772</v>
      </c>
      <c r="D146" s="332" t="s">
        <v>5986</v>
      </c>
      <c r="E146" s="333" t="s">
        <v>5987</v>
      </c>
    </row>
    <row r="147">
      <c r="B147" s="332" t="s">
        <v>5988</v>
      </c>
      <c r="C147" s="333" t="s">
        <v>5374</v>
      </c>
      <c r="D147" s="332" t="s">
        <v>5989</v>
      </c>
      <c r="E147" s="333" t="s">
        <v>5990</v>
      </c>
    </row>
    <row r="148">
      <c r="B148" s="332" t="s">
        <v>5991</v>
      </c>
      <c r="C148" s="333" t="s">
        <v>5177</v>
      </c>
      <c r="D148" s="332" t="s">
        <v>5992</v>
      </c>
      <c r="E148" s="333" t="s">
        <v>5993</v>
      </c>
    </row>
    <row r="149">
      <c r="B149" s="332" t="s">
        <v>5994</v>
      </c>
      <c r="C149" s="333" t="s">
        <v>5995</v>
      </c>
      <c r="D149" s="332" t="s">
        <v>5996</v>
      </c>
      <c r="E149" s="333" t="s">
        <v>3787</v>
      </c>
    </row>
    <row r="150">
      <c r="B150" s="332" t="s">
        <v>5997</v>
      </c>
      <c r="C150" s="333" t="s">
        <v>5422</v>
      </c>
      <c r="D150" s="332" t="s">
        <v>5998</v>
      </c>
      <c r="E150" s="333" t="s">
        <v>5999</v>
      </c>
    </row>
    <row r="151">
      <c r="B151" s="332" t="s">
        <v>6000</v>
      </c>
      <c r="C151" s="333" t="s">
        <v>6001</v>
      </c>
      <c r="D151" s="332" t="s">
        <v>6002</v>
      </c>
      <c r="E151" s="333" t="s">
        <v>3790</v>
      </c>
    </row>
    <row r="152">
      <c r="B152" s="332" t="s">
        <v>6003</v>
      </c>
      <c r="C152" s="333" t="s">
        <v>6004</v>
      </c>
      <c r="D152" s="335" t="s">
        <v>6005</v>
      </c>
      <c r="E152" s="336" t="s">
        <v>4958</v>
      </c>
    </row>
    <row r="153">
      <c r="B153" s="332" t="s">
        <v>6006</v>
      </c>
      <c r="C153" s="333" t="s">
        <v>3793</v>
      </c>
      <c r="D153" s="335" t="s">
        <v>6008</v>
      </c>
      <c r="E153" s="336" t="s">
        <v>4967</v>
      </c>
    </row>
    <row r="154">
      <c r="B154" s="332" t="s">
        <v>6009</v>
      </c>
      <c r="C154" s="333" t="s">
        <v>6010</v>
      </c>
      <c r="D154" s="335" t="s">
        <v>6011</v>
      </c>
      <c r="E154" s="336" t="s">
        <v>4969</v>
      </c>
    </row>
    <row r="155">
      <c r="B155" s="332" t="s">
        <v>6012</v>
      </c>
      <c r="C155" s="333" t="s">
        <v>6013</v>
      </c>
      <c r="D155" s="335" t="s">
        <v>6014</v>
      </c>
      <c r="E155" s="336" t="s">
        <v>6015</v>
      </c>
    </row>
    <row r="156">
      <c r="B156" s="332" t="s">
        <v>6016</v>
      </c>
      <c r="C156" s="333" t="s">
        <v>6017</v>
      </c>
      <c r="D156" s="335" t="s">
        <v>6018</v>
      </c>
      <c r="E156" s="336" t="s">
        <v>4974</v>
      </c>
    </row>
    <row r="157">
      <c r="B157" s="332" t="s">
        <v>6019</v>
      </c>
      <c r="C157" s="333" t="s">
        <v>3836</v>
      </c>
      <c r="D157" s="335" t="s">
        <v>6020</v>
      </c>
      <c r="E157" s="336" t="s">
        <v>6021</v>
      </c>
    </row>
    <row r="158">
      <c r="B158" s="332" t="s">
        <v>6022</v>
      </c>
      <c r="C158" s="333" t="s">
        <v>6023</v>
      </c>
      <c r="D158" s="335" t="s">
        <v>6024</v>
      </c>
      <c r="E158" s="336" t="s">
        <v>4988</v>
      </c>
    </row>
    <row r="159">
      <c r="B159" s="332" t="s">
        <v>6025</v>
      </c>
      <c r="C159" s="333" t="s">
        <v>6026</v>
      </c>
      <c r="D159" s="335" t="s">
        <v>6027</v>
      </c>
      <c r="E159" s="336" t="s">
        <v>6028</v>
      </c>
    </row>
    <row r="160">
      <c r="B160" s="332" t="s">
        <v>6029</v>
      </c>
      <c r="C160" s="333" t="s">
        <v>6030</v>
      </c>
      <c r="D160" s="335" t="s">
        <v>6031</v>
      </c>
      <c r="E160" s="336" t="s">
        <v>5003</v>
      </c>
    </row>
    <row r="161">
      <c r="B161" s="332" t="s">
        <v>6032</v>
      </c>
      <c r="C161" s="333" t="s">
        <v>6033</v>
      </c>
      <c r="D161" s="335" t="s">
        <v>6034</v>
      </c>
      <c r="E161" s="336" t="s">
        <v>6035</v>
      </c>
    </row>
    <row r="162">
      <c r="B162" s="332" t="s">
        <v>6036</v>
      </c>
      <c r="C162" s="333" t="s">
        <v>6037</v>
      </c>
      <c r="D162" s="335" t="s">
        <v>6038</v>
      </c>
      <c r="E162" s="336" t="s">
        <v>5021</v>
      </c>
    </row>
    <row r="163">
      <c r="B163" s="332" t="s">
        <v>6039</v>
      </c>
      <c r="C163" s="333" t="s">
        <v>6040</v>
      </c>
      <c r="D163" s="335" t="s">
        <v>6041</v>
      </c>
      <c r="E163" s="336" t="s">
        <v>5030</v>
      </c>
    </row>
    <row r="164">
      <c r="B164" s="332" t="s">
        <v>5564</v>
      </c>
      <c r="C164" s="333" t="s">
        <v>3306</v>
      </c>
      <c r="D164" s="335" t="s">
        <v>6042</v>
      </c>
      <c r="E164" s="336" t="s">
        <v>6043</v>
      </c>
    </row>
    <row r="165">
      <c r="B165" s="332" t="s">
        <v>5567</v>
      </c>
      <c r="C165" s="333" t="s">
        <v>3326</v>
      </c>
      <c r="D165" s="335" t="s">
        <v>6044</v>
      </c>
      <c r="E165" s="336" t="s">
        <v>6045</v>
      </c>
    </row>
    <row r="166">
      <c r="B166" s="332" t="s">
        <v>5569</v>
      </c>
      <c r="C166" s="333" t="s">
        <v>3338</v>
      </c>
      <c r="D166" s="335" t="s">
        <v>6046</v>
      </c>
      <c r="E166" s="336" t="s">
        <v>6047</v>
      </c>
    </row>
    <row r="167">
      <c r="B167" s="332" t="s">
        <v>5571</v>
      </c>
      <c r="C167" s="333" t="s">
        <v>5572</v>
      </c>
      <c r="D167" s="335" t="s">
        <v>6048</v>
      </c>
      <c r="E167" s="336" t="s">
        <v>5041</v>
      </c>
    </row>
    <row r="168">
      <c r="B168" s="332" t="s">
        <v>5575</v>
      </c>
      <c r="C168" s="333" t="s">
        <v>3353</v>
      </c>
      <c r="D168" s="335" t="s">
        <v>6049</v>
      </c>
      <c r="E168" s="334" t="s">
        <v>6050</v>
      </c>
    </row>
    <row r="169">
      <c r="B169" s="332" t="s">
        <v>5578</v>
      </c>
      <c r="C169" s="333" t="s">
        <v>3359</v>
      </c>
      <c r="D169" s="335" t="s">
        <v>6051</v>
      </c>
      <c r="E169" s="336" t="s">
        <v>6052</v>
      </c>
    </row>
    <row r="170">
      <c r="B170" s="332" t="s">
        <v>5580</v>
      </c>
      <c r="C170" s="333" t="s">
        <v>3365</v>
      </c>
      <c r="D170" s="335" t="s">
        <v>6053</v>
      </c>
      <c r="E170" s="336" t="s">
        <v>5062</v>
      </c>
    </row>
    <row r="171">
      <c r="B171" s="332" t="s">
        <v>6054</v>
      </c>
      <c r="C171" s="333" t="s">
        <v>6055</v>
      </c>
      <c r="D171" s="335" t="s">
        <v>6056</v>
      </c>
      <c r="E171" s="334" t="s">
        <v>6057</v>
      </c>
    </row>
    <row r="172">
      <c r="B172" s="332" t="s">
        <v>6058</v>
      </c>
      <c r="C172" s="333" t="s">
        <v>6059</v>
      </c>
      <c r="D172" s="335" t="s">
        <v>6060</v>
      </c>
      <c r="E172" s="336" t="s">
        <v>6061</v>
      </c>
    </row>
    <row r="173">
      <c r="B173" s="332" t="s">
        <v>6062</v>
      </c>
      <c r="C173" s="333" t="s">
        <v>5146</v>
      </c>
      <c r="D173" s="335" t="s">
        <v>6063</v>
      </c>
      <c r="E173" s="336" t="s">
        <v>5071</v>
      </c>
    </row>
    <row r="174">
      <c r="B174" s="332" t="s">
        <v>6064</v>
      </c>
      <c r="C174" s="333" t="s">
        <v>5149</v>
      </c>
      <c r="D174" s="335" t="s">
        <v>6065</v>
      </c>
      <c r="E174" s="336" t="s">
        <v>5073</v>
      </c>
    </row>
    <row r="175">
      <c r="B175" s="332" t="s">
        <v>6066</v>
      </c>
      <c r="C175" s="333" t="s">
        <v>6067</v>
      </c>
      <c r="D175" s="335" t="s">
        <v>6068</v>
      </c>
      <c r="E175" s="336" t="s">
        <v>6069</v>
      </c>
    </row>
    <row r="176">
      <c r="B176" s="332" t="s">
        <v>6070</v>
      </c>
      <c r="C176" s="333" t="s">
        <v>5131</v>
      </c>
      <c r="D176" s="335" t="s">
        <v>6071</v>
      </c>
      <c r="E176" s="336" t="s">
        <v>5104</v>
      </c>
    </row>
    <row r="177">
      <c r="B177" s="332" t="s">
        <v>6072</v>
      </c>
      <c r="C177" s="333" t="s">
        <v>6073</v>
      </c>
      <c r="D177" s="335" t="s">
        <v>6074</v>
      </c>
      <c r="E177" s="336" t="s">
        <v>4342</v>
      </c>
    </row>
    <row r="178">
      <c r="B178" s="335" t="s">
        <v>6075</v>
      </c>
      <c r="C178" s="336" t="s">
        <v>6076</v>
      </c>
      <c r="D178" s="335" t="s">
        <v>6077</v>
      </c>
      <c r="E178" s="336" t="s">
        <v>5112</v>
      </c>
    </row>
    <row r="179">
      <c r="B179" s="335" t="s">
        <v>6078</v>
      </c>
      <c r="C179" s="336" t="s">
        <v>5079</v>
      </c>
      <c r="D179" s="335" t="s">
        <v>6079</v>
      </c>
      <c r="E179" s="336" t="s">
        <v>5120</v>
      </c>
    </row>
    <row r="180">
      <c r="B180" s="335" t="s">
        <v>6080</v>
      </c>
      <c r="C180" s="336" t="s">
        <v>6081</v>
      </c>
      <c r="D180" s="335" t="s">
        <v>6082</v>
      </c>
      <c r="E180" s="336" t="s">
        <v>5123</v>
      </c>
    </row>
    <row r="181">
      <c r="B181" s="335" t="s">
        <v>6083</v>
      </c>
      <c r="C181" s="336" t="s">
        <v>6084</v>
      </c>
      <c r="D181" s="335" t="s">
        <v>6085</v>
      </c>
      <c r="E181" s="336" t="s">
        <v>5140</v>
      </c>
    </row>
    <row r="182">
      <c r="B182" s="335" t="s">
        <v>6086</v>
      </c>
      <c r="C182" s="336" t="s">
        <v>4940</v>
      </c>
    </row>
    <row r="183">
      <c r="B183" s="335" t="s">
        <v>6087</v>
      </c>
      <c r="C183" s="336" t="s">
        <v>6088</v>
      </c>
    </row>
    <row r="184">
      <c r="B184" s="335" t="s">
        <v>6089</v>
      </c>
      <c r="C184" s="336" t="s">
        <v>5094</v>
      </c>
    </row>
    <row r="185">
      <c r="B185" s="335" t="s">
        <v>6090</v>
      </c>
      <c r="C185" s="66" t="s">
        <v>5098</v>
      </c>
    </row>
    <row r="186">
      <c r="B186" s="332"/>
    </row>
    <row r="187">
      <c r="B187" s="332"/>
    </row>
    <row r="188">
      <c r="B188" s="332"/>
    </row>
    <row r="191">
      <c r="B191" s="332"/>
    </row>
    <row r="192">
      <c r="B192" s="332"/>
      <c r="D192" s="332"/>
      <c r="F192" s="332"/>
    </row>
    <row r="193">
      <c r="B193" s="332"/>
      <c r="D193" s="332" t="s">
        <v>5583</v>
      </c>
      <c r="F193" s="332" t="s">
        <v>6091</v>
      </c>
    </row>
    <row r="194">
      <c r="B194" s="332"/>
      <c r="D194" s="333" t="s">
        <v>4503</v>
      </c>
      <c r="F194" s="333" t="s">
        <v>5180</v>
      </c>
    </row>
    <row r="195">
      <c r="B195" s="332" t="s">
        <v>6092</v>
      </c>
      <c r="C195" s="333" t="s">
        <v>5534</v>
      </c>
      <c r="D195" s="332" t="s">
        <v>5586</v>
      </c>
      <c r="F195" s="332" t="s">
        <v>6093</v>
      </c>
    </row>
    <row r="196">
      <c r="D196" s="333" t="s">
        <v>5587</v>
      </c>
      <c r="F196" s="333" t="s">
        <v>5182</v>
      </c>
    </row>
    <row r="197">
      <c r="B197" s="332" t="s">
        <v>6094</v>
      </c>
      <c r="C197" s="333" t="s">
        <v>4730</v>
      </c>
      <c r="D197" s="332" t="s">
        <v>5590</v>
      </c>
      <c r="F197" s="332" t="s">
        <v>6095</v>
      </c>
    </row>
    <row r="198">
      <c r="D198" s="333" t="s">
        <v>5591</v>
      </c>
      <c r="F198" s="333" t="s">
        <v>6096</v>
      </c>
    </row>
    <row r="199">
      <c r="B199" s="332" t="s">
        <v>6097</v>
      </c>
      <c r="C199" s="333" t="s">
        <v>5433</v>
      </c>
      <c r="D199" s="332" t="s">
        <v>5594</v>
      </c>
      <c r="F199" s="332" t="s">
        <v>6098</v>
      </c>
    </row>
    <row r="200">
      <c r="D200" s="333" t="s">
        <v>5595</v>
      </c>
      <c r="F200" s="333" t="s">
        <v>6099</v>
      </c>
    </row>
    <row r="201">
      <c r="B201" s="332" t="s">
        <v>6100</v>
      </c>
      <c r="C201" s="333" t="s">
        <v>4610</v>
      </c>
      <c r="D201" s="332" t="s">
        <v>5598</v>
      </c>
      <c r="F201" s="332" t="s">
        <v>6101</v>
      </c>
    </row>
    <row r="202">
      <c r="D202" s="333" t="s">
        <v>3379</v>
      </c>
      <c r="F202" s="333" t="s">
        <v>6102</v>
      </c>
    </row>
    <row r="203">
      <c r="B203" s="332" t="s">
        <v>6103</v>
      </c>
      <c r="C203" s="333" t="s">
        <v>6104</v>
      </c>
      <c r="D203" s="332" t="s">
        <v>5601</v>
      </c>
      <c r="F203" s="332" t="s">
        <v>6105</v>
      </c>
    </row>
    <row r="204">
      <c r="D204" s="333" t="s">
        <v>3393</v>
      </c>
      <c r="F204" s="333" t="s">
        <v>5190</v>
      </c>
    </row>
    <row r="205">
      <c r="B205" s="332"/>
      <c r="D205" s="332" t="s">
        <v>5603</v>
      </c>
      <c r="F205" s="332" t="s">
        <v>6106</v>
      </c>
    </row>
    <row r="206">
      <c r="B206" s="332"/>
      <c r="D206" s="333" t="s">
        <v>5444</v>
      </c>
      <c r="F206" s="333" t="s">
        <v>6107</v>
      </c>
    </row>
    <row r="207">
      <c r="B207" s="332" t="s">
        <v>6108</v>
      </c>
      <c r="C207" s="333" t="s">
        <v>6109</v>
      </c>
      <c r="D207" s="332" t="s">
        <v>5606</v>
      </c>
      <c r="F207" s="332" t="s">
        <v>6110</v>
      </c>
    </row>
    <row r="208">
      <c r="D208" s="333" t="s">
        <v>5607</v>
      </c>
      <c r="F208" s="333" t="s">
        <v>5187</v>
      </c>
    </row>
    <row r="209">
      <c r="B209" s="332" t="s">
        <v>6111</v>
      </c>
      <c r="C209" s="333" t="s">
        <v>6112</v>
      </c>
      <c r="D209" s="332" t="s">
        <v>5609</v>
      </c>
      <c r="F209" s="332" t="s">
        <v>6113</v>
      </c>
    </row>
    <row r="210">
      <c r="D210" s="333" t="s">
        <v>3426</v>
      </c>
      <c r="F210" s="333" t="s">
        <v>6114</v>
      </c>
    </row>
    <row r="211">
      <c r="B211" s="332"/>
      <c r="D211" s="332" t="s">
        <v>5611</v>
      </c>
      <c r="F211" s="332" t="s">
        <v>6115</v>
      </c>
    </row>
    <row r="212">
      <c r="B212" s="332"/>
      <c r="D212" s="333" t="s">
        <v>3423</v>
      </c>
      <c r="F212" s="333" t="s">
        <v>6116</v>
      </c>
    </row>
    <row r="213">
      <c r="B213" s="332" t="s">
        <v>6117</v>
      </c>
      <c r="C213" s="333" t="s">
        <v>5467</v>
      </c>
      <c r="D213" s="332" t="s">
        <v>5613</v>
      </c>
      <c r="F213" s="332" t="s">
        <v>6118</v>
      </c>
    </row>
    <row r="214">
      <c r="D214" s="333" t="s">
        <v>3429</v>
      </c>
      <c r="F214" s="333" t="s">
        <v>6119</v>
      </c>
    </row>
    <row r="215">
      <c r="B215" s="332" t="s">
        <v>6120</v>
      </c>
      <c r="C215" s="333" t="s">
        <v>2964</v>
      </c>
      <c r="D215" s="332" t="s">
        <v>5615</v>
      </c>
      <c r="F215" s="332" t="s">
        <v>6121</v>
      </c>
    </row>
    <row r="216">
      <c r="D216" s="333" t="s">
        <v>5616</v>
      </c>
      <c r="F216" s="333" t="s">
        <v>5255</v>
      </c>
    </row>
    <row r="217">
      <c r="B217" s="332" t="s">
        <v>6122</v>
      </c>
      <c r="C217" s="333" t="s">
        <v>5450</v>
      </c>
      <c r="D217" s="332" t="s">
        <v>5677</v>
      </c>
      <c r="F217" s="332" t="s">
        <v>6123</v>
      </c>
    </row>
    <row r="218">
      <c r="D218" s="333" t="s">
        <v>4440</v>
      </c>
      <c r="F218" s="333" t="s">
        <v>5271</v>
      </c>
    </row>
    <row r="219">
      <c r="B219" s="332" t="s">
        <v>6124</v>
      </c>
      <c r="C219" s="333" t="s">
        <v>5376</v>
      </c>
      <c r="D219" s="332" t="s">
        <v>5680</v>
      </c>
      <c r="F219" s="332" t="s">
        <v>6125</v>
      </c>
    </row>
    <row r="220">
      <c r="D220" s="333" t="s">
        <v>3453</v>
      </c>
      <c r="F220" s="333" t="s">
        <v>5283</v>
      </c>
    </row>
    <row r="221">
      <c r="B221" s="332" t="s">
        <v>6126</v>
      </c>
      <c r="C221" s="333" t="s">
        <v>6127</v>
      </c>
      <c r="D221" s="332" t="s">
        <v>5683</v>
      </c>
      <c r="F221" s="332" t="s">
        <v>6128</v>
      </c>
    </row>
    <row r="222">
      <c r="D222" s="333" t="s">
        <v>3459</v>
      </c>
      <c r="F222" s="333" t="s">
        <v>5285</v>
      </c>
    </row>
    <row r="223">
      <c r="B223" s="332" t="s">
        <v>6129</v>
      </c>
      <c r="C223" s="333" t="s">
        <v>6130</v>
      </c>
      <c r="D223" s="332" t="s">
        <v>5686</v>
      </c>
      <c r="F223" s="332" t="s">
        <v>6131</v>
      </c>
    </row>
    <row r="224">
      <c r="D224" s="333" t="s">
        <v>3462</v>
      </c>
      <c r="F224" s="333" t="s">
        <v>6132</v>
      </c>
    </row>
    <row r="225">
      <c r="B225" s="332" t="s">
        <v>6133</v>
      </c>
      <c r="C225" s="333" t="s">
        <v>4846</v>
      </c>
      <c r="D225" s="332" t="s">
        <v>5689</v>
      </c>
      <c r="F225" s="332" t="s">
        <v>6134</v>
      </c>
    </row>
    <row r="226">
      <c r="D226" s="333" t="s">
        <v>5690</v>
      </c>
      <c r="F226" s="333" t="s">
        <v>6135</v>
      </c>
    </row>
    <row r="227">
      <c r="B227" s="332" t="s">
        <v>6136</v>
      </c>
      <c r="C227" s="333" t="s">
        <v>6137</v>
      </c>
      <c r="D227" s="332" t="s">
        <v>5692</v>
      </c>
      <c r="F227" s="332" t="s">
        <v>6138</v>
      </c>
    </row>
    <row r="228">
      <c r="D228" s="333" t="s">
        <v>5693</v>
      </c>
      <c r="F228" s="333" t="s">
        <v>4378</v>
      </c>
    </row>
    <row r="229">
      <c r="B229" s="332" t="s">
        <v>6139</v>
      </c>
      <c r="C229" s="333" t="s">
        <v>6140</v>
      </c>
      <c r="D229" s="332" t="s">
        <v>5695</v>
      </c>
      <c r="F229" s="332" t="s">
        <v>6141</v>
      </c>
    </row>
    <row r="230">
      <c r="D230" s="333" t="s">
        <v>5696</v>
      </c>
      <c r="F230" s="333" t="s">
        <v>6142</v>
      </c>
    </row>
    <row r="231">
      <c r="B231" s="332" t="s">
        <v>6143</v>
      </c>
      <c r="C231" s="333" t="s">
        <v>6144</v>
      </c>
      <c r="D231" s="332" t="s">
        <v>5699</v>
      </c>
      <c r="F231" s="332" t="s">
        <v>6145</v>
      </c>
    </row>
    <row r="232">
      <c r="D232" s="333" t="s">
        <v>3490</v>
      </c>
      <c r="F232" s="333" t="s">
        <v>5299</v>
      </c>
    </row>
    <row r="233">
      <c r="B233" s="332" t="s">
        <v>6146</v>
      </c>
      <c r="C233" s="333" t="s">
        <v>4443</v>
      </c>
      <c r="D233" s="332" t="s">
        <v>5701</v>
      </c>
      <c r="F233" s="332" t="s">
        <v>6147</v>
      </c>
    </row>
    <row r="234">
      <c r="D234" s="333" t="s">
        <v>3488</v>
      </c>
      <c r="F234" s="333" t="s">
        <v>6148</v>
      </c>
    </row>
    <row r="235">
      <c r="B235" s="332" t="s">
        <v>6149</v>
      </c>
      <c r="C235" s="333" t="s">
        <v>6150</v>
      </c>
      <c r="D235" s="332" t="s">
        <v>5703</v>
      </c>
      <c r="F235" s="332" t="s">
        <v>6151</v>
      </c>
    </row>
    <row r="236">
      <c r="D236" s="333" t="s">
        <v>5704</v>
      </c>
      <c r="F236" s="333" t="s">
        <v>5318</v>
      </c>
    </row>
    <row r="237">
      <c r="B237" s="332" t="s">
        <v>6152</v>
      </c>
      <c r="C237" s="333" t="s">
        <v>2976</v>
      </c>
      <c r="D237" s="332" t="s">
        <v>5706</v>
      </c>
      <c r="F237" s="332" t="s">
        <v>6153</v>
      </c>
    </row>
    <row r="238">
      <c r="D238" s="333" t="s">
        <v>3555</v>
      </c>
      <c r="F238" s="333" t="s">
        <v>5326</v>
      </c>
    </row>
    <row r="239">
      <c r="B239" s="332" t="s">
        <v>6154</v>
      </c>
      <c r="C239" s="333" t="s">
        <v>4284</v>
      </c>
      <c r="D239" s="332" t="s">
        <v>5709</v>
      </c>
      <c r="F239" s="332" t="s">
        <v>4901</v>
      </c>
    </row>
    <row r="240">
      <c r="D240" s="333" t="s">
        <v>5710</v>
      </c>
      <c r="F240" s="333" t="s">
        <v>4902</v>
      </c>
    </row>
    <row r="241">
      <c r="B241" s="332"/>
      <c r="D241" s="332" t="s">
        <v>5712</v>
      </c>
      <c r="F241" s="332" t="s">
        <v>6155</v>
      </c>
    </row>
    <row r="242">
      <c r="B242" s="332"/>
      <c r="D242" s="333" t="s">
        <v>5713</v>
      </c>
      <c r="F242" s="333" t="s">
        <v>5337</v>
      </c>
    </row>
    <row r="243">
      <c r="B243" s="332"/>
      <c r="D243" s="332" t="s">
        <v>5716</v>
      </c>
      <c r="F243" s="332" t="s">
        <v>6156</v>
      </c>
    </row>
    <row r="244">
      <c r="B244" s="332"/>
      <c r="D244" s="333" t="s">
        <v>5717</v>
      </c>
      <c r="F244" s="333" t="s">
        <v>5345</v>
      </c>
    </row>
    <row r="245">
      <c r="B245" s="332" t="s">
        <v>6157</v>
      </c>
      <c r="C245" s="333" t="s">
        <v>6158</v>
      </c>
      <c r="D245" s="332" t="s">
        <v>5720</v>
      </c>
      <c r="F245" s="332" t="s">
        <v>6159</v>
      </c>
    </row>
    <row r="246">
      <c r="D246" s="333" t="s">
        <v>3519</v>
      </c>
      <c r="F246" s="333" t="s">
        <v>6160</v>
      </c>
    </row>
    <row r="247">
      <c r="B247" s="332"/>
      <c r="D247" s="332" t="s">
        <v>5723</v>
      </c>
      <c r="F247" s="332" t="s">
        <v>6161</v>
      </c>
    </row>
    <row r="248">
      <c r="B248" s="332"/>
      <c r="D248" s="333" t="s">
        <v>3537</v>
      </c>
      <c r="F248" s="333" t="s">
        <v>5348</v>
      </c>
    </row>
    <row r="249">
      <c r="B249" s="332" t="s">
        <v>6162</v>
      </c>
      <c r="C249" s="333" t="s">
        <v>4866</v>
      </c>
      <c r="D249" s="332" t="s">
        <v>5725</v>
      </c>
      <c r="F249" s="332" t="s">
        <v>6163</v>
      </c>
    </row>
    <row r="250">
      <c r="D250" s="333" t="s">
        <v>5726</v>
      </c>
      <c r="F250" s="333" t="s">
        <v>5335</v>
      </c>
    </row>
    <row r="251">
      <c r="B251" s="332" t="s">
        <v>6164</v>
      </c>
      <c r="C251" s="333" t="s">
        <v>5545</v>
      </c>
      <c r="D251" s="332" t="s">
        <v>5729</v>
      </c>
      <c r="F251" s="332" t="s">
        <v>6165</v>
      </c>
    </row>
    <row r="252">
      <c r="D252" s="333" t="s">
        <v>5730</v>
      </c>
      <c r="F252" s="333" t="s">
        <v>6166</v>
      </c>
    </row>
    <row r="253">
      <c r="B253" s="332" t="s">
        <v>6167</v>
      </c>
      <c r="C253" s="333" t="s">
        <v>6168</v>
      </c>
      <c r="D253" s="332" t="s">
        <v>5732</v>
      </c>
      <c r="F253" s="332" t="s">
        <v>6169</v>
      </c>
    </row>
    <row r="254">
      <c r="D254" s="333" t="s">
        <v>3570</v>
      </c>
      <c r="F254" s="333" t="s">
        <v>4930</v>
      </c>
    </row>
    <row r="255">
      <c r="B255" s="332" t="s">
        <v>6170</v>
      </c>
      <c r="C255" s="333" t="s">
        <v>6171</v>
      </c>
      <c r="D255" s="332" t="s">
        <v>5734</v>
      </c>
      <c r="F255" s="332" t="s">
        <v>6172</v>
      </c>
    </row>
    <row r="256">
      <c r="D256" s="333" t="s">
        <v>5735</v>
      </c>
      <c r="F256" s="333" t="s">
        <v>5351</v>
      </c>
    </row>
    <row r="257">
      <c r="B257" s="332"/>
      <c r="D257" s="332" t="s">
        <v>5737</v>
      </c>
      <c r="F257" s="332" t="s">
        <v>6173</v>
      </c>
    </row>
    <row r="258">
      <c r="B258" s="332"/>
      <c r="D258" s="333" t="s">
        <v>3574</v>
      </c>
      <c r="F258" s="333" t="s">
        <v>5354</v>
      </c>
    </row>
    <row r="259">
      <c r="B259" s="332" t="s">
        <v>6174</v>
      </c>
      <c r="C259" s="333" t="s">
        <v>5442</v>
      </c>
      <c r="D259" s="332" t="s">
        <v>5739</v>
      </c>
      <c r="F259" s="332" t="s">
        <v>6175</v>
      </c>
    </row>
    <row r="260">
      <c r="D260" s="333" t="s">
        <v>5740</v>
      </c>
      <c r="F260" s="333" t="s">
        <v>6176</v>
      </c>
    </row>
    <row r="261">
      <c r="B261" s="332" t="s">
        <v>6177</v>
      </c>
      <c r="C261" s="333" t="s">
        <v>3851</v>
      </c>
      <c r="D261" s="332" t="s">
        <v>5743</v>
      </c>
      <c r="F261" s="332" t="s">
        <v>6178</v>
      </c>
    </row>
    <row r="262">
      <c r="D262" s="333" t="s">
        <v>3585</v>
      </c>
      <c r="F262" s="333" t="s">
        <v>5360</v>
      </c>
    </row>
    <row r="263">
      <c r="B263" s="332" t="s">
        <v>6179</v>
      </c>
      <c r="C263" s="333" t="s">
        <v>6180</v>
      </c>
      <c r="D263" s="332" t="s">
        <v>5745</v>
      </c>
      <c r="F263" s="332" t="s">
        <v>6181</v>
      </c>
    </row>
    <row r="264">
      <c r="D264" s="333" t="s">
        <v>5746</v>
      </c>
      <c r="F264" s="333" t="s">
        <v>5362</v>
      </c>
    </row>
    <row r="265">
      <c r="B265" s="332" t="s">
        <v>6182</v>
      </c>
      <c r="C265" s="333" t="s">
        <v>3971</v>
      </c>
      <c r="D265" s="332" t="s">
        <v>5748</v>
      </c>
      <c r="F265" s="332" t="s">
        <v>6183</v>
      </c>
    </row>
    <row r="266">
      <c r="D266" s="333" t="s">
        <v>5749</v>
      </c>
      <c r="F266" s="333" t="s">
        <v>5365</v>
      </c>
    </row>
    <row r="267">
      <c r="B267" s="332"/>
      <c r="D267" s="332" t="s">
        <v>5752</v>
      </c>
    </row>
    <row r="268">
      <c r="B268" s="332"/>
      <c r="D268" s="333" t="s">
        <v>3594</v>
      </c>
    </row>
    <row r="269">
      <c r="B269" s="332" t="s">
        <v>6184</v>
      </c>
      <c r="C269" s="333" t="s">
        <v>6185</v>
      </c>
      <c r="D269" s="332" t="s">
        <v>5754</v>
      </c>
    </row>
    <row r="270">
      <c r="D270" s="333" t="s">
        <v>3642</v>
      </c>
    </row>
    <row r="271">
      <c r="B271" s="332" t="s">
        <v>6186</v>
      </c>
      <c r="C271" s="333" t="s">
        <v>6187</v>
      </c>
      <c r="D271" s="332" t="s">
        <v>5756</v>
      </c>
    </row>
    <row r="272">
      <c r="D272" s="333" t="s">
        <v>5757</v>
      </c>
    </row>
    <row r="273">
      <c r="B273" s="332" t="s">
        <v>6188</v>
      </c>
      <c r="C273" s="333" t="s">
        <v>6189</v>
      </c>
      <c r="D273" s="332" t="s">
        <v>5759</v>
      </c>
    </row>
    <row r="274">
      <c r="D274" s="333" t="s">
        <v>3618</v>
      </c>
    </row>
    <row r="275">
      <c r="B275" s="332"/>
      <c r="D275" s="332" t="s">
        <v>5761</v>
      </c>
    </row>
    <row r="276">
      <c r="B276" s="332"/>
      <c r="D276" s="333" t="s">
        <v>5762</v>
      </c>
    </row>
    <row r="277">
      <c r="B277" s="332" t="s">
        <v>6190</v>
      </c>
      <c r="C277" s="333" t="s">
        <v>6191</v>
      </c>
      <c r="D277" s="332" t="s">
        <v>5764</v>
      </c>
    </row>
    <row r="278">
      <c r="D278" s="333" t="s">
        <v>3623</v>
      </c>
    </row>
    <row r="279">
      <c r="B279" s="332" t="s">
        <v>6192</v>
      </c>
      <c r="C279" s="333" t="s">
        <v>4701</v>
      </c>
      <c r="D279" s="332" t="s">
        <v>5766</v>
      </c>
    </row>
    <row r="280">
      <c r="D280" s="333" t="s">
        <v>5767</v>
      </c>
    </row>
    <row r="281">
      <c r="B281" s="332"/>
      <c r="D281" s="332" t="s">
        <v>5770</v>
      </c>
    </row>
    <row r="282">
      <c r="B282" s="332"/>
      <c r="D282" s="333" t="s">
        <v>3640</v>
      </c>
    </row>
    <row r="283">
      <c r="B283" s="332" t="s">
        <v>6193</v>
      </c>
      <c r="D283" s="332" t="s">
        <v>5772</v>
      </c>
    </row>
    <row r="284">
      <c r="B284" s="333" t="s">
        <v>4518</v>
      </c>
      <c r="D284" s="333" t="s">
        <v>5773</v>
      </c>
    </row>
    <row r="285">
      <c r="B285" s="332" t="s">
        <v>6194</v>
      </c>
      <c r="D285" s="332" t="s">
        <v>5776</v>
      </c>
    </row>
    <row r="286">
      <c r="B286" s="333" t="s">
        <v>6195</v>
      </c>
      <c r="D286" s="333" t="s">
        <v>5777</v>
      </c>
    </row>
    <row r="287">
      <c r="B287" s="332" t="s">
        <v>6196</v>
      </c>
      <c r="D287" s="332" t="s">
        <v>5780</v>
      </c>
    </row>
    <row r="288">
      <c r="B288" s="333" t="s">
        <v>6197</v>
      </c>
      <c r="D288" s="333" t="s">
        <v>3663</v>
      </c>
    </row>
    <row r="289">
      <c r="B289" s="332" t="s">
        <v>6198</v>
      </c>
      <c r="D289" s="332" t="s">
        <v>5782</v>
      </c>
    </row>
    <row r="290">
      <c r="B290" s="333" t="s">
        <v>3286</v>
      </c>
      <c r="D290" s="333" t="s">
        <v>5783</v>
      </c>
    </row>
    <row r="291">
      <c r="B291" s="332" t="s">
        <v>6199</v>
      </c>
      <c r="D291" s="332" t="s">
        <v>5786</v>
      </c>
    </row>
    <row r="292">
      <c r="B292" s="333" t="s">
        <v>6200</v>
      </c>
      <c r="D292" s="333" t="s">
        <v>5787</v>
      </c>
    </row>
    <row r="293">
      <c r="B293" s="332" t="s">
        <v>6201</v>
      </c>
      <c r="D293" s="332" t="s">
        <v>5790</v>
      </c>
    </row>
    <row r="294">
      <c r="B294" s="333" t="s">
        <v>6202</v>
      </c>
      <c r="D294" s="333" t="s">
        <v>3677</v>
      </c>
    </row>
    <row r="295">
      <c r="B295" s="332" t="s">
        <v>6203</v>
      </c>
      <c r="D295" s="332" t="s">
        <v>5793</v>
      </c>
    </row>
    <row r="296">
      <c r="B296" s="333" t="s">
        <v>4535</v>
      </c>
      <c r="D296" s="333" t="s">
        <v>3680</v>
      </c>
    </row>
    <row r="297">
      <c r="B297" s="332" t="s">
        <v>6204</v>
      </c>
      <c r="D297" s="332" t="s">
        <v>5795</v>
      </c>
    </row>
    <row r="298">
      <c r="B298" s="333" t="s">
        <v>4877</v>
      </c>
      <c r="D298" s="333" t="s">
        <v>3687</v>
      </c>
    </row>
    <row r="299">
      <c r="B299" s="332" t="s">
        <v>6205</v>
      </c>
      <c r="D299" s="332" t="s">
        <v>5797</v>
      </c>
    </row>
    <row r="300">
      <c r="B300" s="333" t="s">
        <v>4795</v>
      </c>
      <c r="D300" s="333" t="s">
        <v>5798</v>
      </c>
    </row>
    <row r="301">
      <c r="B301" s="332" t="s">
        <v>6206</v>
      </c>
      <c r="D301" s="332" t="s">
        <v>5801</v>
      </c>
    </row>
    <row r="302">
      <c r="B302" s="333" t="s">
        <v>5527</v>
      </c>
      <c r="D302" s="333" t="s">
        <v>3700</v>
      </c>
    </row>
    <row r="303">
      <c r="B303" s="332" t="s">
        <v>6207</v>
      </c>
      <c r="D303" s="332" t="s">
        <v>5932</v>
      </c>
    </row>
    <row r="304">
      <c r="B304" s="333" t="s">
        <v>6208</v>
      </c>
      <c r="D304" s="333" t="s">
        <v>5933</v>
      </c>
    </row>
    <row r="305">
      <c r="B305" s="332" t="s">
        <v>6209</v>
      </c>
      <c r="D305" s="332" t="s">
        <v>5935</v>
      </c>
    </row>
    <row r="306">
      <c r="B306" s="333" t="s">
        <v>6210</v>
      </c>
      <c r="D306" s="333" t="s">
        <v>5936</v>
      </c>
    </row>
    <row r="307">
      <c r="B307" s="332" t="s">
        <v>6211</v>
      </c>
      <c r="D307" s="332" t="s">
        <v>5938</v>
      </c>
    </row>
    <row r="308">
      <c r="B308" s="333" t="s">
        <v>3638</v>
      </c>
      <c r="D308" s="333" t="s">
        <v>3648</v>
      </c>
    </row>
    <row r="309">
      <c r="B309" s="332" t="s">
        <v>6212</v>
      </c>
      <c r="D309" s="332" t="s">
        <v>5941</v>
      </c>
    </row>
    <row r="310">
      <c r="B310" s="333" t="s">
        <v>4864</v>
      </c>
      <c r="D310" s="333" t="s">
        <v>4446</v>
      </c>
    </row>
    <row r="311">
      <c r="B311" s="332" t="s">
        <v>6213</v>
      </c>
      <c r="D311" s="332" t="s">
        <v>5943</v>
      </c>
    </row>
    <row r="312">
      <c r="B312" s="333" t="s">
        <v>6214</v>
      </c>
      <c r="D312" s="333" t="s">
        <v>5944</v>
      </c>
    </row>
    <row r="313">
      <c r="B313" s="332" t="s">
        <v>6215</v>
      </c>
      <c r="D313" s="332" t="s">
        <v>5947</v>
      </c>
    </row>
    <row r="314">
      <c r="B314" s="333" t="s">
        <v>6216</v>
      </c>
      <c r="D314" s="333" t="s">
        <v>3725</v>
      </c>
    </row>
    <row r="315">
      <c r="B315" s="332" t="s">
        <v>6217</v>
      </c>
      <c r="D315" s="332" t="s">
        <v>5949</v>
      </c>
    </row>
    <row r="316">
      <c r="B316" s="333" t="s">
        <v>6218</v>
      </c>
      <c r="D316" s="333" t="s">
        <v>5950</v>
      </c>
    </row>
    <row r="317">
      <c r="B317" s="332" t="s">
        <v>6219</v>
      </c>
      <c r="D317" s="332" t="s">
        <v>5953</v>
      </c>
    </row>
    <row r="318">
      <c r="B318" s="333" t="s">
        <v>5459</v>
      </c>
      <c r="D318" s="333" t="s">
        <v>3734</v>
      </c>
    </row>
    <row r="319">
      <c r="B319" s="332"/>
      <c r="D319" s="332"/>
    </row>
    <row r="320">
      <c r="B320" s="340">
        <v>43910.0</v>
      </c>
      <c r="D320" s="340">
        <v>41799.0</v>
      </c>
    </row>
    <row r="321">
      <c r="B321" s="332" t="s">
        <v>6220</v>
      </c>
      <c r="D321" s="332" t="s">
        <v>5955</v>
      </c>
    </row>
    <row r="322">
      <c r="B322" s="333" t="s">
        <v>6221</v>
      </c>
      <c r="D322" s="333" t="s">
        <v>5956</v>
      </c>
    </row>
    <row r="323">
      <c r="B323" s="332"/>
      <c r="D323" s="332"/>
    </row>
    <row r="324">
      <c r="B324" s="340">
        <v>44625.0</v>
      </c>
      <c r="D324" s="340">
        <v>41799.0</v>
      </c>
    </row>
    <row r="325">
      <c r="B325" s="332" t="s">
        <v>6222</v>
      </c>
      <c r="D325" s="332" t="s">
        <v>5959</v>
      </c>
    </row>
    <row r="326">
      <c r="B326" s="333" t="s">
        <v>5430</v>
      </c>
      <c r="D326" s="333" t="s">
        <v>5960</v>
      </c>
    </row>
    <row r="327">
      <c r="B327" s="332"/>
      <c r="D327" s="332"/>
    </row>
    <row r="328">
      <c r="B328" s="340">
        <v>43662.0</v>
      </c>
      <c r="D328" s="340">
        <v>41800.0</v>
      </c>
    </row>
    <row r="329">
      <c r="B329" s="332" t="s">
        <v>6223</v>
      </c>
      <c r="D329" s="332" t="s">
        <v>5962</v>
      </c>
    </row>
    <row r="330">
      <c r="B330" s="334" t="s">
        <v>6224</v>
      </c>
      <c r="D330" s="333" t="s">
        <v>3747</v>
      </c>
    </row>
    <row r="331">
      <c r="B331" s="341"/>
      <c r="D331" s="332"/>
    </row>
    <row r="332">
      <c r="B332" s="342">
        <v>42832.0</v>
      </c>
      <c r="D332" s="340">
        <v>41800.0</v>
      </c>
    </row>
    <row r="333">
      <c r="B333" s="336" t="s">
        <v>6225</v>
      </c>
      <c r="D333" s="333" t="s">
        <v>5965</v>
      </c>
    </row>
    <row r="334">
      <c r="B334" s="335"/>
      <c r="D334" s="332"/>
    </row>
    <row r="335">
      <c r="B335" s="343">
        <v>43614.0</v>
      </c>
      <c r="D335" s="340">
        <v>42102.0</v>
      </c>
    </row>
    <row r="336">
      <c r="B336" s="335" t="s">
        <v>6226</v>
      </c>
      <c r="D336" s="332" t="s">
        <v>5967</v>
      </c>
    </row>
    <row r="337">
      <c r="B337" s="336" t="s">
        <v>4089</v>
      </c>
      <c r="D337" s="333" t="s">
        <v>5968</v>
      </c>
    </row>
    <row r="338">
      <c r="B338" s="335"/>
      <c r="D338" s="332"/>
    </row>
    <row r="339">
      <c r="B339" s="343">
        <v>42879.0</v>
      </c>
      <c r="D339" s="340">
        <v>42472.0</v>
      </c>
    </row>
    <row r="340">
      <c r="B340" s="335" t="s">
        <v>6227</v>
      </c>
      <c r="D340" s="332" t="s">
        <v>5971</v>
      </c>
    </row>
    <row r="341">
      <c r="B341" s="336" t="s">
        <v>4476</v>
      </c>
      <c r="D341" s="333" t="s">
        <v>3758</v>
      </c>
    </row>
    <row r="342">
      <c r="B342" s="335"/>
      <c r="D342" s="332"/>
    </row>
    <row r="343">
      <c r="B343" s="344">
        <v>43566.0</v>
      </c>
      <c r="D343" s="340">
        <v>41799.0</v>
      </c>
    </row>
    <row r="344">
      <c r="B344" s="335" t="s">
        <v>6228</v>
      </c>
      <c r="D344" s="332" t="s">
        <v>5973</v>
      </c>
    </row>
    <row r="345">
      <c r="B345" s="336" t="s">
        <v>5419</v>
      </c>
      <c r="D345" s="333" t="s">
        <v>3382</v>
      </c>
    </row>
    <row r="346">
      <c r="B346" s="335"/>
      <c r="D346" s="332"/>
    </row>
    <row r="347">
      <c r="B347" s="344">
        <v>43725.0</v>
      </c>
      <c r="D347" s="340">
        <v>41800.0</v>
      </c>
    </row>
    <row r="348">
      <c r="B348" s="335" t="s">
        <v>6229</v>
      </c>
      <c r="D348" s="332" t="s">
        <v>5975</v>
      </c>
    </row>
    <row r="349">
      <c r="B349" s="336" t="s">
        <v>6230</v>
      </c>
      <c r="D349" s="333" t="s">
        <v>4452</v>
      </c>
    </row>
    <row r="350">
      <c r="B350" s="335"/>
      <c r="D350" s="332"/>
    </row>
    <row r="351">
      <c r="B351" s="344">
        <v>44425.0</v>
      </c>
      <c r="D351" s="340">
        <v>41800.0</v>
      </c>
    </row>
    <row r="352">
      <c r="B352" s="335" t="s">
        <v>6231</v>
      </c>
      <c r="D352" s="332" t="s">
        <v>5977</v>
      </c>
    </row>
    <row r="353">
      <c r="B353" s="336" t="s">
        <v>6232</v>
      </c>
      <c r="D353" s="333" t="s">
        <v>3750</v>
      </c>
    </row>
    <row r="354">
      <c r="B354" s="335"/>
      <c r="D354" s="332"/>
    </row>
    <row r="355">
      <c r="B355" s="344">
        <v>44679.0</v>
      </c>
      <c r="D355" s="340">
        <v>41799.0</v>
      </c>
    </row>
    <row r="356">
      <c r="B356" s="335" t="s">
        <v>6233</v>
      </c>
      <c r="D356" s="332" t="s">
        <v>5980</v>
      </c>
    </row>
    <row r="357">
      <c r="B357" s="336" t="s">
        <v>5506</v>
      </c>
      <c r="D357" s="333" t="s">
        <v>3781</v>
      </c>
    </row>
    <row r="358">
      <c r="B358" s="335"/>
      <c r="D358" s="332"/>
    </row>
    <row r="359">
      <c r="B359" s="344">
        <v>44760.0</v>
      </c>
      <c r="D359" s="340">
        <v>41830.0</v>
      </c>
    </row>
    <row r="360">
      <c r="B360" s="335" t="s">
        <v>6234</v>
      </c>
      <c r="D360" s="332" t="s">
        <v>5982</v>
      </c>
    </row>
    <row r="361">
      <c r="B361" s="336" t="s">
        <v>6235</v>
      </c>
      <c r="D361" s="333" t="s">
        <v>3784</v>
      </c>
    </row>
    <row r="362">
      <c r="B362" s="335"/>
      <c r="D362" s="332"/>
    </row>
    <row r="363">
      <c r="B363" s="344">
        <v>43214.0</v>
      </c>
      <c r="D363" s="340">
        <v>41799.0</v>
      </c>
    </row>
    <row r="364">
      <c r="B364" s="335" t="s">
        <v>6236</v>
      </c>
      <c r="D364" s="332" t="s">
        <v>5984</v>
      </c>
    </row>
    <row r="365">
      <c r="B365" s="336" t="s">
        <v>6237</v>
      </c>
      <c r="D365" s="333" t="s">
        <v>3769</v>
      </c>
    </row>
    <row r="366">
      <c r="B366" s="335"/>
      <c r="D366" s="332"/>
    </row>
    <row r="367">
      <c r="B367" s="344">
        <v>44355.0</v>
      </c>
      <c r="D367" s="340">
        <v>41799.0</v>
      </c>
    </row>
    <row r="368">
      <c r="B368" s="335" t="s">
        <v>6238</v>
      </c>
      <c r="D368" s="332" t="s">
        <v>5986</v>
      </c>
    </row>
    <row r="369">
      <c r="B369" s="336" t="s">
        <v>6239</v>
      </c>
      <c r="D369" s="333" t="s">
        <v>5987</v>
      </c>
    </row>
    <row r="370">
      <c r="B370" s="335"/>
      <c r="D370" s="332"/>
    </row>
    <row r="371">
      <c r="B371" s="344">
        <v>44760.0</v>
      </c>
      <c r="D371" s="345">
        <v>42149.0</v>
      </c>
    </row>
    <row r="372">
      <c r="B372" s="335" t="s">
        <v>6240</v>
      </c>
      <c r="D372" s="332" t="s">
        <v>5989</v>
      </c>
    </row>
    <row r="373">
      <c r="B373" s="336" t="s">
        <v>6241</v>
      </c>
      <c r="D373" s="333" t="s">
        <v>5990</v>
      </c>
    </row>
    <row r="374">
      <c r="B374" s="335"/>
      <c r="D374" s="332"/>
    </row>
    <row r="375">
      <c r="B375" s="343">
        <v>43614.0</v>
      </c>
      <c r="D375" s="340">
        <v>41799.0</v>
      </c>
    </row>
    <row r="376">
      <c r="B376" s="335" t="s">
        <v>6242</v>
      </c>
      <c r="D376" s="332" t="s">
        <v>5992</v>
      </c>
    </row>
    <row r="377">
      <c r="B377" s="336" t="s">
        <v>6243</v>
      </c>
      <c r="D377" s="333" t="s">
        <v>5993</v>
      </c>
    </row>
    <row r="378">
      <c r="B378" s="335"/>
      <c r="D378" s="332"/>
    </row>
    <row r="379">
      <c r="B379" s="344">
        <v>44760.0</v>
      </c>
      <c r="D379" s="340">
        <v>42550.0</v>
      </c>
    </row>
    <row r="380">
      <c r="B380" s="335" t="s">
        <v>6244</v>
      </c>
      <c r="D380" s="332" t="s">
        <v>5996</v>
      </c>
    </row>
    <row r="381">
      <c r="B381" s="336" t="s">
        <v>6245</v>
      </c>
      <c r="D381" s="333" t="s">
        <v>3787</v>
      </c>
    </row>
    <row r="382">
      <c r="B382" s="335"/>
      <c r="D382" s="332"/>
    </row>
    <row r="383">
      <c r="B383" s="344">
        <v>43720.0</v>
      </c>
      <c r="D383" s="340">
        <v>41800.0</v>
      </c>
    </row>
    <row r="384">
      <c r="B384" s="335" t="s">
        <v>6246</v>
      </c>
      <c r="D384" s="332" t="s">
        <v>5998</v>
      </c>
    </row>
    <row r="385">
      <c r="B385" s="336" t="s">
        <v>3248</v>
      </c>
      <c r="D385" s="333" t="s">
        <v>5999</v>
      </c>
    </row>
    <row r="386">
      <c r="B386" s="335"/>
      <c r="D386" s="332"/>
    </row>
    <row r="387">
      <c r="B387" s="344">
        <v>44739.0</v>
      </c>
      <c r="D387" s="340">
        <v>41800.0</v>
      </c>
    </row>
    <row r="388">
      <c r="B388" s="335" t="s">
        <v>6247</v>
      </c>
      <c r="D388" s="332" t="s">
        <v>6002</v>
      </c>
    </row>
    <row r="389">
      <c r="B389" s="336" t="s">
        <v>4050</v>
      </c>
      <c r="D389" s="333" t="s">
        <v>3790</v>
      </c>
    </row>
    <row r="390">
      <c r="B390" s="335"/>
      <c r="D390" s="332"/>
    </row>
    <row r="391">
      <c r="B391" s="344">
        <v>42850.0</v>
      </c>
      <c r="D391" s="340">
        <v>41799.0</v>
      </c>
    </row>
    <row r="392">
      <c r="B392" s="335" t="s">
        <v>6248</v>
      </c>
      <c r="D392" s="332" t="s">
        <v>6003</v>
      </c>
    </row>
    <row r="393">
      <c r="B393" s="336" t="s">
        <v>6249</v>
      </c>
      <c r="D393" s="333" t="s">
        <v>6004</v>
      </c>
    </row>
    <row r="394">
      <c r="B394" s="335"/>
      <c r="D394" s="332"/>
    </row>
    <row r="395">
      <c r="B395" s="344">
        <v>43643.0</v>
      </c>
      <c r="D395" s="340">
        <v>41800.0</v>
      </c>
    </row>
    <row r="396">
      <c r="B396" s="335" t="s">
        <v>6250</v>
      </c>
      <c r="D396" s="332" t="s">
        <v>6006</v>
      </c>
    </row>
    <row r="397">
      <c r="B397" s="336" t="s">
        <v>5171</v>
      </c>
      <c r="D397" s="333" t="s">
        <v>3793</v>
      </c>
    </row>
    <row r="398">
      <c r="B398" s="335"/>
      <c r="D398" s="332"/>
    </row>
    <row r="399">
      <c r="B399" s="344">
        <v>42832.0</v>
      </c>
      <c r="D399" s="340">
        <v>41800.0</v>
      </c>
    </row>
    <row r="400">
      <c r="B400" s="335" t="s">
        <v>6251</v>
      </c>
      <c r="D400" s="332" t="s">
        <v>6009</v>
      </c>
    </row>
    <row r="401">
      <c r="B401" s="336" t="s">
        <v>5473</v>
      </c>
      <c r="D401" s="333" t="s">
        <v>6010</v>
      </c>
    </row>
    <row r="402">
      <c r="B402" s="335"/>
      <c r="D402" s="332"/>
    </row>
    <row r="403">
      <c r="B403" s="344">
        <v>44055.0</v>
      </c>
      <c r="D403" s="340">
        <v>41799.0</v>
      </c>
    </row>
    <row r="404">
      <c r="B404" s="335" t="s">
        <v>6252</v>
      </c>
      <c r="D404" s="332" t="s">
        <v>6012</v>
      </c>
    </row>
    <row r="405">
      <c r="B405" s="336" t="s">
        <v>4663</v>
      </c>
      <c r="D405" s="333" t="s">
        <v>6013</v>
      </c>
    </row>
    <row r="406">
      <c r="B406" s="335"/>
      <c r="D406" s="332"/>
    </row>
    <row r="407">
      <c r="B407" s="344">
        <v>43496.0</v>
      </c>
      <c r="D407" s="340">
        <v>42691.0</v>
      </c>
    </row>
    <row r="408">
      <c r="B408" s="335" t="s">
        <v>6253</v>
      </c>
      <c r="D408" s="332" t="s">
        <v>6016</v>
      </c>
    </row>
    <row r="409">
      <c r="B409" s="336" t="s">
        <v>5379</v>
      </c>
      <c r="D409" s="333" t="s">
        <v>6017</v>
      </c>
    </row>
    <row r="410">
      <c r="B410" s="335"/>
      <c r="D410" s="332"/>
    </row>
    <row r="411">
      <c r="B411" s="344">
        <v>44760.0</v>
      </c>
      <c r="D411" s="340">
        <v>41800.0</v>
      </c>
    </row>
    <row r="412">
      <c r="B412" s="335" t="s">
        <v>6254</v>
      </c>
      <c r="D412" s="332" t="s">
        <v>6019</v>
      </c>
    </row>
    <row r="413">
      <c r="B413" s="336" t="s">
        <v>6255</v>
      </c>
      <c r="D413" s="333" t="s">
        <v>3836</v>
      </c>
    </row>
    <row r="414">
      <c r="B414" s="335"/>
      <c r="D414" s="332"/>
    </row>
    <row r="415">
      <c r="B415" s="344">
        <v>44361.0</v>
      </c>
      <c r="D415" s="340">
        <v>42478.0</v>
      </c>
    </row>
    <row r="416">
      <c r="B416" s="335" t="s">
        <v>6256</v>
      </c>
      <c r="D416" s="332" t="s">
        <v>6022</v>
      </c>
    </row>
    <row r="417">
      <c r="B417" s="336" t="s">
        <v>6257</v>
      </c>
      <c r="D417" s="333" t="s">
        <v>6023</v>
      </c>
    </row>
    <row r="418">
      <c r="B418" s="335"/>
      <c r="D418" s="332"/>
    </row>
    <row r="419">
      <c r="B419" s="344">
        <v>44742.0</v>
      </c>
      <c r="D419" s="340">
        <v>41800.0</v>
      </c>
    </row>
    <row r="420">
      <c r="B420" s="335" t="s">
        <v>6258</v>
      </c>
      <c r="D420" s="332" t="s">
        <v>6025</v>
      </c>
    </row>
    <row r="421">
      <c r="B421" s="336" t="s">
        <v>6259</v>
      </c>
      <c r="D421" s="333" t="s">
        <v>6026</v>
      </c>
    </row>
    <row r="422">
      <c r="B422" s="335"/>
      <c r="D422" s="332"/>
    </row>
    <row r="423">
      <c r="B423" s="344">
        <v>43643.0</v>
      </c>
      <c r="D423" s="340">
        <v>41799.0</v>
      </c>
    </row>
    <row r="424">
      <c r="B424" s="332" t="s">
        <v>6260</v>
      </c>
      <c r="D424" s="332" t="s">
        <v>6029</v>
      </c>
    </row>
    <row r="425">
      <c r="B425" s="333" t="s">
        <v>6261</v>
      </c>
      <c r="D425" s="333" t="s">
        <v>6030</v>
      </c>
    </row>
    <row r="426">
      <c r="B426" s="332"/>
      <c r="D426" s="332"/>
    </row>
    <row r="427">
      <c r="B427" s="340">
        <v>43675.0</v>
      </c>
      <c r="D427" s="340">
        <v>41799.0</v>
      </c>
    </row>
    <row r="428">
      <c r="B428" s="332" t="s">
        <v>6262</v>
      </c>
      <c r="D428" s="332" t="s">
        <v>6032</v>
      </c>
    </row>
    <row r="429">
      <c r="B429" s="333" t="s">
        <v>3402</v>
      </c>
      <c r="D429" s="333" t="s">
        <v>6033</v>
      </c>
    </row>
    <row r="430">
      <c r="B430" s="332"/>
      <c r="D430" s="332"/>
    </row>
    <row r="431">
      <c r="B431" s="340">
        <v>42942.0</v>
      </c>
      <c r="D431" s="340">
        <v>42711.0</v>
      </c>
    </row>
    <row r="432">
      <c r="B432" s="332" t="s">
        <v>6263</v>
      </c>
      <c r="D432" s="332" t="s">
        <v>6036</v>
      </c>
    </row>
    <row r="433">
      <c r="B433" s="333" t="s">
        <v>4666</v>
      </c>
      <c r="D433" s="333" t="s">
        <v>6037</v>
      </c>
    </row>
    <row r="434">
      <c r="B434" s="332"/>
      <c r="D434" s="332"/>
    </row>
    <row r="435">
      <c r="B435" s="340">
        <v>42872.0</v>
      </c>
      <c r="D435" s="340">
        <v>41800.0</v>
      </c>
    </row>
    <row r="436">
      <c r="B436" s="332" t="s">
        <v>6264</v>
      </c>
      <c r="D436" s="332" t="s">
        <v>6039</v>
      </c>
    </row>
    <row r="437">
      <c r="B437" s="333" t="s">
        <v>6265</v>
      </c>
      <c r="D437" s="333" t="s">
        <v>6040</v>
      </c>
    </row>
    <row r="438">
      <c r="B438" s="332"/>
      <c r="D438" s="332"/>
    </row>
    <row r="439">
      <c r="B439" s="340">
        <v>43026.0</v>
      </c>
      <c r="D439" s="340">
        <v>41800.0</v>
      </c>
    </row>
    <row r="440">
      <c r="B440" s="332" t="s">
        <v>6266</v>
      </c>
      <c r="D440" s="332" t="s">
        <v>6267</v>
      </c>
    </row>
    <row r="441">
      <c r="B441" s="333" t="s">
        <v>3435</v>
      </c>
      <c r="D441" s="333" t="s">
        <v>4356</v>
      </c>
    </row>
    <row r="442">
      <c r="B442" s="332"/>
      <c r="D442" s="332"/>
    </row>
    <row r="443">
      <c r="B443" s="340">
        <v>42920.0</v>
      </c>
      <c r="D443" s="340">
        <v>42107.0</v>
      </c>
    </row>
    <row r="444">
      <c r="B444" s="332" t="s">
        <v>6268</v>
      </c>
      <c r="D444" s="332" t="s">
        <v>6269</v>
      </c>
    </row>
    <row r="445">
      <c r="B445" s="333" t="s">
        <v>6270</v>
      </c>
      <c r="D445" s="333" t="s">
        <v>6271</v>
      </c>
    </row>
    <row r="446">
      <c r="B446" s="332"/>
      <c r="D446" s="332"/>
    </row>
    <row r="447">
      <c r="B447" s="340">
        <v>43749.0</v>
      </c>
      <c r="D447" s="340">
        <v>42200.0</v>
      </c>
    </row>
    <row r="448">
      <c r="B448" s="332" t="s">
        <v>6272</v>
      </c>
      <c r="D448" s="332" t="s">
        <v>6273</v>
      </c>
    </row>
    <row r="449">
      <c r="B449" s="333" t="s">
        <v>3903</v>
      </c>
      <c r="D449" s="333" t="s">
        <v>4363</v>
      </c>
    </row>
    <row r="450">
      <c r="B450" s="332"/>
      <c r="D450" s="332"/>
    </row>
    <row r="451">
      <c r="B451" s="340">
        <v>43279.0</v>
      </c>
      <c r="D451" s="340">
        <v>41799.0</v>
      </c>
    </row>
    <row r="452">
      <c r="B452" s="332" t="s">
        <v>6274</v>
      </c>
      <c r="D452" s="332" t="s">
        <v>6275</v>
      </c>
    </row>
    <row r="453">
      <c r="B453" s="333" t="s">
        <v>4405</v>
      </c>
      <c r="D453" s="333" t="s">
        <v>6276</v>
      </c>
    </row>
    <row r="454">
      <c r="B454" s="332"/>
      <c r="D454" s="332"/>
    </row>
    <row r="455">
      <c r="B455" s="340">
        <v>43259.0</v>
      </c>
      <c r="D455" s="340">
        <v>42102.0</v>
      </c>
    </row>
    <row r="456">
      <c r="B456" s="332" t="s">
        <v>6277</v>
      </c>
      <c r="D456" s="332" t="s">
        <v>6278</v>
      </c>
    </row>
    <row r="457">
      <c r="B457" s="333" t="s">
        <v>6279</v>
      </c>
      <c r="D457" s="333" t="s">
        <v>6280</v>
      </c>
    </row>
    <row r="458">
      <c r="B458" s="332"/>
      <c r="D458" s="332"/>
    </row>
    <row r="459">
      <c r="B459" s="340">
        <v>44742.0</v>
      </c>
      <c r="D459" s="345">
        <v>42149.0</v>
      </c>
    </row>
    <row r="460">
      <c r="B460" s="332" t="s">
        <v>6281</v>
      </c>
      <c r="D460" s="332" t="s">
        <v>6282</v>
      </c>
    </row>
    <row r="461">
      <c r="B461" s="333" t="s">
        <v>6283</v>
      </c>
      <c r="D461" s="333" t="s">
        <v>4368</v>
      </c>
    </row>
    <row r="462">
      <c r="B462" s="332"/>
      <c r="D462" s="332"/>
    </row>
    <row r="463">
      <c r="B463" s="340">
        <v>43614.0</v>
      </c>
      <c r="D463" s="340">
        <v>41803.0</v>
      </c>
    </row>
    <row r="464">
      <c r="B464" s="332" t="s">
        <v>6284</v>
      </c>
      <c r="D464" s="332" t="s">
        <v>6285</v>
      </c>
    </row>
    <row r="465">
      <c r="B465" s="333" t="s">
        <v>5474</v>
      </c>
      <c r="D465" s="333" t="s">
        <v>6286</v>
      </c>
    </row>
    <row r="466">
      <c r="B466" s="332"/>
      <c r="D466" s="332"/>
    </row>
    <row r="467">
      <c r="B467" s="340">
        <v>43616.0</v>
      </c>
      <c r="D467" s="340">
        <v>41799.0</v>
      </c>
    </row>
    <row r="468">
      <c r="B468" s="332" t="s">
        <v>6287</v>
      </c>
      <c r="D468" s="332" t="s">
        <v>6288</v>
      </c>
    </row>
    <row r="469">
      <c r="B469" s="333" t="s">
        <v>4604</v>
      </c>
      <c r="D469" s="333" t="s">
        <v>4375</v>
      </c>
    </row>
    <row r="470">
      <c r="B470" s="332"/>
      <c r="D470" s="332"/>
    </row>
    <row r="471">
      <c r="B471" s="340">
        <v>42832.0</v>
      </c>
      <c r="D471" s="340">
        <v>41800.0</v>
      </c>
    </row>
    <row r="472">
      <c r="B472" s="332" t="s">
        <v>6289</v>
      </c>
      <c r="D472" s="332" t="s">
        <v>6290</v>
      </c>
    </row>
    <row r="473">
      <c r="B473" s="333" t="s">
        <v>5536</v>
      </c>
      <c r="D473" s="333" t="s">
        <v>6291</v>
      </c>
    </row>
    <row r="474">
      <c r="B474" s="332"/>
      <c r="D474" s="332"/>
    </row>
    <row r="475">
      <c r="B475" s="340">
        <v>44375.0</v>
      </c>
      <c r="D475" s="340">
        <v>41800.0</v>
      </c>
    </row>
    <row r="476">
      <c r="B476" s="332" t="s">
        <v>6292</v>
      </c>
      <c r="D476" s="332" t="s">
        <v>6293</v>
      </c>
    </row>
    <row r="477">
      <c r="B477" s="333" t="s">
        <v>4833</v>
      </c>
      <c r="D477" s="333" t="s">
        <v>4381</v>
      </c>
    </row>
    <row r="478">
      <c r="B478" s="332"/>
      <c r="D478" s="332"/>
    </row>
    <row r="479">
      <c r="B479" s="340">
        <v>43403.0</v>
      </c>
      <c r="D479" s="340">
        <v>41799.0</v>
      </c>
    </row>
    <row r="480">
      <c r="B480" s="332" t="s">
        <v>6294</v>
      </c>
      <c r="D480" s="332" t="s">
        <v>6295</v>
      </c>
    </row>
    <row r="481">
      <c r="B481" s="333" t="s">
        <v>3603</v>
      </c>
      <c r="D481" s="333" t="s">
        <v>6296</v>
      </c>
    </row>
    <row r="482">
      <c r="B482" s="332"/>
      <c r="D482" s="332"/>
    </row>
    <row r="483">
      <c r="B483" s="340">
        <v>43692.0</v>
      </c>
      <c r="D483" s="340">
        <v>42102.0</v>
      </c>
    </row>
    <row r="484">
      <c r="B484" s="332" t="s">
        <v>6297</v>
      </c>
      <c r="D484" s="332" t="s">
        <v>6298</v>
      </c>
    </row>
    <row r="485">
      <c r="B485" s="333" t="s">
        <v>6299</v>
      </c>
      <c r="D485" s="333" t="s">
        <v>4393</v>
      </c>
    </row>
    <row r="486">
      <c r="B486" s="332"/>
      <c r="D486" s="332"/>
    </row>
    <row r="487">
      <c r="B487" s="340">
        <v>44529.0</v>
      </c>
      <c r="D487" s="340">
        <v>41800.0</v>
      </c>
    </row>
    <row r="488">
      <c r="B488" s="332" t="s">
        <v>6300</v>
      </c>
      <c r="D488" s="332" t="s">
        <v>6301</v>
      </c>
    </row>
    <row r="489">
      <c r="B489" s="333" t="s">
        <v>6302</v>
      </c>
      <c r="D489" s="333" t="s">
        <v>4457</v>
      </c>
    </row>
    <row r="490">
      <c r="B490" s="332"/>
      <c r="D490" s="332"/>
    </row>
    <row r="491">
      <c r="B491" s="340">
        <v>44355.0</v>
      </c>
      <c r="D491" s="340">
        <v>41800.0</v>
      </c>
    </row>
    <row r="492">
      <c r="B492" s="332" t="s">
        <v>6303</v>
      </c>
      <c r="D492" s="332" t="s">
        <v>6304</v>
      </c>
    </row>
    <row r="493">
      <c r="B493" s="333" t="s">
        <v>6305</v>
      </c>
      <c r="D493" s="333" t="s">
        <v>6306</v>
      </c>
    </row>
    <row r="494">
      <c r="B494" s="332"/>
      <c r="D494" s="332"/>
    </row>
    <row r="495">
      <c r="B495" s="340">
        <v>44055.0</v>
      </c>
      <c r="D495" s="340">
        <v>41800.0</v>
      </c>
    </row>
    <row r="496">
      <c r="B496" s="332" t="s">
        <v>6307</v>
      </c>
      <c r="D496" s="332" t="s">
        <v>6308</v>
      </c>
    </row>
    <row r="497">
      <c r="B497" s="333" t="s">
        <v>4243</v>
      </c>
      <c r="D497" s="333" t="s">
        <v>6309</v>
      </c>
    </row>
    <row r="498">
      <c r="B498" s="332"/>
      <c r="D498" s="332"/>
    </row>
    <row r="499">
      <c r="B499" s="340">
        <v>42850.0</v>
      </c>
      <c r="D499" s="340">
        <v>41800.0</v>
      </c>
    </row>
    <row r="500">
      <c r="B500" s="332" t="s">
        <v>6310</v>
      </c>
      <c r="D500" s="332" t="s">
        <v>6311</v>
      </c>
    </row>
    <row r="501">
      <c r="B501" s="333" t="s">
        <v>6312</v>
      </c>
      <c r="D501" s="333" t="s">
        <v>4396</v>
      </c>
    </row>
    <row r="502">
      <c r="B502" s="332"/>
      <c r="D502" s="332"/>
    </row>
    <row r="503">
      <c r="B503" s="340">
        <v>44742.0</v>
      </c>
      <c r="D503" s="340">
        <v>42185.0</v>
      </c>
    </row>
    <row r="504">
      <c r="B504" s="332" t="s">
        <v>6313</v>
      </c>
      <c r="D504" s="332" t="s">
        <v>6314</v>
      </c>
    </row>
    <row r="505">
      <c r="B505" s="333" t="s">
        <v>6315</v>
      </c>
      <c r="D505" s="333" t="s">
        <v>6316</v>
      </c>
    </row>
    <row r="506">
      <c r="B506" s="332"/>
      <c r="D506" s="332"/>
    </row>
    <row r="507">
      <c r="B507" s="340">
        <v>43614.0</v>
      </c>
      <c r="D507" s="340">
        <v>41799.0</v>
      </c>
    </row>
    <row r="508">
      <c r="B508" s="332" t="s">
        <v>6317</v>
      </c>
      <c r="D508" s="332" t="s">
        <v>6318</v>
      </c>
    </row>
    <row r="509">
      <c r="B509" s="333" t="s">
        <v>6319</v>
      </c>
      <c r="D509" s="333" t="s">
        <v>6320</v>
      </c>
    </row>
    <row r="510">
      <c r="B510" s="332"/>
      <c r="D510" s="332"/>
    </row>
    <row r="511">
      <c r="B511" s="340">
        <v>42832.0</v>
      </c>
      <c r="D511" s="340">
        <v>41800.0</v>
      </c>
    </row>
    <row r="512">
      <c r="B512" s="332" t="s">
        <v>6321</v>
      </c>
      <c r="D512" s="332" t="s">
        <v>6322</v>
      </c>
    </row>
    <row r="513">
      <c r="B513" s="333" t="s">
        <v>5406</v>
      </c>
      <c r="D513" s="333" t="s">
        <v>6323</v>
      </c>
    </row>
    <row r="514">
      <c r="B514" s="332"/>
      <c r="D514" s="332"/>
    </row>
    <row r="515">
      <c r="B515" s="340">
        <v>44179.0</v>
      </c>
      <c r="D515" s="340">
        <v>41799.0</v>
      </c>
    </row>
    <row r="516">
      <c r="B516" s="332" t="s">
        <v>6324</v>
      </c>
      <c r="D516" s="332" t="s">
        <v>6325</v>
      </c>
    </row>
    <row r="517">
      <c r="B517" s="333" t="s">
        <v>3368</v>
      </c>
      <c r="D517" s="333" t="s">
        <v>6326</v>
      </c>
    </row>
    <row r="518">
      <c r="B518" s="332"/>
      <c r="D518" s="332"/>
    </row>
    <row r="519">
      <c r="B519" s="340">
        <v>42832.0</v>
      </c>
      <c r="D519" s="340">
        <v>41953.0</v>
      </c>
    </row>
    <row r="520">
      <c r="B520" s="332" t="s">
        <v>6327</v>
      </c>
      <c r="D520" s="332" t="s">
        <v>6328</v>
      </c>
    </row>
    <row r="521">
      <c r="B521" s="333" t="s">
        <v>6329</v>
      </c>
      <c r="D521" s="333" t="s">
        <v>6330</v>
      </c>
    </row>
    <row r="522">
      <c r="B522" s="332"/>
      <c r="D522" s="332"/>
    </row>
    <row r="523">
      <c r="B523" s="340">
        <v>42850.0</v>
      </c>
      <c r="D523" s="340">
        <v>42102.0</v>
      </c>
    </row>
    <row r="524">
      <c r="B524" s="332" t="s">
        <v>6331</v>
      </c>
      <c r="D524" s="332" t="s">
        <v>6332</v>
      </c>
    </row>
    <row r="525">
      <c r="B525" s="333" t="s">
        <v>4023</v>
      </c>
      <c r="D525" s="333" t="s">
        <v>4460</v>
      </c>
    </row>
    <row r="526">
      <c r="B526" s="332"/>
      <c r="D526" s="332"/>
    </row>
    <row r="527">
      <c r="B527" s="340">
        <v>43137.0</v>
      </c>
      <c r="D527" s="340">
        <v>42102.0</v>
      </c>
    </row>
    <row r="528">
      <c r="B528" s="332" t="s">
        <v>6333</v>
      </c>
      <c r="D528" s="332" t="s">
        <v>6334</v>
      </c>
    </row>
    <row r="529">
      <c r="B529" s="333" t="s">
        <v>6335</v>
      </c>
      <c r="D529" s="333" t="s">
        <v>6336</v>
      </c>
    </row>
    <row r="530">
      <c r="B530" s="332"/>
      <c r="D530" s="332"/>
    </row>
    <row r="531">
      <c r="B531" s="340">
        <v>43773.0</v>
      </c>
      <c r="D531" s="340">
        <v>41960.0</v>
      </c>
    </row>
    <row r="532">
      <c r="B532" s="332" t="s">
        <v>6337</v>
      </c>
      <c r="D532" s="332" t="s">
        <v>6338</v>
      </c>
    </row>
    <row r="533">
      <c r="B533" s="333" t="s">
        <v>5308</v>
      </c>
      <c r="D533" s="333" t="s">
        <v>6339</v>
      </c>
    </row>
    <row r="534">
      <c r="B534" s="332"/>
      <c r="D534" s="332"/>
    </row>
    <row r="535">
      <c r="B535" s="340">
        <v>42828.0</v>
      </c>
      <c r="D535" s="340">
        <v>41799.0</v>
      </c>
    </row>
    <row r="536">
      <c r="B536" s="332" t="s">
        <v>6340</v>
      </c>
      <c r="D536" s="332" t="s">
        <v>6341</v>
      </c>
    </row>
    <row r="537">
      <c r="B537" s="333" t="s">
        <v>3094</v>
      </c>
      <c r="D537" s="333" t="s">
        <v>6342</v>
      </c>
    </row>
    <row r="538">
      <c r="B538" s="332"/>
      <c r="D538" s="332"/>
    </row>
    <row r="539">
      <c r="B539" s="340">
        <v>43788.0</v>
      </c>
      <c r="D539" s="340">
        <v>41800.0</v>
      </c>
    </row>
    <row r="540">
      <c r="B540" s="332" t="s">
        <v>6343</v>
      </c>
      <c r="D540" s="332" t="s">
        <v>6344</v>
      </c>
    </row>
    <row r="541">
      <c r="B541" s="333" t="s">
        <v>4515</v>
      </c>
      <c r="D541" s="333" t="s">
        <v>4410</v>
      </c>
    </row>
    <row r="542">
      <c r="B542" s="332"/>
      <c r="D542" s="332"/>
    </row>
    <row r="543">
      <c r="B543" s="340">
        <v>43252.0</v>
      </c>
      <c r="D543" s="340">
        <v>41800.0</v>
      </c>
    </row>
    <row r="544">
      <c r="B544" s="332" t="s">
        <v>6345</v>
      </c>
      <c r="D544" s="332" t="s">
        <v>6346</v>
      </c>
    </row>
    <row r="545">
      <c r="B545" s="333" t="s">
        <v>2985</v>
      </c>
      <c r="D545" s="333" t="s">
        <v>4413</v>
      </c>
    </row>
    <row r="546">
      <c r="B546" s="332"/>
      <c r="D546" s="332"/>
    </row>
    <row r="547">
      <c r="B547" s="340">
        <v>42832.0</v>
      </c>
      <c r="D547" s="340">
        <v>41800.0</v>
      </c>
    </row>
    <row r="548">
      <c r="B548" s="332" t="s">
        <v>6347</v>
      </c>
      <c r="D548" s="332" t="s">
        <v>6348</v>
      </c>
    </row>
    <row r="549">
      <c r="B549" s="333" t="s">
        <v>5028</v>
      </c>
      <c r="D549" s="333" t="s">
        <v>6349</v>
      </c>
    </row>
    <row r="550">
      <c r="B550" s="332"/>
      <c r="D550" s="332"/>
    </row>
    <row r="551">
      <c r="B551" s="340">
        <v>43241.0</v>
      </c>
      <c r="D551" s="340">
        <v>41800.0</v>
      </c>
    </row>
    <row r="552">
      <c r="B552" s="332" t="s">
        <v>6350</v>
      </c>
      <c r="D552" s="332" t="s">
        <v>6351</v>
      </c>
    </row>
    <row r="553">
      <c r="B553" s="333" t="s">
        <v>5509</v>
      </c>
      <c r="D553" s="333" t="s">
        <v>6352</v>
      </c>
    </row>
    <row r="554">
      <c r="B554" s="332"/>
      <c r="D554" s="332"/>
    </row>
    <row r="555">
      <c r="B555" s="340">
        <v>44760.0</v>
      </c>
      <c r="D555" s="340">
        <v>41799.0</v>
      </c>
    </row>
    <row r="556">
      <c r="B556" s="332" t="s">
        <v>6353</v>
      </c>
      <c r="D556" s="332" t="s">
        <v>6354</v>
      </c>
    </row>
    <row r="557">
      <c r="B557" s="333" t="s">
        <v>3152</v>
      </c>
      <c r="D557" s="333" t="s">
        <v>6355</v>
      </c>
    </row>
    <row r="558">
      <c r="B558" s="332"/>
      <c r="D558" s="332"/>
    </row>
    <row r="559">
      <c r="B559" s="340">
        <v>44433.0</v>
      </c>
      <c r="D559" s="340">
        <v>41800.0</v>
      </c>
    </row>
    <row r="560">
      <c r="B560" s="332" t="s">
        <v>6356</v>
      </c>
      <c r="D560" s="332" t="s">
        <v>6357</v>
      </c>
    </row>
    <row r="561">
      <c r="B561" s="333" t="s">
        <v>6358</v>
      </c>
      <c r="D561" s="334" t="s">
        <v>6359</v>
      </c>
    </row>
    <row r="562">
      <c r="B562" s="332"/>
      <c r="D562" s="341"/>
    </row>
    <row r="563">
      <c r="B563" s="340">
        <v>44420.0</v>
      </c>
      <c r="D563" s="342">
        <v>42578.0</v>
      </c>
    </row>
    <row r="564">
      <c r="B564" s="332" t="s">
        <v>6360</v>
      </c>
      <c r="D564" s="335" t="s">
        <v>6361</v>
      </c>
    </row>
    <row r="565">
      <c r="B565" s="333" t="s">
        <v>6362</v>
      </c>
      <c r="D565" s="336" t="s">
        <v>6363</v>
      </c>
    </row>
    <row r="566">
      <c r="B566" s="332"/>
      <c r="D566" s="335"/>
    </row>
    <row r="567">
      <c r="B567" s="340">
        <v>44061.0</v>
      </c>
      <c r="D567" s="344">
        <v>41830.0</v>
      </c>
    </row>
    <row r="568">
      <c r="B568" s="332" t="s">
        <v>6364</v>
      </c>
      <c r="D568" s="335" t="s">
        <v>6365</v>
      </c>
    </row>
    <row r="569">
      <c r="B569" s="333" t="s">
        <v>5107</v>
      </c>
      <c r="D569" s="336" t="s">
        <v>6366</v>
      </c>
    </row>
    <row r="570">
      <c r="B570" s="332"/>
      <c r="D570" s="335"/>
    </row>
    <row r="571">
      <c r="B571" s="340">
        <v>42832.0</v>
      </c>
      <c r="D571" s="344">
        <v>41800.0</v>
      </c>
    </row>
    <row r="572">
      <c r="B572" s="332" t="s">
        <v>6367</v>
      </c>
      <c r="D572" s="335" t="s">
        <v>6368</v>
      </c>
    </row>
    <row r="573">
      <c r="B573" s="333" t="s">
        <v>5152</v>
      </c>
      <c r="D573" s="336" t="s">
        <v>3808</v>
      </c>
    </row>
    <row r="574">
      <c r="B574" s="332"/>
      <c r="D574" s="335"/>
    </row>
    <row r="575">
      <c r="B575" s="340">
        <v>43374.0</v>
      </c>
      <c r="D575" s="344">
        <v>41800.0</v>
      </c>
    </row>
    <row r="576">
      <c r="B576" s="332" t="s">
        <v>6369</v>
      </c>
      <c r="D576" s="335" t="s">
        <v>6370</v>
      </c>
    </row>
    <row r="577">
      <c r="B577" s="333" t="s">
        <v>6371</v>
      </c>
      <c r="D577" s="336" t="s">
        <v>6372</v>
      </c>
    </row>
    <row r="578">
      <c r="B578" s="332"/>
      <c r="D578" s="335"/>
    </row>
    <row r="579">
      <c r="B579" s="340">
        <v>41800.0</v>
      </c>
      <c r="D579" s="344">
        <v>41807.0</v>
      </c>
    </row>
    <row r="580">
      <c r="B580" s="332" t="s">
        <v>6373</v>
      </c>
      <c r="D580" s="335" t="s">
        <v>6374</v>
      </c>
    </row>
    <row r="581">
      <c r="B581" s="333" t="s">
        <v>4097</v>
      </c>
      <c r="D581" s="336" t="s">
        <v>6375</v>
      </c>
    </row>
    <row r="582">
      <c r="B582" s="332"/>
      <c r="D582" s="335"/>
    </row>
    <row r="583">
      <c r="B583" s="340">
        <v>41800.0</v>
      </c>
      <c r="D583" s="344">
        <v>41800.0</v>
      </c>
    </row>
    <row r="584">
      <c r="B584" s="332" t="s">
        <v>6376</v>
      </c>
      <c r="D584" s="335" t="s">
        <v>6377</v>
      </c>
    </row>
    <row r="585">
      <c r="B585" s="333" t="s">
        <v>6378</v>
      </c>
      <c r="D585" s="336" t="s">
        <v>6379</v>
      </c>
    </row>
    <row r="586">
      <c r="B586" s="332"/>
      <c r="D586" s="335"/>
    </row>
    <row r="587">
      <c r="B587" s="340">
        <v>41800.0</v>
      </c>
      <c r="D587" s="344">
        <v>42102.0</v>
      </c>
    </row>
    <row r="588">
      <c r="B588" s="332" t="s">
        <v>6380</v>
      </c>
      <c r="D588" s="335" t="s">
        <v>6381</v>
      </c>
    </row>
    <row r="589">
      <c r="B589" s="333" t="s">
        <v>2962</v>
      </c>
      <c r="D589" s="336" t="s">
        <v>6382</v>
      </c>
    </row>
    <row r="590">
      <c r="B590" s="332"/>
      <c r="D590" s="335"/>
    </row>
    <row r="591">
      <c r="B591" s="340">
        <v>41800.0</v>
      </c>
      <c r="D591" s="344">
        <v>41799.0</v>
      </c>
    </row>
    <row r="592">
      <c r="B592" s="332" t="s">
        <v>6383</v>
      </c>
      <c r="D592" s="335" t="s">
        <v>6384</v>
      </c>
    </row>
    <row r="593">
      <c r="B593" s="333" t="s">
        <v>6385</v>
      </c>
      <c r="D593" s="336" t="s">
        <v>6386</v>
      </c>
    </row>
    <row r="594">
      <c r="B594" s="332"/>
      <c r="D594" s="335"/>
    </row>
    <row r="595">
      <c r="B595" s="340">
        <v>41799.0</v>
      </c>
      <c r="D595" s="344">
        <v>41799.0</v>
      </c>
    </row>
    <row r="596">
      <c r="B596" s="332" t="s">
        <v>6387</v>
      </c>
      <c r="D596" s="335" t="s">
        <v>6388</v>
      </c>
    </row>
    <row r="597">
      <c r="B597" s="333" t="s">
        <v>6389</v>
      </c>
      <c r="D597" s="336" t="s">
        <v>6390</v>
      </c>
    </row>
    <row r="598">
      <c r="B598" s="332"/>
      <c r="D598" s="335"/>
    </row>
    <row r="599">
      <c r="B599" s="340">
        <v>41967.0</v>
      </c>
      <c r="D599" s="344">
        <v>41799.0</v>
      </c>
    </row>
    <row r="600">
      <c r="B600" s="332" t="s">
        <v>6391</v>
      </c>
      <c r="D600" s="335" t="s">
        <v>6392</v>
      </c>
    </row>
    <row r="601">
      <c r="B601" s="333" t="s">
        <v>6393</v>
      </c>
      <c r="D601" s="336" t="s">
        <v>4520</v>
      </c>
    </row>
    <row r="602">
      <c r="B602" s="332"/>
      <c r="D602" s="335"/>
    </row>
    <row r="603">
      <c r="B603" s="340">
        <v>42580.0</v>
      </c>
      <c r="D603" s="344">
        <v>41799.0</v>
      </c>
    </row>
    <row r="604">
      <c r="B604" s="332" t="s">
        <v>6394</v>
      </c>
      <c r="D604" s="335" t="s">
        <v>6395</v>
      </c>
    </row>
    <row r="605">
      <c r="B605" s="333" t="s">
        <v>6396</v>
      </c>
      <c r="D605" s="336" t="s">
        <v>4522</v>
      </c>
    </row>
    <row r="606">
      <c r="B606" s="332"/>
      <c r="D606" s="335"/>
    </row>
    <row r="607">
      <c r="B607" s="340">
        <v>41941.0</v>
      </c>
      <c r="D607" s="344">
        <v>42158.0</v>
      </c>
    </row>
    <row r="608">
      <c r="B608" s="332" t="s">
        <v>6397</v>
      </c>
      <c r="D608" s="335" t="s">
        <v>6398</v>
      </c>
    </row>
    <row r="609">
      <c r="B609" s="333" t="s">
        <v>3013</v>
      </c>
      <c r="D609" s="334" t="s">
        <v>6399</v>
      </c>
    </row>
    <row r="610">
      <c r="B610" s="332"/>
      <c r="D610" s="341"/>
    </row>
    <row r="611">
      <c r="B611" s="340">
        <v>42472.0</v>
      </c>
      <c r="D611" s="342">
        <v>42473.0</v>
      </c>
    </row>
    <row r="612">
      <c r="B612" s="332" t="s">
        <v>6400</v>
      </c>
      <c r="D612" s="335" t="s">
        <v>6401</v>
      </c>
    </row>
    <row r="613">
      <c r="B613" s="333" t="s">
        <v>3019</v>
      </c>
      <c r="D613" s="336" t="s">
        <v>4556</v>
      </c>
    </row>
    <row r="614">
      <c r="B614" s="332"/>
      <c r="D614" s="335"/>
    </row>
    <row r="615">
      <c r="B615" s="340">
        <v>41800.0</v>
      </c>
      <c r="D615" s="343">
        <v>42503.0</v>
      </c>
    </row>
    <row r="616">
      <c r="B616" s="332" t="s">
        <v>6402</v>
      </c>
      <c r="D616" s="335" t="s">
        <v>6403</v>
      </c>
    </row>
    <row r="617">
      <c r="B617" s="333" t="s">
        <v>6404</v>
      </c>
      <c r="D617" s="336" t="s">
        <v>6405</v>
      </c>
    </row>
    <row r="618">
      <c r="B618" s="332"/>
      <c r="D618" s="335"/>
    </row>
    <row r="619">
      <c r="B619" s="340">
        <v>42102.0</v>
      </c>
      <c r="D619" s="344">
        <v>42079.0</v>
      </c>
    </row>
    <row r="620">
      <c r="B620" s="332" t="s">
        <v>6406</v>
      </c>
      <c r="D620" s="335" t="s">
        <v>6407</v>
      </c>
    </row>
    <row r="621">
      <c r="B621" s="333" t="s">
        <v>6408</v>
      </c>
      <c r="D621" s="336" t="s">
        <v>6409</v>
      </c>
    </row>
    <row r="622">
      <c r="B622" s="332"/>
      <c r="D622" s="335"/>
    </row>
    <row r="623">
      <c r="B623" s="340">
        <v>41960.0</v>
      </c>
      <c r="D623" s="344">
        <v>41799.0</v>
      </c>
    </row>
    <row r="624">
      <c r="B624" s="332" t="s">
        <v>6410</v>
      </c>
      <c r="D624" s="335" t="s">
        <v>6411</v>
      </c>
    </row>
    <row r="625">
      <c r="B625" s="333" t="s">
        <v>6412</v>
      </c>
      <c r="D625" s="336" t="s">
        <v>4568</v>
      </c>
    </row>
    <row r="626">
      <c r="B626" s="332"/>
      <c r="D626" s="335"/>
    </row>
    <row r="627">
      <c r="B627" s="340">
        <v>41799.0</v>
      </c>
      <c r="D627" s="344">
        <v>42478.0</v>
      </c>
    </row>
    <row r="628">
      <c r="B628" s="332" t="s">
        <v>6413</v>
      </c>
      <c r="D628" s="335" t="s">
        <v>6414</v>
      </c>
    </row>
    <row r="629">
      <c r="B629" s="333" t="s">
        <v>3055</v>
      </c>
      <c r="D629" s="336" t="s">
        <v>4571</v>
      </c>
    </row>
    <row r="630">
      <c r="B630" s="332"/>
      <c r="D630" s="335"/>
    </row>
    <row r="631">
      <c r="B631" s="340">
        <v>42472.0</v>
      </c>
      <c r="D631" s="343">
        <v>42129.0</v>
      </c>
    </row>
    <row r="632">
      <c r="B632" s="332" t="s">
        <v>6415</v>
      </c>
      <c r="D632" s="335" t="s">
        <v>6416</v>
      </c>
    </row>
    <row r="633">
      <c r="B633" s="333" t="s">
        <v>6417</v>
      </c>
      <c r="D633" s="336" t="s">
        <v>4559</v>
      </c>
    </row>
    <row r="634">
      <c r="B634" s="332"/>
      <c r="D634" s="335"/>
    </row>
    <row r="635">
      <c r="B635" s="340">
        <v>41807.0</v>
      </c>
      <c r="D635" s="344">
        <v>41800.0</v>
      </c>
    </row>
    <row r="636">
      <c r="B636" s="332" t="s">
        <v>6418</v>
      </c>
      <c r="D636" s="335" t="s">
        <v>6419</v>
      </c>
    </row>
    <row r="637">
      <c r="B637" s="333" t="s">
        <v>6420</v>
      </c>
      <c r="D637" s="336" t="s">
        <v>6421</v>
      </c>
    </row>
    <row r="638">
      <c r="B638" s="332"/>
      <c r="D638" s="335"/>
    </row>
    <row r="639">
      <c r="B639" s="340">
        <v>41800.0</v>
      </c>
      <c r="D639" s="344">
        <v>41800.0</v>
      </c>
    </row>
    <row r="640">
      <c r="B640" s="332" t="s">
        <v>6422</v>
      </c>
      <c r="D640" s="335" t="s">
        <v>6423</v>
      </c>
    </row>
    <row r="641">
      <c r="B641" s="333" t="s">
        <v>3058</v>
      </c>
      <c r="D641" s="336" t="s">
        <v>6424</v>
      </c>
    </row>
    <row r="642">
      <c r="B642" s="332"/>
      <c r="D642" s="335"/>
    </row>
    <row r="643">
      <c r="B643" s="340">
        <v>41800.0</v>
      </c>
      <c r="D643" s="344">
        <v>41799.0</v>
      </c>
    </row>
    <row r="644">
      <c r="B644" s="332" t="s">
        <v>6425</v>
      </c>
      <c r="D644" s="335" t="s">
        <v>6426</v>
      </c>
    </row>
    <row r="645">
      <c r="B645" s="333" t="s">
        <v>6427</v>
      </c>
      <c r="D645" s="336" t="s">
        <v>6428</v>
      </c>
    </row>
    <row r="646">
      <c r="B646" s="332"/>
      <c r="D646" s="335"/>
    </row>
    <row r="647">
      <c r="B647" s="340">
        <v>42285.0</v>
      </c>
      <c r="D647" s="344">
        <v>41800.0</v>
      </c>
    </row>
    <row r="648">
      <c r="B648" s="332" t="s">
        <v>6429</v>
      </c>
      <c r="D648" s="335" t="s">
        <v>6430</v>
      </c>
    </row>
    <row r="649">
      <c r="B649" s="333" t="s">
        <v>6431</v>
      </c>
      <c r="D649" s="334" t="s">
        <v>6432</v>
      </c>
    </row>
    <row r="650">
      <c r="B650" s="332"/>
      <c r="D650" s="341"/>
    </row>
    <row r="651">
      <c r="B651" s="340">
        <v>42319.0</v>
      </c>
      <c r="D651" s="342">
        <v>42577.0</v>
      </c>
    </row>
    <row r="652">
      <c r="B652" s="332" t="s">
        <v>6433</v>
      </c>
      <c r="D652" s="335" t="s">
        <v>6434</v>
      </c>
    </row>
    <row r="653">
      <c r="B653" s="333" t="s">
        <v>6435</v>
      </c>
      <c r="D653" s="336" t="s">
        <v>6436</v>
      </c>
    </row>
    <row r="654">
      <c r="B654" s="332"/>
      <c r="D654" s="335"/>
    </row>
    <row r="655">
      <c r="B655" s="340">
        <v>41800.0</v>
      </c>
      <c r="D655" s="344">
        <v>41799.0</v>
      </c>
    </row>
    <row r="656">
      <c r="B656" s="332" t="s">
        <v>6437</v>
      </c>
      <c r="D656" s="335" t="s">
        <v>6438</v>
      </c>
    </row>
    <row r="657">
      <c r="B657" s="333" t="s">
        <v>6439</v>
      </c>
      <c r="D657" s="336" t="s">
        <v>6440</v>
      </c>
    </row>
    <row r="658">
      <c r="B658" s="332"/>
      <c r="D658" s="335"/>
    </row>
    <row r="659">
      <c r="B659" s="340">
        <v>41799.0</v>
      </c>
      <c r="D659" s="344">
        <v>42319.0</v>
      </c>
    </row>
    <row r="660">
      <c r="B660" s="332" t="s">
        <v>6441</v>
      </c>
      <c r="D660" s="335" t="s">
        <v>6442</v>
      </c>
    </row>
    <row r="661">
      <c r="B661" s="333" t="s">
        <v>3113</v>
      </c>
      <c r="D661" s="336" t="s">
        <v>4590</v>
      </c>
    </row>
    <row r="662">
      <c r="B662" s="332"/>
      <c r="D662" s="335"/>
    </row>
    <row r="663">
      <c r="B663" s="340">
        <v>41841.0</v>
      </c>
      <c r="D663" s="344">
        <v>41960.0</v>
      </c>
    </row>
    <row r="664">
      <c r="B664" s="332" t="s">
        <v>6443</v>
      </c>
      <c r="D664" s="335" t="s">
        <v>6444</v>
      </c>
    </row>
    <row r="665">
      <c r="B665" s="333" t="s">
        <v>3116</v>
      </c>
      <c r="D665" s="336" t="s">
        <v>4598</v>
      </c>
    </row>
    <row r="666">
      <c r="B666" s="332"/>
      <c r="D666" s="335"/>
    </row>
    <row r="667">
      <c r="B667" s="340">
        <v>42482.0</v>
      </c>
      <c r="D667" s="344">
        <v>42102.0</v>
      </c>
    </row>
    <row r="668">
      <c r="B668" s="332" t="s">
        <v>6445</v>
      </c>
      <c r="D668" s="335" t="s">
        <v>6446</v>
      </c>
    </row>
    <row r="669">
      <c r="B669" s="333" t="s">
        <v>3131</v>
      </c>
      <c r="D669" s="334" t="s">
        <v>6447</v>
      </c>
    </row>
    <row r="670">
      <c r="B670" s="332" t="s">
        <v>6448</v>
      </c>
      <c r="D670" s="341"/>
    </row>
    <row r="671">
      <c r="B671" s="340">
        <v>41799.0</v>
      </c>
      <c r="D671" s="342">
        <v>42580.0</v>
      </c>
    </row>
    <row r="672">
      <c r="B672" s="332" t="s">
        <v>6449</v>
      </c>
      <c r="D672" s="335" t="s">
        <v>6450</v>
      </c>
    </row>
    <row r="673">
      <c r="B673" s="333" t="s">
        <v>6451</v>
      </c>
      <c r="D673" s="336" t="s">
        <v>4596</v>
      </c>
    </row>
    <row r="674">
      <c r="B674" s="332"/>
      <c r="D674" s="335"/>
    </row>
    <row r="675">
      <c r="B675" s="340">
        <v>41800.0</v>
      </c>
      <c r="D675" s="344">
        <v>41800.0</v>
      </c>
    </row>
    <row r="676">
      <c r="B676" s="332" t="s">
        <v>6452</v>
      </c>
      <c r="D676" s="335" t="s">
        <v>6453</v>
      </c>
    </row>
    <row r="677">
      <c r="B677" s="333" t="s">
        <v>3140</v>
      </c>
      <c r="D677" s="336" t="s">
        <v>4613</v>
      </c>
    </row>
    <row r="678">
      <c r="B678" s="332"/>
      <c r="D678" s="335"/>
    </row>
    <row r="679">
      <c r="B679" s="340">
        <v>42129.0</v>
      </c>
      <c r="D679" s="344">
        <v>41799.0</v>
      </c>
    </row>
    <row r="680">
      <c r="B680" s="332" t="s">
        <v>6454</v>
      </c>
      <c r="D680" s="335" t="s">
        <v>6455</v>
      </c>
    </row>
    <row r="681">
      <c r="B681" s="333" t="s">
        <v>6456</v>
      </c>
      <c r="D681" s="336" t="s">
        <v>4617</v>
      </c>
    </row>
    <row r="682">
      <c r="B682" s="332"/>
      <c r="D682" s="335"/>
    </row>
    <row r="683">
      <c r="B683" s="340">
        <v>41800.0</v>
      </c>
      <c r="D683" s="344">
        <v>42478.0</v>
      </c>
    </row>
    <row r="684">
      <c r="B684" s="332" t="s">
        <v>6457</v>
      </c>
      <c r="D684" s="335" t="s">
        <v>6458</v>
      </c>
    </row>
    <row r="685">
      <c r="B685" s="333" t="s">
        <v>3155</v>
      </c>
      <c r="D685" s="336" t="s">
        <v>4485</v>
      </c>
    </row>
    <row r="686">
      <c r="B686" s="332"/>
      <c r="D686" s="335"/>
    </row>
    <row r="687">
      <c r="B687" s="340">
        <v>41800.0</v>
      </c>
      <c r="D687" s="344">
        <v>41799.0</v>
      </c>
    </row>
    <row r="688">
      <c r="B688" s="332" t="s">
        <v>6459</v>
      </c>
      <c r="D688" s="335" t="s">
        <v>6460</v>
      </c>
    </row>
    <row r="689">
      <c r="B689" s="333" t="s">
        <v>3158</v>
      </c>
      <c r="D689" s="336" t="s">
        <v>4620</v>
      </c>
    </row>
    <row r="690">
      <c r="B690" s="332"/>
      <c r="D690" s="335"/>
    </row>
    <row r="691">
      <c r="B691" s="340">
        <v>41803.0</v>
      </c>
      <c r="D691" s="344">
        <v>42527.0</v>
      </c>
    </row>
    <row r="692">
      <c r="B692" s="332" t="s">
        <v>6461</v>
      </c>
      <c r="D692" s="335" t="s">
        <v>6462</v>
      </c>
    </row>
    <row r="693">
      <c r="B693" s="333" t="s">
        <v>6463</v>
      </c>
      <c r="D693" s="336" t="s">
        <v>4623</v>
      </c>
    </row>
    <row r="694">
      <c r="B694" s="332"/>
      <c r="D694" s="335"/>
    </row>
    <row r="695">
      <c r="B695" s="340">
        <v>42629.0</v>
      </c>
      <c r="D695" s="344">
        <v>41800.0</v>
      </c>
    </row>
    <row r="696">
      <c r="B696" s="332" t="s">
        <v>6464</v>
      </c>
      <c r="D696" s="335" t="s">
        <v>6465</v>
      </c>
    </row>
    <row r="697">
      <c r="B697" s="333" t="s">
        <v>3179</v>
      </c>
      <c r="D697" s="336" t="s">
        <v>4660</v>
      </c>
    </row>
    <row r="698">
      <c r="B698" s="332"/>
      <c r="D698" s="335"/>
    </row>
    <row r="699">
      <c r="B699" s="340">
        <v>41799.0</v>
      </c>
      <c r="D699" s="344">
        <v>42473.0</v>
      </c>
    </row>
    <row r="700">
      <c r="B700" s="332" t="s">
        <v>6466</v>
      </c>
      <c r="D700" s="335" t="s">
        <v>6467</v>
      </c>
    </row>
    <row r="701">
      <c r="B701" s="333" t="s">
        <v>6468</v>
      </c>
      <c r="D701" s="336" t="s">
        <v>6469</v>
      </c>
    </row>
    <row r="702">
      <c r="B702" s="332"/>
      <c r="D702" s="335"/>
    </row>
    <row r="703">
      <c r="B703" s="340">
        <v>42199.0</v>
      </c>
      <c r="D703" s="344">
        <v>41799.0</v>
      </c>
    </row>
    <row r="704">
      <c r="B704" s="332" t="s">
        <v>6470</v>
      </c>
      <c r="D704" s="335" t="s">
        <v>6471</v>
      </c>
    </row>
    <row r="705">
      <c r="B705" s="333" t="s">
        <v>6472</v>
      </c>
      <c r="D705" s="336" t="s">
        <v>6473</v>
      </c>
    </row>
    <row r="706">
      <c r="B706" s="332"/>
      <c r="D706" s="335"/>
    </row>
    <row r="707">
      <c r="B707" s="340">
        <v>42158.0</v>
      </c>
      <c r="D707" s="344">
        <v>41839.0</v>
      </c>
    </row>
    <row r="708">
      <c r="B708" s="332" t="s">
        <v>6474</v>
      </c>
      <c r="D708" s="335" t="s">
        <v>6475</v>
      </c>
    </row>
    <row r="709">
      <c r="B709" s="333" t="s">
        <v>6476</v>
      </c>
      <c r="D709" s="336" t="s">
        <v>6477</v>
      </c>
    </row>
    <row r="710">
      <c r="B710" s="332"/>
      <c r="D710" s="335"/>
    </row>
    <row r="711">
      <c r="B711" s="340">
        <v>42478.0</v>
      </c>
      <c r="D711" s="344">
        <v>41799.0</v>
      </c>
    </row>
    <row r="712">
      <c r="B712" s="332" t="s">
        <v>6478</v>
      </c>
      <c r="D712" s="335" t="s">
        <v>6479</v>
      </c>
    </row>
    <row r="713">
      <c r="B713" s="333" t="s">
        <v>3188</v>
      </c>
      <c r="D713" s="336" t="s">
        <v>6480</v>
      </c>
    </row>
    <row r="714">
      <c r="B714" s="332"/>
      <c r="D714" s="335"/>
    </row>
    <row r="715">
      <c r="B715" s="340">
        <v>41800.0</v>
      </c>
      <c r="D715" s="344">
        <v>41799.0</v>
      </c>
    </row>
    <row r="716">
      <c r="B716" s="332" t="s">
        <v>6481</v>
      </c>
      <c r="D716" s="335" t="s">
        <v>6482</v>
      </c>
    </row>
    <row r="717">
      <c r="B717" s="333" t="s">
        <v>3190</v>
      </c>
      <c r="D717" s="336" t="s">
        <v>6483</v>
      </c>
    </row>
    <row r="718">
      <c r="B718" s="332"/>
      <c r="D718" s="335"/>
    </row>
    <row r="719">
      <c r="B719" s="340">
        <v>41800.0</v>
      </c>
      <c r="D719" s="344">
        <v>41800.0</v>
      </c>
    </row>
    <row r="720">
      <c r="B720" s="332" t="s">
        <v>6484</v>
      </c>
      <c r="D720" s="335" t="s">
        <v>6485</v>
      </c>
    </row>
    <row r="721">
      <c r="B721" s="333" t="s">
        <v>3193</v>
      </c>
      <c r="D721" s="336" t="s">
        <v>4579</v>
      </c>
    </row>
    <row r="722">
      <c r="B722" s="332"/>
      <c r="D722" s="335"/>
    </row>
    <row r="723">
      <c r="B723" s="340">
        <v>41800.0</v>
      </c>
      <c r="D723" s="344">
        <v>41800.0</v>
      </c>
    </row>
    <row r="724">
      <c r="B724" s="332" t="s">
        <v>6486</v>
      </c>
      <c r="D724" s="335" t="s">
        <v>6487</v>
      </c>
    </row>
    <row r="725">
      <c r="B725" s="333" t="s">
        <v>6488</v>
      </c>
      <c r="D725" s="336" t="s">
        <v>4673</v>
      </c>
    </row>
    <row r="726">
      <c r="B726" s="332"/>
      <c r="D726" s="335"/>
    </row>
    <row r="727">
      <c r="B727" s="340">
        <v>41800.0</v>
      </c>
      <c r="D727" s="344">
        <v>42695.0</v>
      </c>
    </row>
    <row r="728">
      <c r="B728" s="332" t="s">
        <v>6489</v>
      </c>
      <c r="D728" s="335" t="s">
        <v>6490</v>
      </c>
    </row>
    <row r="729">
      <c r="B729" s="333" t="s">
        <v>3205</v>
      </c>
      <c r="D729" s="336" t="s">
        <v>4671</v>
      </c>
    </row>
    <row r="730">
      <c r="B730" s="332"/>
      <c r="D730" s="335"/>
    </row>
    <row r="731">
      <c r="B731" s="340">
        <v>41799.0</v>
      </c>
      <c r="D731" s="344">
        <v>42102.0</v>
      </c>
    </row>
    <row r="732">
      <c r="B732" s="332" t="s">
        <v>6491</v>
      </c>
      <c r="D732" s="335" t="s">
        <v>6492</v>
      </c>
    </row>
    <row r="733">
      <c r="B733" s="333" t="s">
        <v>6493</v>
      </c>
      <c r="D733" s="336" t="s">
        <v>6494</v>
      </c>
    </row>
    <row r="734">
      <c r="B734" s="332"/>
      <c r="D734" s="335"/>
    </row>
    <row r="735">
      <c r="B735" s="340">
        <v>42149.0</v>
      </c>
      <c r="D735" s="344">
        <v>41800.0</v>
      </c>
    </row>
    <row r="736">
      <c r="B736" s="332" t="s">
        <v>6495</v>
      </c>
      <c r="D736" s="335" t="s">
        <v>6496</v>
      </c>
    </row>
    <row r="737">
      <c r="B737" s="333" t="s">
        <v>6497</v>
      </c>
      <c r="D737" s="336" t="s">
        <v>4678</v>
      </c>
    </row>
    <row r="738">
      <c r="B738" s="332"/>
      <c r="D738" s="335"/>
    </row>
    <row r="739">
      <c r="B739" s="340">
        <v>41800.0</v>
      </c>
      <c r="D739" s="344">
        <v>41799.0</v>
      </c>
    </row>
    <row r="740">
      <c r="B740" s="332" t="s">
        <v>6498</v>
      </c>
      <c r="D740" s="335" t="s">
        <v>6499</v>
      </c>
    </row>
    <row r="741">
      <c r="B741" s="333" t="s">
        <v>6500</v>
      </c>
      <c r="D741" s="336" t="s">
        <v>6501</v>
      </c>
    </row>
    <row r="742">
      <c r="B742" s="332"/>
      <c r="D742" s="335"/>
    </row>
    <row r="743">
      <c r="B743" s="340">
        <v>41799.0</v>
      </c>
      <c r="D743" s="344">
        <v>41800.0</v>
      </c>
    </row>
    <row r="744">
      <c r="B744" s="332" t="s">
        <v>6502</v>
      </c>
      <c r="D744" s="335" t="s">
        <v>6503</v>
      </c>
    </row>
    <row r="745">
      <c r="B745" s="333" t="s">
        <v>6504</v>
      </c>
      <c r="D745" s="336" t="s">
        <v>4681</v>
      </c>
    </row>
    <row r="746">
      <c r="B746" s="332"/>
      <c r="D746" s="335"/>
    </row>
    <row r="747">
      <c r="B747" s="340">
        <v>42577.0</v>
      </c>
      <c r="D747" s="344">
        <v>41841.0</v>
      </c>
    </row>
    <row r="748">
      <c r="B748" s="332" t="s">
        <v>6505</v>
      </c>
      <c r="D748" s="335" t="s">
        <v>6506</v>
      </c>
    </row>
    <row r="749">
      <c r="B749" s="333" t="s">
        <v>3217</v>
      </c>
      <c r="D749" s="336" t="s">
        <v>4684</v>
      </c>
    </row>
    <row r="750">
      <c r="B750" s="332"/>
      <c r="D750" s="335"/>
    </row>
    <row r="751">
      <c r="B751" s="340">
        <v>41799.0</v>
      </c>
      <c r="D751" s="344">
        <v>41799.0</v>
      </c>
    </row>
    <row r="752">
      <c r="B752" s="332" t="s">
        <v>6507</v>
      </c>
      <c r="D752" s="335" t="s">
        <v>6508</v>
      </c>
    </row>
    <row r="753">
      <c r="B753" s="333" t="s">
        <v>3223</v>
      </c>
      <c r="D753" s="336" t="s">
        <v>6509</v>
      </c>
    </row>
    <row r="754">
      <c r="B754" s="332"/>
      <c r="D754" s="335"/>
    </row>
    <row r="755">
      <c r="B755" s="340">
        <v>41799.0</v>
      </c>
      <c r="D755" s="344">
        <v>41800.0</v>
      </c>
    </row>
    <row r="756">
      <c r="B756" s="332" t="s">
        <v>6510</v>
      </c>
      <c r="D756" s="335" t="s">
        <v>6511</v>
      </c>
    </row>
    <row r="757">
      <c r="B757" s="333" t="s">
        <v>3226</v>
      </c>
      <c r="D757" s="336" t="s">
        <v>4690</v>
      </c>
    </row>
    <row r="758">
      <c r="B758" s="332"/>
      <c r="D758" s="335"/>
    </row>
    <row r="759">
      <c r="B759" s="340">
        <v>41800.0</v>
      </c>
      <c r="D759" s="343">
        <v>42149.0</v>
      </c>
    </row>
    <row r="760">
      <c r="B760" s="332" t="s">
        <v>6512</v>
      </c>
      <c r="D760" s="335" t="s">
        <v>6513</v>
      </c>
    </row>
    <row r="761">
      <c r="B761" s="333" t="s">
        <v>6514</v>
      </c>
      <c r="D761" s="336" t="s">
        <v>6515</v>
      </c>
    </row>
    <row r="762">
      <c r="B762" s="332"/>
      <c r="D762" s="335"/>
    </row>
    <row r="763">
      <c r="B763" s="340">
        <v>41800.0</v>
      </c>
      <c r="D763" s="344">
        <v>42102.0</v>
      </c>
    </row>
    <row r="764">
      <c r="B764" s="332" t="s">
        <v>6516</v>
      </c>
      <c r="D764" s="335" t="s">
        <v>6517</v>
      </c>
    </row>
    <row r="765">
      <c r="B765" s="333" t="s">
        <v>3229</v>
      </c>
      <c r="D765" s="336" t="s">
        <v>4696</v>
      </c>
    </row>
    <row r="766">
      <c r="B766" s="332"/>
      <c r="D766" s="335"/>
    </row>
    <row r="767">
      <c r="B767" s="340">
        <v>41799.0</v>
      </c>
      <c r="D767" s="344">
        <v>41800.0</v>
      </c>
    </row>
    <row r="768">
      <c r="B768" s="332" t="s">
        <v>6518</v>
      </c>
      <c r="D768" s="335" t="s">
        <v>6519</v>
      </c>
    </row>
    <row r="769">
      <c r="B769" s="333" t="s">
        <v>6520</v>
      </c>
      <c r="D769" s="336" t="s">
        <v>6521</v>
      </c>
    </row>
    <row r="770">
      <c r="B770" s="332"/>
      <c r="D770" s="335"/>
    </row>
    <row r="771">
      <c r="B771" s="340">
        <v>41800.0</v>
      </c>
      <c r="D771" s="344">
        <v>41800.0</v>
      </c>
    </row>
    <row r="772">
      <c r="B772" s="332" t="s">
        <v>6522</v>
      </c>
      <c r="D772" s="335" t="s">
        <v>6523</v>
      </c>
    </row>
    <row r="773">
      <c r="B773" s="333" t="s">
        <v>3890</v>
      </c>
      <c r="D773" s="336" t="s">
        <v>4073</v>
      </c>
    </row>
    <row r="774">
      <c r="B774" s="332"/>
      <c r="D774" s="335"/>
    </row>
    <row r="775">
      <c r="B775" s="340">
        <v>41800.0</v>
      </c>
      <c r="D775" s="344">
        <v>41941.0</v>
      </c>
    </row>
    <row r="776">
      <c r="B776" s="332" t="s">
        <v>6524</v>
      </c>
      <c r="D776" s="335" t="s">
        <v>6525</v>
      </c>
    </row>
    <row r="777">
      <c r="B777" s="333" t="s">
        <v>3262</v>
      </c>
      <c r="D777" s="336" t="s">
        <v>6526</v>
      </c>
    </row>
    <row r="778">
      <c r="B778" s="332"/>
      <c r="D778" s="335"/>
    </row>
    <row r="779">
      <c r="B779" s="340">
        <v>41800.0</v>
      </c>
      <c r="D779" s="344">
        <v>41799.0</v>
      </c>
    </row>
    <row r="780">
      <c r="B780" s="332" t="s">
        <v>6527</v>
      </c>
      <c r="D780" s="335" t="s">
        <v>6528</v>
      </c>
    </row>
    <row r="781">
      <c r="B781" s="333" t="s">
        <v>6529</v>
      </c>
      <c r="D781" s="336" t="s">
        <v>6530</v>
      </c>
    </row>
    <row r="782">
      <c r="B782" s="332"/>
      <c r="D782" s="335"/>
    </row>
    <row r="783">
      <c r="B783" s="340">
        <v>42102.0</v>
      </c>
      <c r="D783" s="344">
        <v>42647.0</v>
      </c>
    </row>
    <row r="784">
      <c r="B784" s="332" t="s">
        <v>6531</v>
      </c>
      <c r="D784" s="335" t="s">
        <v>6532</v>
      </c>
    </row>
    <row r="785">
      <c r="B785" s="333" t="s">
        <v>3245</v>
      </c>
      <c r="D785" s="336" t="s">
        <v>6533</v>
      </c>
    </row>
    <row r="786">
      <c r="B786" s="332"/>
      <c r="D786" s="335"/>
    </row>
    <row r="787">
      <c r="B787" s="340">
        <v>41800.0</v>
      </c>
      <c r="D787" s="344">
        <v>41799.0</v>
      </c>
    </row>
    <row r="788">
      <c r="B788" s="332" t="s">
        <v>6534</v>
      </c>
      <c r="D788" s="335" t="s">
        <v>6535</v>
      </c>
    </row>
    <row r="789">
      <c r="B789" s="333" t="s">
        <v>6536</v>
      </c>
      <c r="D789" s="336" t="s">
        <v>6537</v>
      </c>
    </row>
    <row r="790">
      <c r="B790" s="332"/>
      <c r="D790" s="335"/>
    </row>
    <row r="791">
      <c r="B791" s="340">
        <v>41800.0</v>
      </c>
      <c r="D791" s="344">
        <v>41800.0</v>
      </c>
    </row>
    <row r="792">
      <c r="B792" s="332" t="s">
        <v>6538</v>
      </c>
      <c r="D792" s="335" t="s">
        <v>6539</v>
      </c>
    </row>
    <row r="793">
      <c r="B793" s="333" t="s">
        <v>6540</v>
      </c>
      <c r="D793" s="336" t="s">
        <v>6541</v>
      </c>
    </row>
    <row r="794">
      <c r="B794" s="332"/>
      <c r="D794" s="335"/>
    </row>
    <row r="795">
      <c r="B795" s="340">
        <v>42466.0</v>
      </c>
      <c r="D795" s="344">
        <v>41799.0</v>
      </c>
    </row>
    <row r="796">
      <c r="B796" s="332" t="s">
        <v>6542</v>
      </c>
      <c r="D796" s="335" t="s">
        <v>6543</v>
      </c>
    </row>
    <row r="797">
      <c r="B797" s="333" t="s">
        <v>3291</v>
      </c>
      <c r="D797" s="336" t="s">
        <v>6544</v>
      </c>
    </row>
    <row r="798">
      <c r="B798" s="332"/>
      <c r="D798" s="335"/>
    </row>
    <row r="799">
      <c r="B799" s="340">
        <v>41831.0</v>
      </c>
      <c r="D799" s="344">
        <v>41967.0</v>
      </c>
    </row>
    <row r="800">
      <c r="B800" s="332" t="s">
        <v>6545</v>
      </c>
      <c r="D800" s="335" t="s">
        <v>6546</v>
      </c>
    </row>
    <row r="801">
      <c r="B801" s="333" t="s">
        <v>3294</v>
      </c>
      <c r="D801" s="336" t="s">
        <v>6547</v>
      </c>
    </row>
    <row r="802">
      <c r="B802" s="332"/>
      <c r="D802" s="335"/>
    </row>
    <row r="803">
      <c r="B803" s="340">
        <v>41800.0</v>
      </c>
      <c r="D803" s="344">
        <v>41800.0</v>
      </c>
    </row>
    <row r="804">
      <c r="B804" s="332" t="s">
        <v>6548</v>
      </c>
      <c r="D804" s="335" t="s">
        <v>6549</v>
      </c>
    </row>
    <row r="805">
      <c r="B805" s="333" t="s">
        <v>6550</v>
      </c>
      <c r="D805" s="336" t="s">
        <v>6551</v>
      </c>
    </row>
    <row r="806">
      <c r="B806" s="332"/>
      <c r="D806" s="335"/>
    </row>
    <row r="807">
      <c r="B807" s="340">
        <v>41799.0</v>
      </c>
      <c r="D807" s="344">
        <v>41807.0</v>
      </c>
    </row>
    <row r="808">
      <c r="B808" s="332" t="s">
        <v>6552</v>
      </c>
      <c r="D808" s="335" t="s">
        <v>6553</v>
      </c>
    </row>
    <row r="809">
      <c r="B809" s="333" t="s">
        <v>3300</v>
      </c>
      <c r="D809" s="336" t="s">
        <v>6554</v>
      </c>
    </row>
    <row r="810">
      <c r="B810" s="332"/>
      <c r="D810" s="335"/>
    </row>
    <row r="811">
      <c r="B811" s="340">
        <v>41800.0</v>
      </c>
      <c r="D811" s="344">
        <v>41800.0</v>
      </c>
    </row>
    <row r="812">
      <c r="B812" s="332" t="s">
        <v>6555</v>
      </c>
      <c r="D812" s="335" t="s">
        <v>6556</v>
      </c>
    </row>
    <row r="813">
      <c r="B813" s="333" t="s">
        <v>4437</v>
      </c>
      <c r="D813" s="336" t="s">
        <v>6557</v>
      </c>
    </row>
    <row r="814">
      <c r="B814" s="332"/>
      <c r="D814" s="335"/>
    </row>
    <row r="815">
      <c r="B815" s="340">
        <v>41799.0</v>
      </c>
      <c r="D815" s="344">
        <v>41800.0</v>
      </c>
    </row>
    <row r="816">
      <c r="B816" s="332" t="s">
        <v>6558</v>
      </c>
      <c r="D816" s="335" t="s">
        <v>6559</v>
      </c>
    </row>
    <row r="817">
      <c r="B817" s="333" t="s">
        <v>6560</v>
      </c>
      <c r="D817" s="336" t="s">
        <v>6561</v>
      </c>
    </row>
    <row r="818">
      <c r="B818" s="332"/>
      <c r="D818" s="335"/>
    </row>
    <row r="819">
      <c r="B819" s="340">
        <v>41800.0</v>
      </c>
      <c r="D819" s="344">
        <v>41800.0</v>
      </c>
    </row>
    <row r="820">
      <c r="B820" s="332" t="s">
        <v>6562</v>
      </c>
      <c r="D820" s="335" t="s">
        <v>6563</v>
      </c>
    </row>
    <row r="821">
      <c r="B821" s="333" t="s">
        <v>3311</v>
      </c>
      <c r="D821" s="336" t="s">
        <v>6564</v>
      </c>
    </row>
    <row r="822">
      <c r="B822" s="332"/>
      <c r="D822" s="335"/>
    </row>
    <row r="823">
      <c r="B823" s="340">
        <v>41841.0</v>
      </c>
      <c r="D823" s="344">
        <v>42159.0</v>
      </c>
    </row>
    <row r="824">
      <c r="B824" s="344"/>
      <c r="D824" s="335" t="s">
        <v>6565</v>
      </c>
    </row>
    <row r="825">
      <c r="B825" s="344"/>
      <c r="D825" s="336" t="s">
        <v>4463</v>
      </c>
    </row>
    <row r="826">
      <c r="B826" s="344"/>
      <c r="D826" s="335"/>
    </row>
    <row r="827">
      <c r="B827" s="344"/>
      <c r="D827" s="344">
        <v>41800.0</v>
      </c>
    </row>
    <row r="828">
      <c r="B828" s="344"/>
      <c r="D828" s="335" t="s">
        <v>6566</v>
      </c>
    </row>
    <row r="829">
      <c r="B829" s="344"/>
      <c r="D829" s="336" t="s">
        <v>4587</v>
      </c>
    </row>
    <row r="830">
      <c r="B830" s="344"/>
      <c r="D830" s="335"/>
    </row>
    <row r="831">
      <c r="B831" s="344"/>
      <c r="D831" s="344">
        <v>41799.0</v>
      </c>
    </row>
    <row r="832">
      <c r="B832" s="344"/>
      <c r="D832" s="335" t="s">
        <v>6567</v>
      </c>
    </row>
    <row r="833">
      <c r="B833" s="344"/>
      <c r="D833" s="336" t="s">
        <v>6568</v>
      </c>
    </row>
    <row r="834">
      <c r="B834" s="344"/>
      <c r="D834" s="335"/>
    </row>
    <row r="835">
      <c r="B835" s="344"/>
      <c r="D835" s="344">
        <v>41953.0</v>
      </c>
    </row>
    <row r="836">
      <c r="B836" s="344"/>
      <c r="D836" s="335" t="s">
        <v>6569</v>
      </c>
    </row>
    <row r="837">
      <c r="B837" s="344"/>
      <c r="D837" s="336" t="s">
        <v>4741</v>
      </c>
    </row>
    <row r="838">
      <c r="B838" s="344"/>
      <c r="D838" s="335"/>
    </row>
    <row r="839">
      <c r="B839" s="344"/>
      <c r="D839" s="344">
        <v>41800.0</v>
      </c>
    </row>
    <row r="840">
      <c r="B840" s="344"/>
    </row>
    <row r="841">
      <c r="B841" s="344"/>
    </row>
    <row r="842">
      <c r="B842" s="344"/>
    </row>
    <row r="843">
      <c r="B843" s="344"/>
    </row>
    <row r="844">
      <c r="B844" s="344"/>
    </row>
    <row r="845">
      <c r="B845" s="344"/>
    </row>
    <row r="846">
      <c r="B846" s="344"/>
    </row>
    <row r="847">
      <c r="B847" s="344"/>
    </row>
    <row r="848">
      <c r="B848" s="344"/>
    </row>
    <row r="849">
      <c r="B849" s="344"/>
    </row>
    <row r="850">
      <c r="B850" s="344"/>
    </row>
    <row r="851">
      <c r="B851" s="344"/>
    </row>
    <row r="852">
      <c r="B852" s="344"/>
    </row>
    <row r="853">
      <c r="B853" s="344"/>
    </row>
    <row r="854">
      <c r="B854" s="344"/>
    </row>
    <row r="855">
      <c r="B855" s="344"/>
    </row>
    <row r="856">
      <c r="B856" s="344"/>
    </row>
    <row r="857">
      <c r="B857" s="344"/>
    </row>
    <row r="858">
      <c r="B858" s="344"/>
    </row>
    <row r="859">
      <c r="B859" s="344"/>
    </row>
    <row r="860">
      <c r="B860" s="344"/>
    </row>
    <row r="861">
      <c r="B861" s="344"/>
    </row>
    <row r="862">
      <c r="B862" s="344"/>
    </row>
    <row r="863">
      <c r="B863" s="344"/>
    </row>
    <row r="864">
      <c r="B864" s="344"/>
    </row>
    <row r="865">
      <c r="B865" s="344"/>
    </row>
    <row r="866">
      <c r="B866" s="344"/>
    </row>
    <row r="867">
      <c r="B867" s="344"/>
    </row>
    <row r="868">
      <c r="B868" s="344"/>
    </row>
    <row r="869">
      <c r="B869" s="344"/>
    </row>
    <row r="870">
      <c r="B870" s="344"/>
    </row>
    <row r="871">
      <c r="B871" s="344"/>
    </row>
    <row r="872">
      <c r="B872" s="344"/>
    </row>
    <row r="873">
      <c r="B873" s="344"/>
    </row>
    <row r="874">
      <c r="B874" s="344"/>
    </row>
    <row r="875">
      <c r="B875" s="344"/>
    </row>
    <row r="876">
      <c r="B876" s="344"/>
    </row>
    <row r="877">
      <c r="B877" s="344"/>
    </row>
    <row r="878">
      <c r="B878" s="344"/>
    </row>
    <row r="879">
      <c r="B879" s="344"/>
    </row>
    <row r="880">
      <c r="B880" s="344"/>
    </row>
    <row r="881">
      <c r="B881" s="344"/>
    </row>
    <row r="882">
      <c r="B882" s="344"/>
    </row>
    <row r="883">
      <c r="B883" s="344"/>
    </row>
    <row r="884">
      <c r="B884" s="344"/>
    </row>
    <row r="885">
      <c r="B885" s="344"/>
    </row>
    <row r="886">
      <c r="B886" s="344"/>
    </row>
    <row r="887">
      <c r="B887" s="344"/>
    </row>
    <row r="888">
      <c r="B888" s="344"/>
    </row>
    <row r="889">
      <c r="B889" s="344"/>
    </row>
    <row r="890">
      <c r="B890" s="344"/>
    </row>
    <row r="891">
      <c r="B891" s="344"/>
    </row>
    <row r="892">
      <c r="B892" s="344"/>
    </row>
    <row r="893">
      <c r="B893" s="344"/>
    </row>
    <row r="894">
      <c r="B894" s="344"/>
    </row>
    <row r="895">
      <c r="B895" s="344"/>
    </row>
    <row r="896">
      <c r="B896" s="344"/>
    </row>
    <row r="897">
      <c r="B897" s="344"/>
    </row>
    <row r="898">
      <c r="B898" s="344"/>
    </row>
    <row r="899">
      <c r="B899" s="344"/>
    </row>
    <row r="900">
      <c r="B900" s="344"/>
    </row>
    <row r="901">
      <c r="B901" s="344"/>
    </row>
    <row r="902">
      <c r="B902" s="344"/>
    </row>
    <row r="903">
      <c r="B903" s="344"/>
    </row>
    <row r="904">
      <c r="B904" s="344"/>
    </row>
    <row r="905">
      <c r="B905" s="344"/>
    </row>
    <row r="906">
      <c r="B906" s="344"/>
    </row>
    <row r="907">
      <c r="B907" s="344"/>
    </row>
    <row r="908">
      <c r="B908" s="344"/>
    </row>
    <row r="909">
      <c r="B909" s="344"/>
    </row>
    <row r="910">
      <c r="B910" s="344"/>
    </row>
    <row r="911">
      <c r="B911" s="344"/>
    </row>
    <row r="912">
      <c r="B912" s="344"/>
    </row>
    <row r="913">
      <c r="B913" s="344"/>
    </row>
    <row r="914">
      <c r="B914" s="344"/>
    </row>
    <row r="915">
      <c r="B915" s="344"/>
    </row>
    <row r="916">
      <c r="B916" s="344"/>
    </row>
    <row r="917">
      <c r="B917" s="344"/>
    </row>
    <row r="918">
      <c r="B918" s="344"/>
    </row>
    <row r="919">
      <c r="B919" s="344"/>
    </row>
    <row r="920">
      <c r="B920" s="344"/>
    </row>
    <row r="921">
      <c r="B921" s="344"/>
    </row>
    <row r="922">
      <c r="B922" s="344"/>
    </row>
    <row r="923">
      <c r="B923" s="344"/>
    </row>
    <row r="924">
      <c r="B924" s="344"/>
    </row>
    <row r="925">
      <c r="B925" s="344"/>
    </row>
    <row r="926">
      <c r="B926" s="344"/>
    </row>
    <row r="927">
      <c r="B927" s="344"/>
    </row>
    <row r="928">
      <c r="B928" s="344"/>
    </row>
    <row r="929">
      <c r="B929" s="344"/>
    </row>
    <row r="930">
      <c r="B930" s="344"/>
    </row>
    <row r="931">
      <c r="B931" s="344"/>
    </row>
    <row r="932">
      <c r="B932" s="344"/>
    </row>
    <row r="933">
      <c r="B933" s="344"/>
    </row>
    <row r="934">
      <c r="B934" s="344"/>
    </row>
    <row r="935">
      <c r="B935" s="344"/>
    </row>
    <row r="936">
      <c r="B936" s="344"/>
    </row>
    <row r="937">
      <c r="B937" s="344"/>
    </row>
    <row r="938">
      <c r="B938" s="344"/>
    </row>
    <row r="939">
      <c r="B939" s="344"/>
    </row>
    <row r="940">
      <c r="B940" s="344"/>
    </row>
    <row r="941">
      <c r="B941" s="344"/>
    </row>
    <row r="942">
      <c r="B942" s="344"/>
    </row>
    <row r="943">
      <c r="B943" s="344"/>
    </row>
    <row r="944">
      <c r="B944" s="344"/>
    </row>
    <row r="945">
      <c r="B945" s="344"/>
    </row>
    <row r="946">
      <c r="B946" s="344"/>
    </row>
    <row r="947">
      <c r="B947" s="344"/>
    </row>
    <row r="948">
      <c r="B948" s="344"/>
    </row>
    <row r="949">
      <c r="B949" s="344"/>
    </row>
    <row r="950">
      <c r="B950" s="344"/>
    </row>
    <row r="951">
      <c r="B951" s="344"/>
    </row>
    <row r="952">
      <c r="B952" s="344"/>
    </row>
    <row r="953">
      <c r="B953" s="344"/>
    </row>
    <row r="954">
      <c r="B954" s="344"/>
    </row>
    <row r="955">
      <c r="B955" s="344"/>
    </row>
    <row r="956">
      <c r="B956" s="344"/>
    </row>
    <row r="957">
      <c r="B957" s="344"/>
    </row>
    <row r="958">
      <c r="B958" s="344"/>
    </row>
    <row r="959">
      <c r="B959" s="344"/>
    </row>
    <row r="960">
      <c r="B960" s="344"/>
    </row>
    <row r="961">
      <c r="B961" s="344"/>
    </row>
    <row r="962">
      <c r="B962" s="344"/>
    </row>
    <row r="963">
      <c r="B963" s="344"/>
    </row>
    <row r="964">
      <c r="B964" s="344"/>
    </row>
    <row r="965">
      <c r="B965" s="344"/>
    </row>
    <row r="966">
      <c r="B966" s="344"/>
    </row>
    <row r="967">
      <c r="B967" s="344"/>
    </row>
    <row r="968">
      <c r="B968" s="344"/>
    </row>
    <row r="969">
      <c r="B969" s="344"/>
    </row>
    <row r="970">
      <c r="B970" s="344"/>
    </row>
    <row r="971">
      <c r="B971" s="344"/>
    </row>
    <row r="972">
      <c r="B972" s="344"/>
    </row>
    <row r="973">
      <c r="B973" s="344"/>
    </row>
    <row r="974">
      <c r="B974" s="344"/>
    </row>
    <row r="975">
      <c r="B975" s="344"/>
    </row>
    <row r="976">
      <c r="B976" s="344"/>
    </row>
    <row r="977">
      <c r="B977" s="344"/>
    </row>
    <row r="978">
      <c r="B978" s="344"/>
    </row>
    <row r="979">
      <c r="B979" s="344"/>
    </row>
    <row r="980">
      <c r="B980" s="344"/>
    </row>
    <row r="981">
      <c r="B981" s="344"/>
    </row>
    <row r="982">
      <c r="B982" s="344"/>
    </row>
    <row r="983">
      <c r="B983" s="344"/>
    </row>
    <row r="984">
      <c r="B984" s="344"/>
    </row>
    <row r="985">
      <c r="B985" s="344"/>
    </row>
    <row r="986">
      <c r="B986" s="344"/>
    </row>
    <row r="987">
      <c r="B987" s="344"/>
    </row>
    <row r="988">
      <c r="B988" s="344"/>
    </row>
    <row r="989">
      <c r="B989" s="344"/>
    </row>
    <row r="990">
      <c r="B990" s="344"/>
    </row>
    <row r="991">
      <c r="B991" s="344"/>
    </row>
    <row r="992">
      <c r="B992" s="344"/>
    </row>
    <row r="993">
      <c r="B993" s="344"/>
    </row>
    <row r="994">
      <c r="B994" s="344"/>
    </row>
    <row r="995">
      <c r="B995" s="344"/>
    </row>
    <row r="996">
      <c r="B996" s="344"/>
    </row>
    <row r="997">
      <c r="B997" s="344"/>
    </row>
    <row r="998">
      <c r="B998" s="344"/>
    </row>
    <row r="999">
      <c r="B999" s="344"/>
    </row>
    <row r="1000">
      <c r="B1000" s="344"/>
    </row>
    <row r="1001">
      <c r="B1001" s="344"/>
    </row>
    <row r="1002">
      <c r="B1002" s="344"/>
    </row>
    <row r="1003">
      <c r="B1003" s="344"/>
    </row>
    <row r="1004">
      <c r="B1004" s="344"/>
    </row>
    <row r="1005">
      <c r="B1005" s="344"/>
    </row>
    <row r="1006">
      <c r="B1006" s="344"/>
    </row>
    <row r="1007">
      <c r="B1007" s="344"/>
    </row>
    <row r="1008">
      <c r="B1008" s="344"/>
    </row>
    <row r="1009">
      <c r="B1009" s="344"/>
    </row>
    <row r="1010">
      <c r="B1010" s="344"/>
    </row>
    <row r="1011">
      <c r="B1011" s="344"/>
    </row>
    <row r="1012">
      <c r="B1012" s="344"/>
    </row>
    <row r="1013">
      <c r="B1013" s="344"/>
    </row>
    <row r="1014">
      <c r="B1014" s="344"/>
    </row>
    <row r="1015">
      <c r="B1015" s="344"/>
    </row>
    <row r="1016">
      <c r="B1016" s="344"/>
    </row>
    <row r="1017">
      <c r="B1017" s="344"/>
    </row>
    <row r="1018">
      <c r="B1018" s="344"/>
    </row>
    <row r="1019">
      <c r="B1019" s="344"/>
    </row>
    <row r="1020">
      <c r="B1020" s="344"/>
    </row>
    <row r="1021">
      <c r="B1021" s="344"/>
    </row>
    <row r="1022">
      <c r="B1022" s="344"/>
    </row>
    <row r="1023">
      <c r="B1023" s="344"/>
    </row>
    <row r="1024">
      <c r="B1024" s="344"/>
    </row>
    <row r="1025">
      <c r="B1025" s="344"/>
    </row>
    <row r="1026">
      <c r="B1026" s="344"/>
    </row>
    <row r="1027">
      <c r="B1027" s="344"/>
    </row>
    <row r="1028">
      <c r="B1028" s="344"/>
    </row>
    <row r="1029">
      <c r="B1029" s="344"/>
    </row>
    <row r="1030">
      <c r="B1030" s="344"/>
    </row>
    <row r="1031">
      <c r="B1031" s="344"/>
    </row>
    <row r="1032">
      <c r="B1032" s="344"/>
    </row>
    <row r="1033">
      <c r="B1033" s="344"/>
    </row>
    <row r="1034">
      <c r="B1034" s="344"/>
    </row>
    <row r="1035">
      <c r="B1035" s="344"/>
    </row>
    <row r="1036">
      <c r="B1036" s="344"/>
    </row>
    <row r="1037">
      <c r="B1037" s="344"/>
    </row>
    <row r="1038">
      <c r="B1038" s="344"/>
    </row>
    <row r="1039">
      <c r="B1039" s="344"/>
    </row>
    <row r="1040">
      <c r="B1040" s="344"/>
    </row>
    <row r="1041">
      <c r="B1041" s="344"/>
    </row>
    <row r="1042">
      <c r="B1042" s="344"/>
    </row>
    <row r="1043">
      <c r="B1043" s="344"/>
    </row>
    <row r="1044">
      <c r="B1044" s="344"/>
    </row>
    <row r="1045">
      <c r="B1045" s="344"/>
    </row>
    <row r="1046">
      <c r="B1046" s="344"/>
    </row>
    <row r="1047">
      <c r="B1047" s="344"/>
    </row>
    <row r="1048">
      <c r="B1048" s="344"/>
    </row>
    <row r="1049">
      <c r="B1049" s="344"/>
    </row>
    <row r="1050">
      <c r="B1050" s="344"/>
    </row>
    <row r="1051">
      <c r="B1051" s="344"/>
    </row>
    <row r="1052">
      <c r="B1052" s="344"/>
    </row>
    <row r="1053">
      <c r="B1053" s="344"/>
    </row>
    <row r="1054">
      <c r="B1054" s="344"/>
    </row>
    <row r="1055">
      <c r="B1055" s="344"/>
    </row>
    <row r="1056">
      <c r="B1056" s="344"/>
    </row>
    <row r="1057">
      <c r="B1057" s="344"/>
    </row>
    <row r="1058">
      <c r="B1058" s="344"/>
    </row>
    <row r="1059">
      <c r="B1059" s="344"/>
    </row>
    <row r="1060">
      <c r="B1060" s="344"/>
    </row>
    <row r="1061">
      <c r="B1061" s="344"/>
    </row>
    <row r="1062">
      <c r="B1062" s="344"/>
    </row>
    <row r="1063">
      <c r="B1063" s="344"/>
    </row>
    <row r="1064">
      <c r="B1064" s="344"/>
    </row>
    <row r="1065">
      <c r="B1065" s="344"/>
    </row>
    <row r="1066">
      <c r="B1066" s="344"/>
    </row>
    <row r="1067">
      <c r="B1067" s="344"/>
    </row>
    <row r="1068">
      <c r="B1068" s="344"/>
    </row>
    <row r="1069">
      <c r="B1069" s="344"/>
    </row>
    <row r="1070">
      <c r="B1070" s="344"/>
    </row>
    <row r="1071">
      <c r="B1071" s="344"/>
    </row>
    <row r="1072">
      <c r="B1072" s="344"/>
    </row>
    <row r="1073">
      <c r="B1073" s="344"/>
    </row>
    <row r="1074">
      <c r="B1074" s="344"/>
    </row>
    <row r="1075">
      <c r="B1075" s="344"/>
    </row>
    <row r="1076">
      <c r="B1076" s="344"/>
    </row>
    <row r="1077">
      <c r="B1077" s="344"/>
    </row>
    <row r="1078">
      <c r="B1078" s="344"/>
    </row>
    <row r="1079">
      <c r="B1079" s="344"/>
    </row>
    <row r="1080">
      <c r="B1080" s="344"/>
    </row>
    <row r="1081">
      <c r="B1081" s="344"/>
    </row>
    <row r="1082">
      <c r="B1082" s="344"/>
    </row>
    <row r="1083">
      <c r="B1083" s="344"/>
    </row>
    <row r="1084">
      <c r="B1084" s="344"/>
    </row>
    <row r="1085">
      <c r="B1085" s="344"/>
    </row>
    <row r="1086">
      <c r="B1086" s="344"/>
    </row>
    <row r="1087">
      <c r="B1087" s="344"/>
    </row>
    <row r="1088">
      <c r="B1088" s="344"/>
    </row>
    <row r="1089">
      <c r="B1089" s="344"/>
    </row>
    <row r="1090">
      <c r="B1090" s="344"/>
    </row>
    <row r="1091">
      <c r="B1091" s="344"/>
    </row>
    <row r="1092">
      <c r="B1092" s="344"/>
    </row>
    <row r="1093">
      <c r="B1093" s="344"/>
    </row>
    <row r="1094">
      <c r="B1094" s="344"/>
    </row>
    <row r="1095">
      <c r="B1095" s="344"/>
    </row>
    <row r="1096">
      <c r="B1096" s="344"/>
    </row>
    <row r="1097">
      <c r="B1097" s="344"/>
    </row>
    <row r="1098">
      <c r="B1098" s="344"/>
    </row>
    <row r="1099">
      <c r="B1099" s="344"/>
    </row>
    <row r="1100">
      <c r="B1100" s="344"/>
    </row>
    <row r="1101">
      <c r="B1101" s="344"/>
    </row>
    <row r="1102">
      <c r="B1102" s="344"/>
    </row>
    <row r="1103">
      <c r="B1103" s="344"/>
    </row>
    <row r="1104">
      <c r="B1104" s="344"/>
    </row>
    <row r="1105">
      <c r="B1105" s="344"/>
    </row>
    <row r="1106">
      <c r="B1106" s="344"/>
    </row>
    <row r="1107">
      <c r="B1107" s="344"/>
    </row>
    <row r="1108">
      <c r="B1108" s="344"/>
    </row>
    <row r="1109">
      <c r="B1109" s="344"/>
    </row>
    <row r="1110">
      <c r="B1110" s="344"/>
    </row>
    <row r="1111">
      <c r="B1111" s="344"/>
    </row>
    <row r="1112">
      <c r="B1112" s="344"/>
    </row>
    <row r="1113">
      <c r="B1113" s="344"/>
    </row>
    <row r="1114">
      <c r="B1114" s="344"/>
    </row>
    <row r="1115">
      <c r="B1115" s="344"/>
    </row>
    <row r="1116">
      <c r="B1116" s="344"/>
    </row>
    <row r="1117">
      <c r="B1117" s="344"/>
    </row>
    <row r="1118">
      <c r="B1118" s="344"/>
    </row>
    <row r="1119">
      <c r="B1119" s="344"/>
    </row>
    <row r="1120">
      <c r="B1120" s="344"/>
    </row>
    <row r="1121">
      <c r="B1121" s="344"/>
    </row>
    <row r="1122">
      <c r="B1122" s="344"/>
    </row>
    <row r="1123">
      <c r="B1123" s="344"/>
    </row>
    <row r="1124">
      <c r="B1124" s="344"/>
    </row>
    <row r="1125">
      <c r="B1125" s="344"/>
    </row>
    <row r="1126">
      <c r="B1126" s="344"/>
    </row>
    <row r="1127">
      <c r="B1127" s="344"/>
    </row>
    <row r="1128">
      <c r="B1128" s="344"/>
    </row>
    <row r="1129">
      <c r="B1129" s="344"/>
    </row>
    <row r="1130">
      <c r="B1130" s="344"/>
    </row>
    <row r="1131">
      <c r="B1131" s="344"/>
    </row>
    <row r="1132">
      <c r="B1132" s="344"/>
    </row>
    <row r="1133">
      <c r="B1133" s="344"/>
    </row>
    <row r="1134">
      <c r="B1134" s="344"/>
    </row>
    <row r="1135">
      <c r="B1135" s="344"/>
    </row>
    <row r="1136">
      <c r="B1136" s="344"/>
    </row>
    <row r="1137">
      <c r="B1137" s="344"/>
    </row>
    <row r="1138">
      <c r="B1138" s="344"/>
    </row>
    <row r="1139">
      <c r="B1139" s="344"/>
    </row>
    <row r="1140">
      <c r="B1140" s="344"/>
    </row>
    <row r="1141">
      <c r="B1141" s="344"/>
    </row>
    <row r="1142">
      <c r="B1142" s="344"/>
    </row>
    <row r="1143">
      <c r="B1143" s="344"/>
    </row>
    <row r="1144">
      <c r="B1144" s="344"/>
    </row>
    <row r="1145">
      <c r="B1145" s="344"/>
    </row>
    <row r="1146">
      <c r="B1146" s="344"/>
    </row>
    <row r="1147">
      <c r="B1147" s="344"/>
    </row>
    <row r="1148">
      <c r="B1148" s="344"/>
    </row>
    <row r="1149">
      <c r="B1149" s="344"/>
    </row>
    <row r="1150">
      <c r="B1150" s="344"/>
    </row>
    <row r="1151">
      <c r="B1151" s="344"/>
    </row>
    <row r="1152">
      <c r="B1152" s="344"/>
    </row>
    <row r="1153">
      <c r="B1153" s="344"/>
    </row>
    <row r="1154">
      <c r="B1154" s="344"/>
    </row>
    <row r="1155">
      <c r="B1155" s="344"/>
    </row>
    <row r="1156">
      <c r="B1156" s="344"/>
    </row>
    <row r="1157">
      <c r="B1157" s="344"/>
    </row>
    <row r="1158">
      <c r="B1158" s="344"/>
    </row>
    <row r="1159">
      <c r="B1159" s="344"/>
    </row>
    <row r="1160">
      <c r="B1160" s="344"/>
    </row>
    <row r="1161">
      <c r="B1161" s="344"/>
    </row>
    <row r="1162">
      <c r="B1162" s="344"/>
    </row>
    <row r="1163">
      <c r="B1163" s="344"/>
    </row>
    <row r="1164">
      <c r="B1164" s="344"/>
    </row>
    <row r="1165">
      <c r="B1165" s="344"/>
    </row>
    <row r="1166">
      <c r="B1166" s="344"/>
    </row>
    <row r="1167">
      <c r="B1167" s="344"/>
    </row>
    <row r="1168">
      <c r="B1168" s="344"/>
    </row>
    <row r="1169">
      <c r="B1169" s="344"/>
    </row>
    <row r="1170">
      <c r="B1170" s="344"/>
    </row>
    <row r="1171">
      <c r="B1171" s="344"/>
    </row>
    <row r="1172">
      <c r="B1172" s="344"/>
    </row>
    <row r="1173">
      <c r="B1173" s="344"/>
    </row>
    <row r="1174">
      <c r="B1174" s="344"/>
    </row>
    <row r="1175">
      <c r="B1175" s="344"/>
    </row>
    <row r="1176">
      <c r="B1176" s="344"/>
    </row>
    <row r="1177">
      <c r="B1177" s="344"/>
    </row>
    <row r="1178">
      <c r="B1178" s="344"/>
    </row>
    <row r="1179">
      <c r="B1179" s="344"/>
    </row>
    <row r="1180">
      <c r="B1180" s="344"/>
    </row>
    <row r="1181">
      <c r="B1181" s="344"/>
    </row>
    <row r="1182">
      <c r="B1182" s="344"/>
    </row>
    <row r="1183">
      <c r="B1183" s="344"/>
    </row>
    <row r="1184">
      <c r="B1184" s="344"/>
    </row>
    <row r="1185">
      <c r="B1185" s="344"/>
    </row>
    <row r="1186">
      <c r="B1186" s="344"/>
    </row>
    <row r="1187">
      <c r="B1187" s="344"/>
    </row>
    <row r="1188">
      <c r="B1188" s="344"/>
    </row>
    <row r="1189">
      <c r="B1189" s="344"/>
    </row>
    <row r="1190">
      <c r="B1190" s="344"/>
    </row>
    <row r="1191">
      <c r="B1191" s="344"/>
    </row>
    <row r="1192">
      <c r="B1192" s="344"/>
    </row>
    <row r="1193">
      <c r="B1193" s="344"/>
    </row>
    <row r="1194">
      <c r="B1194" s="344"/>
    </row>
    <row r="1195">
      <c r="B1195" s="344"/>
    </row>
    <row r="1196">
      <c r="B1196" s="344"/>
    </row>
    <row r="1197">
      <c r="B1197" s="344"/>
    </row>
    <row r="1198">
      <c r="B1198" s="344"/>
    </row>
    <row r="1199">
      <c r="B1199" s="344"/>
    </row>
    <row r="1200">
      <c r="B1200" s="344"/>
    </row>
    <row r="1201">
      <c r="B1201" s="344"/>
    </row>
    <row r="1202">
      <c r="B1202" s="344"/>
    </row>
    <row r="1203">
      <c r="B1203" s="344"/>
    </row>
    <row r="1204">
      <c r="B1204" s="344"/>
    </row>
    <row r="1205">
      <c r="B1205" s="344"/>
    </row>
    <row r="1206">
      <c r="B1206" s="344"/>
    </row>
    <row r="1207">
      <c r="B1207" s="344"/>
    </row>
    <row r="1208">
      <c r="B1208" s="344"/>
    </row>
    <row r="1209">
      <c r="B1209" s="344"/>
    </row>
    <row r="1210">
      <c r="B1210" s="344"/>
    </row>
    <row r="1211">
      <c r="B1211" s="344"/>
    </row>
    <row r="1212">
      <c r="B1212" s="344"/>
    </row>
    <row r="1213">
      <c r="B1213" s="344"/>
    </row>
    <row r="1214">
      <c r="B1214" s="344"/>
    </row>
    <row r="1215">
      <c r="B1215" s="344"/>
    </row>
    <row r="1216">
      <c r="B1216" s="344"/>
    </row>
    <row r="1217">
      <c r="B1217" s="344"/>
    </row>
    <row r="1218">
      <c r="B1218" s="344"/>
    </row>
    <row r="1219">
      <c r="B1219" s="344"/>
    </row>
    <row r="1220">
      <c r="B1220" s="344"/>
    </row>
    <row r="1221">
      <c r="B1221" s="344"/>
    </row>
    <row r="1222">
      <c r="B1222" s="344"/>
    </row>
    <row r="1223">
      <c r="B1223" s="344"/>
    </row>
    <row r="1224">
      <c r="B1224" s="344"/>
    </row>
    <row r="1225">
      <c r="B1225" s="344"/>
    </row>
    <row r="1226">
      <c r="B1226" s="344"/>
    </row>
    <row r="1227">
      <c r="B1227" s="344"/>
    </row>
    <row r="1228">
      <c r="B1228" s="344"/>
    </row>
    <row r="1229">
      <c r="B1229" s="344"/>
    </row>
    <row r="1230">
      <c r="B1230" s="344"/>
    </row>
    <row r="1231">
      <c r="B1231" s="344"/>
    </row>
    <row r="1232">
      <c r="B1232" s="344"/>
    </row>
    <row r="1233">
      <c r="B1233" s="344"/>
    </row>
    <row r="1234">
      <c r="B1234" s="344"/>
    </row>
    <row r="1235">
      <c r="B1235" s="344"/>
    </row>
    <row r="1236">
      <c r="B1236" s="344"/>
    </row>
    <row r="1237">
      <c r="B1237" s="344"/>
    </row>
    <row r="1238">
      <c r="B1238" s="344"/>
    </row>
    <row r="1239">
      <c r="B1239" s="344"/>
    </row>
    <row r="1240">
      <c r="B1240" s="344"/>
    </row>
    <row r="1241">
      <c r="B1241" s="344"/>
    </row>
    <row r="1242">
      <c r="B1242" s="344"/>
    </row>
    <row r="1243">
      <c r="B1243" s="344"/>
    </row>
    <row r="1244">
      <c r="B1244" s="344"/>
    </row>
    <row r="1245">
      <c r="B1245" s="344"/>
    </row>
    <row r="1246">
      <c r="B1246" s="344"/>
    </row>
    <row r="1247">
      <c r="B1247" s="344"/>
    </row>
    <row r="1248">
      <c r="B1248" s="344"/>
    </row>
    <row r="1249">
      <c r="B1249" s="344"/>
    </row>
    <row r="1250">
      <c r="B1250" s="344"/>
    </row>
    <row r="1251">
      <c r="B1251" s="344"/>
    </row>
    <row r="1252">
      <c r="B1252" s="344"/>
    </row>
    <row r="1253">
      <c r="B1253" s="344"/>
    </row>
    <row r="1254">
      <c r="B1254" s="344"/>
    </row>
    <row r="1255">
      <c r="B1255" s="344"/>
    </row>
    <row r="1256">
      <c r="B1256" s="344"/>
    </row>
    <row r="1257">
      <c r="B1257" s="344"/>
    </row>
    <row r="1258">
      <c r="B1258" s="344"/>
    </row>
    <row r="1259">
      <c r="B1259" s="344"/>
    </row>
    <row r="1260">
      <c r="B1260" s="344"/>
    </row>
    <row r="1261">
      <c r="B1261" s="344"/>
    </row>
    <row r="1262">
      <c r="B1262" s="344"/>
    </row>
    <row r="1263">
      <c r="B1263" s="344"/>
    </row>
    <row r="1264">
      <c r="B1264" s="344"/>
    </row>
    <row r="1265">
      <c r="B1265" s="344"/>
    </row>
    <row r="1266">
      <c r="B1266" s="344"/>
    </row>
    <row r="1267">
      <c r="B1267" s="344"/>
    </row>
    <row r="1268">
      <c r="B1268" s="344"/>
    </row>
    <row r="1269">
      <c r="B1269" s="344"/>
    </row>
    <row r="1270">
      <c r="B1270" s="344"/>
    </row>
    <row r="1271">
      <c r="B1271" s="344"/>
    </row>
    <row r="1272">
      <c r="B1272" s="344"/>
    </row>
    <row r="1273">
      <c r="B1273" s="344"/>
    </row>
    <row r="1274">
      <c r="B1274" s="344"/>
    </row>
    <row r="1275">
      <c r="B1275" s="344"/>
    </row>
    <row r="1276">
      <c r="B1276" s="344"/>
    </row>
    <row r="1277">
      <c r="B1277" s="344"/>
    </row>
    <row r="1278">
      <c r="B1278" s="344"/>
    </row>
    <row r="1279">
      <c r="B1279" s="344"/>
    </row>
    <row r="1280">
      <c r="B1280" s="344"/>
    </row>
    <row r="1281">
      <c r="B1281" s="344"/>
    </row>
    <row r="1282">
      <c r="B1282" s="344"/>
    </row>
    <row r="1283">
      <c r="B1283" s="344"/>
    </row>
    <row r="1284">
      <c r="B1284" s="344"/>
    </row>
    <row r="1285">
      <c r="B1285" s="344"/>
    </row>
    <row r="1286">
      <c r="B1286" s="344"/>
    </row>
    <row r="1287">
      <c r="B1287" s="344"/>
    </row>
    <row r="1288">
      <c r="B1288" s="344"/>
    </row>
    <row r="1289">
      <c r="B1289" s="344"/>
    </row>
    <row r="1290">
      <c r="B1290" s="344"/>
    </row>
    <row r="1291">
      <c r="B1291" s="344"/>
    </row>
    <row r="1292">
      <c r="B1292" s="344"/>
    </row>
    <row r="1293">
      <c r="B1293" s="344"/>
    </row>
    <row r="1294">
      <c r="B1294" s="344"/>
    </row>
    <row r="1295">
      <c r="B1295" s="344"/>
    </row>
    <row r="1296">
      <c r="B1296" s="344"/>
    </row>
    <row r="1297">
      <c r="B1297" s="344"/>
    </row>
    <row r="1298">
      <c r="B1298" s="344"/>
    </row>
    <row r="1299">
      <c r="B1299" s="344"/>
    </row>
    <row r="1300">
      <c r="B1300" s="344"/>
    </row>
    <row r="1301">
      <c r="B1301" s="344"/>
    </row>
    <row r="1302">
      <c r="B1302" s="344"/>
    </row>
    <row r="1303">
      <c r="B1303" s="344"/>
    </row>
    <row r="1304">
      <c r="B1304" s="344"/>
    </row>
    <row r="1305">
      <c r="B1305" s="344"/>
    </row>
    <row r="1306">
      <c r="B1306" s="344"/>
    </row>
    <row r="1307">
      <c r="B1307" s="344"/>
    </row>
    <row r="1308">
      <c r="B1308" s="344"/>
    </row>
    <row r="1309">
      <c r="B1309" s="344"/>
    </row>
    <row r="1310">
      <c r="B1310" s="344"/>
    </row>
    <row r="1311">
      <c r="B1311" s="344"/>
    </row>
    <row r="1312">
      <c r="B1312" s="344"/>
    </row>
    <row r="1313">
      <c r="B1313" s="344"/>
    </row>
    <row r="1314">
      <c r="B1314" s="344"/>
    </row>
    <row r="1315">
      <c r="B1315" s="344"/>
    </row>
    <row r="1316">
      <c r="B1316" s="344"/>
    </row>
    <row r="1317">
      <c r="B1317" s="344"/>
    </row>
    <row r="1318">
      <c r="B1318" s="344"/>
    </row>
    <row r="1319">
      <c r="B1319" s="344"/>
    </row>
    <row r="1320">
      <c r="B1320" s="344"/>
    </row>
    <row r="1321">
      <c r="B1321" s="344"/>
    </row>
    <row r="1322">
      <c r="B1322" s="344"/>
    </row>
    <row r="1323">
      <c r="B1323" s="344"/>
    </row>
    <row r="1324">
      <c r="B1324" s="344"/>
    </row>
    <row r="1325">
      <c r="B1325" s="344"/>
    </row>
    <row r="1326">
      <c r="B1326" s="344"/>
    </row>
    <row r="1327">
      <c r="B1327" s="344"/>
    </row>
    <row r="1328">
      <c r="B1328" s="344"/>
    </row>
    <row r="1329">
      <c r="B1329" s="344"/>
    </row>
    <row r="1330">
      <c r="B1330" s="344"/>
    </row>
    <row r="1331">
      <c r="B1331" s="344"/>
    </row>
    <row r="1332">
      <c r="B1332" s="344"/>
    </row>
    <row r="1333">
      <c r="B1333" s="344"/>
    </row>
    <row r="1334">
      <c r="B1334" s="344"/>
    </row>
    <row r="1335">
      <c r="B1335" s="344"/>
    </row>
    <row r="1336">
      <c r="B1336" s="344"/>
    </row>
    <row r="1337">
      <c r="B1337" s="344"/>
    </row>
    <row r="1338">
      <c r="B1338" s="344"/>
    </row>
    <row r="1339">
      <c r="B1339" s="344"/>
    </row>
    <row r="1340">
      <c r="B1340" s="344"/>
    </row>
    <row r="1341">
      <c r="B1341" s="344"/>
    </row>
    <row r="1342">
      <c r="B1342" s="344"/>
    </row>
    <row r="1343">
      <c r="B1343" s="344"/>
    </row>
    <row r="1344">
      <c r="B1344" s="344"/>
    </row>
    <row r="1345">
      <c r="B1345" s="344"/>
    </row>
    <row r="1346">
      <c r="B1346" s="344"/>
    </row>
    <row r="1347">
      <c r="B1347" s="344"/>
    </row>
    <row r="1348">
      <c r="B1348" s="344"/>
    </row>
    <row r="1349">
      <c r="B1349" s="344"/>
    </row>
    <row r="1350">
      <c r="B1350" s="344"/>
    </row>
    <row r="1351">
      <c r="B1351" s="344"/>
    </row>
    <row r="1352">
      <c r="B1352" s="344"/>
    </row>
    <row r="1353">
      <c r="B1353" s="344"/>
    </row>
    <row r="1354">
      <c r="B1354" s="344"/>
    </row>
    <row r="1355">
      <c r="B1355" s="344"/>
    </row>
    <row r="1356">
      <c r="B1356" s="344"/>
    </row>
    <row r="1357">
      <c r="B1357" s="344"/>
    </row>
    <row r="1358">
      <c r="B1358" s="344"/>
    </row>
    <row r="1359">
      <c r="B1359" s="344"/>
    </row>
    <row r="1360">
      <c r="B1360" s="344"/>
    </row>
    <row r="1361">
      <c r="B1361" s="344"/>
    </row>
    <row r="1362">
      <c r="B1362" s="344"/>
    </row>
    <row r="1363">
      <c r="B1363" s="344"/>
    </row>
    <row r="1364">
      <c r="B1364" s="344"/>
    </row>
    <row r="1365">
      <c r="B1365" s="344"/>
    </row>
    <row r="1366">
      <c r="B1366" s="344"/>
    </row>
    <row r="1367">
      <c r="B1367" s="344"/>
    </row>
    <row r="1368">
      <c r="B1368" s="344"/>
    </row>
    <row r="1369">
      <c r="B1369" s="344"/>
    </row>
    <row r="1370">
      <c r="B1370" s="344"/>
    </row>
    <row r="1371">
      <c r="B1371" s="344"/>
    </row>
    <row r="1372">
      <c r="B1372" s="344"/>
    </row>
    <row r="1373">
      <c r="B1373" s="344"/>
    </row>
    <row r="1374">
      <c r="B1374" s="344"/>
    </row>
    <row r="1375">
      <c r="B1375" s="344"/>
    </row>
    <row r="1376">
      <c r="B1376" s="344"/>
    </row>
    <row r="1377">
      <c r="B1377" s="344"/>
    </row>
    <row r="1378">
      <c r="B1378" s="344"/>
    </row>
    <row r="1379">
      <c r="B1379" s="344"/>
    </row>
    <row r="1380">
      <c r="B1380" s="344"/>
    </row>
    <row r="1381">
      <c r="B1381" s="344"/>
    </row>
    <row r="1382">
      <c r="B1382" s="344"/>
    </row>
    <row r="1383">
      <c r="B1383" s="344"/>
    </row>
    <row r="1384">
      <c r="B1384" s="344"/>
    </row>
    <row r="1385">
      <c r="B1385" s="344"/>
    </row>
    <row r="1386">
      <c r="B1386" s="344"/>
    </row>
    <row r="1387">
      <c r="B1387" s="344"/>
    </row>
    <row r="1388">
      <c r="B1388" s="344"/>
    </row>
    <row r="1389">
      <c r="B1389" s="344"/>
    </row>
    <row r="1390">
      <c r="B1390" s="344"/>
    </row>
    <row r="1391">
      <c r="B1391" s="344"/>
    </row>
    <row r="1392">
      <c r="B1392" s="344"/>
    </row>
    <row r="1393">
      <c r="B1393" s="344"/>
    </row>
    <row r="1394">
      <c r="B1394" s="344"/>
    </row>
    <row r="1395">
      <c r="B1395" s="344"/>
    </row>
    <row r="1396">
      <c r="B1396" s="344"/>
    </row>
    <row r="1397">
      <c r="B1397" s="344"/>
    </row>
    <row r="1398">
      <c r="B1398" s="344"/>
    </row>
    <row r="1399">
      <c r="B1399" s="344"/>
    </row>
    <row r="1400">
      <c r="B1400" s="344"/>
    </row>
    <row r="1401">
      <c r="B1401" s="344"/>
    </row>
    <row r="1402">
      <c r="B1402" s="344"/>
    </row>
    <row r="1403">
      <c r="B1403" s="344"/>
    </row>
    <row r="1404">
      <c r="B1404" s="344"/>
    </row>
    <row r="1405">
      <c r="B1405" s="344"/>
    </row>
    <row r="1406">
      <c r="B1406" s="344"/>
    </row>
    <row r="1407">
      <c r="B1407" s="344"/>
    </row>
    <row r="1408">
      <c r="B1408" s="344"/>
    </row>
    <row r="1409">
      <c r="B1409" s="344"/>
    </row>
    <row r="1410">
      <c r="B1410" s="344"/>
    </row>
    <row r="1411">
      <c r="B1411" s="344"/>
    </row>
    <row r="1412">
      <c r="B1412" s="344"/>
    </row>
    <row r="1413">
      <c r="B1413" s="344"/>
    </row>
    <row r="1414">
      <c r="B1414" s="344"/>
    </row>
    <row r="1415">
      <c r="B1415" s="344"/>
    </row>
    <row r="1416">
      <c r="B1416" s="344"/>
    </row>
    <row r="1417">
      <c r="B1417" s="344"/>
    </row>
    <row r="1418">
      <c r="B1418" s="344"/>
    </row>
    <row r="1419">
      <c r="B1419" s="344"/>
    </row>
    <row r="1420">
      <c r="B1420" s="344"/>
    </row>
    <row r="1421">
      <c r="B1421" s="344"/>
    </row>
    <row r="1422">
      <c r="B1422" s="344"/>
    </row>
    <row r="1423">
      <c r="B1423" s="344"/>
    </row>
  </sheetData>
  <hyperlinks>
    <hyperlink r:id="rId1" ref="C2"/>
    <hyperlink r:id="rId2" ref="E2"/>
    <hyperlink r:id="rId3" ref="C3"/>
    <hyperlink r:id="rId4" ref="E3"/>
    <hyperlink r:id="rId5" ref="C4"/>
    <hyperlink r:id="rId6" ref="E4"/>
    <hyperlink r:id="rId7" ref="C5"/>
    <hyperlink r:id="rId8" ref="E5"/>
    <hyperlink r:id="rId9" ref="C6"/>
    <hyperlink r:id="rId10" ref="E6"/>
    <hyperlink r:id="rId11" ref="C7"/>
    <hyperlink r:id="rId12" ref="E7"/>
    <hyperlink r:id="rId13" ref="C8"/>
    <hyperlink r:id="rId14" ref="E8"/>
    <hyperlink r:id="rId15" ref="C9"/>
    <hyperlink r:id="rId16" ref="E9"/>
    <hyperlink r:id="rId17" ref="C10"/>
    <hyperlink r:id="rId18" ref="E10"/>
    <hyperlink r:id="rId19" ref="C11"/>
    <hyperlink r:id="rId20" ref="E11"/>
    <hyperlink r:id="rId21" ref="C12"/>
    <hyperlink r:id="rId22" ref="E12"/>
    <hyperlink r:id="rId23" ref="C13"/>
    <hyperlink r:id="rId24" ref="E13"/>
    <hyperlink r:id="rId25" ref="C14"/>
    <hyperlink r:id="rId26" ref="E14"/>
    <hyperlink r:id="rId27" ref="C15"/>
    <hyperlink r:id="rId28" ref="E15"/>
    <hyperlink r:id="rId29" ref="C16"/>
    <hyperlink r:id="rId30" ref="E16"/>
    <hyperlink r:id="rId31" ref="C17"/>
    <hyperlink r:id="rId32" ref="E17"/>
    <hyperlink r:id="rId33" ref="C18"/>
    <hyperlink r:id="rId34" ref="E18"/>
    <hyperlink r:id="rId35" ref="C19"/>
    <hyperlink r:id="rId36" ref="E19"/>
    <hyperlink r:id="rId37" ref="C20"/>
    <hyperlink r:id="rId38" ref="E20"/>
    <hyperlink r:id="rId39" ref="C21"/>
    <hyperlink r:id="rId40" ref="E21"/>
    <hyperlink r:id="rId41" ref="C22"/>
    <hyperlink r:id="rId42" ref="E22"/>
    <hyperlink r:id="rId43" ref="C23"/>
    <hyperlink r:id="rId44" ref="E23"/>
    <hyperlink r:id="rId45" ref="C24"/>
    <hyperlink r:id="rId46" ref="E24"/>
    <hyperlink r:id="rId47" ref="C25"/>
    <hyperlink r:id="rId48" ref="E25"/>
    <hyperlink r:id="rId49" ref="C26"/>
    <hyperlink r:id="rId50" ref="E26"/>
    <hyperlink r:id="rId51" ref="C27"/>
    <hyperlink r:id="rId52" ref="E27"/>
    <hyperlink r:id="rId53" ref="C28"/>
    <hyperlink r:id="rId54" ref="E28"/>
    <hyperlink r:id="rId55" ref="C29"/>
    <hyperlink r:id="rId56" ref="E29"/>
    <hyperlink r:id="rId57" ref="C30"/>
    <hyperlink r:id="rId58" ref="E30"/>
    <hyperlink r:id="rId59" ref="C31"/>
    <hyperlink r:id="rId60" ref="E31"/>
    <hyperlink r:id="rId61" ref="C32"/>
    <hyperlink r:id="rId62" ref="E32"/>
    <hyperlink r:id="rId63" ref="C33"/>
    <hyperlink r:id="rId64" ref="E33"/>
    <hyperlink r:id="rId65" ref="C34"/>
    <hyperlink r:id="rId66" ref="E34"/>
    <hyperlink r:id="rId67" ref="C35"/>
    <hyperlink r:id="rId68" ref="E35"/>
    <hyperlink r:id="rId69" ref="C36"/>
    <hyperlink r:id="rId70" ref="E36"/>
    <hyperlink r:id="rId71" ref="C37"/>
    <hyperlink r:id="rId72" ref="E37"/>
    <hyperlink r:id="rId73" ref="C38"/>
    <hyperlink r:id="rId74" ref="E38"/>
    <hyperlink r:id="rId75" ref="C39"/>
    <hyperlink r:id="rId76" ref="E39"/>
    <hyperlink r:id="rId77" ref="C40"/>
    <hyperlink r:id="rId78" ref="E40"/>
    <hyperlink r:id="rId79" ref="C41"/>
    <hyperlink r:id="rId80" ref="E41"/>
    <hyperlink r:id="rId81" ref="C42"/>
    <hyperlink r:id="rId82" ref="E42"/>
    <hyperlink r:id="rId83" ref="C43"/>
    <hyperlink r:id="rId84" ref="E43"/>
    <hyperlink r:id="rId85" ref="C44"/>
    <hyperlink r:id="rId86" ref="E44"/>
    <hyperlink r:id="rId87" ref="C45"/>
    <hyperlink r:id="rId88" ref="E45"/>
    <hyperlink r:id="rId89" ref="C46"/>
    <hyperlink r:id="rId90" ref="E46"/>
    <hyperlink r:id="rId91" ref="C47"/>
    <hyperlink r:id="rId92" ref="E47"/>
    <hyperlink r:id="rId93" ref="C48"/>
    <hyperlink r:id="rId94" ref="E48"/>
    <hyperlink r:id="rId95" ref="C49"/>
    <hyperlink r:id="rId96" ref="E49"/>
    <hyperlink r:id="rId97" ref="C50"/>
    <hyperlink r:id="rId98" ref="E50"/>
    <hyperlink r:id="rId99" ref="C51"/>
    <hyperlink r:id="rId100" ref="E51"/>
    <hyperlink r:id="rId101" ref="C52"/>
    <hyperlink r:id="rId102" ref="E52"/>
    <hyperlink r:id="rId103" ref="C53"/>
    <hyperlink r:id="rId104" ref="E53"/>
    <hyperlink r:id="rId105" ref="C54"/>
    <hyperlink r:id="rId106" ref="E54"/>
    <hyperlink r:id="rId107" ref="C55"/>
    <hyperlink r:id="rId108" ref="E55"/>
    <hyperlink r:id="rId109" ref="C56"/>
    <hyperlink r:id="rId110" ref="E56"/>
    <hyperlink r:id="rId111" ref="C57"/>
    <hyperlink r:id="rId112" ref="E57"/>
    <hyperlink r:id="rId113" ref="C58"/>
    <hyperlink r:id="rId114" ref="E58"/>
    <hyperlink r:id="rId115" ref="C59"/>
    <hyperlink r:id="rId116" ref="E59"/>
    <hyperlink r:id="rId117" ref="C60"/>
    <hyperlink r:id="rId118" ref="E60"/>
    <hyperlink r:id="rId119" ref="C61"/>
    <hyperlink r:id="rId120" ref="E61"/>
    <hyperlink r:id="rId121" ref="C62"/>
    <hyperlink r:id="rId122" ref="E62"/>
    <hyperlink r:id="rId123" ref="C63"/>
    <hyperlink r:id="rId124" ref="E63"/>
    <hyperlink r:id="rId125" ref="C64"/>
    <hyperlink r:id="rId126" ref="E64"/>
    <hyperlink r:id="rId127" ref="C65"/>
    <hyperlink r:id="rId128" ref="E65"/>
    <hyperlink r:id="rId129" ref="C66"/>
    <hyperlink r:id="rId130" ref="E66"/>
    <hyperlink r:id="rId131" ref="C67"/>
    <hyperlink r:id="rId132" ref="E67"/>
    <hyperlink r:id="rId133" ref="C68"/>
    <hyperlink r:id="rId134" ref="E68"/>
    <hyperlink r:id="rId135" ref="C69"/>
    <hyperlink r:id="rId136" ref="E69"/>
    <hyperlink r:id="rId137" ref="C70"/>
    <hyperlink r:id="rId138" ref="E70"/>
    <hyperlink r:id="rId139" ref="C71"/>
    <hyperlink r:id="rId140" ref="E71"/>
    <hyperlink r:id="rId141" ref="C72"/>
    <hyperlink r:id="rId142" ref="E72"/>
    <hyperlink r:id="rId143" ref="C73"/>
    <hyperlink r:id="rId144" ref="E73"/>
    <hyperlink r:id="rId145" ref="C74"/>
    <hyperlink r:id="rId146" ref="E74"/>
    <hyperlink r:id="rId147" ref="C75"/>
    <hyperlink r:id="rId148" ref="E75"/>
    <hyperlink r:id="rId149" ref="C76"/>
    <hyperlink r:id="rId150" ref="E76"/>
    <hyperlink r:id="rId151" ref="C77"/>
    <hyperlink r:id="rId152" ref="E77"/>
    <hyperlink r:id="rId153" ref="C78"/>
    <hyperlink r:id="rId154" ref="E78"/>
    <hyperlink r:id="rId155" ref="C79"/>
    <hyperlink r:id="rId156" ref="E79"/>
    <hyperlink r:id="rId157" ref="C80"/>
    <hyperlink r:id="rId158" ref="E80"/>
    <hyperlink r:id="rId159" ref="C81"/>
    <hyperlink r:id="rId160" ref="E81"/>
    <hyperlink r:id="rId161" ref="C82"/>
    <hyperlink r:id="rId162" ref="E82"/>
    <hyperlink r:id="rId163" ref="C83"/>
    <hyperlink r:id="rId164" ref="E83"/>
    <hyperlink r:id="rId165" ref="C84"/>
    <hyperlink r:id="rId166" ref="E84"/>
    <hyperlink r:id="rId167" ref="C85"/>
    <hyperlink r:id="rId168" ref="E85"/>
    <hyperlink r:id="rId169" ref="C86"/>
    <hyperlink r:id="rId170" ref="E86"/>
    <hyperlink r:id="rId171" ref="C87"/>
    <hyperlink r:id="rId172" ref="E87"/>
    <hyperlink r:id="rId173" ref="C88"/>
    <hyperlink r:id="rId174" ref="E88"/>
    <hyperlink r:id="rId175" ref="C89"/>
    <hyperlink r:id="rId176" ref="E89"/>
    <hyperlink r:id="rId177" ref="C90"/>
    <hyperlink r:id="rId178" ref="E90"/>
    <hyperlink r:id="rId179" ref="C91"/>
    <hyperlink r:id="rId180" ref="E91"/>
    <hyperlink r:id="rId181" ref="C92"/>
    <hyperlink r:id="rId182" ref="E92"/>
    <hyperlink r:id="rId183" ref="C93"/>
    <hyperlink r:id="rId184" ref="E93"/>
    <hyperlink r:id="rId185" ref="C94"/>
    <hyperlink r:id="rId186" ref="E94"/>
    <hyperlink r:id="rId187" ref="C95"/>
    <hyperlink r:id="rId188" ref="E95"/>
    <hyperlink r:id="rId189" ref="C96"/>
    <hyperlink r:id="rId190" ref="E96"/>
    <hyperlink r:id="rId191" ref="C97"/>
    <hyperlink r:id="rId192" ref="E97"/>
    <hyperlink r:id="rId193" ref="C98"/>
    <hyperlink r:id="rId194" ref="E98"/>
    <hyperlink r:id="rId195" ref="C99"/>
    <hyperlink r:id="rId196" ref="E99"/>
    <hyperlink r:id="rId197" ref="C100"/>
    <hyperlink r:id="rId198" ref="E100"/>
    <hyperlink r:id="rId199" ref="C101"/>
    <hyperlink r:id="rId200" ref="E101"/>
    <hyperlink r:id="rId201" ref="C102"/>
    <hyperlink r:id="rId202" ref="E102"/>
    <hyperlink r:id="rId203" ref="C103"/>
    <hyperlink r:id="rId204" ref="E103"/>
    <hyperlink r:id="rId205" ref="C104"/>
    <hyperlink r:id="rId206" ref="E104"/>
    <hyperlink r:id="rId207" ref="C105"/>
    <hyperlink r:id="rId208" ref="E105"/>
    <hyperlink r:id="rId209" ref="C106"/>
    <hyperlink r:id="rId210" ref="E106"/>
    <hyperlink r:id="rId211" ref="C107"/>
    <hyperlink r:id="rId212" ref="E107"/>
    <hyperlink r:id="rId213" ref="C108"/>
    <hyperlink r:id="rId214" ref="E108"/>
    <hyperlink r:id="rId215" ref="C109"/>
    <hyperlink r:id="rId216" ref="E109"/>
    <hyperlink r:id="rId217" ref="C110"/>
    <hyperlink r:id="rId218" ref="E110"/>
    <hyperlink r:id="rId219" ref="C111"/>
    <hyperlink r:id="rId220" ref="E111"/>
    <hyperlink r:id="rId221" ref="C112"/>
    <hyperlink r:id="rId222" ref="E112"/>
    <hyperlink r:id="rId223" ref="C113"/>
    <hyperlink r:id="rId224" ref="E113"/>
    <hyperlink r:id="rId225" ref="C114"/>
    <hyperlink r:id="rId226" ref="E114"/>
    <hyperlink r:id="rId227" ref="C115"/>
    <hyperlink r:id="rId228" ref="E115"/>
    <hyperlink r:id="rId229" ref="C116"/>
    <hyperlink r:id="rId230" ref="E116"/>
    <hyperlink r:id="rId231" ref="C117"/>
    <hyperlink r:id="rId232" ref="E117"/>
    <hyperlink r:id="rId233" ref="C118"/>
    <hyperlink r:id="rId234" ref="E118"/>
    <hyperlink r:id="rId235" ref="C119"/>
    <hyperlink r:id="rId236" ref="E119"/>
    <hyperlink r:id="rId237" ref="C120"/>
    <hyperlink r:id="rId238" ref="E120"/>
    <hyperlink r:id="rId239" ref="C121"/>
    <hyperlink r:id="rId240" ref="E121"/>
    <hyperlink r:id="rId241" ref="C122"/>
    <hyperlink r:id="rId242" ref="E122"/>
    <hyperlink r:id="rId243" ref="C123"/>
    <hyperlink r:id="rId244" ref="E123"/>
    <hyperlink r:id="rId245" ref="C124"/>
    <hyperlink r:id="rId246" ref="E124"/>
    <hyperlink r:id="rId247" ref="C125"/>
    <hyperlink r:id="rId248" ref="E125"/>
    <hyperlink r:id="rId249" ref="C126"/>
    <hyperlink r:id="rId250" ref="E126"/>
    <hyperlink r:id="rId251" ref="C127"/>
    <hyperlink r:id="rId252" ref="E127"/>
    <hyperlink r:id="rId253" ref="C128"/>
    <hyperlink r:id="rId254" ref="E128"/>
    <hyperlink r:id="rId255" ref="C129"/>
    <hyperlink r:id="rId256" ref="E129"/>
    <hyperlink r:id="rId257" ref="C130"/>
    <hyperlink r:id="rId258" ref="E130"/>
    <hyperlink r:id="rId259" ref="C131"/>
    <hyperlink r:id="rId260" ref="E131"/>
    <hyperlink r:id="rId261" ref="C132"/>
    <hyperlink r:id="rId262" ref="E132"/>
    <hyperlink r:id="rId263" ref="C133"/>
    <hyperlink r:id="rId264" ref="E133"/>
    <hyperlink r:id="rId265" ref="C134"/>
    <hyperlink r:id="rId266" ref="E134"/>
    <hyperlink r:id="rId267" ref="C135"/>
    <hyperlink r:id="rId268" ref="E135"/>
    <hyperlink r:id="rId269" ref="C136"/>
    <hyperlink r:id="rId270" ref="E136"/>
    <hyperlink r:id="rId271" ref="C137"/>
    <hyperlink r:id="rId272" ref="E137"/>
    <hyperlink r:id="rId273" ref="C138"/>
    <hyperlink r:id="rId274" ref="E138"/>
    <hyperlink r:id="rId275" ref="C139"/>
    <hyperlink r:id="rId276" ref="E139"/>
    <hyperlink r:id="rId277" ref="C140"/>
    <hyperlink r:id="rId278" ref="E140"/>
    <hyperlink r:id="rId279" ref="C141"/>
    <hyperlink r:id="rId280" ref="E141"/>
    <hyperlink r:id="rId281" ref="C142"/>
    <hyperlink r:id="rId282" ref="E142"/>
    <hyperlink r:id="rId283" ref="C143"/>
    <hyperlink r:id="rId284" ref="E143"/>
    <hyperlink r:id="rId285" ref="C144"/>
    <hyperlink r:id="rId286" ref="E144"/>
    <hyperlink r:id="rId287" ref="C145"/>
    <hyperlink r:id="rId288" ref="E145"/>
    <hyperlink r:id="rId289" ref="C146"/>
    <hyperlink r:id="rId290" ref="E146"/>
    <hyperlink r:id="rId291" ref="C147"/>
    <hyperlink r:id="rId292" ref="E147"/>
    <hyperlink r:id="rId293" ref="C148"/>
    <hyperlink r:id="rId294" ref="E148"/>
    <hyperlink r:id="rId295" ref="C149"/>
    <hyperlink r:id="rId296" ref="E149"/>
    <hyperlink r:id="rId297" ref="C150"/>
    <hyperlink r:id="rId298" ref="E150"/>
    <hyperlink r:id="rId299" ref="C151"/>
    <hyperlink r:id="rId300" ref="E151"/>
    <hyperlink r:id="rId301" ref="C152"/>
    <hyperlink r:id="rId302" ref="E152"/>
    <hyperlink r:id="rId303" ref="C153"/>
    <hyperlink r:id="rId304" ref="E153"/>
    <hyperlink r:id="rId305" ref="C154"/>
    <hyperlink r:id="rId306" ref="E154"/>
    <hyperlink r:id="rId307" ref="C155"/>
    <hyperlink r:id="rId308" ref="E155"/>
    <hyperlink r:id="rId309" ref="C156"/>
    <hyperlink r:id="rId310" ref="E156"/>
    <hyperlink r:id="rId311" ref="C157"/>
    <hyperlink r:id="rId312" ref="E157"/>
    <hyperlink r:id="rId313" ref="C158"/>
    <hyperlink r:id="rId314" ref="E158"/>
    <hyperlink r:id="rId315" ref="C159"/>
    <hyperlink r:id="rId316" ref="E159"/>
    <hyperlink r:id="rId317" ref="C160"/>
    <hyperlink r:id="rId318" ref="E160"/>
    <hyperlink r:id="rId319" ref="C161"/>
    <hyperlink r:id="rId320" ref="E161"/>
    <hyperlink r:id="rId321" ref="C162"/>
    <hyperlink r:id="rId322" ref="E162"/>
    <hyperlink r:id="rId323" ref="C163"/>
    <hyperlink r:id="rId324" ref="E163"/>
    <hyperlink r:id="rId325" ref="C164"/>
    <hyperlink r:id="rId326" ref="E164"/>
    <hyperlink r:id="rId327" ref="C165"/>
    <hyperlink r:id="rId328" ref="E165"/>
    <hyperlink r:id="rId329" ref="C166"/>
    <hyperlink r:id="rId330" ref="E166"/>
    <hyperlink r:id="rId331" ref="C167"/>
    <hyperlink r:id="rId332" ref="E167"/>
    <hyperlink r:id="rId333" ref="C168"/>
    <hyperlink r:id="rId334" ref="E168"/>
    <hyperlink r:id="rId335" ref="C169"/>
    <hyperlink r:id="rId336" ref="E169"/>
    <hyperlink r:id="rId337" ref="C170"/>
    <hyperlink r:id="rId338" ref="E170"/>
    <hyperlink r:id="rId339" ref="C171"/>
    <hyperlink r:id="rId340" ref="E171"/>
    <hyperlink r:id="rId341" ref="C172"/>
    <hyperlink r:id="rId342" ref="E172"/>
    <hyperlink r:id="rId343" ref="C173"/>
    <hyperlink r:id="rId344" ref="E173"/>
    <hyperlink r:id="rId345" ref="C174"/>
    <hyperlink r:id="rId346" ref="E174"/>
    <hyperlink r:id="rId347" ref="C175"/>
    <hyperlink r:id="rId348" ref="E175"/>
    <hyperlink r:id="rId349" ref="C176"/>
    <hyperlink r:id="rId350" ref="E176"/>
    <hyperlink r:id="rId351" ref="C177"/>
    <hyperlink r:id="rId352" ref="E177"/>
    <hyperlink r:id="rId353" ref="C178"/>
    <hyperlink r:id="rId354" ref="E178"/>
    <hyperlink r:id="rId355" ref="C179"/>
    <hyperlink r:id="rId356" ref="E179"/>
    <hyperlink r:id="rId357" ref="C180"/>
    <hyperlink r:id="rId358" ref="E180"/>
    <hyperlink r:id="rId359" ref="C181"/>
    <hyperlink r:id="rId360" ref="E181"/>
    <hyperlink r:id="rId361" ref="C182"/>
    <hyperlink r:id="rId362" ref="C183"/>
    <hyperlink r:id="rId363" ref="C184"/>
    <hyperlink r:id="rId364" ref="D194"/>
    <hyperlink r:id="rId365" ref="F194"/>
    <hyperlink r:id="rId366" ref="C195"/>
    <hyperlink r:id="rId367" ref="D196"/>
    <hyperlink r:id="rId368" ref="F196"/>
    <hyperlink r:id="rId369" ref="C197"/>
    <hyperlink r:id="rId370" ref="D198"/>
    <hyperlink r:id="rId371" ref="F198"/>
    <hyperlink r:id="rId372" ref="C199"/>
    <hyperlink r:id="rId373" ref="D200"/>
    <hyperlink r:id="rId374" ref="F200"/>
    <hyperlink r:id="rId375" ref="C201"/>
    <hyperlink r:id="rId376" ref="D202"/>
    <hyperlink r:id="rId377" ref="F202"/>
    <hyperlink r:id="rId378" ref="C203"/>
    <hyperlink r:id="rId379" ref="D204"/>
    <hyperlink r:id="rId380" ref="F204"/>
    <hyperlink r:id="rId381" ref="D206"/>
    <hyperlink r:id="rId382" ref="F206"/>
    <hyperlink r:id="rId383" ref="C207"/>
    <hyperlink r:id="rId384" ref="D208"/>
    <hyperlink r:id="rId385" ref="F208"/>
    <hyperlink r:id="rId386" ref="C209"/>
    <hyperlink r:id="rId387" ref="D210"/>
    <hyperlink r:id="rId388" ref="F210"/>
    <hyperlink r:id="rId389" ref="D212"/>
    <hyperlink r:id="rId390" ref="F212"/>
    <hyperlink r:id="rId391" ref="C213"/>
    <hyperlink r:id="rId392" ref="D214"/>
    <hyperlink r:id="rId393" ref="F214"/>
    <hyperlink r:id="rId394" ref="C215"/>
    <hyperlink r:id="rId395" ref="D216"/>
    <hyperlink r:id="rId396" ref="F216"/>
    <hyperlink r:id="rId397" ref="C217"/>
    <hyperlink r:id="rId398" ref="D218"/>
    <hyperlink r:id="rId399" ref="F218"/>
    <hyperlink r:id="rId400" ref="C219"/>
    <hyperlink r:id="rId401" ref="D220"/>
    <hyperlink r:id="rId402" ref="F220"/>
    <hyperlink r:id="rId403" ref="C221"/>
    <hyperlink r:id="rId404" ref="D222"/>
    <hyperlink r:id="rId405" ref="F222"/>
    <hyperlink r:id="rId406" ref="C223"/>
    <hyperlink r:id="rId407" ref="D224"/>
    <hyperlink r:id="rId408" ref="F224"/>
    <hyperlink r:id="rId409" ref="C225"/>
    <hyperlink r:id="rId410" ref="D226"/>
    <hyperlink r:id="rId411" ref="F226"/>
    <hyperlink r:id="rId412" ref="C227"/>
    <hyperlink r:id="rId413" ref="D228"/>
    <hyperlink r:id="rId414" ref="F228"/>
    <hyperlink r:id="rId415" ref="C229"/>
    <hyperlink r:id="rId416" ref="D230"/>
    <hyperlink r:id="rId417" ref="F230"/>
    <hyperlink r:id="rId418" ref="C231"/>
    <hyperlink r:id="rId419" ref="D232"/>
    <hyperlink r:id="rId420" ref="F232"/>
    <hyperlink r:id="rId421" ref="C233"/>
    <hyperlink r:id="rId422" ref="D234"/>
    <hyperlink r:id="rId423" ref="F234"/>
    <hyperlink r:id="rId424" ref="C235"/>
    <hyperlink r:id="rId425" ref="D236"/>
    <hyperlink r:id="rId426" ref="F236"/>
    <hyperlink r:id="rId427" ref="C237"/>
    <hyperlink r:id="rId428" ref="D238"/>
    <hyperlink r:id="rId429" ref="F238"/>
    <hyperlink r:id="rId430" ref="C239"/>
    <hyperlink r:id="rId431" ref="D240"/>
    <hyperlink r:id="rId432" ref="F240"/>
    <hyperlink r:id="rId433" ref="D242"/>
    <hyperlink r:id="rId434" ref="F242"/>
    <hyperlink r:id="rId435" ref="D244"/>
    <hyperlink r:id="rId436" ref="F244"/>
    <hyperlink r:id="rId437" ref="C245"/>
    <hyperlink r:id="rId438" ref="D246"/>
    <hyperlink r:id="rId439" ref="F246"/>
    <hyperlink r:id="rId440" ref="D248"/>
    <hyperlink r:id="rId441" ref="F248"/>
    <hyperlink r:id="rId442" ref="C249"/>
    <hyperlink r:id="rId443" ref="D250"/>
    <hyperlink r:id="rId444" ref="F250"/>
    <hyperlink r:id="rId445" ref="C251"/>
    <hyperlink r:id="rId446" ref="D252"/>
    <hyperlink r:id="rId447" ref="F252"/>
    <hyperlink r:id="rId448" ref="C253"/>
    <hyperlink r:id="rId449" ref="D254"/>
    <hyperlink r:id="rId450" ref="F254"/>
    <hyperlink r:id="rId451" ref="C255"/>
    <hyperlink r:id="rId452" ref="D256"/>
    <hyperlink r:id="rId453" ref="F256"/>
    <hyperlink r:id="rId454" ref="D258"/>
    <hyperlink r:id="rId455" ref="F258"/>
    <hyperlink r:id="rId456" ref="C259"/>
    <hyperlink r:id="rId457" ref="D260"/>
    <hyperlink r:id="rId458" ref="F260"/>
    <hyperlink r:id="rId459" ref="C261"/>
    <hyperlink r:id="rId460" ref="D262"/>
    <hyperlink r:id="rId461" ref="F262"/>
    <hyperlink r:id="rId462" ref="C263"/>
    <hyperlink r:id="rId463" ref="D264"/>
    <hyperlink r:id="rId464" ref="F264"/>
    <hyperlink r:id="rId465" ref="C265"/>
    <hyperlink r:id="rId466" ref="D266"/>
    <hyperlink r:id="rId467" ref="F266"/>
    <hyperlink r:id="rId468" ref="D268"/>
    <hyperlink r:id="rId469" ref="C269"/>
    <hyperlink r:id="rId470" ref="D270"/>
    <hyperlink r:id="rId471" ref="C271"/>
    <hyperlink r:id="rId472" ref="D272"/>
    <hyperlink r:id="rId473" ref="C273"/>
    <hyperlink r:id="rId474" ref="D274"/>
    <hyperlink r:id="rId475" ref="D276"/>
    <hyperlink r:id="rId476" ref="C277"/>
    <hyperlink r:id="rId477" ref="D278"/>
    <hyperlink r:id="rId478" ref="C279"/>
    <hyperlink r:id="rId479" ref="D280"/>
    <hyperlink r:id="rId480" ref="D282"/>
    <hyperlink r:id="rId481" ref="B284"/>
    <hyperlink r:id="rId482" ref="D284"/>
    <hyperlink r:id="rId483" ref="B286"/>
    <hyperlink r:id="rId484" ref="D286"/>
    <hyperlink r:id="rId485" ref="B288"/>
    <hyperlink r:id="rId486" ref="D288"/>
    <hyperlink r:id="rId487" ref="B290"/>
    <hyperlink r:id="rId488" ref="D290"/>
    <hyperlink r:id="rId489" ref="B292"/>
    <hyperlink r:id="rId490" ref="D292"/>
    <hyperlink r:id="rId491" ref="B294"/>
    <hyperlink r:id="rId492" ref="D294"/>
    <hyperlink r:id="rId493" ref="B296"/>
    <hyperlink r:id="rId494" ref="D296"/>
    <hyperlink r:id="rId495" ref="B298"/>
    <hyperlink r:id="rId496" ref="D298"/>
    <hyperlink r:id="rId497" ref="B300"/>
    <hyperlink r:id="rId498" ref="D300"/>
    <hyperlink r:id="rId499" ref="B302"/>
    <hyperlink r:id="rId500" ref="D302"/>
    <hyperlink r:id="rId501" ref="B304"/>
    <hyperlink r:id="rId502" ref="D304"/>
    <hyperlink r:id="rId503" ref="B306"/>
    <hyperlink r:id="rId504" ref="D306"/>
    <hyperlink r:id="rId505" ref="B308"/>
    <hyperlink r:id="rId506" ref="D308"/>
    <hyperlink r:id="rId507" ref="B310"/>
    <hyperlink r:id="rId508" ref="D310"/>
    <hyperlink r:id="rId509" ref="B312"/>
    <hyperlink r:id="rId510" ref="D312"/>
    <hyperlink r:id="rId511" ref="B314"/>
    <hyperlink r:id="rId512" ref="D314"/>
    <hyperlink r:id="rId513" ref="B316"/>
    <hyperlink r:id="rId514" ref="D316"/>
    <hyperlink r:id="rId515" ref="B318"/>
    <hyperlink r:id="rId516" ref="D318"/>
    <hyperlink r:id="rId517" ref="B322"/>
    <hyperlink r:id="rId518" ref="D322"/>
    <hyperlink r:id="rId519" ref="B326"/>
    <hyperlink r:id="rId520" ref="D326"/>
    <hyperlink r:id="rId521" ref="B330"/>
    <hyperlink r:id="rId522" ref="D330"/>
    <hyperlink r:id="rId523" ref="B333"/>
    <hyperlink r:id="rId524" ref="D333"/>
    <hyperlink r:id="rId525" ref="B337"/>
    <hyperlink r:id="rId526" ref="D337"/>
    <hyperlink r:id="rId527" ref="B341"/>
    <hyperlink r:id="rId528" ref="D341"/>
    <hyperlink r:id="rId529" ref="B345"/>
    <hyperlink r:id="rId530" ref="D345"/>
    <hyperlink r:id="rId531" ref="B349"/>
    <hyperlink r:id="rId532" ref="D349"/>
    <hyperlink r:id="rId533" ref="B353"/>
    <hyperlink r:id="rId534" ref="D353"/>
    <hyperlink r:id="rId535" ref="B357"/>
    <hyperlink r:id="rId536" ref="D357"/>
    <hyperlink r:id="rId537" ref="B361"/>
    <hyperlink r:id="rId538" ref="D361"/>
    <hyperlink r:id="rId539" ref="B365"/>
    <hyperlink r:id="rId540" ref="D365"/>
    <hyperlink r:id="rId541" ref="B369"/>
    <hyperlink r:id="rId542" ref="D369"/>
    <hyperlink r:id="rId543" ref="B373"/>
    <hyperlink r:id="rId544" ref="D373"/>
    <hyperlink r:id="rId545" ref="B377"/>
    <hyperlink r:id="rId546" ref="D377"/>
    <hyperlink r:id="rId547" ref="B381"/>
    <hyperlink r:id="rId548" ref="D381"/>
    <hyperlink r:id="rId549" ref="B385"/>
    <hyperlink r:id="rId550" ref="D385"/>
    <hyperlink r:id="rId551" ref="B389"/>
    <hyperlink r:id="rId552" ref="D389"/>
    <hyperlink r:id="rId553" ref="B393"/>
    <hyperlink r:id="rId554" ref="D393"/>
    <hyperlink r:id="rId555" ref="B397"/>
    <hyperlink r:id="rId556" ref="D397"/>
    <hyperlink r:id="rId557" ref="B401"/>
    <hyperlink r:id="rId558" ref="D401"/>
    <hyperlink r:id="rId559" ref="B405"/>
    <hyperlink r:id="rId560" ref="D405"/>
    <hyperlink r:id="rId561" ref="B409"/>
    <hyperlink r:id="rId562" ref="D409"/>
    <hyperlink r:id="rId563" ref="B413"/>
    <hyperlink r:id="rId564" ref="D413"/>
    <hyperlink r:id="rId565" ref="B417"/>
    <hyperlink r:id="rId566" ref="D417"/>
    <hyperlink r:id="rId567" ref="B421"/>
    <hyperlink r:id="rId568" ref="D421"/>
    <hyperlink r:id="rId569" ref="B425"/>
    <hyperlink r:id="rId570" ref="D425"/>
    <hyperlink r:id="rId571" ref="B429"/>
    <hyperlink r:id="rId572" ref="D429"/>
    <hyperlink r:id="rId573" ref="B433"/>
    <hyperlink r:id="rId574" ref="D433"/>
    <hyperlink r:id="rId575" ref="B437"/>
    <hyperlink r:id="rId576" ref="D437"/>
    <hyperlink r:id="rId577" ref="B441"/>
    <hyperlink r:id="rId578" ref="D441"/>
    <hyperlink r:id="rId579" ref="B445"/>
    <hyperlink r:id="rId580" ref="D445"/>
    <hyperlink r:id="rId581" ref="B449"/>
    <hyperlink r:id="rId582" ref="D449"/>
    <hyperlink r:id="rId583" ref="B453"/>
    <hyperlink r:id="rId584" ref="D453"/>
    <hyperlink r:id="rId585" ref="B457"/>
    <hyperlink r:id="rId586" ref="D457"/>
    <hyperlink r:id="rId587" ref="B461"/>
    <hyperlink r:id="rId588" ref="D461"/>
    <hyperlink r:id="rId589" ref="B465"/>
    <hyperlink r:id="rId590" ref="D465"/>
    <hyperlink r:id="rId591" ref="B469"/>
    <hyperlink r:id="rId592" ref="D469"/>
    <hyperlink r:id="rId593" ref="B473"/>
    <hyperlink r:id="rId594" ref="D473"/>
    <hyperlink r:id="rId595" ref="B477"/>
    <hyperlink r:id="rId596" ref="D477"/>
    <hyperlink r:id="rId597" ref="B481"/>
    <hyperlink r:id="rId598" ref="D481"/>
    <hyperlink r:id="rId599" ref="B485"/>
    <hyperlink r:id="rId600" ref="D485"/>
    <hyperlink r:id="rId601" ref="B489"/>
    <hyperlink r:id="rId602" ref="D489"/>
    <hyperlink r:id="rId603" ref="B493"/>
    <hyperlink r:id="rId604" ref="D493"/>
    <hyperlink r:id="rId605" ref="B497"/>
    <hyperlink r:id="rId606" ref="D497"/>
    <hyperlink r:id="rId607" ref="B501"/>
    <hyperlink r:id="rId608" ref="D501"/>
    <hyperlink r:id="rId609" ref="B505"/>
    <hyperlink r:id="rId610" ref="D505"/>
    <hyperlink r:id="rId611" ref="B509"/>
    <hyperlink r:id="rId612" ref="D509"/>
    <hyperlink r:id="rId613" ref="B513"/>
    <hyperlink r:id="rId614" ref="D513"/>
    <hyperlink r:id="rId615" ref="B517"/>
    <hyperlink r:id="rId616" ref="D517"/>
    <hyperlink r:id="rId617" ref="B521"/>
    <hyperlink r:id="rId618" ref="D521"/>
    <hyperlink r:id="rId619" ref="B525"/>
    <hyperlink r:id="rId620" ref="D525"/>
    <hyperlink r:id="rId621" ref="B529"/>
    <hyperlink r:id="rId622" ref="D529"/>
    <hyperlink r:id="rId623" ref="B533"/>
    <hyperlink r:id="rId624" ref="D533"/>
    <hyperlink r:id="rId625" ref="B537"/>
    <hyperlink r:id="rId626" ref="D537"/>
    <hyperlink r:id="rId627" ref="B541"/>
    <hyperlink r:id="rId628" ref="D541"/>
    <hyperlink r:id="rId629" ref="B545"/>
    <hyperlink r:id="rId630" ref="D545"/>
    <hyperlink r:id="rId631" ref="B549"/>
    <hyperlink r:id="rId632" ref="D549"/>
    <hyperlink r:id="rId633" ref="B553"/>
    <hyperlink r:id="rId634" ref="D553"/>
    <hyperlink r:id="rId635" ref="B557"/>
    <hyperlink r:id="rId636" ref="D557"/>
    <hyperlink r:id="rId637" ref="B561"/>
    <hyperlink r:id="rId638" ref="D561"/>
    <hyperlink r:id="rId639" ref="B565"/>
    <hyperlink r:id="rId640" ref="D565"/>
    <hyperlink r:id="rId641" ref="B569"/>
    <hyperlink r:id="rId642" ref="D569"/>
    <hyperlink r:id="rId643" ref="B573"/>
    <hyperlink r:id="rId644" ref="D573"/>
    <hyperlink r:id="rId645" ref="B577"/>
    <hyperlink r:id="rId646" ref="D577"/>
    <hyperlink r:id="rId647" ref="B581"/>
    <hyperlink r:id="rId648" ref="D581"/>
    <hyperlink r:id="rId649" ref="B585"/>
    <hyperlink r:id="rId650" ref="D585"/>
    <hyperlink r:id="rId651" ref="B589"/>
    <hyperlink r:id="rId652" ref="D589"/>
    <hyperlink r:id="rId653" ref="B593"/>
    <hyperlink r:id="rId654" ref="D593"/>
    <hyperlink r:id="rId655" ref="B597"/>
    <hyperlink r:id="rId656" ref="D597"/>
    <hyperlink r:id="rId657" ref="B601"/>
    <hyperlink r:id="rId658" ref="D601"/>
    <hyperlink r:id="rId659" ref="B605"/>
    <hyperlink r:id="rId660" ref="D605"/>
    <hyperlink r:id="rId661" ref="B609"/>
    <hyperlink r:id="rId662" ref="D609"/>
    <hyperlink r:id="rId663" ref="B613"/>
    <hyperlink r:id="rId664" ref="D613"/>
    <hyperlink r:id="rId665" ref="B617"/>
    <hyperlink r:id="rId666" ref="D617"/>
    <hyperlink r:id="rId667" ref="B621"/>
    <hyperlink r:id="rId668" ref="D621"/>
    <hyperlink r:id="rId669" ref="B625"/>
    <hyperlink r:id="rId670" ref="D625"/>
    <hyperlink r:id="rId671" ref="B629"/>
    <hyperlink r:id="rId672" ref="D629"/>
    <hyperlink r:id="rId673" ref="B633"/>
    <hyperlink r:id="rId674" ref="D633"/>
    <hyperlink r:id="rId675" ref="B637"/>
    <hyperlink r:id="rId676" ref="D637"/>
    <hyperlink r:id="rId677" ref="B641"/>
    <hyperlink r:id="rId678" ref="D641"/>
    <hyperlink r:id="rId679" ref="B645"/>
    <hyperlink r:id="rId680" ref="D645"/>
    <hyperlink r:id="rId681" ref="B649"/>
    <hyperlink r:id="rId682" ref="D649"/>
    <hyperlink r:id="rId683" ref="B653"/>
    <hyperlink r:id="rId684" ref="D653"/>
    <hyperlink r:id="rId685" ref="B657"/>
    <hyperlink r:id="rId686" ref="D657"/>
    <hyperlink r:id="rId687" ref="B661"/>
    <hyperlink r:id="rId688" ref="D661"/>
    <hyperlink r:id="rId689" ref="B665"/>
    <hyperlink r:id="rId690" ref="D665"/>
    <hyperlink r:id="rId691" ref="B669"/>
    <hyperlink r:id="rId692" ref="D669"/>
    <hyperlink r:id="rId693" ref="B673"/>
    <hyperlink r:id="rId694" ref="D673"/>
    <hyperlink r:id="rId695" ref="B677"/>
    <hyperlink r:id="rId696" ref="D677"/>
    <hyperlink r:id="rId697" ref="B681"/>
    <hyperlink r:id="rId698" ref="D681"/>
    <hyperlink r:id="rId699" ref="B685"/>
    <hyperlink r:id="rId700" ref="D685"/>
    <hyperlink r:id="rId701" ref="B689"/>
    <hyperlink r:id="rId702" ref="D689"/>
    <hyperlink r:id="rId703" ref="B693"/>
    <hyperlink r:id="rId704" ref="D693"/>
    <hyperlink r:id="rId705" ref="B697"/>
    <hyperlink r:id="rId706" ref="D697"/>
    <hyperlink r:id="rId707" ref="B701"/>
    <hyperlink r:id="rId708" ref="D701"/>
    <hyperlink r:id="rId709" ref="B705"/>
    <hyperlink r:id="rId710" ref="D705"/>
    <hyperlink r:id="rId711" ref="B709"/>
    <hyperlink r:id="rId712" ref="D709"/>
    <hyperlink r:id="rId713" ref="B713"/>
    <hyperlink r:id="rId714" ref="D713"/>
    <hyperlink r:id="rId715" ref="B717"/>
    <hyperlink r:id="rId716" ref="D717"/>
    <hyperlink r:id="rId717" ref="B721"/>
    <hyperlink r:id="rId718" ref="D721"/>
    <hyperlink r:id="rId719" ref="B725"/>
    <hyperlink r:id="rId720" ref="D725"/>
    <hyperlink r:id="rId721" ref="B729"/>
    <hyperlink r:id="rId722" ref="D729"/>
    <hyperlink r:id="rId723" ref="B733"/>
    <hyperlink r:id="rId724" ref="D733"/>
    <hyperlink r:id="rId725" ref="B737"/>
    <hyperlink r:id="rId726" ref="D737"/>
    <hyperlink r:id="rId727" ref="B741"/>
    <hyperlink r:id="rId728" ref="D741"/>
    <hyperlink r:id="rId729" ref="B745"/>
    <hyperlink r:id="rId730" ref="D745"/>
    <hyperlink r:id="rId731" ref="B749"/>
    <hyperlink r:id="rId732" ref="D749"/>
    <hyperlink r:id="rId733" ref="B753"/>
    <hyperlink r:id="rId734" ref="D753"/>
    <hyperlink r:id="rId735" ref="B757"/>
    <hyperlink r:id="rId736" ref="D757"/>
    <hyperlink r:id="rId737" ref="B761"/>
    <hyperlink r:id="rId738" ref="D761"/>
    <hyperlink r:id="rId739" ref="B765"/>
    <hyperlink r:id="rId740" ref="D765"/>
    <hyperlink r:id="rId741" ref="B769"/>
    <hyperlink r:id="rId742" ref="D769"/>
    <hyperlink r:id="rId743" ref="B773"/>
    <hyperlink r:id="rId744" ref="D773"/>
    <hyperlink r:id="rId745" ref="B777"/>
    <hyperlink r:id="rId746" ref="D777"/>
    <hyperlink r:id="rId747" ref="B781"/>
    <hyperlink r:id="rId748" ref="D781"/>
    <hyperlink r:id="rId749" ref="B785"/>
    <hyperlink r:id="rId750" ref="D785"/>
    <hyperlink r:id="rId751" ref="B789"/>
    <hyperlink r:id="rId752" ref="D789"/>
    <hyperlink r:id="rId753" ref="B793"/>
    <hyperlink r:id="rId754" ref="D793"/>
    <hyperlink r:id="rId755" ref="B797"/>
    <hyperlink r:id="rId756" ref="D797"/>
    <hyperlink r:id="rId757" ref="B801"/>
    <hyperlink r:id="rId758" ref="D801"/>
    <hyperlink r:id="rId759" ref="B805"/>
    <hyperlink r:id="rId760" ref="D805"/>
    <hyperlink r:id="rId761" ref="B809"/>
    <hyperlink r:id="rId762" ref="D809"/>
    <hyperlink r:id="rId763" ref="B813"/>
    <hyperlink r:id="rId764" ref="D813"/>
    <hyperlink r:id="rId765" ref="B817"/>
    <hyperlink r:id="rId766" ref="D817"/>
    <hyperlink r:id="rId767" ref="B821"/>
    <hyperlink r:id="rId768" ref="D821"/>
    <hyperlink r:id="rId769" ref="D825"/>
    <hyperlink r:id="rId770" ref="D829"/>
    <hyperlink r:id="rId771" ref="D833"/>
    <hyperlink r:id="rId772" ref="D837"/>
  </hyperlinks>
  <drawing r:id="rId77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5"/>
  </cols>
  <sheetData>
    <row r="2">
      <c r="A2" s="267" t="s">
        <v>56</v>
      </c>
    </row>
    <row r="3">
      <c r="A3" s="269" t="s">
        <v>6570</v>
      </c>
    </row>
    <row r="4">
      <c r="A4" s="269" t="s">
        <v>6571</v>
      </c>
    </row>
    <row r="5">
      <c r="A5" s="269" t="s">
        <v>6572</v>
      </c>
    </row>
    <row r="6">
      <c r="A6" s="269" t="s">
        <v>6573</v>
      </c>
    </row>
    <row r="7">
      <c r="A7" s="269" t="s">
        <v>6574</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13"/>
  </cols>
  <sheetData>
    <row r="1">
      <c r="A1" s="59" t="str">
        <f>IFERROR(__xludf.DUMMYFUNCTION("SORT(UNIQUE(FILTER(DATABASE!E2:E200, DATABASE!E2:E200 &lt;&gt; """")))"),"4David's Book Trading")</f>
        <v>4David's Book Trading</v>
      </c>
    </row>
    <row r="2">
      <c r="A2" s="59" t="str">
        <f>IFERROR(__xludf.DUMMYFUNCTION("""COMPUTED_VALUE"""),"888 Tile Phil Corp")</f>
        <v>888 Tile Phil Corp</v>
      </c>
    </row>
    <row r="3">
      <c r="A3" s="59" t="str">
        <f>IFERROR(__xludf.DUMMYFUNCTION("""COMPUTED_VALUE"""),"Abacus Book &amp; Card Corp.")</f>
        <v>Abacus Book &amp; Card Corp.</v>
      </c>
    </row>
    <row r="4">
      <c r="A4" s="59" t="str">
        <f>IFERROR(__xludf.DUMMYFUNCTION("""COMPUTED_VALUE"""),"Abenson Ventures, Inc.")</f>
        <v>Abenson Ventures, Inc.</v>
      </c>
    </row>
    <row r="5">
      <c r="A5" s="59" t="str">
        <f>IFERROR(__xludf.DUMMYFUNCTION("""COMPUTED_VALUE"""),"Abiva Publishing House, Inc.")</f>
        <v>Abiva Publishing House, Inc.</v>
      </c>
    </row>
    <row r="6">
      <c r="A6" s="59" t="str">
        <f>IFERROR(__xludf.DUMMYFUNCTION("""COMPUTED_VALUE"""),"Ace Hardware")</f>
        <v>Ace Hardware</v>
      </c>
    </row>
    <row r="7">
      <c r="A7" s="59" t="str">
        <f>IFERROR(__xludf.DUMMYFUNCTION("""COMPUTED_VALUE"""),"ADBM Lightning Equipment Trading")</f>
        <v>ADBM Lightning Equipment Trading</v>
      </c>
    </row>
    <row r="8">
      <c r="A8" s="59" t="str">
        <f>IFERROR(__xludf.DUMMYFUNCTION("""COMPUTED_VALUE"""),"Ahrcel's Gift Shop")</f>
        <v>Ahrcel's Gift Shop</v>
      </c>
    </row>
    <row r="9">
      <c r="A9" s="59" t="str">
        <f>IFERROR(__xludf.DUMMYFUNCTION("""COMPUTED_VALUE"""),"Almagated Specialties Corp.")</f>
        <v>Almagated Specialties Corp.</v>
      </c>
    </row>
    <row r="10">
      <c r="A10" s="59" t="str">
        <f>IFERROR(__xludf.DUMMYFUNCTION("""COMPUTED_VALUE"""),"Alpha Steel Office and Home Furnishing Company")</f>
        <v>Alpha Steel Office and Home Furnishing Company</v>
      </c>
    </row>
    <row r="11">
      <c r="A11" s="59" t="str">
        <f>IFERROR(__xludf.DUMMYFUNCTION("""COMPUTED_VALUE"""),"Alpha-Cored Technology Systems, Inc.")</f>
        <v>Alpha-Cored Technology Systems, Inc.</v>
      </c>
    </row>
    <row r="12">
      <c r="A12" s="59" t="str">
        <f>IFERROR(__xludf.DUMMYFUNCTION("""COMPUTED_VALUE"""),"Amalgamated Specialties Corporation")</f>
        <v>Amalgamated Specialties Corporation</v>
      </c>
    </row>
    <row r="13">
      <c r="A13" s="59" t="str">
        <f>IFERROR(__xludf.DUMMYFUNCTION("""COMPUTED_VALUE"""),"Amazon")</f>
        <v>Amazon</v>
      </c>
    </row>
    <row r="14">
      <c r="A14" s="59" t="str">
        <f>IFERROR(__xludf.DUMMYFUNCTION("""COMPUTED_VALUE"""),"Amson Pharmaceuticals")</f>
        <v>Amson Pharmaceuticals</v>
      </c>
    </row>
    <row r="15">
      <c r="A15" s="59" t="str">
        <f>IFERROR(__xludf.DUMMYFUNCTION("""COMPUTED_VALUE"""),"ARCHITRAVE TRADING")</f>
        <v>ARCHITRAVE TRADING</v>
      </c>
    </row>
    <row r="16">
      <c r="A16" s="59" t="str">
        <f>IFERROR(__xludf.DUMMYFUNCTION("""COMPUTED_VALUE"""),"Arkin Hardware")</f>
        <v>Arkin Hardware</v>
      </c>
    </row>
    <row r="17">
      <c r="A17" s="59" t="str">
        <f>IFERROR(__xludf.DUMMYFUNCTION("""COMPUTED_VALUE"""),"Arkwood Plus Fine Furniture")</f>
        <v>Arkwood Plus Fine Furniture</v>
      </c>
    </row>
    <row r="18">
      <c r="A18" s="59" t="str">
        <f>IFERROR(__xludf.DUMMYFUNCTION("""COMPUTED_VALUE"""),"Asahl Design Centre Inc.")</f>
        <v>Asahl Design Centre Inc.</v>
      </c>
    </row>
    <row r="19">
      <c r="A19" s="59" t="str">
        <f>IFERROR(__xludf.DUMMYFUNCTION("""COMPUTED_VALUE"""),"ASTC Electronics Services And Supply")</f>
        <v>ASTC Electronics Services And Supply</v>
      </c>
    </row>
    <row r="20">
      <c r="A20" s="59" t="str">
        <f>IFERROR(__xludf.DUMMYFUNCTION("""COMPUTED_VALUE"""),"Atlas Superflags")</f>
        <v>Atlas Superflags</v>
      </c>
    </row>
    <row r="21">
      <c r="A21" s="59" t="str">
        <f>IFERROR(__xludf.DUMMYFUNCTION("""COMPUTED_VALUE"""),"Awardextremes, Inc.")</f>
        <v>Awardextremes, Inc.</v>
      </c>
    </row>
    <row r="22">
      <c r="A22" s="59" t="str">
        <f>IFERROR(__xludf.DUMMYFUNCTION("""COMPUTED_VALUE"""),"Barcaman Couture Corporation")</f>
        <v>Barcaman Couture Corporation</v>
      </c>
    </row>
    <row r="23">
      <c r="A23" s="59" t="str">
        <f>IFERROR(__xludf.DUMMYFUNCTION("""COMPUTED_VALUE"""),"Belview Co., Inc.")</f>
        <v>Belview Co., Inc.</v>
      </c>
    </row>
    <row r="24">
      <c r="A24" s="59" t="str">
        <f>IFERROR(__xludf.DUMMYFUNCTION("""COMPUTED_VALUE"""),"Beyond Global Multiales Corp.")</f>
        <v>Beyond Global Multiales Corp.</v>
      </c>
    </row>
    <row r="25">
      <c r="A25" s="59" t="str">
        <f>IFERROR(__xludf.DUMMYFUNCTION("""COMPUTED_VALUE"""),"BIG LEAGUE SPORTS WEAR SHOP. INC.")</f>
        <v>BIG LEAGUE SPORTS WEAR SHOP. INC.</v>
      </c>
    </row>
    <row r="26">
      <c r="A26" s="59" t="str">
        <f>IFERROR(__xludf.DUMMYFUNCTION("""COMPUTED_VALUE"""),"Bobman Trading")</f>
        <v>Bobman Trading</v>
      </c>
    </row>
    <row r="27">
      <c r="A27" s="59" t="str">
        <f>IFERROR(__xludf.DUMMYFUNCTION("""COMPUTED_VALUE"""),"Bookquick Marketing")</f>
        <v>Bookquick Marketing</v>
      </c>
    </row>
    <row r="28">
      <c r="A28" s="59" t="str">
        <f>IFERROR(__xludf.DUMMYFUNCTION("""COMPUTED_VALUE"""),"Booktrens Enterprises")</f>
        <v>Booktrens Enterprises</v>
      </c>
    </row>
    <row r="29">
      <c r="A29" s="59" t="str">
        <f>IFERROR(__xludf.DUMMYFUNCTION("""COMPUTED_VALUE"""),"Brown Movement for Cultural Advancement, Inc.")</f>
        <v>Brown Movement for Cultural Advancement, Inc.</v>
      </c>
    </row>
    <row r="30">
      <c r="A30" s="59" t="str">
        <f>IFERROR(__xludf.DUMMYFUNCTION("""COMPUTED_VALUE"""),"C &amp; E Publishing Inc.")</f>
        <v>C &amp; E Publishing Inc.</v>
      </c>
    </row>
    <row r="31">
      <c r="A31" s="59" t="str">
        <f>IFERROR(__xludf.DUMMYFUNCTION("""COMPUTED_VALUE"""),"CD Books International, Inc.")</f>
        <v>CD Books International, Inc.</v>
      </c>
    </row>
    <row r="32">
      <c r="A32" s="59" t="str">
        <f>IFERROR(__xludf.DUMMYFUNCTION("""COMPUTED_VALUE"""),"Chemtrust Global Market, Inc.")</f>
        <v>Chemtrust Global Market, Inc.</v>
      </c>
    </row>
    <row r="33">
      <c r="A33" s="59" t="str">
        <f>IFERROR(__xludf.DUMMYFUNCTION("""COMPUTED_VALUE"""),"Chronos Athletics Shop")</f>
        <v>Chronos Athletics Shop</v>
      </c>
    </row>
    <row r="34">
      <c r="A34" s="59" t="str">
        <f>IFERROR(__xludf.DUMMYFUNCTION("""COMPUTED_VALUE"""),"Circuitrocks Electronic Store")</f>
        <v>Circuitrocks Electronic Store</v>
      </c>
    </row>
    <row r="35">
      <c r="A35" s="59" t="str">
        <f>IFERROR(__xludf.DUMMYFUNCTION("""COMPUTED_VALUE"""),"Colent Marketing Philippines, Inc.")</f>
        <v>Colent Marketing Philippines, Inc.</v>
      </c>
    </row>
    <row r="36">
      <c r="A36" s="59" t="str">
        <f>IFERROR(__xludf.DUMMYFUNCTION("""COMPUTED_VALUE"""),"Columbia Technologies, Inc.")</f>
        <v>Columbia Technologies, Inc.</v>
      </c>
    </row>
    <row r="37">
      <c r="A37" s="59" t="str">
        <f>IFERROR(__xludf.DUMMYFUNCTION("""COMPUTED_VALUE"""),"Commerce Asia, Inc.")</f>
        <v>Commerce Asia, Inc.</v>
      </c>
    </row>
    <row r="38">
      <c r="A38" s="59" t="str">
        <f>IFERROR(__xludf.DUMMYFUNCTION("""COMPUTED_VALUE"""),"COMPUTECHNOLOGIES CORP.")</f>
        <v>COMPUTECHNOLOGIES CORP.</v>
      </c>
    </row>
    <row r="39">
      <c r="A39" s="59" t="str">
        <f>IFERROR(__xludf.DUMMYFUNCTION("""COMPUTED_VALUE"""),"Contrade Integrated Depot")</f>
        <v>Contrade Integrated Depot</v>
      </c>
    </row>
    <row r="40">
      <c r="A40" s="59" t="str">
        <f>IFERROR(__xludf.DUMMYFUNCTION("""COMPUTED_VALUE"""),"Creative Juice Digital Printing")</f>
        <v>Creative Juice Digital Printing</v>
      </c>
    </row>
    <row r="41">
      <c r="A41" s="59" t="str">
        <f>IFERROR(__xludf.DUMMYFUNCTION("""COMPUTED_VALUE"""),"Crosspoint Paper, Inc.")</f>
        <v>Crosspoint Paper, Inc.</v>
      </c>
    </row>
    <row r="42">
      <c r="A42" s="59" t="str">
        <f>IFERROR(__xludf.DUMMYFUNCTION("""COMPUTED_VALUE"""),"Crown Supply Corporation")</f>
        <v>Crown Supply Corporation</v>
      </c>
    </row>
    <row r="43">
      <c r="A43" s="59" t="str">
        <f>IFERROR(__xludf.DUMMYFUNCTION("""COMPUTED_VALUE"""),"Data Computer Forms, Inc.")</f>
        <v>Data Computer Forms, Inc.</v>
      </c>
    </row>
    <row r="44">
      <c r="A44" s="59" t="str">
        <f>IFERROR(__xludf.DUMMYFUNCTION("""COMPUTED_VALUE"""),"DKL Laboratory Supplies")</f>
        <v>DKL Laboratory Supplies</v>
      </c>
    </row>
    <row r="45">
      <c r="A45" s="59" t="str">
        <f>IFERROR(__xludf.DUMMYFUNCTION("""COMPUTED_VALUE"""),"DOOPLO ADVERTISING")</f>
        <v>DOOPLO ADVERTISING</v>
      </c>
    </row>
    <row r="46">
      <c r="A46" s="59" t="str">
        <f>IFERROR(__xludf.DUMMYFUNCTION("""COMPUTED_VALUE"""),"Dynamics Electrical Supply and Hardware")</f>
        <v>Dynamics Electrical Supply and Hardware</v>
      </c>
    </row>
    <row r="47">
      <c r="A47" s="59" t="str">
        <f>IFERROR(__xludf.DUMMYFUNCTION("""COMPUTED_VALUE"""),"EA Intertrade General Merchandising, Inc.")</f>
        <v>EA Intertrade General Merchandising, Inc.</v>
      </c>
    </row>
    <row r="48">
      <c r="A48" s="59" t="str">
        <f>IFERROR(__xludf.DUMMYFUNCTION("""COMPUTED_VALUE"""),"Eco Hygiene Institutional Sales Corp.")</f>
        <v>Eco Hygiene Institutional Sales Corp.</v>
      </c>
    </row>
    <row r="49">
      <c r="A49" s="59" t="str">
        <f>IFERROR(__xludf.DUMMYFUNCTION("""COMPUTED_VALUE"""),"ECOSHIFT CORPORATION")</f>
        <v>ECOSHIFT CORPORATION</v>
      </c>
    </row>
    <row r="50">
      <c r="A50" s="59" t="str">
        <f>IFERROR(__xludf.DUMMYFUNCTION("""COMPUTED_VALUE"""),"EESM Bookstore")</f>
        <v>EESM Bookstore</v>
      </c>
    </row>
    <row r="51">
      <c r="A51" s="59" t="str">
        <f>IFERROR(__xludf.DUMMYFUNCTION("""COMPUTED_VALUE"""),"EIG Metal Engravers")</f>
        <v>EIG Metal Engravers</v>
      </c>
    </row>
    <row r="52">
      <c r="A52" s="59" t="str">
        <f>IFERROR(__xludf.DUMMYFUNCTION("""COMPUTED_VALUE"""),"Elle Tech and Trend Office Furniture and Interiors")</f>
        <v>Elle Tech and Trend Office Furniture and Interiors</v>
      </c>
    </row>
    <row r="53">
      <c r="A53" s="59" t="str">
        <f>IFERROR(__xludf.DUMMYFUNCTION("""COMPUTED_VALUE"""),"Eprayim Granite and Marble Inc.")</f>
        <v>Eprayim Granite and Marble Inc.</v>
      </c>
    </row>
    <row r="54">
      <c r="A54" s="59" t="str">
        <f>IFERROR(__xludf.DUMMYFUNCTION("""COMPUTED_VALUE"""),"Ergo Contracts Phil., Inc.")</f>
        <v>Ergo Contracts Phil., Inc.</v>
      </c>
    </row>
    <row r="55">
      <c r="A55" s="59" t="str">
        <f>IFERROR(__xludf.DUMMYFUNCTION("""COMPUTED_VALUE"""),"Express Cards Enterprises Co.")</f>
        <v>Express Cards Enterprises Co.</v>
      </c>
    </row>
    <row r="56">
      <c r="A56" s="59" t="str">
        <f>IFERROR(__xludf.DUMMYFUNCTION("""COMPUTED_VALUE"""),"Falcon Waterfree Philippines, Inc.")</f>
        <v>Falcon Waterfree Philippines, Inc.</v>
      </c>
    </row>
    <row r="57">
      <c r="A57" s="59" t="str">
        <f>IFERROR(__xludf.DUMMYFUNCTION("""COMPUTED_VALUE"""),"Farm Printing Press")</f>
        <v>Farm Printing Press</v>
      </c>
    </row>
    <row r="58">
      <c r="A58" s="59" t="str">
        <f>IFERROR(__xludf.DUMMYFUNCTION("""COMPUTED_VALUE"""),"Forefront Book Co., Inc.")</f>
        <v>Forefront Book Co., Inc.</v>
      </c>
    </row>
    <row r="59">
      <c r="A59" s="59" t="str">
        <f>IFERROR(__xludf.DUMMYFUNCTION("""COMPUTED_VALUE"""),"Gift Republic, Inc.")</f>
        <v>Gift Republic, Inc.</v>
      </c>
    </row>
    <row r="60">
      <c r="A60" s="59" t="str">
        <f>IFERROR(__xludf.DUMMYFUNCTION("""COMPUTED_VALUE"""),"Gleam Multimedia  Post-Production SER")</f>
        <v>Gleam Multimedia  Post-Production SER</v>
      </c>
    </row>
    <row r="61">
      <c r="A61" s="59" t="str">
        <f>IFERROR(__xludf.DUMMYFUNCTION("""COMPUTED_VALUE"""),"Golden Advance Marketing")</f>
        <v>Golden Advance Marketing</v>
      </c>
    </row>
    <row r="62">
      <c r="A62" s="59" t="str">
        <f>IFERROR(__xludf.DUMMYFUNCTION("""COMPUTED_VALUE"""),"Goldlink Indsutrial Sales")</f>
        <v>Goldlink Indsutrial Sales</v>
      </c>
    </row>
    <row r="63">
      <c r="A63" s="59" t="str">
        <f>IFERROR(__xludf.DUMMYFUNCTION("""COMPUTED_VALUE"""),"Hospeco Philippines, Inc.")</f>
        <v>Hospeco Philippines, Inc.</v>
      </c>
    </row>
    <row r="64">
      <c r="A64" s="59" t="str">
        <f>IFERROR(__xludf.DUMMYFUNCTION("""COMPUTED_VALUE"""),"Hytec Power, Inc.")</f>
        <v>Hytec Power, Inc.</v>
      </c>
    </row>
    <row r="65">
      <c r="A65" s="59" t="str">
        <f>IFERROR(__xludf.DUMMYFUNCTION("""COMPUTED_VALUE"""),"I-Stop Graphics and Business Center")</f>
        <v>I-Stop Graphics and Business Center</v>
      </c>
    </row>
    <row r="66">
      <c r="A66" s="59" t="str">
        <f>IFERROR(__xludf.DUMMYFUNCTION("""COMPUTED_VALUE"""),"iEquity Technologies Corp.")</f>
        <v>iEquity Technologies Corp.</v>
      </c>
    </row>
    <row r="67">
      <c r="A67" s="59" t="str">
        <f>IFERROR(__xludf.DUMMYFUNCTION("""COMPUTED_VALUE"""),"Inkonvert Enterprises")</f>
        <v>Inkonvert Enterprises</v>
      </c>
    </row>
    <row r="68">
      <c r="A68" s="59" t="str">
        <f>IFERROR(__xludf.DUMMYFUNCTION("""COMPUTED_VALUE"""),"JAC Aluminum and Glass Supply and Services")</f>
        <v>JAC Aluminum and Glass Supply and Services</v>
      </c>
    </row>
    <row r="69">
      <c r="A69" s="59" t="str">
        <f>IFERROR(__xludf.DUMMYFUNCTION("""COMPUTED_VALUE"""),"Jarm Printing Press")</f>
        <v>Jarm Printing Press</v>
      </c>
    </row>
    <row r="70">
      <c r="A70" s="59" t="str">
        <f>IFERROR(__xludf.DUMMYFUNCTION("""COMPUTED_VALUE"""),"Jassen Harris  Industries Corp.")</f>
        <v>Jassen Harris  Industries Corp.</v>
      </c>
    </row>
    <row r="71">
      <c r="A71" s="59" t="str">
        <f>IFERROR(__xludf.DUMMYFUNCTION("""COMPUTED_VALUE"""),"Javammp Printing Services")</f>
        <v>Javammp Printing Services</v>
      </c>
    </row>
    <row r="72">
      <c r="A72" s="59" t="str">
        <f>IFERROR(__xludf.DUMMYFUNCTION("""COMPUTED_VALUE"""),"JC Campit And Michael Berza")</f>
        <v>JC Campit And Michael Berza</v>
      </c>
    </row>
    <row r="73">
      <c r="A73" s="59" t="str">
        <f>IFERROR(__xludf.DUMMYFUNCTION("""COMPUTED_VALUE"""),"JLY Garment Trading")</f>
        <v>JLY Garment Trading</v>
      </c>
    </row>
    <row r="74">
      <c r="A74" s="59" t="str">
        <f>IFERROR(__xludf.DUMMYFUNCTION("""COMPUTED_VALUE"""),"JMD International Corp")</f>
        <v>JMD International Corp</v>
      </c>
    </row>
    <row r="75">
      <c r="A75" s="59" t="str">
        <f>IFERROR(__xludf.DUMMYFUNCTION("""COMPUTED_VALUE"""),"JW Summit Group Inc.")</f>
        <v>JW Summit Group Inc.</v>
      </c>
    </row>
    <row r="76">
      <c r="A76" s="59" t="str">
        <f>IFERROR(__xludf.DUMMYFUNCTION("""COMPUTED_VALUE"""),"Leonard Prints Inc.")</f>
        <v>Leonard Prints Inc.</v>
      </c>
    </row>
    <row r="77">
      <c r="A77" s="59" t="str">
        <f>IFERROR(__xludf.DUMMYFUNCTION("""COMPUTED_VALUE"""),"Litera Trading Inc.")</f>
        <v>Litera Trading Inc.</v>
      </c>
    </row>
    <row r="78">
      <c r="A78" s="59" t="str">
        <f>IFERROR(__xludf.DUMMYFUNCTION("""COMPUTED_VALUE"""),"Lordfel Marketing")</f>
        <v>Lordfel Marketing</v>
      </c>
    </row>
    <row r="79">
      <c r="A79" s="59" t="str">
        <f>IFERROR(__xludf.DUMMYFUNCTION("""COMPUTED_VALUE"""),"Luminaire Printing And Publishing Corp.")</f>
        <v>Luminaire Printing And Publishing Corp.</v>
      </c>
    </row>
    <row r="80">
      <c r="A80" s="59" t="str">
        <f>IFERROR(__xludf.DUMMYFUNCTION("""COMPUTED_VALUE"""),"Ma Espiritu Tiles Trading ")</f>
        <v>Ma Espiritu Tiles Trading </v>
      </c>
    </row>
    <row r="81">
      <c r="A81" s="59" t="str">
        <f>IFERROR(__xludf.DUMMYFUNCTION("""COMPUTED_VALUE"""),"Majesty Builders &amp; Electrical Supply")</f>
        <v>Majesty Builders &amp; Electrical Supply</v>
      </c>
    </row>
    <row r="82">
      <c r="A82" s="59" t="str">
        <f>IFERROR(__xludf.DUMMYFUNCTION("""COMPUTED_VALUE"""),"Manila Rubber Corporation")</f>
        <v>Manila Rubber Corporation</v>
      </c>
    </row>
    <row r="83">
      <c r="A83" s="59" t="str">
        <f>IFERROR(__xludf.DUMMYFUNCTION("""COMPUTED_VALUE"""),"Manos Allied Corporation")</f>
        <v>Manos Allied Corporation</v>
      </c>
    </row>
    <row r="84">
      <c r="A84" s="59" t="str">
        <f>IFERROR(__xludf.DUMMYFUNCTION("""COMPUTED_VALUE"""),"Marguerita Maria Nina I. Kanapi")</f>
        <v>Marguerita Maria Nina I. Kanapi</v>
      </c>
    </row>
    <row r="85">
      <c r="A85" s="59" t="str">
        <f>IFERROR(__xludf.DUMMYFUNCTION("""COMPUTED_VALUE"""),"Marrbont Corporation")</f>
        <v>Marrbont Corporation</v>
      </c>
    </row>
    <row r="86">
      <c r="A86" s="59" t="str">
        <f>IFERROR(__xludf.DUMMYFUNCTION("""COMPUTED_VALUE"""),"Maximum Solutions Corporation")</f>
        <v>Maximum Solutions Corporation</v>
      </c>
    </row>
    <row r="87">
      <c r="A87" s="59" t="str">
        <f>IFERROR(__xludf.DUMMYFUNCTION("""COMPUTED_VALUE"""),"Microsmith Technology System,Inc.")</f>
        <v>Microsmith Technology System,Inc.</v>
      </c>
    </row>
    <row r="88">
      <c r="A88" s="59" t="str">
        <f>IFERROR(__xludf.DUMMYFUNCTION("""COMPUTED_VALUE"""),"MMP Friendly Gift Ideas Store")</f>
        <v>MMP Friendly Gift Ideas Store</v>
      </c>
    </row>
    <row r="89">
      <c r="A89" s="59" t="str">
        <f>IFERROR(__xludf.DUMMYFUNCTION("""COMPUTED_VALUE"""),"Montesan Enterprises")</f>
        <v>Montesan Enterprises</v>
      </c>
    </row>
    <row r="90">
      <c r="A90" s="59" t="str">
        <f>IFERROR(__xludf.DUMMYFUNCTION("""COMPUTED_VALUE"""),"Mostaco Marketing")</f>
        <v>Mostaco Marketing</v>
      </c>
    </row>
    <row r="91">
      <c r="A91" s="59" t="str">
        <f>IFERROR(__xludf.DUMMYFUNCTION("""COMPUTED_VALUE"""),"Mostaco Printing")</f>
        <v>Mostaco Printing</v>
      </c>
    </row>
    <row r="92">
      <c r="A92" s="59" t="str">
        <f>IFERROR(__xludf.DUMMYFUNCTION("""COMPUTED_VALUE"""),"Multiflex RNC Philippines inc.")</f>
        <v>Multiflex RNC Philippines inc.</v>
      </c>
    </row>
    <row r="93">
      <c r="A93" s="59" t="str">
        <f>IFERROR(__xludf.DUMMYFUNCTION("""COMPUTED_VALUE"""),"Nathanizastef Corporate Giveaways Trading")</f>
        <v>Nathanizastef Corporate Giveaways Trading</v>
      </c>
    </row>
    <row r="94">
      <c r="A94" s="59" t="str">
        <f>IFERROR(__xludf.DUMMYFUNCTION("""COMPUTED_VALUE"""),"National Bookstore")</f>
        <v>National Bookstore</v>
      </c>
    </row>
    <row r="95">
      <c r="A95" s="59" t="str">
        <f>IFERROR(__xludf.DUMMYFUNCTION("""COMPUTED_VALUE"""),"National Bookstore, Inc.")</f>
        <v>National Bookstore, Inc.</v>
      </c>
    </row>
    <row r="96">
      <c r="A96" s="59" t="str">
        <f>IFERROR(__xludf.DUMMYFUNCTION("""COMPUTED_VALUE"""),"Net Ad IT Solutions")</f>
        <v>Net Ad IT Solutions</v>
      </c>
    </row>
    <row r="97">
      <c r="A97" s="59" t="str">
        <f>IFERROR(__xludf.DUMMYFUNCTION("""COMPUTED_VALUE"""),"Northwind Communications and Electronics")</f>
        <v>Northwind Communications and Electronics</v>
      </c>
    </row>
    <row r="98">
      <c r="A98" s="59" t="str">
        <f>IFERROR(__xludf.DUMMYFUNCTION("""COMPUTED_VALUE"""),"NTDC 888 Global Enterprise")</f>
        <v>NTDC 888 Global Enterprise</v>
      </c>
    </row>
    <row r="99">
      <c r="A99" s="59" t="str">
        <f>IFERROR(__xludf.DUMMYFUNCTION("""COMPUTED_VALUE"""),"O&amp;J Global Trading")</f>
        <v>O&amp;J Global Trading</v>
      </c>
    </row>
    <row r="100">
      <c r="A100" s="59" t="str">
        <f>IFERROR(__xludf.DUMMYFUNCTION("""COMPUTED_VALUE"""),"Office Warehouse inc.")</f>
        <v>Office Warehouse inc.</v>
      </c>
    </row>
    <row r="101">
      <c r="A101" s="59" t="str">
        <f>IFERROR(__xludf.DUMMYFUNCTION("""COMPUTED_VALUE"""),"Officelandia Enterprises, Inc.")</f>
        <v>Officelandia Enterprises, Inc.</v>
      </c>
    </row>
    <row r="102">
      <c r="A102" s="59" t="str">
        <f>IFERROR(__xludf.DUMMYFUNCTION("""COMPUTED_VALUE"""),"One Supply")</f>
        <v>One Supply</v>
      </c>
    </row>
    <row r="103">
      <c r="A103" s="59" t="str">
        <f>IFERROR(__xludf.DUMMYFUNCTION("""COMPUTED_VALUE"""),"Oray Copier Solutions")</f>
        <v>Oray Copier Solutions</v>
      </c>
    </row>
    <row r="104">
      <c r="A104" s="59" t="str">
        <f>IFERROR(__xludf.DUMMYFUNCTION("""COMPUTED_VALUE"""),"Oxychem")</f>
        <v>Oxychem</v>
      </c>
    </row>
    <row r="105">
      <c r="A105" s="59" t="str">
        <f>IFERROR(__xludf.DUMMYFUNCTION("""COMPUTED_VALUE"""),"Palces Manufacturing, Inc.")</f>
        <v>Palces Manufacturing, Inc.</v>
      </c>
    </row>
    <row r="106">
      <c r="A106" s="59" t="str">
        <f>IFERROR(__xludf.DUMMYFUNCTION("""COMPUTED_VALUE"""),"Paper Tree Marketing Group, Inc.")</f>
        <v>Paper Tree Marketing Group, Inc.</v>
      </c>
    </row>
    <row r="107">
      <c r="A107" s="59" t="str">
        <f>IFERROR(__xludf.DUMMYFUNCTION("""COMPUTED_VALUE"""),"Patagonian Enterprises ")</f>
        <v>Patagonian Enterprises </v>
      </c>
    </row>
    <row r="108">
      <c r="A108" s="59" t="str">
        <f>IFERROR(__xludf.DUMMYFUNCTION("""COMPUTED_VALUE"""),"Philippine Blue Cross Biotech Corporation")</f>
        <v>Philippine Blue Cross Biotech Corporation</v>
      </c>
    </row>
    <row r="109">
      <c r="A109" s="59" t="str">
        <f>IFERROR(__xludf.DUMMYFUNCTION("""COMPUTED_VALUE"""),"Philippine Chinese Education Research Center Inc.")</f>
        <v>Philippine Chinese Education Research Center Inc.</v>
      </c>
    </row>
    <row r="110">
      <c r="A110" s="59" t="str">
        <f>IFERROR(__xludf.DUMMYFUNCTION("""COMPUTED_VALUE"""),"Philippine Educational Theater Association, Inc.")</f>
        <v>Philippine Educational Theater Association, Inc.</v>
      </c>
    </row>
    <row r="111">
      <c r="A111" s="59" t="str">
        <f>IFERROR(__xludf.DUMMYFUNCTION("""COMPUTED_VALUE"""),"PNB Credit Card")</f>
        <v>PNB Credit Card</v>
      </c>
    </row>
    <row r="112">
      <c r="A112" s="59" t="str">
        <f>IFERROR(__xludf.DUMMYFUNCTION("""COMPUTED_VALUE"""),"Polaris Integrated Industries, Inc.")</f>
        <v>Polaris Integrated Industries, Inc.</v>
      </c>
    </row>
    <row r="113">
      <c r="A113" s="59" t="str">
        <f>IFERROR(__xludf.DUMMYFUNCTION("""COMPUTED_VALUE"""),"Polaris Prime Air Tech Corporation")</f>
        <v>Polaris Prime Air Tech Corporation</v>
      </c>
    </row>
    <row r="114">
      <c r="A114" s="59" t="str">
        <f>IFERROR(__xludf.DUMMYFUNCTION("""COMPUTED_VALUE"""),"Primeline Products Philippines, Inc.")</f>
        <v>Primeline Products Philippines, Inc.</v>
      </c>
    </row>
    <row r="115">
      <c r="A115" s="59" t="str">
        <f>IFERROR(__xludf.DUMMYFUNCTION("""COMPUTED_VALUE"""),"Print Depot Inc.")</f>
        <v>Print Depot Inc.</v>
      </c>
    </row>
    <row r="116">
      <c r="A116" s="59" t="str">
        <f>IFERROR(__xludf.DUMMYFUNCTION("""COMPUTED_VALUE"""),"Printing Shop PrintPilipinas.com")</f>
        <v>Printing Shop PrintPilipinas.com</v>
      </c>
    </row>
    <row r="117">
      <c r="A117" s="59" t="str">
        <f>IFERROR(__xludf.DUMMYFUNCTION("""COMPUTED_VALUE"""),"Progressive Medical Corporation")</f>
        <v>Progressive Medical Corporation</v>
      </c>
    </row>
    <row r="118">
      <c r="A118" s="59" t="str">
        <f>IFERROR(__xludf.DUMMYFUNCTION("""COMPUTED_VALUE"""),"Raynard's Enterprises")</f>
        <v>Raynard's Enterprises</v>
      </c>
    </row>
    <row r="119">
      <c r="A119" s="59" t="str">
        <f>IFERROR(__xludf.DUMMYFUNCTION("""COMPUTED_VALUE"""),"REX Bookstore, Inc.")</f>
        <v>REX Bookstore, Inc.</v>
      </c>
    </row>
    <row r="120">
      <c r="A120" s="59" t="str">
        <f>IFERROR(__xludf.DUMMYFUNCTION("""COMPUTED_VALUE"""),"Rivchem Enterprises")</f>
        <v>Rivchem Enterprises</v>
      </c>
    </row>
    <row r="121">
      <c r="A121" s="59" t="str">
        <f>IFERROR(__xludf.DUMMYFUNCTION("""COMPUTED_VALUE"""),"Roavsan General Merchandise")</f>
        <v>Roavsan General Merchandise</v>
      </c>
    </row>
    <row r="122">
      <c r="A122" s="59" t="str">
        <f>IFERROR(__xludf.DUMMYFUNCTION("""COMPUTED_VALUE"""),"Ronald Personalized Fashion Specialist")</f>
        <v>Ronald Personalized Fashion Specialist</v>
      </c>
    </row>
    <row r="123">
      <c r="A123" s="59" t="str">
        <f>IFERROR(__xludf.DUMMYFUNCTION("""COMPUTED_VALUE"""),"RSAZ Corporation")</f>
        <v>RSAZ Corporation</v>
      </c>
    </row>
    <row r="124">
      <c r="A124" s="59" t="str">
        <f>IFERROR(__xludf.DUMMYFUNCTION("""COMPUTED_VALUE"""),"Sert Technology Inc.")</f>
        <v>Sert Technology Inc.</v>
      </c>
    </row>
    <row r="125">
      <c r="A125" s="59" t="str">
        <f>IFERROR(__xludf.DUMMYFUNCTION("""COMPUTED_VALUE"""),"Shelves and Cups Book Store")</f>
        <v>Shelves and Cups Book Store</v>
      </c>
    </row>
    <row r="126">
      <c r="A126" s="59" t="str">
        <f>IFERROR(__xludf.DUMMYFUNCTION("""COMPUTED_VALUE"""),"Soap King, Inc.")</f>
        <v>Soap King, Inc.</v>
      </c>
    </row>
    <row r="127">
      <c r="A127" s="59" t="str">
        <f>IFERROR(__xludf.DUMMYFUNCTION("""COMPUTED_VALUE"""),"Sparklight Marketing Incorporated")</f>
        <v>Sparklight Marketing Incorporated</v>
      </c>
    </row>
    <row r="128">
      <c r="A128" s="59" t="str">
        <f>IFERROR(__xludf.DUMMYFUNCTION("""COMPUTED_VALUE"""),"Sprintec Printing Press, Inc.")</f>
        <v>Sprintec Printing Press, Inc.</v>
      </c>
    </row>
    <row r="129">
      <c r="A129" s="59" t="str">
        <f>IFERROR(__xludf.DUMMYFUNCTION("""COMPUTED_VALUE"""),"Supertank Internatioanl Company")</f>
        <v>Supertank Internatioanl Company</v>
      </c>
    </row>
    <row r="130">
      <c r="A130" s="59" t="str">
        <f>IFERROR(__xludf.DUMMYFUNCTION("""COMPUTED_VALUE"""),"Tadeos Scientific Industries OPC")</f>
        <v>Tadeos Scientific Industries OPC</v>
      </c>
    </row>
    <row r="131">
      <c r="A131" s="59" t="str">
        <f>IFERROR(__xludf.DUMMYFUNCTION("""COMPUTED_VALUE"""),"Times Trading Co., Inc.")</f>
        <v>Times Trading Co., Inc.</v>
      </c>
    </row>
    <row r="132">
      <c r="A132" s="59" t="str">
        <f>IFERROR(__xludf.DUMMYFUNCTION("""COMPUTED_VALUE"""),"Trojan Computer Forms Mfg. Corp.")</f>
        <v>Trojan Computer Forms Mfg. Corp.</v>
      </c>
    </row>
    <row r="133">
      <c r="A133" s="59" t="str">
        <f>IFERROR(__xludf.DUMMYFUNCTION("""COMPUTED_VALUE"""),"Tropical Palms Fashion House, Inc.")</f>
        <v>Tropical Palms Fashion House, Inc.</v>
      </c>
    </row>
    <row r="134">
      <c r="A134" s="59" t="str">
        <f>IFERROR(__xludf.DUMMYFUNCTION("""COMPUTED_VALUE"""),"ULTRA PETRONNE INTERIOR SUPPLY CORPORATION")</f>
        <v>ULTRA PETRONNE INTERIOR SUPPLY CORPORATION</v>
      </c>
    </row>
    <row r="135">
      <c r="A135" s="59" t="str">
        <f>IFERROR(__xludf.DUMMYFUNCTION("""COMPUTED_VALUE"""),"V.M Industries Corp.")</f>
        <v>V.M Industries Corp.</v>
      </c>
    </row>
    <row r="136">
      <c r="A136" s="59" t="str">
        <f>IFERROR(__xludf.DUMMYFUNCTION("""COMPUTED_VALUE"""),"Velca Equipment And Engineered ")</f>
        <v>Velca Equipment And Engineered </v>
      </c>
    </row>
    <row r="137">
      <c r="A137" s="59" t="str">
        <f>IFERROR(__xludf.DUMMYFUNCTION("""COMPUTED_VALUE"""),"Waller International, Inc.")</f>
        <v>Waller International, Inc.</v>
      </c>
    </row>
    <row r="138">
      <c r="A138" s="59" t="str">
        <f>IFERROR(__xludf.DUMMYFUNCTION("""COMPUTED_VALUE"""),"Wilcon Depot Inc.")</f>
        <v>Wilcon Depot Inc.</v>
      </c>
    </row>
    <row r="139">
      <c r="A139" s="59" t="str">
        <f>IFERROR(__xludf.DUMMYFUNCTION("""COMPUTED_VALUE"""),"Wisechoice Cleaning Supplies and Trading Corp.")</f>
        <v>Wisechoice Cleaning Supplies and Trading Corp.</v>
      </c>
    </row>
    <row r="140">
      <c r="A140" s="59" t="str">
        <f>IFERROR(__xludf.DUMMYFUNCTION("""COMPUTED_VALUE"""),"World Magazine Exchange Marketing Corp.")</f>
        <v>World Magazine Exchange Marketing Corp.</v>
      </c>
    </row>
    <row r="141">
      <c r="A141" s="59" t="str">
        <f>IFERROR(__xludf.DUMMYFUNCTION("""COMPUTED_VALUE"""),"WS Pacific Publications Inc.")</f>
        <v>WS Pacific Publications Inc.</v>
      </c>
    </row>
    <row r="142">
      <c r="A142" s="59" t="str">
        <f>IFERROR(__xludf.DUMMYFUNCTION("""COMPUTED_VALUE"""),"YKP General Merchandise")</f>
        <v>YKP General Merchandise</v>
      </c>
    </row>
    <row r="143">
      <c r="A143" s="59" t="str">
        <f>IFERROR(__xludf.DUMMYFUNCTION("""COMPUTED_VALUE"""),"Zariah's Non-Specialized Wholesale Trading")</f>
        <v>Zariah's Non-Specialized Wholesale Trading</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8.13"/>
    <col customWidth="1" min="2" max="2" width="42.75"/>
    <col customWidth="1" min="3" max="3" width="16.88"/>
    <col customWidth="1" min="5" max="5" width="16.5"/>
    <col customWidth="1" min="6" max="6" width="16.75"/>
    <col hidden="1" min="8" max="8" width="12.63"/>
    <col customWidth="1" hidden="1" min="9" max="9" width="19.38"/>
    <col hidden="1" min="10" max="13" width="12.63"/>
  </cols>
  <sheetData>
    <row r="1" ht="33.75" customHeight="1">
      <c r="A1" s="30"/>
      <c r="B1" s="347" t="s">
        <v>6575</v>
      </c>
      <c r="C1" s="37" t="s">
        <v>19</v>
      </c>
      <c r="D1" s="40">
        <v>2024.0</v>
      </c>
      <c r="E1" s="348" t="s">
        <v>6576</v>
      </c>
      <c r="F1" s="349">
        <f>AVERAGE(F6:F100)</f>
        <v>4.757407407</v>
      </c>
      <c r="G1" s="40"/>
      <c r="H1" s="30"/>
      <c r="I1" s="40" t="s">
        <v>11</v>
      </c>
      <c r="J1" s="40" t="s">
        <v>12</v>
      </c>
      <c r="K1" s="40" t="s">
        <v>13</v>
      </c>
      <c r="L1" s="40" t="s">
        <v>14</v>
      </c>
      <c r="N1" s="30"/>
      <c r="O1" s="30"/>
      <c r="P1" s="30"/>
      <c r="Q1" s="30"/>
      <c r="R1" s="30"/>
      <c r="S1" s="30"/>
      <c r="T1" s="30"/>
      <c r="U1" s="30"/>
      <c r="V1" s="30"/>
      <c r="W1" s="30"/>
      <c r="X1" s="30"/>
      <c r="Y1" s="30"/>
      <c r="Z1" s="30"/>
      <c r="AA1" s="30"/>
      <c r="AB1" s="30"/>
      <c r="AC1" s="30"/>
    </row>
    <row r="2">
      <c r="A2" s="52"/>
      <c r="B2" s="350"/>
      <c r="C2" s="52"/>
      <c r="D2" s="52"/>
      <c r="E2" s="52"/>
      <c r="F2" s="351"/>
      <c r="G2" s="52"/>
      <c r="H2" s="52"/>
      <c r="I2" s="37" t="s">
        <v>1363</v>
      </c>
      <c r="J2" s="40" t="s">
        <v>19</v>
      </c>
      <c r="K2" s="40" t="s">
        <v>20</v>
      </c>
      <c r="L2" s="40">
        <v>2024.0</v>
      </c>
      <c r="N2" s="52"/>
      <c r="O2" s="52"/>
      <c r="P2" s="52"/>
      <c r="Q2" s="52"/>
      <c r="R2" s="52"/>
      <c r="S2" s="52"/>
      <c r="T2" s="52"/>
      <c r="U2" s="52"/>
      <c r="V2" s="52"/>
      <c r="W2" s="52"/>
      <c r="X2" s="52"/>
      <c r="Y2" s="52"/>
      <c r="Z2" s="52"/>
      <c r="AA2" s="52"/>
      <c r="AB2" s="52"/>
      <c r="AC2" s="52"/>
    </row>
    <row r="3">
      <c r="A3" s="52"/>
      <c r="B3" s="350"/>
      <c r="C3" s="52"/>
      <c r="D3" s="52"/>
      <c r="E3" s="52"/>
      <c r="F3" s="351"/>
      <c r="G3" s="52"/>
      <c r="H3" s="52"/>
      <c r="I3" s="52"/>
      <c r="J3" s="52"/>
      <c r="K3" s="52"/>
      <c r="L3" s="52"/>
      <c r="N3" s="52"/>
      <c r="O3" s="52"/>
      <c r="P3" s="52"/>
      <c r="Q3" s="52"/>
      <c r="R3" s="52"/>
      <c r="S3" s="52"/>
      <c r="T3" s="52"/>
      <c r="U3" s="52"/>
      <c r="V3" s="52"/>
      <c r="W3" s="52"/>
      <c r="X3" s="52"/>
      <c r="Y3" s="52"/>
      <c r="Z3" s="52"/>
      <c r="AA3" s="52"/>
      <c r="AB3" s="52"/>
      <c r="AC3" s="52"/>
    </row>
    <row r="4">
      <c r="A4" s="52"/>
      <c r="B4" s="350"/>
      <c r="C4" s="52"/>
      <c r="D4" s="52"/>
      <c r="E4" s="52"/>
      <c r="F4" s="351"/>
      <c r="G4" s="52"/>
      <c r="H4" s="52"/>
      <c r="I4" s="52"/>
      <c r="J4" s="52"/>
      <c r="K4" s="52"/>
      <c r="L4" s="52"/>
      <c r="M4" s="52"/>
      <c r="N4" s="52"/>
      <c r="O4" s="52"/>
      <c r="P4" s="52"/>
      <c r="Q4" s="52"/>
      <c r="R4" s="52"/>
      <c r="S4" s="52"/>
      <c r="T4" s="52"/>
      <c r="U4" s="52"/>
      <c r="V4" s="52"/>
      <c r="W4" s="52"/>
      <c r="X4" s="52"/>
      <c r="Y4" s="52"/>
      <c r="Z4" s="52"/>
      <c r="AA4" s="52"/>
      <c r="AB4" s="52"/>
      <c r="AC4" s="52"/>
    </row>
    <row r="5" ht="22.5" customHeight="1">
      <c r="A5" s="87" t="s">
        <v>32</v>
      </c>
      <c r="B5" s="96" t="s">
        <v>10</v>
      </c>
      <c r="C5" s="87" t="s">
        <v>35</v>
      </c>
      <c r="D5" s="87" t="s">
        <v>37</v>
      </c>
      <c r="E5" s="87" t="s">
        <v>40</v>
      </c>
      <c r="F5" s="87" t="s">
        <v>42</v>
      </c>
      <c r="G5" s="93"/>
      <c r="H5" s="87" t="s">
        <v>32</v>
      </c>
      <c r="I5" s="87" t="s">
        <v>35</v>
      </c>
      <c r="J5" s="87" t="s">
        <v>37</v>
      </c>
      <c r="K5" s="87" t="s">
        <v>40</v>
      </c>
      <c r="L5" s="96" t="s">
        <v>46</v>
      </c>
      <c r="M5" s="87" t="s">
        <v>42</v>
      </c>
      <c r="N5" s="100"/>
      <c r="O5" s="100"/>
      <c r="P5" s="100"/>
      <c r="Q5" s="100"/>
      <c r="R5" s="100"/>
      <c r="S5" s="100"/>
      <c r="T5" s="100"/>
      <c r="U5" s="100"/>
      <c r="V5" s="100"/>
      <c r="W5" s="100"/>
      <c r="X5" s="100"/>
      <c r="Y5" s="100"/>
      <c r="Z5" s="100"/>
      <c r="AA5" s="100"/>
      <c r="AB5" s="100"/>
      <c r="AC5" s="100"/>
    </row>
    <row r="6" ht="22.5" customHeight="1">
      <c r="A6" s="352">
        <v>1.0</v>
      </c>
      <c r="B6" s="353" t="str">
        <f>IFERROR(__xludf.DUMMYFUNCTION("FILTER(DATABASE!E:E, TEXT(DATABASE!D:D, ""MMMM"")=C1, YEAR(DATABASE!D:D)=D1)"),"Creative Juice Digital Printing")</f>
        <v>Creative Juice Digital Printing</v>
      </c>
      <c r="C6" s="105">
        <f>IFERROR(__xludf.DUMMYFUNCTION("IFERROR(FILTER(DATABASE!A:B, TEXT(DATABASE!D:D, ""MMMM"")=C1, YEAR(DATABASE!D:D)=D1), ""No Data Found"")"),104716.0)</f>
        <v>104716</v>
      </c>
      <c r="D6" s="107" t="str">
        <f>IFERROR(__xludf.DUMMYFUNCTION("""COMPUTED_VALUE"""),"PO31501")</f>
        <v>PO31501</v>
      </c>
      <c r="E6" s="114">
        <f>IFERROR(__xludf.DUMMYFUNCTION("FILTER(DATABASE!D:D, TEXT(DATABASE!D:D, ""MMMM"")=C1, YEAR(DATABASE!D:D)=D1)"),45476.0)</f>
        <v>45476</v>
      </c>
      <c r="F6" s="354">
        <f>IFERROR(__xludf.DUMMYFUNCTION("FILTER(DATABASE!AC:AC, TEXT(DATABASE!D:D, ""MMMM"")=C1, YEAR(DATABASE!D:D)=D1)"),4.833333333333333)</f>
        <v>4.833333333</v>
      </c>
      <c r="G6" s="52"/>
      <c r="H6" s="103">
        <v>1.0</v>
      </c>
      <c r="I6" s="105"/>
      <c r="J6" s="107"/>
      <c r="K6" s="120"/>
      <c r="L6" s="107"/>
      <c r="M6" s="105"/>
      <c r="N6" s="52"/>
      <c r="O6" s="52"/>
      <c r="P6" s="52"/>
      <c r="Q6" s="52"/>
      <c r="R6" s="52"/>
      <c r="S6" s="52"/>
      <c r="T6" s="52"/>
      <c r="U6" s="52"/>
      <c r="V6" s="52"/>
      <c r="W6" s="52"/>
      <c r="X6" s="52"/>
      <c r="Y6" s="52"/>
      <c r="Z6" s="52"/>
      <c r="AA6" s="52"/>
      <c r="AB6" s="52"/>
      <c r="AC6" s="52"/>
    </row>
    <row r="7" ht="22.5" customHeight="1">
      <c r="A7" s="352">
        <v>2.0</v>
      </c>
      <c r="B7" s="353" t="str">
        <f>IFERROR(__xludf.DUMMYFUNCTION("""COMPUTED_VALUE"""),"Arkin Hardware")</f>
        <v>Arkin Hardware</v>
      </c>
      <c r="C7" s="105">
        <f>IFERROR(__xludf.DUMMYFUNCTION("""COMPUTED_VALUE"""),104693.0)</f>
        <v>104693</v>
      </c>
      <c r="D7" s="107" t="str">
        <f>IFERROR(__xludf.DUMMYFUNCTION("""COMPUTED_VALUE"""),"PO31496")</f>
        <v>PO31496</v>
      </c>
      <c r="E7" s="114">
        <f>IFERROR(__xludf.DUMMYFUNCTION("""COMPUTED_VALUE"""),45477.0)</f>
        <v>45477</v>
      </c>
      <c r="F7" s="354">
        <f>IFERROR(__xludf.DUMMYFUNCTION("""COMPUTED_VALUE"""),4.625)</f>
        <v>4.625</v>
      </c>
      <c r="G7" s="126"/>
      <c r="H7" s="103">
        <v>2.0</v>
      </c>
      <c r="I7" s="105"/>
      <c r="J7" s="107"/>
      <c r="K7" s="120"/>
      <c r="L7" s="107"/>
      <c r="M7" s="105"/>
      <c r="N7" s="52"/>
      <c r="O7" s="52"/>
      <c r="P7" s="52"/>
      <c r="Q7" s="52"/>
      <c r="R7" s="52"/>
      <c r="S7" s="52"/>
      <c r="T7" s="52"/>
      <c r="U7" s="52"/>
      <c r="V7" s="52"/>
      <c r="W7" s="52"/>
      <c r="X7" s="52"/>
      <c r="Y7" s="52"/>
      <c r="Z7" s="52"/>
      <c r="AA7" s="52"/>
      <c r="AB7" s="52"/>
      <c r="AC7" s="52"/>
    </row>
    <row r="8" ht="22.5" customHeight="1">
      <c r="A8" s="352">
        <v>3.0</v>
      </c>
      <c r="B8" s="353" t="str">
        <f>IFERROR(__xludf.DUMMYFUNCTION("""COMPUTED_VALUE"""),"EIG Metal Engravers")</f>
        <v>EIG Metal Engravers</v>
      </c>
      <c r="C8" s="105">
        <f>IFERROR(__xludf.DUMMYFUNCTION("""COMPUTED_VALUE"""),104649.0)</f>
        <v>104649</v>
      </c>
      <c r="D8" s="107" t="str">
        <f>IFERROR(__xludf.DUMMYFUNCTION("""COMPUTED_VALUE"""),"PO31448")</f>
        <v>PO31448</v>
      </c>
      <c r="E8" s="114">
        <f>IFERROR(__xludf.DUMMYFUNCTION("""COMPUTED_VALUE"""),45478.0)</f>
        <v>45478</v>
      </c>
      <c r="F8" s="354">
        <f>IFERROR(__xludf.DUMMYFUNCTION("""COMPUTED_VALUE"""),5.0)</f>
        <v>5</v>
      </c>
      <c r="G8" s="126"/>
      <c r="H8" s="103">
        <v>3.0</v>
      </c>
      <c r="I8" s="105"/>
      <c r="J8" s="107"/>
      <c r="K8" s="120"/>
      <c r="L8" s="107"/>
      <c r="M8" s="105"/>
      <c r="N8" s="52"/>
      <c r="O8" s="52"/>
      <c r="P8" s="52"/>
      <c r="Q8" s="52"/>
      <c r="R8" s="52"/>
      <c r="S8" s="52"/>
      <c r="T8" s="52"/>
      <c r="U8" s="52"/>
      <c r="V8" s="52"/>
      <c r="W8" s="52"/>
      <c r="X8" s="52"/>
      <c r="Y8" s="52"/>
      <c r="Z8" s="52"/>
      <c r="AA8" s="52"/>
      <c r="AB8" s="52"/>
      <c r="AC8" s="52"/>
    </row>
    <row r="9" ht="22.5" customHeight="1">
      <c r="A9" s="352">
        <v>4.0</v>
      </c>
      <c r="B9" s="353" t="str">
        <f>IFERROR(__xludf.DUMMYFUNCTION("""COMPUTED_VALUE"""),"Arkin Hardware")</f>
        <v>Arkin Hardware</v>
      </c>
      <c r="C9" s="105">
        <f>IFERROR(__xludf.DUMMYFUNCTION("""COMPUTED_VALUE"""),104676.0)</f>
        <v>104676</v>
      </c>
      <c r="D9" s="107" t="str">
        <f>IFERROR(__xludf.DUMMYFUNCTION("""COMPUTED_VALUE"""),"PO31517")</f>
        <v>PO31517</v>
      </c>
      <c r="E9" s="114">
        <f>IFERROR(__xludf.DUMMYFUNCTION("""COMPUTED_VALUE"""),45481.0)</f>
        <v>45481</v>
      </c>
      <c r="F9" s="355">
        <f>IFERROR(__xludf.DUMMYFUNCTION("""COMPUTED_VALUE"""),4.625)</f>
        <v>4.625</v>
      </c>
      <c r="G9" s="126"/>
      <c r="H9" s="103">
        <v>4.0</v>
      </c>
      <c r="I9" s="105"/>
      <c r="J9" s="107"/>
      <c r="K9" s="120"/>
      <c r="L9" s="107"/>
      <c r="M9" s="105"/>
      <c r="N9" s="52"/>
      <c r="O9" s="52"/>
      <c r="P9" s="52"/>
      <c r="Q9" s="52"/>
      <c r="R9" s="52"/>
      <c r="S9" s="52"/>
      <c r="T9" s="52"/>
      <c r="U9" s="52"/>
      <c r="V9" s="52"/>
      <c r="W9" s="52"/>
      <c r="X9" s="52"/>
      <c r="Y9" s="52"/>
      <c r="Z9" s="52"/>
      <c r="AA9" s="52"/>
      <c r="AB9" s="52"/>
      <c r="AC9" s="52"/>
    </row>
    <row r="10" ht="22.5" customHeight="1">
      <c r="A10" s="352">
        <v>5.0</v>
      </c>
      <c r="B10" s="353" t="str">
        <f>IFERROR(__xludf.DUMMYFUNCTION("""COMPUTED_VALUE"""),"Abiva Publishing House, Inc.")</f>
        <v>Abiva Publishing House, Inc.</v>
      </c>
      <c r="C10" s="105">
        <f>IFERROR(__xludf.DUMMYFUNCTION("""COMPUTED_VALUE"""),104688.0)</f>
        <v>104688</v>
      </c>
      <c r="D10" s="107" t="str">
        <f>IFERROR(__xludf.DUMMYFUNCTION("""COMPUTED_VALUE"""),"PO31510")</f>
        <v>PO31510</v>
      </c>
      <c r="E10" s="114">
        <f>IFERROR(__xludf.DUMMYFUNCTION("""COMPUTED_VALUE"""),45484.0)</f>
        <v>45484</v>
      </c>
      <c r="F10" s="354">
        <f>IFERROR(__xludf.DUMMYFUNCTION("""COMPUTED_VALUE"""),4.833333333333333)</f>
        <v>4.833333333</v>
      </c>
      <c r="G10" s="126"/>
      <c r="H10" s="103">
        <v>5.0</v>
      </c>
      <c r="I10" s="105"/>
      <c r="J10" s="107"/>
      <c r="K10" s="120"/>
      <c r="L10" s="107"/>
      <c r="M10" s="105"/>
      <c r="N10" s="52"/>
      <c r="O10" s="52"/>
      <c r="P10" s="52"/>
      <c r="Q10" s="52"/>
      <c r="R10" s="52"/>
      <c r="S10" s="52"/>
      <c r="T10" s="52"/>
      <c r="U10" s="52"/>
      <c r="V10" s="52"/>
      <c r="W10" s="52"/>
      <c r="X10" s="52"/>
      <c r="Y10" s="52"/>
      <c r="Z10" s="52"/>
      <c r="AA10" s="52"/>
      <c r="AB10" s="52"/>
      <c r="AC10" s="52"/>
    </row>
    <row r="11" ht="22.5" customHeight="1">
      <c r="A11" s="352">
        <v>6.0</v>
      </c>
      <c r="B11" s="353" t="str">
        <f>IFERROR(__xludf.DUMMYFUNCTION("""COMPUTED_VALUE"""),"Mostaco Printing")</f>
        <v>Mostaco Printing</v>
      </c>
      <c r="C11" s="105">
        <f>IFERROR(__xludf.DUMMYFUNCTION("""COMPUTED_VALUE"""),104718.0)</f>
        <v>104718</v>
      </c>
      <c r="D11" s="107" t="str">
        <f>IFERROR(__xludf.DUMMYFUNCTION("""COMPUTED_VALUE"""),"PO31528")</f>
        <v>PO31528</v>
      </c>
      <c r="E11" s="114">
        <f>IFERROR(__xludf.DUMMYFUNCTION("""COMPUTED_VALUE"""),45492.0)</f>
        <v>45492</v>
      </c>
      <c r="F11" s="354">
        <f>IFERROR(__xludf.DUMMYFUNCTION("""COMPUTED_VALUE"""),4.833333333333333)</f>
        <v>4.833333333</v>
      </c>
      <c r="G11" s="126"/>
      <c r="H11" s="103">
        <v>6.0</v>
      </c>
      <c r="I11" s="105"/>
      <c r="J11" s="107"/>
      <c r="K11" s="120"/>
      <c r="L11" s="107"/>
      <c r="M11" s="105"/>
      <c r="N11" s="52"/>
      <c r="O11" s="52"/>
      <c r="P11" s="52"/>
      <c r="Q11" s="52"/>
      <c r="R11" s="52"/>
      <c r="S11" s="52"/>
      <c r="T11" s="52"/>
      <c r="U11" s="52"/>
      <c r="V11" s="52"/>
      <c r="W11" s="52"/>
      <c r="X11" s="52"/>
      <c r="Y11" s="52"/>
      <c r="Z11" s="52"/>
      <c r="AA11" s="52"/>
      <c r="AB11" s="52"/>
      <c r="AC11" s="52"/>
    </row>
    <row r="12" ht="22.5" customHeight="1">
      <c r="A12" s="352">
        <v>7.0</v>
      </c>
      <c r="B12" s="353" t="str">
        <f>IFERROR(__xludf.DUMMYFUNCTION("""COMPUTED_VALUE"""),"CD Books International, Inc.")</f>
        <v>CD Books International, Inc.</v>
      </c>
      <c r="C12" s="105">
        <f>IFERROR(__xludf.DUMMYFUNCTION("""COMPUTED_VALUE"""),104654.0)</f>
        <v>104654</v>
      </c>
      <c r="D12" s="107" t="str">
        <f>IFERROR(__xludf.DUMMYFUNCTION("""COMPUTED_VALUE"""),"PO31521")</f>
        <v>PO31521</v>
      </c>
      <c r="E12" s="114">
        <f>IFERROR(__xludf.DUMMYFUNCTION("""COMPUTED_VALUE"""),45492.0)</f>
        <v>45492</v>
      </c>
      <c r="F12" s="354">
        <f>IFERROR(__xludf.DUMMYFUNCTION("""COMPUTED_VALUE"""),4.833333333333333)</f>
        <v>4.833333333</v>
      </c>
      <c r="G12" s="126"/>
      <c r="H12" s="103">
        <v>7.0</v>
      </c>
      <c r="I12" s="105"/>
      <c r="J12" s="107"/>
      <c r="K12" s="120"/>
      <c r="L12" s="107"/>
      <c r="M12" s="105"/>
      <c r="N12" s="52"/>
      <c r="O12" s="52"/>
      <c r="P12" s="52"/>
      <c r="Q12" s="52"/>
      <c r="R12" s="52"/>
      <c r="S12" s="52"/>
      <c r="T12" s="52"/>
      <c r="U12" s="52"/>
      <c r="V12" s="52"/>
      <c r="W12" s="52"/>
      <c r="X12" s="52"/>
      <c r="Y12" s="52"/>
      <c r="Z12" s="52"/>
      <c r="AA12" s="52"/>
      <c r="AB12" s="52"/>
      <c r="AC12" s="52"/>
    </row>
    <row r="13" ht="22.5" customHeight="1">
      <c r="A13" s="352">
        <v>8.0</v>
      </c>
      <c r="B13" s="353" t="str">
        <f>IFERROR(__xludf.DUMMYFUNCTION("""COMPUTED_VALUE"""),"Belview Co., Inc.")</f>
        <v>Belview Co., Inc.</v>
      </c>
      <c r="C13" s="105">
        <f>IFERROR(__xludf.DUMMYFUNCTION("""COMPUTED_VALUE"""),104592.0)</f>
        <v>104592</v>
      </c>
      <c r="D13" s="107" t="str">
        <f>IFERROR(__xludf.DUMMYFUNCTION("""COMPUTED_VALUE"""),"PO31554")</f>
        <v>PO31554</v>
      </c>
      <c r="E13" s="114">
        <f>IFERROR(__xludf.DUMMYFUNCTION("""COMPUTED_VALUE"""),45492.0)</f>
        <v>45492</v>
      </c>
      <c r="F13" s="354">
        <f>IFERROR(__xludf.DUMMYFUNCTION("""COMPUTED_VALUE"""),4.833333333333333)</f>
        <v>4.833333333</v>
      </c>
      <c r="G13" s="126"/>
      <c r="H13" s="103">
        <v>8.0</v>
      </c>
      <c r="I13" s="105"/>
      <c r="J13" s="107"/>
      <c r="K13" s="120"/>
      <c r="L13" s="107"/>
      <c r="M13" s="105"/>
      <c r="N13" s="52"/>
      <c r="O13" s="52"/>
      <c r="P13" s="52"/>
      <c r="Q13" s="52"/>
      <c r="R13" s="52"/>
      <c r="S13" s="52"/>
      <c r="T13" s="52"/>
      <c r="U13" s="52"/>
      <c r="V13" s="52"/>
      <c r="W13" s="52"/>
      <c r="X13" s="52"/>
      <c r="Y13" s="52"/>
      <c r="Z13" s="52"/>
      <c r="AA13" s="52"/>
      <c r="AB13" s="52"/>
      <c r="AC13" s="52"/>
    </row>
    <row r="14" ht="22.5" customHeight="1">
      <c r="A14" s="352">
        <v>9.0</v>
      </c>
      <c r="B14" s="353" t="str">
        <f>IFERROR(__xludf.DUMMYFUNCTION("""COMPUTED_VALUE"""),"Belview Co., Inc.")</f>
        <v>Belview Co., Inc.</v>
      </c>
      <c r="C14" s="105">
        <f>IFERROR(__xludf.DUMMYFUNCTION("""COMPUTED_VALUE"""),104709.0)</f>
        <v>104709</v>
      </c>
      <c r="D14" s="107" t="str">
        <f>IFERROR(__xludf.DUMMYFUNCTION("""COMPUTED_VALUE"""),"PO31555")</f>
        <v>PO31555</v>
      </c>
      <c r="E14" s="114">
        <f>IFERROR(__xludf.DUMMYFUNCTION("""COMPUTED_VALUE"""),45492.0)</f>
        <v>45492</v>
      </c>
      <c r="F14" s="354">
        <f>IFERROR(__xludf.DUMMYFUNCTION("""COMPUTED_VALUE"""),4.833333333333333)</f>
        <v>4.833333333</v>
      </c>
      <c r="G14" s="126"/>
      <c r="H14" s="103">
        <v>9.0</v>
      </c>
      <c r="I14" s="105"/>
      <c r="J14" s="107"/>
      <c r="K14" s="120"/>
      <c r="L14" s="107"/>
      <c r="M14" s="105"/>
      <c r="N14" s="52"/>
      <c r="O14" s="52"/>
      <c r="P14" s="52"/>
      <c r="Q14" s="52"/>
      <c r="R14" s="52"/>
      <c r="S14" s="52"/>
      <c r="T14" s="52"/>
      <c r="U14" s="52"/>
      <c r="V14" s="52"/>
      <c r="W14" s="52"/>
      <c r="X14" s="52"/>
      <c r="Y14" s="52"/>
      <c r="Z14" s="52"/>
      <c r="AA14" s="52"/>
      <c r="AB14" s="52"/>
      <c r="AC14" s="52"/>
    </row>
    <row r="15" ht="22.5" customHeight="1">
      <c r="A15" s="352">
        <v>10.0</v>
      </c>
      <c r="B15" s="353" t="str">
        <f>IFERROR(__xludf.DUMMYFUNCTION("""COMPUTED_VALUE"""),"Contrade Integrated Depot")</f>
        <v>Contrade Integrated Depot</v>
      </c>
      <c r="C15" s="105">
        <f>IFERROR(__xludf.DUMMYFUNCTION("""COMPUTED_VALUE"""),104622.0)</f>
        <v>104622</v>
      </c>
      <c r="D15" s="107" t="str">
        <f>IFERROR(__xludf.DUMMYFUNCTION("""COMPUTED_VALUE"""),"PO31529")</f>
        <v>PO31529</v>
      </c>
      <c r="E15" s="114">
        <f>IFERROR(__xludf.DUMMYFUNCTION("""COMPUTED_VALUE"""),45493.0)</f>
        <v>45493</v>
      </c>
      <c r="F15" s="354">
        <f>IFERROR(__xludf.DUMMYFUNCTION("""COMPUTED_VALUE"""),4.583333333333333)</f>
        <v>4.583333333</v>
      </c>
      <c r="G15" s="126"/>
      <c r="H15" s="103">
        <v>10.0</v>
      </c>
      <c r="I15" s="105"/>
      <c r="J15" s="107"/>
      <c r="K15" s="120"/>
      <c r="L15" s="107"/>
      <c r="M15" s="105"/>
      <c r="N15" s="52"/>
      <c r="O15" s="52"/>
      <c r="P15" s="52"/>
      <c r="Q15" s="52"/>
      <c r="R15" s="52"/>
      <c r="S15" s="52"/>
      <c r="T15" s="52"/>
      <c r="U15" s="52"/>
      <c r="V15" s="52"/>
      <c r="W15" s="52"/>
      <c r="X15" s="52"/>
      <c r="Y15" s="52"/>
      <c r="Z15" s="52"/>
      <c r="AA15" s="52"/>
      <c r="AB15" s="52"/>
      <c r="AC15" s="52"/>
    </row>
    <row r="16" ht="22.5" customHeight="1">
      <c r="A16" s="352">
        <v>11.0</v>
      </c>
      <c r="B16" s="353" t="str">
        <f>IFERROR(__xludf.DUMMYFUNCTION("""COMPUTED_VALUE"""),"Javammp Printing Services")</f>
        <v>Javammp Printing Services</v>
      </c>
      <c r="C16" s="105">
        <f>IFERROR(__xludf.DUMMYFUNCTION("""COMPUTED_VALUE"""),104574.0)</f>
        <v>104574</v>
      </c>
      <c r="D16" s="107" t="str">
        <f>IFERROR(__xludf.DUMMYFUNCTION("""COMPUTED_VALUE"""),"PO31492")</f>
        <v>PO31492</v>
      </c>
      <c r="E16" s="356">
        <f>IFERROR(__xludf.DUMMYFUNCTION("""COMPUTED_VALUE"""),45495.0)</f>
        <v>45495</v>
      </c>
      <c r="F16" s="354">
        <f>IFERROR(__xludf.DUMMYFUNCTION("""COMPUTED_VALUE"""),3.9166666666666665)</f>
        <v>3.916666667</v>
      </c>
      <c r="G16" s="126"/>
      <c r="H16" s="103">
        <v>11.0</v>
      </c>
      <c r="I16" s="105"/>
      <c r="J16" s="107"/>
      <c r="K16" s="137"/>
      <c r="L16" s="107"/>
      <c r="M16" s="105"/>
      <c r="N16" s="52"/>
      <c r="O16" s="52"/>
      <c r="P16" s="52"/>
      <c r="Q16" s="52"/>
      <c r="R16" s="52"/>
      <c r="S16" s="52"/>
      <c r="T16" s="52"/>
      <c r="U16" s="52"/>
      <c r="V16" s="52"/>
      <c r="W16" s="52"/>
      <c r="X16" s="52"/>
      <c r="Y16" s="52"/>
      <c r="Z16" s="52"/>
      <c r="AA16" s="52"/>
      <c r="AB16" s="52"/>
      <c r="AC16" s="52"/>
    </row>
    <row r="17" ht="22.5" customHeight="1">
      <c r="A17" s="352">
        <v>12.0</v>
      </c>
      <c r="B17" s="353" t="str">
        <f>IFERROR(__xludf.DUMMYFUNCTION("""COMPUTED_VALUE"""),"BIG LEAGUE SPORTS WEAR SHOP. INC.")</f>
        <v>BIG LEAGUE SPORTS WEAR SHOP. INC.</v>
      </c>
      <c r="C17" s="105">
        <f>IFERROR(__xludf.DUMMYFUNCTION("""COMPUTED_VALUE"""),104222.0)</f>
        <v>104222</v>
      </c>
      <c r="D17" s="107" t="str">
        <f>IFERROR(__xludf.DUMMYFUNCTION("""COMPUTED_VALUE"""),"PO31438")</f>
        <v>PO31438</v>
      </c>
      <c r="E17" s="114">
        <f>IFERROR(__xludf.DUMMYFUNCTION("""COMPUTED_VALUE"""),45503.0)</f>
        <v>45503</v>
      </c>
      <c r="F17" s="354">
        <f>IFERROR(__xludf.DUMMYFUNCTION("""COMPUTED_VALUE"""),4.0)</f>
        <v>4</v>
      </c>
      <c r="G17" s="126"/>
      <c r="H17" s="52"/>
      <c r="I17" s="51"/>
      <c r="J17" s="52"/>
      <c r="K17" s="52"/>
      <c r="L17" s="52"/>
      <c r="M17" s="52"/>
      <c r="N17" s="52"/>
      <c r="O17" s="52"/>
      <c r="P17" s="52"/>
      <c r="Q17" s="52"/>
      <c r="R17" s="52"/>
      <c r="S17" s="52"/>
      <c r="T17" s="52"/>
      <c r="U17" s="52"/>
      <c r="V17" s="52"/>
      <c r="W17" s="52"/>
      <c r="X17" s="52"/>
      <c r="Y17" s="52"/>
      <c r="Z17" s="52"/>
      <c r="AA17" s="52"/>
      <c r="AB17" s="52"/>
      <c r="AC17" s="52"/>
    </row>
    <row r="18" ht="22.5" customHeight="1">
      <c r="A18" s="352">
        <v>13.0</v>
      </c>
      <c r="B18" s="353" t="str">
        <f>IFERROR(__xludf.DUMMYFUNCTION("""COMPUTED_VALUE"""),"Trojan Computer Forms Mfg. Corp.")</f>
        <v>Trojan Computer Forms Mfg. Corp.</v>
      </c>
      <c r="C18" s="105">
        <f>IFERROR(__xludf.DUMMYFUNCTION("""COMPUTED_VALUE"""),104695.0)</f>
        <v>104695</v>
      </c>
      <c r="D18" s="107" t="str">
        <f>IFERROR(__xludf.DUMMYFUNCTION("""COMPUTED_VALUE"""),"PO31490")</f>
        <v>PO31490</v>
      </c>
      <c r="E18" s="114">
        <f>IFERROR(__xludf.DUMMYFUNCTION("""COMPUTED_VALUE"""),45485.0)</f>
        <v>45485</v>
      </c>
      <c r="F18" s="354">
        <f>IFERROR(__xludf.DUMMYFUNCTION("""COMPUTED_VALUE"""),5.0)</f>
        <v>5</v>
      </c>
      <c r="G18" s="126"/>
      <c r="H18" s="52"/>
      <c r="I18" s="51"/>
      <c r="J18" s="52"/>
      <c r="K18" s="52"/>
      <c r="L18" s="52"/>
      <c r="M18" s="52"/>
      <c r="N18" s="52"/>
      <c r="O18" s="52"/>
      <c r="P18" s="52"/>
      <c r="Q18" s="52"/>
      <c r="R18" s="52"/>
      <c r="S18" s="52"/>
      <c r="T18" s="52"/>
      <c r="U18" s="52"/>
      <c r="V18" s="52"/>
      <c r="W18" s="52"/>
      <c r="X18" s="52"/>
      <c r="Y18" s="52"/>
      <c r="Z18" s="52"/>
      <c r="AA18" s="52"/>
      <c r="AB18" s="52"/>
      <c r="AC18" s="52"/>
    </row>
    <row r="19" ht="22.5" customHeight="1">
      <c r="A19" s="352">
        <v>14.0</v>
      </c>
      <c r="B19" s="353" t="str">
        <f>IFERROR(__xludf.DUMMYFUNCTION("""COMPUTED_VALUE"""),"Columbia Technologies, Inc.")</f>
        <v>Columbia Technologies, Inc.</v>
      </c>
      <c r="C19" s="105">
        <f>IFERROR(__xludf.DUMMYFUNCTION("""COMPUTED_VALUE"""),104733.0)</f>
        <v>104733</v>
      </c>
      <c r="D19" s="107" t="str">
        <f>IFERROR(__xludf.DUMMYFUNCTION("""COMPUTED_VALUE"""),"PO31514")</f>
        <v>PO31514</v>
      </c>
      <c r="E19" s="114">
        <f>IFERROR(__xludf.DUMMYFUNCTION("""COMPUTED_VALUE"""),45491.0)</f>
        <v>45491</v>
      </c>
      <c r="F19" s="354">
        <f>IFERROR(__xludf.DUMMYFUNCTION("""COMPUTED_VALUE"""),4.883333333333334)</f>
        <v>4.883333333</v>
      </c>
      <c r="G19" s="126"/>
      <c r="H19" s="52"/>
      <c r="I19" s="51"/>
      <c r="J19" s="52"/>
      <c r="K19" s="52"/>
      <c r="L19" s="52"/>
      <c r="M19" s="52"/>
      <c r="N19" s="52"/>
      <c r="O19" s="52"/>
      <c r="P19" s="52"/>
      <c r="Q19" s="52"/>
      <c r="R19" s="52"/>
      <c r="S19" s="52"/>
      <c r="T19" s="52"/>
      <c r="U19" s="52"/>
      <c r="V19" s="52"/>
      <c r="W19" s="52"/>
      <c r="X19" s="52"/>
      <c r="Y19" s="52"/>
      <c r="Z19" s="52"/>
      <c r="AA19" s="52"/>
      <c r="AB19" s="52"/>
      <c r="AC19" s="52"/>
    </row>
    <row r="20" ht="22.5" customHeight="1">
      <c r="A20" s="352">
        <v>15.0</v>
      </c>
      <c r="B20" s="353" t="str">
        <f>IFERROR(__xludf.DUMMYFUNCTION("""COMPUTED_VALUE"""),"Net Ad IT Solutions")</f>
        <v>Net Ad IT Solutions</v>
      </c>
      <c r="C20" s="105">
        <f>IFERROR(__xludf.DUMMYFUNCTION("""COMPUTED_VALUE"""),104671.0)</f>
        <v>104671</v>
      </c>
      <c r="D20" s="107" t="str">
        <f>IFERROR(__xludf.DUMMYFUNCTION("""COMPUTED_VALUE"""),"PO31472")</f>
        <v>PO31472</v>
      </c>
      <c r="E20" s="114">
        <f>IFERROR(__xludf.DUMMYFUNCTION("""COMPUTED_VALUE"""),45482.0)</f>
        <v>45482</v>
      </c>
      <c r="F20" s="354">
        <f>IFERROR(__xludf.DUMMYFUNCTION("""COMPUTED_VALUE"""),5.0)</f>
        <v>5</v>
      </c>
      <c r="G20" s="126"/>
      <c r="H20" s="52"/>
      <c r="I20" s="51"/>
      <c r="J20" s="52"/>
      <c r="K20" s="52"/>
      <c r="L20" s="52"/>
      <c r="M20" s="52"/>
      <c r="N20" s="52"/>
      <c r="O20" s="52"/>
      <c r="P20" s="52"/>
      <c r="Q20" s="52"/>
      <c r="R20" s="52"/>
      <c r="S20" s="52"/>
      <c r="T20" s="52"/>
      <c r="U20" s="52"/>
      <c r="V20" s="52"/>
      <c r="W20" s="52"/>
      <c r="X20" s="52"/>
      <c r="Y20" s="52"/>
      <c r="Z20" s="52"/>
      <c r="AA20" s="52"/>
      <c r="AB20" s="52"/>
      <c r="AC20" s="52"/>
    </row>
    <row r="21" ht="22.5" customHeight="1">
      <c r="A21" s="352">
        <v>16.0</v>
      </c>
      <c r="B21" s="353" t="str">
        <f>IFERROR(__xludf.DUMMYFUNCTION("""COMPUTED_VALUE"""),"Elle Tech and Trend Office Furniture and Interiors")</f>
        <v>Elle Tech and Trend Office Furniture and Interiors</v>
      </c>
      <c r="C21" s="105">
        <f>IFERROR(__xludf.DUMMYFUNCTION("""COMPUTED_VALUE"""),104736.0)</f>
        <v>104736</v>
      </c>
      <c r="D21" s="107" t="str">
        <f>IFERROR(__xludf.DUMMYFUNCTION("""COMPUTED_VALUE"""),"PO31530")</f>
        <v>PO31530</v>
      </c>
      <c r="E21" s="114">
        <f>IFERROR(__xludf.DUMMYFUNCTION("""COMPUTED_VALUE"""),45486.0)</f>
        <v>45486</v>
      </c>
      <c r="F21" s="354">
        <f>IFERROR(__xludf.DUMMYFUNCTION("""COMPUTED_VALUE"""),5.0)</f>
        <v>5</v>
      </c>
      <c r="G21" s="126"/>
      <c r="H21" s="52"/>
      <c r="I21" s="51"/>
      <c r="J21" s="52"/>
      <c r="K21" s="52"/>
      <c r="L21" s="52"/>
      <c r="M21" s="52"/>
      <c r="N21" s="52"/>
      <c r="O21" s="52"/>
      <c r="P21" s="52"/>
      <c r="Q21" s="52"/>
      <c r="R21" s="52"/>
      <c r="S21" s="52"/>
      <c r="T21" s="52"/>
      <c r="U21" s="52"/>
      <c r="V21" s="52"/>
      <c r="W21" s="52"/>
      <c r="X21" s="52"/>
      <c r="Y21" s="52"/>
      <c r="Z21" s="52"/>
      <c r="AA21" s="52"/>
      <c r="AB21" s="52"/>
      <c r="AC21" s="52"/>
    </row>
    <row r="22" ht="22.5" customHeight="1">
      <c r="A22" s="352">
        <v>17.0</v>
      </c>
      <c r="B22" s="353" t="str">
        <f>IFERROR(__xludf.DUMMYFUNCTION("""COMPUTED_VALUE"""),"Net Ad IT Solutions")</f>
        <v>Net Ad IT Solutions</v>
      </c>
      <c r="C22" s="105">
        <f>IFERROR(__xludf.DUMMYFUNCTION("""COMPUTED_VALUE"""),104680.0)</f>
        <v>104680</v>
      </c>
      <c r="D22" s="107" t="str">
        <f>IFERROR(__xludf.DUMMYFUNCTION("""COMPUTED_VALUE"""),"PO31457")</f>
        <v>PO31457</v>
      </c>
      <c r="E22" s="114">
        <f>IFERROR(__xludf.DUMMYFUNCTION("""COMPUTED_VALUE"""),45482.0)</f>
        <v>45482</v>
      </c>
      <c r="F22" s="354">
        <f>IFERROR(__xludf.DUMMYFUNCTION("""COMPUTED_VALUE"""),5.0)</f>
        <v>5</v>
      </c>
      <c r="G22" s="126"/>
      <c r="H22" s="52"/>
      <c r="I22" s="52"/>
      <c r="J22" s="52"/>
      <c r="K22" s="52"/>
      <c r="L22" s="52"/>
      <c r="M22" s="52"/>
      <c r="N22" s="52"/>
      <c r="O22" s="52"/>
      <c r="P22" s="52"/>
      <c r="Q22" s="52"/>
      <c r="R22" s="52"/>
      <c r="S22" s="52"/>
      <c r="T22" s="52"/>
      <c r="U22" s="52"/>
      <c r="V22" s="52"/>
      <c r="W22" s="52"/>
      <c r="X22" s="52"/>
      <c r="Y22" s="52"/>
      <c r="Z22" s="52"/>
      <c r="AA22" s="52"/>
      <c r="AB22" s="52"/>
      <c r="AC22" s="52"/>
    </row>
    <row r="23" ht="22.5" customHeight="1">
      <c r="A23" s="352">
        <v>18.0</v>
      </c>
      <c r="B23" s="353" t="str">
        <f>IFERROR(__xludf.DUMMYFUNCTION("""COMPUTED_VALUE"""),"Abenson Ventures, Inc.")</f>
        <v>Abenson Ventures, Inc.</v>
      </c>
      <c r="C23" s="105">
        <f>IFERROR(__xludf.DUMMYFUNCTION("""COMPUTED_VALUE"""),104788.0)</f>
        <v>104788</v>
      </c>
      <c r="D23" s="107" t="str">
        <f>IFERROR(__xludf.DUMMYFUNCTION("""COMPUTED_VALUE"""),"PO31561")</f>
        <v>PO31561</v>
      </c>
      <c r="E23" s="114">
        <f>IFERROR(__xludf.DUMMYFUNCTION("""COMPUTED_VALUE"""),45497.0)</f>
        <v>45497</v>
      </c>
      <c r="F23" s="354">
        <f>IFERROR(__xludf.DUMMYFUNCTION("""COMPUTED_VALUE"""),5.0)</f>
        <v>5</v>
      </c>
      <c r="G23" s="126"/>
      <c r="H23" s="52"/>
      <c r="I23" s="52"/>
      <c r="J23" s="52"/>
      <c r="K23" s="52"/>
      <c r="L23" s="52"/>
      <c r="M23" s="52"/>
      <c r="N23" s="52"/>
      <c r="O23" s="52"/>
      <c r="P23" s="52"/>
      <c r="Q23" s="52"/>
      <c r="R23" s="52"/>
      <c r="S23" s="52"/>
      <c r="T23" s="52"/>
      <c r="U23" s="52"/>
      <c r="V23" s="52"/>
      <c r="W23" s="52"/>
      <c r="X23" s="52"/>
      <c r="Y23" s="52"/>
      <c r="Z23" s="52"/>
      <c r="AA23" s="52"/>
      <c r="AB23" s="52"/>
      <c r="AC23" s="52"/>
    </row>
    <row r="24" ht="22.5" customHeight="1">
      <c r="A24" s="352">
        <v>19.0</v>
      </c>
      <c r="B24" s="353"/>
      <c r="C24" s="105"/>
      <c r="D24" s="107"/>
      <c r="E24" s="120"/>
      <c r="F24" s="354"/>
      <c r="G24" s="126"/>
      <c r="H24" s="52"/>
      <c r="I24" s="52"/>
      <c r="J24" s="52"/>
      <c r="K24" s="52"/>
      <c r="L24" s="52"/>
      <c r="M24" s="52"/>
      <c r="N24" s="52"/>
      <c r="O24" s="52"/>
      <c r="P24" s="52"/>
      <c r="Q24" s="52"/>
      <c r="R24" s="52"/>
      <c r="S24" s="52"/>
      <c r="T24" s="52"/>
      <c r="U24" s="52"/>
      <c r="V24" s="52"/>
      <c r="W24" s="52"/>
      <c r="X24" s="52"/>
      <c r="Y24" s="52"/>
      <c r="Z24" s="52"/>
      <c r="AA24" s="52"/>
      <c r="AB24" s="52"/>
      <c r="AC24" s="52"/>
    </row>
    <row r="25" ht="22.5" customHeight="1">
      <c r="A25" s="352">
        <v>20.0</v>
      </c>
      <c r="B25" s="353"/>
      <c r="C25" s="105"/>
      <c r="D25" s="107"/>
      <c r="E25" s="120"/>
      <c r="F25" s="354"/>
      <c r="G25" s="126"/>
      <c r="H25" s="52"/>
      <c r="I25" s="52"/>
      <c r="J25" s="52"/>
      <c r="K25" s="52"/>
      <c r="L25" s="52"/>
      <c r="M25" s="52"/>
      <c r="N25" s="52"/>
      <c r="O25" s="52"/>
      <c r="P25" s="52"/>
      <c r="Q25" s="52"/>
      <c r="R25" s="52"/>
      <c r="S25" s="52"/>
      <c r="T25" s="52"/>
      <c r="U25" s="52"/>
      <c r="V25" s="52"/>
      <c r="W25" s="52"/>
      <c r="X25" s="52"/>
      <c r="Y25" s="52"/>
      <c r="Z25" s="52"/>
      <c r="AA25" s="52"/>
      <c r="AB25" s="52"/>
      <c r="AC25" s="52"/>
    </row>
    <row r="26" ht="22.5" customHeight="1">
      <c r="A26" s="352">
        <v>21.0</v>
      </c>
      <c r="B26" s="353"/>
      <c r="C26" s="105"/>
      <c r="D26" s="107"/>
      <c r="E26" s="120"/>
      <c r="F26" s="354"/>
      <c r="G26" s="126"/>
      <c r="H26" s="52"/>
      <c r="I26" s="52"/>
      <c r="J26" s="52"/>
      <c r="K26" s="52"/>
      <c r="L26" s="52"/>
      <c r="M26" s="52"/>
      <c r="N26" s="52"/>
      <c r="O26" s="52"/>
      <c r="P26" s="52"/>
      <c r="Q26" s="52"/>
      <c r="R26" s="52"/>
      <c r="S26" s="52"/>
      <c r="T26" s="52"/>
      <c r="U26" s="52"/>
      <c r="V26" s="52"/>
      <c r="W26" s="52"/>
      <c r="X26" s="52"/>
      <c r="Y26" s="52"/>
      <c r="Z26" s="52"/>
      <c r="AA26" s="52"/>
      <c r="AB26" s="52"/>
      <c r="AC26" s="52"/>
    </row>
    <row r="27" ht="22.5" customHeight="1">
      <c r="A27" s="352">
        <v>22.0</v>
      </c>
      <c r="B27" s="353"/>
      <c r="C27" s="105"/>
      <c r="D27" s="107"/>
      <c r="E27" s="120"/>
      <c r="F27" s="354"/>
      <c r="G27" s="126"/>
      <c r="H27" s="52"/>
      <c r="I27" s="52"/>
      <c r="J27" s="52"/>
      <c r="K27" s="52"/>
      <c r="L27" s="52"/>
      <c r="M27" s="52"/>
      <c r="N27" s="52"/>
      <c r="O27" s="52"/>
      <c r="P27" s="52"/>
      <c r="Q27" s="52"/>
      <c r="R27" s="52"/>
      <c r="S27" s="52"/>
      <c r="T27" s="52"/>
      <c r="U27" s="52"/>
      <c r="V27" s="52"/>
      <c r="W27" s="52"/>
      <c r="X27" s="52"/>
      <c r="Y27" s="52"/>
      <c r="Z27" s="52"/>
      <c r="AA27" s="52"/>
      <c r="AB27" s="52"/>
      <c r="AC27" s="52"/>
    </row>
    <row r="28" ht="22.5" customHeight="1">
      <c r="A28" s="352">
        <v>23.0</v>
      </c>
      <c r="B28" s="353"/>
      <c r="C28" s="105"/>
      <c r="D28" s="107"/>
      <c r="E28" s="120"/>
      <c r="F28" s="354"/>
      <c r="G28" s="126"/>
      <c r="H28" s="52"/>
      <c r="I28" s="52"/>
      <c r="J28" s="52"/>
      <c r="K28" s="52"/>
      <c r="L28" s="52"/>
      <c r="M28" s="52"/>
      <c r="N28" s="52"/>
      <c r="O28" s="52"/>
      <c r="P28" s="52"/>
      <c r="Q28" s="52"/>
      <c r="R28" s="52"/>
      <c r="S28" s="52"/>
      <c r="T28" s="52"/>
      <c r="U28" s="52"/>
      <c r="V28" s="52"/>
      <c r="W28" s="52"/>
      <c r="X28" s="52"/>
      <c r="Y28" s="52"/>
      <c r="Z28" s="52"/>
      <c r="AA28" s="52"/>
      <c r="AB28" s="52"/>
      <c r="AC28" s="52"/>
    </row>
    <row r="29" ht="22.5" customHeight="1">
      <c r="A29" s="352">
        <v>24.0</v>
      </c>
      <c r="B29" s="353"/>
      <c r="C29" s="105"/>
      <c r="D29" s="107"/>
      <c r="E29" s="120"/>
      <c r="F29" s="354"/>
      <c r="G29" s="126"/>
      <c r="H29" s="52"/>
      <c r="I29" s="52"/>
      <c r="J29" s="52"/>
      <c r="K29" s="52"/>
      <c r="L29" s="52"/>
      <c r="M29" s="52"/>
      <c r="N29" s="52"/>
      <c r="O29" s="52"/>
      <c r="P29" s="52"/>
      <c r="Q29" s="52"/>
      <c r="R29" s="52"/>
      <c r="S29" s="52"/>
      <c r="T29" s="52"/>
      <c r="U29" s="52"/>
      <c r="V29" s="52"/>
      <c r="W29" s="52"/>
      <c r="X29" s="52"/>
      <c r="Y29" s="52"/>
      <c r="Z29" s="52"/>
      <c r="AA29" s="52"/>
      <c r="AB29" s="52"/>
      <c r="AC29" s="52"/>
    </row>
    <row r="30" ht="22.5" customHeight="1">
      <c r="A30" s="352">
        <v>25.0</v>
      </c>
      <c r="B30" s="353"/>
      <c r="C30" s="105"/>
      <c r="D30" s="107"/>
      <c r="E30" s="120"/>
      <c r="F30" s="354"/>
      <c r="G30" s="126"/>
      <c r="H30" s="52"/>
      <c r="I30" s="52"/>
      <c r="J30" s="52"/>
      <c r="K30" s="52"/>
      <c r="L30" s="52"/>
      <c r="M30" s="52"/>
      <c r="N30" s="52"/>
      <c r="O30" s="52"/>
      <c r="P30" s="52"/>
      <c r="Q30" s="52"/>
      <c r="R30" s="52"/>
      <c r="S30" s="52"/>
      <c r="T30" s="52"/>
      <c r="U30" s="52"/>
      <c r="V30" s="52"/>
      <c r="W30" s="52"/>
      <c r="X30" s="52"/>
      <c r="Y30" s="52"/>
      <c r="Z30" s="52"/>
      <c r="AA30" s="52"/>
      <c r="AB30" s="52"/>
      <c r="AC30" s="52"/>
    </row>
    <row r="31" ht="22.5" customHeight="1">
      <c r="A31" s="352">
        <v>26.0</v>
      </c>
      <c r="B31" s="353"/>
      <c r="C31" s="105"/>
      <c r="D31" s="107"/>
      <c r="E31" s="120"/>
      <c r="F31" s="354"/>
      <c r="G31" s="126"/>
      <c r="H31" s="52"/>
      <c r="I31" s="52"/>
      <c r="J31" s="52"/>
      <c r="K31" s="52"/>
      <c r="L31" s="52"/>
      <c r="M31" s="52"/>
      <c r="N31" s="52"/>
      <c r="O31" s="52"/>
      <c r="P31" s="52"/>
      <c r="Q31" s="52"/>
      <c r="R31" s="52"/>
      <c r="S31" s="52"/>
      <c r="T31" s="52"/>
      <c r="U31" s="52"/>
      <c r="V31" s="52"/>
      <c r="W31" s="52"/>
      <c r="X31" s="52"/>
      <c r="Y31" s="52"/>
      <c r="Z31" s="52"/>
      <c r="AA31" s="52"/>
      <c r="AB31" s="52"/>
      <c r="AC31" s="52"/>
    </row>
    <row r="32" ht="22.5" customHeight="1">
      <c r="A32" s="352">
        <v>27.0</v>
      </c>
      <c r="B32" s="353"/>
      <c r="C32" s="105"/>
      <c r="D32" s="107"/>
      <c r="E32" s="120"/>
      <c r="F32" s="354"/>
      <c r="G32" s="126"/>
      <c r="H32" s="52"/>
      <c r="I32" s="52"/>
      <c r="J32" s="52"/>
      <c r="K32" s="52"/>
      <c r="L32" s="52"/>
      <c r="M32" s="52"/>
      <c r="N32" s="52"/>
      <c r="O32" s="52"/>
      <c r="P32" s="52"/>
      <c r="Q32" s="52"/>
      <c r="R32" s="52"/>
      <c r="S32" s="52"/>
      <c r="T32" s="52"/>
      <c r="U32" s="52"/>
      <c r="V32" s="52"/>
      <c r="W32" s="52"/>
      <c r="X32" s="52"/>
      <c r="Y32" s="52"/>
      <c r="Z32" s="52"/>
      <c r="AA32" s="52"/>
      <c r="AB32" s="52"/>
      <c r="AC32" s="52"/>
    </row>
    <row r="33" ht="22.5" customHeight="1">
      <c r="A33" s="352">
        <v>28.0</v>
      </c>
      <c r="B33" s="353"/>
      <c r="C33" s="105"/>
      <c r="D33" s="107"/>
      <c r="E33" s="120"/>
      <c r="F33" s="354"/>
      <c r="G33" s="126"/>
      <c r="H33" s="52"/>
      <c r="I33" s="52"/>
      <c r="J33" s="52"/>
      <c r="K33" s="52"/>
      <c r="L33" s="52"/>
      <c r="M33" s="52"/>
      <c r="N33" s="52"/>
      <c r="O33" s="52"/>
      <c r="P33" s="52"/>
      <c r="Q33" s="52"/>
      <c r="R33" s="52"/>
      <c r="S33" s="52"/>
      <c r="T33" s="52"/>
      <c r="U33" s="52"/>
      <c r="V33" s="52"/>
      <c r="W33" s="52"/>
      <c r="X33" s="52"/>
      <c r="Y33" s="52"/>
      <c r="Z33" s="52"/>
      <c r="AA33" s="52"/>
      <c r="AB33" s="52"/>
      <c r="AC33" s="52"/>
    </row>
    <row r="34" ht="22.5" customHeight="1">
      <c r="A34" s="352">
        <v>29.0</v>
      </c>
      <c r="B34" s="353"/>
      <c r="C34" s="105"/>
      <c r="D34" s="107"/>
      <c r="E34" s="120"/>
      <c r="F34" s="354"/>
      <c r="G34" s="126"/>
      <c r="H34" s="52"/>
      <c r="I34" s="52"/>
      <c r="J34" s="52"/>
      <c r="K34" s="52"/>
      <c r="L34" s="52"/>
      <c r="M34" s="52"/>
      <c r="N34" s="52"/>
      <c r="O34" s="52"/>
      <c r="P34" s="52"/>
      <c r="Q34" s="52"/>
      <c r="R34" s="52"/>
      <c r="S34" s="52"/>
      <c r="T34" s="52"/>
      <c r="U34" s="52"/>
      <c r="V34" s="52"/>
      <c r="W34" s="52"/>
      <c r="X34" s="52"/>
      <c r="Y34" s="52"/>
      <c r="Z34" s="52"/>
      <c r="AA34" s="52"/>
      <c r="AB34" s="52"/>
      <c r="AC34" s="52"/>
    </row>
    <row r="35" ht="22.5" customHeight="1">
      <c r="A35" s="352">
        <v>30.0</v>
      </c>
      <c r="B35" s="353"/>
      <c r="C35" s="105"/>
      <c r="D35" s="107"/>
      <c r="E35" s="120"/>
      <c r="F35" s="354"/>
      <c r="G35" s="126"/>
      <c r="H35" s="52"/>
      <c r="I35" s="52"/>
      <c r="J35" s="52"/>
      <c r="K35" s="52"/>
      <c r="L35" s="52"/>
      <c r="M35" s="52"/>
      <c r="N35" s="52"/>
      <c r="O35" s="52"/>
      <c r="P35" s="52"/>
      <c r="Q35" s="52"/>
      <c r="R35" s="52"/>
      <c r="S35" s="52"/>
      <c r="T35" s="52"/>
      <c r="U35" s="52"/>
      <c r="V35" s="52"/>
      <c r="W35" s="52"/>
      <c r="X35" s="52"/>
      <c r="Y35" s="52"/>
      <c r="Z35" s="52"/>
      <c r="AA35" s="52"/>
      <c r="AB35" s="52"/>
      <c r="AC35" s="52"/>
    </row>
    <row r="36" ht="22.5" customHeight="1">
      <c r="A36" s="352">
        <v>31.0</v>
      </c>
      <c r="B36" s="353"/>
      <c r="C36" s="105"/>
      <c r="D36" s="107"/>
      <c r="E36" s="120"/>
      <c r="F36" s="354"/>
      <c r="G36" s="126"/>
      <c r="H36" s="52"/>
      <c r="I36" s="52"/>
      <c r="J36" s="52"/>
      <c r="K36" s="52"/>
      <c r="L36" s="52"/>
      <c r="M36" s="52"/>
      <c r="N36" s="52"/>
      <c r="O36" s="52"/>
      <c r="P36" s="52"/>
      <c r="Q36" s="52"/>
      <c r="R36" s="52"/>
      <c r="S36" s="52"/>
      <c r="T36" s="52"/>
      <c r="U36" s="52"/>
      <c r="V36" s="52"/>
      <c r="W36" s="52"/>
      <c r="X36" s="52"/>
      <c r="Y36" s="52"/>
      <c r="Z36" s="52"/>
      <c r="AA36" s="52"/>
      <c r="AB36" s="52"/>
      <c r="AC36" s="52"/>
    </row>
    <row r="37" ht="22.5" customHeight="1">
      <c r="A37" s="352">
        <v>32.0</v>
      </c>
      <c r="B37" s="353"/>
      <c r="C37" s="105"/>
      <c r="D37" s="107"/>
      <c r="E37" s="120"/>
      <c r="F37" s="354"/>
      <c r="G37" s="126"/>
      <c r="H37" s="52"/>
      <c r="I37" s="52"/>
      <c r="J37" s="52"/>
      <c r="K37" s="52"/>
      <c r="L37" s="52"/>
      <c r="M37" s="52"/>
      <c r="N37" s="52"/>
      <c r="O37" s="52"/>
      <c r="P37" s="52"/>
      <c r="Q37" s="52"/>
      <c r="R37" s="52"/>
      <c r="S37" s="52"/>
      <c r="T37" s="52"/>
      <c r="U37" s="52"/>
      <c r="V37" s="52"/>
      <c r="W37" s="52"/>
      <c r="X37" s="52"/>
      <c r="Y37" s="52"/>
      <c r="Z37" s="52"/>
      <c r="AA37" s="52"/>
      <c r="AB37" s="52"/>
      <c r="AC37" s="52"/>
    </row>
    <row r="38" ht="22.5" customHeight="1">
      <c r="A38" s="352">
        <v>33.0</v>
      </c>
      <c r="B38" s="353"/>
      <c r="C38" s="105"/>
      <c r="D38" s="107"/>
      <c r="E38" s="120"/>
      <c r="F38" s="354"/>
      <c r="G38" s="126"/>
      <c r="H38" s="52"/>
      <c r="I38" s="52"/>
      <c r="J38" s="52"/>
      <c r="K38" s="52"/>
      <c r="L38" s="52"/>
      <c r="M38" s="52"/>
      <c r="N38" s="52"/>
      <c r="O38" s="52"/>
      <c r="P38" s="52"/>
      <c r="Q38" s="52"/>
      <c r="R38" s="52"/>
      <c r="S38" s="52"/>
      <c r="T38" s="52"/>
      <c r="U38" s="52"/>
      <c r="V38" s="52"/>
      <c r="W38" s="52"/>
      <c r="X38" s="52"/>
      <c r="Y38" s="52"/>
      <c r="Z38" s="52"/>
      <c r="AA38" s="52"/>
      <c r="AB38" s="52"/>
      <c r="AC38" s="52"/>
    </row>
    <row r="39" ht="22.5" customHeight="1">
      <c r="A39" s="352">
        <v>34.0</v>
      </c>
      <c r="B39" s="353"/>
      <c r="C39" s="105"/>
      <c r="D39" s="107"/>
      <c r="E39" s="120"/>
      <c r="F39" s="354"/>
      <c r="G39" s="126"/>
      <c r="H39" s="52"/>
      <c r="I39" s="52"/>
      <c r="J39" s="52"/>
      <c r="K39" s="52"/>
      <c r="L39" s="52"/>
      <c r="M39" s="52"/>
      <c r="N39" s="52"/>
      <c r="O39" s="52"/>
      <c r="P39" s="52"/>
      <c r="Q39" s="52"/>
      <c r="R39" s="52"/>
      <c r="S39" s="52"/>
      <c r="T39" s="52"/>
      <c r="U39" s="52"/>
      <c r="V39" s="52"/>
      <c r="W39" s="52"/>
      <c r="X39" s="52"/>
      <c r="Y39" s="52"/>
      <c r="Z39" s="52"/>
      <c r="AA39" s="52"/>
      <c r="AB39" s="52"/>
      <c r="AC39" s="52"/>
    </row>
    <row r="40" ht="22.5" customHeight="1">
      <c r="A40" s="352">
        <v>35.0</v>
      </c>
      <c r="B40" s="353"/>
      <c r="C40" s="105"/>
      <c r="D40" s="107"/>
      <c r="E40" s="120"/>
      <c r="F40" s="354"/>
      <c r="G40" s="126"/>
      <c r="H40" s="52"/>
      <c r="I40" s="52"/>
      <c r="J40" s="52"/>
      <c r="K40" s="52"/>
      <c r="L40" s="52"/>
      <c r="M40" s="52"/>
      <c r="N40" s="52"/>
      <c r="O40" s="52"/>
      <c r="P40" s="52"/>
      <c r="Q40" s="52"/>
      <c r="R40" s="52"/>
      <c r="S40" s="52"/>
      <c r="T40" s="52"/>
      <c r="U40" s="52"/>
      <c r="V40" s="52"/>
      <c r="W40" s="52"/>
      <c r="X40" s="52"/>
      <c r="Y40" s="52"/>
      <c r="Z40" s="52"/>
      <c r="AA40" s="52"/>
      <c r="AB40" s="52"/>
      <c r="AC40" s="52"/>
    </row>
    <row r="41" ht="22.5" customHeight="1">
      <c r="A41" s="352">
        <v>36.0</v>
      </c>
      <c r="B41" s="353"/>
      <c r="C41" s="105"/>
      <c r="D41" s="107"/>
      <c r="E41" s="120"/>
      <c r="F41" s="354"/>
      <c r="G41" s="126"/>
      <c r="H41" s="52"/>
      <c r="I41" s="52"/>
      <c r="J41" s="52"/>
      <c r="K41" s="52"/>
      <c r="L41" s="52"/>
      <c r="M41" s="52"/>
      <c r="N41" s="52"/>
      <c r="O41" s="52"/>
      <c r="P41" s="52"/>
      <c r="Q41" s="52"/>
      <c r="R41" s="52"/>
      <c r="S41" s="52"/>
      <c r="T41" s="52"/>
      <c r="U41" s="52"/>
      <c r="V41" s="52"/>
      <c r="W41" s="52"/>
      <c r="X41" s="52"/>
      <c r="Y41" s="52"/>
      <c r="Z41" s="52"/>
      <c r="AA41" s="52"/>
      <c r="AB41" s="52"/>
      <c r="AC41" s="52"/>
    </row>
    <row r="42" ht="22.5" customHeight="1">
      <c r="A42" s="352">
        <v>37.0</v>
      </c>
      <c r="B42" s="353"/>
      <c r="C42" s="105"/>
      <c r="D42" s="107"/>
      <c r="E42" s="120"/>
      <c r="F42" s="354"/>
      <c r="G42" s="126"/>
      <c r="H42" s="52"/>
      <c r="I42" s="52"/>
      <c r="J42" s="52"/>
      <c r="K42" s="52"/>
      <c r="L42" s="52"/>
      <c r="M42" s="52"/>
      <c r="N42" s="52"/>
      <c r="O42" s="52"/>
      <c r="P42" s="52"/>
      <c r="Q42" s="52"/>
      <c r="R42" s="52"/>
      <c r="S42" s="52"/>
      <c r="T42" s="52"/>
      <c r="U42" s="52"/>
      <c r="V42" s="52"/>
      <c r="W42" s="52"/>
      <c r="X42" s="52"/>
      <c r="Y42" s="52"/>
      <c r="Z42" s="52"/>
      <c r="AA42" s="52"/>
      <c r="AB42" s="52"/>
      <c r="AC42" s="52"/>
    </row>
    <row r="43" ht="22.5" customHeight="1">
      <c r="A43" s="352">
        <v>38.0</v>
      </c>
      <c r="B43" s="353"/>
      <c r="C43" s="105"/>
      <c r="D43" s="107"/>
      <c r="E43" s="120"/>
      <c r="F43" s="354"/>
      <c r="G43" s="126"/>
      <c r="H43" s="52"/>
      <c r="I43" s="52"/>
      <c r="J43" s="52"/>
      <c r="K43" s="52"/>
      <c r="L43" s="52"/>
      <c r="M43" s="52"/>
      <c r="N43" s="52"/>
      <c r="O43" s="52"/>
      <c r="P43" s="52"/>
      <c r="Q43" s="52"/>
      <c r="R43" s="52"/>
      <c r="S43" s="52"/>
      <c r="T43" s="52"/>
      <c r="U43" s="52"/>
      <c r="V43" s="52"/>
      <c r="W43" s="52"/>
      <c r="X43" s="52"/>
      <c r="Y43" s="52"/>
      <c r="Z43" s="52"/>
      <c r="AA43" s="52"/>
      <c r="AB43" s="52"/>
      <c r="AC43" s="52"/>
    </row>
    <row r="44" ht="22.5" customHeight="1">
      <c r="A44" s="352">
        <v>39.0</v>
      </c>
      <c r="B44" s="353"/>
      <c r="C44" s="105"/>
      <c r="D44" s="107"/>
      <c r="E44" s="120"/>
      <c r="F44" s="354"/>
      <c r="G44" s="126"/>
      <c r="H44" s="52"/>
      <c r="I44" s="52"/>
      <c r="J44" s="52"/>
      <c r="K44" s="52"/>
      <c r="L44" s="52"/>
      <c r="M44" s="52"/>
      <c r="N44" s="52"/>
      <c r="O44" s="52"/>
      <c r="P44" s="52"/>
      <c r="Q44" s="52"/>
      <c r="R44" s="52"/>
      <c r="S44" s="52"/>
      <c r="T44" s="52"/>
      <c r="U44" s="52"/>
      <c r="V44" s="52"/>
      <c r="W44" s="52"/>
      <c r="X44" s="52"/>
      <c r="Y44" s="52"/>
      <c r="Z44" s="52"/>
      <c r="AA44" s="52"/>
      <c r="AB44" s="52"/>
      <c r="AC44" s="52"/>
    </row>
    <row r="45" ht="22.5" customHeight="1">
      <c r="A45" s="352">
        <v>40.0</v>
      </c>
      <c r="B45" s="353"/>
      <c r="C45" s="105"/>
      <c r="D45" s="107"/>
      <c r="E45" s="120"/>
      <c r="F45" s="354"/>
      <c r="G45" s="126"/>
      <c r="H45" s="52"/>
      <c r="I45" s="52"/>
      <c r="J45" s="52"/>
      <c r="K45" s="52"/>
      <c r="L45" s="52"/>
      <c r="M45" s="52"/>
      <c r="N45" s="52"/>
      <c r="O45" s="52"/>
      <c r="P45" s="52"/>
      <c r="Q45" s="52"/>
      <c r="R45" s="52"/>
      <c r="S45" s="52"/>
      <c r="T45" s="52"/>
      <c r="U45" s="52"/>
      <c r="V45" s="52"/>
      <c r="W45" s="52"/>
      <c r="X45" s="52"/>
      <c r="Y45" s="52"/>
      <c r="Z45" s="52"/>
      <c r="AA45" s="52"/>
      <c r="AB45" s="52"/>
      <c r="AC45" s="52"/>
    </row>
    <row r="46" ht="22.5" customHeight="1">
      <c r="A46" s="352">
        <v>41.0</v>
      </c>
      <c r="B46" s="353"/>
      <c r="C46" s="105"/>
      <c r="D46" s="107"/>
      <c r="E46" s="120"/>
      <c r="F46" s="354"/>
      <c r="G46" s="126"/>
      <c r="H46" s="52"/>
      <c r="I46" s="52"/>
      <c r="J46" s="52"/>
      <c r="K46" s="52"/>
      <c r="L46" s="52"/>
      <c r="M46" s="52"/>
      <c r="N46" s="52"/>
      <c r="O46" s="52"/>
      <c r="P46" s="52"/>
      <c r="Q46" s="52"/>
      <c r="R46" s="52"/>
      <c r="S46" s="52"/>
      <c r="T46" s="52"/>
      <c r="U46" s="52"/>
      <c r="V46" s="52"/>
      <c r="W46" s="52"/>
      <c r="X46" s="52"/>
      <c r="Y46" s="52"/>
      <c r="Z46" s="52"/>
      <c r="AA46" s="52"/>
      <c r="AB46" s="52"/>
      <c r="AC46" s="52"/>
    </row>
    <row r="47" ht="22.5" customHeight="1">
      <c r="A47" s="352">
        <v>42.0</v>
      </c>
      <c r="B47" s="353"/>
      <c r="C47" s="105"/>
      <c r="D47" s="107"/>
      <c r="E47" s="120"/>
      <c r="F47" s="354"/>
      <c r="G47" s="126"/>
      <c r="H47" s="52"/>
      <c r="I47" s="52"/>
      <c r="J47" s="52"/>
      <c r="K47" s="52"/>
      <c r="L47" s="52"/>
      <c r="M47" s="52"/>
      <c r="N47" s="52"/>
      <c r="O47" s="52"/>
      <c r="P47" s="52"/>
      <c r="Q47" s="52"/>
      <c r="R47" s="52"/>
      <c r="S47" s="52"/>
      <c r="T47" s="52"/>
      <c r="U47" s="52"/>
      <c r="V47" s="52"/>
      <c r="W47" s="52"/>
      <c r="X47" s="52"/>
      <c r="Y47" s="52"/>
      <c r="Z47" s="52"/>
      <c r="AA47" s="52"/>
      <c r="AB47" s="52"/>
      <c r="AC47" s="52"/>
    </row>
    <row r="48" ht="22.5" customHeight="1">
      <c r="A48" s="352">
        <v>43.0</v>
      </c>
      <c r="B48" s="353"/>
      <c r="C48" s="105"/>
      <c r="D48" s="107"/>
      <c r="E48" s="120"/>
      <c r="F48" s="354"/>
      <c r="G48" s="126"/>
      <c r="H48" s="52"/>
      <c r="I48" s="52"/>
      <c r="J48" s="52"/>
      <c r="K48" s="52"/>
      <c r="L48" s="52"/>
      <c r="M48" s="52"/>
      <c r="N48" s="52"/>
      <c r="O48" s="52"/>
      <c r="P48" s="52"/>
      <c r="Q48" s="52"/>
      <c r="R48" s="52"/>
      <c r="S48" s="52"/>
      <c r="T48" s="52"/>
      <c r="U48" s="52"/>
      <c r="V48" s="52"/>
      <c r="W48" s="52"/>
      <c r="X48" s="52"/>
      <c r="Y48" s="52"/>
      <c r="Z48" s="52"/>
      <c r="AA48" s="52"/>
      <c r="AB48" s="52"/>
      <c r="AC48" s="52"/>
    </row>
    <row r="49" ht="22.5" customHeight="1">
      <c r="A49" s="352">
        <v>44.0</v>
      </c>
      <c r="B49" s="353"/>
      <c r="C49" s="105"/>
      <c r="D49" s="107"/>
      <c r="E49" s="120"/>
      <c r="F49" s="354"/>
      <c r="G49" s="126"/>
      <c r="H49" s="52"/>
      <c r="I49" s="52"/>
      <c r="J49" s="52"/>
      <c r="K49" s="52"/>
      <c r="L49" s="52"/>
      <c r="M49" s="52"/>
      <c r="N49" s="52"/>
      <c r="O49" s="52"/>
      <c r="P49" s="52"/>
      <c r="Q49" s="52"/>
      <c r="R49" s="52"/>
      <c r="S49" s="52"/>
      <c r="T49" s="52"/>
      <c r="U49" s="52"/>
      <c r="V49" s="52"/>
      <c r="W49" s="52"/>
      <c r="X49" s="52"/>
      <c r="Y49" s="52"/>
      <c r="Z49" s="52"/>
      <c r="AA49" s="52"/>
      <c r="AB49" s="52"/>
      <c r="AC49" s="52"/>
    </row>
    <row r="50" ht="22.5" customHeight="1">
      <c r="A50" s="352">
        <v>45.0</v>
      </c>
      <c r="B50" s="353"/>
      <c r="C50" s="105"/>
      <c r="D50" s="107"/>
      <c r="E50" s="120"/>
      <c r="F50" s="354"/>
      <c r="G50" s="126"/>
      <c r="H50" s="52"/>
      <c r="I50" s="52"/>
      <c r="J50" s="52"/>
      <c r="K50" s="52"/>
      <c r="L50" s="52"/>
      <c r="M50" s="52"/>
      <c r="N50" s="52"/>
      <c r="O50" s="52"/>
      <c r="P50" s="52"/>
      <c r="Q50" s="52"/>
      <c r="R50" s="52"/>
      <c r="S50" s="52"/>
      <c r="T50" s="52"/>
      <c r="U50" s="52"/>
      <c r="V50" s="52"/>
      <c r="W50" s="52"/>
      <c r="X50" s="52"/>
      <c r="Y50" s="52"/>
      <c r="Z50" s="52"/>
      <c r="AA50" s="52"/>
      <c r="AB50" s="52"/>
      <c r="AC50" s="52"/>
    </row>
    <row r="51" ht="22.5" customHeight="1">
      <c r="A51" s="352">
        <v>46.0</v>
      </c>
      <c r="B51" s="353"/>
      <c r="C51" s="105"/>
      <c r="D51" s="107"/>
      <c r="E51" s="120"/>
      <c r="F51" s="354"/>
      <c r="G51" s="126"/>
      <c r="H51" s="52"/>
      <c r="I51" s="52"/>
      <c r="J51" s="52"/>
      <c r="K51" s="52"/>
      <c r="L51" s="52"/>
      <c r="M51" s="52"/>
      <c r="N51" s="52"/>
      <c r="O51" s="52"/>
      <c r="P51" s="52"/>
      <c r="Q51" s="52"/>
      <c r="R51" s="52"/>
      <c r="S51" s="52"/>
      <c r="T51" s="52"/>
      <c r="U51" s="52"/>
      <c r="V51" s="52"/>
      <c r="W51" s="52"/>
      <c r="X51" s="52"/>
      <c r="Y51" s="52"/>
      <c r="Z51" s="52"/>
      <c r="AA51" s="52"/>
      <c r="AB51" s="52"/>
      <c r="AC51" s="52"/>
    </row>
    <row r="52" ht="22.5" customHeight="1">
      <c r="A52" s="352">
        <v>47.0</v>
      </c>
      <c r="B52" s="353"/>
      <c r="C52" s="105"/>
      <c r="D52" s="107"/>
      <c r="E52" s="120"/>
      <c r="F52" s="354"/>
      <c r="G52" s="126"/>
      <c r="H52" s="52"/>
      <c r="I52" s="52"/>
      <c r="J52" s="52"/>
      <c r="K52" s="52"/>
      <c r="L52" s="52"/>
      <c r="M52" s="52"/>
      <c r="N52" s="52"/>
      <c r="O52" s="52"/>
      <c r="P52" s="52"/>
      <c r="Q52" s="52"/>
      <c r="R52" s="52"/>
      <c r="S52" s="52"/>
      <c r="T52" s="52"/>
      <c r="U52" s="52"/>
      <c r="V52" s="52"/>
      <c r="W52" s="52"/>
      <c r="X52" s="52"/>
      <c r="Y52" s="52"/>
      <c r="Z52" s="52"/>
      <c r="AA52" s="52"/>
      <c r="AB52" s="52"/>
      <c r="AC52" s="52"/>
    </row>
    <row r="53" ht="22.5" customHeight="1">
      <c r="A53" s="352">
        <v>48.0</v>
      </c>
      <c r="B53" s="353"/>
      <c r="C53" s="105"/>
      <c r="D53" s="107"/>
      <c r="E53" s="120"/>
      <c r="F53" s="354"/>
      <c r="G53" s="126"/>
      <c r="H53" s="52"/>
      <c r="I53" s="52"/>
      <c r="J53" s="52"/>
      <c r="K53" s="52"/>
      <c r="L53" s="52"/>
      <c r="M53" s="52"/>
      <c r="N53" s="52"/>
      <c r="O53" s="52"/>
      <c r="P53" s="52"/>
      <c r="Q53" s="52"/>
      <c r="R53" s="52"/>
      <c r="S53" s="52"/>
      <c r="T53" s="52"/>
      <c r="U53" s="52"/>
      <c r="V53" s="52"/>
      <c r="W53" s="52"/>
      <c r="X53" s="52"/>
      <c r="Y53" s="52"/>
      <c r="Z53" s="52"/>
      <c r="AA53" s="52"/>
      <c r="AB53" s="52"/>
      <c r="AC53" s="52"/>
    </row>
    <row r="54" ht="22.5" customHeight="1">
      <c r="A54" s="352">
        <v>49.0</v>
      </c>
      <c r="B54" s="353"/>
      <c r="C54" s="105"/>
      <c r="D54" s="107"/>
      <c r="E54" s="120"/>
      <c r="F54" s="354"/>
      <c r="G54" s="126"/>
      <c r="H54" s="52"/>
      <c r="I54" s="52"/>
      <c r="J54" s="52"/>
      <c r="K54" s="52"/>
      <c r="L54" s="52"/>
      <c r="M54" s="52"/>
      <c r="N54" s="52"/>
      <c r="O54" s="52"/>
      <c r="P54" s="52"/>
      <c r="Q54" s="52"/>
      <c r="R54" s="52"/>
      <c r="S54" s="52"/>
      <c r="T54" s="52"/>
      <c r="U54" s="52"/>
      <c r="V54" s="52"/>
      <c r="W54" s="52"/>
      <c r="X54" s="52"/>
      <c r="Y54" s="52"/>
      <c r="Z54" s="52"/>
      <c r="AA54" s="52"/>
      <c r="AB54" s="52"/>
      <c r="AC54" s="52"/>
    </row>
    <row r="55" ht="22.5" customHeight="1">
      <c r="A55" s="352">
        <v>50.0</v>
      </c>
      <c r="B55" s="353"/>
      <c r="C55" s="105"/>
      <c r="D55" s="107"/>
      <c r="E55" s="120"/>
      <c r="F55" s="354"/>
      <c r="G55" s="126"/>
      <c r="H55" s="52"/>
      <c r="I55" s="52"/>
      <c r="J55" s="52"/>
      <c r="K55" s="52"/>
      <c r="L55" s="52"/>
      <c r="M55" s="52"/>
      <c r="N55" s="52"/>
      <c r="O55" s="52"/>
      <c r="P55" s="52"/>
      <c r="Q55" s="52"/>
      <c r="R55" s="52"/>
      <c r="S55" s="52"/>
      <c r="T55" s="52"/>
      <c r="U55" s="52"/>
      <c r="V55" s="52"/>
      <c r="W55" s="52"/>
      <c r="X55" s="52"/>
      <c r="Y55" s="52"/>
      <c r="Z55" s="52"/>
      <c r="AA55" s="52"/>
      <c r="AB55" s="52"/>
      <c r="AC55" s="52"/>
    </row>
    <row r="56">
      <c r="A56" s="52"/>
      <c r="B56" s="350"/>
      <c r="C56" s="52"/>
      <c r="D56" s="52"/>
      <c r="E56" s="52"/>
      <c r="F56" s="351"/>
      <c r="G56" s="52"/>
      <c r="H56" s="52"/>
      <c r="I56" s="52"/>
      <c r="J56" s="52"/>
      <c r="K56" s="52"/>
      <c r="L56" s="52"/>
      <c r="M56" s="52"/>
      <c r="N56" s="52"/>
      <c r="O56" s="52"/>
      <c r="P56" s="52"/>
      <c r="Q56" s="52"/>
      <c r="R56" s="52"/>
      <c r="S56" s="52"/>
      <c r="T56" s="52"/>
      <c r="U56" s="52"/>
      <c r="V56" s="52"/>
      <c r="W56" s="52"/>
      <c r="X56" s="52"/>
      <c r="Y56" s="52"/>
      <c r="Z56" s="52"/>
      <c r="AA56" s="52"/>
      <c r="AB56" s="52"/>
      <c r="AC56" s="52"/>
    </row>
    <row r="57">
      <c r="A57" s="52"/>
      <c r="B57" s="350"/>
      <c r="C57" s="52"/>
      <c r="D57" s="52"/>
      <c r="E57" s="52"/>
      <c r="F57" s="351"/>
      <c r="G57" s="52"/>
      <c r="H57" s="52"/>
      <c r="I57" s="52"/>
      <c r="J57" s="52"/>
      <c r="K57" s="52"/>
      <c r="L57" s="52"/>
      <c r="M57" s="52"/>
      <c r="N57" s="52"/>
      <c r="O57" s="52"/>
      <c r="P57" s="52"/>
      <c r="Q57" s="52"/>
      <c r="R57" s="52"/>
      <c r="S57" s="52"/>
      <c r="T57" s="52"/>
      <c r="U57" s="52"/>
      <c r="V57" s="52"/>
      <c r="W57" s="52"/>
      <c r="X57" s="52"/>
      <c r="Y57" s="52"/>
      <c r="Z57" s="52"/>
      <c r="AA57" s="52"/>
      <c r="AB57" s="52"/>
      <c r="AC57" s="52"/>
    </row>
    <row r="58">
      <c r="A58" s="52"/>
      <c r="B58" s="350"/>
      <c r="C58" s="52"/>
      <c r="D58" s="52"/>
      <c r="E58" s="52"/>
      <c r="F58" s="351"/>
      <c r="G58" s="52"/>
      <c r="H58" s="52"/>
      <c r="I58" s="52"/>
      <c r="J58" s="52"/>
      <c r="K58" s="52"/>
      <c r="L58" s="52"/>
      <c r="M58" s="52"/>
      <c r="N58" s="52"/>
      <c r="O58" s="52"/>
      <c r="P58" s="52"/>
      <c r="Q58" s="52"/>
      <c r="R58" s="52"/>
      <c r="S58" s="52"/>
      <c r="T58" s="52"/>
      <c r="U58" s="52"/>
      <c r="V58" s="52"/>
      <c r="W58" s="52"/>
      <c r="X58" s="52"/>
      <c r="Y58" s="52"/>
      <c r="Z58" s="52"/>
      <c r="AA58" s="52"/>
      <c r="AB58" s="52"/>
      <c r="AC58" s="52"/>
    </row>
    <row r="59">
      <c r="A59" s="52"/>
      <c r="B59" s="350"/>
      <c r="C59" s="52"/>
      <c r="D59" s="52"/>
      <c r="E59" s="52"/>
      <c r="F59" s="351"/>
      <c r="G59" s="52"/>
      <c r="H59" s="52"/>
      <c r="I59" s="52"/>
      <c r="J59" s="52"/>
      <c r="K59" s="52"/>
      <c r="L59" s="52"/>
      <c r="M59" s="52"/>
      <c r="N59" s="52"/>
      <c r="O59" s="52"/>
      <c r="P59" s="52"/>
      <c r="Q59" s="52"/>
      <c r="R59" s="52"/>
      <c r="S59" s="52"/>
      <c r="T59" s="52"/>
      <c r="U59" s="52"/>
      <c r="V59" s="52"/>
      <c r="W59" s="52"/>
      <c r="X59" s="52"/>
      <c r="Y59" s="52"/>
      <c r="Z59" s="52"/>
      <c r="AA59" s="52"/>
      <c r="AB59" s="52"/>
      <c r="AC59" s="52"/>
    </row>
    <row r="60">
      <c r="A60" s="52"/>
      <c r="B60" s="350"/>
      <c r="C60" s="52"/>
      <c r="D60" s="52"/>
      <c r="E60" s="52"/>
      <c r="F60" s="351"/>
      <c r="G60" s="52"/>
      <c r="H60" s="52"/>
      <c r="I60" s="52"/>
      <c r="J60" s="52"/>
      <c r="K60" s="52"/>
      <c r="L60" s="52"/>
      <c r="M60" s="52"/>
      <c r="N60" s="52"/>
      <c r="O60" s="52"/>
      <c r="P60" s="52"/>
      <c r="Q60" s="52"/>
      <c r="R60" s="52"/>
      <c r="S60" s="52"/>
      <c r="T60" s="52"/>
      <c r="U60" s="52"/>
      <c r="V60" s="52"/>
      <c r="W60" s="52"/>
      <c r="X60" s="52"/>
      <c r="Y60" s="52"/>
      <c r="Z60" s="52"/>
      <c r="AA60" s="52"/>
      <c r="AB60" s="52"/>
      <c r="AC60" s="52"/>
    </row>
    <row r="61">
      <c r="A61" s="52"/>
      <c r="B61" s="350"/>
      <c r="C61" s="52"/>
      <c r="D61" s="52"/>
      <c r="E61" s="52"/>
      <c r="F61" s="351"/>
      <c r="G61" s="52"/>
      <c r="H61" s="52"/>
      <c r="I61" s="52"/>
      <c r="J61" s="52"/>
      <c r="K61" s="52"/>
      <c r="L61" s="52"/>
      <c r="M61" s="52"/>
      <c r="N61" s="52"/>
      <c r="O61" s="52"/>
      <c r="P61" s="52"/>
      <c r="Q61" s="52"/>
      <c r="R61" s="52"/>
      <c r="S61" s="52"/>
      <c r="T61" s="52"/>
      <c r="U61" s="52"/>
      <c r="V61" s="52"/>
      <c r="W61" s="52"/>
      <c r="X61" s="52"/>
      <c r="Y61" s="52"/>
      <c r="Z61" s="52"/>
      <c r="AA61" s="52"/>
      <c r="AB61" s="52"/>
      <c r="AC61" s="52"/>
    </row>
    <row r="62">
      <c r="A62" s="52"/>
      <c r="B62" s="350"/>
      <c r="C62" s="52"/>
      <c r="D62" s="52"/>
      <c r="E62" s="52"/>
      <c r="F62" s="351"/>
      <c r="G62" s="52"/>
      <c r="H62" s="52"/>
      <c r="I62" s="52"/>
      <c r="J62" s="52"/>
      <c r="K62" s="52"/>
      <c r="L62" s="52"/>
      <c r="M62" s="52"/>
      <c r="N62" s="52"/>
      <c r="O62" s="52"/>
      <c r="P62" s="52"/>
      <c r="Q62" s="52"/>
      <c r="R62" s="52"/>
      <c r="S62" s="52"/>
      <c r="T62" s="52"/>
      <c r="U62" s="52"/>
      <c r="V62" s="52"/>
      <c r="W62" s="52"/>
      <c r="X62" s="52"/>
      <c r="Y62" s="52"/>
      <c r="Z62" s="52"/>
      <c r="AA62" s="52"/>
      <c r="AB62" s="52"/>
      <c r="AC62" s="52"/>
    </row>
    <row r="63">
      <c r="A63" s="52"/>
      <c r="B63" s="350"/>
      <c r="C63" s="52"/>
      <c r="D63" s="52"/>
      <c r="E63" s="52"/>
      <c r="F63" s="351"/>
      <c r="G63" s="52"/>
      <c r="H63" s="52"/>
      <c r="I63" s="52"/>
      <c r="J63" s="52"/>
      <c r="K63" s="52"/>
      <c r="L63" s="52"/>
      <c r="M63" s="52"/>
      <c r="N63" s="52"/>
      <c r="O63" s="52"/>
      <c r="P63" s="52"/>
      <c r="Q63" s="52"/>
      <c r="R63" s="52"/>
      <c r="S63" s="52"/>
      <c r="T63" s="52"/>
      <c r="U63" s="52"/>
      <c r="V63" s="52"/>
      <c r="W63" s="52"/>
      <c r="X63" s="52"/>
      <c r="Y63" s="52"/>
      <c r="Z63" s="52"/>
      <c r="AA63" s="52"/>
      <c r="AB63" s="52"/>
      <c r="AC63" s="52"/>
    </row>
    <row r="64">
      <c r="A64" s="52"/>
      <c r="B64" s="350"/>
      <c r="C64" s="52"/>
      <c r="D64" s="52"/>
      <c r="E64" s="52"/>
      <c r="F64" s="351"/>
      <c r="G64" s="52"/>
      <c r="H64" s="52"/>
      <c r="I64" s="52"/>
      <c r="J64" s="52"/>
      <c r="K64" s="52"/>
      <c r="L64" s="52"/>
      <c r="M64" s="52"/>
      <c r="N64" s="52"/>
      <c r="O64" s="52"/>
      <c r="P64" s="52"/>
      <c r="Q64" s="52"/>
      <c r="R64" s="52"/>
      <c r="S64" s="52"/>
      <c r="T64" s="52"/>
      <c r="U64" s="52"/>
      <c r="V64" s="52"/>
      <c r="W64" s="52"/>
      <c r="X64" s="52"/>
      <c r="Y64" s="52"/>
      <c r="Z64" s="52"/>
      <c r="AA64" s="52"/>
      <c r="AB64" s="52"/>
      <c r="AC64" s="52"/>
    </row>
    <row r="65">
      <c r="A65" s="52"/>
      <c r="B65" s="350"/>
      <c r="C65" s="52"/>
      <c r="D65" s="52"/>
      <c r="E65" s="52"/>
      <c r="F65" s="351"/>
      <c r="G65" s="52"/>
      <c r="H65" s="52"/>
      <c r="I65" s="52"/>
      <c r="J65" s="52"/>
      <c r="K65" s="52"/>
      <c r="L65" s="52"/>
      <c r="M65" s="52"/>
      <c r="N65" s="52"/>
      <c r="O65" s="52"/>
      <c r="P65" s="52"/>
      <c r="Q65" s="52"/>
      <c r="R65" s="52"/>
      <c r="S65" s="52"/>
      <c r="T65" s="52"/>
      <c r="U65" s="52"/>
      <c r="V65" s="52"/>
      <c r="W65" s="52"/>
      <c r="X65" s="52"/>
      <c r="Y65" s="52"/>
      <c r="Z65" s="52"/>
      <c r="AA65" s="52"/>
      <c r="AB65" s="52"/>
      <c r="AC65" s="52"/>
    </row>
    <row r="66">
      <c r="A66" s="52"/>
      <c r="B66" s="350"/>
      <c r="C66" s="52"/>
      <c r="D66" s="52"/>
      <c r="E66" s="52"/>
      <c r="F66" s="351"/>
      <c r="G66" s="52"/>
      <c r="H66" s="52"/>
      <c r="I66" s="52"/>
      <c r="J66" s="52"/>
      <c r="K66" s="52"/>
      <c r="L66" s="52"/>
      <c r="M66" s="52"/>
      <c r="N66" s="52"/>
      <c r="O66" s="52"/>
      <c r="P66" s="52"/>
      <c r="Q66" s="52"/>
      <c r="R66" s="52"/>
      <c r="S66" s="52"/>
      <c r="T66" s="52"/>
      <c r="U66" s="52"/>
      <c r="V66" s="52"/>
      <c r="W66" s="52"/>
      <c r="X66" s="52"/>
      <c r="Y66" s="52"/>
      <c r="Z66" s="52"/>
      <c r="AA66" s="52"/>
      <c r="AB66" s="52"/>
      <c r="AC66" s="52"/>
    </row>
    <row r="67">
      <c r="A67" s="52"/>
      <c r="B67" s="350"/>
      <c r="C67" s="52"/>
      <c r="D67" s="52"/>
      <c r="E67" s="52"/>
      <c r="F67" s="351"/>
      <c r="G67" s="52"/>
      <c r="H67" s="52"/>
      <c r="I67" s="52"/>
      <c r="J67" s="52"/>
      <c r="K67" s="52"/>
      <c r="L67" s="52"/>
      <c r="M67" s="52"/>
      <c r="N67" s="52"/>
      <c r="O67" s="52"/>
      <c r="P67" s="52"/>
      <c r="Q67" s="52"/>
      <c r="R67" s="52"/>
      <c r="S67" s="52"/>
      <c r="T67" s="52"/>
      <c r="U67" s="52"/>
      <c r="V67" s="52"/>
      <c r="W67" s="52"/>
      <c r="X67" s="52"/>
      <c r="Y67" s="52"/>
      <c r="Z67" s="52"/>
      <c r="AA67" s="52"/>
      <c r="AB67" s="52"/>
      <c r="AC67" s="52"/>
    </row>
    <row r="68">
      <c r="A68" s="52"/>
      <c r="B68" s="350"/>
      <c r="C68" s="52"/>
      <c r="D68" s="52"/>
      <c r="E68" s="52"/>
      <c r="F68" s="351"/>
      <c r="G68" s="52"/>
      <c r="H68" s="52"/>
      <c r="I68" s="52"/>
      <c r="J68" s="52"/>
      <c r="K68" s="52"/>
      <c r="L68" s="52"/>
      <c r="M68" s="52"/>
      <c r="N68" s="52"/>
      <c r="O68" s="52"/>
      <c r="P68" s="52"/>
      <c r="Q68" s="52"/>
      <c r="R68" s="52"/>
      <c r="S68" s="52"/>
      <c r="T68" s="52"/>
      <c r="U68" s="52"/>
      <c r="V68" s="52"/>
      <c r="W68" s="52"/>
      <c r="X68" s="52"/>
      <c r="Y68" s="52"/>
      <c r="Z68" s="52"/>
      <c r="AA68" s="52"/>
      <c r="AB68" s="52"/>
      <c r="AC68" s="52"/>
    </row>
    <row r="69">
      <c r="A69" s="52"/>
      <c r="B69" s="350"/>
      <c r="C69" s="52"/>
      <c r="D69" s="52"/>
      <c r="E69" s="52"/>
      <c r="F69" s="351"/>
      <c r="G69" s="52"/>
      <c r="H69" s="52"/>
      <c r="I69" s="52"/>
      <c r="J69" s="52"/>
      <c r="K69" s="52"/>
      <c r="L69" s="52"/>
      <c r="M69" s="52"/>
      <c r="N69" s="52"/>
      <c r="O69" s="52"/>
      <c r="P69" s="52"/>
      <c r="Q69" s="52"/>
      <c r="R69" s="52"/>
      <c r="S69" s="52"/>
      <c r="T69" s="52"/>
      <c r="U69" s="52"/>
      <c r="V69" s="52"/>
      <c r="W69" s="52"/>
      <c r="X69" s="52"/>
      <c r="Y69" s="52"/>
      <c r="Z69" s="52"/>
      <c r="AA69" s="52"/>
      <c r="AB69" s="52"/>
      <c r="AC69" s="52"/>
    </row>
    <row r="70">
      <c r="A70" s="52"/>
      <c r="B70" s="350"/>
      <c r="C70" s="52"/>
      <c r="D70" s="52"/>
      <c r="E70" s="52"/>
      <c r="F70" s="351"/>
      <c r="G70" s="52"/>
      <c r="H70" s="52"/>
      <c r="I70" s="52"/>
      <c r="J70" s="52"/>
      <c r="K70" s="52"/>
      <c r="L70" s="52"/>
      <c r="M70" s="52"/>
      <c r="N70" s="52"/>
      <c r="O70" s="52"/>
      <c r="P70" s="52"/>
      <c r="Q70" s="52"/>
      <c r="R70" s="52"/>
      <c r="S70" s="52"/>
      <c r="T70" s="52"/>
      <c r="U70" s="52"/>
      <c r="V70" s="52"/>
      <c r="W70" s="52"/>
      <c r="X70" s="52"/>
      <c r="Y70" s="52"/>
      <c r="Z70" s="52"/>
      <c r="AA70" s="52"/>
      <c r="AB70" s="52"/>
      <c r="AC70" s="52"/>
    </row>
    <row r="71">
      <c r="A71" s="52"/>
      <c r="B71" s="350"/>
      <c r="C71" s="52"/>
      <c r="D71" s="52"/>
      <c r="E71" s="52"/>
      <c r="F71" s="351"/>
      <c r="G71" s="52"/>
      <c r="H71" s="52"/>
      <c r="I71" s="52"/>
      <c r="J71" s="52"/>
      <c r="K71" s="52"/>
      <c r="L71" s="52"/>
      <c r="M71" s="52"/>
      <c r="N71" s="52"/>
      <c r="O71" s="52"/>
      <c r="P71" s="52"/>
      <c r="Q71" s="52"/>
      <c r="R71" s="52"/>
      <c r="S71" s="52"/>
      <c r="T71" s="52"/>
      <c r="U71" s="52"/>
      <c r="V71" s="52"/>
      <c r="W71" s="52"/>
      <c r="X71" s="52"/>
      <c r="Y71" s="52"/>
      <c r="Z71" s="52"/>
      <c r="AA71" s="52"/>
      <c r="AB71" s="52"/>
      <c r="AC71" s="52"/>
    </row>
    <row r="72">
      <c r="A72" s="52"/>
      <c r="B72" s="350"/>
      <c r="C72" s="52"/>
      <c r="D72" s="52"/>
      <c r="E72" s="52"/>
      <c r="F72" s="351"/>
      <c r="G72" s="52"/>
      <c r="H72" s="52"/>
      <c r="I72" s="52"/>
      <c r="J72" s="52"/>
      <c r="K72" s="52"/>
      <c r="L72" s="52"/>
      <c r="M72" s="52"/>
      <c r="N72" s="52"/>
      <c r="O72" s="52"/>
      <c r="P72" s="52"/>
      <c r="Q72" s="52"/>
      <c r="R72" s="52"/>
      <c r="S72" s="52"/>
      <c r="T72" s="52"/>
      <c r="U72" s="52"/>
      <c r="V72" s="52"/>
      <c r="W72" s="52"/>
      <c r="X72" s="52"/>
      <c r="Y72" s="52"/>
      <c r="Z72" s="52"/>
      <c r="AA72" s="52"/>
      <c r="AB72" s="52"/>
      <c r="AC72" s="52"/>
    </row>
    <row r="73">
      <c r="A73" s="52"/>
      <c r="B73" s="350"/>
      <c r="C73" s="52"/>
      <c r="D73" s="52"/>
      <c r="E73" s="52"/>
      <c r="F73" s="351"/>
      <c r="G73" s="52"/>
      <c r="H73" s="52"/>
      <c r="I73" s="52"/>
      <c r="J73" s="52"/>
      <c r="K73" s="52"/>
      <c r="L73" s="52"/>
      <c r="M73" s="52"/>
      <c r="N73" s="52"/>
      <c r="O73" s="52"/>
      <c r="P73" s="52"/>
      <c r="Q73" s="52"/>
      <c r="R73" s="52"/>
      <c r="S73" s="52"/>
      <c r="T73" s="52"/>
      <c r="U73" s="52"/>
      <c r="V73" s="52"/>
      <c r="W73" s="52"/>
      <c r="X73" s="52"/>
      <c r="Y73" s="52"/>
      <c r="Z73" s="52"/>
      <c r="AA73" s="52"/>
      <c r="AB73" s="52"/>
      <c r="AC73" s="52"/>
    </row>
    <row r="74">
      <c r="A74" s="52"/>
      <c r="B74" s="350"/>
      <c r="C74" s="52"/>
      <c r="D74" s="52"/>
      <c r="E74" s="52"/>
      <c r="F74" s="351"/>
      <c r="G74" s="52"/>
      <c r="H74" s="52"/>
      <c r="I74" s="52"/>
      <c r="J74" s="52"/>
      <c r="K74" s="52"/>
      <c r="L74" s="52"/>
      <c r="M74" s="52"/>
      <c r="N74" s="52"/>
      <c r="O74" s="52"/>
      <c r="P74" s="52"/>
      <c r="Q74" s="52"/>
      <c r="R74" s="52"/>
      <c r="S74" s="52"/>
      <c r="T74" s="52"/>
      <c r="U74" s="52"/>
      <c r="V74" s="52"/>
      <c r="W74" s="52"/>
      <c r="X74" s="52"/>
      <c r="Y74" s="52"/>
      <c r="Z74" s="52"/>
      <c r="AA74" s="52"/>
      <c r="AB74" s="52"/>
      <c r="AC74" s="52"/>
    </row>
    <row r="75">
      <c r="A75" s="52"/>
      <c r="B75" s="350"/>
      <c r="C75" s="52"/>
      <c r="D75" s="52"/>
      <c r="E75" s="52"/>
      <c r="F75" s="351"/>
      <c r="G75" s="52"/>
      <c r="H75" s="52"/>
      <c r="I75" s="52"/>
      <c r="J75" s="52"/>
      <c r="K75" s="52"/>
      <c r="L75" s="52"/>
      <c r="M75" s="52"/>
      <c r="N75" s="52"/>
      <c r="O75" s="52"/>
      <c r="P75" s="52"/>
      <c r="Q75" s="52"/>
      <c r="R75" s="52"/>
      <c r="S75" s="52"/>
      <c r="T75" s="52"/>
      <c r="U75" s="52"/>
      <c r="V75" s="52"/>
      <c r="W75" s="52"/>
      <c r="X75" s="52"/>
      <c r="Y75" s="52"/>
      <c r="Z75" s="52"/>
      <c r="AA75" s="52"/>
      <c r="AB75" s="52"/>
      <c r="AC75" s="52"/>
    </row>
    <row r="76">
      <c r="A76" s="52"/>
      <c r="B76" s="350"/>
      <c r="C76" s="52"/>
      <c r="D76" s="52"/>
      <c r="E76" s="52"/>
      <c r="F76" s="351"/>
      <c r="G76" s="52"/>
      <c r="H76" s="52"/>
      <c r="I76" s="52"/>
      <c r="J76" s="52"/>
      <c r="K76" s="52"/>
      <c r="L76" s="52"/>
      <c r="M76" s="52"/>
      <c r="N76" s="52"/>
      <c r="O76" s="52"/>
      <c r="P76" s="52"/>
      <c r="Q76" s="52"/>
      <c r="R76" s="52"/>
      <c r="S76" s="52"/>
      <c r="T76" s="52"/>
      <c r="U76" s="52"/>
      <c r="V76" s="52"/>
      <c r="W76" s="52"/>
      <c r="X76" s="52"/>
      <c r="Y76" s="52"/>
      <c r="Z76" s="52"/>
      <c r="AA76" s="52"/>
      <c r="AB76" s="52"/>
      <c r="AC76" s="52"/>
    </row>
    <row r="77">
      <c r="A77" s="52"/>
      <c r="B77" s="350"/>
      <c r="C77" s="52"/>
      <c r="D77" s="52"/>
      <c r="E77" s="52"/>
      <c r="F77" s="351"/>
      <c r="G77" s="52"/>
      <c r="H77" s="52"/>
      <c r="I77" s="52"/>
      <c r="J77" s="52"/>
      <c r="K77" s="52"/>
      <c r="L77" s="52"/>
      <c r="M77" s="52"/>
      <c r="N77" s="52"/>
      <c r="O77" s="52"/>
      <c r="P77" s="52"/>
      <c r="Q77" s="52"/>
      <c r="R77" s="52"/>
      <c r="S77" s="52"/>
      <c r="T77" s="52"/>
      <c r="U77" s="52"/>
      <c r="V77" s="52"/>
      <c r="W77" s="52"/>
      <c r="X77" s="52"/>
      <c r="Y77" s="52"/>
      <c r="Z77" s="52"/>
      <c r="AA77" s="52"/>
      <c r="AB77" s="52"/>
      <c r="AC77" s="52"/>
    </row>
    <row r="78">
      <c r="A78" s="52"/>
      <c r="B78" s="350"/>
      <c r="C78" s="52"/>
      <c r="D78" s="52"/>
      <c r="E78" s="52"/>
      <c r="F78" s="351"/>
      <c r="G78" s="52"/>
      <c r="H78" s="52"/>
      <c r="I78" s="52"/>
      <c r="J78" s="52"/>
      <c r="K78" s="52"/>
      <c r="L78" s="52"/>
      <c r="M78" s="52"/>
      <c r="N78" s="52"/>
      <c r="O78" s="52"/>
      <c r="P78" s="52"/>
      <c r="Q78" s="52"/>
      <c r="R78" s="52"/>
      <c r="S78" s="52"/>
      <c r="T78" s="52"/>
      <c r="U78" s="52"/>
      <c r="V78" s="52"/>
      <c r="W78" s="52"/>
      <c r="X78" s="52"/>
      <c r="Y78" s="52"/>
      <c r="Z78" s="52"/>
      <c r="AA78" s="52"/>
      <c r="AB78" s="52"/>
      <c r="AC78" s="52"/>
    </row>
    <row r="79">
      <c r="A79" s="52"/>
      <c r="B79" s="350"/>
      <c r="C79" s="52"/>
      <c r="D79" s="52"/>
      <c r="E79" s="52"/>
      <c r="F79" s="351"/>
      <c r="G79" s="52"/>
      <c r="H79" s="52"/>
      <c r="I79" s="52"/>
      <c r="J79" s="52"/>
      <c r="K79" s="52"/>
      <c r="L79" s="52"/>
      <c r="M79" s="52"/>
      <c r="N79" s="52"/>
      <c r="O79" s="52"/>
      <c r="P79" s="52"/>
      <c r="Q79" s="52"/>
      <c r="R79" s="52"/>
      <c r="S79" s="52"/>
      <c r="T79" s="52"/>
      <c r="U79" s="52"/>
      <c r="V79" s="52"/>
      <c r="W79" s="52"/>
      <c r="X79" s="52"/>
      <c r="Y79" s="52"/>
      <c r="Z79" s="52"/>
      <c r="AA79" s="52"/>
      <c r="AB79" s="52"/>
      <c r="AC79" s="52"/>
    </row>
    <row r="80">
      <c r="A80" s="52"/>
      <c r="B80" s="350"/>
      <c r="C80" s="52"/>
      <c r="D80" s="52"/>
      <c r="E80" s="52"/>
      <c r="F80" s="351"/>
      <c r="G80" s="52"/>
      <c r="H80" s="52"/>
      <c r="I80" s="52"/>
      <c r="J80" s="52"/>
      <c r="K80" s="52"/>
      <c r="L80" s="52"/>
      <c r="M80" s="52"/>
      <c r="N80" s="52"/>
      <c r="O80" s="52"/>
      <c r="P80" s="52"/>
      <c r="Q80" s="52"/>
      <c r="R80" s="52"/>
      <c r="S80" s="52"/>
      <c r="T80" s="52"/>
      <c r="U80" s="52"/>
      <c r="V80" s="52"/>
      <c r="W80" s="52"/>
      <c r="X80" s="52"/>
      <c r="Y80" s="52"/>
      <c r="Z80" s="52"/>
      <c r="AA80" s="52"/>
      <c r="AB80" s="52"/>
      <c r="AC80" s="52"/>
    </row>
    <row r="81">
      <c r="A81" s="52"/>
      <c r="B81" s="350"/>
      <c r="C81" s="52"/>
      <c r="D81" s="52"/>
      <c r="E81" s="52"/>
      <c r="F81" s="351"/>
      <c r="G81" s="52"/>
      <c r="H81" s="52"/>
      <c r="I81" s="52"/>
      <c r="J81" s="52"/>
      <c r="K81" s="52"/>
      <c r="L81" s="52"/>
      <c r="M81" s="52"/>
      <c r="N81" s="52"/>
      <c r="O81" s="52"/>
      <c r="P81" s="52"/>
      <c r="Q81" s="52"/>
      <c r="R81" s="52"/>
      <c r="S81" s="52"/>
      <c r="T81" s="52"/>
      <c r="U81" s="52"/>
      <c r="V81" s="52"/>
      <c r="W81" s="52"/>
      <c r="X81" s="52"/>
      <c r="Y81" s="52"/>
      <c r="Z81" s="52"/>
      <c r="AA81" s="52"/>
      <c r="AB81" s="52"/>
      <c r="AC81" s="52"/>
    </row>
    <row r="82">
      <c r="A82" s="52"/>
      <c r="B82" s="350"/>
      <c r="C82" s="52"/>
      <c r="D82" s="52"/>
      <c r="E82" s="52"/>
      <c r="F82" s="351"/>
      <c r="G82" s="52"/>
      <c r="H82" s="52"/>
      <c r="I82" s="52"/>
      <c r="J82" s="52"/>
      <c r="K82" s="52"/>
      <c r="L82" s="52"/>
      <c r="M82" s="52"/>
      <c r="N82" s="52"/>
      <c r="O82" s="52"/>
      <c r="P82" s="52"/>
      <c r="Q82" s="52"/>
      <c r="R82" s="52"/>
      <c r="S82" s="52"/>
      <c r="T82" s="52"/>
      <c r="U82" s="52"/>
      <c r="V82" s="52"/>
      <c r="W82" s="52"/>
      <c r="X82" s="52"/>
      <c r="Y82" s="52"/>
      <c r="Z82" s="52"/>
      <c r="AA82" s="52"/>
      <c r="AB82" s="52"/>
      <c r="AC82" s="52"/>
    </row>
    <row r="83">
      <c r="A83" s="52"/>
      <c r="B83" s="350"/>
      <c r="C83" s="52"/>
      <c r="D83" s="52"/>
      <c r="E83" s="52"/>
      <c r="F83" s="351"/>
      <c r="G83" s="52"/>
      <c r="H83" s="52"/>
      <c r="I83" s="52"/>
      <c r="J83" s="52"/>
      <c r="K83" s="52"/>
      <c r="L83" s="52"/>
      <c r="M83" s="52"/>
      <c r="N83" s="52"/>
      <c r="O83" s="52"/>
      <c r="P83" s="52"/>
      <c r="Q83" s="52"/>
      <c r="R83" s="52"/>
      <c r="S83" s="52"/>
      <c r="T83" s="52"/>
      <c r="U83" s="52"/>
      <c r="V83" s="52"/>
      <c r="W83" s="52"/>
      <c r="X83" s="52"/>
      <c r="Y83" s="52"/>
      <c r="Z83" s="52"/>
      <c r="AA83" s="52"/>
      <c r="AB83" s="52"/>
      <c r="AC83" s="52"/>
    </row>
    <row r="84">
      <c r="A84" s="52"/>
      <c r="B84" s="350"/>
      <c r="C84" s="52"/>
      <c r="D84" s="52"/>
      <c r="E84" s="52"/>
      <c r="F84" s="351"/>
      <c r="G84" s="52"/>
      <c r="H84" s="52"/>
      <c r="I84" s="52"/>
      <c r="J84" s="52"/>
      <c r="K84" s="52"/>
      <c r="L84" s="52"/>
      <c r="M84" s="52"/>
      <c r="N84" s="52"/>
      <c r="O84" s="52"/>
      <c r="P84" s="52"/>
      <c r="Q84" s="52"/>
      <c r="R84" s="52"/>
      <c r="S84" s="52"/>
      <c r="T84" s="52"/>
      <c r="U84" s="52"/>
      <c r="V84" s="52"/>
      <c r="W84" s="52"/>
      <c r="X84" s="52"/>
      <c r="Y84" s="52"/>
      <c r="Z84" s="52"/>
      <c r="AA84" s="52"/>
      <c r="AB84" s="52"/>
      <c r="AC84" s="52"/>
    </row>
    <row r="85">
      <c r="A85" s="52"/>
      <c r="B85" s="350"/>
      <c r="C85" s="52"/>
      <c r="D85" s="52"/>
      <c r="E85" s="52"/>
      <c r="F85" s="351"/>
      <c r="G85" s="52"/>
      <c r="H85" s="52"/>
      <c r="I85" s="52"/>
      <c r="J85" s="52"/>
      <c r="K85" s="52"/>
      <c r="L85" s="52"/>
      <c r="M85" s="52"/>
      <c r="N85" s="52"/>
      <c r="O85" s="52"/>
      <c r="P85" s="52"/>
      <c r="Q85" s="52"/>
      <c r="R85" s="52"/>
      <c r="S85" s="52"/>
      <c r="T85" s="52"/>
      <c r="U85" s="52"/>
      <c r="V85" s="52"/>
      <c r="W85" s="52"/>
      <c r="X85" s="52"/>
      <c r="Y85" s="52"/>
      <c r="Z85" s="52"/>
      <c r="AA85" s="52"/>
      <c r="AB85" s="52"/>
      <c r="AC85" s="52"/>
    </row>
    <row r="86">
      <c r="A86" s="52"/>
      <c r="B86" s="350"/>
      <c r="C86" s="52"/>
      <c r="D86" s="52"/>
      <c r="E86" s="52"/>
      <c r="F86" s="351"/>
      <c r="G86" s="52"/>
      <c r="H86" s="52"/>
      <c r="I86" s="52"/>
      <c r="J86" s="52"/>
      <c r="K86" s="52"/>
      <c r="L86" s="52"/>
      <c r="M86" s="52"/>
      <c r="N86" s="52"/>
      <c r="O86" s="52"/>
      <c r="P86" s="52"/>
      <c r="Q86" s="52"/>
      <c r="R86" s="52"/>
      <c r="S86" s="52"/>
      <c r="T86" s="52"/>
      <c r="U86" s="52"/>
      <c r="V86" s="52"/>
      <c r="W86" s="52"/>
      <c r="X86" s="52"/>
      <c r="Y86" s="52"/>
      <c r="Z86" s="52"/>
      <c r="AA86" s="52"/>
      <c r="AB86" s="52"/>
      <c r="AC86" s="52"/>
    </row>
    <row r="87">
      <c r="A87" s="52"/>
      <c r="B87" s="350"/>
      <c r="C87" s="52"/>
      <c r="D87" s="52"/>
      <c r="E87" s="52"/>
      <c r="F87" s="351"/>
      <c r="G87" s="52"/>
      <c r="H87" s="52"/>
      <c r="I87" s="52"/>
      <c r="J87" s="52"/>
      <c r="K87" s="52"/>
      <c r="L87" s="52"/>
      <c r="M87" s="52"/>
      <c r="N87" s="52"/>
      <c r="O87" s="52"/>
      <c r="P87" s="52"/>
      <c r="Q87" s="52"/>
      <c r="R87" s="52"/>
      <c r="S87" s="52"/>
      <c r="T87" s="52"/>
      <c r="U87" s="52"/>
      <c r="V87" s="52"/>
      <c r="W87" s="52"/>
      <c r="X87" s="52"/>
      <c r="Y87" s="52"/>
      <c r="Z87" s="52"/>
      <c r="AA87" s="52"/>
      <c r="AB87" s="52"/>
      <c r="AC87" s="52"/>
    </row>
    <row r="88">
      <c r="A88" s="52"/>
      <c r="B88" s="350"/>
      <c r="C88" s="52"/>
      <c r="D88" s="52"/>
      <c r="E88" s="52"/>
      <c r="F88" s="351"/>
      <c r="G88" s="52"/>
      <c r="H88" s="52"/>
      <c r="I88" s="52"/>
      <c r="J88" s="52"/>
      <c r="K88" s="52"/>
      <c r="L88" s="52"/>
      <c r="M88" s="52"/>
      <c r="N88" s="52"/>
      <c r="O88" s="52"/>
      <c r="P88" s="52"/>
      <c r="Q88" s="52"/>
      <c r="R88" s="52"/>
      <c r="S88" s="52"/>
      <c r="T88" s="52"/>
      <c r="U88" s="52"/>
      <c r="V88" s="52"/>
      <c r="W88" s="52"/>
      <c r="X88" s="52"/>
      <c r="Y88" s="52"/>
      <c r="Z88" s="52"/>
      <c r="AA88" s="52"/>
      <c r="AB88" s="52"/>
      <c r="AC88" s="52"/>
    </row>
    <row r="89">
      <c r="A89" s="52"/>
      <c r="B89" s="350"/>
      <c r="C89" s="52"/>
      <c r="D89" s="52"/>
      <c r="E89" s="52"/>
      <c r="F89" s="351"/>
      <c r="G89" s="52"/>
      <c r="H89" s="52"/>
      <c r="I89" s="52"/>
      <c r="J89" s="52"/>
      <c r="K89" s="52"/>
      <c r="L89" s="52"/>
      <c r="M89" s="52"/>
      <c r="N89" s="52"/>
      <c r="O89" s="52"/>
      <c r="P89" s="52"/>
      <c r="Q89" s="52"/>
      <c r="R89" s="52"/>
      <c r="S89" s="52"/>
      <c r="T89" s="52"/>
      <c r="U89" s="52"/>
      <c r="V89" s="52"/>
      <c r="W89" s="52"/>
      <c r="X89" s="52"/>
      <c r="Y89" s="52"/>
      <c r="Z89" s="52"/>
      <c r="AA89" s="52"/>
      <c r="AB89" s="52"/>
      <c r="AC89" s="52"/>
    </row>
    <row r="90">
      <c r="A90" s="52"/>
      <c r="B90" s="350"/>
      <c r="C90" s="52"/>
      <c r="D90" s="52"/>
      <c r="E90" s="52"/>
      <c r="F90" s="351"/>
      <c r="G90" s="52"/>
      <c r="H90" s="52"/>
      <c r="I90" s="52"/>
      <c r="J90" s="52"/>
      <c r="K90" s="52"/>
      <c r="L90" s="52"/>
      <c r="M90" s="52"/>
      <c r="N90" s="52"/>
      <c r="O90" s="52"/>
      <c r="P90" s="52"/>
      <c r="Q90" s="52"/>
      <c r="R90" s="52"/>
      <c r="S90" s="52"/>
      <c r="T90" s="52"/>
      <c r="U90" s="52"/>
      <c r="V90" s="52"/>
      <c r="W90" s="52"/>
      <c r="X90" s="52"/>
      <c r="Y90" s="52"/>
      <c r="Z90" s="52"/>
      <c r="AA90" s="52"/>
      <c r="AB90" s="52"/>
      <c r="AC90" s="52"/>
    </row>
    <row r="91">
      <c r="A91" s="52"/>
      <c r="B91" s="350"/>
      <c r="C91" s="52"/>
      <c r="D91" s="52"/>
      <c r="E91" s="52"/>
      <c r="F91" s="351"/>
      <c r="G91" s="52"/>
      <c r="H91" s="52"/>
      <c r="I91" s="52"/>
      <c r="J91" s="52"/>
      <c r="K91" s="52"/>
      <c r="L91" s="52"/>
      <c r="M91" s="52"/>
      <c r="N91" s="52"/>
      <c r="O91" s="52"/>
      <c r="P91" s="52"/>
      <c r="Q91" s="52"/>
      <c r="R91" s="52"/>
      <c r="S91" s="52"/>
      <c r="T91" s="52"/>
      <c r="U91" s="52"/>
      <c r="V91" s="52"/>
      <c r="W91" s="52"/>
      <c r="X91" s="52"/>
      <c r="Y91" s="52"/>
      <c r="Z91" s="52"/>
      <c r="AA91" s="52"/>
      <c r="AB91" s="52"/>
      <c r="AC91" s="52"/>
    </row>
    <row r="92">
      <c r="A92" s="52"/>
      <c r="B92" s="350"/>
      <c r="C92" s="52"/>
      <c r="D92" s="52"/>
      <c r="E92" s="52"/>
      <c r="F92" s="351"/>
      <c r="G92" s="52"/>
      <c r="H92" s="52"/>
      <c r="I92" s="52"/>
      <c r="J92" s="52"/>
      <c r="K92" s="52"/>
      <c r="L92" s="52"/>
      <c r="M92" s="52"/>
      <c r="N92" s="52"/>
      <c r="O92" s="52"/>
      <c r="P92" s="52"/>
      <c r="Q92" s="52"/>
      <c r="R92" s="52"/>
      <c r="S92" s="52"/>
      <c r="T92" s="52"/>
      <c r="U92" s="52"/>
      <c r="V92" s="52"/>
      <c r="W92" s="52"/>
      <c r="X92" s="52"/>
      <c r="Y92" s="52"/>
      <c r="Z92" s="52"/>
      <c r="AA92" s="52"/>
      <c r="AB92" s="52"/>
      <c r="AC92" s="52"/>
    </row>
    <row r="93">
      <c r="A93" s="52"/>
      <c r="B93" s="350"/>
      <c r="C93" s="52"/>
      <c r="D93" s="52"/>
      <c r="E93" s="52"/>
      <c r="F93" s="351"/>
      <c r="G93" s="52"/>
      <c r="H93" s="52"/>
      <c r="I93" s="52"/>
      <c r="J93" s="52"/>
      <c r="K93" s="52"/>
      <c r="L93" s="52"/>
      <c r="M93" s="52"/>
      <c r="N93" s="52"/>
      <c r="O93" s="52"/>
      <c r="P93" s="52"/>
      <c r="Q93" s="52"/>
      <c r="R93" s="52"/>
      <c r="S93" s="52"/>
      <c r="T93" s="52"/>
      <c r="U93" s="52"/>
      <c r="V93" s="52"/>
      <c r="W93" s="52"/>
      <c r="X93" s="52"/>
      <c r="Y93" s="52"/>
      <c r="Z93" s="52"/>
      <c r="AA93" s="52"/>
      <c r="AB93" s="52"/>
      <c r="AC93" s="52"/>
    </row>
    <row r="94">
      <c r="A94" s="52"/>
      <c r="B94" s="350"/>
      <c r="C94" s="52"/>
      <c r="D94" s="52"/>
      <c r="E94" s="52"/>
      <c r="F94" s="351"/>
      <c r="G94" s="52"/>
      <c r="H94" s="52"/>
      <c r="I94" s="52"/>
      <c r="J94" s="52"/>
      <c r="K94" s="52"/>
      <c r="L94" s="52"/>
      <c r="M94" s="52"/>
      <c r="N94" s="52"/>
      <c r="O94" s="52"/>
      <c r="P94" s="52"/>
      <c r="Q94" s="52"/>
      <c r="R94" s="52"/>
      <c r="S94" s="52"/>
      <c r="T94" s="52"/>
      <c r="U94" s="52"/>
      <c r="V94" s="52"/>
      <c r="W94" s="52"/>
      <c r="X94" s="52"/>
      <c r="Y94" s="52"/>
      <c r="Z94" s="52"/>
      <c r="AA94" s="52"/>
      <c r="AB94" s="52"/>
      <c r="AC94" s="52"/>
    </row>
    <row r="95">
      <c r="A95" s="52"/>
      <c r="B95" s="350"/>
      <c r="C95" s="52"/>
      <c r="D95" s="52"/>
      <c r="E95" s="52"/>
      <c r="F95" s="351"/>
      <c r="G95" s="52"/>
      <c r="H95" s="52"/>
      <c r="I95" s="52"/>
      <c r="J95" s="52"/>
      <c r="K95" s="52"/>
      <c r="L95" s="52"/>
      <c r="M95" s="52"/>
      <c r="N95" s="52"/>
      <c r="O95" s="52"/>
      <c r="P95" s="52"/>
      <c r="Q95" s="52"/>
      <c r="R95" s="52"/>
      <c r="S95" s="52"/>
      <c r="T95" s="52"/>
      <c r="U95" s="52"/>
      <c r="V95" s="52"/>
      <c r="W95" s="52"/>
      <c r="X95" s="52"/>
      <c r="Y95" s="52"/>
      <c r="Z95" s="52"/>
      <c r="AA95" s="52"/>
      <c r="AB95" s="52"/>
      <c r="AC95" s="52"/>
    </row>
    <row r="96">
      <c r="A96" s="52"/>
      <c r="B96" s="350"/>
      <c r="C96" s="52"/>
      <c r="D96" s="52"/>
      <c r="E96" s="52"/>
      <c r="F96" s="351"/>
      <c r="G96" s="52"/>
      <c r="H96" s="52"/>
      <c r="I96" s="52"/>
      <c r="J96" s="52"/>
      <c r="K96" s="52"/>
      <c r="L96" s="52"/>
      <c r="M96" s="52"/>
      <c r="N96" s="52"/>
      <c r="O96" s="52"/>
      <c r="P96" s="52"/>
      <c r="Q96" s="52"/>
      <c r="R96" s="52"/>
      <c r="S96" s="52"/>
      <c r="T96" s="52"/>
      <c r="U96" s="52"/>
      <c r="V96" s="52"/>
      <c r="W96" s="52"/>
      <c r="X96" s="52"/>
      <c r="Y96" s="52"/>
      <c r="Z96" s="52"/>
      <c r="AA96" s="52"/>
      <c r="AB96" s="52"/>
      <c r="AC96" s="52"/>
    </row>
    <row r="97">
      <c r="A97" s="52"/>
      <c r="B97" s="350"/>
      <c r="C97" s="52"/>
      <c r="D97" s="52"/>
      <c r="E97" s="52"/>
      <c r="F97" s="351"/>
      <c r="G97" s="52"/>
      <c r="H97" s="52"/>
      <c r="I97" s="52"/>
      <c r="J97" s="52"/>
      <c r="K97" s="52"/>
      <c r="L97" s="52"/>
      <c r="M97" s="52"/>
      <c r="N97" s="52"/>
      <c r="O97" s="52"/>
      <c r="P97" s="52"/>
      <c r="Q97" s="52"/>
      <c r="R97" s="52"/>
      <c r="S97" s="52"/>
      <c r="T97" s="52"/>
      <c r="U97" s="52"/>
      <c r="V97" s="52"/>
      <c r="W97" s="52"/>
      <c r="X97" s="52"/>
      <c r="Y97" s="52"/>
      <c r="Z97" s="52"/>
      <c r="AA97" s="52"/>
      <c r="AB97" s="52"/>
      <c r="AC97" s="52"/>
    </row>
    <row r="98">
      <c r="A98" s="52"/>
      <c r="B98" s="350"/>
      <c r="C98" s="52"/>
      <c r="D98" s="52"/>
      <c r="E98" s="52"/>
      <c r="F98" s="351"/>
      <c r="G98" s="52"/>
      <c r="H98" s="52"/>
      <c r="I98" s="52"/>
      <c r="J98" s="52"/>
      <c r="K98" s="52"/>
      <c r="L98" s="52"/>
      <c r="M98" s="52"/>
      <c r="N98" s="52"/>
      <c r="O98" s="52"/>
      <c r="P98" s="52"/>
      <c r="Q98" s="52"/>
      <c r="R98" s="52"/>
      <c r="S98" s="52"/>
      <c r="T98" s="52"/>
      <c r="U98" s="52"/>
      <c r="V98" s="52"/>
      <c r="W98" s="52"/>
      <c r="X98" s="52"/>
      <c r="Y98" s="52"/>
      <c r="Z98" s="52"/>
      <c r="AA98" s="52"/>
      <c r="AB98" s="52"/>
      <c r="AC98" s="52"/>
    </row>
    <row r="99">
      <c r="A99" s="52"/>
      <c r="B99" s="350"/>
      <c r="C99" s="52"/>
      <c r="D99" s="52"/>
      <c r="E99" s="52"/>
      <c r="F99" s="351"/>
      <c r="G99" s="52"/>
      <c r="H99" s="52"/>
      <c r="I99" s="52"/>
      <c r="J99" s="52"/>
      <c r="K99" s="52"/>
      <c r="L99" s="52"/>
      <c r="M99" s="52"/>
      <c r="N99" s="52"/>
      <c r="O99" s="52"/>
      <c r="P99" s="52"/>
      <c r="Q99" s="52"/>
      <c r="R99" s="52"/>
      <c r="S99" s="52"/>
      <c r="T99" s="52"/>
      <c r="U99" s="52"/>
      <c r="V99" s="52"/>
      <c r="W99" s="52"/>
      <c r="X99" s="52"/>
      <c r="Y99" s="52"/>
      <c r="Z99" s="52"/>
      <c r="AA99" s="52"/>
      <c r="AB99" s="52"/>
      <c r="AC99" s="52"/>
    </row>
    <row r="100">
      <c r="A100" s="52"/>
      <c r="B100" s="350"/>
      <c r="C100" s="52"/>
      <c r="D100" s="52"/>
      <c r="E100" s="52"/>
      <c r="F100" s="351"/>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row>
    <row r="101">
      <c r="A101" s="52"/>
      <c r="B101" s="350"/>
      <c r="C101" s="52"/>
      <c r="D101" s="52"/>
      <c r="E101" s="52"/>
      <c r="F101" s="351"/>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row>
    <row r="102">
      <c r="A102" s="52"/>
      <c r="B102" s="350"/>
      <c r="C102" s="52"/>
      <c r="D102" s="52"/>
      <c r="E102" s="52"/>
      <c r="F102" s="351"/>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row>
    <row r="103">
      <c r="A103" s="52"/>
      <c r="B103" s="350"/>
      <c r="C103" s="52"/>
      <c r="D103" s="52"/>
      <c r="E103" s="52"/>
      <c r="F103" s="351"/>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row>
    <row r="104">
      <c r="A104" s="52"/>
      <c r="B104" s="350"/>
      <c r="C104" s="52"/>
      <c r="D104" s="52"/>
      <c r="E104" s="52"/>
      <c r="F104" s="351"/>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row>
    <row r="105">
      <c r="A105" s="52"/>
      <c r="B105" s="350"/>
      <c r="C105" s="52"/>
      <c r="D105" s="52"/>
      <c r="E105" s="52"/>
      <c r="F105" s="351"/>
      <c r="G105" s="52"/>
      <c r="H105" s="52"/>
      <c r="I105" s="52"/>
      <c r="J105" s="52"/>
      <c r="K105" s="52"/>
      <c r="L105" s="52"/>
      <c r="M105" s="52"/>
      <c r="N105" s="52"/>
      <c r="O105" s="52"/>
      <c r="P105" s="52"/>
      <c r="Q105" s="52"/>
      <c r="R105" s="52"/>
      <c r="S105" s="52"/>
      <c r="T105" s="52"/>
      <c r="U105" s="52"/>
      <c r="V105" s="52"/>
      <c r="W105" s="52"/>
      <c r="X105" s="52"/>
      <c r="Y105" s="52"/>
      <c r="Z105" s="52"/>
      <c r="AA105" s="52"/>
      <c r="AB105" s="52"/>
      <c r="AC105" s="52"/>
    </row>
    <row r="106">
      <c r="A106" s="52"/>
      <c r="B106" s="350"/>
      <c r="C106" s="52"/>
      <c r="D106" s="52"/>
      <c r="E106" s="52"/>
      <c r="F106" s="351"/>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row>
    <row r="107">
      <c r="A107" s="52"/>
      <c r="B107" s="350"/>
      <c r="C107" s="52"/>
      <c r="D107" s="52"/>
      <c r="E107" s="52"/>
      <c r="F107" s="351"/>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row>
    <row r="108">
      <c r="A108" s="52"/>
      <c r="B108" s="350"/>
      <c r="C108" s="52"/>
      <c r="D108" s="52"/>
      <c r="E108" s="52"/>
      <c r="F108" s="351"/>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row>
    <row r="109">
      <c r="A109" s="52"/>
      <c r="B109" s="350"/>
      <c r="C109" s="52"/>
      <c r="D109" s="52"/>
      <c r="E109" s="52"/>
      <c r="F109" s="351"/>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row>
    <row r="110">
      <c r="A110" s="52"/>
      <c r="B110" s="350"/>
      <c r="C110" s="52"/>
      <c r="D110" s="52"/>
      <c r="E110" s="52"/>
      <c r="F110" s="351"/>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row>
    <row r="111">
      <c r="A111" s="52"/>
      <c r="B111" s="350"/>
      <c r="C111" s="52"/>
      <c r="D111" s="52"/>
      <c r="E111" s="52"/>
      <c r="F111" s="351"/>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row>
    <row r="112">
      <c r="A112" s="52"/>
      <c r="B112" s="350"/>
      <c r="C112" s="52"/>
      <c r="D112" s="52"/>
      <c r="E112" s="52"/>
      <c r="F112" s="351"/>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row>
    <row r="113">
      <c r="A113" s="52"/>
      <c r="B113" s="350"/>
      <c r="C113" s="52"/>
      <c r="D113" s="52"/>
      <c r="E113" s="52"/>
      <c r="F113" s="351"/>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row>
    <row r="114">
      <c r="A114" s="52"/>
      <c r="B114" s="350"/>
      <c r="C114" s="52"/>
      <c r="D114" s="52"/>
      <c r="E114" s="52"/>
      <c r="F114" s="351"/>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row>
    <row r="115">
      <c r="A115" s="52"/>
      <c r="B115" s="350"/>
      <c r="C115" s="52"/>
      <c r="D115" s="52"/>
      <c r="E115" s="52"/>
      <c r="F115" s="351"/>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row>
    <row r="116">
      <c r="A116" s="52"/>
      <c r="B116" s="350"/>
      <c r="C116" s="52"/>
      <c r="D116" s="52"/>
      <c r="E116" s="52"/>
      <c r="F116" s="351"/>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row>
    <row r="117">
      <c r="A117" s="52"/>
      <c r="B117" s="350"/>
      <c r="C117" s="52"/>
      <c r="D117" s="52"/>
      <c r="E117" s="52"/>
      <c r="F117" s="351"/>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row>
    <row r="118">
      <c r="A118" s="52"/>
      <c r="B118" s="350"/>
      <c r="C118" s="52"/>
      <c r="D118" s="52"/>
      <c r="E118" s="52"/>
      <c r="F118" s="351"/>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row>
    <row r="119">
      <c r="A119" s="52"/>
      <c r="B119" s="350"/>
      <c r="C119" s="52"/>
      <c r="D119" s="52"/>
      <c r="E119" s="52"/>
      <c r="F119" s="351"/>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row>
    <row r="120">
      <c r="A120" s="52"/>
      <c r="B120" s="350"/>
      <c r="C120" s="52"/>
      <c r="D120" s="52"/>
      <c r="E120" s="52"/>
      <c r="F120" s="351"/>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row>
    <row r="121">
      <c r="A121" s="52"/>
      <c r="B121" s="350"/>
      <c r="C121" s="52"/>
      <c r="D121" s="52"/>
      <c r="E121" s="52"/>
      <c r="F121" s="351"/>
      <c r="G121" s="52"/>
      <c r="H121" s="52"/>
      <c r="I121" s="52"/>
      <c r="J121" s="52"/>
      <c r="K121" s="52"/>
      <c r="L121" s="52"/>
      <c r="M121" s="52"/>
      <c r="N121" s="52"/>
      <c r="O121" s="52"/>
      <c r="P121" s="52"/>
      <c r="Q121" s="52"/>
      <c r="R121" s="52"/>
      <c r="S121" s="52"/>
      <c r="T121" s="52"/>
      <c r="U121" s="52"/>
      <c r="V121" s="52"/>
      <c r="W121" s="52"/>
      <c r="X121" s="52"/>
      <c r="Y121" s="52"/>
      <c r="Z121" s="52"/>
      <c r="AA121" s="52"/>
      <c r="AB121" s="52"/>
      <c r="AC121" s="52"/>
    </row>
    <row r="122">
      <c r="A122" s="52"/>
      <c r="B122" s="350"/>
      <c r="C122" s="52"/>
      <c r="D122" s="52"/>
      <c r="E122" s="52"/>
      <c r="F122" s="351"/>
      <c r="G122" s="52"/>
      <c r="H122" s="52"/>
      <c r="I122" s="52"/>
      <c r="J122" s="52"/>
      <c r="K122" s="52"/>
      <c r="L122" s="52"/>
      <c r="M122" s="52"/>
      <c r="N122" s="52"/>
      <c r="O122" s="52"/>
      <c r="P122" s="52"/>
      <c r="Q122" s="52"/>
      <c r="R122" s="52"/>
      <c r="S122" s="52"/>
      <c r="T122" s="52"/>
      <c r="U122" s="52"/>
      <c r="V122" s="52"/>
      <c r="W122" s="52"/>
      <c r="X122" s="52"/>
      <c r="Y122" s="52"/>
      <c r="Z122" s="52"/>
      <c r="AA122" s="52"/>
      <c r="AB122" s="52"/>
      <c r="AC122" s="52"/>
    </row>
    <row r="123">
      <c r="A123" s="52"/>
      <c r="B123" s="350"/>
      <c r="C123" s="52"/>
      <c r="D123" s="52"/>
      <c r="E123" s="52"/>
      <c r="F123" s="351"/>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row>
    <row r="124">
      <c r="A124" s="52"/>
      <c r="B124" s="350"/>
      <c r="C124" s="52"/>
      <c r="D124" s="52"/>
      <c r="E124" s="52"/>
      <c r="F124" s="351"/>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row>
    <row r="125">
      <c r="A125" s="52"/>
      <c r="B125" s="350"/>
      <c r="C125" s="52"/>
      <c r="D125" s="52"/>
      <c r="E125" s="52"/>
      <c r="F125" s="351"/>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row>
    <row r="126">
      <c r="A126" s="52"/>
      <c r="B126" s="350"/>
      <c r="C126" s="52"/>
      <c r="D126" s="52"/>
      <c r="E126" s="52"/>
      <c r="F126" s="351"/>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row>
    <row r="127">
      <c r="A127" s="52"/>
      <c r="B127" s="350"/>
      <c r="C127" s="52"/>
      <c r="D127" s="52"/>
      <c r="E127" s="52"/>
      <c r="F127" s="351"/>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row>
    <row r="128">
      <c r="A128" s="52"/>
      <c r="B128" s="350"/>
      <c r="C128" s="52"/>
      <c r="D128" s="52"/>
      <c r="E128" s="52"/>
      <c r="F128" s="351"/>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row>
    <row r="129">
      <c r="A129" s="52"/>
      <c r="B129" s="350"/>
      <c r="C129" s="52"/>
      <c r="D129" s="52"/>
      <c r="E129" s="52"/>
      <c r="F129" s="351"/>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row>
    <row r="130">
      <c r="A130" s="52"/>
      <c r="B130" s="350"/>
      <c r="C130" s="52"/>
      <c r="D130" s="52"/>
      <c r="E130" s="52"/>
      <c r="F130" s="351"/>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row>
    <row r="131">
      <c r="A131" s="52"/>
      <c r="B131" s="350"/>
      <c r="C131" s="52"/>
      <c r="D131" s="52"/>
      <c r="E131" s="52"/>
      <c r="F131" s="351"/>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row>
    <row r="132">
      <c r="A132" s="52"/>
      <c r="B132" s="350"/>
      <c r="C132" s="52"/>
      <c r="D132" s="52"/>
      <c r="E132" s="52"/>
      <c r="F132" s="351"/>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row>
    <row r="133">
      <c r="A133" s="52"/>
      <c r="B133" s="350"/>
      <c r="C133" s="52"/>
      <c r="D133" s="52"/>
      <c r="E133" s="52"/>
      <c r="F133" s="351"/>
      <c r="G133" s="52"/>
      <c r="H133" s="52"/>
      <c r="I133" s="52"/>
      <c r="J133" s="52"/>
      <c r="K133" s="52"/>
      <c r="L133" s="52"/>
      <c r="M133" s="52"/>
      <c r="N133" s="52"/>
      <c r="O133" s="52"/>
      <c r="P133" s="52"/>
      <c r="Q133" s="52"/>
      <c r="R133" s="52"/>
      <c r="S133" s="52"/>
      <c r="T133" s="52"/>
      <c r="U133" s="52"/>
      <c r="V133" s="52"/>
      <c r="W133" s="52"/>
      <c r="X133" s="52"/>
      <c r="Y133" s="52"/>
      <c r="Z133" s="52"/>
      <c r="AA133" s="52"/>
      <c r="AB133" s="52"/>
      <c r="AC133" s="52"/>
    </row>
    <row r="134">
      <c r="A134" s="52"/>
      <c r="B134" s="350"/>
      <c r="C134" s="52"/>
      <c r="D134" s="52"/>
      <c r="E134" s="52"/>
      <c r="F134" s="351"/>
      <c r="G134" s="52"/>
      <c r="H134" s="52"/>
      <c r="I134" s="52"/>
      <c r="J134" s="52"/>
      <c r="K134" s="52"/>
      <c r="L134" s="52"/>
      <c r="M134" s="52"/>
      <c r="N134" s="52"/>
      <c r="O134" s="52"/>
      <c r="P134" s="52"/>
      <c r="Q134" s="52"/>
      <c r="R134" s="52"/>
      <c r="S134" s="52"/>
      <c r="T134" s="52"/>
      <c r="U134" s="52"/>
      <c r="V134" s="52"/>
      <c r="W134" s="52"/>
      <c r="X134" s="52"/>
      <c r="Y134" s="52"/>
      <c r="Z134" s="52"/>
      <c r="AA134" s="52"/>
      <c r="AB134" s="52"/>
      <c r="AC134" s="52"/>
    </row>
    <row r="135">
      <c r="A135" s="52"/>
      <c r="B135" s="350"/>
      <c r="C135" s="52"/>
      <c r="D135" s="52"/>
      <c r="E135" s="52"/>
      <c r="F135" s="351"/>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row>
    <row r="136">
      <c r="A136" s="52"/>
      <c r="B136" s="350"/>
      <c r="C136" s="52"/>
      <c r="D136" s="52"/>
      <c r="E136" s="52"/>
      <c r="F136" s="351"/>
      <c r="G136" s="52"/>
      <c r="H136" s="52"/>
      <c r="I136" s="52"/>
      <c r="J136" s="52"/>
      <c r="K136" s="52"/>
      <c r="L136" s="52"/>
      <c r="M136" s="52"/>
      <c r="N136" s="52"/>
      <c r="O136" s="52"/>
      <c r="P136" s="52"/>
      <c r="Q136" s="52"/>
      <c r="R136" s="52"/>
      <c r="S136" s="52"/>
      <c r="T136" s="52"/>
      <c r="U136" s="52"/>
      <c r="V136" s="52"/>
      <c r="W136" s="52"/>
      <c r="X136" s="52"/>
      <c r="Y136" s="52"/>
      <c r="Z136" s="52"/>
      <c r="AA136" s="52"/>
      <c r="AB136" s="52"/>
      <c r="AC136" s="52"/>
    </row>
    <row r="137">
      <c r="A137" s="52"/>
      <c r="B137" s="350"/>
      <c r="C137" s="52"/>
      <c r="D137" s="52"/>
      <c r="E137" s="52"/>
      <c r="F137" s="351"/>
      <c r="G137" s="52"/>
      <c r="H137" s="52"/>
      <c r="I137" s="52"/>
      <c r="J137" s="52"/>
      <c r="K137" s="52"/>
      <c r="L137" s="52"/>
      <c r="M137" s="52"/>
      <c r="N137" s="52"/>
      <c r="O137" s="52"/>
      <c r="P137" s="52"/>
      <c r="Q137" s="52"/>
      <c r="R137" s="52"/>
      <c r="S137" s="52"/>
      <c r="T137" s="52"/>
      <c r="U137" s="52"/>
      <c r="V137" s="52"/>
      <c r="W137" s="52"/>
      <c r="X137" s="52"/>
      <c r="Y137" s="52"/>
      <c r="Z137" s="52"/>
      <c r="AA137" s="52"/>
      <c r="AB137" s="52"/>
      <c r="AC137" s="52"/>
    </row>
    <row r="138">
      <c r="A138" s="52"/>
      <c r="B138" s="350"/>
      <c r="C138" s="52"/>
      <c r="D138" s="52"/>
      <c r="E138" s="52"/>
      <c r="F138" s="351"/>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row>
    <row r="139">
      <c r="A139" s="52"/>
      <c r="B139" s="350"/>
      <c r="C139" s="52"/>
      <c r="D139" s="52"/>
      <c r="E139" s="52"/>
      <c r="F139" s="351"/>
      <c r="G139" s="52"/>
      <c r="H139" s="52"/>
      <c r="I139" s="52"/>
      <c r="J139" s="52"/>
      <c r="K139" s="52"/>
      <c r="L139" s="52"/>
      <c r="M139" s="52"/>
      <c r="N139" s="52"/>
      <c r="O139" s="52"/>
      <c r="P139" s="52"/>
      <c r="Q139" s="52"/>
      <c r="R139" s="52"/>
      <c r="S139" s="52"/>
      <c r="T139" s="52"/>
      <c r="U139" s="52"/>
      <c r="V139" s="52"/>
      <c r="W139" s="52"/>
      <c r="X139" s="52"/>
      <c r="Y139" s="52"/>
      <c r="Z139" s="52"/>
      <c r="AA139" s="52"/>
      <c r="AB139" s="52"/>
      <c r="AC139" s="52"/>
    </row>
    <row r="140">
      <c r="A140" s="52"/>
      <c r="B140" s="350"/>
      <c r="C140" s="52"/>
      <c r="D140" s="52"/>
      <c r="E140" s="52"/>
      <c r="F140" s="351"/>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row>
    <row r="141">
      <c r="A141" s="52"/>
      <c r="B141" s="350"/>
      <c r="C141" s="52"/>
      <c r="D141" s="52"/>
      <c r="E141" s="52"/>
      <c r="F141" s="351"/>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row>
    <row r="142">
      <c r="A142" s="52"/>
      <c r="B142" s="350"/>
      <c r="C142" s="52"/>
      <c r="D142" s="52"/>
      <c r="E142" s="52"/>
      <c r="F142" s="351"/>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row>
    <row r="143">
      <c r="A143" s="52"/>
      <c r="B143" s="350"/>
      <c r="C143" s="52"/>
      <c r="D143" s="52"/>
      <c r="E143" s="52"/>
      <c r="F143" s="351"/>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row>
    <row r="144">
      <c r="A144" s="52"/>
      <c r="B144" s="350"/>
      <c r="C144" s="52"/>
      <c r="D144" s="52"/>
      <c r="E144" s="52"/>
      <c r="F144" s="351"/>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row>
    <row r="145">
      <c r="A145" s="52"/>
      <c r="B145" s="350"/>
      <c r="C145" s="52"/>
      <c r="D145" s="52"/>
      <c r="E145" s="52"/>
      <c r="F145" s="351"/>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row>
    <row r="146">
      <c r="A146" s="52"/>
      <c r="B146" s="350"/>
      <c r="C146" s="52"/>
      <c r="D146" s="52"/>
      <c r="E146" s="52"/>
      <c r="F146" s="351"/>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row>
    <row r="147">
      <c r="A147" s="52"/>
      <c r="B147" s="350"/>
      <c r="C147" s="52"/>
      <c r="D147" s="52"/>
      <c r="E147" s="52"/>
      <c r="F147" s="351"/>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row>
    <row r="148">
      <c r="A148" s="52"/>
      <c r="B148" s="350"/>
      <c r="C148" s="52"/>
      <c r="D148" s="52"/>
      <c r="E148" s="52"/>
      <c r="F148" s="351"/>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row>
    <row r="149">
      <c r="A149" s="52"/>
      <c r="B149" s="350"/>
      <c r="C149" s="52"/>
      <c r="D149" s="52"/>
      <c r="E149" s="52"/>
      <c r="F149" s="351"/>
      <c r="G149" s="52"/>
      <c r="H149" s="52"/>
      <c r="I149" s="52"/>
      <c r="J149" s="52"/>
      <c r="K149" s="52"/>
      <c r="L149" s="52"/>
      <c r="M149" s="52"/>
      <c r="N149" s="52"/>
      <c r="O149" s="52"/>
      <c r="P149" s="52"/>
      <c r="Q149" s="52"/>
      <c r="R149" s="52"/>
      <c r="S149" s="52"/>
      <c r="T149" s="52"/>
      <c r="U149" s="52"/>
      <c r="V149" s="52"/>
      <c r="W149" s="52"/>
      <c r="X149" s="52"/>
      <c r="Y149" s="52"/>
      <c r="Z149" s="52"/>
      <c r="AA149" s="52"/>
      <c r="AB149" s="52"/>
      <c r="AC149" s="52"/>
    </row>
    <row r="150">
      <c r="A150" s="52"/>
      <c r="B150" s="350"/>
      <c r="C150" s="52"/>
      <c r="D150" s="52"/>
      <c r="E150" s="52"/>
      <c r="F150" s="351"/>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row>
    <row r="151">
      <c r="A151" s="52"/>
      <c r="B151" s="350"/>
      <c r="C151" s="52"/>
      <c r="D151" s="52"/>
      <c r="E151" s="52"/>
      <c r="F151" s="351"/>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row>
    <row r="152">
      <c r="A152" s="52"/>
      <c r="B152" s="350"/>
      <c r="C152" s="52"/>
      <c r="D152" s="52"/>
      <c r="E152" s="52"/>
      <c r="F152" s="351"/>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row>
    <row r="153">
      <c r="A153" s="52"/>
      <c r="B153" s="350"/>
      <c r="C153" s="52"/>
      <c r="D153" s="52"/>
      <c r="E153" s="52"/>
      <c r="F153" s="351"/>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row>
    <row r="154">
      <c r="A154" s="52"/>
      <c r="B154" s="350"/>
      <c r="C154" s="52"/>
      <c r="D154" s="52"/>
      <c r="E154" s="52"/>
      <c r="F154" s="351"/>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row>
    <row r="155">
      <c r="A155" s="52"/>
      <c r="B155" s="350"/>
      <c r="C155" s="52"/>
      <c r="D155" s="52"/>
      <c r="E155" s="52"/>
      <c r="F155" s="351"/>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row>
    <row r="156">
      <c r="A156" s="52"/>
      <c r="B156" s="350"/>
      <c r="C156" s="52"/>
      <c r="D156" s="52"/>
      <c r="E156" s="52"/>
      <c r="F156" s="351"/>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row>
    <row r="157">
      <c r="A157" s="52"/>
      <c r="B157" s="350"/>
      <c r="C157" s="52"/>
      <c r="D157" s="52"/>
      <c r="E157" s="52"/>
      <c r="F157" s="351"/>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row>
    <row r="158">
      <c r="A158" s="52"/>
      <c r="B158" s="350"/>
      <c r="C158" s="52"/>
      <c r="D158" s="52"/>
      <c r="E158" s="52"/>
      <c r="F158" s="351"/>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row>
    <row r="159">
      <c r="A159" s="52"/>
      <c r="B159" s="350"/>
      <c r="C159" s="52"/>
      <c r="D159" s="52"/>
      <c r="E159" s="52"/>
      <c r="F159" s="351"/>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row>
    <row r="160">
      <c r="A160" s="52"/>
      <c r="B160" s="350"/>
      <c r="C160" s="52"/>
      <c r="D160" s="52"/>
      <c r="E160" s="52"/>
      <c r="F160" s="351"/>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row>
    <row r="161">
      <c r="A161" s="52"/>
      <c r="B161" s="350"/>
      <c r="C161" s="52"/>
      <c r="D161" s="52"/>
      <c r="E161" s="52"/>
      <c r="F161" s="351"/>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row>
    <row r="162">
      <c r="A162" s="52"/>
      <c r="B162" s="350"/>
      <c r="C162" s="52"/>
      <c r="D162" s="52"/>
      <c r="E162" s="52"/>
      <c r="F162" s="351"/>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row>
    <row r="163">
      <c r="A163" s="52"/>
      <c r="B163" s="350"/>
      <c r="C163" s="52"/>
      <c r="D163" s="52"/>
      <c r="E163" s="52"/>
      <c r="F163" s="351"/>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row>
    <row r="164">
      <c r="A164" s="52"/>
      <c r="B164" s="350"/>
      <c r="C164" s="52"/>
      <c r="D164" s="52"/>
      <c r="E164" s="52"/>
      <c r="F164" s="351"/>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row>
    <row r="165">
      <c r="A165" s="52"/>
      <c r="B165" s="350"/>
      <c r="C165" s="52"/>
      <c r="D165" s="52"/>
      <c r="E165" s="52"/>
      <c r="F165" s="351"/>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row>
    <row r="166">
      <c r="A166" s="52"/>
      <c r="B166" s="350"/>
      <c r="C166" s="52"/>
      <c r="D166" s="52"/>
      <c r="E166" s="52"/>
      <c r="F166" s="351"/>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row>
    <row r="167">
      <c r="A167" s="52"/>
      <c r="B167" s="350"/>
      <c r="C167" s="52"/>
      <c r="D167" s="52"/>
      <c r="E167" s="52"/>
      <c r="F167" s="351"/>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row>
    <row r="168">
      <c r="A168" s="52"/>
      <c r="B168" s="350"/>
      <c r="C168" s="52"/>
      <c r="D168" s="52"/>
      <c r="E168" s="52"/>
      <c r="F168" s="351"/>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row>
    <row r="169">
      <c r="A169" s="52"/>
      <c r="B169" s="350"/>
      <c r="C169" s="52"/>
      <c r="D169" s="52"/>
      <c r="E169" s="52"/>
      <c r="F169" s="351"/>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row>
    <row r="170">
      <c r="A170" s="52"/>
      <c r="B170" s="350"/>
      <c r="C170" s="52"/>
      <c r="D170" s="52"/>
      <c r="E170" s="52"/>
      <c r="F170" s="351"/>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row>
    <row r="171">
      <c r="A171" s="52"/>
      <c r="B171" s="350"/>
      <c r="C171" s="52"/>
      <c r="D171" s="52"/>
      <c r="E171" s="52"/>
      <c r="F171" s="351"/>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row>
    <row r="172">
      <c r="A172" s="52"/>
      <c r="B172" s="350"/>
      <c r="C172" s="52"/>
      <c r="D172" s="52"/>
      <c r="E172" s="52"/>
      <c r="F172" s="351"/>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row>
    <row r="173">
      <c r="A173" s="52"/>
      <c r="B173" s="350"/>
      <c r="C173" s="52"/>
      <c r="D173" s="52"/>
      <c r="E173" s="52"/>
      <c r="F173" s="351"/>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row>
    <row r="174">
      <c r="A174" s="52"/>
      <c r="B174" s="350"/>
      <c r="C174" s="52"/>
      <c r="D174" s="52"/>
      <c r="E174" s="52"/>
      <c r="F174" s="351"/>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row>
    <row r="175">
      <c r="A175" s="52"/>
      <c r="B175" s="350"/>
      <c r="C175" s="52"/>
      <c r="D175" s="52"/>
      <c r="E175" s="52"/>
      <c r="F175" s="351"/>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row>
    <row r="176">
      <c r="A176" s="52"/>
      <c r="B176" s="350"/>
      <c r="C176" s="52"/>
      <c r="D176" s="52"/>
      <c r="E176" s="52"/>
      <c r="F176" s="351"/>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row>
    <row r="177">
      <c r="A177" s="52"/>
      <c r="B177" s="350"/>
      <c r="C177" s="52"/>
      <c r="D177" s="52"/>
      <c r="E177" s="52"/>
      <c r="F177" s="351"/>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row>
    <row r="178">
      <c r="A178" s="52"/>
      <c r="B178" s="350"/>
      <c r="C178" s="52"/>
      <c r="D178" s="52"/>
      <c r="E178" s="52"/>
      <c r="F178" s="351"/>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row>
    <row r="179">
      <c r="A179" s="52"/>
      <c r="B179" s="350"/>
      <c r="C179" s="52"/>
      <c r="D179" s="52"/>
      <c r="E179" s="52"/>
      <c r="F179" s="351"/>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row>
    <row r="180">
      <c r="A180" s="52"/>
      <c r="B180" s="350"/>
      <c r="C180" s="52"/>
      <c r="D180" s="52"/>
      <c r="E180" s="52"/>
      <c r="F180" s="351"/>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row>
    <row r="181">
      <c r="A181" s="52"/>
      <c r="B181" s="350"/>
      <c r="C181" s="52"/>
      <c r="D181" s="52"/>
      <c r="E181" s="52"/>
      <c r="F181" s="351"/>
      <c r="G181" s="52"/>
      <c r="H181" s="52"/>
      <c r="I181" s="52"/>
      <c r="J181" s="52"/>
      <c r="K181" s="52"/>
      <c r="L181" s="52"/>
      <c r="M181" s="52"/>
      <c r="N181" s="52"/>
      <c r="O181" s="52"/>
      <c r="P181" s="52"/>
      <c r="Q181" s="52"/>
      <c r="R181" s="52"/>
      <c r="S181" s="52"/>
      <c r="T181" s="52"/>
      <c r="U181" s="52"/>
      <c r="V181" s="52"/>
      <c r="W181" s="52"/>
      <c r="X181" s="52"/>
      <c r="Y181" s="52"/>
      <c r="Z181" s="52"/>
      <c r="AA181" s="52"/>
      <c r="AB181" s="52"/>
      <c r="AC181" s="52"/>
    </row>
    <row r="182">
      <c r="A182" s="52"/>
      <c r="B182" s="350"/>
      <c r="C182" s="52"/>
      <c r="D182" s="52"/>
      <c r="E182" s="52"/>
      <c r="F182" s="351"/>
      <c r="G182" s="52"/>
      <c r="H182" s="52"/>
      <c r="I182" s="52"/>
      <c r="J182" s="52"/>
      <c r="K182" s="52"/>
      <c r="L182" s="52"/>
      <c r="M182" s="52"/>
      <c r="N182" s="52"/>
      <c r="O182" s="52"/>
      <c r="P182" s="52"/>
      <c r="Q182" s="52"/>
      <c r="R182" s="52"/>
      <c r="S182" s="52"/>
      <c r="T182" s="52"/>
      <c r="U182" s="52"/>
      <c r="V182" s="52"/>
      <c r="W182" s="52"/>
      <c r="X182" s="52"/>
      <c r="Y182" s="52"/>
      <c r="Z182" s="52"/>
      <c r="AA182" s="52"/>
      <c r="AB182" s="52"/>
      <c r="AC182" s="52"/>
    </row>
    <row r="183">
      <c r="A183" s="52"/>
      <c r="B183" s="350"/>
      <c r="C183" s="52"/>
      <c r="D183" s="52"/>
      <c r="E183" s="52"/>
      <c r="F183" s="351"/>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row>
    <row r="184">
      <c r="A184" s="52"/>
      <c r="B184" s="350"/>
      <c r="C184" s="52"/>
      <c r="D184" s="52"/>
      <c r="E184" s="52"/>
      <c r="F184" s="351"/>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row>
    <row r="185">
      <c r="A185" s="52"/>
      <c r="B185" s="350"/>
      <c r="C185" s="52"/>
      <c r="D185" s="52"/>
      <c r="E185" s="52"/>
      <c r="F185" s="351"/>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row>
    <row r="186">
      <c r="A186" s="52"/>
      <c r="B186" s="350"/>
      <c r="C186" s="52"/>
      <c r="D186" s="52"/>
      <c r="E186" s="52"/>
      <c r="F186" s="351"/>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row>
    <row r="187">
      <c r="A187" s="52"/>
      <c r="B187" s="350"/>
      <c r="C187" s="52"/>
      <c r="D187" s="52"/>
      <c r="E187" s="52"/>
      <c r="F187" s="351"/>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row>
    <row r="188">
      <c r="A188" s="52"/>
      <c r="B188" s="350"/>
      <c r="C188" s="52"/>
      <c r="D188" s="52"/>
      <c r="E188" s="52"/>
      <c r="F188" s="351"/>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row>
    <row r="189">
      <c r="A189" s="52"/>
      <c r="B189" s="350"/>
      <c r="C189" s="52"/>
      <c r="D189" s="52"/>
      <c r="E189" s="52"/>
      <c r="F189" s="351"/>
      <c r="G189" s="52"/>
      <c r="H189" s="52"/>
      <c r="I189" s="52"/>
      <c r="J189" s="52"/>
      <c r="K189" s="52"/>
      <c r="L189" s="52"/>
      <c r="M189" s="52"/>
      <c r="N189" s="52"/>
      <c r="O189" s="52"/>
      <c r="P189" s="52"/>
      <c r="Q189" s="52"/>
      <c r="R189" s="52"/>
      <c r="S189" s="52"/>
      <c r="T189" s="52"/>
      <c r="U189" s="52"/>
      <c r="V189" s="52"/>
      <c r="W189" s="52"/>
      <c r="X189" s="52"/>
      <c r="Y189" s="52"/>
      <c r="Z189" s="52"/>
      <c r="AA189" s="52"/>
      <c r="AB189" s="52"/>
      <c r="AC189" s="52"/>
    </row>
    <row r="190">
      <c r="A190" s="52"/>
      <c r="B190" s="350"/>
      <c r="C190" s="52"/>
      <c r="D190" s="52"/>
      <c r="E190" s="52"/>
      <c r="F190" s="351"/>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row>
    <row r="191">
      <c r="A191" s="52"/>
      <c r="B191" s="350"/>
      <c r="C191" s="52"/>
      <c r="D191" s="52"/>
      <c r="E191" s="52"/>
      <c r="F191" s="351"/>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row>
    <row r="192">
      <c r="A192" s="52"/>
      <c r="B192" s="350"/>
      <c r="C192" s="52"/>
      <c r="D192" s="52"/>
      <c r="E192" s="52"/>
      <c r="F192" s="351"/>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row>
    <row r="193">
      <c r="A193" s="52"/>
      <c r="B193" s="350"/>
      <c r="C193" s="52"/>
      <c r="D193" s="52"/>
      <c r="E193" s="52"/>
      <c r="F193" s="351"/>
      <c r="G193" s="52"/>
      <c r="H193" s="52"/>
      <c r="I193" s="52"/>
      <c r="J193" s="52"/>
      <c r="K193" s="52"/>
      <c r="L193" s="52"/>
      <c r="M193" s="52"/>
      <c r="N193" s="52"/>
      <c r="O193" s="52"/>
      <c r="P193" s="52"/>
      <c r="Q193" s="52"/>
      <c r="R193" s="52"/>
      <c r="S193" s="52"/>
      <c r="T193" s="52"/>
      <c r="U193" s="52"/>
      <c r="V193" s="52"/>
      <c r="W193" s="52"/>
      <c r="X193" s="52"/>
      <c r="Y193" s="52"/>
      <c r="Z193" s="52"/>
      <c r="AA193" s="52"/>
      <c r="AB193" s="52"/>
      <c r="AC193" s="52"/>
    </row>
    <row r="194">
      <c r="A194" s="52"/>
      <c r="B194" s="350"/>
      <c r="C194" s="52"/>
      <c r="D194" s="52"/>
      <c r="E194" s="52"/>
      <c r="F194" s="351"/>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row>
    <row r="195">
      <c r="A195" s="52"/>
      <c r="B195" s="350"/>
      <c r="C195" s="52"/>
      <c r="D195" s="52"/>
      <c r="E195" s="52"/>
      <c r="F195" s="351"/>
      <c r="G195" s="52"/>
      <c r="H195" s="52"/>
      <c r="I195" s="52"/>
      <c r="J195" s="52"/>
      <c r="K195" s="52"/>
      <c r="L195" s="52"/>
      <c r="M195" s="52"/>
      <c r="N195" s="52"/>
      <c r="O195" s="52"/>
      <c r="P195" s="52"/>
      <c r="Q195" s="52"/>
      <c r="R195" s="52"/>
      <c r="S195" s="52"/>
      <c r="T195" s="52"/>
      <c r="U195" s="52"/>
      <c r="V195" s="52"/>
      <c r="W195" s="52"/>
      <c r="X195" s="52"/>
      <c r="Y195" s="52"/>
      <c r="Z195" s="52"/>
      <c r="AA195" s="52"/>
      <c r="AB195" s="52"/>
      <c r="AC195" s="52"/>
    </row>
    <row r="196">
      <c r="A196" s="52"/>
      <c r="B196" s="350"/>
      <c r="C196" s="52"/>
      <c r="D196" s="52"/>
      <c r="E196" s="52"/>
      <c r="F196" s="351"/>
      <c r="G196" s="52"/>
      <c r="H196" s="52"/>
      <c r="I196" s="52"/>
      <c r="J196" s="52"/>
      <c r="K196" s="52"/>
      <c r="L196" s="52"/>
      <c r="M196" s="52"/>
      <c r="N196" s="52"/>
      <c r="O196" s="52"/>
      <c r="P196" s="52"/>
      <c r="Q196" s="52"/>
      <c r="R196" s="52"/>
      <c r="S196" s="52"/>
      <c r="T196" s="52"/>
      <c r="U196" s="52"/>
      <c r="V196" s="52"/>
      <c r="W196" s="52"/>
      <c r="X196" s="52"/>
      <c r="Y196" s="52"/>
      <c r="Z196" s="52"/>
      <c r="AA196" s="52"/>
      <c r="AB196" s="52"/>
      <c r="AC196" s="52"/>
    </row>
    <row r="197">
      <c r="A197" s="52"/>
      <c r="B197" s="350"/>
      <c r="C197" s="52"/>
      <c r="D197" s="52"/>
      <c r="E197" s="52"/>
      <c r="F197" s="351"/>
      <c r="G197" s="52"/>
      <c r="H197" s="52"/>
      <c r="I197" s="52"/>
      <c r="J197" s="52"/>
      <c r="K197" s="52"/>
      <c r="L197" s="52"/>
      <c r="M197" s="52"/>
      <c r="N197" s="52"/>
      <c r="O197" s="52"/>
      <c r="P197" s="52"/>
      <c r="Q197" s="52"/>
      <c r="R197" s="52"/>
      <c r="S197" s="52"/>
      <c r="T197" s="52"/>
      <c r="U197" s="52"/>
      <c r="V197" s="52"/>
      <c r="W197" s="52"/>
      <c r="X197" s="52"/>
      <c r="Y197" s="52"/>
      <c r="Z197" s="52"/>
      <c r="AA197" s="52"/>
      <c r="AB197" s="52"/>
      <c r="AC197" s="52"/>
    </row>
    <row r="198">
      <c r="A198" s="52"/>
      <c r="B198" s="350"/>
      <c r="C198" s="52"/>
      <c r="D198" s="52"/>
      <c r="E198" s="52"/>
      <c r="F198" s="351"/>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row>
    <row r="199">
      <c r="A199" s="52"/>
      <c r="B199" s="350"/>
      <c r="C199" s="52"/>
      <c r="D199" s="52"/>
      <c r="E199" s="52"/>
      <c r="F199" s="351"/>
      <c r="G199" s="52"/>
      <c r="H199" s="52"/>
      <c r="I199" s="52"/>
      <c r="J199" s="52"/>
      <c r="K199" s="52"/>
      <c r="L199" s="52"/>
      <c r="M199" s="52"/>
      <c r="N199" s="52"/>
      <c r="O199" s="52"/>
      <c r="P199" s="52"/>
      <c r="Q199" s="52"/>
      <c r="R199" s="52"/>
      <c r="S199" s="52"/>
      <c r="T199" s="52"/>
      <c r="U199" s="52"/>
      <c r="V199" s="52"/>
      <c r="W199" s="52"/>
      <c r="X199" s="52"/>
      <c r="Y199" s="52"/>
      <c r="Z199" s="52"/>
      <c r="AA199" s="52"/>
      <c r="AB199" s="52"/>
      <c r="AC199" s="52"/>
    </row>
    <row r="200">
      <c r="A200" s="52"/>
      <c r="B200" s="350"/>
      <c r="C200" s="52"/>
      <c r="D200" s="52"/>
      <c r="E200" s="52"/>
      <c r="F200" s="351"/>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row>
    <row r="201">
      <c r="A201" s="52"/>
      <c r="B201" s="350"/>
      <c r="C201" s="52"/>
      <c r="D201" s="52"/>
      <c r="E201" s="52"/>
      <c r="F201" s="351"/>
      <c r="G201" s="52"/>
      <c r="H201" s="52"/>
      <c r="I201" s="52"/>
      <c r="J201" s="52"/>
      <c r="K201" s="52"/>
      <c r="L201" s="52"/>
      <c r="M201" s="52"/>
      <c r="N201" s="52"/>
      <c r="O201" s="52"/>
      <c r="P201" s="52"/>
      <c r="Q201" s="52"/>
      <c r="R201" s="52"/>
      <c r="S201" s="52"/>
      <c r="T201" s="52"/>
      <c r="U201" s="52"/>
      <c r="V201" s="52"/>
      <c r="W201" s="52"/>
      <c r="X201" s="52"/>
      <c r="Y201" s="52"/>
      <c r="Z201" s="52"/>
      <c r="AA201" s="52"/>
      <c r="AB201" s="52"/>
      <c r="AC201" s="52"/>
    </row>
    <row r="202">
      <c r="A202" s="52"/>
      <c r="B202" s="350"/>
      <c r="C202" s="52"/>
      <c r="D202" s="52"/>
      <c r="E202" s="52"/>
      <c r="F202" s="351"/>
      <c r="G202" s="52"/>
      <c r="H202" s="52"/>
      <c r="I202" s="52"/>
      <c r="J202" s="52"/>
      <c r="K202" s="52"/>
      <c r="L202" s="52"/>
      <c r="M202" s="52"/>
      <c r="N202" s="52"/>
      <c r="O202" s="52"/>
      <c r="P202" s="52"/>
      <c r="Q202" s="52"/>
      <c r="R202" s="52"/>
      <c r="S202" s="52"/>
      <c r="T202" s="52"/>
      <c r="U202" s="52"/>
      <c r="V202" s="52"/>
      <c r="W202" s="52"/>
      <c r="X202" s="52"/>
      <c r="Y202" s="52"/>
      <c r="Z202" s="52"/>
      <c r="AA202" s="52"/>
      <c r="AB202" s="52"/>
      <c r="AC202" s="52"/>
    </row>
    <row r="203">
      <c r="A203" s="52"/>
      <c r="B203" s="350"/>
      <c r="C203" s="52"/>
      <c r="D203" s="52"/>
      <c r="E203" s="52"/>
      <c r="F203" s="351"/>
      <c r="G203" s="52"/>
      <c r="H203" s="52"/>
      <c r="I203" s="52"/>
      <c r="J203" s="52"/>
      <c r="K203" s="52"/>
      <c r="L203" s="52"/>
      <c r="M203" s="52"/>
      <c r="N203" s="52"/>
      <c r="O203" s="52"/>
      <c r="P203" s="52"/>
      <c r="Q203" s="52"/>
      <c r="R203" s="52"/>
      <c r="S203" s="52"/>
      <c r="T203" s="52"/>
      <c r="U203" s="52"/>
      <c r="V203" s="52"/>
      <c r="W203" s="52"/>
      <c r="X203" s="52"/>
      <c r="Y203" s="52"/>
      <c r="Z203" s="52"/>
      <c r="AA203" s="52"/>
      <c r="AB203" s="52"/>
      <c r="AC203" s="52"/>
    </row>
    <row r="204">
      <c r="A204" s="52"/>
      <c r="B204" s="350"/>
      <c r="C204" s="52"/>
      <c r="D204" s="52"/>
      <c r="E204" s="52"/>
      <c r="F204" s="351"/>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row>
    <row r="205">
      <c r="A205" s="52"/>
      <c r="B205" s="350"/>
      <c r="C205" s="52"/>
      <c r="D205" s="52"/>
      <c r="E205" s="52"/>
      <c r="F205" s="351"/>
      <c r="G205" s="52"/>
      <c r="H205" s="52"/>
      <c r="I205" s="52"/>
      <c r="J205" s="52"/>
      <c r="K205" s="52"/>
      <c r="L205" s="52"/>
      <c r="M205" s="52"/>
      <c r="N205" s="52"/>
      <c r="O205" s="52"/>
      <c r="P205" s="52"/>
      <c r="Q205" s="52"/>
      <c r="R205" s="52"/>
      <c r="S205" s="52"/>
      <c r="T205" s="52"/>
      <c r="U205" s="52"/>
      <c r="V205" s="52"/>
      <c r="W205" s="52"/>
      <c r="X205" s="52"/>
      <c r="Y205" s="52"/>
      <c r="Z205" s="52"/>
      <c r="AA205" s="52"/>
      <c r="AB205" s="52"/>
      <c r="AC205" s="52"/>
    </row>
    <row r="206">
      <c r="A206" s="52"/>
      <c r="B206" s="350"/>
      <c r="C206" s="52"/>
      <c r="D206" s="52"/>
      <c r="E206" s="52"/>
      <c r="F206" s="351"/>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row>
    <row r="207">
      <c r="A207" s="52"/>
      <c r="B207" s="350"/>
      <c r="C207" s="52"/>
      <c r="D207" s="52"/>
      <c r="E207" s="52"/>
      <c r="F207" s="351"/>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row>
    <row r="208">
      <c r="A208" s="52"/>
      <c r="B208" s="350"/>
      <c r="C208" s="52"/>
      <c r="D208" s="52"/>
      <c r="E208" s="52"/>
      <c r="F208" s="351"/>
      <c r="G208" s="52"/>
      <c r="H208" s="52"/>
      <c r="I208" s="52"/>
      <c r="J208" s="52"/>
      <c r="K208" s="52"/>
      <c r="L208" s="52"/>
      <c r="M208" s="52"/>
      <c r="N208" s="52"/>
      <c r="O208" s="52"/>
      <c r="P208" s="52"/>
      <c r="Q208" s="52"/>
      <c r="R208" s="52"/>
      <c r="S208" s="52"/>
      <c r="T208" s="52"/>
      <c r="U208" s="52"/>
      <c r="V208" s="52"/>
      <c r="W208" s="52"/>
      <c r="X208" s="52"/>
      <c r="Y208" s="52"/>
      <c r="Z208" s="52"/>
      <c r="AA208" s="52"/>
      <c r="AB208" s="52"/>
      <c r="AC208" s="52"/>
    </row>
    <row r="209">
      <c r="A209" s="52"/>
      <c r="B209" s="350"/>
      <c r="C209" s="52"/>
      <c r="D209" s="52"/>
      <c r="E209" s="52"/>
      <c r="F209" s="351"/>
      <c r="G209" s="52"/>
      <c r="H209" s="52"/>
      <c r="I209" s="52"/>
      <c r="J209" s="52"/>
      <c r="K209" s="52"/>
      <c r="L209" s="52"/>
      <c r="M209" s="52"/>
      <c r="N209" s="52"/>
      <c r="O209" s="52"/>
      <c r="P209" s="52"/>
      <c r="Q209" s="52"/>
      <c r="R209" s="52"/>
      <c r="S209" s="52"/>
      <c r="T209" s="52"/>
      <c r="U209" s="52"/>
      <c r="V209" s="52"/>
      <c r="W209" s="52"/>
      <c r="X209" s="52"/>
      <c r="Y209" s="52"/>
      <c r="Z209" s="52"/>
      <c r="AA209" s="52"/>
      <c r="AB209" s="52"/>
      <c r="AC209" s="52"/>
    </row>
    <row r="210">
      <c r="A210" s="52"/>
      <c r="B210" s="350"/>
      <c r="C210" s="52"/>
      <c r="D210" s="52"/>
      <c r="E210" s="52"/>
      <c r="F210" s="351"/>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row>
    <row r="211">
      <c r="A211" s="52"/>
      <c r="B211" s="350"/>
      <c r="C211" s="52"/>
      <c r="D211" s="52"/>
      <c r="E211" s="52"/>
      <c r="F211" s="351"/>
      <c r="G211" s="52"/>
      <c r="H211" s="52"/>
      <c r="I211" s="52"/>
      <c r="J211" s="52"/>
      <c r="K211" s="52"/>
      <c r="L211" s="52"/>
      <c r="M211" s="52"/>
      <c r="N211" s="52"/>
      <c r="O211" s="52"/>
      <c r="P211" s="52"/>
      <c r="Q211" s="52"/>
      <c r="R211" s="52"/>
      <c r="S211" s="52"/>
      <c r="T211" s="52"/>
      <c r="U211" s="52"/>
      <c r="V211" s="52"/>
      <c r="W211" s="52"/>
      <c r="X211" s="52"/>
      <c r="Y211" s="52"/>
      <c r="Z211" s="52"/>
      <c r="AA211" s="52"/>
      <c r="AB211" s="52"/>
      <c r="AC211" s="52"/>
    </row>
    <row r="212">
      <c r="A212" s="52"/>
      <c r="B212" s="350"/>
      <c r="C212" s="52"/>
      <c r="D212" s="52"/>
      <c r="E212" s="52"/>
      <c r="F212" s="351"/>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row>
    <row r="213">
      <c r="A213" s="52"/>
      <c r="B213" s="350"/>
      <c r="C213" s="52"/>
      <c r="D213" s="52"/>
      <c r="E213" s="52"/>
      <c r="F213" s="351"/>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row>
    <row r="214">
      <c r="A214" s="52"/>
      <c r="B214" s="350"/>
      <c r="C214" s="52"/>
      <c r="D214" s="52"/>
      <c r="E214" s="52"/>
      <c r="F214" s="351"/>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row>
    <row r="215">
      <c r="A215" s="52"/>
      <c r="B215" s="350"/>
      <c r="C215" s="52"/>
      <c r="D215" s="52"/>
      <c r="E215" s="52"/>
      <c r="F215" s="351"/>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row>
    <row r="216">
      <c r="A216" s="52"/>
      <c r="B216" s="350"/>
      <c r="C216" s="52"/>
      <c r="D216" s="52"/>
      <c r="E216" s="52"/>
      <c r="F216" s="351"/>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row>
    <row r="217">
      <c r="A217" s="52"/>
      <c r="B217" s="350"/>
      <c r="C217" s="52"/>
      <c r="D217" s="52"/>
      <c r="E217" s="52"/>
      <c r="F217" s="351"/>
      <c r="G217" s="52"/>
      <c r="H217" s="52"/>
      <c r="I217" s="52"/>
      <c r="J217" s="52"/>
      <c r="K217" s="52"/>
      <c r="L217" s="52"/>
      <c r="M217" s="52"/>
      <c r="N217" s="52"/>
      <c r="O217" s="52"/>
      <c r="P217" s="52"/>
      <c r="Q217" s="52"/>
      <c r="R217" s="52"/>
      <c r="S217" s="52"/>
      <c r="T217" s="52"/>
      <c r="U217" s="52"/>
      <c r="V217" s="52"/>
      <c r="W217" s="52"/>
      <c r="X217" s="52"/>
      <c r="Y217" s="52"/>
      <c r="Z217" s="52"/>
      <c r="AA217" s="52"/>
      <c r="AB217" s="52"/>
      <c r="AC217" s="52"/>
    </row>
    <row r="218">
      <c r="A218" s="52"/>
      <c r="B218" s="350"/>
      <c r="C218" s="52"/>
      <c r="D218" s="52"/>
      <c r="E218" s="52"/>
      <c r="F218" s="351"/>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row>
    <row r="219">
      <c r="A219" s="52"/>
      <c r="B219" s="350"/>
      <c r="C219" s="52"/>
      <c r="D219" s="52"/>
      <c r="E219" s="52"/>
      <c r="F219" s="351"/>
      <c r="G219" s="52"/>
      <c r="H219" s="52"/>
      <c r="I219" s="52"/>
      <c r="J219" s="52"/>
      <c r="K219" s="52"/>
      <c r="L219" s="52"/>
      <c r="M219" s="52"/>
      <c r="N219" s="52"/>
      <c r="O219" s="52"/>
      <c r="P219" s="52"/>
      <c r="Q219" s="52"/>
      <c r="R219" s="52"/>
      <c r="S219" s="52"/>
      <c r="T219" s="52"/>
      <c r="U219" s="52"/>
      <c r="V219" s="52"/>
      <c r="W219" s="52"/>
      <c r="X219" s="52"/>
      <c r="Y219" s="52"/>
      <c r="Z219" s="52"/>
      <c r="AA219" s="52"/>
      <c r="AB219" s="52"/>
      <c r="AC219" s="52"/>
    </row>
    <row r="220">
      <c r="A220" s="52"/>
      <c r="B220" s="350"/>
      <c r="C220" s="52"/>
      <c r="D220" s="52"/>
      <c r="E220" s="52"/>
      <c r="F220" s="351"/>
      <c r="G220" s="52"/>
      <c r="H220" s="52"/>
      <c r="I220" s="52"/>
      <c r="J220" s="52"/>
      <c r="K220" s="52"/>
      <c r="L220" s="52"/>
      <c r="M220" s="52"/>
      <c r="N220" s="52"/>
      <c r="O220" s="52"/>
      <c r="P220" s="52"/>
      <c r="Q220" s="52"/>
      <c r="R220" s="52"/>
      <c r="S220" s="52"/>
      <c r="T220" s="52"/>
      <c r="U220" s="52"/>
      <c r="V220" s="52"/>
      <c r="W220" s="52"/>
      <c r="X220" s="52"/>
      <c r="Y220" s="52"/>
      <c r="Z220" s="52"/>
      <c r="AA220" s="52"/>
      <c r="AB220" s="52"/>
      <c r="AC220" s="52"/>
    </row>
    <row r="221">
      <c r="A221" s="52"/>
      <c r="B221" s="350"/>
      <c r="C221" s="52"/>
      <c r="D221" s="52"/>
      <c r="E221" s="52"/>
      <c r="F221" s="351"/>
      <c r="G221" s="52"/>
      <c r="H221" s="52"/>
      <c r="I221" s="52"/>
      <c r="J221" s="52"/>
      <c r="K221" s="52"/>
      <c r="L221" s="52"/>
      <c r="M221" s="52"/>
      <c r="N221" s="52"/>
      <c r="O221" s="52"/>
      <c r="P221" s="52"/>
      <c r="Q221" s="52"/>
      <c r="R221" s="52"/>
      <c r="S221" s="52"/>
      <c r="T221" s="52"/>
      <c r="U221" s="52"/>
      <c r="V221" s="52"/>
      <c r="W221" s="52"/>
      <c r="X221" s="52"/>
      <c r="Y221" s="52"/>
      <c r="Z221" s="52"/>
      <c r="AA221" s="52"/>
      <c r="AB221" s="52"/>
      <c r="AC221" s="52"/>
    </row>
    <row r="222">
      <c r="A222" s="52"/>
      <c r="B222" s="350"/>
      <c r="C222" s="52"/>
      <c r="D222" s="52"/>
      <c r="E222" s="52"/>
      <c r="F222" s="351"/>
      <c r="G222" s="52"/>
      <c r="H222" s="52"/>
      <c r="I222" s="52"/>
      <c r="J222" s="52"/>
      <c r="K222" s="52"/>
      <c r="L222" s="52"/>
      <c r="M222" s="52"/>
      <c r="N222" s="52"/>
      <c r="O222" s="52"/>
      <c r="P222" s="52"/>
      <c r="Q222" s="52"/>
      <c r="R222" s="52"/>
      <c r="S222" s="52"/>
      <c r="T222" s="52"/>
      <c r="U222" s="52"/>
      <c r="V222" s="52"/>
      <c r="W222" s="52"/>
      <c r="X222" s="52"/>
      <c r="Y222" s="52"/>
      <c r="Z222" s="52"/>
      <c r="AA222" s="52"/>
      <c r="AB222" s="52"/>
      <c r="AC222" s="52"/>
    </row>
    <row r="223">
      <c r="A223" s="52"/>
      <c r="B223" s="350"/>
      <c r="C223" s="52"/>
      <c r="D223" s="52"/>
      <c r="E223" s="52"/>
      <c r="F223" s="351"/>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row>
    <row r="224">
      <c r="A224" s="52"/>
      <c r="B224" s="350"/>
      <c r="C224" s="52"/>
      <c r="D224" s="52"/>
      <c r="E224" s="52"/>
      <c r="F224" s="351"/>
      <c r="G224" s="52"/>
      <c r="H224" s="52"/>
      <c r="I224" s="52"/>
      <c r="J224" s="52"/>
      <c r="K224" s="52"/>
      <c r="L224" s="52"/>
      <c r="M224" s="52"/>
      <c r="N224" s="52"/>
      <c r="O224" s="52"/>
      <c r="P224" s="52"/>
      <c r="Q224" s="52"/>
      <c r="R224" s="52"/>
      <c r="S224" s="52"/>
      <c r="T224" s="52"/>
      <c r="U224" s="52"/>
      <c r="V224" s="52"/>
      <c r="W224" s="52"/>
      <c r="X224" s="52"/>
      <c r="Y224" s="52"/>
      <c r="Z224" s="52"/>
      <c r="AA224" s="52"/>
      <c r="AB224" s="52"/>
      <c r="AC224" s="52"/>
    </row>
    <row r="225">
      <c r="A225" s="52"/>
      <c r="B225" s="350"/>
      <c r="C225" s="52"/>
      <c r="D225" s="52"/>
      <c r="E225" s="52"/>
      <c r="F225" s="351"/>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row>
    <row r="226">
      <c r="A226" s="52"/>
      <c r="B226" s="350"/>
      <c r="C226" s="52"/>
      <c r="D226" s="52"/>
      <c r="E226" s="52"/>
      <c r="F226" s="351"/>
      <c r="G226" s="52"/>
      <c r="H226" s="52"/>
      <c r="I226" s="52"/>
      <c r="J226" s="52"/>
      <c r="K226" s="52"/>
      <c r="L226" s="52"/>
      <c r="M226" s="52"/>
      <c r="N226" s="52"/>
      <c r="O226" s="52"/>
      <c r="P226" s="52"/>
      <c r="Q226" s="52"/>
      <c r="R226" s="52"/>
      <c r="S226" s="52"/>
      <c r="T226" s="52"/>
      <c r="U226" s="52"/>
      <c r="V226" s="52"/>
      <c r="W226" s="52"/>
      <c r="X226" s="52"/>
      <c r="Y226" s="52"/>
      <c r="Z226" s="52"/>
      <c r="AA226" s="52"/>
      <c r="AB226" s="52"/>
      <c r="AC226" s="52"/>
    </row>
    <row r="227">
      <c r="A227" s="52"/>
      <c r="B227" s="350"/>
      <c r="C227" s="52"/>
      <c r="D227" s="52"/>
      <c r="E227" s="52"/>
      <c r="F227" s="351"/>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row>
    <row r="228">
      <c r="A228" s="52"/>
      <c r="B228" s="350"/>
      <c r="C228" s="52"/>
      <c r="D228" s="52"/>
      <c r="E228" s="52"/>
      <c r="F228" s="351"/>
      <c r="G228" s="52"/>
      <c r="H228" s="52"/>
      <c r="I228" s="52"/>
      <c r="J228" s="52"/>
      <c r="K228" s="52"/>
      <c r="L228" s="52"/>
      <c r="M228" s="52"/>
      <c r="N228" s="52"/>
      <c r="O228" s="52"/>
      <c r="P228" s="52"/>
      <c r="Q228" s="52"/>
      <c r="R228" s="52"/>
      <c r="S228" s="52"/>
      <c r="T228" s="52"/>
      <c r="U228" s="52"/>
      <c r="V228" s="52"/>
      <c r="W228" s="52"/>
      <c r="X228" s="52"/>
      <c r="Y228" s="52"/>
      <c r="Z228" s="52"/>
      <c r="AA228" s="52"/>
      <c r="AB228" s="52"/>
      <c r="AC228" s="52"/>
    </row>
    <row r="229">
      <c r="A229" s="52"/>
      <c r="B229" s="350"/>
      <c r="C229" s="52"/>
      <c r="D229" s="52"/>
      <c r="E229" s="52"/>
      <c r="F229" s="351"/>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row>
    <row r="230">
      <c r="A230" s="52"/>
      <c r="B230" s="350"/>
      <c r="C230" s="52"/>
      <c r="D230" s="52"/>
      <c r="E230" s="52"/>
      <c r="F230" s="351"/>
      <c r="G230" s="52"/>
      <c r="H230" s="52"/>
      <c r="I230" s="52"/>
      <c r="J230" s="52"/>
      <c r="K230" s="52"/>
      <c r="L230" s="52"/>
      <c r="M230" s="52"/>
      <c r="N230" s="52"/>
      <c r="O230" s="52"/>
      <c r="P230" s="52"/>
      <c r="Q230" s="52"/>
      <c r="R230" s="52"/>
      <c r="S230" s="52"/>
      <c r="T230" s="52"/>
      <c r="U230" s="52"/>
      <c r="V230" s="52"/>
      <c r="W230" s="52"/>
      <c r="X230" s="52"/>
      <c r="Y230" s="52"/>
      <c r="Z230" s="52"/>
      <c r="AA230" s="52"/>
      <c r="AB230" s="52"/>
      <c r="AC230" s="52"/>
    </row>
    <row r="231">
      <c r="A231" s="52"/>
      <c r="B231" s="350"/>
      <c r="C231" s="52"/>
      <c r="D231" s="52"/>
      <c r="E231" s="52"/>
      <c r="F231" s="351"/>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row>
    <row r="232">
      <c r="A232" s="52"/>
      <c r="B232" s="350"/>
      <c r="C232" s="52"/>
      <c r="D232" s="52"/>
      <c r="E232" s="52"/>
      <c r="F232" s="351"/>
      <c r="G232" s="52"/>
      <c r="H232" s="52"/>
      <c r="I232" s="52"/>
      <c r="J232" s="52"/>
      <c r="K232" s="52"/>
      <c r="L232" s="52"/>
      <c r="M232" s="52"/>
      <c r="N232" s="52"/>
      <c r="O232" s="52"/>
      <c r="P232" s="52"/>
      <c r="Q232" s="52"/>
      <c r="R232" s="52"/>
      <c r="S232" s="52"/>
      <c r="T232" s="52"/>
      <c r="U232" s="52"/>
      <c r="V232" s="52"/>
      <c r="W232" s="52"/>
      <c r="X232" s="52"/>
      <c r="Y232" s="52"/>
      <c r="Z232" s="52"/>
      <c r="AA232" s="52"/>
      <c r="AB232" s="52"/>
      <c r="AC232" s="52"/>
    </row>
    <row r="233">
      <c r="A233" s="52"/>
      <c r="B233" s="350"/>
      <c r="C233" s="52"/>
      <c r="D233" s="52"/>
      <c r="E233" s="52"/>
      <c r="F233" s="351"/>
      <c r="G233" s="52"/>
      <c r="H233" s="52"/>
      <c r="I233" s="52"/>
      <c r="J233" s="52"/>
      <c r="K233" s="52"/>
      <c r="L233" s="52"/>
      <c r="M233" s="52"/>
      <c r="N233" s="52"/>
      <c r="O233" s="52"/>
      <c r="P233" s="52"/>
      <c r="Q233" s="52"/>
      <c r="R233" s="52"/>
      <c r="S233" s="52"/>
      <c r="T233" s="52"/>
      <c r="U233" s="52"/>
      <c r="V233" s="52"/>
      <c r="W233" s="52"/>
      <c r="X233" s="52"/>
      <c r="Y233" s="52"/>
      <c r="Z233" s="52"/>
      <c r="AA233" s="52"/>
      <c r="AB233" s="52"/>
      <c r="AC233" s="52"/>
    </row>
    <row r="234">
      <c r="A234" s="52"/>
      <c r="B234" s="350"/>
      <c r="C234" s="52"/>
      <c r="D234" s="52"/>
      <c r="E234" s="52"/>
      <c r="F234" s="351"/>
      <c r="G234" s="52"/>
      <c r="H234" s="52"/>
      <c r="I234" s="52"/>
      <c r="J234" s="52"/>
      <c r="K234" s="52"/>
      <c r="L234" s="52"/>
      <c r="M234" s="52"/>
      <c r="N234" s="52"/>
      <c r="O234" s="52"/>
      <c r="P234" s="52"/>
      <c r="Q234" s="52"/>
      <c r="R234" s="52"/>
      <c r="S234" s="52"/>
      <c r="T234" s="52"/>
      <c r="U234" s="52"/>
      <c r="V234" s="52"/>
      <c r="W234" s="52"/>
      <c r="X234" s="52"/>
      <c r="Y234" s="52"/>
      <c r="Z234" s="52"/>
      <c r="AA234" s="52"/>
      <c r="AB234" s="52"/>
      <c r="AC234" s="52"/>
    </row>
    <row r="235">
      <c r="A235" s="52"/>
      <c r="B235" s="350"/>
      <c r="C235" s="52"/>
      <c r="D235" s="52"/>
      <c r="E235" s="52"/>
      <c r="F235" s="351"/>
      <c r="G235" s="52"/>
      <c r="H235" s="52"/>
      <c r="I235" s="52"/>
      <c r="J235" s="52"/>
      <c r="K235" s="52"/>
      <c r="L235" s="52"/>
      <c r="M235" s="52"/>
      <c r="N235" s="52"/>
      <c r="O235" s="52"/>
      <c r="P235" s="52"/>
      <c r="Q235" s="52"/>
      <c r="R235" s="52"/>
      <c r="S235" s="52"/>
      <c r="T235" s="52"/>
      <c r="U235" s="52"/>
      <c r="V235" s="52"/>
      <c r="W235" s="52"/>
      <c r="X235" s="52"/>
      <c r="Y235" s="52"/>
      <c r="Z235" s="52"/>
      <c r="AA235" s="52"/>
      <c r="AB235" s="52"/>
      <c r="AC235" s="52"/>
    </row>
    <row r="236">
      <c r="A236" s="52"/>
      <c r="B236" s="350"/>
      <c r="C236" s="52"/>
      <c r="D236" s="52"/>
      <c r="E236" s="52"/>
      <c r="F236" s="351"/>
      <c r="G236" s="52"/>
      <c r="H236" s="52"/>
      <c r="I236" s="52"/>
      <c r="J236" s="52"/>
      <c r="K236" s="52"/>
      <c r="L236" s="52"/>
      <c r="M236" s="52"/>
      <c r="N236" s="52"/>
      <c r="O236" s="52"/>
      <c r="P236" s="52"/>
      <c r="Q236" s="52"/>
      <c r="R236" s="52"/>
      <c r="S236" s="52"/>
      <c r="T236" s="52"/>
      <c r="U236" s="52"/>
      <c r="V236" s="52"/>
      <c r="W236" s="52"/>
      <c r="X236" s="52"/>
      <c r="Y236" s="52"/>
      <c r="Z236" s="52"/>
      <c r="AA236" s="52"/>
      <c r="AB236" s="52"/>
      <c r="AC236" s="52"/>
    </row>
    <row r="237">
      <c r="A237" s="52"/>
      <c r="B237" s="350"/>
      <c r="C237" s="52"/>
      <c r="D237" s="52"/>
      <c r="E237" s="52"/>
      <c r="F237" s="351"/>
      <c r="G237" s="52"/>
      <c r="H237" s="52"/>
      <c r="I237" s="52"/>
      <c r="J237" s="52"/>
      <c r="K237" s="52"/>
      <c r="L237" s="52"/>
      <c r="M237" s="52"/>
      <c r="N237" s="52"/>
      <c r="O237" s="52"/>
      <c r="P237" s="52"/>
      <c r="Q237" s="52"/>
      <c r="R237" s="52"/>
      <c r="S237" s="52"/>
      <c r="T237" s="52"/>
      <c r="U237" s="52"/>
      <c r="V237" s="52"/>
      <c r="W237" s="52"/>
      <c r="X237" s="52"/>
      <c r="Y237" s="52"/>
      <c r="Z237" s="52"/>
      <c r="AA237" s="52"/>
      <c r="AB237" s="52"/>
      <c r="AC237" s="52"/>
    </row>
    <row r="238">
      <c r="A238" s="52"/>
      <c r="B238" s="350"/>
      <c r="C238" s="52"/>
      <c r="D238" s="52"/>
      <c r="E238" s="52"/>
      <c r="F238" s="351"/>
      <c r="G238" s="52"/>
      <c r="H238" s="52"/>
      <c r="I238" s="52"/>
      <c r="J238" s="52"/>
      <c r="K238" s="52"/>
      <c r="L238" s="52"/>
      <c r="M238" s="52"/>
      <c r="N238" s="52"/>
      <c r="O238" s="52"/>
      <c r="P238" s="52"/>
      <c r="Q238" s="52"/>
      <c r="R238" s="52"/>
      <c r="S238" s="52"/>
      <c r="T238" s="52"/>
      <c r="U238" s="52"/>
      <c r="V238" s="52"/>
      <c r="W238" s="52"/>
      <c r="X238" s="52"/>
      <c r="Y238" s="52"/>
      <c r="Z238" s="52"/>
      <c r="AA238" s="52"/>
      <c r="AB238" s="52"/>
      <c r="AC238" s="52"/>
    </row>
    <row r="239">
      <c r="A239" s="52"/>
      <c r="B239" s="350"/>
      <c r="C239" s="52"/>
      <c r="D239" s="52"/>
      <c r="E239" s="52"/>
      <c r="F239" s="351"/>
      <c r="G239" s="52"/>
      <c r="H239" s="52"/>
      <c r="I239" s="52"/>
      <c r="J239" s="52"/>
      <c r="K239" s="52"/>
      <c r="L239" s="52"/>
      <c r="M239" s="52"/>
      <c r="N239" s="52"/>
      <c r="O239" s="52"/>
      <c r="P239" s="52"/>
      <c r="Q239" s="52"/>
      <c r="R239" s="52"/>
      <c r="S239" s="52"/>
      <c r="T239" s="52"/>
      <c r="U239" s="52"/>
      <c r="V239" s="52"/>
      <c r="W239" s="52"/>
      <c r="X239" s="52"/>
      <c r="Y239" s="52"/>
      <c r="Z239" s="52"/>
      <c r="AA239" s="52"/>
      <c r="AB239" s="52"/>
      <c r="AC239" s="52"/>
    </row>
    <row r="240">
      <c r="A240" s="52"/>
      <c r="B240" s="350"/>
      <c r="C240" s="52"/>
      <c r="D240" s="52"/>
      <c r="E240" s="52"/>
      <c r="F240" s="351"/>
      <c r="G240" s="52"/>
      <c r="H240" s="52"/>
      <c r="I240" s="52"/>
      <c r="J240" s="52"/>
      <c r="K240" s="52"/>
      <c r="L240" s="52"/>
      <c r="M240" s="52"/>
      <c r="N240" s="52"/>
      <c r="O240" s="52"/>
      <c r="P240" s="52"/>
      <c r="Q240" s="52"/>
      <c r="R240" s="52"/>
      <c r="S240" s="52"/>
      <c r="T240" s="52"/>
      <c r="U240" s="52"/>
      <c r="V240" s="52"/>
      <c r="W240" s="52"/>
      <c r="X240" s="52"/>
      <c r="Y240" s="52"/>
      <c r="Z240" s="52"/>
      <c r="AA240" s="52"/>
      <c r="AB240" s="52"/>
      <c r="AC240" s="52"/>
    </row>
    <row r="241">
      <c r="A241" s="52"/>
      <c r="B241" s="350"/>
      <c r="C241" s="52"/>
      <c r="D241" s="52"/>
      <c r="E241" s="52"/>
      <c r="F241" s="351"/>
      <c r="G241" s="52"/>
      <c r="H241" s="52"/>
      <c r="I241" s="52"/>
      <c r="J241" s="52"/>
      <c r="K241" s="52"/>
      <c r="L241" s="52"/>
      <c r="M241" s="52"/>
      <c r="N241" s="52"/>
      <c r="O241" s="52"/>
      <c r="P241" s="52"/>
      <c r="Q241" s="52"/>
      <c r="R241" s="52"/>
      <c r="S241" s="52"/>
      <c r="T241" s="52"/>
      <c r="U241" s="52"/>
      <c r="V241" s="52"/>
      <c r="W241" s="52"/>
      <c r="X241" s="52"/>
      <c r="Y241" s="52"/>
      <c r="Z241" s="52"/>
      <c r="AA241" s="52"/>
      <c r="AB241" s="52"/>
      <c r="AC241" s="52"/>
    </row>
    <row r="242">
      <c r="A242" s="52"/>
      <c r="B242" s="350"/>
      <c r="C242" s="52"/>
      <c r="D242" s="52"/>
      <c r="E242" s="52"/>
      <c r="F242" s="351"/>
      <c r="G242" s="52"/>
      <c r="H242" s="52"/>
      <c r="I242" s="52"/>
      <c r="J242" s="52"/>
      <c r="K242" s="52"/>
      <c r="L242" s="52"/>
      <c r="M242" s="52"/>
      <c r="N242" s="52"/>
      <c r="O242" s="52"/>
      <c r="P242" s="52"/>
      <c r="Q242" s="52"/>
      <c r="R242" s="52"/>
      <c r="S242" s="52"/>
      <c r="T242" s="52"/>
      <c r="U242" s="52"/>
      <c r="V242" s="52"/>
      <c r="W242" s="52"/>
      <c r="X242" s="52"/>
      <c r="Y242" s="52"/>
      <c r="Z242" s="52"/>
      <c r="AA242" s="52"/>
      <c r="AB242" s="52"/>
      <c r="AC242" s="52"/>
    </row>
    <row r="243">
      <c r="A243" s="52"/>
      <c r="B243" s="350"/>
      <c r="C243" s="52"/>
      <c r="D243" s="52"/>
      <c r="E243" s="52"/>
      <c r="F243" s="351"/>
      <c r="G243" s="52"/>
      <c r="H243" s="52"/>
      <c r="I243" s="52"/>
      <c r="J243" s="52"/>
      <c r="K243" s="52"/>
      <c r="L243" s="52"/>
      <c r="M243" s="52"/>
      <c r="N243" s="52"/>
      <c r="O243" s="52"/>
      <c r="P243" s="52"/>
      <c r="Q243" s="52"/>
      <c r="R243" s="52"/>
      <c r="S243" s="52"/>
      <c r="T243" s="52"/>
      <c r="U243" s="52"/>
      <c r="V243" s="52"/>
      <c r="W243" s="52"/>
      <c r="X243" s="52"/>
      <c r="Y243" s="52"/>
      <c r="Z243" s="52"/>
      <c r="AA243" s="52"/>
      <c r="AB243" s="52"/>
      <c r="AC243" s="52"/>
    </row>
    <row r="244">
      <c r="A244" s="52"/>
      <c r="B244" s="350"/>
      <c r="C244" s="52"/>
      <c r="D244" s="52"/>
      <c r="E244" s="52"/>
      <c r="F244" s="351"/>
      <c r="G244" s="52"/>
      <c r="H244" s="52"/>
      <c r="I244" s="52"/>
      <c r="J244" s="52"/>
      <c r="K244" s="52"/>
      <c r="L244" s="52"/>
      <c r="M244" s="52"/>
      <c r="N244" s="52"/>
      <c r="O244" s="52"/>
      <c r="P244" s="52"/>
      <c r="Q244" s="52"/>
      <c r="R244" s="52"/>
      <c r="S244" s="52"/>
      <c r="T244" s="52"/>
      <c r="U244" s="52"/>
      <c r="V244" s="52"/>
      <c r="W244" s="52"/>
      <c r="X244" s="52"/>
      <c r="Y244" s="52"/>
      <c r="Z244" s="52"/>
      <c r="AA244" s="52"/>
      <c r="AB244" s="52"/>
      <c r="AC244" s="52"/>
    </row>
    <row r="245">
      <c r="A245" s="52"/>
      <c r="B245" s="350"/>
      <c r="C245" s="52"/>
      <c r="D245" s="52"/>
      <c r="E245" s="52"/>
      <c r="F245" s="351"/>
      <c r="G245" s="52"/>
      <c r="H245" s="52"/>
      <c r="I245" s="52"/>
      <c r="J245" s="52"/>
      <c r="K245" s="52"/>
      <c r="L245" s="52"/>
      <c r="M245" s="52"/>
      <c r="N245" s="52"/>
      <c r="O245" s="52"/>
      <c r="P245" s="52"/>
      <c r="Q245" s="52"/>
      <c r="R245" s="52"/>
      <c r="S245" s="52"/>
      <c r="T245" s="52"/>
      <c r="U245" s="52"/>
      <c r="V245" s="52"/>
      <c r="W245" s="52"/>
      <c r="X245" s="52"/>
      <c r="Y245" s="52"/>
      <c r="Z245" s="52"/>
      <c r="AA245" s="52"/>
      <c r="AB245" s="52"/>
      <c r="AC245" s="52"/>
    </row>
    <row r="246">
      <c r="A246" s="52"/>
      <c r="B246" s="350"/>
      <c r="C246" s="52"/>
      <c r="D246" s="52"/>
      <c r="E246" s="52"/>
      <c r="F246" s="351"/>
      <c r="G246" s="52"/>
      <c r="H246" s="52"/>
      <c r="I246" s="52"/>
      <c r="J246" s="52"/>
      <c r="K246" s="52"/>
      <c r="L246" s="52"/>
      <c r="M246" s="52"/>
      <c r="N246" s="52"/>
      <c r="O246" s="52"/>
      <c r="P246" s="52"/>
      <c r="Q246" s="52"/>
      <c r="R246" s="52"/>
      <c r="S246" s="52"/>
      <c r="T246" s="52"/>
      <c r="U246" s="52"/>
      <c r="V246" s="52"/>
      <c r="W246" s="52"/>
      <c r="X246" s="52"/>
      <c r="Y246" s="52"/>
      <c r="Z246" s="52"/>
      <c r="AA246" s="52"/>
      <c r="AB246" s="52"/>
      <c r="AC246" s="52"/>
    </row>
    <row r="247">
      <c r="A247" s="52"/>
      <c r="B247" s="350"/>
      <c r="C247" s="52"/>
      <c r="D247" s="52"/>
      <c r="E247" s="52"/>
      <c r="F247" s="351"/>
      <c r="G247" s="52"/>
      <c r="H247" s="52"/>
      <c r="I247" s="52"/>
      <c r="J247" s="52"/>
      <c r="K247" s="52"/>
      <c r="L247" s="52"/>
      <c r="M247" s="52"/>
      <c r="N247" s="52"/>
      <c r="O247" s="52"/>
      <c r="P247" s="52"/>
      <c r="Q247" s="52"/>
      <c r="R247" s="52"/>
      <c r="S247" s="52"/>
      <c r="T247" s="52"/>
      <c r="U247" s="52"/>
      <c r="V247" s="52"/>
      <c r="W247" s="52"/>
      <c r="X247" s="52"/>
      <c r="Y247" s="52"/>
      <c r="Z247" s="52"/>
      <c r="AA247" s="52"/>
      <c r="AB247" s="52"/>
      <c r="AC247" s="52"/>
    </row>
    <row r="248">
      <c r="A248" s="52"/>
      <c r="B248" s="350"/>
      <c r="C248" s="52"/>
      <c r="D248" s="52"/>
      <c r="E248" s="52"/>
      <c r="F248" s="351"/>
      <c r="G248" s="52"/>
      <c r="H248" s="52"/>
      <c r="I248" s="52"/>
      <c r="J248" s="52"/>
      <c r="K248" s="52"/>
      <c r="L248" s="52"/>
      <c r="M248" s="52"/>
      <c r="N248" s="52"/>
      <c r="O248" s="52"/>
      <c r="P248" s="52"/>
      <c r="Q248" s="52"/>
      <c r="R248" s="52"/>
      <c r="S248" s="52"/>
      <c r="T248" s="52"/>
      <c r="U248" s="52"/>
      <c r="V248" s="52"/>
      <c r="W248" s="52"/>
      <c r="X248" s="52"/>
      <c r="Y248" s="52"/>
      <c r="Z248" s="52"/>
      <c r="AA248" s="52"/>
      <c r="AB248" s="52"/>
      <c r="AC248" s="52"/>
    </row>
    <row r="249">
      <c r="A249" s="52"/>
      <c r="B249" s="350"/>
      <c r="C249" s="52"/>
      <c r="D249" s="52"/>
      <c r="E249" s="52"/>
      <c r="F249" s="351"/>
      <c r="G249" s="52"/>
      <c r="H249" s="52"/>
      <c r="I249" s="52"/>
      <c r="J249" s="52"/>
      <c r="K249" s="52"/>
      <c r="L249" s="52"/>
      <c r="M249" s="52"/>
      <c r="N249" s="52"/>
      <c r="O249" s="52"/>
      <c r="P249" s="52"/>
      <c r="Q249" s="52"/>
      <c r="R249" s="52"/>
      <c r="S249" s="52"/>
      <c r="T249" s="52"/>
      <c r="U249" s="52"/>
      <c r="V249" s="52"/>
      <c r="W249" s="52"/>
      <c r="X249" s="52"/>
      <c r="Y249" s="52"/>
      <c r="Z249" s="52"/>
      <c r="AA249" s="52"/>
      <c r="AB249" s="52"/>
      <c r="AC249" s="52"/>
    </row>
    <row r="250">
      <c r="A250" s="52"/>
      <c r="B250" s="350"/>
      <c r="C250" s="52"/>
      <c r="D250" s="52"/>
      <c r="E250" s="52"/>
      <c r="F250" s="351"/>
      <c r="G250" s="52"/>
      <c r="H250" s="52"/>
      <c r="I250" s="52"/>
      <c r="J250" s="52"/>
      <c r="K250" s="52"/>
      <c r="L250" s="52"/>
      <c r="M250" s="52"/>
      <c r="N250" s="52"/>
      <c r="O250" s="52"/>
      <c r="P250" s="52"/>
      <c r="Q250" s="52"/>
      <c r="R250" s="52"/>
      <c r="S250" s="52"/>
      <c r="T250" s="52"/>
      <c r="U250" s="52"/>
      <c r="V250" s="52"/>
      <c r="W250" s="52"/>
      <c r="X250" s="52"/>
      <c r="Y250" s="52"/>
      <c r="Z250" s="52"/>
      <c r="AA250" s="52"/>
      <c r="AB250" s="52"/>
      <c r="AC250" s="52"/>
    </row>
    <row r="251">
      <c r="A251" s="52"/>
      <c r="B251" s="350"/>
      <c r="C251" s="52"/>
      <c r="D251" s="52"/>
      <c r="E251" s="52"/>
      <c r="F251" s="351"/>
      <c r="G251" s="52"/>
      <c r="H251" s="52"/>
      <c r="I251" s="52"/>
      <c r="J251" s="52"/>
      <c r="K251" s="52"/>
      <c r="L251" s="52"/>
      <c r="M251" s="52"/>
      <c r="N251" s="52"/>
      <c r="O251" s="52"/>
      <c r="P251" s="52"/>
      <c r="Q251" s="52"/>
      <c r="R251" s="52"/>
      <c r="S251" s="52"/>
      <c r="T251" s="52"/>
      <c r="U251" s="52"/>
      <c r="V251" s="52"/>
      <c r="W251" s="52"/>
      <c r="X251" s="52"/>
      <c r="Y251" s="52"/>
      <c r="Z251" s="52"/>
      <c r="AA251" s="52"/>
      <c r="AB251" s="52"/>
      <c r="AC251" s="52"/>
    </row>
    <row r="252">
      <c r="A252" s="52"/>
      <c r="B252" s="350"/>
      <c r="C252" s="52"/>
      <c r="D252" s="52"/>
      <c r="E252" s="52"/>
      <c r="F252" s="351"/>
      <c r="G252" s="52"/>
      <c r="H252" s="52"/>
      <c r="I252" s="52"/>
      <c r="J252" s="52"/>
      <c r="K252" s="52"/>
      <c r="L252" s="52"/>
      <c r="M252" s="52"/>
      <c r="N252" s="52"/>
      <c r="O252" s="52"/>
      <c r="P252" s="52"/>
      <c r="Q252" s="52"/>
      <c r="R252" s="52"/>
      <c r="S252" s="52"/>
      <c r="T252" s="52"/>
      <c r="U252" s="52"/>
      <c r="V252" s="52"/>
      <c r="W252" s="52"/>
      <c r="X252" s="52"/>
      <c r="Y252" s="52"/>
      <c r="Z252" s="52"/>
      <c r="AA252" s="52"/>
      <c r="AB252" s="52"/>
      <c r="AC252" s="52"/>
    </row>
    <row r="253">
      <c r="A253" s="52"/>
      <c r="B253" s="350"/>
      <c r="C253" s="52"/>
      <c r="D253" s="52"/>
      <c r="E253" s="52"/>
      <c r="F253" s="351"/>
      <c r="G253" s="52"/>
      <c r="H253" s="52"/>
      <c r="I253" s="52"/>
      <c r="J253" s="52"/>
      <c r="K253" s="52"/>
      <c r="L253" s="52"/>
      <c r="M253" s="52"/>
      <c r="N253" s="52"/>
      <c r="O253" s="52"/>
      <c r="P253" s="52"/>
      <c r="Q253" s="52"/>
      <c r="R253" s="52"/>
      <c r="S253" s="52"/>
      <c r="T253" s="52"/>
      <c r="U253" s="52"/>
      <c r="V253" s="52"/>
      <c r="W253" s="52"/>
      <c r="X253" s="52"/>
      <c r="Y253" s="52"/>
      <c r="Z253" s="52"/>
      <c r="AA253" s="52"/>
      <c r="AB253" s="52"/>
      <c r="AC253" s="52"/>
    </row>
    <row r="254">
      <c r="A254" s="52"/>
      <c r="B254" s="350"/>
      <c r="C254" s="52"/>
      <c r="D254" s="52"/>
      <c r="E254" s="52"/>
      <c r="F254" s="351"/>
      <c r="G254" s="52"/>
      <c r="H254" s="52"/>
      <c r="I254" s="52"/>
      <c r="J254" s="52"/>
      <c r="K254" s="52"/>
      <c r="L254" s="52"/>
      <c r="M254" s="52"/>
      <c r="N254" s="52"/>
      <c r="O254" s="52"/>
      <c r="P254" s="52"/>
      <c r="Q254" s="52"/>
      <c r="R254" s="52"/>
      <c r="S254" s="52"/>
      <c r="T254" s="52"/>
      <c r="U254" s="52"/>
      <c r="V254" s="52"/>
      <c r="W254" s="52"/>
      <c r="X254" s="52"/>
      <c r="Y254" s="52"/>
      <c r="Z254" s="52"/>
      <c r="AA254" s="52"/>
      <c r="AB254" s="52"/>
      <c r="AC254" s="52"/>
    </row>
    <row r="255">
      <c r="A255" s="52"/>
      <c r="B255" s="350"/>
      <c r="C255" s="52"/>
      <c r="D255" s="52"/>
      <c r="E255" s="52"/>
      <c r="F255" s="351"/>
      <c r="G255" s="52"/>
      <c r="H255" s="52"/>
      <c r="I255" s="52"/>
      <c r="J255" s="52"/>
      <c r="K255" s="52"/>
      <c r="L255" s="52"/>
      <c r="M255" s="52"/>
      <c r="N255" s="52"/>
      <c r="O255" s="52"/>
      <c r="P255" s="52"/>
      <c r="Q255" s="52"/>
      <c r="R255" s="52"/>
      <c r="S255" s="52"/>
      <c r="T255" s="52"/>
      <c r="U255" s="52"/>
      <c r="V255" s="52"/>
      <c r="W255" s="52"/>
      <c r="X255" s="52"/>
      <c r="Y255" s="52"/>
      <c r="Z255" s="52"/>
      <c r="AA255" s="52"/>
      <c r="AB255" s="52"/>
      <c r="AC255" s="52"/>
    </row>
    <row r="256">
      <c r="A256" s="52"/>
      <c r="B256" s="350"/>
      <c r="C256" s="52"/>
      <c r="D256" s="52"/>
      <c r="E256" s="52"/>
      <c r="F256" s="351"/>
      <c r="G256" s="52"/>
      <c r="H256" s="52"/>
      <c r="I256" s="52"/>
      <c r="J256" s="52"/>
      <c r="K256" s="52"/>
      <c r="L256" s="52"/>
      <c r="M256" s="52"/>
      <c r="N256" s="52"/>
      <c r="O256" s="52"/>
      <c r="P256" s="52"/>
      <c r="Q256" s="52"/>
      <c r="R256" s="52"/>
      <c r="S256" s="52"/>
      <c r="T256" s="52"/>
      <c r="U256" s="52"/>
      <c r="V256" s="52"/>
      <c r="W256" s="52"/>
      <c r="X256" s="52"/>
      <c r="Y256" s="52"/>
      <c r="Z256" s="52"/>
      <c r="AA256" s="52"/>
      <c r="AB256" s="52"/>
      <c r="AC256" s="52"/>
    </row>
    <row r="257">
      <c r="A257" s="52"/>
      <c r="B257" s="350"/>
      <c r="C257" s="52"/>
      <c r="D257" s="52"/>
      <c r="E257" s="52"/>
      <c r="F257" s="351"/>
      <c r="G257" s="52"/>
      <c r="H257" s="52"/>
      <c r="I257" s="52"/>
      <c r="J257" s="52"/>
      <c r="K257" s="52"/>
      <c r="L257" s="52"/>
      <c r="M257" s="52"/>
      <c r="N257" s="52"/>
      <c r="O257" s="52"/>
      <c r="P257" s="52"/>
      <c r="Q257" s="52"/>
      <c r="R257" s="52"/>
      <c r="S257" s="52"/>
      <c r="T257" s="52"/>
      <c r="U257" s="52"/>
      <c r="V257" s="52"/>
      <c r="W257" s="52"/>
      <c r="X257" s="52"/>
      <c r="Y257" s="52"/>
      <c r="Z257" s="52"/>
      <c r="AA257" s="52"/>
      <c r="AB257" s="52"/>
      <c r="AC257" s="52"/>
    </row>
    <row r="258">
      <c r="A258" s="52"/>
      <c r="B258" s="350"/>
      <c r="C258" s="52"/>
      <c r="D258" s="52"/>
      <c r="E258" s="52"/>
      <c r="F258" s="351"/>
      <c r="G258" s="52"/>
      <c r="H258" s="52"/>
      <c r="I258" s="52"/>
      <c r="J258" s="52"/>
      <c r="K258" s="52"/>
      <c r="L258" s="52"/>
      <c r="M258" s="52"/>
      <c r="N258" s="52"/>
      <c r="O258" s="52"/>
      <c r="P258" s="52"/>
      <c r="Q258" s="52"/>
      <c r="R258" s="52"/>
      <c r="S258" s="52"/>
      <c r="T258" s="52"/>
      <c r="U258" s="52"/>
      <c r="V258" s="52"/>
      <c r="W258" s="52"/>
      <c r="X258" s="52"/>
      <c r="Y258" s="52"/>
      <c r="Z258" s="52"/>
      <c r="AA258" s="52"/>
      <c r="AB258" s="52"/>
      <c r="AC258" s="52"/>
    </row>
    <row r="259">
      <c r="A259" s="52"/>
      <c r="B259" s="350"/>
      <c r="C259" s="52"/>
      <c r="D259" s="52"/>
      <c r="E259" s="52"/>
      <c r="F259" s="351"/>
      <c r="G259" s="52"/>
      <c r="H259" s="52"/>
      <c r="I259" s="52"/>
      <c r="J259" s="52"/>
      <c r="K259" s="52"/>
      <c r="L259" s="52"/>
      <c r="M259" s="52"/>
      <c r="N259" s="52"/>
      <c r="O259" s="52"/>
      <c r="P259" s="52"/>
      <c r="Q259" s="52"/>
      <c r="R259" s="52"/>
      <c r="S259" s="52"/>
      <c r="T259" s="52"/>
      <c r="U259" s="52"/>
      <c r="V259" s="52"/>
      <c r="W259" s="52"/>
      <c r="X259" s="52"/>
      <c r="Y259" s="52"/>
      <c r="Z259" s="52"/>
      <c r="AA259" s="52"/>
      <c r="AB259" s="52"/>
      <c r="AC259" s="52"/>
    </row>
    <row r="260">
      <c r="A260" s="52"/>
      <c r="B260" s="350"/>
      <c r="C260" s="52"/>
      <c r="D260" s="52"/>
      <c r="E260" s="52"/>
      <c r="F260" s="351"/>
      <c r="G260" s="52"/>
      <c r="H260" s="52"/>
      <c r="I260" s="52"/>
      <c r="J260" s="52"/>
      <c r="K260" s="52"/>
      <c r="L260" s="52"/>
      <c r="M260" s="52"/>
      <c r="N260" s="52"/>
      <c r="O260" s="52"/>
      <c r="P260" s="52"/>
      <c r="Q260" s="52"/>
      <c r="R260" s="52"/>
      <c r="S260" s="52"/>
      <c r="T260" s="52"/>
      <c r="U260" s="52"/>
      <c r="V260" s="52"/>
      <c r="W260" s="52"/>
      <c r="X260" s="52"/>
      <c r="Y260" s="52"/>
      <c r="Z260" s="52"/>
      <c r="AA260" s="52"/>
      <c r="AB260" s="52"/>
      <c r="AC260" s="52"/>
    </row>
    <row r="261">
      <c r="A261" s="52"/>
      <c r="B261" s="350"/>
      <c r="C261" s="52"/>
      <c r="D261" s="52"/>
      <c r="E261" s="52"/>
      <c r="F261" s="351"/>
      <c r="G261" s="52"/>
      <c r="H261" s="52"/>
      <c r="I261" s="52"/>
      <c r="J261" s="52"/>
      <c r="K261" s="52"/>
      <c r="L261" s="52"/>
      <c r="M261" s="52"/>
      <c r="N261" s="52"/>
      <c r="O261" s="52"/>
      <c r="P261" s="52"/>
      <c r="Q261" s="52"/>
      <c r="R261" s="52"/>
      <c r="S261" s="52"/>
      <c r="T261" s="52"/>
      <c r="U261" s="52"/>
      <c r="V261" s="52"/>
      <c r="W261" s="52"/>
      <c r="X261" s="52"/>
      <c r="Y261" s="52"/>
      <c r="Z261" s="52"/>
      <c r="AA261" s="52"/>
      <c r="AB261" s="52"/>
      <c r="AC261" s="52"/>
    </row>
    <row r="262">
      <c r="A262" s="52"/>
      <c r="B262" s="350"/>
      <c r="C262" s="52"/>
      <c r="D262" s="52"/>
      <c r="E262" s="52"/>
      <c r="F262" s="351"/>
      <c r="G262" s="52"/>
      <c r="H262" s="52"/>
      <c r="I262" s="52"/>
      <c r="J262" s="52"/>
      <c r="K262" s="52"/>
      <c r="L262" s="52"/>
      <c r="M262" s="52"/>
      <c r="N262" s="52"/>
      <c r="O262" s="52"/>
      <c r="P262" s="52"/>
      <c r="Q262" s="52"/>
      <c r="R262" s="52"/>
      <c r="S262" s="52"/>
      <c r="T262" s="52"/>
      <c r="U262" s="52"/>
      <c r="V262" s="52"/>
      <c r="W262" s="52"/>
      <c r="X262" s="52"/>
      <c r="Y262" s="52"/>
      <c r="Z262" s="52"/>
      <c r="AA262" s="52"/>
      <c r="AB262" s="52"/>
      <c r="AC262" s="52"/>
    </row>
    <row r="263">
      <c r="A263" s="52"/>
      <c r="B263" s="350"/>
      <c r="C263" s="52"/>
      <c r="D263" s="52"/>
      <c r="E263" s="52"/>
      <c r="F263" s="351"/>
      <c r="G263" s="52"/>
      <c r="H263" s="52"/>
      <c r="I263" s="52"/>
      <c r="J263" s="52"/>
      <c r="K263" s="52"/>
      <c r="L263" s="52"/>
      <c r="M263" s="52"/>
      <c r="N263" s="52"/>
      <c r="O263" s="52"/>
      <c r="P263" s="52"/>
      <c r="Q263" s="52"/>
      <c r="R263" s="52"/>
      <c r="S263" s="52"/>
      <c r="T263" s="52"/>
      <c r="U263" s="52"/>
      <c r="V263" s="52"/>
      <c r="W263" s="52"/>
      <c r="X263" s="52"/>
      <c r="Y263" s="52"/>
      <c r="Z263" s="52"/>
      <c r="AA263" s="52"/>
      <c r="AB263" s="52"/>
      <c r="AC263" s="52"/>
    </row>
    <row r="264">
      <c r="A264" s="52"/>
      <c r="B264" s="350"/>
      <c r="C264" s="52"/>
      <c r="D264" s="52"/>
      <c r="E264" s="52"/>
      <c r="F264" s="351"/>
      <c r="G264" s="52"/>
      <c r="H264" s="52"/>
      <c r="I264" s="52"/>
      <c r="J264" s="52"/>
      <c r="K264" s="52"/>
      <c r="L264" s="52"/>
      <c r="M264" s="52"/>
      <c r="N264" s="52"/>
      <c r="O264" s="52"/>
      <c r="P264" s="52"/>
      <c r="Q264" s="52"/>
      <c r="R264" s="52"/>
      <c r="S264" s="52"/>
      <c r="T264" s="52"/>
      <c r="U264" s="52"/>
      <c r="V264" s="52"/>
      <c r="W264" s="52"/>
      <c r="X264" s="52"/>
      <c r="Y264" s="52"/>
      <c r="Z264" s="52"/>
      <c r="AA264" s="52"/>
      <c r="AB264" s="52"/>
      <c r="AC264" s="52"/>
    </row>
    <row r="265">
      <c r="A265" s="52"/>
      <c r="B265" s="350"/>
      <c r="C265" s="52"/>
      <c r="D265" s="52"/>
      <c r="E265" s="52"/>
      <c r="F265" s="351"/>
      <c r="G265" s="52"/>
      <c r="H265" s="52"/>
      <c r="I265" s="52"/>
      <c r="J265" s="52"/>
      <c r="K265" s="52"/>
      <c r="L265" s="52"/>
      <c r="M265" s="52"/>
      <c r="N265" s="52"/>
      <c r="O265" s="52"/>
      <c r="P265" s="52"/>
      <c r="Q265" s="52"/>
      <c r="R265" s="52"/>
      <c r="S265" s="52"/>
      <c r="T265" s="52"/>
      <c r="U265" s="52"/>
      <c r="V265" s="52"/>
      <c r="W265" s="52"/>
      <c r="X265" s="52"/>
      <c r="Y265" s="52"/>
      <c r="Z265" s="52"/>
      <c r="AA265" s="52"/>
      <c r="AB265" s="52"/>
      <c r="AC265" s="52"/>
    </row>
    <row r="266">
      <c r="A266" s="52"/>
      <c r="B266" s="350"/>
      <c r="C266" s="52"/>
      <c r="D266" s="52"/>
      <c r="E266" s="52"/>
      <c r="F266" s="351"/>
      <c r="G266" s="52"/>
      <c r="H266" s="52"/>
      <c r="I266" s="52"/>
      <c r="J266" s="52"/>
      <c r="K266" s="52"/>
      <c r="L266" s="52"/>
      <c r="M266" s="52"/>
      <c r="N266" s="52"/>
      <c r="O266" s="52"/>
      <c r="P266" s="52"/>
      <c r="Q266" s="52"/>
      <c r="R266" s="52"/>
      <c r="S266" s="52"/>
      <c r="T266" s="52"/>
      <c r="U266" s="52"/>
      <c r="V266" s="52"/>
      <c r="W266" s="52"/>
      <c r="X266" s="52"/>
      <c r="Y266" s="52"/>
      <c r="Z266" s="52"/>
      <c r="AA266" s="52"/>
      <c r="AB266" s="52"/>
      <c r="AC266" s="52"/>
    </row>
    <row r="267">
      <c r="A267" s="52"/>
      <c r="B267" s="350"/>
      <c r="C267" s="52"/>
      <c r="D267" s="52"/>
      <c r="E267" s="52"/>
      <c r="F267" s="351"/>
      <c r="G267" s="52"/>
      <c r="H267" s="52"/>
      <c r="I267" s="52"/>
      <c r="J267" s="52"/>
      <c r="K267" s="52"/>
      <c r="L267" s="52"/>
      <c r="M267" s="52"/>
      <c r="N267" s="52"/>
      <c r="O267" s="52"/>
      <c r="P267" s="52"/>
      <c r="Q267" s="52"/>
      <c r="R267" s="52"/>
      <c r="S267" s="52"/>
      <c r="T267" s="52"/>
      <c r="U267" s="52"/>
      <c r="V267" s="52"/>
      <c r="W267" s="52"/>
      <c r="X267" s="52"/>
      <c r="Y267" s="52"/>
      <c r="Z267" s="52"/>
      <c r="AA267" s="52"/>
      <c r="AB267" s="52"/>
      <c r="AC267" s="52"/>
    </row>
    <row r="268">
      <c r="A268" s="52"/>
      <c r="B268" s="350"/>
      <c r="C268" s="52"/>
      <c r="D268" s="52"/>
      <c r="E268" s="52"/>
      <c r="F268" s="351"/>
      <c r="G268" s="52"/>
      <c r="H268" s="52"/>
      <c r="I268" s="52"/>
      <c r="J268" s="52"/>
      <c r="K268" s="52"/>
      <c r="L268" s="52"/>
      <c r="M268" s="52"/>
      <c r="N268" s="52"/>
      <c r="O268" s="52"/>
      <c r="P268" s="52"/>
      <c r="Q268" s="52"/>
      <c r="R268" s="52"/>
      <c r="S268" s="52"/>
      <c r="T268" s="52"/>
      <c r="U268" s="52"/>
      <c r="V268" s="52"/>
      <c r="W268" s="52"/>
      <c r="X268" s="52"/>
      <c r="Y268" s="52"/>
      <c r="Z268" s="52"/>
      <c r="AA268" s="52"/>
      <c r="AB268" s="52"/>
      <c r="AC268" s="52"/>
    </row>
    <row r="269">
      <c r="A269" s="52"/>
      <c r="B269" s="350"/>
      <c r="C269" s="52"/>
      <c r="D269" s="52"/>
      <c r="E269" s="52"/>
      <c r="F269" s="351"/>
      <c r="G269" s="52"/>
      <c r="H269" s="52"/>
      <c r="I269" s="52"/>
      <c r="J269" s="52"/>
      <c r="K269" s="52"/>
      <c r="L269" s="52"/>
      <c r="M269" s="52"/>
      <c r="N269" s="52"/>
      <c r="O269" s="52"/>
      <c r="P269" s="52"/>
      <c r="Q269" s="52"/>
      <c r="R269" s="52"/>
      <c r="S269" s="52"/>
      <c r="T269" s="52"/>
      <c r="U269" s="52"/>
      <c r="V269" s="52"/>
      <c r="W269" s="52"/>
      <c r="X269" s="52"/>
      <c r="Y269" s="52"/>
      <c r="Z269" s="52"/>
      <c r="AA269" s="52"/>
      <c r="AB269" s="52"/>
      <c r="AC269" s="52"/>
    </row>
    <row r="270">
      <c r="A270" s="52"/>
      <c r="B270" s="350"/>
      <c r="C270" s="52"/>
      <c r="D270" s="52"/>
      <c r="E270" s="52"/>
      <c r="F270" s="351"/>
      <c r="G270" s="52"/>
      <c r="H270" s="52"/>
      <c r="I270" s="52"/>
      <c r="J270" s="52"/>
      <c r="K270" s="52"/>
      <c r="L270" s="52"/>
      <c r="M270" s="52"/>
      <c r="N270" s="52"/>
      <c r="O270" s="52"/>
      <c r="P270" s="52"/>
      <c r="Q270" s="52"/>
      <c r="R270" s="52"/>
      <c r="S270" s="52"/>
      <c r="T270" s="52"/>
      <c r="U270" s="52"/>
      <c r="V270" s="52"/>
      <c r="W270" s="52"/>
      <c r="X270" s="52"/>
      <c r="Y270" s="52"/>
      <c r="Z270" s="52"/>
      <c r="AA270" s="52"/>
      <c r="AB270" s="52"/>
      <c r="AC270" s="52"/>
    </row>
    <row r="271">
      <c r="A271" s="52"/>
      <c r="B271" s="350"/>
      <c r="C271" s="52"/>
      <c r="D271" s="52"/>
      <c r="E271" s="52"/>
      <c r="F271" s="351"/>
      <c r="G271" s="52"/>
      <c r="H271" s="52"/>
      <c r="I271" s="52"/>
      <c r="J271" s="52"/>
      <c r="K271" s="52"/>
      <c r="L271" s="52"/>
      <c r="M271" s="52"/>
      <c r="N271" s="52"/>
      <c r="O271" s="52"/>
      <c r="P271" s="52"/>
      <c r="Q271" s="52"/>
      <c r="R271" s="52"/>
      <c r="S271" s="52"/>
      <c r="T271" s="52"/>
      <c r="U271" s="52"/>
      <c r="V271" s="52"/>
      <c r="W271" s="52"/>
      <c r="X271" s="52"/>
      <c r="Y271" s="52"/>
      <c r="Z271" s="52"/>
      <c r="AA271" s="52"/>
      <c r="AB271" s="52"/>
      <c r="AC271" s="52"/>
    </row>
    <row r="272">
      <c r="A272" s="52"/>
      <c r="B272" s="350"/>
      <c r="C272" s="52"/>
      <c r="D272" s="52"/>
      <c r="E272" s="52"/>
      <c r="F272" s="351"/>
      <c r="G272" s="52"/>
      <c r="H272" s="52"/>
      <c r="I272" s="52"/>
      <c r="J272" s="52"/>
      <c r="K272" s="52"/>
      <c r="L272" s="52"/>
      <c r="M272" s="52"/>
      <c r="N272" s="52"/>
      <c r="O272" s="52"/>
      <c r="P272" s="52"/>
      <c r="Q272" s="52"/>
      <c r="R272" s="52"/>
      <c r="S272" s="52"/>
      <c r="T272" s="52"/>
      <c r="U272" s="52"/>
      <c r="V272" s="52"/>
      <c r="W272" s="52"/>
      <c r="X272" s="52"/>
      <c r="Y272" s="52"/>
      <c r="Z272" s="52"/>
      <c r="AA272" s="52"/>
      <c r="AB272" s="52"/>
      <c r="AC272" s="52"/>
    </row>
    <row r="273">
      <c r="A273" s="52"/>
      <c r="B273" s="350"/>
      <c r="C273" s="52"/>
      <c r="D273" s="52"/>
      <c r="E273" s="52"/>
      <c r="F273" s="351"/>
      <c r="G273" s="52"/>
      <c r="H273" s="52"/>
      <c r="I273" s="52"/>
      <c r="J273" s="52"/>
      <c r="K273" s="52"/>
      <c r="L273" s="52"/>
      <c r="M273" s="52"/>
      <c r="N273" s="52"/>
      <c r="O273" s="52"/>
      <c r="P273" s="52"/>
      <c r="Q273" s="52"/>
      <c r="R273" s="52"/>
      <c r="S273" s="52"/>
      <c r="T273" s="52"/>
      <c r="U273" s="52"/>
      <c r="V273" s="52"/>
      <c r="W273" s="52"/>
      <c r="X273" s="52"/>
      <c r="Y273" s="52"/>
      <c r="Z273" s="52"/>
      <c r="AA273" s="52"/>
      <c r="AB273" s="52"/>
      <c r="AC273" s="52"/>
    </row>
    <row r="274">
      <c r="A274" s="52"/>
      <c r="B274" s="350"/>
      <c r="C274" s="52"/>
      <c r="D274" s="52"/>
      <c r="E274" s="52"/>
      <c r="F274" s="351"/>
      <c r="G274" s="52"/>
      <c r="H274" s="52"/>
      <c r="I274" s="52"/>
      <c r="J274" s="52"/>
      <c r="K274" s="52"/>
      <c r="L274" s="52"/>
      <c r="M274" s="52"/>
      <c r="N274" s="52"/>
      <c r="O274" s="52"/>
      <c r="P274" s="52"/>
      <c r="Q274" s="52"/>
      <c r="R274" s="52"/>
      <c r="S274" s="52"/>
      <c r="T274" s="52"/>
      <c r="U274" s="52"/>
      <c r="V274" s="52"/>
      <c r="W274" s="52"/>
      <c r="X274" s="52"/>
      <c r="Y274" s="52"/>
      <c r="Z274" s="52"/>
      <c r="AA274" s="52"/>
      <c r="AB274" s="52"/>
      <c r="AC274" s="52"/>
    </row>
    <row r="275">
      <c r="A275" s="52"/>
      <c r="B275" s="350"/>
      <c r="C275" s="52"/>
      <c r="D275" s="52"/>
      <c r="E275" s="52"/>
      <c r="F275" s="351"/>
      <c r="G275" s="52"/>
      <c r="H275" s="52"/>
      <c r="I275" s="52"/>
      <c r="J275" s="52"/>
      <c r="K275" s="52"/>
      <c r="L275" s="52"/>
      <c r="M275" s="52"/>
      <c r="N275" s="52"/>
      <c r="O275" s="52"/>
      <c r="P275" s="52"/>
      <c r="Q275" s="52"/>
      <c r="R275" s="52"/>
      <c r="S275" s="52"/>
      <c r="T275" s="52"/>
      <c r="U275" s="52"/>
      <c r="V275" s="52"/>
      <c r="W275" s="52"/>
      <c r="X275" s="52"/>
      <c r="Y275" s="52"/>
      <c r="Z275" s="52"/>
      <c r="AA275" s="52"/>
      <c r="AB275" s="52"/>
      <c r="AC275" s="52"/>
    </row>
    <row r="276">
      <c r="A276" s="52"/>
      <c r="B276" s="350"/>
      <c r="C276" s="52"/>
      <c r="D276" s="52"/>
      <c r="E276" s="52"/>
      <c r="F276" s="351"/>
      <c r="G276" s="52"/>
      <c r="H276" s="52"/>
      <c r="I276" s="52"/>
      <c r="J276" s="52"/>
      <c r="K276" s="52"/>
      <c r="L276" s="52"/>
      <c r="M276" s="52"/>
      <c r="N276" s="52"/>
      <c r="O276" s="52"/>
      <c r="P276" s="52"/>
      <c r="Q276" s="52"/>
      <c r="R276" s="52"/>
      <c r="S276" s="52"/>
      <c r="T276" s="52"/>
      <c r="U276" s="52"/>
      <c r="V276" s="52"/>
      <c r="W276" s="52"/>
      <c r="X276" s="52"/>
      <c r="Y276" s="52"/>
      <c r="Z276" s="52"/>
      <c r="AA276" s="52"/>
      <c r="AB276" s="52"/>
      <c r="AC276" s="52"/>
    </row>
    <row r="277">
      <c r="A277" s="52"/>
      <c r="B277" s="350"/>
      <c r="C277" s="52"/>
      <c r="D277" s="52"/>
      <c r="E277" s="52"/>
      <c r="F277" s="351"/>
      <c r="G277" s="52"/>
      <c r="H277" s="52"/>
      <c r="I277" s="52"/>
      <c r="J277" s="52"/>
      <c r="K277" s="52"/>
      <c r="L277" s="52"/>
      <c r="M277" s="52"/>
      <c r="N277" s="52"/>
      <c r="O277" s="52"/>
      <c r="P277" s="52"/>
      <c r="Q277" s="52"/>
      <c r="R277" s="52"/>
      <c r="S277" s="52"/>
      <c r="T277" s="52"/>
      <c r="U277" s="52"/>
      <c r="V277" s="52"/>
      <c r="W277" s="52"/>
      <c r="X277" s="52"/>
      <c r="Y277" s="52"/>
      <c r="Z277" s="52"/>
      <c r="AA277" s="52"/>
      <c r="AB277" s="52"/>
      <c r="AC277" s="52"/>
    </row>
    <row r="278">
      <c r="A278" s="52"/>
      <c r="B278" s="350"/>
      <c r="C278" s="52"/>
      <c r="D278" s="52"/>
      <c r="E278" s="52"/>
      <c r="F278" s="351"/>
      <c r="G278" s="52"/>
      <c r="H278" s="52"/>
      <c r="I278" s="52"/>
      <c r="J278" s="52"/>
      <c r="K278" s="52"/>
      <c r="L278" s="52"/>
      <c r="M278" s="52"/>
      <c r="N278" s="52"/>
      <c r="O278" s="52"/>
      <c r="P278" s="52"/>
      <c r="Q278" s="52"/>
      <c r="R278" s="52"/>
      <c r="S278" s="52"/>
      <c r="T278" s="52"/>
      <c r="U278" s="52"/>
      <c r="V278" s="52"/>
      <c r="W278" s="52"/>
      <c r="X278" s="52"/>
      <c r="Y278" s="52"/>
      <c r="Z278" s="52"/>
      <c r="AA278" s="52"/>
      <c r="AB278" s="52"/>
      <c r="AC278" s="52"/>
    </row>
    <row r="279">
      <c r="A279" s="52"/>
      <c r="B279" s="350"/>
      <c r="C279" s="52"/>
      <c r="D279" s="52"/>
      <c r="E279" s="52"/>
      <c r="F279" s="351"/>
      <c r="G279" s="52"/>
      <c r="H279" s="52"/>
      <c r="I279" s="52"/>
      <c r="J279" s="52"/>
      <c r="K279" s="52"/>
      <c r="L279" s="52"/>
      <c r="M279" s="52"/>
      <c r="N279" s="52"/>
      <c r="O279" s="52"/>
      <c r="P279" s="52"/>
      <c r="Q279" s="52"/>
      <c r="R279" s="52"/>
      <c r="S279" s="52"/>
      <c r="T279" s="52"/>
      <c r="U279" s="52"/>
      <c r="V279" s="52"/>
      <c r="W279" s="52"/>
      <c r="X279" s="52"/>
      <c r="Y279" s="52"/>
      <c r="Z279" s="52"/>
      <c r="AA279" s="52"/>
      <c r="AB279" s="52"/>
      <c r="AC279" s="52"/>
    </row>
    <row r="280">
      <c r="A280" s="52"/>
      <c r="B280" s="350"/>
      <c r="C280" s="52"/>
      <c r="D280" s="52"/>
      <c r="E280" s="52"/>
      <c r="F280" s="351"/>
      <c r="G280" s="52"/>
      <c r="H280" s="52"/>
      <c r="I280" s="52"/>
      <c r="J280" s="52"/>
      <c r="K280" s="52"/>
      <c r="L280" s="52"/>
      <c r="M280" s="52"/>
      <c r="N280" s="52"/>
      <c r="O280" s="52"/>
      <c r="P280" s="52"/>
      <c r="Q280" s="52"/>
      <c r="R280" s="52"/>
      <c r="S280" s="52"/>
      <c r="T280" s="52"/>
      <c r="U280" s="52"/>
      <c r="V280" s="52"/>
      <c r="W280" s="52"/>
      <c r="X280" s="52"/>
      <c r="Y280" s="52"/>
      <c r="Z280" s="52"/>
      <c r="AA280" s="52"/>
      <c r="AB280" s="52"/>
      <c r="AC280" s="52"/>
    </row>
    <row r="281">
      <c r="A281" s="52"/>
      <c r="B281" s="350"/>
      <c r="C281" s="52"/>
      <c r="D281" s="52"/>
      <c r="E281" s="52"/>
      <c r="F281" s="351"/>
      <c r="G281" s="52"/>
      <c r="H281" s="52"/>
      <c r="I281" s="52"/>
      <c r="J281" s="52"/>
      <c r="K281" s="52"/>
      <c r="L281" s="52"/>
      <c r="M281" s="52"/>
      <c r="N281" s="52"/>
      <c r="O281" s="52"/>
      <c r="P281" s="52"/>
      <c r="Q281" s="52"/>
      <c r="R281" s="52"/>
      <c r="S281" s="52"/>
      <c r="T281" s="52"/>
      <c r="U281" s="52"/>
      <c r="V281" s="52"/>
      <c r="W281" s="52"/>
      <c r="X281" s="52"/>
      <c r="Y281" s="52"/>
      <c r="Z281" s="52"/>
      <c r="AA281" s="52"/>
      <c r="AB281" s="52"/>
      <c r="AC281" s="52"/>
    </row>
    <row r="282">
      <c r="A282" s="52"/>
      <c r="B282" s="350"/>
      <c r="C282" s="52"/>
      <c r="D282" s="52"/>
      <c r="E282" s="52"/>
      <c r="F282" s="351"/>
      <c r="G282" s="52"/>
      <c r="H282" s="52"/>
      <c r="I282" s="52"/>
      <c r="J282" s="52"/>
      <c r="K282" s="52"/>
      <c r="L282" s="52"/>
      <c r="M282" s="52"/>
      <c r="N282" s="52"/>
      <c r="O282" s="52"/>
      <c r="P282" s="52"/>
      <c r="Q282" s="52"/>
      <c r="R282" s="52"/>
      <c r="S282" s="52"/>
      <c r="T282" s="52"/>
      <c r="U282" s="52"/>
      <c r="V282" s="52"/>
      <c r="W282" s="52"/>
      <c r="X282" s="52"/>
      <c r="Y282" s="52"/>
      <c r="Z282" s="52"/>
      <c r="AA282" s="52"/>
      <c r="AB282" s="52"/>
      <c r="AC282" s="52"/>
    </row>
    <row r="283">
      <c r="A283" s="52"/>
      <c r="B283" s="350"/>
      <c r="C283" s="52"/>
      <c r="D283" s="52"/>
      <c r="E283" s="52"/>
      <c r="F283" s="351"/>
      <c r="G283" s="52"/>
      <c r="H283" s="52"/>
      <c r="I283" s="52"/>
      <c r="J283" s="52"/>
      <c r="K283" s="52"/>
      <c r="L283" s="52"/>
      <c r="M283" s="52"/>
      <c r="N283" s="52"/>
      <c r="O283" s="52"/>
      <c r="P283" s="52"/>
      <c r="Q283" s="52"/>
      <c r="R283" s="52"/>
      <c r="S283" s="52"/>
      <c r="T283" s="52"/>
      <c r="U283" s="52"/>
      <c r="V283" s="52"/>
      <c r="W283" s="52"/>
      <c r="X283" s="52"/>
      <c r="Y283" s="52"/>
      <c r="Z283" s="52"/>
      <c r="AA283" s="52"/>
      <c r="AB283" s="52"/>
      <c r="AC283" s="52"/>
    </row>
    <row r="284">
      <c r="A284" s="52"/>
      <c r="B284" s="350"/>
      <c r="C284" s="52"/>
      <c r="D284" s="52"/>
      <c r="E284" s="52"/>
      <c r="F284" s="351"/>
      <c r="G284" s="52"/>
      <c r="H284" s="52"/>
      <c r="I284" s="52"/>
      <c r="J284" s="52"/>
      <c r="K284" s="52"/>
      <c r="L284" s="52"/>
      <c r="M284" s="52"/>
      <c r="N284" s="52"/>
      <c r="O284" s="52"/>
      <c r="P284" s="52"/>
      <c r="Q284" s="52"/>
      <c r="R284" s="52"/>
      <c r="S284" s="52"/>
      <c r="T284" s="52"/>
      <c r="U284" s="52"/>
      <c r="V284" s="52"/>
      <c r="W284" s="52"/>
      <c r="X284" s="52"/>
      <c r="Y284" s="52"/>
      <c r="Z284" s="52"/>
      <c r="AA284" s="52"/>
      <c r="AB284" s="52"/>
      <c r="AC284" s="52"/>
    </row>
    <row r="285">
      <c r="A285" s="52"/>
      <c r="B285" s="350"/>
      <c r="C285" s="52"/>
      <c r="D285" s="52"/>
      <c r="E285" s="52"/>
      <c r="F285" s="351"/>
      <c r="G285" s="52"/>
      <c r="H285" s="52"/>
      <c r="I285" s="52"/>
      <c r="J285" s="52"/>
      <c r="K285" s="52"/>
      <c r="L285" s="52"/>
      <c r="M285" s="52"/>
      <c r="N285" s="52"/>
      <c r="O285" s="52"/>
      <c r="P285" s="52"/>
      <c r="Q285" s="52"/>
      <c r="R285" s="52"/>
      <c r="S285" s="52"/>
      <c r="T285" s="52"/>
      <c r="U285" s="52"/>
      <c r="V285" s="52"/>
      <c r="W285" s="52"/>
      <c r="X285" s="52"/>
      <c r="Y285" s="52"/>
      <c r="Z285" s="52"/>
      <c r="AA285" s="52"/>
      <c r="AB285" s="52"/>
      <c r="AC285" s="52"/>
    </row>
    <row r="286">
      <c r="A286" s="52"/>
      <c r="B286" s="350"/>
      <c r="C286" s="52"/>
      <c r="D286" s="52"/>
      <c r="E286" s="52"/>
      <c r="F286" s="351"/>
      <c r="G286" s="52"/>
      <c r="H286" s="52"/>
      <c r="I286" s="52"/>
      <c r="J286" s="52"/>
      <c r="K286" s="52"/>
      <c r="L286" s="52"/>
      <c r="M286" s="52"/>
      <c r="N286" s="52"/>
      <c r="O286" s="52"/>
      <c r="P286" s="52"/>
      <c r="Q286" s="52"/>
      <c r="R286" s="52"/>
      <c r="S286" s="52"/>
      <c r="T286" s="52"/>
      <c r="U286" s="52"/>
      <c r="V286" s="52"/>
      <c r="W286" s="52"/>
      <c r="X286" s="52"/>
      <c r="Y286" s="52"/>
      <c r="Z286" s="52"/>
      <c r="AA286" s="52"/>
      <c r="AB286" s="52"/>
      <c r="AC286" s="52"/>
    </row>
    <row r="287">
      <c r="A287" s="52"/>
      <c r="B287" s="350"/>
      <c r="C287" s="52"/>
      <c r="D287" s="52"/>
      <c r="E287" s="52"/>
      <c r="F287" s="351"/>
      <c r="G287" s="52"/>
      <c r="H287" s="52"/>
      <c r="I287" s="52"/>
      <c r="J287" s="52"/>
      <c r="K287" s="52"/>
      <c r="L287" s="52"/>
      <c r="M287" s="52"/>
      <c r="N287" s="52"/>
      <c r="O287" s="52"/>
      <c r="P287" s="52"/>
      <c r="Q287" s="52"/>
      <c r="R287" s="52"/>
      <c r="S287" s="52"/>
      <c r="T287" s="52"/>
      <c r="U287" s="52"/>
      <c r="V287" s="52"/>
      <c r="W287" s="52"/>
      <c r="X287" s="52"/>
      <c r="Y287" s="52"/>
      <c r="Z287" s="52"/>
      <c r="AA287" s="52"/>
      <c r="AB287" s="52"/>
      <c r="AC287" s="52"/>
    </row>
    <row r="288">
      <c r="A288" s="52"/>
      <c r="B288" s="350"/>
      <c r="C288" s="52"/>
      <c r="D288" s="52"/>
      <c r="E288" s="52"/>
      <c r="F288" s="351"/>
      <c r="G288" s="52"/>
      <c r="H288" s="52"/>
      <c r="I288" s="52"/>
      <c r="J288" s="52"/>
      <c r="K288" s="52"/>
      <c r="L288" s="52"/>
      <c r="M288" s="52"/>
      <c r="N288" s="52"/>
      <c r="O288" s="52"/>
      <c r="P288" s="52"/>
      <c r="Q288" s="52"/>
      <c r="R288" s="52"/>
      <c r="S288" s="52"/>
      <c r="T288" s="52"/>
      <c r="U288" s="52"/>
      <c r="V288" s="52"/>
      <c r="W288" s="52"/>
      <c r="X288" s="52"/>
      <c r="Y288" s="52"/>
      <c r="Z288" s="52"/>
      <c r="AA288" s="52"/>
      <c r="AB288" s="52"/>
      <c r="AC288" s="52"/>
    </row>
    <row r="289">
      <c r="A289" s="52"/>
      <c r="B289" s="350"/>
      <c r="C289" s="52"/>
      <c r="D289" s="52"/>
      <c r="E289" s="52"/>
      <c r="F289" s="351"/>
      <c r="G289" s="52"/>
      <c r="H289" s="52"/>
      <c r="I289" s="52"/>
      <c r="J289" s="52"/>
      <c r="K289" s="52"/>
      <c r="L289" s="52"/>
      <c r="M289" s="52"/>
      <c r="N289" s="52"/>
      <c r="O289" s="52"/>
      <c r="P289" s="52"/>
      <c r="Q289" s="52"/>
      <c r="R289" s="52"/>
      <c r="S289" s="52"/>
      <c r="T289" s="52"/>
      <c r="U289" s="52"/>
      <c r="V289" s="52"/>
      <c r="W289" s="52"/>
      <c r="X289" s="52"/>
      <c r="Y289" s="52"/>
      <c r="Z289" s="52"/>
      <c r="AA289" s="52"/>
      <c r="AB289" s="52"/>
      <c r="AC289" s="52"/>
    </row>
    <row r="290">
      <c r="A290" s="52"/>
      <c r="B290" s="350"/>
      <c r="C290" s="52"/>
      <c r="D290" s="52"/>
      <c r="E290" s="52"/>
      <c r="F290" s="351"/>
      <c r="G290" s="52"/>
      <c r="H290" s="52"/>
      <c r="I290" s="52"/>
      <c r="J290" s="52"/>
      <c r="K290" s="52"/>
      <c r="L290" s="52"/>
      <c r="M290" s="52"/>
      <c r="N290" s="52"/>
      <c r="O290" s="52"/>
      <c r="P290" s="52"/>
      <c r="Q290" s="52"/>
      <c r="R290" s="52"/>
      <c r="S290" s="52"/>
      <c r="T290" s="52"/>
      <c r="U290" s="52"/>
      <c r="V290" s="52"/>
      <c r="W290" s="52"/>
      <c r="X290" s="52"/>
      <c r="Y290" s="52"/>
      <c r="Z290" s="52"/>
      <c r="AA290" s="52"/>
      <c r="AB290" s="52"/>
      <c r="AC290" s="52"/>
    </row>
    <row r="291">
      <c r="A291" s="52"/>
      <c r="B291" s="350"/>
      <c r="C291" s="52"/>
      <c r="D291" s="52"/>
      <c r="E291" s="52"/>
      <c r="F291" s="351"/>
      <c r="G291" s="52"/>
      <c r="H291" s="52"/>
      <c r="I291" s="52"/>
      <c r="J291" s="52"/>
      <c r="K291" s="52"/>
      <c r="L291" s="52"/>
      <c r="M291" s="52"/>
      <c r="N291" s="52"/>
      <c r="O291" s="52"/>
      <c r="P291" s="52"/>
      <c r="Q291" s="52"/>
      <c r="R291" s="52"/>
      <c r="S291" s="52"/>
      <c r="T291" s="52"/>
      <c r="U291" s="52"/>
      <c r="V291" s="52"/>
      <c r="W291" s="52"/>
      <c r="X291" s="52"/>
      <c r="Y291" s="52"/>
      <c r="Z291" s="52"/>
      <c r="AA291" s="52"/>
      <c r="AB291" s="52"/>
      <c r="AC291" s="52"/>
    </row>
    <row r="292">
      <c r="A292" s="52"/>
      <c r="B292" s="350"/>
      <c r="C292" s="52"/>
      <c r="D292" s="52"/>
      <c r="E292" s="52"/>
      <c r="F292" s="351"/>
      <c r="G292" s="52"/>
      <c r="H292" s="52"/>
      <c r="I292" s="52"/>
      <c r="J292" s="52"/>
      <c r="K292" s="52"/>
      <c r="L292" s="52"/>
      <c r="M292" s="52"/>
      <c r="N292" s="52"/>
      <c r="O292" s="52"/>
      <c r="P292" s="52"/>
      <c r="Q292" s="52"/>
      <c r="R292" s="52"/>
      <c r="S292" s="52"/>
      <c r="T292" s="52"/>
      <c r="U292" s="52"/>
      <c r="V292" s="52"/>
      <c r="W292" s="52"/>
      <c r="X292" s="52"/>
      <c r="Y292" s="52"/>
      <c r="Z292" s="52"/>
      <c r="AA292" s="52"/>
      <c r="AB292" s="52"/>
      <c r="AC292" s="52"/>
    </row>
    <row r="293">
      <c r="A293" s="52"/>
      <c r="B293" s="350"/>
      <c r="C293" s="52"/>
      <c r="D293" s="52"/>
      <c r="E293" s="52"/>
      <c r="F293" s="351"/>
      <c r="G293" s="52"/>
      <c r="H293" s="52"/>
      <c r="I293" s="52"/>
      <c r="J293" s="52"/>
      <c r="K293" s="52"/>
      <c r="L293" s="52"/>
      <c r="M293" s="52"/>
      <c r="N293" s="52"/>
      <c r="O293" s="52"/>
      <c r="P293" s="52"/>
      <c r="Q293" s="52"/>
      <c r="R293" s="52"/>
      <c r="S293" s="52"/>
      <c r="T293" s="52"/>
      <c r="U293" s="52"/>
      <c r="V293" s="52"/>
      <c r="W293" s="52"/>
      <c r="X293" s="52"/>
      <c r="Y293" s="52"/>
      <c r="Z293" s="52"/>
      <c r="AA293" s="52"/>
      <c r="AB293" s="52"/>
      <c r="AC293" s="52"/>
    </row>
    <row r="294">
      <c r="A294" s="52"/>
      <c r="B294" s="350"/>
      <c r="C294" s="52"/>
      <c r="D294" s="52"/>
      <c r="E294" s="52"/>
      <c r="F294" s="351"/>
      <c r="G294" s="52"/>
      <c r="H294" s="52"/>
      <c r="I294" s="52"/>
      <c r="J294" s="52"/>
      <c r="K294" s="52"/>
      <c r="L294" s="52"/>
      <c r="M294" s="52"/>
      <c r="N294" s="52"/>
      <c r="O294" s="52"/>
      <c r="P294" s="52"/>
      <c r="Q294" s="52"/>
      <c r="R294" s="52"/>
      <c r="S294" s="52"/>
      <c r="T294" s="52"/>
      <c r="U294" s="52"/>
      <c r="V294" s="52"/>
      <c r="W294" s="52"/>
      <c r="X294" s="52"/>
      <c r="Y294" s="52"/>
      <c r="Z294" s="52"/>
      <c r="AA294" s="52"/>
      <c r="AB294" s="52"/>
      <c r="AC294" s="52"/>
    </row>
    <row r="295">
      <c r="A295" s="52"/>
      <c r="B295" s="350"/>
      <c r="C295" s="52"/>
      <c r="D295" s="52"/>
      <c r="E295" s="52"/>
      <c r="F295" s="351"/>
      <c r="G295" s="52"/>
      <c r="H295" s="52"/>
      <c r="I295" s="52"/>
      <c r="J295" s="52"/>
      <c r="K295" s="52"/>
      <c r="L295" s="52"/>
      <c r="M295" s="52"/>
      <c r="N295" s="52"/>
      <c r="O295" s="52"/>
      <c r="P295" s="52"/>
      <c r="Q295" s="52"/>
      <c r="R295" s="52"/>
      <c r="S295" s="52"/>
      <c r="T295" s="52"/>
      <c r="U295" s="52"/>
      <c r="V295" s="52"/>
      <c r="W295" s="52"/>
      <c r="X295" s="52"/>
      <c r="Y295" s="52"/>
      <c r="Z295" s="52"/>
      <c r="AA295" s="52"/>
      <c r="AB295" s="52"/>
      <c r="AC295" s="52"/>
    </row>
    <row r="296">
      <c r="A296" s="52"/>
      <c r="B296" s="350"/>
      <c r="C296" s="52"/>
      <c r="D296" s="52"/>
      <c r="E296" s="52"/>
      <c r="F296" s="351"/>
      <c r="G296" s="52"/>
      <c r="H296" s="52"/>
      <c r="I296" s="52"/>
      <c r="J296" s="52"/>
      <c r="K296" s="52"/>
      <c r="L296" s="52"/>
      <c r="M296" s="52"/>
      <c r="N296" s="52"/>
      <c r="O296" s="52"/>
      <c r="P296" s="52"/>
      <c r="Q296" s="52"/>
      <c r="R296" s="52"/>
      <c r="S296" s="52"/>
      <c r="T296" s="52"/>
      <c r="U296" s="52"/>
      <c r="V296" s="52"/>
      <c r="W296" s="52"/>
      <c r="X296" s="52"/>
      <c r="Y296" s="52"/>
      <c r="Z296" s="52"/>
      <c r="AA296" s="52"/>
      <c r="AB296" s="52"/>
      <c r="AC296" s="52"/>
    </row>
    <row r="297">
      <c r="A297" s="52"/>
      <c r="B297" s="350"/>
      <c r="C297" s="52"/>
      <c r="D297" s="52"/>
      <c r="E297" s="52"/>
      <c r="F297" s="351"/>
      <c r="G297" s="52"/>
      <c r="H297" s="52"/>
      <c r="I297" s="52"/>
      <c r="J297" s="52"/>
      <c r="K297" s="52"/>
      <c r="L297" s="52"/>
      <c r="M297" s="52"/>
      <c r="N297" s="52"/>
      <c r="O297" s="52"/>
      <c r="P297" s="52"/>
      <c r="Q297" s="52"/>
      <c r="R297" s="52"/>
      <c r="S297" s="52"/>
      <c r="T297" s="52"/>
      <c r="U297" s="52"/>
      <c r="V297" s="52"/>
      <c r="W297" s="52"/>
      <c r="X297" s="52"/>
      <c r="Y297" s="52"/>
      <c r="Z297" s="52"/>
      <c r="AA297" s="52"/>
      <c r="AB297" s="52"/>
      <c r="AC297" s="52"/>
    </row>
    <row r="298">
      <c r="A298" s="52"/>
      <c r="B298" s="350"/>
      <c r="C298" s="52"/>
      <c r="D298" s="52"/>
      <c r="E298" s="52"/>
      <c r="F298" s="351"/>
      <c r="G298" s="52"/>
      <c r="H298" s="52"/>
      <c r="I298" s="52"/>
      <c r="J298" s="52"/>
      <c r="K298" s="52"/>
      <c r="L298" s="52"/>
      <c r="M298" s="52"/>
      <c r="N298" s="52"/>
      <c r="O298" s="52"/>
      <c r="P298" s="52"/>
      <c r="Q298" s="52"/>
      <c r="R298" s="52"/>
      <c r="S298" s="52"/>
      <c r="T298" s="52"/>
      <c r="U298" s="52"/>
      <c r="V298" s="52"/>
      <c r="W298" s="52"/>
      <c r="X298" s="52"/>
      <c r="Y298" s="52"/>
      <c r="Z298" s="52"/>
      <c r="AA298" s="52"/>
      <c r="AB298" s="52"/>
      <c r="AC298" s="52"/>
    </row>
    <row r="299">
      <c r="A299" s="52"/>
      <c r="B299" s="350"/>
      <c r="C299" s="52"/>
      <c r="D299" s="52"/>
      <c r="E299" s="52"/>
      <c r="F299" s="351"/>
      <c r="G299" s="52"/>
      <c r="H299" s="52"/>
      <c r="I299" s="52"/>
      <c r="J299" s="52"/>
      <c r="K299" s="52"/>
      <c r="L299" s="52"/>
      <c r="M299" s="52"/>
      <c r="N299" s="52"/>
      <c r="O299" s="52"/>
      <c r="P299" s="52"/>
      <c r="Q299" s="52"/>
      <c r="R299" s="52"/>
      <c r="S299" s="52"/>
      <c r="T299" s="52"/>
      <c r="U299" s="52"/>
      <c r="V299" s="52"/>
      <c r="W299" s="52"/>
      <c r="X299" s="52"/>
      <c r="Y299" s="52"/>
      <c r="Z299" s="52"/>
      <c r="AA299" s="52"/>
      <c r="AB299" s="52"/>
      <c r="AC299" s="52"/>
    </row>
    <row r="300">
      <c r="A300" s="52"/>
      <c r="B300" s="350"/>
      <c r="C300" s="52"/>
      <c r="D300" s="52"/>
      <c r="E300" s="52"/>
      <c r="F300" s="351"/>
      <c r="G300" s="52"/>
      <c r="H300" s="52"/>
      <c r="I300" s="52"/>
      <c r="J300" s="52"/>
      <c r="K300" s="52"/>
      <c r="L300" s="52"/>
      <c r="M300" s="52"/>
      <c r="N300" s="52"/>
      <c r="O300" s="52"/>
      <c r="P300" s="52"/>
      <c r="Q300" s="52"/>
      <c r="R300" s="52"/>
      <c r="S300" s="52"/>
      <c r="T300" s="52"/>
      <c r="U300" s="52"/>
      <c r="V300" s="52"/>
      <c r="W300" s="52"/>
      <c r="X300" s="52"/>
      <c r="Y300" s="52"/>
      <c r="Z300" s="52"/>
      <c r="AA300" s="52"/>
      <c r="AB300" s="52"/>
      <c r="AC300" s="52"/>
    </row>
    <row r="301">
      <c r="A301" s="52"/>
      <c r="B301" s="350"/>
      <c r="C301" s="52"/>
      <c r="D301" s="52"/>
      <c r="E301" s="52"/>
      <c r="F301" s="351"/>
      <c r="G301" s="52"/>
      <c r="H301" s="52"/>
      <c r="I301" s="52"/>
      <c r="J301" s="52"/>
      <c r="K301" s="52"/>
      <c r="L301" s="52"/>
      <c r="M301" s="52"/>
      <c r="N301" s="52"/>
      <c r="O301" s="52"/>
      <c r="P301" s="52"/>
      <c r="Q301" s="52"/>
      <c r="R301" s="52"/>
      <c r="S301" s="52"/>
      <c r="T301" s="52"/>
      <c r="U301" s="52"/>
      <c r="V301" s="52"/>
      <c r="W301" s="52"/>
      <c r="X301" s="52"/>
      <c r="Y301" s="52"/>
      <c r="Z301" s="52"/>
      <c r="AA301" s="52"/>
      <c r="AB301" s="52"/>
      <c r="AC301" s="52"/>
    </row>
    <row r="302">
      <c r="A302" s="52"/>
      <c r="B302" s="350"/>
      <c r="C302" s="52"/>
      <c r="D302" s="52"/>
      <c r="E302" s="52"/>
      <c r="F302" s="351"/>
      <c r="G302" s="52"/>
      <c r="H302" s="52"/>
      <c r="I302" s="52"/>
      <c r="J302" s="52"/>
      <c r="K302" s="52"/>
      <c r="L302" s="52"/>
      <c r="M302" s="52"/>
      <c r="N302" s="52"/>
      <c r="O302" s="52"/>
      <c r="P302" s="52"/>
      <c r="Q302" s="52"/>
      <c r="R302" s="52"/>
      <c r="S302" s="52"/>
      <c r="T302" s="52"/>
      <c r="U302" s="52"/>
      <c r="V302" s="52"/>
      <c r="W302" s="52"/>
      <c r="X302" s="52"/>
      <c r="Y302" s="52"/>
      <c r="Z302" s="52"/>
      <c r="AA302" s="52"/>
      <c r="AB302" s="52"/>
      <c r="AC302" s="52"/>
    </row>
    <row r="303">
      <c r="A303" s="52"/>
      <c r="B303" s="350"/>
      <c r="C303" s="52"/>
      <c r="D303" s="52"/>
      <c r="E303" s="52"/>
      <c r="F303" s="351"/>
      <c r="G303" s="52"/>
      <c r="H303" s="52"/>
      <c r="I303" s="52"/>
      <c r="J303" s="52"/>
      <c r="K303" s="52"/>
      <c r="L303" s="52"/>
      <c r="M303" s="52"/>
      <c r="N303" s="52"/>
      <c r="O303" s="52"/>
      <c r="P303" s="52"/>
      <c r="Q303" s="52"/>
      <c r="R303" s="52"/>
      <c r="S303" s="52"/>
      <c r="T303" s="52"/>
      <c r="U303" s="52"/>
      <c r="V303" s="52"/>
      <c r="W303" s="52"/>
      <c r="X303" s="52"/>
      <c r="Y303" s="52"/>
      <c r="Z303" s="52"/>
      <c r="AA303" s="52"/>
      <c r="AB303" s="52"/>
      <c r="AC303" s="52"/>
    </row>
    <row r="304">
      <c r="A304" s="52"/>
      <c r="B304" s="350"/>
      <c r="C304" s="52"/>
      <c r="D304" s="52"/>
      <c r="E304" s="52"/>
      <c r="F304" s="351"/>
      <c r="G304" s="52"/>
      <c r="H304" s="52"/>
      <c r="I304" s="52"/>
      <c r="J304" s="52"/>
      <c r="K304" s="52"/>
      <c r="L304" s="52"/>
      <c r="M304" s="52"/>
      <c r="N304" s="52"/>
      <c r="O304" s="52"/>
      <c r="P304" s="52"/>
      <c r="Q304" s="52"/>
      <c r="R304" s="52"/>
      <c r="S304" s="52"/>
      <c r="T304" s="52"/>
      <c r="U304" s="52"/>
      <c r="V304" s="52"/>
      <c r="W304" s="52"/>
      <c r="X304" s="52"/>
      <c r="Y304" s="52"/>
      <c r="Z304" s="52"/>
      <c r="AA304" s="52"/>
      <c r="AB304" s="52"/>
      <c r="AC304" s="52"/>
    </row>
    <row r="305">
      <c r="A305" s="52"/>
      <c r="B305" s="350"/>
      <c r="C305" s="52"/>
      <c r="D305" s="52"/>
      <c r="E305" s="52"/>
      <c r="F305" s="351"/>
      <c r="G305" s="52"/>
      <c r="H305" s="52"/>
      <c r="I305" s="52"/>
      <c r="J305" s="52"/>
      <c r="K305" s="52"/>
      <c r="L305" s="52"/>
      <c r="M305" s="52"/>
      <c r="N305" s="52"/>
      <c r="O305" s="52"/>
      <c r="P305" s="52"/>
      <c r="Q305" s="52"/>
      <c r="R305" s="52"/>
      <c r="S305" s="52"/>
      <c r="T305" s="52"/>
      <c r="U305" s="52"/>
      <c r="V305" s="52"/>
      <c r="W305" s="52"/>
      <c r="X305" s="52"/>
      <c r="Y305" s="52"/>
      <c r="Z305" s="52"/>
      <c r="AA305" s="52"/>
      <c r="AB305" s="52"/>
      <c r="AC305" s="52"/>
    </row>
    <row r="306">
      <c r="A306" s="52"/>
      <c r="B306" s="350"/>
      <c r="C306" s="52"/>
      <c r="D306" s="52"/>
      <c r="E306" s="52"/>
      <c r="F306" s="351"/>
      <c r="G306" s="52"/>
      <c r="H306" s="52"/>
      <c r="I306" s="52"/>
      <c r="J306" s="52"/>
      <c r="K306" s="52"/>
      <c r="L306" s="52"/>
      <c r="M306" s="52"/>
      <c r="N306" s="52"/>
      <c r="O306" s="52"/>
      <c r="P306" s="52"/>
      <c r="Q306" s="52"/>
      <c r="R306" s="52"/>
      <c r="S306" s="52"/>
      <c r="T306" s="52"/>
      <c r="U306" s="52"/>
      <c r="V306" s="52"/>
      <c r="W306" s="52"/>
      <c r="X306" s="52"/>
      <c r="Y306" s="52"/>
      <c r="Z306" s="52"/>
      <c r="AA306" s="52"/>
      <c r="AB306" s="52"/>
      <c r="AC306" s="52"/>
    </row>
    <row r="307">
      <c r="A307" s="52"/>
      <c r="B307" s="350"/>
      <c r="C307" s="52"/>
      <c r="D307" s="52"/>
      <c r="E307" s="52"/>
      <c r="F307" s="351"/>
      <c r="G307" s="52"/>
      <c r="H307" s="52"/>
      <c r="I307" s="52"/>
      <c r="J307" s="52"/>
      <c r="K307" s="52"/>
      <c r="L307" s="52"/>
      <c r="M307" s="52"/>
      <c r="N307" s="52"/>
      <c r="O307" s="52"/>
      <c r="P307" s="52"/>
      <c r="Q307" s="52"/>
      <c r="R307" s="52"/>
      <c r="S307" s="52"/>
      <c r="T307" s="52"/>
      <c r="U307" s="52"/>
      <c r="V307" s="52"/>
      <c r="W307" s="52"/>
      <c r="X307" s="52"/>
      <c r="Y307" s="52"/>
      <c r="Z307" s="52"/>
      <c r="AA307" s="52"/>
      <c r="AB307" s="52"/>
      <c r="AC307" s="52"/>
    </row>
    <row r="308">
      <c r="A308" s="52"/>
      <c r="B308" s="350"/>
      <c r="C308" s="52"/>
      <c r="D308" s="52"/>
      <c r="E308" s="52"/>
      <c r="F308" s="351"/>
      <c r="G308" s="52"/>
      <c r="H308" s="52"/>
      <c r="I308" s="52"/>
      <c r="J308" s="52"/>
      <c r="K308" s="52"/>
      <c r="L308" s="52"/>
      <c r="M308" s="52"/>
      <c r="N308" s="52"/>
      <c r="O308" s="52"/>
      <c r="P308" s="52"/>
      <c r="Q308" s="52"/>
      <c r="R308" s="52"/>
      <c r="S308" s="52"/>
      <c r="T308" s="52"/>
      <c r="U308" s="52"/>
      <c r="V308" s="52"/>
      <c r="W308" s="52"/>
      <c r="X308" s="52"/>
      <c r="Y308" s="52"/>
      <c r="Z308" s="52"/>
      <c r="AA308" s="52"/>
      <c r="AB308" s="52"/>
      <c r="AC308" s="52"/>
    </row>
    <row r="309">
      <c r="A309" s="52"/>
      <c r="B309" s="350"/>
      <c r="C309" s="52"/>
      <c r="D309" s="52"/>
      <c r="E309" s="52"/>
      <c r="F309" s="351"/>
      <c r="G309" s="52"/>
      <c r="H309" s="52"/>
      <c r="I309" s="52"/>
      <c r="J309" s="52"/>
      <c r="K309" s="52"/>
      <c r="L309" s="52"/>
      <c r="M309" s="52"/>
      <c r="N309" s="52"/>
      <c r="O309" s="52"/>
      <c r="P309" s="52"/>
      <c r="Q309" s="52"/>
      <c r="R309" s="52"/>
      <c r="S309" s="52"/>
      <c r="T309" s="52"/>
      <c r="U309" s="52"/>
      <c r="V309" s="52"/>
      <c r="W309" s="52"/>
      <c r="X309" s="52"/>
      <c r="Y309" s="52"/>
      <c r="Z309" s="52"/>
      <c r="AA309" s="52"/>
      <c r="AB309" s="52"/>
      <c r="AC309" s="52"/>
    </row>
    <row r="310">
      <c r="A310" s="52"/>
      <c r="B310" s="350"/>
      <c r="C310" s="52"/>
      <c r="D310" s="52"/>
      <c r="E310" s="52"/>
      <c r="F310" s="351"/>
      <c r="G310" s="52"/>
      <c r="H310" s="52"/>
      <c r="I310" s="52"/>
      <c r="J310" s="52"/>
      <c r="K310" s="52"/>
      <c r="L310" s="52"/>
      <c r="M310" s="52"/>
      <c r="N310" s="52"/>
      <c r="O310" s="52"/>
      <c r="P310" s="52"/>
      <c r="Q310" s="52"/>
      <c r="R310" s="52"/>
      <c r="S310" s="52"/>
      <c r="T310" s="52"/>
      <c r="U310" s="52"/>
      <c r="V310" s="52"/>
      <c r="W310" s="52"/>
      <c r="X310" s="52"/>
      <c r="Y310" s="52"/>
      <c r="Z310" s="52"/>
      <c r="AA310" s="52"/>
      <c r="AB310" s="52"/>
      <c r="AC310" s="52"/>
    </row>
    <row r="311">
      <c r="A311" s="52"/>
      <c r="B311" s="350"/>
      <c r="C311" s="52"/>
      <c r="D311" s="52"/>
      <c r="E311" s="52"/>
      <c r="F311" s="351"/>
      <c r="G311" s="52"/>
      <c r="H311" s="52"/>
      <c r="I311" s="52"/>
      <c r="J311" s="52"/>
      <c r="K311" s="52"/>
      <c r="L311" s="52"/>
      <c r="M311" s="52"/>
      <c r="N311" s="52"/>
      <c r="O311" s="52"/>
      <c r="P311" s="52"/>
      <c r="Q311" s="52"/>
      <c r="R311" s="52"/>
      <c r="S311" s="52"/>
      <c r="T311" s="52"/>
      <c r="U311" s="52"/>
      <c r="V311" s="52"/>
      <c r="W311" s="52"/>
      <c r="X311" s="52"/>
      <c r="Y311" s="52"/>
      <c r="Z311" s="52"/>
      <c r="AA311" s="52"/>
      <c r="AB311" s="52"/>
      <c r="AC311" s="52"/>
    </row>
    <row r="312">
      <c r="A312" s="52"/>
      <c r="B312" s="350"/>
      <c r="C312" s="52"/>
      <c r="D312" s="52"/>
      <c r="E312" s="52"/>
      <c r="F312" s="351"/>
      <c r="G312" s="52"/>
      <c r="H312" s="52"/>
      <c r="I312" s="52"/>
      <c r="J312" s="52"/>
      <c r="K312" s="52"/>
      <c r="L312" s="52"/>
      <c r="M312" s="52"/>
      <c r="N312" s="52"/>
      <c r="O312" s="52"/>
      <c r="P312" s="52"/>
      <c r="Q312" s="52"/>
      <c r="R312" s="52"/>
      <c r="S312" s="52"/>
      <c r="T312" s="52"/>
      <c r="U312" s="52"/>
      <c r="V312" s="52"/>
      <c r="W312" s="52"/>
      <c r="X312" s="52"/>
      <c r="Y312" s="52"/>
      <c r="Z312" s="52"/>
      <c r="AA312" s="52"/>
      <c r="AB312" s="52"/>
      <c r="AC312" s="52"/>
    </row>
    <row r="313">
      <c r="A313" s="52"/>
      <c r="B313" s="350"/>
      <c r="C313" s="52"/>
      <c r="D313" s="52"/>
      <c r="E313" s="52"/>
      <c r="F313" s="351"/>
      <c r="G313" s="52"/>
      <c r="H313" s="52"/>
      <c r="I313" s="52"/>
      <c r="J313" s="52"/>
      <c r="K313" s="52"/>
      <c r="L313" s="52"/>
      <c r="M313" s="52"/>
      <c r="N313" s="52"/>
      <c r="O313" s="52"/>
      <c r="P313" s="52"/>
      <c r="Q313" s="52"/>
      <c r="R313" s="52"/>
      <c r="S313" s="52"/>
      <c r="T313" s="52"/>
      <c r="U313" s="52"/>
      <c r="V313" s="52"/>
      <c r="W313" s="52"/>
      <c r="X313" s="52"/>
      <c r="Y313" s="52"/>
      <c r="Z313" s="52"/>
      <c r="AA313" s="52"/>
      <c r="AB313" s="52"/>
      <c r="AC313" s="52"/>
    </row>
    <row r="314">
      <c r="A314" s="52"/>
      <c r="B314" s="350"/>
      <c r="C314" s="52"/>
      <c r="D314" s="52"/>
      <c r="E314" s="52"/>
      <c r="F314" s="351"/>
      <c r="G314" s="52"/>
      <c r="H314" s="52"/>
      <c r="I314" s="52"/>
      <c r="J314" s="52"/>
      <c r="K314" s="52"/>
      <c r="L314" s="52"/>
      <c r="M314" s="52"/>
      <c r="N314" s="52"/>
      <c r="O314" s="52"/>
      <c r="P314" s="52"/>
      <c r="Q314" s="52"/>
      <c r="R314" s="52"/>
      <c r="S314" s="52"/>
      <c r="T314" s="52"/>
      <c r="U314" s="52"/>
      <c r="V314" s="52"/>
      <c r="W314" s="52"/>
      <c r="X314" s="52"/>
      <c r="Y314" s="52"/>
      <c r="Z314" s="52"/>
      <c r="AA314" s="52"/>
      <c r="AB314" s="52"/>
      <c r="AC314" s="52"/>
    </row>
    <row r="315">
      <c r="A315" s="52"/>
      <c r="B315" s="350"/>
      <c r="C315" s="52"/>
      <c r="D315" s="52"/>
      <c r="E315" s="52"/>
      <c r="F315" s="351"/>
      <c r="G315" s="52"/>
      <c r="H315" s="52"/>
      <c r="I315" s="52"/>
      <c r="J315" s="52"/>
      <c r="K315" s="52"/>
      <c r="L315" s="52"/>
      <c r="M315" s="52"/>
      <c r="N315" s="52"/>
      <c r="O315" s="52"/>
      <c r="P315" s="52"/>
      <c r="Q315" s="52"/>
      <c r="R315" s="52"/>
      <c r="S315" s="52"/>
      <c r="T315" s="52"/>
      <c r="U315" s="52"/>
      <c r="V315" s="52"/>
      <c r="W315" s="52"/>
      <c r="X315" s="52"/>
      <c r="Y315" s="52"/>
      <c r="Z315" s="52"/>
      <c r="AA315" s="52"/>
      <c r="AB315" s="52"/>
      <c r="AC315" s="52"/>
    </row>
    <row r="316">
      <c r="A316" s="52"/>
      <c r="B316" s="350"/>
      <c r="C316" s="52"/>
      <c r="D316" s="52"/>
      <c r="E316" s="52"/>
      <c r="F316" s="351"/>
      <c r="G316" s="52"/>
      <c r="H316" s="52"/>
      <c r="I316" s="52"/>
      <c r="J316" s="52"/>
      <c r="K316" s="52"/>
      <c r="L316" s="52"/>
      <c r="M316" s="52"/>
      <c r="N316" s="52"/>
      <c r="O316" s="52"/>
      <c r="P316" s="52"/>
      <c r="Q316" s="52"/>
      <c r="R316" s="52"/>
      <c r="S316" s="52"/>
      <c r="T316" s="52"/>
      <c r="U316" s="52"/>
      <c r="V316" s="52"/>
      <c r="W316" s="52"/>
      <c r="X316" s="52"/>
      <c r="Y316" s="52"/>
      <c r="Z316" s="52"/>
      <c r="AA316" s="52"/>
      <c r="AB316" s="52"/>
      <c r="AC316" s="52"/>
    </row>
    <row r="317">
      <c r="A317" s="52"/>
      <c r="B317" s="350"/>
      <c r="C317" s="52"/>
      <c r="D317" s="52"/>
      <c r="E317" s="52"/>
      <c r="F317" s="351"/>
      <c r="G317" s="52"/>
      <c r="H317" s="52"/>
      <c r="I317" s="52"/>
      <c r="J317" s="52"/>
      <c r="K317" s="52"/>
      <c r="L317" s="52"/>
      <c r="M317" s="52"/>
      <c r="N317" s="52"/>
      <c r="O317" s="52"/>
      <c r="P317" s="52"/>
      <c r="Q317" s="52"/>
      <c r="R317" s="52"/>
      <c r="S317" s="52"/>
      <c r="T317" s="52"/>
      <c r="U317" s="52"/>
      <c r="V317" s="52"/>
      <c r="W317" s="52"/>
      <c r="X317" s="52"/>
      <c r="Y317" s="52"/>
      <c r="Z317" s="52"/>
      <c r="AA317" s="52"/>
      <c r="AB317" s="52"/>
      <c r="AC317" s="52"/>
    </row>
    <row r="318">
      <c r="A318" s="52"/>
      <c r="B318" s="350"/>
      <c r="C318" s="52"/>
      <c r="D318" s="52"/>
      <c r="E318" s="52"/>
      <c r="F318" s="351"/>
      <c r="G318" s="52"/>
      <c r="H318" s="52"/>
      <c r="I318" s="52"/>
      <c r="J318" s="52"/>
      <c r="K318" s="52"/>
      <c r="L318" s="52"/>
      <c r="M318" s="52"/>
      <c r="N318" s="52"/>
      <c r="O318" s="52"/>
      <c r="P318" s="52"/>
      <c r="Q318" s="52"/>
      <c r="R318" s="52"/>
      <c r="S318" s="52"/>
      <c r="T318" s="52"/>
      <c r="U318" s="52"/>
      <c r="V318" s="52"/>
      <c r="W318" s="52"/>
      <c r="X318" s="52"/>
      <c r="Y318" s="52"/>
      <c r="Z318" s="52"/>
      <c r="AA318" s="52"/>
      <c r="AB318" s="52"/>
      <c r="AC318" s="52"/>
    </row>
    <row r="319">
      <c r="A319" s="52"/>
      <c r="B319" s="350"/>
      <c r="C319" s="52"/>
      <c r="D319" s="52"/>
      <c r="E319" s="52"/>
      <c r="F319" s="351"/>
      <c r="G319" s="52"/>
      <c r="H319" s="52"/>
      <c r="I319" s="52"/>
      <c r="J319" s="52"/>
      <c r="K319" s="52"/>
      <c r="L319" s="52"/>
      <c r="M319" s="52"/>
      <c r="N319" s="52"/>
      <c r="O319" s="52"/>
      <c r="P319" s="52"/>
      <c r="Q319" s="52"/>
      <c r="R319" s="52"/>
      <c r="S319" s="52"/>
      <c r="T319" s="52"/>
      <c r="U319" s="52"/>
      <c r="V319" s="52"/>
      <c r="W319" s="52"/>
      <c r="X319" s="52"/>
      <c r="Y319" s="52"/>
      <c r="Z319" s="52"/>
      <c r="AA319" s="52"/>
      <c r="AB319" s="52"/>
      <c r="AC319" s="52"/>
    </row>
    <row r="320">
      <c r="A320" s="52"/>
      <c r="B320" s="350"/>
      <c r="C320" s="52"/>
      <c r="D320" s="52"/>
      <c r="E320" s="52"/>
      <c r="F320" s="351"/>
      <c r="G320" s="52"/>
      <c r="H320" s="52"/>
      <c r="I320" s="52"/>
      <c r="J320" s="52"/>
      <c r="K320" s="52"/>
      <c r="L320" s="52"/>
      <c r="M320" s="52"/>
      <c r="N320" s="52"/>
      <c r="O320" s="52"/>
      <c r="P320" s="52"/>
      <c r="Q320" s="52"/>
      <c r="R320" s="52"/>
      <c r="S320" s="52"/>
      <c r="T320" s="52"/>
      <c r="U320" s="52"/>
      <c r="V320" s="52"/>
      <c r="W320" s="52"/>
      <c r="X320" s="52"/>
      <c r="Y320" s="52"/>
      <c r="Z320" s="52"/>
      <c r="AA320" s="52"/>
      <c r="AB320" s="52"/>
      <c r="AC320" s="52"/>
    </row>
    <row r="321">
      <c r="A321" s="52"/>
      <c r="B321" s="350"/>
      <c r="C321" s="52"/>
      <c r="D321" s="52"/>
      <c r="E321" s="52"/>
      <c r="F321" s="351"/>
      <c r="G321" s="52"/>
      <c r="H321" s="52"/>
      <c r="I321" s="52"/>
      <c r="J321" s="52"/>
      <c r="K321" s="52"/>
      <c r="L321" s="52"/>
      <c r="M321" s="52"/>
      <c r="N321" s="52"/>
      <c r="O321" s="52"/>
      <c r="P321" s="52"/>
      <c r="Q321" s="52"/>
      <c r="R321" s="52"/>
      <c r="S321" s="52"/>
      <c r="T321" s="52"/>
      <c r="U321" s="52"/>
      <c r="V321" s="52"/>
      <c r="W321" s="52"/>
      <c r="X321" s="52"/>
      <c r="Y321" s="52"/>
      <c r="Z321" s="52"/>
      <c r="AA321" s="52"/>
      <c r="AB321" s="52"/>
      <c r="AC321" s="52"/>
    </row>
    <row r="322">
      <c r="A322" s="52"/>
      <c r="B322" s="350"/>
      <c r="C322" s="52"/>
      <c r="D322" s="52"/>
      <c r="E322" s="52"/>
      <c r="F322" s="351"/>
      <c r="G322" s="52"/>
      <c r="H322" s="52"/>
      <c r="I322" s="52"/>
      <c r="J322" s="52"/>
      <c r="K322" s="52"/>
      <c r="L322" s="52"/>
      <c r="M322" s="52"/>
      <c r="N322" s="52"/>
      <c r="O322" s="52"/>
      <c r="P322" s="52"/>
      <c r="Q322" s="52"/>
      <c r="R322" s="52"/>
      <c r="S322" s="52"/>
      <c r="T322" s="52"/>
      <c r="U322" s="52"/>
      <c r="V322" s="52"/>
      <c r="W322" s="52"/>
      <c r="X322" s="52"/>
      <c r="Y322" s="52"/>
      <c r="Z322" s="52"/>
      <c r="AA322" s="52"/>
      <c r="AB322" s="52"/>
      <c r="AC322" s="52"/>
    </row>
    <row r="323">
      <c r="A323" s="52"/>
      <c r="B323" s="350"/>
      <c r="C323" s="52"/>
      <c r="D323" s="52"/>
      <c r="E323" s="52"/>
      <c r="F323" s="351"/>
      <c r="G323" s="52"/>
      <c r="H323" s="52"/>
      <c r="I323" s="52"/>
      <c r="J323" s="52"/>
      <c r="K323" s="52"/>
      <c r="L323" s="52"/>
      <c r="M323" s="52"/>
      <c r="N323" s="52"/>
      <c r="O323" s="52"/>
      <c r="P323" s="52"/>
      <c r="Q323" s="52"/>
      <c r="R323" s="52"/>
      <c r="S323" s="52"/>
      <c r="T323" s="52"/>
      <c r="U323" s="52"/>
      <c r="V323" s="52"/>
      <c r="W323" s="52"/>
      <c r="X323" s="52"/>
      <c r="Y323" s="52"/>
      <c r="Z323" s="52"/>
      <c r="AA323" s="52"/>
      <c r="AB323" s="52"/>
      <c r="AC323" s="52"/>
    </row>
    <row r="324">
      <c r="A324" s="52"/>
      <c r="B324" s="350"/>
      <c r="C324" s="52"/>
      <c r="D324" s="52"/>
      <c r="E324" s="52"/>
      <c r="F324" s="351"/>
      <c r="G324" s="52"/>
      <c r="H324" s="52"/>
      <c r="I324" s="52"/>
      <c r="J324" s="52"/>
      <c r="K324" s="52"/>
      <c r="L324" s="52"/>
      <c r="M324" s="52"/>
      <c r="N324" s="52"/>
      <c r="O324" s="52"/>
      <c r="P324" s="52"/>
      <c r="Q324" s="52"/>
      <c r="R324" s="52"/>
      <c r="S324" s="52"/>
      <c r="T324" s="52"/>
      <c r="U324" s="52"/>
      <c r="V324" s="52"/>
      <c r="W324" s="52"/>
      <c r="X324" s="52"/>
      <c r="Y324" s="52"/>
      <c r="Z324" s="52"/>
      <c r="AA324" s="52"/>
      <c r="AB324" s="52"/>
      <c r="AC324" s="52"/>
    </row>
    <row r="325">
      <c r="A325" s="52"/>
      <c r="B325" s="350"/>
      <c r="C325" s="52"/>
      <c r="D325" s="52"/>
      <c r="E325" s="52"/>
      <c r="F325" s="351"/>
      <c r="G325" s="52"/>
      <c r="H325" s="52"/>
      <c r="I325" s="52"/>
      <c r="J325" s="52"/>
      <c r="K325" s="52"/>
      <c r="L325" s="52"/>
      <c r="M325" s="52"/>
      <c r="N325" s="52"/>
      <c r="O325" s="52"/>
      <c r="P325" s="52"/>
      <c r="Q325" s="52"/>
      <c r="R325" s="52"/>
      <c r="S325" s="52"/>
      <c r="T325" s="52"/>
      <c r="U325" s="52"/>
      <c r="V325" s="52"/>
      <c r="W325" s="52"/>
      <c r="X325" s="52"/>
      <c r="Y325" s="52"/>
      <c r="Z325" s="52"/>
      <c r="AA325" s="52"/>
      <c r="AB325" s="52"/>
      <c r="AC325" s="52"/>
    </row>
    <row r="326">
      <c r="A326" s="52"/>
      <c r="B326" s="350"/>
      <c r="C326" s="52"/>
      <c r="D326" s="52"/>
      <c r="E326" s="52"/>
      <c r="F326" s="351"/>
      <c r="G326" s="52"/>
      <c r="H326" s="52"/>
      <c r="I326" s="52"/>
      <c r="J326" s="52"/>
      <c r="K326" s="52"/>
      <c r="L326" s="52"/>
      <c r="M326" s="52"/>
      <c r="N326" s="52"/>
      <c r="O326" s="52"/>
      <c r="P326" s="52"/>
      <c r="Q326" s="52"/>
      <c r="R326" s="52"/>
      <c r="S326" s="52"/>
      <c r="T326" s="52"/>
      <c r="U326" s="52"/>
      <c r="V326" s="52"/>
      <c r="W326" s="52"/>
      <c r="X326" s="52"/>
      <c r="Y326" s="52"/>
      <c r="Z326" s="52"/>
      <c r="AA326" s="52"/>
      <c r="AB326" s="52"/>
      <c r="AC326" s="52"/>
    </row>
    <row r="327">
      <c r="A327" s="52"/>
      <c r="B327" s="350"/>
      <c r="C327" s="52"/>
      <c r="D327" s="52"/>
      <c r="E327" s="52"/>
      <c r="F327" s="351"/>
      <c r="G327" s="52"/>
      <c r="H327" s="52"/>
      <c r="I327" s="52"/>
      <c r="J327" s="52"/>
      <c r="K327" s="52"/>
      <c r="L327" s="52"/>
      <c r="M327" s="52"/>
      <c r="N327" s="52"/>
      <c r="O327" s="52"/>
      <c r="P327" s="52"/>
      <c r="Q327" s="52"/>
      <c r="R327" s="52"/>
      <c r="S327" s="52"/>
      <c r="T327" s="52"/>
      <c r="U327" s="52"/>
      <c r="V327" s="52"/>
      <c r="W327" s="52"/>
      <c r="X327" s="52"/>
      <c r="Y327" s="52"/>
      <c r="Z327" s="52"/>
      <c r="AA327" s="52"/>
      <c r="AB327" s="52"/>
      <c r="AC327" s="52"/>
    </row>
    <row r="328">
      <c r="A328" s="52"/>
      <c r="B328" s="350"/>
      <c r="C328" s="52"/>
      <c r="D328" s="52"/>
      <c r="E328" s="52"/>
      <c r="F328" s="351"/>
      <c r="G328" s="52"/>
      <c r="H328" s="52"/>
      <c r="I328" s="52"/>
      <c r="J328" s="52"/>
      <c r="K328" s="52"/>
      <c r="L328" s="52"/>
      <c r="M328" s="52"/>
      <c r="N328" s="52"/>
      <c r="O328" s="52"/>
      <c r="P328" s="52"/>
      <c r="Q328" s="52"/>
      <c r="R328" s="52"/>
      <c r="S328" s="52"/>
      <c r="T328" s="52"/>
      <c r="U328" s="52"/>
      <c r="V328" s="52"/>
      <c r="W328" s="52"/>
      <c r="X328" s="52"/>
      <c r="Y328" s="52"/>
      <c r="Z328" s="52"/>
      <c r="AA328" s="52"/>
      <c r="AB328" s="52"/>
      <c r="AC328" s="52"/>
    </row>
    <row r="329">
      <c r="A329" s="52"/>
      <c r="B329" s="350"/>
      <c r="C329" s="52"/>
      <c r="D329" s="52"/>
      <c r="E329" s="52"/>
      <c r="F329" s="351"/>
      <c r="G329" s="52"/>
      <c r="H329" s="52"/>
      <c r="I329" s="52"/>
      <c r="J329" s="52"/>
      <c r="K329" s="52"/>
      <c r="L329" s="52"/>
      <c r="M329" s="52"/>
      <c r="N329" s="52"/>
      <c r="O329" s="52"/>
      <c r="P329" s="52"/>
      <c r="Q329" s="52"/>
      <c r="R329" s="52"/>
      <c r="S329" s="52"/>
      <c r="T329" s="52"/>
      <c r="U329" s="52"/>
      <c r="V329" s="52"/>
      <c r="W329" s="52"/>
      <c r="X329" s="52"/>
      <c r="Y329" s="52"/>
      <c r="Z329" s="52"/>
      <c r="AA329" s="52"/>
      <c r="AB329" s="52"/>
      <c r="AC329" s="52"/>
    </row>
    <row r="330">
      <c r="A330" s="52"/>
      <c r="B330" s="350"/>
      <c r="C330" s="52"/>
      <c r="D330" s="52"/>
      <c r="E330" s="52"/>
      <c r="F330" s="351"/>
      <c r="G330" s="52"/>
      <c r="H330" s="52"/>
      <c r="I330" s="52"/>
      <c r="J330" s="52"/>
      <c r="K330" s="52"/>
      <c r="L330" s="52"/>
      <c r="M330" s="52"/>
      <c r="N330" s="52"/>
      <c r="O330" s="52"/>
      <c r="P330" s="52"/>
      <c r="Q330" s="52"/>
      <c r="R330" s="52"/>
      <c r="S330" s="52"/>
      <c r="T330" s="52"/>
      <c r="U330" s="52"/>
      <c r="V330" s="52"/>
      <c r="W330" s="52"/>
      <c r="X330" s="52"/>
      <c r="Y330" s="52"/>
      <c r="Z330" s="52"/>
      <c r="AA330" s="52"/>
      <c r="AB330" s="52"/>
      <c r="AC330" s="52"/>
    </row>
    <row r="331">
      <c r="A331" s="52"/>
      <c r="B331" s="350"/>
      <c r="C331" s="52"/>
      <c r="D331" s="52"/>
      <c r="E331" s="52"/>
      <c r="F331" s="351"/>
      <c r="G331" s="52"/>
      <c r="H331" s="52"/>
      <c r="I331" s="52"/>
      <c r="J331" s="52"/>
      <c r="K331" s="52"/>
      <c r="L331" s="52"/>
      <c r="M331" s="52"/>
      <c r="N331" s="52"/>
      <c r="O331" s="52"/>
      <c r="P331" s="52"/>
      <c r="Q331" s="52"/>
      <c r="R331" s="52"/>
      <c r="S331" s="52"/>
      <c r="T331" s="52"/>
      <c r="U331" s="52"/>
      <c r="V331" s="52"/>
      <c r="W331" s="52"/>
      <c r="X331" s="52"/>
      <c r="Y331" s="52"/>
      <c r="Z331" s="52"/>
      <c r="AA331" s="52"/>
      <c r="AB331" s="52"/>
      <c r="AC331" s="52"/>
    </row>
    <row r="332">
      <c r="A332" s="52"/>
      <c r="B332" s="350"/>
      <c r="C332" s="52"/>
      <c r="D332" s="52"/>
      <c r="E332" s="52"/>
      <c r="F332" s="351"/>
      <c r="G332" s="52"/>
      <c r="H332" s="52"/>
      <c r="I332" s="52"/>
      <c r="J332" s="52"/>
      <c r="K332" s="52"/>
      <c r="L332" s="52"/>
      <c r="M332" s="52"/>
      <c r="N332" s="52"/>
      <c r="O332" s="52"/>
      <c r="P332" s="52"/>
      <c r="Q332" s="52"/>
      <c r="R332" s="52"/>
      <c r="S332" s="52"/>
      <c r="T332" s="52"/>
      <c r="U332" s="52"/>
      <c r="V332" s="52"/>
      <c r="W332" s="52"/>
      <c r="X332" s="52"/>
      <c r="Y332" s="52"/>
      <c r="Z332" s="52"/>
      <c r="AA332" s="52"/>
      <c r="AB332" s="52"/>
      <c r="AC332" s="52"/>
    </row>
    <row r="333">
      <c r="A333" s="52"/>
      <c r="B333" s="350"/>
      <c r="C333" s="52"/>
      <c r="D333" s="52"/>
      <c r="E333" s="52"/>
      <c r="F333" s="351"/>
      <c r="G333" s="52"/>
      <c r="H333" s="52"/>
      <c r="I333" s="52"/>
      <c r="J333" s="52"/>
      <c r="K333" s="52"/>
      <c r="L333" s="52"/>
      <c r="M333" s="52"/>
      <c r="N333" s="52"/>
      <c r="O333" s="52"/>
      <c r="P333" s="52"/>
      <c r="Q333" s="52"/>
      <c r="R333" s="52"/>
      <c r="S333" s="52"/>
      <c r="T333" s="52"/>
      <c r="U333" s="52"/>
      <c r="V333" s="52"/>
      <c r="W333" s="52"/>
      <c r="X333" s="52"/>
      <c r="Y333" s="52"/>
      <c r="Z333" s="52"/>
      <c r="AA333" s="52"/>
      <c r="AB333" s="52"/>
      <c r="AC333" s="52"/>
    </row>
    <row r="334">
      <c r="A334" s="52"/>
      <c r="B334" s="350"/>
      <c r="C334" s="52"/>
      <c r="D334" s="52"/>
      <c r="E334" s="52"/>
      <c r="F334" s="351"/>
      <c r="G334" s="52"/>
      <c r="H334" s="52"/>
      <c r="I334" s="52"/>
      <c r="J334" s="52"/>
      <c r="K334" s="52"/>
      <c r="L334" s="52"/>
      <c r="M334" s="52"/>
      <c r="N334" s="52"/>
      <c r="O334" s="52"/>
      <c r="P334" s="52"/>
      <c r="Q334" s="52"/>
      <c r="R334" s="52"/>
      <c r="S334" s="52"/>
      <c r="T334" s="52"/>
      <c r="U334" s="52"/>
      <c r="V334" s="52"/>
      <c r="W334" s="52"/>
      <c r="X334" s="52"/>
      <c r="Y334" s="52"/>
      <c r="Z334" s="52"/>
      <c r="AA334" s="52"/>
      <c r="AB334" s="52"/>
      <c r="AC334" s="52"/>
    </row>
    <row r="335">
      <c r="A335" s="52"/>
      <c r="B335" s="350"/>
      <c r="C335" s="52"/>
      <c r="D335" s="52"/>
      <c r="E335" s="52"/>
      <c r="F335" s="351"/>
      <c r="G335" s="52"/>
      <c r="H335" s="52"/>
      <c r="I335" s="52"/>
      <c r="J335" s="52"/>
      <c r="K335" s="52"/>
      <c r="L335" s="52"/>
      <c r="M335" s="52"/>
      <c r="N335" s="52"/>
      <c r="O335" s="52"/>
      <c r="P335" s="52"/>
      <c r="Q335" s="52"/>
      <c r="R335" s="52"/>
      <c r="S335" s="52"/>
      <c r="T335" s="52"/>
      <c r="U335" s="52"/>
      <c r="V335" s="52"/>
      <c r="W335" s="52"/>
      <c r="X335" s="52"/>
      <c r="Y335" s="52"/>
      <c r="Z335" s="52"/>
      <c r="AA335" s="52"/>
      <c r="AB335" s="52"/>
      <c r="AC335" s="52"/>
    </row>
    <row r="336">
      <c r="A336" s="52"/>
      <c r="B336" s="350"/>
      <c r="C336" s="52"/>
      <c r="D336" s="52"/>
      <c r="E336" s="52"/>
      <c r="F336" s="351"/>
      <c r="G336" s="52"/>
      <c r="H336" s="52"/>
      <c r="I336" s="52"/>
      <c r="J336" s="52"/>
      <c r="K336" s="52"/>
      <c r="L336" s="52"/>
      <c r="M336" s="52"/>
      <c r="N336" s="52"/>
      <c r="O336" s="52"/>
      <c r="P336" s="52"/>
      <c r="Q336" s="52"/>
      <c r="R336" s="52"/>
      <c r="S336" s="52"/>
      <c r="T336" s="52"/>
      <c r="U336" s="52"/>
      <c r="V336" s="52"/>
      <c r="W336" s="52"/>
      <c r="X336" s="52"/>
      <c r="Y336" s="52"/>
      <c r="Z336" s="52"/>
      <c r="AA336" s="52"/>
      <c r="AB336" s="52"/>
      <c r="AC336" s="52"/>
    </row>
    <row r="337">
      <c r="A337" s="52"/>
      <c r="B337" s="350"/>
      <c r="C337" s="52"/>
      <c r="D337" s="52"/>
      <c r="E337" s="52"/>
      <c r="F337" s="351"/>
      <c r="G337" s="52"/>
      <c r="H337" s="52"/>
      <c r="I337" s="52"/>
      <c r="J337" s="52"/>
      <c r="K337" s="52"/>
      <c r="L337" s="52"/>
      <c r="M337" s="52"/>
      <c r="N337" s="52"/>
      <c r="O337" s="52"/>
      <c r="P337" s="52"/>
      <c r="Q337" s="52"/>
      <c r="R337" s="52"/>
      <c r="S337" s="52"/>
      <c r="T337" s="52"/>
      <c r="U337" s="52"/>
      <c r="V337" s="52"/>
      <c r="W337" s="52"/>
      <c r="X337" s="52"/>
      <c r="Y337" s="52"/>
      <c r="Z337" s="52"/>
      <c r="AA337" s="52"/>
      <c r="AB337" s="52"/>
      <c r="AC337" s="52"/>
    </row>
    <row r="338">
      <c r="A338" s="52"/>
      <c r="B338" s="350"/>
      <c r="C338" s="52"/>
      <c r="D338" s="52"/>
      <c r="E338" s="52"/>
      <c r="F338" s="351"/>
      <c r="G338" s="52"/>
      <c r="H338" s="52"/>
      <c r="I338" s="52"/>
      <c r="J338" s="52"/>
      <c r="K338" s="52"/>
      <c r="L338" s="52"/>
      <c r="M338" s="52"/>
      <c r="N338" s="52"/>
      <c r="O338" s="52"/>
      <c r="P338" s="52"/>
      <c r="Q338" s="52"/>
      <c r="R338" s="52"/>
      <c r="S338" s="52"/>
      <c r="T338" s="52"/>
      <c r="U338" s="52"/>
      <c r="V338" s="52"/>
      <c r="W338" s="52"/>
      <c r="X338" s="52"/>
      <c r="Y338" s="52"/>
      <c r="Z338" s="52"/>
      <c r="AA338" s="52"/>
      <c r="AB338" s="52"/>
      <c r="AC338" s="52"/>
    </row>
    <row r="339">
      <c r="A339" s="52"/>
      <c r="B339" s="350"/>
      <c r="C339" s="52"/>
      <c r="D339" s="52"/>
      <c r="E339" s="52"/>
      <c r="F339" s="351"/>
      <c r="G339" s="52"/>
      <c r="H339" s="52"/>
      <c r="I339" s="52"/>
      <c r="J339" s="52"/>
      <c r="K339" s="52"/>
      <c r="L339" s="52"/>
      <c r="M339" s="52"/>
      <c r="N339" s="52"/>
      <c r="O339" s="52"/>
      <c r="P339" s="52"/>
      <c r="Q339" s="52"/>
      <c r="R339" s="52"/>
      <c r="S339" s="52"/>
      <c r="T339" s="52"/>
      <c r="U339" s="52"/>
      <c r="V339" s="52"/>
      <c r="W339" s="52"/>
      <c r="X339" s="52"/>
      <c r="Y339" s="52"/>
      <c r="Z339" s="52"/>
      <c r="AA339" s="52"/>
      <c r="AB339" s="52"/>
      <c r="AC339" s="52"/>
    </row>
    <row r="340">
      <c r="A340" s="52"/>
      <c r="B340" s="350"/>
      <c r="C340" s="52"/>
      <c r="D340" s="52"/>
      <c r="E340" s="52"/>
      <c r="F340" s="351"/>
      <c r="G340" s="52"/>
      <c r="H340" s="52"/>
      <c r="I340" s="52"/>
      <c r="J340" s="52"/>
      <c r="K340" s="52"/>
      <c r="L340" s="52"/>
      <c r="M340" s="52"/>
      <c r="N340" s="52"/>
      <c r="O340" s="52"/>
      <c r="P340" s="52"/>
      <c r="Q340" s="52"/>
      <c r="R340" s="52"/>
      <c r="S340" s="52"/>
      <c r="T340" s="52"/>
      <c r="U340" s="52"/>
      <c r="V340" s="52"/>
      <c r="W340" s="52"/>
      <c r="X340" s="52"/>
      <c r="Y340" s="52"/>
      <c r="Z340" s="52"/>
      <c r="AA340" s="52"/>
      <c r="AB340" s="52"/>
      <c r="AC340" s="52"/>
    </row>
    <row r="341">
      <c r="A341" s="52"/>
      <c r="B341" s="350"/>
      <c r="C341" s="52"/>
      <c r="D341" s="52"/>
      <c r="E341" s="52"/>
      <c r="F341" s="351"/>
      <c r="G341" s="52"/>
      <c r="H341" s="52"/>
      <c r="I341" s="52"/>
      <c r="J341" s="52"/>
      <c r="K341" s="52"/>
      <c r="L341" s="52"/>
      <c r="M341" s="52"/>
      <c r="N341" s="52"/>
      <c r="O341" s="52"/>
      <c r="P341" s="52"/>
      <c r="Q341" s="52"/>
      <c r="R341" s="52"/>
      <c r="S341" s="52"/>
      <c r="T341" s="52"/>
      <c r="U341" s="52"/>
      <c r="V341" s="52"/>
      <c r="W341" s="52"/>
      <c r="X341" s="52"/>
      <c r="Y341" s="52"/>
      <c r="Z341" s="52"/>
      <c r="AA341" s="52"/>
      <c r="AB341" s="52"/>
      <c r="AC341" s="52"/>
    </row>
    <row r="342">
      <c r="A342" s="52"/>
      <c r="B342" s="350"/>
      <c r="C342" s="52"/>
      <c r="D342" s="52"/>
      <c r="E342" s="52"/>
      <c r="F342" s="351"/>
      <c r="G342" s="52"/>
      <c r="H342" s="52"/>
      <c r="I342" s="52"/>
      <c r="J342" s="52"/>
      <c r="K342" s="52"/>
      <c r="L342" s="52"/>
      <c r="M342" s="52"/>
      <c r="N342" s="52"/>
      <c r="O342" s="52"/>
      <c r="P342" s="52"/>
      <c r="Q342" s="52"/>
      <c r="R342" s="52"/>
      <c r="S342" s="52"/>
      <c r="T342" s="52"/>
      <c r="U342" s="52"/>
      <c r="V342" s="52"/>
      <c r="W342" s="52"/>
      <c r="X342" s="52"/>
      <c r="Y342" s="52"/>
      <c r="Z342" s="52"/>
      <c r="AA342" s="52"/>
      <c r="AB342" s="52"/>
      <c r="AC342" s="52"/>
    </row>
    <row r="343">
      <c r="A343" s="52"/>
      <c r="B343" s="350"/>
      <c r="C343" s="52"/>
      <c r="D343" s="52"/>
      <c r="E343" s="52"/>
      <c r="F343" s="351"/>
      <c r="G343" s="52"/>
      <c r="H343" s="52"/>
      <c r="I343" s="52"/>
      <c r="J343" s="52"/>
      <c r="K343" s="52"/>
      <c r="L343" s="52"/>
      <c r="M343" s="52"/>
      <c r="N343" s="52"/>
      <c r="O343" s="52"/>
      <c r="P343" s="52"/>
      <c r="Q343" s="52"/>
      <c r="R343" s="52"/>
      <c r="S343" s="52"/>
      <c r="T343" s="52"/>
      <c r="U343" s="52"/>
      <c r="V343" s="52"/>
      <c r="W343" s="52"/>
      <c r="X343" s="52"/>
      <c r="Y343" s="52"/>
      <c r="Z343" s="52"/>
      <c r="AA343" s="52"/>
      <c r="AB343" s="52"/>
      <c r="AC343" s="52"/>
    </row>
    <row r="344">
      <c r="A344" s="52"/>
      <c r="B344" s="350"/>
      <c r="C344" s="52"/>
      <c r="D344" s="52"/>
      <c r="E344" s="52"/>
      <c r="F344" s="351"/>
      <c r="G344" s="52"/>
      <c r="H344" s="52"/>
      <c r="I344" s="52"/>
      <c r="J344" s="52"/>
      <c r="K344" s="52"/>
      <c r="L344" s="52"/>
      <c r="M344" s="52"/>
      <c r="N344" s="52"/>
      <c r="O344" s="52"/>
      <c r="P344" s="52"/>
      <c r="Q344" s="52"/>
      <c r="R344" s="52"/>
      <c r="S344" s="52"/>
      <c r="T344" s="52"/>
      <c r="U344" s="52"/>
      <c r="V344" s="52"/>
      <c r="W344" s="52"/>
      <c r="X344" s="52"/>
      <c r="Y344" s="52"/>
      <c r="Z344" s="52"/>
      <c r="AA344" s="52"/>
      <c r="AB344" s="52"/>
      <c r="AC344" s="52"/>
    </row>
    <row r="345">
      <c r="A345" s="52"/>
      <c r="B345" s="350"/>
      <c r="C345" s="52"/>
      <c r="D345" s="52"/>
      <c r="E345" s="52"/>
      <c r="F345" s="351"/>
      <c r="G345" s="52"/>
      <c r="H345" s="52"/>
      <c r="I345" s="52"/>
      <c r="J345" s="52"/>
      <c r="K345" s="52"/>
      <c r="L345" s="52"/>
      <c r="M345" s="52"/>
      <c r="N345" s="52"/>
      <c r="O345" s="52"/>
      <c r="P345" s="52"/>
      <c r="Q345" s="52"/>
      <c r="R345" s="52"/>
      <c r="S345" s="52"/>
      <c r="T345" s="52"/>
      <c r="U345" s="52"/>
      <c r="V345" s="52"/>
      <c r="W345" s="52"/>
      <c r="X345" s="52"/>
      <c r="Y345" s="52"/>
      <c r="Z345" s="52"/>
      <c r="AA345" s="52"/>
      <c r="AB345" s="52"/>
      <c r="AC345" s="52"/>
    </row>
    <row r="346">
      <c r="A346" s="52"/>
      <c r="B346" s="350"/>
      <c r="C346" s="52"/>
      <c r="D346" s="52"/>
      <c r="E346" s="52"/>
      <c r="F346" s="351"/>
      <c r="G346" s="52"/>
      <c r="H346" s="52"/>
      <c r="I346" s="52"/>
      <c r="J346" s="52"/>
      <c r="K346" s="52"/>
      <c r="L346" s="52"/>
      <c r="M346" s="52"/>
      <c r="N346" s="52"/>
      <c r="O346" s="52"/>
      <c r="P346" s="52"/>
      <c r="Q346" s="52"/>
      <c r="R346" s="52"/>
      <c r="S346" s="52"/>
      <c r="T346" s="52"/>
      <c r="U346" s="52"/>
      <c r="V346" s="52"/>
      <c r="W346" s="52"/>
      <c r="X346" s="52"/>
      <c r="Y346" s="52"/>
      <c r="Z346" s="52"/>
      <c r="AA346" s="52"/>
      <c r="AB346" s="52"/>
      <c r="AC346" s="52"/>
    </row>
    <row r="347">
      <c r="A347" s="52"/>
      <c r="B347" s="350"/>
      <c r="C347" s="52"/>
      <c r="D347" s="52"/>
      <c r="E347" s="52"/>
      <c r="F347" s="351"/>
      <c r="G347" s="52"/>
      <c r="H347" s="52"/>
      <c r="I347" s="52"/>
      <c r="J347" s="52"/>
      <c r="K347" s="52"/>
      <c r="L347" s="52"/>
      <c r="M347" s="52"/>
      <c r="N347" s="52"/>
      <c r="O347" s="52"/>
      <c r="P347" s="52"/>
      <c r="Q347" s="52"/>
      <c r="R347" s="52"/>
      <c r="S347" s="52"/>
      <c r="T347" s="52"/>
      <c r="U347" s="52"/>
      <c r="V347" s="52"/>
      <c r="W347" s="52"/>
      <c r="X347" s="52"/>
      <c r="Y347" s="52"/>
      <c r="Z347" s="52"/>
      <c r="AA347" s="52"/>
      <c r="AB347" s="52"/>
      <c r="AC347" s="52"/>
    </row>
    <row r="348">
      <c r="A348" s="52"/>
      <c r="B348" s="350"/>
      <c r="C348" s="52"/>
      <c r="D348" s="52"/>
      <c r="E348" s="52"/>
      <c r="F348" s="351"/>
      <c r="G348" s="52"/>
      <c r="H348" s="52"/>
      <c r="I348" s="52"/>
      <c r="J348" s="52"/>
      <c r="K348" s="52"/>
      <c r="L348" s="52"/>
      <c r="M348" s="52"/>
      <c r="N348" s="52"/>
      <c r="O348" s="52"/>
      <c r="P348" s="52"/>
      <c r="Q348" s="52"/>
      <c r="R348" s="52"/>
      <c r="S348" s="52"/>
      <c r="T348" s="52"/>
      <c r="U348" s="52"/>
      <c r="V348" s="52"/>
      <c r="W348" s="52"/>
      <c r="X348" s="52"/>
      <c r="Y348" s="52"/>
      <c r="Z348" s="52"/>
      <c r="AA348" s="52"/>
      <c r="AB348" s="52"/>
      <c r="AC348" s="52"/>
    </row>
    <row r="349">
      <c r="A349" s="52"/>
      <c r="B349" s="350"/>
      <c r="C349" s="52"/>
      <c r="D349" s="52"/>
      <c r="E349" s="52"/>
      <c r="F349" s="351"/>
      <c r="G349" s="52"/>
      <c r="H349" s="52"/>
      <c r="I349" s="52"/>
      <c r="J349" s="52"/>
      <c r="K349" s="52"/>
      <c r="L349" s="52"/>
      <c r="M349" s="52"/>
      <c r="N349" s="52"/>
      <c r="O349" s="52"/>
      <c r="P349" s="52"/>
      <c r="Q349" s="52"/>
      <c r="R349" s="52"/>
      <c r="S349" s="52"/>
      <c r="T349" s="52"/>
      <c r="U349" s="52"/>
      <c r="V349" s="52"/>
      <c r="W349" s="52"/>
      <c r="X349" s="52"/>
      <c r="Y349" s="52"/>
      <c r="Z349" s="52"/>
      <c r="AA349" s="52"/>
      <c r="AB349" s="52"/>
      <c r="AC349" s="52"/>
    </row>
    <row r="350">
      <c r="A350" s="52"/>
      <c r="B350" s="350"/>
      <c r="C350" s="52"/>
      <c r="D350" s="52"/>
      <c r="E350" s="52"/>
      <c r="F350" s="351"/>
      <c r="G350" s="52"/>
      <c r="H350" s="52"/>
      <c r="I350" s="52"/>
      <c r="J350" s="52"/>
      <c r="K350" s="52"/>
      <c r="L350" s="52"/>
      <c r="M350" s="52"/>
      <c r="N350" s="52"/>
      <c r="O350" s="52"/>
      <c r="P350" s="52"/>
      <c r="Q350" s="52"/>
      <c r="R350" s="52"/>
      <c r="S350" s="52"/>
      <c r="T350" s="52"/>
      <c r="U350" s="52"/>
      <c r="V350" s="52"/>
      <c r="W350" s="52"/>
      <c r="X350" s="52"/>
      <c r="Y350" s="52"/>
      <c r="Z350" s="52"/>
      <c r="AA350" s="52"/>
      <c r="AB350" s="52"/>
      <c r="AC350" s="52"/>
    </row>
    <row r="351">
      <c r="A351" s="52"/>
      <c r="B351" s="350"/>
      <c r="C351" s="52"/>
      <c r="D351" s="52"/>
      <c r="E351" s="52"/>
      <c r="F351" s="351"/>
      <c r="G351" s="52"/>
      <c r="H351" s="52"/>
      <c r="I351" s="52"/>
      <c r="J351" s="52"/>
      <c r="K351" s="52"/>
      <c r="L351" s="52"/>
      <c r="M351" s="52"/>
      <c r="N351" s="52"/>
      <c r="O351" s="52"/>
      <c r="P351" s="52"/>
      <c r="Q351" s="52"/>
      <c r="R351" s="52"/>
      <c r="S351" s="52"/>
      <c r="T351" s="52"/>
      <c r="U351" s="52"/>
      <c r="V351" s="52"/>
      <c r="W351" s="52"/>
      <c r="X351" s="52"/>
      <c r="Y351" s="52"/>
      <c r="Z351" s="52"/>
      <c r="AA351" s="52"/>
      <c r="AB351" s="52"/>
      <c r="AC351" s="52"/>
    </row>
    <row r="352">
      <c r="A352" s="52"/>
      <c r="B352" s="350"/>
      <c r="C352" s="52"/>
      <c r="D352" s="52"/>
      <c r="E352" s="52"/>
      <c r="F352" s="351"/>
      <c r="G352" s="52"/>
      <c r="H352" s="52"/>
      <c r="I352" s="52"/>
      <c r="J352" s="52"/>
      <c r="K352" s="52"/>
      <c r="L352" s="52"/>
      <c r="M352" s="52"/>
      <c r="N352" s="52"/>
      <c r="O352" s="52"/>
      <c r="P352" s="52"/>
      <c r="Q352" s="52"/>
      <c r="R352" s="52"/>
      <c r="S352" s="52"/>
      <c r="T352" s="52"/>
      <c r="U352" s="52"/>
      <c r="V352" s="52"/>
      <c r="W352" s="52"/>
      <c r="X352" s="52"/>
      <c r="Y352" s="52"/>
      <c r="Z352" s="52"/>
      <c r="AA352" s="52"/>
      <c r="AB352" s="52"/>
      <c r="AC352" s="52"/>
    </row>
    <row r="353">
      <c r="A353" s="52"/>
      <c r="B353" s="350"/>
      <c r="C353" s="52"/>
      <c r="D353" s="52"/>
      <c r="E353" s="52"/>
      <c r="F353" s="351"/>
      <c r="G353" s="52"/>
      <c r="H353" s="52"/>
      <c r="I353" s="52"/>
      <c r="J353" s="52"/>
      <c r="K353" s="52"/>
      <c r="L353" s="52"/>
      <c r="M353" s="52"/>
      <c r="N353" s="52"/>
      <c r="O353" s="52"/>
      <c r="P353" s="52"/>
      <c r="Q353" s="52"/>
      <c r="R353" s="52"/>
      <c r="S353" s="52"/>
      <c r="T353" s="52"/>
      <c r="U353" s="52"/>
      <c r="V353" s="52"/>
      <c r="W353" s="52"/>
      <c r="X353" s="52"/>
      <c r="Y353" s="52"/>
      <c r="Z353" s="52"/>
      <c r="AA353" s="52"/>
      <c r="AB353" s="52"/>
      <c r="AC353" s="52"/>
    </row>
    <row r="354">
      <c r="A354" s="52"/>
      <c r="B354" s="350"/>
      <c r="C354" s="52"/>
      <c r="D354" s="52"/>
      <c r="E354" s="52"/>
      <c r="F354" s="351"/>
      <c r="G354" s="52"/>
      <c r="H354" s="52"/>
      <c r="I354" s="52"/>
      <c r="J354" s="52"/>
      <c r="K354" s="52"/>
      <c r="L354" s="52"/>
      <c r="M354" s="52"/>
      <c r="N354" s="52"/>
      <c r="O354" s="52"/>
      <c r="P354" s="52"/>
      <c r="Q354" s="52"/>
      <c r="R354" s="52"/>
      <c r="S354" s="52"/>
      <c r="T354" s="52"/>
      <c r="U354" s="52"/>
      <c r="V354" s="52"/>
      <c r="W354" s="52"/>
      <c r="X354" s="52"/>
      <c r="Y354" s="52"/>
      <c r="Z354" s="52"/>
      <c r="AA354" s="52"/>
      <c r="AB354" s="52"/>
      <c r="AC354" s="52"/>
    </row>
    <row r="355">
      <c r="A355" s="52"/>
      <c r="B355" s="350"/>
      <c r="C355" s="52"/>
      <c r="D355" s="52"/>
      <c r="E355" s="52"/>
      <c r="F355" s="351"/>
      <c r="G355" s="52"/>
      <c r="H355" s="52"/>
      <c r="I355" s="52"/>
      <c r="J355" s="52"/>
      <c r="K355" s="52"/>
      <c r="L355" s="52"/>
      <c r="M355" s="52"/>
      <c r="N355" s="52"/>
      <c r="O355" s="52"/>
      <c r="P355" s="52"/>
      <c r="Q355" s="52"/>
      <c r="R355" s="52"/>
      <c r="S355" s="52"/>
      <c r="T355" s="52"/>
      <c r="U355" s="52"/>
      <c r="V355" s="52"/>
      <c r="W355" s="52"/>
      <c r="X355" s="52"/>
      <c r="Y355" s="52"/>
      <c r="Z355" s="52"/>
      <c r="AA355" s="52"/>
      <c r="AB355" s="52"/>
      <c r="AC355" s="52"/>
    </row>
    <row r="356">
      <c r="A356" s="52"/>
      <c r="B356" s="350"/>
      <c r="C356" s="52"/>
      <c r="D356" s="52"/>
      <c r="E356" s="52"/>
      <c r="F356" s="351"/>
      <c r="G356" s="52"/>
      <c r="H356" s="52"/>
      <c r="I356" s="52"/>
      <c r="J356" s="52"/>
      <c r="K356" s="52"/>
      <c r="L356" s="52"/>
      <c r="M356" s="52"/>
      <c r="N356" s="52"/>
      <c r="O356" s="52"/>
      <c r="P356" s="52"/>
      <c r="Q356" s="52"/>
      <c r="R356" s="52"/>
      <c r="S356" s="52"/>
      <c r="T356" s="52"/>
      <c r="U356" s="52"/>
      <c r="V356" s="52"/>
      <c r="W356" s="52"/>
      <c r="X356" s="52"/>
      <c r="Y356" s="52"/>
      <c r="Z356" s="52"/>
      <c r="AA356" s="52"/>
      <c r="AB356" s="52"/>
      <c r="AC356" s="52"/>
    </row>
    <row r="357">
      <c r="A357" s="52"/>
      <c r="B357" s="350"/>
      <c r="C357" s="52"/>
      <c r="D357" s="52"/>
      <c r="E357" s="52"/>
      <c r="F357" s="351"/>
      <c r="G357" s="52"/>
      <c r="H357" s="52"/>
      <c r="I357" s="52"/>
      <c r="J357" s="52"/>
      <c r="K357" s="52"/>
      <c r="L357" s="52"/>
      <c r="M357" s="52"/>
      <c r="N357" s="52"/>
      <c r="O357" s="52"/>
      <c r="P357" s="52"/>
      <c r="Q357" s="52"/>
      <c r="R357" s="52"/>
      <c r="S357" s="52"/>
      <c r="T357" s="52"/>
      <c r="U357" s="52"/>
      <c r="V357" s="52"/>
      <c r="W357" s="52"/>
      <c r="X357" s="52"/>
      <c r="Y357" s="52"/>
      <c r="Z357" s="52"/>
      <c r="AA357" s="52"/>
      <c r="AB357" s="52"/>
      <c r="AC357" s="52"/>
    </row>
    <row r="358">
      <c r="A358" s="52"/>
      <c r="B358" s="350"/>
      <c r="C358" s="52"/>
      <c r="D358" s="52"/>
      <c r="E358" s="52"/>
      <c r="F358" s="351"/>
      <c r="G358" s="52"/>
      <c r="H358" s="52"/>
      <c r="I358" s="52"/>
      <c r="J358" s="52"/>
      <c r="K358" s="52"/>
      <c r="L358" s="52"/>
      <c r="M358" s="52"/>
      <c r="N358" s="52"/>
      <c r="O358" s="52"/>
      <c r="P358" s="52"/>
      <c r="Q358" s="52"/>
      <c r="R358" s="52"/>
      <c r="S358" s="52"/>
      <c r="T358" s="52"/>
      <c r="U358" s="52"/>
      <c r="V358" s="52"/>
      <c r="W358" s="52"/>
      <c r="X358" s="52"/>
      <c r="Y358" s="52"/>
      <c r="Z358" s="52"/>
      <c r="AA358" s="52"/>
      <c r="AB358" s="52"/>
      <c r="AC358" s="52"/>
    </row>
    <row r="359">
      <c r="A359" s="52"/>
      <c r="B359" s="350"/>
      <c r="C359" s="52"/>
      <c r="D359" s="52"/>
      <c r="E359" s="52"/>
      <c r="F359" s="351"/>
      <c r="G359" s="52"/>
      <c r="H359" s="52"/>
      <c r="I359" s="52"/>
      <c r="J359" s="52"/>
      <c r="K359" s="52"/>
      <c r="L359" s="52"/>
      <c r="M359" s="52"/>
      <c r="N359" s="52"/>
      <c r="O359" s="52"/>
      <c r="P359" s="52"/>
      <c r="Q359" s="52"/>
      <c r="R359" s="52"/>
      <c r="S359" s="52"/>
      <c r="T359" s="52"/>
      <c r="U359" s="52"/>
      <c r="V359" s="52"/>
      <c r="W359" s="52"/>
      <c r="X359" s="52"/>
      <c r="Y359" s="52"/>
      <c r="Z359" s="52"/>
      <c r="AA359" s="52"/>
      <c r="AB359" s="52"/>
      <c r="AC359" s="52"/>
    </row>
    <row r="360">
      <c r="A360" s="52"/>
      <c r="B360" s="350"/>
      <c r="C360" s="52"/>
      <c r="D360" s="52"/>
      <c r="E360" s="52"/>
      <c r="F360" s="351"/>
      <c r="G360" s="52"/>
      <c r="H360" s="52"/>
      <c r="I360" s="52"/>
      <c r="J360" s="52"/>
      <c r="K360" s="52"/>
      <c r="L360" s="52"/>
      <c r="M360" s="52"/>
      <c r="N360" s="52"/>
      <c r="O360" s="52"/>
      <c r="P360" s="52"/>
      <c r="Q360" s="52"/>
      <c r="R360" s="52"/>
      <c r="S360" s="52"/>
      <c r="T360" s="52"/>
      <c r="U360" s="52"/>
      <c r="V360" s="52"/>
      <c r="W360" s="52"/>
      <c r="X360" s="52"/>
      <c r="Y360" s="52"/>
      <c r="Z360" s="52"/>
      <c r="AA360" s="52"/>
      <c r="AB360" s="52"/>
      <c r="AC360" s="52"/>
    </row>
    <row r="361">
      <c r="A361" s="52"/>
      <c r="B361" s="350"/>
      <c r="C361" s="52"/>
      <c r="D361" s="52"/>
      <c r="E361" s="52"/>
      <c r="F361" s="351"/>
      <c r="G361" s="52"/>
      <c r="H361" s="52"/>
      <c r="I361" s="52"/>
      <c r="J361" s="52"/>
      <c r="K361" s="52"/>
      <c r="L361" s="52"/>
      <c r="M361" s="52"/>
      <c r="N361" s="52"/>
      <c r="O361" s="52"/>
      <c r="P361" s="52"/>
      <c r="Q361" s="52"/>
      <c r="R361" s="52"/>
      <c r="S361" s="52"/>
      <c r="T361" s="52"/>
      <c r="U361" s="52"/>
      <c r="V361" s="52"/>
      <c r="W361" s="52"/>
      <c r="X361" s="52"/>
      <c r="Y361" s="52"/>
      <c r="Z361" s="52"/>
      <c r="AA361" s="52"/>
      <c r="AB361" s="52"/>
      <c r="AC361" s="52"/>
    </row>
    <row r="362">
      <c r="A362" s="52"/>
      <c r="B362" s="350"/>
      <c r="C362" s="52"/>
      <c r="D362" s="52"/>
      <c r="E362" s="52"/>
      <c r="F362" s="351"/>
      <c r="G362" s="52"/>
      <c r="H362" s="52"/>
      <c r="I362" s="52"/>
      <c r="J362" s="52"/>
      <c r="K362" s="52"/>
      <c r="L362" s="52"/>
      <c r="M362" s="52"/>
      <c r="N362" s="52"/>
      <c r="O362" s="52"/>
      <c r="P362" s="52"/>
      <c r="Q362" s="52"/>
      <c r="R362" s="52"/>
      <c r="S362" s="52"/>
      <c r="T362" s="52"/>
      <c r="U362" s="52"/>
      <c r="V362" s="52"/>
      <c r="W362" s="52"/>
      <c r="X362" s="52"/>
      <c r="Y362" s="52"/>
      <c r="Z362" s="52"/>
      <c r="AA362" s="52"/>
      <c r="AB362" s="52"/>
      <c r="AC362" s="52"/>
    </row>
    <row r="363">
      <c r="A363" s="52"/>
      <c r="B363" s="350"/>
      <c r="C363" s="52"/>
      <c r="D363" s="52"/>
      <c r="E363" s="52"/>
      <c r="F363" s="351"/>
      <c r="G363" s="52"/>
      <c r="H363" s="52"/>
      <c r="I363" s="52"/>
      <c r="J363" s="52"/>
      <c r="K363" s="52"/>
      <c r="L363" s="52"/>
      <c r="M363" s="52"/>
      <c r="N363" s="52"/>
      <c r="O363" s="52"/>
      <c r="P363" s="52"/>
      <c r="Q363" s="52"/>
      <c r="R363" s="52"/>
      <c r="S363" s="52"/>
      <c r="T363" s="52"/>
      <c r="U363" s="52"/>
      <c r="V363" s="52"/>
      <c r="W363" s="52"/>
      <c r="X363" s="52"/>
      <c r="Y363" s="52"/>
      <c r="Z363" s="52"/>
      <c r="AA363" s="52"/>
      <c r="AB363" s="52"/>
      <c r="AC363" s="52"/>
    </row>
    <row r="364">
      <c r="A364" s="52"/>
      <c r="B364" s="350"/>
      <c r="C364" s="52"/>
      <c r="D364" s="52"/>
      <c r="E364" s="52"/>
      <c r="F364" s="351"/>
      <c r="G364" s="52"/>
      <c r="H364" s="52"/>
      <c r="I364" s="52"/>
      <c r="J364" s="52"/>
      <c r="K364" s="52"/>
      <c r="L364" s="52"/>
      <c r="M364" s="52"/>
      <c r="N364" s="52"/>
      <c r="O364" s="52"/>
      <c r="P364" s="52"/>
      <c r="Q364" s="52"/>
      <c r="R364" s="52"/>
      <c r="S364" s="52"/>
      <c r="T364" s="52"/>
      <c r="U364" s="52"/>
      <c r="V364" s="52"/>
      <c r="W364" s="52"/>
      <c r="X364" s="52"/>
      <c r="Y364" s="52"/>
      <c r="Z364" s="52"/>
      <c r="AA364" s="52"/>
      <c r="AB364" s="52"/>
      <c r="AC364" s="52"/>
    </row>
    <row r="365">
      <c r="A365" s="52"/>
      <c r="B365" s="350"/>
      <c r="C365" s="52"/>
      <c r="D365" s="52"/>
      <c r="E365" s="52"/>
      <c r="F365" s="351"/>
      <c r="G365" s="52"/>
      <c r="H365" s="52"/>
      <c r="I365" s="52"/>
      <c r="J365" s="52"/>
      <c r="K365" s="52"/>
      <c r="L365" s="52"/>
      <c r="M365" s="52"/>
      <c r="N365" s="52"/>
      <c r="O365" s="52"/>
      <c r="P365" s="52"/>
      <c r="Q365" s="52"/>
      <c r="R365" s="52"/>
      <c r="S365" s="52"/>
      <c r="T365" s="52"/>
      <c r="U365" s="52"/>
      <c r="V365" s="52"/>
      <c r="W365" s="52"/>
      <c r="X365" s="52"/>
      <c r="Y365" s="52"/>
      <c r="Z365" s="52"/>
      <c r="AA365" s="52"/>
      <c r="AB365" s="52"/>
      <c r="AC365" s="52"/>
    </row>
    <row r="366">
      <c r="A366" s="52"/>
      <c r="B366" s="350"/>
      <c r="C366" s="52"/>
      <c r="D366" s="52"/>
      <c r="E366" s="52"/>
      <c r="F366" s="351"/>
      <c r="G366" s="52"/>
      <c r="H366" s="52"/>
      <c r="I366" s="52"/>
      <c r="J366" s="52"/>
      <c r="K366" s="52"/>
      <c r="L366" s="52"/>
      <c r="M366" s="52"/>
      <c r="N366" s="52"/>
      <c r="O366" s="52"/>
      <c r="P366" s="52"/>
      <c r="Q366" s="52"/>
      <c r="R366" s="52"/>
      <c r="S366" s="52"/>
      <c r="T366" s="52"/>
      <c r="U366" s="52"/>
      <c r="V366" s="52"/>
      <c r="W366" s="52"/>
      <c r="X366" s="52"/>
      <c r="Y366" s="52"/>
      <c r="Z366" s="52"/>
      <c r="AA366" s="52"/>
      <c r="AB366" s="52"/>
      <c r="AC366" s="52"/>
    </row>
    <row r="367">
      <c r="A367" s="52"/>
      <c r="B367" s="350"/>
      <c r="C367" s="52"/>
      <c r="D367" s="52"/>
      <c r="E367" s="52"/>
      <c r="F367" s="351"/>
      <c r="G367" s="52"/>
      <c r="H367" s="52"/>
      <c r="I367" s="52"/>
      <c r="J367" s="52"/>
      <c r="K367" s="52"/>
      <c r="L367" s="52"/>
      <c r="M367" s="52"/>
      <c r="N367" s="52"/>
      <c r="O367" s="52"/>
      <c r="P367" s="52"/>
      <c r="Q367" s="52"/>
      <c r="R367" s="52"/>
      <c r="S367" s="52"/>
      <c r="T367" s="52"/>
      <c r="U367" s="52"/>
      <c r="V367" s="52"/>
      <c r="W367" s="52"/>
      <c r="X367" s="52"/>
      <c r="Y367" s="52"/>
      <c r="Z367" s="52"/>
      <c r="AA367" s="52"/>
      <c r="AB367" s="52"/>
      <c r="AC367" s="52"/>
    </row>
    <row r="368">
      <c r="A368" s="52"/>
      <c r="B368" s="350"/>
      <c r="C368" s="52"/>
      <c r="D368" s="52"/>
      <c r="E368" s="52"/>
      <c r="F368" s="351"/>
      <c r="G368" s="52"/>
      <c r="H368" s="52"/>
      <c r="I368" s="52"/>
      <c r="J368" s="52"/>
      <c r="K368" s="52"/>
      <c r="L368" s="52"/>
      <c r="M368" s="52"/>
      <c r="N368" s="52"/>
      <c r="O368" s="52"/>
      <c r="P368" s="52"/>
      <c r="Q368" s="52"/>
      <c r="R368" s="52"/>
      <c r="S368" s="52"/>
      <c r="T368" s="52"/>
      <c r="U368" s="52"/>
      <c r="V368" s="52"/>
      <c r="W368" s="52"/>
      <c r="X368" s="52"/>
      <c r="Y368" s="52"/>
      <c r="Z368" s="52"/>
      <c r="AA368" s="52"/>
      <c r="AB368" s="52"/>
      <c r="AC368" s="52"/>
    </row>
    <row r="369">
      <c r="A369" s="52"/>
      <c r="B369" s="350"/>
      <c r="C369" s="52"/>
      <c r="D369" s="52"/>
      <c r="E369" s="52"/>
      <c r="F369" s="351"/>
      <c r="G369" s="52"/>
      <c r="H369" s="52"/>
      <c r="I369" s="52"/>
      <c r="J369" s="52"/>
      <c r="K369" s="52"/>
      <c r="L369" s="52"/>
      <c r="M369" s="52"/>
      <c r="N369" s="52"/>
      <c r="O369" s="52"/>
      <c r="P369" s="52"/>
      <c r="Q369" s="52"/>
      <c r="R369" s="52"/>
      <c r="S369" s="52"/>
      <c r="T369" s="52"/>
      <c r="U369" s="52"/>
      <c r="V369" s="52"/>
      <c r="W369" s="52"/>
      <c r="X369" s="52"/>
      <c r="Y369" s="52"/>
      <c r="Z369" s="52"/>
      <c r="AA369" s="52"/>
      <c r="AB369" s="52"/>
      <c r="AC369" s="52"/>
    </row>
    <row r="370">
      <c r="A370" s="52"/>
      <c r="B370" s="350"/>
      <c r="C370" s="52"/>
      <c r="D370" s="52"/>
      <c r="E370" s="52"/>
      <c r="F370" s="351"/>
      <c r="G370" s="52"/>
      <c r="H370" s="52"/>
      <c r="I370" s="52"/>
      <c r="J370" s="52"/>
      <c r="K370" s="52"/>
      <c r="L370" s="52"/>
      <c r="M370" s="52"/>
      <c r="N370" s="52"/>
      <c r="O370" s="52"/>
      <c r="P370" s="52"/>
      <c r="Q370" s="52"/>
      <c r="R370" s="52"/>
      <c r="S370" s="52"/>
      <c r="T370" s="52"/>
      <c r="U370" s="52"/>
      <c r="V370" s="52"/>
      <c r="W370" s="52"/>
      <c r="X370" s="52"/>
      <c r="Y370" s="52"/>
      <c r="Z370" s="52"/>
      <c r="AA370" s="52"/>
      <c r="AB370" s="52"/>
      <c r="AC370" s="52"/>
    </row>
    <row r="371">
      <c r="A371" s="52"/>
      <c r="B371" s="350"/>
      <c r="C371" s="52"/>
      <c r="D371" s="52"/>
      <c r="E371" s="52"/>
      <c r="F371" s="351"/>
      <c r="G371" s="52"/>
      <c r="H371" s="52"/>
      <c r="I371" s="52"/>
      <c r="J371" s="52"/>
      <c r="K371" s="52"/>
      <c r="L371" s="52"/>
      <c r="M371" s="52"/>
      <c r="N371" s="52"/>
      <c r="O371" s="52"/>
      <c r="P371" s="52"/>
      <c r="Q371" s="52"/>
      <c r="R371" s="52"/>
      <c r="S371" s="52"/>
      <c r="T371" s="52"/>
      <c r="U371" s="52"/>
      <c r="V371" s="52"/>
      <c r="W371" s="52"/>
      <c r="X371" s="52"/>
      <c r="Y371" s="52"/>
      <c r="Z371" s="52"/>
      <c r="AA371" s="52"/>
      <c r="AB371" s="52"/>
      <c r="AC371" s="52"/>
    </row>
    <row r="372">
      <c r="A372" s="52"/>
      <c r="B372" s="350"/>
      <c r="C372" s="52"/>
      <c r="D372" s="52"/>
      <c r="E372" s="52"/>
      <c r="F372" s="351"/>
      <c r="G372" s="52"/>
      <c r="H372" s="52"/>
      <c r="I372" s="52"/>
      <c r="J372" s="52"/>
      <c r="K372" s="52"/>
      <c r="L372" s="52"/>
      <c r="M372" s="52"/>
      <c r="N372" s="52"/>
      <c r="O372" s="52"/>
      <c r="P372" s="52"/>
      <c r="Q372" s="52"/>
      <c r="R372" s="52"/>
      <c r="S372" s="52"/>
      <c r="T372" s="52"/>
      <c r="U372" s="52"/>
      <c r="V372" s="52"/>
      <c r="W372" s="52"/>
      <c r="X372" s="52"/>
      <c r="Y372" s="52"/>
      <c r="Z372" s="52"/>
      <c r="AA372" s="52"/>
      <c r="AB372" s="52"/>
      <c r="AC372" s="52"/>
    </row>
    <row r="373">
      <c r="A373" s="52"/>
      <c r="B373" s="350"/>
      <c r="C373" s="52"/>
      <c r="D373" s="52"/>
      <c r="E373" s="52"/>
      <c r="F373" s="351"/>
      <c r="G373" s="52"/>
      <c r="H373" s="52"/>
      <c r="I373" s="52"/>
      <c r="J373" s="52"/>
      <c r="K373" s="52"/>
      <c r="L373" s="52"/>
      <c r="M373" s="52"/>
      <c r="N373" s="52"/>
      <c r="O373" s="52"/>
      <c r="P373" s="52"/>
      <c r="Q373" s="52"/>
      <c r="R373" s="52"/>
      <c r="S373" s="52"/>
      <c r="T373" s="52"/>
      <c r="U373" s="52"/>
      <c r="V373" s="52"/>
      <c r="W373" s="52"/>
      <c r="X373" s="52"/>
      <c r="Y373" s="52"/>
      <c r="Z373" s="52"/>
      <c r="AA373" s="52"/>
      <c r="AB373" s="52"/>
      <c r="AC373" s="52"/>
    </row>
    <row r="374">
      <c r="A374" s="52"/>
      <c r="B374" s="350"/>
      <c r="C374" s="52"/>
      <c r="D374" s="52"/>
      <c r="E374" s="52"/>
      <c r="F374" s="351"/>
      <c r="G374" s="52"/>
      <c r="H374" s="52"/>
      <c r="I374" s="52"/>
      <c r="J374" s="52"/>
      <c r="K374" s="52"/>
      <c r="L374" s="52"/>
      <c r="M374" s="52"/>
      <c r="N374" s="52"/>
      <c r="O374" s="52"/>
      <c r="P374" s="52"/>
      <c r="Q374" s="52"/>
      <c r="R374" s="52"/>
      <c r="S374" s="52"/>
      <c r="T374" s="52"/>
      <c r="U374" s="52"/>
      <c r="V374" s="52"/>
      <c r="W374" s="52"/>
      <c r="X374" s="52"/>
      <c r="Y374" s="52"/>
      <c r="Z374" s="52"/>
      <c r="AA374" s="52"/>
      <c r="AB374" s="52"/>
      <c r="AC374" s="52"/>
    </row>
    <row r="375">
      <c r="A375" s="52"/>
      <c r="B375" s="350"/>
      <c r="C375" s="52"/>
      <c r="D375" s="52"/>
      <c r="E375" s="52"/>
      <c r="F375" s="351"/>
      <c r="G375" s="52"/>
      <c r="H375" s="52"/>
      <c r="I375" s="52"/>
      <c r="J375" s="52"/>
      <c r="K375" s="52"/>
      <c r="L375" s="52"/>
      <c r="M375" s="52"/>
      <c r="N375" s="52"/>
      <c r="O375" s="52"/>
      <c r="P375" s="52"/>
      <c r="Q375" s="52"/>
      <c r="R375" s="52"/>
      <c r="S375" s="52"/>
      <c r="T375" s="52"/>
      <c r="U375" s="52"/>
      <c r="V375" s="52"/>
      <c r="W375" s="52"/>
      <c r="X375" s="52"/>
      <c r="Y375" s="52"/>
      <c r="Z375" s="52"/>
      <c r="AA375" s="52"/>
      <c r="AB375" s="52"/>
      <c r="AC375" s="52"/>
    </row>
    <row r="376">
      <c r="A376" s="52"/>
      <c r="B376" s="350"/>
      <c r="C376" s="52"/>
      <c r="D376" s="52"/>
      <c r="E376" s="52"/>
      <c r="F376" s="351"/>
      <c r="G376" s="52"/>
      <c r="H376" s="52"/>
      <c r="I376" s="52"/>
      <c r="J376" s="52"/>
      <c r="K376" s="52"/>
      <c r="L376" s="52"/>
      <c r="M376" s="52"/>
      <c r="N376" s="52"/>
      <c r="O376" s="52"/>
      <c r="P376" s="52"/>
      <c r="Q376" s="52"/>
      <c r="R376" s="52"/>
      <c r="S376" s="52"/>
      <c r="T376" s="52"/>
      <c r="U376" s="52"/>
      <c r="V376" s="52"/>
      <c r="W376" s="52"/>
      <c r="X376" s="52"/>
      <c r="Y376" s="52"/>
      <c r="Z376" s="52"/>
      <c r="AA376" s="52"/>
      <c r="AB376" s="52"/>
      <c r="AC376" s="52"/>
    </row>
    <row r="377">
      <c r="A377" s="52"/>
      <c r="B377" s="350"/>
      <c r="C377" s="52"/>
      <c r="D377" s="52"/>
      <c r="E377" s="52"/>
      <c r="F377" s="351"/>
      <c r="G377" s="52"/>
      <c r="H377" s="52"/>
      <c r="I377" s="52"/>
      <c r="J377" s="52"/>
      <c r="K377" s="52"/>
      <c r="L377" s="52"/>
      <c r="M377" s="52"/>
      <c r="N377" s="52"/>
      <c r="O377" s="52"/>
      <c r="P377" s="52"/>
      <c r="Q377" s="52"/>
      <c r="R377" s="52"/>
      <c r="S377" s="52"/>
      <c r="T377" s="52"/>
      <c r="U377" s="52"/>
      <c r="V377" s="52"/>
      <c r="W377" s="52"/>
      <c r="X377" s="52"/>
      <c r="Y377" s="52"/>
      <c r="Z377" s="52"/>
      <c r="AA377" s="52"/>
      <c r="AB377" s="52"/>
      <c r="AC377" s="52"/>
    </row>
    <row r="378">
      <c r="A378" s="52"/>
      <c r="B378" s="350"/>
      <c r="C378" s="52"/>
      <c r="D378" s="52"/>
      <c r="E378" s="52"/>
      <c r="F378" s="351"/>
      <c r="G378" s="52"/>
      <c r="H378" s="52"/>
      <c r="I378" s="52"/>
      <c r="J378" s="52"/>
      <c r="K378" s="52"/>
      <c r="L378" s="52"/>
      <c r="M378" s="52"/>
      <c r="N378" s="52"/>
      <c r="O378" s="52"/>
      <c r="P378" s="52"/>
      <c r="Q378" s="52"/>
      <c r="R378" s="52"/>
      <c r="S378" s="52"/>
      <c r="T378" s="52"/>
      <c r="U378" s="52"/>
      <c r="V378" s="52"/>
      <c r="W378" s="52"/>
      <c r="X378" s="52"/>
      <c r="Y378" s="52"/>
      <c r="Z378" s="52"/>
      <c r="AA378" s="52"/>
      <c r="AB378" s="52"/>
      <c r="AC378" s="52"/>
    </row>
    <row r="379">
      <c r="A379" s="52"/>
      <c r="B379" s="350"/>
      <c r="C379" s="52"/>
      <c r="D379" s="52"/>
      <c r="E379" s="52"/>
      <c r="F379" s="351"/>
      <c r="G379" s="52"/>
      <c r="H379" s="52"/>
      <c r="I379" s="52"/>
      <c r="J379" s="52"/>
      <c r="K379" s="52"/>
      <c r="L379" s="52"/>
      <c r="M379" s="52"/>
      <c r="N379" s="52"/>
      <c r="O379" s="52"/>
      <c r="P379" s="52"/>
      <c r="Q379" s="52"/>
      <c r="R379" s="52"/>
      <c r="S379" s="52"/>
      <c r="T379" s="52"/>
      <c r="U379" s="52"/>
      <c r="V379" s="52"/>
      <c r="W379" s="52"/>
      <c r="X379" s="52"/>
      <c r="Y379" s="52"/>
      <c r="Z379" s="52"/>
      <c r="AA379" s="52"/>
      <c r="AB379" s="52"/>
      <c r="AC379" s="52"/>
    </row>
    <row r="380">
      <c r="A380" s="52"/>
      <c r="B380" s="350"/>
      <c r="C380" s="52"/>
      <c r="D380" s="52"/>
      <c r="E380" s="52"/>
      <c r="F380" s="351"/>
      <c r="G380" s="52"/>
      <c r="H380" s="52"/>
      <c r="I380" s="52"/>
      <c r="J380" s="52"/>
      <c r="K380" s="52"/>
      <c r="L380" s="52"/>
      <c r="M380" s="52"/>
      <c r="N380" s="52"/>
      <c r="O380" s="52"/>
      <c r="P380" s="52"/>
      <c r="Q380" s="52"/>
      <c r="R380" s="52"/>
      <c r="S380" s="52"/>
      <c r="T380" s="52"/>
      <c r="U380" s="52"/>
      <c r="V380" s="52"/>
      <c r="W380" s="52"/>
      <c r="X380" s="52"/>
      <c r="Y380" s="52"/>
      <c r="Z380" s="52"/>
      <c r="AA380" s="52"/>
      <c r="AB380" s="52"/>
      <c r="AC380" s="52"/>
    </row>
    <row r="381">
      <c r="A381" s="52"/>
      <c r="B381" s="350"/>
      <c r="C381" s="52"/>
      <c r="D381" s="52"/>
      <c r="E381" s="52"/>
      <c r="F381" s="351"/>
      <c r="G381" s="52"/>
      <c r="H381" s="52"/>
      <c r="I381" s="52"/>
      <c r="J381" s="52"/>
      <c r="K381" s="52"/>
      <c r="L381" s="52"/>
      <c r="M381" s="52"/>
      <c r="N381" s="52"/>
      <c r="O381" s="52"/>
      <c r="P381" s="52"/>
      <c r="Q381" s="52"/>
      <c r="R381" s="52"/>
      <c r="S381" s="52"/>
      <c r="T381" s="52"/>
      <c r="U381" s="52"/>
      <c r="V381" s="52"/>
      <c r="W381" s="52"/>
      <c r="X381" s="52"/>
      <c r="Y381" s="52"/>
      <c r="Z381" s="52"/>
      <c r="AA381" s="52"/>
      <c r="AB381" s="52"/>
      <c r="AC381" s="52"/>
    </row>
    <row r="382">
      <c r="A382" s="52"/>
      <c r="B382" s="350"/>
      <c r="C382" s="52"/>
      <c r="D382" s="52"/>
      <c r="E382" s="52"/>
      <c r="F382" s="351"/>
      <c r="G382" s="52"/>
      <c r="H382" s="52"/>
      <c r="I382" s="52"/>
      <c r="J382" s="52"/>
      <c r="K382" s="52"/>
      <c r="L382" s="52"/>
      <c r="M382" s="52"/>
      <c r="N382" s="52"/>
      <c r="O382" s="52"/>
      <c r="P382" s="52"/>
      <c r="Q382" s="52"/>
      <c r="R382" s="52"/>
      <c r="S382" s="52"/>
      <c r="T382" s="52"/>
      <c r="U382" s="52"/>
      <c r="V382" s="52"/>
      <c r="W382" s="52"/>
      <c r="X382" s="52"/>
      <c r="Y382" s="52"/>
      <c r="Z382" s="52"/>
      <c r="AA382" s="52"/>
      <c r="AB382" s="52"/>
      <c r="AC382" s="52"/>
    </row>
    <row r="383">
      <c r="A383" s="52"/>
      <c r="B383" s="350"/>
      <c r="C383" s="52"/>
      <c r="D383" s="52"/>
      <c r="E383" s="52"/>
      <c r="F383" s="351"/>
      <c r="G383" s="52"/>
      <c r="H383" s="52"/>
      <c r="I383" s="52"/>
      <c r="J383" s="52"/>
      <c r="K383" s="52"/>
      <c r="L383" s="52"/>
      <c r="M383" s="52"/>
      <c r="N383" s="52"/>
      <c r="O383" s="52"/>
      <c r="P383" s="52"/>
      <c r="Q383" s="52"/>
      <c r="R383" s="52"/>
      <c r="S383" s="52"/>
      <c r="T383" s="52"/>
      <c r="U383" s="52"/>
      <c r="V383" s="52"/>
      <c r="W383" s="52"/>
      <c r="X383" s="52"/>
      <c r="Y383" s="52"/>
      <c r="Z383" s="52"/>
      <c r="AA383" s="52"/>
      <c r="AB383" s="52"/>
      <c r="AC383" s="52"/>
    </row>
    <row r="384">
      <c r="A384" s="52"/>
      <c r="B384" s="350"/>
      <c r="C384" s="52"/>
      <c r="D384" s="52"/>
      <c r="E384" s="52"/>
      <c r="F384" s="351"/>
      <c r="G384" s="52"/>
      <c r="H384" s="52"/>
      <c r="I384" s="52"/>
      <c r="J384" s="52"/>
      <c r="K384" s="52"/>
      <c r="L384" s="52"/>
      <c r="M384" s="52"/>
      <c r="N384" s="52"/>
      <c r="O384" s="52"/>
      <c r="P384" s="52"/>
      <c r="Q384" s="52"/>
      <c r="R384" s="52"/>
      <c r="S384" s="52"/>
      <c r="T384" s="52"/>
      <c r="U384" s="52"/>
      <c r="V384" s="52"/>
      <c r="W384" s="52"/>
      <c r="X384" s="52"/>
      <c r="Y384" s="52"/>
      <c r="Z384" s="52"/>
      <c r="AA384" s="52"/>
      <c r="AB384" s="52"/>
      <c r="AC384" s="52"/>
    </row>
    <row r="385">
      <c r="A385" s="52"/>
      <c r="B385" s="350"/>
      <c r="C385" s="52"/>
      <c r="D385" s="52"/>
      <c r="E385" s="52"/>
      <c r="F385" s="351"/>
      <c r="G385" s="52"/>
      <c r="H385" s="52"/>
      <c r="I385" s="52"/>
      <c r="J385" s="52"/>
      <c r="K385" s="52"/>
      <c r="L385" s="52"/>
      <c r="M385" s="52"/>
      <c r="N385" s="52"/>
      <c r="O385" s="52"/>
      <c r="P385" s="52"/>
      <c r="Q385" s="52"/>
      <c r="R385" s="52"/>
      <c r="S385" s="52"/>
      <c r="T385" s="52"/>
      <c r="U385" s="52"/>
      <c r="V385" s="52"/>
      <c r="W385" s="52"/>
      <c r="X385" s="52"/>
      <c r="Y385" s="52"/>
      <c r="Z385" s="52"/>
      <c r="AA385" s="52"/>
      <c r="AB385" s="52"/>
      <c r="AC385" s="52"/>
    </row>
    <row r="386">
      <c r="A386" s="52"/>
      <c r="B386" s="350"/>
      <c r="C386" s="52"/>
      <c r="D386" s="52"/>
      <c r="E386" s="52"/>
      <c r="F386" s="351"/>
      <c r="G386" s="52"/>
      <c r="H386" s="52"/>
      <c r="I386" s="52"/>
      <c r="J386" s="52"/>
      <c r="K386" s="52"/>
      <c r="L386" s="52"/>
      <c r="M386" s="52"/>
      <c r="N386" s="52"/>
      <c r="O386" s="52"/>
      <c r="P386" s="52"/>
      <c r="Q386" s="52"/>
      <c r="R386" s="52"/>
      <c r="S386" s="52"/>
      <c r="T386" s="52"/>
      <c r="U386" s="52"/>
      <c r="V386" s="52"/>
      <c r="W386" s="52"/>
      <c r="X386" s="52"/>
      <c r="Y386" s="52"/>
      <c r="Z386" s="52"/>
      <c r="AA386" s="52"/>
      <c r="AB386" s="52"/>
      <c r="AC386" s="52"/>
    </row>
    <row r="387">
      <c r="A387" s="52"/>
      <c r="B387" s="350"/>
      <c r="C387" s="52"/>
      <c r="D387" s="52"/>
      <c r="E387" s="52"/>
      <c r="F387" s="351"/>
      <c r="G387" s="52"/>
      <c r="H387" s="52"/>
      <c r="I387" s="52"/>
      <c r="J387" s="52"/>
      <c r="K387" s="52"/>
      <c r="L387" s="52"/>
      <c r="M387" s="52"/>
      <c r="N387" s="52"/>
      <c r="O387" s="52"/>
      <c r="P387" s="52"/>
      <c r="Q387" s="52"/>
      <c r="R387" s="52"/>
      <c r="S387" s="52"/>
      <c r="T387" s="52"/>
      <c r="U387" s="52"/>
      <c r="V387" s="52"/>
      <c r="W387" s="52"/>
      <c r="X387" s="52"/>
      <c r="Y387" s="52"/>
      <c r="Z387" s="52"/>
      <c r="AA387" s="52"/>
      <c r="AB387" s="52"/>
      <c r="AC387" s="52"/>
    </row>
    <row r="388">
      <c r="A388" s="52"/>
      <c r="B388" s="350"/>
      <c r="C388" s="52"/>
      <c r="D388" s="52"/>
      <c r="E388" s="52"/>
      <c r="F388" s="351"/>
      <c r="G388" s="52"/>
      <c r="H388" s="52"/>
      <c r="I388" s="52"/>
      <c r="J388" s="52"/>
      <c r="K388" s="52"/>
      <c r="L388" s="52"/>
      <c r="M388" s="52"/>
      <c r="N388" s="52"/>
      <c r="O388" s="52"/>
      <c r="P388" s="52"/>
      <c r="Q388" s="52"/>
      <c r="R388" s="52"/>
      <c r="S388" s="52"/>
      <c r="T388" s="52"/>
      <c r="U388" s="52"/>
      <c r="V388" s="52"/>
      <c r="W388" s="52"/>
      <c r="X388" s="52"/>
      <c r="Y388" s="52"/>
      <c r="Z388" s="52"/>
      <c r="AA388" s="52"/>
      <c r="AB388" s="52"/>
      <c r="AC388" s="52"/>
    </row>
    <row r="389">
      <c r="A389" s="52"/>
      <c r="B389" s="350"/>
      <c r="C389" s="52"/>
      <c r="D389" s="52"/>
      <c r="E389" s="52"/>
      <c r="F389" s="351"/>
      <c r="G389" s="52"/>
      <c r="H389" s="52"/>
      <c r="I389" s="52"/>
      <c r="J389" s="52"/>
      <c r="K389" s="52"/>
      <c r="L389" s="52"/>
      <c r="M389" s="52"/>
      <c r="N389" s="52"/>
      <c r="O389" s="52"/>
      <c r="P389" s="52"/>
      <c r="Q389" s="52"/>
      <c r="R389" s="52"/>
      <c r="S389" s="52"/>
      <c r="T389" s="52"/>
      <c r="U389" s="52"/>
      <c r="V389" s="52"/>
      <c r="W389" s="52"/>
      <c r="X389" s="52"/>
      <c r="Y389" s="52"/>
      <c r="Z389" s="52"/>
      <c r="AA389" s="52"/>
      <c r="AB389" s="52"/>
      <c r="AC389" s="52"/>
    </row>
    <row r="390">
      <c r="A390" s="52"/>
      <c r="B390" s="350"/>
      <c r="C390" s="52"/>
      <c r="D390" s="52"/>
      <c r="E390" s="52"/>
      <c r="F390" s="351"/>
      <c r="G390" s="52"/>
      <c r="H390" s="52"/>
      <c r="I390" s="52"/>
      <c r="J390" s="52"/>
      <c r="K390" s="52"/>
      <c r="L390" s="52"/>
      <c r="M390" s="52"/>
      <c r="N390" s="52"/>
      <c r="O390" s="52"/>
      <c r="P390" s="52"/>
      <c r="Q390" s="52"/>
      <c r="R390" s="52"/>
      <c r="S390" s="52"/>
      <c r="T390" s="52"/>
      <c r="U390" s="52"/>
      <c r="V390" s="52"/>
      <c r="W390" s="52"/>
      <c r="X390" s="52"/>
      <c r="Y390" s="52"/>
      <c r="Z390" s="52"/>
      <c r="AA390" s="52"/>
      <c r="AB390" s="52"/>
      <c r="AC390" s="52"/>
    </row>
    <row r="391">
      <c r="A391" s="52"/>
      <c r="B391" s="350"/>
      <c r="C391" s="52"/>
      <c r="D391" s="52"/>
      <c r="E391" s="52"/>
      <c r="F391" s="351"/>
      <c r="G391" s="52"/>
      <c r="H391" s="52"/>
      <c r="I391" s="52"/>
      <c r="J391" s="52"/>
      <c r="K391" s="52"/>
      <c r="L391" s="52"/>
      <c r="M391" s="52"/>
      <c r="N391" s="52"/>
      <c r="O391" s="52"/>
      <c r="P391" s="52"/>
      <c r="Q391" s="52"/>
      <c r="R391" s="52"/>
      <c r="S391" s="52"/>
      <c r="T391" s="52"/>
      <c r="U391" s="52"/>
      <c r="V391" s="52"/>
      <c r="W391" s="52"/>
      <c r="X391" s="52"/>
      <c r="Y391" s="52"/>
      <c r="Z391" s="52"/>
      <c r="AA391" s="52"/>
      <c r="AB391" s="52"/>
      <c r="AC391" s="52"/>
    </row>
    <row r="392">
      <c r="A392" s="52"/>
      <c r="B392" s="350"/>
      <c r="C392" s="52"/>
      <c r="D392" s="52"/>
      <c r="E392" s="52"/>
      <c r="F392" s="351"/>
      <c r="G392" s="52"/>
      <c r="H392" s="52"/>
      <c r="I392" s="52"/>
      <c r="J392" s="52"/>
      <c r="K392" s="52"/>
      <c r="L392" s="52"/>
      <c r="M392" s="52"/>
      <c r="N392" s="52"/>
      <c r="O392" s="52"/>
      <c r="P392" s="52"/>
      <c r="Q392" s="52"/>
      <c r="R392" s="52"/>
      <c r="S392" s="52"/>
      <c r="T392" s="52"/>
      <c r="U392" s="52"/>
      <c r="V392" s="52"/>
      <c r="W392" s="52"/>
      <c r="X392" s="52"/>
      <c r="Y392" s="52"/>
      <c r="Z392" s="52"/>
      <c r="AA392" s="52"/>
      <c r="AB392" s="52"/>
      <c r="AC392" s="52"/>
    </row>
    <row r="393">
      <c r="A393" s="52"/>
      <c r="B393" s="350"/>
      <c r="C393" s="52"/>
      <c r="D393" s="52"/>
      <c r="E393" s="52"/>
      <c r="F393" s="351"/>
      <c r="G393" s="52"/>
      <c r="H393" s="52"/>
      <c r="I393" s="52"/>
      <c r="J393" s="52"/>
      <c r="K393" s="52"/>
      <c r="L393" s="52"/>
      <c r="M393" s="52"/>
      <c r="N393" s="52"/>
      <c r="O393" s="52"/>
      <c r="P393" s="52"/>
      <c r="Q393" s="52"/>
      <c r="R393" s="52"/>
      <c r="S393" s="52"/>
      <c r="T393" s="52"/>
      <c r="U393" s="52"/>
      <c r="V393" s="52"/>
      <c r="W393" s="52"/>
      <c r="X393" s="52"/>
      <c r="Y393" s="52"/>
      <c r="Z393" s="52"/>
      <c r="AA393" s="52"/>
      <c r="AB393" s="52"/>
      <c r="AC393" s="52"/>
    </row>
    <row r="394">
      <c r="A394" s="52"/>
      <c r="B394" s="350"/>
      <c r="C394" s="52"/>
      <c r="D394" s="52"/>
      <c r="E394" s="52"/>
      <c r="F394" s="351"/>
      <c r="G394" s="52"/>
      <c r="H394" s="52"/>
      <c r="I394" s="52"/>
      <c r="J394" s="52"/>
      <c r="K394" s="52"/>
      <c r="L394" s="52"/>
      <c r="M394" s="52"/>
      <c r="N394" s="52"/>
      <c r="O394" s="52"/>
      <c r="P394" s="52"/>
      <c r="Q394" s="52"/>
      <c r="R394" s="52"/>
      <c r="S394" s="52"/>
      <c r="T394" s="52"/>
      <c r="U394" s="52"/>
      <c r="V394" s="52"/>
      <c r="W394" s="52"/>
      <c r="X394" s="52"/>
      <c r="Y394" s="52"/>
      <c r="Z394" s="52"/>
      <c r="AA394" s="52"/>
      <c r="AB394" s="52"/>
      <c r="AC394" s="52"/>
    </row>
    <row r="395">
      <c r="A395" s="52"/>
      <c r="B395" s="350"/>
      <c r="C395" s="52"/>
      <c r="D395" s="52"/>
      <c r="E395" s="52"/>
      <c r="F395" s="351"/>
      <c r="G395" s="52"/>
      <c r="H395" s="52"/>
      <c r="I395" s="52"/>
      <c r="J395" s="52"/>
      <c r="K395" s="52"/>
      <c r="L395" s="52"/>
      <c r="M395" s="52"/>
      <c r="N395" s="52"/>
      <c r="O395" s="52"/>
      <c r="P395" s="52"/>
      <c r="Q395" s="52"/>
      <c r="R395" s="52"/>
      <c r="S395" s="52"/>
      <c r="T395" s="52"/>
      <c r="U395" s="52"/>
      <c r="V395" s="52"/>
      <c r="W395" s="52"/>
      <c r="X395" s="52"/>
      <c r="Y395" s="52"/>
      <c r="Z395" s="52"/>
      <c r="AA395" s="52"/>
      <c r="AB395" s="52"/>
      <c r="AC395" s="52"/>
    </row>
    <row r="396">
      <c r="A396" s="52"/>
      <c r="B396" s="350"/>
      <c r="C396" s="52"/>
      <c r="D396" s="52"/>
      <c r="E396" s="52"/>
      <c r="F396" s="351"/>
      <c r="G396" s="52"/>
      <c r="H396" s="52"/>
      <c r="I396" s="52"/>
      <c r="J396" s="52"/>
      <c r="K396" s="52"/>
      <c r="L396" s="52"/>
      <c r="M396" s="52"/>
      <c r="N396" s="52"/>
      <c r="O396" s="52"/>
      <c r="P396" s="52"/>
      <c r="Q396" s="52"/>
      <c r="R396" s="52"/>
      <c r="S396" s="52"/>
      <c r="T396" s="52"/>
      <c r="U396" s="52"/>
      <c r="V396" s="52"/>
      <c r="W396" s="52"/>
      <c r="X396" s="52"/>
      <c r="Y396" s="52"/>
      <c r="Z396" s="52"/>
      <c r="AA396" s="52"/>
      <c r="AB396" s="52"/>
      <c r="AC396" s="52"/>
    </row>
    <row r="397">
      <c r="A397" s="52"/>
      <c r="B397" s="350"/>
      <c r="C397" s="52"/>
      <c r="D397" s="52"/>
      <c r="E397" s="52"/>
      <c r="F397" s="351"/>
      <c r="G397" s="52"/>
      <c r="H397" s="52"/>
      <c r="I397" s="52"/>
      <c r="J397" s="52"/>
      <c r="K397" s="52"/>
      <c r="L397" s="52"/>
      <c r="M397" s="52"/>
      <c r="N397" s="52"/>
      <c r="O397" s="52"/>
      <c r="P397" s="52"/>
      <c r="Q397" s="52"/>
      <c r="R397" s="52"/>
      <c r="S397" s="52"/>
      <c r="T397" s="52"/>
      <c r="U397" s="52"/>
      <c r="V397" s="52"/>
      <c r="W397" s="52"/>
      <c r="X397" s="52"/>
      <c r="Y397" s="52"/>
      <c r="Z397" s="52"/>
      <c r="AA397" s="52"/>
      <c r="AB397" s="52"/>
      <c r="AC397" s="52"/>
    </row>
    <row r="398">
      <c r="A398" s="52"/>
      <c r="B398" s="350"/>
      <c r="C398" s="52"/>
      <c r="D398" s="52"/>
      <c r="E398" s="52"/>
      <c r="F398" s="351"/>
      <c r="G398" s="52"/>
      <c r="H398" s="52"/>
      <c r="I398" s="52"/>
      <c r="J398" s="52"/>
      <c r="K398" s="52"/>
      <c r="L398" s="52"/>
      <c r="M398" s="52"/>
      <c r="N398" s="52"/>
      <c r="O398" s="52"/>
      <c r="P398" s="52"/>
      <c r="Q398" s="52"/>
      <c r="R398" s="52"/>
      <c r="S398" s="52"/>
      <c r="T398" s="52"/>
      <c r="U398" s="52"/>
      <c r="V398" s="52"/>
      <c r="W398" s="52"/>
      <c r="X398" s="52"/>
      <c r="Y398" s="52"/>
      <c r="Z398" s="52"/>
      <c r="AA398" s="52"/>
      <c r="AB398" s="52"/>
      <c r="AC398" s="52"/>
    </row>
    <row r="399">
      <c r="A399" s="52"/>
      <c r="B399" s="350"/>
      <c r="C399" s="52"/>
      <c r="D399" s="52"/>
      <c r="E399" s="52"/>
      <c r="F399" s="351"/>
      <c r="G399" s="52"/>
      <c r="H399" s="52"/>
      <c r="I399" s="52"/>
      <c r="J399" s="52"/>
      <c r="K399" s="52"/>
      <c r="L399" s="52"/>
      <c r="M399" s="52"/>
      <c r="N399" s="52"/>
      <c r="O399" s="52"/>
      <c r="P399" s="52"/>
      <c r="Q399" s="52"/>
      <c r="R399" s="52"/>
      <c r="S399" s="52"/>
      <c r="T399" s="52"/>
      <c r="U399" s="52"/>
      <c r="V399" s="52"/>
      <c r="W399" s="52"/>
      <c r="X399" s="52"/>
      <c r="Y399" s="52"/>
      <c r="Z399" s="52"/>
      <c r="AA399" s="52"/>
      <c r="AB399" s="52"/>
      <c r="AC399" s="52"/>
    </row>
    <row r="400">
      <c r="A400" s="52"/>
      <c r="B400" s="350"/>
      <c r="C400" s="52"/>
      <c r="D400" s="52"/>
      <c r="E400" s="52"/>
      <c r="F400" s="351"/>
      <c r="G400" s="52"/>
      <c r="H400" s="52"/>
      <c r="I400" s="52"/>
      <c r="J400" s="52"/>
      <c r="K400" s="52"/>
      <c r="L400" s="52"/>
      <c r="M400" s="52"/>
      <c r="N400" s="52"/>
      <c r="O400" s="52"/>
      <c r="P400" s="52"/>
      <c r="Q400" s="52"/>
      <c r="R400" s="52"/>
      <c r="S400" s="52"/>
      <c r="T400" s="52"/>
      <c r="U400" s="52"/>
      <c r="V400" s="52"/>
      <c r="W400" s="52"/>
      <c r="X400" s="52"/>
      <c r="Y400" s="52"/>
      <c r="Z400" s="52"/>
      <c r="AA400" s="52"/>
      <c r="AB400" s="52"/>
      <c r="AC400" s="52"/>
    </row>
    <row r="401">
      <c r="A401" s="52"/>
      <c r="B401" s="350"/>
      <c r="C401" s="52"/>
      <c r="D401" s="52"/>
      <c r="E401" s="52"/>
      <c r="F401" s="351"/>
      <c r="G401" s="52"/>
      <c r="H401" s="52"/>
      <c r="I401" s="52"/>
      <c r="J401" s="52"/>
      <c r="K401" s="52"/>
      <c r="L401" s="52"/>
      <c r="M401" s="52"/>
      <c r="N401" s="52"/>
      <c r="O401" s="52"/>
      <c r="P401" s="52"/>
      <c r="Q401" s="52"/>
      <c r="R401" s="52"/>
      <c r="S401" s="52"/>
      <c r="T401" s="52"/>
      <c r="U401" s="52"/>
      <c r="V401" s="52"/>
      <c r="W401" s="52"/>
      <c r="X401" s="52"/>
      <c r="Y401" s="52"/>
      <c r="Z401" s="52"/>
      <c r="AA401" s="52"/>
      <c r="AB401" s="52"/>
      <c r="AC401" s="52"/>
    </row>
    <row r="402">
      <c r="A402" s="52"/>
      <c r="B402" s="350"/>
      <c r="C402" s="52"/>
      <c r="D402" s="52"/>
      <c r="E402" s="52"/>
      <c r="F402" s="351"/>
      <c r="G402" s="52"/>
      <c r="H402" s="52"/>
      <c r="I402" s="52"/>
      <c r="J402" s="52"/>
      <c r="K402" s="52"/>
      <c r="L402" s="52"/>
      <c r="M402" s="52"/>
      <c r="N402" s="52"/>
      <c r="O402" s="52"/>
      <c r="P402" s="52"/>
      <c r="Q402" s="52"/>
      <c r="R402" s="52"/>
      <c r="S402" s="52"/>
      <c r="T402" s="52"/>
      <c r="U402" s="52"/>
      <c r="V402" s="52"/>
      <c r="W402" s="52"/>
      <c r="X402" s="52"/>
      <c r="Y402" s="52"/>
      <c r="Z402" s="52"/>
      <c r="AA402" s="52"/>
      <c r="AB402" s="52"/>
      <c r="AC402" s="52"/>
    </row>
    <row r="403">
      <c r="A403" s="52"/>
      <c r="B403" s="350"/>
      <c r="C403" s="52"/>
      <c r="D403" s="52"/>
      <c r="E403" s="52"/>
      <c r="F403" s="351"/>
      <c r="G403" s="52"/>
      <c r="H403" s="52"/>
      <c r="I403" s="52"/>
      <c r="J403" s="52"/>
      <c r="K403" s="52"/>
      <c r="L403" s="52"/>
      <c r="M403" s="52"/>
      <c r="N403" s="52"/>
      <c r="O403" s="52"/>
      <c r="P403" s="52"/>
      <c r="Q403" s="52"/>
      <c r="R403" s="52"/>
      <c r="S403" s="52"/>
      <c r="T403" s="52"/>
      <c r="U403" s="52"/>
      <c r="V403" s="52"/>
      <c r="W403" s="52"/>
      <c r="X403" s="52"/>
      <c r="Y403" s="52"/>
      <c r="Z403" s="52"/>
      <c r="AA403" s="52"/>
      <c r="AB403" s="52"/>
      <c r="AC403" s="52"/>
    </row>
    <row r="404">
      <c r="A404" s="52"/>
      <c r="B404" s="350"/>
      <c r="C404" s="52"/>
      <c r="D404" s="52"/>
      <c r="E404" s="52"/>
      <c r="F404" s="351"/>
      <c r="G404" s="52"/>
      <c r="H404" s="52"/>
      <c r="I404" s="52"/>
      <c r="J404" s="52"/>
      <c r="K404" s="52"/>
      <c r="L404" s="52"/>
      <c r="M404" s="52"/>
      <c r="N404" s="52"/>
      <c r="O404" s="52"/>
      <c r="P404" s="52"/>
      <c r="Q404" s="52"/>
      <c r="R404" s="52"/>
      <c r="S404" s="52"/>
      <c r="T404" s="52"/>
      <c r="U404" s="52"/>
      <c r="V404" s="52"/>
      <c r="W404" s="52"/>
      <c r="X404" s="52"/>
      <c r="Y404" s="52"/>
      <c r="Z404" s="52"/>
      <c r="AA404" s="52"/>
      <c r="AB404" s="52"/>
      <c r="AC404" s="52"/>
    </row>
    <row r="405">
      <c r="A405" s="52"/>
      <c r="B405" s="350"/>
      <c r="C405" s="52"/>
      <c r="D405" s="52"/>
      <c r="E405" s="52"/>
      <c r="F405" s="351"/>
      <c r="G405" s="52"/>
      <c r="H405" s="52"/>
      <c r="I405" s="52"/>
      <c r="J405" s="52"/>
      <c r="K405" s="52"/>
      <c r="L405" s="52"/>
      <c r="M405" s="52"/>
      <c r="N405" s="52"/>
      <c r="O405" s="52"/>
      <c r="P405" s="52"/>
      <c r="Q405" s="52"/>
      <c r="R405" s="52"/>
      <c r="S405" s="52"/>
      <c r="T405" s="52"/>
      <c r="U405" s="52"/>
      <c r="V405" s="52"/>
      <c r="W405" s="52"/>
      <c r="X405" s="52"/>
      <c r="Y405" s="52"/>
      <c r="Z405" s="52"/>
      <c r="AA405" s="52"/>
      <c r="AB405" s="52"/>
      <c r="AC405" s="52"/>
    </row>
    <row r="406">
      <c r="A406" s="52"/>
      <c r="B406" s="350"/>
      <c r="C406" s="52"/>
      <c r="D406" s="52"/>
      <c r="E406" s="52"/>
      <c r="F406" s="351"/>
      <c r="G406" s="52"/>
      <c r="H406" s="52"/>
      <c r="I406" s="52"/>
      <c r="J406" s="52"/>
      <c r="K406" s="52"/>
      <c r="L406" s="52"/>
      <c r="M406" s="52"/>
      <c r="N406" s="52"/>
      <c r="O406" s="52"/>
      <c r="P406" s="52"/>
      <c r="Q406" s="52"/>
      <c r="R406" s="52"/>
      <c r="S406" s="52"/>
      <c r="T406" s="52"/>
      <c r="U406" s="52"/>
      <c r="V406" s="52"/>
      <c r="W406" s="52"/>
      <c r="X406" s="52"/>
      <c r="Y406" s="52"/>
      <c r="Z406" s="52"/>
      <c r="AA406" s="52"/>
      <c r="AB406" s="52"/>
      <c r="AC406" s="52"/>
    </row>
    <row r="407">
      <c r="A407" s="52"/>
      <c r="B407" s="350"/>
      <c r="C407" s="52"/>
      <c r="D407" s="52"/>
      <c r="E407" s="52"/>
      <c r="F407" s="351"/>
      <c r="G407" s="52"/>
      <c r="H407" s="52"/>
      <c r="I407" s="52"/>
      <c r="J407" s="52"/>
      <c r="K407" s="52"/>
      <c r="L407" s="52"/>
      <c r="M407" s="52"/>
      <c r="N407" s="52"/>
      <c r="O407" s="52"/>
      <c r="P407" s="52"/>
      <c r="Q407" s="52"/>
      <c r="R407" s="52"/>
      <c r="S407" s="52"/>
      <c r="T407" s="52"/>
      <c r="U407" s="52"/>
      <c r="V407" s="52"/>
      <c r="W407" s="52"/>
      <c r="X407" s="52"/>
      <c r="Y407" s="52"/>
      <c r="Z407" s="52"/>
      <c r="AA407" s="52"/>
      <c r="AB407" s="52"/>
      <c r="AC407" s="52"/>
    </row>
    <row r="408">
      <c r="A408" s="52"/>
      <c r="B408" s="350"/>
      <c r="C408" s="52"/>
      <c r="D408" s="52"/>
      <c r="E408" s="52"/>
      <c r="F408" s="351"/>
      <c r="G408" s="52"/>
      <c r="H408" s="52"/>
      <c r="I408" s="52"/>
      <c r="J408" s="52"/>
      <c r="K408" s="52"/>
      <c r="L408" s="52"/>
      <c r="M408" s="52"/>
      <c r="N408" s="52"/>
      <c r="O408" s="52"/>
      <c r="P408" s="52"/>
      <c r="Q408" s="52"/>
      <c r="R408" s="52"/>
      <c r="S408" s="52"/>
      <c r="T408" s="52"/>
      <c r="U408" s="52"/>
      <c r="V408" s="52"/>
      <c r="W408" s="52"/>
      <c r="X408" s="52"/>
      <c r="Y408" s="52"/>
      <c r="Z408" s="52"/>
      <c r="AA408" s="52"/>
      <c r="AB408" s="52"/>
      <c r="AC408" s="52"/>
    </row>
    <row r="409">
      <c r="A409" s="52"/>
      <c r="B409" s="350"/>
      <c r="C409" s="52"/>
      <c r="D409" s="52"/>
      <c r="E409" s="52"/>
      <c r="F409" s="351"/>
      <c r="G409" s="52"/>
      <c r="H409" s="52"/>
      <c r="I409" s="52"/>
      <c r="J409" s="52"/>
      <c r="K409" s="52"/>
      <c r="L409" s="52"/>
      <c r="M409" s="52"/>
      <c r="N409" s="52"/>
      <c r="O409" s="52"/>
      <c r="P409" s="52"/>
      <c r="Q409" s="52"/>
      <c r="R409" s="52"/>
      <c r="S409" s="52"/>
      <c r="T409" s="52"/>
      <c r="U409" s="52"/>
      <c r="V409" s="52"/>
      <c r="W409" s="52"/>
      <c r="X409" s="52"/>
      <c r="Y409" s="52"/>
      <c r="Z409" s="52"/>
      <c r="AA409" s="52"/>
      <c r="AB409" s="52"/>
      <c r="AC409" s="52"/>
    </row>
    <row r="410">
      <c r="A410" s="52"/>
      <c r="B410" s="350"/>
      <c r="C410" s="52"/>
      <c r="D410" s="52"/>
      <c r="E410" s="52"/>
      <c r="F410" s="351"/>
      <c r="G410" s="52"/>
      <c r="H410" s="52"/>
      <c r="I410" s="52"/>
      <c r="J410" s="52"/>
      <c r="K410" s="52"/>
      <c r="L410" s="52"/>
      <c r="M410" s="52"/>
      <c r="N410" s="52"/>
      <c r="O410" s="52"/>
      <c r="P410" s="52"/>
      <c r="Q410" s="52"/>
      <c r="R410" s="52"/>
      <c r="S410" s="52"/>
      <c r="T410" s="52"/>
      <c r="U410" s="52"/>
      <c r="V410" s="52"/>
      <c r="W410" s="52"/>
      <c r="X410" s="52"/>
      <c r="Y410" s="52"/>
      <c r="Z410" s="52"/>
      <c r="AA410" s="52"/>
      <c r="AB410" s="52"/>
      <c r="AC410" s="52"/>
    </row>
    <row r="411">
      <c r="A411" s="52"/>
      <c r="B411" s="350"/>
      <c r="C411" s="52"/>
      <c r="D411" s="52"/>
      <c r="E411" s="52"/>
      <c r="F411" s="351"/>
      <c r="G411" s="52"/>
      <c r="H411" s="52"/>
      <c r="I411" s="52"/>
      <c r="J411" s="52"/>
      <c r="K411" s="52"/>
      <c r="L411" s="52"/>
      <c r="M411" s="52"/>
      <c r="N411" s="52"/>
      <c r="O411" s="52"/>
      <c r="P411" s="52"/>
      <c r="Q411" s="52"/>
      <c r="R411" s="52"/>
      <c r="S411" s="52"/>
      <c r="T411" s="52"/>
      <c r="U411" s="52"/>
      <c r="V411" s="52"/>
      <c r="W411" s="52"/>
      <c r="X411" s="52"/>
      <c r="Y411" s="52"/>
      <c r="Z411" s="52"/>
      <c r="AA411" s="52"/>
      <c r="AB411" s="52"/>
      <c r="AC411" s="52"/>
    </row>
    <row r="412">
      <c r="A412" s="52"/>
      <c r="B412" s="350"/>
      <c r="C412" s="52"/>
      <c r="D412" s="52"/>
      <c r="E412" s="52"/>
      <c r="F412" s="351"/>
      <c r="G412" s="52"/>
      <c r="H412" s="52"/>
      <c r="I412" s="52"/>
      <c r="J412" s="52"/>
      <c r="K412" s="52"/>
      <c r="L412" s="52"/>
      <c r="M412" s="52"/>
      <c r="N412" s="52"/>
      <c r="O412" s="52"/>
      <c r="P412" s="52"/>
      <c r="Q412" s="52"/>
      <c r="R412" s="52"/>
      <c r="S412" s="52"/>
      <c r="T412" s="52"/>
      <c r="U412" s="52"/>
      <c r="V412" s="52"/>
      <c r="W412" s="52"/>
      <c r="X412" s="52"/>
      <c r="Y412" s="52"/>
      <c r="Z412" s="52"/>
      <c r="AA412" s="52"/>
      <c r="AB412" s="52"/>
      <c r="AC412" s="52"/>
    </row>
    <row r="413">
      <c r="A413" s="52"/>
      <c r="B413" s="350"/>
      <c r="C413" s="52"/>
      <c r="D413" s="52"/>
      <c r="E413" s="52"/>
      <c r="F413" s="351"/>
      <c r="G413" s="52"/>
      <c r="H413" s="52"/>
      <c r="I413" s="52"/>
      <c r="J413" s="52"/>
      <c r="K413" s="52"/>
      <c r="L413" s="52"/>
      <c r="M413" s="52"/>
      <c r="N413" s="52"/>
      <c r="O413" s="52"/>
      <c r="P413" s="52"/>
      <c r="Q413" s="52"/>
      <c r="R413" s="52"/>
      <c r="S413" s="52"/>
      <c r="T413" s="52"/>
      <c r="U413" s="52"/>
      <c r="V413" s="52"/>
      <c r="W413" s="52"/>
      <c r="X413" s="52"/>
      <c r="Y413" s="52"/>
      <c r="Z413" s="52"/>
      <c r="AA413" s="52"/>
      <c r="AB413" s="52"/>
      <c r="AC413" s="52"/>
    </row>
    <row r="414">
      <c r="A414" s="52"/>
      <c r="B414" s="350"/>
      <c r="C414" s="52"/>
      <c r="D414" s="52"/>
      <c r="E414" s="52"/>
      <c r="F414" s="351"/>
      <c r="G414" s="52"/>
      <c r="H414" s="52"/>
      <c r="I414" s="52"/>
      <c r="J414" s="52"/>
      <c r="K414" s="52"/>
      <c r="L414" s="52"/>
      <c r="M414" s="52"/>
      <c r="N414" s="52"/>
      <c r="O414" s="52"/>
      <c r="P414" s="52"/>
      <c r="Q414" s="52"/>
      <c r="R414" s="52"/>
      <c r="S414" s="52"/>
      <c r="T414" s="52"/>
      <c r="U414" s="52"/>
      <c r="V414" s="52"/>
      <c r="W414" s="52"/>
      <c r="X414" s="52"/>
      <c r="Y414" s="52"/>
      <c r="Z414" s="52"/>
      <c r="AA414" s="52"/>
      <c r="AB414" s="52"/>
      <c r="AC414" s="52"/>
    </row>
    <row r="415">
      <c r="A415" s="52"/>
      <c r="B415" s="350"/>
      <c r="C415" s="52"/>
      <c r="D415" s="52"/>
      <c r="E415" s="52"/>
      <c r="F415" s="351"/>
      <c r="G415" s="52"/>
      <c r="H415" s="52"/>
      <c r="I415" s="52"/>
      <c r="J415" s="52"/>
      <c r="K415" s="52"/>
      <c r="L415" s="52"/>
      <c r="M415" s="52"/>
      <c r="N415" s="52"/>
      <c r="O415" s="52"/>
      <c r="P415" s="52"/>
      <c r="Q415" s="52"/>
      <c r="R415" s="52"/>
      <c r="S415" s="52"/>
      <c r="T415" s="52"/>
      <c r="U415" s="52"/>
      <c r="V415" s="52"/>
      <c r="W415" s="52"/>
      <c r="X415" s="52"/>
      <c r="Y415" s="52"/>
      <c r="Z415" s="52"/>
      <c r="AA415" s="52"/>
      <c r="AB415" s="52"/>
      <c r="AC415" s="52"/>
    </row>
    <row r="416">
      <c r="A416" s="52"/>
      <c r="B416" s="350"/>
      <c r="C416" s="52"/>
      <c r="D416" s="52"/>
      <c r="E416" s="52"/>
      <c r="F416" s="351"/>
      <c r="G416" s="52"/>
      <c r="H416" s="52"/>
      <c r="I416" s="52"/>
      <c r="J416" s="52"/>
      <c r="K416" s="52"/>
      <c r="L416" s="52"/>
      <c r="M416" s="52"/>
      <c r="N416" s="52"/>
      <c r="O416" s="52"/>
      <c r="P416" s="52"/>
      <c r="Q416" s="52"/>
      <c r="R416" s="52"/>
      <c r="S416" s="52"/>
      <c r="T416" s="52"/>
      <c r="U416" s="52"/>
      <c r="V416" s="52"/>
      <c r="W416" s="52"/>
      <c r="X416" s="52"/>
      <c r="Y416" s="52"/>
      <c r="Z416" s="52"/>
      <c r="AA416" s="52"/>
      <c r="AB416" s="52"/>
      <c r="AC416" s="52"/>
    </row>
    <row r="417">
      <c r="A417" s="52"/>
      <c r="B417" s="350"/>
      <c r="C417" s="52"/>
      <c r="D417" s="52"/>
      <c r="E417" s="52"/>
      <c r="F417" s="351"/>
      <c r="G417" s="52"/>
      <c r="H417" s="52"/>
      <c r="I417" s="52"/>
      <c r="J417" s="52"/>
      <c r="K417" s="52"/>
      <c r="L417" s="52"/>
      <c r="M417" s="52"/>
      <c r="N417" s="52"/>
      <c r="O417" s="52"/>
      <c r="P417" s="52"/>
      <c r="Q417" s="52"/>
      <c r="R417" s="52"/>
      <c r="S417" s="52"/>
      <c r="T417" s="52"/>
      <c r="U417" s="52"/>
      <c r="V417" s="52"/>
      <c r="W417" s="52"/>
      <c r="X417" s="52"/>
      <c r="Y417" s="52"/>
      <c r="Z417" s="52"/>
      <c r="AA417" s="52"/>
      <c r="AB417" s="52"/>
      <c r="AC417" s="52"/>
    </row>
    <row r="418">
      <c r="A418" s="52"/>
      <c r="B418" s="350"/>
      <c r="C418" s="52"/>
      <c r="D418" s="52"/>
      <c r="E418" s="52"/>
      <c r="F418" s="351"/>
      <c r="G418" s="52"/>
      <c r="H418" s="52"/>
      <c r="I418" s="52"/>
      <c r="J418" s="52"/>
      <c r="K418" s="52"/>
      <c r="L418" s="52"/>
      <c r="M418" s="52"/>
      <c r="N418" s="52"/>
      <c r="O418" s="52"/>
      <c r="P418" s="52"/>
      <c r="Q418" s="52"/>
      <c r="R418" s="52"/>
      <c r="S418" s="52"/>
      <c r="T418" s="52"/>
      <c r="U418" s="52"/>
      <c r="V418" s="52"/>
      <c r="W418" s="52"/>
      <c r="X418" s="52"/>
      <c r="Y418" s="52"/>
      <c r="Z418" s="52"/>
      <c r="AA418" s="52"/>
      <c r="AB418" s="52"/>
      <c r="AC418" s="52"/>
    </row>
    <row r="419">
      <c r="A419" s="52"/>
      <c r="B419" s="350"/>
      <c r="C419" s="52"/>
      <c r="D419" s="52"/>
      <c r="E419" s="52"/>
      <c r="F419" s="351"/>
      <c r="G419" s="52"/>
      <c r="H419" s="52"/>
      <c r="I419" s="52"/>
      <c r="J419" s="52"/>
      <c r="K419" s="52"/>
      <c r="L419" s="52"/>
      <c r="M419" s="52"/>
      <c r="N419" s="52"/>
      <c r="O419" s="52"/>
      <c r="P419" s="52"/>
      <c r="Q419" s="52"/>
      <c r="R419" s="52"/>
      <c r="S419" s="52"/>
      <c r="T419" s="52"/>
      <c r="U419" s="52"/>
      <c r="V419" s="52"/>
      <c r="W419" s="52"/>
      <c r="X419" s="52"/>
      <c r="Y419" s="52"/>
      <c r="Z419" s="52"/>
      <c r="AA419" s="52"/>
      <c r="AB419" s="52"/>
      <c r="AC419" s="52"/>
    </row>
    <row r="420">
      <c r="A420" s="52"/>
      <c r="B420" s="350"/>
      <c r="C420" s="52"/>
      <c r="D420" s="52"/>
      <c r="E420" s="52"/>
      <c r="F420" s="351"/>
      <c r="G420" s="52"/>
      <c r="H420" s="52"/>
      <c r="I420" s="52"/>
      <c r="J420" s="52"/>
      <c r="K420" s="52"/>
      <c r="L420" s="52"/>
      <c r="M420" s="52"/>
      <c r="N420" s="52"/>
      <c r="O420" s="52"/>
      <c r="P420" s="52"/>
      <c r="Q420" s="52"/>
      <c r="R420" s="52"/>
      <c r="S420" s="52"/>
      <c r="T420" s="52"/>
      <c r="U420" s="52"/>
      <c r="V420" s="52"/>
      <c r="W420" s="52"/>
      <c r="X420" s="52"/>
      <c r="Y420" s="52"/>
      <c r="Z420" s="52"/>
      <c r="AA420" s="52"/>
      <c r="AB420" s="52"/>
      <c r="AC420" s="52"/>
    </row>
    <row r="421">
      <c r="A421" s="52"/>
      <c r="B421" s="350"/>
      <c r="C421" s="52"/>
      <c r="D421" s="52"/>
      <c r="E421" s="52"/>
      <c r="F421" s="351"/>
      <c r="G421" s="52"/>
      <c r="H421" s="52"/>
      <c r="I421" s="52"/>
      <c r="J421" s="52"/>
      <c r="K421" s="52"/>
      <c r="L421" s="52"/>
      <c r="M421" s="52"/>
      <c r="N421" s="52"/>
      <c r="O421" s="52"/>
      <c r="P421" s="52"/>
      <c r="Q421" s="52"/>
      <c r="R421" s="52"/>
      <c r="S421" s="52"/>
      <c r="T421" s="52"/>
      <c r="U421" s="52"/>
      <c r="V421" s="52"/>
      <c r="W421" s="52"/>
      <c r="X421" s="52"/>
      <c r="Y421" s="52"/>
      <c r="Z421" s="52"/>
      <c r="AA421" s="52"/>
      <c r="AB421" s="52"/>
      <c r="AC421" s="52"/>
    </row>
    <row r="422">
      <c r="A422" s="52"/>
      <c r="B422" s="350"/>
      <c r="C422" s="52"/>
      <c r="D422" s="52"/>
      <c r="E422" s="52"/>
      <c r="F422" s="351"/>
      <c r="G422" s="52"/>
      <c r="H422" s="52"/>
      <c r="I422" s="52"/>
      <c r="J422" s="52"/>
      <c r="K422" s="52"/>
      <c r="L422" s="52"/>
      <c r="M422" s="52"/>
      <c r="N422" s="52"/>
      <c r="O422" s="52"/>
      <c r="P422" s="52"/>
      <c r="Q422" s="52"/>
      <c r="R422" s="52"/>
      <c r="S422" s="52"/>
      <c r="T422" s="52"/>
      <c r="U422" s="52"/>
      <c r="V422" s="52"/>
      <c r="W422" s="52"/>
      <c r="X422" s="52"/>
      <c r="Y422" s="52"/>
      <c r="Z422" s="52"/>
      <c r="AA422" s="52"/>
      <c r="AB422" s="52"/>
      <c r="AC422" s="52"/>
    </row>
    <row r="423">
      <c r="A423" s="52"/>
      <c r="B423" s="350"/>
      <c r="C423" s="52"/>
      <c r="D423" s="52"/>
      <c r="E423" s="52"/>
      <c r="F423" s="351"/>
      <c r="G423" s="52"/>
      <c r="H423" s="52"/>
      <c r="I423" s="52"/>
      <c r="J423" s="52"/>
      <c r="K423" s="52"/>
      <c r="L423" s="52"/>
      <c r="M423" s="52"/>
      <c r="N423" s="52"/>
      <c r="O423" s="52"/>
      <c r="P423" s="52"/>
      <c r="Q423" s="52"/>
      <c r="R423" s="52"/>
      <c r="S423" s="52"/>
      <c r="T423" s="52"/>
      <c r="U423" s="52"/>
      <c r="V423" s="52"/>
      <c r="W423" s="52"/>
      <c r="X423" s="52"/>
      <c r="Y423" s="52"/>
      <c r="Z423" s="52"/>
      <c r="AA423" s="52"/>
      <c r="AB423" s="52"/>
      <c r="AC423" s="52"/>
    </row>
    <row r="424">
      <c r="A424" s="52"/>
      <c r="B424" s="350"/>
      <c r="C424" s="52"/>
      <c r="D424" s="52"/>
      <c r="E424" s="52"/>
      <c r="F424" s="351"/>
      <c r="G424" s="52"/>
      <c r="H424" s="52"/>
      <c r="I424" s="52"/>
      <c r="J424" s="52"/>
      <c r="K424" s="52"/>
      <c r="L424" s="52"/>
      <c r="M424" s="52"/>
      <c r="N424" s="52"/>
      <c r="O424" s="52"/>
      <c r="P424" s="52"/>
      <c r="Q424" s="52"/>
      <c r="R424" s="52"/>
      <c r="S424" s="52"/>
      <c r="T424" s="52"/>
      <c r="U424" s="52"/>
      <c r="V424" s="52"/>
      <c r="W424" s="52"/>
      <c r="X424" s="52"/>
      <c r="Y424" s="52"/>
      <c r="Z424" s="52"/>
      <c r="AA424" s="52"/>
      <c r="AB424" s="52"/>
      <c r="AC424" s="52"/>
    </row>
    <row r="425">
      <c r="A425" s="52"/>
      <c r="B425" s="350"/>
      <c r="C425" s="52"/>
      <c r="D425" s="52"/>
      <c r="E425" s="52"/>
      <c r="F425" s="351"/>
      <c r="G425" s="52"/>
      <c r="H425" s="52"/>
      <c r="I425" s="52"/>
      <c r="J425" s="52"/>
      <c r="K425" s="52"/>
      <c r="L425" s="52"/>
      <c r="M425" s="52"/>
      <c r="N425" s="52"/>
      <c r="O425" s="52"/>
      <c r="P425" s="52"/>
      <c r="Q425" s="52"/>
      <c r="R425" s="52"/>
      <c r="S425" s="52"/>
      <c r="T425" s="52"/>
      <c r="U425" s="52"/>
      <c r="V425" s="52"/>
      <c r="W425" s="52"/>
      <c r="X425" s="52"/>
      <c r="Y425" s="52"/>
      <c r="Z425" s="52"/>
      <c r="AA425" s="52"/>
      <c r="AB425" s="52"/>
      <c r="AC425" s="52"/>
    </row>
    <row r="426">
      <c r="A426" s="52"/>
      <c r="B426" s="350"/>
      <c r="C426" s="52"/>
      <c r="D426" s="52"/>
      <c r="E426" s="52"/>
      <c r="F426" s="351"/>
      <c r="G426" s="52"/>
      <c r="H426" s="52"/>
      <c r="I426" s="52"/>
      <c r="J426" s="52"/>
      <c r="K426" s="52"/>
      <c r="L426" s="52"/>
      <c r="M426" s="52"/>
      <c r="N426" s="52"/>
      <c r="O426" s="52"/>
      <c r="P426" s="52"/>
      <c r="Q426" s="52"/>
      <c r="R426" s="52"/>
      <c r="S426" s="52"/>
      <c r="T426" s="52"/>
      <c r="U426" s="52"/>
      <c r="V426" s="52"/>
      <c r="W426" s="52"/>
      <c r="X426" s="52"/>
      <c r="Y426" s="52"/>
      <c r="Z426" s="52"/>
      <c r="AA426" s="52"/>
      <c r="AB426" s="52"/>
      <c r="AC426" s="52"/>
    </row>
    <row r="427">
      <c r="A427" s="52"/>
      <c r="B427" s="350"/>
      <c r="C427" s="52"/>
      <c r="D427" s="52"/>
      <c r="E427" s="52"/>
      <c r="F427" s="351"/>
      <c r="G427" s="52"/>
      <c r="H427" s="52"/>
      <c r="I427" s="52"/>
      <c r="J427" s="52"/>
      <c r="K427" s="52"/>
      <c r="L427" s="52"/>
      <c r="M427" s="52"/>
      <c r="N427" s="52"/>
      <c r="O427" s="52"/>
      <c r="P427" s="52"/>
      <c r="Q427" s="52"/>
      <c r="R427" s="52"/>
      <c r="S427" s="52"/>
      <c r="T427" s="52"/>
      <c r="U427" s="52"/>
      <c r="V427" s="52"/>
      <c r="W427" s="52"/>
      <c r="X427" s="52"/>
      <c r="Y427" s="52"/>
      <c r="Z427" s="52"/>
      <c r="AA427" s="52"/>
      <c r="AB427" s="52"/>
      <c r="AC427" s="52"/>
    </row>
    <row r="428">
      <c r="A428" s="52"/>
      <c r="B428" s="350"/>
      <c r="C428" s="52"/>
      <c r="D428" s="52"/>
      <c r="E428" s="52"/>
      <c r="F428" s="351"/>
      <c r="G428" s="52"/>
      <c r="H428" s="52"/>
      <c r="I428" s="52"/>
      <c r="J428" s="52"/>
      <c r="K428" s="52"/>
      <c r="L428" s="52"/>
      <c r="M428" s="52"/>
      <c r="N428" s="52"/>
      <c r="O428" s="52"/>
      <c r="P428" s="52"/>
      <c r="Q428" s="52"/>
      <c r="R428" s="52"/>
      <c r="S428" s="52"/>
      <c r="T428" s="52"/>
      <c r="U428" s="52"/>
      <c r="V428" s="52"/>
      <c r="W428" s="52"/>
      <c r="X428" s="52"/>
      <c r="Y428" s="52"/>
      <c r="Z428" s="52"/>
      <c r="AA428" s="52"/>
      <c r="AB428" s="52"/>
      <c r="AC428" s="52"/>
    </row>
    <row r="429">
      <c r="A429" s="52"/>
      <c r="B429" s="350"/>
      <c r="C429" s="52"/>
      <c r="D429" s="52"/>
      <c r="E429" s="52"/>
      <c r="F429" s="351"/>
      <c r="G429" s="52"/>
      <c r="H429" s="52"/>
      <c r="I429" s="52"/>
      <c r="J429" s="52"/>
      <c r="K429" s="52"/>
      <c r="L429" s="52"/>
      <c r="M429" s="52"/>
      <c r="N429" s="52"/>
      <c r="O429" s="52"/>
      <c r="P429" s="52"/>
      <c r="Q429" s="52"/>
      <c r="R429" s="52"/>
      <c r="S429" s="52"/>
      <c r="T429" s="52"/>
      <c r="U429" s="52"/>
      <c r="V429" s="52"/>
      <c r="W429" s="52"/>
      <c r="X429" s="52"/>
      <c r="Y429" s="52"/>
      <c r="Z429" s="52"/>
      <c r="AA429" s="52"/>
      <c r="AB429" s="52"/>
      <c r="AC429" s="52"/>
    </row>
    <row r="430">
      <c r="A430" s="52"/>
      <c r="B430" s="350"/>
      <c r="C430" s="52"/>
      <c r="D430" s="52"/>
      <c r="E430" s="52"/>
      <c r="F430" s="351"/>
      <c r="G430" s="52"/>
      <c r="H430" s="52"/>
      <c r="I430" s="52"/>
      <c r="J430" s="52"/>
      <c r="K430" s="52"/>
      <c r="L430" s="52"/>
      <c r="M430" s="52"/>
      <c r="N430" s="52"/>
      <c r="O430" s="52"/>
      <c r="P430" s="52"/>
      <c r="Q430" s="52"/>
      <c r="R430" s="52"/>
      <c r="S430" s="52"/>
      <c r="T430" s="52"/>
      <c r="U430" s="52"/>
      <c r="V430" s="52"/>
      <c r="W430" s="52"/>
      <c r="X430" s="52"/>
      <c r="Y430" s="52"/>
      <c r="Z430" s="52"/>
      <c r="AA430" s="52"/>
      <c r="AB430" s="52"/>
      <c r="AC430" s="52"/>
    </row>
    <row r="431">
      <c r="A431" s="52"/>
      <c r="B431" s="350"/>
      <c r="C431" s="52"/>
      <c r="D431" s="52"/>
      <c r="E431" s="52"/>
      <c r="F431" s="351"/>
      <c r="G431" s="52"/>
      <c r="H431" s="52"/>
      <c r="I431" s="52"/>
      <c r="J431" s="52"/>
      <c r="K431" s="52"/>
      <c r="L431" s="52"/>
      <c r="M431" s="52"/>
      <c r="N431" s="52"/>
      <c r="O431" s="52"/>
      <c r="P431" s="52"/>
      <c r="Q431" s="52"/>
      <c r="R431" s="52"/>
      <c r="S431" s="52"/>
      <c r="T431" s="52"/>
      <c r="U431" s="52"/>
      <c r="V431" s="52"/>
      <c r="W431" s="52"/>
      <c r="X431" s="52"/>
      <c r="Y431" s="52"/>
      <c r="Z431" s="52"/>
      <c r="AA431" s="52"/>
      <c r="AB431" s="52"/>
      <c r="AC431" s="52"/>
    </row>
    <row r="432">
      <c r="A432" s="52"/>
      <c r="B432" s="350"/>
      <c r="C432" s="52"/>
      <c r="D432" s="52"/>
      <c r="E432" s="52"/>
      <c r="F432" s="351"/>
      <c r="G432" s="52"/>
      <c r="H432" s="52"/>
      <c r="I432" s="52"/>
      <c r="J432" s="52"/>
      <c r="K432" s="52"/>
      <c r="L432" s="52"/>
      <c r="M432" s="52"/>
      <c r="N432" s="52"/>
      <c r="O432" s="52"/>
      <c r="P432" s="52"/>
      <c r="Q432" s="52"/>
      <c r="R432" s="52"/>
      <c r="S432" s="52"/>
      <c r="T432" s="52"/>
      <c r="U432" s="52"/>
      <c r="V432" s="52"/>
      <c r="W432" s="52"/>
      <c r="X432" s="52"/>
      <c r="Y432" s="52"/>
      <c r="Z432" s="52"/>
      <c r="AA432" s="52"/>
      <c r="AB432" s="52"/>
      <c r="AC432" s="52"/>
    </row>
    <row r="433">
      <c r="A433" s="52"/>
      <c r="B433" s="350"/>
      <c r="C433" s="52"/>
      <c r="D433" s="52"/>
      <c r="E433" s="52"/>
      <c r="F433" s="351"/>
      <c r="G433" s="52"/>
      <c r="H433" s="52"/>
      <c r="I433" s="52"/>
      <c r="J433" s="52"/>
      <c r="K433" s="52"/>
      <c r="L433" s="52"/>
      <c r="M433" s="52"/>
      <c r="N433" s="52"/>
      <c r="O433" s="52"/>
      <c r="P433" s="52"/>
      <c r="Q433" s="52"/>
      <c r="R433" s="52"/>
      <c r="S433" s="52"/>
      <c r="T433" s="52"/>
      <c r="U433" s="52"/>
      <c r="V433" s="52"/>
      <c r="W433" s="52"/>
      <c r="X433" s="52"/>
      <c r="Y433" s="52"/>
      <c r="Z433" s="52"/>
      <c r="AA433" s="52"/>
      <c r="AB433" s="52"/>
      <c r="AC433" s="52"/>
    </row>
    <row r="434">
      <c r="A434" s="52"/>
      <c r="B434" s="350"/>
      <c r="C434" s="52"/>
      <c r="D434" s="52"/>
      <c r="E434" s="52"/>
      <c r="F434" s="351"/>
      <c r="G434" s="52"/>
      <c r="H434" s="52"/>
      <c r="I434" s="52"/>
      <c r="J434" s="52"/>
      <c r="K434" s="52"/>
      <c r="L434" s="52"/>
      <c r="M434" s="52"/>
      <c r="N434" s="52"/>
      <c r="O434" s="52"/>
      <c r="P434" s="52"/>
      <c r="Q434" s="52"/>
      <c r="R434" s="52"/>
      <c r="S434" s="52"/>
      <c r="T434" s="52"/>
      <c r="U434" s="52"/>
      <c r="V434" s="52"/>
      <c r="W434" s="52"/>
      <c r="X434" s="52"/>
      <c r="Y434" s="52"/>
      <c r="Z434" s="52"/>
      <c r="AA434" s="52"/>
      <c r="AB434" s="52"/>
      <c r="AC434" s="52"/>
    </row>
    <row r="435">
      <c r="A435" s="52"/>
      <c r="B435" s="350"/>
      <c r="C435" s="52"/>
      <c r="D435" s="52"/>
      <c r="E435" s="52"/>
      <c r="F435" s="351"/>
      <c r="G435" s="52"/>
      <c r="H435" s="52"/>
      <c r="I435" s="52"/>
      <c r="J435" s="52"/>
      <c r="K435" s="52"/>
      <c r="L435" s="52"/>
      <c r="M435" s="52"/>
      <c r="N435" s="52"/>
      <c r="O435" s="52"/>
      <c r="P435" s="52"/>
      <c r="Q435" s="52"/>
      <c r="R435" s="52"/>
      <c r="S435" s="52"/>
      <c r="T435" s="52"/>
      <c r="U435" s="52"/>
      <c r="V435" s="52"/>
      <c r="W435" s="52"/>
      <c r="X435" s="52"/>
      <c r="Y435" s="52"/>
      <c r="Z435" s="52"/>
      <c r="AA435" s="52"/>
      <c r="AB435" s="52"/>
      <c r="AC435" s="52"/>
    </row>
    <row r="436">
      <c r="A436" s="52"/>
      <c r="B436" s="350"/>
      <c r="C436" s="52"/>
      <c r="D436" s="52"/>
      <c r="E436" s="52"/>
      <c r="F436" s="351"/>
      <c r="G436" s="52"/>
      <c r="H436" s="52"/>
      <c r="I436" s="52"/>
      <c r="J436" s="52"/>
      <c r="K436" s="52"/>
      <c r="L436" s="52"/>
      <c r="M436" s="52"/>
      <c r="N436" s="52"/>
      <c r="O436" s="52"/>
      <c r="P436" s="52"/>
      <c r="Q436" s="52"/>
      <c r="R436" s="52"/>
      <c r="S436" s="52"/>
      <c r="T436" s="52"/>
      <c r="U436" s="52"/>
      <c r="V436" s="52"/>
      <c r="W436" s="52"/>
      <c r="X436" s="52"/>
      <c r="Y436" s="52"/>
      <c r="Z436" s="52"/>
      <c r="AA436" s="52"/>
      <c r="AB436" s="52"/>
      <c r="AC436" s="52"/>
    </row>
    <row r="437">
      <c r="A437" s="52"/>
      <c r="B437" s="350"/>
      <c r="C437" s="52"/>
      <c r="D437" s="52"/>
      <c r="E437" s="52"/>
      <c r="F437" s="351"/>
      <c r="G437" s="52"/>
      <c r="H437" s="52"/>
      <c r="I437" s="52"/>
      <c r="J437" s="52"/>
      <c r="K437" s="52"/>
      <c r="L437" s="52"/>
      <c r="M437" s="52"/>
      <c r="N437" s="52"/>
      <c r="O437" s="52"/>
      <c r="P437" s="52"/>
      <c r="Q437" s="52"/>
      <c r="R437" s="52"/>
      <c r="S437" s="52"/>
      <c r="T437" s="52"/>
      <c r="U437" s="52"/>
      <c r="V437" s="52"/>
      <c r="W437" s="52"/>
      <c r="X437" s="52"/>
      <c r="Y437" s="52"/>
      <c r="Z437" s="52"/>
      <c r="AA437" s="52"/>
      <c r="AB437" s="52"/>
      <c r="AC437" s="52"/>
    </row>
    <row r="438">
      <c r="A438" s="52"/>
      <c r="B438" s="350"/>
      <c r="C438" s="52"/>
      <c r="D438" s="52"/>
      <c r="E438" s="52"/>
      <c r="F438" s="351"/>
      <c r="G438" s="52"/>
      <c r="H438" s="52"/>
      <c r="I438" s="52"/>
      <c r="J438" s="52"/>
      <c r="K438" s="52"/>
      <c r="L438" s="52"/>
      <c r="M438" s="52"/>
      <c r="N438" s="52"/>
      <c r="O438" s="52"/>
      <c r="P438" s="52"/>
      <c r="Q438" s="52"/>
      <c r="R438" s="52"/>
      <c r="S438" s="52"/>
      <c r="T438" s="52"/>
      <c r="U438" s="52"/>
      <c r="V438" s="52"/>
      <c r="W438" s="52"/>
      <c r="X438" s="52"/>
      <c r="Y438" s="52"/>
      <c r="Z438" s="52"/>
      <c r="AA438" s="52"/>
      <c r="AB438" s="52"/>
      <c r="AC438" s="52"/>
    </row>
    <row r="439">
      <c r="A439" s="52"/>
      <c r="B439" s="350"/>
      <c r="C439" s="52"/>
      <c r="D439" s="52"/>
      <c r="E439" s="52"/>
      <c r="F439" s="351"/>
      <c r="G439" s="52"/>
      <c r="H439" s="52"/>
      <c r="I439" s="52"/>
      <c r="J439" s="52"/>
      <c r="K439" s="52"/>
      <c r="L439" s="52"/>
      <c r="M439" s="52"/>
      <c r="N439" s="52"/>
      <c r="O439" s="52"/>
      <c r="P439" s="52"/>
      <c r="Q439" s="52"/>
      <c r="R439" s="52"/>
      <c r="S439" s="52"/>
      <c r="T439" s="52"/>
      <c r="U439" s="52"/>
      <c r="V439" s="52"/>
      <c r="W439" s="52"/>
      <c r="X439" s="52"/>
      <c r="Y439" s="52"/>
      <c r="Z439" s="52"/>
      <c r="AA439" s="52"/>
      <c r="AB439" s="52"/>
      <c r="AC439" s="52"/>
    </row>
    <row r="440">
      <c r="A440" s="52"/>
      <c r="B440" s="350"/>
      <c r="C440" s="52"/>
      <c r="D440" s="52"/>
      <c r="E440" s="52"/>
      <c r="F440" s="351"/>
      <c r="G440" s="52"/>
      <c r="H440" s="52"/>
      <c r="I440" s="52"/>
      <c r="J440" s="52"/>
      <c r="K440" s="52"/>
      <c r="L440" s="52"/>
      <c r="M440" s="52"/>
      <c r="N440" s="52"/>
      <c r="O440" s="52"/>
      <c r="P440" s="52"/>
      <c r="Q440" s="52"/>
      <c r="R440" s="52"/>
      <c r="S440" s="52"/>
      <c r="T440" s="52"/>
      <c r="U440" s="52"/>
      <c r="V440" s="52"/>
      <c r="W440" s="52"/>
      <c r="X440" s="52"/>
      <c r="Y440" s="52"/>
      <c r="Z440" s="52"/>
      <c r="AA440" s="52"/>
      <c r="AB440" s="52"/>
      <c r="AC440" s="52"/>
    </row>
    <row r="441">
      <c r="A441" s="52"/>
      <c r="B441" s="350"/>
      <c r="C441" s="52"/>
      <c r="D441" s="52"/>
      <c r="E441" s="52"/>
      <c r="F441" s="351"/>
      <c r="G441" s="52"/>
      <c r="H441" s="52"/>
      <c r="I441" s="52"/>
      <c r="J441" s="52"/>
      <c r="K441" s="52"/>
      <c r="L441" s="52"/>
      <c r="M441" s="52"/>
      <c r="N441" s="52"/>
      <c r="O441" s="52"/>
      <c r="P441" s="52"/>
      <c r="Q441" s="52"/>
      <c r="R441" s="52"/>
      <c r="S441" s="52"/>
      <c r="T441" s="52"/>
      <c r="U441" s="52"/>
      <c r="V441" s="52"/>
      <c r="W441" s="52"/>
      <c r="X441" s="52"/>
      <c r="Y441" s="52"/>
      <c r="Z441" s="52"/>
      <c r="AA441" s="52"/>
      <c r="AB441" s="52"/>
      <c r="AC441" s="52"/>
    </row>
    <row r="442">
      <c r="A442" s="52"/>
      <c r="B442" s="350"/>
      <c r="C442" s="52"/>
      <c r="D442" s="52"/>
      <c r="E442" s="52"/>
      <c r="F442" s="351"/>
      <c r="G442" s="52"/>
      <c r="H442" s="52"/>
      <c r="I442" s="52"/>
      <c r="J442" s="52"/>
      <c r="K442" s="52"/>
      <c r="L442" s="52"/>
      <c r="M442" s="52"/>
      <c r="N442" s="52"/>
      <c r="O442" s="52"/>
      <c r="P442" s="52"/>
      <c r="Q442" s="52"/>
      <c r="R442" s="52"/>
      <c r="S442" s="52"/>
      <c r="T442" s="52"/>
      <c r="U442" s="52"/>
      <c r="V442" s="52"/>
      <c r="W442" s="52"/>
      <c r="X442" s="52"/>
      <c r="Y442" s="52"/>
      <c r="Z442" s="52"/>
      <c r="AA442" s="52"/>
      <c r="AB442" s="52"/>
      <c r="AC442" s="52"/>
    </row>
    <row r="443">
      <c r="A443" s="52"/>
      <c r="B443" s="350"/>
      <c r="C443" s="52"/>
      <c r="D443" s="52"/>
      <c r="E443" s="52"/>
      <c r="F443" s="351"/>
      <c r="G443" s="52"/>
      <c r="H443" s="52"/>
      <c r="I443" s="52"/>
      <c r="J443" s="52"/>
      <c r="K443" s="52"/>
      <c r="L443" s="52"/>
      <c r="M443" s="52"/>
      <c r="N443" s="52"/>
      <c r="O443" s="52"/>
      <c r="P443" s="52"/>
      <c r="Q443" s="52"/>
      <c r="R443" s="52"/>
      <c r="S443" s="52"/>
      <c r="T443" s="52"/>
      <c r="U443" s="52"/>
      <c r="V443" s="52"/>
      <c r="W443" s="52"/>
      <c r="X443" s="52"/>
      <c r="Y443" s="52"/>
      <c r="Z443" s="52"/>
      <c r="AA443" s="52"/>
      <c r="AB443" s="52"/>
      <c r="AC443" s="52"/>
    </row>
    <row r="444">
      <c r="A444" s="52"/>
      <c r="B444" s="350"/>
      <c r="C444" s="52"/>
      <c r="D444" s="52"/>
      <c r="E444" s="52"/>
      <c r="F444" s="351"/>
      <c r="G444" s="52"/>
      <c r="H444" s="52"/>
      <c r="I444" s="52"/>
      <c r="J444" s="52"/>
      <c r="K444" s="52"/>
      <c r="L444" s="52"/>
      <c r="M444" s="52"/>
      <c r="N444" s="52"/>
      <c r="O444" s="52"/>
      <c r="P444" s="52"/>
      <c r="Q444" s="52"/>
      <c r="R444" s="52"/>
      <c r="S444" s="52"/>
      <c r="T444" s="52"/>
      <c r="U444" s="52"/>
      <c r="V444" s="52"/>
      <c r="W444" s="52"/>
      <c r="X444" s="52"/>
      <c r="Y444" s="52"/>
      <c r="Z444" s="52"/>
      <c r="AA444" s="52"/>
      <c r="AB444" s="52"/>
      <c r="AC444" s="52"/>
    </row>
    <row r="445">
      <c r="A445" s="52"/>
      <c r="B445" s="350"/>
      <c r="C445" s="52"/>
      <c r="D445" s="52"/>
      <c r="E445" s="52"/>
      <c r="F445" s="351"/>
      <c r="G445" s="52"/>
      <c r="H445" s="52"/>
      <c r="I445" s="52"/>
      <c r="J445" s="52"/>
      <c r="K445" s="52"/>
      <c r="L445" s="52"/>
      <c r="M445" s="52"/>
      <c r="N445" s="52"/>
      <c r="O445" s="52"/>
      <c r="P445" s="52"/>
      <c r="Q445" s="52"/>
      <c r="R445" s="52"/>
      <c r="S445" s="52"/>
      <c r="T445" s="52"/>
      <c r="U445" s="52"/>
      <c r="V445" s="52"/>
      <c r="W445" s="52"/>
      <c r="X445" s="52"/>
      <c r="Y445" s="52"/>
      <c r="Z445" s="52"/>
      <c r="AA445" s="52"/>
      <c r="AB445" s="52"/>
      <c r="AC445" s="52"/>
    </row>
    <row r="446">
      <c r="A446" s="52"/>
      <c r="B446" s="350"/>
      <c r="C446" s="52"/>
      <c r="D446" s="52"/>
      <c r="E446" s="52"/>
      <c r="F446" s="351"/>
      <c r="G446" s="52"/>
      <c r="H446" s="52"/>
      <c r="I446" s="52"/>
      <c r="J446" s="52"/>
      <c r="K446" s="52"/>
      <c r="L446" s="52"/>
      <c r="M446" s="52"/>
      <c r="N446" s="52"/>
      <c r="O446" s="52"/>
      <c r="P446" s="52"/>
      <c r="Q446" s="52"/>
      <c r="R446" s="52"/>
      <c r="S446" s="52"/>
      <c r="T446" s="52"/>
      <c r="U446" s="52"/>
      <c r="V446" s="52"/>
      <c r="W446" s="52"/>
      <c r="X446" s="52"/>
      <c r="Y446" s="52"/>
      <c r="Z446" s="52"/>
      <c r="AA446" s="52"/>
      <c r="AB446" s="52"/>
      <c r="AC446" s="52"/>
    </row>
    <row r="447">
      <c r="A447" s="52"/>
      <c r="B447" s="350"/>
      <c r="C447" s="52"/>
      <c r="D447" s="52"/>
      <c r="E447" s="52"/>
      <c r="F447" s="351"/>
      <c r="G447" s="52"/>
      <c r="H447" s="52"/>
      <c r="I447" s="52"/>
      <c r="J447" s="52"/>
      <c r="K447" s="52"/>
      <c r="L447" s="52"/>
      <c r="M447" s="52"/>
      <c r="N447" s="52"/>
      <c r="O447" s="52"/>
      <c r="P447" s="52"/>
      <c r="Q447" s="52"/>
      <c r="R447" s="52"/>
      <c r="S447" s="52"/>
      <c r="T447" s="52"/>
      <c r="U447" s="52"/>
      <c r="V447" s="52"/>
      <c r="W447" s="52"/>
      <c r="X447" s="52"/>
      <c r="Y447" s="52"/>
      <c r="Z447" s="52"/>
      <c r="AA447" s="52"/>
      <c r="AB447" s="52"/>
      <c r="AC447" s="52"/>
    </row>
    <row r="448">
      <c r="A448" s="52"/>
      <c r="B448" s="350"/>
      <c r="C448" s="52"/>
      <c r="D448" s="52"/>
      <c r="E448" s="52"/>
      <c r="F448" s="351"/>
      <c r="G448" s="52"/>
      <c r="H448" s="52"/>
      <c r="I448" s="52"/>
      <c r="J448" s="52"/>
      <c r="K448" s="52"/>
      <c r="L448" s="52"/>
      <c r="M448" s="52"/>
      <c r="N448" s="52"/>
      <c r="O448" s="52"/>
      <c r="P448" s="52"/>
      <c r="Q448" s="52"/>
      <c r="R448" s="52"/>
      <c r="S448" s="52"/>
      <c r="T448" s="52"/>
      <c r="U448" s="52"/>
      <c r="V448" s="52"/>
      <c r="W448" s="52"/>
      <c r="X448" s="52"/>
      <c r="Y448" s="52"/>
      <c r="Z448" s="52"/>
      <c r="AA448" s="52"/>
      <c r="AB448" s="52"/>
      <c r="AC448" s="52"/>
    </row>
    <row r="449">
      <c r="A449" s="52"/>
      <c r="B449" s="350"/>
      <c r="C449" s="52"/>
      <c r="D449" s="52"/>
      <c r="E449" s="52"/>
      <c r="F449" s="351"/>
      <c r="G449" s="52"/>
      <c r="H449" s="52"/>
      <c r="I449" s="52"/>
      <c r="J449" s="52"/>
      <c r="K449" s="52"/>
      <c r="L449" s="52"/>
      <c r="M449" s="52"/>
      <c r="N449" s="52"/>
      <c r="O449" s="52"/>
      <c r="P449" s="52"/>
      <c r="Q449" s="52"/>
      <c r="R449" s="52"/>
      <c r="S449" s="52"/>
      <c r="T449" s="52"/>
      <c r="U449" s="52"/>
      <c r="V449" s="52"/>
      <c r="W449" s="52"/>
      <c r="X449" s="52"/>
      <c r="Y449" s="52"/>
      <c r="Z449" s="52"/>
      <c r="AA449" s="52"/>
      <c r="AB449" s="52"/>
      <c r="AC449" s="52"/>
    </row>
    <row r="450">
      <c r="A450" s="52"/>
      <c r="B450" s="350"/>
      <c r="C450" s="52"/>
      <c r="D450" s="52"/>
      <c r="E450" s="52"/>
      <c r="F450" s="351"/>
      <c r="G450" s="52"/>
      <c r="H450" s="52"/>
      <c r="I450" s="52"/>
      <c r="J450" s="52"/>
      <c r="K450" s="52"/>
      <c r="L450" s="52"/>
      <c r="M450" s="52"/>
      <c r="N450" s="52"/>
      <c r="O450" s="52"/>
      <c r="P450" s="52"/>
      <c r="Q450" s="52"/>
      <c r="R450" s="52"/>
      <c r="S450" s="52"/>
      <c r="T450" s="52"/>
      <c r="U450" s="52"/>
      <c r="V450" s="52"/>
      <c r="W450" s="52"/>
      <c r="X450" s="52"/>
      <c r="Y450" s="52"/>
      <c r="Z450" s="52"/>
      <c r="AA450" s="52"/>
      <c r="AB450" s="52"/>
      <c r="AC450" s="52"/>
    </row>
    <row r="451">
      <c r="A451" s="52"/>
      <c r="B451" s="350"/>
      <c r="C451" s="52"/>
      <c r="D451" s="52"/>
      <c r="E451" s="52"/>
      <c r="F451" s="351"/>
      <c r="G451" s="52"/>
      <c r="H451" s="52"/>
      <c r="I451" s="52"/>
      <c r="J451" s="52"/>
      <c r="K451" s="52"/>
      <c r="L451" s="52"/>
      <c r="M451" s="52"/>
      <c r="N451" s="52"/>
      <c r="O451" s="52"/>
      <c r="P451" s="52"/>
      <c r="Q451" s="52"/>
      <c r="R451" s="52"/>
      <c r="S451" s="52"/>
      <c r="T451" s="52"/>
      <c r="U451" s="52"/>
      <c r="V451" s="52"/>
      <c r="W451" s="52"/>
      <c r="X451" s="52"/>
      <c r="Y451" s="52"/>
      <c r="Z451" s="52"/>
      <c r="AA451" s="52"/>
      <c r="AB451" s="52"/>
      <c r="AC451" s="52"/>
    </row>
    <row r="452">
      <c r="A452" s="52"/>
      <c r="B452" s="350"/>
      <c r="C452" s="52"/>
      <c r="D452" s="52"/>
      <c r="E452" s="52"/>
      <c r="F452" s="351"/>
      <c r="G452" s="52"/>
      <c r="H452" s="52"/>
      <c r="I452" s="52"/>
      <c r="J452" s="52"/>
      <c r="K452" s="52"/>
      <c r="L452" s="52"/>
      <c r="M452" s="52"/>
      <c r="N452" s="52"/>
      <c r="O452" s="52"/>
      <c r="P452" s="52"/>
      <c r="Q452" s="52"/>
      <c r="R452" s="52"/>
      <c r="S452" s="52"/>
      <c r="T452" s="52"/>
      <c r="U452" s="52"/>
      <c r="V452" s="52"/>
      <c r="W452" s="52"/>
      <c r="X452" s="52"/>
      <c r="Y452" s="52"/>
      <c r="Z452" s="52"/>
      <c r="AA452" s="52"/>
      <c r="AB452" s="52"/>
      <c r="AC452" s="52"/>
    </row>
    <row r="453">
      <c r="A453" s="52"/>
      <c r="B453" s="350"/>
      <c r="C453" s="52"/>
      <c r="D453" s="52"/>
      <c r="E453" s="52"/>
      <c r="F453" s="351"/>
      <c r="G453" s="52"/>
      <c r="H453" s="52"/>
      <c r="I453" s="52"/>
      <c r="J453" s="52"/>
      <c r="K453" s="52"/>
      <c r="L453" s="52"/>
      <c r="M453" s="52"/>
      <c r="N453" s="52"/>
      <c r="O453" s="52"/>
      <c r="P453" s="52"/>
      <c r="Q453" s="52"/>
      <c r="R453" s="52"/>
      <c r="S453" s="52"/>
      <c r="T453" s="52"/>
      <c r="U453" s="52"/>
      <c r="V453" s="52"/>
      <c r="W453" s="52"/>
      <c r="X453" s="52"/>
      <c r="Y453" s="52"/>
      <c r="Z453" s="52"/>
      <c r="AA453" s="52"/>
      <c r="AB453" s="52"/>
      <c r="AC453" s="52"/>
    </row>
    <row r="454">
      <c r="A454" s="52"/>
      <c r="B454" s="350"/>
      <c r="C454" s="52"/>
      <c r="D454" s="52"/>
      <c r="E454" s="52"/>
      <c r="F454" s="351"/>
      <c r="G454" s="52"/>
      <c r="H454" s="52"/>
      <c r="I454" s="52"/>
      <c r="J454" s="52"/>
      <c r="K454" s="52"/>
      <c r="L454" s="52"/>
      <c r="M454" s="52"/>
      <c r="N454" s="52"/>
      <c r="O454" s="52"/>
      <c r="P454" s="52"/>
      <c r="Q454" s="52"/>
      <c r="R454" s="52"/>
      <c r="S454" s="52"/>
      <c r="T454" s="52"/>
      <c r="U454" s="52"/>
      <c r="V454" s="52"/>
      <c r="W454" s="52"/>
      <c r="X454" s="52"/>
      <c r="Y454" s="52"/>
      <c r="Z454" s="52"/>
      <c r="AA454" s="52"/>
      <c r="AB454" s="52"/>
      <c r="AC454" s="52"/>
    </row>
    <row r="455">
      <c r="A455" s="52"/>
      <c r="B455" s="350"/>
      <c r="C455" s="52"/>
      <c r="D455" s="52"/>
      <c r="E455" s="52"/>
      <c r="F455" s="351"/>
      <c r="G455" s="52"/>
      <c r="H455" s="52"/>
      <c r="I455" s="52"/>
      <c r="J455" s="52"/>
      <c r="K455" s="52"/>
      <c r="L455" s="52"/>
      <c r="M455" s="52"/>
      <c r="N455" s="52"/>
      <c r="O455" s="52"/>
      <c r="P455" s="52"/>
      <c r="Q455" s="52"/>
      <c r="R455" s="52"/>
      <c r="S455" s="52"/>
      <c r="T455" s="52"/>
      <c r="U455" s="52"/>
      <c r="V455" s="52"/>
      <c r="W455" s="52"/>
      <c r="X455" s="52"/>
      <c r="Y455" s="52"/>
      <c r="Z455" s="52"/>
      <c r="AA455" s="52"/>
      <c r="AB455" s="52"/>
      <c r="AC455" s="52"/>
    </row>
    <row r="456">
      <c r="A456" s="52"/>
      <c r="B456" s="350"/>
      <c r="C456" s="52"/>
      <c r="D456" s="52"/>
      <c r="E456" s="52"/>
      <c r="F456" s="351"/>
      <c r="G456" s="52"/>
      <c r="H456" s="52"/>
      <c r="I456" s="52"/>
      <c r="J456" s="52"/>
      <c r="K456" s="52"/>
      <c r="L456" s="52"/>
      <c r="M456" s="52"/>
      <c r="N456" s="52"/>
      <c r="O456" s="52"/>
      <c r="P456" s="52"/>
      <c r="Q456" s="52"/>
      <c r="R456" s="52"/>
      <c r="S456" s="52"/>
      <c r="T456" s="52"/>
      <c r="U456" s="52"/>
      <c r="V456" s="52"/>
      <c r="W456" s="52"/>
      <c r="X456" s="52"/>
      <c r="Y456" s="52"/>
      <c r="Z456" s="52"/>
      <c r="AA456" s="52"/>
      <c r="AB456" s="52"/>
      <c r="AC456" s="52"/>
    </row>
    <row r="457">
      <c r="A457" s="52"/>
      <c r="B457" s="350"/>
      <c r="C457" s="52"/>
      <c r="D457" s="52"/>
      <c r="E457" s="52"/>
      <c r="F457" s="351"/>
      <c r="G457" s="52"/>
      <c r="H457" s="52"/>
      <c r="I457" s="52"/>
      <c r="J457" s="52"/>
      <c r="K457" s="52"/>
      <c r="L457" s="52"/>
      <c r="M457" s="52"/>
      <c r="N457" s="52"/>
      <c r="O457" s="52"/>
      <c r="P457" s="52"/>
      <c r="Q457" s="52"/>
      <c r="R457" s="52"/>
      <c r="S457" s="52"/>
      <c r="T457" s="52"/>
      <c r="U457" s="52"/>
      <c r="V457" s="52"/>
      <c r="W457" s="52"/>
      <c r="X457" s="52"/>
      <c r="Y457" s="52"/>
      <c r="Z457" s="52"/>
      <c r="AA457" s="52"/>
      <c r="AB457" s="52"/>
      <c r="AC457" s="52"/>
    </row>
    <row r="458">
      <c r="A458" s="52"/>
      <c r="B458" s="350"/>
      <c r="C458" s="52"/>
      <c r="D458" s="52"/>
      <c r="E458" s="52"/>
      <c r="F458" s="351"/>
      <c r="G458" s="52"/>
      <c r="H458" s="52"/>
      <c r="I458" s="52"/>
      <c r="J458" s="52"/>
      <c r="K458" s="52"/>
      <c r="L458" s="52"/>
      <c r="M458" s="52"/>
      <c r="N458" s="52"/>
      <c r="O458" s="52"/>
      <c r="P458" s="52"/>
      <c r="Q458" s="52"/>
      <c r="R458" s="52"/>
      <c r="S458" s="52"/>
      <c r="T458" s="52"/>
      <c r="U458" s="52"/>
      <c r="V458" s="52"/>
      <c r="W458" s="52"/>
      <c r="X458" s="52"/>
      <c r="Y458" s="52"/>
      <c r="Z458" s="52"/>
      <c r="AA458" s="52"/>
      <c r="AB458" s="52"/>
      <c r="AC458" s="52"/>
    </row>
    <row r="459">
      <c r="A459" s="52"/>
      <c r="B459" s="350"/>
      <c r="C459" s="52"/>
      <c r="D459" s="52"/>
      <c r="E459" s="52"/>
      <c r="F459" s="351"/>
      <c r="G459" s="52"/>
      <c r="H459" s="52"/>
      <c r="I459" s="52"/>
      <c r="J459" s="52"/>
      <c r="K459" s="52"/>
      <c r="L459" s="52"/>
      <c r="M459" s="52"/>
      <c r="N459" s="52"/>
      <c r="O459" s="52"/>
      <c r="P459" s="52"/>
      <c r="Q459" s="52"/>
      <c r="R459" s="52"/>
      <c r="S459" s="52"/>
      <c r="T459" s="52"/>
      <c r="U459" s="52"/>
      <c r="V459" s="52"/>
      <c r="W459" s="52"/>
      <c r="X459" s="52"/>
      <c r="Y459" s="52"/>
      <c r="Z459" s="52"/>
      <c r="AA459" s="52"/>
      <c r="AB459" s="52"/>
      <c r="AC459" s="52"/>
    </row>
    <row r="460">
      <c r="A460" s="52"/>
      <c r="B460" s="350"/>
      <c r="C460" s="52"/>
      <c r="D460" s="52"/>
      <c r="E460" s="52"/>
      <c r="F460" s="351"/>
      <c r="G460" s="52"/>
      <c r="H460" s="52"/>
      <c r="I460" s="52"/>
      <c r="J460" s="52"/>
      <c r="K460" s="52"/>
      <c r="L460" s="52"/>
      <c r="M460" s="52"/>
      <c r="N460" s="52"/>
      <c r="O460" s="52"/>
      <c r="P460" s="52"/>
      <c r="Q460" s="52"/>
      <c r="R460" s="52"/>
      <c r="S460" s="52"/>
      <c r="T460" s="52"/>
      <c r="U460" s="52"/>
      <c r="V460" s="52"/>
      <c r="W460" s="52"/>
      <c r="X460" s="52"/>
      <c r="Y460" s="52"/>
      <c r="Z460" s="52"/>
      <c r="AA460" s="52"/>
      <c r="AB460" s="52"/>
      <c r="AC460" s="52"/>
    </row>
    <row r="461">
      <c r="A461" s="52"/>
      <c r="B461" s="350"/>
      <c r="C461" s="52"/>
      <c r="D461" s="52"/>
      <c r="E461" s="52"/>
      <c r="F461" s="351"/>
      <c r="G461" s="52"/>
      <c r="H461" s="52"/>
      <c r="I461" s="52"/>
      <c r="J461" s="52"/>
      <c r="K461" s="52"/>
      <c r="L461" s="52"/>
      <c r="M461" s="52"/>
      <c r="N461" s="52"/>
      <c r="O461" s="52"/>
      <c r="P461" s="52"/>
      <c r="Q461" s="52"/>
      <c r="R461" s="52"/>
      <c r="S461" s="52"/>
      <c r="T461" s="52"/>
      <c r="U461" s="52"/>
      <c r="V461" s="52"/>
      <c r="W461" s="52"/>
      <c r="X461" s="52"/>
      <c r="Y461" s="52"/>
      <c r="Z461" s="52"/>
      <c r="AA461" s="52"/>
      <c r="AB461" s="52"/>
      <c r="AC461" s="52"/>
    </row>
    <row r="462">
      <c r="A462" s="52"/>
      <c r="B462" s="350"/>
      <c r="C462" s="52"/>
      <c r="D462" s="52"/>
      <c r="E462" s="52"/>
      <c r="F462" s="351"/>
      <c r="G462" s="52"/>
      <c r="H462" s="52"/>
      <c r="I462" s="52"/>
      <c r="J462" s="52"/>
      <c r="K462" s="52"/>
      <c r="L462" s="52"/>
      <c r="M462" s="52"/>
      <c r="N462" s="52"/>
      <c r="O462" s="52"/>
      <c r="P462" s="52"/>
      <c r="Q462" s="52"/>
      <c r="R462" s="52"/>
      <c r="S462" s="52"/>
      <c r="T462" s="52"/>
      <c r="U462" s="52"/>
      <c r="V462" s="52"/>
      <c r="W462" s="52"/>
      <c r="X462" s="52"/>
      <c r="Y462" s="52"/>
      <c r="Z462" s="52"/>
      <c r="AA462" s="52"/>
      <c r="AB462" s="52"/>
      <c r="AC462" s="52"/>
    </row>
    <row r="463">
      <c r="A463" s="52"/>
      <c r="B463" s="350"/>
      <c r="C463" s="52"/>
      <c r="D463" s="52"/>
      <c r="E463" s="52"/>
      <c r="F463" s="351"/>
      <c r="G463" s="52"/>
      <c r="H463" s="52"/>
      <c r="I463" s="52"/>
      <c r="J463" s="52"/>
      <c r="K463" s="52"/>
      <c r="L463" s="52"/>
      <c r="M463" s="52"/>
      <c r="N463" s="52"/>
      <c r="O463" s="52"/>
      <c r="P463" s="52"/>
      <c r="Q463" s="52"/>
      <c r="R463" s="52"/>
      <c r="S463" s="52"/>
      <c r="T463" s="52"/>
      <c r="U463" s="52"/>
      <c r="V463" s="52"/>
      <c r="W463" s="52"/>
      <c r="X463" s="52"/>
      <c r="Y463" s="52"/>
      <c r="Z463" s="52"/>
      <c r="AA463" s="52"/>
      <c r="AB463" s="52"/>
      <c r="AC463" s="52"/>
    </row>
    <row r="464">
      <c r="A464" s="52"/>
      <c r="B464" s="350"/>
      <c r="C464" s="52"/>
      <c r="D464" s="52"/>
      <c r="E464" s="52"/>
      <c r="F464" s="351"/>
      <c r="G464" s="52"/>
      <c r="H464" s="52"/>
      <c r="I464" s="52"/>
      <c r="J464" s="52"/>
      <c r="K464" s="52"/>
      <c r="L464" s="52"/>
      <c r="M464" s="52"/>
      <c r="N464" s="52"/>
      <c r="O464" s="52"/>
      <c r="P464" s="52"/>
      <c r="Q464" s="52"/>
      <c r="R464" s="52"/>
      <c r="S464" s="52"/>
      <c r="T464" s="52"/>
      <c r="U464" s="52"/>
      <c r="V464" s="52"/>
      <c r="W464" s="52"/>
      <c r="X464" s="52"/>
      <c r="Y464" s="52"/>
      <c r="Z464" s="52"/>
      <c r="AA464" s="52"/>
      <c r="AB464" s="52"/>
      <c r="AC464" s="52"/>
    </row>
    <row r="465">
      <c r="A465" s="52"/>
      <c r="B465" s="350"/>
      <c r="C465" s="52"/>
      <c r="D465" s="52"/>
      <c r="E465" s="52"/>
      <c r="F465" s="351"/>
      <c r="G465" s="52"/>
      <c r="H465" s="52"/>
      <c r="I465" s="52"/>
      <c r="J465" s="52"/>
      <c r="K465" s="52"/>
      <c r="L465" s="52"/>
      <c r="M465" s="52"/>
      <c r="N465" s="52"/>
      <c r="O465" s="52"/>
      <c r="P465" s="52"/>
      <c r="Q465" s="52"/>
      <c r="R465" s="52"/>
      <c r="S465" s="52"/>
      <c r="T465" s="52"/>
      <c r="U465" s="52"/>
      <c r="V465" s="52"/>
      <c r="W465" s="52"/>
      <c r="X465" s="52"/>
      <c r="Y465" s="52"/>
      <c r="Z465" s="52"/>
      <c r="AA465" s="52"/>
      <c r="AB465" s="52"/>
      <c r="AC465" s="52"/>
    </row>
    <row r="466">
      <c r="A466" s="52"/>
      <c r="B466" s="350"/>
      <c r="C466" s="52"/>
      <c r="D466" s="52"/>
      <c r="E466" s="52"/>
      <c r="F466" s="351"/>
      <c r="G466" s="52"/>
      <c r="H466" s="52"/>
      <c r="I466" s="52"/>
      <c r="J466" s="52"/>
      <c r="K466" s="52"/>
      <c r="L466" s="52"/>
      <c r="M466" s="52"/>
      <c r="N466" s="52"/>
      <c r="O466" s="52"/>
      <c r="P466" s="52"/>
      <c r="Q466" s="52"/>
      <c r="R466" s="52"/>
      <c r="S466" s="52"/>
      <c r="T466" s="52"/>
      <c r="U466" s="52"/>
      <c r="V466" s="52"/>
      <c r="W466" s="52"/>
      <c r="X466" s="52"/>
      <c r="Y466" s="52"/>
      <c r="Z466" s="52"/>
      <c r="AA466" s="52"/>
      <c r="AB466" s="52"/>
      <c r="AC466" s="52"/>
    </row>
    <row r="467">
      <c r="A467" s="52"/>
      <c r="B467" s="350"/>
      <c r="C467" s="52"/>
      <c r="D467" s="52"/>
      <c r="E467" s="52"/>
      <c r="F467" s="351"/>
      <c r="G467" s="52"/>
      <c r="H467" s="52"/>
      <c r="I467" s="52"/>
      <c r="J467" s="52"/>
      <c r="K467" s="52"/>
      <c r="L467" s="52"/>
      <c r="M467" s="52"/>
      <c r="N467" s="52"/>
      <c r="O467" s="52"/>
      <c r="P467" s="52"/>
      <c r="Q467" s="52"/>
      <c r="R467" s="52"/>
      <c r="S467" s="52"/>
      <c r="T467" s="52"/>
      <c r="U467" s="52"/>
      <c r="V467" s="52"/>
      <c r="W467" s="52"/>
      <c r="X467" s="52"/>
      <c r="Y467" s="52"/>
      <c r="Z467" s="52"/>
      <c r="AA467" s="52"/>
      <c r="AB467" s="52"/>
      <c r="AC467" s="52"/>
    </row>
    <row r="468">
      <c r="A468" s="52"/>
      <c r="B468" s="350"/>
      <c r="C468" s="52"/>
      <c r="D468" s="52"/>
      <c r="E468" s="52"/>
      <c r="F468" s="351"/>
      <c r="G468" s="52"/>
      <c r="H468" s="52"/>
      <c r="I468" s="52"/>
      <c r="J468" s="52"/>
      <c r="K468" s="52"/>
      <c r="L468" s="52"/>
      <c r="M468" s="52"/>
      <c r="N468" s="52"/>
      <c r="O468" s="52"/>
      <c r="P468" s="52"/>
      <c r="Q468" s="52"/>
      <c r="R468" s="52"/>
      <c r="S468" s="52"/>
      <c r="T468" s="52"/>
      <c r="U468" s="52"/>
      <c r="V468" s="52"/>
      <c r="W468" s="52"/>
      <c r="X468" s="52"/>
      <c r="Y468" s="52"/>
      <c r="Z468" s="52"/>
      <c r="AA468" s="52"/>
      <c r="AB468" s="52"/>
      <c r="AC468" s="52"/>
    </row>
    <row r="469">
      <c r="A469" s="52"/>
      <c r="B469" s="350"/>
      <c r="C469" s="52"/>
      <c r="D469" s="52"/>
      <c r="E469" s="52"/>
      <c r="F469" s="351"/>
      <c r="G469" s="52"/>
      <c r="H469" s="52"/>
      <c r="I469" s="52"/>
      <c r="J469" s="52"/>
      <c r="K469" s="52"/>
      <c r="L469" s="52"/>
      <c r="M469" s="52"/>
      <c r="N469" s="52"/>
      <c r="O469" s="52"/>
      <c r="P469" s="52"/>
      <c r="Q469" s="52"/>
      <c r="R469" s="52"/>
      <c r="S469" s="52"/>
      <c r="T469" s="52"/>
      <c r="U469" s="52"/>
      <c r="V469" s="52"/>
      <c r="W469" s="52"/>
      <c r="X469" s="52"/>
      <c r="Y469" s="52"/>
      <c r="Z469" s="52"/>
      <c r="AA469" s="52"/>
      <c r="AB469" s="52"/>
      <c r="AC469" s="52"/>
    </row>
    <row r="470">
      <c r="A470" s="52"/>
      <c r="B470" s="350"/>
      <c r="C470" s="52"/>
      <c r="D470" s="52"/>
      <c r="E470" s="52"/>
      <c r="F470" s="351"/>
      <c r="G470" s="52"/>
      <c r="H470" s="52"/>
      <c r="I470" s="52"/>
      <c r="J470" s="52"/>
      <c r="K470" s="52"/>
      <c r="L470" s="52"/>
      <c r="M470" s="52"/>
      <c r="N470" s="52"/>
      <c r="O470" s="52"/>
      <c r="P470" s="52"/>
      <c r="Q470" s="52"/>
      <c r="R470" s="52"/>
      <c r="S470" s="52"/>
      <c r="T470" s="52"/>
      <c r="U470" s="52"/>
      <c r="V470" s="52"/>
      <c r="W470" s="52"/>
      <c r="X470" s="52"/>
      <c r="Y470" s="52"/>
      <c r="Z470" s="52"/>
      <c r="AA470" s="52"/>
      <c r="AB470" s="52"/>
      <c r="AC470" s="52"/>
    </row>
    <row r="471">
      <c r="A471" s="52"/>
      <c r="B471" s="350"/>
      <c r="C471" s="52"/>
      <c r="D471" s="52"/>
      <c r="E471" s="52"/>
      <c r="F471" s="351"/>
      <c r="G471" s="52"/>
      <c r="H471" s="52"/>
      <c r="I471" s="52"/>
      <c r="J471" s="52"/>
      <c r="K471" s="52"/>
      <c r="L471" s="52"/>
      <c r="M471" s="52"/>
      <c r="N471" s="52"/>
      <c r="O471" s="52"/>
      <c r="P471" s="52"/>
      <c r="Q471" s="52"/>
      <c r="R471" s="52"/>
      <c r="S471" s="52"/>
      <c r="T471" s="52"/>
      <c r="U471" s="52"/>
      <c r="V471" s="52"/>
      <c r="W471" s="52"/>
      <c r="X471" s="52"/>
      <c r="Y471" s="52"/>
      <c r="Z471" s="52"/>
      <c r="AA471" s="52"/>
      <c r="AB471" s="52"/>
      <c r="AC471" s="52"/>
    </row>
    <row r="472">
      <c r="A472" s="52"/>
      <c r="B472" s="350"/>
      <c r="C472" s="52"/>
      <c r="D472" s="52"/>
      <c r="E472" s="52"/>
      <c r="F472" s="351"/>
      <c r="G472" s="52"/>
      <c r="H472" s="52"/>
      <c r="I472" s="52"/>
      <c r="J472" s="52"/>
      <c r="K472" s="52"/>
      <c r="L472" s="52"/>
      <c r="M472" s="52"/>
      <c r="N472" s="52"/>
      <c r="O472" s="52"/>
      <c r="P472" s="52"/>
      <c r="Q472" s="52"/>
      <c r="R472" s="52"/>
      <c r="S472" s="52"/>
      <c r="T472" s="52"/>
      <c r="U472" s="52"/>
      <c r="V472" s="52"/>
      <c r="W472" s="52"/>
      <c r="X472" s="52"/>
      <c r="Y472" s="52"/>
      <c r="Z472" s="52"/>
      <c r="AA472" s="52"/>
      <c r="AB472" s="52"/>
      <c r="AC472" s="52"/>
    </row>
    <row r="473">
      <c r="A473" s="52"/>
      <c r="B473" s="350"/>
      <c r="C473" s="52"/>
      <c r="D473" s="52"/>
      <c r="E473" s="52"/>
      <c r="F473" s="351"/>
      <c r="G473" s="52"/>
      <c r="H473" s="52"/>
      <c r="I473" s="52"/>
      <c r="J473" s="52"/>
      <c r="K473" s="52"/>
      <c r="L473" s="52"/>
      <c r="M473" s="52"/>
      <c r="N473" s="52"/>
      <c r="O473" s="52"/>
      <c r="P473" s="52"/>
      <c r="Q473" s="52"/>
      <c r="R473" s="52"/>
      <c r="S473" s="52"/>
      <c r="T473" s="52"/>
      <c r="U473" s="52"/>
      <c r="V473" s="52"/>
      <c r="W473" s="52"/>
      <c r="X473" s="52"/>
      <c r="Y473" s="52"/>
      <c r="Z473" s="52"/>
      <c r="AA473" s="52"/>
      <c r="AB473" s="52"/>
      <c r="AC473" s="52"/>
    </row>
    <row r="474">
      <c r="A474" s="52"/>
      <c r="B474" s="350"/>
      <c r="C474" s="52"/>
      <c r="D474" s="52"/>
      <c r="E474" s="52"/>
      <c r="F474" s="351"/>
      <c r="G474" s="52"/>
      <c r="H474" s="52"/>
      <c r="I474" s="52"/>
      <c r="J474" s="52"/>
      <c r="K474" s="52"/>
      <c r="L474" s="52"/>
      <c r="M474" s="52"/>
      <c r="N474" s="52"/>
      <c r="O474" s="52"/>
      <c r="P474" s="52"/>
      <c r="Q474" s="52"/>
      <c r="R474" s="52"/>
      <c r="S474" s="52"/>
      <c r="T474" s="52"/>
      <c r="U474" s="52"/>
      <c r="V474" s="52"/>
      <c r="W474" s="52"/>
      <c r="X474" s="52"/>
      <c r="Y474" s="52"/>
      <c r="Z474" s="52"/>
      <c r="AA474" s="52"/>
      <c r="AB474" s="52"/>
      <c r="AC474" s="52"/>
    </row>
    <row r="475">
      <c r="A475" s="52"/>
      <c r="B475" s="350"/>
      <c r="C475" s="52"/>
      <c r="D475" s="52"/>
      <c r="E475" s="52"/>
      <c r="F475" s="351"/>
      <c r="G475" s="52"/>
      <c r="H475" s="52"/>
      <c r="I475" s="52"/>
      <c r="J475" s="52"/>
      <c r="K475" s="52"/>
      <c r="L475" s="52"/>
      <c r="M475" s="52"/>
      <c r="N475" s="52"/>
      <c r="O475" s="52"/>
      <c r="P475" s="52"/>
      <c r="Q475" s="52"/>
      <c r="R475" s="52"/>
      <c r="S475" s="52"/>
      <c r="T475" s="52"/>
      <c r="U475" s="52"/>
      <c r="V475" s="52"/>
      <c r="W475" s="52"/>
      <c r="X475" s="52"/>
      <c r="Y475" s="52"/>
      <c r="Z475" s="52"/>
      <c r="AA475" s="52"/>
      <c r="AB475" s="52"/>
      <c r="AC475" s="52"/>
    </row>
    <row r="476">
      <c r="A476" s="52"/>
      <c r="B476" s="350"/>
      <c r="C476" s="52"/>
      <c r="D476" s="52"/>
      <c r="E476" s="52"/>
      <c r="F476" s="351"/>
      <c r="G476" s="52"/>
      <c r="H476" s="52"/>
      <c r="I476" s="52"/>
      <c r="J476" s="52"/>
      <c r="K476" s="52"/>
      <c r="L476" s="52"/>
      <c r="M476" s="52"/>
      <c r="N476" s="52"/>
      <c r="O476" s="52"/>
      <c r="P476" s="52"/>
      <c r="Q476" s="52"/>
      <c r="R476" s="52"/>
      <c r="S476" s="52"/>
      <c r="T476" s="52"/>
      <c r="U476" s="52"/>
      <c r="V476" s="52"/>
      <c r="W476" s="52"/>
      <c r="X476" s="52"/>
      <c r="Y476" s="52"/>
      <c r="Z476" s="52"/>
      <c r="AA476" s="52"/>
      <c r="AB476" s="52"/>
      <c r="AC476" s="52"/>
    </row>
    <row r="477">
      <c r="A477" s="52"/>
      <c r="B477" s="350"/>
      <c r="C477" s="52"/>
      <c r="D477" s="52"/>
      <c r="E477" s="52"/>
      <c r="F477" s="351"/>
      <c r="G477" s="52"/>
      <c r="H477" s="52"/>
      <c r="I477" s="52"/>
      <c r="J477" s="52"/>
      <c r="K477" s="52"/>
      <c r="L477" s="52"/>
      <c r="M477" s="52"/>
      <c r="N477" s="52"/>
      <c r="O477" s="52"/>
      <c r="P477" s="52"/>
      <c r="Q477" s="52"/>
      <c r="R477" s="52"/>
      <c r="S477" s="52"/>
      <c r="T477" s="52"/>
      <c r="U477" s="52"/>
      <c r="V477" s="52"/>
      <c r="W477" s="52"/>
      <c r="X477" s="52"/>
      <c r="Y477" s="52"/>
      <c r="Z477" s="52"/>
      <c r="AA477" s="52"/>
      <c r="AB477" s="52"/>
      <c r="AC477" s="52"/>
    </row>
    <row r="478">
      <c r="A478" s="52"/>
      <c r="B478" s="350"/>
      <c r="C478" s="52"/>
      <c r="D478" s="52"/>
      <c r="E478" s="52"/>
      <c r="F478" s="351"/>
      <c r="G478" s="52"/>
      <c r="H478" s="52"/>
      <c r="I478" s="52"/>
      <c r="J478" s="52"/>
      <c r="K478" s="52"/>
      <c r="L478" s="52"/>
      <c r="M478" s="52"/>
      <c r="N478" s="52"/>
      <c r="O478" s="52"/>
      <c r="P478" s="52"/>
      <c r="Q478" s="52"/>
      <c r="R478" s="52"/>
      <c r="S478" s="52"/>
      <c r="T478" s="52"/>
      <c r="U478" s="52"/>
      <c r="V478" s="52"/>
      <c r="W478" s="52"/>
      <c r="X478" s="52"/>
      <c r="Y478" s="52"/>
      <c r="Z478" s="52"/>
      <c r="AA478" s="52"/>
      <c r="AB478" s="52"/>
      <c r="AC478" s="52"/>
    </row>
    <row r="479">
      <c r="A479" s="52"/>
      <c r="B479" s="350"/>
      <c r="C479" s="52"/>
      <c r="D479" s="52"/>
      <c r="E479" s="52"/>
      <c r="F479" s="351"/>
      <c r="G479" s="52"/>
      <c r="H479" s="52"/>
      <c r="I479" s="52"/>
      <c r="J479" s="52"/>
      <c r="K479" s="52"/>
      <c r="L479" s="52"/>
      <c r="M479" s="52"/>
      <c r="N479" s="52"/>
      <c r="O479" s="52"/>
      <c r="P479" s="52"/>
      <c r="Q479" s="52"/>
      <c r="R479" s="52"/>
      <c r="S479" s="52"/>
      <c r="T479" s="52"/>
      <c r="U479" s="52"/>
      <c r="V479" s="52"/>
      <c r="W479" s="52"/>
      <c r="X479" s="52"/>
      <c r="Y479" s="52"/>
      <c r="Z479" s="52"/>
      <c r="AA479" s="52"/>
      <c r="AB479" s="52"/>
      <c r="AC479" s="52"/>
    </row>
    <row r="480">
      <c r="A480" s="52"/>
      <c r="B480" s="350"/>
      <c r="C480" s="52"/>
      <c r="D480" s="52"/>
      <c r="E480" s="52"/>
      <c r="F480" s="351"/>
      <c r="G480" s="52"/>
      <c r="H480" s="52"/>
      <c r="I480" s="52"/>
      <c r="J480" s="52"/>
      <c r="K480" s="52"/>
      <c r="L480" s="52"/>
      <c r="M480" s="52"/>
      <c r="N480" s="52"/>
      <c r="O480" s="52"/>
      <c r="P480" s="52"/>
      <c r="Q480" s="52"/>
      <c r="R480" s="52"/>
      <c r="S480" s="52"/>
      <c r="T480" s="52"/>
      <c r="U480" s="52"/>
      <c r="V480" s="52"/>
      <c r="W480" s="52"/>
      <c r="X480" s="52"/>
      <c r="Y480" s="52"/>
      <c r="Z480" s="52"/>
      <c r="AA480" s="52"/>
      <c r="AB480" s="52"/>
      <c r="AC480" s="52"/>
    </row>
    <row r="481">
      <c r="A481" s="52"/>
      <c r="B481" s="350"/>
      <c r="C481" s="52"/>
      <c r="D481" s="52"/>
      <c r="E481" s="52"/>
      <c r="F481" s="351"/>
      <c r="G481" s="52"/>
      <c r="H481" s="52"/>
      <c r="I481" s="52"/>
      <c r="J481" s="52"/>
      <c r="K481" s="52"/>
      <c r="L481" s="52"/>
      <c r="M481" s="52"/>
      <c r="N481" s="52"/>
      <c r="O481" s="52"/>
      <c r="P481" s="52"/>
      <c r="Q481" s="52"/>
      <c r="R481" s="52"/>
      <c r="S481" s="52"/>
      <c r="T481" s="52"/>
      <c r="U481" s="52"/>
      <c r="V481" s="52"/>
      <c r="W481" s="52"/>
      <c r="X481" s="52"/>
      <c r="Y481" s="52"/>
      <c r="Z481" s="52"/>
      <c r="AA481" s="52"/>
      <c r="AB481" s="52"/>
      <c r="AC481" s="52"/>
    </row>
    <row r="482">
      <c r="A482" s="52"/>
      <c r="B482" s="350"/>
      <c r="C482" s="52"/>
      <c r="D482" s="52"/>
      <c r="E482" s="52"/>
      <c r="F482" s="351"/>
      <c r="G482" s="52"/>
      <c r="H482" s="52"/>
      <c r="I482" s="52"/>
      <c r="J482" s="52"/>
      <c r="K482" s="52"/>
      <c r="L482" s="52"/>
      <c r="M482" s="52"/>
      <c r="N482" s="52"/>
      <c r="O482" s="52"/>
      <c r="P482" s="52"/>
      <c r="Q482" s="52"/>
      <c r="R482" s="52"/>
      <c r="S482" s="52"/>
      <c r="T482" s="52"/>
      <c r="U482" s="52"/>
      <c r="V482" s="52"/>
      <c r="W482" s="52"/>
      <c r="X482" s="52"/>
      <c r="Y482" s="52"/>
      <c r="Z482" s="52"/>
      <c r="AA482" s="52"/>
      <c r="AB482" s="52"/>
      <c r="AC482" s="52"/>
    </row>
    <row r="483">
      <c r="A483" s="52"/>
      <c r="B483" s="350"/>
      <c r="C483" s="52"/>
      <c r="D483" s="52"/>
      <c r="E483" s="52"/>
      <c r="F483" s="351"/>
      <c r="G483" s="52"/>
      <c r="H483" s="52"/>
      <c r="I483" s="52"/>
      <c r="J483" s="52"/>
      <c r="K483" s="52"/>
      <c r="L483" s="52"/>
      <c r="M483" s="52"/>
      <c r="N483" s="52"/>
      <c r="O483" s="52"/>
      <c r="P483" s="52"/>
      <c r="Q483" s="52"/>
      <c r="R483" s="52"/>
      <c r="S483" s="52"/>
      <c r="T483" s="52"/>
      <c r="U483" s="52"/>
      <c r="V483" s="52"/>
      <c r="W483" s="52"/>
      <c r="X483" s="52"/>
      <c r="Y483" s="52"/>
      <c r="Z483" s="52"/>
      <c r="AA483" s="52"/>
      <c r="AB483" s="52"/>
      <c r="AC483" s="52"/>
    </row>
    <row r="484">
      <c r="A484" s="52"/>
      <c r="B484" s="350"/>
      <c r="C484" s="52"/>
      <c r="D484" s="52"/>
      <c r="E484" s="52"/>
      <c r="F484" s="351"/>
      <c r="G484" s="52"/>
      <c r="H484" s="52"/>
      <c r="I484" s="52"/>
      <c r="J484" s="52"/>
      <c r="K484" s="52"/>
      <c r="L484" s="52"/>
      <c r="M484" s="52"/>
      <c r="N484" s="52"/>
      <c r="O484" s="52"/>
      <c r="P484" s="52"/>
      <c r="Q484" s="52"/>
      <c r="R484" s="52"/>
      <c r="S484" s="52"/>
      <c r="T484" s="52"/>
      <c r="U484" s="52"/>
      <c r="V484" s="52"/>
      <c r="W484" s="52"/>
      <c r="X484" s="52"/>
      <c r="Y484" s="52"/>
      <c r="Z484" s="52"/>
      <c r="AA484" s="52"/>
      <c r="AB484" s="52"/>
      <c r="AC484" s="52"/>
    </row>
    <row r="485">
      <c r="A485" s="52"/>
      <c r="B485" s="350"/>
      <c r="C485" s="52"/>
      <c r="D485" s="52"/>
      <c r="E485" s="52"/>
      <c r="F485" s="351"/>
      <c r="G485" s="52"/>
      <c r="H485" s="52"/>
      <c r="I485" s="52"/>
      <c r="J485" s="52"/>
      <c r="K485" s="52"/>
      <c r="L485" s="52"/>
      <c r="M485" s="52"/>
      <c r="N485" s="52"/>
      <c r="O485" s="52"/>
      <c r="P485" s="52"/>
      <c r="Q485" s="52"/>
      <c r="R485" s="52"/>
      <c r="S485" s="52"/>
      <c r="T485" s="52"/>
      <c r="U485" s="52"/>
      <c r="V485" s="52"/>
      <c r="W485" s="52"/>
      <c r="X485" s="52"/>
      <c r="Y485" s="52"/>
      <c r="Z485" s="52"/>
      <c r="AA485" s="52"/>
      <c r="AB485" s="52"/>
      <c r="AC485" s="52"/>
    </row>
    <row r="486">
      <c r="A486" s="52"/>
      <c r="B486" s="350"/>
      <c r="C486" s="52"/>
      <c r="D486" s="52"/>
      <c r="E486" s="52"/>
      <c r="F486" s="351"/>
      <c r="G486" s="52"/>
      <c r="H486" s="52"/>
      <c r="I486" s="52"/>
      <c r="J486" s="52"/>
      <c r="K486" s="52"/>
      <c r="L486" s="52"/>
      <c r="M486" s="52"/>
      <c r="N486" s="52"/>
      <c r="O486" s="52"/>
      <c r="P486" s="52"/>
      <c r="Q486" s="52"/>
      <c r="R486" s="52"/>
      <c r="S486" s="52"/>
      <c r="T486" s="52"/>
      <c r="U486" s="52"/>
      <c r="V486" s="52"/>
      <c r="W486" s="52"/>
      <c r="X486" s="52"/>
      <c r="Y486" s="52"/>
      <c r="Z486" s="52"/>
      <c r="AA486" s="52"/>
      <c r="AB486" s="52"/>
      <c r="AC486" s="52"/>
    </row>
    <row r="487">
      <c r="A487" s="52"/>
      <c r="B487" s="350"/>
      <c r="C487" s="52"/>
      <c r="D487" s="52"/>
      <c r="E487" s="52"/>
      <c r="F487" s="351"/>
      <c r="G487" s="52"/>
      <c r="H487" s="52"/>
      <c r="I487" s="52"/>
      <c r="J487" s="52"/>
      <c r="K487" s="52"/>
      <c r="L487" s="52"/>
      <c r="M487" s="52"/>
      <c r="N487" s="52"/>
      <c r="O487" s="52"/>
      <c r="P487" s="52"/>
      <c r="Q487" s="52"/>
      <c r="R487" s="52"/>
      <c r="S487" s="52"/>
      <c r="T487" s="52"/>
      <c r="U487" s="52"/>
      <c r="V487" s="52"/>
      <c r="W487" s="52"/>
      <c r="X487" s="52"/>
      <c r="Y487" s="52"/>
      <c r="Z487" s="52"/>
      <c r="AA487" s="52"/>
      <c r="AB487" s="52"/>
      <c r="AC487" s="52"/>
    </row>
    <row r="488">
      <c r="A488" s="52"/>
      <c r="B488" s="350"/>
      <c r="C488" s="52"/>
      <c r="D488" s="52"/>
      <c r="E488" s="52"/>
      <c r="F488" s="351"/>
      <c r="G488" s="52"/>
      <c r="H488" s="52"/>
      <c r="I488" s="52"/>
      <c r="J488" s="52"/>
      <c r="K488" s="52"/>
      <c r="L488" s="52"/>
      <c r="M488" s="52"/>
      <c r="N488" s="52"/>
      <c r="O488" s="52"/>
      <c r="P488" s="52"/>
      <c r="Q488" s="52"/>
      <c r="R488" s="52"/>
      <c r="S488" s="52"/>
      <c r="T488" s="52"/>
      <c r="U488" s="52"/>
      <c r="V488" s="52"/>
      <c r="W488" s="52"/>
      <c r="X488" s="52"/>
      <c r="Y488" s="52"/>
      <c r="Z488" s="52"/>
      <c r="AA488" s="52"/>
      <c r="AB488" s="52"/>
      <c r="AC488" s="52"/>
    </row>
    <row r="489">
      <c r="A489" s="52"/>
      <c r="B489" s="350"/>
      <c r="C489" s="52"/>
      <c r="D489" s="52"/>
      <c r="E489" s="52"/>
      <c r="F489" s="351"/>
      <c r="G489" s="52"/>
      <c r="H489" s="52"/>
      <c r="I489" s="52"/>
      <c r="J489" s="52"/>
      <c r="K489" s="52"/>
      <c r="L489" s="52"/>
      <c r="M489" s="52"/>
      <c r="N489" s="52"/>
      <c r="O489" s="52"/>
      <c r="P489" s="52"/>
      <c r="Q489" s="52"/>
      <c r="R489" s="52"/>
      <c r="S489" s="52"/>
      <c r="T489" s="52"/>
      <c r="U489" s="52"/>
      <c r="V489" s="52"/>
      <c r="W489" s="52"/>
      <c r="X489" s="52"/>
      <c r="Y489" s="52"/>
      <c r="Z489" s="52"/>
      <c r="AA489" s="52"/>
      <c r="AB489" s="52"/>
      <c r="AC489" s="52"/>
    </row>
    <row r="490">
      <c r="A490" s="52"/>
      <c r="B490" s="350"/>
      <c r="C490" s="52"/>
      <c r="D490" s="52"/>
      <c r="E490" s="52"/>
      <c r="F490" s="351"/>
      <c r="G490" s="52"/>
      <c r="H490" s="52"/>
      <c r="I490" s="52"/>
      <c r="J490" s="52"/>
      <c r="K490" s="52"/>
      <c r="L490" s="52"/>
      <c r="M490" s="52"/>
      <c r="N490" s="52"/>
      <c r="O490" s="52"/>
      <c r="P490" s="52"/>
      <c r="Q490" s="52"/>
      <c r="R490" s="52"/>
      <c r="S490" s="52"/>
      <c r="T490" s="52"/>
      <c r="U490" s="52"/>
      <c r="V490" s="52"/>
      <c r="W490" s="52"/>
      <c r="X490" s="52"/>
      <c r="Y490" s="52"/>
      <c r="Z490" s="52"/>
      <c r="AA490" s="52"/>
      <c r="AB490" s="52"/>
      <c r="AC490" s="52"/>
    </row>
    <row r="491">
      <c r="A491" s="52"/>
      <c r="B491" s="350"/>
      <c r="C491" s="52"/>
      <c r="D491" s="52"/>
      <c r="E491" s="52"/>
      <c r="F491" s="351"/>
      <c r="G491" s="52"/>
      <c r="H491" s="52"/>
      <c r="I491" s="52"/>
      <c r="J491" s="52"/>
      <c r="K491" s="52"/>
      <c r="L491" s="52"/>
      <c r="M491" s="52"/>
      <c r="N491" s="52"/>
      <c r="O491" s="52"/>
      <c r="P491" s="52"/>
      <c r="Q491" s="52"/>
      <c r="R491" s="52"/>
      <c r="S491" s="52"/>
      <c r="T491" s="52"/>
      <c r="U491" s="52"/>
      <c r="V491" s="52"/>
      <c r="W491" s="52"/>
      <c r="X491" s="52"/>
      <c r="Y491" s="52"/>
      <c r="Z491" s="52"/>
      <c r="AA491" s="52"/>
      <c r="AB491" s="52"/>
      <c r="AC491" s="52"/>
    </row>
    <row r="492">
      <c r="A492" s="52"/>
      <c r="B492" s="350"/>
      <c r="C492" s="52"/>
      <c r="D492" s="52"/>
      <c r="E492" s="52"/>
      <c r="F492" s="351"/>
      <c r="G492" s="52"/>
      <c r="H492" s="52"/>
      <c r="I492" s="52"/>
      <c r="J492" s="52"/>
      <c r="K492" s="52"/>
      <c r="L492" s="52"/>
      <c r="M492" s="52"/>
      <c r="N492" s="52"/>
      <c r="O492" s="52"/>
      <c r="P492" s="52"/>
      <c r="Q492" s="52"/>
      <c r="R492" s="52"/>
      <c r="S492" s="52"/>
      <c r="T492" s="52"/>
      <c r="U492" s="52"/>
      <c r="V492" s="52"/>
      <c r="W492" s="52"/>
      <c r="X492" s="52"/>
      <c r="Y492" s="52"/>
      <c r="Z492" s="52"/>
      <c r="AA492" s="52"/>
      <c r="AB492" s="52"/>
      <c r="AC492" s="52"/>
    </row>
    <row r="493">
      <c r="A493" s="52"/>
      <c r="B493" s="350"/>
      <c r="C493" s="52"/>
      <c r="D493" s="52"/>
      <c r="E493" s="52"/>
      <c r="F493" s="351"/>
      <c r="G493" s="52"/>
      <c r="H493" s="52"/>
      <c r="I493" s="52"/>
      <c r="J493" s="52"/>
      <c r="K493" s="52"/>
      <c r="L493" s="52"/>
      <c r="M493" s="52"/>
      <c r="N493" s="52"/>
      <c r="O493" s="52"/>
      <c r="P493" s="52"/>
      <c r="Q493" s="52"/>
      <c r="R493" s="52"/>
      <c r="S493" s="52"/>
      <c r="T493" s="52"/>
      <c r="U493" s="52"/>
      <c r="V493" s="52"/>
      <c r="W493" s="52"/>
      <c r="X493" s="52"/>
      <c r="Y493" s="52"/>
      <c r="Z493" s="52"/>
      <c r="AA493" s="52"/>
      <c r="AB493" s="52"/>
      <c r="AC493" s="52"/>
    </row>
    <row r="494">
      <c r="A494" s="52"/>
      <c r="B494" s="350"/>
      <c r="C494" s="52"/>
      <c r="D494" s="52"/>
      <c r="E494" s="52"/>
      <c r="F494" s="351"/>
      <c r="G494" s="52"/>
      <c r="H494" s="52"/>
      <c r="I494" s="52"/>
      <c r="J494" s="52"/>
      <c r="K494" s="52"/>
      <c r="L494" s="52"/>
      <c r="M494" s="52"/>
      <c r="N494" s="52"/>
      <c r="O494" s="52"/>
      <c r="P494" s="52"/>
      <c r="Q494" s="52"/>
      <c r="R494" s="52"/>
      <c r="S494" s="52"/>
      <c r="T494" s="52"/>
      <c r="U494" s="52"/>
      <c r="V494" s="52"/>
      <c r="W494" s="52"/>
      <c r="X494" s="52"/>
      <c r="Y494" s="52"/>
      <c r="Z494" s="52"/>
      <c r="AA494" s="52"/>
      <c r="AB494" s="52"/>
      <c r="AC494" s="52"/>
    </row>
    <row r="495">
      <c r="A495" s="52"/>
      <c r="B495" s="350"/>
      <c r="C495" s="52"/>
      <c r="D495" s="52"/>
      <c r="E495" s="52"/>
      <c r="F495" s="351"/>
      <c r="G495" s="52"/>
      <c r="H495" s="52"/>
      <c r="I495" s="52"/>
      <c r="J495" s="52"/>
      <c r="K495" s="52"/>
      <c r="L495" s="52"/>
      <c r="M495" s="52"/>
      <c r="N495" s="52"/>
      <c r="O495" s="52"/>
      <c r="P495" s="52"/>
      <c r="Q495" s="52"/>
      <c r="R495" s="52"/>
      <c r="S495" s="52"/>
      <c r="T495" s="52"/>
      <c r="U495" s="52"/>
      <c r="V495" s="52"/>
      <c r="W495" s="52"/>
      <c r="X495" s="52"/>
      <c r="Y495" s="52"/>
      <c r="Z495" s="52"/>
      <c r="AA495" s="52"/>
      <c r="AB495" s="52"/>
      <c r="AC495" s="52"/>
    </row>
    <row r="496">
      <c r="A496" s="52"/>
      <c r="B496" s="350"/>
      <c r="C496" s="52"/>
      <c r="D496" s="52"/>
      <c r="E496" s="52"/>
      <c r="F496" s="351"/>
      <c r="G496" s="52"/>
      <c r="H496" s="52"/>
      <c r="I496" s="52"/>
      <c r="J496" s="52"/>
      <c r="K496" s="52"/>
      <c r="L496" s="52"/>
      <c r="M496" s="52"/>
      <c r="N496" s="52"/>
      <c r="O496" s="52"/>
      <c r="P496" s="52"/>
      <c r="Q496" s="52"/>
      <c r="R496" s="52"/>
      <c r="S496" s="52"/>
      <c r="T496" s="52"/>
      <c r="U496" s="52"/>
      <c r="V496" s="52"/>
      <c r="W496" s="52"/>
      <c r="X496" s="52"/>
      <c r="Y496" s="52"/>
      <c r="Z496" s="52"/>
      <c r="AA496" s="52"/>
      <c r="AB496" s="52"/>
      <c r="AC496" s="52"/>
    </row>
    <row r="497">
      <c r="A497" s="52"/>
      <c r="B497" s="350"/>
      <c r="C497" s="52"/>
      <c r="D497" s="52"/>
      <c r="E497" s="52"/>
      <c r="F497" s="351"/>
      <c r="G497" s="52"/>
      <c r="H497" s="52"/>
      <c r="I497" s="52"/>
      <c r="J497" s="52"/>
      <c r="K497" s="52"/>
      <c r="L497" s="52"/>
      <c r="M497" s="52"/>
      <c r="N497" s="52"/>
      <c r="O497" s="52"/>
      <c r="P497" s="52"/>
      <c r="Q497" s="52"/>
      <c r="R497" s="52"/>
      <c r="S497" s="52"/>
      <c r="T497" s="52"/>
      <c r="U497" s="52"/>
      <c r="V497" s="52"/>
      <c r="W497" s="52"/>
      <c r="X497" s="52"/>
      <c r="Y497" s="52"/>
      <c r="Z497" s="52"/>
      <c r="AA497" s="52"/>
      <c r="AB497" s="52"/>
      <c r="AC497" s="52"/>
    </row>
    <row r="498">
      <c r="A498" s="52"/>
      <c r="B498" s="350"/>
      <c r="C498" s="52"/>
      <c r="D498" s="52"/>
      <c r="E498" s="52"/>
      <c r="F498" s="351"/>
      <c r="G498" s="52"/>
      <c r="H498" s="52"/>
      <c r="I498" s="52"/>
      <c r="J498" s="52"/>
      <c r="K498" s="52"/>
      <c r="L498" s="52"/>
      <c r="M498" s="52"/>
      <c r="N498" s="52"/>
      <c r="O498" s="52"/>
      <c r="P498" s="52"/>
      <c r="Q498" s="52"/>
      <c r="R498" s="52"/>
      <c r="S498" s="52"/>
      <c r="T498" s="52"/>
      <c r="U498" s="52"/>
      <c r="V498" s="52"/>
      <c r="W498" s="52"/>
      <c r="X498" s="52"/>
      <c r="Y498" s="52"/>
      <c r="Z498" s="52"/>
      <c r="AA498" s="52"/>
      <c r="AB498" s="52"/>
      <c r="AC498" s="52"/>
    </row>
    <row r="499">
      <c r="A499" s="52"/>
      <c r="B499" s="350"/>
      <c r="C499" s="52"/>
      <c r="D499" s="52"/>
      <c r="E499" s="52"/>
      <c r="F499" s="351"/>
      <c r="G499" s="52"/>
      <c r="H499" s="52"/>
      <c r="I499" s="52"/>
      <c r="J499" s="52"/>
      <c r="K499" s="52"/>
      <c r="L499" s="52"/>
      <c r="M499" s="52"/>
      <c r="N499" s="52"/>
      <c r="O499" s="52"/>
      <c r="P499" s="52"/>
      <c r="Q499" s="52"/>
      <c r="R499" s="52"/>
      <c r="S499" s="52"/>
      <c r="T499" s="52"/>
      <c r="U499" s="52"/>
      <c r="V499" s="52"/>
      <c r="W499" s="52"/>
      <c r="X499" s="52"/>
      <c r="Y499" s="52"/>
      <c r="Z499" s="52"/>
      <c r="AA499" s="52"/>
      <c r="AB499" s="52"/>
      <c r="AC499" s="52"/>
    </row>
    <row r="500">
      <c r="A500" s="52"/>
      <c r="B500" s="350"/>
      <c r="C500" s="52"/>
      <c r="D500" s="52"/>
      <c r="E500" s="52"/>
      <c r="F500" s="351"/>
      <c r="G500" s="52"/>
      <c r="H500" s="52"/>
      <c r="I500" s="52"/>
      <c r="J500" s="52"/>
      <c r="K500" s="52"/>
      <c r="L500" s="52"/>
      <c r="M500" s="52"/>
      <c r="N500" s="52"/>
      <c r="O500" s="52"/>
      <c r="P500" s="52"/>
      <c r="Q500" s="52"/>
      <c r="R500" s="52"/>
      <c r="S500" s="52"/>
      <c r="T500" s="52"/>
      <c r="U500" s="52"/>
      <c r="V500" s="52"/>
      <c r="W500" s="52"/>
      <c r="X500" s="52"/>
      <c r="Y500" s="52"/>
      <c r="Z500" s="52"/>
      <c r="AA500" s="52"/>
      <c r="AB500" s="52"/>
      <c r="AC500" s="52"/>
    </row>
    <row r="501">
      <c r="A501" s="52"/>
      <c r="B501" s="350"/>
      <c r="C501" s="52"/>
      <c r="D501" s="52"/>
      <c r="E501" s="52"/>
      <c r="F501" s="351"/>
      <c r="G501" s="52"/>
      <c r="H501" s="52"/>
      <c r="I501" s="52"/>
      <c r="J501" s="52"/>
      <c r="K501" s="52"/>
      <c r="L501" s="52"/>
      <c r="M501" s="52"/>
      <c r="N501" s="52"/>
      <c r="O501" s="52"/>
      <c r="P501" s="52"/>
      <c r="Q501" s="52"/>
      <c r="R501" s="52"/>
      <c r="S501" s="52"/>
      <c r="T501" s="52"/>
      <c r="U501" s="52"/>
      <c r="V501" s="52"/>
      <c r="W501" s="52"/>
      <c r="X501" s="52"/>
      <c r="Y501" s="52"/>
      <c r="Z501" s="52"/>
      <c r="AA501" s="52"/>
      <c r="AB501" s="52"/>
      <c r="AC501" s="52"/>
    </row>
    <row r="502">
      <c r="A502" s="52"/>
      <c r="B502" s="350"/>
      <c r="C502" s="52"/>
      <c r="D502" s="52"/>
      <c r="E502" s="52"/>
      <c r="F502" s="351"/>
      <c r="G502" s="52"/>
      <c r="H502" s="52"/>
      <c r="I502" s="52"/>
      <c r="J502" s="52"/>
      <c r="K502" s="52"/>
      <c r="L502" s="52"/>
      <c r="M502" s="52"/>
      <c r="N502" s="52"/>
      <c r="O502" s="52"/>
      <c r="P502" s="52"/>
      <c r="Q502" s="52"/>
      <c r="R502" s="52"/>
      <c r="S502" s="52"/>
      <c r="T502" s="52"/>
      <c r="U502" s="52"/>
      <c r="V502" s="52"/>
      <c r="W502" s="52"/>
      <c r="X502" s="52"/>
      <c r="Y502" s="52"/>
      <c r="Z502" s="52"/>
      <c r="AA502" s="52"/>
      <c r="AB502" s="52"/>
      <c r="AC502" s="52"/>
    </row>
    <row r="503">
      <c r="A503" s="52"/>
      <c r="B503" s="350"/>
      <c r="C503" s="52"/>
      <c r="D503" s="52"/>
      <c r="E503" s="52"/>
      <c r="F503" s="351"/>
      <c r="G503" s="52"/>
      <c r="H503" s="52"/>
      <c r="I503" s="52"/>
      <c r="J503" s="52"/>
      <c r="K503" s="52"/>
      <c r="L503" s="52"/>
      <c r="M503" s="52"/>
      <c r="N503" s="52"/>
      <c r="O503" s="52"/>
      <c r="P503" s="52"/>
      <c r="Q503" s="52"/>
      <c r="R503" s="52"/>
      <c r="S503" s="52"/>
      <c r="T503" s="52"/>
      <c r="U503" s="52"/>
      <c r="V503" s="52"/>
      <c r="W503" s="52"/>
      <c r="X503" s="52"/>
      <c r="Y503" s="52"/>
      <c r="Z503" s="52"/>
      <c r="AA503" s="52"/>
      <c r="AB503" s="52"/>
      <c r="AC503" s="52"/>
    </row>
    <row r="504">
      <c r="A504" s="52"/>
      <c r="B504" s="350"/>
      <c r="C504" s="52"/>
      <c r="D504" s="52"/>
      <c r="E504" s="52"/>
      <c r="F504" s="351"/>
      <c r="G504" s="52"/>
      <c r="H504" s="52"/>
      <c r="I504" s="52"/>
      <c r="J504" s="52"/>
      <c r="K504" s="52"/>
      <c r="L504" s="52"/>
      <c r="M504" s="52"/>
      <c r="N504" s="52"/>
      <c r="O504" s="52"/>
      <c r="P504" s="52"/>
      <c r="Q504" s="52"/>
      <c r="R504" s="52"/>
      <c r="S504" s="52"/>
      <c r="T504" s="52"/>
      <c r="U504" s="52"/>
      <c r="V504" s="52"/>
      <c r="W504" s="52"/>
      <c r="X504" s="52"/>
      <c r="Y504" s="52"/>
      <c r="Z504" s="52"/>
      <c r="AA504" s="52"/>
      <c r="AB504" s="52"/>
      <c r="AC504" s="52"/>
    </row>
    <row r="505">
      <c r="A505" s="52"/>
      <c r="B505" s="350"/>
      <c r="C505" s="52"/>
      <c r="D505" s="52"/>
      <c r="E505" s="52"/>
      <c r="F505" s="351"/>
      <c r="G505" s="52"/>
      <c r="H505" s="52"/>
      <c r="I505" s="52"/>
      <c r="J505" s="52"/>
      <c r="K505" s="52"/>
      <c r="L505" s="52"/>
      <c r="M505" s="52"/>
      <c r="N505" s="52"/>
      <c r="O505" s="52"/>
      <c r="P505" s="52"/>
      <c r="Q505" s="52"/>
      <c r="R505" s="52"/>
      <c r="S505" s="52"/>
      <c r="T505" s="52"/>
      <c r="U505" s="52"/>
      <c r="V505" s="52"/>
      <c r="W505" s="52"/>
      <c r="X505" s="52"/>
      <c r="Y505" s="52"/>
      <c r="Z505" s="52"/>
      <c r="AA505" s="52"/>
      <c r="AB505" s="52"/>
      <c r="AC505" s="52"/>
    </row>
    <row r="506">
      <c r="A506" s="52"/>
      <c r="B506" s="350"/>
      <c r="C506" s="52"/>
      <c r="D506" s="52"/>
      <c r="E506" s="52"/>
      <c r="F506" s="351"/>
      <c r="G506" s="52"/>
      <c r="H506" s="52"/>
      <c r="I506" s="52"/>
      <c r="J506" s="52"/>
      <c r="K506" s="52"/>
      <c r="L506" s="52"/>
      <c r="M506" s="52"/>
      <c r="N506" s="52"/>
      <c r="O506" s="52"/>
      <c r="P506" s="52"/>
      <c r="Q506" s="52"/>
      <c r="R506" s="52"/>
      <c r="S506" s="52"/>
      <c r="T506" s="52"/>
      <c r="U506" s="52"/>
      <c r="V506" s="52"/>
      <c r="W506" s="52"/>
      <c r="X506" s="52"/>
      <c r="Y506" s="52"/>
      <c r="Z506" s="52"/>
      <c r="AA506" s="52"/>
      <c r="AB506" s="52"/>
      <c r="AC506" s="52"/>
    </row>
    <row r="507">
      <c r="A507" s="52"/>
      <c r="B507" s="350"/>
      <c r="C507" s="52"/>
      <c r="D507" s="52"/>
      <c r="E507" s="52"/>
      <c r="F507" s="351"/>
      <c r="G507" s="52"/>
      <c r="H507" s="52"/>
      <c r="I507" s="52"/>
      <c r="J507" s="52"/>
      <c r="K507" s="52"/>
      <c r="L507" s="52"/>
      <c r="M507" s="52"/>
      <c r="N507" s="52"/>
      <c r="O507" s="52"/>
      <c r="P507" s="52"/>
      <c r="Q507" s="52"/>
      <c r="R507" s="52"/>
      <c r="S507" s="52"/>
      <c r="T507" s="52"/>
      <c r="U507" s="52"/>
      <c r="V507" s="52"/>
      <c r="W507" s="52"/>
      <c r="X507" s="52"/>
      <c r="Y507" s="52"/>
      <c r="Z507" s="52"/>
      <c r="AA507" s="52"/>
      <c r="AB507" s="52"/>
      <c r="AC507" s="52"/>
    </row>
    <row r="508">
      <c r="A508" s="52"/>
      <c r="B508" s="350"/>
      <c r="C508" s="52"/>
      <c r="D508" s="52"/>
      <c r="E508" s="52"/>
      <c r="F508" s="351"/>
      <c r="G508" s="52"/>
      <c r="H508" s="52"/>
      <c r="I508" s="52"/>
      <c r="J508" s="52"/>
      <c r="K508" s="52"/>
      <c r="L508" s="52"/>
      <c r="M508" s="52"/>
      <c r="N508" s="52"/>
      <c r="O508" s="52"/>
      <c r="P508" s="52"/>
      <c r="Q508" s="52"/>
      <c r="R508" s="52"/>
      <c r="S508" s="52"/>
      <c r="T508" s="52"/>
      <c r="U508" s="52"/>
      <c r="V508" s="52"/>
      <c r="W508" s="52"/>
      <c r="X508" s="52"/>
      <c r="Y508" s="52"/>
      <c r="Z508" s="52"/>
      <c r="AA508" s="52"/>
      <c r="AB508" s="52"/>
      <c r="AC508" s="52"/>
    </row>
    <row r="509">
      <c r="A509" s="52"/>
      <c r="B509" s="350"/>
      <c r="C509" s="52"/>
      <c r="D509" s="52"/>
      <c r="E509" s="52"/>
      <c r="F509" s="351"/>
      <c r="G509" s="52"/>
      <c r="H509" s="52"/>
      <c r="I509" s="52"/>
      <c r="J509" s="52"/>
      <c r="K509" s="52"/>
      <c r="L509" s="52"/>
      <c r="M509" s="52"/>
      <c r="N509" s="52"/>
      <c r="O509" s="52"/>
      <c r="P509" s="52"/>
      <c r="Q509" s="52"/>
      <c r="R509" s="52"/>
      <c r="S509" s="52"/>
      <c r="T509" s="52"/>
      <c r="U509" s="52"/>
      <c r="V509" s="52"/>
      <c r="W509" s="52"/>
      <c r="X509" s="52"/>
      <c r="Y509" s="52"/>
      <c r="Z509" s="52"/>
      <c r="AA509" s="52"/>
      <c r="AB509" s="52"/>
      <c r="AC509" s="52"/>
    </row>
    <row r="510">
      <c r="A510" s="52"/>
      <c r="B510" s="350"/>
      <c r="C510" s="52"/>
      <c r="D510" s="52"/>
      <c r="E510" s="52"/>
      <c r="F510" s="351"/>
      <c r="G510" s="52"/>
      <c r="H510" s="52"/>
      <c r="I510" s="52"/>
      <c r="J510" s="52"/>
      <c r="K510" s="52"/>
      <c r="L510" s="52"/>
      <c r="M510" s="52"/>
      <c r="N510" s="52"/>
      <c r="O510" s="52"/>
      <c r="P510" s="52"/>
      <c r="Q510" s="52"/>
      <c r="R510" s="52"/>
      <c r="S510" s="52"/>
      <c r="T510" s="52"/>
      <c r="U510" s="52"/>
      <c r="V510" s="52"/>
      <c r="W510" s="52"/>
      <c r="X510" s="52"/>
      <c r="Y510" s="52"/>
      <c r="Z510" s="52"/>
      <c r="AA510" s="52"/>
      <c r="AB510" s="52"/>
      <c r="AC510" s="52"/>
    </row>
    <row r="511">
      <c r="A511" s="52"/>
      <c r="B511" s="350"/>
      <c r="C511" s="52"/>
      <c r="D511" s="52"/>
      <c r="E511" s="52"/>
      <c r="F511" s="351"/>
      <c r="G511" s="52"/>
      <c r="H511" s="52"/>
      <c r="I511" s="52"/>
      <c r="J511" s="52"/>
      <c r="K511" s="52"/>
      <c r="L511" s="52"/>
      <c r="M511" s="52"/>
      <c r="N511" s="52"/>
      <c r="O511" s="52"/>
      <c r="P511" s="52"/>
      <c r="Q511" s="52"/>
      <c r="R511" s="52"/>
      <c r="S511" s="52"/>
      <c r="T511" s="52"/>
      <c r="U511" s="52"/>
      <c r="V511" s="52"/>
      <c r="W511" s="52"/>
      <c r="X511" s="52"/>
      <c r="Y511" s="52"/>
      <c r="Z511" s="52"/>
      <c r="AA511" s="52"/>
      <c r="AB511" s="52"/>
      <c r="AC511" s="52"/>
    </row>
    <row r="512">
      <c r="A512" s="52"/>
      <c r="B512" s="350"/>
      <c r="C512" s="52"/>
      <c r="D512" s="52"/>
      <c r="E512" s="52"/>
      <c r="F512" s="351"/>
      <c r="G512" s="52"/>
      <c r="H512" s="52"/>
      <c r="I512" s="52"/>
      <c r="J512" s="52"/>
      <c r="K512" s="52"/>
      <c r="L512" s="52"/>
      <c r="M512" s="52"/>
      <c r="N512" s="52"/>
      <c r="O512" s="52"/>
      <c r="P512" s="52"/>
      <c r="Q512" s="52"/>
      <c r="R512" s="52"/>
      <c r="S512" s="52"/>
      <c r="T512" s="52"/>
      <c r="U512" s="52"/>
      <c r="V512" s="52"/>
      <c r="W512" s="52"/>
      <c r="X512" s="52"/>
      <c r="Y512" s="52"/>
      <c r="Z512" s="52"/>
      <c r="AA512" s="52"/>
      <c r="AB512" s="52"/>
      <c r="AC512" s="52"/>
    </row>
    <row r="513">
      <c r="A513" s="52"/>
      <c r="B513" s="350"/>
      <c r="C513" s="52"/>
      <c r="D513" s="52"/>
      <c r="E513" s="52"/>
      <c r="F513" s="351"/>
      <c r="G513" s="52"/>
      <c r="H513" s="52"/>
      <c r="I513" s="52"/>
      <c r="J513" s="52"/>
      <c r="K513" s="52"/>
      <c r="L513" s="52"/>
      <c r="M513" s="52"/>
      <c r="N513" s="52"/>
      <c r="O513" s="52"/>
      <c r="P513" s="52"/>
      <c r="Q513" s="52"/>
      <c r="R513" s="52"/>
      <c r="S513" s="52"/>
      <c r="T513" s="52"/>
      <c r="U513" s="52"/>
      <c r="V513" s="52"/>
      <c r="W513" s="52"/>
      <c r="X513" s="52"/>
      <c r="Y513" s="52"/>
      <c r="Z513" s="52"/>
      <c r="AA513" s="52"/>
      <c r="AB513" s="52"/>
      <c r="AC513" s="52"/>
    </row>
    <row r="514">
      <c r="A514" s="52"/>
      <c r="B514" s="350"/>
      <c r="C514" s="52"/>
      <c r="D514" s="52"/>
      <c r="E514" s="52"/>
      <c r="F514" s="351"/>
      <c r="G514" s="52"/>
      <c r="H514" s="52"/>
      <c r="I514" s="52"/>
      <c r="J514" s="52"/>
      <c r="K514" s="52"/>
      <c r="L514" s="52"/>
      <c r="M514" s="52"/>
      <c r="N514" s="52"/>
      <c r="O514" s="52"/>
      <c r="P514" s="52"/>
      <c r="Q514" s="52"/>
      <c r="R514" s="52"/>
      <c r="S514" s="52"/>
      <c r="T514" s="52"/>
      <c r="U514" s="52"/>
      <c r="V514" s="52"/>
      <c r="W514" s="52"/>
      <c r="X514" s="52"/>
      <c r="Y514" s="52"/>
      <c r="Z514" s="52"/>
      <c r="AA514" s="52"/>
      <c r="AB514" s="52"/>
      <c r="AC514" s="52"/>
    </row>
    <row r="515">
      <c r="A515" s="52"/>
      <c r="B515" s="350"/>
      <c r="C515" s="52"/>
      <c r="D515" s="52"/>
      <c r="E515" s="52"/>
      <c r="F515" s="351"/>
      <c r="G515" s="52"/>
      <c r="H515" s="52"/>
      <c r="I515" s="52"/>
      <c r="J515" s="52"/>
      <c r="K515" s="52"/>
      <c r="L515" s="52"/>
      <c r="M515" s="52"/>
      <c r="N515" s="52"/>
      <c r="O515" s="52"/>
      <c r="P515" s="52"/>
      <c r="Q515" s="52"/>
      <c r="R515" s="52"/>
      <c r="S515" s="52"/>
      <c r="T515" s="52"/>
      <c r="U515" s="52"/>
      <c r="V515" s="52"/>
      <c r="W515" s="52"/>
      <c r="X515" s="52"/>
      <c r="Y515" s="52"/>
      <c r="Z515" s="52"/>
      <c r="AA515" s="52"/>
      <c r="AB515" s="52"/>
      <c r="AC515" s="52"/>
    </row>
    <row r="516">
      <c r="A516" s="52"/>
      <c r="B516" s="350"/>
      <c r="C516" s="52"/>
      <c r="D516" s="52"/>
      <c r="E516" s="52"/>
      <c r="F516" s="351"/>
      <c r="G516" s="52"/>
      <c r="H516" s="52"/>
      <c r="I516" s="52"/>
      <c r="J516" s="52"/>
      <c r="K516" s="52"/>
      <c r="L516" s="52"/>
      <c r="M516" s="52"/>
      <c r="N516" s="52"/>
      <c r="O516" s="52"/>
      <c r="P516" s="52"/>
      <c r="Q516" s="52"/>
      <c r="R516" s="52"/>
      <c r="S516" s="52"/>
      <c r="T516" s="52"/>
      <c r="U516" s="52"/>
      <c r="V516" s="52"/>
      <c r="W516" s="52"/>
      <c r="X516" s="52"/>
      <c r="Y516" s="52"/>
      <c r="Z516" s="52"/>
      <c r="AA516" s="52"/>
      <c r="AB516" s="52"/>
      <c r="AC516" s="52"/>
    </row>
    <row r="517">
      <c r="A517" s="52"/>
      <c r="B517" s="350"/>
      <c r="C517" s="52"/>
      <c r="D517" s="52"/>
      <c r="E517" s="52"/>
      <c r="F517" s="351"/>
      <c r="G517" s="52"/>
      <c r="H517" s="52"/>
      <c r="I517" s="52"/>
      <c r="J517" s="52"/>
      <c r="K517" s="52"/>
      <c r="L517" s="52"/>
      <c r="M517" s="52"/>
      <c r="N517" s="52"/>
      <c r="O517" s="52"/>
      <c r="P517" s="52"/>
      <c r="Q517" s="52"/>
      <c r="R517" s="52"/>
      <c r="S517" s="52"/>
      <c r="T517" s="52"/>
      <c r="U517" s="52"/>
      <c r="V517" s="52"/>
      <c r="W517" s="52"/>
      <c r="X517" s="52"/>
      <c r="Y517" s="52"/>
      <c r="Z517" s="52"/>
      <c r="AA517" s="52"/>
      <c r="AB517" s="52"/>
      <c r="AC517" s="52"/>
    </row>
    <row r="518">
      <c r="A518" s="52"/>
      <c r="B518" s="350"/>
      <c r="C518" s="52"/>
      <c r="D518" s="52"/>
      <c r="E518" s="52"/>
      <c r="F518" s="351"/>
      <c r="G518" s="52"/>
      <c r="H518" s="52"/>
      <c r="I518" s="52"/>
      <c r="J518" s="52"/>
      <c r="K518" s="52"/>
      <c r="L518" s="52"/>
      <c r="M518" s="52"/>
      <c r="N518" s="52"/>
      <c r="O518" s="52"/>
      <c r="P518" s="52"/>
      <c r="Q518" s="52"/>
      <c r="R518" s="52"/>
      <c r="S518" s="52"/>
      <c r="T518" s="52"/>
      <c r="U518" s="52"/>
      <c r="V518" s="52"/>
      <c r="W518" s="52"/>
      <c r="X518" s="52"/>
      <c r="Y518" s="52"/>
      <c r="Z518" s="52"/>
      <c r="AA518" s="52"/>
      <c r="AB518" s="52"/>
      <c r="AC518" s="52"/>
    </row>
    <row r="519">
      <c r="A519" s="52"/>
      <c r="B519" s="350"/>
      <c r="C519" s="52"/>
      <c r="D519" s="52"/>
      <c r="E519" s="52"/>
      <c r="F519" s="351"/>
      <c r="G519" s="52"/>
      <c r="H519" s="52"/>
      <c r="I519" s="52"/>
      <c r="J519" s="52"/>
      <c r="K519" s="52"/>
      <c r="L519" s="52"/>
      <c r="M519" s="52"/>
      <c r="N519" s="52"/>
      <c r="O519" s="52"/>
      <c r="P519" s="52"/>
      <c r="Q519" s="52"/>
      <c r="R519" s="52"/>
      <c r="S519" s="52"/>
      <c r="T519" s="52"/>
      <c r="U519" s="52"/>
      <c r="V519" s="52"/>
      <c r="W519" s="52"/>
      <c r="X519" s="52"/>
      <c r="Y519" s="52"/>
      <c r="Z519" s="52"/>
      <c r="AA519" s="52"/>
      <c r="AB519" s="52"/>
      <c r="AC519" s="52"/>
    </row>
    <row r="520">
      <c r="A520" s="52"/>
      <c r="B520" s="350"/>
      <c r="C520" s="52"/>
      <c r="D520" s="52"/>
      <c r="E520" s="52"/>
      <c r="F520" s="351"/>
      <c r="G520" s="52"/>
      <c r="H520" s="52"/>
      <c r="I520" s="52"/>
      <c r="J520" s="52"/>
      <c r="K520" s="52"/>
      <c r="L520" s="52"/>
      <c r="M520" s="52"/>
      <c r="N520" s="52"/>
      <c r="O520" s="52"/>
      <c r="P520" s="52"/>
      <c r="Q520" s="52"/>
      <c r="R520" s="52"/>
      <c r="S520" s="52"/>
      <c r="T520" s="52"/>
      <c r="U520" s="52"/>
      <c r="V520" s="52"/>
      <c r="W520" s="52"/>
      <c r="X520" s="52"/>
      <c r="Y520" s="52"/>
      <c r="Z520" s="52"/>
      <c r="AA520" s="52"/>
      <c r="AB520" s="52"/>
      <c r="AC520" s="52"/>
    </row>
    <row r="521">
      <c r="A521" s="52"/>
      <c r="B521" s="350"/>
      <c r="C521" s="52"/>
      <c r="D521" s="52"/>
      <c r="E521" s="52"/>
      <c r="F521" s="351"/>
      <c r="G521" s="52"/>
      <c r="H521" s="52"/>
      <c r="I521" s="52"/>
      <c r="J521" s="52"/>
      <c r="K521" s="52"/>
      <c r="L521" s="52"/>
      <c r="M521" s="52"/>
      <c r="N521" s="52"/>
      <c r="O521" s="52"/>
      <c r="P521" s="52"/>
      <c r="Q521" s="52"/>
      <c r="R521" s="52"/>
      <c r="S521" s="52"/>
      <c r="T521" s="52"/>
      <c r="U521" s="52"/>
      <c r="V521" s="52"/>
      <c r="W521" s="52"/>
      <c r="X521" s="52"/>
      <c r="Y521" s="52"/>
      <c r="Z521" s="52"/>
      <c r="AA521" s="52"/>
      <c r="AB521" s="52"/>
      <c r="AC521" s="52"/>
    </row>
    <row r="522">
      <c r="A522" s="52"/>
      <c r="B522" s="350"/>
      <c r="C522" s="52"/>
      <c r="D522" s="52"/>
      <c r="E522" s="52"/>
      <c r="F522" s="351"/>
      <c r="G522" s="52"/>
      <c r="H522" s="52"/>
      <c r="I522" s="52"/>
      <c r="J522" s="52"/>
      <c r="K522" s="52"/>
      <c r="L522" s="52"/>
      <c r="M522" s="52"/>
      <c r="N522" s="52"/>
      <c r="O522" s="52"/>
      <c r="P522" s="52"/>
      <c r="Q522" s="52"/>
      <c r="R522" s="52"/>
      <c r="S522" s="52"/>
      <c r="T522" s="52"/>
      <c r="U522" s="52"/>
      <c r="V522" s="52"/>
      <c r="W522" s="52"/>
      <c r="X522" s="52"/>
      <c r="Y522" s="52"/>
      <c r="Z522" s="52"/>
      <c r="AA522" s="52"/>
      <c r="AB522" s="52"/>
      <c r="AC522" s="52"/>
    </row>
    <row r="523">
      <c r="A523" s="52"/>
      <c r="B523" s="350"/>
      <c r="C523" s="52"/>
      <c r="D523" s="52"/>
      <c r="E523" s="52"/>
      <c r="F523" s="351"/>
      <c r="G523" s="52"/>
      <c r="H523" s="52"/>
      <c r="I523" s="52"/>
      <c r="J523" s="52"/>
      <c r="K523" s="52"/>
      <c r="L523" s="52"/>
      <c r="M523" s="52"/>
      <c r="N523" s="52"/>
      <c r="O523" s="52"/>
      <c r="P523" s="52"/>
      <c r="Q523" s="52"/>
      <c r="R523" s="52"/>
      <c r="S523" s="52"/>
      <c r="T523" s="52"/>
      <c r="U523" s="52"/>
      <c r="V523" s="52"/>
      <c r="W523" s="52"/>
      <c r="X523" s="52"/>
      <c r="Y523" s="52"/>
      <c r="Z523" s="52"/>
      <c r="AA523" s="52"/>
      <c r="AB523" s="52"/>
      <c r="AC523" s="52"/>
    </row>
    <row r="524">
      <c r="A524" s="52"/>
      <c r="B524" s="350"/>
      <c r="C524" s="52"/>
      <c r="D524" s="52"/>
      <c r="E524" s="52"/>
      <c r="F524" s="351"/>
      <c r="G524" s="52"/>
      <c r="H524" s="52"/>
      <c r="I524" s="52"/>
      <c r="J524" s="52"/>
      <c r="K524" s="52"/>
      <c r="L524" s="52"/>
      <c r="M524" s="52"/>
      <c r="N524" s="52"/>
      <c r="O524" s="52"/>
      <c r="P524" s="52"/>
      <c r="Q524" s="52"/>
      <c r="R524" s="52"/>
      <c r="S524" s="52"/>
      <c r="T524" s="52"/>
      <c r="U524" s="52"/>
      <c r="V524" s="52"/>
      <c r="W524" s="52"/>
      <c r="X524" s="52"/>
      <c r="Y524" s="52"/>
      <c r="Z524" s="52"/>
      <c r="AA524" s="52"/>
      <c r="AB524" s="52"/>
      <c r="AC524" s="52"/>
    </row>
    <row r="525">
      <c r="A525" s="52"/>
      <c r="B525" s="350"/>
      <c r="C525" s="52"/>
      <c r="D525" s="52"/>
      <c r="E525" s="52"/>
      <c r="F525" s="351"/>
      <c r="G525" s="52"/>
      <c r="H525" s="52"/>
      <c r="I525" s="52"/>
      <c r="J525" s="52"/>
      <c r="K525" s="52"/>
      <c r="L525" s="52"/>
      <c r="M525" s="52"/>
      <c r="N525" s="52"/>
      <c r="O525" s="52"/>
      <c r="P525" s="52"/>
      <c r="Q525" s="52"/>
      <c r="R525" s="52"/>
      <c r="S525" s="52"/>
      <c r="T525" s="52"/>
      <c r="U525" s="52"/>
      <c r="V525" s="52"/>
      <c r="W525" s="52"/>
      <c r="X525" s="52"/>
      <c r="Y525" s="52"/>
      <c r="Z525" s="52"/>
      <c r="AA525" s="52"/>
      <c r="AB525" s="52"/>
      <c r="AC525" s="52"/>
    </row>
    <row r="526">
      <c r="A526" s="52"/>
      <c r="B526" s="350"/>
      <c r="C526" s="52"/>
      <c r="D526" s="52"/>
      <c r="E526" s="52"/>
      <c r="F526" s="351"/>
      <c r="G526" s="52"/>
      <c r="H526" s="52"/>
      <c r="I526" s="52"/>
      <c r="J526" s="52"/>
      <c r="K526" s="52"/>
      <c r="L526" s="52"/>
      <c r="M526" s="52"/>
      <c r="N526" s="52"/>
      <c r="O526" s="52"/>
      <c r="P526" s="52"/>
      <c r="Q526" s="52"/>
      <c r="R526" s="52"/>
      <c r="S526" s="52"/>
      <c r="T526" s="52"/>
      <c r="U526" s="52"/>
      <c r="V526" s="52"/>
      <c r="W526" s="52"/>
      <c r="X526" s="52"/>
      <c r="Y526" s="52"/>
      <c r="Z526" s="52"/>
      <c r="AA526" s="52"/>
      <c r="AB526" s="52"/>
      <c r="AC526" s="52"/>
    </row>
    <row r="527">
      <c r="A527" s="52"/>
      <c r="B527" s="350"/>
      <c r="C527" s="52"/>
      <c r="D527" s="52"/>
      <c r="E527" s="52"/>
      <c r="F527" s="351"/>
      <c r="G527" s="52"/>
      <c r="H527" s="52"/>
      <c r="I527" s="52"/>
      <c r="J527" s="52"/>
      <c r="K527" s="52"/>
      <c r="L527" s="52"/>
      <c r="M527" s="52"/>
      <c r="N527" s="52"/>
      <c r="O527" s="52"/>
      <c r="P527" s="52"/>
      <c r="Q527" s="52"/>
      <c r="R527" s="52"/>
      <c r="S527" s="52"/>
      <c r="T527" s="52"/>
      <c r="U527" s="52"/>
      <c r="V527" s="52"/>
      <c r="W527" s="52"/>
      <c r="X527" s="52"/>
      <c r="Y527" s="52"/>
      <c r="Z527" s="52"/>
      <c r="AA527" s="52"/>
      <c r="AB527" s="52"/>
      <c r="AC527" s="52"/>
    </row>
    <row r="528">
      <c r="A528" s="52"/>
      <c r="B528" s="350"/>
      <c r="C528" s="52"/>
      <c r="D528" s="52"/>
      <c r="E528" s="52"/>
      <c r="F528" s="351"/>
      <c r="G528" s="52"/>
      <c r="H528" s="52"/>
      <c r="I528" s="52"/>
      <c r="J528" s="52"/>
      <c r="K528" s="52"/>
      <c r="L528" s="52"/>
      <c r="M528" s="52"/>
      <c r="N528" s="52"/>
      <c r="O528" s="52"/>
      <c r="P528" s="52"/>
      <c r="Q528" s="52"/>
      <c r="R528" s="52"/>
      <c r="S528" s="52"/>
      <c r="T528" s="52"/>
      <c r="U528" s="52"/>
      <c r="V528" s="52"/>
      <c r="W528" s="52"/>
      <c r="X528" s="52"/>
      <c r="Y528" s="52"/>
      <c r="Z528" s="52"/>
      <c r="AA528" s="52"/>
      <c r="AB528" s="52"/>
      <c r="AC528" s="52"/>
    </row>
    <row r="529">
      <c r="A529" s="52"/>
      <c r="B529" s="350"/>
      <c r="C529" s="52"/>
      <c r="D529" s="52"/>
      <c r="E529" s="52"/>
      <c r="F529" s="351"/>
      <c r="G529" s="52"/>
      <c r="H529" s="52"/>
      <c r="I529" s="52"/>
      <c r="J529" s="52"/>
      <c r="K529" s="52"/>
      <c r="L529" s="52"/>
      <c r="M529" s="52"/>
      <c r="N529" s="52"/>
      <c r="O529" s="52"/>
      <c r="P529" s="52"/>
      <c r="Q529" s="52"/>
      <c r="R529" s="52"/>
      <c r="S529" s="52"/>
      <c r="T529" s="52"/>
      <c r="U529" s="52"/>
      <c r="V529" s="52"/>
      <c r="W529" s="52"/>
      <c r="X529" s="52"/>
      <c r="Y529" s="52"/>
      <c r="Z529" s="52"/>
      <c r="AA529" s="52"/>
      <c r="AB529" s="52"/>
      <c r="AC529" s="52"/>
    </row>
    <row r="530">
      <c r="A530" s="52"/>
      <c r="B530" s="350"/>
      <c r="C530" s="52"/>
      <c r="D530" s="52"/>
      <c r="E530" s="52"/>
      <c r="F530" s="351"/>
      <c r="G530" s="52"/>
      <c r="H530" s="52"/>
      <c r="I530" s="52"/>
      <c r="J530" s="52"/>
      <c r="K530" s="52"/>
      <c r="L530" s="52"/>
      <c r="M530" s="52"/>
      <c r="N530" s="52"/>
      <c r="O530" s="52"/>
      <c r="P530" s="52"/>
      <c r="Q530" s="52"/>
      <c r="R530" s="52"/>
      <c r="S530" s="52"/>
      <c r="T530" s="52"/>
      <c r="U530" s="52"/>
      <c r="V530" s="52"/>
      <c r="W530" s="52"/>
      <c r="X530" s="52"/>
      <c r="Y530" s="52"/>
      <c r="Z530" s="52"/>
      <c r="AA530" s="52"/>
      <c r="AB530" s="52"/>
      <c r="AC530" s="52"/>
    </row>
    <row r="531">
      <c r="A531" s="52"/>
      <c r="B531" s="350"/>
      <c r="C531" s="52"/>
      <c r="D531" s="52"/>
      <c r="E531" s="52"/>
      <c r="F531" s="351"/>
      <c r="G531" s="52"/>
      <c r="H531" s="52"/>
      <c r="I531" s="52"/>
      <c r="J531" s="52"/>
      <c r="K531" s="52"/>
      <c r="L531" s="52"/>
      <c r="M531" s="52"/>
      <c r="N531" s="52"/>
      <c r="O531" s="52"/>
      <c r="P531" s="52"/>
      <c r="Q531" s="52"/>
      <c r="R531" s="52"/>
      <c r="S531" s="52"/>
      <c r="T531" s="52"/>
      <c r="U531" s="52"/>
      <c r="V531" s="52"/>
      <c r="W531" s="52"/>
      <c r="X531" s="52"/>
      <c r="Y531" s="52"/>
      <c r="Z531" s="52"/>
      <c r="AA531" s="52"/>
      <c r="AB531" s="52"/>
      <c r="AC531" s="52"/>
    </row>
    <row r="532">
      <c r="A532" s="52"/>
      <c r="B532" s="350"/>
      <c r="C532" s="52"/>
      <c r="D532" s="52"/>
      <c r="E532" s="52"/>
      <c r="F532" s="351"/>
      <c r="G532" s="52"/>
      <c r="H532" s="52"/>
      <c r="I532" s="52"/>
      <c r="J532" s="52"/>
      <c r="K532" s="52"/>
      <c r="L532" s="52"/>
      <c r="M532" s="52"/>
      <c r="N532" s="52"/>
      <c r="O532" s="52"/>
      <c r="P532" s="52"/>
      <c r="Q532" s="52"/>
      <c r="R532" s="52"/>
      <c r="S532" s="52"/>
      <c r="T532" s="52"/>
      <c r="U532" s="52"/>
      <c r="V532" s="52"/>
      <c r="W532" s="52"/>
      <c r="X532" s="52"/>
      <c r="Y532" s="52"/>
      <c r="Z532" s="52"/>
      <c r="AA532" s="52"/>
      <c r="AB532" s="52"/>
      <c r="AC532" s="52"/>
    </row>
    <row r="533">
      <c r="A533" s="52"/>
      <c r="B533" s="350"/>
      <c r="C533" s="52"/>
      <c r="D533" s="52"/>
      <c r="E533" s="52"/>
      <c r="F533" s="351"/>
      <c r="G533" s="52"/>
      <c r="H533" s="52"/>
      <c r="I533" s="52"/>
      <c r="J533" s="52"/>
      <c r="K533" s="52"/>
      <c r="L533" s="52"/>
      <c r="M533" s="52"/>
      <c r="N533" s="52"/>
      <c r="O533" s="52"/>
      <c r="P533" s="52"/>
      <c r="Q533" s="52"/>
      <c r="R533" s="52"/>
      <c r="S533" s="52"/>
      <c r="T533" s="52"/>
      <c r="U533" s="52"/>
      <c r="V533" s="52"/>
      <c r="W533" s="52"/>
      <c r="X533" s="52"/>
      <c r="Y533" s="52"/>
      <c r="Z533" s="52"/>
      <c r="AA533" s="52"/>
      <c r="AB533" s="52"/>
      <c r="AC533" s="52"/>
    </row>
    <row r="534">
      <c r="A534" s="52"/>
      <c r="B534" s="350"/>
      <c r="C534" s="52"/>
      <c r="D534" s="52"/>
      <c r="E534" s="52"/>
      <c r="F534" s="351"/>
      <c r="G534" s="52"/>
      <c r="H534" s="52"/>
      <c r="I534" s="52"/>
      <c r="J534" s="52"/>
      <c r="K534" s="52"/>
      <c r="L534" s="52"/>
      <c r="M534" s="52"/>
      <c r="N534" s="52"/>
      <c r="O534" s="52"/>
      <c r="P534" s="52"/>
      <c r="Q534" s="52"/>
      <c r="R534" s="52"/>
      <c r="S534" s="52"/>
      <c r="T534" s="52"/>
      <c r="U534" s="52"/>
      <c r="V534" s="52"/>
      <c r="W534" s="52"/>
      <c r="X534" s="52"/>
      <c r="Y534" s="52"/>
      <c r="Z534" s="52"/>
      <c r="AA534" s="52"/>
      <c r="AB534" s="52"/>
      <c r="AC534" s="52"/>
    </row>
    <row r="535">
      <c r="A535" s="52"/>
      <c r="B535" s="350"/>
      <c r="C535" s="52"/>
      <c r="D535" s="52"/>
      <c r="E535" s="52"/>
      <c r="F535" s="351"/>
      <c r="G535" s="52"/>
      <c r="H535" s="52"/>
      <c r="I535" s="52"/>
      <c r="J535" s="52"/>
      <c r="K535" s="52"/>
      <c r="L535" s="52"/>
      <c r="M535" s="52"/>
      <c r="N535" s="52"/>
      <c r="O535" s="52"/>
      <c r="P535" s="52"/>
      <c r="Q535" s="52"/>
      <c r="R535" s="52"/>
      <c r="S535" s="52"/>
      <c r="T535" s="52"/>
      <c r="U535" s="52"/>
      <c r="V535" s="52"/>
      <c r="W535" s="52"/>
      <c r="X535" s="52"/>
      <c r="Y535" s="52"/>
      <c r="Z535" s="52"/>
      <c r="AA535" s="52"/>
      <c r="AB535" s="52"/>
      <c r="AC535" s="52"/>
    </row>
    <row r="536">
      <c r="A536" s="52"/>
      <c r="B536" s="350"/>
      <c r="C536" s="52"/>
      <c r="D536" s="52"/>
      <c r="E536" s="52"/>
      <c r="F536" s="351"/>
      <c r="G536" s="52"/>
      <c r="H536" s="52"/>
      <c r="I536" s="52"/>
      <c r="J536" s="52"/>
      <c r="K536" s="52"/>
      <c r="L536" s="52"/>
      <c r="M536" s="52"/>
      <c r="N536" s="52"/>
      <c r="O536" s="52"/>
      <c r="P536" s="52"/>
      <c r="Q536" s="52"/>
      <c r="R536" s="52"/>
      <c r="S536" s="52"/>
      <c r="T536" s="52"/>
      <c r="U536" s="52"/>
      <c r="V536" s="52"/>
      <c r="W536" s="52"/>
      <c r="X536" s="52"/>
      <c r="Y536" s="52"/>
      <c r="Z536" s="52"/>
      <c r="AA536" s="52"/>
      <c r="AB536" s="52"/>
      <c r="AC536" s="52"/>
    </row>
    <row r="537">
      <c r="A537" s="52"/>
      <c r="B537" s="350"/>
      <c r="C537" s="52"/>
      <c r="D537" s="52"/>
      <c r="E537" s="52"/>
      <c r="F537" s="351"/>
      <c r="G537" s="52"/>
      <c r="H537" s="52"/>
      <c r="I537" s="52"/>
      <c r="J537" s="52"/>
      <c r="K537" s="52"/>
      <c r="L537" s="52"/>
      <c r="M537" s="52"/>
      <c r="N537" s="52"/>
      <c r="O537" s="52"/>
      <c r="P537" s="52"/>
      <c r="Q537" s="52"/>
      <c r="R537" s="52"/>
      <c r="S537" s="52"/>
      <c r="T537" s="52"/>
      <c r="U537" s="52"/>
      <c r="V537" s="52"/>
      <c r="W537" s="52"/>
      <c r="X537" s="52"/>
      <c r="Y537" s="52"/>
      <c r="Z537" s="52"/>
      <c r="AA537" s="52"/>
      <c r="AB537" s="52"/>
      <c r="AC537" s="52"/>
    </row>
    <row r="538">
      <c r="A538" s="52"/>
      <c r="B538" s="350"/>
      <c r="C538" s="52"/>
      <c r="D538" s="52"/>
      <c r="E538" s="52"/>
      <c r="F538" s="351"/>
      <c r="G538" s="52"/>
      <c r="H538" s="52"/>
      <c r="I538" s="52"/>
      <c r="J538" s="52"/>
      <c r="K538" s="52"/>
      <c r="L538" s="52"/>
      <c r="M538" s="52"/>
      <c r="N538" s="52"/>
      <c r="O538" s="52"/>
      <c r="P538" s="52"/>
      <c r="Q538" s="52"/>
      <c r="R538" s="52"/>
      <c r="S538" s="52"/>
      <c r="T538" s="52"/>
      <c r="U538" s="52"/>
      <c r="V538" s="52"/>
      <c r="W538" s="52"/>
      <c r="X538" s="52"/>
      <c r="Y538" s="52"/>
      <c r="Z538" s="52"/>
      <c r="AA538" s="52"/>
      <c r="AB538" s="52"/>
      <c r="AC538" s="52"/>
    </row>
    <row r="539">
      <c r="A539" s="52"/>
      <c r="B539" s="350"/>
      <c r="C539" s="52"/>
      <c r="D539" s="52"/>
      <c r="E539" s="52"/>
      <c r="F539" s="351"/>
      <c r="G539" s="52"/>
      <c r="H539" s="52"/>
      <c r="I539" s="52"/>
      <c r="J539" s="52"/>
      <c r="K539" s="52"/>
      <c r="L539" s="52"/>
      <c r="M539" s="52"/>
      <c r="N539" s="52"/>
      <c r="O539" s="52"/>
      <c r="P539" s="52"/>
      <c r="Q539" s="52"/>
      <c r="R539" s="52"/>
      <c r="S539" s="52"/>
      <c r="T539" s="52"/>
      <c r="U539" s="52"/>
      <c r="V539" s="52"/>
      <c r="W539" s="52"/>
      <c r="X539" s="52"/>
      <c r="Y539" s="52"/>
      <c r="Z539" s="52"/>
      <c r="AA539" s="52"/>
      <c r="AB539" s="52"/>
      <c r="AC539" s="52"/>
    </row>
    <row r="540">
      <c r="A540" s="52"/>
      <c r="B540" s="350"/>
      <c r="C540" s="52"/>
      <c r="D540" s="52"/>
      <c r="E540" s="52"/>
      <c r="F540" s="351"/>
      <c r="G540" s="52"/>
      <c r="H540" s="52"/>
      <c r="I540" s="52"/>
      <c r="J540" s="52"/>
      <c r="K540" s="52"/>
      <c r="L540" s="52"/>
      <c r="M540" s="52"/>
      <c r="N540" s="52"/>
      <c r="O540" s="52"/>
      <c r="P540" s="52"/>
      <c r="Q540" s="52"/>
      <c r="R540" s="52"/>
      <c r="S540" s="52"/>
      <c r="T540" s="52"/>
      <c r="U540" s="52"/>
      <c r="V540" s="52"/>
      <c r="W540" s="52"/>
      <c r="X540" s="52"/>
      <c r="Y540" s="52"/>
      <c r="Z540" s="52"/>
      <c r="AA540" s="52"/>
      <c r="AB540" s="52"/>
      <c r="AC540" s="52"/>
    </row>
    <row r="541">
      <c r="A541" s="52"/>
      <c r="B541" s="350"/>
      <c r="C541" s="52"/>
      <c r="D541" s="52"/>
      <c r="E541" s="52"/>
      <c r="F541" s="351"/>
      <c r="G541" s="52"/>
      <c r="H541" s="52"/>
      <c r="I541" s="52"/>
      <c r="J541" s="52"/>
      <c r="K541" s="52"/>
      <c r="L541" s="52"/>
      <c r="M541" s="52"/>
      <c r="N541" s="52"/>
      <c r="O541" s="52"/>
      <c r="P541" s="52"/>
      <c r="Q541" s="52"/>
      <c r="R541" s="52"/>
      <c r="S541" s="52"/>
      <c r="T541" s="52"/>
      <c r="U541" s="52"/>
      <c r="V541" s="52"/>
      <c r="W541" s="52"/>
      <c r="X541" s="52"/>
      <c r="Y541" s="52"/>
      <c r="Z541" s="52"/>
      <c r="AA541" s="52"/>
      <c r="AB541" s="52"/>
      <c r="AC541" s="52"/>
    </row>
    <row r="542">
      <c r="A542" s="52"/>
      <c r="B542" s="350"/>
      <c r="C542" s="52"/>
      <c r="D542" s="52"/>
      <c r="E542" s="52"/>
      <c r="F542" s="351"/>
      <c r="G542" s="52"/>
      <c r="H542" s="52"/>
      <c r="I542" s="52"/>
      <c r="J542" s="52"/>
      <c r="K542" s="52"/>
      <c r="L542" s="52"/>
      <c r="M542" s="52"/>
      <c r="N542" s="52"/>
      <c r="O542" s="52"/>
      <c r="P542" s="52"/>
      <c r="Q542" s="52"/>
      <c r="R542" s="52"/>
      <c r="S542" s="52"/>
      <c r="T542" s="52"/>
      <c r="U542" s="52"/>
      <c r="V542" s="52"/>
      <c r="W542" s="52"/>
      <c r="X542" s="52"/>
      <c r="Y542" s="52"/>
      <c r="Z542" s="52"/>
      <c r="AA542" s="52"/>
      <c r="AB542" s="52"/>
      <c r="AC542" s="52"/>
    </row>
    <row r="543">
      <c r="A543" s="52"/>
      <c r="B543" s="350"/>
      <c r="C543" s="52"/>
      <c r="D543" s="52"/>
      <c r="E543" s="52"/>
      <c r="F543" s="351"/>
      <c r="G543" s="52"/>
      <c r="H543" s="52"/>
      <c r="I543" s="52"/>
      <c r="J543" s="52"/>
      <c r="K543" s="52"/>
      <c r="L543" s="52"/>
      <c r="M543" s="52"/>
      <c r="N543" s="52"/>
      <c r="O543" s="52"/>
      <c r="P543" s="52"/>
      <c r="Q543" s="52"/>
      <c r="R543" s="52"/>
      <c r="S543" s="52"/>
      <c r="T543" s="52"/>
      <c r="U543" s="52"/>
      <c r="V543" s="52"/>
      <c r="W543" s="52"/>
      <c r="X543" s="52"/>
      <c r="Y543" s="52"/>
      <c r="Z543" s="52"/>
      <c r="AA543" s="52"/>
      <c r="AB543" s="52"/>
      <c r="AC543" s="52"/>
    </row>
    <row r="544">
      <c r="A544" s="52"/>
      <c r="B544" s="350"/>
      <c r="C544" s="52"/>
      <c r="D544" s="52"/>
      <c r="E544" s="52"/>
      <c r="F544" s="351"/>
      <c r="G544" s="52"/>
      <c r="H544" s="52"/>
      <c r="I544" s="52"/>
      <c r="J544" s="52"/>
      <c r="K544" s="52"/>
      <c r="L544" s="52"/>
      <c r="M544" s="52"/>
      <c r="N544" s="52"/>
      <c r="O544" s="52"/>
      <c r="P544" s="52"/>
      <c r="Q544" s="52"/>
      <c r="R544" s="52"/>
      <c r="S544" s="52"/>
      <c r="T544" s="52"/>
      <c r="U544" s="52"/>
      <c r="V544" s="52"/>
      <c r="W544" s="52"/>
      <c r="X544" s="52"/>
      <c r="Y544" s="52"/>
      <c r="Z544" s="52"/>
      <c r="AA544" s="52"/>
      <c r="AB544" s="52"/>
      <c r="AC544" s="52"/>
    </row>
    <row r="545">
      <c r="A545" s="52"/>
      <c r="B545" s="350"/>
      <c r="C545" s="52"/>
      <c r="D545" s="52"/>
      <c r="E545" s="52"/>
      <c r="F545" s="351"/>
      <c r="G545" s="52"/>
      <c r="H545" s="52"/>
      <c r="I545" s="52"/>
      <c r="J545" s="52"/>
      <c r="K545" s="52"/>
      <c r="L545" s="52"/>
      <c r="M545" s="52"/>
      <c r="N545" s="52"/>
      <c r="O545" s="52"/>
      <c r="P545" s="52"/>
      <c r="Q545" s="52"/>
      <c r="R545" s="52"/>
      <c r="S545" s="52"/>
      <c r="T545" s="52"/>
      <c r="U545" s="52"/>
      <c r="V545" s="52"/>
      <c r="W545" s="52"/>
      <c r="X545" s="52"/>
      <c r="Y545" s="52"/>
      <c r="Z545" s="52"/>
      <c r="AA545" s="52"/>
      <c r="AB545" s="52"/>
      <c r="AC545" s="52"/>
    </row>
    <row r="546">
      <c r="A546" s="52"/>
      <c r="B546" s="350"/>
      <c r="C546" s="52"/>
      <c r="D546" s="52"/>
      <c r="E546" s="52"/>
      <c r="F546" s="351"/>
      <c r="G546" s="52"/>
      <c r="H546" s="52"/>
      <c r="I546" s="52"/>
      <c r="J546" s="52"/>
      <c r="K546" s="52"/>
      <c r="L546" s="52"/>
      <c r="M546" s="52"/>
      <c r="N546" s="52"/>
      <c r="O546" s="52"/>
      <c r="P546" s="52"/>
      <c r="Q546" s="52"/>
      <c r="R546" s="52"/>
      <c r="S546" s="52"/>
      <c r="T546" s="52"/>
      <c r="U546" s="52"/>
      <c r="V546" s="52"/>
      <c r="W546" s="52"/>
      <c r="X546" s="52"/>
      <c r="Y546" s="52"/>
      <c r="Z546" s="52"/>
      <c r="AA546" s="52"/>
      <c r="AB546" s="52"/>
      <c r="AC546" s="52"/>
    </row>
    <row r="547">
      <c r="A547" s="52"/>
      <c r="B547" s="350"/>
      <c r="C547" s="52"/>
      <c r="D547" s="52"/>
      <c r="E547" s="52"/>
      <c r="F547" s="351"/>
      <c r="G547" s="52"/>
      <c r="H547" s="52"/>
      <c r="I547" s="52"/>
      <c r="J547" s="52"/>
      <c r="K547" s="52"/>
      <c r="L547" s="52"/>
      <c r="M547" s="52"/>
      <c r="N547" s="52"/>
      <c r="O547" s="52"/>
      <c r="P547" s="52"/>
      <c r="Q547" s="52"/>
      <c r="R547" s="52"/>
      <c r="S547" s="52"/>
      <c r="T547" s="52"/>
      <c r="U547" s="52"/>
      <c r="V547" s="52"/>
      <c r="W547" s="52"/>
      <c r="X547" s="52"/>
      <c r="Y547" s="52"/>
      <c r="Z547" s="52"/>
      <c r="AA547" s="52"/>
      <c r="AB547" s="52"/>
      <c r="AC547" s="52"/>
    </row>
    <row r="548">
      <c r="A548" s="52"/>
      <c r="B548" s="350"/>
      <c r="C548" s="52"/>
      <c r="D548" s="52"/>
      <c r="E548" s="52"/>
      <c r="F548" s="351"/>
      <c r="G548" s="52"/>
      <c r="H548" s="52"/>
      <c r="I548" s="52"/>
      <c r="J548" s="52"/>
      <c r="K548" s="52"/>
      <c r="L548" s="52"/>
      <c r="M548" s="52"/>
      <c r="N548" s="52"/>
      <c r="O548" s="52"/>
      <c r="P548" s="52"/>
      <c r="Q548" s="52"/>
      <c r="R548" s="52"/>
      <c r="S548" s="52"/>
      <c r="T548" s="52"/>
      <c r="U548" s="52"/>
      <c r="V548" s="52"/>
      <c r="W548" s="52"/>
      <c r="X548" s="52"/>
      <c r="Y548" s="52"/>
      <c r="Z548" s="52"/>
      <c r="AA548" s="52"/>
      <c r="AB548" s="52"/>
      <c r="AC548" s="52"/>
    </row>
    <row r="549">
      <c r="A549" s="52"/>
      <c r="B549" s="350"/>
      <c r="C549" s="52"/>
      <c r="D549" s="52"/>
      <c r="E549" s="52"/>
      <c r="F549" s="351"/>
      <c r="G549" s="52"/>
      <c r="H549" s="52"/>
      <c r="I549" s="52"/>
      <c r="J549" s="52"/>
      <c r="K549" s="52"/>
      <c r="L549" s="52"/>
      <c r="M549" s="52"/>
      <c r="N549" s="52"/>
      <c r="O549" s="52"/>
      <c r="P549" s="52"/>
      <c r="Q549" s="52"/>
      <c r="R549" s="52"/>
      <c r="S549" s="52"/>
      <c r="T549" s="52"/>
      <c r="U549" s="52"/>
      <c r="V549" s="52"/>
      <c r="W549" s="52"/>
      <c r="X549" s="52"/>
      <c r="Y549" s="52"/>
      <c r="Z549" s="52"/>
      <c r="AA549" s="52"/>
      <c r="AB549" s="52"/>
      <c r="AC549" s="52"/>
    </row>
    <row r="550">
      <c r="A550" s="52"/>
      <c r="B550" s="350"/>
      <c r="C550" s="52"/>
      <c r="D550" s="52"/>
      <c r="E550" s="52"/>
      <c r="F550" s="351"/>
      <c r="G550" s="52"/>
      <c r="H550" s="52"/>
      <c r="I550" s="52"/>
      <c r="J550" s="52"/>
      <c r="K550" s="52"/>
      <c r="L550" s="52"/>
      <c r="M550" s="52"/>
      <c r="N550" s="52"/>
      <c r="O550" s="52"/>
      <c r="P550" s="52"/>
      <c r="Q550" s="52"/>
      <c r="R550" s="52"/>
      <c r="S550" s="52"/>
      <c r="T550" s="52"/>
      <c r="U550" s="52"/>
      <c r="V550" s="52"/>
      <c r="W550" s="52"/>
      <c r="X550" s="52"/>
      <c r="Y550" s="52"/>
      <c r="Z550" s="52"/>
      <c r="AA550" s="52"/>
      <c r="AB550" s="52"/>
      <c r="AC550" s="52"/>
    </row>
    <row r="551">
      <c r="A551" s="52"/>
      <c r="B551" s="350"/>
      <c r="C551" s="52"/>
      <c r="D551" s="52"/>
      <c r="E551" s="52"/>
      <c r="F551" s="351"/>
      <c r="G551" s="52"/>
      <c r="H551" s="52"/>
      <c r="I551" s="52"/>
      <c r="J551" s="52"/>
      <c r="K551" s="52"/>
      <c r="L551" s="52"/>
      <c r="M551" s="52"/>
      <c r="N551" s="52"/>
      <c r="O551" s="52"/>
      <c r="P551" s="52"/>
      <c r="Q551" s="52"/>
      <c r="R551" s="52"/>
      <c r="S551" s="52"/>
      <c r="T551" s="52"/>
      <c r="U551" s="52"/>
      <c r="V551" s="52"/>
      <c r="W551" s="52"/>
      <c r="X551" s="52"/>
      <c r="Y551" s="52"/>
      <c r="Z551" s="52"/>
      <c r="AA551" s="52"/>
      <c r="AB551" s="52"/>
      <c r="AC551" s="52"/>
    </row>
    <row r="552">
      <c r="A552" s="52"/>
      <c r="B552" s="350"/>
      <c r="C552" s="52"/>
      <c r="D552" s="52"/>
      <c r="E552" s="52"/>
      <c r="F552" s="351"/>
      <c r="G552" s="52"/>
      <c r="H552" s="52"/>
      <c r="I552" s="52"/>
      <c r="J552" s="52"/>
      <c r="K552" s="52"/>
      <c r="L552" s="52"/>
      <c r="M552" s="52"/>
      <c r="N552" s="52"/>
      <c r="O552" s="52"/>
      <c r="P552" s="52"/>
      <c r="Q552" s="52"/>
      <c r="R552" s="52"/>
      <c r="S552" s="52"/>
      <c r="T552" s="52"/>
      <c r="U552" s="52"/>
      <c r="V552" s="52"/>
      <c r="W552" s="52"/>
      <c r="X552" s="52"/>
      <c r="Y552" s="52"/>
      <c r="Z552" s="52"/>
      <c r="AA552" s="52"/>
      <c r="AB552" s="52"/>
      <c r="AC552" s="52"/>
    </row>
    <row r="553">
      <c r="A553" s="52"/>
      <c r="B553" s="350"/>
      <c r="C553" s="52"/>
      <c r="D553" s="52"/>
      <c r="E553" s="52"/>
      <c r="F553" s="351"/>
      <c r="G553" s="52"/>
      <c r="H553" s="52"/>
      <c r="I553" s="52"/>
      <c r="J553" s="52"/>
      <c r="K553" s="52"/>
      <c r="L553" s="52"/>
      <c r="M553" s="52"/>
      <c r="N553" s="52"/>
      <c r="O553" s="52"/>
      <c r="P553" s="52"/>
      <c r="Q553" s="52"/>
      <c r="R553" s="52"/>
      <c r="S553" s="52"/>
      <c r="T553" s="52"/>
      <c r="U553" s="52"/>
      <c r="V553" s="52"/>
      <c r="W553" s="52"/>
      <c r="X553" s="52"/>
      <c r="Y553" s="52"/>
      <c r="Z553" s="52"/>
      <c r="AA553" s="52"/>
      <c r="AB553" s="52"/>
      <c r="AC553" s="52"/>
    </row>
    <row r="554">
      <c r="A554" s="52"/>
      <c r="B554" s="350"/>
      <c r="C554" s="52"/>
      <c r="D554" s="52"/>
      <c r="E554" s="52"/>
      <c r="F554" s="351"/>
      <c r="G554" s="52"/>
      <c r="H554" s="52"/>
      <c r="I554" s="52"/>
      <c r="J554" s="52"/>
      <c r="K554" s="52"/>
      <c r="L554" s="52"/>
      <c r="M554" s="52"/>
      <c r="N554" s="52"/>
      <c r="O554" s="52"/>
      <c r="P554" s="52"/>
      <c r="Q554" s="52"/>
      <c r="R554" s="52"/>
      <c r="S554" s="52"/>
      <c r="T554" s="52"/>
      <c r="U554" s="52"/>
      <c r="V554" s="52"/>
      <c r="W554" s="52"/>
      <c r="X554" s="52"/>
      <c r="Y554" s="52"/>
      <c r="Z554" s="52"/>
      <c r="AA554" s="52"/>
      <c r="AB554" s="52"/>
      <c r="AC554" s="52"/>
    </row>
    <row r="555">
      <c r="A555" s="52"/>
      <c r="B555" s="350"/>
      <c r="C555" s="52"/>
      <c r="D555" s="52"/>
      <c r="E555" s="52"/>
      <c r="F555" s="351"/>
      <c r="G555" s="52"/>
      <c r="H555" s="52"/>
      <c r="I555" s="52"/>
      <c r="J555" s="52"/>
      <c r="K555" s="52"/>
      <c r="L555" s="52"/>
      <c r="M555" s="52"/>
      <c r="N555" s="52"/>
      <c r="O555" s="52"/>
      <c r="P555" s="52"/>
      <c r="Q555" s="52"/>
      <c r="R555" s="52"/>
      <c r="S555" s="52"/>
      <c r="T555" s="52"/>
      <c r="U555" s="52"/>
      <c r="V555" s="52"/>
      <c r="W555" s="52"/>
      <c r="X555" s="52"/>
      <c r="Y555" s="52"/>
      <c r="Z555" s="52"/>
      <c r="AA555" s="52"/>
      <c r="AB555" s="52"/>
      <c r="AC555" s="52"/>
    </row>
    <row r="556">
      <c r="A556" s="52"/>
      <c r="B556" s="350"/>
      <c r="C556" s="52"/>
      <c r="D556" s="52"/>
      <c r="E556" s="52"/>
      <c r="F556" s="351"/>
      <c r="G556" s="52"/>
      <c r="H556" s="52"/>
      <c r="I556" s="52"/>
      <c r="J556" s="52"/>
      <c r="K556" s="52"/>
      <c r="L556" s="52"/>
      <c r="M556" s="52"/>
      <c r="N556" s="52"/>
      <c r="O556" s="52"/>
      <c r="P556" s="52"/>
      <c r="Q556" s="52"/>
      <c r="R556" s="52"/>
      <c r="S556" s="52"/>
      <c r="T556" s="52"/>
      <c r="U556" s="52"/>
      <c r="V556" s="52"/>
      <c r="W556" s="52"/>
      <c r="X556" s="52"/>
      <c r="Y556" s="52"/>
      <c r="Z556" s="52"/>
      <c r="AA556" s="52"/>
      <c r="AB556" s="52"/>
      <c r="AC556" s="52"/>
    </row>
    <row r="557">
      <c r="A557" s="52"/>
      <c r="B557" s="350"/>
      <c r="C557" s="52"/>
      <c r="D557" s="52"/>
      <c r="E557" s="52"/>
      <c r="F557" s="351"/>
      <c r="G557" s="52"/>
      <c r="H557" s="52"/>
      <c r="I557" s="52"/>
      <c r="J557" s="52"/>
      <c r="K557" s="52"/>
      <c r="L557" s="52"/>
      <c r="M557" s="52"/>
      <c r="N557" s="52"/>
      <c r="O557" s="52"/>
      <c r="P557" s="52"/>
      <c r="Q557" s="52"/>
      <c r="R557" s="52"/>
      <c r="S557" s="52"/>
      <c r="T557" s="52"/>
      <c r="U557" s="52"/>
      <c r="V557" s="52"/>
      <c r="W557" s="52"/>
      <c r="X557" s="52"/>
      <c r="Y557" s="52"/>
      <c r="Z557" s="52"/>
      <c r="AA557" s="52"/>
      <c r="AB557" s="52"/>
      <c r="AC557" s="52"/>
    </row>
    <row r="558">
      <c r="A558" s="52"/>
      <c r="B558" s="350"/>
      <c r="C558" s="52"/>
      <c r="D558" s="52"/>
      <c r="E558" s="52"/>
      <c r="F558" s="351"/>
      <c r="G558" s="52"/>
      <c r="H558" s="52"/>
      <c r="I558" s="52"/>
      <c r="J558" s="52"/>
      <c r="K558" s="52"/>
      <c r="L558" s="52"/>
      <c r="M558" s="52"/>
      <c r="N558" s="52"/>
      <c r="O558" s="52"/>
      <c r="P558" s="52"/>
      <c r="Q558" s="52"/>
      <c r="R558" s="52"/>
      <c r="S558" s="52"/>
      <c r="T558" s="52"/>
      <c r="U558" s="52"/>
      <c r="V558" s="52"/>
      <c r="W558" s="52"/>
      <c r="X558" s="52"/>
      <c r="Y558" s="52"/>
      <c r="Z558" s="52"/>
      <c r="AA558" s="52"/>
      <c r="AB558" s="52"/>
      <c r="AC558" s="52"/>
    </row>
    <row r="559">
      <c r="A559" s="52"/>
      <c r="B559" s="350"/>
      <c r="C559" s="52"/>
      <c r="D559" s="52"/>
      <c r="E559" s="52"/>
      <c r="F559" s="351"/>
      <c r="G559" s="52"/>
      <c r="H559" s="52"/>
      <c r="I559" s="52"/>
      <c r="J559" s="52"/>
      <c r="K559" s="52"/>
      <c r="L559" s="52"/>
      <c r="M559" s="52"/>
      <c r="N559" s="52"/>
      <c r="O559" s="52"/>
      <c r="P559" s="52"/>
      <c r="Q559" s="52"/>
      <c r="R559" s="52"/>
      <c r="S559" s="52"/>
      <c r="T559" s="52"/>
      <c r="U559" s="52"/>
      <c r="V559" s="52"/>
      <c r="W559" s="52"/>
      <c r="X559" s="52"/>
      <c r="Y559" s="52"/>
      <c r="Z559" s="52"/>
      <c r="AA559" s="52"/>
      <c r="AB559" s="52"/>
      <c r="AC559" s="52"/>
    </row>
    <row r="560">
      <c r="A560" s="52"/>
      <c r="B560" s="350"/>
      <c r="C560" s="52"/>
      <c r="D560" s="52"/>
      <c r="E560" s="52"/>
      <c r="F560" s="351"/>
      <c r="G560" s="52"/>
      <c r="H560" s="52"/>
      <c r="I560" s="52"/>
      <c r="J560" s="52"/>
      <c r="K560" s="52"/>
      <c r="L560" s="52"/>
      <c r="M560" s="52"/>
      <c r="N560" s="52"/>
      <c r="O560" s="52"/>
      <c r="P560" s="52"/>
      <c r="Q560" s="52"/>
      <c r="R560" s="52"/>
      <c r="S560" s="52"/>
      <c r="T560" s="52"/>
      <c r="U560" s="52"/>
      <c r="V560" s="52"/>
      <c r="W560" s="52"/>
      <c r="X560" s="52"/>
      <c r="Y560" s="52"/>
      <c r="Z560" s="52"/>
      <c r="AA560" s="52"/>
      <c r="AB560" s="52"/>
      <c r="AC560" s="52"/>
    </row>
    <row r="561">
      <c r="A561" s="52"/>
      <c r="B561" s="350"/>
      <c r="C561" s="52"/>
      <c r="D561" s="52"/>
      <c r="E561" s="52"/>
      <c r="F561" s="351"/>
      <c r="G561" s="52"/>
      <c r="H561" s="52"/>
      <c r="I561" s="52"/>
      <c r="J561" s="52"/>
      <c r="K561" s="52"/>
      <c r="L561" s="52"/>
      <c r="M561" s="52"/>
      <c r="N561" s="52"/>
      <c r="O561" s="52"/>
      <c r="P561" s="52"/>
      <c r="Q561" s="52"/>
      <c r="R561" s="52"/>
      <c r="S561" s="52"/>
      <c r="T561" s="52"/>
      <c r="U561" s="52"/>
      <c r="V561" s="52"/>
      <c r="W561" s="52"/>
      <c r="X561" s="52"/>
      <c r="Y561" s="52"/>
      <c r="Z561" s="52"/>
      <c r="AA561" s="52"/>
      <c r="AB561" s="52"/>
      <c r="AC561" s="52"/>
    </row>
    <row r="562">
      <c r="A562" s="52"/>
      <c r="B562" s="350"/>
      <c r="C562" s="52"/>
      <c r="D562" s="52"/>
      <c r="E562" s="52"/>
      <c r="F562" s="351"/>
      <c r="G562" s="52"/>
      <c r="H562" s="52"/>
      <c r="I562" s="52"/>
      <c r="J562" s="52"/>
      <c r="K562" s="52"/>
      <c r="L562" s="52"/>
      <c r="M562" s="52"/>
      <c r="N562" s="52"/>
      <c r="O562" s="52"/>
      <c r="P562" s="52"/>
      <c r="Q562" s="52"/>
      <c r="R562" s="52"/>
      <c r="S562" s="52"/>
      <c r="T562" s="52"/>
      <c r="U562" s="52"/>
      <c r="V562" s="52"/>
      <c r="W562" s="52"/>
      <c r="X562" s="52"/>
      <c r="Y562" s="52"/>
      <c r="Z562" s="52"/>
      <c r="AA562" s="52"/>
      <c r="AB562" s="52"/>
      <c r="AC562" s="52"/>
    </row>
    <row r="563">
      <c r="A563" s="52"/>
      <c r="B563" s="350"/>
      <c r="C563" s="52"/>
      <c r="D563" s="52"/>
      <c r="E563" s="52"/>
      <c r="F563" s="351"/>
      <c r="G563" s="52"/>
      <c r="H563" s="52"/>
      <c r="I563" s="52"/>
      <c r="J563" s="52"/>
      <c r="K563" s="52"/>
      <c r="L563" s="52"/>
      <c r="M563" s="52"/>
      <c r="N563" s="52"/>
      <c r="O563" s="52"/>
      <c r="P563" s="52"/>
      <c r="Q563" s="52"/>
      <c r="R563" s="52"/>
      <c r="S563" s="52"/>
      <c r="T563" s="52"/>
      <c r="U563" s="52"/>
      <c r="V563" s="52"/>
      <c r="W563" s="52"/>
      <c r="X563" s="52"/>
      <c r="Y563" s="52"/>
      <c r="Z563" s="52"/>
      <c r="AA563" s="52"/>
      <c r="AB563" s="52"/>
      <c r="AC563" s="52"/>
    </row>
    <row r="564">
      <c r="A564" s="52"/>
      <c r="B564" s="350"/>
      <c r="C564" s="52"/>
      <c r="D564" s="52"/>
      <c r="E564" s="52"/>
      <c r="F564" s="351"/>
      <c r="G564" s="52"/>
      <c r="H564" s="52"/>
      <c r="I564" s="52"/>
      <c r="J564" s="52"/>
      <c r="K564" s="52"/>
      <c r="L564" s="52"/>
      <c r="M564" s="52"/>
      <c r="N564" s="52"/>
      <c r="O564" s="52"/>
      <c r="P564" s="52"/>
      <c r="Q564" s="52"/>
      <c r="R564" s="52"/>
      <c r="S564" s="52"/>
      <c r="T564" s="52"/>
      <c r="U564" s="52"/>
      <c r="V564" s="52"/>
      <c r="W564" s="52"/>
      <c r="X564" s="52"/>
      <c r="Y564" s="52"/>
      <c r="Z564" s="52"/>
      <c r="AA564" s="52"/>
      <c r="AB564" s="52"/>
      <c r="AC564" s="52"/>
    </row>
    <row r="565">
      <c r="A565" s="52"/>
      <c r="B565" s="350"/>
      <c r="C565" s="52"/>
      <c r="D565" s="52"/>
      <c r="E565" s="52"/>
      <c r="F565" s="351"/>
      <c r="G565" s="52"/>
      <c r="H565" s="52"/>
      <c r="I565" s="52"/>
      <c r="J565" s="52"/>
      <c r="K565" s="52"/>
      <c r="L565" s="52"/>
      <c r="M565" s="52"/>
      <c r="N565" s="52"/>
      <c r="O565" s="52"/>
      <c r="P565" s="52"/>
      <c r="Q565" s="52"/>
      <c r="R565" s="52"/>
      <c r="S565" s="52"/>
      <c r="T565" s="52"/>
      <c r="U565" s="52"/>
      <c r="V565" s="52"/>
      <c r="W565" s="52"/>
      <c r="X565" s="52"/>
      <c r="Y565" s="52"/>
      <c r="Z565" s="52"/>
      <c r="AA565" s="52"/>
      <c r="AB565" s="52"/>
      <c r="AC565" s="52"/>
    </row>
    <row r="566">
      <c r="A566" s="52"/>
      <c r="B566" s="350"/>
      <c r="C566" s="52"/>
      <c r="D566" s="52"/>
      <c r="E566" s="52"/>
      <c r="F566" s="351"/>
      <c r="G566" s="52"/>
      <c r="H566" s="52"/>
      <c r="I566" s="52"/>
      <c r="J566" s="52"/>
      <c r="K566" s="52"/>
      <c r="L566" s="52"/>
      <c r="M566" s="52"/>
      <c r="N566" s="52"/>
      <c r="O566" s="52"/>
      <c r="P566" s="52"/>
      <c r="Q566" s="52"/>
      <c r="R566" s="52"/>
      <c r="S566" s="52"/>
      <c r="T566" s="52"/>
      <c r="U566" s="52"/>
      <c r="V566" s="52"/>
      <c r="W566" s="52"/>
      <c r="X566" s="52"/>
      <c r="Y566" s="52"/>
      <c r="Z566" s="52"/>
      <c r="AA566" s="52"/>
      <c r="AB566" s="52"/>
      <c r="AC566" s="52"/>
    </row>
    <row r="567">
      <c r="A567" s="52"/>
      <c r="B567" s="350"/>
      <c r="C567" s="52"/>
      <c r="D567" s="52"/>
      <c r="E567" s="52"/>
      <c r="F567" s="351"/>
      <c r="G567" s="52"/>
      <c r="H567" s="52"/>
      <c r="I567" s="52"/>
      <c r="J567" s="52"/>
      <c r="K567" s="52"/>
      <c r="L567" s="52"/>
      <c r="M567" s="52"/>
      <c r="N567" s="52"/>
      <c r="O567" s="52"/>
      <c r="P567" s="52"/>
      <c r="Q567" s="52"/>
      <c r="R567" s="52"/>
      <c r="S567" s="52"/>
      <c r="T567" s="52"/>
      <c r="U567" s="52"/>
      <c r="V567" s="52"/>
      <c r="W567" s="52"/>
      <c r="X567" s="52"/>
      <c r="Y567" s="52"/>
      <c r="Z567" s="52"/>
      <c r="AA567" s="52"/>
      <c r="AB567" s="52"/>
      <c r="AC567" s="52"/>
    </row>
    <row r="568">
      <c r="A568" s="52"/>
      <c r="B568" s="350"/>
      <c r="C568" s="52"/>
      <c r="D568" s="52"/>
      <c r="E568" s="52"/>
      <c r="F568" s="351"/>
      <c r="G568" s="52"/>
      <c r="H568" s="52"/>
      <c r="I568" s="52"/>
      <c r="J568" s="52"/>
      <c r="K568" s="52"/>
      <c r="L568" s="52"/>
      <c r="M568" s="52"/>
      <c r="N568" s="52"/>
      <c r="O568" s="52"/>
      <c r="P568" s="52"/>
      <c r="Q568" s="52"/>
      <c r="R568" s="52"/>
      <c r="S568" s="52"/>
      <c r="T568" s="52"/>
      <c r="U568" s="52"/>
      <c r="V568" s="52"/>
      <c r="W568" s="52"/>
      <c r="X568" s="52"/>
      <c r="Y568" s="52"/>
      <c r="Z568" s="52"/>
      <c r="AA568" s="52"/>
      <c r="AB568" s="52"/>
      <c r="AC568" s="52"/>
    </row>
    <row r="569">
      <c r="A569" s="52"/>
      <c r="B569" s="350"/>
      <c r="C569" s="52"/>
      <c r="D569" s="52"/>
      <c r="E569" s="52"/>
      <c r="F569" s="351"/>
      <c r="G569" s="52"/>
      <c r="H569" s="52"/>
      <c r="I569" s="52"/>
      <c r="J569" s="52"/>
      <c r="K569" s="52"/>
      <c r="L569" s="52"/>
      <c r="M569" s="52"/>
      <c r="N569" s="52"/>
      <c r="O569" s="52"/>
      <c r="P569" s="52"/>
      <c r="Q569" s="52"/>
      <c r="R569" s="52"/>
      <c r="S569" s="52"/>
      <c r="T569" s="52"/>
      <c r="U569" s="52"/>
      <c r="V569" s="52"/>
      <c r="W569" s="52"/>
      <c r="X569" s="52"/>
      <c r="Y569" s="52"/>
      <c r="Z569" s="52"/>
      <c r="AA569" s="52"/>
      <c r="AB569" s="52"/>
      <c r="AC569" s="52"/>
    </row>
    <row r="570">
      <c r="A570" s="52"/>
      <c r="B570" s="350"/>
      <c r="C570" s="52"/>
      <c r="D570" s="52"/>
      <c r="E570" s="52"/>
      <c r="F570" s="351"/>
      <c r="G570" s="52"/>
      <c r="H570" s="52"/>
      <c r="I570" s="52"/>
      <c r="J570" s="52"/>
      <c r="K570" s="52"/>
      <c r="L570" s="52"/>
      <c r="M570" s="52"/>
      <c r="N570" s="52"/>
      <c r="O570" s="52"/>
      <c r="P570" s="52"/>
      <c r="Q570" s="52"/>
      <c r="R570" s="52"/>
      <c r="S570" s="52"/>
      <c r="T570" s="52"/>
      <c r="U570" s="52"/>
      <c r="V570" s="52"/>
      <c r="W570" s="52"/>
      <c r="X570" s="52"/>
      <c r="Y570" s="52"/>
      <c r="Z570" s="52"/>
      <c r="AA570" s="52"/>
      <c r="AB570" s="52"/>
      <c r="AC570" s="52"/>
    </row>
    <row r="571">
      <c r="A571" s="52"/>
      <c r="B571" s="350"/>
      <c r="C571" s="52"/>
      <c r="D571" s="52"/>
      <c r="E571" s="52"/>
      <c r="F571" s="351"/>
      <c r="G571" s="52"/>
      <c r="H571" s="52"/>
      <c r="I571" s="52"/>
      <c r="J571" s="52"/>
      <c r="K571" s="52"/>
      <c r="L571" s="52"/>
      <c r="M571" s="52"/>
      <c r="N571" s="52"/>
      <c r="O571" s="52"/>
      <c r="P571" s="52"/>
      <c r="Q571" s="52"/>
      <c r="R571" s="52"/>
      <c r="S571" s="52"/>
      <c r="T571" s="52"/>
      <c r="U571" s="52"/>
      <c r="V571" s="52"/>
      <c r="W571" s="52"/>
      <c r="X571" s="52"/>
      <c r="Y571" s="52"/>
      <c r="Z571" s="52"/>
      <c r="AA571" s="52"/>
      <c r="AB571" s="52"/>
      <c r="AC571" s="52"/>
    </row>
    <row r="572">
      <c r="A572" s="52"/>
      <c r="B572" s="350"/>
      <c r="C572" s="52"/>
      <c r="D572" s="52"/>
      <c r="E572" s="52"/>
      <c r="F572" s="351"/>
      <c r="G572" s="52"/>
      <c r="H572" s="52"/>
      <c r="I572" s="52"/>
      <c r="J572" s="52"/>
      <c r="K572" s="52"/>
      <c r="L572" s="52"/>
      <c r="M572" s="52"/>
      <c r="N572" s="52"/>
      <c r="O572" s="52"/>
      <c r="P572" s="52"/>
      <c r="Q572" s="52"/>
      <c r="R572" s="52"/>
      <c r="S572" s="52"/>
      <c r="T572" s="52"/>
      <c r="U572" s="52"/>
      <c r="V572" s="52"/>
      <c r="W572" s="52"/>
      <c r="X572" s="52"/>
      <c r="Y572" s="52"/>
      <c r="Z572" s="52"/>
      <c r="AA572" s="52"/>
      <c r="AB572" s="52"/>
      <c r="AC572" s="52"/>
    </row>
    <row r="573">
      <c r="A573" s="52"/>
      <c r="B573" s="350"/>
      <c r="C573" s="52"/>
      <c r="D573" s="52"/>
      <c r="E573" s="52"/>
      <c r="F573" s="351"/>
      <c r="G573" s="52"/>
      <c r="H573" s="52"/>
      <c r="I573" s="52"/>
      <c r="J573" s="52"/>
      <c r="K573" s="52"/>
      <c r="L573" s="52"/>
      <c r="M573" s="52"/>
      <c r="N573" s="52"/>
      <c r="O573" s="52"/>
      <c r="P573" s="52"/>
      <c r="Q573" s="52"/>
      <c r="R573" s="52"/>
      <c r="S573" s="52"/>
      <c r="T573" s="52"/>
      <c r="U573" s="52"/>
      <c r="V573" s="52"/>
      <c r="W573" s="52"/>
      <c r="X573" s="52"/>
      <c r="Y573" s="52"/>
      <c r="Z573" s="52"/>
      <c r="AA573" s="52"/>
      <c r="AB573" s="52"/>
      <c r="AC573" s="52"/>
    </row>
    <row r="574">
      <c r="A574" s="52"/>
      <c r="B574" s="350"/>
      <c r="C574" s="52"/>
      <c r="D574" s="52"/>
      <c r="E574" s="52"/>
      <c r="F574" s="351"/>
      <c r="G574" s="52"/>
      <c r="H574" s="52"/>
      <c r="I574" s="52"/>
      <c r="J574" s="52"/>
      <c r="K574" s="52"/>
      <c r="L574" s="52"/>
      <c r="M574" s="52"/>
      <c r="N574" s="52"/>
      <c r="O574" s="52"/>
      <c r="P574" s="52"/>
      <c r="Q574" s="52"/>
      <c r="R574" s="52"/>
      <c r="S574" s="52"/>
      <c r="T574" s="52"/>
      <c r="U574" s="52"/>
      <c r="V574" s="52"/>
      <c r="W574" s="52"/>
      <c r="X574" s="52"/>
      <c r="Y574" s="52"/>
      <c r="Z574" s="52"/>
      <c r="AA574" s="52"/>
      <c r="AB574" s="52"/>
      <c r="AC574" s="52"/>
    </row>
    <row r="575">
      <c r="A575" s="52"/>
      <c r="B575" s="350"/>
      <c r="C575" s="52"/>
      <c r="D575" s="52"/>
      <c r="E575" s="52"/>
      <c r="F575" s="351"/>
      <c r="G575" s="52"/>
      <c r="H575" s="52"/>
      <c r="I575" s="52"/>
      <c r="J575" s="52"/>
      <c r="K575" s="52"/>
      <c r="L575" s="52"/>
      <c r="M575" s="52"/>
      <c r="N575" s="52"/>
      <c r="O575" s="52"/>
      <c r="P575" s="52"/>
      <c r="Q575" s="52"/>
      <c r="R575" s="52"/>
      <c r="S575" s="52"/>
      <c r="T575" s="52"/>
      <c r="U575" s="52"/>
      <c r="V575" s="52"/>
      <c r="W575" s="52"/>
      <c r="X575" s="52"/>
      <c r="Y575" s="52"/>
      <c r="Z575" s="52"/>
      <c r="AA575" s="52"/>
      <c r="AB575" s="52"/>
      <c r="AC575" s="52"/>
    </row>
    <row r="576">
      <c r="A576" s="52"/>
      <c r="B576" s="350"/>
      <c r="C576" s="52"/>
      <c r="D576" s="52"/>
      <c r="E576" s="52"/>
      <c r="F576" s="351"/>
      <c r="G576" s="52"/>
      <c r="H576" s="52"/>
      <c r="I576" s="52"/>
      <c r="J576" s="52"/>
      <c r="K576" s="52"/>
      <c r="L576" s="52"/>
      <c r="M576" s="52"/>
      <c r="N576" s="52"/>
      <c r="O576" s="52"/>
      <c r="P576" s="52"/>
      <c r="Q576" s="52"/>
      <c r="R576" s="52"/>
      <c r="S576" s="52"/>
      <c r="T576" s="52"/>
      <c r="U576" s="52"/>
      <c r="V576" s="52"/>
      <c r="W576" s="52"/>
      <c r="X576" s="52"/>
      <c r="Y576" s="52"/>
      <c r="Z576" s="52"/>
      <c r="AA576" s="52"/>
      <c r="AB576" s="52"/>
      <c r="AC576" s="52"/>
    </row>
    <row r="577">
      <c r="A577" s="52"/>
      <c r="B577" s="350"/>
      <c r="C577" s="52"/>
      <c r="D577" s="52"/>
      <c r="E577" s="52"/>
      <c r="F577" s="351"/>
      <c r="G577" s="52"/>
      <c r="H577" s="52"/>
      <c r="I577" s="52"/>
      <c r="J577" s="52"/>
      <c r="K577" s="52"/>
      <c r="L577" s="52"/>
      <c r="M577" s="52"/>
      <c r="N577" s="52"/>
      <c r="O577" s="52"/>
      <c r="P577" s="52"/>
      <c r="Q577" s="52"/>
      <c r="R577" s="52"/>
      <c r="S577" s="52"/>
      <c r="T577" s="52"/>
      <c r="U577" s="52"/>
      <c r="V577" s="52"/>
      <c r="W577" s="52"/>
      <c r="X577" s="52"/>
      <c r="Y577" s="52"/>
      <c r="Z577" s="52"/>
      <c r="AA577" s="52"/>
      <c r="AB577" s="52"/>
      <c r="AC577" s="52"/>
    </row>
    <row r="578">
      <c r="A578" s="52"/>
      <c r="B578" s="350"/>
      <c r="C578" s="52"/>
      <c r="D578" s="52"/>
      <c r="E578" s="52"/>
      <c r="F578" s="351"/>
      <c r="G578" s="52"/>
      <c r="H578" s="52"/>
      <c r="I578" s="52"/>
      <c r="J578" s="52"/>
      <c r="K578" s="52"/>
      <c r="L578" s="52"/>
      <c r="M578" s="52"/>
      <c r="N578" s="52"/>
      <c r="O578" s="52"/>
      <c r="P578" s="52"/>
      <c r="Q578" s="52"/>
      <c r="R578" s="52"/>
      <c r="S578" s="52"/>
      <c r="T578" s="52"/>
      <c r="U578" s="52"/>
      <c r="V578" s="52"/>
      <c r="W578" s="52"/>
      <c r="X578" s="52"/>
      <c r="Y578" s="52"/>
      <c r="Z578" s="52"/>
      <c r="AA578" s="52"/>
      <c r="AB578" s="52"/>
      <c r="AC578" s="52"/>
    </row>
    <row r="579">
      <c r="A579" s="52"/>
      <c r="B579" s="350"/>
      <c r="C579" s="52"/>
      <c r="D579" s="52"/>
      <c r="E579" s="52"/>
      <c r="F579" s="351"/>
      <c r="G579" s="52"/>
      <c r="H579" s="52"/>
      <c r="I579" s="52"/>
      <c r="J579" s="52"/>
      <c r="K579" s="52"/>
      <c r="L579" s="52"/>
      <c r="M579" s="52"/>
      <c r="N579" s="52"/>
      <c r="O579" s="52"/>
      <c r="P579" s="52"/>
      <c r="Q579" s="52"/>
      <c r="R579" s="52"/>
      <c r="S579" s="52"/>
      <c r="T579" s="52"/>
      <c r="U579" s="52"/>
      <c r="V579" s="52"/>
      <c r="W579" s="52"/>
      <c r="X579" s="52"/>
      <c r="Y579" s="52"/>
      <c r="Z579" s="52"/>
      <c r="AA579" s="52"/>
      <c r="AB579" s="52"/>
      <c r="AC579" s="52"/>
    </row>
    <row r="580">
      <c r="A580" s="52"/>
      <c r="B580" s="350"/>
      <c r="C580" s="52"/>
      <c r="D580" s="52"/>
      <c r="E580" s="52"/>
      <c r="F580" s="351"/>
      <c r="G580" s="52"/>
      <c r="H580" s="52"/>
      <c r="I580" s="52"/>
      <c r="J580" s="52"/>
      <c r="K580" s="52"/>
      <c r="L580" s="52"/>
      <c r="M580" s="52"/>
      <c r="N580" s="52"/>
      <c r="O580" s="52"/>
      <c r="P580" s="52"/>
      <c r="Q580" s="52"/>
      <c r="R580" s="52"/>
      <c r="S580" s="52"/>
      <c r="T580" s="52"/>
      <c r="U580" s="52"/>
      <c r="V580" s="52"/>
      <c r="W580" s="52"/>
      <c r="X580" s="52"/>
      <c r="Y580" s="52"/>
      <c r="Z580" s="52"/>
      <c r="AA580" s="52"/>
      <c r="AB580" s="52"/>
      <c r="AC580" s="52"/>
    </row>
    <row r="581">
      <c r="A581" s="52"/>
      <c r="B581" s="350"/>
      <c r="C581" s="52"/>
      <c r="D581" s="52"/>
      <c r="E581" s="52"/>
      <c r="F581" s="351"/>
      <c r="G581" s="52"/>
      <c r="H581" s="52"/>
      <c r="I581" s="52"/>
      <c r="J581" s="52"/>
      <c r="K581" s="52"/>
      <c r="L581" s="52"/>
      <c r="M581" s="52"/>
      <c r="N581" s="52"/>
      <c r="O581" s="52"/>
      <c r="P581" s="52"/>
      <c r="Q581" s="52"/>
      <c r="R581" s="52"/>
      <c r="S581" s="52"/>
      <c r="T581" s="52"/>
      <c r="U581" s="52"/>
      <c r="V581" s="52"/>
      <c r="W581" s="52"/>
      <c r="X581" s="52"/>
      <c r="Y581" s="52"/>
      <c r="Z581" s="52"/>
      <c r="AA581" s="52"/>
      <c r="AB581" s="52"/>
      <c r="AC581" s="52"/>
    </row>
    <row r="582">
      <c r="A582" s="52"/>
      <c r="B582" s="350"/>
      <c r="C582" s="52"/>
      <c r="D582" s="52"/>
      <c r="E582" s="52"/>
      <c r="F582" s="351"/>
      <c r="G582" s="52"/>
      <c r="H582" s="52"/>
      <c r="I582" s="52"/>
      <c r="J582" s="52"/>
      <c r="K582" s="52"/>
      <c r="L582" s="52"/>
      <c r="M582" s="52"/>
      <c r="N582" s="52"/>
      <c r="O582" s="52"/>
      <c r="P582" s="52"/>
      <c r="Q582" s="52"/>
      <c r="R582" s="52"/>
      <c r="S582" s="52"/>
      <c r="T582" s="52"/>
      <c r="U582" s="52"/>
      <c r="V582" s="52"/>
      <c r="W582" s="52"/>
      <c r="X582" s="52"/>
      <c r="Y582" s="52"/>
      <c r="Z582" s="52"/>
      <c r="AA582" s="52"/>
      <c r="AB582" s="52"/>
      <c r="AC582" s="52"/>
    </row>
    <row r="583">
      <c r="A583" s="52"/>
      <c r="B583" s="350"/>
      <c r="C583" s="52"/>
      <c r="D583" s="52"/>
      <c r="E583" s="52"/>
      <c r="F583" s="351"/>
      <c r="G583" s="52"/>
      <c r="H583" s="52"/>
      <c r="I583" s="52"/>
      <c r="J583" s="52"/>
      <c r="K583" s="52"/>
      <c r="L583" s="52"/>
      <c r="M583" s="52"/>
      <c r="N583" s="52"/>
      <c r="O583" s="52"/>
      <c r="P583" s="52"/>
      <c r="Q583" s="52"/>
      <c r="R583" s="52"/>
      <c r="S583" s="52"/>
      <c r="T583" s="52"/>
      <c r="U583" s="52"/>
      <c r="V583" s="52"/>
      <c r="W583" s="52"/>
      <c r="X583" s="52"/>
      <c r="Y583" s="52"/>
      <c r="Z583" s="52"/>
      <c r="AA583" s="52"/>
      <c r="AB583" s="52"/>
      <c r="AC583" s="52"/>
    </row>
    <row r="584">
      <c r="A584" s="52"/>
      <c r="B584" s="350"/>
      <c r="C584" s="52"/>
      <c r="D584" s="52"/>
      <c r="E584" s="52"/>
      <c r="F584" s="351"/>
      <c r="G584" s="52"/>
      <c r="H584" s="52"/>
      <c r="I584" s="52"/>
      <c r="J584" s="52"/>
      <c r="K584" s="52"/>
      <c r="L584" s="52"/>
      <c r="M584" s="52"/>
      <c r="N584" s="52"/>
      <c r="O584" s="52"/>
      <c r="P584" s="52"/>
      <c r="Q584" s="52"/>
      <c r="R584" s="52"/>
      <c r="S584" s="52"/>
      <c r="T584" s="52"/>
      <c r="U584" s="52"/>
      <c r="V584" s="52"/>
      <c r="W584" s="52"/>
      <c r="X584" s="52"/>
      <c r="Y584" s="52"/>
      <c r="Z584" s="52"/>
      <c r="AA584" s="52"/>
      <c r="AB584" s="52"/>
      <c r="AC584" s="52"/>
    </row>
    <row r="585">
      <c r="A585" s="52"/>
      <c r="B585" s="350"/>
      <c r="C585" s="52"/>
      <c r="D585" s="52"/>
      <c r="E585" s="52"/>
      <c r="F585" s="351"/>
      <c r="G585" s="52"/>
      <c r="H585" s="52"/>
      <c r="I585" s="52"/>
      <c r="J585" s="52"/>
      <c r="K585" s="52"/>
      <c r="L585" s="52"/>
      <c r="M585" s="52"/>
      <c r="N585" s="52"/>
      <c r="O585" s="52"/>
      <c r="P585" s="52"/>
      <c r="Q585" s="52"/>
      <c r="R585" s="52"/>
      <c r="S585" s="52"/>
      <c r="T585" s="52"/>
      <c r="U585" s="52"/>
      <c r="V585" s="52"/>
      <c r="W585" s="52"/>
      <c r="X585" s="52"/>
      <c r="Y585" s="52"/>
      <c r="Z585" s="52"/>
      <c r="AA585" s="52"/>
      <c r="AB585" s="52"/>
      <c r="AC585" s="52"/>
    </row>
    <row r="586">
      <c r="A586" s="52"/>
      <c r="B586" s="350"/>
      <c r="C586" s="52"/>
      <c r="D586" s="52"/>
      <c r="E586" s="52"/>
      <c r="F586" s="351"/>
      <c r="G586" s="52"/>
      <c r="H586" s="52"/>
      <c r="I586" s="52"/>
      <c r="J586" s="52"/>
      <c r="K586" s="52"/>
      <c r="L586" s="52"/>
      <c r="M586" s="52"/>
      <c r="N586" s="52"/>
      <c r="O586" s="52"/>
      <c r="P586" s="52"/>
      <c r="Q586" s="52"/>
      <c r="R586" s="52"/>
      <c r="S586" s="52"/>
      <c r="T586" s="52"/>
      <c r="U586" s="52"/>
      <c r="V586" s="52"/>
      <c r="W586" s="52"/>
      <c r="X586" s="52"/>
      <c r="Y586" s="52"/>
      <c r="Z586" s="52"/>
      <c r="AA586" s="52"/>
      <c r="AB586" s="52"/>
      <c r="AC586" s="52"/>
    </row>
    <row r="587">
      <c r="A587" s="52"/>
      <c r="B587" s="350"/>
      <c r="C587" s="52"/>
      <c r="D587" s="52"/>
      <c r="E587" s="52"/>
      <c r="F587" s="351"/>
      <c r="G587" s="52"/>
      <c r="H587" s="52"/>
      <c r="I587" s="52"/>
      <c r="J587" s="52"/>
      <c r="K587" s="52"/>
      <c r="L587" s="52"/>
      <c r="M587" s="52"/>
      <c r="N587" s="52"/>
      <c r="O587" s="52"/>
      <c r="P587" s="52"/>
      <c r="Q587" s="52"/>
      <c r="R587" s="52"/>
      <c r="S587" s="52"/>
      <c r="T587" s="52"/>
      <c r="U587" s="52"/>
      <c r="V587" s="52"/>
      <c r="W587" s="52"/>
      <c r="X587" s="52"/>
      <c r="Y587" s="52"/>
      <c r="Z587" s="52"/>
      <c r="AA587" s="52"/>
      <c r="AB587" s="52"/>
      <c r="AC587" s="52"/>
    </row>
    <row r="588">
      <c r="A588" s="52"/>
      <c r="B588" s="350"/>
      <c r="C588" s="52"/>
      <c r="D588" s="52"/>
      <c r="E588" s="52"/>
      <c r="F588" s="351"/>
      <c r="G588" s="52"/>
      <c r="H588" s="52"/>
      <c r="I588" s="52"/>
      <c r="J588" s="52"/>
      <c r="K588" s="52"/>
      <c r="L588" s="52"/>
      <c r="M588" s="52"/>
      <c r="N588" s="52"/>
      <c r="O588" s="52"/>
      <c r="P588" s="52"/>
      <c r="Q588" s="52"/>
      <c r="R588" s="52"/>
      <c r="S588" s="52"/>
      <c r="T588" s="52"/>
      <c r="U588" s="52"/>
      <c r="V588" s="52"/>
      <c r="W588" s="52"/>
      <c r="X588" s="52"/>
      <c r="Y588" s="52"/>
      <c r="Z588" s="52"/>
      <c r="AA588" s="52"/>
      <c r="AB588" s="52"/>
      <c r="AC588" s="52"/>
    </row>
    <row r="589">
      <c r="A589" s="52"/>
      <c r="B589" s="350"/>
      <c r="C589" s="52"/>
      <c r="D589" s="52"/>
      <c r="E589" s="52"/>
      <c r="F589" s="351"/>
      <c r="G589" s="52"/>
      <c r="H589" s="52"/>
      <c r="I589" s="52"/>
      <c r="J589" s="52"/>
      <c r="K589" s="52"/>
      <c r="L589" s="52"/>
      <c r="M589" s="52"/>
      <c r="N589" s="52"/>
      <c r="O589" s="52"/>
      <c r="P589" s="52"/>
      <c r="Q589" s="52"/>
      <c r="R589" s="52"/>
      <c r="S589" s="52"/>
      <c r="T589" s="52"/>
      <c r="U589" s="52"/>
      <c r="V589" s="52"/>
      <c r="W589" s="52"/>
      <c r="X589" s="52"/>
      <c r="Y589" s="52"/>
      <c r="Z589" s="52"/>
      <c r="AA589" s="52"/>
      <c r="AB589" s="52"/>
      <c r="AC589" s="52"/>
    </row>
    <row r="590">
      <c r="A590" s="52"/>
      <c r="B590" s="350"/>
      <c r="C590" s="52"/>
      <c r="D590" s="52"/>
      <c r="E590" s="52"/>
      <c r="F590" s="351"/>
      <c r="G590" s="52"/>
      <c r="H590" s="52"/>
      <c r="I590" s="52"/>
      <c r="J590" s="52"/>
      <c r="K590" s="52"/>
      <c r="L590" s="52"/>
      <c r="M590" s="52"/>
      <c r="N590" s="52"/>
      <c r="O590" s="52"/>
      <c r="P590" s="52"/>
      <c r="Q590" s="52"/>
      <c r="R590" s="52"/>
      <c r="S590" s="52"/>
      <c r="T590" s="52"/>
      <c r="U590" s="52"/>
      <c r="V590" s="52"/>
      <c r="W590" s="52"/>
      <c r="X590" s="52"/>
      <c r="Y590" s="52"/>
      <c r="Z590" s="52"/>
      <c r="AA590" s="52"/>
      <c r="AB590" s="52"/>
      <c r="AC590" s="52"/>
    </row>
    <row r="591">
      <c r="A591" s="52"/>
      <c r="B591" s="350"/>
      <c r="C591" s="52"/>
      <c r="D591" s="52"/>
      <c r="E591" s="52"/>
      <c r="F591" s="351"/>
      <c r="G591" s="52"/>
      <c r="H591" s="52"/>
      <c r="I591" s="52"/>
      <c r="J591" s="52"/>
      <c r="K591" s="52"/>
      <c r="L591" s="52"/>
      <c r="M591" s="52"/>
      <c r="N591" s="52"/>
      <c r="O591" s="52"/>
      <c r="P591" s="52"/>
      <c r="Q591" s="52"/>
      <c r="R591" s="52"/>
      <c r="S591" s="52"/>
      <c r="T591" s="52"/>
      <c r="U591" s="52"/>
      <c r="V591" s="52"/>
      <c r="W591" s="52"/>
      <c r="X591" s="52"/>
      <c r="Y591" s="52"/>
      <c r="Z591" s="52"/>
      <c r="AA591" s="52"/>
      <c r="AB591" s="52"/>
      <c r="AC591" s="52"/>
    </row>
    <row r="592">
      <c r="A592" s="52"/>
      <c r="B592" s="350"/>
      <c r="C592" s="52"/>
      <c r="D592" s="52"/>
      <c r="E592" s="52"/>
      <c r="F592" s="351"/>
      <c r="G592" s="52"/>
      <c r="H592" s="52"/>
      <c r="I592" s="52"/>
      <c r="J592" s="52"/>
      <c r="K592" s="52"/>
      <c r="L592" s="52"/>
      <c r="M592" s="52"/>
      <c r="N592" s="52"/>
      <c r="O592" s="52"/>
      <c r="P592" s="52"/>
      <c r="Q592" s="52"/>
      <c r="R592" s="52"/>
      <c r="S592" s="52"/>
      <c r="T592" s="52"/>
      <c r="U592" s="52"/>
      <c r="V592" s="52"/>
      <c r="W592" s="52"/>
      <c r="X592" s="52"/>
      <c r="Y592" s="52"/>
      <c r="Z592" s="52"/>
      <c r="AA592" s="52"/>
      <c r="AB592" s="52"/>
      <c r="AC592" s="52"/>
    </row>
    <row r="593">
      <c r="A593" s="52"/>
      <c r="B593" s="350"/>
      <c r="C593" s="52"/>
      <c r="D593" s="52"/>
      <c r="E593" s="52"/>
      <c r="F593" s="351"/>
      <c r="G593" s="52"/>
      <c r="H593" s="52"/>
      <c r="I593" s="52"/>
      <c r="J593" s="52"/>
      <c r="K593" s="52"/>
      <c r="L593" s="52"/>
      <c r="M593" s="52"/>
      <c r="N593" s="52"/>
      <c r="O593" s="52"/>
      <c r="P593" s="52"/>
      <c r="Q593" s="52"/>
      <c r="R593" s="52"/>
      <c r="S593" s="52"/>
      <c r="T593" s="52"/>
      <c r="U593" s="52"/>
      <c r="V593" s="52"/>
      <c r="W593" s="52"/>
      <c r="X593" s="52"/>
      <c r="Y593" s="52"/>
      <c r="Z593" s="52"/>
      <c r="AA593" s="52"/>
      <c r="AB593" s="52"/>
      <c r="AC593" s="52"/>
    </row>
    <row r="594">
      <c r="A594" s="52"/>
      <c r="B594" s="350"/>
      <c r="C594" s="52"/>
      <c r="D594" s="52"/>
      <c r="E594" s="52"/>
      <c r="F594" s="351"/>
      <c r="G594" s="52"/>
      <c r="H594" s="52"/>
      <c r="I594" s="52"/>
      <c r="J594" s="52"/>
      <c r="K594" s="52"/>
      <c r="L594" s="52"/>
      <c r="M594" s="52"/>
      <c r="N594" s="52"/>
      <c r="O594" s="52"/>
      <c r="P594" s="52"/>
      <c r="Q594" s="52"/>
      <c r="R594" s="52"/>
      <c r="S594" s="52"/>
      <c r="T594" s="52"/>
      <c r="U594" s="52"/>
      <c r="V594" s="52"/>
      <c r="W594" s="52"/>
      <c r="X594" s="52"/>
      <c r="Y594" s="52"/>
      <c r="Z594" s="52"/>
      <c r="AA594" s="52"/>
      <c r="AB594" s="52"/>
      <c r="AC594" s="52"/>
    </row>
    <row r="595">
      <c r="A595" s="52"/>
      <c r="B595" s="350"/>
      <c r="C595" s="52"/>
      <c r="D595" s="52"/>
      <c r="E595" s="52"/>
      <c r="F595" s="351"/>
      <c r="G595" s="52"/>
      <c r="H595" s="52"/>
      <c r="I595" s="52"/>
      <c r="J595" s="52"/>
      <c r="K595" s="52"/>
      <c r="L595" s="52"/>
      <c r="M595" s="52"/>
      <c r="N595" s="52"/>
      <c r="O595" s="52"/>
      <c r="P595" s="52"/>
      <c r="Q595" s="52"/>
      <c r="R595" s="52"/>
      <c r="S595" s="52"/>
      <c r="T595" s="52"/>
      <c r="U595" s="52"/>
      <c r="V595" s="52"/>
      <c r="W595" s="52"/>
      <c r="X595" s="52"/>
      <c r="Y595" s="52"/>
      <c r="Z595" s="52"/>
      <c r="AA595" s="52"/>
      <c r="AB595" s="52"/>
      <c r="AC595" s="52"/>
    </row>
    <row r="596">
      <c r="A596" s="52"/>
      <c r="B596" s="350"/>
      <c r="C596" s="52"/>
      <c r="D596" s="52"/>
      <c r="E596" s="52"/>
      <c r="F596" s="351"/>
      <c r="G596" s="52"/>
      <c r="H596" s="52"/>
      <c r="I596" s="52"/>
      <c r="J596" s="52"/>
      <c r="K596" s="52"/>
      <c r="L596" s="52"/>
      <c r="M596" s="52"/>
      <c r="N596" s="52"/>
      <c r="O596" s="52"/>
      <c r="P596" s="52"/>
      <c r="Q596" s="52"/>
      <c r="R596" s="52"/>
      <c r="S596" s="52"/>
      <c r="T596" s="52"/>
      <c r="U596" s="52"/>
      <c r="V596" s="52"/>
      <c r="W596" s="52"/>
      <c r="X596" s="52"/>
      <c r="Y596" s="52"/>
      <c r="Z596" s="52"/>
      <c r="AA596" s="52"/>
      <c r="AB596" s="52"/>
      <c r="AC596" s="52"/>
    </row>
    <row r="597">
      <c r="A597" s="52"/>
      <c r="B597" s="350"/>
      <c r="C597" s="52"/>
      <c r="D597" s="52"/>
      <c r="E597" s="52"/>
      <c r="F597" s="351"/>
      <c r="G597" s="52"/>
      <c r="H597" s="52"/>
      <c r="I597" s="52"/>
      <c r="J597" s="52"/>
      <c r="K597" s="52"/>
      <c r="L597" s="52"/>
      <c r="M597" s="52"/>
      <c r="N597" s="52"/>
      <c r="O597" s="52"/>
      <c r="P597" s="52"/>
      <c r="Q597" s="52"/>
      <c r="R597" s="52"/>
      <c r="S597" s="52"/>
      <c r="T597" s="52"/>
      <c r="U597" s="52"/>
      <c r="V597" s="52"/>
      <c r="W597" s="52"/>
      <c r="X597" s="52"/>
      <c r="Y597" s="52"/>
      <c r="Z597" s="52"/>
      <c r="AA597" s="52"/>
      <c r="AB597" s="52"/>
      <c r="AC597" s="52"/>
    </row>
    <row r="598">
      <c r="A598" s="52"/>
      <c r="B598" s="350"/>
      <c r="C598" s="52"/>
      <c r="D598" s="52"/>
      <c r="E598" s="52"/>
      <c r="F598" s="351"/>
      <c r="G598" s="52"/>
      <c r="H598" s="52"/>
      <c r="I598" s="52"/>
      <c r="J598" s="52"/>
      <c r="K598" s="52"/>
      <c r="L598" s="52"/>
      <c r="M598" s="52"/>
      <c r="N598" s="52"/>
      <c r="O598" s="52"/>
      <c r="P598" s="52"/>
      <c r="Q598" s="52"/>
      <c r="R598" s="52"/>
      <c r="S598" s="52"/>
      <c r="T598" s="52"/>
      <c r="U598" s="52"/>
      <c r="V598" s="52"/>
      <c r="W598" s="52"/>
      <c r="X598" s="52"/>
      <c r="Y598" s="52"/>
      <c r="Z598" s="52"/>
      <c r="AA598" s="52"/>
      <c r="AB598" s="52"/>
      <c r="AC598" s="52"/>
    </row>
    <row r="599">
      <c r="A599" s="52"/>
      <c r="B599" s="350"/>
      <c r="C599" s="52"/>
      <c r="D599" s="52"/>
      <c r="E599" s="52"/>
      <c r="F599" s="351"/>
      <c r="G599" s="52"/>
      <c r="H599" s="52"/>
      <c r="I599" s="52"/>
      <c r="J599" s="52"/>
      <c r="K599" s="52"/>
      <c r="L599" s="52"/>
      <c r="M599" s="52"/>
      <c r="N599" s="52"/>
      <c r="O599" s="52"/>
      <c r="P599" s="52"/>
      <c r="Q599" s="52"/>
      <c r="R599" s="52"/>
      <c r="S599" s="52"/>
      <c r="T599" s="52"/>
      <c r="U599" s="52"/>
      <c r="V599" s="52"/>
      <c r="W599" s="52"/>
      <c r="X599" s="52"/>
      <c r="Y599" s="52"/>
      <c r="Z599" s="52"/>
      <c r="AA599" s="52"/>
      <c r="AB599" s="52"/>
      <c r="AC599" s="52"/>
    </row>
    <row r="600">
      <c r="A600" s="52"/>
      <c r="B600" s="350"/>
      <c r="C600" s="52"/>
      <c r="D600" s="52"/>
      <c r="E600" s="52"/>
      <c r="F600" s="351"/>
      <c r="G600" s="52"/>
      <c r="H600" s="52"/>
      <c r="I600" s="52"/>
      <c r="J600" s="52"/>
      <c r="K600" s="52"/>
      <c r="L600" s="52"/>
      <c r="M600" s="52"/>
      <c r="N600" s="52"/>
      <c r="O600" s="52"/>
      <c r="P600" s="52"/>
      <c r="Q600" s="52"/>
      <c r="R600" s="52"/>
      <c r="S600" s="52"/>
      <c r="T600" s="52"/>
      <c r="U600" s="52"/>
      <c r="V600" s="52"/>
      <c r="W600" s="52"/>
      <c r="X600" s="52"/>
      <c r="Y600" s="52"/>
      <c r="Z600" s="52"/>
      <c r="AA600" s="52"/>
      <c r="AB600" s="52"/>
      <c r="AC600" s="52"/>
    </row>
    <row r="601">
      <c r="A601" s="52"/>
      <c r="B601" s="350"/>
      <c r="C601" s="52"/>
      <c r="D601" s="52"/>
      <c r="E601" s="52"/>
      <c r="F601" s="351"/>
      <c r="G601" s="52"/>
      <c r="H601" s="52"/>
      <c r="I601" s="52"/>
      <c r="J601" s="52"/>
      <c r="K601" s="52"/>
      <c r="L601" s="52"/>
      <c r="M601" s="52"/>
      <c r="N601" s="52"/>
      <c r="O601" s="52"/>
      <c r="P601" s="52"/>
      <c r="Q601" s="52"/>
      <c r="R601" s="52"/>
      <c r="S601" s="52"/>
      <c r="T601" s="52"/>
      <c r="U601" s="52"/>
      <c r="V601" s="52"/>
      <c r="W601" s="52"/>
      <c r="X601" s="52"/>
      <c r="Y601" s="52"/>
      <c r="Z601" s="52"/>
      <c r="AA601" s="52"/>
      <c r="AB601" s="52"/>
      <c r="AC601" s="52"/>
    </row>
    <row r="602">
      <c r="A602" s="52"/>
      <c r="B602" s="350"/>
      <c r="C602" s="52"/>
      <c r="D602" s="52"/>
      <c r="E602" s="52"/>
      <c r="F602" s="351"/>
      <c r="G602" s="52"/>
      <c r="H602" s="52"/>
      <c r="I602" s="52"/>
      <c r="J602" s="52"/>
      <c r="K602" s="52"/>
      <c r="L602" s="52"/>
      <c r="M602" s="52"/>
      <c r="N602" s="52"/>
      <c r="O602" s="52"/>
      <c r="P602" s="52"/>
      <c r="Q602" s="52"/>
      <c r="R602" s="52"/>
      <c r="S602" s="52"/>
      <c r="T602" s="52"/>
      <c r="U602" s="52"/>
      <c r="V602" s="52"/>
      <c r="W602" s="52"/>
      <c r="X602" s="52"/>
      <c r="Y602" s="52"/>
      <c r="Z602" s="52"/>
      <c r="AA602" s="52"/>
      <c r="AB602" s="52"/>
      <c r="AC602" s="52"/>
    </row>
    <row r="603">
      <c r="A603" s="52"/>
      <c r="B603" s="350"/>
      <c r="C603" s="52"/>
      <c r="D603" s="52"/>
      <c r="E603" s="52"/>
      <c r="F603" s="351"/>
      <c r="G603" s="52"/>
      <c r="H603" s="52"/>
      <c r="I603" s="52"/>
      <c r="J603" s="52"/>
      <c r="K603" s="52"/>
      <c r="L603" s="52"/>
      <c r="M603" s="52"/>
      <c r="N603" s="52"/>
      <c r="O603" s="52"/>
      <c r="P603" s="52"/>
      <c r="Q603" s="52"/>
      <c r="R603" s="52"/>
      <c r="S603" s="52"/>
      <c r="T603" s="52"/>
      <c r="U603" s="52"/>
      <c r="V603" s="52"/>
      <c r="W603" s="52"/>
      <c r="X603" s="52"/>
      <c r="Y603" s="52"/>
      <c r="Z603" s="52"/>
      <c r="AA603" s="52"/>
      <c r="AB603" s="52"/>
      <c r="AC603" s="52"/>
    </row>
    <row r="604">
      <c r="A604" s="52"/>
      <c r="B604" s="350"/>
      <c r="C604" s="52"/>
      <c r="D604" s="52"/>
      <c r="E604" s="52"/>
      <c r="F604" s="351"/>
      <c r="G604" s="52"/>
      <c r="H604" s="52"/>
      <c r="I604" s="52"/>
      <c r="J604" s="52"/>
      <c r="K604" s="52"/>
      <c r="L604" s="52"/>
      <c r="M604" s="52"/>
      <c r="N604" s="52"/>
      <c r="O604" s="52"/>
      <c r="P604" s="52"/>
      <c r="Q604" s="52"/>
      <c r="R604" s="52"/>
      <c r="S604" s="52"/>
      <c r="T604" s="52"/>
      <c r="U604" s="52"/>
      <c r="V604" s="52"/>
      <c r="W604" s="52"/>
      <c r="X604" s="52"/>
      <c r="Y604" s="52"/>
      <c r="Z604" s="52"/>
      <c r="AA604" s="52"/>
      <c r="AB604" s="52"/>
      <c r="AC604" s="52"/>
    </row>
    <row r="605">
      <c r="A605" s="52"/>
      <c r="B605" s="350"/>
      <c r="C605" s="52"/>
      <c r="D605" s="52"/>
      <c r="E605" s="52"/>
      <c r="F605" s="351"/>
      <c r="G605" s="52"/>
      <c r="H605" s="52"/>
      <c r="I605" s="52"/>
      <c r="J605" s="52"/>
      <c r="K605" s="52"/>
      <c r="L605" s="52"/>
      <c r="M605" s="52"/>
      <c r="N605" s="52"/>
      <c r="O605" s="52"/>
      <c r="P605" s="52"/>
      <c r="Q605" s="52"/>
      <c r="R605" s="52"/>
      <c r="S605" s="52"/>
      <c r="T605" s="52"/>
      <c r="U605" s="52"/>
      <c r="V605" s="52"/>
      <c r="W605" s="52"/>
      <c r="X605" s="52"/>
      <c r="Y605" s="52"/>
      <c r="Z605" s="52"/>
      <c r="AA605" s="52"/>
      <c r="AB605" s="52"/>
      <c r="AC605" s="52"/>
    </row>
    <row r="606">
      <c r="A606" s="52"/>
      <c r="B606" s="350"/>
      <c r="C606" s="52"/>
      <c r="D606" s="52"/>
      <c r="E606" s="52"/>
      <c r="F606" s="351"/>
      <c r="G606" s="52"/>
      <c r="H606" s="52"/>
      <c r="I606" s="52"/>
      <c r="J606" s="52"/>
      <c r="K606" s="52"/>
      <c r="L606" s="52"/>
      <c r="M606" s="52"/>
      <c r="N606" s="52"/>
      <c r="O606" s="52"/>
      <c r="P606" s="52"/>
      <c r="Q606" s="52"/>
      <c r="R606" s="52"/>
      <c r="S606" s="52"/>
      <c r="T606" s="52"/>
      <c r="U606" s="52"/>
      <c r="V606" s="52"/>
      <c r="W606" s="52"/>
      <c r="X606" s="52"/>
      <c r="Y606" s="52"/>
      <c r="Z606" s="52"/>
      <c r="AA606" s="52"/>
      <c r="AB606" s="52"/>
      <c r="AC606" s="52"/>
    </row>
    <row r="607">
      <c r="A607" s="52"/>
      <c r="B607" s="350"/>
      <c r="C607" s="52"/>
      <c r="D607" s="52"/>
      <c r="E607" s="52"/>
      <c r="F607" s="351"/>
      <c r="G607" s="52"/>
      <c r="H607" s="52"/>
      <c r="I607" s="52"/>
      <c r="J607" s="52"/>
      <c r="K607" s="52"/>
      <c r="L607" s="52"/>
      <c r="M607" s="52"/>
      <c r="N607" s="52"/>
      <c r="O607" s="52"/>
      <c r="P607" s="52"/>
      <c r="Q607" s="52"/>
      <c r="R607" s="52"/>
      <c r="S607" s="52"/>
      <c r="T607" s="52"/>
      <c r="U607" s="52"/>
      <c r="V607" s="52"/>
      <c r="W607" s="52"/>
      <c r="X607" s="52"/>
      <c r="Y607" s="52"/>
      <c r="Z607" s="52"/>
      <c r="AA607" s="52"/>
      <c r="AB607" s="52"/>
      <c r="AC607" s="52"/>
    </row>
    <row r="608">
      <c r="A608" s="52"/>
      <c r="B608" s="350"/>
      <c r="C608" s="52"/>
      <c r="D608" s="52"/>
      <c r="E608" s="52"/>
      <c r="F608" s="351"/>
      <c r="G608" s="52"/>
      <c r="H608" s="52"/>
      <c r="I608" s="52"/>
      <c r="J608" s="52"/>
      <c r="K608" s="52"/>
      <c r="L608" s="52"/>
      <c r="M608" s="52"/>
      <c r="N608" s="52"/>
      <c r="O608" s="52"/>
      <c r="P608" s="52"/>
      <c r="Q608" s="52"/>
      <c r="R608" s="52"/>
      <c r="S608" s="52"/>
      <c r="T608" s="52"/>
      <c r="U608" s="52"/>
      <c r="V608" s="52"/>
      <c r="W608" s="52"/>
      <c r="X608" s="52"/>
      <c r="Y608" s="52"/>
      <c r="Z608" s="52"/>
      <c r="AA608" s="52"/>
      <c r="AB608" s="52"/>
      <c r="AC608" s="52"/>
    </row>
    <row r="609">
      <c r="A609" s="52"/>
      <c r="B609" s="350"/>
      <c r="C609" s="52"/>
      <c r="D609" s="52"/>
      <c r="E609" s="52"/>
      <c r="F609" s="351"/>
      <c r="G609" s="52"/>
      <c r="H609" s="52"/>
      <c r="I609" s="52"/>
      <c r="J609" s="52"/>
      <c r="K609" s="52"/>
      <c r="L609" s="52"/>
      <c r="M609" s="52"/>
      <c r="N609" s="52"/>
      <c r="O609" s="52"/>
      <c r="P609" s="52"/>
      <c r="Q609" s="52"/>
      <c r="R609" s="52"/>
      <c r="S609" s="52"/>
      <c r="T609" s="52"/>
      <c r="U609" s="52"/>
      <c r="V609" s="52"/>
      <c r="W609" s="52"/>
      <c r="X609" s="52"/>
      <c r="Y609" s="52"/>
      <c r="Z609" s="52"/>
      <c r="AA609" s="52"/>
      <c r="AB609" s="52"/>
      <c r="AC609" s="52"/>
    </row>
    <row r="610">
      <c r="A610" s="52"/>
      <c r="B610" s="350"/>
      <c r="C610" s="52"/>
      <c r="D610" s="52"/>
      <c r="E610" s="52"/>
      <c r="F610" s="351"/>
      <c r="G610" s="52"/>
      <c r="H610" s="52"/>
      <c r="I610" s="52"/>
      <c r="J610" s="52"/>
      <c r="K610" s="52"/>
      <c r="L610" s="52"/>
      <c r="M610" s="52"/>
      <c r="N610" s="52"/>
      <c r="O610" s="52"/>
      <c r="P610" s="52"/>
      <c r="Q610" s="52"/>
      <c r="R610" s="52"/>
      <c r="S610" s="52"/>
      <c r="T610" s="52"/>
      <c r="U610" s="52"/>
      <c r="V610" s="52"/>
      <c r="W610" s="52"/>
      <c r="X610" s="52"/>
      <c r="Y610" s="52"/>
      <c r="Z610" s="52"/>
      <c r="AA610" s="52"/>
      <c r="AB610" s="52"/>
      <c r="AC610" s="52"/>
    </row>
    <row r="611">
      <c r="A611" s="52"/>
      <c r="B611" s="350"/>
      <c r="C611" s="52"/>
      <c r="D611" s="52"/>
      <c r="E611" s="52"/>
      <c r="F611" s="351"/>
      <c r="G611" s="52"/>
      <c r="H611" s="52"/>
      <c r="I611" s="52"/>
      <c r="J611" s="52"/>
      <c r="K611" s="52"/>
      <c r="L611" s="52"/>
      <c r="M611" s="52"/>
      <c r="N611" s="52"/>
      <c r="O611" s="52"/>
      <c r="P611" s="52"/>
      <c r="Q611" s="52"/>
      <c r="R611" s="52"/>
      <c r="S611" s="52"/>
      <c r="T611" s="52"/>
      <c r="U611" s="52"/>
      <c r="V611" s="52"/>
      <c r="W611" s="52"/>
      <c r="X611" s="52"/>
      <c r="Y611" s="52"/>
      <c r="Z611" s="52"/>
      <c r="AA611" s="52"/>
      <c r="AB611" s="52"/>
      <c r="AC611" s="52"/>
    </row>
    <row r="612">
      <c r="A612" s="52"/>
      <c r="B612" s="350"/>
      <c r="C612" s="52"/>
      <c r="D612" s="52"/>
      <c r="E612" s="52"/>
      <c r="F612" s="351"/>
      <c r="G612" s="52"/>
      <c r="H612" s="52"/>
      <c r="I612" s="52"/>
      <c r="J612" s="52"/>
      <c r="K612" s="52"/>
      <c r="L612" s="52"/>
      <c r="M612" s="52"/>
      <c r="N612" s="52"/>
      <c r="O612" s="52"/>
      <c r="P612" s="52"/>
      <c r="Q612" s="52"/>
      <c r="R612" s="52"/>
      <c r="S612" s="52"/>
      <c r="T612" s="52"/>
      <c r="U612" s="52"/>
      <c r="V612" s="52"/>
      <c r="W612" s="52"/>
      <c r="X612" s="52"/>
      <c r="Y612" s="52"/>
      <c r="Z612" s="52"/>
      <c r="AA612" s="52"/>
      <c r="AB612" s="52"/>
      <c r="AC612" s="52"/>
    </row>
    <row r="613">
      <c r="A613" s="52"/>
      <c r="B613" s="350"/>
      <c r="C613" s="52"/>
      <c r="D613" s="52"/>
      <c r="E613" s="52"/>
      <c r="F613" s="351"/>
      <c r="G613" s="52"/>
      <c r="H613" s="52"/>
      <c r="I613" s="52"/>
      <c r="J613" s="52"/>
      <c r="K613" s="52"/>
      <c r="L613" s="52"/>
      <c r="M613" s="52"/>
      <c r="N613" s="52"/>
      <c r="O613" s="52"/>
      <c r="P613" s="52"/>
      <c r="Q613" s="52"/>
      <c r="R613" s="52"/>
      <c r="S613" s="52"/>
      <c r="T613" s="52"/>
      <c r="U613" s="52"/>
      <c r="V613" s="52"/>
      <c r="W613" s="52"/>
      <c r="X613" s="52"/>
      <c r="Y613" s="52"/>
      <c r="Z613" s="52"/>
      <c r="AA613" s="52"/>
      <c r="AB613" s="52"/>
      <c r="AC613" s="52"/>
    </row>
    <row r="614">
      <c r="A614" s="52"/>
      <c r="B614" s="350"/>
      <c r="C614" s="52"/>
      <c r="D614" s="52"/>
      <c r="E614" s="52"/>
      <c r="F614" s="351"/>
      <c r="G614" s="52"/>
      <c r="H614" s="52"/>
      <c r="I614" s="52"/>
      <c r="J614" s="52"/>
      <c r="K614" s="52"/>
      <c r="L614" s="52"/>
      <c r="M614" s="52"/>
      <c r="N614" s="52"/>
      <c r="O614" s="52"/>
      <c r="P614" s="52"/>
      <c r="Q614" s="52"/>
      <c r="R614" s="52"/>
      <c r="S614" s="52"/>
      <c r="T614" s="52"/>
      <c r="U614" s="52"/>
      <c r="V614" s="52"/>
      <c r="W614" s="52"/>
      <c r="X614" s="52"/>
      <c r="Y614" s="52"/>
      <c r="Z614" s="52"/>
      <c r="AA614" s="52"/>
      <c r="AB614" s="52"/>
      <c r="AC614" s="52"/>
    </row>
    <row r="615">
      <c r="A615" s="52"/>
      <c r="B615" s="350"/>
      <c r="C615" s="52"/>
      <c r="D615" s="52"/>
      <c r="E615" s="52"/>
      <c r="F615" s="351"/>
      <c r="G615" s="52"/>
      <c r="H615" s="52"/>
      <c r="I615" s="52"/>
      <c r="J615" s="52"/>
      <c r="K615" s="52"/>
      <c r="L615" s="52"/>
      <c r="M615" s="52"/>
      <c r="N615" s="52"/>
      <c r="O615" s="52"/>
      <c r="P615" s="52"/>
      <c r="Q615" s="52"/>
      <c r="R615" s="52"/>
      <c r="S615" s="52"/>
      <c r="T615" s="52"/>
      <c r="U615" s="52"/>
      <c r="V615" s="52"/>
      <c r="W615" s="52"/>
      <c r="X615" s="52"/>
      <c r="Y615" s="52"/>
      <c r="Z615" s="52"/>
      <c r="AA615" s="52"/>
      <c r="AB615" s="52"/>
      <c r="AC615" s="52"/>
    </row>
    <row r="616">
      <c r="A616" s="52"/>
      <c r="B616" s="350"/>
      <c r="C616" s="52"/>
      <c r="D616" s="52"/>
      <c r="E616" s="52"/>
      <c r="F616" s="351"/>
      <c r="G616" s="52"/>
      <c r="H616" s="52"/>
      <c r="I616" s="52"/>
      <c r="J616" s="52"/>
      <c r="K616" s="52"/>
      <c r="L616" s="52"/>
      <c r="M616" s="52"/>
      <c r="N616" s="52"/>
      <c r="O616" s="52"/>
      <c r="P616" s="52"/>
      <c r="Q616" s="52"/>
      <c r="R616" s="52"/>
      <c r="S616" s="52"/>
      <c r="T616" s="52"/>
      <c r="U616" s="52"/>
      <c r="V616" s="52"/>
      <c r="W616" s="52"/>
      <c r="X616" s="52"/>
      <c r="Y616" s="52"/>
      <c r="Z616" s="52"/>
      <c r="AA616" s="52"/>
      <c r="AB616" s="52"/>
      <c r="AC616" s="52"/>
    </row>
    <row r="617">
      <c r="A617" s="52"/>
      <c r="B617" s="350"/>
      <c r="C617" s="52"/>
      <c r="D617" s="52"/>
      <c r="E617" s="52"/>
      <c r="F617" s="351"/>
      <c r="G617" s="52"/>
      <c r="H617" s="52"/>
      <c r="I617" s="52"/>
      <c r="J617" s="52"/>
      <c r="K617" s="52"/>
      <c r="L617" s="52"/>
      <c r="M617" s="52"/>
      <c r="N617" s="52"/>
      <c r="O617" s="52"/>
      <c r="P617" s="52"/>
      <c r="Q617" s="52"/>
      <c r="R617" s="52"/>
      <c r="S617" s="52"/>
      <c r="T617" s="52"/>
      <c r="U617" s="52"/>
      <c r="V617" s="52"/>
      <c r="W617" s="52"/>
      <c r="X617" s="52"/>
      <c r="Y617" s="52"/>
      <c r="Z617" s="52"/>
      <c r="AA617" s="52"/>
      <c r="AB617" s="52"/>
      <c r="AC617" s="52"/>
    </row>
    <row r="618">
      <c r="A618" s="52"/>
      <c r="B618" s="350"/>
      <c r="C618" s="52"/>
      <c r="D618" s="52"/>
      <c r="E618" s="52"/>
      <c r="F618" s="351"/>
      <c r="G618" s="52"/>
      <c r="H618" s="52"/>
      <c r="I618" s="52"/>
      <c r="J618" s="52"/>
      <c r="K618" s="52"/>
      <c r="L618" s="52"/>
      <c r="M618" s="52"/>
      <c r="N618" s="52"/>
      <c r="O618" s="52"/>
      <c r="P618" s="52"/>
      <c r="Q618" s="52"/>
      <c r="R618" s="52"/>
      <c r="S618" s="52"/>
      <c r="T618" s="52"/>
      <c r="U618" s="52"/>
      <c r="V618" s="52"/>
      <c r="W618" s="52"/>
      <c r="X618" s="52"/>
      <c r="Y618" s="52"/>
      <c r="Z618" s="52"/>
      <c r="AA618" s="52"/>
      <c r="AB618" s="52"/>
      <c r="AC618" s="52"/>
    </row>
    <row r="619">
      <c r="A619" s="52"/>
      <c r="B619" s="350"/>
      <c r="C619" s="52"/>
      <c r="D619" s="52"/>
      <c r="E619" s="52"/>
      <c r="F619" s="351"/>
      <c r="G619" s="52"/>
      <c r="H619" s="52"/>
      <c r="I619" s="52"/>
      <c r="J619" s="52"/>
      <c r="K619" s="52"/>
      <c r="L619" s="52"/>
      <c r="M619" s="52"/>
      <c r="N619" s="52"/>
      <c r="O619" s="52"/>
      <c r="P619" s="52"/>
      <c r="Q619" s="52"/>
      <c r="R619" s="52"/>
      <c r="S619" s="52"/>
      <c r="T619" s="52"/>
      <c r="U619" s="52"/>
      <c r="V619" s="52"/>
      <c r="W619" s="52"/>
      <c r="X619" s="52"/>
      <c r="Y619" s="52"/>
      <c r="Z619" s="52"/>
      <c r="AA619" s="52"/>
      <c r="AB619" s="52"/>
      <c r="AC619" s="52"/>
    </row>
    <row r="620">
      <c r="A620" s="52"/>
      <c r="B620" s="350"/>
      <c r="C620" s="52"/>
      <c r="D620" s="52"/>
      <c r="E620" s="52"/>
      <c r="F620" s="351"/>
      <c r="G620" s="52"/>
      <c r="H620" s="52"/>
      <c r="I620" s="52"/>
      <c r="J620" s="52"/>
      <c r="K620" s="52"/>
      <c r="L620" s="52"/>
      <c r="M620" s="52"/>
      <c r="N620" s="52"/>
      <c r="O620" s="52"/>
      <c r="P620" s="52"/>
      <c r="Q620" s="52"/>
      <c r="R620" s="52"/>
      <c r="S620" s="52"/>
      <c r="T620" s="52"/>
      <c r="U620" s="52"/>
      <c r="V620" s="52"/>
      <c r="W620" s="52"/>
      <c r="X620" s="52"/>
      <c r="Y620" s="52"/>
      <c r="Z620" s="52"/>
      <c r="AA620" s="52"/>
      <c r="AB620" s="52"/>
      <c r="AC620" s="52"/>
    </row>
    <row r="621">
      <c r="A621" s="52"/>
      <c r="B621" s="350"/>
      <c r="C621" s="52"/>
      <c r="D621" s="52"/>
      <c r="E621" s="52"/>
      <c r="F621" s="351"/>
      <c r="G621" s="52"/>
      <c r="H621" s="52"/>
      <c r="I621" s="52"/>
      <c r="J621" s="52"/>
      <c r="K621" s="52"/>
      <c r="L621" s="52"/>
      <c r="M621" s="52"/>
      <c r="N621" s="52"/>
      <c r="O621" s="52"/>
      <c r="P621" s="52"/>
      <c r="Q621" s="52"/>
      <c r="R621" s="52"/>
      <c r="S621" s="52"/>
      <c r="T621" s="52"/>
      <c r="U621" s="52"/>
      <c r="V621" s="52"/>
      <c r="W621" s="52"/>
      <c r="X621" s="52"/>
      <c r="Y621" s="52"/>
      <c r="Z621" s="52"/>
      <c r="AA621" s="52"/>
      <c r="AB621" s="52"/>
      <c r="AC621" s="52"/>
    </row>
    <row r="622">
      <c r="A622" s="52"/>
      <c r="B622" s="350"/>
      <c r="C622" s="52"/>
      <c r="D622" s="52"/>
      <c r="E622" s="52"/>
      <c r="F622" s="351"/>
      <c r="G622" s="52"/>
      <c r="H622" s="52"/>
      <c r="I622" s="52"/>
      <c r="J622" s="52"/>
      <c r="K622" s="52"/>
      <c r="L622" s="52"/>
      <c r="M622" s="52"/>
      <c r="N622" s="52"/>
      <c r="O622" s="52"/>
      <c r="P622" s="52"/>
      <c r="Q622" s="52"/>
      <c r="R622" s="52"/>
      <c r="S622" s="52"/>
      <c r="T622" s="52"/>
      <c r="U622" s="52"/>
      <c r="V622" s="52"/>
      <c r="W622" s="52"/>
      <c r="X622" s="52"/>
      <c r="Y622" s="52"/>
      <c r="Z622" s="52"/>
      <c r="AA622" s="52"/>
      <c r="AB622" s="52"/>
      <c r="AC622" s="52"/>
    </row>
    <row r="623">
      <c r="A623" s="52"/>
      <c r="B623" s="350"/>
      <c r="C623" s="52"/>
      <c r="D623" s="52"/>
      <c r="E623" s="52"/>
      <c r="F623" s="351"/>
      <c r="G623" s="52"/>
      <c r="H623" s="52"/>
      <c r="I623" s="52"/>
      <c r="J623" s="52"/>
      <c r="K623" s="52"/>
      <c r="L623" s="52"/>
      <c r="M623" s="52"/>
      <c r="N623" s="52"/>
      <c r="O623" s="52"/>
      <c r="P623" s="52"/>
      <c r="Q623" s="52"/>
      <c r="R623" s="52"/>
      <c r="S623" s="52"/>
      <c r="T623" s="52"/>
      <c r="U623" s="52"/>
      <c r="V623" s="52"/>
      <c r="W623" s="52"/>
      <c r="X623" s="52"/>
      <c r="Y623" s="52"/>
      <c r="Z623" s="52"/>
      <c r="AA623" s="52"/>
      <c r="AB623" s="52"/>
      <c r="AC623" s="52"/>
    </row>
    <row r="624">
      <c r="A624" s="52"/>
      <c r="B624" s="350"/>
      <c r="C624" s="52"/>
      <c r="D624" s="52"/>
      <c r="E624" s="52"/>
      <c r="F624" s="351"/>
      <c r="G624" s="52"/>
      <c r="H624" s="52"/>
      <c r="I624" s="52"/>
      <c r="J624" s="52"/>
      <c r="K624" s="52"/>
      <c r="L624" s="52"/>
      <c r="M624" s="52"/>
      <c r="N624" s="52"/>
      <c r="O624" s="52"/>
      <c r="P624" s="52"/>
      <c r="Q624" s="52"/>
      <c r="R624" s="52"/>
      <c r="S624" s="52"/>
      <c r="T624" s="52"/>
      <c r="U624" s="52"/>
      <c r="V624" s="52"/>
      <c r="W624" s="52"/>
      <c r="X624" s="52"/>
      <c r="Y624" s="52"/>
      <c r="Z624" s="52"/>
      <c r="AA624" s="52"/>
      <c r="AB624" s="52"/>
      <c r="AC624" s="52"/>
    </row>
    <row r="625">
      <c r="A625" s="52"/>
      <c r="B625" s="350"/>
      <c r="C625" s="52"/>
      <c r="D625" s="52"/>
      <c r="E625" s="52"/>
      <c r="F625" s="351"/>
      <c r="G625" s="52"/>
      <c r="H625" s="52"/>
      <c r="I625" s="52"/>
      <c r="J625" s="52"/>
      <c r="K625" s="52"/>
      <c r="L625" s="52"/>
      <c r="M625" s="52"/>
      <c r="N625" s="52"/>
      <c r="O625" s="52"/>
      <c r="P625" s="52"/>
      <c r="Q625" s="52"/>
      <c r="R625" s="52"/>
      <c r="S625" s="52"/>
      <c r="T625" s="52"/>
      <c r="U625" s="52"/>
      <c r="V625" s="52"/>
      <c r="W625" s="52"/>
      <c r="X625" s="52"/>
      <c r="Y625" s="52"/>
      <c r="Z625" s="52"/>
      <c r="AA625" s="52"/>
      <c r="AB625" s="52"/>
      <c r="AC625" s="52"/>
    </row>
    <row r="626">
      <c r="A626" s="52"/>
      <c r="B626" s="350"/>
      <c r="C626" s="52"/>
      <c r="D626" s="52"/>
      <c r="E626" s="52"/>
      <c r="F626" s="351"/>
      <c r="G626" s="52"/>
      <c r="H626" s="52"/>
      <c r="I626" s="52"/>
      <c r="J626" s="52"/>
      <c r="K626" s="52"/>
      <c r="L626" s="52"/>
      <c r="M626" s="52"/>
      <c r="N626" s="52"/>
      <c r="O626" s="52"/>
      <c r="P626" s="52"/>
      <c r="Q626" s="52"/>
      <c r="R626" s="52"/>
      <c r="S626" s="52"/>
      <c r="T626" s="52"/>
      <c r="U626" s="52"/>
      <c r="V626" s="52"/>
      <c r="W626" s="52"/>
      <c r="X626" s="52"/>
      <c r="Y626" s="52"/>
      <c r="Z626" s="52"/>
      <c r="AA626" s="52"/>
      <c r="AB626" s="52"/>
      <c r="AC626" s="52"/>
    </row>
    <row r="627">
      <c r="A627" s="52"/>
      <c r="B627" s="350"/>
      <c r="C627" s="52"/>
      <c r="D627" s="52"/>
      <c r="E627" s="52"/>
      <c r="F627" s="351"/>
      <c r="G627" s="52"/>
      <c r="H627" s="52"/>
      <c r="I627" s="52"/>
      <c r="J627" s="52"/>
      <c r="K627" s="52"/>
      <c r="L627" s="52"/>
      <c r="M627" s="52"/>
      <c r="N627" s="52"/>
      <c r="O627" s="52"/>
      <c r="P627" s="52"/>
      <c r="Q627" s="52"/>
      <c r="R627" s="52"/>
      <c r="S627" s="52"/>
      <c r="T627" s="52"/>
      <c r="U627" s="52"/>
      <c r="V627" s="52"/>
      <c r="W627" s="52"/>
      <c r="X627" s="52"/>
      <c r="Y627" s="52"/>
      <c r="Z627" s="52"/>
      <c r="AA627" s="52"/>
      <c r="AB627" s="52"/>
      <c r="AC627" s="52"/>
    </row>
    <row r="628">
      <c r="A628" s="52"/>
      <c r="B628" s="350"/>
      <c r="C628" s="52"/>
      <c r="D628" s="52"/>
      <c r="E628" s="52"/>
      <c r="F628" s="351"/>
      <c r="G628" s="52"/>
      <c r="H628" s="52"/>
      <c r="I628" s="52"/>
      <c r="J628" s="52"/>
      <c r="K628" s="52"/>
      <c r="L628" s="52"/>
      <c r="M628" s="52"/>
      <c r="N628" s="52"/>
      <c r="O628" s="52"/>
      <c r="P628" s="52"/>
      <c r="Q628" s="52"/>
      <c r="R628" s="52"/>
      <c r="S628" s="52"/>
      <c r="T628" s="52"/>
      <c r="U628" s="52"/>
      <c r="V628" s="52"/>
      <c r="W628" s="52"/>
      <c r="X628" s="52"/>
      <c r="Y628" s="52"/>
      <c r="Z628" s="52"/>
      <c r="AA628" s="52"/>
      <c r="AB628" s="52"/>
      <c r="AC628" s="52"/>
    </row>
    <row r="629">
      <c r="A629" s="52"/>
      <c r="B629" s="350"/>
      <c r="C629" s="52"/>
      <c r="D629" s="52"/>
      <c r="E629" s="52"/>
      <c r="F629" s="351"/>
      <c r="G629" s="52"/>
      <c r="H629" s="52"/>
      <c r="I629" s="52"/>
      <c r="J629" s="52"/>
      <c r="K629" s="52"/>
      <c r="L629" s="52"/>
      <c r="M629" s="52"/>
      <c r="N629" s="52"/>
      <c r="O629" s="52"/>
      <c r="P629" s="52"/>
      <c r="Q629" s="52"/>
      <c r="R629" s="52"/>
      <c r="S629" s="52"/>
      <c r="T629" s="52"/>
      <c r="U629" s="52"/>
      <c r="V629" s="52"/>
      <c r="W629" s="52"/>
      <c r="X629" s="52"/>
      <c r="Y629" s="52"/>
      <c r="Z629" s="52"/>
      <c r="AA629" s="52"/>
      <c r="AB629" s="52"/>
      <c r="AC629" s="52"/>
    </row>
    <row r="630">
      <c r="A630" s="52"/>
      <c r="B630" s="350"/>
      <c r="C630" s="52"/>
      <c r="D630" s="52"/>
      <c r="E630" s="52"/>
      <c r="F630" s="351"/>
      <c r="G630" s="52"/>
      <c r="H630" s="52"/>
      <c r="I630" s="52"/>
      <c r="J630" s="52"/>
      <c r="K630" s="52"/>
      <c r="L630" s="52"/>
      <c r="M630" s="52"/>
      <c r="N630" s="52"/>
      <c r="O630" s="52"/>
      <c r="P630" s="52"/>
      <c r="Q630" s="52"/>
      <c r="R630" s="52"/>
      <c r="S630" s="52"/>
      <c r="T630" s="52"/>
      <c r="U630" s="52"/>
      <c r="V630" s="52"/>
      <c r="W630" s="52"/>
      <c r="X630" s="52"/>
      <c r="Y630" s="52"/>
      <c r="Z630" s="52"/>
      <c r="AA630" s="52"/>
      <c r="AB630" s="52"/>
      <c r="AC630" s="52"/>
    </row>
    <row r="631">
      <c r="A631" s="52"/>
      <c r="B631" s="350"/>
      <c r="C631" s="52"/>
      <c r="D631" s="52"/>
      <c r="E631" s="52"/>
      <c r="F631" s="351"/>
      <c r="G631" s="52"/>
      <c r="H631" s="52"/>
      <c r="I631" s="52"/>
      <c r="J631" s="52"/>
      <c r="K631" s="52"/>
      <c r="L631" s="52"/>
      <c r="M631" s="52"/>
      <c r="N631" s="52"/>
      <c r="O631" s="52"/>
      <c r="P631" s="52"/>
      <c r="Q631" s="52"/>
      <c r="R631" s="52"/>
      <c r="S631" s="52"/>
      <c r="T631" s="52"/>
      <c r="U631" s="52"/>
      <c r="V631" s="52"/>
      <c r="W631" s="52"/>
      <c r="X631" s="52"/>
      <c r="Y631" s="52"/>
      <c r="Z631" s="52"/>
      <c r="AA631" s="52"/>
      <c r="AB631" s="52"/>
      <c r="AC631" s="52"/>
    </row>
    <row r="632">
      <c r="A632" s="52"/>
      <c r="B632" s="350"/>
      <c r="C632" s="52"/>
      <c r="D632" s="52"/>
      <c r="E632" s="52"/>
      <c r="F632" s="351"/>
      <c r="G632" s="52"/>
      <c r="H632" s="52"/>
      <c r="I632" s="52"/>
      <c r="J632" s="52"/>
      <c r="K632" s="52"/>
      <c r="L632" s="52"/>
      <c r="M632" s="52"/>
      <c r="N632" s="52"/>
      <c r="O632" s="52"/>
      <c r="P632" s="52"/>
      <c r="Q632" s="52"/>
      <c r="R632" s="52"/>
      <c r="S632" s="52"/>
      <c r="T632" s="52"/>
      <c r="U632" s="52"/>
      <c r="V632" s="52"/>
      <c r="W632" s="52"/>
      <c r="X632" s="52"/>
      <c r="Y632" s="52"/>
      <c r="Z632" s="52"/>
      <c r="AA632" s="52"/>
      <c r="AB632" s="52"/>
      <c r="AC632" s="52"/>
    </row>
    <row r="633">
      <c r="A633" s="52"/>
      <c r="B633" s="350"/>
      <c r="C633" s="52"/>
      <c r="D633" s="52"/>
      <c r="E633" s="52"/>
      <c r="F633" s="351"/>
      <c r="G633" s="52"/>
      <c r="H633" s="52"/>
      <c r="I633" s="52"/>
      <c r="J633" s="52"/>
      <c r="K633" s="52"/>
      <c r="L633" s="52"/>
      <c r="M633" s="52"/>
      <c r="N633" s="52"/>
      <c r="O633" s="52"/>
      <c r="P633" s="52"/>
      <c r="Q633" s="52"/>
      <c r="R633" s="52"/>
      <c r="S633" s="52"/>
      <c r="T633" s="52"/>
      <c r="U633" s="52"/>
      <c r="V633" s="52"/>
      <c r="W633" s="52"/>
      <c r="X633" s="52"/>
      <c r="Y633" s="52"/>
      <c r="Z633" s="52"/>
      <c r="AA633" s="52"/>
      <c r="AB633" s="52"/>
      <c r="AC633" s="52"/>
    </row>
    <row r="634">
      <c r="A634" s="52"/>
      <c r="B634" s="350"/>
      <c r="C634" s="52"/>
      <c r="D634" s="52"/>
      <c r="E634" s="52"/>
      <c r="F634" s="351"/>
      <c r="G634" s="52"/>
      <c r="H634" s="52"/>
      <c r="I634" s="52"/>
      <c r="J634" s="52"/>
      <c r="K634" s="52"/>
      <c r="L634" s="52"/>
      <c r="M634" s="52"/>
      <c r="N634" s="52"/>
      <c r="O634" s="52"/>
      <c r="P634" s="52"/>
      <c r="Q634" s="52"/>
      <c r="R634" s="52"/>
      <c r="S634" s="52"/>
      <c r="T634" s="52"/>
      <c r="U634" s="52"/>
      <c r="V634" s="52"/>
      <c r="W634" s="52"/>
      <c r="X634" s="52"/>
      <c r="Y634" s="52"/>
      <c r="Z634" s="52"/>
      <c r="AA634" s="52"/>
      <c r="AB634" s="52"/>
      <c r="AC634" s="52"/>
    </row>
    <row r="635">
      <c r="A635" s="52"/>
      <c r="B635" s="350"/>
      <c r="C635" s="52"/>
      <c r="D635" s="52"/>
      <c r="E635" s="52"/>
      <c r="F635" s="351"/>
      <c r="G635" s="52"/>
      <c r="H635" s="52"/>
      <c r="I635" s="52"/>
      <c r="J635" s="52"/>
      <c r="K635" s="52"/>
      <c r="L635" s="52"/>
      <c r="M635" s="52"/>
      <c r="N635" s="52"/>
      <c r="O635" s="52"/>
      <c r="P635" s="52"/>
      <c r="Q635" s="52"/>
      <c r="R635" s="52"/>
      <c r="S635" s="52"/>
      <c r="T635" s="52"/>
      <c r="U635" s="52"/>
      <c r="V635" s="52"/>
      <c r="W635" s="52"/>
      <c r="X635" s="52"/>
      <c r="Y635" s="52"/>
      <c r="Z635" s="52"/>
      <c r="AA635" s="52"/>
      <c r="AB635" s="52"/>
      <c r="AC635" s="52"/>
    </row>
    <row r="636">
      <c r="A636" s="52"/>
      <c r="B636" s="350"/>
      <c r="C636" s="52"/>
      <c r="D636" s="52"/>
      <c r="E636" s="52"/>
      <c r="F636" s="351"/>
      <c r="G636" s="52"/>
      <c r="H636" s="52"/>
      <c r="I636" s="52"/>
      <c r="J636" s="52"/>
      <c r="K636" s="52"/>
      <c r="L636" s="52"/>
      <c r="M636" s="52"/>
      <c r="N636" s="52"/>
      <c r="O636" s="52"/>
      <c r="P636" s="52"/>
      <c r="Q636" s="52"/>
      <c r="R636" s="52"/>
      <c r="S636" s="52"/>
      <c r="T636" s="52"/>
      <c r="U636" s="52"/>
      <c r="V636" s="52"/>
      <c r="W636" s="52"/>
      <c r="X636" s="52"/>
      <c r="Y636" s="52"/>
      <c r="Z636" s="52"/>
      <c r="AA636" s="52"/>
      <c r="AB636" s="52"/>
      <c r="AC636" s="52"/>
    </row>
    <row r="637">
      <c r="A637" s="52"/>
      <c r="B637" s="350"/>
      <c r="C637" s="52"/>
      <c r="D637" s="52"/>
      <c r="E637" s="52"/>
      <c r="F637" s="351"/>
      <c r="G637" s="52"/>
      <c r="H637" s="52"/>
      <c r="I637" s="52"/>
      <c r="J637" s="52"/>
      <c r="K637" s="52"/>
      <c r="L637" s="52"/>
      <c r="M637" s="52"/>
      <c r="N637" s="52"/>
      <c r="O637" s="52"/>
      <c r="P637" s="52"/>
      <c r="Q637" s="52"/>
      <c r="R637" s="52"/>
      <c r="S637" s="52"/>
      <c r="T637" s="52"/>
      <c r="U637" s="52"/>
      <c r="V637" s="52"/>
      <c r="W637" s="52"/>
      <c r="X637" s="52"/>
      <c r="Y637" s="52"/>
      <c r="Z637" s="52"/>
      <c r="AA637" s="52"/>
      <c r="AB637" s="52"/>
      <c r="AC637" s="52"/>
    </row>
    <row r="638">
      <c r="A638" s="52"/>
      <c r="B638" s="350"/>
      <c r="C638" s="52"/>
      <c r="D638" s="52"/>
      <c r="E638" s="52"/>
      <c r="F638" s="351"/>
      <c r="G638" s="52"/>
      <c r="H638" s="52"/>
      <c r="I638" s="52"/>
      <c r="J638" s="52"/>
      <c r="K638" s="52"/>
      <c r="L638" s="52"/>
      <c r="M638" s="52"/>
      <c r="N638" s="52"/>
      <c r="O638" s="52"/>
      <c r="P638" s="52"/>
      <c r="Q638" s="52"/>
      <c r="R638" s="52"/>
      <c r="S638" s="52"/>
      <c r="T638" s="52"/>
      <c r="U638" s="52"/>
      <c r="V638" s="52"/>
      <c r="W638" s="52"/>
      <c r="X638" s="52"/>
      <c r="Y638" s="52"/>
      <c r="Z638" s="52"/>
      <c r="AA638" s="52"/>
      <c r="AB638" s="52"/>
      <c r="AC638" s="52"/>
    </row>
    <row r="639">
      <c r="A639" s="52"/>
      <c r="B639" s="350"/>
      <c r="C639" s="52"/>
      <c r="D639" s="52"/>
      <c r="E639" s="52"/>
      <c r="F639" s="351"/>
      <c r="G639" s="52"/>
      <c r="H639" s="52"/>
      <c r="I639" s="52"/>
      <c r="J639" s="52"/>
      <c r="K639" s="52"/>
      <c r="L639" s="52"/>
      <c r="M639" s="52"/>
      <c r="N639" s="52"/>
      <c r="O639" s="52"/>
      <c r="P639" s="52"/>
      <c r="Q639" s="52"/>
      <c r="R639" s="52"/>
      <c r="S639" s="52"/>
      <c r="T639" s="52"/>
      <c r="U639" s="52"/>
      <c r="V639" s="52"/>
      <c r="W639" s="52"/>
      <c r="X639" s="52"/>
      <c r="Y639" s="52"/>
      <c r="Z639" s="52"/>
      <c r="AA639" s="52"/>
      <c r="AB639" s="52"/>
      <c r="AC639" s="52"/>
    </row>
    <row r="640">
      <c r="A640" s="52"/>
      <c r="B640" s="350"/>
      <c r="C640" s="52"/>
      <c r="D640" s="52"/>
      <c r="E640" s="52"/>
      <c r="F640" s="351"/>
      <c r="G640" s="52"/>
      <c r="H640" s="52"/>
      <c r="I640" s="52"/>
      <c r="J640" s="52"/>
      <c r="K640" s="52"/>
      <c r="L640" s="52"/>
      <c r="M640" s="52"/>
      <c r="N640" s="52"/>
      <c r="O640" s="52"/>
      <c r="P640" s="52"/>
      <c r="Q640" s="52"/>
      <c r="R640" s="52"/>
      <c r="S640" s="52"/>
      <c r="T640" s="52"/>
      <c r="U640" s="52"/>
      <c r="V640" s="52"/>
      <c r="W640" s="52"/>
      <c r="X640" s="52"/>
      <c r="Y640" s="52"/>
      <c r="Z640" s="52"/>
      <c r="AA640" s="52"/>
      <c r="AB640" s="52"/>
      <c r="AC640" s="52"/>
    </row>
    <row r="641">
      <c r="A641" s="52"/>
      <c r="B641" s="350"/>
      <c r="C641" s="52"/>
      <c r="D641" s="52"/>
      <c r="E641" s="52"/>
      <c r="F641" s="351"/>
      <c r="G641" s="52"/>
      <c r="H641" s="52"/>
      <c r="I641" s="52"/>
      <c r="J641" s="52"/>
      <c r="K641" s="52"/>
      <c r="L641" s="52"/>
      <c r="M641" s="52"/>
      <c r="N641" s="52"/>
      <c r="O641" s="52"/>
      <c r="P641" s="52"/>
      <c r="Q641" s="52"/>
      <c r="R641" s="52"/>
      <c r="S641" s="52"/>
      <c r="T641" s="52"/>
      <c r="U641" s="52"/>
      <c r="V641" s="52"/>
      <c r="W641" s="52"/>
      <c r="X641" s="52"/>
      <c r="Y641" s="52"/>
      <c r="Z641" s="52"/>
      <c r="AA641" s="52"/>
      <c r="AB641" s="52"/>
      <c r="AC641" s="52"/>
    </row>
    <row r="642">
      <c r="A642" s="52"/>
      <c r="B642" s="350"/>
      <c r="C642" s="52"/>
      <c r="D642" s="52"/>
      <c r="E642" s="52"/>
      <c r="F642" s="351"/>
      <c r="G642" s="52"/>
      <c r="H642" s="52"/>
      <c r="I642" s="52"/>
      <c r="J642" s="52"/>
      <c r="K642" s="52"/>
      <c r="L642" s="52"/>
      <c r="M642" s="52"/>
      <c r="N642" s="52"/>
      <c r="O642" s="52"/>
      <c r="P642" s="52"/>
      <c r="Q642" s="52"/>
      <c r="R642" s="52"/>
      <c r="S642" s="52"/>
      <c r="T642" s="52"/>
      <c r="U642" s="52"/>
      <c r="V642" s="52"/>
      <c r="W642" s="52"/>
      <c r="X642" s="52"/>
      <c r="Y642" s="52"/>
      <c r="Z642" s="52"/>
      <c r="AA642" s="52"/>
      <c r="AB642" s="52"/>
      <c r="AC642" s="52"/>
    </row>
    <row r="643">
      <c r="A643" s="52"/>
      <c r="B643" s="350"/>
      <c r="C643" s="52"/>
      <c r="D643" s="52"/>
      <c r="E643" s="52"/>
      <c r="F643" s="351"/>
      <c r="G643" s="52"/>
      <c r="H643" s="52"/>
      <c r="I643" s="52"/>
      <c r="J643" s="52"/>
      <c r="K643" s="52"/>
      <c r="L643" s="52"/>
      <c r="M643" s="52"/>
      <c r="N643" s="52"/>
      <c r="O643" s="52"/>
      <c r="P643" s="52"/>
      <c r="Q643" s="52"/>
      <c r="R643" s="52"/>
      <c r="S643" s="52"/>
      <c r="T643" s="52"/>
      <c r="U643" s="52"/>
      <c r="V643" s="52"/>
      <c r="W643" s="52"/>
      <c r="X643" s="52"/>
      <c r="Y643" s="52"/>
      <c r="Z643" s="52"/>
      <c r="AA643" s="52"/>
      <c r="AB643" s="52"/>
      <c r="AC643" s="52"/>
    </row>
    <row r="644">
      <c r="A644" s="52"/>
      <c r="B644" s="350"/>
      <c r="C644" s="52"/>
      <c r="D644" s="52"/>
      <c r="E644" s="52"/>
      <c r="F644" s="351"/>
      <c r="G644" s="52"/>
      <c r="H644" s="52"/>
      <c r="I644" s="52"/>
      <c r="J644" s="52"/>
      <c r="K644" s="52"/>
      <c r="L644" s="52"/>
      <c r="M644" s="52"/>
      <c r="N644" s="52"/>
      <c r="O644" s="52"/>
      <c r="P644" s="52"/>
      <c r="Q644" s="52"/>
      <c r="R644" s="52"/>
      <c r="S644" s="52"/>
      <c r="T644" s="52"/>
      <c r="U644" s="52"/>
      <c r="V644" s="52"/>
      <c r="W644" s="52"/>
      <c r="X644" s="52"/>
      <c r="Y644" s="52"/>
      <c r="Z644" s="52"/>
      <c r="AA644" s="52"/>
      <c r="AB644" s="52"/>
      <c r="AC644" s="52"/>
    </row>
    <row r="645">
      <c r="A645" s="52"/>
      <c r="B645" s="350"/>
      <c r="C645" s="52"/>
      <c r="D645" s="52"/>
      <c r="E645" s="52"/>
      <c r="F645" s="351"/>
      <c r="G645" s="52"/>
      <c r="H645" s="52"/>
      <c r="I645" s="52"/>
      <c r="J645" s="52"/>
      <c r="K645" s="52"/>
      <c r="L645" s="52"/>
      <c r="M645" s="52"/>
      <c r="N645" s="52"/>
      <c r="O645" s="52"/>
      <c r="P645" s="52"/>
      <c r="Q645" s="52"/>
      <c r="R645" s="52"/>
      <c r="S645" s="52"/>
      <c r="T645" s="52"/>
      <c r="U645" s="52"/>
      <c r="V645" s="52"/>
      <c r="W645" s="52"/>
      <c r="X645" s="52"/>
      <c r="Y645" s="52"/>
      <c r="Z645" s="52"/>
      <c r="AA645" s="52"/>
      <c r="AB645" s="52"/>
      <c r="AC645" s="52"/>
    </row>
    <row r="646">
      <c r="A646" s="52"/>
      <c r="B646" s="350"/>
      <c r="C646" s="52"/>
      <c r="D646" s="52"/>
      <c r="E646" s="52"/>
      <c r="F646" s="351"/>
      <c r="G646" s="52"/>
      <c r="H646" s="52"/>
      <c r="I646" s="52"/>
      <c r="J646" s="52"/>
      <c r="K646" s="52"/>
      <c r="L646" s="52"/>
      <c r="M646" s="52"/>
      <c r="N646" s="52"/>
      <c r="O646" s="52"/>
      <c r="P646" s="52"/>
      <c r="Q646" s="52"/>
      <c r="R646" s="52"/>
      <c r="S646" s="52"/>
      <c r="T646" s="52"/>
      <c r="U646" s="52"/>
      <c r="V646" s="52"/>
      <c r="W646" s="52"/>
      <c r="X646" s="52"/>
      <c r="Y646" s="52"/>
      <c r="Z646" s="52"/>
      <c r="AA646" s="52"/>
      <c r="AB646" s="52"/>
      <c r="AC646" s="52"/>
    </row>
    <row r="647">
      <c r="A647" s="52"/>
      <c r="B647" s="350"/>
      <c r="C647" s="52"/>
      <c r="D647" s="52"/>
      <c r="E647" s="52"/>
      <c r="F647" s="351"/>
      <c r="G647" s="52"/>
      <c r="H647" s="52"/>
      <c r="I647" s="52"/>
      <c r="J647" s="52"/>
      <c r="K647" s="52"/>
      <c r="L647" s="52"/>
      <c r="M647" s="52"/>
      <c r="N647" s="52"/>
      <c r="O647" s="52"/>
      <c r="P647" s="52"/>
      <c r="Q647" s="52"/>
      <c r="R647" s="52"/>
      <c r="S647" s="52"/>
      <c r="T647" s="52"/>
      <c r="U647" s="52"/>
      <c r="V647" s="52"/>
      <c r="W647" s="52"/>
      <c r="X647" s="52"/>
      <c r="Y647" s="52"/>
      <c r="Z647" s="52"/>
      <c r="AA647" s="52"/>
      <c r="AB647" s="52"/>
      <c r="AC647" s="52"/>
    </row>
    <row r="648">
      <c r="A648" s="52"/>
      <c r="B648" s="350"/>
      <c r="C648" s="52"/>
      <c r="D648" s="52"/>
      <c r="E648" s="52"/>
      <c r="F648" s="351"/>
      <c r="G648" s="52"/>
      <c r="H648" s="52"/>
      <c r="I648" s="52"/>
      <c r="J648" s="52"/>
      <c r="K648" s="52"/>
      <c r="L648" s="52"/>
      <c r="M648" s="52"/>
      <c r="N648" s="52"/>
      <c r="O648" s="52"/>
      <c r="P648" s="52"/>
      <c r="Q648" s="52"/>
      <c r="R648" s="52"/>
      <c r="S648" s="52"/>
      <c r="T648" s="52"/>
      <c r="U648" s="52"/>
      <c r="V648" s="52"/>
      <c r="W648" s="52"/>
      <c r="X648" s="52"/>
      <c r="Y648" s="52"/>
      <c r="Z648" s="52"/>
      <c r="AA648" s="52"/>
      <c r="AB648" s="52"/>
      <c r="AC648" s="52"/>
    </row>
    <row r="649">
      <c r="A649" s="52"/>
      <c r="B649" s="350"/>
      <c r="C649" s="52"/>
      <c r="D649" s="52"/>
      <c r="E649" s="52"/>
      <c r="F649" s="351"/>
      <c r="G649" s="52"/>
      <c r="H649" s="52"/>
      <c r="I649" s="52"/>
      <c r="J649" s="52"/>
      <c r="K649" s="52"/>
      <c r="L649" s="52"/>
      <c r="M649" s="52"/>
      <c r="N649" s="52"/>
      <c r="O649" s="52"/>
      <c r="P649" s="52"/>
      <c r="Q649" s="52"/>
      <c r="R649" s="52"/>
      <c r="S649" s="52"/>
      <c r="T649" s="52"/>
      <c r="U649" s="52"/>
      <c r="V649" s="52"/>
      <c r="W649" s="52"/>
      <c r="X649" s="52"/>
      <c r="Y649" s="52"/>
      <c r="Z649" s="52"/>
      <c r="AA649" s="52"/>
      <c r="AB649" s="52"/>
      <c r="AC649" s="52"/>
    </row>
    <row r="650">
      <c r="A650" s="52"/>
      <c r="B650" s="350"/>
      <c r="C650" s="52"/>
      <c r="D650" s="52"/>
      <c r="E650" s="52"/>
      <c r="F650" s="351"/>
      <c r="G650" s="52"/>
      <c r="H650" s="52"/>
      <c r="I650" s="52"/>
      <c r="J650" s="52"/>
      <c r="K650" s="52"/>
      <c r="L650" s="52"/>
      <c r="M650" s="52"/>
      <c r="N650" s="52"/>
      <c r="O650" s="52"/>
      <c r="P650" s="52"/>
      <c r="Q650" s="52"/>
      <c r="R650" s="52"/>
      <c r="S650" s="52"/>
      <c r="T650" s="52"/>
      <c r="U650" s="52"/>
      <c r="V650" s="52"/>
      <c r="W650" s="52"/>
      <c r="X650" s="52"/>
      <c r="Y650" s="52"/>
      <c r="Z650" s="52"/>
      <c r="AA650" s="52"/>
      <c r="AB650" s="52"/>
      <c r="AC650" s="52"/>
    </row>
    <row r="651">
      <c r="A651" s="52"/>
      <c r="B651" s="350"/>
      <c r="C651" s="52"/>
      <c r="D651" s="52"/>
      <c r="E651" s="52"/>
      <c r="F651" s="351"/>
      <c r="G651" s="52"/>
      <c r="H651" s="52"/>
      <c r="I651" s="52"/>
      <c r="J651" s="52"/>
      <c r="K651" s="52"/>
      <c r="L651" s="52"/>
      <c r="M651" s="52"/>
      <c r="N651" s="52"/>
      <c r="O651" s="52"/>
      <c r="P651" s="52"/>
      <c r="Q651" s="52"/>
      <c r="R651" s="52"/>
      <c r="S651" s="52"/>
      <c r="T651" s="52"/>
      <c r="U651" s="52"/>
      <c r="V651" s="52"/>
      <c r="W651" s="52"/>
      <c r="X651" s="52"/>
      <c r="Y651" s="52"/>
      <c r="Z651" s="52"/>
      <c r="AA651" s="52"/>
      <c r="AB651" s="52"/>
      <c r="AC651" s="52"/>
    </row>
    <row r="652">
      <c r="A652" s="52"/>
      <c r="B652" s="350"/>
      <c r="C652" s="52"/>
      <c r="D652" s="52"/>
      <c r="E652" s="52"/>
      <c r="F652" s="351"/>
      <c r="G652" s="52"/>
      <c r="H652" s="52"/>
      <c r="I652" s="52"/>
      <c r="J652" s="52"/>
      <c r="K652" s="52"/>
      <c r="L652" s="52"/>
      <c r="M652" s="52"/>
      <c r="N652" s="52"/>
      <c r="O652" s="52"/>
      <c r="P652" s="52"/>
      <c r="Q652" s="52"/>
      <c r="R652" s="52"/>
      <c r="S652" s="52"/>
      <c r="T652" s="52"/>
      <c r="U652" s="52"/>
      <c r="V652" s="52"/>
      <c r="W652" s="52"/>
      <c r="X652" s="52"/>
      <c r="Y652" s="52"/>
      <c r="Z652" s="52"/>
      <c r="AA652" s="52"/>
      <c r="AB652" s="52"/>
      <c r="AC652" s="52"/>
    </row>
    <row r="653">
      <c r="A653" s="52"/>
      <c r="B653" s="350"/>
      <c r="C653" s="52"/>
      <c r="D653" s="52"/>
      <c r="E653" s="52"/>
      <c r="F653" s="351"/>
      <c r="G653" s="52"/>
      <c r="H653" s="52"/>
      <c r="I653" s="52"/>
      <c r="J653" s="52"/>
      <c r="K653" s="52"/>
      <c r="L653" s="52"/>
      <c r="M653" s="52"/>
      <c r="N653" s="52"/>
      <c r="O653" s="52"/>
      <c r="P653" s="52"/>
      <c r="Q653" s="52"/>
      <c r="R653" s="52"/>
      <c r="S653" s="52"/>
      <c r="T653" s="52"/>
      <c r="U653" s="52"/>
      <c r="V653" s="52"/>
      <c r="W653" s="52"/>
      <c r="X653" s="52"/>
      <c r="Y653" s="52"/>
      <c r="Z653" s="52"/>
      <c r="AA653" s="52"/>
      <c r="AB653" s="52"/>
      <c r="AC653" s="52"/>
    </row>
    <row r="654">
      <c r="A654" s="52"/>
      <c r="B654" s="350"/>
      <c r="C654" s="52"/>
      <c r="D654" s="52"/>
      <c r="E654" s="52"/>
      <c r="F654" s="351"/>
      <c r="G654" s="52"/>
      <c r="H654" s="52"/>
      <c r="I654" s="52"/>
      <c r="J654" s="52"/>
      <c r="K654" s="52"/>
      <c r="L654" s="52"/>
      <c r="M654" s="52"/>
      <c r="N654" s="52"/>
      <c r="O654" s="52"/>
      <c r="P654" s="52"/>
      <c r="Q654" s="52"/>
      <c r="R654" s="52"/>
      <c r="S654" s="52"/>
      <c r="T654" s="52"/>
      <c r="U654" s="52"/>
      <c r="V654" s="52"/>
      <c r="W654" s="52"/>
      <c r="X654" s="52"/>
      <c r="Y654" s="52"/>
      <c r="Z654" s="52"/>
      <c r="AA654" s="52"/>
      <c r="AB654" s="52"/>
      <c r="AC654" s="52"/>
    </row>
    <row r="655">
      <c r="A655" s="52"/>
      <c r="B655" s="350"/>
      <c r="C655" s="52"/>
      <c r="D655" s="52"/>
      <c r="E655" s="52"/>
      <c r="F655" s="351"/>
      <c r="G655" s="52"/>
      <c r="H655" s="52"/>
      <c r="I655" s="52"/>
      <c r="J655" s="52"/>
      <c r="K655" s="52"/>
      <c r="L655" s="52"/>
      <c r="M655" s="52"/>
      <c r="N655" s="52"/>
      <c r="O655" s="52"/>
      <c r="P655" s="52"/>
      <c r="Q655" s="52"/>
      <c r="R655" s="52"/>
      <c r="S655" s="52"/>
      <c r="T655" s="52"/>
      <c r="U655" s="52"/>
      <c r="V655" s="52"/>
      <c r="W655" s="52"/>
      <c r="X655" s="52"/>
      <c r="Y655" s="52"/>
      <c r="Z655" s="52"/>
      <c r="AA655" s="52"/>
      <c r="AB655" s="52"/>
      <c r="AC655" s="52"/>
    </row>
    <row r="656">
      <c r="A656" s="52"/>
      <c r="B656" s="350"/>
      <c r="C656" s="52"/>
      <c r="D656" s="52"/>
      <c r="E656" s="52"/>
      <c r="F656" s="351"/>
      <c r="G656" s="52"/>
      <c r="H656" s="52"/>
      <c r="I656" s="52"/>
      <c r="J656" s="52"/>
      <c r="K656" s="52"/>
      <c r="L656" s="52"/>
      <c r="M656" s="52"/>
      <c r="N656" s="52"/>
      <c r="O656" s="52"/>
      <c r="P656" s="52"/>
      <c r="Q656" s="52"/>
      <c r="R656" s="52"/>
      <c r="S656" s="52"/>
      <c r="T656" s="52"/>
      <c r="U656" s="52"/>
      <c r="V656" s="52"/>
      <c r="W656" s="52"/>
      <c r="X656" s="52"/>
      <c r="Y656" s="52"/>
      <c r="Z656" s="52"/>
      <c r="AA656" s="52"/>
      <c r="AB656" s="52"/>
      <c r="AC656" s="52"/>
    </row>
    <row r="657">
      <c r="A657" s="52"/>
      <c r="B657" s="350"/>
      <c r="C657" s="52"/>
      <c r="D657" s="52"/>
      <c r="E657" s="52"/>
      <c r="F657" s="351"/>
      <c r="G657" s="52"/>
      <c r="H657" s="52"/>
      <c r="I657" s="52"/>
      <c r="J657" s="52"/>
      <c r="K657" s="52"/>
      <c r="L657" s="52"/>
      <c r="M657" s="52"/>
      <c r="N657" s="52"/>
      <c r="O657" s="52"/>
      <c r="P657" s="52"/>
      <c r="Q657" s="52"/>
      <c r="R657" s="52"/>
      <c r="S657" s="52"/>
      <c r="T657" s="52"/>
      <c r="U657" s="52"/>
      <c r="V657" s="52"/>
      <c r="W657" s="52"/>
      <c r="X657" s="52"/>
      <c r="Y657" s="52"/>
      <c r="Z657" s="52"/>
      <c r="AA657" s="52"/>
      <c r="AB657" s="52"/>
      <c r="AC657" s="52"/>
    </row>
    <row r="658">
      <c r="A658" s="52"/>
      <c r="B658" s="350"/>
      <c r="C658" s="52"/>
      <c r="D658" s="52"/>
      <c r="E658" s="52"/>
      <c r="F658" s="351"/>
      <c r="G658" s="52"/>
      <c r="H658" s="52"/>
      <c r="I658" s="52"/>
      <c r="J658" s="52"/>
      <c r="K658" s="52"/>
      <c r="L658" s="52"/>
      <c r="M658" s="52"/>
      <c r="N658" s="52"/>
      <c r="O658" s="52"/>
      <c r="P658" s="52"/>
      <c r="Q658" s="52"/>
      <c r="R658" s="52"/>
      <c r="S658" s="52"/>
      <c r="T658" s="52"/>
      <c r="U658" s="52"/>
      <c r="V658" s="52"/>
      <c r="W658" s="52"/>
      <c r="X658" s="52"/>
      <c r="Y658" s="52"/>
      <c r="Z658" s="52"/>
      <c r="AA658" s="52"/>
      <c r="AB658" s="52"/>
      <c r="AC658" s="52"/>
    </row>
    <row r="659">
      <c r="A659" s="52"/>
      <c r="B659" s="350"/>
      <c r="C659" s="52"/>
      <c r="D659" s="52"/>
      <c r="E659" s="52"/>
      <c r="F659" s="351"/>
      <c r="G659" s="52"/>
      <c r="H659" s="52"/>
      <c r="I659" s="52"/>
      <c r="J659" s="52"/>
      <c r="K659" s="52"/>
      <c r="L659" s="52"/>
      <c r="M659" s="52"/>
      <c r="N659" s="52"/>
      <c r="O659" s="52"/>
      <c r="P659" s="52"/>
      <c r="Q659" s="52"/>
      <c r="R659" s="52"/>
      <c r="S659" s="52"/>
      <c r="T659" s="52"/>
      <c r="U659" s="52"/>
      <c r="V659" s="52"/>
      <c r="W659" s="52"/>
      <c r="X659" s="52"/>
      <c r="Y659" s="52"/>
      <c r="Z659" s="52"/>
      <c r="AA659" s="52"/>
      <c r="AB659" s="52"/>
      <c r="AC659" s="52"/>
    </row>
    <row r="660">
      <c r="A660" s="52"/>
      <c r="B660" s="350"/>
      <c r="C660" s="52"/>
      <c r="D660" s="52"/>
      <c r="E660" s="52"/>
      <c r="F660" s="351"/>
      <c r="G660" s="52"/>
      <c r="H660" s="52"/>
      <c r="I660" s="52"/>
      <c r="J660" s="52"/>
      <c r="K660" s="52"/>
      <c r="L660" s="52"/>
      <c r="M660" s="52"/>
      <c r="N660" s="52"/>
      <c r="O660" s="52"/>
      <c r="P660" s="52"/>
      <c r="Q660" s="52"/>
      <c r="R660" s="52"/>
      <c r="S660" s="52"/>
      <c r="T660" s="52"/>
      <c r="U660" s="52"/>
      <c r="V660" s="52"/>
      <c r="W660" s="52"/>
      <c r="X660" s="52"/>
      <c r="Y660" s="52"/>
      <c r="Z660" s="52"/>
      <c r="AA660" s="52"/>
      <c r="AB660" s="52"/>
      <c r="AC660" s="52"/>
    </row>
    <row r="661">
      <c r="A661" s="52"/>
      <c r="B661" s="350"/>
      <c r="C661" s="52"/>
      <c r="D661" s="52"/>
      <c r="E661" s="52"/>
      <c r="F661" s="351"/>
      <c r="G661" s="52"/>
      <c r="H661" s="52"/>
      <c r="I661" s="52"/>
      <c r="J661" s="52"/>
      <c r="K661" s="52"/>
      <c r="L661" s="52"/>
      <c r="M661" s="52"/>
      <c r="N661" s="52"/>
      <c r="O661" s="52"/>
      <c r="P661" s="52"/>
      <c r="Q661" s="52"/>
      <c r="R661" s="52"/>
      <c r="S661" s="52"/>
      <c r="T661" s="52"/>
      <c r="U661" s="52"/>
      <c r="V661" s="52"/>
      <c r="W661" s="52"/>
      <c r="X661" s="52"/>
      <c r="Y661" s="52"/>
      <c r="Z661" s="52"/>
      <c r="AA661" s="52"/>
      <c r="AB661" s="52"/>
      <c r="AC661" s="52"/>
    </row>
    <row r="662">
      <c r="A662" s="52"/>
      <c r="B662" s="350"/>
      <c r="C662" s="52"/>
      <c r="D662" s="52"/>
      <c r="E662" s="52"/>
      <c r="F662" s="351"/>
      <c r="G662" s="52"/>
      <c r="H662" s="52"/>
      <c r="I662" s="52"/>
      <c r="J662" s="52"/>
      <c r="K662" s="52"/>
      <c r="L662" s="52"/>
      <c r="M662" s="52"/>
      <c r="N662" s="52"/>
      <c r="O662" s="52"/>
      <c r="P662" s="52"/>
      <c r="Q662" s="52"/>
      <c r="R662" s="52"/>
      <c r="S662" s="52"/>
      <c r="T662" s="52"/>
      <c r="U662" s="52"/>
      <c r="V662" s="52"/>
      <c r="W662" s="52"/>
      <c r="X662" s="52"/>
      <c r="Y662" s="52"/>
      <c r="Z662" s="52"/>
      <c r="AA662" s="52"/>
      <c r="AB662" s="52"/>
      <c r="AC662" s="52"/>
    </row>
    <row r="663">
      <c r="A663" s="52"/>
      <c r="B663" s="350"/>
      <c r="C663" s="52"/>
      <c r="D663" s="52"/>
      <c r="E663" s="52"/>
      <c r="F663" s="351"/>
      <c r="G663" s="52"/>
      <c r="H663" s="52"/>
      <c r="I663" s="52"/>
      <c r="J663" s="52"/>
      <c r="K663" s="52"/>
      <c r="L663" s="52"/>
      <c r="M663" s="52"/>
      <c r="N663" s="52"/>
      <c r="O663" s="52"/>
      <c r="P663" s="52"/>
      <c r="Q663" s="52"/>
      <c r="R663" s="52"/>
      <c r="S663" s="52"/>
      <c r="T663" s="52"/>
      <c r="U663" s="52"/>
      <c r="V663" s="52"/>
      <c r="W663" s="52"/>
      <c r="X663" s="52"/>
      <c r="Y663" s="52"/>
      <c r="Z663" s="52"/>
      <c r="AA663" s="52"/>
      <c r="AB663" s="52"/>
      <c r="AC663" s="52"/>
    </row>
    <row r="664">
      <c r="A664" s="52"/>
      <c r="B664" s="350"/>
      <c r="C664" s="52"/>
      <c r="D664" s="52"/>
      <c r="E664" s="52"/>
      <c r="F664" s="351"/>
      <c r="G664" s="52"/>
      <c r="H664" s="52"/>
      <c r="I664" s="52"/>
      <c r="J664" s="52"/>
      <c r="K664" s="52"/>
      <c r="L664" s="52"/>
      <c r="M664" s="52"/>
      <c r="N664" s="52"/>
      <c r="O664" s="52"/>
      <c r="P664" s="52"/>
      <c r="Q664" s="52"/>
      <c r="R664" s="52"/>
      <c r="S664" s="52"/>
      <c r="T664" s="52"/>
      <c r="U664" s="52"/>
      <c r="V664" s="52"/>
      <c r="W664" s="52"/>
      <c r="X664" s="52"/>
      <c r="Y664" s="52"/>
      <c r="Z664" s="52"/>
      <c r="AA664" s="52"/>
      <c r="AB664" s="52"/>
      <c r="AC664" s="52"/>
    </row>
    <row r="665">
      <c r="A665" s="52"/>
      <c r="B665" s="350"/>
      <c r="C665" s="52"/>
      <c r="D665" s="52"/>
      <c r="E665" s="52"/>
      <c r="F665" s="351"/>
      <c r="G665" s="52"/>
      <c r="H665" s="52"/>
      <c r="I665" s="52"/>
      <c r="J665" s="52"/>
      <c r="K665" s="52"/>
      <c r="L665" s="52"/>
      <c r="M665" s="52"/>
      <c r="N665" s="52"/>
      <c r="O665" s="52"/>
      <c r="P665" s="52"/>
      <c r="Q665" s="52"/>
      <c r="R665" s="52"/>
      <c r="S665" s="52"/>
      <c r="T665" s="52"/>
      <c r="U665" s="52"/>
      <c r="V665" s="52"/>
      <c r="W665" s="52"/>
      <c r="X665" s="52"/>
      <c r="Y665" s="52"/>
      <c r="Z665" s="52"/>
      <c r="AA665" s="52"/>
      <c r="AB665" s="52"/>
      <c r="AC665" s="52"/>
    </row>
    <row r="666">
      <c r="A666" s="52"/>
      <c r="B666" s="350"/>
      <c r="C666" s="52"/>
      <c r="D666" s="52"/>
      <c r="E666" s="52"/>
      <c r="F666" s="351"/>
      <c r="G666" s="52"/>
      <c r="H666" s="52"/>
      <c r="I666" s="52"/>
      <c r="J666" s="52"/>
      <c r="K666" s="52"/>
      <c r="L666" s="52"/>
      <c r="M666" s="52"/>
      <c r="N666" s="52"/>
      <c r="O666" s="52"/>
      <c r="P666" s="52"/>
      <c r="Q666" s="52"/>
      <c r="R666" s="52"/>
      <c r="S666" s="52"/>
      <c r="T666" s="52"/>
      <c r="U666" s="52"/>
      <c r="V666" s="52"/>
      <c r="W666" s="52"/>
      <c r="X666" s="52"/>
      <c r="Y666" s="52"/>
      <c r="Z666" s="52"/>
      <c r="AA666" s="52"/>
      <c r="AB666" s="52"/>
      <c r="AC666" s="52"/>
    </row>
    <row r="667">
      <c r="A667" s="52"/>
      <c r="B667" s="350"/>
      <c r="C667" s="52"/>
      <c r="D667" s="52"/>
      <c r="E667" s="52"/>
      <c r="F667" s="351"/>
      <c r="G667" s="52"/>
      <c r="H667" s="52"/>
      <c r="I667" s="52"/>
      <c r="J667" s="52"/>
      <c r="K667" s="52"/>
      <c r="L667" s="52"/>
      <c r="M667" s="52"/>
      <c r="N667" s="52"/>
      <c r="O667" s="52"/>
      <c r="P667" s="52"/>
      <c r="Q667" s="52"/>
      <c r="R667" s="52"/>
      <c r="S667" s="52"/>
      <c r="T667" s="52"/>
      <c r="U667" s="52"/>
      <c r="V667" s="52"/>
      <c r="W667" s="52"/>
      <c r="X667" s="52"/>
      <c r="Y667" s="52"/>
      <c r="Z667" s="52"/>
      <c r="AA667" s="52"/>
      <c r="AB667" s="52"/>
      <c r="AC667" s="52"/>
    </row>
    <row r="668">
      <c r="A668" s="52"/>
      <c r="B668" s="350"/>
      <c r="C668" s="52"/>
      <c r="D668" s="52"/>
      <c r="E668" s="52"/>
      <c r="F668" s="351"/>
      <c r="G668" s="52"/>
      <c r="H668" s="52"/>
      <c r="I668" s="52"/>
      <c r="J668" s="52"/>
      <c r="K668" s="52"/>
      <c r="L668" s="52"/>
      <c r="M668" s="52"/>
      <c r="N668" s="52"/>
      <c r="O668" s="52"/>
      <c r="P668" s="52"/>
      <c r="Q668" s="52"/>
      <c r="R668" s="52"/>
      <c r="S668" s="52"/>
      <c r="T668" s="52"/>
      <c r="U668" s="52"/>
      <c r="V668" s="52"/>
      <c r="W668" s="52"/>
      <c r="X668" s="52"/>
      <c r="Y668" s="52"/>
      <c r="Z668" s="52"/>
      <c r="AA668" s="52"/>
      <c r="AB668" s="52"/>
      <c r="AC668" s="52"/>
    </row>
    <row r="669">
      <c r="A669" s="52"/>
      <c r="B669" s="350"/>
      <c r="C669" s="52"/>
      <c r="D669" s="52"/>
      <c r="E669" s="52"/>
      <c r="F669" s="351"/>
      <c r="G669" s="52"/>
      <c r="H669" s="52"/>
      <c r="I669" s="52"/>
      <c r="J669" s="52"/>
      <c r="K669" s="52"/>
      <c r="L669" s="52"/>
      <c r="M669" s="52"/>
      <c r="N669" s="52"/>
      <c r="O669" s="52"/>
      <c r="P669" s="52"/>
      <c r="Q669" s="52"/>
      <c r="R669" s="52"/>
      <c r="S669" s="52"/>
      <c r="T669" s="52"/>
      <c r="U669" s="52"/>
      <c r="V669" s="52"/>
      <c r="W669" s="52"/>
      <c r="X669" s="52"/>
      <c r="Y669" s="52"/>
      <c r="Z669" s="52"/>
      <c r="AA669" s="52"/>
      <c r="AB669" s="52"/>
      <c r="AC669" s="52"/>
    </row>
    <row r="670">
      <c r="A670" s="52"/>
      <c r="B670" s="350"/>
      <c r="C670" s="52"/>
      <c r="D670" s="52"/>
      <c r="E670" s="52"/>
      <c r="F670" s="351"/>
      <c r="G670" s="52"/>
      <c r="H670" s="52"/>
      <c r="I670" s="52"/>
      <c r="J670" s="52"/>
      <c r="K670" s="52"/>
      <c r="L670" s="52"/>
      <c r="M670" s="52"/>
      <c r="N670" s="52"/>
      <c r="O670" s="52"/>
      <c r="P670" s="52"/>
      <c r="Q670" s="52"/>
      <c r="R670" s="52"/>
      <c r="S670" s="52"/>
      <c r="T670" s="52"/>
      <c r="U670" s="52"/>
      <c r="V670" s="52"/>
      <c r="W670" s="52"/>
      <c r="X670" s="52"/>
      <c r="Y670" s="52"/>
      <c r="Z670" s="52"/>
      <c r="AA670" s="52"/>
      <c r="AB670" s="52"/>
      <c r="AC670" s="52"/>
    </row>
    <row r="671">
      <c r="A671" s="52"/>
      <c r="B671" s="350"/>
      <c r="C671" s="52"/>
      <c r="D671" s="52"/>
      <c r="E671" s="52"/>
      <c r="F671" s="351"/>
      <c r="G671" s="52"/>
      <c r="H671" s="52"/>
      <c r="I671" s="52"/>
      <c r="J671" s="52"/>
      <c r="K671" s="52"/>
      <c r="L671" s="52"/>
      <c r="M671" s="52"/>
      <c r="N671" s="52"/>
      <c r="O671" s="52"/>
      <c r="P671" s="52"/>
      <c r="Q671" s="52"/>
      <c r="R671" s="52"/>
      <c r="S671" s="52"/>
      <c r="T671" s="52"/>
      <c r="U671" s="52"/>
      <c r="V671" s="52"/>
      <c r="W671" s="52"/>
      <c r="X671" s="52"/>
      <c r="Y671" s="52"/>
      <c r="Z671" s="52"/>
      <c r="AA671" s="52"/>
      <c r="AB671" s="52"/>
      <c r="AC671" s="52"/>
    </row>
    <row r="672">
      <c r="A672" s="52"/>
      <c r="B672" s="350"/>
      <c r="C672" s="52"/>
      <c r="D672" s="52"/>
      <c r="E672" s="52"/>
      <c r="F672" s="351"/>
      <c r="G672" s="52"/>
      <c r="H672" s="52"/>
      <c r="I672" s="52"/>
      <c r="J672" s="52"/>
      <c r="K672" s="52"/>
      <c r="L672" s="52"/>
      <c r="M672" s="52"/>
      <c r="N672" s="52"/>
      <c r="O672" s="52"/>
      <c r="P672" s="52"/>
      <c r="Q672" s="52"/>
      <c r="R672" s="52"/>
      <c r="S672" s="52"/>
      <c r="T672" s="52"/>
      <c r="U672" s="52"/>
      <c r="V672" s="52"/>
      <c r="W672" s="52"/>
      <c r="X672" s="52"/>
      <c r="Y672" s="52"/>
      <c r="Z672" s="52"/>
      <c r="AA672" s="52"/>
      <c r="AB672" s="52"/>
      <c r="AC672" s="52"/>
    </row>
    <row r="673">
      <c r="A673" s="52"/>
      <c r="B673" s="350"/>
      <c r="C673" s="52"/>
      <c r="D673" s="52"/>
      <c r="E673" s="52"/>
      <c r="F673" s="351"/>
      <c r="G673" s="52"/>
      <c r="H673" s="52"/>
      <c r="I673" s="52"/>
      <c r="J673" s="52"/>
      <c r="K673" s="52"/>
      <c r="L673" s="52"/>
      <c r="M673" s="52"/>
      <c r="N673" s="52"/>
      <c r="O673" s="52"/>
      <c r="P673" s="52"/>
      <c r="Q673" s="52"/>
      <c r="R673" s="52"/>
      <c r="S673" s="52"/>
      <c r="T673" s="52"/>
      <c r="U673" s="52"/>
      <c r="V673" s="52"/>
      <c r="W673" s="52"/>
      <c r="X673" s="52"/>
      <c r="Y673" s="52"/>
      <c r="Z673" s="52"/>
      <c r="AA673" s="52"/>
      <c r="AB673" s="52"/>
      <c r="AC673" s="52"/>
    </row>
    <row r="674">
      <c r="A674" s="52"/>
      <c r="B674" s="350"/>
      <c r="C674" s="52"/>
      <c r="D674" s="52"/>
      <c r="E674" s="52"/>
      <c r="F674" s="351"/>
      <c r="G674" s="52"/>
      <c r="H674" s="52"/>
      <c r="I674" s="52"/>
      <c r="J674" s="52"/>
      <c r="K674" s="52"/>
      <c r="L674" s="52"/>
      <c r="M674" s="52"/>
      <c r="N674" s="52"/>
      <c r="O674" s="52"/>
      <c r="P674" s="52"/>
      <c r="Q674" s="52"/>
      <c r="R674" s="52"/>
      <c r="S674" s="52"/>
      <c r="T674" s="52"/>
      <c r="U674" s="52"/>
      <c r="V674" s="52"/>
      <c r="W674" s="52"/>
      <c r="X674" s="52"/>
      <c r="Y674" s="52"/>
      <c r="Z674" s="52"/>
      <c r="AA674" s="52"/>
      <c r="AB674" s="52"/>
      <c r="AC674" s="52"/>
    </row>
    <row r="675">
      <c r="A675" s="52"/>
      <c r="B675" s="350"/>
      <c r="C675" s="52"/>
      <c r="D675" s="52"/>
      <c r="E675" s="52"/>
      <c r="F675" s="351"/>
      <c r="G675" s="52"/>
      <c r="H675" s="52"/>
      <c r="I675" s="52"/>
      <c r="J675" s="52"/>
      <c r="K675" s="52"/>
      <c r="L675" s="52"/>
      <c r="M675" s="52"/>
      <c r="N675" s="52"/>
      <c r="O675" s="52"/>
      <c r="P675" s="52"/>
      <c r="Q675" s="52"/>
      <c r="R675" s="52"/>
      <c r="S675" s="52"/>
      <c r="T675" s="52"/>
      <c r="U675" s="52"/>
      <c r="V675" s="52"/>
      <c r="W675" s="52"/>
      <c r="X675" s="52"/>
      <c r="Y675" s="52"/>
      <c r="Z675" s="52"/>
      <c r="AA675" s="52"/>
      <c r="AB675" s="52"/>
      <c r="AC675" s="52"/>
    </row>
    <row r="676">
      <c r="A676" s="52"/>
      <c r="B676" s="350"/>
      <c r="C676" s="52"/>
      <c r="D676" s="52"/>
      <c r="E676" s="52"/>
      <c r="F676" s="351"/>
      <c r="G676" s="52"/>
      <c r="H676" s="52"/>
      <c r="I676" s="52"/>
      <c r="J676" s="52"/>
      <c r="K676" s="52"/>
      <c r="L676" s="52"/>
      <c r="M676" s="52"/>
      <c r="N676" s="52"/>
      <c r="O676" s="52"/>
      <c r="P676" s="52"/>
      <c r="Q676" s="52"/>
      <c r="R676" s="52"/>
      <c r="S676" s="52"/>
      <c r="T676" s="52"/>
      <c r="U676" s="52"/>
      <c r="V676" s="52"/>
      <c r="W676" s="52"/>
      <c r="X676" s="52"/>
      <c r="Y676" s="52"/>
      <c r="Z676" s="52"/>
      <c r="AA676" s="52"/>
      <c r="AB676" s="52"/>
      <c r="AC676" s="52"/>
    </row>
    <row r="677">
      <c r="A677" s="52"/>
      <c r="B677" s="350"/>
      <c r="C677" s="52"/>
      <c r="D677" s="52"/>
      <c r="E677" s="52"/>
      <c r="F677" s="351"/>
      <c r="G677" s="52"/>
      <c r="H677" s="52"/>
      <c r="I677" s="52"/>
      <c r="J677" s="52"/>
      <c r="K677" s="52"/>
      <c r="L677" s="52"/>
      <c r="M677" s="52"/>
      <c r="N677" s="52"/>
      <c r="O677" s="52"/>
      <c r="P677" s="52"/>
      <c r="Q677" s="52"/>
      <c r="R677" s="52"/>
      <c r="S677" s="52"/>
      <c r="T677" s="52"/>
      <c r="U677" s="52"/>
      <c r="V677" s="52"/>
      <c r="W677" s="52"/>
      <c r="X677" s="52"/>
      <c r="Y677" s="52"/>
      <c r="Z677" s="52"/>
      <c r="AA677" s="52"/>
      <c r="AB677" s="52"/>
      <c r="AC677" s="52"/>
    </row>
    <row r="678">
      <c r="A678" s="52"/>
      <c r="B678" s="350"/>
      <c r="C678" s="52"/>
      <c r="D678" s="52"/>
      <c r="E678" s="52"/>
      <c r="F678" s="351"/>
      <c r="G678" s="52"/>
      <c r="H678" s="52"/>
      <c r="I678" s="52"/>
      <c r="J678" s="52"/>
      <c r="K678" s="52"/>
      <c r="L678" s="52"/>
      <c r="M678" s="52"/>
      <c r="N678" s="52"/>
      <c r="O678" s="52"/>
      <c r="P678" s="52"/>
      <c r="Q678" s="52"/>
      <c r="R678" s="52"/>
      <c r="S678" s="52"/>
      <c r="T678" s="52"/>
      <c r="U678" s="52"/>
      <c r="V678" s="52"/>
      <c r="W678" s="52"/>
      <c r="X678" s="52"/>
      <c r="Y678" s="52"/>
      <c r="Z678" s="52"/>
      <c r="AA678" s="52"/>
      <c r="AB678" s="52"/>
      <c r="AC678" s="52"/>
    </row>
    <row r="679">
      <c r="A679" s="52"/>
      <c r="B679" s="350"/>
      <c r="C679" s="52"/>
      <c r="D679" s="52"/>
      <c r="E679" s="52"/>
      <c r="F679" s="351"/>
      <c r="G679" s="52"/>
      <c r="H679" s="52"/>
      <c r="I679" s="52"/>
      <c r="J679" s="52"/>
      <c r="K679" s="52"/>
      <c r="L679" s="52"/>
      <c r="M679" s="52"/>
      <c r="N679" s="52"/>
      <c r="O679" s="52"/>
      <c r="P679" s="52"/>
      <c r="Q679" s="52"/>
      <c r="R679" s="52"/>
      <c r="S679" s="52"/>
      <c r="T679" s="52"/>
      <c r="U679" s="52"/>
      <c r="V679" s="52"/>
      <c r="W679" s="52"/>
      <c r="X679" s="52"/>
      <c r="Y679" s="52"/>
      <c r="Z679" s="52"/>
      <c r="AA679" s="52"/>
      <c r="AB679" s="52"/>
      <c r="AC679" s="52"/>
    </row>
    <row r="680">
      <c r="A680" s="52"/>
      <c r="B680" s="350"/>
      <c r="C680" s="52"/>
      <c r="D680" s="52"/>
      <c r="E680" s="52"/>
      <c r="F680" s="351"/>
      <c r="G680" s="52"/>
      <c r="H680" s="52"/>
      <c r="I680" s="52"/>
      <c r="J680" s="52"/>
      <c r="K680" s="52"/>
      <c r="L680" s="52"/>
      <c r="M680" s="52"/>
      <c r="N680" s="52"/>
      <c r="O680" s="52"/>
      <c r="P680" s="52"/>
      <c r="Q680" s="52"/>
      <c r="R680" s="52"/>
      <c r="S680" s="52"/>
      <c r="T680" s="52"/>
      <c r="U680" s="52"/>
      <c r="V680" s="52"/>
      <c r="W680" s="52"/>
      <c r="X680" s="52"/>
      <c r="Y680" s="52"/>
      <c r="Z680" s="52"/>
      <c r="AA680" s="52"/>
      <c r="AB680" s="52"/>
      <c r="AC680" s="52"/>
    </row>
    <row r="681">
      <c r="A681" s="52"/>
      <c r="B681" s="350"/>
      <c r="C681" s="52"/>
      <c r="D681" s="52"/>
      <c r="E681" s="52"/>
      <c r="F681" s="351"/>
      <c r="G681" s="52"/>
      <c r="H681" s="52"/>
      <c r="I681" s="52"/>
      <c r="J681" s="52"/>
      <c r="K681" s="52"/>
      <c r="L681" s="52"/>
      <c r="M681" s="52"/>
      <c r="N681" s="52"/>
      <c r="O681" s="52"/>
      <c r="P681" s="52"/>
      <c r="Q681" s="52"/>
      <c r="R681" s="52"/>
      <c r="S681" s="52"/>
      <c r="T681" s="52"/>
      <c r="U681" s="52"/>
      <c r="V681" s="52"/>
      <c r="W681" s="52"/>
      <c r="X681" s="52"/>
      <c r="Y681" s="52"/>
      <c r="Z681" s="52"/>
      <c r="AA681" s="52"/>
      <c r="AB681" s="52"/>
      <c r="AC681" s="52"/>
    </row>
    <row r="682">
      <c r="A682" s="52"/>
      <c r="B682" s="350"/>
      <c r="C682" s="52"/>
      <c r="D682" s="52"/>
      <c r="E682" s="52"/>
      <c r="F682" s="351"/>
      <c r="G682" s="52"/>
      <c r="H682" s="52"/>
      <c r="I682" s="52"/>
      <c r="J682" s="52"/>
      <c r="K682" s="52"/>
      <c r="L682" s="52"/>
      <c r="M682" s="52"/>
      <c r="N682" s="52"/>
      <c r="O682" s="52"/>
      <c r="P682" s="52"/>
      <c r="Q682" s="52"/>
      <c r="R682" s="52"/>
      <c r="S682" s="52"/>
      <c r="T682" s="52"/>
      <c r="U682" s="52"/>
      <c r="V682" s="52"/>
      <c r="W682" s="52"/>
      <c r="X682" s="52"/>
      <c r="Y682" s="52"/>
      <c r="Z682" s="52"/>
      <c r="AA682" s="52"/>
      <c r="AB682" s="52"/>
      <c r="AC682" s="52"/>
    </row>
    <row r="683">
      <c r="A683" s="52"/>
      <c r="B683" s="350"/>
      <c r="C683" s="52"/>
      <c r="D683" s="52"/>
      <c r="E683" s="52"/>
      <c r="F683" s="351"/>
      <c r="G683" s="52"/>
      <c r="H683" s="52"/>
      <c r="I683" s="52"/>
      <c r="J683" s="52"/>
      <c r="K683" s="52"/>
      <c r="L683" s="52"/>
      <c r="M683" s="52"/>
      <c r="N683" s="52"/>
      <c r="O683" s="52"/>
      <c r="P683" s="52"/>
      <c r="Q683" s="52"/>
      <c r="R683" s="52"/>
      <c r="S683" s="52"/>
      <c r="T683" s="52"/>
      <c r="U683" s="52"/>
      <c r="V683" s="52"/>
      <c r="W683" s="52"/>
      <c r="X683" s="52"/>
      <c r="Y683" s="52"/>
      <c r="Z683" s="52"/>
      <c r="AA683" s="52"/>
      <c r="AB683" s="52"/>
      <c r="AC683" s="52"/>
    </row>
    <row r="684">
      <c r="A684" s="52"/>
      <c r="B684" s="350"/>
      <c r="C684" s="52"/>
      <c r="D684" s="52"/>
      <c r="E684" s="52"/>
      <c r="F684" s="351"/>
      <c r="G684" s="52"/>
      <c r="H684" s="52"/>
      <c r="I684" s="52"/>
      <c r="J684" s="52"/>
      <c r="K684" s="52"/>
      <c r="L684" s="52"/>
      <c r="M684" s="52"/>
      <c r="N684" s="52"/>
      <c r="O684" s="52"/>
      <c r="P684" s="52"/>
      <c r="Q684" s="52"/>
      <c r="R684" s="52"/>
      <c r="S684" s="52"/>
      <c r="T684" s="52"/>
      <c r="U684" s="52"/>
      <c r="V684" s="52"/>
      <c r="W684" s="52"/>
      <c r="X684" s="52"/>
      <c r="Y684" s="52"/>
      <c r="Z684" s="52"/>
      <c r="AA684" s="52"/>
      <c r="AB684" s="52"/>
      <c r="AC684" s="52"/>
    </row>
    <row r="685">
      <c r="A685" s="52"/>
      <c r="B685" s="350"/>
      <c r="C685" s="52"/>
      <c r="D685" s="52"/>
      <c r="E685" s="52"/>
      <c r="F685" s="351"/>
      <c r="G685" s="52"/>
      <c r="H685" s="52"/>
      <c r="I685" s="52"/>
      <c r="J685" s="52"/>
      <c r="K685" s="52"/>
      <c r="L685" s="52"/>
      <c r="M685" s="52"/>
      <c r="N685" s="52"/>
      <c r="O685" s="52"/>
      <c r="P685" s="52"/>
      <c r="Q685" s="52"/>
      <c r="R685" s="52"/>
      <c r="S685" s="52"/>
      <c r="T685" s="52"/>
      <c r="U685" s="52"/>
      <c r="V685" s="52"/>
      <c r="W685" s="52"/>
      <c r="X685" s="52"/>
      <c r="Y685" s="52"/>
      <c r="Z685" s="52"/>
      <c r="AA685" s="52"/>
      <c r="AB685" s="52"/>
      <c r="AC685" s="52"/>
    </row>
    <row r="686">
      <c r="A686" s="52"/>
      <c r="B686" s="350"/>
      <c r="C686" s="52"/>
      <c r="D686" s="52"/>
      <c r="E686" s="52"/>
      <c r="F686" s="351"/>
      <c r="G686" s="52"/>
      <c r="H686" s="52"/>
      <c r="I686" s="52"/>
      <c r="J686" s="52"/>
      <c r="K686" s="52"/>
      <c r="L686" s="52"/>
      <c r="M686" s="52"/>
      <c r="N686" s="52"/>
      <c r="O686" s="52"/>
      <c r="P686" s="52"/>
      <c r="Q686" s="52"/>
      <c r="R686" s="52"/>
      <c r="S686" s="52"/>
      <c r="T686" s="52"/>
      <c r="U686" s="52"/>
      <c r="V686" s="52"/>
      <c r="W686" s="52"/>
      <c r="X686" s="52"/>
      <c r="Y686" s="52"/>
      <c r="Z686" s="52"/>
      <c r="AA686" s="52"/>
      <c r="AB686" s="52"/>
      <c r="AC686" s="52"/>
    </row>
    <row r="687">
      <c r="A687" s="52"/>
      <c r="B687" s="350"/>
      <c r="C687" s="52"/>
      <c r="D687" s="52"/>
      <c r="E687" s="52"/>
      <c r="F687" s="351"/>
      <c r="G687" s="52"/>
      <c r="H687" s="52"/>
      <c r="I687" s="52"/>
      <c r="J687" s="52"/>
      <c r="K687" s="52"/>
      <c r="L687" s="52"/>
      <c r="M687" s="52"/>
      <c r="N687" s="52"/>
      <c r="O687" s="52"/>
      <c r="P687" s="52"/>
      <c r="Q687" s="52"/>
      <c r="R687" s="52"/>
      <c r="S687" s="52"/>
      <c r="T687" s="52"/>
      <c r="U687" s="52"/>
      <c r="V687" s="52"/>
      <c r="W687" s="52"/>
      <c r="X687" s="52"/>
      <c r="Y687" s="52"/>
      <c r="Z687" s="52"/>
      <c r="AA687" s="52"/>
      <c r="AB687" s="52"/>
      <c r="AC687" s="52"/>
    </row>
    <row r="688">
      <c r="A688" s="52"/>
      <c r="B688" s="350"/>
      <c r="C688" s="52"/>
      <c r="D688" s="52"/>
      <c r="E688" s="52"/>
      <c r="F688" s="351"/>
      <c r="G688" s="52"/>
      <c r="H688" s="52"/>
      <c r="I688" s="52"/>
      <c r="J688" s="52"/>
      <c r="K688" s="52"/>
      <c r="L688" s="52"/>
      <c r="M688" s="52"/>
      <c r="N688" s="52"/>
      <c r="O688" s="52"/>
      <c r="P688" s="52"/>
      <c r="Q688" s="52"/>
      <c r="R688" s="52"/>
      <c r="S688" s="52"/>
      <c r="T688" s="52"/>
      <c r="U688" s="52"/>
      <c r="V688" s="52"/>
      <c r="W688" s="52"/>
      <c r="X688" s="52"/>
      <c r="Y688" s="52"/>
      <c r="Z688" s="52"/>
      <c r="AA688" s="52"/>
      <c r="AB688" s="52"/>
      <c r="AC688" s="52"/>
    </row>
    <row r="689">
      <c r="A689" s="52"/>
      <c r="B689" s="350"/>
      <c r="C689" s="52"/>
      <c r="D689" s="52"/>
      <c r="E689" s="52"/>
      <c r="F689" s="351"/>
      <c r="G689" s="52"/>
      <c r="H689" s="52"/>
      <c r="I689" s="52"/>
      <c r="J689" s="52"/>
      <c r="K689" s="52"/>
      <c r="L689" s="52"/>
      <c r="M689" s="52"/>
      <c r="N689" s="52"/>
      <c r="O689" s="52"/>
      <c r="P689" s="52"/>
      <c r="Q689" s="52"/>
      <c r="R689" s="52"/>
      <c r="S689" s="52"/>
      <c r="T689" s="52"/>
      <c r="U689" s="52"/>
      <c r="V689" s="52"/>
      <c r="W689" s="52"/>
      <c r="X689" s="52"/>
      <c r="Y689" s="52"/>
      <c r="Z689" s="52"/>
      <c r="AA689" s="52"/>
      <c r="AB689" s="52"/>
      <c r="AC689" s="52"/>
    </row>
    <row r="690">
      <c r="A690" s="52"/>
      <c r="B690" s="350"/>
      <c r="C690" s="52"/>
      <c r="D690" s="52"/>
      <c r="E690" s="52"/>
      <c r="F690" s="351"/>
      <c r="G690" s="52"/>
      <c r="H690" s="52"/>
      <c r="I690" s="52"/>
      <c r="J690" s="52"/>
      <c r="K690" s="52"/>
      <c r="L690" s="52"/>
      <c r="M690" s="52"/>
      <c r="N690" s="52"/>
      <c r="O690" s="52"/>
      <c r="P690" s="52"/>
      <c r="Q690" s="52"/>
      <c r="R690" s="52"/>
      <c r="S690" s="52"/>
      <c r="T690" s="52"/>
      <c r="U690" s="52"/>
      <c r="V690" s="52"/>
      <c r="W690" s="52"/>
      <c r="X690" s="52"/>
      <c r="Y690" s="52"/>
      <c r="Z690" s="52"/>
      <c r="AA690" s="52"/>
      <c r="AB690" s="52"/>
      <c r="AC690" s="52"/>
    </row>
    <row r="691">
      <c r="A691" s="52"/>
      <c r="B691" s="350"/>
      <c r="C691" s="52"/>
      <c r="D691" s="52"/>
      <c r="E691" s="52"/>
      <c r="F691" s="351"/>
      <c r="G691" s="52"/>
      <c r="H691" s="52"/>
      <c r="I691" s="52"/>
      <c r="J691" s="52"/>
      <c r="K691" s="52"/>
      <c r="L691" s="52"/>
      <c r="M691" s="52"/>
      <c r="N691" s="52"/>
      <c r="O691" s="52"/>
      <c r="P691" s="52"/>
      <c r="Q691" s="52"/>
      <c r="R691" s="52"/>
      <c r="S691" s="52"/>
      <c r="T691" s="52"/>
      <c r="U691" s="52"/>
      <c r="V691" s="52"/>
      <c r="W691" s="52"/>
      <c r="X691" s="52"/>
      <c r="Y691" s="52"/>
      <c r="Z691" s="52"/>
      <c r="AA691" s="52"/>
      <c r="AB691" s="52"/>
      <c r="AC691" s="52"/>
    </row>
    <row r="692">
      <c r="A692" s="52"/>
      <c r="B692" s="350"/>
      <c r="C692" s="52"/>
      <c r="D692" s="52"/>
      <c r="E692" s="52"/>
      <c r="F692" s="351"/>
      <c r="G692" s="52"/>
      <c r="H692" s="52"/>
      <c r="I692" s="52"/>
      <c r="J692" s="52"/>
      <c r="K692" s="52"/>
      <c r="L692" s="52"/>
      <c r="M692" s="52"/>
      <c r="N692" s="52"/>
      <c r="O692" s="52"/>
      <c r="P692" s="52"/>
      <c r="Q692" s="52"/>
      <c r="R692" s="52"/>
      <c r="S692" s="52"/>
      <c r="T692" s="52"/>
      <c r="U692" s="52"/>
      <c r="V692" s="52"/>
      <c r="W692" s="52"/>
      <c r="X692" s="52"/>
      <c r="Y692" s="52"/>
      <c r="Z692" s="52"/>
      <c r="AA692" s="52"/>
      <c r="AB692" s="52"/>
      <c r="AC692" s="52"/>
    </row>
    <row r="693">
      <c r="A693" s="52"/>
      <c r="B693" s="350"/>
      <c r="C693" s="52"/>
      <c r="D693" s="52"/>
      <c r="E693" s="52"/>
      <c r="F693" s="351"/>
      <c r="G693" s="52"/>
      <c r="H693" s="52"/>
      <c r="I693" s="52"/>
      <c r="J693" s="52"/>
      <c r="K693" s="52"/>
      <c r="L693" s="52"/>
      <c r="M693" s="52"/>
      <c r="N693" s="52"/>
      <c r="O693" s="52"/>
      <c r="P693" s="52"/>
      <c r="Q693" s="52"/>
      <c r="R693" s="52"/>
      <c r="S693" s="52"/>
      <c r="T693" s="52"/>
      <c r="U693" s="52"/>
      <c r="V693" s="52"/>
      <c r="W693" s="52"/>
      <c r="X693" s="52"/>
      <c r="Y693" s="52"/>
      <c r="Z693" s="52"/>
      <c r="AA693" s="52"/>
      <c r="AB693" s="52"/>
      <c r="AC693" s="52"/>
    </row>
    <row r="694">
      <c r="A694" s="52"/>
      <c r="B694" s="350"/>
      <c r="C694" s="52"/>
      <c r="D694" s="52"/>
      <c r="E694" s="52"/>
      <c r="F694" s="351"/>
      <c r="G694" s="52"/>
      <c r="H694" s="52"/>
      <c r="I694" s="52"/>
      <c r="J694" s="52"/>
      <c r="K694" s="52"/>
      <c r="L694" s="52"/>
      <c r="M694" s="52"/>
      <c r="N694" s="52"/>
      <c r="O694" s="52"/>
      <c r="P694" s="52"/>
      <c r="Q694" s="52"/>
      <c r="R694" s="52"/>
      <c r="S694" s="52"/>
      <c r="T694" s="52"/>
      <c r="U694" s="52"/>
      <c r="V694" s="52"/>
      <c r="W694" s="52"/>
      <c r="X694" s="52"/>
      <c r="Y694" s="52"/>
      <c r="Z694" s="52"/>
      <c r="AA694" s="52"/>
      <c r="AB694" s="52"/>
      <c r="AC694" s="52"/>
    </row>
    <row r="695">
      <c r="A695" s="52"/>
      <c r="B695" s="350"/>
      <c r="C695" s="52"/>
      <c r="D695" s="52"/>
      <c r="E695" s="52"/>
      <c r="F695" s="351"/>
      <c r="G695" s="52"/>
      <c r="H695" s="52"/>
      <c r="I695" s="52"/>
      <c r="J695" s="52"/>
      <c r="K695" s="52"/>
      <c r="L695" s="52"/>
      <c r="M695" s="52"/>
      <c r="N695" s="52"/>
      <c r="O695" s="52"/>
      <c r="P695" s="52"/>
      <c r="Q695" s="52"/>
      <c r="R695" s="52"/>
      <c r="S695" s="52"/>
      <c r="T695" s="52"/>
      <c r="U695" s="52"/>
      <c r="V695" s="52"/>
      <c r="W695" s="52"/>
      <c r="X695" s="52"/>
      <c r="Y695" s="52"/>
      <c r="Z695" s="52"/>
      <c r="AA695" s="52"/>
      <c r="AB695" s="52"/>
      <c r="AC695" s="52"/>
    </row>
    <row r="696">
      <c r="A696" s="52"/>
      <c r="B696" s="350"/>
      <c r="C696" s="52"/>
      <c r="D696" s="52"/>
      <c r="E696" s="52"/>
      <c r="F696" s="351"/>
      <c r="G696" s="52"/>
      <c r="H696" s="52"/>
      <c r="I696" s="52"/>
      <c r="J696" s="52"/>
      <c r="K696" s="52"/>
      <c r="L696" s="52"/>
      <c r="M696" s="52"/>
      <c r="N696" s="52"/>
      <c r="O696" s="52"/>
      <c r="P696" s="52"/>
      <c r="Q696" s="52"/>
      <c r="R696" s="52"/>
      <c r="S696" s="52"/>
      <c r="T696" s="52"/>
      <c r="U696" s="52"/>
      <c r="V696" s="52"/>
      <c r="W696" s="52"/>
      <c r="X696" s="52"/>
      <c r="Y696" s="52"/>
      <c r="Z696" s="52"/>
      <c r="AA696" s="52"/>
      <c r="AB696" s="52"/>
      <c r="AC696" s="52"/>
    </row>
    <row r="697">
      <c r="A697" s="52"/>
      <c r="B697" s="350"/>
      <c r="C697" s="52"/>
      <c r="D697" s="52"/>
      <c r="E697" s="52"/>
      <c r="F697" s="351"/>
      <c r="G697" s="52"/>
      <c r="H697" s="52"/>
      <c r="I697" s="52"/>
      <c r="J697" s="52"/>
      <c r="K697" s="52"/>
      <c r="L697" s="52"/>
      <c r="M697" s="52"/>
      <c r="N697" s="52"/>
      <c r="O697" s="52"/>
      <c r="P697" s="52"/>
      <c r="Q697" s="52"/>
      <c r="R697" s="52"/>
      <c r="S697" s="52"/>
      <c r="T697" s="52"/>
      <c r="U697" s="52"/>
      <c r="V697" s="52"/>
      <c r="W697" s="52"/>
      <c r="X697" s="52"/>
      <c r="Y697" s="52"/>
      <c r="Z697" s="52"/>
      <c r="AA697" s="52"/>
      <c r="AB697" s="52"/>
      <c r="AC697" s="52"/>
    </row>
    <row r="698">
      <c r="A698" s="52"/>
      <c r="B698" s="350"/>
      <c r="C698" s="52"/>
      <c r="D698" s="52"/>
      <c r="E698" s="52"/>
      <c r="F698" s="351"/>
      <c r="G698" s="52"/>
      <c r="H698" s="52"/>
      <c r="I698" s="52"/>
      <c r="J698" s="52"/>
      <c r="K698" s="52"/>
      <c r="L698" s="52"/>
      <c r="M698" s="52"/>
      <c r="N698" s="52"/>
      <c r="O698" s="52"/>
      <c r="P698" s="52"/>
      <c r="Q698" s="52"/>
      <c r="R698" s="52"/>
      <c r="S698" s="52"/>
      <c r="T698" s="52"/>
      <c r="U698" s="52"/>
      <c r="V698" s="52"/>
      <c r="W698" s="52"/>
      <c r="X698" s="52"/>
      <c r="Y698" s="52"/>
      <c r="Z698" s="52"/>
      <c r="AA698" s="52"/>
      <c r="AB698" s="52"/>
      <c r="AC698" s="52"/>
    </row>
    <row r="699">
      <c r="A699" s="52"/>
      <c r="B699" s="350"/>
      <c r="C699" s="52"/>
      <c r="D699" s="52"/>
      <c r="E699" s="52"/>
      <c r="F699" s="351"/>
      <c r="G699" s="52"/>
      <c r="H699" s="52"/>
      <c r="I699" s="52"/>
      <c r="J699" s="52"/>
      <c r="K699" s="52"/>
      <c r="L699" s="52"/>
      <c r="M699" s="52"/>
      <c r="N699" s="52"/>
      <c r="O699" s="52"/>
      <c r="P699" s="52"/>
      <c r="Q699" s="52"/>
      <c r="R699" s="52"/>
      <c r="S699" s="52"/>
      <c r="T699" s="52"/>
      <c r="U699" s="52"/>
      <c r="V699" s="52"/>
      <c r="W699" s="52"/>
      <c r="X699" s="52"/>
      <c r="Y699" s="52"/>
      <c r="Z699" s="52"/>
      <c r="AA699" s="52"/>
      <c r="AB699" s="52"/>
      <c r="AC699" s="52"/>
    </row>
    <row r="700">
      <c r="A700" s="52"/>
      <c r="B700" s="350"/>
      <c r="C700" s="52"/>
      <c r="D700" s="52"/>
      <c r="E700" s="52"/>
      <c r="F700" s="351"/>
      <c r="G700" s="52"/>
      <c r="H700" s="52"/>
      <c r="I700" s="52"/>
      <c r="J700" s="52"/>
      <c r="K700" s="52"/>
      <c r="L700" s="52"/>
      <c r="M700" s="52"/>
      <c r="N700" s="52"/>
      <c r="O700" s="52"/>
      <c r="P700" s="52"/>
      <c r="Q700" s="52"/>
      <c r="R700" s="52"/>
      <c r="S700" s="52"/>
      <c r="T700" s="52"/>
      <c r="U700" s="52"/>
      <c r="V700" s="52"/>
      <c r="W700" s="52"/>
      <c r="X700" s="52"/>
      <c r="Y700" s="52"/>
      <c r="Z700" s="52"/>
      <c r="AA700" s="52"/>
      <c r="AB700" s="52"/>
      <c r="AC700" s="52"/>
    </row>
    <row r="701">
      <c r="A701" s="52"/>
      <c r="B701" s="350"/>
      <c r="C701" s="52"/>
      <c r="D701" s="52"/>
      <c r="E701" s="52"/>
      <c r="F701" s="351"/>
      <c r="G701" s="52"/>
      <c r="H701" s="52"/>
      <c r="I701" s="52"/>
      <c r="J701" s="52"/>
      <c r="K701" s="52"/>
      <c r="L701" s="52"/>
      <c r="M701" s="52"/>
      <c r="N701" s="52"/>
      <c r="O701" s="52"/>
      <c r="P701" s="52"/>
      <c r="Q701" s="52"/>
      <c r="R701" s="52"/>
      <c r="S701" s="52"/>
      <c r="T701" s="52"/>
      <c r="U701" s="52"/>
      <c r="V701" s="52"/>
      <c r="W701" s="52"/>
      <c r="X701" s="52"/>
      <c r="Y701" s="52"/>
      <c r="Z701" s="52"/>
      <c r="AA701" s="52"/>
      <c r="AB701" s="52"/>
      <c r="AC701" s="52"/>
    </row>
    <row r="702">
      <c r="A702" s="52"/>
      <c r="B702" s="350"/>
      <c r="C702" s="52"/>
      <c r="D702" s="52"/>
      <c r="E702" s="52"/>
      <c r="F702" s="351"/>
      <c r="G702" s="52"/>
      <c r="H702" s="52"/>
      <c r="I702" s="52"/>
      <c r="J702" s="52"/>
      <c r="K702" s="52"/>
      <c r="L702" s="52"/>
      <c r="M702" s="52"/>
      <c r="N702" s="52"/>
      <c r="O702" s="52"/>
      <c r="P702" s="52"/>
      <c r="Q702" s="52"/>
      <c r="R702" s="52"/>
      <c r="S702" s="52"/>
      <c r="T702" s="52"/>
      <c r="U702" s="52"/>
      <c r="V702" s="52"/>
      <c r="W702" s="52"/>
      <c r="X702" s="52"/>
      <c r="Y702" s="52"/>
      <c r="Z702" s="52"/>
      <c r="AA702" s="52"/>
      <c r="AB702" s="52"/>
      <c r="AC702" s="52"/>
    </row>
    <row r="703">
      <c r="A703" s="52"/>
      <c r="B703" s="350"/>
      <c r="C703" s="52"/>
      <c r="D703" s="52"/>
      <c r="E703" s="52"/>
      <c r="F703" s="351"/>
      <c r="G703" s="52"/>
      <c r="H703" s="52"/>
      <c r="I703" s="52"/>
      <c r="J703" s="52"/>
      <c r="K703" s="52"/>
      <c r="L703" s="52"/>
      <c r="M703" s="52"/>
      <c r="N703" s="52"/>
      <c r="O703" s="52"/>
      <c r="P703" s="52"/>
      <c r="Q703" s="52"/>
      <c r="R703" s="52"/>
      <c r="S703" s="52"/>
      <c r="T703" s="52"/>
      <c r="U703" s="52"/>
      <c r="V703" s="52"/>
      <c r="W703" s="52"/>
      <c r="X703" s="52"/>
      <c r="Y703" s="52"/>
      <c r="Z703" s="52"/>
      <c r="AA703" s="52"/>
      <c r="AB703" s="52"/>
      <c r="AC703" s="52"/>
    </row>
    <row r="704">
      <c r="A704" s="52"/>
      <c r="B704" s="350"/>
      <c r="C704" s="52"/>
      <c r="D704" s="52"/>
      <c r="E704" s="52"/>
      <c r="F704" s="351"/>
      <c r="G704" s="52"/>
      <c r="H704" s="52"/>
      <c r="I704" s="52"/>
      <c r="J704" s="52"/>
      <c r="K704" s="52"/>
      <c r="L704" s="52"/>
      <c r="M704" s="52"/>
      <c r="N704" s="52"/>
      <c r="O704" s="52"/>
      <c r="P704" s="52"/>
      <c r="Q704" s="52"/>
      <c r="R704" s="52"/>
      <c r="S704" s="52"/>
      <c r="T704" s="52"/>
      <c r="U704" s="52"/>
      <c r="V704" s="52"/>
      <c r="W704" s="52"/>
      <c r="X704" s="52"/>
      <c r="Y704" s="52"/>
      <c r="Z704" s="52"/>
      <c r="AA704" s="52"/>
      <c r="AB704" s="52"/>
      <c r="AC704" s="52"/>
    </row>
    <row r="705">
      <c r="A705" s="52"/>
      <c r="B705" s="350"/>
      <c r="C705" s="52"/>
      <c r="D705" s="52"/>
      <c r="E705" s="52"/>
      <c r="F705" s="351"/>
      <c r="G705" s="52"/>
      <c r="H705" s="52"/>
      <c r="I705" s="52"/>
      <c r="J705" s="52"/>
      <c r="K705" s="52"/>
      <c r="L705" s="52"/>
      <c r="M705" s="52"/>
      <c r="N705" s="52"/>
      <c r="O705" s="52"/>
      <c r="P705" s="52"/>
      <c r="Q705" s="52"/>
      <c r="R705" s="52"/>
      <c r="S705" s="52"/>
      <c r="T705" s="52"/>
      <c r="U705" s="52"/>
      <c r="V705" s="52"/>
      <c r="W705" s="52"/>
      <c r="X705" s="52"/>
      <c r="Y705" s="52"/>
      <c r="Z705" s="52"/>
      <c r="AA705" s="52"/>
      <c r="AB705" s="52"/>
      <c r="AC705" s="52"/>
    </row>
    <row r="706">
      <c r="A706" s="52"/>
      <c r="B706" s="350"/>
      <c r="C706" s="52"/>
      <c r="D706" s="52"/>
      <c r="E706" s="52"/>
      <c r="F706" s="351"/>
      <c r="G706" s="52"/>
      <c r="H706" s="52"/>
      <c r="I706" s="52"/>
      <c r="J706" s="52"/>
      <c r="K706" s="52"/>
      <c r="L706" s="52"/>
      <c r="M706" s="52"/>
      <c r="N706" s="52"/>
      <c r="O706" s="52"/>
      <c r="P706" s="52"/>
      <c r="Q706" s="52"/>
      <c r="R706" s="52"/>
      <c r="S706" s="52"/>
      <c r="T706" s="52"/>
      <c r="U706" s="52"/>
      <c r="V706" s="52"/>
      <c r="W706" s="52"/>
      <c r="X706" s="52"/>
      <c r="Y706" s="52"/>
      <c r="Z706" s="52"/>
      <c r="AA706" s="52"/>
      <c r="AB706" s="52"/>
      <c r="AC706" s="52"/>
    </row>
    <row r="707">
      <c r="A707" s="52"/>
      <c r="B707" s="350"/>
      <c r="C707" s="52"/>
      <c r="D707" s="52"/>
      <c r="E707" s="52"/>
      <c r="F707" s="351"/>
      <c r="G707" s="52"/>
      <c r="H707" s="52"/>
      <c r="I707" s="52"/>
      <c r="J707" s="52"/>
      <c r="K707" s="52"/>
      <c r="L707" s="52"/>
      <c r="M707" s="52"/>
      <c r="N707" s="52"/>
      <c r="O707" s="52"/>
      <c r="P707" s="52"/>
      <c r="Q707" s="52"/>
      <c r="R707" s="52"/>
      <c r="S707" s="52"/>
      <c r="T707" s="52"/>
      <c r="U707" s="52"/>
      <c r="V707" s="52"/>
      <c r="W707" s="52"/>
      <c r="X707" s="52"/>
      <c r="Y707" s="52"/>
      <c r="Z707" s="52"/>
      <c r="AA707" s="52"/>
      <c r="AB707" s="52"/>
      <c r="AC707" s="52"/>
    </row>
    <row r="708">
      <c r="A708" s="52"/>
      <c r="B708" s="350"/>
      <c r="C708" s="52"/>
      <c r="D708" s="52"/>
      <c r="E708" s="52"/>
      <c r="F708" s="351"/>
      <c r="G708" s="52"/>
      <c r="H708" s="52"/>
      <c r="I708" s="52"/>
      <c r="J708" s="52"/>
      <c r="K708" s="52"/>
      <c r="L708" s="52"/>
      <c r="M708" s="52"/>
      <c r="N708" s="52"/>
      <c r="O708" s="52"/>
      <c r="P708" s="52"/>
      <c r="Q708" s="52"/>
      <c r="R708" s="52"/>
      <c r="S708" s="52"/>
      <c r="T708" s="52"/>
      <c r="U708" s="52"/>
      <c r="V708" s="52"/>
      <c r="W708" s="52"/>
      <c r="X708" s="52"/>
      <c r="Y708" s="52"/>
      <c r="Z708" s="52"/>
      <c r="AA708" s="52"/>
      <c r="AB708" s="52"/>
      <c r="AC708" s="52"/>
    </row>
    <row r="709">
      <c r="A709" s="52"/>
      <c r="B709" s="350"/>
      <c r="C709" s="52"/>
      <c r="D709" s="52"/>
      <c r="E709" s="52"/>
      <c r="F709" s="351"/>
      <c r="G709" s="52"/>
      <c r="H709" s="52"/>
      <c r="I709" s="52"/>
      <c r="J709" s="52"/>
      <c r="K709" s="52"/>
      <c r="L709" s="52"/>
      <c r="M709" s="52"/>
      <c r="N709" s="52"/>
      <c r="O709" s="52"/>
      <c r="P709" s="52"/>
      <c r="Q709" s="52"/>
      <c r="R709" s="52"/>
      <c r="S709" s="52"/>
      <c r="T709" s="52"/>
      <c r="U709" s="52"/>
      <c r="V709" s="52"/>
      <c r="W709" s="52"/>
      <c r="X709" s="52"/>
      <c r="Y709" s="52"/>
      <c r="Z709" s="52"/>
      <c r="AA709" s="52"/>
      <c r="AB709" s="52"/>
      <c r="AC709" s="52"/>
    </row>
    <row r="710">
      <c r="A710" s="52"/>
      <c r="B710" s="350"/>
      <c r="C710" s="52"/>
      <c r="D710" s="52"/>
      <c r="E710" s="52"/>
      <c r="F710" s="351"/>
      <c r="G710" s="52"/>
      <c r="H710" s="52"/>
      <c r="I710" s="52"/>
      <c r="J710" s="52"/>
      <c r="K710" s="52"/>
      <c r="L710" s="52"/>
      <c r="M710" s="52"/>
      <c r="N710" s="52"/>
      <c r="O710" s="52"/>
      <c r="P710" s="52"/>
      <c r="Q710" s="52"/>
      <c r="R710" s="52"/>
      <c r="S710" s="52"/>
      <c r="T710" s="52"/>
      <c r="U710" s="52"/>
      <c r="V710" s="52"/>
      <c r="W710" s="52"/>
      <c r="X710" s="52"/>
      <c r="Y710" s="52"/>
      <c r="Z710" s="52"/>
      <c r="AA710" s="52"/>
      <c r="AB710" s="52"/>
      <c r="AC710" s="52"/>
    </row>
    <row r="711">
      <c r="A711" s="52"/>
      <c r="B711" s="350"/>
      <c r="C711" s="52"/>
      <c r="D711" s="52"/>
      <c r="E711" s="52"/>
      <c r="F711" s="351"/>
      <c r="G711" s="52"/>
      <c r="H711" s="52"/>
      <c r="I711" s="52"/>
      <c r="J711" s="52"/>
      <c r="K711" s="52"/>
      <c r="L711" s="52"/>
      <c r="M711" s="52"/>
      <c r="N711" s="52"/>
      <c r="O711" s="52"/>
      <c r="P711" s="52"/>
      <c r="Q711" s="52"/>
      <c r="R711" s="52"/>
      <c r="S711" s="52"/>
      <c r="T711" s="52"/>
      <c r="U711" s="52"/>
      <c r="V711" s="52"/>
      <c r="W711" s="52"/>
      <c r="X711" s="52"/>
      <c r="Y711" s="52"/>
      <c r="Z711" s="52"/>
      <c r="AA711" s="52"/>
      <c r="AB711" s="52"/>
      <c r="AC711" s="52"/>
    </row>
    <row r="712">
      <c r="A712" s="52"/>
      <c r="B712" s="350"/>
      <c r="C712" s="52"/>
      <c r="D712" s="52"/>
      <c r="E712" s="52"/>
      <c r="F712" s="351"/>
      <c r="G712" s="52"/>
      <c r="H712" s="52"/>
      <c r="I712" s="52"/>
      <c r="J712" s="52"/>
      <c r="K712" s="52"/>
      <c r="L712" s="52"/>
      <c r="M712" s="52"/>
      <c r="N712" s="52"/>
      <c r="O712" s="52"/>
      <c r="P712" s="52"/>
      <c r="Q712" s="52"/>
      <c r="R712" s="52"/>
      <c r="S712" s="52"/>
      <c r="T712" s="52"/>
      <c r="U712" s="52"/>
      <c r="V712" s="52"/>
      <c r="W712" s="52"/>
      <c r="X712" s="52"/>
      <c r="Y712" s="52"/>
      <c r="Z712" s="52"/>
      <c r="AA712" s="52"/>
      <c r="AB712" s="52"/>
      <c r="AC712" s="52"/>
    </row>
    <row r="713">
      <c r="A713" s="52"/>
      <c r="B713" s="350"/>
      <c r="C713" s="52"/>
      <c r="D713" s="52"/>
      <c r="E713" s="52"/>
      <c r="F713" s="351"/>
      <c r="G713" s="52"/>
      <c r="H713" s="52"/>
      <c r="I713" s="52"/>
      <c r="J713" s="52"/>
      <c r="K713" s="52"/>
      <c r="L713" s="52"/>
      <c r="M713" s="52"/>
      <c r="N713" s="52"/>
      <c r="O713" s="52"/>
      <c r="P713" s="52"/>
      <c r="Q713" s="52"/>
      <c r="R713" s="52"/>
      <c r="S713" s="52"/>
      <c r="T713" s="52"/>
      <c r="U713" s="52"/>
      <c r="V713" s="52"/>
      <c r="W713" s="52"/>
      <c r="X713" s="52"/>
      <c r="Y713" s="52"/>
      <c r="Z713" s="52"/>
      <c r="AA713" s="52"/>
      <c r="AB713" s="52"/>
      <c r="AC713" s="52"/>
    </row>
    <row r="714">
      <c r="A714" s="52"/>
      <c r="B714" s="350"/>
      <c r="C714" s="52"/>
      <c r="D714" s="52"/>
      <c r="E714" s="52"/>
      <c r="F714" s="351"/>
      <c r="G714" s="52"/>
      <c r="H714" s="52"/>
      <c r="I714" s="52"/>
      <c r="J714" s="52"/>
      <c r="K714" s="52"/>
      <c r="L714" s="52"/>
      <c r="M714" s="52"/>
      <c r="N714" s="52"/>
      <c r="O714" s="52"/>
      <c r="P714" s="52"/>
      <c r="Q714" s="52"/>
      <c r="R714" s="52"/>
      <c r="S714" s="52"/>
      <c r="T714" s="52"/>
      <c r="U714" s="52"/>
      <c r="V714" s="52"/>
      <c r="W714" s="52"/>
      <c r="X714" s="52"/>
      <c r="Y714" s="52"/>
      <c r="Z714" s="52"/>
      <c r="AA714" s="52"/>
      <c r="AB714" s="52"/>
      <c r="AC714" s="52"/>
    </row>
    <row r="715">
      <c r="A715" s="52"/>
      <c r="B715" s="350"/>
      <c r="C715" s="52"/>
      <c r="D715" s="52"/>
      <c r="E715" s="52"/>
      <c r="F715" s="351"/>
      <c r="G715" s="52"/>
      <c r="H715" s="52"/>
      <c r="I715" s="52"/>
      <c r="J715" s="52"/>
      <c r="K715" s="52"/>
      <c r="L715" s="52"/>
      <c r="M715" s="52"/>
      <c r="N715" s="52"/>
      <c r="O715" s="52"/>
      <c r="P715" s="52"/>
      <c r="Q715" s="52"/>
      <c r="R715" s="52"/>
      <c r="S715" s="52"/>
      <c r="T715" s="52"/>
      <c r="U715" s="52"/>
      <c r="V715" s="52"/>
      <c r="W715" s="52"/>
      <c r="X715" s="52"/>
      <c r="Y715" s="52"/>
      <c r="Z715" s="52"/>
      <c r="AA715" s="52"/>
      <c r="AB715" s="52"/>
      <c r="AC715" s="52"/>
    </row>
    <row r="716">
      <c r="A716" s="52"/>
      <c r="B716" s="350"/>
      <c r="C716" s="52"/>
      <c r="D716" s="52"/>
      <c r="E716" s="52"/>
      <c r="F716" s="351"/>
      <c r="G716" s="52"/>
      <c r="H716" s="52"/>
      <c r="I716" s="52"/>
      <c r="J716" s="52"/>
      <c r="K716" s="52"/>
      <c r="L716" s="52"/>
      <c r="M716" s="52"/>
      <c r="N716" s="52"/>
      <c r="O716" s="52"/>
      <c r="P716" s="52"/>
      <c r="Q716" s="52"/>
      <c r="R716" s="52"/>
      <c r="S716" s="52"/>
      <c r="T716" s="52"/>
      <c r="U716" s="52"/>
      <c r="V716" s="52"/>
      <c r="W716" s="52"/>
      <c r="X716" s="52"/>
      <c r="Y716" s="52"/>
      <c r="Z716" s="52"/>
      <c r="AA716" s="52"/>
      <c r="AB716" s="52"/>
      <c r="AC716" s="52"/>
    </row>
    <row r="717">
      <c r="A717" s="52"/>
      <c r="B717" s="350"/>
      <c r="C717" s="52"/>
      <c r="D717" s="52"/>
      <c r="E717" s="52"/>
      <c r="F717" s="351"/>
      <c r="G717" s="52"/>
      <c r="H717" s="52"/>
      <c r="I717" s="52"/>
      <c r="J717" s="52"/>
      <c r="K717" s="52"/>
      <c r="L717" s="52"/>
      <c r="M717" s="52"/>
      <c r="N717" s="52"/>
      <c r="O717" s="52"/>
      <c r="P717" s="52"/>
      <c r="Q717" s="52"/>
      <c r="R717" s="52"/>
      <c r="S717" s="52"/>
      <c r="T717" s="52"/>
      <c r="U717" s="52"/>
      <c r="V717" s="52"/>
      <c r="W717" s="52"/>
      <c r="X717" s="52"/>
      <c r="Y717" s="52"/>
      <c r="Z717" s="52"/>
      <c r="AA717" s="52"/>
      <c r="AB717" s="52"/>
      <c r="AC717" s="52"/>
    </row>
    <row r="718">
      <c r="A718" s="52"/>
      <c r="B718" s="350"/>
      <c r="C718" s="52"/>
      <c r="D718" s="52"/>
      <c r="E718" s="52"/>
      <c r="F718" s="351"/>
      <c r="G718" s="52"/>
      <c r="H718" s="52"/>
      <c r="I718" s="52"/>
      <c r="J718" s="52"/>
      <c r="K718" s="52"/>
      <c r="L718" s="52"/>
      <c r="M718" s="52"/>
      <c r="N718" s="52"/>
      <c r="O718" s="52"/>
      <c r="P718" s="52"/>
      <c r="Q718" s="52"/>
      <c r="R718" s="52"/>
      <c r="S718" s="52"/>
      <c r="T718" s="52"/>
      <c r="U718" s="52"/>
      <c r="V718" s="52"/>
      <c r="W718" s="52"/>
      <c r="X718" s="52"/>
      <c r="Y718" s="52"/>
      <c r="Z718" s="52"/>
      <c r="AA718" s="52"/>
      <c r="AB718" s="52"/>
      <c r="AC718" s="52"/>
    </row>
    <row r="719">
      <c r="A719" s="52"/>
      <c r="B719" s="350"/>
      <c r="C719" s="52"/>
      <c r="D719" s="52"/>
      <c r="E719" s="52"/>
      <c r="F719" s="351"/>
      <c r="G719" s="52"/>
      <c r="H719" s="52"/>
      <c r="I719" s="52"/>
      <c r="J719" s="52"/>
      <c r="K719" s="52"/>
      <c r="L719" s="52"/>
      <c r="M719" s="52"/>
      <c r="N719" s="52"/>
      <c r="O719" s="52"/>
      <c r="P719" s="52"/>
      <c r="Q719" s="52"/>
      <c r="R719" s="52"/>
      <c r="S719" s="52"/>
      <c r="T719" s="52"/>
      <c r="U719" s="52"/>
      <c r="V719" s="52"/>
      <c r="W719" s="52"/>
      <c r="X719" s="52"/>
      <c r="Y719" s="52"/>
      <c r="Z719" s="52"/>
      <c r="AA719" s="52"/>
      <c r="AB719" s="52"/>
      <c r="AC719" s="52"/>
    </row>
    <row r="720">
      <c r="A720" s="52"/>
      <c r="B720" s="350"/>
      <c r="C720" s="52"/>
      <c r="D720" s="52"/>
      <c r="E720" s="52"/>
      <c r="F720" s="351"/>
      <c r="G720" s="52"/>
      <c r="H720" s="52"/>
      <c r="I720" s="52"/>
      <c r="J720" s="52"/>
      <c r="K720" s="52"/>
      <c r="L720" s="52"/>
      <c r="M720" s="52"/>
      <c r="N720" s="52"/>
      <c r="O720" s="52"/>
      <c r="P720" s="52"/>
      <c r="Q720" s="52"/>
      <c r="R720" s="52"/>
      <c r="S720" s="52"/>
      <c r="T720" s="52"/>
      <c r="U720" s="52"/>
      <c r="V720" s="52"/>
      <c r="W720" s="52"/>
      <c r="X720" s="52"/>
      <c r="Y720" s="52"/>
      <c r="Z720" s="52"/>
      <c r="AA720" s="52"/>
      <c r="AB720" s="52"/>
      <c r="AC720" s="52"/>
    </row>
    <row r="721">
      <c r="A721" s="52"/>
      <c r="B721" s="350"/>
      <c r="C721" s="52"/>
      <c r="D721" s="52"/>
      <c r="E721" s="52"/>
      <c r="F721" s="351"/>
      <c r="G721" s="52"/>
      <c r="H721" s="52"/>
      <c r="I721" s="52"/>
      <c r="J721" s="52"/>
      <c r="K721" s="52"/>
      <c r="L721" s="52"/>
      <c r="M721" s="52"/>
      <c r="N721" s="52"/>
      <c r="O721" s="52"/>
      <c r="P721" s="52"/>
      <c r="Q721" s="52"/>
      <c r="R721" s="52"/>
      <c r="S721" s="52"/>
      <c r="T721" s="52"/>
      <c r="U721" s="52"/>
      <c r="V721" s="52"/>
      <c r="W721" s="52"/>
      <c r="X721" s="52"/>
      <c r="Y721" s="52"/>
      <c r="Z721" s="52"/>
      <c r="AA721" s="52"/>
      <c r="AB721" s="52"/>
      <c r="AC721" s="52"/>
    </row>
    <row r="722">
      <c r="A722" s="52"/>
      <c r="B722" s="350"/>
      <c r="C722" s="52"/>
      <c r="D722" s="52"/>
      <c r="E722" s="52"/>
      <c r="F722" s="351"/>
      <c r="G722" s="52"/>
      <c r="H722" s="52"/>
      <c r="I722" s="52"/>
      <c r="J722" s="52"/>
      <c r="K722" s="52"/>
      <c r="L722" s="52"/>
      <c r="M722" s="52"/>
      <c r="N722" s="52"/>
      <c r="O722" s="52"/>
      <c r="P722" s="52"/>
      <c r="Q722" s="52"/>
      <c r="R722" s="52"/>
      <c r="S722" s="52"/>
      <c r="T722" s="52"/>
      <c r="U722" s="52"/>
      <c r="V722" s="52"/>
      <c r="W722" s="52"/>
      <c r="X722" s="52"/>
      <c r="Y722" s="52"/>
      <c r="Z722" s="52"/>
      <c r="AA722" s="52"/>
      <c r="AB722" s="52"/>
      <c r="AC722" s="52"/>
    </row>
    <row r="723">
      <c r="A723" s="52"/>
      <c r="B723" s="350"/>
      <c r="C723" s="52"/>
      <c r="D723" s="52"/>
      <c r="E723" s="52"/>
      <c r="F723" s="351"/>
      <c r="G723" s="52"/>
      <c r="H723" s="52"/>
      <c r="I723" s="52"/>
      <c r="J723" s="52"/>
      <c r="K723" s="52"/>
      <c r="L723" s="52"/>
      <c r="M723" s="52"/>
      <c r="N723" s="52"/>
      <c r="O723" s="52"/>
      <c r="P723" s="52"/>
      <c r="Q723" s="52"/>
      <c r="R723" s="52"/>
      <c r="S723" s="52"/>
      <c r="T723" s="52"/>
      <c r="U723" s="52"/>
      <c r="V723" s="52"/>
      <c r="W723" s="52"/>
      <c r="X723" s="52"/>
      <c r="Y723" s="52"/>
      <c r="Z723" s="52"/>
      <c r="AA723" s="52"/>
      <c r="AB723" s="52"/>
      <c r="AC723" s="52"/>
    </row>
    <row r="724">
      <c r="A724" s="52"/>
      <c r="B724" s="350"/>
      <c r="C724" s="52"/>
      <c r="D724" s="52"/>
      <c r="E724" s="52"/>
      <c r="F724" s="351"/>
      <c r="G724" s="52"/>
      <c r="H724" s="52"/>
      <c r="I724" s="52"/>
      <c r="J724" s="52"/>
      <c r="K724" s="52"/>
      <c r="L724" s="52"/>
      <c r="M724" s="52"/>
      <c r="N724" s="52"/>
      <c r="O724" s="52"/>
      <c r="P724" s="52"/>
      <c r="Q724" s="52"/>
      <c r="R724" s="52"/>
      <c r="S724" s="52"/>
      <c r="T724" s="52"/>
      <c r="U724" s="52"/>
      <c r="V724" s="52"/>
      <c r="W724" s="52"/>
      <c r="X724" s="52"/>
      <c r="Y724" s="52"/>
      <c r="Z724" s="52"/>
      <c r="AA724" s="52"/>
      <c r="AB724" s="52"/>
      <c r="AC724" s="52"/>
    </row>
    <row r="725">
      <c r="A725" s="52"/>
      <c r="B725" s="350"/>
      <c r="C725" s="52"/>
      <c r="D725" s="52"/>
      <c r="E725" s="52"/>
      <c r="F725" s="351"/>
      <c r="G725" s="52"/>
      <c r="H725" s="52"/>
      <c r="I725" s="52"/>
      <c r="J725" s="52"/>
      <c r="K725" s="52"/>
      <c r="L725" s="52"/>
      <c r="M725" s="52"/>
      <c r="N725" s="52"/>
      <c r="O725" s="52"/>
      <c r="P725" s="52"/>
      <c r="Q725" s="52"/>
      <c r="R725" s="52"/>
      <c r="S725" s="52"/>
      <c r="T725" s="52"/>
      <c r="U725" s="52"/>
      <c r="V725" s="52"/>
      <c r="W725" s="52"/>
      <c r="X725" s="52"/>
      <c r="Y725" s="52"/>
      <c r="Z725" s="52"/>
      <c r="AA725" s="52"/>
      <c r="AB725" s="52"/>
      <c r="AC725" s="52"/>
    </row>
    <row r="726">
      <c r="A726" s="52"/>
      <c r="B726" s="350"/>
      <c r="C726" s="52"/>
      <c r="D726" s="52"/>
      <c r="E726" s="52"/>
      <c r="F726" s="351"/>
      <c r="G726" s="52"/>
      <c r="H726" s="52"/>
      <c r="I726" s="52"/>
      <c r="J726" s="52"/>
      <c r="K726" s="52"/>
      <c r="L726" s="52"/>
      <c r="M726" s="52"/>
      <c r="N726" s="52"/>
      <c r="O726" s="52"/>
      <c r="P726" s="52"/>
      <c r="Q726" s="52"/>
      <c r="R726" s="52"/>
      <c r="S726" s="52"/>
      <c r="T726" s="52"/>
      <c r="U726" s="52"/>
      <c r="V726" s="52"/>
      <c r="W726" s="52"/>
      <c r="X726" s="52"/>
      <c r="Y726" s="52"/>
      <c r="Z726" s="52"/>
      <c r="AA726" s="52"/>
      <c r="AB726" s="52"/>
      <c r="AC726" s="52"/>
    </row>
    <row r="727">
      <c r="A727" s="52"/>
      <c r="B727" s="350"/>
      <c r="C727" s="52"/>
      <c r="D727" s="52"/>
      <c r="E727" s="52"/>
      <c r="F727" s="351"/>
      <c r="G727" s="52"/>
      <c r="H727" s="52"/>
      <c r="I727" s="52"/>
      <c r="J727" s="52"/>
      <c r="K727" s="52"/>
      <c r="L727" s="52"/>
      <c r="M727" s="52"/>
      <c r="N727" s="52"/>
      <c r="O727" s="52"/>
      <c r="P727" s="52"/>
      <c r="Q727" s="52"/>
      <c r="R727" s="52"/>
      <c r="S727" s="52"/>
      <c r="T727" s="52"/>
      <c r="U727" s="52"/>
      <c r="V727" s="52"/>
      <c r="W727" s="52"/>
      <c r="X727" s="52"/>
      <c r="Y727" s="52"/>
      <c r="Z727" s="52"/>
      <c r="AA727" s="52"/>
      <c r="AB727" s="52"/>
      <c r="AC727" s="52"/>
    </row>
    <row r="728">
      <c r="A728" s="52"/>
      <c r="B728" s="350"/>
      <c r="C728" s="52"/>
      <c r="D728" s="52"/>
      <c r="E728" s="52"/>
      <c r="F728" s="351"/>
      <c r="G728" s="52"/>
      <c r="H728" s="52"/>
      <c r="I728" s="52"/>
      <c r="J728" s="52"/>
      <c r="K728" s="52"/>
      <c r="L728" s="52"/>
      <c r="M728" s="52"/>
      <c r="N728" s="52"/>
      <c r="O728" s="52"/>
      <c r="P728" s="52"/>
      <c r="Q728" s="52"/>
      <c r="R728" s="52"/>
      <c r="S728" s="52"/>
      <c r="T728" s="52"/>
      <c r="U728" s="52"/>
      <c r="V728" s="52"/>
      <c r="W728" s="52"/>
      <c r="X728" s="52"/>
      <c r="Y728" s="52"/>
      <c r="Z728" s="52"/>
      <c r="AA728" s="52"/>
      <c r="AB728" s="52"/>
      <c r="AC728" s="52"/>
    </row>
    <row r="729">
      <c r="A729" s="52"/>
      <c r="B729" s="350"/>
      <c r="C729" s="52"/>
      <c r="D729" s="52"/>
      <c r="E729" s="52"/>
      <c r="F729" s="351"/>
      <c r="G729" s="52"/>
      <c r="H729" s="52"/>
      <c r="I729" s="52"/>
      <c r="J729" s="52"/>
      <c r="K729" s="52"/>
      <c r="L729" s="52"/>
      <c r="M729" s="52"/>
      <c r="N729" s="52"/>
      <c r="O729" s="52"/>
      <c r="P729" s="52"/>
      <c r="Q729" s="52"/>
      <c r="R729" s="52"/>
      <c r="S729" s="52"/>
      <c r="T729" s="52"/>
      <c r="U729" s="52"/>
      <c r="V729" s="52"/>
      <c r="W729" s="52"/>
      <c r="X729" s="52"/>
      <c r="Y729" s="52"/>
      <c r="Z729" s="52"/>
      <c r="AA729" s="52"/>
      <c r="AB729" s="52"/>
      <c r="AC729" s="52"/>
    </row>
    <row r="730">
      <c r="A730" s="52"/>
      <c r="B730" s="350"/>
      <c r="C730" s="52"/>
      <c r="D730" s="52"/>
      <c r="E730" s="52"/>
      <c r="F730" s="351"/>
      <c r="G730" s="52"/>
      <c r="H730" s="52"/>
      <c r="I730" s="52"/>
      <c r="J730" s="52"/>
      <c r="K730" s="52"/>
      <c r="L730" s="52"/>
      <c r="M730" s="52"/>
      <c r="N730" s="52"/>
      <c r="O730" s="52"/>
      <c r="P730" s="52"/>
      <c r="Q730" s="52"/>
      <c r="R730" s="52"/>
      <c r="S730" s="52"/>
      <c r="T730" s="52"/>
      <c r="U730" s="52"/>
      <c r="V730" s="52"/>
      <c r="W730" s="52"/>
      <c r="X730" s="52"/>
      <c r="Y730" s="52"/>
      <c r="Z730" s="52"/>
      <c r="AA730" s="52"/>
      <c r="AB730" s="52"/>
      <c r="AC730" s="52"/>
    </row>
    <row r="731">
      <c r="A731" s="52"/>
      <c r="B731" s="350"/>
      <c r="C731" s="52"/>
      <c r="D731" s="52"/>
      <c r="E731" s="52"/>
      <c r="F731" s="351"/>
      <c r="G731" s="52"/>
      <c r="H731" s="52"/>
      <c r="I731" s="52"/>
      <c r="J731" s="52"/>
      <c r="K731" s="52"/>
      <c r="L731" s="52"/>
      <c r="M731" s="52"/>
      <c r="N731" s="52"/>
      <c r="O731" s="52"/>
      <c r="P731" s="52"/>
      <c r="Q731" s="52"/>
      <c r="R731" s="52"/>
      <c r="S731" s="52"/>
      <c r="T731" s="52"/>
      <c r="U731" s="52"/>
      <c r="V731" s="52"/>
      <c r="W731" s="52"/>
      <c r="X731" s="52"/>
      <c r="Y731" s="52"/>
      <c r="Z731" s="52"/>
      <c r="AA731" s="52"/>
      <c r="AB731" s="52"/>
      <c r="AC731" s="52"/>
    </row>
    <row r="732">
      <c r="A732" s="52"/>
      <c r="B732" s="350"/>
      <c r="C732" s="52"/>
      <c r="D732" s="52"/>
      <c r="E732" s="52"/>
      <c r="F732" s="351"/>
      <c r="G732" s="52"/>
      <c r="H732" s="52"/>
      <c r="I732" s="52"/>
      <c r="J732" s="52"/>
      <c r="K732" s="52"/>
      <c r="L732" s="52"/>
      <c r="M732" s="52"/>
      <c r="N732" s="52"/>
      <c r="O732" s="52"/>
      <c r="P732" s="52"/>
      <c r="Q732" s="52"/>
      <c r="R732" s="52"/>
      <c r="S732" s="52"/>
      <c r="T732" s="52"/>
      <c r="U732" s="52"/>
      <c r="V732" s="52"/>
      <c r="W732" s="52"/>
      <c r="X732" s="52"/>
      <c r="Y732" s="52"/>
      <c r="Z732" s="52"/>
      <c r="AA732" s="52"/>
      <c r="AB732" s="52"/>
      <c r="AC732" s="52"/>
    </row>
    <row r="733">
      <c r="A733" s="52"/>
      <c r="B733" s="350"/>
      <c r="C733" s="52"/>
      <c r="D733" s="52"/>
      <c r="E733" s="52"/>
      <c r="F733" s="351"/>
      <c r="G733" s="52"/>
      <c r="H733" s="52"/>
      <c r="I733" s="52"/>
      <c r="J733" s="52"/>
      <c r="K733" s="52"/>
      <c r="L733" s="52"/>
      <c r="M733" s="52"/>
      <c r="N733" s="52"/>
      <c r="O733" s="52"/>
      <c r="P733" s="52"/>
      <c r="Q733" s="52"/>
      <c r="R733" s="52"/>
      <c r="S733" s="52"/>
      <c r="T733" s="52"/>
      <c r="U733" s="52"/>
      <c r="V733" s="52"/>
      <c r="W733" s="52"/>
      <c r="X733" s="52"/>
      <c r="Y733" s="52"/>
      <c r="Z733" s="52"/>
      <c r="AA733" s="52"/>
      <c r="AB733" s="52"/>
      <c r="AC733" s="52"/>
    </row>
    <row r="734">
      <c r="A734" s="52"/>
      <c r="B734" s="350"/>
      <c r="C734" s="52"/>
      <c r="D734" s="52"/>
      <c r="E734" s="52"/>
      <c r="F734" s="351"/>
      <c r="G734" s="52"/>
      <c r="H734" s="52"/>
      <c r="I734" s="52"/>
      <c r="J734" s="52"/>
      <c r="K734" s="52"/>
      <c r="L734" s="52"/>
      <c r="M734" s="52"/>
      <c r="N734" s="52"/>
      <c r="O734" s="52"/>
      <c r="P734" s="52"/>
      <c r="Q734" s="52"/>
      <c r="R734" s="52"/>
      <c r="S734" s="52"/>
      <c r="T734" s="52"/>
      <c r="U734" s="52"/>
      <c r="V734" s="52"/>
      <c r="W734" s="52"/>
      <c r="X734" s="52"/>
      <c r="Y734" s="52"/>
      <c r="Z734" s="52"/>
      <c r="AA734" s="52"/>
      <c r="AB734" s="52"/>
      <c r="AC734" s="52"/>
    </row>
    <row r="735">
      <c r="A735" s="52"/>
      <c r="B735" s="350"/>
      <c r="C735" s="52"/>
      <c r="D735" s="52"/>
      <c r="E735" s="52"/>
      <c r="F735" s="351"/>
      <c r="G735" s="52"/>
      <c r="H735" s="52"/>
      <c r="I735" s="52"/>
      <c r="J735" s="52"/>
      <c r="K735" s="52"/>
      <c r="L735" s="52"/>
      <c r="M735" s="52"/>
      <c r="N735" s="52"/>
      <c r="O735" s="52"/>
      <c r="P735" s="52"/>
      <c r="Q735" s="52"/>
      <c r="R735" s="52"/>
      <c r="S735" s="52"/>
      <c r="T735" s="52"/>
      <c r="U735" s="52"/>
      <c r="V735" s="52"/>
      <c r="W735" s="52"/>
      <c r="X735" s="52"/>
      <c r="Y735" s="52"/>
      <c r="Z735" s="52"/>
      <c r="AA735" s="52"/>
      <c r="AB735" s="52"/>
      <c r="AC735" s="52"/>
    </row>
    <row r="736">
      <c r="A736" s="52"/>
      <c r="B736" s="350"/>
      <c r="C736" s="52"/>
      <c r="D736" s="52"/>
      <c r="E736" s="52"/>
      <c r="F736" s="351"/>
      <c r="G736" s="52"/>
      <c r="H736" s="52"/>
      <c r="I736" s="52"/>
      <c r="J736" s="52"/>
      <c r="K736" s="52"/>
      <c r="L736" s="52"/>
      <c r="M736" s="52"/>
      <c r="N736" s="52"/>
      <c r="O736" s="52"/>
      <c r="P736" s="52"/>
      <c r="Q736" s="52"/>
      <c r="R736" s="52"/>
      <c r="S736" s="52"/>
      <c r="T736" s="52"/>
      <c r="U736" s="52"/>
      <c r="V736" s="52"/>
      <c r="W736" s="52"/>
      <c r="X736" s="52"/>
      <c r="Y736" s="52"/>
      <c r="Z736" s="52"/>
      <c r="AA736" s="52"/>
      <c r="AB736" s="52"/>
      <c r="AC736" s="52"/>
    </row>
    <row r="737">
      <c r="A737" s="52"/>
      <c r="B737" s="350"/>
      <c r="C737" s="52"/>
      <c r="D737" s="52"/>
      <c r="E737" s="52"/>
      <c r="F737" s="351"/>
      <c r="G737" s="52"/>
      <c r="H737" s="52"/>
      <c r="I737" s="52"/>
      <c r="J737" s="52"/>
      <c r="K737" s="52"/>
      <c r="L737" s="52"/>
      <c r="M737" s="52"/>
      <c r="N737" s="52"/>
      <c r="O737" s="52"/>
      <c r="P737" s="52"/>
      <c r="Q737" s="52"/>
      <c r="R737" s="52"/>
      <c r="S737" s="52"/>
      <c r="T737" s="52"/>
      <c r="U737" s="52"/>
      <c r="V737" s="52"/>
      <c r="W737" s="52"/>
      <c r="X737" s="52"/>
      <c r="Y737" s="52"/>
      <c r="Z737" s="52"/>
      <c r="AA737" s="52"/>
      <c r="AB737" s="52"/>
      <c r="AC737" s="52"/>
    </row>
    <row r="738">
      <c r="A738" s="52"/>
      <c r="B738" s="350"/>
      <c r="C738" s="52"/>
      <c r="D738" s="52"/>
      <c r="E738" s="52"/>
      <c r="F738" s="351"/>
      <c r="G738" s="52"/>
      <c r="H738" s="52"/>
      <c r="I738" s="52"/>
      <c r="J738" s="52"/>
      <c r="K738" s="52"/>
      <c r="L738" s="52"/>
      <c r="M738" s="52"/>
      <c r="N738" s="52"/>
      <c r="O738" s="52"/>
      <c r="P738" s="52"/>
      <c r="Q738" s="52"/>
      <c r="R738" s="52"/>
      <c r="S738" s="52"/>
      <c r="T738" s="52"/>
      <c r="U738" s="52"/>
      <c r="V738" s="52"/>
      <c r="W738" s="52"/>
      <c r="X738" s="52"/>
      <c r="Y738" s="52"/>
      <c r="Z738" s="52"/>
      <c r="AA738" s="52"/>
      <c r="AB738" s="52"/>
      <c r="AC738" s="52"/>
    </row>
    <row r="739">
      <c r="A739" s="52"/>
      <c r="B739" s="350"/>
      <c r="C739" s="52"/>
      <c r="D739" s="52"/>
      <c r="E739" s="52"/>
      <c r="F739" s="351"/>
      <c r="G739" s="52"/>
      <c r="H739" s="52"/>
      <c r="I739" s="52"/>
      <c r="J739" s="52"/>
      <c r="K739" s="52"/>
      <c r="L739" s="52"/>
      <c r="M739" s="52"/>
      <c r="N739" s="52"/>
      <c r="O739" s="52"/>
      <c r="P739" s="52"/>
      <c r="Q739" s="52"/>
      <c r="R739" s="52"/>
      <c r="S739" s="52"/>
      <c r="T739" s="52"/>
      <c r="U739" s="52"/>
      <c r="V739" s="52"/>
      <c r="W739" s="52"/>
      <c r="X739" s="52"/>
      <c r="Y739" s="52"/>
      <c r="Z739" s="52"/>
      <c r="AA739" s="52"/>
      <c r="AB739" s="52"/>
      <c r="AC739" s="52"/>
    </row>
    <row r="740">
      <c r="A740" s="52"/>
      <c r="B740" s="350"/>
      <c r="C740" s="52"/>
      <c r="D740" s="52"/>
      <c r="E740" s="52"/>
      <c r="F740" s="351"/>
      <c r="G740" s="52"/>
      <c r="H740" s="52"/>
      <c r="I740" s="52"/>
      <c r="J740" s="52"/>
      <c r="K740" s="52"/>
      <c r="L740" s="52"/>
      <c r="M740" s="52"/>
      <c r="N740" s="52"/>
      <c r="O740" s="52"/>
      <c r="P740" s="52"/>
      <c r="Q740" s="52"/>
      <c r="R740" s="52"/>
      <c r="S740" s="52"/>
      <c r="T740" s="52"/>
      <c r="U740" s="52"/>
      <c r="V740" s="52"/>
      <c r="W740" s="52"/>
      <c r="X740" s="52"/>
      <c r="Y740" s="52"/>
      <c r="Z740" s="52"/>
      <c r="AA740" s="52"/>
      <c r="AB740" s="52"/>
      <c r="AC740" s="52"/>
    </row>
    <row r="741">
      <c r="A741" s="52"/>
      <c r="B741" s="350"/>
      <c r="C741" s="52"/>
      <c r="D741" s="52"/>
      <c r="E741" s="52"/>
      <c r="F741" s="351"/>
      <c r="G741" s="52"/>
      <c r="H741" s="52"/>
      <c r="I741" s="52"/>
      <c r="J741" s="52"/>
      <c r="K741" s="52"/>
      <c r="L741" s="52"/>
      <c r="M741" s="52"/>
      <c r="N741" s="52"/>
      <c r="O741" s="52"/>
      <c r="P741" s="52"/>
      <c r="Q741" s="52"/>
      <c r="R741" s="52"/>
      <c r="S741" s="52"/>
      <c r="T741" s="52"/>
      <c r="U741" s="52"/>
      <c r="V741" s="52"/>
      <c r="W741" s="52"/>
      <c r="X741" s="52"/>
      <c r="Y741" s="52"/>
      <c r="Z741" s="52"/>
      <c r="AA741" s="52"/>
      <c r="AB741" s="52"/>
      <c r="AC741" s="52"/>
    </row>
    <row r="742">
      <c r="A742" s="52"/>
      <c r="B742" s="350"/>
      <c r="C742" s="52"/>
      <c r="D742" s="52"/>
      <c r="E742" s="52"/>
      <c r="F742" s="351"/>
      <c r="G742" s="52"/>
      <c r="H742" s="52"/>
      <c r="I742" s="52"/>
      <c r="J742" s="52"/>
      <c r="K742" s="52"/>
      <c r="L742" s="52"/>
      <c r="M742" s="52"/>
      <c r="N742" s="52"/>
      <c r="O742" s="52"/>
      <c r="P742" s="52"/>
      <c r="Q742" s="52"/>
      <c r="R742" s="52"/>
      <c r="S742" s="52"/>
      <c r="T742" s="52"/>
      <c r="U742" s="52"/>
      <c r="V742" s="52"/>
      <c r="W742" s="52"/>
      <c r="X742" s="52"/>
      <c r="Y742" s="52"/>
      <c r="Z742" s="52"/>
      <c r="AA742" s="52"/>
      <c r="AB742" s="52"/>
      <c r="AC742" s="52"/>
    </row>
    <row r="743">
      <c r="A743" s="52"/>
      <c r="B743" s="350"/>
      <c r="C743" s="52"/>
      <c r="D743" s="52"/>
      <c r="E743" s="52"/>
      <c r="F743" s="351"/>
      <c r="G743" s="52"/>
      <c r="H743" s="52"/>
      <c r="I743" s="52"/>
      <c r="J743" s="52"/>
      <c r="K743" s="52"/>
      <c r="L743" s="52"/>
      <c r="M743" s="52"/>
      <c r="N743" s="52"/>
      <c r="O743" s="52"/>
      <c r="P743" s="52"/>
      <c r="Q743" s="52"/>
      <c r="R743" s="52"/>
      <c r="S743" s="52"/>
      <c r="T743" s="52"/>
      <c r="U743" s="52"/>
      <c r="V743" s="52"/>
      <c r="W743" s="52"/>
      <c r="X743" s="52"/>
      <c r="Y743" s="52"/>
      <c r="Z743" s="52"/>
      <c r="AA743" s="52"/>
      <c r="AB743" s="52"/>
      <c r="AC743" s="52"/>
    </row>
    <row r="744">
      <c r="A744" s="52"/>
      <c r="B744" s="350"/>
      <c r="C744" s="52"/>
      <c r="D744" s="52"/>
      <c r="E744" s="52"/>
      <c r="F744" s="351"/>
      <c r="G744" s="52"/>
      <c r="H744" s="52"/>
      <c r="I744" s="52"/>
      <c r="J744" s="52"/>
      <c r="K744" s="52"/>
      <c r="L744" s="52"/>
      <c r="M744" s="52"/>
      <c r="N744" s="52"/>
      <c r="O744" s="52"/>
      <c r="P744" s="52"/>
      <c r="Q744" s="52"/>
      <c r="R744" s="52"/>
      <c r="S744" s="52"/>
      <c r="T744" s="52"/>
      <c r="U744" s="52"/>
      <c r="V744" s="52"/>
      <c r="W744" s="52"/>
      <c r="X744" s="52"/>
      <c r="Y744" s="52"/>
      <c r="Z744" s="52"/>
      <c r="AA744" s="52"/>
      <c r="AB744" s="52"/>
      <c r="AC744" s="52"/>
    </row>
    <row r="745">
      <c r="A745" s="52"/>
      <c r="B745" s="350"/>
      <c r="C745" s="52"/>
      <c r="D745" s="52"/>
      <c r="E745" s="52"/>
      <c r="F745" s="351"/>
      <c r="G745" s="52"/>
      <c r="H745" s="52"/>
      <c r="I745" s="52"/>
      <c r="J745" s="52"/>
      <c r="K745" s="52"/>
      <c r="L745" s="52"/>
      <c r="M745" s="52"/>
      <c r="N745" s="52"/>
      <c r="O745" s="52"/>
      <c r="P745" s="52"/>
      <c r="Q745" s="52"/>
      <c r="R745" s="52"/>
      <c r="S745" s="52"/>
      <c r="T745" s="52"/>
      <c r="U745" s="52"/>
      <c r="V745" s="52"/>
      <c r="W745" s="52"/>
      <c r="X745" s="52"/>
      <c r="Y745" s="52"/>
      <c r="Z745" s="52"/>
      <c r="AA745" s="52"/>
      <c r="AB745" s="52"/>
      <c r="AC745" s="52"/>
    </row>
    <row r="746">
      <c r="A746" s="52"/>
      <c r="B746" s="350"/>
      <c r="C746" s="52"/>
      <c r="D746" s="52"/>
      <c r="E746" s="52"/>
      <c r="F746" s="351"/>
      <c r="G746" s="52"/>
      <c r="H746" s="52"/>
      <c r="I746" s="52"/>
      <c r="J746" s="52"/>
      <c r="K746" s="52"/>
      <c r="L746" s="52"/>
      <c r="M746" s="52"/>
      <c r="N746" s="52"/>
      <c r="O746" s="52"/>
      <c r="P746" s="52"/>
      <c r="Q746" s="52"/>
      <c r="R746" s="52"/>
      <c r="S746" s="52"/>
      <c r="T746" s="52"/>
      <c r="U746" s="52"/>
      <c r="V746" s="52"/>
      <c r="W746" s="52"/>
      <c r="X746" s="52"/>
      <c r="Y746" s="52"/>
      <c r="Z746" s="52"/>
      <c r="AA746" s="52"/>
      <c r="AB746" s="52"/>
      <c r="AC746" s="52"/>
    </row>
    <row r="747">
      <c r="A747" s="52"/>
      <c r="B747" s="350"/>
      <c r="C747" s="52"/>
      <c r="D747" s="52"/>
      <c r="E747" s="52"/>
      <c r="F747" s="351"/>
      <c r="G747" s="52"/>
      <c r="H747" s="52"/>
      <c r="I747" s="52"/>
      <c r="J747" s="52"/>
      <c r="K747" s="52"/>
      <c r="L747" s="52"/>
      <c r="M747" s="52"/>
      <c r="N747" s="52"/>
      <c r="O747" s="52"/>
      <c r="P747" s="52"/>
      <c r="Q747" s="52"/>
      <c r="R747" s="52"/>
      <c r="S747" s="52"/>
      <c r="T747" s="52"/>
      <c r="U747" s="52"/>
      <c r="V747" s="52"/>
      <c r="W747" s="52"/>
      <c r="X747" s="52"/>
      <c r="Y747" s="52"/>
      <c r="Z747" s="52"/>
      <c r="AA747" s="52"/>
      <c r="AB747" s="52"/>
      <c r="AC747" s="52"/>
    </row>
    <row r="748">
      <c r="A748" s="52"/>
      <c r="B748" s="350"/>
      <c r="C748" s="52"/>
      <c r="D748" s="52"/>
      <c r="E748" s="52"/>
      <c r="F748" s="351"/>
      <c r="G748" s="52"/>
      <c r="H748" s="52"/>
      <c r="I748" s="52"/>
      <c r="J748" s="52"/>
      <c r="K748" s="52"/>
      <c r="L748" s="52"/>
      <c r="M748" s="52"/>
      <c r="N748" s="52"/>
      <c r="O748" s="52"/>
      <c r="P748" s="52"/>
      <c r="Q748" s="52"/>
      <c r="R748" s="52"/>
      <c r="S748" s="52"/>
      <c r="T748" s="52"/>
      <c r="U748" s="52"/>
      <c r="V748" s="52"/>
      <c r="W748" s="52"/>
      <c r="X748" s="52"/>
      <c r="Y748" s="52"/>
      <c r="Z748" s="52"/>
      <c r="AA748" s="52"/>
      <c r="AB748" s="52"/>
      <c r="AC748" s="52"/>
    </row>
    <row r="749">
      <c r="A749" s="52"/>
      <c r="B749" s="350"/>
      <c r="C749" s="52"/>
      <c r="D749" s="52"/>
      <c r="E749" s="52"/>
      <c r="F749" s="351"/>
      <c r="G749" s="52"/>
      <c r="H749" s="52"/>
      <c r="I749" s="52"/>
      <c r="J749" s="52"/>
      <c r="K749" s="52"/>
      <c r="L749" s="52"/>
      <c r="M749" s="52"/>
      <c r="N749" s="52"/>
      <c r="O749" s="52"/>
      <c r="P749" s="52"/>
      <c r="Q749" s="52"/>
      <c r="R749" s="52"/>
      <c r="S749" s="52"/>
      <c r="T749" s="52"/>
      <c r="U749" s="52"/>
      <c r="V749" s="52"/>
      <c r="W749" s="52"/>
      <c r="X749" s="52"/>
      <c r="Y749" s="52"/>
      <c r="Z749" s="52"/>
      <c r="AA749" s="52"/>
      <c r="AB749" s="52"/>
      <c r="AC749" s="52"/>
    </row>
    <row r="750">
      <c r="A750" s="52"/>
      <c r="B750" s="350"/>
      <c r="C750" s="52"/>
      <c r="D750" s="52"/>
      <c r="E750" s="52"/>
      <c r="F750" s="351"/>
      <c r="G750" s="52"/>
      <c r="H750" s="52"/>
      <c r="I750" s="52"/>
      <c r="J750" s="52"/>
      <c r="K750" s="52"/>
      <c r="L750" s="52"/>
      <c r="M750" s="52"/>
      <c r="N750" s="52"/>
      <c r="O750" s="52"/>
      <c r="P750" s="52"/>
      <c r="Q750" s="52"/>
      <c r="R750" s="52"/>
      <c r="S750" s="52"/>
      <c r="T750" s="52"/>
      <c r="U750" s="52"/>
      <c r="V750" s="52"/>
      <c r="W750" s="52"/>
      <c r="X750" s="52"/>
      <c r="Y750" s="52"/>
      <c r="Z750" s="52"/>
      <c r="AA750" s="52"/>
      <c r="AB750" s="52"/>
      <c r="AC750" s="52"/>
    </row>
    <row r="751">
      <c r="A751" s="52"/>
      <c r="B751" s="350"/>
      <c r="C751" s="52"/>
      <c r="D751" s="52"/>
      <c r="E751" s="52"/>
      <c r="F751" s="351"/>
      <c r="G751" s="52"/>
      <c r="H751" s="52"/>
      <c r="I751" s="52"/>
      <c r="J751" s="52"/>
      <c r="K751" s="52"/>
      <c r="L751" s="52"/>
      <c r="M751" s="52"/>
      <c r="N751" s="52"/>
      <c r="O751" s="52"/>
      <c r="P751" s="52"/>
      <c r="Q751" s="52"/>
      <c r="R751" s="52"/>
      <c r="S751" s="52"/>
      <c r="T751" s="52"/>
      <c r="U751" s="52"/>
      <c r="V751" s="52"/>
      <c r="W751" s="52"/>
      <c r="X751" s="52"/>
      <c r="Y751" s="52"/>
      <c r="Z751" s="52"/>
      <c r="AA751" s="52"/>
      <c r="AB751" s="52"/>
      <c r="AC751" s="52"/>
    </row>
    <row r="752">
      <c r="A752" s="52"/>
      <c r="B752" s="350"/>
      <c r="C752" s="52"/>
      <c r="D752" s="52"/>
      <c r="E752" s="52"/>
      <c r="F752" s="351"/>
      <c r="G752" s="52"/>
      <c r="H752" s="52"/>
      <c r="I752" s="52"/>
      <c r="J752" s="52"/>
      <c r="K752" s="52"/>
      <c r="L752" s="52"/>
      <c r="M752" s="52"/>
      <c r="N752" s="52"/>
      <c r="O752" s="52"/>
      <c r="P752" s="52"/>
      <c r="Q752" s="52"/>
      <c r="R752" s="52"/>
      <c r="S752" s="52"/>
      <c r="T752" s="52"/>
      <c r="U752" s="52"/>
      <c r="V752" s="52"/>
      <c r="W752" s="52"/>
      <c r="X752" s="52"/>
      <c r="Y752" s="52"/>
      <c r="Z752" s="52"/>
      <c r="AA752" s="52"/>
      <c r="AB752" s="52"/>
      <c r="AC752" s="52"/>
    </row>
    <row r="753">
      <c r="A753" s="52"/>
      <c r="B753" s="350"/>
      <c r="C753" s="52"/>
      <c r="D753" s="52"/>
      <c r="E753" s="52"/>
      <c r="F753" s="351"/>
      <c r="G753" s="52"/>
      <c r="H753" s="52"/>
      <c r="I753" s="52"/>
      <c r="J753" s="52"/>
      <c r="K753" s="52"/>
      <c r="L753" s="52"/>
      <c r="M753" s="52"/>
      <c r="N753" s="52"/>
      <c r="O753" s="52"/>
      <c r="P753" s="52"/>
      <c r="Q753" s="52"/>
      <c r="R753" s="52"/>
      <c r="S753" s="52"/>
      <c r="T753" s="52"/>
      <c r="U753" s="52"/>
      <c r="V753" s="52"/>
      <c r="W753" s="52"/>
      <c r="X753" s="52"/>
      <c r="Y753" s="52"/>
      <c r="Z753" s="52"/>
      <c r="AA753" s="52"/>
      <c r="AB753" s="52"/>
      <c r="AC753" s="52"/>
    </row>
    <row r="754">
      <c r="A754" s="52"/>
      <c r="B754" s="350"/>
      <c r="C754" s="52"/>
      <c r="D754" s="52"/>
      <c r="E754" s="52"/>
      <c r="F754" s="351"/>
      <c r="G754" s="52"/>
      <c r="H754" s="52"/>
      <c r="I754" s="52"/>
      <c r="J754" s="52"/>
      <c r="K754" s="52"/>
      <c r="L754" s="52"/>
      <c r="M754" s="52"/>
      <c r="N754" s="52"/>
      <c r="O754" s="52"/>
      <c r="P754" s="52"/>
      <c r="Q754" s="52"/>
      <c r="R754" s="52"/>
      <c r="S754" s="52"/>
      <c r="T754" s="52"/>
      <c r="U754" s="52"/>
      <c r="V754" s="52"/>
      <c r="W754" s="52"/>
      <c r="X754" s="52"/>
      <c r="Y754" s="52"/>
      <c r="Z754" s="52"/>
      <c r="AA754" s="52"/>
      <c r="AB754" s="52"/>
      <c r="AC754" s="52"/>
    </row>
    <row r="755">
      <c r="A755" s="52"/>
      <c r="B755" s="350"/>
      <c r="C755" s="52"/>
      <c r="D755" s="52"/>
      <c r="E755" s="52"/>
      <c r="F755" s="351"/>
      <c r="G755" s="52"/>
      <c r="H755" s="52"/>
      <c r="I755" s="52"/>
      <c r="J755" s="52"/>
      <c r="K755" s="52"/>
      <c r="L755" s="52"/>
      <c r="M755" s="52"/>
      <c r="N755" s="52"/>
      <c r="O755" s="52"/>
      <c r="P755" s="52"/>
      <c r="Q755" s="52"/>
      <c r="R755" s="52"/>
      <c r="S755" s="52"/>
      <c r="T755" s="52"/>
      <c r="U755" s="52"/>
      <c r="V755" s="52"/>
      <c r="W755" s="52"/>
      <c r="X755" s="52"/>
      <c r="Y755" s="52"/>
      <c r="Z755" s="52"/>
      <c r="AA755" s="52"/>
      <c r="AB755" s="52"/>
      <c r="AC755" s="52"/>
    </row>
    <row r="756">
      <c r="A756" s="52"/>
      <c r="B756" s="350"/>
      <c r="C756" s="52"/>
      <c r="D756" s="52"/>
      <c r="E756" s="52"/>
      <c r="F756" s="351"/>
      <c r="G756" s="52"/>
      <c r="H756" s="52"/>
      <c r="I756" s="52"/>
      <c r="J756" s="52"/>
      <c r="K756" s="52"/>
      <c r="L756" s="52"/>
      <c r="M756" s="52"/>
      <c r="N756" s="52"/>
      <c r="O756" s="52"/>
      <c r="P756" s="52"/>
      <c r="Q756" s="52"/>
      <c r="R756" s="52"/>
      <c r="S756" s="52"/>
      <c r="T756" s="52"/>
      <c r="U756" s="52"/>
      <c r="V756" s="52"/>
      <c r="W756" s="52"/>
      <c r="X756" s="52"/>
      <c r="Y756" s="52"/>
      <c r="Z756" s="52"/>
      <c r="AA756" s="52"/>
      <c r="AB756" s="52"/>
      <c r="AC756" s="52"/>
    </row>
    <row r="757">
      <c r="A757" s="52"/>
      <c r="B757" s="350"/>
      <c r="C757" s="52"/>
      <c r="D757" s="52"/>
      <c r="E757" s="52"/>
      <c r="F757" s="351"/>
      <c r="G757" s="52"/>
      <c r="H757" s="52"/>
      <c r="I757" s="52"/>
      <c r="J757" s="52"/>
      <c r="K757" s="52"/>
      <c r="L757" s="52"/>
      <c r="M757" s="52"/>
      <c r="N757" s="52"/>
      <c r="O757" s="52"/>
      <c r="P757" s="52"/>
      <c r="Q757" s="52"/>
      <c r="R757" s="52"/>
      <c r="S757" s="52"/>
      <c r="T757" s="52"/>
      <c r="U757" s="52"/>
      <c r="V757" s="52"/>
      <c r="W757" s="52"/>
      <c r="X757" s="52"/>
      <c r="Y757" s="52"/>
      <c r="Z757" s="52"/>
      <c r="AA757" s="52"/>
      <c r="AB757" s="52"/>
      <c r="AC757" s="52"/>
    </row>
    <row r="758">
      <c r="A758" s="52"/>
      <c r="B758" s="350"/>
      <c r="C758" s="52"/>
      <c r="D758" s="52"/>
      <c r="E758" s="52"/>
      <c r="F758" s="351"/>
      <c r="G758" s="52"/>
      <c r="H758" s="52"/>
      <c r="I758" s="52"/>
      <c r="J758" s="52"/>
      <c r="K758" s="52"/>
      <c r="L758" s="52"/>
      <c r="M758" s="52"/>
      <c r="N758" s="52"/>
      <c r="O758" s="52"/>
      <c r="P758" s="52"/>
      <c r="Q758" s="52"/>
      <c r="R758" s="52"/>
      <c r="S758" s="52"/>
      <c r="T758" s="52"/>
      <c r="U758" s="52"/>
      <c r="V758" s="52"/>
      <c r="W758" s="52"/>
      <c r="X758" s="52"/>
      <c r="Y758" s="52"/>
      <c r="Z758" s="52"/>
      <c r="AA758" s="52"/>
      <c r="AB758" s="52"/>
      <c r="AC758" s="52"/>
    </row>
    <row r="759">
      <c r="A759" s="52"/>
      <c r="B759" s="350"/>
      <c r="C759" s="52"/>
      <c r="D759" s="52"/>
      <c r="E759" s="52"/>
      <c r="F759" s="351"/>
      <c r="G759" s="52"/>
      <c r="H759" s="52"/>
      <c r="I759" s="52"/>
      <c r="J759" s="52"/>
      <c r="K759" s="52"/>
      <c r="L759" s="52"/>
      <c r="M759" s="52"/>
      <c r="N759" s="52"/>
      <c r="O759" s="52"/>
      <c r="P759" s="52"/>
      <c r="Q759" s="52"/>
      <c r="R759" s="52"/>
      <c r="S759" s="52"/>
      <c r="T759" s="52"/>
      <c r="U759" s="52"/>
      <c r="V759" s="52"/>
      <c r="W759" s="52"/>
      <c r="X759" s="52"/>
      <c r="Y759" s="52"/>
      <c r="Z759" s="52"/>
      <c r="AA759" s="52"/>
      <c r="AB759" s="52"/>
      <c r="AC759" s="52"/>
    </row>
    <row r="760">
      <c r="A760" s="52"/>
      <c r="B760" s="350"/>
      <c r="C760" s="52"/>
      <c r="D760" s="52"/>
      <c r="E760" s="52"/>
      <c r="F760" s="351"/>
      <c r="G760" s="52"/>
      <c r="H760" s="52"/>
      <c r="I760" s="52"/>
      <c r="J760" s="52"/>
      <c r="K760" s="52"/>
      <c r="L760" s="52"/>
      <c r="M760" s="52"/>
      <c r="N760" s="52"/>
      <c r="O760" s="52"/>
      <c r="P760" s="52"/>
      <c r="Q760" s="52"/>
      <c r="R760" s="52"/>
      <c r="S760" s="52"/>
      <c r="T760" s="52"/>
      <c r="U760" s="52"/>
      <c r="V760" s="52"/>
      <c r="W760" s="52"/>
      <c r="X760" s="52"/>
      <c r="Y760" s="52"/>
      <c r="Z760" s="52"/>
      <c r="AA760" s="52"/>
      <c r="AB760" s="52"/>
      <c r="AC760" s="52"/>
    </row>
    <row r="761">
      <c r="A761" s="52"/>
      <c r="B761" s="350"/>
      <c r="C761" s="52"/>
      <c r="D761" s="52"/>
      <c r="E761" s="52"/>
      <c r="F761" s="351"/>
      <c r="G761" s="52"/>
      <c r="H761" s="52"/>
      <c r="I761" s="52"/>
      <c r="J761" s="52"/>
      <c r="K761" s="52"/>
      <c r="L761" s="52"/>
      <c r="M761" s="52"/>
      <c r="N761" s="52"/>
      <c r="O761" s="52"/>
      <c r="P761" s="52"/>
      <c r="Q761" s="52"/>
      <c r="R761" s="52"/>
      <c r="S761" s="52"/>
      <c r="T761" s="52"/>
      <c r="U761" s="52"/>
      <c r="V761" s="52"/>
      <c r="W761" s="52"/>
      <c r="X761" s="52"/>
      <c r="Y761" s="52"/>
      <c r="Z761" s="52"/>
      <c r="AA761" s="52"/>
      <c r="AB761" s="52"/>
      <c r="AC761" s="52"/>
    </row>
    <row r="762">
      <c r="A762" s="52"/>
      <c r="B762" s="350"/>
      <c r="C762" s="52"/>
      <c r="D762" s="52"/>
      <c r="E762" s="52"/>
      <c r="F762" s="351"/>
      <c r="G762" s="52"/>
      <c r="H762" s="52"/>
      <c r="I762" s="52"/>
      <c r="J762" s="52"/>
      <c r="K762" s="52"/>
      <c r="L762" s="52"/>
      <c r="M762" s="52"/>
      <c r="N762" s="52"/>
      <c r="O762" s="52"/>
      <c r="P762" s="52"/>
      <c r="Q762" s="52"/>
      <c r="R762" s="52"/>
      <c r="S762" s="52"/>
      <c r="T762" s="52"/>
      <c r="U762" s="52"/>
      <c r="V762" s="52"/>
      <c r="W762" s="52"/>
      <c r="X762" s="52"/>
      <c r="Y762" s="52"/>
      <c r="Z762" s="52"/>
      <c r="AA762" s="52"/>
      <c r="AB762" s="52"/>
      <c r="AC762" s="52"/>
    </row>
    <row r="763">
      <c r="A763" s="52"/>
      <c r="B763" s="350"/>
      <c r="C763" s="52"/>
      <c r="D763" s="52"/>
      <c r="E763" s="52"/>
      <c r="F763" s="351"/>
      <c r="G763" s="52"/>
      <c r="H763" s="52"/>
      <c r="I763" s="52"/>
      <c r="J763" s="52"/>
      <c r="K763" s="52"/>
      <c r="L763" s="52"/>
      <c r="M763" s="52"/>
      <c r="N763" s="52"/>
      <c r="O763" s="52"/>
      <c r="P763" s="52"/>
      <c r="Q763" s="52"/>
      <c r="R763" s="52"/>
      <c r="S763" s="52"/>
      <c r="T763" s="52"/>
      <c r="U763" s="52"/>
      <c r="V763" s="52"/>
      <c r="W763" s="52"/>
      <c r="X763" s="52"/>
      <c r="Y763" s="52"/>
      <c r="Z763" s="52"/>
      <c r="AA763" s="52"/>
      <c r="AB763" s="52"/>
      <c r="AC763" s="52"/>
    </row>
    <row r="764">
      <c r="A764" s="52"/>
      <c r="B764" s="350"/>
      <c r="C764" s="52"/>
      <c r="D764" s="52"/>
      <c r="E764" s="52"/>
      <c r="F764" s="351"/>
      <c r="G764" s="52"/>
      <c r="H764" s="52"/>
      <c r="I764" s="52"/>
      <c r="J764" s="52"/>
      <c r="K764" s="52"/>
      <c r="L764" s="52"/>
      <c r="M764" s="52"/>
      <c r="N764" s="52"/>
      <c r="O764" s="52"/>
      <c r="P764" s="52"/>
      <c r="Q764" s="52"/>
      <c r="R764" s="52"/>
      <c r="S764" s="52"/>
      <c r="T764" s="52"/>
      <c r="U764" s="52"/>
      <c r="V764" s="52"/>
      <c r="W764" s="52"/>
      <c r="X764" s="52"/>
      <c r="Y764" s="52"/>
      <c r="Z764" s="52"/>
      <c r="AA764" s="52"/>
      <c r="AB764" s="52"/>
      <c r="AC764" s="52"/>
    </row>
    <row r="765">
      <c r="A765" s="52"/>
      <c r="B765" s="350"/>
      <c r="C765" s="52"/>
      <c r="D765" s="52"/>
      <c r="E765" s="52"/>
      <c r="F765" s="351"/>
      <c r="G765" s="52"/>
      <c r="H765" s="52"/>
      <c r="I765" s="52"/>
      <c r="J765" s="52"/>
      <c r="K765" s="52"/>
      <c r="L765" s="52"/>
      <c r="M765" s="52"/>
      <c r="N765" s="52"/>
      <c r="O765" s="52"/>
      <c r="P765" s="52"/>
      <c r="Q765" s="52"/>
      <c r="R765" s="52"/>
      <c r="S765" s="52"/>
      <c r="T765" s="52"/>
      <c r="U765" s="52"/>
      <c r="V765" s="52"/>
      <c r="W765" s="52"/>
      <c r="X765" s="52"/>
      <c r="Y765" s="52"/>
      <c r="Z765" s="52"/>
      <c r="AA765" s="52"/>
      <c r="AB765" s="52"/>
      <c r="AC765" s="52"/>
    </row>
    <row r="766">
      <c r="A766" s="52"/>
      <c r="B766" s="350"/>
      <c r="C766" s="52"/>
      <c r="D766" s="52"/>
      <c r="E766" s="52"/>
      <c r="F766" s="351"/>
      <c r="G766" s="52"/>
      <c r="H766" s="52"/>
      <c r="I766" s="52"/>
      <c r="J766" s="52"/>
      <c r="K766" s="52"/>
      <c r="L766" s="52"/>
      <c r="M766" s="52"/>
      <c r="N766" s="52"/>
      <c r="O766" s="52"/>
      <c r="P766" s="52"/>
      <c r="Q766" s="52"/>
      <c r="R766" s="52"/>
      <c r="S766" s="52"/>
      <c r="T766" s="52"/>
      <c r="U766" s="52"/>
      <c r="V766" s="52"/>
      <c r="W766" s="52"/>
      <c r="X766" s="52"/>
      <c r="Y766" s="52"/>
      <c r="Z766" s="52"/>
      <c r="AA766" s="52"/>
      <c r="AB766" s="52"/>
      <c r="AC766" s="52"/>
    </row>
    <row r="767">
      <c r="A767" s="52"/>
      <c r="B767" s="350"/>
      <c r="C767" s="52"/>
      <c r="D767" s="52"/>
      <c r="E767" s="52"/>
      <c r="F767" s="351"/>
      <c r="G767" s="52"/>
      <c r="H767" s="52"/>
      <c r="I767" s="52"/>
      <c r="J767" s="52"/>
      <c r="K767" s="52"/>
      <c r="L767" s="52"/>
      <c r="M767" s="52"/>
      <c r="N767" s="52"/>
      <c r="O767" s="52"/>
      <c r="P767" s="52"/>
      <c r="Q767" s="52"/>
      <c r="R767" s="52"/>
      <c r="S767" s="52"/>
      <c r="T767" s="52"/>
      <c r="U767" s="52"/>
      <c r="V767" s="52"/>
      <c r="W767" s="52"/>
      <c r="X767" s="52"/>
      <c r="Y767" s="52"/>
      <c r="Z767" s="52"/>
      <c r="AA767" s="52"/>
      <c r="AB767" s="52"/>
      <c r="AC767" s="52"/>
    </row>
    <row r="768">
      <c r="A768" s="52"/>
      <c r="B768" s="350"/>
      <c r="C768" s="52"/>
      <c r="D768" s="52"/>
      <c r="E768" s="52"/>
      <c r="F768" s="351"/>
      <c r="G768" s="52"/>
      <c r="H768" s="52"/>
      <c r="I768" s="52"/>
      <c r="J768" s="52"/>
      <c r="K768" s="52"/>
      <c r="L768" s="52"/>
      <c r="M768" s="52"/>
      <c r="N768" s="52"/>
      <c r="O768" s="52"/>
      <c r="P768" s="52"/>
      <c r="Q768" s="52"/>
      <c r="R768" s="52"/>
      <c r="S768" s="52"/>
      <c r="T768" s="52"/>
      <c r="U768" s="52"/>
      <c r="V768" s="52"/>
      <c r="W768" s="52"/>
      <c r="X768" s="52"/>
      <c r="Y768" s="52"/>
      <c r="Z768" s="52"/>
      <c r="AA768" s="52"/>
      <c r="AB768" s="52"/>
      <c r="AC768" s="52"/>
    </row>
    <row r="769">
      <c r="A769" s="52"/>
      <c r="B769" s="350"/>
      <c r="C769" s="52"/>
      <c r="D769" s="52"/>
      <c r="E769" s="52"/>
      <c r="F769" s="351"/>
      <c r="G769" s="52"/>
      <c r="H769" s="52"/>
      <c r="I769" s="52"/>
      <c r="J769" s="52"/>
      <c r="K769" s="52"/>
      <c r="L769" s="52"/>
      <c r="M769" s="52"/>
      <c r="N769" s="52"/>
      <c r="O769" s="52"/>
      <c r="P769" s="52"/>
      <c r="Q769" s="52"/>
      <c r="R769" s="52"/>
      <c r="S769" s="52"/>
      <c r="T769" s="52"/>
      <c r="U769" s="52"/>
      <c r="V769" s="52"/>
      <c r="W769" s="52"/>
      <c r="X769" s="52"/>
      <c r="Y769" s="52"/>
      <c r="Z769" s="52"/>
      <c r="AA769" s="52"/>
      <c r="AB769" s="52"/>
      <c r="AC769" s="52"/>
    </row>
    <row r="770">
      <c r="A770" s="52"/>
      <c r="B770" s="350"/>
      <c r="C770" s="52"/>
      <c r="D770" s="52"/>
      <c r="E770" s="52"/>
      <c r="F770" s="351"/>
      <c r="G770" s="52"/>
      <c r="H770" s="52"/>
      <c r="I770" s="52"/>
      <c r="J770" s="52"/>
      <c r="K770" s="52"/>
      <c r="L770" s="52"/>
      <c r="M770" s="52"/>
      <c r="N770" s="52"/>
      <c r="O770" s="52"/>
      <c r="P770" s="52"/>
      <c r="Q770" s="52"/>
      <c r="R770" s="52"/>
      <c r="S770" s="52"/>
      <c r="T770" s="52"/>
      <c r="U770" s="52"/>
      <c r="V770" s="52"/>
      <c r="W770" s="52"/>
      <c r="X770" s="52"/>
      <c r="Y770" s="52"/>
      <c r="Z770" s="52"/>
      <c r="AA770" s="52"/>
      <c r="AB770" s="52"/>
      <c r="AC770" s="52"/>
    </row>
    <row r="771">
      <c r="A771" s="52"/>
      <c r="B771" s="350"/>
      <c r="C771" s="52"/>
      <c r="D771" s="52"/>
      <c r="E771" s="52"/>
      <c r="F771" s="351"/>
      <c r="G771" s="52"/>
      <c r="H771" s="52"/>
      <c r="I771" s="52"/>
      <c r="J771" s="52"/>
      <c r="K771" s="52"/>
      <c r="L771" s="52"/>
      <c r="M771" s="52"/>
      <c r="N771" s="52"/>
      <c r="O771" s="52"/>
      <c r="P771" s="52"/>
      <c r="Q771" s="52"/>
      <c r="R771" s="52"/>
      <c r="S771" s="52"/>
      <c r="T771" s="52"/>
      <c r="U771" s="52"/>
      <c r="V771" s="52"/>
      <c r="W771" s="52"/>
      <c r="X771" s="52"/>
      <c r="Y771" s="52"/>
      <c r="Z771" s="52"/>
      <c r="AA771" s="52"/>
      <c r="AB771" s="52"/>
      <c r="AC771" s="52"/>
    </row>
    <row r="772">
      <c r="A772" s="52"/>
      <c r="B772" s="350"/>
      <c r="C772" s="52"/>
      <c r="D772" s="52"/>
      <c r="E772" s="52"/>
      <c r="F772" s="351"/>
      <c r="G772" s="52"/>
      <c r="H772" s="52"/>
      <c r="I772" s="52"/>
      <c r="J772" s="52"/>
      <c r="K772" s="52"/>
      <c r="L772" s="52"/>
      <c r="M772" s="52"/>
      <c r="N772" s="52"/>
      <c r="O772" s="52"/>
      <c r="P772" s="52"/>
      <c r="Q772" s="52"/>
      <c r="R772" s="52"/>
      <c r="S772" s="52"/>
      <c r="T772" s="52"/>
      <c r="U772" s="52"/>
      <c r="V772" s="52"/>
      <c r="W772" s="52"/>
      <c r="X772" s="52"/>
      <c r="Y772" s="52"/>
      <c r="Z772" s="52"/>
      <c r="AA772" s="52"/>
      <c r="AB772" s="52"/>
      <c r="AC772" s="52"/>
    </row>
    <row r="773">
      <c r="A773" s="52"/>
      <c r="B773" s="350"/>
      <c r="C773" s="52"/>
      <c r="D773" s="52"/>
      <c r="E773" s="52"/>
      <c r="F773" s="351"/>
      <c r="G773" s="52"/>
      <c r="H773" s="52"/>
      <c r="I773" s="52"/>
      <c r="J773" s="52"/>
      <c r="K773" s="52"/>
      <c r="L773" s="52"/>
      <c r="M773" s="52"/>
      <c r="N773" s="52"/>
      <c r="O773" s="52"/>
      <c r="P773" s="52"/>
      <c r="Q773" s="52"/>
      <c r="R773" s="52"/>
      <c r="S773" s="52"/>
      <c r="T773" s="52"/>
      <c r="U773" s="52"/>
      <c r="V773" s="52"/>
      <c r="W773" s="52"/>
      <c r="X773" s="52"/>
      <c r="Y773" s="52"/>
      <c r="Z773" s="52"/>
      <c r="AA773" s="52"/>
      <c r="AB773" s="52"/>
      <c r="AC773" s="52"/>
    </row>
    <row r="774">
      <c r="A774" s="52"/>
      <c r="B774" s="350"/>
      <c r="C774" s="52"/>
      <c r="D774" s="52"/>
      <c r="E774" s="52"/>
      <c r="F774" s="351"/>
      <c r="G774" s="52"/>
      <c r="H774" s="52"/>
      <c r="I774" s="52"/>
      <c r="J774" s="52"/>
      <c r="K774" s="52"/>
      <c r="L774" s="52"/>
      <c r="M774" s="52"/>
      <c r="N774" s="52"/>
      <c r="O774" s="52"/>
      <c r="P774" s="52"/>
      <c r="Q774" s="52"/>
      <c r="R774" s="52"/>
      <c r="S774" s="52"/>
      <c r="T774" s="52"/>
      <c r="U774" s="52"/>
      <c r="V774" s="52"/>
      <c r="W774" s="52"/>
      <c r="X774" s="52"/>
      <c r="Y774" s="52"/>
      <c r="Z774" s="52"/>
      <c r="AA774" s="52"/>
      <c r="AB774" s="52"/>
      <c r="AC774" s="52"/>
    </row>
    <row r="775">
      <c r="A775" s="52"/>
      <c r="B775" s="350"/>
      <c r="C775" s="52"/>
      <c r="D775" s="52"/>
      <c r="E775" s="52"/>
      <c r="F775" s="351"/>
      <c r="G775" s="52"/>
      <c r="H775" s="52"/>
      <c r="I775" s="52"/>
      <c r="J775" s="52"/>
      <c r="K775" s="52"/>
      <c r="L775" s="52"/>
      <c r="M775" s="52"/>
      <c r="N775" s="52"/>
      <c r="O775" s="52"/>
      <c r="P775" s="52"/>
      <c r="Q775" s="52"/>
      <c r="R775" s="52"/>
      <c r="S775" s="52"/>
      <c r="T775" s="52"/>
      <c r="U775" s="52"/>
      <c r="V775" s="52"/>
      <c r="W775" s="52"/>
      <c r="X775" s="52"/>
      <c r="Y775" s="52"/>
      <c r="Z775" s="52"/>
      <c r="AA775" s="52"/>
      <c r="AB775" s="52"/>
      <c r="AC775" s="52"/>
    </row>
    <row r="776">
      <c r="A776" s="52"/>
      <c r="B776" s="350"/>
      <c r="C776" s="52"/>
      <c r="D776" s="52"/>
      <c r="E776" s="52"/>
      <c r="F776" s="351"/>
      <c r="G776" s="52"/>
      <c r="H776" s="52"/>
      <c r="I776" s="52"/>
      <c r="J776" s="52"/>
      <c r="K776" s="52"/>
      <c r="L776" s="52"/>
      <c r="M776" s="52"/>
      <c r="N776" s="52"/>
      <c r="O776" s="52"/>
      <c r="P776" s="52"/>
      <c r="Q776" s="52"/>
      <c r="R776" s="52"/>
      <c r="S776" s="52"/>
      <c r="T776" s="52"/>
      <c r="U776" s="52"/>
      <c r="V776" s="52"/>
      <c r="W776" s="52"/>
      <c r="X776" s="52"/>
      <c r="Y776" s="52"/>
      <c r="Z776" s="52"/>
      <c r="AA776" s="52"/>
      <c r="AB776" s="52"/>
      <c r="AC776" s="52"/>
    </row>
    <row r="777">
      <c r="A777" s="52"/>
      <c r="B777" s="350"/>
      <c r="C777" s="52"/>
      <c r="D777" s="52"/>
      <c r="E777" s="52"/>
      <c r="F777" s="351"/>
      <c r="G777" s="52"/>
      <c r="H777" s="52"/>
      <c r="I777" s="52"/>
      <c r="J777" s="52"/>
      <c r="K777" s="52"/>
      <c r="L777" s="52"/>
      <c r="M777" s="52"/>
      <c r="N777" s="52"/>
      <c r="O777" s="52"/>
      <c r="P777" s="52"/>
      <c r="Q777" s="52"/>
      <c r="R777" s="52"/>
      <c r="S777" s="52"/>
      <c r="T777" s="52"/>
      <c r="U777" s="52"/>
      <c r="V777" s="52"/>
      <c r="W777" s="52"/>
      <c r="X777" s="52"/>
      <c r="Y777" s="52"/>
      <c r="Z777" s="52"/>
      <c r="AA777" s="52"/>
      <c r="AB777" s="52"/>
      <c r="AC777" s="52"/>
    </row>
    <row r="778">
      <c r="A778" s="52"/>
      <c r="B778" s="350"/>
      <c r="C778" s="52"/>
      <c r="D778" s="52"/>
      <c r="E778" s="52"/>
      <c r="F778" s="351"/>
      <c r="G778" s="52"/>
      <c r="H778" s="52"/>
      <c r="I778" s="52"/>
      <c r="J778" s="52"/>
      <c r="K778" s="52"/>
      <c r="L778" s="52"/>
      <c r="M778" s="52"/>
      <c r="N778" s="52"/>
      <c r="O778" s="52"/>
      <c r="P778" s="52"/>
      <c r="Q778" s="52"/>
      <c r="R778" s="52"/>
      <c r="S778" s="52"/>
      <c r="T778" s="52"/>
      <c r="U778" s="52"/>
      <c r="V778" s="52"/>
      <c r="W778" s="52"/>
      <c r="X778" s="52"/>
      <c r="Y778" s="52"/>
      <c r="Z778" s="52"/>
      <c r="AA778" s="52"/>
      <c r="AB778" s="52"/>
      <c r="AC778" s="52"/>
    </row>
    <row r="779">
      <c r="A779" s="52"/>
      <c r="B779" s="350"/>
      <c r="C779" s="52"/>
      <c r="D779" s="52"/>
      <c r="E779" s="52"/>
      <c r="F779" s="351"/>
      <c r="G779" s="52"/>
      <c r="H779" s="52"/>
      <c r="I779" s="52"/>
      <c r="J779" s="52"/>
      <c r="K779" s="52"/>
      <c r="L779" s="52"/>
      <c r="M779" s="52"/>
      <c r="N779" s="52"/>
      <c r="O779" s="52"/>
      <c r="P779" s="52"/>
      <c r="Q779" s="52"/>
      <c r="R779" s="52"/>
      <c r="S779" s="52"/>
      <c r="T779" s="52"/>
      <c r="U779" s="52"/>
      <c r="V779" s="52"/>
      <c r="W779" s="52"/>
      <c r="X779" s="52"/>
      <c r="Y779" s="52"/>
      <c r="Z779" s="52"/>
      <c r="AA779" s="52"/>
      <c r="AB779" s="52"/>
      <c r="AC779" s="52"/>
    </row>
    <row r="780">
      <c r="A780" s="52"/>
      <c r="B780" s="350"/>
      <c r="C780" s="52"/>
      <c r="D780" s="52"/>
      <c r="E780" s="52"/>
      <c r="F780" s="351"/>
      <c r="G780" s="52"/>
      <c r="H780" s="52"/>
      <c r="I780" s="52"/>
      <c r="J780" s="52"/>
      <c r="K780" s="52"/>
      <c r="L780" s="52"/>
      <c r="M780" s="52"/>
      <c r="N780" s="52"/>
      <c r="O780" s="52"/>
      <c r="P780" s="52"/>
      <c r="Q780" s="52"/>
      <c r="R780" s="52"/>
      <c r="S780" s="52"/>
      <c r="T780" s="52"/>
      <c r="U780" s="52"/>
      <c r="V780" s="52"/>
      <c r="W780" s="52"/>
      <c r="X780" s="52"/>
      <c r="Y780" s="52"/>
      <c r="Z780" s="52"/>
      <c r="AA780" s="52"/>
      <c r="AB780" s="52"/>
      <c r="AC780" s="52"/>
    </row>
    <row r="781">
      <c r="A781" s="52"/>
      <c r="B781" s="350"/>
      <c r="C781" s="52"/>
      <c r="D781" s="52"/>
      <c r="E781" s="52"/>
      <c r="F781" s="351"/>
      <c r="G781" s="52"/>
      <c r="H781" s="52"/>
      <c r="I781" s="52"/>
      <c r="J781" s="52"/>
      <c r="K781" s="52"/>
      <c r="L781" s="52"/>
      <c r="M781" s="52"/>
      <c r="N781" s="52"/>
      <c r="O781" s="52"/>
      <c r="P781" s="52"/>
      <c r="Q781" s="52"/>
      <c r="R781" s="52"/>
      <c r="S781" s="52"/>
      <c r="T781" s="52"/>
      <c r="U781" s="52"/>
      <c r="V781" s="52"/>
      <c r="W781" s="52"/>
      <c r="X781" s="52"/>
      <c r="Y781" s="52"/>
      <c r="Z781" s="52"/>
      <c r="AA781" s="52"/>
      <c r="AB781" s="52"/>
      <c r="AC781" s="52"/>
    </row>
    <row r="782">
      <c r="A782" s="52"/>
      <c r="B782" s="350"/>
      <c r="C782" s="52"/>
      <c r="D782" s="52"/>
      <c r="E782" s="52"/>
      <c r="F782" s="351"/>
      <c r="G782" s="52"/>
      <c r="H782" s="52"/>
      <c r="I782" s="52"/>
      <c r="J782" s="52"/>
      <c r="K782" s="52"/>
      <c r="L782" s="52"/>
      <c r="M782" s="52"/>
      <c r="N782" s="52"/>
      <c r="O782" s="52"/>
      <c r="P782" s="52"/>
      <c r="Q782" s="52"/>
      <c r="R782" s="52"/>
      <c r="S782" s="52"/>
      <c r="T782" s="52"/>
      <c r="U782" s="52"/>
      <c r="V782" s="52"/>
      <c r="W782" s="52"/>
      <c r="X782" s="52"/>
      <c r="Y782" s="52"/>
      <c r="Z782" s="52"/>
      <c r="AA782" s="52"/>
      <c r="AB782" s="52"/>
      <c r="AC782" s="52"/>
    </row>
    <row r="783">
      <c r="A783" s="52"/>
      <c r="B783" s="350"/>
      <c r="C783" s="52"/>
      <c r="D783" s="52"/>
      <c r="E783" s="52"/>
      <c r="F783" s="351"/>
      <c r="G783" s="52"/>
      <c r="H783" s="52"/>
      <c r="I783" s="52"/>
      <c r="J783" s="52"/>
      <c r="K783" s="52"/>
      <c r="L783" s="52"/>
      <c r="M783" s="52"/>
      <c r="N783" s="52"/>
      <c r="O783" s="52"/>
      <c r="P783" s="52"/>
      <c r="Q783" s="52"/>
      <c r="R783" s="52"/>
      <c r="S783" s="52"/>
      <c r="T783" s="52"/>
      <c r="U783" s="52"/>
      <c r="V783" s="52"/>
      <c r="W783" s="52"/>
      <c r="X783" s="52"/>
      <c r="Y783" s="52"/>
      <c r="Z783" s="52"/>
      <c r="AA783" s="52"/>
      <c r="AB783" s="52"/>
      <c r="AC783" s="52"/>
    </row>
    <row r="784">
      <c r="A784" s="52"/>
      <c r="B784" s="350"/>
      <c r="C784" s="52"/>
      <c r="D784" s="52"/>
      <c r="E784" s="52"/>
      <c r="F784" s="351"/>
      <c r="G784" s="52"/>
      <c r="H784" s="52"/>
      <c r="I784" s="52"/>
      <c r="J784" s="52"/>
      <c r="K784" s="52"/>
      <c r="L784" s="52"/>
      <c r="M784" s="52"/>
      <c r="N784" s="52"/>
      <c r="O784" s="52"/>
      <c r="P784" s="52"/>
      <c r="Q784" s="52"/>
      <c r="R784" s="52"/>
      <c r="S784" s="52"/>
      <c r="T784" s="52"/>
      <c r="U784" s="52"/>
      <c r="V784" s="52"/>
      <c r="W784" s="52"/>
      <c r="X784" s="52"/>
      <c r="Y784" s="52"/>
      <c r="Z784" s="52"/>
      <c r="AA784" s="52"/>
      <c r="AB784" s="52"/>
      <c r="AC784" s="52"/>
    </row>
    <row r="785">
      <c r="A785" s="52"/>
      <c r="B785" s="350"/>
      <c r="C785" s="52"/>
      <c r="D785" s="52"/>
      <c r="E785" s="52"/>
      <c r="F785" s="351"/>
      <c r="G785" s="52"/>
      <c r="H785" s="52"/>
      <c r="I785" s="52"/>
      <c r="J785" s="52"/>
      <c r="K785" s="52"/>
      <c r="L785" s="52"/>
      <c r="M785" s="52"/>
      <c r="N785" s="52"/>
      <c r="O785" s="52"/>
      <c r="P785" s="52"/>
      <c r="Q785" s="52"/>
      <c r="R785" s="52"/>
      <c r="S785" s="52"/>
      <c r="T785" s="52"/>
      <c r="U785" s="52"/>
      <c r="V785" s="52"/>
      <c r="W785" s="52"/>
      <c r="X785" s="52"/>
      <c r="Y785" s="52"/>
      <c r="Z785" s="52"/>
      <c r="AA785" s="52"/>
      <c r="AB785" s="52"/>
      <c r="AC785" s="52"/>
    </row>
    <row r="786">
      <c r="A786" s="52"/>
      <c r="B786" s="350"/>
      <c r="C786" s="52"/>
      <c r="D786" s="52"/>
      <c r="E786" s="52"/>
      <c r="F786" s="351"/>
      <c r="G786" s="52"/>
      <c r="H786" s="52"/>
      <c r="I786" s="52"/>
      <c r="J786" s="52"/>
      <c r="K786" s="52"/>
      <c r="L786" s="52"/>
      <c r="M786" s="52"/>
      <c r="N786" s="52"/>
      <c r="O786" s="52"/>
      <c r="P786" s="52"/>
      <c r="Q786" s="52"/>
      <c r="R786" s="52"/>
      <c r="S786" s="52"/>
      <c r="T786" s="52"/>
      <c r="U786" s="52"/>
      <c r="V786" s="52"/>
      <c r="W786" s="52"/>
      <c r="X786" s="52"/>
      <c r="Y786" s="52"/>
      <c r="Z786" s="52"/>
      <c r="AA786" s="52"/>
      <c r="AB786" s="52"/>
      <c r="AC786" s="52"/>
    </row>
    <row r="787">
      <c r="A787" s="52"/>
      <c r="B787" s="350"/>
      <c r="C787" s="52"/>
      <c r="D787" s="52"/>
      <c r="E787" s="52"/>
      <c r="F787" s="351"/>
      <c r="G787" s="52"/>
      <c r="H787" s="52"/>
      <c r="I787" s="52"/>
      <c r="J787" s="52"/>
      <c r="K787" s="52"/>
      <c r="L787" s="52"/>
      <c r="M787" s="52"/>
      <c r="N787" s="52"/>
      <c r="O787" s="52"/>
      <c r="P787" s="52"/>
      <c r="Q787" s="52"/>
      <c r="R787" s="52"/>
      <c r="S787" s="52"/>
      <c r="T787" s="52"/>
      <c r="U787" s="52"/>
      <c r="V787" s="52"/>
      <c r="W787" s="52"/>
      <c r="X787" s="52"/>
      <c r="Y787" s="52"/>
      <c r="Z787" s="52"/>
      <c r="AA787" s="52"/>
      <c r="AB787" s="52"/>
      <c r="AC787" s="52"/>
    </row>
    <row r="788">
      <c r="A788" s="52"/>
      <c r="B788" s="350"/>
      <c r="C788" s="52"/>
      <c r="D788" s="52"/>
      <c r="E788" s="52"/>
      <c r="F788" s="351"/>
      <c r="G788" s="52"/>
      <c r="H788" s="52"/>
      <c r="I788" s="52"/>
      <c r="J788" s="52"/>
      <c r="K788" s="52"/>
      <c r="L788" s="52"/>
      <c r="M788" s="52"/>
      <c r="N788" s="52"/>
      <c r="O788" s="52"/>
      <c r="P788" s="52"/>
      <c r="Q788" s="52"/>
      <c r="R788" s="52"/>
      <c r="S788" s="52"/>
      <c r="T788" s="52"/>
      <c r="U788" s="52"/>
      <c r="V788" s="52"/>
      <c r="W788" s="52"/>
      <c r="X788" s="52"/>
      <c r="Y788" s="52"/>
      <c r="Z788" s="52"/>
      <c r="AA788" s="52"/>
      <c r="AB788" s="52"/>
      <c r="AC788" s="52"/>
    </row>
    <row r="789">
      <c r="A789" s="52"/>
      <c r="B789" s="350"/>
      <c r="C789" s="52"/>
      <c r="D789" s="52"/>
      <c r="E789" s="52"/>
      <c r="F789" s="351"/>
      <c r="G789" s="52"/>
      <c r="H789" s="52"/>
      <c r="I789" s="52"/>
      <c r="J789" s="52"/>
      <c r="K789" s="52"/>
      <c r="L789" s="52"/>
      <c r="M789" s="52"/>
      <c r="N789" s="52"/>
      <c r="O789" s="52"/>
      <c r="P789" s="52"/>
      <c r="Q789" s="52"/>
      <c r="R789" s="52"/>
      <c r="S789" s="52"/>
      <c r="T789" s="52"/>
      <c r="U789" s="52"/>
      <c r="V789" s="52"/>
      <c r="W789" s="52"/>
      <c r="X789" s="52"/>
      <c r="Y789" s="52"/>
      <c r="Z789" s="52"/>
      <c r="AA789" s="52"/>
      <c r="AB789" s="52"/>
      <c r="AC789" s="52"/>
    </row>
    <row r="790">
      <c r="A790" s="52"/>
      <c r="B790" s="350"/>
      <c r="C790" s="52"/>
      <c r="D790" s="52"/>
      <c r="E790" s="52"/>
      <c r="F790" s="351"/>
      <c r="G790" s="52"/>
      <c r="H790" s="52"/>
      <c r="I790" s="52"/>
      <c r="J790" s="52"/>
      <c r="K790" s="52"/>
      <c r="L790" s="52"/>
      <c r="M790" s="52"/>
      <c r="N790" s="52"/>
      <c r="O790" s="52"/>
      <c r="P790" s="52"/>
      <c r="Q790" s="52"/>
      <c r="R790" s="52"/>
      <c r="S790" s="52"/>
      <c r="T790" s="52"/>
      <c r="U790" s="52"/>
      <c r="V790" s="52"/>
      <c r="W790" s="52"/>
      <c r="X790" s="52"/>
      <c r="Y790" s="52"/>
      <c r="Z790" s="52"/>
      <c r="AA790" s="52"/>
      <c r="AB790" s="52"/>
      <c r="AC790" s="52"/>
    </row>
    <row r="791">
      <c r="A791" s="52"/>
      <c r="B791" s="350"/>
      <c r="C791" s="52"/>
      <c r="D791" s="52"/>
      <c r="E791" s="52"/>
      <c r="F791" s="351"/>
      <c r="G791" s="52"/>
      <c r="H791" s="52"/>
      <c r="I791" s="52"/>
      <c r="J791" s="52"/>
      <c r="K791" s="52"/>
      <c r="L791" s="52"/>
      <c r="M791" s="52"/>
      <c r="N791" s="52"/>
      <c r="O791" s="52"/>
      <c r="P791" s="52"/>
      <c r="Q791" s="52"/>
      <c r="R791" s="52"/>
      <c r="S791" s="52"/>
      <c r="T791" s="52"/>
      <c r="U791" s="52"/>
      <c r="V791" s="52"/>
      <c r="W791" s="52"/>
      <c r="X791" s="52"/>
      <c r="Y791" s="52"/>
      <c r="Z791" s="52"/>
      <c r="AA791" s="52"/>
      <c r="AB791" s="52"/>
      <c r="AC791" s="52"/>
    </row>
    <row r="792">
      <c r="A792" s="52"/>
      <c r="B792" s="350"/>
      <c r="C792" s="52"/>
      <c r="D792" s="52"/>
      <c r="E792" s="52"/>
      <c r="F792" s="351"/>
      <c r="G792" s="52"/>
      <c r="H792" s="52"/>
      <c r="I792" s="52"/>
      <c r="J792" s="52"/>
      <c r="K792" s="52"/>
      <c r="L792" s="52"/>
      <c r="M792" s="52"/>
      <c r="N792" s="52"/>
      <c r="O792" s="52"/>
      <c r="P792" s="52"/>
      <c r="Q792" s="52"/>
      <c r="R792" s="52"/>
      <c r="S792" s="52"/>
      <c r="T792" s="52"/>
      <c r="U792" s="52"/>
      <c r="V792" s="52"/>
      <c r="W792" s="52"/>
      <c r="X792" s="52"/>
      <c r="Y792" s="52"/>
      <c r="Z792" s="52"/>
      <c r="AA792" s="52"/>
      <c r="AB792" s="52"/>
      <c r="AC792" s="52"/>
    </row>
    <row r="793">
      <c r="A793" s="52"/>
      <c r="B793" s="350"/>
      <c r="C793" s="52"/>
      <c r="D793" s="52"/>
      <c r="E793" s="52"/>
      <c r="F793" s="351"/>
      <c r="G793" s="52"/>
      <c r="H793" s="52"/>
      <c r="I793" s="52"/>
      <c r="J793" s="52"/>
      <c r="K793" s="52"/>
      <c r="L793" s="52"/>
      <c r="M793" s="52"/>
      <c r="N793" s="52"/>
      <c r="O793" s="52"/>
      <c r="P793" s="52"/>
      <c r="Q793" s="52"/>
      <c r="R793" s="52"/>
      <c r="S793" s="52"/>
      <c r="T793" s="52"/>
      <c r="U793" s="52"/>
      <c r="V793" s="52"/>
      <c r="W793" s="52"/>
      <c r="X793" s="52"/>
      <c r="Y793" s="52"/>
      <c r="Z793" s="52"/>
      <c r="AA793" s="52"/>
      <c r="AB793" s="52"/>
      <c r="AC793" s="52"/>
    </row>
    <row r="794">
      <c r="A794" s="52"/>
      <c r="B794" s="350"/>
      <c r="C794" s="52"/>
      <c r="D794" s="52"/>
      <c r="E794" s="52"/>
      <c r="F794" s="351"/>
      <c r="G794" s="52"/>
      <c r="H794" s="52"/>
      <c r="I794" s="52"/>
      <c r="J794" s="52"/>
      <c r="K794" s="52"/>
      <c r="L794" s="52"/>
      <c r="M794" s="52"/>
      <c r="N794" s="52"/>
      <c r="O794" s="52"/>
      <c r="P794" s="52"/>
      <c r="Q794" s="52"/>
      <c r="R794" s="52"/>
      <c r="S794" s="52"/>
      <c r="T794" s="52"/>
      <c r="U794" s="52"/>
      <c r="V794" s="52"/>
      <c r="W794" s="52"/>
      <c r="X794" s="52"/>
      <c r="Y794" s="52"/>
      <c r="Z794" s="52"/>
      <c r="AA794" s="52"/>
      <c r="AB794" s="52"/>
      <c r="AC794" s="52"/>
    </row>
    <row r="795">
      <c r="A795" s="52"/>
      <c r="B795" s="350"/>
      <c r="C795" s="52"/>
      <c r="D795" s="52"/>
      <c r="E795" s="52"/>
      <c r="F795" s="351"/>
      <c r="G795" s="52"/>
      <c r="H795" s="52"/>
      <c r="I795" s="52"/>
      <c r="J795" s="52"/>
      <c r="K795" s="52"/>
      <c r="L795" s="52"/>
      <c r="M795" s="52"/>
      <c r="N795" s="52"/>
      <c r="O795" s="52"/>
      <c r="P795" s="52"/>
      <c r="Q795" s="52"/>
      <c r="R795" s="52"/>
      <c r="S795" s="52"/>
      <c r="T795" s="52"/>
      <c r="U795" s="52"/>
      <c r="V795" s="52"/>
      <c r="W795" s="52"/>
      <c r="X795" s="52"/>
      <c r="Y795" s="52"/>
      <c r="Z795" s="52"/>
      <c r="AA795" s="52"/>
      <c r="AB795" s="52"/>
      <c r="AC795" s="52"/>
    </row>
    <row r="796">
      <c r="A796" s="52"/>
      <c r="B796" s="350"/>
      <c r="C796" s="52"/>
      <c r="D796" s="52"/>
      <c r="E796" s="52"/>
      <c r="F796" s="351"/>
      <c r="G796" s="52"/>
      <c r="H796" s="52"/>
      <c r="I796" s="52"/>
      <c r="J796" s="52"/>
      <c r="K796" s="52"/>
      <c r="L796" s="52"/>
      <c r="M796" s="52"/>
      <c r="N796" s="52"/>
      <c r="O796" s="52"/>
      <c r="P796" s="52"/>
      <c r="Q796" s="52"/>
      <c r="R796" s="52"/>
      <c r="S796" s="52"/>
      <c r="T796" s="52"/>
      <c r="U796" s="52"/>
      <c r="V796" s="52"/>
      <c r="W796" s="52"/>
      <c r="X796" s="52"/>
      <c r="Y796" s="52"/>
      <c r="Z796" s="52"/>
      <c r="AA796" s="52"/>
      <c r="AB796" s="52"/>
      <c r="AC796" s="52"/>
    </row>
    <row r="797">
      <c r="A797" s="52"/>
      <c r="B797" s="350"/>
      <c r="C797" s="52"/>
      <c r="D797" s="52"/>
      <c r="E797" s="52"/>
      <c r="F797" s="351"/>
      <c r="G797" s="52"/>
      <c r="H797" s="52"/>
      <c r="I797" s="52"/>
      <c r="J797" s="52"/>
      <c r="K797" s="52"/>
      <c r="L797" s="52"/>
      <c r="M797" s="52"/>
      <c r="N797" s="52"/>
      <c r="O797" s="52"/>
      <c r="P797" s="52"/>
      <c r="Q797" s="52"/>
      <c r="R797" s="52"/>
      <c r="S797" s="52"/>
      <c r="T797" s="52"/>
      <c r="U797" s="52"/>
      <c r="V797" s="52"/>
      <c r="W797" s="52"/>
      <c r="X797" s="52"/>
      <c r="Y797" s="52"/>
      <c r="Z797" s="52"/>
      <c r="AA797" s="52"/>
      <c r="AB797" s="52"/>
      <c r="AC797" s="52"/>
    </row>
    <row r="798">
      <c r="A798" s="52"/>
      <c r="B798" s="350"/>
      <c r="C798" s="52"/>
      <c r="D798" s="52"/>
      <c r="E798" s="52"/>
      <c r="F798" s="351"/>
      <c r="G798" s="52"/>
      <c r="H798" s="52"/>
      <c r="I798" s="52"/>
      <c r="J798" s="52"/>
      <c r="K798" s="52"/>
      <c r="L798" s="52"/>
      <c r="M798" s="52"/>
      <c r="N798" s="52"/>
      <c r="O798" s="52"/>
      <c r="P798" s="52"/>
      <c r="Q798" s="52"/>
      <c r="R798" s="52"/>
      <c r="S798" s="52"/>
      <c r="T798" s="52"/>
      <c r="U798" s="52"/>
      <c r="V798" s="52"/>
      <c r="W798" s="52"/>
      <c r="X798" s="52"/>
      <c r="Y798" s="52"/>
      <c r="Z798" s="52"/>
      <c r="AA798" s="52"/>
      <c r="AB798" s="52"/>
      <c r="AC798" s="52"/>
    </row>
    <row r="799">
      <c r="A799" s="52"/>
      <c r="B799" s="350"/>
      <c r="C799" s="52"/>
      <c r="D799" s="52"/>
      <c r="E799" s="52"/>
      <c r="F799" s="351"/>
      <c r="G799" s="52"/>
      <c r="H799" s="52"/>
      <c r="I799" s="52"/>
      <c r="J799" s="52"/>
      <c r="K799" s="52"/>
      <c r="L799" s="52"/>
      <c r="M799" s="52"/>
      <c r="N799" s="52"/>
      <c r="O799" s="52"/>
      <c r="P799" s="52"/>
      <c r="Q799" s="52"/>
      <c r="R799" s="52"/>
      <c r="S799" s="52"/>
      <c r="T799" s="52"/>
      <c r="U799" s="52"/>
      <c r="V799" s="52"/>
      <c r="W799" s="52"/>
      <c r="X799" s="52"/>
      <c r="Y799" s="52"/>
      <c r="Z799" s="52"/>
      <c r="AA799" s="52"/>
      <c r="AB799" s="52"/>
      <c r="AC799" s="52"/>
    </row>
    <row r="800">
      <c r="A800" s="52"/>
      <c r="B800" s="350"/>
      <c r="C800" s="52"/>
      <c r="D800" s="52"/>
      <c r="E800" s="52"/>
      <c r="F800" s="351"/>
      <c r="G800" s="52"/>
      <c r="H800" s="52"/>
      <c r="I800" s="52"/>
      <c r="J800" s="52"/>
      <c r="K800" s="52"/>
      <c r="L800" s="52"/>
      <c r="M800" s="52"/>
      <c r="N800" s="52"/>
      <c r="O800" s="52"/>
      <c r="P800" s="52"/>
      <c r="Q800" s="52"/>
      <c r="R800" s="52"/>
      <c r="S800" s="52"/>
      <c r="T800" s="52"/>
      <c r="U800" s="52"/>
      <c r="V800" s="52"/>
      <c r="W800" s="52"/>
      <c r="X800" s="52"/>
      <c r="Y800" s="52"/>
      <c r="Z800" s="52"/>
      <c r="AA800" s="52"/>
      <c r="AB800" s="52"/>
      <c r="AC800" s="52"/>
    </row>
    <row r="801">
      <c r="A801" s="52"/>
      <c r="B801" s="350"/>
      <c r="C801" s="52"/>
      <c r="D801" s="52"/>
      <c r="E801" s="52"/>
      <c r="F801" s="351"/>
      <c r="G801" s="52"/>
      <c r="H801" s="52"/>
      <c r="I801" s="52"/>
      <c r="J801" s="52"/>
      <c r="K801" s="52"/>
      <c r="L801" s="52"/>
      <c r="M801" s="52"/>
      <c r="N801" s="52"/>
      <c r="O801" s="52"/>
      <c r="P801" s="52"/>
      <c r="Q801" s="52"/>
      <c r="R801" s="52"/>
      <c r="S801" s="52"/>
      <c r="T801" s="52"/>
      <c r="U801" s="52"/>
      <c r="V801" s="52"/>
      <c r="W801" s="52"/>
      <c r="X801" s="52"/>
      <c r="Y801" s="52"/>
      <c r="Z801" s="52"/>
      <c r="AA801" s="52"/>
      <c r="AB801" s="52"/>
      <c r="AC801" s="52"/>
    </row>
    <row r="802">
      <c r="A802" s="52"/>
      <c r="B802" s="350"/>
      <c r="C802" s="52"/>
      <c r="D802" s="52"/>
      <c r="E802" s="52"/>
      <c r="F802" s="351"/>
      <c r="G802" s="52"/>
      <c r="H802" s="52"/>
      <c r="I802" s="52"/>
      <c r="J802" s="52"/>
      <c r="K802" s="52"/>
      <c r="L802" s="52"/>
      <c r="M802" s="52"/>
      <c r="N802" s="52"/>
      <c r="O802" s="52"/>
      <c r="P802" s="52"/>
      <c r="Q802" s="52"/>
      <c r="R802" s="52"/>
      <c r="S802" s="52"/>
      <c r="T802" s="52"/>
      <c r="U802" s="52"/>
      <c r="V802" s="52"/>
      <c r="W802" s="52"/>
      <c r="X802" s="52"/>
      <c r="Y802" s="52"/>
      <c r="Z802" s="52"/>
      <c r="AA802" s="52"/>
      <c r="AB802" s="52"/>
      <c r="AC802" s="52"/>
    </row>
    <row r="803">
      <c r="A803" s="52"/>
      <c r="B803" s="350"/>
      <c r="C803" s="52"/>
      <c r="D803" s="52"/>
      <c r="E803" s="52"/>
      <c r="F803" s="351"/>
      <c r="G803" s="52"/>
      <c r="H803" s="52"/>
      <c r="I803" s="52"/>
      <c r="J803" s="52"/>
      <c r="K803" s="52"/>
      <c r="L803" s="52"/>
      <c r="M803" s="52"/>
      <c r="N803" s="52"/>
      <c r="O803" s="52"/>
      <c r="P803" s="52"/>
      <c r="Q803" s="52"/>
      <c r="R803" s="52"/>
      <c r="S803" s="52"/>
      <c r="T803" s="52"/>
      <c r="U803" s="52"/>
      <c r="V803" s="52"/>
      <c r="W803" s="52"/>
      <c r="X803" s="52"/>
      <c r="Y803" s="52"/>
      <c r="Z803" s="52"/>
      <c r="AA803" s="52"/>
      <c r="AB803" s="52"/>
      <c r="AC803" s="52"/>
    </row>
    <row r="804">
      <c r="A804" s="52"/>
      <c r="B804" s="350"/>
      <c r="C804" s="52"/>
      <c r="D804" s="52"/>
      <c r="E804" s="52"/>
      <c r="F804" s="351"/>
      <c r="G804" s="52"/>
      <c r="H804" s="52"/>
      <c r="I804" s="52"/>
      <c r="J804" s="52"/>
      <c r="K804" s="52"/>
      <c r="L804" s="52"/>
      <c r="M804" s="52"/>
      <c r="N804" s="52"/>
      <c r="O804" s="52"/>
      <c r="P804" s="52"/>
      <c r="Q804" s="52"/>
      <c r="R804" s="52"/>
      <c r="S804" s="52"/>
      <c r="T804" s="52"/>
      <c r="U804" s="52"/>
      <c r="V804" s="52"/>
      <c r="W804" s="52"/>
      <c r="X804" s="52"/>
      <c r="Y804" s="52"/>
      <c r="Z804" s="52"/>
      <c r="AA804" s="52"/>
      <c r="AB804" s="52"/>
      <c r="AC804" s="52"/>
    </row>
    <row r="805">
      <c r="A805" s="52"/>
      <c r="B805" s="350"/>
      <c r="C805" s="52"/>
      <c r="D805" s="52"/>
      <c r="E805" s="52"/>
      <c r="F805" s="351"/>
      <c r="G805" s="52"/>
      <c r="H805" s="52"/>
      <c r="I805" s="52"/>
      <c r="J805" s="52"/>
      <c r="K805" s="52"/>
      <c r="L805" s="52"/>
      <c r="M805" s="52"/>
      <c r="N805" s="52"/>
      <c r="O805" s="52"/>
      <c r="P805" s="52"/>
      <c r="Q805" s="52"/>
      <c r="R805" s="52"/>
      <c r="S805" s="52"/>
      <c r="T805" s="52"/>
      <c r="U805" s="52"/>
      <c r="V805" s="52"/>
      <c r="W805" s="52"/>
      <c r="X805" s="52"/>
      <c r="Y805" s="52"/>
      <c r="Z805" s="52"/>
      <c r="AA805" s="52"/>
      <c r="AB805" s="52"/>
      <c r="AC805" s="52"/>
    </row>
    <row r="806">
      <c r="A806" s="52"/>
      <c r="B806" s="350"/>
      <c r="C806" s="52"/>
      <c r="D806" s="52"/>
      <c r="E806" s="52"/>
      <c r="F806" s="351"/>
      <c r="G806" s="52"/>
      <c r="H806" s="52"/>
      <c r="I806" s="52"/>
      <c r="J806" s="52"/>
      <c r="K806" s="52"/>
      <c r="L806" s="52"/>
      <c r="M806" s="52"/>
      <c r="N806" s="52"/>
      <c r="O806" s="52"/>
      <c r="P806" s="52"/>
      <c r="Q806" s="52"/>
      <c r="R806" s="52"/>
      <c r="S806" s="52"/>
      <c r="T806" s="52"/>
      <c r="U806" s="52"/>
      <c r="V806" s="52"/>
      <c r="W806" s="52"/>
      <c r="X806" s="52"/>
      <c r="Y806" s="52"/>
      <c r="Z806" s="52"/>
      <c r="AA806" s="52"/>
      <c r="AB806" s="52"/>
      <c r="AC806" s="52"/>
    </row>
    <row r="807">
      <c r="A807" s="52"/>
      <c r="B807" s="350"/>
      <c r="C807" s="52"/>
      <c r="D807" s="52"/>
      <c r="E807" s="52"/>
      <c r="F807" s="351"/>
      <c r="G807" s="52"/>
      <c r="H807" s="52"/>
      <c r="I807" s="52"/>
      <c r="J807" s="52"/>
      <c r="K807" s="52"/>
      <c r="L807" s="52"/>
      <c r="M807" s="52"/>
      <c r="N807" s="52"/>
      <c r="O807" s="52"/>
      <c r="P807" s="52"/>
      <c r="Q807" s="52"/>
      <c r="R807" s="52"/>
      <c r="S807" s="52"/>
      <c r="T807" s="52"/>
      <c r="U807" s="52"/>
      <c r="V807" s="52"/>
      <c r="W807" s="52"/>
      <c r="X807" s="52"/>
      <c r="Y807" s="52"/>
      <c r="Z807" s="52"/>
      <c r="AA807" s="52"/>
      <c r="AB807" s="52"/>
      <c r="AC807" s="52"/>
    </row>
    <row r="808">
      <c r="A808" s="52"/>
      <c r="B808" s="350"/>
      <c r="C808" s="52"/>
      <c r="D808" s="52"/>
      <c r="E808" s="52"/>
      <c r="F808" s="351"/>
      <c r="G808" s="52"/>
      <c r="H808" s="52"/>
      <c r="I808" s="52"/>
      <c r="J808" s="52"/>
      <c r="K808" s="52"/>
      <c r="L808" s="52"/>
      <c r="M808" s="52"/>
      <c r="N808" s="52"/>
      <c r="O808" s="52"/>
      <c r="P808" s="52"/>
      <c r="Q808" s="52"/>
      <c r="R808" s="52"/>
      <c r="S808" s="52"/>
      <c r="T808" s="52"/>
      <c r="U808" s="52"/>
      <c r="V808" s="52"/>
      <c r="W808" s="52"/>
      <c r="X808" s="52"/>
      <c r="Y808" s="52"/>
      <c r="Z808" s="52"/>
      <c r="AA808" s="52"/>
      <c r="AB808" s="52"/>
      <c r="AC808" s="52"/>
    </row>
    <row r="809">
      <c r="A809" s="52"/>
      <c r="B809" s="350"/>
      <c r="C809" s="52"/>
      <c r="D809" s="52"/>
      <c r="E809" s="52"/>
      <c r="F809" s="351"/>
      <c r="G809" s="52"/>
      <c r="H809" s="52"/>
      <c r="I809" s="52"/>
      <c r="J809" s="52"/>
      <c r="K809" s="52"/>
      <c r="L809" s="52"/>
      <c r="M809" s="52"/>
      <c r="N809" s="52"/>
      <c r="O809" s="52"/>
      <c r="P809" s="52"/>
      <c r="Q809" s="52"/>
      <c r="R809" s="52"/>
      <c r="S809" s="52"/>
      <c r="T809" s="52"/>
      <c r="U809" s="52"/>
      <c r="V809" s="52"/>
      <c r="W809" s="52"/>
      <c r="X809" s="52"/>
      <c r="Y809" s="52"/>
      <c r="Z809" s="52"/>
      <c r="AA809" s="52"/>
      <c r="AB809" s="52"/>
      <c r="AC809" s="52"/>
    </row>
    <row r="810">
      <c r="A810" s="52"/>
      <c r="B810" s="350"/>
      <c r="C810" s="52"/>
      <c r="D810" s="52"/>
      <c r="E810" s="52"/>
      <c r="F810" s="351"/>
      <c r="G810" s="52"/>
      <c r="H810" s="52"/>
      <c r="I810" s="52"/>
      <c r="J810" s="52"/>
      <c r="K810" s="52"/>
      <c r="L810" s="52"/>
      <c r="M810" s="52"/>
      <c r="N810" s="52"/>
      <c r="O810" s="52"/>
      <c r="P810" s="52"/>
      <c r="Q810" s="52"/>
      <c r="R810" s="52"/>
      <c r="S810" s="52"/>
      <c r="T810" s="52"/>
      <c r="U810" s="52"/>
      <c r="V810" s="52"/>
      <c r="W810" s="52"/>
      <c r="X810" s="52"/>
      <c r="Y810" s="52"/>
      <c r="Z810" s="52"/>
      <c r="AA810" s="52"/>
      <c r="AB810" s="52"/>
      <c r="AC810" s="52"/>
    </row>
    <row r="811">
      <c r="A811" s="52"/>
      <c r="B811" s="350"/>
      <c r="C811" s="52"/>
      <c r="D811" s="52"/>
      <c r="E811" s="52"/>
      <c r="F811" s="351"/>
      <c r="G811" s="52"/>
      <c r="H811" s="52"/>
      <c r="I811" s="52"/>
      <c r="J811" s="52"/>
      <c r="K811" s="52"/>
      <c r="L811" s="52"/>
      <c r="M811" s="52"/>
      <c r="N811" s="52"/>
      <c r="O811" s="52"/>
      <c r="P811" s="52"/>
      <c r="Q811" s="52"/>
      <c r="R811" s="52"/>
      <c r="S811" s="52"/>
      <c r="T811" s="52"/>
      <c r="U811" s="52"/>
      <c r="V811" s="52"/>
      <c r="W811" s="52"/>
      <c r="X811" s="52"/>
      <c r="Y811" s="52"/>
      <c r="Z811" s="52"/>
      <c r="AA811" s="52"/>
      <c r="AB811" s="52"/>
      <c r="AC811" s="52"/>
    </row>
    <row r="812">
      <c r="A812" s="52"/>
      <c r="B812" s="350"/>
      <c r="C812" s="52"/>
      <c r="D812" s="52"/>
      <c r="E812" s="52"/>
      <c r="F812" s="351"/>
      <c r="G812" s="52"/>
      <c r="H812" s="52"/>
      <c r="I812" s="52"/>
      <c r="J812" s="52"/>
      <c r="K812" s="52"/>
      <c r="L812" s="52"/>
      <c r="M812" s="52"/>
      <c r="N812" s="52"/>
      <c r="O812" s="52"/>
      <c r="P812" s="52"/>
      <c r="Q812" s="52"/>
      <c r="R812" s="52"/>
      <c r="S812" s="52"/>
      <c r="T812" s="52"/>
      <c r="U812" s="52"/>
      <c r="V812" s="52"/>
      <c r="W812" s="52"/>
      <c r="X812" s="52"/>
      <c r="Y812" s="52"/>
      <c r="Z812" s="52"/>
      <c r="AA812" s="52"/>
      <c r="AB812" s="52"/>
      <c r="AC812" s="52"/>
    </row>
    <row r="813">
      <c r="A813" s="52"/>
      <c r="B813" s="350"/>
      <c r="C813" s="52"/>
      <c r="D813" s="52"/>
      <c r="E813" s="52"/>
      <c r="F813" s="351"/>
      <c r="G813" s="52"/>
      <c r="H813" s="52"/>
      <c r="I813" s="52"/>
      <c r="J813" s="52"/>
      <c r="K813" s="52"/>
      <c r="L813" s="52"/>
      <c r="M813" s="52"/>
      <c r="N813" s="52"/>
      <c r="O813" s="52"/>
      <c r="P813" s="52"/>
      <c r="Q813" s="52"/>
      <c r="R813" s="52"/>
      <c r="S813" s="52"/>
      <c r="T813" s="52"/>
      <c r="U813" s="52"/>
      <c r="V813" s="52"/>
      <c r="W813" s="52"/>
      <c r="X813" s="52"/>
      <c r="Y813" s="52"/>
      <c r="Z813" s="52"/>
      <c r="AA813" s="52"/>
      <c r="AB813" s="52"/>
      <c r="AC813" s="52"/>
    </row>
    <row r="814">
      <c r="A814" s="52"/>
      <c r="B814" s="350"/>
      <c r="C814" s="52"/>
      <c r="D814" s="52"/>
      <c r="E814" s="52"/>
      <c r="F814" s="351"/>
      <c r="G814" s="52"/>
      <c r="H814" s="52"/>
      <c r="I814" s="52"/>
      <c r="J814" s="52"/>
      <c r="K814" s="52"/>
      <c r="L814" s="52"/>
      <c r="M814" s="52"/>
      <c r="N814" s="52"/>
      <c r="O814" s="52"/>
      <c r="P814" s="52"/>
      <c r="Q814" s="52"/>
      <c r="R814" s="52"/>
      <c r="S814" s="52"/>
      <c r="T814" s="52"/>
      <c r="U814" s="52"/>
      <c r="V814" s="52"/>
      <c r="W814" s="52"/>
      <c r="X814" s="52"/>
      <c r="Y814" s="52"/>
      <c r="Z814" s="52"/>
      <c r="AA814" s="52"/>
      <c r="AB814" s="52"/>
      <c r="AC814" s="52"/>
    </row>
    <row r="815">
      <c r="A815" s="52"/>
      <c r="B815" s="350"/>
      <c r="C815" s="52"/>
      <c r="D815" s="52"/>
      <c r="E815" s="52"/>
      <c r="F815" s="351"/>
      <c r="G815" s="52"/>
      <c r="H815" s="52"/>
      <c r="I815" s="52"/>
      <c r="J815" s="52"/>
      <c r="K815" s="52"/>
      <c r="L815" s="52"/>
      <c r="M815" s="52"/>
      <c r="N815" s="52"/>
      <c r="O815" s="52"/>
      <c r="P815" s="52"/>
      <c r="Q815" s="52"/>
      <c r="R815" s="52"/>
      <c r="S815" s="52"/>
      <c r="T815" s="52"/>
      <c r="U815" s="52"/>
      <c r="V815" s="52"/>
      <c r="W815" s="52"/>
      <c r="X815" s="52"/>
      <c r="Y815" s="52"/>
      <c r="Z815" s="52"/>
      <c r="AA815" s="52"/>
      <c r="AB815" s="52"/>
      <c r="AC815" s="52"/>
    </row>
    <row r="816">
      <c r="A816" s="52"/>
      <c r="B816" s="350"/>
      <c r="C816" s="52"/>
      <c r="D816" s="52"/>
      <c r="E816" s="52"/>
      <c r="F816" s="351"/>
      <c r="G816" s="52"/>
      <c r="H816" s="52"/>
      <c r="I816" s="52"/>
      <c r="J816" s="52"/>
      <c r="K816" s="52"/>
      <c r="L816" s="52"/>
      <c r="M816" s="52"/>
      <c r="N816" s="52"/>
      <c r="O816" s="52"/>
      <c r="P816" s="52"/>
      <c r="Q816" s="52"/>
      <c r="R816" s="52"/>
      <c r="S816" s="52"/>
      <c r="T816" s="52"/>
      <c r="U816" s="52"/>
      <c r="V816" s="52"/>
      <c r="W816" s="52"/>
      <c r="X816" s="52"/>
      <c r="Y816" s="52"/>
      <c r="Z816" s="52"/>
      <c r="AA816" s="52"/>
      <c r="AB816" s="52"/>
      <c r="AC816" s="52"/>
    </row>
    <row r="817">
      <c r="A817" s="52"/>
      <c r="B817" s="350"/>
      <c r="C817" s="52"/>
      <c r="D817" s="52"/>
      <c r="E817" s="52"/>
      <c r="F817" s="351"/>
      <c r="G817" s="52"/>
      <c r="H817" s="52"/>
      <c r="I817" s="52"/>
      <c r="J817" s="52"/>
      <c r="K817" s="52"/>
      <c r="L817" s="52"/>
      <c r="M817" s="52"/>
      <c r="N817" s="52"/>
      <c r="O817" s="52"/>
      <c r="P817" s="52"/>
      <c r="Q817" s="52"/>
      <c r="R817" s="52"/>
      <c r="S817" s="52"/>
      <c r="T817" s="52"/>
      <c r="U817" s="52"/>
      <c r="V817" s="52"/>
      <c r="W817" s="52"/>
      <c r="X817" s="52"/>
      <c r="Y817" s="52"/>
      <c r="Z817" s="52"/>
      <c r="AA817" s="52"/>
      <c r="AB817" s="52"/>
      <c r="AC817" s="52"/>
    </row>
    <row r="818">
      <c r="A818" s="52"/>
      <c r="B818" s="350"/>
      <c r="C818" s="52"/>
      <c r="D818" s="52"/>
      <c r="E818" s="52"/>
      <c r="F818" s="351"/>
      <c r="G818" s="52"/>
      <c r="H818" s="52"/>
      <c r="I818" s="52"/>
      <c r="J818" s="52"/>
      <c r="K818" s="52"/>
      <c r="L818" s="52"/>
      <c r="M818" s="52"/>
      <c r="N818" s="52"/>
      <c r="O818" s="52"/>
      <c r="P818" s="52"/>
      <c r="Q818" s="52"/>
      <c r="R818" s="52"/>
      <c r="S818" s="52"/>
      <c r="T818" s="52"/>
      <c r="U818" s="52"/>
      <c r="V818" s="52"/>
      <c r="W818" s="52"/>
      <c r="X818" s="52"/>
      <c r="Y818" s="52"/>
      <c r="Z818" s="52"/>
      <c r="AA818" s="52"/>
      <c r="AB818" s="52"/>
      <c r="AC818" s="52"/>
    </row>
    <row r="819">
      <c r="A819" s="52"/>
      <c r="B819" s="350"/>
      <c r="C819" s="52"/>
      <c r="D819" s="52"/>
      <c r="E819" s="52"/>
      <c r="F819" s="351"/>
      <c r="G819" s="52"/>
      <c r="H819" s="52"/>
      <c r="I819" s="52"/>
      <c r="J819" s="52"/>
      <c r="K819" s="52"/>
      <c r="L819" s="52"/>
      <c r="M819" s="52"/>
      <c r="N819" s="52"/>
      <c r="O819" s="52"/>
      <c r="P819" s="52"/>
      <c r="Q819" s="52"/>
      <c r="R819" s="52"/>
      <c r="S819" s="52"/>
      <c r="T819" s="52"/>
      <c r="U819" s="52"/>
      <c r="V819" s="52"/>
      <c r="W819" s="52"/>
      <c r="X819" s="52"/>
      <c r="Y819" s="52"/>
      <c r="Z819" s="52"/>
      <c r="AA819" s="52"/>
      <c r="AB819" s="52"/>
      <c r="AC819" s="52"/>
    </row>
    <row r="820">
      <c r="A820" s="52"/>
      <c r="B820" s="350"/>
      <c r="C820" s="52"/>
      <c r="D820" s="52"/>
      <c r="E820" s="52"/>
      <c r="F820" s="351"/>
      <c r="G820" s="52"/>
      <c r="H820" s="52"/>
      <c r="I820" s="52"/>
      <c r="J820" s="52"/>
      <c r="K820" s="52"/>
      <c r="L820" s="52"/>
      <c r="M820" s="52"/>
      <c r="N820" s="52"/>
      <c r="O820" s="52"/>
      <c r="P820" s="52"/>
      <c r="Q820" s="52"/>
      <c r="R820" s="52"/>
      <c r="S820" s="52"/>
      <c r="T820" s="52"/>
      <c r="U820" s="52"/>
      <c r="V820" s="52"/>
      <c r="W820" s="52"/>
      <c r="X820" s="52"/>
      <c r="Y820" s="52"/>
      <c r="Z820" s="52"/>
      <c r="AA820" s="52"/>
      <c r="AB820" s="52"/>
      <c r="AC820" s="52"/>
    </row>
    <row r="821">
      <c r="A821" s="52"/>
      <c r="B821" s="350"/>
      <c r="C821" s="52"/>
      <c r="D821" s="52"/>
      <c r="E821" s="52"/>
      <c r="F821" s="351"/>
      <c r="G821" s="52"/>
      <c r="H821" s="52"/>
      <c r="I821" s="52"/>
      <c r="J821" s="52"/>
      <c r="K821" s="52"/>
      <c r="L821" s="52"/>
      <c r="M821" s="52"/>
      <c r="N821" s="52"/>
      <c r="O821" s="52"/>
      <c r="P821" s="52"/>
      <c r="Q821" s="52"/>
      <c r="R821" s="52"/>
      <c r="S821" s="52"/>
      <c r="T821" s="52"/>
      <c r="U821" s="52"/>
      <c r="V821" s="52"/>
      <c r="W821" s="52"/>
      <c r="X821" s="52"/>
      <c r="Y821" s="52"/>
      <c r="Z821" s="52"/>
      <c r="AA821" s="52"/>
      <c r="AB821" s="52"/>
      <c r="AC821" s="52"/>
    </row>
    <row r="822">
      <c r="A822" s="52"/>
      <c r="B822" s="350"/>
      <c r="C822" s="52"/>
      <c r="D822" s="52"/>
      <c r="E822" s="52"/>
      <c r="F822" s="351"/>
      <c r="G822" s="52"/>
      <c r="H822" s="52"/>
      <c r="I822" s="52"/>
      <c r="J822" s="52"/>
      <c r="K822" s="52"/>
      <c r="L822" s="52"/>
      <c r="M822" s="52"/>
      <c r="N822" s="52"/>
      <c r="O822" s="52"/>
      <c r="P822" s="52"/>
      <c r="Q822" s="52"/>
      <c r="R822" s="52"/>
      <c r="S822" s="52"/>
      <c r="T822" s="52"/>
      <c r="U822" s="52"/>
      <c r="V822" s="52"/>
      <c r="W822" s="52"/>
      <c r="X822" s="52"/>
      <c r="Y822" s="52"/>
      <c r="Z822" s="52"/>
      <c r="AA822" s="52"/>
      <c r="AB822" s="52"/>
      <c r="AC822" s="52"/>
    </row>
    <row r="823">
      <c r="A823" s="52"/>
      <c r="B823" s="350"/>
      <c r="C823" s="52"/>
      <c r="D823" s="52"/>
      <c r="E823" s="52"/>
      <c r="F823" s="351"/>
      <c r="G823" s="52"/>
      <c r="H823" s="52"/>
      <c r="I823" s="52"/>
      <c r="J823" s="52"/>
      <c r="K823" s="52"/>
      <c r="L823" s="52"/>
      <c r="M823" s="52"/>
      <c r="N823" s="52"/>
      <c r="O823" s="52"/>
      <c r="P823" s="52"/>
      <c r="Q823" s="52"/>
      <c r="R823" s="52"/>
      <c r="S823" s="52"/>
      <c r="T823" s="52"/>
      <c r="U823" s="52"/>
      <c r="V823" s="52"/>
      <c r="W823" s="52"/>
      <c r="X823" s="52"/>
      <c r="Y823" s="52"/>
      <c r="Z823" s="52"/>
      <c r="AA823" s="52"/>
      <c r="AB823" s="52"/>
      <c r="AC823" s="52"/>
    </row>
    <row r="824">
      <c r="A824" s="52"/>
      <c r="B824" s="350"/>
      <c r="C824" s="52"/>
      <c r="D824" s="52"/>
      <c r="E824" s="52"/>
      <c r="F824" s="351"/>
      <c r="G824" s="52"/>
      <c r="H824" s="52"/>
      <c r="I824" s="52"/>
      <c r="J824" s="52"/>
      <c r="K824" s="52"/>
      <c r="L824" s="52"/>
      <c r="M824" s="52"/>
      <c r="N824" s="52"/>
      <c r="O824" s="52"/>
      <c r="P824" s="52"/>
      <c r="Q824" s="52"/>
      <c r="R824" s="52"/>
      <c r="S824" s="52"/>
      <c r="T824" s="52"/>
      <c r="U824" s="52"/>
      <c r="V824" s="52"/>
      <c r="W824" s="52"/>
      <c r="X824" s="52"/>
      <c r="Y824" s="52"/>
      <c r="Z824" s="52"/>
      <c r="AA824" s="52"/>
      <c r="AB824" s="52"/>
      <c r="AC824" s="52"/>
    </row>
    <row r="825">
      <c r="A825" s="52"/>
      <c r="B825" s="350"/>
      <c r="C825" s="52"/>
      <c r="D825" s="52"/>
      <c r="E825" s="52"/>
      <c r="F825" s="351"/>
      <c r="G825" s="52"/>
      <c r="H825" s="52"/>
      <c r="I825" s="52"/>
      <c r="J825" s="52"/>
      <c r="K825" s="52"/>
      <c r="L825" s="52"/>
      <c r="M825" s="52"/>
      <c r="N825" s="52"/>
      <c r="O825" s="52"/>
      <c r="P825" s="52"/>
      <c r="Q825" s="52"/>
      <c r="R825" s="52"/>
      <c r="S825" s="52"/>
      <c r="T825" s="52"/>
      <c r="U825" s="52"/>
      <c r="V825" s="52"/>
      <c r="W825" s="52"/>
      <c r="X825" s="52"/>
      <c r="Y825" s="52"/>
      <c r="Z825" s="52"/>
      <c r="AA825" s="52"/>
      <c r="AB825" s="52"/>
      <c r="AC825" s="52"/>
    </row>
    <row r="826">
      <c r="A826" s="52"/>
      <c r="B826" s="350"/>
      <c r="C826" s="52"/>
      <c r="D826" s="52"/>
      <c r="E826" s="52"/>
      <c r="F826" s="351"/>
      <c r="G826" s="52"/>
      <c r="H826" s="52"/>
      <c r="I826" s="52"/>
      <c r="J826" s="52"/>
      <c r="K826" s="52"/>
      <c r="L826" s="52"/>
      <c r="M826" s="52"/>
      <c r="N826" s="52"/>
      <c r="O826" s="52"/>
      <c r="P826" s="52"/>
      <c r="Q826" s="52"/>
      <c r="R826" s="52"/>
      <c r="S826" s="52"/>
      <c r="T826" s="52"/>
      <c r="U826" s="52"/>
      <c r="V826" s="52"/>
      <c r="W826" s="52"/>
      <c r="X826" s="52"/>
      <c r="Y826" s="52"/>
      <c r="Z826" s="52"/>
      <c r="AA826" s="52"/>
      <c r="AB826" s="52"/>
      <c r="AC826" s="52"/>
    </row>
    <row r="827">
      <c r="A827" s="52"/>
      <c r="B827" s="350"/>
      <c r="C827" s="52"/>
      <c r="D827" s="52"/>
      <c r="E827" s="52"/>
      <c r="F827" s="351"/>
      <c r="G827" s="52"/>
      <c r="H827" s="52"/>
      <c r="I827" s="52"/>
      <c r="J827" s="52"/>
      <c r="K827" s="52"/>
      <c r="L827" s="52"/>
      <c r="M827" s="52"/>
      <c r="N827" s="52"/>
      <c r="O827" s="52"/>
      <c r="P827" s="52"/>
      <c r="Q827" s="52"/>
      <c r="R827" s="52"/>
      <c r="S827" s="52"/>
      <c r="T827" s="52"/>
      <c r="U827" s="52"/>
      <c r="V827" s="52"/>
      <c r="W827" s="52"/>
      <c r="X827" s="52"/>
      <c r="Y827" s="52"/>
      <c r="Z827" s="52"/>
      <c r="AA827" s="52"/>
      <c r="AB827" s="52"/>
      <c r="AC827" s="52"/>
    </row>
    <row r="828">
      <c r="A828" s="52"/>
      <c r="B828" s="350"/>
      <c r="C828" s="52"/>
      <c r="D828" s="52"/>
      <c r="E828" s="52"/>
      <c r="F828" s="351"/>
      <c r="G828" s="52"/>
      <c r="H828" s="52"/>
      <c r="I828" s="52"/>
      <c r="J828" s="52"/>
      <c r="K828" s="52"/>
      <c r="L828" s="52"/>
      <c r="M828" s="52"/>
      <c r="N828" s="52"/>
      <c r="O828" s="52"/>
      <c r="P828" s="52"/>
      <c r="Q828" s="52"/>
      <c r="R828" s="52"/>
      <c r="S828" s="52"/>
      <c r="T828" s="52"/>
      <c r="U828" s="52"/>
      <c r="V828" s="52"/>
      <c r="W828" s="52"/>
      <c r="X828" s="52"/>
      <c r="Y828" s="52"/>
      <c r="Z828" s="52"/>
      <c r="AA828" s="52"/>
      <c r="AB828" s="52"/>
      <c r="AC828" s="52"/>
    </row>
    <row r="829">
      <c r="A829" s="52"/>
      <c r="B829" s="350"/>
      <c r="C829" s="52"/>
      <c r="D829" s="52"/>
      <c r="E829" s="52"/>
      <c r="F829" s="351"/>
      <c r="G829" s="52"/>
      <c r="H829" s="52"/>
      <c r="I829" s="52"/>
      <c r="J829" s="52"/>
      <c r="K829" s="52"/>
      <c r="L829" s="52"/>
      <c r="M829" s="52"/>
      <c r="N829" s="52"/>
      <c r="O829" s="52"/>
      <c r="P829" s="52"/>
      <c r="Q829" s="52"/>
      <c r="R829" s="52"/>
      <c r="S829" s="52"/>
      <c r="T829" s="52"/>
      <c r="U829" s="52"/>
      <c r="V829" s="52"/>
      <c r="W829" s="52"/>
      <c r="X829" s="52"/>
      <c r="Y829" s="52"/>
      <c r="Z829" s="52"/>
      <c r="AA829" s="52"/>
      <c r="AB829" s="52"/>
      <c r="AC829" s="52"/>
    </row>
    <row r="830">
      <c r="A830" s="52"/>
      <c r="B830" s="350"/>
      <c r="C830" s="52"/>
      <c r="D830" s="52"/>
      <c r="E830" s="52"/>
      <c r="F830" s="351"/>
      <c r="G830" s="52"/>
      <c r="H830" s="52"/>
      <c r="I830" s="52"/>
      <c r="J830" s="52"/>
      <c r="K830" s="52"/>
      <c r="L830" s="52"/>
      <c r="M830" s="52"/>
      <c r="N830" s="52"/>
      <c r="O830" s="52"/>
      <c r="P830" s="52"/>
      <c r="Q830" s="52"/>
      <c r="R830" s="52"/>
      <c r="S830" s="52"/>
      <c r="T830" s="52"/>
      <c r="U830" s="52"/>
      <c r="V830" s="52"/>
      <c r="W830" s="52"/>
      <c r="X830" s="52"/>
      <c r="Y830" s="52"/>
      <c r="Z830" s="52"/>
      <c r="AA830" s="52"/>
      <c r="AB830" s="52"/>
      <c r="AC830" s="52"/>
    </row>
    <row r="831">
      <c r="A831" s="52"/>
      <c r="B831" s="350"/>
      <c r="C831" s="52"/>
      <c r="D831" s="52"/>
      <c r="E831" s="52"/>
      <c r="F831" s="351"/>
      <c r="G831" s="52"/>
      <c r="H831" s="52"/>
      <c r="I831" s="52"/>
      <c r="J831" s="52"/>
      <c r="K831" s="52"/>
      <c r="L831" s="52"/>
      <c r="M831" s="52"/>
      <c r="N831" s="52"/>
      <c r="O831" s="52"/>
      <c r="P831" s="52"/>
      <c r="Q831" s="52"/>
      <c r="R831" s="52"/>
      <c r="S831" s="52"/>
      <c r="T831" s="52"/>
      <c r="U831" s="52"/>
      <c r="V831" s="52"/>
      <c r="W831" s="52"/>
      <c r="X831" s="52"/>
      <c r="Y831" s="52"/>
      <c r="Z831" s="52"/>
      <c r="AA831" s="52"/>
      <c r="AB831" s="52"/>
      <c r="AC831" s="52"/>
    </row>
    <row r="832">
      <c r="A832" s="52"/>
      <c r="B832" s="350"/>
      <c r="C832" s="52"/>
      <c r="D832" s="52"/>
      <c r="E832" s="52"/>
      <c r="F832" s="351"/>
      <c r="G832" s="52"/>
      <c r="H832" s="52"/>
      <c r="I832" s="52"/>
      <c r="J832" s="52"/>
      <c r="K832" s="52"/>
      <c r="L832" s="52"/>
      <c r="M832" s="52"/>
      <c r="N832" s="52"/>
      <c r="O832" s="52"/>
      <c r="P832" s="52"/>
      <c r="Q832" s="52"/>
      <c r="R832" s="52"/>
      <c r="S832" s="52"/>
      <c r="T832" s="52"/>
      <c r="U832" s="52"/>
      <c r="V832" s="52"/>
      <c r="W832" s="52"/>
      <c r="X832" s="52"/>
      <c r="Y832" s="52"/>
      <c r="Z832" s="52"/>
      <c r="AA832" s="52"/>
      <c r="AB832" s="52"/>
      <c r="AC832" s="52"/>
    </row>
    <row r="833">
      <c r="A833" s="52"/>
      <c r="B833" s="350"/>
      <c r="C833" s="52"/>
      <c r="D833" s="52"/>
      <c r="E833" s="52"/>
      <c r="F833" s="351"/>
      <c r="G833" s="52"/>
      <c r="H833" s="52"/>
      <c r="I833" s="52"/>
      <c r="J833" s="52"/>
      <c r="K833" s="52"/>
      <c r="L833" s="52"/>
      <c r="M833" s="52"/>
      <c r="N833" s="52"/>
      <c r="O833" s="52"/>
      <c r="P833" s="52"/>
      <c r="Q833" s="52"/>
      <c r="R833" s="52"/>
      <c r="S833" s="52"/>
      <c r="T833" s="52"/>
      <c r="U833" s="52"/>
      <c r="V833" s="52"/>
      <c r="W833" s="52"/>
      <c r="X833" s="52"/>
      <c r="Y833" s="52"/>
      <c r="Z833" s="52"/>
      <c r="AA833" s="52"/>
      <c r="AB833" s="52"/>
      <c r="AC833" s="52"/>
    </row>
    <row r="834">
      <c r="A834" s="52"/>
      <c r="B834" s="350"/>
      <c r="C834" s="52"/>
      <c r="D834" s="52"/>
      <c r="E834" s="52"/>
      <c r="F834" s="351"/>
      <c r="G834" s="52"/>
      <c r="H834" s="52"/>
      <c r="I834" s="52"/>
      <c r="J834" s="52"/>
      <c r="K834" s="52"/>
      <c r="L834" s="52"/>
      <c r="M834" s="52"/>
      <c r="N834" s="52"/>
      <c r="O834" s="52"/>
      <c r="P834" s="52"/>
      <c r="Q834" s="52"/>
      <c r="R834" s="52"/>
      <c r="S834" s="52"/>
      <c r="T834" s="52"/>
      <c r="U834" s="52"/>
      <c r="V834" s="52"/>
      <c r="W834" s="52"/>
      <c r="X834" s="52"/>
      <c r="Y834" s="52"/>
      <c r="Z834" s="52"/>
      <c r="AA834" s="52"/>
      <c r="AB834" s="52"/>
      <c r="AC834" s="52"/>
    </row>
    <row r="835">
      <c r="A835" s="52"/>
      <c r="B835" s="350"/>
      <c r="C835" s="52"/>
      <c r="D835" s="52"/>
      <c r="E835" s="52"/>
      <c r="F835" s="351"/>
      <c r="G835" s="52"/>
      <c r="H835" s="52"/>
      <c r="I835" s="52"/>
      <c r="J835" s="52"/>
      <c r="K835" s="52"/>
      <c r="L835" s="52"/>
      <c r="M835" s="52"/>
      <c r="N835" s="52"/>
      <c r="O835" s="52"/>
      <c r="P835" s="52"/>
      <c r="Q835" s="52"/>
      <c r="R835" s="52"/>
      <c r="S835" s="52"/>
      <c r="T835" s="52"/>
      <c r="U835" s="52"/>
      <c r="V835" s="52"/>
      <c r="W835" s="52"/>
      <c r="X835" s="52"/>
      <c r="Y835" s="52"/>
      <c r="Z835" s="52"/>
      <c r="AA835" s="52"/>
      <c r="AB835" s="52"/>
      <c r="AC835" s="52"/>
    </row>
    <row r="836">
      <c r="A836" s="52"/>
      <c r="B836" s="350"/>
      <c r="C836" s="52"/>
      <c r="D836" s="52"/>
      <c r="E836" s="52"/>
      <c r="F836" s="351"/>
      <c r="G836" s="52"/>
      <c r="H836" s="52"/>
      <c r="I836" s="52"/>
      <c r="J836" s="52"/>
      <c r="K836" s="52"/>
      <c r="L836" s="52"/>
      <c r="M836" s="52"/>
      <c r="N836" s="52"/>
      <c r="O836" s="52"/>
      <c r="P836" s="52"/>
      <c r="Q836" s="52"/>
      <c r="R836" s="52"/>
      <c r="S836" s="52"/>
      <c r="T836" s="52"/>
      <c r="U836" s="52"/>
      <c r="V836" s="52"/>
      <c r="W836" s="52"/>
      <c r="X836" s="52"/>
      <c r="Y836" s="52"/>
      <c r="Z836" s="52"/>
      <c r="AA836" s="52"/>
      <c r="AB836" s="52"/>
      <c r="AC836" s="52"/>
    </row>
    <row r="837">
      <c r="A837" s="52"/>
      <c r="B837" s="350"/>
      <c r="C837" s="52"/>
      <c r="D837" s="52"/>
      <c r="E837" s="52"/>
      <c r="F837" s="351"/>
      <c r="G837" s="52"/>
      <c r="H837" s="52"/>
      <c r="I837" s="52"/>
      <c r="J837" s="52"/>
      <c r="K837" s="52"/>
      <c r="L837" s="52"/>
      <c r="M837" s="52"/>
      <c r="N837" s="52"/>
      <c r="O837" s="52"/>
      <c r="P837" s="52"/>
      <c r="Q837" s="52"/>
      <c r="R837" s="52"/>
      <c r="S837" s="52"/>
      <c r="T837" s="52"/>
      <c r="U837" s="52"/>
      <c r="V837" s="52"/>
      <c r="W837" s="52"/>
      <c r="X837" s="52"/>
      <c r="Y837" s="52"/>
      <c r="Z837" s="52"/>
      <c r="AA837" s="52"/>
      <c r="AB837" s="52"/>
      <c r="AC837" s="52"/>
    </row>
    <row r="838">
      <c r="A838" s="52"/>
      <c r="B838" s="350"/>
      <c r="C838" s="52"/>
      <c r="D838" s="52"/>
      <c r="E838" s="52"/>
      <c r="F838" s="351"/>
      <c r="G838" s="52"/>
      <c r="H838" s="52"/>
      <c r="I838" s="52"/>
      <c r="J838" s="52"/>
      <c r="K838" s="52"/>
      <c r="L838" s="52"/>
      <c r="M838" s="52"/>
      <c r="N838" s="52"/>
      <c r="O838" s="52"/>
      <c r="P838" s="52"/>
      <c r="Q838" s="52"/>
      <c r="R838" s="52"/>
      <c r="S838" s="52"/>
      <c r="T838" s="52"/>
      <c r="U838" s="52"/>
      <c r="V838" s="52"/>
      <c r="W838" s="52"/>
      <c r="X838" s="52"/>
      <c r="Y838" s="52"/>
      <c r="Z838" s="52"/>
      <c r="AA838" s="52"/>
      <c r="AB838" s="52"/>
      <c r="AC838" s="52"/>
    </row>
    <row r="839">
      <c r="A839" s="52"/>
      <c r="B839" s="350"/>
      <c r="C839" s="52"/>
      <c r="D839" s="52"/>
      <c r="E839" s="52"/>
      <c r="F839" s="351"/>
      <c r="G839" s="52"/>
      <c r="H839" s="52"/>
      <c r="I839" s="52"/>
      <c r="J839" s="52"/>
      <c r="K839" s="52"/>
      <c r="L839" s="52"/>
      <c r="M839" s="52"/>
      <c r="N839" s="52"/>
      <c r="O839" s="52"/>
      <c r="P839" s="52"/>
      <c r="Q839" s="52"/>
      <c r="R839" s="52"/>
      <c r="S839" s="52"/>
      <c r="T839" s="52"/>
      <c r="U839" s="52"/>
      <c r="V839" s="52"/>
      <c r="W839" s="52"/>
      <c r="X839" s="52"/>
      <c r="Y839" s="52"/>
      <c r="Z839" s="52"/>
      <c r="AA839" s="52"/>
      <c r="AB839" s="52"/>
      <c r="AC839" s="52"/>
    </row>
    <row r="840">
      <c r="A840" s="52"/>
      <c r="B840" s="350"/>
      <c r="C840" s="52"/>
      <c r="D840" s="52"/>
      <c r="E840" s="52"/>
      <c r="F840" s="351"/>
      <c r="G840" s="52"/>
      <c r="H840" s="52"/>
      <c r="I840" s="52"/>
      <c r="J840" s="52"/>
      <c r="K840" s="52"/>
      <c r="L840" s="52"/>
      <c r="M840" s="52"/>
      <c r="N840" s="52"/>
      <c r="O840" s="52"/>
      <c r="P840" s="52"/>
      <c r="Q840" s="52"/>
      <c r="R840" s="52"/>
      <c r="S840" s="52"/>
      <c r="T840" s="52"/>
      <c r="U840" s="52"/>
      <c r="V840" s="52"/>
      <c r="W840" s="52"/>
      <c r="X840" s="52"/>
      <c r="Y840" s="52"/>
      <c r="Z840" s="52"/>
      <c r="AA840" s="52"/>
      <c r="AB840" s="52"/>
      <c r="AC840" s="52"/>
    </row>
    <row r="841">
      <c r="A841" s="52"/>
      <c r="B841" s="350"/>
      <c r="C841" s="52"/>
      <c r="D841" s="52"/>
      <c r="E841" s="52"/>
      <c r="F841" s="351"/>
      <c r="G841" s="52"/>
      <c r="H841" s="52"/>
      <c r="I841" s="52"/>
      <c r="J841" s="52"/>
      <c r="K841" s="52"/>
      <c r="L841" s="52"/>
      <c r="M841" s="52"/>
      <c r="N841" s="52"/>
      <c r="O841" s="52"/>
      <c r="P841" s="52"/>
      <c r="Q841" s="52"/>
      <c r="R841" s="52"/>
      <c r="S841" s="52"/>
      <c r="T841" s="52"/>
      <c r="U841" s="52"/>
      <c r="V841" s="52"/>
      <c r="W841" s="52"/>
      <c r="X841" s="52"/>
      <c r="Y841" s="52"/>
      <c r="Z841" s="52"/>
      <c r="AA841" s="52"/>
      <c r="AB841" s="52"/>
      <c r="AC841" s="52"/>
    </row>
    <row r="842">
      <c r="A842" s="52"/>
      <c r="B842" s="350"/>
      <c r="C842" s="52"/>
      <c r="D842" s="52"/>
      <c r="E842" s="52"/>
      <c r="F842" s="351"/>
      <c r="G842" s="52"/>
      <c r="H842" s="52"/>
      <c r="I842" s="52"/>
      <c r="J842" s="52"/>
      <c r="K842" s="52"/>
      <c r="L842" s="52"/>
      <c r="M842" s="52"/>
      <c r="N842" s="52"/>
      <c r="O842" s="52"/>
      <c r="P842" s="52"/>
      <c r="Q842" s="52"/>
      <c r="R842" s="52"/>
      <c r="S842" s="52"/>
      <c r="T842" s="52"/>
      <c r="U842" s="52"/>
      <c r="V842" s="52"/>
      <c r="W842" s="52"/>
      <c r="X842" s="52"/>
      <c r="Y842" s="52"/>
      <c r="Z842" s="52"/>
      <c r="AA842" s="52"/>
      <c r="AB842" s="52"/>
      <c r="AC842" s="52"/>
    </row>
    <row r="843">
      <c r="A843" s="52"/>
      <c r="B843" s="350"/>
      <c r="C843" s="52"/>
      <c r="D843" s="52"/>
      <c r="E843" s="52"/>
      <c r="F843" s="351"/>
      <c r="G843" s="52"/>
      <c r="H843" s="52"/>
      <c r="I843" s="52"/>
      <c r="J843" s="52"/>
      <c r="K843" s="52"/>
      <c r="L843" s="52"/>
      <c r="M843" s="52"/>
      <c r="N843" s="52"/>
      <c r="O843" s="52"/>
      <c r="P843" s="52"/>
      <c r="Q843" s="52"/>
      <c r="R843" s="52"/>
      <c r="S843" s="52"/>
      <c r="T843" s="52"/>
      <c r="U843" s="52"/>
      <c r="V843" s="52"/>
      <c r="W843" s="52"/>
      <c r="X843" s="52"/>
      <c r="Y843" s="52"/>
      <c r="Z843" s="52"/>
      <c r="AA843" s="52"/>
      <c r="AB843" s="52"/>
      <c r="AC843" s="52"/>
    </row>
    <row r="844">
      <c r="A844" s="52"/>
      <c r="B844" s="350"/>
      <c r="C844" s="52"/>
      <c r="D844" s="52"/>
      <c r="E844" s="52"/>
      <c r="F844" s="351"/>
      <c r="G844" s="52"/>
      <c r="H844" s="52"/>
      <c r="I844" s="52"/>
      <c r="J844" s="52"/>
      <c r="K844" s="52"/>
      <c r="L844" s="52"/>
      <c r="M844" s="52"/>
      <c r="N844" s="52"/>
      <c r="O844" s="52"/>
      <c r="P844" s="52"/>
      <c r="Q844" s="52"/>
      <c r="R844" s="52"/>
      <c r="S844" s="52"/>
      <c r="T844" s="52"/>
      <c r="U844" s="52"/>
      <c r="V844" s="52"/>
      <c r="W844" s="52"/>
      <c r="X844" s="52"/>
      <c r="Y844" s="52"/>
      <c r="Z844" s="52"/>
      <c r="AA844" s="52"/>
      <c r="AB844" s="52"/>
      <c r="AC844" s="52"/>
    </row>
    <row r="845">
      <c r="A845" s="52"/>
      <c r="B845" s="350"/>
      <c r="C845" s="52"/>
      <c r="D845" s="52"/>
      <c r="E845" s="52"/>
      <c r="F845" s="351"/>
      <c r="G845" s="52"/>
      <c r="H845" s="52"/>
      <c r="I845" s="52"/>
      <c r="J845" s="52"/>
      <c r="K845" s="52"/>
      <c r="L845" s="52"/>
      <c r="M845" s="52"/>
      <c r="N845" s="52"/>
      <c r="O845" s="52"/>
      <c r="P845" s="52"/>
      <c r="Q845" s="52"/>
      <c r="R845" s="52"/>
      <c r="S845" s="52"/>
      <c r="T845" s="52"/>
      <c r="U845" s="52"/>
      <c r="V845" s="52"/>
      <c r="W845" s="52"/>
      <c r="X845" s="52"/>
      <c r="Y845" s="52"/>
      <c r="Z845" s="52"/>
      <c r="AA845" s="52"/>
      <c r="AB845" s="52"/>
      <c r="AC845" s="52"/>
    </row>
    <row r="846">
      <c r="A846" s="52"/>
      <c r="B846" s="350"/>
      <c r="C846" s="52"/>
      <c r="D846" s="52"/>
      <c r="E846" s="52"/>
      <c r="F846" s="351"/>
      <c r="G846" s="52"/>
      <c r="H846" s="52"/>
      <c r="I846" s="52"/>
      <c r="J846" s="52"/>
      <c r="K846" s="52"/>
      <c r="L846" s="52"/>
      <c r="M846" s="52"/>
      <c r="N846" s="52"/>
      <c r="O846" s="52"/>
      <c r="P846" s="52"/>
      <c r="Q846" s="52"/>
      <c r="R846" s="52"/>
      <c r="S846" s="52"/>
      <c r="T846" s="52"/>
      <c r="U846" s="52"/>
      <c r="V846" s="52"/>
      <c r="W846" s="52"/>
      <c r="X846" s="52"/>
      <c r="Y846" s="52"/>
      <c r="Z846" s="52"/>
      <c r="AA846" s="52"/>
      <c r="AB846" s="52"/>
      <c r="AC846" s="52"/>
    </row>
    <row r="847">
      <c r="A847" s="52"/>
      <c r="B847" s="350"/>
      <c r="C847" s="52"/>
      <c r="D847" s="52"/>
      <c r="E847" s="52"/>
      <c r="F847" s="351"/>
      <c r="G847" s="52"/>
      <c r="H847" s="52"/>
      <c r="I847" s="52"/>
      <c r="J847" s="52"/>
      <c r="K847" s="52"/>
      <c r="L847" s="52"/>
      <c r="M847" s="52"/>
      <c r="N847" s="52"/>
      <c r="O847" s="52"/>
      <c r="P847" s="52"/>
      <c r="Q847" s="52"/>
      <c r="R847" s="52"/>
      <c r="S847" s="52"/>
      <c r="T847" s="52"/>
      <c r="U847" s="52"/>
      <c r="V847" s="52"/>
      <c r="W847" s="52"/>
      <c r="X847" s="52"/>
      <c r="Y847" s="52"/>
      <c r="Z847" s="52"/>
      <c r="AA847" s="52"/>
      <c r="AB847" s="52"/>
      <c r="AC847" s="52"/>
    </row>
    <row r="848">
      <c r="A848" s="52"/>
      <c r="B848" s="350"/>
      <c r="C848" s="52"/>
      <c r="D848" s="52"/>
      <c r="E848" s="52"/>
      <c r="F848" s="351"/>
      <c r="G848" s="52"/>
      <c r="H848" s="52"/>
      <c r="I848" s="52"/>
      <c r="J848" s="52"/>
      <c r="K848" s="52"/>
      <c r="L848" s="52"/>
      <c r="M848" s="52"/>
      <c r="N848" s="52"/>
      <c r="O848" s="52"/>
      <c r="P848" s="52"/>
      <c r="Q848" s="52"/>
      <c r="R848" s="52"/>
      <c r="S848" s="52"/>
      <c r="T848" s="52"/>
      <c r="U848" s="52"/>
      <c r="V848" s="52"/>
      <c r="W848" s="52"/>
      <c r="X848" s="52"/>
      <c r="Y848" s="52"/>
      <c r="Z848" s="52"/>
      <c r="AA848" s="52"/>
      <c r="AB848" s="52"/>
      <c r="AC848" s="52"/>
    </row>
    <row r="849">
      <c r="A849" s="52"/>
      <c r="B849" s="350"/>
      <c r="C849" s="52"/>
      <c r="D849" s="52"/>
      <c r="E849" s="52"/>
      <c r="F849" s="351"/>
      <c r="G849" s="52"/>
      <c r="H849" s="52"/>
      <c r="I849" s="52"/>
      <c r="J849" s="52"/>
      <c r="K849" s="52"/>
      <c r="L849" s="52"/>
      <c r="M849" s="52"/>
      <c r="N849" s="52"/>
      <c r="O849" s="52"/>
      <c r="P849" s="52"/>
      <c r="Q849" s="52"/>
      <c r="R849" s="52"/>
      <c r="S849" s="52"/>
      <c r="T849" s="52"/>
      <c r="U849" s="52"/>
      <c r="V849" s="52"/>
      <c r="W849" s="52"/>
      <c r="X849" s="52"/>
      <c r="Y849" s="52"/>
      <c r="Z849" s="52"/>
      <c r="AA849" s="52"/>
      <c r="AB849" s="52"/>
      <c r="AC849" s="52"/>
    </row>
    <row r="850">
      <c r="A850" s="52"/>
      <c r="B850" s="350"/>
      <c r="C850" s="52"/>
      <c r="D850" s="52"/>
      <c r="E850" s="52"/>
      <c r="F850" s="351"/>
      <c r="G850" s="52"/>
      <c r="H850" s="52"/>
      <c r="I850" s="52"/>
      <c r="J850" s="52"/>
      <c r="K850" s="52"/>
      <c r="L850" s="52"/>
      <c r="M850" s="52"/>
      <c r="N850" s="52"/>
      <c r="O850" s="52"/>
      <c r="P850" s="52"/>
      <c r="Q850" s="52"/>
      <c r="R850" s="52"/>
      <c r="S850" s="52"/>
      <c r="T850" s="52"/>
      <c r="U850" s="52"/>
      <c r="V850" s="52"/>
      <c r="W850" s="52"/>
      <c r="X850" s="52"/>
      <c r="Y850" s="52"/>
      <c r="Z850" s="52"/>
      <c r="AA850" s="52"/>
      <c r="AB850" s="52"/>
      <c r="AC850" s="52"/>
    </row>
    <row r="851">
      <c r="A851" s="52"/>
      <c r="B851" s="350"/>
      <c r="C851" s="52"/>
      <c r="D851" s="52"/>
      <c r="E851" s="52"/>
      <c r="F851" s="351"/>
      <c r="G851" s="52"/>
      <c r="H851" s="52"/>
      <c r="I851" s="52"/>
      <c r="J851" s="52"/>
      <c r="K851" s="52"/>
      <c r="L851" s="52"/>
      <c r="M851" s="52"/>
      <c r="N851" s="52"/>
      <c r="O851" s="52"/>
      <c r="P851" s="52"/>
      <c r="Q851" s="52"/>
      <c r="R851" s="52"/>
      <c r="S851" s="52"/>
      <c r="T851" s="52"/>
      <c r="U851" s="52"/>
      <c r="V851" s="52"/>
      <c r="W851" s="52"/>
      <c r="X851" s="52"/>
      <c r="Y851" s="52"/>
      <c r="Z851" s="52"/>
      <c r="AA851" s="52"/>
      <c r="AB851" s="52"/>
      <c r="AC851" s="52"/>
    </row>
    <row r="852">
      <c r="A852" s="52"/>
      <c r="B852" s="350"/>
      <c r="C852" s="52"/>
      <c r="D852" s="52"/>
      <c r="E852" s="52"/>
      <c r="F852" s="351"/>
      <c r="G852" s="52"/>
      <c r="H852" s="52"/>
      <c r="I852" s="52"/>
      <c r="J852" s="52"/>
      <c r="K852" s="52"/>
      <c r="L852" s="52"/>
      <c r="M852" s="52"/>
      <c r="N852" s="52"/>
      <c r="O852" s="52"/>
      <c r="P852" s="52"/>
      <c r="Q852" s="52"/>
      <c r="R852" s="52"/>
      <c r="S852" s="52"/>
      <c r="T852" s="52"/>
      <c r="U852" s="52"/>
      <c r="V852" s="52"/>
      <c r="W852" s="52"/>
      <c r="X852" s="52"/>
      <c r="Y852" s="52"/>
      <c r="Z852" s="52"/>
      <c r="AA852" s="52"/>
      <c r="AB852" s="52"/>
      <c r="AC852" s="52"/>
    </row>
    <row r="853">
      <c r="A853" s="52"/>
      <c r="B853" s="350"/>
      <c r="C853" s="52"/>
      <c r="D853" s="52"/>
      <c r="E853" s="52"/>
      <c r="F853" s="351"/>
      <c r="G853" s="52"/>
      <c r="H853" s="52"/>
      <c r="I853" s="52"/>
      <c r="J853" s="52"/>
      <c r="K853" s="52"/>
      <c r="L853" s="52"/>
      <c r="M853" s="52"/>
      <c r="N853" s="52"/>
      <c r="O853" s="52"/>
      <c r="P853" s="52"/>
      <c r="Q853" s="52"/>
      <c r="R853" s="52"/>
      <c r="S853" s="52"/>
      <c r="T853" s="52"/>
      <c r="U853" s="52"/>
      <c r="V853" s="52"/>
      <c r="W853" s="52"/>
      <c r="X853" s="52"/>
      <c r="Y853" s="52"/>
      <c r="Z853" s="52"/>
      <c r="AA853" s="52"/>
      <c r="AB853" s="52"/>
      <c r="AC853" s="52"/>
    </row>
    <row r="854">
      <c r="A854" s="52"/>
      <c r="B854" s="350"/>
      <c r="C854" s="52"/>
      <c r="D854" s="52"/>
      <c r="E854" s="52"/>
      <c r="F854" s="351"/>
      <c r="G854" s="52"/>
      <c r="H854" s="52"/>
      <c r="I854" s="52"/>
      <c r="J854" s="52"/>
      <c r="K854" s="52"/>
      <c r="L854" s="52"/>
      <c r="M854" s="52"/>
      <c r="N854" s="52"/>
      <c r="O854" s="52"/>
      <c r="P854" s="52"/>
      <c r="Q854" s="52"/>
      <c r="R854" s="52"/>
      <c r="S854" s="52"/>
      <c r="T854" s="52"/>
      <c r="U854" s="52"/>
      <c r="V854" s="52"/>
      <c r="W854" s="52"/>
      <c r="X854" s="52"/>
      <c r="Y854" s="52"/>
      <c r="Z854" s="52"/>
      <c r="AA854" s="52"/>
      <c r="AB854" s="52"/>
      <c r="AC854" s="52"/>
    </row>
    <row r="855">
      <c r="A855" s="52"/>
      <c r="B855" s="350"/>
      <c r="C855" s="52"/>
      <c r="D855" s="52"/>
      <c r="E855" s="52"/>
      <c r="F855" s="351"/>
      <c r="G855" s="52"/>
      <c r="H855" s="52"/>
      <c r="I855" s="52"/>
      <c r="J855" s="52"/>
      <c r="K855" s="52"/>
      <c r="L855" s="52"/>
      <c r="M855" s="52"/>
      <c r="N855" s="52"/>
      <c r="O855" s="52"/>
      <c r="P855" s="52"/>
      <c r="Q855" s="52"/>
      <c r="R855" s="52"/>
      <c r="S855" s="52"/>
      <c r="T855" s="52"/>
      <c r="U855" s="52"/>
      <c r="V855" s="52"/>
      <c r="W855" s="52"/>
      <c r="X855" s="52"/>
      <c r="Y855" s="52"/>
      <c r="Z855" s="52"/>
      <c r="AA855" s="52"/>
      <c r="AB855" s="52"/>
      <c r="AC855" s="52"/>
    </row>
    <row r="856">
      <c r="A856" s="52"/>
      <c r="B856" s="350"/>
      <c r="C856" s="52"/>
      <c r="D856" s="52"/>
      <c r="E856" s="52"/>
      <c r="F856" s="351"/>
      <c r="G856" s="52"/>
      <c r="H856" s="52"/>
      <c r="I856" s="52"/>
      <c r="J856" s="52"/>
      <c r="K856" s="52"/>
      <c r="L856" s="52"/>
      <c r="M856" s="52"/>
      <c r="N856" s="52"/>
      <c r="O856" s="52"/>
      <c r="P856" s="52"/>
      <c r="Q856" s="52"/>
      <c r="R856" s="52"/>
      <c r="S856" s="52"/>
      <c r="T856" s="52"/>
      <c r="U856" s="52"/>
      <c r="V856" s="52"/>
      <c r="W856" s="52"/>
      <c r="X856" s="52"/>
      <c r="Y856" s="52"/>
      <c r="Z856" s="52"/>
      <c r="AA856" s="52"/>
      <c r="AB856" s="52"/>
      <c r="AC856" s="52"/>
    </row>
    <row r="857">
      <c r="A857" s="52"/>
      <c r="B857" s="350"/>
      <c r="C857" s="52"/>
      <c r="D857" s="52"/>
      <c r="E857" s="52"/>
      <c r="F857" s="351"/>
      <c r="G857" s="52"/>
      <c r="H857" s="52"/>
      <c r="I857" s="52"/>
      <c r="J857" s="52"/>
      <c r="K857" s="52"/>
      <c r="L857" s="52"/>
      <c r="M857" s="52"/>
      <c r="N857" s="52"/>
      <c r="O857" s="52"/>
      <c r="P857" s="52"/>
      <c r="Q857" s="52"/>
      <c r="R857" s="52"/>
      <c r="S857" s="52"/>
      <c r="T857" s="52"/>
      <c r="U857" s="52"/>
      <c r="V857" s="52"/>
      <c r="W857" s="52"/>
      <c r="X857" s="52"/>
      <c r="Y857" s="52"/>
      <c r="Z857" s="52"/>
      <c r="AA857" s="52"/>
      <c r="AB857" s="52"/>
      <c r="AC857" s="52"/>
    </row>
    <row r="858">
      <c r="A858" s="52"/>
      <c r="B858" s="350"/>
      <c r="C858" s="52"/>
      <c r="D858" s="52"/>
      <c r="E858" s="52"/>
      <c r="F858" s="351"/>
      <c r="G858" s="52"/>
      <c r="H858" s="52"/>
      <c r="I858" s="52"/>
      <c r="J858" s="52"/>
      <c r="K858" s="52"/>
      <c r="L858" s="52"/>
      <c r="M858" s="52"/>
      <c r="N858" s="52"/>
      <c r="O858" s="52"/>
      <c r="P858" s="52"/>
      <c r="Q858" s="52"/>
      <c r="R858" s="52"/>
      <c r="S858" s="52"/>
      <c r="T858" s="52"/>
      <c r="U858" s="52"/>
      <c r="V858" s="52"/>
      <c r="W858" s="52"/>
      <c r="X858" s="52"/>
      <c r="Y858" s="52"/>
      <c r="Z858" s="52"/>
      <c r="AA858" s="52"/>
      <c r="AB858" s="52"/>
      <c r="AC858" s="52"/>
    </row>
    <row r="859">
      <c r="A859" s="52"/>
      <c r="B859" s="350"/>
      <c r="C859" s="52"/>
      <c r="D859" s="52"/>
      <c r="E859" s="52"/>
      <c r="F859" s="351"/>
      <c r="G859" s="52"/>
      <c r="H859" s="52"/>
      <c r="I859" s="52"/>
      <c r="J859" s="52"/>
      <c r="K859" s="52"/>
      <c r="L859" s="52"/>
      <c r="M859" s="52"/>
      <c r="N859" s="52"/>
      <c r="O859" s="52"/>
      <c r="P859" s="52"/>
      <c r="Q859" s="52"/>
      <c r="R859" s="52"/>
      <c r="S859" s="52"/>
      <c r="T859" s="52"/>
      <c r="U859" s="52"/>
      <c r="V859" s="52"/>
      <c r="W859" s="52"/>
      <c r="X859" s="52"/>
      <c r="Y859" s="52"/>
      <c r="Z859" s="52"/>
      <c r="AA859" s="52"/>
      <c r="AB859" s="52"/>
      <c r="AC859" s="52"/>
    </row>
    <row r="860">
      <c r="A860" s="52"/>
      <c r="B860" s="350"/>
      <c r="C860" s="52"/>
      <c r="D860" s="52"/>
      <c r="E860" s="52"/>
      <c r="F860" s="351"/>
      <c r="G860" s="52"/>
      <c r="H860" s="52"/>
      <c r="I860" s="52"/>
      <c r="J860" s="52"/>
      <c r="K860" s="52"/>
      <c r="L860" s="52"/>
      <c r="M860" s="52"/>
      <c r="N860" s="52"/>
      <c r="O860" s="52"/>
      <c r="P860" s="52"/>
      <c r="Q860" s="52"/>
      <c r="R860" s="52"/>
      <c r="S860" s="52"/>
      <c r="T860" s="52"/>
      <c r="U860" s="52"/>
      <c r="V860" s="52"/>
      <c r="W860" s="52"/>
      <c r="X860" s="52"/>
      <c r="Y860" s="52"/>
      <c r="Z860" s="52"/>
      <c r="AA860" s="52"/>
      <c r="AB860" s="52"/>
      <c r="AC860" s="52"/>
    </row>
    <row r="861">
      <c r="A861" s="52"/>
      <c r="B861" s="350"/>
      <c r="C861" s="52"/>
      <c r="D861" s="52"/>
      <c r="E861" s="52"/>
      <c r="F861" s="351"/>
      <c r="G861" s="52"/>
      <c r="H861" s="52"/>
      <c r="I861" s="52"/>
      <c r="J861" s="52"/>
      <c r="K861" s="52"/>
      <c r="L861" s="52"/>
      <c r="M861" s="52"/>
      <c r="N861" s="52"/>
      <c r="O861" s="52"/>
      <c r="P861" s="52"/>
      <c r="Q861" s="52"/>
      <c r="R861" s="52"/>
      <c r="S861" s="52"/>
      <c r="T861" s="52"/>
      <c r="U861" s="52"/>
      <c r="V861" s="52"/>
      <c r="W861" s="52"/>
      <c r="X861" s="52"/>
      <c r="Y861" s="52"/>
      <c r="Z861" s="52"/>
      <c r="AA861" s="52"/>
      <c r="AB861" s="52"/>
      <c r="AC861" s="52"/>
    </row>
    <row r="862">
      <c r="A862" s="52"/>
      <c r="B862" s="350"/>
      <c r="C862" s="52"/>
      <c r="D862" s="52"/>
      <c r="E862" s="52"/>
      <c r="F862" s="351"/>
      <c r="G862" s="52"/>
      <c r="H862" s="52"/>
      <c r="I862" s="52"/>
      <c r="J862" s="52"/>
      <c r="K862" s="52"/>
      <c r="L862" s="52"/>
      <c r="M862" s="52"/>
      <c r="N862" s="52"/>
      <c r="O862" s="52"/>
      <c r="P862" s="52"/>
      <c r="Q862" s="52"/>
      <c r="R862" s="52"/>
      <c r="S862" s="52"/>
      <c r="T862" s="52"/>
      <c r="U862" s="52"/>
      <c r="V862" s="52"/>
      <c r="W862" s="52"/>
      <c r="X862" s="52"/>
      <c r="Y862" s="52"/>
      <c r="Z862" s="52"/>
      <c r="AA862" s="52"/>
      <c r="AB862" s="52"/>
      <c r="AC862" s="52"/>
    </row>
    <row r="863">
      <c r="A863" s="52"/>
      <c r="B863" s="350"/>
      <c r="C863" s="52"/>
      <c r="D863" s="52"/>
      <c r="E863" s="52"/>
      <c r="F863" s="351"/>
      <c r="G863" s="52"/>
      <c r="H863" s="52"/>
      <c r="I863" s="52"/>
      <c r="J863" s="52"/>
      <c r="K863" s="52"/>
      <c r="L863" s="52"/>
      <c r="M863" s="52"/>
      <c r="N863" s="52"/>
      <c r="O863" s="52"/>
      <c r="P863" s="52"/>
      <c r="Q863" s="52"/>
      <c r="R863" s="52"/>
      <c r="S863" s="52"/>
      <c r="T863" s="52"/>
      <c r="U863" s="52"/>
      <c r="V863" s="52"/>
      <c r="W863" s="52"/>
      <c r="X863" s="52"/>
      <c r="Y863" s="52"/>
      <c r="Z863" s="52"/>
      <c r="AA863" s="52"/>
      <c r="AB863" s="52"/>
      <c r="AC863" s="52"/>
    </row>
    <row r="864">
      <c r="A864" s="52"/>
      <c r="B864" s="350"/>
      <c r="C864" s="52"/>
      <c r="D864" s="52"/>
      <c r="E864" s="52"/>
      <c r="F864" s="351"/>
      <c r="G864" s="52"/>
      <c r="H864" s="52"/>
      <c r="I864" s="52"/>
      <c r="J864" s="52"/>
      <c r="K864" s="52"/>
      <c r="L864" s="52"/>
      <c r="M864" s="52"/>
      <c r="N864" s="52"/>
      <c r="O864" s="52"/>
      <c r="P864" s="52"/>
      <c r="Q864" s="52"/>
      <c r="R864" s="52"/>
      <c r="S864" s="52"/>
      <c r="T864" s="52"/>
      <c r="U864" s="52"/>
      <c r="V864" s="52"/>
      <c r="W864" s="52"/>
      <c r="X864" s="52"/>
      <c r="Y864" s="52"/>
      <c r="Z864" s="52"/>
      <c r="AA864" s="52"/>
      <c r="AB864" s="52"/>
      <c r="AC864" s="52"/>
    </row>
    <row r="865">
      <c r="A865" s="52"/>
      <c r="B865" s="350"/>
      <c r="C865" s="52"/>
      <c r="D865" s="52"/>
      <c r="E865" s="52"/>
      <c r="F865" s="351"/>
      <c r="G865" s="52"/>
      <c r="H865" s="52"/>
      <c r="I865" s="52"/>
      <c r="J865" s="52"/>
      <c r="K865" s="52"/>
      <c r="L865" s="52"/>
      <c r="M865" s="52"/>
      <c r="N865" s="52"/>
      <c r="O865" s="52"/>
      <c r="P865" s="52"/>
      <c r="Q865" s="52"/>
      <c r="R865" s="52"/>
      <c r="S865" s="52"/>
      <c r="T865" s="52"/>
      <c r="U865" s="52"/>
      <c r="V865" s="52"/>
      <c r="W865" s="52"/>
      <c r="X865" s="52"/>
      <c r="Y865" s="52"/>
      <c r="Z865" s="52"/>
      <c r="AA865" s="52"/>
      <c r="AB865" s="52"/>
      <c r="AC865" s="52"/>
    </row>
    <row r="866">
      <c r="A866" s="52"/>
      <c r="B866" s="350"/>
      <c r="C866" s="52"/>
      <c r="D866" s="52"/>
      <c r="E866" s="52"/>
      <c r="F866" s="351"/>
      <c r="G866" s="52"/>
      <c r="H866" s="52"/>
      <c r="I866" s="52"/>
      <c r="J866" s="52"/>
      <c r="K866" s="52"/>
      <c r="L866" s="52"/>
      <c r="M866" s="52"/>
      <c r="N866" s="52"/>
      <c r="O866" s="52"/>
      <c r="P866" s="52"/>
      <c r="Q866" s="52"/>
      <c r="R866" s="52"/>
      <c r="S866" s="52"/>
      <c r="T866" s="52"/>
      <c r="U866" s="52"/>
      <c r="V866" s="52"/>
      <c r="W866" s="52"/>
      <c r="X866" s="52"/>
      <c r="Y866" s="52"/>
      <c r="Z866" s="52"/>
      <c r="AA866" s="52"/>
      <c r="AB866" s="52"/>
      <c r="AC866" s="52"/>
    </row>
    <row r="867">
      <c r="A867" s="52"/>
      <c r="B867" s="350"/>
      <c r="C867" s="52"/>
      <c r="D867" s="52"/>
      <c r="E867" s="52"/>
      <c r="F867" s="351"/>
      <c r="G867" s="52"/>
      <c r="H867" s="52"/>
      <c r="I867" s="52"/>
      <c r="J867" s="52"/>
      <c r="K867" s="52"/>
      <c r="L867" s="52"/>
      <c r="M867" s="52"/>
      <c r="N867" s="52"/>
      <c r="O867" s="52"/>
      <c r="P867" s="52"/>
      <c r="Q867" s="52"/>
      <c r="R867" s="52"/>
      <c r="S867" s="52"/>
      <c r="T867" s="52"/>
      <c r="U867" s="52"/>
      <c r="V867" s="52"/>
      <c r="W867" s="52"/>
      <c r="X867" s="52"/>
      <c r="Y867" s="52"/>
      <c r="Z867" s="52"/>
      <c r="AA867" s="52"/>
      <c r="AB867" s="52"/>
      <c r="AC867" s="52"/>
    </row>
    <row r="868">
      <c r="A868" s="52"/>
      <c r="B868" s="350"/>
      <c r="C868" s="52"/>
      <c r="D868" s="52"/>
      <c r="E868" s="52"/>
      <c r="F868" s="351"/>
      <c r="G868" s="52"/>
      <c r="H868" s="52"/>
      <c r="I868" s="52"/>
      <c r="J868" s="52"/>
      <c r="K868" s="52"/>
      <c r="L868" s="52"/>
      <c r="M868" s="52"/>
      <c r="N868" s="52"/>
      <c r="O868" s="52"/>
      <c r="P868" s="52"/>
      <c r="Q868" s="52"/>
      <c r="R868" s="52"/>
      <c r="S868" s="52"/>
      <c r="T868" s="52"/>
      <c r="U868" s="52"/>
      <c r="V868" s="52"/>
      <c r="W868" s="52"/>
      <c r="X868" s="52"/>
      <c r="Y868" s="52"/>
      <c r="Z868" s="52"/>
      <c r="AA868" s="52"/>
      <c r="AB868" s="52"/>
      <c r="AC868" s="52"/>
    </row>
    <row r="869">
      <c r="A869" s="52"/>
      <c r="B869" s="350"/>
      <c r="C869" s="52"/>
      <c r="D869" s="52"/>
      <c r="E869" s="52"/>
      <c r="F869" s="351"/>
      <c r="G869" s="52"/>
      <c r="H869" s="52"/>
      <c r="I869" s="52"/>
      <c r="J869" s="52"/>
      <c r="K869" s="52"/>
      <c r="L869" s="52"/>
      <c r="M869" s="52"/>
      <c r="N869" s="52"/>
      <c r="O869" s="52"/>
      <c r="P869" s="52"/>
      <c r="Q869" s="52"/>
      <c r="R869" s="52"/>
      <c r="S869" s="52"/>
      <c r="T869" s="52"/>
      <c r="U869" s="52"/>
      <c r="V869" s="52"/>
      <c r="W869" s="52"/>
      <c r="X869" s="52"/>
      <c r="Y869" s="52"/>
      <c r="Z869" s="52"/>
      <c r="AA869" s="52"/>
      <c r="AB869" s="52"/>
      <c r="AC869" s="52"/>
    </row>
    <row r="870">
      <c r="A870" s="52"/>
      <c r="B870" s="350"/>
      <c r="C870" s="52"/>
      <c r="D870" s="52"/>
      <c r="E870" s="52"/>
      <c r="F870" s="351"/>
      <c r="G870" s="52"/>
      <c r="H870" s="52"/>
      <c r="I870" s="52"/>
      <c r="J870" s="52"/>
      <c r="K870" s="52"/>
      <c r="L870" s="52"/>
      <c r="M870" s="52"/>
      <c r="N870" s="52"/>
      <c r="O870" s="52"/>
      <c r="P870" s="52"/>
      <c r="Q870" s="52"/>
      <c r="R870" s="52"/>
      <c r="S870" s="52"/>
      <c r="T870" s="52"/>
      <c r="U870" s="52"/>
      <c r="V870" s="52"/>
      <c r="W870" s="52"/>
      <c r="X870" s="52"/>
      <c r="Y870" s="52"/>
      <c r="Z870" s="52"/>
      <c r="AA870" s="52"/>
      <c r="AB870" s="52"/>
      <c r="AC870" s="52"/>
    </row>
    <row r="871">
      <c r="A871" s="52"/>
      <c r="B871" s="350"/>
      <c r="C871" s="52"/>
      <c r="D871" s="52"/>
      <c r="E871" s="52"/>
      <c r="F871" s="351"/>
      <c r="G871" s="52"/>
      <c r="H871" s="52"/>
      <c r="I871" s="52"/>
      <c r="J871" s="52"/>
      <c r="K871" s="52"/>
      <c r="L871" s="52"/>
      <c r="M871" s="52"/>
      <c r="N871" s="52"/>
      <c r="O871" s="52"/>
      <c r="P871" s="52"/>
      <c r="Q871" s="52"/>
      <c r="R871" s="52"/>
      <c r="S871" s="52"/>
      <c r="T871" s="52"/>
      <c r="U871" s="52"/>
      <c r="V871" s="52"/>
      <c r="W871" s="52"/>
      <c r="X871" s="52"/>
      <c r="Y871" s="52"/>
      <c r="Z871" s="52"/>
      <c r="AA871" s="52"/>
      <c r="AB871" s="52"/>
      <c r="AC871" s="52"/>
    </row>
    <row r="872">
      <c r="A872" s="52"/>
      <c r="B872" s="350"/>
      <c r="C872" s="52"/>
      <c r="D872" s="52"/>
      <c r="E872" s="52"/>
      <c r="F872" s="351"/>
      <c r="G872" s="52"/>
      <c r="H872" s="52"/>
      <c r="I872" s="52"/>
      <c r="J872" s="52"/>
      <c r="K872" s="52"/>
      <c r="L872" s="52"/>
      <c r="M872" s="52"/>
      <c r="N872" s="52"/>
      <c r="O872" s="52"/>
      <c r="P872" s="52"/>
      <c r="Q872" s="52"/>
      <c r="R872" s="52"/>
      <c r="S872" s="52"/>
      <c r="T872" s="52"/>
      <c r="U872" s="52"/>
      <c r="V872" s="52"/>
      <c r="W872" s="52"/>
      <c r="X872" s="52"/>
      <c r="Y872" s="52"/>
      <c r="Z872" s="52"/>
      <c r="AA872" s="52"/>
      <c r="AB872" s="52"/>
      <c r="AC872" s="52"/>
    </row>
    <row r="873">
      <c r="A873" s="52"/>
      <c r="B873" s="350"/>
      <c r="C873" s="52"/>
      <c r="D873" s="52"/>
      <c r="E873" s="52"/>
      <c r="F873" s="351"/>
      <c r="G873" s="52"/>
      <c r="H873" s="52"/>
      <c r="I873" s="52"/>
      <c r="J873" s="52"/>
      <c r="K873" s="52"/>
      <c r="L873" s="52"/>
      <c r="M873" s="52"/>
      <c r="N873" s="52"/>
      <c r="O873" s="52"/>
      <c r="P873" s="52"/>
      <c r="Q873" s="52"/>
      <c r="R873" s="52"/>
      <c r="S873" s="52"/>
      <c r="T873" s="52"/>
      <c r="U873" s="52"/>
      <c r="V873" s="52"/>
      <c r="W873" s="52"/>
      <c r="X873" s="52"/>
      <c r="Y873" s="52"/>
      <c r="Z873" s="52"/>
      <c r="AA873" s="52"/>
      <c r="AB873" s="52"/>
      <c r="AC873" s="52"/>
    </row>
    <row r="874">
      <c r="A874" s="52"/>
      <c r="B874" s="350"/>
      <c r="C874" s="52"/>
      <c r="D874" s="52"/>
      <c r="E874" s="52"/>
      <c r="F874" s="351"/>
      <c r="G874" s="52"/>
      <c r="H874" s="52"/>
      <c r="I874" s="52"/>
      <c r="J874" s="52"/>
      <c r="K874" s="52"/>
      <c r="L874" s="52"/>
      <c r="M874" s="52"/>
      <c r="N874" s="52"/>
      <c r="O874" s="52"/>
      <c r="P874" s="52"/>
      <c r="Q874" s="52"/>
      <c r="R874" s="52"/>
      <c r="S874" s="52"/>
      <c r="T874" s="52"/>
      <c r="U874" s="52"/>
      <c r="V874" s="52"/>
      <c r="W874" s="52"/>
      <c r="X874" s="52"/>
      <c r="Y874" s="52"/>
      <c r="Z874" s="52"/>
      <c r="AA874" s="52"/>
      <c r="AB874" s="52"/>
      <c r="AC874" s="52"/>
    </row>
    <row r="875">
      <c r="A875" s="52"/>
      <c r="B875" s="350"/>
      <c r="C875" s="52"/>
      <c r="D875" s="52"/>
      <c r="E875" s="52"/>
      <c r="F875" s="351"/>
      <c r="G875" s="52"/>
      <c r="H875" s="52"/>
      <c r="I875" s="52"/>
      <c r="J875" s="52"/>
      <c r="K875" s="52"/>
      <c r="L875" s="52"/>
      <c r="M875" s="52"/>
      <c r="N875" s="52"/>
      <c r="O875" s="52"/>
      <c r="P875" s="52"/>
      <c r="Q875" s="52"/>
      <c r="R875" s="52"/>
      <c r="S875" s="52"/>
      <c r="T875" s="52"/>
      <c r="U875" s="52"/>
      <c r="V875" s="52"/>
      <c r="W875" s="52"/>
      <c r="X875" s="52"/>
      <c r="Y875" s="52"/>
      <c r="Z875" s="52"/>
      <c r="AA875" s="52"/>
      <c r="AB875" s="52"/>
      <c r="AC875" s="52"/>
    </row>
    <row r="876">
      <c r="A876" s="52"/>
      <c r="B876" s="350"/>
      <c r="C876" s="52"/>
      <c r="D876" s="52"/>
      <c r="E876" s="52"/>
      <c r="F876" s="351"/>
      <c r="G876" s="52"/>
      <c r="H876" s="52"/>
      <c r="I876" s="52"/>
      <c r="J876" s="52"/>
      <c r="K876" s="52"/>
      <c r="L876" s="52"/>
      <c r="M876" s="52"/>
      <c r="N876" s="52"/>
      <c r="O876" s="52"/>
      <c r="P876" s="52"/>
      <c r="Q876" s="52"/>
      <c r="R876" s="52"/>
      <c r="S876" s="52"/>
      <c r="T876" s="52"/>
      <c r="U876" s="52"/>
      <c r="V876" s="52"/>
      <c r="W876" s="52"/>
      <c r="X876" s="52"/>
      <c r="Y876" s="52"/>
      <c r="Z876" s="52"/>
      <c r="AA876" s="52"/>
      <c r="AB876" s="52"/>
      <c r="AC876" s="52"/>
    </row>
    <row r="877">
      <c r="A877" s="52"/>
      <c r="B877" s="350"/>
      <c r="C877" s="52"/>
      <c r="D877" s="52"/>
      <c r="E877" s="52"/>
      <c r="F877" s="351"/>
      <c r="G877" s="52"/>
      <c r="H877" s="52"/>
      <c r="I877" s="52"/>
      <c r="J877" s="52"/>
      <c r="K877" s="52"/>
      <c r="L877" s="52"/>
      <c r="M877" s="52"/>
      <c r="N877" s="52"/>
      <c r="O877" s="52"/>
      <c r="P877" s="52"/>
      <c r="Q877" s="52"/>
      <c r="R877" s="52"/>
      <c r="S877" s="52"/>
      <c r="T877" s="52"/>
      <c r="U877" s="52"/>
      <c r="V877" s="52"/>
      <c r="W877" s="52"/>
      <c r="X877" s="52"/>
      <c r="Y877" s="52"/>
      <c r="Z877" s="52"/>
      <c r="AA877" s="52"/>
      <c r="AB877" s="52"/>
      <c r="AC877" s="52"/>
    </row>
    <row r="878">
      <c r="A878" s="52"/>
      <c r="B878" s="350"/>
      <c r="C878" s="52"/>
      <c r="D878" s="52"/>
      <c r="E878" s="52"/>
      <c r="F878" s="351"/>
      <c r="G878" s="52"/>
      <c r="H878" s="52"/>
      <c r="I878" s="52"/>
      <c r="J878" s="52"/>
      <c r="K878" s="52"/>
      <c r="L878" s="52"/>
      <c r="M878" s="52"/>
      <c r="N878" s="52"/>
      <c r="O878" s="52"/>
      <c r="P878" s="52"/>
      <c r="Q878" s="52"/>
      <c r="R878" s="52"/>
      <c r="S878" s="52"/>
      <c r="T878" s="52"/>
      <c r="U878" s="52"/>
      <c r="V878" s="52"/>
      <c r="W878" s="52"/>
      <c r="X878" s="52"/>
      <c r="Y878" s="52"/>
      <c r="Z878" s="52"/>
      <c r="AA878" s="52"/>
      <c r="AB878" s="52"/>
      <c r="AC878" s="52"/>
    </row>
    <row r="879">
      <c r="A879" s="52"/>
      <c r="B879" s="350"/>
      <c r="C879" s="52"/>
      <c r="D879" s="52"/>
      <c r="E879" s="52"/>
      <c r="F879" s="351"/>
      <c r="G879" s="52"/>
      <c r="H879" s="52"/>
      <c r="I879" s="52"/>
      <c r="J879" s="52"/>
      <c r="K879" s="52"/>
      <c r="L879" s="52"/>
      <c r="M879" s="52"/>
      <c r="N879" s="52"/>
      <c r="O879" s="52"/>
      <c r="P879" s="52"/>
      <c r="Q879" s="52"/>
      <c r="R879" s="52"/>
      <c r="S879" s="52"/>
      <c r="T879" s="52"/>
      <c r="U879" s="52"/>
      <c r="V879" s="52"/>
      <c r="W879" s="52"/>
      <c r="X879" s="52"/>
      <c r="Y879" s="52"/>
      <c r="Z879" s="52"/>
      <c r="AA879" s="52"/>
      <c r="AB879" s="52"/>
      <c r="AC879" s="52"/>
    </row>
    <row r="880">
      <c r="A880" s="52"/>
      <c r="B880" s="350"/>
      <c r="C880" s="52"/>
      <c r="D880" s="52"/>
      <c r="E880" s="52"/>
      <c r="F880" s="351"/>
      <c r="G880" s="52"/>
      <c r="H880" s="52"/>
      <c r="I880" s="52"/>
      <c r="J880" s="52"/>
      <c r="K880" s="52"/>
      <c r="L880" s="52"/>
      <c r="M880" s="52"/>
      <c r="N880" s="52"/>
      <c r="O880" s="52"/>
      <c r="P880" s="52"/>
      <c r="Q880" s="52"/>
      <c r="R880" s="52"/>
      <c r="S880" s="52"/>
      <c r="T880" s="52"/>
      <c r="U880" s="52"/>
      <c r="V880" s="52"/>
      <c r="W880" s="52"/>
      <c r="X880" s="52"/>
      <c r="Y880" s="52"/>
      <c r="Z880" s="52"/>
      <c r="AA880" s="52"/>
      <c r="AB880" s="52"/>
      <c r="AC880" s="52"/>
    </row>
    <row r="881">
      <c r="A881" s="52"/>
      <c r="B881" s="350"/>
      <c r="C881" s="52"/>
      <c r="D881" s="52"/>
      <c r="E881" s="52"/>
      <c r="F881" s="351"/>
      <c r="G881" s="52"/>
      <c r="H881" s="52"/>
      <c r="I881" s="52"/>
      <c r="J881" s="52"/>
      <c r="K881" s="52"/>
      <c r="L881" s="52"/>
      <c r="M881" s="52"/>
      <c r="N881" s="52"/>
      <c r="O881" s="52"/>
      <c r="P881" s="52"/>
      <c r="Q881" s="52"/>
      <c r="R881" s="52"/>
      <c r="S881" s="52"/>
      <c r="T881" s="52"/>
      <c r="U881" s="52"/>
      <c r="V881" s="52"/>
      <c r="W881" s="52"/>
      <c r="X881" s="52"/>
      <c r="Y881" s="52"/>
      <c r="Z881" s="52"/>
      <c r="AA881" s="52"/>
      <c r="AB881" s="52"/>
      <c r="AC881" s="52"/>
    </row>
    <row r="882">
      <c r="A882" s="52"/>
      <c r="B882" s="350"/>
      <c r="C882" s="52"/>
      <c r="D882" s="52"/>
      <c r="E882" s="52"/>
      <c r="F882" s="351"/>
      <c r="G882" s="52"/>
      <c r="H882" s="52"/>
      <c r="I882" s="52"/>
      <c r="J882" s="52"/>
      <c r="K882" s="52"/>
      <c r="L882" s="52"/>
      <c r="M882" s="52"/>
      <c r="N882" s="52"/>
      <c r="O882" s="52"/>
      <c r="P882" s="52"/>
      <c r="Q882" s="52"/>
      <c r="R882" s="52"/>
      <c r="S882" s="52"/>
      <c r="T882" s="52"/>
      <c r="U882" s="52"/>
      <c r="V882" s="52"/>
      <c r="W882" s="52"/>
      <c r="X882" s="52"/>
      <c r="Y882" s="52"/>
      <c r="Z882" s="52"/>
      <c r="AA882" s="52"/>
      <c r="AB882" s="52"/>
      <c r="AC882" s="52"/>
    </row>
    <row r="883">
      <c r="A883" s="52"/>
      <c r="B883" s="350"/>
      <c r="C883" s="52"/>
      <c r="D883" s="52"/>
      <c r="E883" s="52"/>
      <c r="F883" s="351"/>
      <c r="G883" s="52"/>
      <c r="H883" s="52"/>
      <c r="I883" s="52"/>
      <c r="J883" s="52"/>
      <c r="K883" s="52"/>
      <c r="L883" s="52"/>
      <c r="M883" s="52"/>
      <c r="N883" s="52"/>
      <c r="O883" s="52"/>
      <c r="P883" s="52"/>
      <c r="Q883" s="52"/>
      <c r="R883" s="52"/>
      <c r="S883" s="52"/>
      <c r="T883" s="52"/>
      <c r="U883" s="52"/>
      <c r="V883" s="52"/>
      <c r="W883" s="52"/>
      <c r="X883" s="52"/>
      <c r="Y883" s="52"/>
      <c r="Z883" s="52"/>
      <c r="AA883" s="52"/>
      <c r="AB883" s="52"/>
      <c r="AC883" s="52"/>
    </row>
    <row r="884">
      <c r="A884" s="52"/>
      <c r="B884" s="350"/>
      <c r="C884" s="52"/>
      <c r="D884" s="52"/>
      <c r="E884" s="52"/>
      <c r="F884" s="351"/>
      <c r="G884" s="52"/>
      <c r="H884" s="52"/>
      <c r="I884" s="52"/>
      <c r="J884" s="52"/>
      <c r="K884" s="52"/>
      <c r="L884" s="52"/>
      <c r="M884" s="52"/>
      <c r="N884" s="52"/>
      <c r="O884" s="52"/>
      <c r="P884" s="52"/>
      <c r="Q884" s="52"/>
      <c r="R884" s="52"/>
      <c r="S884" s="52"/>
      <c r="T884" s="52"/>
      <c r="U884" s="52"/>
      <c r="V884" s="52"/>
      <c r="W884" s="52"/>
      <c r="X884" s="52"/>
      <c r="Y884" s="52"/>
      <c r="Z884" s="52"/>
      <c r="AA884" s="52"/>
      <c r="AB884" s="52"/>
      <c r="AC884" s="52"/>
    </row>
    <row r="885">
      <c r="A885" s="52"/>
      <c r="B885" s="350"/>
      <c r="C885" s="52"/>
      <c r="D885" s="52"/>
      <c r="E885" s="52"/>
      <c r="F885" s="351"/>
      <c r="G885" s="52"/>
      <c r="H885" s="52"/>
      <c r="I885" s="52"/>
      <c r="J885" s="52"/>
      <c r="K885" s="52"/>
      <c r="L885" s="52"/>
      <c r="M885" s="52"/>
      <c r="N885" s="52"/>
      <c r="O885" s="52"/>
      <c r="P885" s="52"/>
      <c r="Q885" s="52"/>
      <c r="R885" s="52"/>
      <c r="S885" s="52"/>
      <c r="T885" s="52"/>
      <c r="U885" s="52"/>
      <c r="V885" s="52"/>
      <c r="W885" s="52"/>
      <c r="X885" s="52"/>
      <c r="Y885" s="52"/>
      <c r="Z885" s="52"/>
      <c r="AA885" s="52"/>
      <c r="AB885" s="52"/>
      <c r="AC885" s="52"/>
    </row>
    <row r="886">
      <c r="A886" s="52"/>
      <c r="B886" s="350"/>
      <c r="C886" s="52"/>
      <c r="D886" s="52"/>
      <c r="E886" s="52"/>
      <c r="F886" s="351"/>
      <c r="G886" s="52"/>
      <c r="H886" s="52"/>
      <c r="I886" s="52"/>
      <c r="J886" s="52"/>
      <c r="K886" s="52"/>
      <c r="L886" s="52"/>
      <c r="M886" s="52"/>
      <c r="N886" s="52"/>
      <c r="O886" s="52"/>
      <c r="P886" s="52"/>
      <c r="Q886" s="52"/>
      <c r="R886" s="52"/>
      <c r="S886" s="52"/>
      <c r="T886" s="52"/>
      <c r="U886" s="52"/>
      <c r="V886" s="52"/>
      <c r="W886" s="52"/>
      <c r="X886" s="52"/>
      <c r="Y886" s="52"/>
      <c r="Z886" s="52"/>
      <c r="AA886" s="52"/>
      <c r="AB886" s="52"/>
      <c r="AC886" s="52"/>
    </row>
    <row r="887">
      <c r="A887" s="52"/>
      <c r="B887" s="350"/>
      <c r="C887" s="52"/>
      <c r="D887" s="52"/>
      <c r="E887" s="52"/>
      <c r="F887" s="351"/>
      <c r="G887" s="52"/>
      <c r="H887" s="52"/>
      <c r="I887" s="52"/>
      <c r="J887" s="52"/>
      <c r="K887" s="52"/>
      <c r="L887" s="52"/>
      <c r="M887" s="52"/>
      <c r="N887" s="52"/>
      <c r="O887" s="52"/>
      <c r="P887" s="52"/>
      <c r="Q887" s="52"/>
      <c r="R887" s="52"/>
      <c r="S887" s="52"/>
      <c r="T887" s="52"/>
      <c r="U887" s="52"/>
      <c r="V887" s="52"/>
      <c r="W887" s="52"/>
      <c r="X887" s="52"/>
      <c r="Y887" s="52"/>
      <c r="Z887" s="52"/>
      <c r="AA887" s="52"/>
      <c r="AB887" s="52"/>
      <c r="AC887" s="52"/>
    </row>
    <row r="888">
      <c r="A888" s="52"/>
      <c r="B888" s="350"/>
      <c r="C888" s="52"/>
      <c r="D888" s="52"/>
      <c r="E888" s="52"/>
      <c r="F888" s="351"/>
      <c r="G888" s="52"/>
      <c r="H888" s="52"/>
      <c r="I888" s="52"/>
      <c r="J888" s="52"/>
      <c r="K888" s="52"/>
      <c r="L888" s="52"/>
      <c r="M888" s="52"/>
      <c r="N888" s="52"/>
      <c r="O888" s="52"/>
      <c r="P888" s="52"/>
      <c r="Q888" s="52"/>
      <c r="R888" s="52"/>
      <c r="S888" s="52"/>
      <c r="T888" s="52"/>
      <c r="U888" s="52"/>
      <c r="V888" s="52"/>
      <c r="W888" s="52"/>
      <c r="X888" s="52"/>
      <c r="Y888" s="52"/>
      <c r="Z888" s="52"/>
      <c r="AA888" s="52"/>
      <c r="AB888" s="52"/>
      <c r="AC888" s="52"/>
    </row>
    <row r="889">
      <c r="A889" s="52"/>
      <c r="B889" s="350"/>
      <c r="C889" s="52"/>
      <c r="D889" s="52"/>
      <c r="E889" s="52"/>
      <c r="F889" s="351"/>
      <c r="G889" s="52"/>
      <c r="H889" s="52"/>
      <c r="I889" s="52"/>
      <c r="J889" s="52"/>
      <c r="K889" s="52"/>
      <c r="L889" s="52"/>
      <c r="M889" s="52"/>
      <c r="N889" s="52"/>
      <c r="O889" s="52"/>
      <c r="P889" s="52"/>
      <c r="Q889" s="52"/>
      <c r="R889" s="52"/>
      <c r="S889" s="52"/>
      <c r="T889" s="52"/>
      <c r="U889" s="52"/>
      <c r="V889" s="52"/>
      <c r="W889" s="52"/>
      <c r="X889" s="52"/>
      <c r="Y889" s="52"/>
      <c r="Z889" s="52"/>
      <c r="AA889" s="52"/>
      <c r="AB889" s="52"/>
      <c r="AC889" s="52"/>
    </row>
    <row r="890">
      <c r="A890" s="52"/>
      <c r="B890" s="350"/>
      <c r="C890" s="52"/>
      <c r="D890" s="52"/>
      <c r="E890" s="52"/>
      <c r="F890" s="351"/>
      <c r="G890" s="52"/>
      <c r="H890" s="52"/>
      <c r="I890" s="52"/>
      <c r="J890" s="52"/>
      <c r="K890" s="52"/>
      <c r="L890" s="52"/>
      <c r="M890" s="52"/>
      <c r="N890" s="52"/>
      <c r="O890" s="52"/>
      <c r="P890" s="52"/>
      <c r="Q890" s="52"/>
      <c r="R890" s="52"/>
      <c r="S890" s="52"/>
      <c r="T890" s="52"/>
      <c r="U890" s="52"/>
      <c r="V890" s="52"/>
      <c r="W890" s="52"/>
      <c r="X890" s="52"/>
      <c r="Y890" s="52"/>
      <c r="Z890" s="52"/>
      <c r="AA890" s="52"/>
      <c r="AB890" s="52"/>
      <c r="AC890" s="52"/>
    </row>
    <row r="891">
      <c r="A891" s="52"/>
      <c r="B891" s="350"/>
      <c r="C891" s="52"/>
      <c r="D891" s="52"/>
      <c r="E891" s="52"/>
      <c r="F891" s="351"/>
      <c r="G891" s="52"/>
      <c r="H891" s="52"/>
      <c r="I891" s="52"/>
      <c r="J891" s="52"/>
      <c r="K891" s="52"/>
      <c r="L891" s="52"/>
      <c r="M891" s="52"/>
      <c r="N891" s="52"/>
      <c r="O891" s="52"/>
      <c r="P891" s="52"/>
      <c r="Q891" s="52"/>
      <c r="R891" s="52"/>
      <c r="S891" s="52"/>
      <c r="T891" s="52"/>
      <c r="U891" s="52"/>
      <c r="V891" s="52"/>
      <c r="W891" s="52"/>
      <c r="X891" s="52"/>
      <c r="Y891" s="52"/>
      <c r="Z891" s="52"/>
      <c r="AA891" s="52"/>
      <c r="AB891" s="52"/>
      <c r="AC891" s="52"/>
    </row>
    <row r="892">
      <c r="A892" s="52"/>
      <c r="B892" s="350"/>
      <c r="C892" s="52"/>
      <c r="D892" s="52"/>
      <c r="E892" s="52"/>
      <c r="F892" s="351"/>
      <c r="G892" s="52"/>
      <c r="H892" s="52"/>
      <c r="I892" s="52"/>
      <c r="J892" s="52"/>
      <c r="K892" s="52"/>
      <c r="L892" s="52"/>
      <c r="M892" s="52"/>
      <c r="N892" s="52"/>
      <c r="O892" s="52"/>
      <c r="P892" s="52"/>
      <c r="Q892" s="52"/>
      <c r="R892" s="52"/>
      <c r="S892" s="52"/>
      <c r="T892" s="52"/>
      <c r="U892" s="52"/>
      <c r="V892" s="52"/>
      <c r="W892" s="52"/>
      <c r="X892" s="52"/>
      <c r="Y892" s="52"/>
      <c r="Z892" s="52"/>
      <c r="AA892" s="52"/>
      <c r="AB892" s="52"/>
      <c r="AC892" s="52"/>
    </row>
    <row r="893">
      <c r="A893" s="52"/>
      <c r="B893" s="350"/>
      <c r="C893" s="52"/>
      <c r="D893" s="52"/>
      <c r="E893" s="52"/>
      <c r="F893" s="351"/>
      <c r="G893" s="52"/>
      <c r="H893" s="52"/>
      <c r="I893" s="52"/>
      <c r="J893" s="52"/>
      <c r="K893" s="52"/>
      <c r="L893" s="52"/>
      <c r="M893" s="52"/>
      <c r="N893" s="52"/>
      <c r="O893" s="52"/>
      <c r="P893" s="52"/>
      <c r="Q893" s="52"/>
      <c r="R893" s="52"/>
      <c r="S893" s="52"/>
      <c r="T893" s="52"/>
      <c r="U893" s="52"/>
      <c r="V893" s="52"/>
      <c r="W893" s="52"/>
      <c r="X893" s="52"/>
      <c r="Y893" s="52"/>
      <c r="Z893" s="52"/>
      <c r="AA893" s="52"/>
      <c r="AB893" s="52"/>
      <c r="AC893" s="52"/>
    </row>
    <row r="894">
      <c r="A894" s="52"/>
      <c r="B894" s="350"/>
      <c r="C894" s="52"/>
      <c r="D894" s="52"/>
      <c r="E894" s="52"/>
      <c r="F894" s="351"/>
      <c r="G894" s="52"/>
      <c r="H894" s="52"/>
      <c r="I894" s="52"/>
      <c r="J894" s="52"/>
      <c r="K894" s="52"/>
      <c r="L894" s="52"/>
      <c r="M894" s="52"/>
      <c r="N894" s="52"/>
      <c r="O894" s="52"/>
      <c r="P894" s="52"/>
      <c r="Q894" s="52"/>
      <c r="R894" s="52"/>
      <c r="S894" s="52"/>
      <c r="T894" s="52"/>
      <c r="U894" s="52"/>
      <c r="V894" s="52"/>
      <c r="W894" s="52"/>
      <c r="X894" s="52"/>
      <c r="Y894" s="52"/>
      <c r="Z894" s="52"/>
      <c r="AA894" s="52"/>
      <c r="AB894" s="52"/>
      <c r="AC894" s="52"/>
    </row>
    <row r="895">
      <c r="A895" s="52"/>
      <c r="B895" s="350"/>
      <c r="C895" s="52"/>
      <c r="D895" s="52"/>
      <c r="E895" s="52"/>
      <c r="F895" s="351"/>
      <c r="G895" s="52"/>
      <c r="H895" s="52"/>
      <c r="I895" s="52"/>
      <c r="J895" s="52"/>
      <c r="K895" s="52"/>
      <c r="L895" s="52"/>
      <c r="M895" s="52"/>
      <c r="N895" s="52"/>
      <c r="O895" s="52"/>
      <c r="P895" s="52"/>
      <c r="Q895" s="52"/>
      <c r="R895" s="52"/>
      <c r="S895" s="52"/>
      <c r="T895" s="52"/>
      <c r="U895" s="52"/>
      <c r="V895" s="52"/>
      <c r="W895" s="52"/>
      <c r="X895" s="52"/>
      <c r="Y895" s="52"/>
      <c r="Z895" s="52"/>
      <c r="AA895" s="52"/>
      <c r="AB895" s="52"/>
      <c r="AC895" s="52"/>
    </row>
    <row r="896">
      <c r="A896" s="52"/>
      <c r="B896" s="350"/>
      <c r="C896" s="52"/>
      <c r="D896" s="52"/>
      <c r="E896" s="52"/>
      <c r="F896" s="351"/>
      <c r="G896" s="52"/>
      <c r="H896" s="52"/>
      <c r="I896" s="52"/>
      <c r="J896" s="52"/>
      <c r="K896" s="52"/>
      <c r="L896" s="52"/>
      <c r="M896" s="52"/>
      <c r="N896" s="52"/>
      <c r="O896" s="52"/>
      <c r="P896" s="52"/>
      <c r="Q896" s="52"/>
      <c r="R896" s="52"/>
      <c r="S896" s="52"/>
      <c r="T896" s="52"/>
      <c r="U896" s="52"/>
      <c r="V896" s="52"/>
      <c r="W896" s="52"/>
      <c r="X896" s="52"/>
      <c r="Y896" s="52"/>
      <c r="Z896" s="52"/>
      <c r="AA896" s="52"/>
      <c r="AB896" s="52"/>
      <c r="AC896" s="52"/>
    </row>
    <row r="897">
      <c r="A897" s="52"/>
      <c r="B897" s="350"/>
      <c r="C897" s="52"/>
      <c r="D897" s="52"/>
      <c r="E897" s="52"/>
      <c r="F897" s="351"/>
      <c r="G897" s="52"/>
      <c r="H897" s="52"/>
      <c r="I897" s="52"/>
      <c r="J897" s="52"/>
      <c r="K897" s="52"/>
      <c r="L897" s="52"/>
      <c r="M897" s="52"/>
      <c r="N897" s="52"/>
      <c r="O897" s="52"/>
      <c r="P897" s="52"/>
      <c r="Q897" s="52"/>
      <c r="R897" s="52"/>
      <c r="S897" s="52"/>
      <c r="T897" s="52"/>
      <c r="U897" s="52"/>
      <c r="V897" s="52"/>
      <c r="W897" s="52"/>
      <c r="X897" s="52"/>
      <c r="Y897" s="52"/>
      <c r="Z897" s="52"/>
      <c r="AA897" s="52"/>
      <c r="AB897" s="52"/>
      <c r="AC897" s="52"/>
    </row>
    <row r="898">
      <c r="A898" s="52"/>
      <c r="B898" s="350"/>
      <c r="C898" s="52"/>
      <c r="D898" s="52"/>
      <c r="E898" s="52"/>
      <c r="F898" s="351"/>
      <c r="G898" s="52"/>
      <c r="H898" s="52"/>
      <c r="I898" s="52"/>
      <c r="J898" s="52"/>
      <c r="K898" s="52"/>
      <c r="L898" s="52"/>
      <c r="M898" s="52"/>
      <c r="N898" s="52"/>
      <c r="O898" s="52"/>
      <c r="P898" s="52"/>
      <c r="Q898" s="52"/>
      <c r="R898" s="52"/>
      <c r="S898" s="52"/>
      <c r="T898" s="52"/>
      <c r="U898" s="52"/>
      <c r="V898" s="52"/>
      <c r="W898" s="52"/>
      <c r="X898" s="52"/>
      <c r="Y898" s="52"/>
      <c r="Z898" s="52"/>
      <c r="AA898" s="52"/>
      <c r="AB898" s="52"/>
      <c r="AC898" s="52"/>
    </row>
    <row r="899">
      <c r="A899" s="52"/>
      <c r="B899" s="350"/>
      <c r="C899" s="52"/>
      <c r="D899" s="52"/>
      <c r="E899" s="52"/>
      <c r="F899" s="351"/>
      <c r="G899" s="52"/>
      <c r="H899" s="52"/>
      <c r="I899" s="52"/>
      <c r="J899" s="52"/>
      <c r="K899" s="52"/>
      <c r="L899" s="52"/>
      <c r="M899" s="52"/>
      <c r="N899" s="52"/>
      <c r="O899" s="52"/>
      <c r="P899" s="52"/>
      <c r="Q899" s="52"/>
      <c r="R899" s="52"/>
      <c r="S899" s="52"/>
      <c r="T899" s="52"/>
      <c r="U899" s="52"/>
      <c r="V899" s="52"/>
      <c r="W899" s="52"/>
      <c r="X899" s="52"/>
      <c r="Y899" s="52"/>
      <c r="Z899" s="52"/>
      <c r="AA899" s="52"/>
      <c r="AB899" s="52"/>
      <c r="AC899" s="52"/>
    </row>
    <row r="900">
      <c r="A900" s="52"/>
      <c r="B900" s="350"/>
      <c r="C900" s="52"/>
      <c r="D900" s="52"/>
      <c r="E900" s="52"/>
      <c r="F900" s="351"/>
      <c r="G900" s="52"/>
      <c r="H900" s="52"/>
      <c r="I900" s="52"/>
      <c r="J900" s="52"/>
      <c r="K900" s="52"/>
      <c r="L900" s="52"/>
      <c r="M900" s="52"/>
      <c r="N900" s="52"/>
      <c r="O900" s="52"/>
      <c r="P900" s="52"/>
      <c r="Q900" s="52"/>
      <c r="R900" s="52"/>
      <c r="S900" s="52"/>
      <c r="T900" s="52"/>
      <c r="U900" s="52"/>
      <c r="V900" s="52"/>
      <c r="W900" s="52"/>
      <c r="X900" s="52"/>
      <c r="Y900" s="52"/>
      <c r="Z900" s="52"/>
      <c r="AA900" s="52"/>
      <c r="AB900" s="52"/>
      <c r="AC900" s="52"/>
    </row>
    <row r="901">
      <c r="A901" s="52"/>
      <c r="B901" s="350"/>
      <c r="C901" s="52"/>
      <c r="D901" s="52"/>
      <c r="E901" s="52"/>
      <c r="F901" s="351"/>
      <c r="G901" s="52"/>
      <c r="H901" s="52"/>
      <c r="I901" s="52"/>
      <c r="J901" s="52"/>
      <c r="K901" s="52"/>
      <c r="L901" s="52"/>
      <c r="M901" s="52"/>
      <c r="N901" s="52"/>
      <c r="O901" s="52"/>
      <c r="P901" s="52"/>
      <c r="Q901" s="52"/>
      <c r="R901" s="52"/>
      <c r="S901" s="52"/>
      <c r="T901" s="52"/>
      <c r="U901" s="52"/>
      <c r="V901" s="52"/>
      <c r="W901" s="52"/>
      <c r="X901" s="52"/>
      <c r="Y901" s="52"/>
      <c r="Z901" s="52"/>
      <c r="AA901" s="52"/>
      <c r="AB901" s="52"/>
      <c r="AC901" s="52"/>
    </row>
    <row r="902">
      <c r="A902" s="52"/>
      <c r="B902" s="350"/>
      <c r="C902" s="52"/>
      <c r="D902" s="52"/>
      <c r="E902" s="52"/>
      <c r="F902" s="351"/>
      <c r="G902" s="52"/>
      <c r="H902" s="52"/>
      <c r="I902" s="52"/>
      <c r="J902" s="52"/>
      <c r="K902" s="52"/>
      <c r="L902" s="52"/>
      <c r="M902" s="52"/>
      <c r="N902" s="52"/>
      <c r="O902" s="52"/>
      <c r="P902" s="52"/>
      <c r="Q902" s="52"/>
      <c r="R902" s="52"/>
      <c r="S902" s="52"/>
      <c r="T902" s="52"/>
      <c r="U902" s="52"/>
      <c r="V902" s="52"/>
      <c r="W902" s="52"/>
      <c r="X902" s="52"/>
      <c r="Y902" s="52"/>
      <c r="Z902" s="52"/>
      <c r="AA902" s="52"/>
      <c r="AB902" s="52"/>
      <c r="AC902" s="52"/>
    </row>
    <row r="903">
      <c r="A903" s="52"/>
      <c r="B903" s="350"/>
      <c r="C903" s="52"/>
      <c r="D903" s="52"/>
      <c r="E903" s="52"/>
      <c r="F903" s="351"/>
      <c r="G903" s="52"/>
      <c r="H903" s="52"/>
      <c r="I903" s="52"/>
      <c r="J903" s="52"/>
      <c r="K903" s="52"/>
      <c r="L903" s="52"/>
      <c r="M903" s="52"/>
      <c r="N903" s="52"/>
      <c r="O903" s="52"/>
      <c r="P903" s="52"/>
      <c r="Q903" s="52"/>
      <c r="R903" s="52"/>
      <c r="S903" s="52"/>
      <c r="T903" s="52"/>
      <c r="U903" s="52"/>
      <c r="V903" s="52"/>
      <c r="W903" s="52"/>
      <c r="X903" s="52"/>
      <c r="Y903" s="52"/>
      <c r="Z903" s="52"/>
      <c r="AA903" s="52"/>
      <c r="AB903" s="52"/>
      <c r="AC903" s="52"/>
    </row>
    <row r="904">
      <c r="A904" s="52"/>
      <c r="B904" s="350"/>
      <c r="C904" s="52"/>
      <c r="D904" s="52"/>
      <c r="E904" s="52"/>
      <c r="F904" s="351"/>
      <c r="G904" s="52"/>
      <c r="H904" s="52"/>
      <c r="I904" s="52"/>
      <c r="J904" s="52"/>
      <c r="K904" s="52"/>
      <c r="L904" s="52"/>
      <c r="M904" s="52"/>
      <c r="N904" s="52"/>
      <c r="O904" s="52"/>
      <c r="P904" s="52"/>
      <c r="Q904" s="52"/>
      <c r="R904" s="52"/>
      <c r="S904" s="52"/>
      <c r="T904" s="52"/>
      <c r="U904" s="52"/>
      <c r="V904" s="52"/>
      <c r="W904" s="52"/>
      <c r="X904" s="52"/>
      <c r="Y904" s="52"/>
      <c r="Z904" s="52"/>
      <c r="AA904" s="52"/>
      <c r="AB904" s="52"/>
      <c r="AC904" s="52"/>
    </row>
    <row r="905">
      <c r="A905" s="52"/>
      <c r="B905" s="350"/>
      <c r="C905" s="52"/>
      <c r="D905" s="52"/>
      <c r="E905" s="52"/>
      <c r="F905" s="351"/>
      <c r="G905" s="52"/>
      <c r="H905" s="52"/>
      <c r="I905" s="52"/>
      <c r="J905" s="52"/>
      <c r="K905" s="52"/>
      <c r="L905" s="52"/>
      <c r="M905" s="52"/>
      <c r="N905" s="52"/>
      <c r="O905" s="52"/>
      <c r="P905" s="52"/>
      <c r="Q905" s="52"/>
      <c r="R905" s="52"/>
      <c r="S905" s="52"/>
      <c r="T905" s="52"/>
      <c r="U905" s="52"/>
      <c r="V905" s="52"/>
      <c r="W905" s="52"/>
      <c r="X905" s="52"/>
      <c r="Y905" s="52"/>
      <c r="Z905" s="52"/>
      <c r="AA905" s="52"/>
      <c r="AB905" s="52"/>
      <c r="AC905" s="52"/>
    </row>
    <row r="906">
      <c r="A906" s="52"/>
      <c r="B906" s="350"/>
      <c r="C906" s="52"/>
      <c r="D906" s="52"/>
      <c r="E906" s="52"/>
      <c r="F906" s="351"/>
      <c r="G906" s="52"/>
      <c r="H906" s="52"/>
      <c r="I906" s="52"/>
      <c r="J906" s="52"/>
      <c r="K906" s="52"/>
      <c r="L906" s="52"/>
      <c r="M906" s="52"/>
      <c r="N906" s="52"/>
      <c r="O906" s="52"/>
      <c r="P906" s="52"/>
      <c r="Q906" s="52"/>
      <c r="R906" s="52"/>
      <c r="S906" s="52"/>
      <c r="T906" s="52"/>
      <c r="U906" s="52"/>
      <c r="V906" s="52"/>
      <c r="W906" s="52"/>
      <c r="X906" s="52"/>
      <c r="Y906" s="52"/>
      <c r="Z906" s="52"/>
      <c r="AA906" s="52"/>
      <c r="AB906" s="52"/>
      <c r="AC906" s="52"/>
    </row>
    <row r="907">
      <c r="A907" s="52"/>
      <c r="B907" s="350"/>
      <c r="C907" s="52"/>
      <c r="D907" s="52"/>
      <c r="E907" s="52"/>
      <c r="F907" s="351"/>
      <c r="G907" s="52"/>
      <c r="H907" s="52"/>
      <c r="I907" s="52"/>
      <c r="J907" s="52"/>
      <c r="K907" s="52"/>
      <c r="L907" s="52"/>
      <c r="M907" s="52"/>
      <c r="N907" s="52"/>
      <c r="O907" s="52"/>
      <c r="P907" s="52"/>
      <c r="Q907" s="52"/>
      <c r="R907" s="52"/>
      <c r="S907" s="52"/>
      <c r="T907" s="52"/>
      <c r="U907" s="52"/>
      <c r="V907" s="52"/>
      <c r="W907" s="52"/>
      <c r="X907" s="52"/>
      <c r="Y907" s="52"/>
      <c r="Z907" s="52"/>
      <c r="AA907" s="52"/>
      <c r="AB907" s="52"/>
      <c r="AC907" s="52"/>
    </row>
    <row r="908">
      <c r="A908" s="52"/>
      <c r="B908" s="350"/>
      <c r="C908" s="52"/>
      <c r="D908" s="52"/>
      <c r="E908" s="52"/>
      <c r="F908" s="351"/>
      <c r="G908" s="52"/>
      <c r="H908" s="52"/>
      <c r="I908" s="52"/>
      <c r="J908" s="52"/>
      <c r="K908" s="52"/>
      <c r="L908" s="52"/>
      <c r="M908" s="52"/>
      <c r="N908" s="52"/>
      <c r="O908" s="52"/>
      <c r="P908" s="52"/>
      <c r="Q908" s="52"/>
      <c r="R908" s="52"/>
      <c r="S908" s="52"/>
      <c r="T908" s="52"/>
      <c r="U908" s="52"/>
      <c r="V908" s="52"/>
      <c r="W908" s="52"/>
      <c r="X908" s="52"/>
      <c r="Y908" s="52"/>
      <c r="Z908" s="52"/>
      <c r="AA908" s="52"/>
      <c r="AB908" s="52"/>
      <c r="AC908" s="52"/>
    </row>
    <row r="909">
      <c r="A909" s="52"/>
      <c r="B909" s="350"/>
      <c r="C909" s="52"/>
      <c r="D909" s="52"/>
      <c r="E909" s="52"/>
      <c r="F909" s="351"/>
      <c r="G909" s="52"/>
      <c r="H909" s="52"/>
      <c r="I909" s="52"/>
      <c r="J909" s="52"/>
      <c r="K909" s="52"/>
      <c r="L909" s="52"/>
      <c r="M909" s="52"/>
      <c r="N909" s="52"/>
      <c r="O909" s="52"/>
      <c r="P909" s="52"/>
      <c r="Q909" s="52"/>
      <c r="R909" s="52"/>
      <c r="S909" s="52"/>
      <c r="T909" s="52"/>
      <c r="U909" s="52"/>
      <c r="V909" s="52"/>
      <c r="W909" s="52"/>
      <c r="X909" s="52"/>
      <c r="Y909" s="52"/>
      <c r="Z909" s="52"/>
      <c r="AA909" s="52"/>
      <c r="AB909" s="52"/>
      <c r="AC909" s="52"/>
    </row>
    <row r="910">
      <c r="A910" s="52"/>
      <c r="B910" s="350"/>
      <c r="C910" s="52"/>
      <c r="D910" s="52"/>
      <c r="E910" s="52"/>
      <c r="F910" s="351"/>
      <c r="G910" s="52"/>
      <c r="H910" s="52"/>
      <c r="I910" s="52"/>
      <c r="J910" s="52"/>
      <c r="K910" s="52"/>
      <c r="L910" s="52"/>
      <c r="M910" s="52"/>
      <c r="N910" s="52"/>
      <c r="O910" s="52"/>
      <c r="P910" s="52"/>
      <c r="Q910" s="52"/>
      <c r="R910" s="52"/>
      <c r="S910" s="52"/>
      <c r="T910" s="52"/>
      <c r="U910" s="52"/>
      <c r="V910" s="52"/>
      <c r="W910" s="52"/>
      <c r="X910" s="52"/>
      <c r="Y910" s="52"/>
      <c r="Z910" s="52"/>
      <c r="AA910" s="52"/>
      <c r="AB910" s="52"/>
      <c r="AC910" s="52"/>
    </row>
    <row r="911">
      <c r="A911" s="52"/>
      <c r="B911" s="350"/>
      <c r="C911" s="52"/>
      <c r="D911" s="52"/>
      <c r="E911" s="52"/>
      <c r="F911" s="351"/>
      <c r="G911" s="52"/>
      <c r="H911" s="52"/>
      <c r="I911" s="52"/>
      <c r="J911" s="52"/>
      <c r="K911" s="52"/>
      <c r="L911" s="52"/>
      <c r="M911" s="52"/>
      <c r="N911" s="52"/>
      <c r="O911" s="52"/>
      <c r="P911" s="52"/>
      <c r="Q911" s="52"/>
      <c r="R911" s="52"/>
      <c r="S911" s="52"/>
      <c r="T911" s="52"/>
      <c r="U911" s="52"/>
      <c r="V911" s="52"/>
      <c r="W911" s="52"/>
      <c r="X911" s="52"/>
      <c r="Y911" s="52"/>
      <c r="Z911" s="52"/>
      <c r="AA911" s="52"/>
      <c r="AB911" s="52"/>
      <c r="AC911" s="52"/>
    </row>
    <row r="912">
      <c r="A912" s="52"/>
      <c r="B912" s="350"/>
      <c r="C912" s="52"/>
      <c r="D912" s="52"/>
      <c r="E912" s="52"/>
      <c r="F912" s="351"/>
      <c r="G912" s="52"/>
      <c r="H912" s="52"/>
      <c r="I912" s="52"/>
      <c r="J912" s="52"/>
      <c r="K912" s="52"/>
      <c r="L912" s="52"/>
      <c r="M912" s="52"/>
      <c r="N912" s="52"/>
      <c r="O912" s="52"/>
      <c r="P912" s="52"/>
      <c r="Q912" s="52"/>
      <c r="R912" s="52"/>
      <c r="S912" s="52"/>
      <c r="T912" s="52"/>
      <c r="U912" s="52"/>
      <c r="V912" s="52"/>
      <c r="W912" s="52"/>
      <c r="X912" s="52"/>
      <c r="Y912" s="52"/>
      <c r="Z912" s="52"/>
      <c r="AA912" s="52"/>
      <c r="AB912" s="52"/>
      <c r="AC912" s="52"/>
    </row>
    <row r="913">
      <c r="A913" s="52"/>
      <c r="B913" s="350"/>
      <c r="C913" s="52"/>
      <c r="D913" s="52"/>
      <c r="E913" s="52"/>
      <c r="F913" s="351"/>
      <c r="G913" s="52"/>
      <c r="H913" s="52"/>
      <c r="I913" s="52"/>
      <c r="J913" s="52"/>
      <c r="K913" s="52"/>
      <c r="L913" s="52"/>
      <c r="M913" s="52"/>
      <c r="N913" s="52"/>
      <c r="O913" s="52"/>
      <c r="P913" s="52"/>
      <c r="Q913" s="52"/>
      <c r="R913" s="52"/>
      <c r="S913" s="52"/>
      <c r="T913" s="52"/>
      <c r="U913" s="52"/>
      <c r="V913" s="52"/>
      <c r="W913" s="52"/>
      <c r="X913" s="52"/>
      <c r="Y913" s="52"/>
      <c r="Z913" s="52"/>
      <c r="AA913" s="52"/>
      <c r="AB913" s="52"/>
      <c r="AC913" s="52"/>
    </row>
    <row r="914">
      <c r="A914" s="52"/>
      <c r="B914" s="350"/>
      <c r="C914" s="52"/>
      <c r="D914" s="52"/>
      <c r="E914" s="52"/>
      <c r="F914" s="351"/>
      <c r="G914" s="52"/>
      <c r="H914" s="52"/>
      <c r="I914" s="52"/>
      <c r="J914" s="52"/>
      <c r="K914" s="52"/>
      <c r="L914" s="52"/>
      <c r="M914" s="52"/>
      <c r="N914" s="52"/>
      <c r="O914" s="52"/>
      <c r="P914" s="52"/>
      <c r="Q914" s="52"/>
      <c r="R914" s="52"/>
      <c r="S914" s="52"/>
      <c r="T914" s="52"/>
      <c r="U914" s="52"/>
      <c r="V914" s="52"/>
      <c r="W914" s="52"/>
      <c r="X914" s="52"/>
      <c r="Y914" s="52"/>
      <c r="Z914" s="52"/>
      <c r="AA914" s="52"/>
      <c r="AB914" s="52"/>
      <c r="AC914" s="52"/>
    </row>
    <row r="915">
      <c r="A915" s="52"/>
      <c r="B915" s="350"/>
      <c r="C915" s="52"/>
      <c r="D915" s="52"/>
      <c r="E915" s="52"/>
      <c r="F915" s="351"/>
      <c r="G915" s="52"/>
      <c r="H915" s="52"/>
      <c r="I915" s="52"/>
      <c r="J915" s="52"/>
      <c r="K915" s="52"/>
      <c r="L915" s="52"/>
      <c r="M915" s="52"/>
      <c r="N915" s="52"/>
      <c r="O915" s="52"/>
      <c r="P915" s="52"/>
      <c r="Q915" s="52"/>
      <c r="R915" s="52"/>
      <c r="S915" s="52"/>
      <c r="T915" s="52"/>
      <c r="U915" s="52"/>
      <c r="V915" s="52"/>
      <c r="W915" s="52"/>
      <c r="X915" s="52"/>
      <c r="Y915" s="52"/>
      <c r="Z915" s="52"/>
      <c r="AA915" s="52"/>
      <c r="AB915" s="52"/>
      <c r="AC915" s="52"/>
    </row>
    <row r="916">
      <c r="A916" s="52"/>
      <c r="B916" s="350"/>
      <c r="C916" s="52"/>
      <c r="D916" s="52"/>
      <c r="E916" s="52"/>
      <c r="F916" s="351"/>
      <c r="G916" s="52"/>
      <c r="H916" s="52"/>
      <c r="I916" s="52"/>
      <c r="J916" s="52"/>
      <c r="K916" s="52"/>
      <c r="L916" s="52"/>
      <c r="M916" s="52"/>
      <c r="N916" s="52"/>
      <c r="O916" s="52"/>
      <c r="P916" s="52"/>
      <c r="Q916" s="52"/>
      <c r="R916" s="52"/>
      <c r="S916" s="52"/>
      <c r="T916" s="52"/>
      <c r="U916" s="52"/>
      <c r="V916" s="52"/>
      <c r="W916" s="52"/>
      <c r="X916" s="52"/>
      <c r="Y916" s="52"/>
      <c r="Z916" s="52"/>
      <c r="AA916" s="52"/>
      <c r="AB916" s="52"/>
      <c r="AC916" s="52"/>
    </row>
    <row r="917">
      <c r="A917" s="52"/>
      <c r="B917" s="350"/>
      <c r="C917" s="52"/>
      <c r="D917" s="52"/>
      <c r="E917" s="52"/>
      <c r="F917" s="351"/>
      <c r="G917" s="52"/>
      <c r="H917" s="52"/>
      <c r="I917" s="52"/>
      <c r="J917" s="52"/>
      <c r="K917" s="52"/>
      <c r="L917" s="52"/>
      <c r="M917" s="52"/>
      <c r="N917" s="52"/>
      <c r="O917" s="52"/>
      <c r="P917" s="52"/>
      <c r="Q917" s="52"/>
      <c r="R917" s="52"/>
      <c r="S917" s="52"/>
      <c r="T917" s="52"/>
      <c r="U917" s="52"/>
      <c r="V917" s="52"/>
      <c r="W917" s="52"/>
      <c r="X917" s="52"/>
      <c r="Y917" s="52"/>
      <c r="Z917" s="52"/>
      <c r="AA917" s="52"/>
      <c r="AB917" s="52"/>
      <c r="AC917" s="52"/>
    </row>
    <row r="918">
      <c r="A918" s="52"/>
      <c r="B918" s="350"/>
      <c r="C918" s="52"/>
      <c r="D918" s="52"/>
      <c r="E918" s="52"/>
      <c r="F918" s="351"/>
      <c r="G918" s="52"/>
      <c r="H918" s="52"/>
      <c r="I918" s="52"/>
      <c r="J918" s="52"/>
      <c r="K918" s="52"/>
      <c r="L918" s="52"/>
      <c r="M918" s="52"/>
      <c r="N918" s="52"/>
      <c r="O918" s="52"/>
      <c r="P918" s="52"/>
      <c r="Q918" s="52"/>
      <c r="R918" s="52"/>
      <c r="S918" s="52"/>
      <c r="T918" s="52"/>
      <c r="U918" s="52"/>
      <c r="V918" s="52"/>
      <c r="W918" s="52"/>
      <c r="X918" s="52"/>
      <c r="Y918" s="52"/>
      <c r="Z918" s="52"/>
      <c r="AA918" s="52"/>
      <c r="AB918" s="52"/>
      <c r="AC918" s="52"/>
    </row>
    <row r="919">
      <c r="A919" s="52"/>
      <c r="B919" s="350"/>
      <c r="C919" s="52"/>
      <c r="D919" s="52"/>
      <c r="E919" s="52"/>
      <c r="F919" s="351"/>
      <c r="G919" s="52"/>
      <c r="H919" s="52"/>
      <c r="I919" s="52"/>
      <c r="J919" s="52"/>
      <c r="K919" s="52"/>
      <c r="L919" s="52"/>
      <c r="M919" s="52"/>
      <c r="N919" s="52"/>
      <c r="O919" s="52"/>
      <c r="P919" s="52"/>
      <c r="Q919" s="52"/>
      <c r="R919" s="52"/>
      <c r="S919" s="52"/>
      <c r="T919" s="52"/>
      <c r="U919" s="52"/>
      <c r="V919" s="52"/>
      <c r="W919" s="52"/>
      <c r="X919" s="52"/>
      <c r="Y919" s="52"/>
      <c r="Z919" s="52"/>
      <c r="AA919" s="52"/>
      <c r="AB919" s="52"/>
      <c r="AC919" s="52"/>
    </row>
    <row r="920">
      <c r="A920" s="52"/>
      <c r="B920" s="350"/>
      <c r="C920" s="52"/>
      <c r="D920" s="52"/>
      <c r="E920" s="52"/>
      <c r="F920" s="351"/>
      <c r="G920" s="52"/>
      <c r="H920" s="52"/>
      <c r="I920" s="52"/>
      <c r="J920" s="52"/>
      <c r="K920" s="52"/>
      <c r="L920" s="52"/>
      <c r="M920" s="52"/>
      <c r="N920" s="52"/>
      <c r="O920" s="52"/>
      <c r="P920" s="52"/>
      <c r="Q920" s="52"/>
      <c r="R920" s="52"/>
      <c r="S920" s="52"/>
      <c r="T920" s="52"/>
      <c r="U920" s="52"/>
      <c r="V920" s="52"/>
      <c r="W920" s="52"/>
      <c r="X920" s="52"/>
      <c r="Y920" s="52"/>
      <c r="Z920" s="52"/>
      <c r="AA920" s="52"/>
      <c r="AB920" s="52"/>
      <c r="AC920" s="52"/>
    </row>
    <row r="921">
      <c r="A921" s="52"/>
      <c r="B921" s="350"/>
      <c r="C921" s="52"/>
      <c r="D921" s="52"/>
      <c r="E921" s="52"/>
      <c r="F921" s="351"/>
      <c r="G921" s="52"/>
      <c r="H921" s="52"/>
      <c r="I921" s="52"/>
      <c r="J921" s="52"/>
      <c r="K921" s="52"/>
      <c r="L921" s="52"/>
      <c r="M921" s="52"/>
      <c r="N921" s="52"/>
      <c r="O921" s="52"/>
      <c r="P921" s="52"/>
      <c r="Q921" s="52"/>
      <c r="R921" s="52"/>
      <c r="S921" s="52"/>
      <c r="T921" s="52"/>
      <c r="U921" s="52"/>
      <c r="V921" s="52"/>
      <c r="W921" s="52"/>
      <c r="X921" s="52"/>
      <c r="Y921" s="52"/>
      <c r="Z921" s="52"/>
      <c r="AA921" s="52"/>
      <c r="AB921" s="52"/>
      <c r="AC921" s="52"/>
    </row>
    <row r="922">
      <c r="A922" s="52"/>
      <c r="B922" s="350"/>
      <c r="C922" s="52"/>
      <c r="D922" s="52"/>
      <c r="E922" s="52"/>
      <c r="F922" s="351"/>
      <c r="G922" s="52"/>
      <c r="H922" s="52"/>
      <c r="I922" s="52"/>
      <c r="J922" s="52"/>
      <c r="K922" s="52"/>
      <c r="L922" s="52"/>
      <c r="M922" s="52"/>
      <c r="N922" s="52"/>
      <c r="O922" s="52"/>
      <c r="P922" s="52"/>
      <c r="Q922" s="52"/>
      <c r="R922" s="52"/>
      <c r="S922" s="52"/>
      <c r="T922" s="52"/>
      <c r="U922" s="52"/>
      <c r="V922" s="52"/>
      <c r="W922" s="52"/>
      <c r="X922" s="52"/>
      <c r="Y922" s="52"/>
      <c r="Z922" s="52"/>
      <c r="AA922" s="52"/>
      <c r="AB922" s="52"/>
      <c r="AC922" s="52"/>
    </row>
    <row r="923">
      <c r="A923" s="52"/>
      <c r="B923" s="350"/>
      <c r="C923" s="52"/>
      <c r="D923" s="52"/>
      <c r="E923" s="52"/>
      <c r="F923" s="351"/>
      <c r="G923" s="52"/>
      <c r="H923" s="52"/>
      <c r="I923" s="52"/>
      <c r="J923" s="52"/>
      <c r="K923" s="52"/>
      <c r="L923" s="52"/>
      <c r="M923" s="52"/>
      <c r="N923" s="52"/>
      <c r="O923" s="52"/>
      <c r="P923" s="52"/>
      <c r="Q923" s="52"/>
      <c r="R923" s="52"/>
      <c r="S923" s="52"/>
      <c r="T923" s="52"/>
      <c r="U923" s="52"/>
      <c r="V923" s="52"/>
      <c r="W923" s="52"/>
      <c r="X923" s="52"/>
      <c r="Y923" s="52"/>
      <c r="Z923" s="52"/>
      <c r="AA923" s="52"/>
      <c r="AB923" s="52"/>
      <c r="AC923" s="52"/>
    </row>
    <row r="924">
      <c r="A924" s="52"/>
      <c r="B924" s="350"/>
      <c r="C924" s="52"/>
      <c r="D924" s="52"/>
      <c r="E924" s="52"/>
      <c r="F924" s="351"/>
      <c r="G924" s="52"/>
      <c r="H924" s="52"/>
      <c r="I924" s="52"/>
      <c r="J924" s="52"/>
      <c r="K924" s="52"/>
      <c r="L924" s="52"/>
      <c r="M924" s="52"/>
      <c r="N924" s="52"/>
      <c r="O924" s="52"/>
      <c r="P924" s="52"/>
      <c r="Q924" s="52"/>
      <c r="R924" s="52"/>
      <c r="S924" s="52"/>
      <c r="T924" s="52"/>
      <c r="U924" s="52"/>
      <c r="V924" s="52"/>
      <c r="W924" s="52"/>
      <c r="X924" s="52"/>
      <c r="Y924" s="52"/>
      <c r="Z924" s="52"/>
      <c r="AA924" s="52"/>
      <c r="AB924" s="52"/>
      <c r="AC924" s="52"/>
    </row>
    <row r="925">
      <c r="A925" s="52"/>
      <c r="B925" s="350"/>
      <c r="C925" s="52"/>
      <c r="D925" s="52"/>
      <c r="E925" s="52"/>
      <c r="F925" s="351"/>
      <c r="G925" s="52"/>
      <c r="H925" s="52"/>
      <c r="I925" s="52"/>
      <c r="J925" s="52"/>
      <c r="K925" s="52"/>
      <c r="L925" s="52"/>
      <c r="M925" s="52"/>
      <c r="N925" s="52"/>
      <c r="O925" s="52"/>
      <c r="P925" s="52"/>
      <c r="Q925" s="52"/>
      <c r="R925" s="52"/>
      <c r="S925" s="52"/>
      <c r="T925" s="52"/>
      <c r="U925" s="52"/>
      <c r="V925" s="52"/>
      <c r="W925" s="52"/>
      <c r="X925" s="52"/>
      <c r="Y925" s="52"/>
      <c r="Z925" s="52"/>
      <c r="AA925" s="52"/>
      <c r="AB925" s="52"/>
      <c r="AC925" s="52"/>
    </row>
    <row r="926">
      <c r="A926" s="52"/>
      <c r="B926" s="350"/>
      <c r="C926" s="52"/>
      <c r="D926" s="52"/>
      <c r="E926" s="52"/>
      <c r="F926" s="351"/>
      <c r="G926" s="52"/>
      <c r="H926" s="52"/>
      <c r="I926" s="52"/>
      <c r="J926" s="52"/>
      <c r="K926" s="52"/>
      <c r="L926" s="52"/>
      <c r="M926" s="52"/>
      <c r="N926" s="52"/>
      <c r="O926" s="52"/>
      <c r="P926" s="52"/>
      <c r="Q926" s="52"/>
      <c r="R926" s="52"/>
      <c r="S926" s="52"/>
      <c r="T926" s="52"/>
      <c r="U926" s="52"/>
      <c r="V926" s="52"/>
      <c r="W926" s="52"/>
      <c r="X926" s="52"/>
      <c r="Y926" s="52"/>
      <c r="Z926" s="52"/>
      <c r="AA926" s="52"/>
      <c r="AB926" s="52"/>
      <c r="AC926" s="52"/>
    </row>
    <row r="927">
      <c r="A927" s="52"/>
      <c r="B927" s="350"/>
      <c r="C927" s="52"/>
      <c r="D927" s="52"/>
      <c r="E927" s="52"/>
      <c r="F927" s="351"/>
      <c r="G927" s="52"/>
      <c r="H927" s="52"/>
      <c r="I927" s="52"/>
      <c r="J927" s="52"/>
      <c r="K927" s="52"/>
      <c r="L927" s="52"/>
      <c r="M927" s="52"/>
      <c r="N927" s="52"/>
      <c r="O927" s="52"/>
      <c r="P927" s="52"/>
      <c r="Q927" s="52"/>
      <c r="R927" s="52"/>
      <c r="S927" s="52"/>
      <c r="T927" s="52"/>
      <c r="U927" s="52"/>
      <c r="V927" s="52"/>
      <c r="W927" s="52"/>
      <c r="X927" s="52"/>
      <c r="Y927" s="52"/>
      <c r="Z927" s="52"/>
      <c r="AA927" s="52"/>
      <c r="AB927" s="52"/>
      <c r="AC927" s="52"/>
    </row>
    <row r="928">
      <c r="A928" s="52"/>
      <c r="B928" s="350"/>
      <c r="C928" s="52"/>
      <c r="D928" s="52"/>
      <c r="E928" s="52"/>
      <c r="F928" s="351"/>
      <c r="G928" s="52"/>
      <c r="H928" s="52"/>
      <c r="I928" s="52"/>
      <c r="J928" s="52"/>
      <c r="K928" s="52"/>
      <c r="L928" s="52"/>
      <c r="M928" s="52"/>
      <c r="N928" s="52"/>
      <c r="O928" s="52"/>
      <c r="P928" s="52"/>
      <c r="Q928" s="52"/>
      <c r="R928" s="52"/>
      <c r="S928" s="52"/>
      <c r="T928" s="52"/>
      <c r="U928" s="52"/>
      <c r="V928" s="52"/>
      <c r="W928" s="52"/>
      <c r="X928" s="52"/>
      <c r="Y928" s="52"/>
      <c r="Z928" s="52"/>
      <c r="AA928" s="52"/>
      <c r="AB928" s="52"/>
      <c r="AC928" s="52"/>
    </row>
    <row r="929">
      <c r="A929" s="52"/>
      <c r="B929" s="350"/>
      <c r="C929" s="52"/>
      <c r="D929" s="52"/>
      <c r="E929" s="52"/>
      <c r="F929" s="351"/>
      <c r="G929" s="52"/>
      <c r="H929" s="52"/>
      <c r="I929" s="52"/>
      <c r="J929" s="52"/>
      <c r="K929" s="52"/>
      <c r="L929" s="52"/>
      <c r="M929" s="52"/>
      <c r="N929" s="52"/>
      <c r="O929" s="52"/>
      <c r="P929" s="52"/>
      <c r="Q929" s="52"/>
      <c r="R929" s="52"/>
      <c r="S929" s="52"/>
      <c r="T929" s="52"/>
      <c r="U929" s="52"/>
      <c r="V929" s="52"/>
      <c r="W929" s="52"/>
      <c r="X929" s="52"/>
      <c r="Y929" s="52"/>
      <c r="Z929" s="52"/>
      <c r="AA929" s="52"/>
      <c r="AB929" s="52"/>
      <c r="AC929" s="52"/>
    </row>
    <row r="930">
      <c r="A930" s="52"/>
      <c r="B930" s="350"/>
      <c r="C930" s="52"/>
      <c r="D930" s="52"/>
      <c r="E930" s="52"/>
      <c r="F930" s="351"/>
      <c r="G930" s="52"/>
      <c r="H930" s="52"/>
      <c r="I930" s="52"/>
      <c r="J930" s="52"/>
      <c r="K930" s="52"/>
      <c r="L930" s="52"/>
      <c r="M930" s="52"/>
      <c r="N930" s="52"/>
      <c r="O930" s="52"/>
      <c r="P930" s="52"/>
      <c r="Q930" s="52"/>
      <c r="R930" s="52"/>
      <c r="S930" s="52"/>
      <c r="T930" s="52"/>
      <c r="U930" s="52"/>
      <c r="V930" s="52"/>
      <c r="W930" s="52"/>
      <c r="X930" s="52"/>
      <c r="Y930" s="52"/>
      <c r="Z930" s="52"/>
      <c r="AA930" s="52"/>
      <c r="AB930" s="52"/>
      <c r="AC930" s="52"/>
    </row>
    <row r="931">
      <c r="A931" s="52"/>
      <c r="B931" s="350"/>
      <c r="C931" s="52"/>
      <c r="D931" s="52"/>
      <c r="E931" s="52"/>
      <c r="F931" s="351"/>
      <c r="G931" s="52"/>
      <c r="H931" s="52"/>
      <c r="I931" s="52"/>
      <c r="J931" s="52"/>
      <c r="K931" s="52"/>
      <c r="L931" s="52"/>
      <c r="M931" s="52"/>
      <c r="N931" s="52"/>
      <c r="O931" s="52"/>
      <c r="P931" s="52"/>
      <c r="Q931" s="52"/>
      <c r="R931" s="52"/>
      <c r="S931" s="52"/>
      <c r="T931" s="52"/>
      <c r="U931" s="52"/>
      <c r="V931" s="52"/>
      <c r="W931" s="52"/>
      <c r="X931" s="52"/>
      <c r="Y931" s="52"/>
      <c r="Z931" s="52"/>
      <c r="AA931" s="52"/>
      <c r="AB931" s="52"/>
      <c r="AC931" s="52"/>
    </row>
    <row r="932">
      <c r="A932" s="52"/>
      <c r="B932" s="350"/>
      <c r="C932" s="52"/>
      <c r="D932" s="52"/>
      <c r="E932" s="52"/>
      <c r="F932" s="351"/>
      <c r="G932" s="52"/>
      <c r="H932" s="52"/>
      <c r="I932" s="52"/>
      <c r="J932" s="52"/>
      <c r="K932" s="52"/>
      <c r="L932" s="52"/>
      <c r="M932" s="52"/>
      <c r="N932" s="52"/>
      <c r="O932" s="52"/>
      <c r="P932" s="52"/>
      <c r="Q932" s="52"/>
      <c r="R932" s="52"/>
      <c r="S932" s="52"/>
      <c r="T932" s="52"/>
      <c r="U932" s="52"/>
      <c r="V932" s="52"/>
      <c r="W932" s="52"/>
      <c r="X932" s="52"/>
      <c r="Y932" s="52"/>
      <c r="Z932" s="52"/>
      <c r="AA932" s="52"/>
      <c r="AB932" s="52"/>
      <c r="AC932" s="52"/>
    </row>
    <row r="933">
      <c r="A933" s="52"/>
      <c r="B933" s="350"/>
      <c r="C933" s="52"/>
      <c r="D933" s="52"/>
      <c r="E933" s="52"/>
      <c r="F933" s="351"/>
      <c r="G933" s="52"/>
      <c r="H933" s="52"/>
      <c r="I933" s="52"/>
      <c r="J933" s="52"/>
      <c r="K933" s="52"/>
      <c r="L933" s="52"/>
      <c r="M933" s="52"/>
      <c r="N933" s="52"/>
      <c r="O933" s="52"/>
      <c r="P933" s="52"/>
      <c r="Q933" s="52"/>
      <c r="R933" s="52"/>
      <c r="S933" s="52"/>
      <c r="T933" s="52"/>
      <c r="U933" s="52"/>
      <c r="V933" s="52"/>
      <c r="W933" s="52"/>
      <c r="X933" s="52"/>
      <c r="Y933" s="52"/>
      <c r="Z933" s="52"/>
      <c r="AA933" s="52"/>
      <c r="AB933" s="52"/>
      <c r="AC933" s="52"/>
    </row>
    <row r="934">
      <c r="A934" s="52"/>
      <c r="B934" s="350"/>
      <c r="C934" s="52"/>
      <c r="D934" s="52"/>
      <c r="E934" s="52"/>
      <c r="F934" s="351"/>
      <c r="G934" s="52"/>
      <c r="H934" s="52"/>
      <c r="I934" s="52"/>
      <c r="J934" s="52"/>
      <c r="K934" s="52"/>
      <c r="L934" s="52"/>
      <c r="M934" s="52"/>
      <c r="N934" s="52"/>
      <c r="O934" s="52"/>
      <c r="P934" s="52"/>
      <c r="Q934" s="52"/>
      <c r="R934" s="52"/>
      <c r="S934" s="52"/>
      <c r="T934" s="52"/>
      <c r="U934" s="52"/>
      <c r="V934" s="52"/>
      <c r="W934" s="52"/>
      <c r="X934" s="52"/>
      <c r="Y934" s="52"/>
      <c r="Z934" s="52"/>
      <c r="AA934" s="52"/>
      <c r="AB934" s="52"/>
      <c r="AC934" s="52"/>
    </row>
    <row r="935">
      <c r="A935" s="52"/>
      <c r="B935" s="350"/>
      <c r="C935" s="52"/>
      <c r="D935" s="52"/>
      <c r="E935" s="52"/>
      <c r="F935" s="351"/>
      <c r="G935" s="52"/>
      <c r="H935" s="52"/>
      <c r="I935" s="52"/>
      <c r="J935" s="52"/>
      <c r="K935" s="52"/>
      <c r="L935" s="52"/>
      <c r="M935" s="52"/>
      <c r="N935" s="52"/>
      <c r="O935" s="52"/>
      <c r="P935" s="52"/>
      <c r="Q935" s="52"/>
      <c r="R935" s="52"/>
      <c r="S935" s="52"/>
      <c r="T935" s="52"/>
      <c r="U935" s="52"/>
      <c r="V935" s="52"/>
      <c r="W935" s="52"/>
      <c r="X935" s="52"/>
      <c r="Y935" s="52"/>
      <c r="Z935" s="52"/>
      <c r="AA935" s="52"/>
      <c r="AB935" s="52"/>
      <c r="AC935" s="52"/>
    </row>
    <row r="936">
      <c r="A936" s="52"/>
      <c r="B936" s="350"/>
      <c r="C936" s="52"/>
      <c r="D936" s="52"/>
      <c r="E936" s="52"/>
      <c r="F936" s="351"/>
      <c r="G936" s="52"/>
      <c r="H936" s="52"/>
      <c r="I936" s="52"/>
      <c r="J936" s="52"/>
      <c r="K936" s="52"/>
      <c r="L936" s="52"/>
      <c r="M936" s="52"/>
      <c r="N936" s="52"/>
      <c r="O936" s="52"/>
      <c r="P936" s="52"/>
      <c r="Q936" s="52"/>
      <c r="R936" s="52"/>
      <c r="S936" s="52"/>
      <c r="T936" s="52"/>
      <c r="U936" s="52"/>
      <c r="V936" s="52"/>
      <c r="W936" s="52"/>
      <c r="X936" s="52"/>
      <c r="Y936" s="52"/>
      <c r="Z936" s="52"/>
      <c r="AA936" s="52"/>
      <c r="AB936" s="52"/>
      <c r="AC936" s="52"/>
    </row>
    <row r="937">
      <c r="A937" s="52"/>
      <c r="B937" s="350"/>
      <c r="C937" s="52"/>
      <c r="D937" s="52"/>
      <c r="E937" s="52"/>
      <c r="F937" s="351"/>
      <c r="G937" s="52"/>
      <c r="H937" s="52"/>
      <c r="I937" s="52"/>
      <c r="J937" s="52"/>
      <c r="K937" s="52"/>
      <c r="L937" s="52"/>
      <c r="M937" s="52"/>
      <c r="N937" s="52"/>
      <c r="O937" s="52"/>
      <c r="P937" s="52"/>
      <c r="Q937" s="52"/>
      <c r="R937" s="52"/>
      <c r="S937" s="52"/>
      <c r="T937" s="52"/>
      <c r="U937" s="52"/>
      <c r="V937" s="52"/>
      <c r="W937" s="52"/>
      <c r="X937" s="52"/>
      <c r="Y937" s="52"/>
      <c r="Z937" s="52"/>
      <c r="AA937" s="52"/>
      <c r="AB937" s="52"/>
      <c r="AC937" s="52"/>
    </row>
    <row r="938">
      <c r="A938" s="52"/>
      <c r="B938" s="350"/>
      <c r="C938" s="52"/>
      <c r="D938" s="52"/>
      <c r="E938" s="52"/>
      <c r="F938" s="351"/>
      <c r="G938" s="52"/>
      <c r="H938" s="52"/>
      <c r="I938" s="52"/>
      <c r="J938" s="52"/>
      <c r="K938" s="52"/>
      <c r="L938" s="52"/>
      <c r="M938" s="52"/>
      <c r="N938" s="52"/>
      <c r="O938" s="52"/>
      <c r="P938" s="52"/>
      <c r="Q938" s="52"/>
      <c r="R938" s="52"/>
      <c r="S938" s="52"/>
      <c r="T938" s="52"/>
      <c r="U938" s="52"/>
      <c r="V938" s="52"/>
      <c r="W938" s="52"/>
      <c r="X938" s="52"/>
      <c r="Y938" s="52"/>
      <c r="Z938" s="52"/>
      <c r="AA938" s="52"/>
      <c r="AB938" s="52"/>
      <c r="AC938" s="52"/>
    </row>
    <row r="939">
      <c r="A939" s="52"/>
      <c r="B939" s="350"/>
      <c r="C939" s="52"/>
      <c r="D939" s="52"/>
      <c r="E939" s="52"/>
      <c r="F939" s="351"/>
      <c r="G939" s="52"/>
      <c r="H939" s="52"/>
      <c r="I939" s="52"/>
      <c r="J939" s="52"/>
      <c r="K939" s="52"/>
      <c r="L939" s="52"/>
      <c r="M939" s="52"/>
      <c r="N939" s="52"/>
      <c r="O939" s="52"/>
      <c r="P939" s="52"/>
      <c r="Q939" s="52"/>
      <c r="R939" s="52"/>
      <c r="S939" s="52"/>
      <c r="T939" s="52"/>
      <c r="U939" s="52"/>
      <c r="V939" s="52"/>
      <c r="W939" s="52"/>
      <c r="X939" s="52"/>
      <c r="Y939" s="52"/>
      <c r="Z939" s="52"/>
      <c r="AA939" s="52"/>
      <c r="AB939" s="52"/>
      <c r="AC939" s="52"/>
    </row>
    <row r="940">
      <c r="A940" s="52"/>
      <c r="B940" s="350"/>
      <c r="C940" s="52"/>
      <c r="D940" s="52"/>
      <c r="E940" s="52"/>
      <c r="F940" s="351"/>
      <c r="G940" s="52"/>
      <c r="H940" s="52"/>
      <c r="I940" s="52"/>
      <c r="J940" s="52"/>
      <c r="K940" s="52"/>
      <c r="L940" s="52"/>
      <c r="M940" s="52"/>
      <c r="N940" s="52"/>
      <c r="O940" s="52"/>
      <c r="P940" s="52"/>
      <c r="Q940" s="52"/>
      <c r="R940" s="52"/>
      <c r="S940" s="52"/>
      <c r="T940" s="52"/>
      <c r="U940" s="52"/>
      <c r="V940" s="52"/>
      <c r="W940" s="52"/>
      <c r="X940" s="52"/>
      <c r="Y940" s="52"/>
      <c r="Z940" s="52"/>
      <c r="AA940" s="52"/>
      <c r="AB940" s="52"/>
      <c r="AC940" s="52"/>
    </row>
    <row r="941">
      <c r="A941" s="52"/>
      <c r="B941" s="350"/>
      <c r="C941" s="52"/>
      <c r="D941" s="52"/>
      <c r="E941" s="52"/>
      <c r="F941" s="351"/>
      <c r="G941" s="52"/>
      <c r="H941" s="52"/>
      <c r="I941" s="52"/>
      <c r="J941" s="52"/>
      <c r="K941" s="52"/>
      <c r="L941" s="52"/>
      <c r="M941" s="52"/>
      <c r="N941" s="52"/>
      <c r="O941" s="52"/>
      <c r="P941" s="52"/>
      <c r="Q941" s="52"/>
      <c r="R941" s="52"/>
      <c r="S941" s="52"/>
      <c r="T941" s="52"/>
      <c r="U941" s="52"/>
      <c r="V941" s="52"/>
      <c r="W941" s="52"/>
      <c r="X941" s="52"/>
      <c r="Y941" s="52"/>
      <c r="Z941" s="52"/>
      <c r="AA941" s="52"/>
      <c r="AB941" s="52"/>
      <c r="AC941" s="52"/>
    </row>
    <row r="942">
      <c r="A942" s="52"/>
      <c r="B942" s="350"/>
      <c r="C942" s="52"/>
      <c r="D942" s="52"/>
      <c r="E942" s="52"/>
      <c r="F942" s="351"/>
      <c r="G942" s="52"/>
      <c r="H942" s="52"/>
      <c r="I942" s="52"/>
      <c r="J942" s="52"/>
      <c r="K942" s="52"/>
      <c r="L942" s="52"/>
      <c r="M942" s="52"/>
      <c r="N942" s="52"/>
      <c r="O942" s="52"/>
      <c r="P942" s="52"/>
      <c r="Q942" s="52"/>
      <c r="R942" s="52"/>
      <c r="S942" s="52"/>
      <c r="T942" s="52"/>
      <c r="U942" s="52"/>
      <c r="V942" s="52"/>
      <c r="W942" s="52"/>
      <c r="X942" s="52"/>
      <c r="Y942" s="52"/>
      <c r="Z942" s="52"/>
      <c r="AA942" s="52"/>
      <c r="AB942" s="52"/>
      <c r="AC942" s="52"/>
    </row>
    <row r="943">
      <c r="A943" s="52"/>
      <c r="B943" s="350"/>
      <c r="C943" s="52"/>
      <c r="D943" s="52"/>
      <c r="E943" s="52"/>
      <c r="F943" s="351"/>
      <c r="G943" s="52"/>
      <c r="H943" s="52"/>
      <c r="I943" s="52"/>
      <c r="J943" s="52"/>
      <c r="K943" s="52"/>
      <c r="L943" s="52"/>
      <c r="M943" s="52"/>
      <c r="N943" s="52"/>
      <c r="O943" s="52"/>
      <c r="P943" s="52"/>
      <c r="Q943" s="52"/>
      <c r="R943" s="52"/>
      <c r="S943" s="52"/>
      <c r="T943" s="52"/>
      <c r="U943" s="52"/>
      <c r="V943" s="52"/>
      <c r="W943" s="52"/>
      <c r="X943" s="52"/>
      <c r="Y943" s="52"/>
      <c r="Z943" s="52"/>
      <c r="AA943" s="52"/>
      <c r="AB943" s="52"/>
      <c r="AC943" s="52"/>
    </row>
    <row r="944">
      <c r="A944" s="52"/>
      <c r="B944" s="350"/>
      <c r="C944" s="52"/>
      <c r="D944" s="52"/>
      <c r="E944" s="52"/>
      <c r="F944" s="351"/>
      <c r="G944" s="52"/>
      <c r="H944" s="52"/>
      <c r="I944" s="52"/>
      <c r="J944" s="52"/>
      <c r="K944" s="52"/>
      <c r="L944" s="52"/>
      <c r="M944" s="52"/>
      <c r="N944" s="52"/>
      <c r="O944" s="52"/>
      <c r="P944" s="52"/>
      <c r="Q944" s="52"/>
      <c r="R944" s="52"/>
      <c r="S944" s="52"/>
      <c r="T944" s="52"/>
      <c r="U944" s="52"/>
      <c r="V944" s="52"/>
      <c r="W944" s="52"/>
      <c r="X944" s="52"/>
      <c r="Y944" s="52"/>
      <c r="Z944" s="52"/>
      <c r="AA944" s="52"/>
      <c r="AB944" s="52"/>
      <c r="AC944" s="52"/>
    </row>
    <row r="945">
      <c r="A945" s="52"/>
      <c r="B945" s="350"/>
      <c r="C945" s="52"/>
      <c r="D945" s="52"/>
      <c r="E945" s="52"/>
      <c r="F945" s="351"/>
      <c r="G945" s="52"/>
      <c r="H945" s="52"/>
      <c r="I945" s="52"/>
      <c r="J945" s="52"/>
      <c r="K945" s="52"/>
      <c r="L945" s="52"/>
      <c r="M945" s="52"/>
      <c r="N945" s="52"/>
      <c r="O945" s="52"/>
      <c r="P945" s="52"/>
      <c r="Q945" s="52"/>
      <c r="R945" s="52"/>
      <c r="S945" s="52"/>
      <c r="T945" s="52"/>
      <c r="U945" s="52"/>
      <c r="V945" s="52"/>
      <c r="W945" s="52"/>
      <c r="X945" s="52"/>
      <c r="Y945" s="52"/>
      <c r="Z945" s="52"/>
      <c r="AA945" s="52"/>
      <c r="AB945" s="52"/>
      <c r="AC945" s="52"/>
    </row>
    <row r="946">
      <c r="A946" s="52"/>
      <c r="B946" s="350"/>
      <c r="C946" s="52"/>
      <c r="D946" s="52"/>
      <c r="E946" s="52"/>
      <c r="F946" s="351"/>
      <c r="G946" s="52"/>
      <c r="H946" s="52"/>
      <c r="I946" s="52"/>
      <c r="J946" s="52"/>
      <c r="K946" s="52"/>
      <c r="L946" s="52"/>
      <c r="M946" s="52"/>
      <c r="N946" s="52"/>
      <c r="O946" s="52"/>
      <c r="P946" s="52"/>
      <c r="Q946" s="52"/>
      <c r="R946" s="52"/>
      <c r="S946" s="52"/>
      <c r="T946" s="52"/>
      <c r="U946" s="52"/>
      <c r="V946" s="52"/>
      <c r="W946" s="52"/>
      <c r="X946" s="52"/>
      <c r="Y946" s="52"/>
      <c r="Z946" s="52"/>
      <c r="AA946" s="52"/>
      <c r="AB946" s="52"/>
      <c r="AC946" s="52"/>
    </row>
    <row r="947">
      <c r="A947" s="52"/>
      <c r="B947" s="350"/>
      <c r="C947" s="52"/>
      <c r="D947" s="52"/>
      <c r="E947" s="52"/>
      <c r="F947" s="351"/>
      <c r="G947" s="52"/>
      <c r="H947" s="52"/>
      <c r="I947" s="52"/>
      <c r="J947" s="52"/>
      <c r="K947" s="52"/>
      <c r="L947" s="52"/>
      <c r="M947" s="52"/>
      <c r="N947" s="52"/>
      <c r="O947" s="52"/>
      <c r="P947" s="52"/>
      <c r="Q947" s="52"/>
      <c r="R947" s="52"/>
      <c r="S947" s="52"/>
      <c r="T947" s="52"/>
      <c r="U947" s="52"/>
      <c r="V947" s="52"/>
      <c r="W947" s="52"/>
      <c r="X947" s="52"/>
      <c r="Y947" s="52"/>
      <c r="Z947" s="52"/>
      <c r="AA947" s="52"/>
      <c r="AB947" s="52"/>
      <c r="AC947" s="52"/>
    </row>
    <row r="948">
      <c r="A948" s="52"/>
      <c r="B948" s="350"/>
      <c r="C948" s="52"/>
      <c r="D948" s="52"/>
      <c r="E948" s="52"/>
      <c r="F948" s="351"/>
      <c r="G948" s="52"/>
      <c r="H948" s="52"/>
      <c r="I948" s="52"/>
      <c r="J948" s="52"/>
      <c r="K948" s="52"/>
      <c r="L948" s="52"/>
      <c r="M948" s="52"/>
      <c r="N948" s="52"/>
      <c r="O948" s="52"/>
      <c r="P948" s="52"/>
      <c r="Q948" s="52"/>
      <c r="R948" s="52"/>
      <c r="S948" s="52"/>
      <c r="T948" s="52"/>
      <c r="U948" s="52"/>
      <c r="V948" s="52"/>
      <c r="W948" s="52"/>
      <c r="X948" s="52"/>
      <c r="Y948" s="52"/>
      <c r="Z948" s="52"/>
      <c r="AA948" s="52"/>
      <c r="AB948" s="52"/>
      <c r="AC948" s="52"/>
    </row>
    <row r="949">
      <c r="A949" s="52"/>
      <c r="B949" s="350"/>
      <c r="C949" s="52"/>
      <c r="D949" s="52"/>
      <c r="E949" s="52"/>
      <c r="F949" s="351"/>
      <c r="G949" s="52"/>
      <c r="H949" s="52"/>
      <c r="I949" s="52"/>
      <c r="J949" s="52"/>
      <c r="K949" s="52"/>
      <c r="L949" s="52"/>
      <c r="M949" s="52"/>
      <c r="N949" s="52"/>
      <c r="O949" s="52"/>
      <c r="P949" s="52"/>
      <c r="Q949" s="52"/>
      <c r="R949" s="52"/>
      <c r="S949" s="52"/>
      <c r="T949" s="52"/>
      <c r="U949" s="52"/>
      <c r="V949" s="52"/>
      <c r="W949" s="52"/>
      <c r="X949" s="52"/>
      <c r="Y949" s="52"/>
      <c r="Z949" s="52"/>
      <c r="AA949" s="52"/>
      <c r="AB949" s="52"/>
      <c r="AC949" s="52"/>
    </row>
    <row r="950">
      <c r="A950" s="52"/>
      <c r="B950" s="350"/>
      <c r="C950" s="52"/>
      <c r="D950" s="52"/>
      <c r="E950" s="52"/>
      <c r="F950" s="351"/>
      <c r="G950" s="52"/>
      <c r="H950" s="52"/>
      <c r="I950" s="52"/>
      <c r="J950" s="52"/>
      <c r="K950" s="52"/>
      <c r="L950" s="52"/>
      <c r="M950" s="52"/>
      <c r="N950" s="52"/>
      <c r="O950" s="52"/>
      <c r="P950" s="52"/>
      <c r="Q950" s="52"/>
      <c r="R950" s="52"/>
      <c r="S950" s="52"/>
      <c r="T950" s="52"/>
      <c r="U950" s="52"/>
      <c r="V950" s="52"/>
      <c r="W950" s="52"/>
      <c r="X950" s="52"/>
      <c r="Y950" s="52"/>
      <c r="Z950" s="52"/>
      <c r="AA950" s="52"/>
      <c r="AB950" s="52"/>
      <c r="AC950" s="52"/>
    </row>
    <row r="951">
      <c r="A951" s="52"/>
      <c r="B951" s="350"/>
      <c r="C951" s="52"/>
      <c r="D951" s="52"/>
      <c r="E951" s="52"/>
      <c r="F951" s="351"/>
      <c r="G951" s="52"/>
      <c r="H951" s="52"/>
      <c r="I951" s="52"/>
      <c r="J951" s="52"/>
      <c r="K951" s="52"/>
      <c r="L951" s="52"/>
      <c r="M951" s="52"/>
      <c r="N951" s="52"/>
      <c r="O951" s="52"/>
      <c r="P951" s="52"/>
      <c r="Q951" s="52"/>
      <c r="R951" s="52"/>
      <c r="S951" s="52"/>
      <c r="T951" s="52"/>
      <c r="U951" s="52"/>
      <c r="V951" s="52"/>
      <c r="W951" s="52"/>
      <c r="X951" s="52"/>
      <c r="Y951" s="52"/>
      <c r="Z951" s="52"/>
      <c r="AA951" s="52"/>
      <c r="AB951" s="52"/>
      <c r="AC951" s="52"/>
    </row>
    <row r="952">
      <c r="A952" s="52"/>
      <c r="B952" s="350"/>
      <c r="C952" s="52"/>
      <c r="D952" s="52"/>
      <c r="E952" s="52"/>
      <c r="F952" s="351"/>
      <c r="G952" s="52"/>
      <c r="H952" s="52"/>
      <c r="I952" s="52"/>
      <c r="J952" s="52"/>
      <c r="K952" s="52"/>
      <c r="L952" s="52"/>
      <c r="M952" s="52"/>
      <c r="N952" s="52"/>
      <c r="O952" s="52"/>
      <c r="P952" s="52"/>
      <c r="Q952" s="52"/>
      <c r="R952" s="52"/>
      <c r="S952" s="52"/>
      <c r="T952" s="52"/>
      <c r="U952" s="52"/>
      <c r="V952" s="52"/>
      <c r="W952" s="52"/>
      <c r="X952" s="52"/>
      <c r="Y952" s="52"/>
      <c r="Z952" s="52"/>
      <c r="AA952" s="52"/>
      <c r="AB952" s="52"/>
      <c r="AC952" s="52"/>
    </row>
    <row r="953">
      <c r="A953" s="52"/>
      <c r="B953" s="350"/>
      <c r="C953" s="52"/>
      <c r="D953" s="52"/>
      <c r="E953" s="52"/>
      <c r="F953" s="351"/>
      <c r="G953" s="52"/>
      <c r="H953" s="52"/>
      <c r="I953" s="52"/>
      <c r="J953" s="52"/>
      <c r="K953" s="52"/>
      <c r="L953" s="52"/>
      <c r="M953" s="52"/>
      <c r="N953" s="52"/>
      <c r="O953" s="52"/>
      <c r="P953" s="52"/>
      <c r="Q953" s="52"/>
      <c r="R953" s="52"/>
      <c r="S953" s="52"/>
      <c r="T953" s="52"/>
      <c r="U953" s="52"/>
      <c r="V953" s="52"/>
      <c r="W953" s="52"/>
      <c r="X953" s="52"/>
      <c r="Y953" s="52"/>
      <c r="Z953" s="52"/>
      <c r="AA953" s="52"/>
      <c r="AB953" s="52"/>
      <c r="AC953" s="52"/>
    </row>
    <row r="954">
      <c r="A954" s="52"/>
      <c r="B954" s="350"/>
      <c r="C954" s="52"/>
      <c r="D954" s="52"/>
      <c r="E954" s="52"/>
      <c r="F954" s="351"/>
      <c r="G954" s="52"/>
      <c r="H954" s="52"/>
      <c r="I954" s="52"/>
      <c r="J954" s="52"/>
      <c r="K954" s="52"/>
      <c r="L954" s="52"/>
      <c r="M954" s="52"/>
      <c r="N954" s="52"/>
      <c r="O954" s="52"/>
      <c r="P954" s="52"/>
      <c r="Q954" s="52"/>
      <c r="R954" s="52"/>
      <c r="S954" s="52"/>
      <c r="T954" s="52"/>
      <c r="U954" s="52"/>
      <c r="V954" s="52"/>
      <c r="W954" s="52"/>
      <c r="X954" s="52"/>
      <c r="Y954" s="52"/>
      <c r="Z954" s="52"/>
      <c r="AA954" s="52"/>
      <c r="AB954" s="52"/>
      <c r="AC954" s="52"/>
    </row>
    <row r="955">
      <c r="A955" s="52"/>
      <c r="B955" s="350"/>
      <c r="C955" s="52"/>
      <c r="D955" s="52"/>
      <c r="E955" s="52"/>
      <c r="F955" s="351"/>
      <c r="G955" s="52"/>
      <c r="H955" s="52"/>
      <c r="I955" s="52"/>
      <c r="J955" s="52"/>
      <c r="K955" s="52"/>
      <c r="L955" s="52"/>
      <c r="M955" s="52"/>
      <c r="N955" s="52"/>
      <c r="O955" s="52"/>
      <c r="P955" s="52"/>
      <c r="Q955" s="52"/>
      <c r="R955" s="52"/>
      <c r="S955" s="52"/>
      <c r="T955" s="52"/>
      <c r="U955" s="52"/>
      <c r="V955" s="52"/>
      <c r="W955" s="52"/>
      <c r="X955" s="52"/>
      <c r="Y955" s="52"/>
      <c r="Z955" s="52"/>
      <c r="AA955" s="52"/>
      <c r="AB955" s="52"/>
      <c r="AC955" s="52"/>
    </row>
    <row r="956">
      <c r="A956" s="52"/>
      <c r="B956" s="350"/>
      <c r="C956" s="52"/>
      <c r="D956" s="52"/>
      <c r="E956" s="52"/>
      <c r="F956" s="351"/>
      <c r="G956" s="52"/>
      <c r="H956" s="52"/>
      <c r="I956" s="52"/>
      <c r="J956" s="52"/>
      <c r="K956" s="52"/>
      <c r="L956" s="52"/>
      <c r="M956" s="52"/>
      <c r="N956" s="52"/>
      <c r="O956" s="52"/>
      <c r="P956" s="52"/>
      <c r="Q956" s="52"/>
      <c r="R956" s="52"/>
      <c r="S956" s="52"/>
      <c r="T956" s="52"/>
      <c r="U956" s="52"/>
      <c r="V956" s="52"/>
      <c r="W956" s="52"/>
      <c r="X956" s="52"/>
      <c r="Y956" s="52"/>
      <c r="Z956" s="52"/>
      <c r="AA956" s="52"/>
      <c r="AB956" s="52"/>
      <c r="AC956" s="52"/>
    </row>
    <row r="957">
      <c r="A957" s="52"/>
      <c r="B957" s="350"/>
      <c r="C957" s="52"/>
      <c r="D957" s="52"/>
      <c r="E957" s="52"/>
      <c r="F957" s="351"/>
      <c r="G957" s="52"/>
      <c r="H957" s="52"/>
      <c r="I957" s="52"/>
      <c r="J957" s="52"/>
      <c r="K957" s="52"/>
      <c r="L957" s="52"/>
      <c r="M957" s="52"/>
      <c r="N957" s="52"/>
      <c r="O957" s="52"/>
      <c r="P957" s="52"/>
      <c r="Q957" s="52"/>
      <c r="R957" s="52"/>
      <c r="S957" s="52"/>
      <c r="T957" s="52"/>
      <c r="U957" s="52"/>
      <c r="V957" s="52"/>
      <c r="W957" s="52"/>
      <c r="X957" s="52"/>
      <c r="Y957" s="52"/>
      <c r="Z957" s="52"/>
      <c r="AA957" s="52"/>
      <c r="AB957" s="52"/>
      <c r="AC957" s="52"/>
    </row>
    <row r="958">
      <c r="A958" s="52"/>
      <c r="B958" s="350"/>
      <c r="C958" s="52"/>
      <c r="D958" s="52"/>
      <c r="E958" s="52"/>
      <c r="F958" s="351"/>
      <c r="G958" s="52"/>
      <c r="H958" s="52"/>
      <c r="I958" s="52"/>
      <c r="J958" s="52"/>
      <c r="K958" s="52"/>
      <c r="L958" s="52"/>
      <c r="M958" s="52"/>
      <c r="N958" s="52"/>
      <c r="O958" s="52"/>
      <c r="P958" s="52"/>
      <c r="Q958" s="52"/>
      <c r="R958" s="52"/>
      <c r="S958" s="52"/>
      <c r="T958" s="52"/>
      <c r="U958" s="52"/>
      <c r="V958" s="52"/>
      <c r="W958" s="52"/>
      <c r="X958" s="52"/>
      <c r="Y958" s="52"/>
      <c r="Z958" s="52"/>
      <c r="AA958" s="52"/>
      <c r="AB958" s="52"/>
      <c r="AC958" s="52"/>
    </row>
    <row r="959">
      <c r="A959" s="52"/>
      <c r="B959" s="350"/>
      <c r="C959" s="52"/>
      <c r="D959" s="52"/>
      <c r="E959" s="52"/>
      <c r="F959" s="351"/>
      <c r="G959" s="52"/>
      <c r="H959" s="52"/>
      <c r="I959" s="52"/>
      <c r="J959" s="52"/>
      <c r="K959" s="52"/>
      <c r="L959" s="52"/>
      <c r="M959" s="52"/>
      <c r="N959" s="52"/>
      <c r="O959" s="52"/>
      <c r="P959" s="52"/>
      <c r="Q959" s="52"/>
      <c r="R959" s="52"/>
      <c r="S959" s="52"/>
      <c r="T959" s="52"/>
      <c r="U959" s="52"/>
      <c r="V959" s="52"/>
      <c r="W959" s="52"/>
      <c r="X959" s="52"/>
      <c r="Y959" s="52"/>
      <c r="Z959" s="52"/>
      <c r="AA959" s="52"/>
      <c r="AB959" s="52"/>
      <c r="AC959" s="52"/>
    </row>
    <row r="960">
      <c r="A960" s="52"/>
      <c r="B960" s="350"/>
      <c r="C960" s="52"/>
      <c r="D960" s="52"/>
      <c r="E960" s="52"/>
      <c r="F960" s="351"/>
      <c r="G960" s="52"/>
      <c r="H960" s="52"/>
      <c r="I960" s="52"/>
      <c r="J960" s="52"/>
      <c r="K960" s="52"/>
      <c r="L960" s="52"/>
      <c r="M960" s="52"/>
      <c r="N960" s="52"/>
      <c r="O960" s="52"/>
      <c r="P960" s="52"/>
      <c r="Q960" s="52"/>
      <c r="R960" s="52"/>
      <c r="S960" s="52"/>
      <c r="T960" s="52"/>
      <c r="U960" s="52"/>
      <c r="V960" s="52"/>
      <c r="W960" s="52"/>
      <c r="X960" s="52"/>
      <c r="Y960" s="52"/>
      <c r="Z960" s="52"/>
      <c r="AA960" s="52"/>
      <c r="AB960" s="52"/>
      <c r="AC960" s="52"/>
    </row>
    <row r="961">
      <c r="A961" s="52"/>
      <c r="B961" s="350"/>
      <c r="C961" s="52"/>
      <c r="D961" s="52"/>
      <c r="E961" s="52"/>
      <c r="F961" s="351"/>
      <c r="G961" s="52"/>
      <c r="H961" s="52"/>
      <c r="I961" s="52"/>
      <c r="J961" s="52"/>
      <c r="K961" s="52"/>
      <c r="L961" s="52"/>
      <c r="M961" s="52"/>
      <c r="N961" s="52"/>
      <c r="O961" s="52"/>
      <c r="P961" s="52"/>
      <c r="Q961" s="52"/>
      <c r="R961" s="52"/>
      <c r="S961" s="52"/>
      <c r="T961" s="52"/>
      <c r="U961" s="52"/>
      <c r="V961" s="52"/>
      <c r="W961" s="52"/>
      <c r="X961" s="52"/>
      <c r="Y961" s="52"/>
      <c r="Z961" s="52"/>
      <c r="AA961" s="52"/>
      <c r="AB961" s="52"/>
      <c r="AC961" s="52"/>
    </row>
    <row r="962">
      <c r="A962" s="52"/>
      <c r="B962" s="350"/>
      <c r="C962" s="52"/>
      <c r="D962" s="52"/>
      <c r="E962" s="52"/>
      <c r="F962" s="351"/>
      <c r="G962" s="52"/>
      <c r="H962" s="52"/>
      <c r="I962" s="52"/>
      <c r="J962" s="52"/>
      <c r="K962" s="52"/>
      <c r="L962" s="52"/>
      <c r="M962" s="52"/>
      <c r="N962" s="52"/>
      <c r="O962" s="52"/>
      <c r="P962" s="52"/>
      <c r="Q962" s="52"/>
      <c r="R962" s="52"/>
      <c r="S962" s="52"/>
      <c r="T962" s="52"/>
      <c r="U962" s="52"/>
      <c r="V962" s="52"/>
      <c r="W962" s="52"/>
      <c r="X962" s="52"/>
      <c r="Y962" s="52"/>
      <c r="Z962" s="52"/>
      <c r="AA962" s="52"/>
      <c r="AB962" s="52"/>
      <c r="AC962" s="52"/>
    </row>
    <row r="963">
      <c r="A963" s="52"/>
      <c r="B963" s="350"/>
      <c r="C963" s="52"/>
      <c r="D963" s="52"/>
      <c r="E963" s="52"/>
      <c r="F963" s="351"/>
      <c r="G963" s="52"/>
      <c r="H963" s="52"/>
      <c r="I963" s="52"/>
      <c r="J963" s="52"/>
      <c r="K963" s="52"/>
      <c r="L963" s="52"/>
      <c r="M963" s="52"/>
      <c r="N963" s="52"/>
      <c r="O963" s="52"/>
      <c r="P963" s="52"/>
      <c r="Q963" s="52"/>
      <c r="R963" s="52"/>
      <c r="S963" s="52"/>
      <c r="T963" s="52"/>
      <c r="U963" s="52"/>
      <c r="V963" s="52"/>
      <c r="W963" s="52"/>
      <c r="X963" s="52"/>
      <c r="Y963" s="52"/>
      <c r="Z963" s="52"/>
      <c r="AA963" s="52"/>
      <c r="AB963" s="52"/>
      <c r="AC963" s="52"/>
    </row>
    <row r="964">
      <c r="A964" s="52"/>
      <c r="B964" s="350"/>
      <c r="C964" s="52"/>
      <c r="D964" s="52"/>
      <c r="E964" s="52"/>
      <c r="F964" s="351"/>
      <c r="G964" s="52"/>
      <c r="H964" s="52"/>
      <c r="I964" s="52"/>
      <c r="J964" s="52"/>
      <c r="K964" s="52"/>
      <c r="L964" s="52"/>
      <c r="M964" s="52"/>
      <c r="N964" s="52"/>
      <c r="O964" s="52"/>
      <c r="P964" s="52"/>
      <c r="Q964" s="52"/>
      <c r="R964" s="52"/>
      <c r="S964" s="52"/>
      <c r="T964" s="52"/>
      <c r="U964" s="52"/>
      <c r="V964" s="52"/>
      <c r="W964" s="52"/>
      <c r="X964" s="52"/>
      <c r="Y964" s="52"/>
      <c r="Z964" s="52"/>
      <c r="AA964" s="52"/>
      <c r="AB964" s="52"/>
      <c r="AC964" s="52"/>
    </row>
    <row r="965">
      <c r="A965" s="52"/>
      <c r="B965" s="350"/>
      <c r="C965" s="52"/>
      <c r="D965" s="52"/>
      <c r="E965" s="52"/>
      <c r="F965" s="351"/>
      <c r="G965" s="52"/>
      <c r="H965" s="52"/>
      <c r="I965" s="52"/>
      <c r="J965" s="52"/>
      <c r="K965" s="52"/>
      <c r="L965" s="52"/>
      <c r="M965" s="52"/>
      <c r="N965" s="52"/>
      <c r="O965" s="52"/>
      <c r="P965" s="52"/>
      <c r="Q965" s="52"/>
      <c r="R965" s="52"/>
      <c r="S965" s="52"/>
      <c r="T965" s="52"/>
      <c r="U965" s="52"/>
      <c r="V965" s="52"/>
      <c r="W965" s="52"/>
      <c r="X965" s="52"/>
      <c r="Y965" s="52"/>
      <c r="Z965" s="52"/>
      <c r="AA965" s="52"/>
      <c r="AB965" s="52"/>
      <c r="AC965" s="52"/>
    </row>
    <row r="966">
      <c r="A966" s="52"/>
      <c r="B966" s="350"/>
      <c r="C966" s="52"/>
      <c r="D966" s="52"/>
      <c r="E966" s="52"/>
      <c r="F966" s="351"/>
      <c r="G966" s="52"/>
      <c r="H966" s="52"/>
      <c r="I966" s="52"/>
      <c r="J966" s="52"/>
      <c r="K966" s="52"/>
      <c r="L966" s="52"/>
      <c r="M966" s="52"/>
      <c r="N966" s="52"/>
      <c r="O966" s="52"/>
      <c r="P966" s="52"/>
      <c r="Q966" s="52"/>
      <c r="R966" s="52"/>
      <c r="S966" s="52"/>
      <c r="T966" s="52"/>
      <c r="U966" s="52"/>
      <c r="V966" s="52"/>
      <c r="W966" s="52"/>
      <c r="X966" s="52"/>
      <c r="Y966" s="52"/>
      <c r="Z966" s="52"/>
      <c r="AA966" s="52"/>
      <c r="AB966" s="52"/>
      <c r="AC966" s="52"/>
    </row>
    <row r="967">
      <c r="A967" s="52"/>
      <c r="B967" s="350"/>
      <c r="C967" s="52"/>
      <c r="D967" s="52"/>
      <c r="E967" s="52"/>
      <c r="F967" s="351"/>
      <c r="G967" s="52"/>
      <c r="H967" s="52"/>
      <c r="I967" s="52"/>
      <c r="J967" s="52"/>
      <c r="K967" s="52"/>
      <c r="L967" s="52"/>
      <c r="M967" s="52"/>
      <c r="N967" s="52"/>
      <c r="O967" s="52"/>
      <c r="P967" s="52"/>
      <c r="Q967" s="52"/>
      <c r="R967" s="52"/>
      <c r="S967" s="52"/>
      <c r="T967" s="52"/>
      <c r="U967" s="52"/>
      <c r="V967" s="52"/>
      <c r="W967" s="52"/>
      <c r="X967" s="52"/>
      <c r="Y967" s="52"/>
      <c r="Z967" s="52"/>
      <c r="AA967" s="52"/>
      <c r="AB967" s="52"/>
      <c r="AC967" s="52"/>
    </row>
    <row r="968">
      <c r="A968" s="52"/>
      <c r="B968" s="350"/>
      <c r="C968" s="52"/>
      <c r="D968" s="52"/>
      <c r="E968" s="52"/>
      <c r="F968" s="351"/>
      <c r="G968" s="52"/>
      <c r="H968" s="52"/>
      <c r="I968" s="52"/>
      <c r="J968" s="52"/>
      <c r="K968" s="52"/>
      <c r="L968" s="52"/>
      <c r="M968" s="52"/>
      <c r="N968" s="52"/>
      <c r="O968" s="52"/>
      <c r="P968" s="52"/>
      <c r="Q968" s="52"/>
      <c r="R968" s="52"/>
      <c r="S968" s="52"/>
      <c r="T968" s="52"/>
      <c r="U968" s="52"/>
      <c r="V968" s="52"/>
      <c r="W968" s="52"/>
      <c r="X968" s="52"/>
      <c r="Y968" s="52"/>
      <c r="Z968" s="52"/>
      <c r="AA968" s="52"/>
      <c r="AB968" s="52"/>
      <c r="AC968" s="52"/>
    </row>
    <row r="969">
      <c r="A969" s="52"/>
      <c r="B969" s="350"/>
      <c r="C969" s="52"/>
      <c r="D969" s="52"/>
      <c r="E969" s="52"/>
      <c r="F969" s="351"/>
      <c r="G969" s="52"/>
      <c r="H969" s="52"/>
      <c r="I969" s="52"/>
      <c r="J969" s="52"/>
      <c r="K969" s="52"/>
      <c r="L969" s="52"/>
      <c r="M969" s="52"/>
      <c r="N969" s="52"/>
      <c r="O969" s="52"/>
      <c r="P969" s="52"/>
      <c r="Q969" s="52"/>
      <c r="R969" s="52"/>
      <c r="S969" s="52"/>
      <c r="T969" s="52"/>
      <c r="U969" s="52"/>
      <c r="V969" s="52"/>
      <c r="W969" s="52"/>
      <c r="X969" s="52"/>
      <c r="Y969" s="52"/>
      <c r="Z969" s="52"/>
      <c r="AA969" s="52"/>
      <c r="AB969" s="52"/>
      <c r="AC969" s="52"/>
    </row>
    <row r="970">
      <c r="A970" s="52"/>
      <c r="B970" s="350"/>
      <c r="C970" s="52"/>
      <c r="D970" s="52"/>
      <c r="E970" s="52"/>
      <c r="F970" s="351"/>
      <c r="G970" s="52"/>
      <c r="H970" s="52"/>
      <c r="I970" s="52"/>
      <c r="J970" s="52"/>
      <c r="K970" s="52"/>
      <c r="L970" s="52"/>
      <c r="M970" s="52"/>
      <c r="N970" s="52"/>
      <c r="O970" s="52"/>
      <c r="P970" s="52"/>
      <c r="Q970" s="52"/>
      <c r="R970" s="52"/>
      <c r="S970" s="52"/>
      <c r="T970" s="52"/>
      <c r="U970" s="52"/>
      <c r="V970" s="52"/>
      <c r="W970" s="52"/>
      <c r="X970" s="52"/>
      <c r="Y970" s="52"/>
      <c r="Z970" s="52"/>
      <c r="AA970" s="52"/>
      <c r="AB970" s="52"/>
      <c r="AC970" s="52"/>
    </row>
    <row r="971">
      <c r="A971" s="52"/>
      <c r="B971" s="350"/>
      <c r="C971" s="52"/>
      <c r="D971" s="52"/>
      <c r="E971" s="52"/>
      <c r="F971" s="351"/>
      <c r="G971" s="52"/>
      <c r="H971" s="52"/>
      <c r="I971" s="52"/>
      <c r="J971" s="52"/>
      <c r="K971" s="52"/>
      <c r="L971" s="52"/>
      <c r="M971" s="52"/>
      <c r="N971" s="52"/>
      <c r="O971" s="52"/>
      <c r="P971" s="52"/>
      <c r="Q971" s="52"/>
      <c r="R971" s="52"/>
      <c r="S971" s="52"/>
      <c r="T971" s="52"/>
      <c r="U971" s="52"/>
      <c r="V971" s="52"/>
      <c r="W971" s="52"/>
      <c r="X971" s="52"/>
      <c r="Y971" s="52"/>
      <c r="Z971" s="52"/>
      <c r="AA971" s="52"/>
      <c r="AB971" s="52"/>
      <c r="AC971" s="52"/>
    </row>
    <row r="972">
      <c r="A972" s="52"/>
      <c r="B972" s="350"/>
      <c r="C972" s="52"/>
      <c r="D972" s="52"/>
      <c r="E972" s="52"/>
      <c r="F972" s="351"/>
      <c r="G972" s="52"/>
      <c r="H972" s="52"/>
      <c r="I972" s="52"/>
      <c r="J972" s="52"/>
      <c r="K972" s="52"/>
      <c r="L972" s="52"/>
      <c r="M972" s="52"/>
      <c r="N972" s="52"/>
      <c r="O972" s="52"/>
      <c r="P972" s="52"/>
      <c r="Q972" s="52"/>
      <c r="R972" s="52"/>
      <c r="S972" s="52"/>
      <c r="T972" s="52"/>
      <c r="U972" s="52"/>
      <c r="V972" s="52"/>
      <c r="W972" s="52"/>
      <c r="X972" s="52"/>
      <c r="Y972" s="52"/>
      <c r="Z972" s="52"/>
      <c r="AA972" s="52"/>
      <c r="AB972" s="52"/>
      <c r="AC972" s="52"/>
    </row>
    <row r="973">
      <c r="A973" s="52"/>
      <c r="B973" s="350"/>
      <c r="C973" s="52"/>
      <c r="D973" s="52"/>
      <c r="E973" s="52"/>
      <c r="F973" s="351"/>
      <c r="G973" s="52"/>
      <c r="H973" s="52"/>
      <c r="I973" s="52"/>
      <c r="J973" s="52"/>
      <c r="K973" s="52"/>
      <c r="L973" s="52"/>
      <c r="M973" s="52"/>
      <c r="N973" s="52"/>
      <c r="O973" s="52"/>
      <c r="P973" s="52"/>
      <c r="Q973" s="52"/>
      <c r="R973" s="52"/>
      <c r="S973" s="52"/>
      <c r="T973" s="52"/>
      <c r="U973" s="52"/>
      <c r="V973" s="52"/>
      <c r="W973" s="52"/>
      <c r="X973" s="52"/>
      <c r="Y973" s="52"/>
      <c r="Z973" s="52"/>
      <c r="AA973" s="52"/>
      <c r="AB973" s="52"/>
      <c r="AC973" s="52"/>
    </row>
    <row r="974">
      <c r="A974" s="52"/>
      <c r="B974" s="350"/>
      <c r="C974" s="52"/>
      <c r="D974" s="52"/>
      <c r="E974" s="52"/>
      <c r="F974" s="351"/>
      <c r="G974" s="52"/>
      <c r="H974" s="52"/>
      <c r="I974" s="52"/>
      <c r="J974" s="52"/>
      <c r="K974" s="52"/>
      <c r="L974" s="52"/>
      <c r="M974" s="52"/>
      <c r="N974" s="52"/>
      <c r="O974" s="52"/>
      <c r="P974" s="52"/>
      <c r="Q974" s="52"/>
      <c r="R974" s="52"/>
      <c r="S974" s="52"/>
      <c r="T974" s="52"/>
      <c r="U974" s="52"/>
      <c r="V974" s="52"/>
      <c r="W974" s="52"/>
      <c r="X974" s="52"/>
      <c r="Y974" s="52"/>
      <c r="Z974" s="52"/>
      <c r="AA974" s="52"/>
      <c r="AB974" s="52"/>
      <c r="AC974" s="52"/>
    </row>
    <row r="975">
      <c r="A975" s="52"/>
      <c r="B975" s="350"/>
      <c r="C975" s="52"/>
      <c r="D975" s="52"/>
      <c r="E975" s="52"/>
      <c r="F975" s="351"/>
      <c r="G975" s="52"/>
      <c r="H975" s="52"/>
      <c r="I975" s="52"/>
      <c r="J975" s="52"/>
      <c r="K975" s="52"/>
      <c r="L975" s="52"/>
      <c r="M975" s="52"/>
      <c r="N975" s="52"/>
      <c r="O975" s="52"/>
      <c r="P975" s="52"/>
      <c r="Q975" s="52"/>
      <c r="R975" s="52"/>
      <c r="S975" s="52"/>
      <c r="T975" s="52"/>
      <c r="U975" s="52"/>
      <c r="V975" s="52"/>
      <c r="W975" s="52"/>
      <c r="X975" s="52"/>
      <c r="Y975" s="52"/>
      <c r="Z975" s="52"/>
      <c r="AA975" s="52"/>
      <c r="AB975" s="52"/>
      <c r="AC975" s="52"/>
    </row>
    <row r="976">
      <c r="A976" s="52"/>
      <c r="B976" s="350"/>
      <c r="C976" s="52"/>
      <c r="D976" s="52"/>
      <c r="E976" s="52"/>
      <c r="F976" s="351"/>
      <c r="G976" s="52"/>
      <c r="H976" s="52"/>
      <c r="I976" s="52"/>
      <c r="J976" s="52"/>
      <c r="K976" s="52"/>
      <c r="L976" s="52"/>
      <c r="M976" s="52"/>
      <c r="N976" s="52"/>
      <c r="O976" s="52"/>
      <c r="P976" s="52"/>
      <c r="Q976" s="52"/>
      <c r="R976" s="52"/>
      <c r="S976" s="52"/>
      <c r="T976" s="52"/>
      <c r="U976" s="52"/>
      <c r="V976" s="52"/>
      <c r="W976" s="52"/>
      <c r="X976" s="52"/>
      <c r="Y976" s="52"/>
      <c r="Z976" s="52"/>
      <c r="AA976" s="52"/>
      <c r="AB976" s="52"/>
      <c r="AC976" s="52"/>
    </row>
    <row r="977">
      <c r="A977" s="52"/>
      <c r="B977" s="350"/>
      <c r="C977" s="52"/>
      <c r="D977" s="52"/>
      <c r="E977" s="52"/>
      <c r="F977" s="351"/>
      <c r="G977" s="52"/>
      <c r="H977" s="52"/>
      <c r="I977" s="52"/>
      <c r="J977" s="52"/>
      <c r="K977" s="52"/>
      <c r="L977" s="52"/>
      <c r="M977" s="52"/>
      <c r="N977" s="52"/>
      <c r="O977" s="52"/>
      <c r="P977" s="52"/>
      <c r="Q977" s="52"/>
      <c r="R977" s="52"/>
      <c r="S977" s="52"/>
      <c r="T977" s="52"/>
      <c r="U977" s="52"/>
      <c r="V977" s="52"/>
      <c r="W977" s="52"/>
      <c r="X977" s="52"/>
      <c r="Y977" s="52"/>
      <c r="Z977" s="52"/>
      <c r="AA977" s="52"/>
      <c r="AB977" s="52"/>
      <c r="AC977" s="52"/>
    </row>
    <row r="978">
      <c r="A978" s="52"/>
      <c r="B978" s="350"/>
      <c r="C978" s="52"/>
      <c r="D978" s="52"/>
      <c r="E978" s="52"/>
      <c r="F978" s="351"/>
      <c r="G978" s="52"/>
      <c r="H978" s="52"/>
      <c r="I978" s="52"/>
      <c r="J978" s="52"/>
      <c r="K978" s="52"/>
      <c r="L978" s="52"/>
      <c r="M978" s="52"/>
      <c r="N978" s="52"/>
      <c r="O978" s="52"/>
      <c r="P978" s="52"/>
      <c r="Q978" s="52"/>
      <c r="R978" s="52"/>
      <c r="S978" s="52"/>
      <c r="T978" s="52"/>
      <c r="U978" s="52"/>
      <c r="V978" s="52"/>
      <c r="W978" s="52"/>
      <c r="X978" s="52"/>
      <c r="Y978" s="52"/>
      <c r="Z978" s="52"/>
      <c r="AA978" s="52"/>
      <c r="AB978" s="52"/>
      <c r="AC978" s="52"/>
    </row>
    <row r="979">
      <c r="A979" s="52"/>
      <c r="B979" s="350"/>
      <c r="C979" s="52"/>
      <c r="D979" s="52"/>
      <c r="E979" s="52"/>
      <c r="F979" s="351"/>
      <c r="G979" s="52"/>
      <c r="H979" s="52"/>
      <c r="I979" s="52"/>
      <c r="J979" s="52"/>
      <c r="K979" s="52"/>
      <c r="L979" s="52"/>
      <c r="M979" s="52"/>
      <c r="N979" s="52"/>
      <c r="O979" s="52"/>
      <c r="P979" s="52"/>
      <c r="Q979" s="52"/>
      <c r="R979" s="52"/>
      <c r="S979" s="52"/>
      <c r="T979" s="52"/>
      <c r="U979" s="52"/>
      <c r="V979" s="52"/>
      <c r="W979" s="52"/>
      <c r="X979" s="52"/>
      <c r="Y979" s="52"/>
      <c r="Z979" s="52"/>
      <c r="AA979" s="52"/>
      <c r="AB979" s="52"/>
      <c r="AC979" s="52"/>
    </row>
    <row r="980">
      <c r="A980" s="52"/>
      <c r="B980" s="350"/>
      <c r="C980" s="52"/>
      <c r="D980" s="52"/>
      <c r="E980" s="52"/>
      <c r="F980" s="351"/>
      <c r="G980" s="52"/>
      <c r="H980" s="52"/>
      <c r="I980" s="52"/>
      <c r="J980" s="52"/>
      <c r="K980" s="52"/>
      <c r="L980" s="52"/>
      <c r="M980" s="52"/>
      <c r="N980" s="52"/>
      <c r="O980" s="52"/>
      <c r="P980" s="52"/>
      <c r="Q980" s="52"/>
      <c r="R980" s="52"/>
      <c r="S980" s="52"/>
      <c r="T980" s="52"/>
      <c r="U980" s="52"/>
      <c r="V980" s="52"/>
      <c r="W980" s="52"/>
      <c r="X980" s="52"/>
      <c r="Y980" s="52"/>
      <c r="Z980" s="52"/>
      <c r="AA980" s="52"/>
      <c r="AB980" s="52"/>
      <c r="AC980" s="52"/>
    </row>
    <row r="981">
      <c r="A981" s="52"/>
      <c r="B981" s="350"/>
      <c r="C981" s="52"/>
      <c r="D981" s="52"/>
      <c r="E981" s="52"/>
      <c r="F981" s="351"/>
      <c r="G981" s="52"/>
      <c r="H981" s="52"/>
      <c r="I981" s="52"/>
      <c r="J981" s="52"/>
      <c r="K981" s="52"/>
      <c r="L981" s="52"/>
      <c r="M981" s="52"/>
      <c r="N981" s="52"/>
      <c r="O981" s="52"/>
      <c r="P981" s="52"/>
      <c r="Q981" s="52"/>
      <c r="R981" s="52"/>
      <c r="S981" s="52"/>
      <c r="T981" s="52"/>
      <c r="U981" s="52"/>
      <c r="V981" s="52"/>
      <c r="W981" s="52"/>
      <c r="X981" s="52"/>
      <c r="Y981" s="52"/>
      <c r="Z981" s="52"/>
      <c r="AA981" s="52"/>
      <c r="AB981" s="52"/>
      <c r="AC981" s="52"/>
    </row>
    <row r="982">
      <c r="A982" s="52"/>
      <c r="B982" s="350"/>
      <c r="C982" s="52"/>
      <c r="D982" s="52"/>
      <c r="E982" s="52"/>
      <c r="F982" s="351"/>
      <c r="G982" s="52"/>
      <c r="H982" s="52"/>
      <c r="I982" s="52"/>
      <c r="J982" s="52"/>
      <c r="K982" s="52"/>
      <c r="L982" s="52"/>
      <c r="M982" s="52"/>
      <c r="N982" s="52"/>
      <c r="O982" s="52"/>
      <c r="P982" s="52"/>
      <c r="Q982" s="52"/>
      <c r="R982" s="52"/>
      <c r="S982" s="52"/>
      <c r="T982" s="52"/>
      <c r="U982" s="52"/>
      <c r="V982" s="52"/>
      <c r="W982" s="52"/>
      <c r="X982" s="52"/>
      <c r="Y982" s="52"/>
      <c r="Z982" s="52"/>
      <c r="AA982" s="52"/>
      <c r="AB982" s="52"/>
      <c r="AC982" s="52"/>
    </row>
    <row r="983">
      <c r="A983" s="52"/>
      <c r="B983" s="350"/>
      <c r="C983" s="52"/>
      <c r="D983" s="52"/>
      <c r="E983" s="52"/>
      <c r="F983" s="351"/>
      <c r="G983" s="52"/>
      <c r="H983" s="52"/>
      <c r="I983" s="52"/>
      <c r="J983" s="52"/>
      <c r="K983" s="52"/>
      <c r="L983" s="52"/>
      <c r="M983" s="52"/>
      <c r="N983" s="52"/>
      <c r="O983" s="52"/>
      <c r="P983" s="52"/>
      <c r="Q983" s="52"/>
      <c r="R983" s="52"/>
      <c r="S983" s="52"/>
      <c r="T983" s="52"/>
      <c r="U983" s="52"/>
      <c r="V983" s="52"/>
      <c r="W983" s="52"/>
      <c r="X983" s="52"/>
      <c r="Y983" s="52"/>
      <c r="Z983" s="52"/>
      <c r="AA983" s="52"/>
      <c r="AB983" s="52"/>
      <c r="AC983" s="52"/>
    </row>
    <row r="984">
      <c r="A984" s="52"/>
      <c r="B984" s="350"/>
      <c r="C984" s="52"/>
      <c r="D984" s="52"/>
      <c r="E984" s="52"/>
      <c r="F984" s="351"/>
      <c r="G984" s="52"/>
      <c r="H984" s="52"/>
      <c r="I984" s="52"/>
      <c r="J984" s="52"/>
      <c r="K984" s="52"/>
      <c r="L984" s="52"/>
      <c r="M984" s="52"/>
      <c r="N984" s="52"/>
      <c r="O984" s="52"/>
      <c r="P984" s="52"/>
      <c r="Q984" s="52"/>
      <c r="R984" s="52"/>
      <c r="S984" s="52"/>
      <c r="T984" s="52"/>
      <c r="U984" s="52"/>
      <c r="V984" s="52"/>
      <c r="W984" s="52"/>
      <c r="X984" s="52"/>
      <c r="Y984" s="52"/>
      <c r="Z984" s="52"/>
      <c r="AA984" s="52"/>
      <c r="AB984" s="52"/>
      <c r="AC984" s="52"/>
    </row>
    <row r="985">
      <c r="A985" s="52"/>
      <c r="B985" s="350"/>
      <c r="C985" s="52"/>
      <c r="D985" s="52"/>
      <c r="E985" s="52"/>
      <c r="F985" s="351"/>
      <c r="G985" s="52"/>
      <c r="H985" s="52"/>
      <c r="I985" s="52"/>
      <c r="J985" s="52"/>
      <c r="K985" s="52"/>
      <c r="L985" s="52"/>
      <c r="M985" s="52"/>
      <c r="N985" s="52"/>
      <c r="O985" s="52"/>
      <c r="P985" s="52"/>
      <c r="Q985" s="52"/>
      <c r="R985" s="52"/>
      <c r="S985" s="52"/>
      <c r="T985" s="52"/>
      <c r="U985" s="52"/>
      <c r="V985" s="52"/>
      <c r="W985" s="52"/>
      <c r="X985" s="52"/>
      <c r="Y985" s="52"/>
      <c r="Z985" s="52"/>
      <c r="AA985" s="52"/>
      <c r="AB985" s="52"/>
      <c r="AC985" s="52"/>
    </row>
    <row r="986">
      <c r="A986" s="52"/>
      <c r="B986" s="350"/>
      <c r="C986" s="52"/>
      <c r="D986" s="52"/>
      <c r="E986" s="52"/>
      <c r="F986" s="351"/>
      <c r="G986" s="52"/>
      <c r="H986" s="52"/>
      <c r="I986" s="52"/>
      <c r="J986" s="52"/>
      <c r="K986" s="52"/>
      <c r="L986" s="52"/>
      <c r="M986" s="52"/>
      <c r="N986" s="52"/>
      <c r="O986" s="52"/>
      <c r="P986" s="52"/>
      <c r="Q986" s="52"/>
      <c r="R986" s="52"/>
      <c r="S986" s="52"/>
      <c r="T986" s="52"/>
      <c r="U986" s="52"/>
      <c r="V986" s="52"/>
      <c r="W986" s="52"/>
      <c r="X986" s="52"/>
      <c r="Y986" s="52"/>
      <c r="Z986" s="52"/>
      <c r="AA986" s="52"/>
      <c r="AB986" s="52"/>
      <c r="AC986" s="52"/>
    </row>
    <row r="987">
      <c r="A987" s="52"/>
      <c r="B987" s="350"/>
      <c r="C987" s="52"/>
      <c r="D987" s="52"/>
      <c r="E987" s="52"/>
      <c r="F987" s="351"/>
      <c r="G987" s="52"/>
      <c r="H987" s="52"/>
      <c r="I987" s="52"/>
      <c r="J987" s="52"/>
      <c r="K987" s="52"/>
      <c r="L987" s="52"/>
      <c r="M987" s="52"/>
      <c r="N987" s="52"/>
      <c r="O987" s="52"/>
      <c r="P987" s="52"/>
      <c r="Q987" s="52"/>
      <c r="R987" s="52"/>
      <c r="S987" s="52"/>
      <c r="T987" s="52"/>
      <c r="U987" s="52"/>
      <c r="V987" s="52"/>
      <c r="W987" s="52"/>
      <c r="X987" s="52"/>
      <c r="Y987" s="52"/>
      <c r="Z987" s="52"/>
      <c r="AA987" s="52"/>
      <c r="AB987" s="52"/>
      <c r="AC987" s="52"/>
    </row>
    <row r="988">
      <c r="A988" s="52"/>
      <c r="B988" s="350"/>
      <c r="C988" s="52"/>
      <c r="D988" s="52"/>
      <c r="E988" s="52"/>
      <c r="F988" s="351"/>
      <c r="G988" s="52"/>
      <c r="H988" s="52"/>
      <c r="I988" s="52"/>
      <c r="J988" s="52"/>
      <c r="K988" s="52"/>
      <c r="L988" s="52"/>
      <c r="M988" s="52"/>
      <c r="N988" s="52"/>
      <c r="O988" s="52"/>
      <c r="P988" s="52"/>
      <c r="Q988" s="52"/>
      <c r="R988" s="52"/>
      <c r="S988" s="52"/>
      <c r="T988" s="52"/>
      <c r="U988" s="52"/>
      <c r="V988" s="52"/>
      <c r="W988" s="52"/>
      <c r="X988" s="52"/>
      <c r="Y988" s="52"/>
      <c r="Z988" s="52"/>
      <c r="AA988" s="52"/>
      <c r="AB988" s="52"/>
      <c r="AC988" s="52"/>
    </row>
    <row r="989">
      <c r="A989" s="52"/>
      <c r="B989" s="350"/>
      <c r="C989" s="52"/>
      <c r="D989" s="52"/>
      <c r="E989" s="52"/>
      <c r="F989" s="351"/>
      <c r="G989" s="52"/>
      <c r="H989" s="52"/>
      <c r="I989" s="52"/>
      <c r="J989" s="52"/>
      <c r="K989" s="52"/>
      <c r="L989" s="52"/>
      <c r="M989" s="52"/>
      <c r="N989" s="52"/>
      <c r="O989" s="52"/>
      <c r="P989" s="52"/>
      <c r="Q989" s="52"/>
      <c r="R989" s="52"/>
      <c r="S989" s="52"/>
      <c r="T989" s="52"/>
      <c r="U989" s="52"/>
      <c r="V989" s="52"/>
      <c r="W989" s="52"/>
      <c r="X989" s="52"/>
      <c r="Y989" s="52"/>
      <c r="Z989" s="52"/>
      <c r="AA989" s="52"/>
      <c r="AB989" s="52"/>
      <c r="AC989" s="52"/>
    </row>
    <row r="990">
      <c r="A990" s="52"/>
      <c r="B990" s="350"/>
      <c r="C990" s="52"/>
      <c r="D990" s="52"/>
      <c r="E990" s="52"/>
      <c r="F990" s="351"/>
      <c r="G990" s="52"/>
      <c r="H990" s="52"/>
      <c r="I990" s="52"/>
      <c r="J990" s="52"/>
      <c r="K990" s="52"/>
      <c r="L990" s="52"/>
      <c r="M990" s="52"/>
      <c r="N990" s="52"/>
      <c r="O990" s="52"/>
      <c r="P990" s="52"/>
      <c r="Q990" s="52"/>
      <c r="R990" s="52"/>
      <c r="S990" s="52"/>
      <c r="T990" s="52"/>
      <c r="U990" s="52"/>
      <c r="V990" s="52"/>
      <c r="W990" s="52"/>
      <c r="X990" s="52"/>
      <c r="Y990" s="52"/>
      <c r="Z990" s="52"/>
      <c r="AA990" s="52"/>
      <c r="AB990" s="52"/>
      <c r="AC990" s="52"/>
    </row>
    <row r="991">
      <c r="A991" s="52"/>
      <c r="B991" s="350"/>
      <c r="C991" s="52"/>
      <c r="D991" s="52"/>
      <c r="E991" s="52"/>
      <c r="F991" s="351"/>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row>
    <row r="992">
      <c r="A992" s="52"/>
      <c r="B992" s="350"/>
      <c r="C992" s="52"/>
      <c r="D992" s="52"/>
      <c r="E992" s="52"/>
      <c r="F992" s="351"/>
      <c r="G992" s="52"/>
      <c r="H992" s="52"/>
      <c r="I992" s="52"/>
      <c r="J992" s="52"/>
      <c r="K992" s="52"/>
      <c r="L992" s="52"/>
      <c r="M992" s="52"/>
      <c r="N992" s="52"/>
      <c r="O992" s="52"/>
      <c r="P992" s="52"/>
      <c r="Q992" s="52"/>
      <c r="R992" s="52"/>
      <c r="S992" s="52"/>
      <c r="T992" s="52"/>
      <c r="U992" s="52"/>
      <c r="V992" s="52"/>
      <c r="W992" s="52"/>
      <c r="X992" s="52"/>
      <c r="Y992" s="52"/>
      <c r="Z992" s="52"/>
      <c r="AA992" s="52"/>
      <c r="AB992" s="52"/>
      <c r="AC992" s="52"/>
    </row>
    <row r="993">
      <c r="A993" s="52"/>
      <c r="B993" s="350"/>
      <c r="C993" s="52"/>
      <c r="D993" s="52"/>
      <c r="E993" s="52"/>
      <c r="F993" s="351"/>
      <c r="G993" s="52"/>
      <c r="H993" s="52"/>
      <c r="I993" s="52"/>
      <c r="J993" s="52"/>
      <c r="K993" s="52"/>
      <c r="L993" s="52"/>
      <c r="M993" s="52"/>
      <c r="N993" s="52"/>
      <c r="O993" s="52"/>
      <c r="P993" s="52"/>
      <c r="Q993" s="52"/>
      <c r="R993" s="52"/>
      <c r="S993" s="52"/>
      <c r="T993" s="52"/>
      <c r="U993" s="52"/>
      <c r="V993" s="52"/>
      <c r="W993" s="52"/>
      <c r="X993" s="52"/>
      <c r="Y993" s="52"/>
      <c r="Z993" s="52"/>
      <c r="AA993" s="52"/>
      <c r="AB993" s="52"/>
      <c r="AC993" s="52"/>
    </row>
    <row r="994">
      <c r="A994" s="52"/>
      <c r="B994" s="350"/>
      <c r="C994" s="52"/>
      <c r="D994" s="52"/>
      <c r="E994" s="52"/>
      <c r="F994" s="351"/>
      <c r="G994" s="52"/>
      <c r="H994" s="52"/>
      <c r="I994" s="52"/>
      <c r="J994" s="52"/>
      <c r="K994" s="52"/>
      <c r="L994" s="52"/>
      <c r="M994" s="52"/>
      <c r="N994" s="52"/>
      <c r="O994" s="52"/>
      <c r="P994" s="52"/>
      <c r="Q994" s="52"/>
      <c r="R994" s="52"/>
      <c r="S994" s="52"/>
      <c r="T994" s="52"/>
      <c r="U994" s="52"/>
      <c r="V994" s="52"/>
      <c r="W994" s="52"/>
      <c r="X994" s="52"/>
      <c r="Y994" s="52"/>
      <c r="Z994" s="52"/>
      <c r="AA994" s="52"/>
      <c r="AB994" s="52"/>
      <c r="AC994" s="52"/>
    </row>
    <row r="995">
      <c r="A995" s="52"/>
      <c r="B995" s="350"/>
      <c r="C995" s="52"/>
      <c r="D995" s="52"/>
      <c r="E995" s="52"/>
      <c r="F995" s="351"/>
      <c r="G995" s="52"/>
      <c r="H995" s="52"/>
      <c r="I995" s="52"/>
      <c r="J995" s="52"/>
      <c r="K995" s="52"/>
      <c r="L995" s="52"/>
      <c r="M995" s="52"/>
      <c r="N995" s="52"/>
      <c r="O995" s="52"/>
      <c r="P995" s="52"/>
      <c r="Q995" s="52"/>
      <c r="R995" s="52"/>
      <c r="S995" s="52"/>
      <c r="T995" s="52"/>
      <c r="U995" s="52"/>
      <c r="V995" s="52"/>
      <c r="W995" s="52"/>
      <c r="X995" s="52"/>
      <c r="Y995" s="52"/>
      <c r="Z995" s="52"/>
      <c r="AA995" s="52"/>
      <c r="AB995" s="52"/>
      <c r="AC995" s="52"/>
    </row>
    <row r="996">
      <c r="A996" s="52"/>
      <c r="B996" s="350"/>
      <c r="C996" s="52"/>
      <c r="D996" s="52"/>
      <c r="E996" s="52"/>
      <c r="F996" s="351"/>
      <c r="G996" s="52"/>
      <c r="H996" s="52"/>
      <c r="I996" s="52"/>
      <c r="J996" s="52"/>
      <c r="K996" s="52"/>
      <c r="L996" s="52"/>
      <c r="M996" s="52"/>
      <c r="N996" s="52"/>
      <c r="O996" s="52"/>
      <c r="P996" s="52"/>
      <c r="Q996" s="52"/>
      <c r="R996" s="52"/>
      <c r="S996" s="52"/>
      <c r="T996" s="52"/>
      <c r="U996" s="52"/>
      <c r="V996" s="52"/>
      <c r="W996" s="52"/>
      <c r="X996" s="52"/>
      <c r="Y996" s="52"/>
      <c r="Z996" s="52"/>
      <c r="AA996" s="52"/>
      <c r="AB996" s="52"/>
      <c r="AC996" s="52"/>
    </row>
    <row r="997">
      <c r="A997" s="52"/>
      <c r="B997" s="350"/>
      <c r="C997" s="52"/>
      <c r="D997" s="52"/>
      <c r="E997" s="52"/>
      <c r="F997" s="351"/>
      <c r="G997" s="52"/>
      <c r="H997" s="52"/>
      <c r="I997" s="52"/>
      <c r="J997" s="52"/>
      <c r="K997" s="52"/>
      <c r="L997" s="52"/>
      <c r="M997" s="52"/>
      <c r="N997" s="52"/>
      <c r="O997" s="52"/>
      <c r="P997" s="52"/>
      <c r="Q997" s="52"/>
      <c r="R997" s="52"/>
      <c r="S997" s="52"/>
      <c r="T997" s="52"/>
      <c r="U997" s="52"/>
      <c r="V997" s="52"/>
      <c r="W997" s="52"/>
      <c r="X997" s="52"/>
      <c r="Y997" s="52"/>
      <c r="Z997" s="52"/>
      <c r="AA997" s="52"/>
      <c r="AB997" s="52"/>
      <c r="AC997" s="52"/>
    </row>
    <row r="998">
      <c r="A998" s="52"/>
      <c r="B998" s="350"/>
      <c r="C998" s="52"/>
      <c r="D998" s="52"/>
      <c r="E998" s="52"/>
      <c r="F998" s="351"/>
      <c r="G998" s="52"/>
      <c r="H998" s="52"/>
      <c r="I998" s="52"/>
      <c r="J998" s="52"/>
      <c r="K998" s="52"/>
      <c r="L998" s="52"/>
      <c r="M998" s="52"/>
      <c r="N998" s="52"/>
      <c r="O998" s="52"/>
      <c r="P998" s="52"/>
      <c r="Q998" s="52"/>
      <c r="R998" s="52"/>
      <c r="S998" s="52"/>
      <c r="T998" s="52"/>
      <c r="U998" s="52"/>
      <c r="V998" s="52"/>
      <c r="W998" s="52"/>
      <c r="X998" s="52"/>
      <c r="Y998" s="52"/>
      <c r="Z998" s="52"/>
      <c r="AA998" s="52"/>
      <c r="AB998" s="52"/>
      <c r="AC998" s="52"/>
    </row>
    <row r="999">
      <c r="A999" s="52"/>
      <c r="B999" s="350"/>
      <c r="C999" s="52"/>
      <c r="D999" s="52"/>
      <c r="E999" s="52"/>
      <c r="F999" s="351"/>
      <c r="G999" s="52"/>
      <c r="H999" s="52"/>
      <c r="I999" s="52"/>
      <c r="J999" s="52"/>
      <c r="K999" s="52"/>
      <c r="L999" s="52"/>
      <c r="M999" s="52"/>
      <c r="N999" s="52"/>
      <c r="O999" s="52"/>
      <c r="P999" s="52"/>
      <c r="Q999" s="52"/>
      <c r="R999" s="52"/>
      <c r="S999" s="52"/>
      <c r="T999" s="52"/>
      <c r="U999" s="52"/>
      <c r="V999" s="52"/>
      <c r="W999" s="52"/>
      <c r="X999" s="52"/>
      <c r="Y999" s="52"/>
      <c r="Z999" s="52"/>
      <c r="AA999" s="52"/>
      <c r="AB999" s="52"/>
      <c r="AC999" s="52"/>
    </row>
    <row r="1000">
      <c r="A1000" s="52"/>
      <c r="B1000" s="350"/>
      <c r="C1000" s="52"/>
      <c r="D1000" s="52"/>
      <c r="E1000" s="52"/>
      <c r="F1000" s="351"/>
      <c r="G1000" s="52"/>
      <c r="H1000" s="52"/>
      <c r="I1000" s="52"/>
      <c r="J1000" s="52"/>
      <c r="K1000" s="52"/>
      <c r="L1000" s="52"/>
      <c r="M1000" s="52"/>
      <c r="N1000" s="52"/>
      <c r="O1000" s="52"/>
      <c r="P1000" s="52"/>
      <c r="Q1000" s="52"/>
      <c r="R1000" s="52"/>
      <c r="S1000" s="52"/>
      <c r="T1000" s="52"/>
      <c r="U1000" s="52"/>
      <c r="V1000" s="52"/>
      <c r="W1000" s="52"/>
      <c r="X1000" s="52"/>
      <c r="Y1000" s="52"/>
      <c r="Z1000" s="52"/>
      <c r="AA1000" s="52"/>
      <c r="AB1000" s="52"/>
      <c r="AC1000" s="52"/>
    </row>
  </sheetData>
  <dataValidations>
    <dataValidation type="list" allowBlank="1" showErrorMessage="1" sqref="C1 J2:K2">
      <formula1>"January,February,March,April,May,June,July,August,September,October,November,December"</formula1>
    </dataValidation>
    <dataValidation type="list" allowBlank="1" showErrorMessage="1" sqref="D1 L2">
      <formula1>"None,2025,2024,2023,2022,2021,2020"</formula1>
    </dataValidation>
    <dataValidation type="custom" allowBlank="1" showDropDown="1" sqref="K6:K16 E6:E55">
      <formula1>OR(NOT(ISERROR(DATEVALUE(E6))), AND(ISNUMBER(E6), LEFT(CELL("format", E6))="D"))</formula1>
    </dataValidation>
    <dataValidation type="list" allowBlank="1" showErrorMessage="1" sqref="I2">
      <formula1>'name sheet'!$A$1:$A$132</formula1>
    </dataValidation>
    <dataValidation type="custom" allowBlank="1" showDropDown="1" sqref="H6:I16 M6:M16 A6:A55 C6:C55 F6:F55">
      <formula1>AND(ISNUMBER(A6),(NOT(OR(NOT(ISERROR(DATEVALUE(A6))), AND(ISNUMBER(A6), LEFT(CELL("format", A6))="D")))))</formula1>
    </dataValidation>
  </dataValidations>
  <printOptions gridLines="1" horizontalCentered="1"/>
  <pageMargins bottom="0.75" footer="0.0" header="0.0" left="0.7" right="0.7" top="0.75"/>
  <pageSetup fitToHeight="0" cellComments="atEnd" orientation="portrait" pageOrder="overThenDown"/>
  <drawing r:id="rId1"/>
  <tableParts count="2">
    <tablePart r:id="rId4"/>
    <tablePart r:id="rId5"/>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7" width="14.0"/>
  </cols>
  <sheetData>
    <row r="1">
      <c r="A1" s="39"/>
      <c r="B1" s="121" t="s">
        <v>6577</v>
      </c>
      <c r="C1" s="121" t="s">
        <v>6578</v>
      </c>
      <c r="D1" s="12"/>
      <c r="E1" s="12"/>
      <c r="F1" s="12"/>
    </row>
    <row r="2">
      <c r="A2" s="42" t="s">
        <v>9</v>
      </c>
      <c r="B2" s="138">
        <v>45839.0</v>
      </c>
      <c r="C2" s="138">
        <v>46203.0</v>
      </c>
      <c r="D2" s="12"/>
      <c r="E2" s="12"/>
      <c r="F2" s="12"/>
    </row>
    <row r="3">
      <c r="A3" s="12"/>
      <c r="B3" s="34"/>
      <c r="C3" s="12"/>
      <c r="D3" s="12"/>
      <c r="E3" s="12"/>
      <c r="F3" s="12"/>
    </row>
    <row r="4">
      <c r="A4" s="39" t="s">
        <v>16</v>
      </c>
      <c r="B4" s="357" t="s">
        <v>1977</v>
      </c>
      <c r="C4" s="57"/>
      <c r="D4" s="57"/>
      <c r="E4" s="58"/>
      <c r="F4" s="39"/>
    </row>
    <row r="6">
      <c r="A6" s="358" t="s">
        <v>42</v>
      </c>
      <c r="B6" s="110"/>
      <c r="C6" s="110"/>
      <c r="D6" s="110"/>
      <c r="E6" s="110"/>
      <c r="F6" s="54"/>
    </row>
    <row r="7">
      <c r="A7" s="359" t="s">
        <v>34</v>
      </c>
      <c r="B7" s="80"/>
      <c r="C7" s="81"/>
      <c r="D7" s="360" t="s">
        <v>36</v>
      </c>
      <c r="E7" s="360" t="s">
        <v>38</v>
      </c>
      <c r="F7" s="361" t="s">
        <v>39</v>
      </c>
    </row>
    <row r="8">
      <c r="A8" s="362" t="s">
        <v>43</v>
      </c>
      <c r="B8" s="57"/>
      <c r="C8" s="58"/>
      <c r="D8" s="363">
        <f>IFERROR(AVERAGEIFS(DATABASE!H:H, DATABASE!E:E, B4, DATABASE!D:D, "&gt;="&amp;B2, DATABASE!D:D, "&lt;="&amp;C2), "")</f>
        <v>5</v>
      </c>
      <c r="E8" s="363">
        <f>IFERROR(AVERAGEIFS(DATABASE!N:N, DATABASE!E:E, B4, DATABASE!D:D, "&gt;="&amp;B2, DATABASE!D:D, "&lt;="&amp;C2), "")</f>
        <v>5</v>
      </c>
      <c r="F8" s="364">
        <f>IFERROR(AVERAGEIFS(DATABASE!S:S, DATABASE!E:E, B4, DATABASE!D:D, "&gt;="&amp;B2, DATABASE!D:D, "&lt;="&amp;C2), "")</f>
        <v>4.75</v>
      </c>
    </row>
    <row r="9">
      <c r="A9" s="362" t="s">
        <v>44</v>
      </c>
      <c r="B9" s="57"/>
      <c r="C9" s="58"/>
      <c r="D9" s="363">
        <f>IFERROR(AVERAGEIFS(DATABASE!I:I, DATABASE!E:E, B4, DATABASE!D:D, "&gt;="&amp;B2, DATABASE!D:D, "&lt;="&amp;C2), "")</f>
        <v>5</v>
      </c>
      <c r="E9" s="363">
        <f>IFERROR(AVERAGEIFS(DATABASE!O:O, DATABASE!E:E, B4, DATABASE!D:D, "&gt;="&amp;B2, DATABASE!D:D, "&lt;="&amp;C2), "")</f>
        <v>5</v>
      </c>
      <c r="F9" s="364">
        <f>IFERROR(AVERAGEIFS(DATABASE!T:T, DATABASE!E:E, B4, DATABASE!D:D, "&gt;="&amp;B2, DATABASE!D:D, "&lt;="&amp;C2), "")</f>
        <v>4.75</v>
      </c>
    </row>
    <row r="10">
      <c r="A10" s="362" t="s">
        <v>45</v>
      </c>
      <c r="B10" s="57"/>
      <c r="C10" s="58"/>
      <c r="D10" s="363">
        <f>IFERROR(AVERAGEIFS(DATABASE!J:J, DATABASE!E:E, B4, DATABASE!D:D, "&gt;="&amp;B2, DATABASE!D:D, "&lt;="&amp;C2), "")</f>
        <v>5</v>
      </c>
      <c r="E10" s="363">
        <f>IFERROR(AVERAGEIFS(DATABASE!P:P, DATABASE!E:E, B4, DATABASE!D:D, "&gt;="&amp;B2, DATABASE!D:D, "&lt;="&amp;C2), "")</f>
        <v>5</v>
      </c>
      <c r="F10" s="364">
        <f>IFERROR(AVERAGEIFS(DATABASE!U:U, DATABASE!E:E, B4, DATABASE!D:D, "&gt;="&amp;B2, DATABASE!D:D, "&lt;="&amp;C2), "")</f>
        <v>4.75</v>
      </c>
    </row>
    <row r="11">
      <c r="A11" s="362" t="s">
        <v>47</v>
      </c>
      <c r="B11" s="57"/>
      <c r="C11" s="58"/>
      <c r="D11" s="363">
        <f>IFERROR(AVERAGEIFS(DATABASE!K:K, DATABASE!E:E, B4, DATABASE!D:D, "&gt;="&amp;B2, DATABASE!D:D, "&lt;="&amp;C2), "")</f>
        <v>5</v>
      </c>
      <c r="E11" s="363">
        <f>IFERROR(AVERAGEIFS(DATABASE!Q:Q, DATABASE!E:E, B4, DATABASE!D:D, "&gt;="&amp;B2, DATABASE!D:D, "&lt;="&amp;C2), "")</f>
        <v>5</v>
      </c>
      <c r="F11" s="364">
        <f>IFERROR(AVERAGEIFS(DATABASE!V:V, DATABASE!E:E, B4, DATABASE!D:D, "&gt;="&amp;B2, DATABASE!D:D, "&lt;="&amp;C2), "")</f>
        <v>4.75</v>
      </c>
    </row>
    <row r="12">
      <c r="A12" s="362" t="s">
        <v>49</v>
      </c>
      <c r="B12" s="57"/>
      <c r="C12" s="58"/>
      <c r="D12" s="363">
        <f>IFERROR(AVERAGEIFS(DATABASE!L:L, DATABASE!E:E, B4, DATABASE!D:D, "&gt;="&amp;B2, DATABASE!D:D, "&lt;="&amp;C2), "")</f>
        <v>4.5</v>
      </c>
      <c r="E12" s="135" t="s">
        <v>50</v>
      </c>
      <c r="F12" s="365" t="s">
        <v>50</v>
      </c>
    </row>
    <row r="13">
      <c r="A13" s="25"/>
      <c r="B13" s="39"/>
      <c r="C13" s="39"/>
      <c r="D13" s="12"/>
      <c r="E13" s="12"/>
      <c r="F13" s="29"/>
    </row>
    <row r="14">
      <c r="A14" s="25"/>
      <c r="B14" s="12"/>
      <c r="C14" s="39" t="s">
        <v>42</v>
      </c>
      <c r="D14" s="366">
        <f>IFERROR(AVERAGEIFS(DATABASE!M:M, DATABASE!E:E, B4, DATABASE!D:D, "&gt;="&amp;B2, DATABASE!D:D, "&lt;="&amp;C2), "")</f>
        <v>4.9</v>
      </c>
      <c r="E14" s="366">
        <f>IFERROR(AVERAGEIFS(DATABASE!R:R, DATABASE!E:E, B4, DATABASE!D:D, "&gt;="&amp;B2, DATABASE!D:D, "&lt;="&amp;C2), "")</f>
        <v>5</v>
      </c>
      <c r="F14" s="366">
        <f>IFERROR(AVERAGEIFS(DATABASE!W:W, DATABASE!E:E, B4, DATABASE!D:D, "&gt;="&amp;B2, DATABASE!D:D, "&lt;="&amp;C2), "")</f>
        <v>4.75</v>
      </c>
    </row>
    <row r="15">
      <c r="A15" s="25"/>
      <c r="B15" s="39"/>
      <c r="C15" s="39"/>
      <c r="D15" s="12"/>
      <c r="E15" s="12"/>
      <c r="F15" s="29"/>
    </row>
    <row r="16">
      <c r="A16" s="75"/>
      <c r="B16" s="136" t="s">
        <v>62</v>
      </c>
      <c r="C16" s="367" t="s">
        <v>52</v>
      </c>
      <c r="D16" s="366">
        <f>IFERROR(AVERAGEIFS(DATABASE!AC:AC, DATABASE!E:E, B4, DATABASE!D:D, "&gt;="&amp;B2, DATABASE!D:D, "&lt;="&amp;C2), "")</f>
        <v>4.883333333</v>
      </c>
      <c r="E16" s="368" t="str">
        <f>IFS(B16="", "", B16&gt;=4.5, "Strongly Recommended", B16&gt;=4, "Recommended", B16&gt;=3.5, "Acceptable", B16&gt;=3, "Acceptable w/ some Reservation", B16&lt;3, "Not Recommended")</f>
        <v>Strongly Recommended</v>
      </c>
      <c r="F16" s="54"/>
    </row>
    <row r="26">
      <c r="A26" s="39"/>
      <c r="B26" s="34" t="s">
        <v>6577</v>
      </c>
      <c r="C26" s="34" t="s">
        <v>6578</v>
      </c>
      <c r="D26" s="12"/>
      <c r="E26" s="12"/>
      <c r="F26" s="12"/>
    </row>
    <row r="27">
      <c r="A27" s="42" t="s">
        <v>9</v>
      </c>
      <c r="B27" s="138">
        <v>45839.0</v>
      </c>
      <c r="C27" s="138">
        <v>46203.0</v>
      </c>
      <c r="D27" s="12"/>
      <c r="E27" s="12"/>
      <c r="F27" s="12"/>
    </row>
    <row r="28">
      <c r="A28" s="12"/>
      <c r="B28" s="34"/>
      <c r="C28" s="12"/>
      <c r="D28" s="12"/>
      <c r="E28" s="12"/>
      <c r="F28" s="12"/>
    </row>
    <row r="29">
      <c r="A29" s="39" t="s">
        <v>16</v>
      </c>
      <c r="B29" s="357" t="s">
        <v>51</v>
      </c>
      <c r="C29" s="57"/>
      <c r="D29" s="57"/>
      <c r="E29" s="58"/>
      <c r="F29" s="39"/>
    </row>
    <row r="31">
      <c r="A31" s="369" t="s">
        <v>42</v>
      </c>
      <c r="B31" s="110"/>
      <c r="C31" s="110"/>
      <c r="D31" s="110"/>
      <c r="E31" s="110"/>
      <c r="F31" s="54"/>
    </row>
    <row r="32">
      <c r="A32" s="359" t="s">
        <v>34</v>
      </c>
      <c r="B32" s="80"/>
      <c r="C32" s="81"/>
      <c r="D32" s="360" t="s">
        <v>36</v>
      </c>
      <c r="E32" s="360" t="s">
        <v>38</v>
      </c>
      <c r="F32" s="361" t="s">
        <v>39</v>
      </c>
    </row>
    <row r="33">
      <c r="A33" s="362" t="s">
        <v>43</v>
      </c>
      <c r="B33" s="57"/>
      <c r="C33" s="58"/>
      <c r="D33" s="363">
        <f>IFERROR(AVERAGEIFS(DATABASE!H:H, DATABASE!E:E, B29, DATABASE!D:D, "&gt;="&amp;B27, DATABASE!D:D, "&lt;="&amp;C27), "")</f>
        <v>5</v>
      </c>
      <c r="E33" s="363">
        <f>IFERROR(AVERAGEIFS(DATABASE!N:N, DATABASE!E:E, B29, DATABASE!D:D, "&gt;="&amp;B27, DATABASE!D:D, "&lt;="&amp;C27), "")</f>
        <v>5</v>
      </c>
      <c r="F33" s="364">
        <f>IFERROR(AVERAGEIFS(DATABASE!S:S, DATABASE!E:E, B29, DATABASE!D:D, "&gt;="&amp;B27, DATABASE!D:D, "&lt;="&amp;C27), "")</f>
        <v>4.766666667</v>
      </c>
    </row>
    <row r="34">
      <c r="A34" s="362" t="s">
        <v>44</v>
      </c>
      <c r="B34" s="57"/>
      <c r="C34" s="58"/>
      <c r="D34" s="363">
        <f>IFERROR(AVERAGEIFS(DATABASE!I:I, DATABASE!E:E, B29, DATABASE!D:D, "&gt;="&amp;B27, DATABASE!D:D, "&lt;="&amp;C27), "")</f>
        <v>5</v>
      </c>
      <c r="E34" s="363">
        <f>IFERROR(AVERAGEIFS(DATABASE!O:O, DATABASE!E:E, B29, DATABASE!D:D, "&gt;="&amp;B27, DATABASE!D:D, "&lt;="&amp;C27), "")</f>
        <v>4.666666667</v>
      </c>
      <c r="F34" s="364">
        <f>IFERROR(AVERAGEIFS(DATABASE!T:T, DATABASE!E:E, B29, DATABASE!D:D, "&gt;="&amp;B27, DATABASE!D:D, "&lt;="&amp;C27), "")</f>
        <v>4.833333333</v>
      </c>
    </row>
    <row r="35">
      <c r="A35" s="362" t="s">
        <v>45</v>
      </c>
      <c r="B35" s="57"/>
      <c r="C35" s="58"/>
      <c r="D35" s="363">
        <f>IFERROR(AVERAGEIFS(DATABASE!J:J, DATABASE!E:E, B29, DATABASE!D:D, "&gt;="&amp;B27, DATABASE!D:D, "&lt;="&amp;C27), "")</f>
        <v>5</v>
      </c>
      <c r="E35" s="363">
        <f>IFERROR(AVERAGEIFS(DATABASE!P:P, DATABASE!E:E, B29, DATABASE!D:D, "&gt;="&amp;B27, DATABASE!D:D, "&lt;="&amp;C27), "")</f>
        <v>4.666666667</v>
      </c>
      <c r="F35" s="364">
        <f>IFERROR(AVERAGEIFS(DATABASE!U:U, DATABASE!E:E, B29, DATABASE!D:D, "&gt;="&amp;B27, DATABASE!D:D, "&lt;="&amp;C27), "")</f>
        <v>4.7</v>
      </c>
    </row>
    <row r="36">
      <c r="A36" s="362" t="s">
        <v>47</v>
      </c>
      <c r="B36" s="57"/>
      <c r="C36" s="58"/>
      <c r="D36" s="363">
        <f>IFERROR(AVERAGEIFS(DATABASE!K:K, DATABASE!E:E, B29, DATABASE!D:D, "&gt;="&amp;B27, DATABASE!D:D, "&lt;="&amp;C27), "")</f>
        <v>5</v>
      </c>
      <c r="E36" s="363">
        <f>IFERROR(AVERAGEIFS(DATABASE!Q:Q, DATABASE!E:E, B29, DATABASE!D:D, "&gt;="&amp;B27, DATABASE!D:D, "&lt;="&amp;C27), "")</f>
        <v>4.666666667</v>
      </c>
      <c r="F36" s="364">
        <f>IFERROR(AVERAGEIFS(DATABASE!V:V, DATABASE!E:E, B29, DATABASE!D:D, "&gt;="&amp;B27, DATABASE!D:D, "&lt;="&amp;C27), "")</f>
        <v>4.833333333</v>
      </c>
    </row>
    <row r="37">
      <c r="A37" s="362" t="s">
        <v>49</v>
      </c>
      <c r="B37" s="57"/>
      <c r="C37" s="58"/>
      <c r="D37" s="363">
        <f>IFERROR(AVERAGEIFS(DATABASE!L:L, DATABASE!E:E, B29, DATABASE!D:D, "&gt;="&amp;B27, DATABASE!D:D, "&lt;="&amp;C27), "")</f>
        <v>5</v>
      </c>
      <c r="E37" s="135" t="s">
        <v>50</v>
      </c>
      <c r="F37" s="365" t="s">
        <v>50</v>
      </c>
    </row>
    <row r="38">
      <c r="A38" s="25"/>
      <c r="B38" s="39"/>
      <c r="C38" s="39"/>
      <c r="D38" s="12"/>
      <c r="E38" s="12"/>
      <c r="F38" s="29"/>
    </row>
    <row r="39">
      <c r="A39" s="25"/>
      <c r="B39" s="12"/>
      <c r="C39" s="39" t="s">
        <v>42</v>
      </c>
      <c r="D39" s="366">
        <f>IFERROR(AVERAGEIFS(DATABASE!M:M, DATABASE!E:E, B29, DATABASE!D:D, "&gt;="&amp;B27, DATABASE!D:D, "&lt;="&amp;C27), "")</f>
        <v>5</v>
      </c>
      <c r="E39" s="366">
        <f>IFERROR(AVERAGEIFS(DATABASE!R:R, DATABASE!E:E, B29, DATABASE!D:D, "&gt;="&amp;B27, DATABASE!D:D, "&lt;="&amp;C27), "")</f>
        <v>4.75</v>
      </c>
      <c r="F39" s="366">
        <f>IFERROR(AVERAGEIFS(DATABASE!W:W, DATABASE!E:E, B29, DATABASE!D:D, "&gt;="&amp;B27, DATABASE!D:D, "&lt;="&amp;C27), "")</f>
        <v>4.783333333</v>
      </c>
    </row>
    <row r="40">
      <c r="A40" s="25"/>
      <c r="B40" s="39"/>
      <c r="C40" s="39"/>
      <c r="D40" s="12"/>
      <c r="E40" s="12"/>
      <c r="F40" s="29"/>
    </row>
    <row r="41">
      <c r="A41" s="75"/>
      <c r="B41" s="136" t="s">
        <v>62</v>
      </c>
      <c r="C41" s="367" t="s">
        <v>52</v>
      </c>
      <c r="D41" s="366">
        <f>IFERROR(AVERAGEIFS(DATABASE!AC:AC, DATABASE!E:E, B29, DATABASE!D:D, "&gt;="&amp;B27, DATABASE!D:D, "&lt;="&amp;C27), "")</f>
        <v>4.844444444</v>
      </c>
      <c r="E41" s="368" t="str">
        <f>IFS(B41="", "", B41&gt;=4.5, "Strongly Recommended", B41&gt;=4, "Recommended", B41&gt;=3.5, "Acceptable", B41&gt;=3, "Acceptable w/ some Reservation", B41&lt;3, "Not Recommended")</f>
        <v>Strongly Recommended</v>
      </c>
      <c r="F41" s="54"/>
    </row>
  </sheetData>
  <mergeCells count="18">
    <mergeCell ref="B4:E4"/>
    <mergeCell ref="A6:F6"/>
    <mergeCell ref="A7:C7"/>
    <mergeCell ref="A8:C8"/>
    <mergeCell ref="A9:C9"/>
    <mergeCell ref="A10:C10"/>
    <mergeCell ref="A11:C11"/>
    <mergeCell ref="A35:C35"/>
    <mergeCell ref="A36:C36"/>
    <mergeCell ref="A37:C37"/>
    <mergeCell ref="E41:F41"/>
    <mergeCell ref="A12:C12"/>
    <mergeCell ref="E16:F16"/>
    <mergeCell ref="B29:E29"/>
    <mergeCell ref="A31:F31"/>
    <mergeCell ref="A32:C32"/>
    <mergeCell ref="A33:C33"/>
    <mergeCell ref="A34:C34"/>
  </mergeCells>
  <dataValidations>
    <dataValidation type="list" allowBlank="1" showErrorMessage="1" sqref="B4 B29">
      <formula1>DATABASE!$E$3:$E$1000</formula1>
    </dataValidation>
    <dataValidation type="custom" allowBlank="1" showDropDown="1" showInputMessage="1" prompt="Enter a valid date" sqref="B1:C1 B26:C26">
      <formula1>OR(NOT(ISERROR(DATEVALUE(B1))), AND(ISNUMBER(B1), LEFT(CELL("format", B1))="D"))</formula1>
    </dataValidation>
  </dataValidations>
  <printOptions horizontalCentered="1"/>
  <pageMargins bottom="0.75" footer="0.0" header="0.0" left="0.7" right="0.7" top="0.75"/>
  <pageSetup fitToWidth="0" cellComments="atEnd" orientation="portrait"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5"/>
    <col customWidth="1" min="2" max="2" width="19.25"/>
    <col customWidth="1" min="3" max="3" width="26.25"/>
  </cols>
  <sheetData>
    <row r="1">
      <c r="A1" s="253" t="str">
        <f>IFERROR(__xludf.DUMMYFUNCTION("QUERY(DATABASE!A:AC, ""Select E where D &gt;= date'2021-08-01' AND  D &lt;= date'2021-08-31'"")"),"Supplier ")</f>
        <v>Supplier </v>
      </c>
      <c r="B1" s="253" t="s">
        <v>6579</v>
      </c>
      <c r="C1" s="253" t="s">
        <v>2884</v>
      </c>
      <c r="D1" s="21"/>
      <c r="E1" s="21"/>
      <c r="F1" s="21"/>
      <c r="G1" s="21"/>
      <c r="H1" s="21"/>
      <c r="I1" s="21"/>
      <c r="J1" s="21"/>
      <c r="K1" s="21"/>
      <c r="L1" s="21"/>
      <c r="M1" s="21"/>
      <c r="N1" s="21"/>
      <c r="O1" s="21"/>
      <c r="P1" s="21"/>
      <c r="Q1" s="21"/>
      <c r="R1" s="21"/>
      <c r="S1" s="21"/>
      <c r="T1" s="21"/>
      <c r="U1" s="21"/>
      <c r="V1" s="21"/>
      <c r="W1" s="21"/>
      <c r="X1" s="21"/>
      <c r="Y1" s="21"/>
      <c r="Z1" s="21"/>
    </row>
    <row r="2">
      <c r="A2" s="59" t="str">
        <f>IFERROR(__xludf.DUMMYFUNCTION("""COMPUTED_VALUE"""),"Leonard Prints Inc.")</f>
        <v>Leonard Prints Inc.</v>
      </c>
      <c r="B2" s="370">
        <f>AVERAGE(SUMIFS(DATABASE!AC3:AC1000, DATABASE!E3:E1000, A2))</f>
        <v>157.875</v>
      </c>
    </row>
    <row r="3">
      <c r="A3" s="59" t="str">
        <f>IFERROR(__xludf.DUMMYFUNCTION("""COMPUTED_VALUE"""),"Majesty Builders &amp; Electrical Supply")</f>
        <v>Majesty Builders &amp; Electrical Supply</v>
      </c>
      <c r="B3" s="370">
        <f>SUMIFS(DATABASE!AC4:AC1000, DATABASE!E4:E1000, A3)</f>
        <v>9.541666667</v>
      </c>
    </row>
    <row r="4">
      <c r="A4" s="59" t="str">
        <f>IFERROR(__xludf.DUMMYFUNCTION("""COMPUTED_VALUE"""),"Contrade Integrated Depot")</f>
        <v>Contrade Integrated Depot</v>
      </c>
      <c r="B4" s="370">
        <f>SUMIFS(DATABASE!AC4:AC1000, DATABASE!E4:E1000, A4)</f>
        <v>646.2141667</v>
      </c>
    </row>
    <row r="5">
      <c r="A5" s="59" t="str">
        <f>IFERROR(__xludf.DUMMYFUNCTION("""COMPUTED_VALUE"""),"Contrade Integrated Depot")</f>
        <v>Contrade Integrated Depot</v>
      </c>
      <c r="B5" s="370">
        <f>SUMIFS(DATABASE!AC4:AC1000, DATABASE!E4:E1000, A5)</f>
        <v>646.2141667</v>
      </c>
    </row>
    <row r="6">
      <c r="A6" s="59" t="str">
        <f>IFERROR(__xludf.DUMMYFUNCTION("""COMPUTED_VALUE"""),"Contrade Integrated Depot")</f>
        <v>Contrade Integrated Depot</v>
      </c>
      <c r="B6" s="370">
        <f>SUMIFS(DATABASE!AC4:AC1000, DATABASE!E4:E1000, A6)</f>
        <v>646.2141667</v>
      </c>
    </row>
    <row r="7">
      <c r="A7" s="59" t="str">
        <f>IFERROR(__xludf.DUMMYFUNCTION("""COMPUTED_VALUE"""),"JAC Aluminum and Glass Supply and Services")</f>
        <v>JAC Aluminum and Glass Supply and Services</v>
      </c>
      <c r="B7" s="370">
        <f>SUMIFS(DATABASE!AC4:AC1000, DATABASE!E4:E1000, A7)</f>
        <v>9.23</v>
      </c>
    </row>
    <row r="8">
      <c r="A8" s="59" t="str">
        <f>IFERROR(__xludf.DUMMYFUNCTION("""COMPUTED_VALUE"""),"Luminaire Printing And Publishing Corp.")</f>
        <v>Luminaire Printing And Publishing Corp.</v>
      </c>
      <c r="B8" s="370">
        <f>SUMIFS(DATABASE!AC4:AC1000, DATABASE!E4:E1000, A8)</f>
        <v>99.36833333</v>
      </c>
    </row>
    <row r="9">
      <c r="A9" s="59" t="str">
        <f>IFERROR(__xludf.DUMMYFUNCTION("""COMPUTED_VALUE"""),"Rivchem Enterprises")</f>
        <v>Rivchem Enterprises</v>
      </c>
      <c r="B9" s="370">
        <f>SUMIFS(DATABASE!AC4:AC1000, DATABASE!E4:E1000, A9)</f>
        <v>586.0216667</v>
      </c>
    </row>
    <row r="10">
      <c r="A10" s="59" t="str">
        <f>IFERROR(__xludf.DUMMYFUNCTION("""COMPUTED_VALUE"""),"Officelandia Enterprises, Inc.")</f>
        <v>Officelandia Enterprises, Inc.</v>
      </c>
      <c r="B10" s="370">
        <f>SUMIFS(DATABASE!AC4:AC1000, DATABASE!E4:E1000, A10)</f>
        <v>52.56333333</v>
      </c>
    </row>
    <row r="11">
      <c r="A11" s="59" t="str">
        <f>IFERROR(__xludf.DUMMYFUNCTION("""COMPUTED_VALUE"""),"Philippine Blue Cross Biotech Corporation")</f>
        <v>Philippine Blue Cross Biotech Corporation</v>
      </c>
    </row>
    <row r="12">
      <c r="A12" s="59" t="str">
        <f>IFERROR(__xludf.DUMMYFUNCTION("""COMPUTED_VALUE"""),"Rivchem Enterprises")</f>
        <v>Rivchem Enterprises</v>
      </c>
    </row>
    <row r="13">
      <c r="A13" s="59" t="str">
        <f>IFERROR(__xludf.DUMMYFUNCTION("""COMPUTED_VALUE"""),"Trojan Computer Forms Mfg. Corp.")</f>
        <v>Trojan Computer Forms Mfg. Corp.</v>
      </c>
    </row>
    <row r="14">
      <c r="A14" s="59" t="str">
        <f>IFERROR(__xludf.DUMMYFUNCTION("""COMPUTED_VALUE"""),"Contrade Integrated Depot")</f>
        <v>Contrade Integrated Depot</v>
      </c>
    </row>
    <row r="15">
      <c r="A15" s="59" t="str">
        <f>IFERROR(__xludf.DUMMYFUNCTION("""COMPUTED_VALUE"""),"Crosspoint Paper, Inc.")</f>
        <v>Crosspoint Paper, Inc.</v>
      </c>
    </row>
    <row r="16">
      <c r="A16" s="59" t="str">
        <f>IFERROR(__xludf.DUMMYFUNCTION("""COMPUTED_VALUE"""),"Officelandia Enterprises, Inc.")</f>
        <v>Officelandia Enterprises, Inc.</v>
      </c>
    </row>
    <row r="17">
      <c r="A17" s="59" t="str">
        <f>IFERROR(__xludf.DUMMYFUNCTION("""COMPUTED_VALUE"""),"REX Bookstore, Inc.")</f>
        <v>REX Bookstore, Inc.</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3" max="3" width="20.75"/>
  </cols>
  <sheetData>
    <row r="1">
      <c r="A1" s="196"/>
    </row>
    <row r="2">
      <c r="A2" s="196"/>
      <c r="B2" s="371" t="s">
        <v>6580</v>
      </c>
    </row>
    <row r="3">
      <c r="A3" s="196"/>
      <c r="B3" s="372" t="s">
        <v>6581</v>
      </c>
      <c r="C3" s="373">
        <v>44562.0</v>
      </c>
    </row>
    <row r="4">
      <c r="A4" s="196"/>
      <c r="B4" s="372" t="s">
        <v>6582</v>
      </c>
      <c r="C4" s="373">
        <v>44592.0</v>
      </c>
    </row>
    <row r="5">
      <c r="A5" s="374"/>
    </row>
    <row r="6">
      <c r="A6" s="375" t="str">
        <f>IFERROR(__xludf.DUMMYFUNCTION("UNIQUE(IF(DATABASE!E3 = """", ""Supplier"", IFERROR(QUERY(DATABASE!A:AC, ""Select E where D &gt;= date'""&amp;TEXT(C3,""yyyy-mm-dd"")&amp;""' AND D &lt;= date'""&amp;TEXT(C4,""yyyy-mm-dd"")&amp;""'""),QUERY(DATABASE!A:AC, ""Select E""))))"),"Supplier ")</f>
        <v>Supplier </v>
      </c>
      <c r="B6" s="266" t="s">
        <v>2883</v>
      </c>
      <c r="C6" s="266" t="s">
        <v>2884</v>
      </c>
      <c r="D6" s="235"/>
      <c r="E6" s="235"/>
      <c r="F6" s="235"/>
      <c r="G6" s="235"/>
      <c r="H6" s="235"/>
      <c r="I6" s="196"/>
      <c r="J6" s="376"/>
      <c r="K6" s="235"/>
      <c r="L6" s="235"/>
      <c r="M6" s="235"/>
      <c r="N6" s="235"/>
      <c r="O6" s="235"/>
      <c r="P6" s="235"/>
      <c r="Q6" s="235"/>
      <c r="R6" s="235"/>
      <c r="S6" s="235"/>
      <c r="T6" s="235"/>
      <c r="U6" s="235"/>
      <c r="V6" s="235"/>
      <c r="W6" s="235"/>
      <c r="X6" s="235"/>
      <c r="Y6" s="235"/>
      <c r="Z6" s="235"/>
    </row>
    <row r="7">
      <c r="A7" s="196" t="str">
        <f>IFERROR(__xludf.DUMMYFUNCTION("""COMPUTED_VALUE"""),"Net Ad IT Solutions")</f>
        <v>Net Ad IT Solutions</v>
      </c>
      <c r="B7" s="377">
        <f>IFERROR(__xludf.DUMMYFUNCTION("IFERROR(AVERAGEIFS(DATABASE!$AC$3:$AC1001,DATABASE!$E$3:E1001,A7, DATABASE!$D$3:$D1001, (IFERROR(QUERY(DATABASE!$A$3:$AC1001, ""Select D where D &gt;= date'""&amp;TEXT(C$3,""yyyy-mm-dd"")&amp;""' AND D &lt;= date'""&amp;TEXT(C$4,""yyyy-mm-dd"")&amp;""'""),QUERY(DATABASE!$A3:$A"&amp;"C1001, ""Select D"")))))"),5.0)</f>
        <v>5</v>
      </c>
      <c r="C7" s="59" t="str">
        <f t="shared" ref="C7:C9" si="1">ifS(B7&gt;=4.5,"Strongly Recommended", B7&gt;=4, "Recommended", B7&gt;=3.5, "Acceptable",  B7&gt;=3, "Acceptable w/ some Reservation", B7&lt;3, "Not Recommended")</f>
        <v>Strongly Recommended</v>
      </c>
      <c r="D7" s="376"/>
    </row>
    <row r="8">
      <c r="A8" s="196" t="str">
        <f>IFERROR(__xludf.DUMMYFUNCTION("""COMPUTED_VALUE"""),"Atlas Superflags")</f>
        <v>Atlas Superflags</v>
      </c>
      <c r="B8" s="377" t="str">
        <f>IFERROR(__xludf.DUMMYFUNCTION("IFERROR(AVERAGEIFS(DATABASE!$AC$3:$AC1001,DATABASE!$E$3:E1001,A8, DATABASE!$D$3:$D1001, (IFERROR(QUERY(DATABASE!$A$3:$AC1001, ""Select D where D &gt;= date'""&amp;TEXT(C$3,""yyyy-mm-dd"")&amp;""' AND D &lt;= date'""&amp;TEXT(C$4,""yyyy-mm-dd"")&amp;""'""),QUERY(DATABASE!$A3:$A"&amp;"C1001, ""Select D"")))))"),"")</f>
        <v/>
      </c>
      <c r="C8" s="59" t="str">
        <f t="shared" si="1"/>
        <v>Not Recommended</v>
      </c>
    </row>
    <row r="9">
      <c r="A9" s="196" t="str">
        <f>IFERROR(__xludf.DUMMYFUNCTION("""COMPUTED_VALUE"""),"Arkin Hardware")</f>
        <v>Arkin Hardware</v>
      </c>
      <c r="B9" s="377" t="str">
        <f>IFERROR(__xludf.DUMMYFUNCTION("IFERROR(AVERAGEIFS(DATABASE!$AC$3:$AC1001,DATABASE!$E$3:E1001,A9, DATABASE!$D$3:$D1001, (IFERROR(QUERY(DATABASE!$A$3:$AC1001, ""Select D where D &gt;= date'""&amp;TEXT(C$3,""yyyy-mm-dd"")&amp;""' AND D &lt;= date'""&amp;TEXT(C$4,""yyyy-mm-dd"")&amp;""'""),QUERY(DATABASE!$A:$AC"&amp;", ""Select D"")))))"),"")</f>
        <v/>
      </c>
      <c r="C9" s="59" t="str">
        <f t="shared" si="1"/>
        <v>Not Recommended</v>
      </c>
    </row>
    <row r="10">
      <c r="A10" s="196"/>
      <c r="B10" s="377" t="str">
        <f>IFERROR(__xludf.DUMMYFUNCTION("IFERROR(AVERAGEIFS(DATABASE!$AC$3:$AC1001,DATABASE!$E$3:E1001,A10, DATABASE!$D$3:$D1001, (IFERROR(QUERY(DATABASE!$A$3:$AC1001, ""Select D where D &gt;= date'""&amp;TEXT(C$3,""yyyy-mm-dd"")&amp;""' AND D &lt;= date'""&amp;TEXT(C$4,""yyyy-mm-dd"")&amp;""'""),QUERY(DATABASE!$A:$A"&amp;"C, ""Select D"")))))"),"")</f>
        <v/>
      </c>
      <c r="C10" s="59" t="str">
        <f>IFERROR(ifS(B10&gt;=4.5,"Strongly Recommended", B10&gt;=4, "Recommended", B10&gt;=3.5, "Acceptable",  B10&gt;=3, "Acceptable w/ some Reservation", B10&lt;3, "Not Recommended"),"")</f>
        <v>Not Recommended</v>
      </c>
    </row>
    <row r="11">
      <c r="A11" s="196"/>
      <c r="B11" s="377" t="str">
        <f>IFERROR(__xludf.DUMMYFUNCTION("IFERROR(AVERAGEIFS(DATABASE!$AC$3:$AC1001,DATABASE!$E$3:E1001,A11, DATABASE!$D$3:$D1001, (IFERROR(QUERY(DATABASE!$A$3:$AC1001, ""Select D where D &gt;= date'""&amp;TEXT(C$3,""yyyy-mm-dd"")&amp;""' AND D &lt;= date'""&amp;TEXT(C$4,""yyyy-mm-dd"")&amp;""'""),QUERY(DATABASE!$A:$A"&amp;"C, ""Select D"")))))"),"")</f>
        <v/>
      </c>
    </row>
    <row r="12">
      <c r="A12" s="196"/>
      <c r="B12" s="377" t="str">
        <f>IFERROR(__xludf.DUMMYFUNCTION("IFERROR(AVERAGEIFS(DATABASE!$AC$3:$AC1001,DATABASE!$E$3:E1001,A12, DATABASE!$D$3:$D1001, (IFERROR(QUERY(DATABASE!$A$3:$AC1001, ""Select D where D &gt;= date'""&amp;TEXT(C$3,""yyyy-mm-dd"")&amp;""' AND D &lt;= date'""&amp;TEXT(C$4,""yyyy-mm-dd"")&amp;""'""),QUERY(DATABASE!$A:$A"&amp;"C, ""Select D"")))))"),"")</f>
        <v/>
      </c>
    </row>
    <row r="13">
      <c r="A13" s="196"/>
      <c r="B13" s="377" t="str">
        <f>IFERROR(__xludf.DUMMYFUNCTION("IFERROR(AVERAGEIFS(DATABASE!$AC$3:$AC1001,DATABASE!$E$3:E1001,A13, DATABASE!$D$3:$D1001, (IFERROR(QUERY(DATABASE!$A$3:$AC1001, ""Select D where D &gt;= date'""&amp;TEXT(C$3,""yyyy-mm-dd"")&amp;""' AND D &lt;= date'""&amp;TEXT(C$4,""yyyy-mm-dd"")&amp;""'""),QUERY(DATABASE!$A:$A"&amp;"C, ""Select D"")))))"),"")</f>
        <v/>
      </c>
    </row>
    <row r="14">
      <c r="A14" s="196"/>
      <c r="B14" s="377" t="str">
        <f>IFERROR(__xludf.DUMMYFUNCTION("IFERROR(AVERAGEIFS(DATABASE!$AC$3:$AC1001,DATABASE!$E$3:E1001,A14, DATABASE!$D$3:$D1001, (IFERROR(QUERY(DATABASE!$A$3:$AC1001, ""Select D where D &gt;= date'""&amp;TEXT(C$3,""yyyy-mm-dd"")&amp;""' AND D &lt;= date'""&amp;TEXT(C$4,""yyyy-mm-dd"")&amp;""'""),QUERY(DATABASE!$A:$A"&amp;"C, ""Select D"")))))"),"")</f>
        <v/>
      </c>
    </row>
    <row r="15">
      <c r="A15" s="196"/>
      <c r="B15" s="377" t="str">
        <f>IFERROR(__xludf.DUMMYFUNCTION("IFERROR(AVERAGEIFS(DATABASE!$AC$3:$AC1001,DATABASE!$E$3:E1001,A15, DATABASE!$D$3:$D1001, (IFERROR(QUERY(DATABASE!$A$3:$AC1001, ""Select D where D &gt;= date'""&amp;TEXT(C$3,""yyyy-mm-dd"")&amp;""' AND D &lt;= date'""&amp;TEXT(C$4,""yyyy-mm-dd"")&amp;""'""),QUERY(DATABASE!$A:$A"&amp;"C, ""Select D"")))))"),"")</f>
        <v/>
      </c>
    </row>
    <row r="16">
      <c r="A16" s="196"/>
      <c r="B16" s="377" t="str">
        <f>IFERROR(__xludf.DUMMYFUNCTION("IFERROR(AVERAGEIFS(DATABASE!$AC$3:$AC1001,DATABASE!$E$3:E1001,A16, DATABASE!$D$3:$D1001, (IFERROR(QUERY(DATABASE!$A$3:$AC1001, ""Select D where D &gt;= date'""&amp;TEXT(C$3,""yyyy-mm-dd"")&amp;""' AND D &lt;= date'""&amp;TEXT(C$4,""yyyy-mm-dd"")&amp;""'""),QUERY(DATABASE!$A:$A"&amp;"C, ""Select D"")))))"),"")</f>
        <v/>
      </c>
    </row>
    <row r="17">
      <c r="A17" s="196"/>
      <c r="B17" s="377" t="str">
        <f>IFERROR(__xludf.DUMMYFUNCTION("IFERROR(AVERAGEIFS(DATABASE!$AC$3:$AC1001,DATABASE!$E$3:E1001,A17, DATABASE!$D$3:$D1001, (IFERROR(QUERY(DATABASE!$A$3:$AC1001, ""Select D where D &gt;= date'""&amp;TEXT(C$3,""yyyy-mm-dd"")&amp;""' AND D &lt;= date'""&amp;TEXT(C$4,""yyyy-mm-dd"")&amp;""'""),QUERY(DATABASE!$A:$A"&amp;"C, ""Select D"")))))"),"")</f>
        <v/>
      </c>
    </row>
    <row r="18">
      <c r="A18" s="196"/>
      <c r="B18" s="377" t="str">
        <f>IFERROR(__xludf.DUMMYFUNCTION("IFERROR(AVERAGEIFS(DATABASE!$AC$3:$AC1001,DATABASE!$E$3:E1001,A18, DATABASE!$D$3:$D1001, (IFERROR(QUERY(DATABASE!$A$3:$AC1001, ""Select D where D &gt;= date'""&amp;TEXT(C$3,""yyyy-mm-dd"")&amp;""' AND D &lt;= date'""&amp;TEXT(C$4,""yyyy-mm-dd"")&amp;""'""),QUERY(DATABASE!$A:$A"&amp;"C, ""Select D"")))))"),"")</f>
        <v/>
      </c>
    </row>
    <row r="19">
      <c r="A19" s="196"/>
      <c r="B19" s="377" t="str">
        <f>IFERROR(__xludf.DUMMYFUNCTION("IFERROR(AVERAGEIFS(DATABASE!$AC$3:$AC1001,DATABASE!$E$3:E1001,A19, DATABASE!$D$3:$D1001, (IFERROR(QUERY(DATABASE!$A$3:$AC1001, ""Select D where D &gt;= date'""&amp;TEXT(C$3,""yyyy-mm-dd"")&amp;""' AND D &lt;= date'""&amp;TEXT(C$4,""yyyy-mm-dd"")&amp;""'""),QUERY(DATABASE!$A:$A"&amp;"C, ""Select D"")))))"),"")</f>
        <v/>
      </c>
    </row>
    <row r="20">
      <c r="A20" s="196"/>
      <c r="B20" s="377" t="str">
        <f>IFERROR(__xludf.DUMMYFUNCTION("IFERROR(AVERAGEIFS(DATABASE!$AC$3:$AC1001,DATABASE!$E$3:E1001,A20, DATABASE!$D$3:$D1001, (IFERROR(QUERY(DATABASE!$A$3:$AC1001, ""Select D where D &gt;= date'""&amp;TEXT(C$3,""yyyy-mm-dd"")&amp;""' AND D &lt;= date'""&amp;TEXT(C$4,""yyyy-mm-dd"")&amp;""'""),QUERY(DATABASE!$A:$A"&amp;"C, ""Select D"")))))"),"")</f>
        <v/>
      </c>
    </row>
    <row r="21">
      <c r="A21" s="196"/>
      <c r="B21" s="377" t="str">
        <f>IFERROR(__xludf.DUMMYFUNCTION("IFERROR(AVERAGEIFS(DATABASE!$AC$3:$AC1001,DATABASE!$E$3:E1001,A21, DATABASE!$D$3:$D1001, (IFERROR(QUERY(DATABASE!$A$3:$AC1001, ""Select D where D &gt;= date'""&amp;TEXT(C$3,""yyyy-mm-dd"")&amp;""' AND D &lt;= date'""&amp;TEXT(C$4,""yyyy-mm-dd"")&amp;""'""),QUERY(DATABASE!$A:$A"&amp;"C, ""Select D"")))))"),"")</f>
        <v/>
      </c>
    </row>
    <row r="22">
      <c r="A22" s="196"/>
      <c r="B22" s="377" t="str">
        <f>IFERROR(__xludf.DUMMYFUNCTION("IFERROR(AVERAGEIFS(DATABASE!$AC$3:$AC1001,DATABASE!$E$3:E1001,A22, DATABASE!$D$3:$D1001, (IFERROR(QUERY(DATABASE!$A$3:$AC1001, ""Select D where D &gt;= date'""&amp;TEXT(C$3,""yyyy-mm-dd"")&amp;""' AND D &lt;= date'""&amp;TEXT(C$4,""yyyy-mm-dd"")&amp;""'""),QUERY(DATABASE!$A:$A"&amp;"C, ""Select D"")))))"),"")</f>
        <v/>
      </c>
    </row>
    <row r="23">
      <c r="A23" s="196"/>
      <c r="B23" s="377" t="str">
        <f>IFERROR(__xludf.DUMMYFUNCTION("IFERROR(AVERAGEIFS(DATABASE!$AC$3:$AC1001,DATABASE!$E$3:E1001,A23, DATABASE!$D$3:$D1001, (IFERROR(QUERY(DATABASE!$A$3:$AC1001, ""Select D where D &gt;= date'""&amp;TEXT(C$3,""yyyy-mm-dd"")&amp;""' AND D &lt;= date'""&amp;TEXT(C$4,""yyyy-mm-dd"")&amp;""'""),QUERY(DATABASE!$A:$A"&amp;"C, ""Select D"")))))"),"")</f>
        <v/>
      </c>
    </row>
    <row r="24">
      <c r="A24" s="196"/>
      <c r="B24" s="377" t="str">
        <f>IFERROR(__xludf.DUMMYFUNCTION("IFERROR(AVERAGEIFS(DATABASE!$AC$3:$AC1001,DATABASE!$E$3:E1001,A24, DATABASE!$D$3:$D1001, (IFERROR(QUERY(DATABASE!$A$3:$AC1001, ""Select D where D &gt;= date'""&amp;TEXT(C$3,""yyyy-mm-dd"")&amp;""' AND D &lt;= date'""&amp;TEXT(C$4,""yyyy-mm-dd"")&amp;""'""),QUERY(DATABASE!$A:$A"&amp;"C, ""Select D"")))))"),"")</f>
        <v/>
      </c>
    </row>
    <row r="25">
      <c r="A25" s="196"/>
      <c r="B25" s="377" t="str">
        <f>IFERROR(__xludf.DUMMYFUNCTION("IFERROR(AVERAGEIFS(DATABASE!$AC$3:$AC1001,DATABASE!$E$3:E1001,A25, DATABASE!$D$3:$D1001, (IFERROR(QUERY(DATABASE!$A$3:$AC1001, ""Select D where D &gt;= date'""&amp;TEXT(C$3,""yyyy-mm-dd"")&amp;""' AND D &lt;= date'""&amp;TEXT(C$4,""yyyy-mm-dd"")&amp;""'""),QUERY(DATABASE!$A:$A"&amp;"C, ""Select D"")))))"),"")</f>
        <v/>
      </c>
    </row>
    <row r="26">
      <c r="A26" s="196"/>
      <c r="B26" s="377" t="str">
        <f>IFERROR(__xludf.DUMMYFUNCTION("IFERROR(AVERAGEIFS(DATABASE!$AC$3:$AC1001,DATABASE!$E$3:E1001,A26, DATABASE!$D$3:$D1001, (IFERROR(QUERY(DATABASE!$A$3:$AC1001, ""Select D where D &gt;= date'""&amp;TEXT(C$3,""yyyy-mm-dd"")&amp;""' AND D &lt;= date'""&amp;TEXT(C$4,""yyyy-mm-dd"")&amp;""'""),QUERY(DATABASE!$A:$A"&amp;"C, ""Select D"")))))"),"")</f>
        <v/>
      </c>
    </row>
    <row r="27">
      <c r="A27" s="196"/>
      <c r="B27" s="377" t="str">
        <f>IFERROR(__xludf.DUMMYFUNCTION("IFERROR(AVERAGEIFS(DATABASE!$AC$3:$AC1001,DATABASE!$E$3:E1001,A27, DATABASE!$D$3:$D1001, (IFERROR(QUERY(DATABASE!$A$3:$AC1001, ""Select D where D &gt;= date'""&amp;TEXT(C$3,""yyyy-mm-dd"")&amp;""' AND D &lt;= date'""&amp;TEXT(C$4,""yyyy-mm-dd"")&amp;""'""),QUERY(DATABASE!$A:$A"&amp;"C, ""Select D"")))))"),"")</f>
        <v/>
      </c>
    </row>
    <row r="28">
      <c r="A28" s="196"/>
      <c r="B28" s="377" t="str">
        <f>IFERROR(__xludf.DUMMYFUNCTION("IFERROR(AVERAGEIFS(DATABASE!$AC$3:$AC1001,DATABASE!$E$3:E1001,A28, DATABASE!$D$3:$D1001, (IFERROR(QUERY(DATABASE!$A$3:$AC1001, ""Select D where D &gt;= date'""&amp;TEXT(C$3,""yyyy-mm-dd"")&amp;""' AND D &lt;= date'""&amp;TEXT(C$4,""yyyy-mm-dd"")&amp;""'""),QUERY(DATABASE!$A:$A"&amp;"C, ""Select D"")))))"),"")</f>
        <v/>
      </c>
    </row>
    <row r="29">
      <c r="A29" s="196"/>
      <c r="B29" s="377" t="str">
        <f>IFERROR(__xludf.DUMMYFUNCTION("IFERROR(AVERAGEIFS(DATABASE!$AC$3:$AC1001,DATABASE!$E$3:E1001,A29, DATABASE!$D$3:$D1001, (IFERROR(QUERY(DATABASE!$A$3:$AC1001, ""Select D where D &gt;= date'""&amp;TEXT(C$3,""yyyy-mm-dd"")&amp;""' AND D &lt;= date'""&amp;TEXT(C$4,""yyyy-mm-dd"")&amp;""'""),QUERY(DATABASE!$A:$A"&amp;"C, ""Select D"")))))"),"")</f>
        <v/>
      </c>
    </row>
    <row r="30">
      <c r="A30" s="196"/>
      <c r="B30" s="377" t="str">
        <f>IFERROR(__xludf.DUMMYFUNCTION("IFERROR(AVERAGEIFS(DATABASE!$AC$3:$AC1001,DATABASE!$E$3:E1001,A30, DATABASE!$D$3:$D1001, (IFERROR(QUERY(DATABASE!$A$3:$AC1001, ""Select D where D &gt;= date'""&amp;TEXT(C$3,""yyyy-mm-dd"")&amp;""' AND D &lt;= date'""&amp;TEXT(C$4,""yyyy-mm-dd"")&amp;""'""),QUERY(DATABASE!$A:$A"&amp;"C, ""Select D"")))))"),"")</f>
        <v/>
      </c>
    </row>
    <row r="31">
      <c r="A31" s="196"/>
      <c r="B31" s="377" t="str">
        <f>IFERROR(__xludf.DUMMYFUNCTION("IFERROR(AVERAGEIFS(DATABASE!$AC$3:$AC1001,DATABASE!$E$3:E1001,A31, DATABASE!$D$3:$D1001, (IFERROR(QUERY(DATABASE!$A$3:$AC1001, ""Select D where D &gt;= date'""&amp;TEXT(C$3,""yyyy-mm-dd"")&amp;""' AND D &lt;= date'""&amp;TEXT(C$4,""yyyy-mm-dd"")&amp;""'""),QUERY(DATABASE!$A:$A"&amp;"C, ""Select D"")))))"),"")</f>
        <v/>
      </c>
    </row>
    <row r="32">
      <c r="A32" s="196"/>
      <c r="B32" s="377" t="str">
        <f>IFERROR(__xludf.DUMMYFUNCTION("IFERROR(AVERAGEIFS(DATABASE!$AC$3:$AC1001,DATABASE!$E$3:E1001,A32, DATABASE!$D$3:$D1001, (IFERROR(QUERY(DATABASE!$A$3:$AC1001, ""Select D where D &gt;= date'""&amp;TEXT(C$3,""yyyy-mm-dd"")&amp;""' AND D &lt;= date'""&amp;TEXT(C$4,""yyyy-mm-dd"")&amp;""'""),QUERY(DATABASE!$A:$A"&amp;"C, ""Select D"")))))"),"")</f>
        <v/>
      </c>
    </row>
    <row r="33">
      <c r="A33" s="196"/>
      <c r="B33" s="377" t="str">
        <f>IFERROR(__xludf.DUMMYFUNCTION("IFERROR(AVERAGEIFS(DATABASE!$AC$3:$AC1001,DATABASE!$E$3:E1001,A33, DATABASE!$D$3:$D1001, (IFERROR(QUERY(DATABASE!$A$3:$AC1001, ""Select D where D &gt;= date'""&amp;TEXT(C$3,""yyyy-mm-dd"")&amp;""' AND D &lt;= date'""&amp;TEXT(C$4,""yyyy-mm-dd"")&amp;""'""),QUERY(DATABASE!$A:$A"&amp;"C, ""Select D"")))))"),"")</f>
        <v/>
      </c>
    </row>
    <row r="34">
      <c r="A34" s="196"/>
      <c r="B34" s="377" t="str">
        <f>IFERROR(__xludf.DUMMYFUNCTION("IFERROR(AVERAGEIFS(DATABASE!$AC$3:$AC1001,DATABASE!$E$3:E1001,A34, DATABASE!$D$3:$D1001, (IFERROR(QUERY(DATABASE!$A$3:$AC1001, ""Select D where D &gt;= date'""&amp;TEXT(C$3,""yyyy-mm-dd"")&amp;""' AND D &lt;= date'""&amp;TEXT(C$4,""yyyy-mm-dd"")&amp;""'""),QUERY(DATABASE!$A:$A"&amp;"C, ""Select D"")))))"),"")</f>
        <v/>
      </c>
    </row>
    <row r="35">
      <c r="A35" s="196"/>
      <c r="B35" s="377" t="str">
        <f>IFERROR(__xludf.DUMMYFUNCTION("IFERROR(AVERAGEIFS(DATABASE!$AC$3:$AC1001,DATABASE!$E$3:E1001,A35, DATABASE!$D$3:$D1001, (IFERROR(QUERY(DATABASE!$A$3:$AC1001, ""Select D where D &gt;= date'""&amp;TEXT(C$3,""yyyy-mm-dd"")&amp;""' AND D &lt;= date'""&amp;TEXT(C$4,""yyyy-mm-dd"")&amp;""'""),QUERY(DATABASE!$A:$A"&amp;"C, ""Select D"")))))"),"")</f>
        <v/>
      </c>
    </row>
    <row r="36">
      <c r="A36" s="196"/>
      <c r="B36" s="377" t="str">
        <f>IFERROR(__xludf.DUMMYFUNCTION("IFERROR(AVERAGEIFS(DATABASE!$AC$3:$AC1001,DATABASE!$E$3:E1001,A36, DATABASE!$D$3:$D1001, (IFERROR(QUERY(DATABASE!$A$3:$AC1001, ""Select D where D &gt;= date'""&amp;TEXT(C$3,""yyyy-mm-dd"")&amp;""' AND D &lt;= date'""&amp;TEXT(C$4,""yyyy-mm-dd"")&amp;""'""),QUERY(DATABASE!$A:$A"&amp;"C, ""Select D"")))))"),"")</f>
        <v/>
      </c>
    </row>
    <row r="37">
      <c r="A37" s="196"/>
      <c r="B37" s="377" t="str">
        <f>IFERROR(__xludf.DUMMYFUNCTION("IFERROR(AVERAGEIFS(DATABASE!$AC$3:$AC1001,DATABASE!$E$3:E1001,A37, DATABASE!$D$3:$D1001, (IFERROR(QUERY(DATABASE!$A$3:$AC1001, ""Select D where D &gt;= date'""&amp;TEXT(C$3,""yyyy-mm-dd"")&amp;""' AND D &lt;= date'""&amp;TEXT(C$4,""yyyy-mm-dd"")&amp;""'""),QUERY(DATABASE!$A:$A"&amp;"C, ""Select D"")))))"),"")</f>
        <v/>
      </c>
    </row>
    <row r="38">
      <c r="A38" s="196"/>
      <c r="B38" s="377" t="str">
        <f>IFERROR(__xludf.DUMMYFUNCTION("IFERROR(AVERAGEIFS(DATABASE!$AC$3:$AC1001,DATABASE!$E$3:E1001,A38, DATABASE!$D$3:$D1001, (IFERROR(QUERY(DATABASE!$A$3:$AC1001, ""Select D where D &gt;= date'""&amp;TEXT(C$3,""yyyy-mm-dd"")&amp;""' AND D &lt;= date'""&amp;TEXT(C$4,""yyyy-mm-dd"")&amp;""'""),QUERY(DATABASE!$A:$A"&amp;"C, ""Select D"")))))"),"")</f>
        <v/>
      </c>
    </row>
    <row r="39">
      <c r="A39" s="196"/>
      <c r="B39" s="377" t="str">
        <f>IFERROR(__xludf.DUMMYFUNCTION("IFERROR(AVERAGEIFS(DATABASE!$AC$3:$AC1001,DATABASE!$E$3:E1001,A39, DATABASE!$D$3:$D1001, (IFERROR(QUERY(DATABASE!$A$3:$AC1001, ""Select D where D &gt;= date'""&amp;TEXT(C$3,""yyyy-mm-dd"")&amp;""' AND D &lt;= date'""&amp;TEXT(C$4,""yyyy-mm-dd"")&amp;""'""),QUERY(DATABASE!$A:$A"&amp;"C, ""Select D"")))))"),"")</f>
        <v/>
      </c>
    </row>
    <row r="40">
      <c r="A40" s="196"/>
      <c r="B40" s="377" t="str">
        <f>IFERROR(__xludf.DUMMYFUNCTION("IFERROR(AVERAGEIFS(DATABASE!$AC$3:$AC1001,DATABASE!$E$3:E1001,A40, DATABASE!$D$3:$D1001, (IFERROR(QUERY(DATABASE!$A$3:$AC1001, ""Select D where D &gt;= date'""&amp;TEXT(C$3,""yyyy-mm-dd"")&amp;""' AND D &lt;= date'""&amp;TEXT(C$4,""yyyy-mm-dd"")&amp;""'""),QUERY(DATABASE!$A:$A"&amp;"C, ""Select D"")))))"),"")</f>
        <v/>
      </c>
    </row>
    <row r="41">
      <c r="A41" s="196"/>
      <c r="B41" s="377" t="str">
        <f>IFERROR(__xludf.DUMMYFUNCTION("IFERROR(AVERAGEIFS(DATABASE!$AC$3:$AC1001,DATABASE!$E$3:E1001,A41, DATABASE!$D$3:$D1001, (IFERROR(QUERY(DATABASE!$A$3:$AC1001, ""Select D where D &gt;= date'""&amp;TEXT(C$3,""yyyy-mm-dd"")&amp;""' AND D &lt;= date'""&amp;TEXT(C$4,""yyyy-mm-dd"")&amp;""'""),QUERY(DATABASE!$A:$A"&amp;"C, ""Select D"")))))"),"")</f>
        <v/>
      </c>
    </row>
    <row r="42">
      <c r="A42" s="196"/>
      <c r="B42" s="377" t="str">
        <f>IFERROR(__xludf.DUMMYFUNCTION("IFERROR(AVERAGEIFS(DATABASE!$AC$3:$AC1001,DATABASE!$E$3:E1001,A42, DATABASE!$D$3:$D1001, (IFERROR(QUERY(DATABASE!$A$3:$AC1001, ""Select D where D &gt;= date'""&amp;TEXT(C$3,""yyyy-mm-dd"")&amp;""' AND D &lt;= date'""&amp;TEXT(C$4,""yyyy-mm-dd"")&amp;""'""),QUERY(DATABASE!$A:$A"&amp;"C, ""Select D"")))))"),"")</f>
        <v/>
      </c>
    </row>
    <row r="43">
      <c r="A43" s="196"/>
      <c r="B43" s="377" t="str">
        <f>IFERROR(__xludf.DUMMYFUNCTION("IFERROR(AVERAGEIFS(DATABASE!$AC$3:$AC1001,DATABASE!$E$3:E1001,A43, DATABASE!$D$3:$D1001, (IFERROR(QUERY(DATABASE!$A$3:$AC1001, ""Select D where D &gt;= date'""&amp;TEXT(C$3,""yyyy-mm-dd"")&amp;""' AND D &lt;= date'""&amp;TEXT(C$4,""yyyy-mm-dd"")&amp;""'""),QUERY(DATABASE!$A:$A"&amp;"C, ""Select D"")))))"),"")</f>
        <v/>
      </c>
    </row>
    <row r="44">
      <c r="A44" s="196"/>
      <c r="B44" s="377" t="str">
        <f>IFERROR(__xludf.DUMMYFUNCTION("IFERROR(AVERAGEIFS(DATABASE!$AC$3:$AC1001,DATABASE!$E$3:E1001,A44, DATABASE!$D$3:$D1001, (IFERROR(QUERY(DATABASE!$A$3:$AC1001, ""Select D where D &gt;= date'""&amp;TEXT(C$3,""yyyy-mm-dd"")&amp;""' AND D &lt;= date'""&amp;TEXT(C$4,""yyyy-mm-dd"")&amp;""'""),QUERY(DATABASE!$A:$A"&amp;"C, ""Select D"")))))"),"")</f>
        <v/>
      </c>
    </row>
    <row r="45">
      <c r="A45" s="196"/>
      <c r="B45" s="377" t="str">
        <f>IFERROR(__xludf.DUMMYFUNCTION("IFERROR(AVERAGEIFS(DATABASE!$AC$3:$AC1001,DATABASE!$E$3:E1001,A45, DATABASE!$D$3:$D1001, (IFERROR(QUERY(DATABASE!$A$3:$AC1001, ""Select D where D &gt;= date'""&amp;TEXT(C$3,""yyyy-mm-dd"")&amp;""' AND D &lt;= date'""&amp;TEXT(C$4,""yyyy-mm-dd"")&amp;""'""),QUERY(DATABASE!$A:$A"&amp;"C, ""Select D"")))))"),"")</f>
        <v/>
      </c>
    </row>
    <row r="46">
      <c r="A46" s="196"/>
      <c r="B46" s="377" t="str">
        <f>IFERROR(__xludf.DUMMYFUNCTION("IFERROR(AVERAGEIFS(DATABASE!$AC$3:$AC1001,DATABASE!$E$3:E1001,A46, DATABASE!$D$3:$D1001, (IFERROR(QUERY(DATABASE!$A$3:$AC1001, ""Select D where D &gt;= date'""&amp;TEXT(C$3,""yyyy-mm-dd"")&amp;""' AND D &lt;= date'""&amp;TEXT(C$4,""yyyy-mm-dd"")&amp;""'""),QUERY(DATABASE!$A:$A"&amp;"C, ""Select D"")))))"),"")</f>
        <v/>
      </c>
    </row>
    <row r="47">
      <c r="A47" s="196"/>
      <c r="B47" s="377" t="str">
        <f>IFERROR(__xludf.DUMMYFUNCTION("IFERROR(AVERAGEIFS(DATABASE!$AC$3:$AC1001,DATABASE!$E$3:E1001,A47, DATABASE!$D$3:$D1001, (IFERROR(QUERY(DATABASE!$A$3:$AC1001, ""Select D where D &gt;= date'""&amp;TEXT(C$3,""yyyy-mm-dd"")&amp;""' AND D &lt;= date'""&amp;TEXT(C$4,""yyyy-mm-dd"")&amp;""'""),QUERY(DATABASE!$A:$A"&amp;"C, ""Select D"")))))"),"")</f>
        <v/>
      </c>
    </row>
    <row r="48">
      <c r="A48" s="196"/>
      <c r="B48" s="377" t="str">
        <f>IFERROR(__xludf.DUMMYFUNCTION("IFERROR(AVERAGEIFS(DATABASE!$AC$3:$AC1001,DATABASE!$E$3:E1001,A48, DATABASE!$D$3:$D1001, (IFERROR(QUERY(DATABASE!$A$3:$AC1001, ""Select D where D &gt;= date'""&amp;TEXT(C$3,""yyyy-mm-dd"")&amp;""' AND D &lt;= date'""&amp;TEXT(C$4,""yyyy-mm-dd"")&amp;""'""),QUERY(DATABASE!$A:$A"&amp;"C, ""Select D"")))))"),"")</f>
        <v/>
      </c>
    </row>
    <row r="49">
      <c r="A49" s="196"/>
      <c r="B49" s="377" t="str">
        <f>IFERROR(__xludf.DUMMYFUNCTION("IFERROR(AVERAGEIFS(DATABASE!$AC$3:$AC1001,DATABASE!$E$3:E1001,A49, DATABASE!$D$3:$D1001, (IFERROR(QUERY(DATABASE!$A$3:$AC1001, ""Select D where D &gt;= date'""&amp;TEXT(C$3,""yyyy-mm-dd"")&amp;""' AND D &lt;= date'""&amp;TEXT(C$4,""yyyy-mm-dd"")&amp;""'""),QUERY(DATABASE!$A:$A"&amp;"C, ""Select D"")))))"),"")</f>
        <v/>
      </c>
    </row>
    <row r="50">
      <c r="A50" s="196"/>
      <c r="B50" s="377" t="str">
        <f>IFERROR(__xludf.DUMMYFUNCTION("IFERROR(AVERAGEIFS(DATABASE!$AC$3:$AC1001,DATABASE!$E$3:E1001,A50, DATABASE!$D$3:$D1001, (IFERROR(QUERY(DATABASE!$A$3:$AC1001, ""Select D where D &gt;= date'""&amp;TEXT(C$3,""yyyy-mm-dd"")&amp;""' AND D &lt;= date'""&amp;TEXT(C$4,""yyyy-mm-dd"")&amp;""'""),QUERY(DATABASE!$A:$A"&amp;"C, ""Select D"")))))"),"")</f>
        <v/>
      </c>
    </row>
    <row r="51">
      <c r="A51" s="196"/>
      <c r="B51" s="377" t="str">
        <f>IFERROR(__xludf.DUMMYFUNCTION("IFERROR(AVERAGEIFS(DATABASE!$AC$3:$AC1001,DATABASE!$E$3:E1001,A51, DATABASE!$D$3:$D1001, (IFERROR(QUERY(DATABASE!$A$3:$AC1001, ""Select D where D &gt;= date'""&amp;TEXT(C$3,""yyyy-mm-dd"")&amp;""' AND D &lt;= date'""&amp;TEXT(C$4,""yyyy-mm-dd"")&amp;""'""),QUERY(DATABASE!$A:$A"&amp;"C, ""Select D"")))))"),"")</f>
        <v/>
      </c>
    </row>
    <row r="52">
      <c r="A52" s="196"/>
      <c r="B52" s="377" t="str">
        <f>IFERROR(__xludf.DUMMYFUNCTION("IFERROR(AVERAGEIFS(DATABASE!$AC$3:$AC1001,DATABASE!$E$3:E1001,A52, DATABASE!$D$3:$D1001, (IFERROR(QUERY(DATABASE!$A$3:$AC1001, ""Select D where D &gt;= date'""&amp;TEXT(C$3,""yyyy-mm-dd"")&amp;""' AND D &lt;= date'""&amp;TEXT(C$4,""yyyy-mm-dd"")&amp;""'""),QUERY(DATABASE!$A:$A"&amp;"C, ""Select D"")))))"),"")</f>
        <v/>
      </c>
    </row>
    <row r="53">
      <c r="A53" s="196"/>
      <c r="B53" s="377" t="str">
        <f>IFERROR(__xludf.DUMMYFUNCTION("IFERROR(AVERAGEIFS(DATABASE!$AC$3:$AC1001,DATABASE!$E$3:E1001,A53, DATABASE!$D$3:$D1001, (IFERROR(QUERY(DATABASE!$A$3:$AC1001, ""Select D where D &gt;= date'""&amp;TEXT(C$3,""yyyy-mm-dd"")&amp;""' AND D &lt;= date'""&amp;TEXT(C$4,""yyyy-mm-dd"")&amp;""'""),QUERY(DATABASE!$A:$A"&amp;"C, ""Select D"")))))"),"")</f>
        <v/>
      </c>
    </row>
    <row r="54">
      <c r="A54" s="196"/>
      <c r="B54" s="377" t="str">
        <f>IFERROR(__xludf.DUMMYFUNCTION("IFERROR(AVERAGEIFS(DATABASE!$AC$3:$AC1001,DATABASE!$E$3:E1001,A54, DATABASE!$D$3:$D1001, (IFERROR(QUERY(DATABASE!$A$3:$AC1001, ""Select D where D &gt;= date'""&amp;TEXT(C$3,""yyyy-mm-dd"")&amp;""' AND D &lt;= date'""&amp;TEXT(C$4,""yyyy-mm-dd"")&amp;""'""),QUERY(DATABASE!$A:$A"&amp;"C, ""Select D"")))))"),"")</f>
        <v/>
      </c>
    </row>
    <row r="55">
      <c r="A55" s="196"/>
      <c r="B55" s="377" t="str">
        <f>IFERROR(__xludf.DUMMYFUNCTION("IFERROR(AVERAGEIFS(DATABASE!$AC$3:$AC1001,DATABASE!$E$3:E1001,A55, DATABASE!$D$3:$D1001, (IFERROR(QUERY(DATABASE!$A$3:$AC1001, ""Select D where D &gt;= date'""&amp;TEXT(C$3,""yyyy-mm-dd"")&amp;""' AND D &lt;= date'""&amp;TEXT(C$4,""yyyy-mm-dd"")&amp;""'""),QUERY(DATABASE!$A:$A"&amp;"C, ""Select D"")))))"),"")</f>
        <v/>
      </c>
    </row>
    <row r="56">
      <c r="A56" s="196"/>
      <c r="B56" s="377" t="str">
        <f>IFERROR(__xludf.DUMMYFUNCTION("IFERROR(AVERAGEIFS(DATABASE!$AC$3:$AC1001,DATABASE!$E$3:E1001,A56, DATABASE!$D$3:$D1001, (IFERROR(QUERY(DATABASE!$A$3:$AC1001, ""Select D where D &gt;= date'""&amp;TEXT(C$3,""yyyy-mm-dd"")&amp;""' AND D &lt;= date'""&amp;TEXT(C$4,""yyyy-mm-dd"")&amp;""'""),QUERY(DATABASE!$A:$A"&amp;"C, ""Select D"")))))"),"")</f>
        <v/>
      </c>
    </row>
    <row r="57">
      <c r="A57" s="196"/>
      <c r="B57" s="377" t="str">
        <f>IFERROR(__xludf.DUMMYFUNCTION("IFERROR(AVERAGEIFS(DATABASE!$AC$3:$AC1001,DATABASE!$E$3:E1001,A57, DATABASE!$D$3:$D1001, (IFERROR(QUERY(DATABASE!$A$3:$AC1001, ""Select D where D &gt;= date'""&amp;TEXT(C$3,""yyyy-mm-dd"")&amp;""' AND D &lt;= date'""&amp;TEXT(C$4,""yyyy-mm-dd"")&amp;""'""),QUERY(DATABASE!$A:$A"&amp;"C, ""Select D"")))))"),"")</f>
        <v/>
      </c>
    </row>
    <row r="58">
      <c r="A58" s="196"/>
      <c r="B58" s="377" t="str">
        <f>IFERROR(__xludf.DUMMYFUNCTION("IFERROR(AVERAGEIFS(DATABASE!$AC$3:$AC1001,DATABASE!$E$3:E1001,A58, DATABASE!$D$3:$D1001, (IFERROR(QUERY(DATABASE!$A$3:$AC1001, ""Select D where D &gt;= date'""&amp;TEXT(C$3,""yyyy-mm-dd"")&amp;""' AND D &lt;= date'""&amp;TEXT(C$4,""yyyy-mm-dd"")&amp;""'""),QUERY(DATABASE!$A:$A"&amp;"C, ""Select D"")))))"),"")</f>
        <v/>
      </c>
    </row>
    <row r="59">
      <c r="A59" s="196"/>
      <c r="B59" s="377" t="str">
        <f>IFERROR(__xludf.DUMMYFUNCTION("IFERROR(AVERAGEIFS(DATABASE!$AC$3:$AC1001,DATABASE!$E$3:E1001,A59, DATABASE!$D$3:$D1001, (IFERROR(QUERY(DATABASE!$A$3:$AC1001, ""Select D where D &gt;= date'""&amp;TEXT(C$3,""yyyy-mm-dd"")&amp;""' AND D &lt;= date'""&amp;TEXT(C$4,""yyyy-mm-dd"")&amp;""'""),QUERY(DATABASE!$A:$A"&amp;"C, ""Select D"")))))"),"")</f>
        <v/>
      </c>
    </row>
    <row r="60">
      <c r="A60" s="196"/>
      <c r="B60" s="377" t="str">
        <f>IFERROR(__xludf.DUMMYFUNCTION("IFERROR(AVERAGEIFS(DATABASE!$AC$3:$AC1001,DATABASE!$E$3:E1001,A60, DATABASE!$D$3:$D1001, (IFERROR(QUERY(DATABASE!$A$3:$AC1001, ""Select D where D &gt;= date'""&amp;TEXT(C$3,""yyyy-mm-dd"")&amp;""' AND D &lt;= date'""&amp;TEXT(C$4,""yyyy-mm-dd"")&amp;""'""),QUERY(DATABASE!$A:$A"&amp;"C, ""Select D"")))))"),"")</f>
        <v/>
      </c>
    </row>
    <row r="61">
      <c r="A61" s="196"/>
      <c r="B61" s="377" t="str">
        <f>IFERROR(__xludf.DUMMYFUNCTION("IFERROR(AVERAGEIFS(DATABASE!$AC$3:$AC1001,DATABASE!$E$3:E1001,A61, DATABASE!$D$3:$D1001, (IFERROR(QUERY(DATABASE!$A$3:$AC1001, ""Select D where D &gt;= date'""&amp;TEXT(C$3,""yyyy-mm-dd"")&amp;""' AND D &lt;= date'""&amp;TEXT(C$4,""yyyy-mm-dd"")&amp;""'""),QUERY(DATABASE!$A:$A"&amp;"C, ""Select D"")))))"),"")</f>
        <v/>
      </c>
    </row>
    <row r="62">
      <c r="A62" s="196"/>
      <c r="B62" s="377" t="str">
        <f>IFERROR(__xludf.DUMMYFUNCTION("IFERROR(AVERAGEIFS(DATABASE!$AC$3:$AC1001,DATABASE!$E$3:E1001,A62, DATABASE!$D$3:$D1001, (IFERROR(QUERY(DATABASE!$A$3:$AC1001, ""Select D where D &gt;= date'""&amp;TEXT(C$3,""yyyy-mm-dd"")&amp;""' AND D &lt;= date'""&amp;TEXT(C$4,""yyyy-mm-dd"")&amp;""'""),QUERY(DATABASE!$A:$A"&amp;"C, ""Select D"")))))"),"")</f>
        <v/>
      </c>
    </row>
    <row r="63">
      <c r="A63" s="196"/>
      <c r="B63" s="377" t="str">
        <f>IFERROR(__xludf.DUMMYFUNCTION("IFERROR(AVERAGEIFS(DATABASE!$AC$3:$AC1001,DATABASE!$E$3:E1001,A63, DATABASE!$D$3:$D1001, (IFERROR(QUERY(DATABASE!$A$3:$AC1001, ""Select D where D &gt;= date'""&amp;TEXT(C$3,""yyyy-mm-dd"")&amp;""' AND D &lt;= date'""&amp;TEXT(C$4,""yyyy-mm-dd"")&amp;""'""),QUERY(DATABASE!$A:$A"&amp;"C, ""Select D"")))))"),"")</f>
        <v/>
      </c>
    </row>
    <row r="64">
      <c r="A64" s="196"/>
      <c r="B64" s="377" t="str">
        <f>IFERROR(__xludf.DUMMYFUNCTION("IFERROR(AVERAGEIFS(DATABASE!$AC$3:$AC1001,DATABASE!$E$3:E1001,A64, DATABASE!$D$3:$D1001, (IFERROR(QUERY(DATABASE!$A$3:$AC1001, ""Select D where D &gt;= date'""&amp;TEXT(C$3,""yyyy-mm-dd"")&amp;""' AND D &lt;= date'""&amp;TEXT(C$4,""yyyy-mm-dd"")&amp;""'""),QUERY(DATABASE!$A:$A"&amp;"C, ""Select D"")))))"),"")</f>
        <v/>
      </c>
    </row>
    <row r="65">
      <c r="A65" s="196"/>
      <c r="B65" s="377" t="str">
        <f>IFERROR(__xludf.DUMMYFUNCTION("IFERROR(AVERAGEIFS(DATABASE!$AC$3:$AC1001,DATABASE!$E$3:E1001,A65, DATABASE!$D$3:$D1001, (IFERROR(QUERY(DATABASE!$A$3:$AC1001, ""Select D where D &gt;= date'""&amp;TEXT(C$3,""yyyy-mm-dd"")&amp;""' AND D &lt;= date'""&amp;TEXT(C$4,""yyyy-mm-dd"")&amp;""'""),QUERY(DATABASE!$A:$A"&amp;"C, ""Select D"")))))"),"")</f>
        <v/>
      </c>
    </row>
    <row r="66">
      <c r="A66" s="196"/>
      <c r="B66" s="377" t="str">
        <f>IFERROR(__xludf.DUMMYFUNCTION("IFERROR(AVERAGEIFS(DATABASE!$AC$3:$AC1001,DATABASE!$E$3:E1001,A66, DATABASE!$D$3:$D1001, (IFERROR(QUERY(DATABASE!$A$3:$AC1001, ""Select D where D &gt;= date'""&amp;TEXT(C$3,""yyyy-mm-dd"")&amp;""' AND D &lt;= date'""&amp;TEXT(C$4,""yyyy-mm-dd"")&amp;""'""),QUERY(DATABASE!$A:$A"&amp;"C, ""Select D"")))))"),"")</f>
        <v/>
      </c>
    </row>
    <row r="67">
      <c r="A67" s="196"/>
      <c r="B67" s="377" t="str">
        <f>IFERROR(__xludf.DUMMYFUNCTION("IFERROR(AVERAGEIFS(DATABASE!$AC$3:$AC1001,DATABASE!$E$3:E1001,A67, DATABASE!$D$3:$D1001, (IFERROR(QUERY(DATABASE!$A$3:$AC1001, ""Select D where D &gt;= date'""&amp;TEXT(C$3,""yyyy-mm-dd"")&amp;""' AND D &lt;= date'""&amp;TEXT(C$4,""yyyy-mm-dd"")&amp;""'""),QUERY(DATABASE!$A:$A"&amp;"C, ""Select D"")))))"),"")</f>
        <v/>
      </c>
    </row>
    <row r="68">
      <c r="A68" s="196"/>
      <c r="B68" s="377" t="str">
        <f>IFERROR(__xludf.DUMMYFUNCTION("IFERROR(AVERAGEIFS(DATABASE!$AC$3:$AC1001,DATABASE!$E$3:E1001,A68, DATABASE!$D$3:$D1001, (IFERROR(QUERY(DATABASE!$A$3:$AC1001, ""Select D where D &gt;= date'""&amp;TEXT(C$3,""yyyy-mm-dd"")&amp;""' AND D &lt;= date'""&amp;TEXT(C$4,""yyyy-mm-dd"")&amp;""'""),QUERY(DATABASE!$A:$A"&amp;"C, ""Select D"")))))"),"")</f>
        <v/>
      </c>
    </row>
    <row r="69">
      <c r="A69" s="196"/>
      <c r="B69" s="377" t="str">
        <f>IFERROR(__xludf.DUMMYFUNCTION("IFERROR(AVERAGEIFS(DATABASE!$AC$3:$AC1001,DATABASE!$E$3:E1001,A69, DATABASE!$D$3:$D1001, (IFERROR(QUERY(DATABASE!$A$3:$AC1001, ""Select D where D &gt;= date'""&amp;TEXT(C$3,""yyyy-mm-dd"")&amp;""' AND D &lt;= date'""&amp;TEXT(C$4,""yyyy-mm-dd"")&amp;""'""),QUERY(DATABASE!$A:$A"&amp;"C, ""Select D"")))))"),"")</f>
        <v/>
      </c>
    </row>
    <row r="70">
      <c r="A70" s="196"/>
      <c r="B70" s="377" t="str">
        <f>IFERROR(__xludf.DUMMYFUNCTION("IFERROR(AVERAGEIFS(DATABASE!$AC$3:$AC1001,DATABASE!$E$3:E1001,A70, DATABASE!$D$3:$D1001, (IFERROR(QUERY(DATABASE!$A$3:$AC1001, ""Select D where D &gt;= date'""&amp;TEXT(C$3,""yyyy-mm-dd"")&amp;""' AND D &lt;= date'""&amp;TEXT(C$4,""yyyy-mm-dd"")&amp;""'""),QUERY(DATABASE!$A:$A"&amp;"C, ""Select D"")))))"),"")</f>
        <v/>
      </c>
    </row>
    <row r="71">
      <c r="A71" s="196"/>
      <c r="B71" s="377" t="str">
        <f>IFERROR(__xludf.DUMMYFUNCTION("IFERROR(AVERAGEIFS(DATABASE!$AC$3:$AC1001,DATABASE!$E$3:E1001,A71, DATABASE!$D$3:$D1001, (IFERROR(QUERY(DATABASE!$A$3:$AC1001, ""Select D where D &gt;= date'""&amp;TEXT(C$3,""yyyy-mm-dd"")&amp;""' AND D &lt;= date'""&amp;TEXT(C$4,""yyyy-mm-dd"")&amp;""'""),QUERY(DATABASE!$A:$A"&amp;"C, ""Select D"")))))"),"")</f>
        <v/>
      </c>
    </row>
    <row r="72">
      <c r="A72" s="196"/>
      <c r="B72" s="377" t="str">
        <f>IFERROR(__xludf.DUMMYFUNCTION("IFERROR(AVERAGEIFS(DATABASE!$AC$3:$AC1001,DATABASE!$E$3:E1001,A72, DATABASE!$D$3:$D1001, (IFERROR(QUERY(DATABASE!$A$3:$AC1001, ""Select D where D &gt;= date'""&amp;TEXT(C$3,""yyyy-mm-dd"")&amp;""' AND D &lt;= date'""&amp;TEXT(C$4,""yyyy-mm-dd"")&amp;""'""),QUERY(DATABASE!$A:$A"&amp;"C, ""Select D"")))))"),"")</f>
        <v/>
      </c>
    </row>
    <row r="73">
      <c r="A73" s="196"/>
      <c r="B73" s="377" t="str">
        <f>IFERROR(__xludf.DUMMYFUNCTION("IFERROR(AVERAGEIFS(DATABASE!$AC$3:$AC1001,DATABASE!$E$3:E1001,A73, DATABASE!$D$3:$D1001, (IFERROR(QUERY(DATABASE!$A$3:$AC1001, ""Select D where D &gt;= date'""&amp;TEXT(C$3,""yyyy-mm-dd"")&amp;""' AND D &lt;= date'""&amp;TEXT(C$4,""yyyy-mm-dd"")&amp;""'""),QUERY(DATABASE!$A:$A"&amp;"C, ""Select D"")))))"),"")</f>
        <v/>
      </c>
    </row>
    <row r="74">
      <c r="A74" s="196"/>
      <c r="B74" s="377" t="str">
        <f>IFERROR(__xludf.DUMMYFUNCTION("IFERROR(AVERAGEIFS(DATABASE!$AC$3:$AC1001,DATABASE!$E$3:E1001,A74, DATABASE!$D$3:$D1001, (IFERROR(QUERY(DATABASE!$A$3:$AC1001, ""Select D where D &gt;= date'""&amp;TEXT(C$3,""yyyy-mm-dd"")&amp;""' AND D &lt;= date'""&amp;TEXT(C$4,""yyyy-mm-dd"")&amp;""'""),QUERY(DATABASE!$A:$A"&amp;"C, ""Select D"")))))"),"")</f>
        <v/>
      </c>
    </row>
    <row r="75">
      <c r="A75" s="196"/>
      <c r="B75" s="377" t="str">
        <f>IFERROR(__xludf.DUMMYFUNCTION("IFERROR(AVERAGEIFS(DATABASE!$AC$3:$AC1001,DATABASE!$E$3:E1001,A75, DATABASE!$D$3:$D1001, (IFERROR(QUERY(DATABASE!$A$3:$AC1001, ""Select D where D &gt;= date'""&amp;TEXT(C$3,""yyyy-mm-dd"")&amp;""' AND D &lt;= date'""&amp;TEXT(C$4,""yyyy-mm-dd"")&amp;""'""),QUERY(DATABASE!$A:$A"&amp;"C, ""Select D"")))))"),"")</f>
        <v/>
      </c>
    </row>
    <row r="76">
      <c r="A76" s="196"/>
    </row>
    <row r="77">
      <c r="A77" s="196"/>
    </row>
    <row r="78">
      <c r="A78" s="196"/>
    </row>
    <row r="79">
      <c r="A79" s="196"/>
    </row>
    <row r="80">
      <c r="A80" s="196"/>
    </row>
    <row r="81">
      <c r="A81" s="196"/>
    </row>
    <row r="82">
      <c r="A82" s="196"/>
    </row>
    <row r="83">
      <c r="A83" s="196"/>
    </row>
    <row r="84">
      <c r="A84" s="196"/>
    </row>
    <row r="85">
      <c r="A85" s="196"/>
    </row>
    <row r="86">
      <c r="A86" s="196"/>
    </row>
    <row r="87">
      <c r="A87" s="196"/>
    </row>
    <row r="88">
      <c r="A88" s="196"/>
    </row>
    <row r="89">
      <c r="A89" s="196"/>
    </row>
    <row r="90">
      <c r="A90" s="196"/>
    </row>
    <row r="91">
      <c r="A91" s="196"/>
    </row>
    <row r="92">
      <c r="A92" s="196"/>
    </row>
    <row r="93">
      <c r="A93" s="196"/>
    </row>
    <row r="94">
      <c r="A94" s="196"/>
    </row>
    <row r="95">
      <c r="A95" s="196"/>
    </row>
    <row r="96">
      <c r="A96" s="196"/>
    </row>
    <row r="97">
      <c r="A97" s="196"/>
    </row>
    <row r="98">
      <c r="A98" s="196"/>
    </row>
    <row r="99">
      <c r="A99" s="196"/>
    </row>
    <row r="100">
      <c r="A100" s="196"/>
    </row>
    <row r="101">
      <c r="A101" s="196"/>
    </row>
    <row r="102">
      <c r="A102" s="196"/>
    </row>
    <row r="103">
      <c r="A103" s="196"/>
    </row>
    <row r="104">
      <c r="A104" s="196"/>
    </row>
    <row r="105">
      <c r="A105" s="196"/>
    </row>
    <row r="106">
      <c r="A106" s="196"/>
    </row>
    <row r="107">
      <c r="A107" s="196"/>
    </row>
    <row r="108">
      <c r="A108" s="196"/>
    </row>
    <row r="109">
      <c r="A109" s="196"/>
    </row>
    <row r="110">
      <c r="A110" s="196"/>
    </row>
    <row r="111">
      <c r="A111" s="196"/>
    </row>
    <row r="112">
      <c r="A112" s="196"/>
    </row>
    <row r="113">
      <c r="A113" s="196"/>
    </row>
    <row r="114">
      <c r="A114" s="196"/>
    </row>
    <row r="115">
      <c r="A115" s="196"/>
    </row>
    <row r="116">
      <c r="A116" s="196"/>
    </row>
    <row r="117">
      <c r="A117" s="196"/>
    </row>
    <row r="118">
      <c r="A118" s="196"/>
    </row>
    <row r="119">
      <c r="A119" s="196"/>
    </row>
    <row r="120">
      <c r="A120" s="196"/>
    </row>
    <row r="121">
      <c r="A121" s="196"/>
    </row>
    <row r="122">
      <c r="A122" s="196"/>
    </row>
    <row r="123">
      <c r="A123" s="196"/>
    </row>
    <row r="124">
      <c r="A124" s="196"/>
    </row>
    <row r="125">
      <c r="A125" s="196"/>
    </row>
    <row r="126">
      <c r="A126" s="196"/>
    </row>
    <row r="127">
      <c r="A127" s="196"/>
    </row>
    <row r="128">
      <c r="A128" s="196"/>
    </row>
    <row r="129">
      <c r="A129" s="196"/>
    </row>
    <row r="130">
      <c r="A130" s="196"/>
    </row>
    <row r="131">
      <c r="A131" s="196"/>
    </row>
    <row r="132">
      <c r="A132" s="196"/>
    </row>
    <row r="133">
      <c r="A133" s="196"/>
    </row>
    <row r="134">
      <c r="A134" s="196"/>
    </row>
    <row r="135">
      <c r="A135" s="196"/>
    </row>
    <row r="136">
      <c r="A136" s="196"/>
    </row>
    <row r="137">
      <c r="A137" s="196"/>
    </row>
    <row r="138">
      <c r="A138" s="196"/>
    </row>
    <row r="139">
      <c r="A139" s="196"/>
    </row>
    <row r="140">
      <c r="A140" s="196"/>
    </row>
    <row r="141">
      <c r="A141" s="196"/>
    </row>
    <row r="142">
      <c r="A142" s="196"/>
    </row>
    <row r="143">
      <c r="A143" s="196"/>
    </row>
    <row r="144">
      <c r="A144" s="196"/>
    </row>
    <row r="145">
      <c r="A145" s="196"/>
    </row>
    <row r="146">
      <c r="A146" s="196"/>
    </row>
    <row r="147">
      <c r="A147" s="196"/>
    </row>
    <row r="148">
      <c r="A148" s="196"/>
    </row>
    <row r="149">
      <c r="A149" s="196"/>
    </row>
    <row r="150">
      <c r="A150" s="196"/>
    </row>
    <row r="151">
      <c r="A151" s="196"/>
    </row>
    <row r="152">
      <c r="A152" s="196"/>
    </row>
    <row r="153">
      <c r="A153" s="196"/>
    </row>
    <row r="154">
      <c r="A154" s="196"/>
    </row>
    <row r="155">
      <c r="A155" s="196"/>
    </row>
    <row r="156">
      <c r="A156" s="196"/>
    </row>
    <row r="157">
      <c r="A157" s="196"/>
    </row>
    <row r="158">
      <c r="A158" s="196"/>
    </row>
    <row r="159">
      <c r="A159" s="196"/>
    </row>
    <row r="160">
      <c r="A160" s="196"/>
    </row>
    <row r="161">
      <c r="A161" s="196"/>
    </row>
    <row r="162">
      <c r="A162" s="196"/>
    </row>
    <row r="163">
      <c r="A163" s="196"/>
    </row>
    <row r="164">
      <c r="A164" s="196"/>
    </row>
    <row r="165">
      <c r="A165" s="196"/>
    </row>
    <row r="166">
      <c r="A166" s="196"/>
    </row>
    <row r="167">
      <c r="A167" s="196"/>
    </row>
    <row r="168">
      <c r="A168" s="196"/>
    </row>
    <row r="169">
      <c r="A169" s="196"/>
    </row>
    <row r="170">
      <c r="A170" s="196"/>
    </row>
    <row r="171">
      <c r="A171" s="196"/>
    </row>
    <row r="172">
      <c r="A172" s="196"/>
    </row>
    <row r="173">
      <c r="A173" s="196"/>
    </row>
    <row r="174">
      <c r="A174" s="196"/>
    </row>
    <row r="175">
      <c r="A175" s="196"/>
    </row>
    <row r="176">
      <c r="A176" s="196"/>
    </row>
    <row r="177">
      <c r="A177" s="196"/>
    </row>
    <row r="178">
      <c r="A178" s="196"/>
    </row>
    <row r="179">
      <c r="A179" s="196"/>
    </row>
    <row r="180">
      <c r="A180" s="196"/>
    </row>
    <row r="181">
      <c r="A181" s="196"/>
    </row>
    <row r="182">
      <c r="A182" s="196"/>
    </row>
    <row r="183">
      <c r="A183" s="196"/>
    </row>
    <row r="184">
      <c r="A184" s="196"/>
    </row>
    <row r="185">
      <c r="A185" s="196"/>
    </row>
    <row r="186">
      <c r="A186" s="196"/>
    </row>
    <row r="187">
      <c r="A187" s="196"/>
    </row>
    <row r="188">
      <c r="A188" s="196"/>
    </row>
    <row r="189">
      <c r="A189" s="196"/>
    </row>
    <row r="190">
      <c r="A190" s="196"/>
    </row>
    <row r="191">
      <c r="A191" s="196"/>
    </row>
    <row r="192">
      <c r="A192" s="196"/>
    </row>
    <row r="193">
      <c r="A193" s="196"/>
    </row>
    <row r="194">
      <c r="A194" s="196"/>
    </row>
    <row r="195">
      <c r="A195" s="196"/>
    </row>
    <row r="196">
      <c r="A196" s="196"/>
    </row>
    <row r="197">
      <c r="A197" s="196"/>
    </row>
    <row r="198">
      <c r="A198" s="196"/>
    </row>
    <row r="199">
      <c r="A199" s="196"/>
    </row>
    <row r="200">
      <c r="A200" s="196"/>
    </row>
    <row r="201">
      <c r="A201" s="196"/>
    </row>
    <row r="202">
      <c r="A202" s="196"/>
    </row>
    <row r="203">
      <c r="A203" s="196"/>
    </row>
    <row r="204">
      <c r="A204" s="196"/>
    </row>
    <row r="205">
      <c r="A205" s="196"/>
    </row>
    <row r="206">
      <c r="A206" s="196"/>
    </row>
    <row r="207">
      <c r="A207" s="196"/>
    </row>
    <row r="208">
      <c r="A208" s="196"/>
    </row>
    <row r="209">
      <c r="A209" s="196"/>
    </row>
    <row r="210">
      <c r="A210" s="196"/>
    </row>
    <row r="211">
      <c r="A211" s="196"/>
    </row>
    <row r="212">
      <c r="A212" s="196"/>
    </row>
    <row r="213">
      <c r="A213" s="196"/>
    </row>
    <row r="214">
      <c r="A214" s="196"/>
    </row>
    <row r="215">
      <c r="A215" s="196"/>
    </row>
    <row r="216">
      <c r="A216" s="196"/>
    </row>
    <row r="217">
      <c r="A217" s="196"/>
    </row>
    <row r="218">
      <c r="A218" s="196"/>
    </row>
    <row r="219">
      <c r="A219" s="196"/>
    </row>
    <row r="220">
      <c r="A220" s="196"/>
    </row>
    <row r="221">
      <c r="A221" s="196"/>
    </row>
    <row r="222">
      <c r="A222" s="196"/>
    </row>
    <row r="223">
      <c r="A223" s="196"/>
    </row>
    <row r="224">
      <c r="A224" s="196"/>
    </row>
    <row r="225">
      <c r="A225" s="196"/>
    </row>
    <row r="226">
      <c r="A226" s="196"/>
    </row>
    <row r="227">
      <c r="A227" s="196"/>
    </row>
    <row r="228">
      <c r="A228" s="196"/>
    </row>
    <row r="229">
      <c r="A229" s="196"/>
    </row>
    <row r="230">
      <c r="A230" s="196"/>
    </row>
    <row r="231">
      <c r="A231" s="196"/>
    </row>
    <row r="232">
      <c r="A232" s="196"/>
    </row>
    <row r="233">
      <c r="A233" s="196"/>
    </row>
    <row r="234">
      <c r="A234" s="196"/>
    </row>
    <row r="235">
      <c r="A235" s="196"/>
    </row>
    <row r="236">
      <c r="A236" s="196"/>
    </row>
    <row r="237">
      <c r="A237" s="196"/>
    </row>
    <row r="238">
      <c r="A238" s="196"/>
    </row>
    <row r="239">
      <c r="A239" s="196"/>
    </row>
    <row r="240">
      <c r="A240" s="196"/>
    </row>
    <row r="241">
      <c r="A241" s="196"/>
    </row>
    <row r="242">
      <c r="A242" s="196"/>
    </row>
    <row r="243">
      <c r="A243" s="196"/>
    </row>
    <row r="244">
      <c r="A244" s="196"/>
    </row>
    <row r="245">
      <c r="A245" s="196"/>
    </row>
    <row r="246">
      <c r="A246" s="196"/>
    </row>
    <row r="247">
      <c r="A247" s="196"/>
    </row>
    <row r="248">
      <c r="A248" s="196"/>
    </row>
    <row r="249">
      <c r="A249" s="196"/>
    </row>
    <row r="250">
      <c r="A250" s="196"/>
    </row>
    <row r="251">
      <c r="A251" s="196"/>
    </row>
    <row r="252">
      <c r="A252" s="196"/>
    </row>
    <row r="253">
      <c r="A253" s="196"/>
    </row>
    <row r="254">
      <c r="A254" s="196"/>
    </row>
    <row r="255">
      <c r="A255" s="196"/>
    </row>
    <row r="256">
      <c r="A256" s="196"/>
    </row>
    <row r="257">
      <c r="A257" s="196"/>
    </row>
    <row r="258">
      <c r="A258" s="196"/>
    </row>
    <row r="259">
      <c r="A259" s="196"/>
    </row>
    <row r="260">
      <c r="A260" s="196"/>
    </row>
    <row r="261">
      <c r="A261" s="196"/>
    </row>
    <row r="262">
      <c r="A262" s="196"/>
    </row>
    <row r="263">
      <c r="A263" s="196"/>
    </row>
    <row r="264">
      <c r="A264" s="196"/>
    </row>
    <row r="265">
      <c r="A265" s="196"/>
    </row>
    <row r="266">
      <c r="A266" s="196"/>
    </row>
    <row r="267">
      <c r="A267" s="196"/>
    </row>
    <row r="268">
      <c r="A268" s="196"/>
    </row>
    <row r="269">
      <c r="A269" s="196"/>
    </row>
    <row r="270">
      <c r="A270" s="196"/>
    </row>
    <row r="271">
      <c r="A271" s="196"/>
    </row>
    <row r="272">
      <c r="A272" s="196"/>
    </row>
    <row r="273">
      <c r="A273" s="196"/>
    </row>
    <row r="274">
      <c r="A274" s="196"/>
    </row>
    <row r="275">
      <c r="A275" s="196"/>
    </row>
    <row r="276">
      <c r="A276" s="196"/>
    </row>
    <row r="277">
      <c r="A277" s="196"/>
    </row>
    <row r="278">
      <c r="A278" s="196"/>
    </row>
    <row r="279">
      <c r="A279" s="196"/>
    </row>
    <row r="280">
      <c r="A280" s="196"/>
    </row>
    <row r="281">
      <c r="A281" s="196"/>
    </row>
    <row r="282">
      <c r="A282" s="196"/>
    </row>
    <row r="283">
      <c r="A283" s="196"/>
    </row>
    <row r="284">
      <c r="A284" s="196"/>
    </row>
    <row r="285">
      <c r="A285" s="196"/>
    </row>
    <row r="286">
      <c r="A286" s="196"/>
    </row>
    <row r="287">
      <c r="A287" s="196"/>
    </row>
    <row r="288">
      <c r="A288" s="196"/>
    </row>
    <row r="289">
      <c r="A289" s="196"/>
    </row>
    <row r="290">
      <c r="A290" s="196"/>
    </row>
    <row r="291">
      <c r="A291" s="196"/>
    </row>
    <row r="292">
      <c r="A292" s="196"/>
    </row>
    <row r="293">
      <c r="A293" s="196"/>
    </row>
    <row r="294">
      <c r="A294" s="196"/>
    </row>
    <row r="295">
      <c r="A295" s="196"/>
    </row>
    <row r="296">
      <c r="A296" s="196"/>
    </row>
    <row r="297">
      <c r="A297" s="196"/>
    </row>
    <row r="298">
      <c r="A298" s="196"/>
    </row>
    <row r="299">
      <c r="A299" s="196"/>
    </row>
    <row r="300">
      <c r="A300" s="196"/>
    </row>
    <row r="301">
      <c r="A301" s="196"/>
    </row>
    <row r="302">
      <c r="A302" s="196"/>
    </row>
    <row r="303">
      <c r="A303" s="196"/>
    </row>
    <row r="304">
      <c r="A304" s="196"/>
    </row>
    <row r="305">
      <c r="A305" s="196"/>
    </row>
    <row r="306">
      <c r="A306" s="196"/>
    </row>
    <row r="307">
      <c r="A307" s="196"/>
    </row>
    <row r="308">
      <c r="A308" s="196"/>
    </row>
    <row r="309">
      <c r="A309" s="196"/>
    </row>
    <row r="310">
      <c r="A310" s="196"/>
    </row>
    <row r="311">
      <c r="A311" s="196"/>
    </row>
    <row r="312">
      <c r="A312" s="196"/>
    </row>
    <row r="313">
      <c r="A313" s="196"/>
    </row>
    <row r="314">
      <c r="A314" s="196"/>
    </row>
    <row r="315">
      <c r="A315" s="196"/>
    </row>
    <row r="316">
      <c r="A316" s="196"/>
    </row>
    <row r="317">
      <c r="A317" s="196"/>
    </row>
    <row r="318">
      <c r="A318" s="196"/>
    </row>
    <row r="319">
      <c r="A319" s="196"/>
    </row>
    <row r="320">
      <c r="A320" s="196"/>
    </row>
    <row r="321">
      <c r="A321" s="196"/>
    </row>
    <row r="322">
      <c r="A322" s="196"/>
    </row>
    <row r="323">
      <c r="A323" s="196"/>
    </row>
    <row r="324">
      <c r="A324" s="196"/>
    </row>
    <row r="325">
      <c r="A325" s="196"/>
    </row>
    <row r="326">
      <c r="A326" s="196"/>
    </row>
    <row r="327">
      <c r="A327" s="196"/>
    </row>
    <row r="328">
      <c r="A328" s="196"/>
    </row>
    <row r="329">
      <c r="A329" s="196"/>
    </row>
    <row r="330">
      <c r="A330" s="196"/>
    </row>
    <row r="331">
      <c r="A331" s="196"/>
    </row>
    <row r="332">
      <c r="A332" s="196"/>
    </row>
    <row r="333">
      <c r="A333" s="196"/>
    </row>
    <row r="334">
      <c r="A334" s="196"/>
    </row>
    <row r="335">
      <c r="A335" s="196"/>
    </row>
    <row r="336">
      <c r="A336" s="196"/>
    </row>
    <row r="337">
      <c r="A337" s="196"/>
    </row>
    <row r="338">
      <c r="A338" s="196"/>
    </row>
    <row r="339">
      <c r="A339" s="196"/>
    </row>
    <row r="340">
      <c r="A340" s="196"/>
    </row>
    <row r="341">
      <c r="A341" s="196"/>
    </row>
    <row r="342">
      <c r="A342" s="196"/>
    </row>
    <row r="343">
      <c r="A343" s="196"/>
    </row>
    <row r="344">
      <c r="A344" s="196"/>
    </row>
    <row r="345">
      <c r="A345" s="196"/>
    </row>
    <row r="346">
      <c r="A346" s="196"/>
    </row>
    <row r="347">
      <c r="A347" s="196"/>
    </row>
    <row r="348">
      <c r="A348" s="196"/>
    </row>
    <row r="349">
      <c r="A349" s="196"/>
    </row>
    <row r="350">
      <c r="A350" s="196"/>
    </row>
    <row r="351">
      <c r="A351" s="196"/>
    </row>
    <row r="352">
      <c r="A352" s="196"/>
    </row>
    <row r="353">
      <c r="A353" s="196"/>
    </row>
    <row r="354">
      <c r="A354" s="196"/>
    </row>
    <row r="355">
      <c r="A355" s="196"/>
    </row>
    <row r="356">
      <c r="A356" s="196"/>
    </row>
    <row r="357">
      <c r="A357" s="196"/>
    </row>
    <row r="358">
      <c r="A358" s="196"/>
    </row>
    <row r="359">
      <c r="A359" s="196"/>
    </row>
    <row r="360">
      <c r="A360" s="196"/>
    </row>
    <row r="361">
      <c r="A361" s="196"/>
    </row>
    <row r="362">
      <c r="A362" s="196"/>
    </row>
    <row r="363">
      <c r="A363" s="196"/>
    </row>
    <row r="364">
      <c r="A364" s="196"/>
    </row>
    <row r="365">
      <c r="A365" s="196"/>
    </row>
    <row r="366">
      <c r="A366" s="196"/>
    </row>
    <row r="367">
      <c r="A367" s="196"/>
    </row>
    <row r="368">
      <c r="A368" s="196"/>
    </row>
    <row r="369">
      <c r="A369" s="196"/>
    </row>
    <row r="370">
      <c r="A370" s="196"/>
    </row>
    <row r="371">
      <c r="A371" s="196"/>
    </row>
    <row r="372">
      <c r="A372" s="196"/>
    </row>
    <row r="373">
      <c r="A373" s="196"/>
    </row>
    <row r="374">
      <c r="A374" s="196"/>
    </row>
    <row r="375">
      <c r="A375" s="196"/>
    </row>
    <row r="376">
      <c r="A376" s="196"/>
    </row>
    <row r="377">
      <c r="A377" s="196"/>
    </row>
    <row r="378">
      <c r="A378" s="196"/>
    </row>
    <row r="379">
      <c r="A379" s="196"/>
    </row>
    <row r="380">
      <c r="A380" s="196"/>
    </row>
    <row r="381">
      <c r="A381" s="196"/>
    </row>
    <row r="382">
      <c r="A382" s="196"/>
    </row>
    <row r="383">
      <c r="A383" s="196"/>
    </row>
    <row r="384">
      <c r="A384" s="196"/>
    </row>
    <row r="385">
      <c r="A385" s="196"/>
    </row>
    <row r="386">
      <c r="A386" s="196"/>
    </row>
    <row r="387">
      <c r="A387" s="196"/>
    </row>
    <row r="388">
      <c r="A388" s="196"/>
    </row>
    <row r="389">
      <c r="A389" s="196"/>
    </row>
    <row r="390">
      <c r="A390" s="196"/>
    </row>
    <row r="391">
      <c r="A391" s="196"/>
    </row>
    <row r="392">
      <c r="A392" s="196"/>
    </row>
    <row r="393">
      <c r="A393" s="196"/>
    </row>
    <row r="394">
      <c r="A394" s="196"/>
    </row>
    <row r="395">
      <c r="A395" s="196"/>
    </row>
    <row r="396">
      <c r="A396" s="196"/>
    </row>
    <row r="397">
      <c r="A397" s="196"/>
    </row>
    <row r="398">
      <c r="A398" s="196"/>
    </row>
    <row r="399">
      <c r="A399" s="196"/>
    </row>
    <row r="400">
      <c r="A400" s="196"/>
    </row>
    <row r="401">
      <c r="A401" s="196"/>
    </row>
    <row r="402">
      <c r="A402" s="196"/>
    </row>
    <row r="403">
      <c r="A403" s="196"/>
    </row>
    <row r="404">
      <c r="A404" s="196"/>
    </row>
    <row r="405">
      <c r="A405" s="196"/>
    </row>
    <row r="406">
      <c r="A406" s="196"/>
    </row>
    <row r="407">
      <c r="A407" s="196"/>
    </row>
    <row r="408">
      <c r="A408" s="196"/>
    </row>
    <row r="409">
      <c r="A409" s="196"/>
    </row>
    <row r="410">
      <c r="A410" s="196"/>
    </row>
    <row r="411">
      <c r="A411" s="196"/>
    </row>
    <row r="412">
      <c r="A412" s="196"/>
    </row>
    <row r="413">
      <c r="A413" s="196"/>
    </row>
    <row r="414">
      <c r="A414" s="196"/>
    </row>
    <row r="415">
      <c r="A415" s="196"/>
    </row>
    <row r="416">
      <c r="A416" s="196"/>
    </row>
    <row r="417">
      <c r="A417" s="196"/>
    </row>
    <row r="418">
      <c r="A418" s="196"/>
    </row>
    <row r="419">
      <c r="A419" s="196"/>
    </row>
    <row r="420">
      <c r="A420" s="196"/>
    </row>
    <row r="421">
      <c r="A421" s="196"/>
    </row>
    <row r="422">
      <c r="A422" s="196"/>
    </row>
    <row r="423">
      <c r="A423" s="196"/>
    </row>
    <row r="424">
      <c r="A424" s="196"/>
    </row>
    <row r="425">
      <c r="A425" s="196"/>
    </row>
    <row r="426">
      <c r="A426" s="196"/>
    </row>
    <row r="427">
      <c r="A427" s="196"/>
    </row>
    <row r="428">
      <c r="A428" s="196"/>
    </row>
    <row r="429">
      <c r="A429" s="196"/>
    </row>
    <row r="430">
      <c r="A430" s="196"/>
    </row>
    <row r="431">
      <c r="A431" s="196"/>
    </row>
    <row r="432">
      <c r="A432" s="196"/>
    </row>
    <row r="433">
      <c r="A433" s="196"/>
    </row>
    <row r="434">
      <c r="A434" s="196"/>
    </row>
    <row r="435">
      <c r="A435" s="196"/>
    </row>
    <row r="436">
      <c r="A436" s="196"/>
    </row>
    <row r="437">
      <c r="A437" s="196"/>
    </row>
    <row r="438">
      <c r="A438" s="196"/>
    </row>
    <row r="439">
      <c r="A439" s="196"/>
    </row>
    <row r="440">
      <c r="A440" s="196"/>
    </row>
    <row r="441">
      <c r="A441" s="196"/>
    </row>
    <row r="442">
      <c r="A442" s="196"/>
    </row>
    <row r="443">
      <c r="A443" s="196"/>
    </row>
    <row r="444">
      <c r="A444" s="196"/>
    </row>
    <row r="445">
      <c r="A445" s="196"/>
    </row>
    <row r="446">
      <c r="A446" s="196"/>
    </row>
    <row r="447">
      <c r="A447" s="196"/>
    </row>
    <row r="448">
      <c r="A448" s="196"/>
    </row>
    <row r="449">
      <c r="A449" s="196"/>
    </row>
    <row r="450">
      <c r="A450" s="196"/>
    </row>
    <row r="451">
      <c r="A451" s="196"/>
    </row>
    <row r="452">
      <c r="A452" s="196"/>
    </row>
    <row r="453">
      <c r="A453" s="196"/>
    </row>
    <row r="454">
      <c r="A454" s="196"/>
    </row>
    <row r="455">
      <c r="A455" s="196"/>
    </row>
    <row r="456">
      <c r="A456" s="196"/>
    </row>
    <row r="457">
      <c r="A457" s="196"/>
    </row>
    <row r="458">
      <c r="A458" s="196"/>
    </row>
    <row r="459">
      <c r="A459" s="196"/>
    </row>
    <row r="460">
      <c r="A460" s="196"/>
    </row>
    <row r="461">
      <c r="A461" s="196"/>
    </row>
    <row r="462">
      <c r="A462" s="196"/>
    </row>
    <row r="463">
      <c r="A463" s="196"/>
    </row>
    <row r="464">
      <c r="A464" s="196"/>
    </row>
    <row r="465">
      <c r="A465" s="196"/>
    </row>
    <row r="466">
      <c r="A466" s="196"/>
    </row>
    <row r="467">
      <c r="A467" s="196"/>
    </row>
    <row r="468">
      <c r="A468" s="196"/>
    </row>
    <row r="469">
      <c r="A469" s="196"/>
    </row>
    <row r="470">
      <c r="A470" s="196"/>
    </row>
    <row r="471">
      <c r="A471" s="196"/>
    </row>
    <row r="472">
      <c r="A472" s="196"/>
    </row>
    <row r="473">
      <c r="A473" s="196"/>
    </row>
    <row r="474">
      <c r="A474" s="196"/>
    </row>
    <row r="475">
      <c r="A475" s="196"/>
    </row>
    <row r="476">
      <c r="A476" s="196"/>
    </row>
    <row r="477">
      <c r="A477" s="196"/>
    </row>
    <row r="478">
      <c r="A478" s="196"/>
    </row>
    <row r="479">
      <c r="A479" s="196"/>
    </row>
    <row r="480">
      <c r="A480" s="196"/>
    </row>
    <row r="481">
      <c r="A481" s="196"/>
    </row>
    <row r="482">
      <c r="A482" s="196"/>
    </row>
    <row r="483">
      <c r="A483" s="196"/>
    </row>
    <row r="484">
      <c r="A484" s="196"/>
    </row>
    <row r="485">
      <c r="A485" s="196"/>
    </row>
    <row r="486">
      <c r="A486" s="196"/>
    </row>
    <row r="487">
      <c r="A487" s="196"/>
    </row>
    <row r="488">
      <c r="A488" s="196"/>
    </row>
    <row r="489">
      <c r="A489" s="196"/>
    </row>
    <row r="490">
      <c r="A490" s="196"/>
    </row>
    <row r="491">
      <c r="A491" s="196"/>
    </row>
    <row r="492">
      <c r="A492" s="196"/>
    </row>
    <row r="493">
      <c r="A493" s="196"/>
    </row>
    <row r="494">
      <c r="A494" s="196"/>
    </row>
    <row r="495">
      <c r="A495" s="196"/>
    </row>
    <row r="496">
      <c r="A496" s="196"/>
    </row>
    <row r="497">
      <c r="A497" s="196"/>
    </row>
    <row r="498">
      <c r="A498" s="196"/>
    </row>
    <row r="499">
      <c r="A499" s="196"/>
    </row>
    <row r="500">
      <c r="A500" s="196"/>
    </row>
    <row r="501">
      <c r="A501" s="196"/>
    </row>
    <row r="502">
      <c r="A502" s="196"/>
    </row>
    <row r="503">
      <c r="A503" s="196"/>
    </row>
    <row r="504">
      <c r="A504" s="196"/>
    </row>
    <row r="505">
      <c r="A505" s="196"/>
    </row>
    <row r="506">
      <c r="A506" s="196"/>
    </row>
    <row r="507">
      <c r="A507" s="196"/>
    </row>
    <row r="508">
      <c r="A508" s="196"/>
    </row>
    <row r="509">
      <c r="A509" s="196"/>
    </row>
    <row r="510">
      <c r="A510" s="196"/>
    </row>
    <row r="511">
      <c r="A511" s="196"/>
    </row>
    <row r="512">
      <c r="A512" s="196"/>
    </row>
    <row r="513">
      <c r="A513" s="196"/>
    </row>
    <row r="514">
      <c r="A514" s="196"/>
    </row>
    <row r="515">
      <c r="A515" s="196"/>
    </row>
    <row r="516">
      <c r="A516" s="196"/>
    </row>
    <row r="517">
      <c r="A517" s="196"/>
    </row>
    <row r="518">
      <c r="A518" s="196"/>
    </row>
    <row r="519">
      <c r="A519" s="196"/>
    </row>
    <row r="520">
      <c r="A520" s="196"/>
    </row>
    <row r="521">
      <c r="A521" s="196"/>
    </row>
    <row r="522">
      <c r="A522" s="196"/>
    </row>
    <row r="523">
      <c r="A523" s="196"/>
    </row>
    <row r="524">
      <c r="A524" s="196"/>
    </row>
    <row r="525">
      <c r="A525" s="196"/>
    </row>
    <row r="526">
      <c r="A526" s="196"/>
    </row>
    <row r="527">
      <c r="A527" s="196"/>
    </row>
    <row r="528">
      <c r="A528" s="196"/>
    </row>
    <row r="529">
      <c r="A529" s="196"/>
    </row>
    <row r="530">
      <c r="A530" s="196"/>
    </row>
    <row r="531">
      <c r="A531" s="196"/>
    </row>
    <row r="532">
      <c r="A532" s="196"/>
    </row>
    <row r="533">
      <c r="A533" s="196"/>
    </row>
    <row r="534">
      <c r="A534" s="196"/>
    </row>
    <row r="535">
      <c r="A535" s="196"/>
    </row>
    <row r="536">
      <c r="A536" s="196"/>
    </row>
    <row r="537">
      <c r="A537" s="196"/>
    </row>
    <row r="538">
      <c r="A538" s="196"/>
    </row>
    <row r="539">
      <c r="A539" s="196"/>
    </row>
    <row r="540">
      <c r="A540" s="196"/>
    </row>
    <row r="541">
      <c r="A541" s="196"/>
    </row>
    <row r="542">
      <c r="A542" s="196"/>
    </row>
    <row r="543">
      <c r="A543" s="196"/>
    </row>
    <row r="544">
      <c r="A544" s="196"/>
    </row>
    <row r="545">
      <c r="A545" s="196"/>
    </row>
    <row r="546">
      <c r="A546" s="196"/>
    </row>
    <row r="547">
      <c r="A547" s="196"/>
    </row>
    <row r="548">
      <c r="A548" s="196"/>
    </row>
    <row r="549">
      <c r="A549" s="196"/>
    </row>
    <row r="550">
      <c r="A550" s="196"/>
    </row>
    <row r="551">
      <c r="A551" s="196"/>
    </row>
    <row r="552">
      <c r="A552" s="196"/>
    </row>
    <row r="553">
      <c r="A553" s="196"/>
    </row>
    <row r="554">
      <c r="A554" s="196"/>
    </row>
    <row r="555">
      <c r="A555" s="196"/>
    </row>
    <row r="556">
      <c r="A556" s="196"/>
    </row>
    <row r="557">
      <c r="A557" s="196"/>
    </row>
    <row r="558">
      <c r="A558" s="196"/>
    </row>
    <row r="559">
      <c r="A559" s="196"/>
    </row>
    <row r="560">
      <c r="A560" s="196"/>
    </row>
    <row r="561">
      <c r="A561" s="196"/>
    </row>
    <row r="562">
      <c r="A562" s="196"/>
    </row>
    <row r="563">
      <c r="A563" s="196"/>
    </row>
    <row r="564">
      <c r="A564" s="196"/>
    </row>
    <row r="565">
      <c r="A565" s="196"/>
    </row>
    <row r="566">
      <c r="A566" s="196"/>
    </row>
    <row r="567">
      <c r="A567" s="196"/>
    </row>
    <row r="568">
      <c r="A568" s="196"/>
    </row>
    <row r="569">
      <c r="A569" s="196"/>
    </row>
    <row r="570">
      <c r="A570" s="196"/>
    </row>
    <row r="571">
      <c r="A571" s="196"/>
    </row>
    <row r="572">
      <c r="A572" s="196"/>
    </row>
    <row r="573">
      <c r="A573" s="196"/>
    </row>
    <row r="574">
      <c r="A574" s="196"/>
    </row>
    <row r="575">
      <c r="A575" s="196"/>
    </row>
    <row r="576">
      <c r="A576" s="196"/>
    </row>
    <row r="577">
      <c r="A577" s="196"/>
    </row>
    <row r="578">
      <c r="A578" s="196"/>
    </row>
    <row r="579">
      <c r="A579" s="196"/>
    </row>
    <row r="580">
      <c r="A580" s="196"/>
    </row>
    <row r="581">
      <c r="A581" s="196"/>
    </row>
    <row r="582">
      <c r="A582" s="196"/>
    </row>
    <row r="583">
      <c r="A583" s="196"/>
    </row>
    <row r="584">
      <c r="A584" s="196"/>
    </row>
    <row r="585">
      <c r="A585" s="196"/>
    </row>
    <row r="586">
      <c r="A586" s="196"/>
    </row>
    <row r="587">
      <c r="A587" s="196"/>
    </row>
    <row r="588">
      <c r="A588" s="196"/>
    </row>
    <row r="589">
      <c r="A589" s="196"/>
    </row>
    <row r="590">
      <c r="A590" s="196"/>
    </row>
    <row r="591">
      <c r="A591" s="196"/>
    </row>
    <row r="592">
      <c r="A592" s="196"/>
    </row>
    <row r="593">
      <c r="A593" s="196"/>
    </row>
    <row r="594">
      <c r="A594" s="196"/>
    </row>
    <row r="595">
      <c r="A595" s="196"/>
    </row>
    <row r="596">
      <c r="A596" s="196"/>
    </row>
    <row r="597">
      <c r="A597" s="196"/>
    </row>
    <row r="598">
      <c r="A598" s="196"/>
    </row>
    <row r="599">
      <c r="A599" s="196"/>
    </row>
    <row r="600">
      <c r="A600" s="196"/>
    </row>
    <row r="601">
      <c r="A601" s="196"/>
    </row>
    <row r="602">
      <c r="A602" s="196"/>
    </row>
    <row r="603">
      <c r="A603" s="196"/>
    </row>
    <row r="604">
      <c r="A604" s="196"/>
    </row>
    <row r="605">
      <c r="A605" s="196"/>
    </row>
    <row r="606">
      <c r="A606" s="196"/>
    </row>
    <row r="607">
      <c r="A607" s="196"/>
    </row>
    <row r="608">
      <c r="A608" s="196"/>
    </row>
    <row r="609">
      <c r="A609" s="196"/>
    </row>
    <row r="610">
      <c r="A610" s="196"/>
    </row>
    <row r="611">
      <c r="A611" s="196"/>
    </row>
    <row r="612">
      <c r="A612" s="196"/>
    </row>
    <row r="613">
      <c r="A613" s="196"/>
    </row>
    <row r="614">
      <c r="A614" s="196"/>
    </row>
    <row r="615">
      <c r="A615" s="196"/>
    </row>
    <row r="616">
      <c r="A616" s="196"/>
    </row>
    <row r="617">
      <c r="A617" s="196"/>
    </row>
    <row r="618">
      <c r="A618" s="196"/>
    </row>
    <row r="619">
      <c r="A619" s="196"/>
    </row>
    <row r="620">
      <c r="A620" s="196"/>
    </row>
    <row r="621">
      <c r="A621" s="196"/>
    </row>
    <row r="622">
      <c r="A622" s="196"/>
    </row>
    <row r="623">
      <c r="A623" s="196"/>
    </row>
    <row r="624">
      <c r="A624" s="196"/>
    </row>
    <row r="625">
      <c r="A625" s="196"/>
    </row>
    <row r="626">
      <c r="A626" s="196"/>
    </row>
    <row r="627">
      <c r="A627" s="196"/>
    </row>
    <row r="628">
      <c r="A628" s="196"/>
    </row>
    <row r="629">
      <c r="A629" s="196"/>
    </row>
    <row r="630">
      <c r="A630" s="196"/>
    </row>
    <row r="631">
      <c r="A631" s="196"/>
    </row>
    <row r="632">
      <c r="A632" s="196"/>
    </row>
    <row r="633">
      <c r="A633" s="196"/>
    </row>
    <row r="634">
      <c r="A634" s="196"/>
    </row>
    <row r="635">
      <c r="A635" s="196"/>
    </row>
    <row r="636">
      <c r="A636" s="196"/>
    </row>
    <row r="637">
      <c r="A637" s="196"/>
    </row>
    <row r="638">
      <c r="A638" s="196"/>
    </row>
    <row r="639">
      <c r="A639" s="196"/>
    </row>
    <row r="640">
      <c r="A640" s="196"/>
    </row>
    <row r="641">
      <c r="A641" s="196"/>
    </row>
    <row r="642">
      <c r="A642" s="196"/>
    </row>
    <row r="643">
      <c r="A643" s="196"/>
    </row>
    <row r="644">
      <c r="A644" s="196"/>
    </row>
    <row r="645">
      <c r="A645" s="196"/>
    </row>
    <row r="646">
      <c r="A646" s="196"/>
    </row>
    <row r="647">
      <c r="A647" s="196"/>
    </row>
    <row r="648">
      <c r="A648" s="196"/>
    </row>
    <row r="649">
      <c r="A649" s="196"/>
    </row>
    <row r="650">
      <c r="A650" s="196"/>
    </row>
    <row r="651">
      <c r="A651" s="196"/>
    </row>
    <row r="652">
      <c r="A652" s="196"/>
    </row>
    <row r="653">
      <c r="A653" s="196"/>
    </row>
    <row r="654">
      <c r="A654" s="196"/>
    </row>
    <row r="655">
      <c r="A655" s="196"/>
    </row>
    <row r="656">
      <c r="A656" s="196"/>
    </row>
    <row r="657">
      <c r="A657" s="196"/>
    </row>
    <row r="658">
      <c r="A658" s="196"/>
    </row>
    <row r="659">
      <c r="A659" s="196"/>
    </row>
    <row r="660">
      <c r="A660" s="196"/>
    </row>
    <row r="661">
      <c r="A661" s="196"/>
    </row>
    <row r="662">
      <c r="A662" s="196"/>
    </row>
    <row r="663">
      <c r="A663" s="196"/>
    </row>
    <row r="664">
      <c r="A664" s="196"/>
    </row>
    <row r="665">
      <c r="A665" s="196"/>
    </row>
    <row r="666">
      <c r="A666" s="196"/>
    </row>
    <row r="667">
      <c r="A667" s="196"/>
    </row>
    <row r="668">
      <c r="A668" s="196"/>
    </row>
    <row r="669">
      <c r="A669" s="196"/>
    </row>
    <row r="670">
      <c r="A670" s="196"/>
    </row>
    <row r="671">
      <c r="A671" s="196"/>
    </row>
    <row r="672">
      <c r="A672" s="196"/>
    </row>
    <row r="673">
      <c r="A673" s="196"/>
    </row>
    <row r="674">
      <c r="A674" s="196"/>
    </row>
    <row r="675">
      <c r="A675" s="196"/>
    </row>
    <row r="676">
      <c r="A676" s="196"/>
    </row>
    <row r="677">
      <c r="A677" s="196"/>
    </row>
    <row r="678">
      <c r="A678" s="196"/>
    </row>
    <row r="679">
      <c r="A679" s="196"/>
    </row>
    <row r="680">
      <c r="A680" s="196"/>
    </row>
    <row r="681">
      <c r="A681" s="196"/>
    </row>
    <row r="682">
      <c r="A682" s="196"/>
    </row>
    <row r="683">
      <c r="A683" s="196"/>
    </row>
    <row r="684">
      <c r="A684" s="196"/>
    </row>
    <row r="685">
      <c r="A685" s="196"/>
    </row>
    <row r="686">
      <c r="A686" s="196"/>
    </row>
    <row r="687">
      <c r="A687" s="196"/>
    </row>
    <row r="688">
      <c r="A688" s="196"/>
    </row>
    <row r="689">
      <c r="A689" s="196"/>
    </row>
    <row r="690">
      <c r="A690" s="196"/>
    </row>
    <row r="691">
      <c r="A691" s="196"/>
    </row>
    <row r="692">
      <c r="A692" s="196"/>
    </row>
    <row r="693">
      <c r="A693" s="196"/>
    </row>
    <row r="694">
      <c r="A694" s="196"/>
    </row>
    <row r="695">
      <c r="A695" s="196"/>
    </row>
    <row r="696">
      <c r="A696" s="196"/>
    </row>
    <row r="697">
      <c r="A697" s="196"/>
    </row>
    <row r="698">
      <c r="A698" s="196"/>
    </row>
    <row r="699">
      <c r="A699" s="196"/>
    </row>
    <row r="700">
      <c r="A700" s="196"/>
    </row>
    <row r="701">
      <c r="A701" s="196"/>
    </row>
    <row r="702">
      <c r="A702" s="196"/>
    </row>
    <row r="703">
      <c r="A703" s="196"/>
    </row>
    <row r="704">
      <c r="A704" s="196"/>
    </row>
    <row r="705">
      <c r="A705" s="196"/>
    </row>
    <row r="706">
      <c r="A706" s="196"/>
    </row>
    <row r="707">
      <c r="A707" s="196"/>
    </row>
    <row r="708">
      <c r="A708" s="196"/>
    </row>
    <row r="709">
      <c r="A709" s="196"/>
    </row>
    <row r="710">
      <c r="A710" s="196"/>
    </row>
    <row r="711">
      <c r="A711" s="196"/>
    </row>
    <row r="712">
      <c r="A712" s="196"/>
    </row>
    <row r="713">
      <c r="A713" s="196"/>
    </row>
    <row r="714">
      <c r="A714" s="196"/>
    </row>
    <row r="715">
      <c r="A715" s="196"/>
    </row>
    <row r="716">
      <c r="A716" s="196"/>
    </row>
    <row r="717">
      <c r="A717" s="196"/>
    </row>
    <row r="718">
      <c r="A718" s="196"/>
    </row>
    <row r="719">
      <c r="A719" s="196"/>
    </row>
    <row r="720">
      <c r="A720" s="196"/>
    </row>
    <row r="721">
      <c r="A721" s="196"/>
    </row>
    <row r="722">
      <c r="A722" s="196"/>
    </row>
    <row r="723">
      <c r="A723" s="196"/>
    </row>
    <row r="724">
      <c r="A724" s="196"/>
    </row>
    <row r="725">
      <c r="A725" s="196"/>
    </row>
    <row r="726">
      <c r="A726" s="196"/>
    </row>
    <row r="727">
      <c r="A727" s="196"/>
    </row>
    <row r="728">
      <c r="A728" s="196"/>
    </row>
    <row r="729">
      <c r="A729" s="196"/>
    </row>
    <row r="730">
      <c r="A730" s="196"/>
    </row>
    <row r="731">
      <c r="A731" s="196"/>
    </row>
    <row r="732">
      <c r="A732" s="196"/>
    </row>
    <row r="733">
      <c r="A733" s="196"/>
    </row>
    <row r="734">
      <c r="A734" s="196"/>
    </row>
    <row r="735">
      <c r="A735" s="196"/>
    </row>
    <row r="736">
      <c r="A736" s="196"/>
    </row>
    <row r="737">
      <c r="A737" s="196"/>
    </row>
    <row r="738">
      <c r="A738" s="196"/>
    </row>
    <row r="739">
      <c r="A739" s="196"/>
    </row>
    <row r="740">
      <c r="A740" s="196"/>
    </row>
    <row r="741">
      <c r="A741" s="196"/>
    </row>
    <row r="742">
      <c r="A742" s="196"/>
    </row>
    <row r="743">
      <c r="A743" s="196"/>
    </row>
    <row r="744">
      <c r="A744" s="196"/>
    </row>
    <row r="745">
      <c r="A745" s="196"/>
    </row>
    <row r="746">
      <c r="A746" s="196"/>
    </row>
    <row r="747">
      <c r="A747" s="196"/>
    </row>
    <row r="748">
      <c r="A748" s="196"/>
    </row>
    <row r="749">
      <c r="A749" s="196"/>
    </row>
    <row r="750">
      <c r="A750" s="196"/>
    </row>
    <row r="751">
      <c r="A751" s="196"/>
    </row>
    <row r="752">
      <c r="A752" s="196"/>
    </row>
    <row r="753">
      <c r="A753" s="196"/>
    </row>
    <row r="754">
      <c r="A754" s="196"/>
    </row>
    <row r="755">
      <c r="A755" s="196"/>
    </row>
    <row r="756">
      <c r="A756" s="196"/>
    </row>
    <row r="757">
      <c r="A757" s="196"/>
    </row>
    <row r="758">
      <c r="A758" s="196"/>
    </row>
    <row r="759">
      <c r="A759" s="196"/>
    </row>
    <row r="760">
      <c r="A760" s="196"/>
    </row>
    <row r="761">
      <c r="A761" s="196"/>
    </row>
    <row r="762">
      <c r="A762" s="196"/>
    </row>
    <row r="763">
      <c r="A763" s="196"/>
    </row>
    <row r="764">
      <c r="A764" s="196"/>
    </row>
    <row r="765">
      <c r="A765" s="196"/>
    </row>
    <row r="766">
      <c r="A766" s="196"/>
    </row>
    <row r="767">
      <c r="A767" s="196"/>
    </row>
    <row r="768">
      <c r="A768" s="196"/>
    </row>
    <row r="769">
      <c r="A769" s="196"/>
    </row>
    <row r="770">
      <c r="A770" s="196"/>
    </row>
    <row r="771">
      <c r="A771" s="196"/>
    </row>
    <row r="772">
      <c r="A772" s="196"/>
    </row>
    <row r="773">
      <c r="A773" s="196"/>
    </row>
    <row r="774">
      <c r="A774" s="196"/>
    </row>
    <row r="775">
      <c r="A775" s="196"/>
    </row>
    <row r="776">
      <c r="A776" s="196"/>
    </row>
    <row r="777">
      <c r="A777" s="196"/>
    </row>
    <row r="778">
      <c r="A778" s="196"/>
    </row>
    <row r="779">
      <c r="A779" s="196"/>
    </row>
    <row r="780">
      <c r="A780" s="196"/>
    </row>
    <row r="781">
      <c r="A781" s="196"/>
    </row>
    <row r="782">
      <c r="A782" s="196"/>
    </row>
    <row r="783">
      <c r="A783" s="196"/>
    </row>
    <row r="784">
      <c r="A784" s="196"/>
    </row>
    <row r="785">
      <c r="A785" s="196"/>
    </row>
    <row r="786">
      <c r="A786" s="196"/>
    </row>
    <row r="787">
      <c r="A787" s="196"/>
    </row>
    <row r="788">
      <c r="A788" s="196"/>
    </row>
    <row r="789">
      <c r="A789" s="196"/>
    </row>
    <row r="790">
      <c r="A790" s="196"/>
    </row>
    <row r="791">
      <c r="A791" s="196"/>
    </row>
    <row r="792">
      <c r="A792" s="196"/>
    </row>
    <row r="793">
      <c r="A793" s="196"/>
    </row>
    <row r="794">
      <c r="A794" s="196"/>
    </row>
    <row r="795">
      <c r="A795" s="196"/>
    </row>
    <row r="796">
      <c r="A796" s="196"/>
    </row>
    <row r="797">
      <c r="A797" s="196"/>
    </row>
    <row r="798">
      <c r="A798" s="196"/>
    </row>
    <row r="799">
      <c r="A799" s="196"/>
    </row>
    <row r="800">
      <c r="A800" s="196"/>
    </row>
    <row r="801">
      <c r="A801" s="196"/>
    </row>
    <row r="802">
      <c r="A802" s="196"/>
    </row>
    <row r="803">
      <c r="A803" s="196"/>
    </row>
    <row r="804">
      <c r="A804" s="196"/>
    </row>
    <row r="805">
      <c r="A805" s="196"/>
    </row>
    <row r="806">
      <c r="A806" s="196"/>
    </row>
    <row r="807">
      <c r="A807" s="196"/>
    </row>
    <row r="808">
      <c r="A808" s="196"/>
    </row>
    <row r="809">
      <c r="A809" s="196"/>
    </row>
    <row r="810">
      <c r="A810" s="196"/>
    </row>
    <row r="811">
      <c r="A811" s="196"/>
    </row>
    <row r="812">
      <c r="A812" s="196"/>
    </row>
    <row r="813">
      <c r="A813" s="196"/>
    </row>
    <row r="814">
      <c r="A814" s="196"/>
    </row>
    <row r="815">
      <c r="A815" s="196"/>
    </row>
    <row r="816">
      <c r="A816" s="196"/>
    </row>
    <row r="817">
      <c r="A817" s="196"/>
    </row>
    <row r="818">
      <c r="A818" s="196"/>
    </row>
    <row r="819">
      <c r="A819" s="196"/>
    </row>
    <row r="820">
      <c r="A820" s="196"/>
    </row>
    <row r="821">
      <c r="A821" s="196"/>
    </row>
    <row r="822">
      <c r="A822" s="196"/>
    </row>
    <row r="823">
      <c r="A823" s="196"/>
    </row>
    <row r="824">
      <c r="A824" s="196"/>
    </row>
    <row r="825">
      <c r="A825" s="196"/>
    </row>
    <row r="826">
      <c r="A826" s="196"/>
    </row>
    <row r="827">
      <c r="A827" s="196"/>
    </row>
    <row r="828">
      <c r="A828" s="196"/>
    </row>
    <row r="829">
      <c r="A829" s="196"/>
    </row>
    <row r="830">
      <c r="A830" s="196"/>
    </row>
    <row r="831">
      <c r="A831" s="196"/>
    </row>
    <row r="832">
      <c r="A832" s="196"/>
    </row>
    <row r="833">
      <c r="A833" s="196"/>
    </row>
    <row r="834">
      <c r="A834" s="196"/>
    </row>
    <row r="835">
      <c r="A835" s="196"/>
    </row>
    <row r="836">
      <c r="A836" s="196"/>
    </row>
    <row r="837">
      <c r="A837" s="196"/>
    </row>
    <row r="838">
      <c r="A838" s="196"/>
    </row>
    <row r="839">
      <c r="A839" s="196"/>
    </row>
    <row r="840">
      <c r="A840" s="196"/>
    </row>
    <row r="841">
      <c r="A841" s="196"/>
    </row>
    <row r="842">
      <c r="A842" s="196"/>
    </row>
    <row r="843">
      <c r="A843" s="196"/>
    </row>
    <row r="844">
      <c r="A844" s="196"/>
    </row>
    <row r="845">
      <c r="A845" s="196"/>
    </row>
    <row r="846">
      <c r="A846" s="196"/>
    </row>
    <row r="847">
      <c r="A847" s="196"/>
    </row>
    <row r="848">
      <c r="A848" s="196"/>
    </row>
    <row r="849">
      <c r="A849" s="196"/>
    </row>
    <row r="850">
      <c r="A850" s="196"/>
    </row>
    <row r="851">
      <c r="A851" s="196"/>
    </row>
    <row r="852">
      <c r="A852" s="196"/>
    </row>
    <row r="853">
      <c r="A853" s="196"/>
    </row>
    <row r="854">
      <c r="A854" s="196"/>
    </row>
    <row r="855">
      <c r="A855" s="196"/>
    </row>
    <row r="856">
      <c r="A856" s="196"/>
    </row>
    <row r="857">
      <c r="A857" s="196"/>
    </row>
    <row r="858">
      <c r="A858" s="196"/>
    </row>
    <row r="859">
      <c r="A859" s="196"/>
    </row>
    <row r="860">
      <c r="A860" s="196"/>
    </row>
    <row r="861">
      <c r="A861" s="196"/>
    </row>
    <row r="862">
      <c r="A862" s="196"/>
    </row>
    <row r="863">
      <c r="A863" s="196"/>
    </row>
    <row r="864">
      <c r="A864" s="196"/>
    </row>
    <row r="865">
      <c r="A865" s="196"/>
    </row>
    <row r="866">
      <c r="A866" s="196"/>
    </row>
    <row r="867">
      <c r="A867" s="196"/>
    </row>
    <row r="868">
      <c r="A868" s="196"/>
    </row>
    <row r="869">
      <c r="A869" s="196"/>
    </row>
    <row r="870">
      <c r="A870" s="196"/>
    </row>
    <row r="871">
      <c r="A871" s="196"/>
    </row>
    <row r="872">
      <c r="A872" s="196"/>
    </row>
    <row r="873">
      <c r="A873" s="196"/>
    </row>
    <row r="874">
      <c r="A874" s="196"/>
    </row>
    <row r="875">
      <c r="A875" s="196"/>
    </row>
    <row r="876">
      <c r="A876" s="196"/>
    </row>
    <row r="877">
      <c r="A877" s="196"/>
    </row>
    <row r="878">
      <c r="A878" s="196"/>
    </row>
    <row r="879">
      <c r="A879" s="196"/>
    </row>
    <row r="880">
      <c r="A880" s="196"/>
    </row>
    <row r="881">
      <c r="A881" s="196"/>
    </row>
    <row r="882">
      <c r="A882" s="196"/>
    </row>
    <row r="883">
      <c r="A883" s="196"/>
    </row>
    <row r="884">
      <c r="A884" s="196"/>
    </row>
    <row r="885">
      <c r="A885" s="196"/>
    </row>
    <row r="886">
      <c r="A886" s="196"/>
    </row>
    <row r="887">
      <c r="A887" s="196"/>
    </row>
    <row r="888">
      <c r="A888" s="196"/>
    </row>
    <row r="889">
      <c r="A889" s="196"/>
    </row>
    <row r="890">
      <c r="A890" s="196"/>
    </row>
    <row r="891">
      <c r="A891" s="196"/>
    </row>
    <row r="892">
      <c r="A892" s="196"/>
    </row>
    <row r="893">
      <c r="A893" s="196"/>
    </row>
    <row r="894">
      <c r="A894" s="196"/>
    </row>
    <row r="895">
      <c r="A895" s="196"/>
    </row>
    <row r="896">
      <c r="A896" s="196"/>
    </row>
    <row r="897">
      <c r="A897" s="196"/>
    </row>
    <row r="898">
      <c r="A898" s="196"/>
    </row>
    <row r="899">
      <c r="A899" s="196"/>
    </row>
    <row r="900">
      <c r="A900" s="196"/>
    </row>
    <row r="901">
      <c r="A901" s="196"/>
    </row>
    <row r="902">
      <c r="A902" s="196"/>
    </row>
    <row r="903">
      <c r="A903" s="196"/>
    </row>
    <row r="904">
      <c r="A904" s="196"/>
    </row>
    <row r="905">
      <c r="A905" s="196"/>
    </row>
    <row r="906">
      <c r="A906" s="196"/>
    </row>
    <row r="907">
      <c r="A907" s="196"/>
    </row>
    <row r="908">
      <c r="A908" s="196"/>
    </row>
    <row r="909">
      <c r="A909" s="196"/>
    </row>
    <row r="910">
      <c r="A910" s="196"/>
    </row>
    <row r="911">
      <c r="A911" s="196"/>
    </row>
    <row r="912">
      <c r="A912" s="196"/>
    </row>
    <row r="913">
      <c r="A913" s="196"/>
    </row>
    <row r="914">
      <c r="A914" s="196"/>
    </row>
    <row r="915">
      <c r="A915" s="196"/>
    </row>
    <row r="916">
      <c r="A916" s="196"/>
    </row>
    <row r="917">
      <c r="A917" s="196"/>
    </row>
    <row r="918">
      <c r="A918" s="196"/>
    </row>
    <row r="919">
      <c r="A919" s="196"/>
    </row>
    <row r="920">
      <c r="A920" s="196"/>
    </row>
    <row r="921">
      <c r="A921" s="196"/>
    </row>
    <row r="922">
      <c r="A922" s="196"/>
    </row>
    <row r="923">
      <c r="A923" s="196"/>
    </row>
    <row r="924">
      <c r="A924" s="196"/>
    </row>
    <row r="925">
      <c r="A925" s="196"/>
    </row>
    <row r="926">
      <c r="A926" s="196"/>
    </row>
    <row r="927">
      <c r="A927" s="196"/>
    </row>
    <row r="928">
      <c r="A928" s="196"/>
    </row>
    <row r="929">
      <c r="A929" s="196"/>
    </row>
    <row r="930">
      <c r="A930" s="196"/>
    </row>
    <row r="931">
      <c r="A931" s="196"/>
    </row>
    <row r="932">
      <c r="A932" s="196"/>
    </row>
    <row r="933">
      <c r="A933" s="196"/>
    </row>
    <row r="934">
      <c r="A934" s="196"/>
    </row>
    <row r="935">
      <c r="A935" s="196"/>
    </row>
    <row r="936">
      <c r="A936" s="196"/>
    </row>
    <row r="937">
      <c r="A937" s="196"/>
    </row>
    <row r="938">
      <c r="A938" s="196"/>
    </row>
    <row r="939">
      <c r="A939" s="196"/>
    </row>
    <row r="940">
      <c r="A940" s="196"/>
    </row>
    <row r="941">
      <c r="A941" s="196"/>
    </row>
    <row r="942">
      <c r="A942" s="196"/>
    </row>
    <row r="943">
      <c r="A943" s="196"/>
    </row>
    <row r="944">
      <c r="A944" s="196"/>
    </row>
    <row r="945">
      <c r="A945" s="196"/>
    </row>
    <row r="946">
      <c r="A946" s="196"/>
    </row>
    <row r="947">
      <c r="A947" s="196"/>
    </row>
    <row r="948">
      <c r="A948" s="196"/>
    </row>
    <row r="949">
      <c r="A949" s="196"/>
    </row>
    <row r="950">
      <c r="A950" s="196"/>
    </row>
    <row r="951">
      <c r="A951" s="196"/>
    </row>
    <row r="952">
      <c r="A952" s="196"/>
    </row>
    <row r="953">
      <c r="A953" s="196"/>
    </row>
    <row r="954">
      <c r="A954" s="196"/>
    </row>
    <row r="955">
      <c r="A955" s="196"/>
    </row>
    <row r="956">
      <c r="A956" s="196"/>
    </row>
    <row r="957">
      <c r="A957" s="196"/>
    </row>
    <row r="958">
      <c r="A958" s="196"/>
    </row>
    <row r="959">
      <c r="A959" s="196"/>
    </row>
    <row r="960">
      <c r="A960" s="196"/>
    </row>
    <row r="961">
      <c r="A961" s="196"/>
    </row>
    <row r="962">
      <c r="A962" s="196"/>
    </row>
    <row r="963">
      <c r="A963" s="196"/>
    </row>
    <row r="964">
      <c r="A964" s="196"/>
    </row>
    <row r="965">
      <c r="A965" s="196"/>
    </row>
    <row r="966">
      <c r="A966" s="196"/>
    </row>
    <row r="967">
      <c r="A967" s="196"/>
    </row>
    <row r="968">
      <c r="A968" s="196"/>
    </row>
    <row r="969">
      <c r="A969" s="196"/>
    </row>
    <row r="970">
      <c r="A970" s="196"/>
    </row>
    <row r="971">
      <c r="A971" s="196"/>
    </row>
    <row r="972">
      <c r="A972" s="196"/>
    </row>
    <row r="973">
      <c r="A973" s="196"/>
    </row>
    <row r="974">
      <c r="A974" s="196"/>
    </row>
    <row r="975">
      <c r="A975" s="196"/>
    </row>
    <row r="976">
      <c r="A976" s="196"/>
    </row>
    <row r="977">
      <c r="A977" s="196"/>
    </row>
    <row r="978">
      <c r="A978" s="196"/>
    </row>
    <row r="979">
      <c r="A979" s="196"/>
    </row>
    <row r="980">
      <c r="A980" s="196"/>
    </row>
    <row r="981">
      <c r="A981" s="196"/>
    </row>
    <row r="982">
      <c r="A982" s="196"/>
    </row>
    <row r="983">
      <c r="A983" s="196"/>
    </row>
    <row r="984">
      <c r="A984" s="196"/>
    </row>
    <row r="985">
      <c r="A985" s="196"/>
    </row>
    <row r="986">
      <c r="A986" s="196"/>
    </row>
    <row r="987">
      <c r="A987" s="196"/>
    </row>
    <row r="988">
      <c r="A988" s="196"/>
    </row>
    <row r="989">
      <c r="A989" s="196"/>
    </row>
    <row r="990">
      <c r="A990" s="196"/>
    </row>
    <row r="991">
      <c r="A991" s="196"/>
    </row>
    <row r="992">
      <c r="A992" s="196"/>
    </row>
    <row r="993">
      <c r="A993" s="196"/>
    </row>
    <row r="994">
      <c r="A994" s="196"/>
    </row>
    <row r="995">
      <c r="A995" s="196"/>
    </row>
    <row r="996">
      <c r="A996" s="196"/>
    </row>
    <row r="997">
      <c r="A997" s="196"/>
    </row>
    <row r="998">
      <c r="A998" s="196"/>
    </row>
    <row r="999">
      <c r="A999" s="196"/>
    </row>
    <row r="1000">
      <c r="A1000" s="196"/>
    </row>
    <row r="1001">
      <c r="A1001" s="196"/>
    </row>
  </sheetData>
  <mergeCells count="3">
    <mergeCell ref="B2:D2"/>
    <mergeCell ref="C3:D3"/>
    <mergeCell ref="C4:D4"/>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s>
  <sheetData>
    <row r="3">
      <c r="C3" s="380">
        <v>44593.0</v>
      </c>
    </row>
    <row r="4">
      <c r="C4" s="380">
        <v>44620.0</v>
      </c>
    </row>
    <row r="6">
      <c r="A6" s="376" t="str">
        <f>IFERROR(__xludf.DUMMYFUNCTION("UNIQUE(IF(DATABASE!E3 = """", ""Supplier"", IFERROR(QUERY(DATABASE!A:AC, ""Select E where D &gt;= date'""&amp;TEXT(C3,""yyyy-mm-dd"")&amp;""' AND D &lt;= date'""&amp;TEXT(C4,""yyyy-mm-dd"")&amp;""'""),QUERY(DATABASE!A:AC, ""Select E""))))"),"Supplier ")</f>
        <v>Supplier </v>
      </c>
    </row>
    <row r="7">
      <c r="A7" s="196"/>
      <c r="B7" s="376" t="str">
        <f>IFERROR(__xludf.DUMMYFUNCTION("IFERROR(AVERAGEIFS(DATABASE!$AC$3:$AC1000,DATABASE!$E$3:E1000,A7, DATABASE!$D$3:$D1000, (IFERROR(QUERY(DATABASE!$A$3:$AC1000, ""Select D where D &gt;= date'""&amp;TEXT(C$3,""yyyy-mm-dd"")&amp;""' AND D &lt;= date'""&amp;TEXT(C$4,""yyyy-mm-dd"")&amp;""'""),QUERY(DATABASE!$A:$AC"&amp;", ""Select D"")))))"),"")</f>
        <v/>
      </c>
    </row>
    <row r="8">
      <c r="A8" s="196"/>
      <c r="B8" s="376" t="str">
        <f>IFERROR(__xludf.DUMMYFUNCTION("IFERROR(AVERAGEIFS(DATABASE!$AC$3:$AC1000,DATABASE!$E$3:E1000,A8, DATABASE!$D$3:$D1000, (IFERROR(QUERY(DATABASE!$A$3:$AC1000, ""Select D where D &gt;= date'""&amp;TEXT(C$3,""yyyy-mm-dd"")&amp;""' AND D &lt;= date'""&amp;TEXT(C$4,""yyyy-mm-dd"")&amp;""'""),QUERY(DATABASE!$A:$AC"&amp;", ""Select D"")))))"),"")</f>
        <v/>
      </c>
    </row>
    <row r="9">
      <c r="A9" s="196"/>
      <c r="B9" s="376" t="str">
        <f>IFERROR(__xludf.DUMMYFUNCTION("IFERROR(AVERAGEIFS(DATABASE!$AC$3:$AC1000,DATABASE!$E$3:E1000,A9, DATABASE!$D$3:$D1000, (IFERROR(QUERY(DATABASE!$A$3:$AC1000, ""Select D where D &gt;= date'""&amp;TEXT(C$3,""yyyy-mm-dd"")&amp;""' AND D &lt;= date'""&amp;TEXT(C$4,""yyyy-mm-dd"")&amp;""'""),QUERY(DATABASE!$A:$AC"&amp;", ""Select D"")))))"),"")</f>
        <v/>
      </c>
    </row>
    <row r="10">
      <c r="A10" s="196"/>
      <c r="B10" s="376" t="str">
        <f>IFERROR(__xludf.DUMMYFUNCTION("IFERROR(AVERAGEIFS(DATABASE!$AC$3:$AC1000,DATABASE!$E$3:E1000,A10, DATABASE!$D$3:$D1000, (IFERROR(QUERY(DATABASE!$A$3:$AC1000, ""Select D where D &gt;= date'""&amp;TEXT(C$3,""yyyy-mm-dd"")&amp;""' AND D &lt;= date'""&amp;TEXT(C$4,""yyyy-mm-dd"")&amp;""'""),QUERY(DATABASE!$A:$A"&amp;"C, ""Select D"")))))"),"")</f>
        <v/>
      </c>
    </row>
    <row r="11">
      <c r="B11" s="376" t="str">
        <f>IFERROR(__xludf.DUMMYFUNCTION("IFERROR(AVERAGEIFS(DATABASE!$AC$3:$AC1000,DATABASE!$E$3:E1000,A11, DATABASE!$D$3:$D1000, (IFERROR(QUERY(DATABASE!$A$3:$AC1000, ""Select D where D &gt;= date'""&amp;TEXT(C$3,""yyyy-mm-dd"")&amp;""' AND D &lt;= date'""&amp;TEXT(C$4,""yyyy-mm-dd"")&amp;""'""),QUERY(DATABASE!$A:$A"&amp;"C, ""Select D"")))))"),"")</f>
        <v/>
      </c>
    </row>
    <row r="12">
      <c r="B12" s="376" t="str">
        <f>IFERROR(__xludf.DUMMYFUNCTION("IFERROR(AVERAGEIFS(DATABASE!$AC$3:$AC1000,DATABASE!$E$3:E1000,A12, DATABASE!$D$3:$D1000, (IFERROR(QUERY(DATABASE!$A$3:$AC1000, ""Select D where D &gt;= date'""&amp;TEXT(C$3,""yyyy-mm-dd"")&amp;""' AND D &lt;= date'""&amp;TEXT(C$4,""yyyy-mm-dd"")&amp;""'""),QUERY(DATABASE!$A:$A"&amp;"C, ""Select D"")))))"),"")</f>
        <v/>
      </c>
    </row>
    <row r="13">
      <c r="B13" s="376" t="str">
        <f>IFERROR(__xludf.DUMMYFUNCTION("IFERROR(AVERAGEIFS(DATABASE!$AC$3:$AC1000,DATABASE!$E$3:E1000,A13, DATABASE!$D$3:$D1000, (IFERROR(QUERY(DATABASE!$A$3:$AC1000, ""Select D where D &gt;= date'""&amp;TEXT(C$3,""yyyy-mm-dd"")&amp;""' AND D &lt;= date'""&amp;TEXT(C$4,""yyyy-mm-dd"")&amp;""'""),QUERY(DATABASE!$A:$A"&amp;"C, ""Select D"")))))"),"")</f>
        <v/>
      </c>
    </row>
    <row r="14">
      <c r="B14" s="376" t="str">
        <f>IFERROR(__xludf.DUMMYFUNCTION("IFERROR(AVERAGEIFS(DATABASE!$AC$3:$AC1000,DATABASE!$E$3:E1000,A14, DATABASE!$D$3:$D1000, (IFERROR(QUERY(DATABASE!$A$3:$AC1000, ""Select D where D &gt;= date'""&amp;TEXT(C$3,""yyyy-mm-dd"")&amp;""' AND D &lt;= date'""&amp;TEXT(C$4,""yyyy-mm-dd"")&amp;""'""),QUERY(DATABASE!$A:$A"&amp;"C, ""Select D"")))))"),"")</f>
        <v/>
      </c>
    </row>
    <row r="15">
      <c r="B15" s="376" t="str">
        <f>IFERROR(__xludf.DUMMYFUNCTION("IFERROR(AVERAGEIFS(DATABASE!$AC$3:$AC1000,DATABASE!$E$3:E1000,A15, DATABASE!$D$3:$D1000, (IFERROR(QUERY(DATABASE!$A$3:$AC1000, ""Select D where D &gt;= date'""&amp;TEXT(C$3,""yyyy-mm-dd"")&amp;""' AND D &lt;= date'""&amp;TEXT(C$4,""yyyy-mm-dd"")&amp;""'""),QUERY(DATABASE!$A:$A"&amp;"C, ""Select D"")))))"),"")</f>
        <v/>
      </c>
    </row>
    <row r="16">
      <c r="B16" s="376" t="str">
        <f>IFERROR(__xludf.DUMMYFUNCTION("IFERROR(AVERAGEIFS(DATABASE!$AC$3:$AC1000,DATABASE!$E$3:E1000,A16, DATABASE!$D$3:$D1000, (IFERROR(QUERY(DATABASE!$A$3:$AC1000, ""Select D where D &gt;= date'""&amp;TEXT(C$3,""yyyy-mm-dd"")&amp;""' AND D &lt;= date'""&amp;TEXT(C$4,""yyyy-mm-dd"")&amp;""'""),QUERY(DATABASE!$A:$A"&amp;"C, ""Select D"")))))"),"")</f>
        <v/>
      </c>
    </row>
    <row r="17">
      <c r="B17" s="376" t="str">
        <f>IFERROR(__xludf.DUMMYFUNCTION("IFERROR(AVERAGEIFS(DATABASE!$AC$3:$AC1000,DATABASE!$E$3:E1000,A17, DATABASE!$D$3:$D1000, (IFERROR(QUERY(DATABASE!$A$3:$AC1000, ""Select D where D &gt;= date'""&amp;TEXT(C$3,""yyyy-mm-dd"")&amp;""' AND D &lt;= date'""&amp;TEXT(C$4,""yyyy-mm-dd"")&amp;""'""),QUERY(DATABASE!$A:$A"&amp;"C, ""Select D"")))))"),"")</f>
        <v/>
      </c>
    </row>
    <row r="18">
      <c r="B18" s="376" t="str">
        <f>IFERROR(__xludf.DUMMYFUNCTION("IFERROR(AVERAGEIFS(DATABASE!$AC$3:$AC1000,DATABASE!$E$3:E1000,A18, DATABASE!$D$3:$D1000, (IFERROR(QUERY(DATABASE!$A$3:$AC1000, ""Select D where D &gt;= date'""&amp;TEXT(C$3,""yyyy-mm-dd"")&amp;""' AND D &lt;= date'""&amp;TEXT(C$4,""yyyy-mm-dd"")&amp;""'""),QUERY(DATABASE!$A:$A"&amp;"C, ""Select D"")))))"),"")</f>
        <v/>
      </c>
    </row>
    <row r="19">
      <c r="B19" s="376" t="str">
        <f>IFERROR(__xludf.DUMMYFUNCTION("IFERROR(AVERAGEIFS(DATABASE!$AC$3:$AC1000,DATABASE!$E$3:E1000,A19, DATABASE!$D$3:$D1000, (IFERROR(QUERY(DATABASE!$A$3:$AC1000, ""Select D where D &gt;= date'""&amp;TEXT(C$3,""yyyy-mm-dd"")&amp;""' AND D &lt;= date'""&amp;TEXT(C$4,""yyyy-mm-dd"")&amp;""'""),QUERY(DATABASE!$A:$A"&amp;"C, ""Select D"")))))"),"")</f>
        <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3" max="3" width="40.13"/>
    <col customWidth="1" min="4" max="4" width="14.13"/>
    <col customWidth="1" min="5" max="5" width="27.63"/>
    <col customWidth="1" min="6" max="6" width="25.75"/>
    <col customWidth="1" min="7" max="7" width="25.13"/>
    <col customWidth="1" min="8" max="12" width="4.38"/>
    <col customWidth="1" min="13" max="13" width="8.75"/>
    <col customWidth="1" min="14" max="17" width="4.38"/>
    <col customWidth="1" min="18" max="18" width="9.63"/>
    <col customWidth="1" min="19" max="22" width="4.63"/>
    <col customWidth="1" min="23" max="23" width="9.38"/>
    <col customWidth="1" min="29" max="30" width="7.5"/>
  </cols>
  <sheetData>
    <row r="1">
      <c r="A1" s="143" t="s">
        <v>186</v>
      </c>
      <c r="B1" s="143" t="s">
        <v>187</v>
      </c>
      <c r="C1" s="143" t="s">
        <v>188</v>
      </c>
      <c r="D1" s="143" t="s">
        <v>189</v>
      </c>
      <c r="E1" s="143" t="s">
        <v>10</v>
      </c>
      <c r="F1" s="143" t="s">
        <v>192</v>
      </c>
      <c r="G1" s="143" t="s">
        <v>191</v>
      </c>
      <c r="H1" s="145" t="s">
        <v>195</v>
      </c>
      <c r="I1" s="110"/>
      <c r="J1" s="110"/>
      <c r="K1" s="110"/>
      <c r="L1" s="54"/>
      <c r="M1" s="146" t="s">
        <v>196</v>
      </c>
      <c r="N1" s="145" t="s">
        <v>197</v>
      </c>
      <c r="O1" s="110"/>
      <c r="P1" s="110"/>
      <c r="Q1" s="54"/>
      <c r="R1" s="146" t="s">
        <v>196</v>
      </c>
      <c r="S1" s="145" t="s">
        <v>39</v>
      </c>
      <c r="T1" s="110"/>
      <c r="U1" s="110"/>
      <c r="V1" s="54"/>
      <c r="W1" s="146" t="s">
        <v>196</v>
      </c>
      <c r="X1" s="147" t="s">
        <v>200</v>
      </c>
      <c r="Y1" s="110"/>
      <c r="Z1" s="110"/>
      <c r="AA1" s="110"/>
      <c r="AB1" s="54"/>
      <c r="AC1" s="381" t="s">
        <v>52</v>
      </c>
      <c r="AD1" s="382"/>
    </row>
    <row r="2">
      <c r="A2" s="150"/>
      <c r="B2" s="150"/>
      <c r="C2" s="150"/>
      <c r="D2" s="150"/>
      <c r="E2" s="150"/>
      <c r="F2" s="150"/>
      <c r="G2" s="150"/>
      <c r="H2" s="146" t="s">
        <v>204</v>
      </c>
      <c r="I2" s="146" t="s">
        <v>205</v>
      </c>
      <c r="J2" s="146" t="s">
        <v>206</v>
      </c>
      <c r="K2" s="146" t="s">
        <v>207</v>
      </c>
      <c r="L2" s="146" t="s">
        <v>208</v>
      </c>
      <c r="M2" s="150"/>
      <c r="N2" s="146" t="s">
        <v>204</v>
      </c>
      <c r="O2" s="146" t="s">
        <v>205</v>
      </c>
      <c r="P2" s="146" t="s">
        <v>206</v>
      </c>
      <c r="Q2" s="146" t="s">
        <v>207</v>
      </c>
      <c r="R2" s="150"/>
      <c r="S2" s="146" t="s">
        <v>204</v>
      </c>
      <c r="T2" s="146" t="s">
        <v>205</v>
      </c>
      <c r="U2" s="146" t="s">
        <v>206</v>
      </c>
      <c r="V2" s="146" t="s">
        <v>207</v>
      </c>
      <c r="W2" s="150"/>
      <c r="X2" s="143" t="s">
        <v>204</v>
      </c>
      <c r="Y2" s="143" t="s">
        <v>205</v>
      </c>
      <c r="Z2" s="143" t="s">
        <v>206</v>
      </c>
      <c r="AA2" s="143" t="s">
        <v>207</v>
      </c>
      <c r="AB2" s="143" t="s">
        <v>208</v>
      </c>
      <c r="AC2" s="150"/>
      <c r="AD2" s="382" t="s">
        <v>196</v>
      </c>
    </row>
    <row r="3">
      <c r="A3" s="163">
        <v>101985.0</v>
      </c>
      <c r="B3" s="163" t="s">
        <v>461</v>
      </c>
      <c r="C3" s="164" t="s">
        <v>6583</v>
      </c>
      <c r="D3" s="165">
        <v>44450.0</v>
      </c>
      <c r="E3" s="164" t="s">
        <v>51</v>
      </c>
      <c r="F3" s="164"/>
      <c r="G3" s="164"/>
      <c r="H3" s="159">
        <v>5.0</v>
      </c>
      <c r="I3" s="159">
        <v>5.0</v>
      </c>
      <c r="J3" s="159">
        <v>5.0</v>
      </c>
      <c r="K3" s="159">
        <v>5.0</v>
      </c>
      <c r="L3" s="159">
        <v>5.0</v>
      </c>
      <c r="M3" s="159">
        <v>5.0</v>
      </c>
      <c r="N3" s="159">
        <v>5.0</v>
      </c>
      <c r="O3" s="159">
        <v>5.0</v>
      </c>
      <c r="P3" s="159">
        <v>5.0</v>
      </c>
      <c r="Q3" s="159">
        <v>5.0</v>
      </c>
      <c r="R3" s="159">
        <v>5.0</v>
      </c>
      <c r="S3" s="159">
        <v>5.0</v>
      </c>
      <c r="T3" s="159">
        <v>5.0</v>
      </c>
      <c r="U3" s="159">
        <v>5.0</v>
      </c>
      <c r="V3" s="159">
        <v>5.0</v>
      </c>
      <c r="W3" s="159">
        <v>5.0</v>
      </c>
      <c r="X3" s="164"/>
      <c r="Y3" s="164"/>
      <c r="Z3" s="164"/>
      <c r="AA3" s="164"/>
      <c r="AB3" s="164"/>
      <c r="AC3" s="159">
        <v>5.0</v>
      </c>
      <c r="AD3" s="197">
        <f>AVERAGEA(AC3:AC12)</f>
        <v>4.871666667</v>
      </c>
    </row>
    <row r="4">
      <c r="A4" s="162">
        <v>102021.0</v>
      </c>
      <c r="B4" s="163" t="s">
        <v>516</v>
      </c>
      <c r="C4" s="164" t="s">
        <v>6584</v>
      </c>
      <c r="D4" s="165">
        <v>44450.0</v>
      </c>
      <c r="E4" s="164" t="s">
        <v>295</v>
      </c>
      <c r="F4" s="161"/>
      <c r="G4" s="161"/>
      <c r="H4" s="159">
        <v>5.0</v>
      </c>
      <c r="I4" s="159">
        <v>5.0</v>
      </c>
      <c r="J4" s="159">
        <v>5.0</v>
      </c>
      <c r="K4" s="159">
        <v>5.0</v>
      </c>
      <c r="L4" s="159">
        <v>5.0</v>
      </c>
      <c r="M4" s="159">
        <v>5.0</v>
      </c>
      <c r="N4" s="159">
        <v>5.0</v>
      </c>
      <c r="O4" s="159">
        <v>5.0</v>
      </c>
      <c r="P4" s="159">
        <v>5.0</v>
      </c>
      <c r="Q4" s="159">
        <v>5.0</v>
      </c>
      <c r="R4" s="159">
        <v>5.0</v>
      </c>
      <c r="S4" s="159">
        <v>5.0</v>
      </c>
      <c r="T4" s="159">
        <v>5.0</v>
      </c>
      <c r="U4" s="159">
        <v>5.0</v>
      </c>
      <c r="V4" s="159">
        <v>5.0</v>
      </c>
      <c r="W4" s="159">
        <v>5.0</v>
      </c>
      <c r="X4" s="161"/>
      <c r="Y4" s="161"/>
      <c r="Z4" s="161"/>
      <c r="AA4" s="161"/>
      <c r="AB4" s="161"/>
      <c r="AC4" s="159">
        <v>5.0</v>
      </c>
      <c r="AD4" s="197"/>
    </row>
    <row r="5">
      <c r="A5" s="162">
        <v>102023.0</v>
      </c>
      <c r="B5" s="163" t="s">
        <v>529</v>
      </c>
      <c r="C5" s="164" t="s">
        <v>6585</v>
      </c>
      <c r="D5" s="165">
        <v>44450.0</v>
      </c>
      <c r="E5" s="164" t="s">
        <v>87</v>
      </c>
      <c r="F5" s="161"/>
      <c r="G5" s="161"/>
      <c r="H5" s="159">
        <v>4.5</v>
      </c>
      <c r="I5" s="159">
        <v>4.5</v>
      </c>
      <c r="J5" s="159">
        <v>4.5</v>
      </c>
      <c r="K5" s="159">
        <v>4.5</v>
      </c>
      <c r="L5" s="159">
        <v>5.0</v>
      </c>
      <c r="M5" s="159">
        <v>4.6</v>
      </c>
      <c r="N5" s="159">
        <v>4.5</v>
      </c>
      <c r="O5" s="159">
        <v>4.5</v>
      </c>
      <c r="P5" s="159">
        <v>4.5</v>
      </c>
      <c r="Q5" s="159">
        <v>4.5</v>
      </c>
      <c r="R5" s="159">
        <v>4.5</v>
      </c>
      <c r="S5" s="159">
        <v>4.4</v>
      </c>
      <c r="T5" s="159">
        <v>4.4</v>
      </c>
      <c r="U5" s="159">
        <v>4.4</v>
      </c>
      <c r="V5" s="159">
        <v>4.4</v>
      </c>
      <c r="W5" s="159">
        <v>4.4</v>
      </c>
      <c r="X5" s="161"/>
      <c r="Y5" s="161"/>
      <c r="Z5" s="161"/>
      <c r="AA5" s="161"/>
      <c r="AB5" s="161"/>
      <c r="AC5" s="159">
        <v>4.5</v>
      </c>
      <c r="AD5" s="197"/>
    </row>
    <row r="6">
      <c r="A6" s="163">
        <v>102030.0</v>
      </c>
      <c r="B6" s="163" t="s">
        <v>550</v>
      </c>
      <c r="C6" s="164" t="s">
        <v>6586</v>
      </c>
      <c r="D6" s="165">
        <v>44450.0</v>
      </c>
      <c r="E6" s="164" t="s">
        <v>6587</v>
      </c>
      <c r="F6" s="164"/>
      <c r="G6" s="164"/>
      <c r="H6" s="159">
        <v>5.0</v>
      </c>
      <c r="I6" s="159">
        <v>5.0</v>
      </c>
      <c r="J6" s="159">
        <v>5.0</v>
      </c>
      <c r="K6" s="159">
        <v>5.0</v>
      </c>
      <c r="L6" s="159">
        <v>5.0</v>
      </c>
      <c r="M6" s="159">
        <v>5.0</v>
      </c>
      <c r="N6" s="159">
        <v>5.0</v>
      </c>
      <c r="O6" s="159">
        <v>5.0</v>
      </c>
      <c r="P6" s="159">
        <v>5.0</v>
      </c>
      <c r="Q6" s="159">
        <v>5.0</v>
      </c>
      <c r="R6" s="159">
        <v>5.0</v>
      </c>
      <c r="S6" s="159">
        <v>5.0</v>
      </c>
      <c r="T6" s="159">
        <v>5.0</v>
      </c>
      <c r="U6" s="159">
        <v>5.0</v>
      </c>
      <c r="V6" s="159">
        <v>5.0</v>
      </c>
      <c r="W6" s="159">
        <v>5.0</v>
      </c>
      <c r="X6" s="164"/>
      <c r="Y6" s="164"/>
      <c r="Z6" s="164"/>
      <c r="AA6" s="164"/>
      <c r="AB6" s="164"/>
      <c r="AC6" s="159">
        <v>5.0</v>
      </c>
      <c r="AD6" s="197"/>
    </row>
    <row r="7">
      <c r="A7" s="162">
        <v>102033.0</v>
      </c>
      <c r="B7" s="163" t="s">
        <v>6588</v>
      </c>
      <c r="C7" s="164" t="s">
        <v>6589</v>
      </c>
      <c r="D7" s="165">
        <v>44450.0</v>
      </c>
      <c r="E7" s="164" t="s">
        <v>295</v>
      </c>
      <c r="F7" s="161"/>
      <c r="G7" s="161"/>
      <c r="H7" s="159">
        <v>4.5</v>
      </c>
      <c r="I7" s="159">
        <v>4.5</v>
      </c>
      <c r="J7" s="159">
        <v>4.5</v>
      </c>
      <c r="K7" s="159">
        <v>4.5</v>
      </c>
      <c r="L7" s="159">
        <v>5.0</v>
      </c>
      <c r="M7" s="159">
        <v>4.6</v>
      </c>
      <c r="N7" s="159">
        <v>4.5</v>
      </c>
      <c r="O7" s="159">
        <v>4.5</v>
      </c>
      <c r="P7" s="159">
        <v>4.5</v>
      </c>
      <c r="Q7" s="159">
        <v>4.5</v>
      </c>
      <c r="R7" s="159">
        <v>4.5</v>
      </c>
      <c r="S7" s="159">
        <v>4.4</v>
      </c>
      <c r="T7" s="159">
        <v>4.4</v>
      </c>
      <c r="U7" s="159">
        <v>4.4</v>
      </c>
      <c r="V7" s="159">
        <v>4.5</v>
      </c>
      <c r="W7" s="159">
        <v>4.425000000000001</v>
      </c>
      <c r="X7" s="161"/>
      <c r="Y7" s="161"/>
      <c r="Z7" s="161"/>
      <c r="AA7" s="161"/>
      <c r="AB7" s="161"/>
      <c r="AC7" s="159">
        <v>4.508333333333334</v>
      </c>
      <c r="AD7" s="197"/>
    </row>
    <row r="8">
      <c r="A8" s="163">
        <v>102040.0</v>
      </c>
      <c r="B8" s="163" t="s">
        <v>525</v>
      </c>
      <c r="C8" s="164" t="s">
        <v>6590</v>
      </c>
      <c r="D8" s="165">
        <v>44450.0</v>
      </c>
      <c r="E8" s="164" t="s">
        <v>432</v>
      </c>
      <c r="F8" s="164"/>
      <c r="G8" s="164"/>
      <c r="H8" s="159">
        <v>5.0</v>
      </c>
      <c r="I8" s="159">
        <v>5.0</v>
      </c>
      <c r="J8" s="159">
        <v>5.0</v>
      </c>
      <c r="K8" s="159">
        <v>5.0</v>
      </c>
      <c r="L8" s="159">
        <v>5.0</v>
      </c>
      <c r="M8" s="159">
        <v>5.0</v>
      </c>
      <c r="N8" s="159">
        <v>5.0</v>
      </c>
      <c r="O8" s="159">
        <v>5.0</v>
      </c>
      <c r="P8" s="159">
        <v>5.0</v>
      </c>
      <c r="Q8" s="159">
        <v>5.0</v>
      </c>
      <c r="R8" s="159">
        <v>5.0</v>
      </c>
      <c r="S8" s="159">
        <v>5.0</v>
      </c>
      <c r="T8" s="159">
        <v>5.0</v>
      </c>
      <c r="U8" s="159">
        <v>5.0</v>
      </c>
      <c r="V8" s="159">
        <v>5.0</v>
      </c>
      <c r="W8" s="159">
        <v>5.0</v>
      </c>
      <c r="X8" s="164"/>
      <c r="Y8" s="164"/>
      <c r="Z8" s="164"/>
      <c r="AA8" s="164"/>
      <c r="AB8" s="164"/>
      <c r="AC8" s="159">
        <v>5.0</v>
      </c>
      <c r="AD8" s="197"/>
    </row>
    <row r="9">
      <c r="A9" s="162">
        <v>102041.0</v>
      </c>
      <c r="B9" s="163" t="s">
        <v>533</v>
      </c>
      <c r="C9" s="164" t="s">
        <v>6591</v>
      </c>
      <c r="D9" s="165">
        <v>44450.0</v>
      </c>
      <c r="E9" s="164" t="s">
        <v>295</v>
      </c>
      <c r="F9" s="161"/>
      <c r="G9" s="161"/>
      <c r="H9" s="159">
        <v>5.0</v>
      </c>
      <c r="I9" s="159">
        <v>5.0</v>
      </c>
      <c r="J9" s="159">
        <v>5.0</v>
      </c>
      <c r="K9" s="159">
        <v>5.0</v>
      </c>
      <c r="L9" s="159">
        <v>5.0</v>
      </c>
      <c r="M9" s="159">
        <v>5.0</v>
      </c>
      <c r="N9" s="159">
        <v>4.5</v>
      </c>
      <c r="O9" s="159">
        <v>4.5</v>
      </c>
      <c r="P9" s="159">
        <v>4.5</v>
      </c>
      <c r="Q9" s="159">
        <v>4.5</v>
      </c>
      <c r="R9" s="159">
        <v>4.5</v>
      </c>
      <c r="S9" s="159">
        <v>5.0</v>
      </c>
      <c r="T9" s="159">
        <v>4.5</v>
      </c>
      <c r="U9" s="159">
        <v>4.0</v>
      </c>
      <c r="V9" s="159">
        <v>5.0</v>
      </c>
      <c r="W9" s="159">
        <v>4.625</v>
      </c>
      <c r="X9" s="161"/>
      <c r="Y9" s="161"/>
      <c r="Z9" s="161"/>
      <c r="AA9" s="161"/>
      <c r="AB9" s="161"/>
      <c r="AC9" s="159">
        <v>4.708333333333333</v>
      </c>
      <c r="AD9" s="197"/>
    </row>
    <row r="10">
      <c r="A10" s="163">
        <v>102042.0</v>
      </c>
      <c r="B10" s="163" t="s">
        <v>552</v>
      </c>
      <c r="C10" s="164" t="s">
        <v>6586</v>
      </c>
      <c r="D10" s="165">
        <v>44450.0</v>
      </c>
      <c r="E10" s="164" t="s">
        <v>6587</v>
      </c>
      <c r="F10" s="164"/>
      <c r="G10" s="164"/>
      <c r="H10" s="159">
        <v>5.0</v>
      </c>
      <c r="I10" s="159">
        <v>5.0</v>
      </c>
      <c r="J10" s="159">
        <v>5.0</v>
      </c>
      <c r="K10" s="159">
        <v>5.0</v>
      </c>
      <c r="L10" s="159">
        <v>5.0</v>
      </c>
      <c r="M10" s="159">
        <v>5.0</v>
      </c>
      <c r="N10" s="159">
        <v>5.0</v>
      </c>
      <c r="O10" s="159">
        <v>5.0</v>
      </c>
      <c r="P10" s="159">
        <v>5.0</v>
      </c>
      <c r="Q10" s="159">
        <v>5.0</v>
      </c>
      <c r="R10" s="159">
        <v>5.0</v>
      </c>
      <c r="S10" s="159">
        <v>5.0</v>
      </c>
      <c r="T10" s="159">
        <v>5.0</v>
      </c>
      <c r="U10" s="159">
        <v>5.0</v>
      </c>
      <c r="V10" s="159">
        <v>5.0</v>
      </c>
      <c r="W10" s="159">
        <v>5.0</v>
      </c>
      <c r="X10" s="164"/>
      <c r="Y10" s="164"/>
      <c r="Z10" s="164"/>
      <c r="AA10" s="164"/>
      <c r="AB10" s="164"/>
      <c r="AC10" s="159">
        <v>5.0</v>
      </c>
      <c r="AD10" s="197"/>
    </row>
    <row r="11">
      <c r="A11" s="163">
        <v>102046.0</v>
      </c>
      <c r="B11" s="163" t="s">
        <v>527</v>
      </c>
      <c r="C11" s="164" t="s">
        <v>6592</v>
      </c>
      <c r="D11" s="165">
        <v>44450.0</v>
      </c>
      <c r="E11" s="164" t="s">
        <v>6593</v>
      </c>
      <c r="F11" s="164"/>
      <c r="G11" s="164"/>
      <c r="H11" s="159">
        <v>5.0</v>
      </c>
      <c r="I11" s="159">
        <v>5.0</v>
      </c>
      <c r="J11" s="159">
        <v>5.0</v>
      </c>
      <c r="K11" s="159">
        <v>5.0</v>
      </c>
      <c r="L11" s="159">
        <v>5.0</v>
      </c>
      <c r="M11" s="159">
        <v>5.0</v>
      </c>
      <c r="N11" s="159">
        <v>5.0</v>
      </c>
      <c r="O11" s="159">
        <v>5.0</v>
      </c>
      <c r="P11" s="159">
        <v>5.0</v>
      </c>
      <c r="Q11" s="159">
        <v>5.0</v>
      </c>
      <c r="R11" s="159">
        <v>5.0</v>
      </c>
      <c r="S11" s="159">
        <v>5.0</v>
      </c>
      <c r="T11" s="159">
        <v>5.0</v>
      </c>
      <c r="U11" s="159">
        <v>5.0</v>
      </c>
      <c r="V11" s="159">
        <v>5.0</v>
      </c>
      <c r="W11" s="159">
        <v>5.0</v>
      </c>
      <c r="X11" s="164"/>
      <c r="Y11" s="164"/>
      <c r="Z11" s="164"/>
      <c r="AA11" s="164"/>
      <c r="AB11" s="164"/>
      <c r="AC11" s="159">
        <v>5.0</v>
      </c>
      <c r="AD11" s="197"/>
    </row>
    <row r="12">
      <c r="A12" s="162">
        <v>102048.0</v>
      </c>
      <c r="B12" s="163" t="s">
        <v>537</v>
      </c>
      <c r="C12" s="164" t="s">
        <v>6594</v>
      </c>
      <c r="D12" s="165">
        <v>44450.0</v>
      </c>
      <c r="E12" s="164" t="s">
        <v>432</v>
      </c>
      <c r="F12" s="161"/>
      <c r="G12" s="161"/>
      <c r="H12" s="159">
        <v>5.0</v>
      </c>
      <c r="I12" s="159">
        <v>5.0</v>
      </c>
      <c r="J12" s="159">
        <v>5.0</v>
      </c>
      <c r="K12" s="159">
        <v>5.0</v>
      </c>
      <c r="L12" s="159">
        <v>5.0</v>
      </c>
      <c r="M12" s="159">
        <v>5.0</v>
      </c>
      <c r="N12" s="159">
        <v>5.0</v>
      </c>
      <c r="O12" s="159">
        <v>5.0</v>
      </c>
      <c r="P12" s="159">
        <v>5.0</v>
      </c>
      <c r="Q12" s="159">
        <v>5.0</v>
      </c>
      <c r="R12" s="159">
        <v>5.0</v>
      </c>
      <c r="S12" s="159">
        <v>5.0</v>
      </c>
      <c r="T12" s="159">
        <v>5.0</v>
      </c>
      <c r="U12" s="159">
        <v>5.0</v>
      </c>
      <c r="V12" s="159">
        <v>5.0</v>
      </c>
      <c r="W12" s="159">
        <v>5.0</v>
      </c>
      <c r="X12" s="161"/>
      <c r="Y12" s="161"/>
      <c r="Z12" s="161"/>
      <c r="AA12" s="161"/>
      <c r="AB12" s="161"/>
      <c r="AC12" s="159">
        <v>5.0</v>
      </c>
      <c r="AD12" s="197"/>
    </row>
    <row r="13">
      <c r="A13" s="169"/>
      <c r="B13" s="169"/>
      <c r="C13" s="161"/>
      <c r="D13" s="229"/>
      <c r="E13" s="161"/>
      <c r="F13" s="161"/>
      <c r="G13" s="161"/>
      <c r="H13" s="171"/>
      <c r="I13" s="171"/>
      <c r="J13" s="171"/>
      <c r="K13" s="171"/>
      <c r="L13" s="171"/>
      <c r="M13" s="171"/>
      <c r="N13" s="171"/>
      <c r="O13" s="171"/>
      <c r="P13" s="171"/>
      <c r="Q13" s="171"/>
      <c r="R13" s="171"/>
      <c r="S13" s="171"/>
      <c r="T13" s="171"/>
      <c r="U13" s="171"/>
      <c r="V13" s="171"/>
      <c r="W13" s="171"/>
      <c r="X13" s="161"/>
      <c r="Y13" s="161"/>
      <c r="Z13" s="161"/>
      <c r="AA13" s="161"/>
      <c r="AB13" s="161"/>
      <c r="AC13" s="171"/>
      <c r="AD13" s="198"/>
    </row>
    <row r="14">
      <c r="A14" s="169"/>
      <c r="B14" s="169"/>
      <c r="C14" s="161"/>
      <c r="D14" s="229"/>
      <c r="E14" s="161"/>
      <c r="F14" s="161"/>
      <c r="G14" s="161"/>
      <c r="H14" s="171"/>
      <c r="I14" s="171"/>
      <c r="J14" s="171"/>
      <c r="K14" s="171"/>
      <c r="L14" s="171"/>
      <c r="M14" s="171"/>
      <c r="N14" s="171"/>
      <c r="O14" s="171"/>
      <c r="P14" s="171"/>
      <c r="Q14" s="171"/>
      <c r="R14" s="171"/>
      <c r="S14" s="171"/>
      <c r="T14" s="171"/>
      <c r="U14" s="171"/>
      <c r="V14" s="171"/>
      <c r="W14" s="171"/>
      <c r="X14" s="161"/>
      <c r="Y14" s="161"/>
      <c r="Z14" s="161"/>
      <c r="AA14" s="161"/>
      <c r="AB14" s="161"/>
      <c r="AC14" s="171"/>
      <c r="AD14" s="198"/>
    </row>
    <row r="15">
      <c r="A15" s="169"/>
      <c r="B15" s="169"/>
      <c r="C15" s="161"/>
      <c r="D15" s="229"/>
      <c r="E15" s="161"/>
      <c r="F15" s="161"/>
      <c r="G15" s="161"/>
      <c r="H15" s="171"/>
      <c r="I15" s="171"/>
      <c r="J15" s="171"/>
      <c r="K15" s="171"/>
      <c r="L15" s="171"/>
      <c r="M15" s="171"/>
      <c r="N15" s="171"/>
      <c r="O15" s="171"/>
      <c r="P15" s="171"/>
      <c r="Q15" s="171"/>
      <c r="R15" s="171"/>
      <c r="S15" s="171"/>
      <c r="T15" s="171"/>
      <c r="U15" s="171"/>
      <c r="V15" s="171"/>
      <c r="W15" s="171"/>
      <c r="X15" s="161"/>
      <c r="Y15" s="161"/>
      <c r="Z15" s="161"/>
      <c r="AA15" s="161"/>
      <c r="AB15" s="161"/>
      <c r="AC15" s="171"/>
      <c r="AD15" s="198"/>
    </row>
    <row r="16">
      <c r="A16" s="169"/>
      <c r="B16" s="169"/>
      <c r="C16" s="161"/>
      <c r="D16" s="229"/>
      <c r="E16" s="161"/>
      <c r="F16" s="161"/>
      <c r="G16" s="161"/>
      <c r="H16" s="171"/>
      <c r="I16" s="171"/>
      <c r="J16" s="171"/>
      <c r="K16" s="171"/>
      <c r="L16" s="171"/>
      <c r="M16" s="171"/>
      <c r="N16" s="171"/>
      <c r="O16" s="171"/>
      <c r="P16" s="171"/>
      <c r="Q16" s="171"/>
      <c r="R16" s="171"/>
      <c r="S16" s="171"/>
      <c r="T16" s="171"/>
      <c r="U16" s="171"/>
      <c r="V16" s="171"/>
      <c r="W16" s="171"/>
      <c r="X16" s="161"/>
      <c r="Y16" s="161"/>
      <c r="Z16" s="161"/>
      <c r="AA16" s="161"/>
      <c r="AB16" s="161"/>
      <c r="AC16" s="171"/>
      <c r="AD16" s="198"/>
    </row>
    <row r="17">
      <c r="A17" s="169"/>
      <c r="B17" s="169"/>
      <c r="C17" s="161"/>
      <c r="D17" s="229"/>
      <c r="E17" s="161"/>
      <c r="F17" s="161"/>
      <c r="G17" s="161"/>
      <c r="H17" s="171"/>
      <c r="I17" s="171"/>
      <c r="J17" s="171"/>
      <c r="K17" s="171"/>
      <c r="L17" s="171"/>
      <c r="M17" s="171"/>
      <c r="N17" s="171"/>
      <c r="O17" s="171"/>
      <c r="P17" s="171"/>
      <c r="Q17" s="171"/>
      <c r="R17" s="171"/>
      <c r="S17" s="171"/>
      <c r="T17" s="171"/>
      <c r="U17" s="171"/>
      <c r="V17" s="171"/>
      <c r="W17" s="171"/>
      <c r="X17" s="161"/>
      <c r="Y17" s="161"/>
      <c r="Z17" s="161"/>
      <c r="AA17" s="161"/>
      <c r="AB17" s="161"/>
      <c r="AC17" s="171"/>
      <c r="AD17" s="198"/>
    </row>
    <row r="18">
      <c r="A18" s="169"/>
      <c r="B18" s="169"/>
      <c r="C18" s="161"/>
      <c r="D18" s="229"/>
      <c r="E18" s="161"/>
      <c r="F18" s="161"/>
      <c r="G18" s="161"/>
      <c r="H18" s="171"/>
      <c r="I18" s="171"/>
      <c r="J18" s="171"/>
      <c r="K18" s="171"/>
      <c r="L18" s="171"/>
      <c r="M18" s="171"/>
      <c r="N18" s="171"/>
      <c r="O18" s="171"/>
      <c r="P18" s="171"/>
      <c r="Q18" s="171"/>
      <c r="R18" s="171"/>
      <c r="S18" s="171"/>
      <c r="T18" s="171"/>
      <c r="U18" s="171"/>
      <c r="V18" s="171"/>
      <c r="W18" s="171"/>
      <c r="X18" s="161"/>
      <c r="Y18" s="161"/>
      <c r="Z18" s="161"/>
      <c r="AA18" s="161"/>
      <c r="AB18" s="161"/>
      <c r="AC18" s="171"/>
      <c r="AD18" s="198"/>
    </row>
    <row r="19">
      <c r="A19" s="169"/>
      <c r="B19" s="169"/>
      <c r="C19" s="161"/>
      <c r="D19" s="229"/>
      <c r="E19" s="161"/>
      <c r="F19" s="161"/>
      <c r="G19" s="161"/>
      <c r="H19" s="171"/>
      <c r="I19" s="171"/>
      <c r="J19" s="171"/>
      <c r="K19" s="171"/>
      <c r="L19" s="171"/>
      <c r="M19" s="171"/>
      <c r="N19" s="171"/>
      <c r="O19" s="171"/>
      <c r="P19" s="171"/>
      <c r="Q19" s="171"/>
      <c r="R19" s="171"/>
      <c r="S19" s="171"/>
      <c r="T19" s="171"/>
      <c r="U19" s="171"/>
      <c r="V19" s="171"/>
      <c r="W19" s="171"/>
      <c r="X19" s="161"/>
      <c r="Y19" s="161"/>
      <c r="Z19" s="161"/>
      <c r="AA19" s="161"/>
      <c r="AB19" s="161"/>
      <c r="AC19" s="171"/>
      <c r="AD19" s="198"/>
    </row>
    <row r="20">
      <c r="A20" s="169"/>
      <c r="B20" s="169"/>
      <c r="C20" s="161"/>
      <c r="D20" s="229"/>
      <c r="E20" s="161"/>
      <c r="F20" s="161"/>
      <c r="G20" s="161"/>
      <c r="H20" s="171"/>
      <c r="I20" s="171"/>
      <c r="J20" s="171"/>
      <c r="K20" s="171"/>
      <c r="L20" s="171"/>
      <c r="M20" s="171"/>
      <c r="N20" s="171"/>
      <c r="O20" s="171"/>
      <c r="P20" s="171"/>
      <c r="Q20" s="171"/>
      <c r="R20" s="171"/>
      <c r="S20" s="171"/>
      <c r="T20" s="171"/>
      <c r="U20" s="171"/>
      <c r="V20" s="171"/>
      <c r="W20" s="171"/>
      <c r="X20" s="161"/>
      <c r="Y20" s="161"/>
      <c r="Z20" s="161"/>
      <c r="AA20" s="161"/>
      <c r="AB20" s="161"/>
      <c r="AC20" s="171"/>
      <c r="AD20" s="198"/>
    </row>
    <row r="21">
      <c r="A21" s="169"/>
      <c r="B21" s="169"/>
      <c r="C21" s="161"/>
      <c r="D21" s="229"/>
      <c r="E21" s="161"/>
      <c r="F21" s="161"/>
      <c r="G21" s="161"/>
      <c r="H21" s="171"/>
      <c r="I21" s="171"/>
      <c r="J21" s="171"/>
      <c r="K21" s="171"/>
      <c r="L21" s="171"/>
      <c r="M21" s="171"/>
      <c r="N21" s="171"/>
      <c r="O21" s="171"/>
      <c r="P21" s="171"/>
      <c r="Q21" s="171"/>
      <c r="R21" s="171"/>
      <c r="S21" s="171"/>
      <c r="T21" s="171"/>
      <c r="U21" s="171"/>
      <c r="V21" s="171"/>
      <c r="W21" s="171"/>
      <c r="X21" s="161"/>
      <c r="Y21" s="161"/>
      <c r="Z21" s="161"/>
      <c r="AA21" s="161"/>
      <c r="AB21" s="161"/>
      <c r="AC21" s="171"/>
      <c r="AD21" s="198"/>
    </row>
    <row r="22">
      <c r="A22" s="169"/>
      <c r="B22" s="169"/>
      <c r="C22" s="161"/>
      <c r="D22" s="229"/>
      <c r="E22" s="161"/>
      <c r="F22" s="161"/>
      <c r="G22" s="161"/>
      <c r="H22" s="171"/>
      <c r="I22" s="171"/>
      <c r="J22" s="171"/>
      <c r="K22" s="171"/>
      <c r="L22" s="171"/>
      <c r="M22" s="171"/>
      <c r="N22" s="171"/>
      <c r="O22" s="171"/>
      <c r="P22" s="171"/>
      <c r="Q22" s="171"/>
      <c r="R22" s="171"/>
      <c r="S22" s="171"/>
      <c r="T22" s="171"/>
      <c r="U22" s="171"/>
      <c r="V22" s="171"/>
      <c r="W22" s="171"/>
      <c r="X22" s="161"/>
      <c r="Y22" s="161"/>
      <c r="Z22" s="161"/>
      <c r="AA22" s="161"/>
      <c r="AB22" s="161"/>
      <c r="AC22" s="171"/>
      <c r="AD22" s="198"/>
    </row>
    <row r="23">
      <c r="A23" s="169"/>
      <c r="B23" s="169"/>
      <c r="C23" s="161"/>
      <c r="D23" s="229"/>
      <c r="E23" s="161"/>
      <c r="F23" s="161"/>
      <c r="G23" s="161"/>
      <c r="H23" s="171"/>
      <c r="I23" s="171"/>
      <c r="J23" s="171"/>
      <c r="K23" s="171"/>
      <c r="L23" s="171"/>
      <c r="M23" s="171"/>
      <c r="N23" s="171"/>
      <c r="O23" s="171"/>
      <c r="P23" s="171"/>
      <c r="Q23" s="171"/>
      <c r="R23" s="171"/>
      <c r="S23" s="171"/>
      <c r="T23" s="171"/>
      <c r="U23" s="171"/>
      <c r="V23" s="171"/>
      <c r="W23" s="171"/>
      <c r="X23" s="161"/>
      <c r="Y23" s="161"/>
      <c r="Z23" s="161"/>
      <c r="AA23" s="161"/>
      <c r="AB23" s="161"/>
      <c r="AC23" s="171"/>
      <c r="AD23" s="198"/>
    </row>
    <row r="24">
      <c r="A24" s="169"/>
      <c r="B24" s="169"/>
      <c r="C24" s="161"/>
      <c r="D24" s="229"/>
      <c r="E24" s="161"/>
      <c r="F24" s="161"/>
      <c r="G24" s="161"/>
      <c r="H24" s="171"/>
      <c r="I24" s="171"/>
      <c r="J24" s="171"/>
      <c r="K24" s="171"/>
      <c r="L24" s="171"/>
      <c r="M24" s="171"/>
      <c r="N24" s="171"/>
      <c r="O24" s="171"/>
      <c r="P24" s="171"/>
      <c r="Q24" s="171"/>
      <c r="R24" s="171"/>
      <c r="S24" s="171"/>
      <c r="T24" s="171"/>
      <c r="U24" s="171"/>
      <c r="V24" s="171"/>
      <c r="W24" s="171"/>
      <c r="X24" s="161"/>
      <c r="Y24" s="161"/>
      <c r="Z24" s="161"/>
      <c r="AA24" s="161"/>
      <c r="AB24" s="161"/>
      <c r="AC24" s="171"/>
      <c r="AD24" s="198"/>
    </row>
    <row r="25">
      <c r="A25" s="169"/>
      <c r="B25" s="169"/>
      <c r="C25" s="161"/>
      <c r="D25" s="229"/>
      <c r="E25" s="161"/>
      <c r="F25" s="161"/>
      <c r="G25" s="161"/>
      <c r="H25" s="171"/>
      <c r="I25" s="171"/>
      <c r="J25" s="171"/>
      <c r="K25" s="171"/>
      <c r="L25" s="171"/>
      <c r="M25" s="171"/>
      <c r="N25" s="171"/>
      <c r="O25" s="171"/>
      <c r="P25" s="171"/>
      <c r="Q25" s="171"/>
      <c r="R25" s="171"/>
      <c r="S25" s="171"/>
      <c r="T25" s="171"/>
      <c r="U25" s="171"/>
      <c r="V25" s="171"/>
      <c r="W25" s="171"/>
      <c r="X25" s="161"/>
      <c r="Y25" s="161"/>
      <c r="Z25" s="161"/>
      <c r="AA25" s="161"/>
      <c r="AB25" s="161"/>
      <c r="AC25" s="171"/>
      <c r="AD25" s="198"/>
    </row>
    <row r="26">
      <c r="A26" s="169"/>
      <c r="B26" s="169"/>
      <c r="C26" s="161"/>
      <c r="D26" s="229"/>
      <c r="E26" s="161"/>
      <c r="F26" s="161"/>
      <c r="G26" s="161"/>
      <c r="H26" s="171"/>
      <c r="I26" s="171"/>
      <c r="J26" s="171"/>
      <c r="K26" s="171"/>
      <c r="L26" s="171"/>
      <c r="M26" s="171"/>
      <c r="N26" s="171"/>
      <c r="O26" s="171"/>
      <c r="P26" s="171"/>
      <c r="Q26" s="171"/>
      <c r="R26" s="171"/>
      <c r="S26" s="171"/>
      <c r="T26" s="171"/>
      <c r="U26" s="171"/>
      <c r="V26" s="171"/>
      <c r="W26" s="171"/>
      <c r="X26" s="161"/>
      <c r="Y26" s="161"/>
      <c r="Z26" s="161"/>
      <c r="AA26" s="161"/>
      <c r="AB26" s="161"/>
      <c r="AC26" s="171"/>
      <c r="AD26" s="198"/>
    </row>
    <row r="27">
      <c r="A27" s="169"/>
      <c r="B27" s="169"/>
      <c r="C27" s="161"/>
      <c r="D27" s="229"/>
      <c r="E27" s="161"/>
      <c r="F27" s="161"/>
      <c r="G27" s="161"/>
      <c r="H27" s="171"/>
      <c r="I27" s="171"/>
      <c r="J27" s="171"/>
      <c r="K27" s="171"/>
      <c r="L27" s="171"/>
      <c r="M27" s="171"/>
      <c r="N27" s="171"/>
      <c r="O27" s="171"/>
      <c r="P27" s="171"/>
      <c r="Q27" s="171"/>
      <c r="R27" s="171"/>
      <c r="S27" s="171"/>
      <c r="T27" s="171"/>
      <c r="U27" s="171"/>
      <c r="V27" s="171"/>
      <c r="W27" s="171"/>
      <c r="X27" s="161"/>
      <c r="Y27" s="161"/>
      <c r="Z27" s="161"/>
      <c r="AA27" s="161"/>
      <c r="AB27" s="161"/>
      <c r="AC27" s="171"/>
      <c r="AD27" s="198"/>
    </row>
    <row r="28">
      <c r="A28" s="169"/>
      <c r="B28" s="169"/>
      <c r="C28" s="161"/>
      <c r="D28" s="229"/>
      <c r="E28" s="161"/>
      <c r="F28" s="161"/>
      <c r="G28" s="161"/>
      <c r="H28" s="171"/>
      <c r="I28" s="171"/>
      <c r="J28" s="171"/>
      <c r="K28" s="171"/>
      <c r="L28" s="171"/>
      <c r="M28" s="171"/>
      <c r="N28" s="171"/>
      <c r="O28" s="171"/>
      <c r="P28" s="171"/>
      <c r="Q28" s="171"/>
      <c r="R28" s="171"/>
      <c r="S28" s="171"/>
      <c r="T28" s="171"/>
      <c r="U28" s="171"/>
      <c r="V28" s="171"/>
      <c r="W28" s="171"/>
      <c r="X28" s="161"/>
      <c r="Y28" s="161"/>
      <c r="Z28" s="161"/>
      <c r="AA28" s="161"/>
      <c r="AB28" s="161"/>
      <c r="AC28" s="171"/>
      <c r="AD28" s="198"/>
    </row>
    <row r="29">
      <c r="A29" s="169"/>
      <c r="B29" s="169"/>
      <c r="C29" s="161"/>
      <c r="D29" s="229"/>
      <c r="E29" s="161"/>
      <c r="F29" s="161"/>
      <c r="G29" s="161"/>
      <c r="H29" s="171"/>
      <c r="I29" s="171"/>
      <c r="J29" s="171"/>
      <c r="K29" s="171"/>
      <c r="L29" s="171"/>
      <c r="M29" s="171"/>
      <c r="N29" s="171"/>
      <c r="O29" s="171"/>
      <c r="P29" s="171"/>
      <c r="Q29" s="171"/>
      <c r="R29" s="171"/>
      <c r="S29" s="171"/>
      <c r="T29" s="171"/>
      <c r="U29" s="171"/>
      <c r="V29" s="171"/>
      <c r="W29" s="171"/>
      <c r="X29" s="161"/>
      <c r="Y29" s="161"/>
      <c r="Z29" s="161"/>
      <c r="AA29" s="161"/>
      <c r="AB29" s="161"/>
      <c r="AC29" s="171"/>
      <c r="AD29" s="198"/>
    </row>
    <row r="30">
      <c r="A30" s="169"/>
      <c r="B30" s="169"/>
      <c r="C30" s="161"/>
      <c r="D30" s="229"/>
      <c r="E30" s="161"/>
      <c r="F30" s="161"/>
      <c r="G30" s="161"/>
      <c r="H30" s="171"/>
      <c r="I30" s="171"/>
      <c r="J30" s="171"/>
      <c r="K30" s="171"/>
      <c r="L30" s="171"/>
      <c r="M30" s="171"/>
      <c r="N30" s="171"/>
      <c r="O30" s="171"/>
      <c r="P30" s="171"/>
      <c r="Q30" s="171"/>
      <c r="R30" s="171"/>
      <c r="S30" s="171"/>
      <c r="T30" s="171"/>
      <c r="U30" s="171"/>
      <c r="V30" s="171"/>
      <c r="W30" s="171"/>
      <c r="X30" s="161"/>
      <c r="Y30" s="161"/>
      <c r="Z30" s="161"/>
      <c r="AA30" s="161"/>
      <c r="AB30" s="161"/>
      <c r="AC30" s="171"/>
      <c r="AD30" s="198"/>
    </row>
    <row r="31">
      <c r="A31" s="169"/>
      <c r="B31" s="169"/>
      <c r="C31" s="161"/>
      <c r="D31" s="229"/>
      <c r="E31" s="161"/>
      <c r="F31" s="161"/>
      <c r="G31" s="161"/>
      <c r="H31" s="171"/>
      <c r="I31" s="171"/>
      <c r="J31" s="171"/>
      <c r="K31" s="171"/>
      <c r="L31" s="171"/>
      <c r="M31" s="171"/>
      <c r="N31" s="171"/>
      <c r="O31" s="171"/>
      <c r="P31" s="171"/>
      <c r="Q31" s="171"/>
      <c r="R31" s="171"/>
      <c r="S31" s="171"/>
      <c r="T31" s="171"/>
      <c r="U31" s="171"/>
      <c r="V31" s="171"/>
      <c r="W31" s="171"/>
      <c r="X31" s="161"/>
      <c r="Y31" s="161"/>
      <c r="Z31" s="161"/>
      <c r="AA31" s="161"/>
      <c r="AB31" s="161"/>
      <c r="AC31" s="171"/>
      <c r="AD31" s="198"/>
    </row>
    <row r="32">
      <c r="A32" s="169"/>
      <c r="B32" s="169"/>
      <c r="C32" s="161"/>
      <c r="D32" s="229"/>
      <c r="E32" s="161"/>
      <c r="F32" s="161"/>
      <c r="G32" s="161"/>
      <c r="H32" s="171"/>
      <c r="I32" s="171"/>
      <c r="J32" s="171"/>
      <c r="K32" s="171"/>
      <c r="L32" s="171"/>
      <c r="M32" s="171"/>
      <c r="N32" s="171"/>
      <c r="O32" s="171"/>
      <c r="P32" s="171"/>
      <c r="Q32" s="171"/>
      <c r="R32" s="171"/>
      <c r="S32" s="171"/>
      <c r="T32" s="171"/>
      <c r="U32" s="171"/>
      <c r="V32" s="171"/>
      <c r="W32" s="171"/>
      <c r="X32" s="161"/>
      <c r="Y32" s="161"/>
      <c r="Z32" s="161"/>
      <c r="AA32" s="161"/>
      <c r="AB32" s="161"/>
      <c r="AC32" s="171"/>
      <c r="AD32" s="198"/>
    </row>
    <row r="33">
      <c r="A33" s="169"/>
      <c r="B33" s="169"/>
      <c r="C33" s="161"/>
      <c r="D33" s="229"/>
      <c r="E33" s="161"/>
      <c r="F33" s="161"/>
      <c r="G33" s="161"/>
      <c r="H33" s="171"/>
      <c r="I33" s="171"/>
      <c r="J33" s="171"/>
      <c r="K33" s="171"/>
      <c r="L33" s="171"/>
      <c r="M33" s="171"/>
      <c r="N33" s="171"/>
      <c r="O33" s="171"/>
      <c r="P33" s="171"/>
      <c r="Q33" s="171"/>
      <c r="R33" s="171"/>
      <c r="S33" s="171"/>
      <c r="T33" s="171"/>
      <c r="U33" s="171"/>
      <c r="V33" s="171"/>
      <c r="W33" s="171"/>
      <c r="X33" s="161"/>
      <c r="Y33" s="161"/>
      <c r="Z33" s="161"/>
      <c r="AA33" s="161"/>
      <c r="AB33" s="161"/>
      <c r="AC33" s="171"/>
      <c r="AD33" s="198"/>
    </row>
    <row r="34">
      <c r="A34" s="169"/>
      <c r="B34" s="169"/>
      <c r="C34" s="161"/>
      <c r="D34" s="229"/>
      <c r="E34" s="161"/>
      <c r="F34" s="161"/>
      <c r="G34" s="161"/>
      <c r="H34" s="171"/>
      <c r="I34" s="171"/>
      <c r="J34" s="171"/>
      <c r="K34" s="171"/>
      <c r="L34" s="171"/>
      <c r="M34" s="171"/>
      <c r="N34" s="171"/>
      <c r="O34" s="171"/>
      <c r="P34" s="171"/>
      <c r="Q34" s="171"/>
      <c r="R34" s="171"/>
      <c r="S34" s="171"/>
      <c r="T34" s="171"/>
      <c r="U34" s="171"/>
      <c r="V34" s="171"/>
      <c r="W34" s="171"/>
      <c r="X34" s="161"/>
      <c r="Y34" s="161"/>
      <c r="Z34" s="161"/>
      <c r="AA34" s="161"/>
      <c r="AB34" s="161"/>
      <c r="AC34" s="171"/>
      <c r="AD34" s="198"/>
    </row>
    <row r="35">
      <c r="A35" s="169"/>
      <c r="B35" s="169"/>
      <c r="C35" s="161"/>
      <c r="D35" s="229"/>
      <c r="E35" s="161"/>
      <c r="F35" s="161"/>
      <c r="G35" s="161"/>
      <c r="H35" s="171"/>
      <c r="I35" s="171"/>
      <c r="J35" s="171"/>
      <c r="K35" s="171"/>
      <c r="L35" s="171"/>
      <c r="M35" s="171"/>
      <c r="N35" s="171"/>
      <c r="O35" s="171"/>
      <c r="P35" s="171"/>
      <c r="Q35" s="171"/>
      <c r="R35" s="171"/>
      <c r="S35" s="171"/>
      <c r="T35" s="171"/>
      <c r="U35" s="171"/>
      <c r="V35" s="171"/>
      <c r="W35" s="171"/>
      <c r="X35" s="161"/>
      <c r="Y35" s="161"/>
      <c r="Z35" s="161"/>
      <c r="AA35" s="161"/>
      <c r="AB35" s="161"/>
      <c r="AC35" s="171"/>
      <c r="AD35" s="198"/>
    </row>
    <row r="36">
      <c r="A36" s="169"/>
      <c r="B36" s="169"/>
      <c r="C36" s="161"/>
      <c r="D36" s="229"/>
      <c r="E36" s="161"/>
      <c r="F36" s="161"/>
      <c r="G36" s="161"/>
      <c r="H36" s="171"/>
      <c r="I36" s="171"/>
      <c r="J36" s="171"/>
      <c r="K36" s="171"/>
      <c r="L36" s="171"/>
      <c r="M36" s="171"/>
      <c r="N36" s="171"/>
      <c r="O36" s="171"/>
      <c r="P36" s="171"/>
      <c r="Q36" s="171"/>
      <c r="R36" s="171"/>
      <c r="S36" s="171"/>
      <c r="T36" s="171"/>
      <c r="U36" s="171"/>
      <c r="V36" s="171"/>
      <c r="W36" s="171"/>
      <c r="X36" s="161"/>
      <c r="Y36" s="161"/>
      <c r="Z36" s="161"/>
      <c r="AA36" s="161"/>
      <c r="AB36" s="161"/>
      <c r="AC36" s="171"/>
      <c r="AD36" s="198"/>
    </row>
    <row r="37">
      <c r="A37" s="169"/>
      <c r="B37" s="169"/>
      <c r="C37" s="161"/>
      <c r="D37" s="229"/>
      <c r="E37" s="161"/>
      <c r="F37" s="161"/>
      <c r="G37" s="161"/>
      <c r="H37" s="171"/>
      <c r="I37" s="171"/>
      <c r="J37" s="171"/>
      <c r="K37" s="171"/>
      <c r="L37" s="171"/>
      <c r="M37" s="171"/>
      <c r="N37" s="171"/>
      <c r="O37" s="171"/>
      <c r="P37" s="171"/>
      <c r="Q37" s="171"/>
      <c r="R37" s="171"/>
      <c r="S37" s="171"/>
      <c r="T37" s="171"/>
      <c r="U37" s="171"/>
      <c r="V37" s="171"/>
      <c r="W37" s="171"/>
      <c r="X37" s="161"/>
      <c r="Y37" s="161"/>
      <c r="Z37" s="161"/>
      <c r="AA37" s="161"/>
      <c r="AB37" s="161"/>
      <c r="AC37" s="171"/>
      <c r="AD37" s="198"/>
    </row>
    <row r="38">
      <c r="A38" s="169"/>
      <c r="B38" s="169"/>
      <c r="C38" s="161"/>
      <c r="D38" s="229"/>
      <c r="E38" s="161"/>
      <c r="F38" s="161"/>
      <c r="G38" s="161"/>
      <c r="H38" s="171"/>
      <c r="I38" s="171"/>
      <c r="J38" s="171"/>
      <c r="K38" s="171"/>
      <c r="L38" s="171"/>
      <c r="M38" s="171"/>
      <c r="N38" s="171"/>
      <c r="O38" s="171"/>
      <c r="P38" s="171"/>
      <c r="Q38" s="171"/>
      <c r="R38" s="171"/>
      <c r="S38" s="171"/>
      <c r="T38" s="171"/>
      <c r="U38" s="171"/>
      <c r="V38" s="171"/>
      <c r="W38" s="171"/>
      <c r="X38" s="161"/>
      <c r="Y38" s="161"/>
      <c r="Z38" s="161"/>
      <c r="AA38" s="161"/>
      <c r="AB38" s="161"/>
      <c r="AC38" s="171"/>
      <c r="AD38" s="198"/>
    </row>
    <row r="39">
      <c r="A39" s="169"/>
      <c r="B39" s="169"/>
      <c r="C39" s="161"/>
      <c r="D39" s="229"/>
      <c r="E39" s="161"/>
      <c r="F39" s="161"/>
      <c r="G39" s="161"/>
      <c r="H39" s="171"/>
      <c r="I39" s="171"/>
      <c r="J39" s="171"/>
      <c r="K39" s="171"/>
      <c r="L39" s="171"/>
      <c r="M39" s="171"/>
      <c r="N39" s="171"/>
      <c r="O39" s="171"/>
      <c r="P39" s="171"/>
      <c r="Q39" s="171"/>
      <c r="R39" s="171"/>
      <c r="S39" s="171"/>
      <c r="T39" s="171"/>
      <c r="U39" s="171"/>
      <c r="V39" s="171"/>
      <c r="W39" s="171"/>
      <c r="X39" s="161"/>
      <c r="Y39" s="161"/>
      <c r="Z39" s="161"/>
      <c r="AA39" s="161"/>
      <c r="AB39" s="161"/>
      <c r="AC39" s="171"/>
      <c r="AD39" s="198"/>
    </row>
    <row r="40">
      <c r="A40" s="169"/>
      <c r="B40" s="169"/>
      <c r="C40" s="161"/>
      <c r="D40" s="229"/>
      <c r="E40" s="161"/>
      <c r="F40" s="161"/>
      <c r="G40" s="161"/>
      <c r="H40" s="171"/>
      <c r="I40" s="171"/>
      <c r="J40" s="171"/>
      <c r="K40" s="171"/>
      <c r="L40" s="171"/>
      <c r="M40" s="171"/>
      <c r="N40" s="171"/>
      <c r="O40" s="171"/>
      <c r="P40" s="171"/>
      <c r="Q40" s="171"/>
      <c r="R40" s="171"/>
      <c r="S40" s="171"/>
      <c r="T40" s="171"/>
      <c r="U40" s="171"/>
      <c r="V40" s="171"/>
      <c r="W40" s="171"/>
      <c r="X40" s="161"/>
      <c r="Y40" s="161"/>
      <c r="Z40" s="161"/>
      <c r="AA40" s="161"/>
      <c r="AB40" s="161"/>
      <c r="AC40" s="171"/>
      <c r="AD40" s="198"/>
    </row>
    <row r="41">
      <c r="A41" s="169"/>
      <c r="B41" s="169"/>
      <c r="C41" s="161"/>
      <c r="D41" s="229"/>
      <c r="E41" s="161"/>
      <c r="F41" s="161"/>
      <c r="G41" s="161"/>
      <c r="H41" s="171"/>
      <c r="I41" s="171"/>
      <c r="J41" s="171"/>
      <c r="K41" s="171"/>
      <c r="L41" s="171"/>
      <c r="M41" s="171"/>
      <c r="N41" s="171"/>
      <c r="O41" s="171"/>
      <c r="P41" s="171"/>
      <c r="Q41" s="171"/>
      <c r="R41" s="171"/>
      <c r="S41" s="171"/>
      <c r="T41" s="171"/>
      <c r="U41" s="171"/>
      <c r="V41" s="171"/>
      <c r="W41" s="171"/>
      <c r="X41" s="161"/>
      <c r="Y41" s="161"/>
      <c r="Z41" s="161"/>
      <c r="AA41" s="161"/>
      <c r="AB41" s="161"/>
      <c r="AC41" s="171"/>
      <c r="AD41" s="198"/>
    </row>
    <row r="42">
      <c r="A42" s="169"/>
      <c r="B42" s="169"/>
      <c r="C42" s="161"/>
      <c r="D42" s="229"/>
      <c r="E42" s="161"/>
      <c r="F42" s="161"/>
      <c r="G42" s="161"/>
      <c r="H42" s="171"/>
      <c r="I42" s="171"/>
      <c r="J42" s="171"/>
      <c r="K42" s="171"/>
      <c r="L42" s="171"/>
      <c r="M42" s="171"/>
      <c r="N42" s="171"/>
      <c r="O42" s="171"/>
      <c r="P42" s="171"/>
      <c r="Q42" s="171"/>
      <c r="R42" s="171"/>
      <c r="S42" s="171"/>
      <c r="T42" s="171"/>
      <c r="U42" s="171"/>
      <c r="V42" s="171"/>
      <c r="W42" s="171"/>
      <c r="X42" s="161"/>
      <c r="Y42" s="161"/>
      <c r="Z42" s="161"/>
      <c r="AA42" s="161"/>
      <c r="AB42" s="161"/>
      <c r="AC42" s="171"/>
      <c r="AD42" s="198"/>
    </row>
    <row r="43">
      <c r="A43" s="169"/>
      <c r="B43" s="169"/>
      <c r="C43" s="161"/>
      <c r="D43" s="229"/>
      <c r="E43" s="161"/>
      <c r="F43" s="161"/>
      <c r="G43" s="161"/>
      <c r="H43" s="171"/>
      <c r="I43" s="171"/>
      <c r="J43" s="171"/>
      <c r="K43" s="171"/>
      <c r="L43" s="171"/>
      <c r="M43" s="171"/>
      <c r="N43" s="171"/>
      <c r="O43" s="171"/>
      <c r="P43" s="171"/>
      <c r="Q43" s="171"/>
      <c r="R43" s="171"/>
      <c r="S43" s="171"/>
      <c r="T43" s="171"/>
      <c r="U43" s="171"/>
      <c r="V43" s="171"/>
      <c r="W43" s="171"/>
      <c r="X43" s="161"/>
      <c r="Y43" s="161"/>
      <c r="Z43" s="161"/>
      <c r="AA43" s="161"/>
      <c r="AB43" s="161"/>
      <c r="AC43" s="171"/>
      <c r="AD43" s="198"/>
    </row>
    <row r="44">
      <c r="A44" s="169"/>
      <c r="B44" s="169"/>
      <c r="C44" s="161"/>
      <c r="D44" s="229"/>
      <c r="E44" s="161"/>
      <c r="F44" s="161"/>
      <c r="G44" s="161"/>
      <c r="H44" s="171"/>
      <c r="I44" s="171"/>
      <c r="J44" s="171"/>
      <c r="K44" s="171"/>
      <c r="L44" s="171"/>
      <c r="M44" s="171"/>
      <c r="N44" s="171"/>
      <c r="O44" s="171"/>
      <c r="P44" s="171"/>
      <c r="Q44" s="171"/>
      <c r="R44" s="171"/>
      <c r="S44" s="171"/>
      <c r="T44" s="171"/>
      <c r="U44" s="171"/>
      <c r="V44" s="171"/>
      <c r="W44" s="171"/>
      <c r="X44" s="161"/>
      <c r="Y44" s="161"/>
      <c r="Z44" s="161"/>
      <c r="AA44" s="161"/>
      <c r="AB44" s="161"/>
      <c r="AC44" s="171"/>
      <c r="AD44" s="198"/>
    </row>
    <row r="45">
      <c r="A45" s="169"/>
      <c r="B45" s="169"/>
      <c r="C45" s="161"/>
      <c r="D45" s="229"/>
      <c r="E45" s="161"/>
      <c r="F45" s="161"/>
      <c r="G45" s="161"/>
      <c r="H45" s="171"/>
      <c r="I45" s="171"/>
      <c r="J45" s="171"/>
      <c r="K45" s="171"/>
      <c r="L45" s="171"/>
      <c r="M45" s="171"/>
      <c r="N45" s="171"/>
      <c r="O45" s="171"/>
      <c r="P45" s="171"/>
      <c r="Q45" s="171"/>
      <c r="R45" s="171"/>
      <c r="S45" s="171"/>
      <c r="T45" s="171"/>
      <c r="U45" s="171"/>
      <c r="V45" s="171"/>
      <c r="W45" s="171"/>
      <c r="X45" s="161"/>
      <c r="Y45" s="161"/>
      <c r="Z45" s="161"/>
      <c r="AA45" s="161"/>
      <c r="AB45" s="161"/>
      <c r="AC45" s="171"/>
      <c r="AD45" s="198"/>
    </row>
    <row r="46">
      <c r="A46" s="169"/>
      <c r="B46" s="169"/>
      <c r="C46" s="161"/>
      <c r="D46" s="229"/>
      <c r="E46" s="161"/>
      <c r="F46" s="161"/>
      <c r="G46" s="161"/>
      <c r="H46" s="171"/>
      <c r="I46" s="171"/>
      <c r="J46" s="171"/>
      <c r="K46" s="171"/>
      <c r="L46" s="171"/>
      <c r="M46" s="171"/>
      <c r="N46" s="171"/>
      <c r="O46" s="171"/>
      <c r="P46" s="171"/>
      <c r="Q46" s="171"/>
      <c r="R46" s="171"/>
      <c r="S46" s="171"/>
      <c r="T46" s="171"/>
      <c r="U46" s="171"/>
      <c r="V46" s="171"/>
      <c r="W46" s="171"/>
      <c r="X46" s="161"/>
      <c r="Y46" s="161"/>
      <c r="Z46" s="161"/>
      <c r="AA46" s="161"/>
      <c r="AB46" s="161"/>
      <c r="AC46" s="171"/>
      <c r="AD46" s="198"/>
    </row>
    <row r="47">
      <c r="A47" s="169"/>
      <c r="B47" s="169"/>
      <c r="C47" s="161"/>
      <c r="D47" s="229"/>
      <c r="E47" s="161"/>
      <c r="F47" s="161"/>
      <c r="G47" s="161"/>
      <c r="H47" s="171"/>
      <c r="I47" s="171"/>
      <c r="J47" s="171"/>
      <c r="K47" s="171"/>
      <c r="L47" s="171"/>
      <c r="M47" s="171"/>
      <c r="N47" s="171"/>
      <c r="O47" s="171"/>
      <c r="P47" s="171"/>
      <c r="Q47" s="171"/>
      <c r="R47" s="171"/>
      <c r="S47" s="171"/>
      <c r="T47" s="171"/>
      <c r="U47" s="171"/>
      <c r="V47" s="171"/>
      <c r="W47" s="171"/>
      <c r="X47" s="161"/>
      <c r="Y47" s="161"/>
      <c r="Z47" s="161"/>
      <c r="AA47" s="161"/>
      <c r="AB47" s="161"/>
      <c r="AC47" s="171"/>
      <c r="AD47" s="198"/>
    </row>
    <row r="48">
      <c r="A48" s="169"/>
      <c r="B48" s="169"/>
      <c r="C48" s="161"/>
      <c r="D48" s="229"/>
      <c r="E48" s="161"/>
      <c r="F48" s="161"/>
      <c r="G48" s="161"/>
      <c r="H48" s="171"/>
      <c r="I48" s="171"/>
      <c r="J48" s="171"/>
      <c r="K48" s="171"/>
      <c r="L48" s="171"/>
      <c r="M48" s="171"/>
      <c r="N48" s="171"/>
      <c r="O48" s="171"/>
      <c r="P48" s="171"/>
      <c r="Q48" s="171"/>
      <c r="R48" s="171"/>
      <c r="S48" s="171"/>
      <c r="T48" s="171"/>
      <c r="U48" s="171"/>
      <c r="V48" s="171"/>
      <c r="W48" s="171"/>
      <c r="X48" s="161"/>
      <c r="Y48" s="161"/>
      <c r="Z48" s="161"/>
      <c r="AA48" s="161"/>
      <c r="AB48" s="161"/>
      <c r="AC48" s="171"/>
      <c r="AD48" s="198"/>
    </row>
    <row r="49">
      <c r="A49" s="169"/>
      <c r="B49" s="169"/>
      <c r="C49" s="161"/>
      <c r="D49" s="229"/>
      <c r="E49" s="161"/>
      <c r="F49" s="161"/>
      <c r="G49" s="161"/>
      <c r="H49" s="171"/>
      <c r="I49" s="171"/>
      <c r="J49" s="171"/>
      <c r="K49" s="171"/>
      <c r="L49" s="171"/>
      <c r="M49" s="171"/>
      <c r="N49" s="171"/>
      <c r="O49" s="171"/>
      <c r="P49" s="171"/>
      <c r="Q49" s="171"/>
      <c r="R49" s="171"/>
      <c r="S49" s="171"/>
      <c r="T49" s="171"/>
      <c r="U49" s="171"/>
      <c r="V49" s="171"/>
      <c r="W49" s="171"/>
      <c r="X49" s="161"/>
      <c r="Y49" s="161"/>
      <c r="Z49" s="161"/>
      <c r="AA49" s="161"/>
      <c r="AB49" s="161"/>
      <c r="AC49" s="171"/>
      <c r="AD49" s="198"/>
    </row>
    <row r="50">
      <c r="A50" s="169"/>
      <c r="B50" s="169"/>
      <c r="C50" s="161"/>
      <c r="D50" s="229"/>
      <c r="E50" s="161"/>
      <c r="F50" s="161"/>
      <c r="G50" s="161"/>
      <c r="H50" s="171"/>
      <c r="I50" s="171"/>
      <c r="J50" s="171"/>
      <c r="K50" s="171"/>
      <c r="L50" s="171"/>
      <c r="M50" s="171"/>
      <c r="N50" s="171"/>
      <c r="O50" s="171"/>
      <c r="P50" s="171"/>
      <c r="Q50" s="171"/>
      <c r="R50" s="171"/>
      <c r="S50" s="171"/>
      <c r="T50" s="171"/>
      <c r="U50" s="171"/>
      <c r="V50" s="171"/>
      <c r="W50" s="171"/>
      <c r="X50" s="161"/>
      <c r="Y50" s="161"/>
      <c r="Z50" s="161"/>
      <c r="AA50" s="161"/>
      <c r="AB50" s="161"/>
      <c r="AC50" s="171"/>
      <c r="AD50" s="198"/>
    </row>
    <row r="51">
      <c r="A51" s="169"/>
      <c r="B51" s="169"/>
      <c r="C51" s="161"/>
      <c r="D51" s="229"/>
      <c r="E51" s="161"/>
      <c r="F51" s="161"/>
      <c r="G51" s="161"/>
      <c r="H51" s="171"/>
      <c r="I51" s="171"/>
      <c r="J51" s="171"/>
      <c r="K51" s="171"/>
      <c r="L51" s="171"/>
      <c r="M51" s="171"/>
      <c r="N51" s="171"/>
      <c r="O51" s="171"/>
      <c r="P51" s="171"/>
      <c r="Q51" s="171"/>
      <c r="R51" s="171"/>
      <c r="S51" s="171"/>
      <c r="T51" s="171"/>
      <c r="U51" s="171"/>
      <c r="V51" s="171"/>
      <c r="W51" s="171"/>
      <c r="X51" s="161"/>
      <c r="Y51" s="161"/>
      <c r="Z51" s="161"/>
      <c r="AA51" s="161"/>
      <c r="AB51" s="161"/>
      <c r="AC51" s="171"/>
      <c r="AD51" s="198"/>
    </row>
    <row r="52">
      <c r="A52" s="169"/>
      <c r="B52" s="169"/>
      <c r="C52" s="161"/>
      <c r="D52" s="229"/>
      <c r="E52" s="161"/>
      <c r="F52" s="161"/>
      <c r="G52" s="161"/>
      <c r="H52" s="171"/>
      <c r="I52" s="171"/>
      <c r="J52" s="171"/>
      <c r="K52" s="171"/>
      <c r="L52" s="171"/>
      <c r="M52" s="171"/>
      <c r="N52" s="171"/>
      <c r="O52" s="171"/>
      <c r="P52" s="171"/>
      <c r="Q52" s="171"/>
      <c r="R52" s="171"/>
      <c r="S52" s="171"/>
      <c r="T52" s="171"/>
      <c r="U52" s="171"/>
      <c r="V52" s="171"/>
      <c r="W52" s="171"/>
      <c r="X52" s="161"/>
      <c r="Y52" s="161"/>
      <c r="Z52" s="161"/>
      <c r="AA52" s="161"/>
      <c r="AB52" s="161"/>
      <c r="AC52" s="171"/>
      <c r="AD52" s="198"/>
    </row>
    <row r="53">
      <c r="A53" s="169"/>
      <c r="B53" s="169"/>
      <c r="C53" s="161"/>
      <c r="D53" s="229"/>
      <c r="E53" s="161"/>
      <c r="F53" s="161"/>
      <c r="G53" s="161"/>
      <c r="H53" s="171"/>
      <c r="I53" s="171"/>
      <c r="J53" s="171"/>
      <c r="K53" s="171"/>
      <c r="L53" s="171"/>
      <c r="M53" s="171"/>
      <c r="N53" s="171"/>
      <c r="O53" s="171"/>
      <c r="P53" s="171"/>
      <c r="Q53" s="171"/>
      <c r="R53" s="171"/>
      <c r="S53" s="171"/>
      <c r="T53" s="171"/>
      <c r="U53" s="171"/>
      <c r="V53" s="171"/>
      <c r="W53" s="171"/>
      <c r="X53" s="161"/>
      <c r="Y53" s="161"/>
      <c r="Z53" s="161"/>
      <c r="AA53" s="161"/>
      <c r="AB53" s="161"/>
      <c r="AC53" s="171"/>
      <c r="AD53" s="198"/>
    </row>
    <row r="54">
      <c r="A54" s="169"/>
      <c r="B54" s="169"/>
      <c r="C54" s="161"/>
      <c r="D54" s="229"/>
      <c r="E54" s="161"/>
      <c r="F54" s="161"/>
      <c r="G54" s="161"/>
      <c r="H54" s="171"/>
      <c r="I54" s="171"/>
      <c r="J54" s="171"/>
      <c r="K54" s="171"/>
      <c r="L54" s="171"/>
      <c r="M54" s="171"/>
      <c r="N54" s="171"/>
      <c r="O54" s="171"/>
      <c r="P54" s="171"/>
      <c r="Q54" s="171"/>
      <c r="R54" s="171"/>
      <c r="S54" s="171"/>
      <c r="T54" s="171"/>
      <c r="U54" s="171"/>
      <c r="V54" s="171"/>
      <c r="W54" s="171"/>
      <c r="X54" s="161"/>
      <c r="Y54" s="161"/>
      <c r="Z54" s="161"/>
      <c r="AA54" s="161"/>
      <c r="AB54" s="161"/>
      <c r="AC54" s="171"/>
      <c r="AD54" s="198"/>
    </row>
    <row r="55">
      <c r="A55" s="169"/>
      <c r="B55" s="169"/>
      <c r="C55" s="161"/>
      <c r="D55" s="229"/>
      <c r="E55" s="161"/>
      <c r="F55" s="161"/>
      <c r="G55" s="161"/>
      <c r="H55" s="171"/>
      <c r="I55" s="171"/>
      <c r="J55" s="171"/>
      <c r="K55" s="171"/>
      <c r="L55" s="171"/>
      <c r="M55" s="171"/>
      <c r="N55" s="171"/>
      <c r="O55" s="171"/>
      <c r="P55" s="171"/>
      <c r="Q55" s="171"/>
      <c r="R55" s="171"/>
      <c r="S55" s="171"/>
      <c r="T55" s="171"/>
      <c r="U55" s="171"/>
      <c r="V55" s="171"/>
      <c r="W55" s="171"/>
      <c r="X55" s="161"/>
      <c r="Y55" s="161"/>
      <c r="Z55" s="161"/>
      <c r="AA55" s="161"/>
      <c r="AB55" s="161"/>
      <c r="AC55" s="171"/>
      <c r="AD55" s="198"/>
    </row>
    <row r="56">
      <c r="A56" s="169"/>
      <c r="B56" s="169"/>
      <c r="C56" s="161"/>
      <c r="D56" s="229"/>
      <c r="E56" s="161"/>
      <c r="F56" s="161"/>
      <c r="G56" s="161"/>
      <c r="H56" s="171"/>
      <c r="I56" s="171"/>
      <c r="J56" s="171"/>
      <c r="K56" s="171"/>
      <c r="L56" s="171"/>
      <c r="M56" s="171"/>
      <c r="N56" s="171"/>
      <c r="O56" s="171"/>
      <c r="P56" s="171"/>
      <c r="Q56" s="171"/>
      <c r="R56" s="171"/>
      <c r="S56" s="171"/>
      <c r="T56" s="171"/>
      <c r="U56" s="171"/>
      <c r="V56" s="171"/>
      <c r="W56" s="171"/>
      <c r="X56" s="161"/>
      <c r="Y56" s="161"/>
      <c r="Z56" s="161"/>
      <c r="AA56" s="161"/>
      <c r="AB56" s="161"/>
      <c r="AC56" s="171"/>
      <c r="AD56" s="198"/>
    </row>
    <row r="57">
      <c r="A57" s="169"/>
      <c r="B57" s="169"/>
      <c r="C57" s="161"/>
      <c r="D57" s="229"/>
      <c r="E57" s="161"/>
      <c r="F57" s="161"/>
      <c r="G57" s="161"/>
      <c r="H57" s="171"/>
      <c r="I57" s="171"/>
      <c r="J57" s="171"/>
      <c r="K57" s="171"/>
      <c r="L57" s="171"/>
      <c r="M57" s="171"/>
      <c r="N57" s="171"/>
      <c r="O57" s="171"/>
      <c r="P57" s="171"/>
      <c r="Q57" s="171"/>
      <c r="R57" s="171"/>
      <c r="S57" s="171"/>
      <c r="T57" s="171"/>
      <c r="U57" s="171"/>
      <c r="V57" s="171"/>
      <c r="W57" s="171"/>
      <c r="X57" s="161"/>
      <c r="Y57" s="161"/>
      <c r="Z57" s="161"/>
      <c r="AA57" s="161"/>
      <c r="AB57" s="161"/>
      <c r="AC57" s="171"/>
      <c r="AD57" s="198"/>
    </row>
    <row r="58">
      <c r="A58" s="169"/>
      <c r="B58" s="169"/>
      <c r="C58" s="161"/>
      <c r="D58" s="229"/>
      <c r="E58" s="161"/>
      <c r="F58" s="161"/>
      <c r="G58" s="161"/>
      <c r="H58" s="171"/>
      <c r="I58" s="171"/>
      <c r="J58" s="171"/>
      <c r="K58" s="171"/>
      <c r="L58" s="171"/>
      <c r="M58" s="171"/>
      <c r="N58" s="171"/>
      <c r="O58" s="171"/>
      <c r="P58" s="171"/>
      <c r="Q58" s="171"/>
      <c r="R58" s="171"/>
      <c r="S58" s="171"/>
      <c r="T58" s="171"/>
      <c r="U58" s="171"/>
      <c r="V58" s="171"/>
      <c r="W58" s="171"/>
      <c r="X58" s="161"/>
      <c r="Y58" s="161"/>
      <c r="Z58" s="161"/>
      <c r="AA58" s="161"/>
      <c r="AB58" s="161"/>
      <c r="AC58" s="171"/>
      <c r="AD58" s="198"/>
    </row>
    <row r="59">
      <c r="A59" s="169"/>
      <c r="B59" s="169"/>
      <c r="C59" s="161"/>
      <c r="D59" s="229"/>
      <c r="E59" s="161"/>
      <c r="F59" s="161"/>
      <c r="G59" s="161"/>
      <c r="H59" s="171"/>
      <c r="I59" s="171"/>
      <c r="J59" s="171"/>
      <c r="K59" s="171"/>
      <c r="L59" s="171"/>
      <c r="M59" s="171"/>
      <c r="N59" s="171"/>
      <c r="O59" s="171"/>
      <c r="P59" s="171"/>
      <c r="Q59" s="171"/>
      <c r="R59" s="171"/>
      <c r="S59" s="171"/>
      <c r="T59" s="171"/>
      <c r="U59" s="171"/>
      <c r="V59" s="171"/>
      <c r="W59" s="171"/>
      <c r="X59" s="161"/>
      <c r="Y59" s="161"/>
      <c r="Z59" s="161"/>
      <c r="AA59" s="161"/>
      <c r="AB59" s="161"/>
      <c r="AC59" s="171"/>
      <c r="AD59" s="198"/>
    </row>
    <row r="60">
      <c r="A60" s="169"/>
      <c r="B60" s="169"/>
      <c r="C60" s="161"/>
      <c r="D60" s="229"/>
      <c r="E60" s="161"/>
      <c r="F60" s="161"/>
      <c r="G60" s="161"/>
      <c r="H60" s="171"/>
      <c r="I60" s="171"/>
      <c r="J60" s="171"/>
      <c r="K60" s="171"/>
      <c r="L60" s="171"/>
      <c r="M60" s="171"/>
      <c r="N60" s="171"/>
      <c r="O60" s="171"/>
      <c r="P60" s="171"/>
      <c r="Q60" s="171"/>
      <c r="R60" s="171"/>
      <c r="S60" s="171"/>
      <c r="T60" s="171"/>
      <c r="U60" s="171"/>
      <c r="V60" s="171"/>
      <c r="W60" s="171"/>
      <c r="X60" s="161"/>
      <c r="Y60" s="161"/>
      <c r="Z60" s="161"/>
      <c r="AA60" s="161"/>
      <c r="AB60" s="161"/>
      <c r="AC60" s="171"/>
      <c r="AD60" s="198"/>
    </row>
    <row r="61">
      <c r="A61" s="169"/>
      <c r="B61" s="169"/>
      <c r="C61" s="161"/>
      <c r="D61" s="229"/>
      <c r="E61" s="161"/>
      <c r="F61" s="161"/>
      <c r="G61" s="161"/>
      <c r="H61" s="171"/>
      <c r="I61" s="171"/>
      <c r="J61" s="171"/>
      <c r="K61" s="171"/>
      <c r="L61" s="171"/>
      <c r="M61" s="171"/>
      <c r="N61" s="171"/>
      <c r="O61" s="171"/>
      <c r="P61" s="171"/>
      <c r="Q61" s="171"/>
      <c r="R61" s="171"/>
      <c r="S61" s="171"/>
      <c r="T61" s="171"/>
      <c r="U61" s="171"/>
      <c r="V61" s="171"/>
      <c r="W61" s="171"/>
      <c r="X61" s="161"/>
      <c r="Y61" s="161"/>
      <c r="Z61" s="161"/>
      <c r="AA61" s="161"/>
      <c r="AB61" s="161"/>
      <c r="AC61" s="171"/>
      <c r="AD61" s="198"/>
    </row>
    <row r="62">
      <c r="A62" s="169"/>
      <c r="B62" s="169"/>
      <c r="C62" s="161"/>
      <c r="D62" s="229"/>
      <c r="E62" s="161"/>
      <c r="F62" s="161"/>
      <c r="G62" s="161"/>
      <c r="H62" s="171"/>
      <c r="I62" s="171"/>
      <c r="J62" s="171"/>
      <c r="K62" s="171"/>
      <c r="L62" s="171"/>
      <c r="M62" s="171"/>
      <c r="N62" s="171"/>
      <c r="O62" s="171"/>
      <c r="P62" s="171"/>
      <c r="Q62" s="171"/>
      <c r="R62" s="171"/>
      <c r="S62" s="171"/>
      <c r="T62" s="171"/>
      <c r="U62" s="171"/>
      <c r="V62" s="171"/>
      <c r="W62" s="171"/>
      <c r="X62" s="161"/>
      <c r="Y62" s="161"/>
      <c r="Z62" s="161"/>
      <c r="AA62" s="161"/>
      <c r="AB62" s="161"/>
      <c r="AC62" s="171"/>
      <c r="AD62" s="198"/>
    </row>
    <row r="63">
      <c r="A63" s="169"/>
      <c r="B63" s="169"/>
      <c r="C63" s="161"/>
      <c r="D63" s="229"/>
      <c r="E63" s="161"/>
      <c r="F63" s="161"/>
      <c r="G63" s="161"/>
      <c r="H63" s="171"/>
      <c r="I63" s="171"/>
      <c r="J63" s="171"/>
      <c r="K63" s="171"/>
      <c r="L63" s="171"/>
      <c r="M63" s="171"/>
      <c r="N63" s="171"/>
      <c r="O63" s="171"/>
      <c r="P63" s="171"/>
      <c r="Q63" s="171"/>
      <c r="R63" s="171"/>
      <c r="S63" s="171"/>
      <c r="T63" s="171"/>
      <c r="U63" s="171"/>
      <c r="V63" s="171"/>
      <c r="W63" s="171"/>
      <c r="X63" s="161"/>
      <c r="Y63" s="161"/>
      <c r="Z63" s="161"/>
      <c r="AA63" s="161"/>
      <c r="AB63" s="161"/>
      <c r="AC63" s="171"/>
      <c r="AD63" s="198"/>
    </row>
    <row r="64">
      <c r="A64" s="169"/>
      <c r="B64" s="169"/>
      <c r="C64" s="161"/>
      <c r="D64" s="229"/>
      <c r="E64" s="161"/>
      <c r="F64" s="161"/>
      <c r="G64" s="161"/>
      <c r="H64" s="171"/>
      <c r="I64" s="171"/>
      <c r="J64" s="171"/>
      <c r="K64" s="171"/>
      <c r="L64" s="171"/>
      <c r="M64" s="171"/>
      <c r="N64" s="171"/>
      <c r="O64" s="171"/>
      <c r="P64" s="171"/>
      <c r="Q64" s="171"/>
      <c r="R64" s="171"/>
      <c r="S64" s="171"/>
      <c r="T64" s="171"/>
      <c r="U64" s="171"/>
      <c r="V64" s="171"/>
      <c r="W64" s="171"/>
      <c r="X64" s="161"/>
      <c r="Y64" s="161"/>
      <c r="Z64" s="161"/>
      <c r="AA64" s="161"/>
      <c r="AB64" s="161"/>
      <c r="AC64" s="171"/>
      <c r="AD64" s="198"/>
    </row>
    <row r="65">
      <c r="A65" s="169"/>
      <c r="B65" s="169"/>
      <c r="C65" s="161"/>
      <c r="D65" s="229"/>
      <c r="E65" s="161"/>
      <c r="F65" s="161"/>
      <c r="G65" s="161"/>
      <c r="H65" s="171"/>
      <c r="I65" s="171"/>
      <c r="J65" s="171"/>
      <c r="K65" s="171"/>
      <c r="L65" s="171"/>
      <c r="M65" s="171"/>
      <c r="N65" s="171"/>
      <c r="O65" s="171"/>
      <c r="P65" s="171"/>
      <c r="Q65" s="171"/>
      <c r="R65" s="171"/>
      <c r="S65" s="171"/>
      <c r="T65" s="171"/>
      <c r="U65" s="171"/>
      <c r="V65" s="171"/>
      <c r="W65" s="171"/>
      <c r="X65" s="161"/>
      <c r="Y65" s="161"/>
      <c r="Z65" s="161"/>
      <c r="AA65" s="161"/>
      <c r="AB65" s="161"/>
      <c r="AC65" s="171"/>
      <c r="AD65" s="198"/>
    </row>
    <row r="66">
      <c r="A66" s="169"/>
      <c r="B66" s="169"/>
      <c r="C66" s="161"/>
      <c r="D66" s="229"/>
      <c r="E66" s="161"/>
      <c r="F66" s="161"/>
      <c r="G66" s="161"/>
      <c r="H66" s="171"/>
      <c r="I66" s="171"/>
      <c r="J66" s="171"/>
      <c r="K66" s="171"/>
      <c r="L66" s="171"/>
      <c r="M66" s="171"/>
      <c r="N66" s="171"/>
      <c r="O66" s="171"/>
      <c r="P66" s="171"/>
      <c r="Q66" s="171"/>
      <c r="R66" s="171"/>
      <c r="S66" s="171"/>
      <c r="T66" s="171"/>
      <c r="U66" s="171"/>
      <c r="V66" s="171"/>
      <c r="W66" s="171"/>
      <c r="X66" s="161"/>
      <c r="Y66" s="161"/>
      <c r="Z66" s="161"/>
      <c r="AA66" s="161"/>
      <c r="AB66" s="161"/>
      <c r="AC66" s="171"/>
      <c r="AD66" s="198"/>
    </row>
    <row r="67">
      <c r="A67" s="169"/>
      <c r="B67" s="169"/>
      <c r="C67" s="161"/>
      <c r="D67" s="229"/>
      <c r="E67" s="161"/>
      <c r="F67" s="161"/>
      <c r="G67" s="161"/>
      <c r="H67" s="171"/>
      <c r="I67" s="171"/>
      <c r="J67" s="171"/>
      <c r="K67" s="171"/>
      <c r="L67" s="171"/>
      <c r="M67" s="171"/>
      <c r="N67" s="171"/>
      <c r="O67" s="171"/>
      <c r="P67" s="171"/>
      <c r="Q67" s="171"/>
      <c r="R67" s="171"/>
      <c r="S67" s="171"/>
      <c r="T67" s="171"/>
      <c r="U67" s="171"/>
      <c r="V67" s="171"/>
      <c r="W67" s="171"/>
      <c r="X67" s="161"/>
      <c r="Y67" s="161"/>
      <c r="Z67" s="161"/>
      <c r="AA67" s="161"/>
      <c r="AB67" s="161"/>
      <c r="AC67" s="171"/>
      <c r="AD67" s="198"/>
    </row>
    <row r="68">
      <c r="A68" s="169"/>
      <c r="B68" s="169"/>
      <c r="C68" s="161"/>
      <c r="D68" s="229"/>
      <c r="E68" s="161"/>
      <c r="F68" s="161"/>
      <c r="G68" s="161"/>
      <c r="H68" s="171"/>
      <c r="I68" s="171"/>
      <c r="J68" s="171"/>
      <c r="K68" s="171"/>
      <c r="L68" s="171"/>
      <c r="M68" s="171"/>
      <c r="N68" s="171"/>
      <c r="O68" s="171"/>
      <c r="P68" s="171"/>
      <c r="Q68" s="171"/>
      <c r="R68" s="171"/>
      <c r="S68" s="171"/>
      <c r="T68" s="171"/>
      <c r="U68" s="171"/>
      <c r="V68" s="171"/>
      <c r="W68" s="171"/>
      <c r="X68" s="161"/>
      <c r="Y68" s="161"/>
      <c r="Z68" s="161"/>
      <c r="AA68" s="161"/>
      <c r="AB68" s="161"/>
      <c r="AC68" s="171"/>
      <c r="AD68" s="198"/>
    </row>
    <row r="69">
      <c r="A69" s="169"/>
      <c r="B69" s="169"/>
      <c r="C69" s="161"/>
      <c r="D69" s="229"/>
      <c r="E69" s="161"/>
      <c r="F69" s="161"/>
      <c r="G69" s="161"/>
      <c r="H69" s="171"/>
      <c r="I69" s="171"/>
      <c r="J69" s="171"/>
      <c r="K69" s="171"/>
      <c r="L69" s="171"/>
      <c r="M69" s="171"/>
      <c r="N69" s="171"/>
      <c r="O69" s="171"/>
      <c r="P69" s="171"/>
      <c r="Q69" s="171"/>
      <c r="R69" s="171"/>
      <c r="S69" s="171"/>
      <c r="T69" s="171"/>
      <c r="U69" s="171"/>
      <c r="V69" s="171"/>
      <c r="W69" s="171"/>
      <c r="X69" s="161"/>
      <c r="Y69" s="161"/>
      <c r="Z69" s="161"/>
      <c r="AA69" s="161"/>
      <c r="AB69" s="161"/>
      <c r="AC69" s="171"/>
      <c r="AD69" s="198"/>
    </row>
    <row r="70">
      <c r="A70" s="169"/>
      <c r="B70" s="169"/>
      <c r="C70" s="161"/>
      <c r="D70" s="229"/>
      <c r="E70" s="161"/>
      <c r="F70" s="161"/>
      <c r="G70" s="161"/>
      <c r="H70" s="171"/>
      <c r="I70" s="171"/>
      <c r="J70" s="171"/>
      <c r="K70" s="171"/>
      <c r="L70" s="171"/>
      <c r="M70" s="171"/>
      <c r="N70" s="171"/>
      <c r="O70" s="171"/>
      <c r="P70" s="171"/>
      <c r="Q70" s="171"/>
      <c r="R70" s="171"/>
      <c r="S70" s="171"/>
      <c r="T70" s="171"/>
      <c r="U70" s="171"/>
      <c r="V70" s="171"/>
      <c r="W70" s="171"/>
      <c r="X70" s="161"/>
      <c r="Y70" s="161"/>
      <c r="Z70" s="161"/>
      <c r="AA70" s="161"/>
      <c r="AB70" s="161"/>
      <c r="AC70" s="171"/>
      <c r="AD70" s="198"/>
    </row>
    <row r="71">
      <c r="A71" s="169"/>
      <c r="B71" s="169"/>
      <c r="C71" s="161"/>
      <c r="D71" s="229"/>
      <c r="E71" s="161"/>
      <c r="F71" s="161"/>
      <c r="G71" s="161"/>
      <c r="H71" s="171"/>
      <c r="I71" s="171"/>
      <c r="J71" s="171"/>
      <c r="K71" s="171"/>
      <c r="L71" s="171"/>
      <c r="M71" s="171"/>
      <c r="N71" s="171"/>
      <c r="O71" s="171"/>
      <c r="P71" s="171"/>
      <c r="Q71" s="171"/>
      <c r="R71" s="171"/>
      <c r="S71" s="171"/>
      <c r="T71" s="171"/>
      <c r="U71" s="171"/>
      <c r="V71" s="171"/>
      <c r="W71" s="171"/>
      <c r="X71" s="161"/>
      <c r="Y71" s="161"/>
      <c r="Z71" s="161"/>
      <c r="AA71" s="161"/>
      <c r="AB71" s="161"/>
      <c r="AC71" s="171"/>
      <c r="AD71" s="198"/>
    </row>
    <row r="72">
      <c r="A72" s="169"/>
      <c r="B72" s="169"/>
      <c r="C72" s="161"/>
      <c r="D72" s="229"/>
      <c r="E72" s="161"/>
      <c r="F72" s="161"/>
      <c r="G72" s="161"/>
      <c r="H72" s="171"/>
      <c r="I72" s="171"/>
      <c r="J72" s="171"/>
      <c r="K72" s="171"/>
      <c r="L72" s="171"/>
      <c r="M72" s="171"/>
      <c r="N72" s="171"/>
      <c r="O72" s="171"/>
      <c r="P72" s="171"/>
      <c r="Q72" s="171"/>
      <c r="R72" s="171"/>
      <c r="S72" s="171"/>
      <c r="T72" s="171"/>
      <c r="U72" s="171"/>
      <c r="V72" s="171"/>
      <c r="W72" s="171"/>
      <c r="X72" s="161"/>
      <c r="Y72" s="161"/>
      <c r="Z72" s="161"/>
      <c r="AA72" s="161"/>
      <c r="AB72" s="161"/>
      <c r="AC72" s="171"/>
      <c r="AD72" s="198"/>
    </row>
    <row r="73">
      <c r="A73" s="169"/>
      <c r="B73" s="169"/>
      <c r="C73" s="161"/>
      <c r="D73" s="229"/>
      <c r="E73" s="161"/>
      <c r="F73" s="161"/>
      <c r="G73" s="161"/>
      <c r="H73" s="171"/>
      <c r="I73" s="171"/>
      <c r="J73" s="171"/>
      <c r="K73" s="171"/>
      <c r="L73" s="171"/>
      <c r="M73" s="171"/>
      <c r="N73" s="171"/>
      <c r="O73" s="171"/>
      <c r="P73" s="171"/>
      <c r="Q73" s="171"/>
      <c r="R73" s="171"/>
      <c r="S73" s="171"/>
      <c r="T73" s="171"/>
      <c r="U73" s="171"/>
      <c r="V73" s="171"/>
      <c r="W73" s="171"/>
      <c r="X73" s="161"/>
      <c r="Y73" s="161"/>
      <c r="Z73" s="161"/>
      <c r="AA73" s="161"/>
      <c r="AB73" s="161"/>
      <c r="AC73" s="171"/>
      <c r="AD73" s="198"/>
    </row>
    <row r="74">
      <c r="A74" s="169"/>
      <c r="B74" s="169"/>
      <c r="C74" s="161"/>
      <c r="D74" s="229"/>
      <c r="E74" s="161"/>
      <c r="F74" s="161"/>
      <c r="G74" s="161"/>
      <c r="H74" s="171"/>
      <c r="I74" s="171"/>
      <c r="J74" s="171"/>
      <c r="K74" s="171"/>
      <c r="L74" s="171"/>
      <c r="M74" s="171"/>
      <c r="N74" s="171"/>
      <c r="O74" s="171"/>
      <c r="P74" s="171"/>
      <c r="Q74" s="171"/>
      <c r="R74" s="171"/>
      <c r="S74" s="171"/>
      <c r="T74" s="171"/>
      <c r="U74" s="171"/>
      <c r="V74" s="171"/>
      <c r="W74" s="171"/>
      <c r="X74" s="161"/>
      <c r="Y74" s="161"/>
      <c r="Z74" s="161"/>
      <c r="AA74" s="161"/>
      <c r="AB74" s="161"/>
      <c r="AC74" s="171"/>
      <c r="AD74" s="198"/>
    </row>
    <row r="75">
      <c r="A75" s="169"/>
      <c r="B75" s="169"/>
      <c r="C75" s="161"/>
      <c r="D75" s="229"/>
      <c r="E75" s="161"/>
      <c r="F75" s="161"/>
      <c r="G75" s="161"/>
      <c r="H75" s="171"/>
      <c r="I75" s="171"/>
      <c r="J75" s="171"/>
      <c r="K75" s="171"/>
      <c r="L75" s="171"/>
      <c r="M75" s="171"/>
      <c r="N75" s="171"/>
      <c r="O75" s="171"/>
      <c r="P75" s="171"/>
      <c r="Q75" s="171"/>
      <c r="R75" s="171"/>
      <c r="S75" s="171"/>
      <c r="T75" s="171"/>
      <c r="U75" s="171"/>
      <c r="V75" s="171"/>
      <c r="W75" s="171"/>
      <c r="X75" s="161"/>
      <c r="Y75" s="161"/>
      <c r="Z75" s="161"/>
      <c r="AA75" s="161"/>
      <c r="AB75" s="161"/>
      <c r="AC75" s="171"/>
      <c r="AD75" s="198"/>
    </row>
    <row r="76">
      <c r="A76" s="169"/>
      <c r="B76" s="169"/>
      <c r="C76" s="161"/>
      <c r="D76" s="229"/>
      <c r="E76" s="161"/>
      <c r="F76" s="161"/>
      <c r="G76" s="161"/>
      <c r="H76" s="171"/>
      <c r="I76" s="171"/>
      <c r="J76" s="171"/>
      <c r="K76" s="171"/>
      <c r="L76" s="171"/>
      <c r="M76" s="171"/>
      <c r="N76" s="171"/>
      <c r="O76" s="171"/>
      <c r="P76" s="171"/>
      <c r="Q76" s="171"/>
      <c r="R76" s="171"/>
      <c r="S76" s="171"/>
      <c r="T76" s="171"/>
      <c r="U76" s="171"/>
      <c r="V76" s="171"/>
      <c r="W76" s="171"/>
      <c r="X76" s="161"/>
      <c r="Y76" s="161"/>
      <c r="Z76" s="161"/>
      <c r="AA76" s="161"/>
      <c r="AB76" s="161"/>
      <c r="AC76" s="171"/>
      <c r="AD76" s="198"/>
    </row>
    <row r="77">
      <c r="A77" s="169"/>
      <c r="B77" s="169"/>
      <c r="C77" s="161"/>
      <c r="D77" s="229"/>
      <c r="E77" s="161"/>
      <c r="F77" s="161"/>
      <c r="G77" s="161"/>
      <c r="H77" s="171"/>
      <c r="I77" s="171"/>
      <c r="J77" s="171"/>
      <c r="K77" s="171"/>
      <c r="L77" s="171"/>
      <c r="M77" s="171"/>
      <c r="N77" s="171"/>
      <c r="O77" s="171"/>
      <c r="P77" s="171"/>
      <c r="Q77" s="171"/>
      <c r="R77" s="171"/>
      <c r="S77" s="171"/>
      <c r="T77" s="171"/>
      <c r="U77" s="171"/>
      <c r="V77" s="171"/>
      <c r="W77" s="171"/>
      <c r="X77" s="161"/>
      <c r="Y77" s="161"/>
      <c r="Z77" s="161"/>
      <c r="AA77" s="161"/>
      <c r="AB77" s="161"/>
      <c r="AC77" s="171"/>
      <c r="AD77" s="198"/>
    </row>
    <row r="78">
      <c r="A78" s="169"/>
      <c r="B78" s="169"/>
      <c r="C78" s="161"/>
      <c r="D78" s="229"/>
      <c r="E78" s="161"/>
      <c r="F78" s="161"/>
      <c r="G78" s="161"/>
      <c r="H78" s="171"/>
      <c r="I78" s="171"/>
      <c r="J78" s="171"/>
      <c r="K78" s="171"/>
      <c r="L78" s="171"/>
      <c r="M78" s="171"/>
      <c r="N78" s="171"/>
      <c r="O78" s="171"/>
      <c r="P78" s="171"/>
      <c r="Q78" s="171"/>
      <c r="R78" s="171"/>
      <c r="S78" s="171"/>
      <c r="T78" s="171"/>
      <c r="U78" s="171"/>
      <c r="V78" s="171"/>
      <c r="W78" s="171"/>
      <c r="X78" s="161"/>
      <c r="Y78" s="161"/>
      <c r="Z78" s="161"/>
      <c r="AA78" s="161"/>
      <c r="AB78" s="161"/>
      <c r="AC78" s="171"/>
      <c r="AD78" s="198"/>
    </row>
    <row r="79">
      <c r="A79" s="169"/>
      <c r="B79" s="169"/>
      <c r="C79" s="161"/>
      <c r="D79" s="229"/>
      <c r="E79" s="161"/>
      <c r="F79" s="161"/>
      <c r="G79" s="161"/>
      <c r="H79" s="171"/>
      <c r="I79" s="171"/>
      <c r="J79" s="171"/>
      <c r="K79" s="171"/>
      <c r="L79" s="171"/>
      <c r="M79" s="171"/>
      <c r="N79" s="171"/>
      <c r="O79" s="171"/>
      <c r="P79" s="171"/>
      <c r="Q79" s="171"/>
      <c r="R79" s="171"/>
      <c r="S79" s="171"/>
      <c r="T79" s="171"/>
      <c r="U79" s="171"/>
      <c r="V79" s="171"/>
      <c r="W79" s="171"/>
      <c r="X79" s="161"/>
      <c r="Y79" s="161"/>
      <c r="Z79" s="161"/>
      <c r="AA79" s="161"/>
      <c r="AB79" s="161"/>
      <c r="AC79" s="171"/>
      <c r="AD79" s="198"/>
    </row>
    <row r="80">
      <c r="A80" s="169"/>
      <c r="B80" s="169"/>
      <c r="C80" s="161"/>
      <c r="D80" s="229"/>
      <c r="E80" s="161"/>
      <c r="F80" s="161"/>
      <c r="G80" s="161"/>
      <c r="H80" s="171"/>
      <c r="I80" s="171"/>
      <c r="J80" s="171"/>
      <c r="K80" s="171"/>
      <c r="L80" s="171"/>
      <c r="M80" s="171"/>
      <c r="N80" s="171"/>
      <c r="O80" s="171"/>
      <c r="P80" s="171"/>
      <c r="Q80" s="171"/>
      <c r="R80" s="171"/>
      <c r="S80" s="171"/>
      <c r="T80" s="171"/>
      <c r="U80" s="171"/>
      <c r="V80" s="171"/>
      <c r="W80" s="171"/>
      <c r="X80" s="161"/>
      <c r="Y80" s="161"/>
      <c r="Z80" s="161"/>
      <c r="AA80" s="161"/>
      <c r="AB80" s="161"/>
      <c r="AC80" s="171"/>
      <c r="AD80" s="198"/>
    </row>
    <row r="81">
      <c r="A81" s="169"/>
      <c r="B81" s="169"/>
      <c r="C81" s="161"/>
      <c r="D81" s="229"/>
      <c r="E81" s="161"/>
      <c r="F81" s="161"/>
      <c r="G81" s="161"/>
      <c r="H81" s="171"/>
      <c r="I81" s="171"/>
      <c r="J81" s="171"/>
      <c r="K81" s="171"/>
      <c r="L81" s="171"/>
      <c r="M81" s="171"/>
      <c r="N81" s="171"/>
      <c r="O81" s="171"/>
      <c r="P81" s="171"/>
      <c r="Q81" s="171"/>
      <c r="R81" s="171"/>
      <c r="S81" s="171"/>
      <c r="T81" s="171"/>
      <c r="U81" s="171"/>
      <c r="V81" s="171"/>
      <c r="W81" s="171"/>
      <c r="X81" s="161"/>
      <c r="Y81" s="161"/>
      <c r="Z81" s="161"/>
      <c r="AA81" s="161"/>
      <c r="AB81" s="161"/>
      <c r="AC81" s="171"/>
      <c r="AD81" s="198"/>
    </row>
    <row r="82">
      <c r="A82" s="169"/>
      <c r="B82" s="169"/>
      <c r="C82" s="161"/>
      <c r="D82" s="229"/>
      <c r="E82" s="161"/>
      <c r="F82" s="161"/>
      <c r="G82" s="161"/>
      <c r="H82" s="171"/>
      <c r="I82" s="171"/>
      <c r="J82" s="171"/>
      <c r="K82" s="171"/>
      <c r="L82" s="171"/>
      <c r="M82" s="171"/>
      <c r="N82" s="171"/>
      <c r="O82" s="171"/>
      <c r="P82" s="171"/>
      <c r="Q82" s="171"/>
      <c r="R82" s="171"/>
      <c r="S82" s="171"/>
      <c r="T82" s="171"/>
      <c r="U82" s="171"/>
      <c r="V82" s="171"/>
      <c r="W82" s="171"/>
      <c r="X82" s="161"/>
      <c r="Y82" s="161"/>
      <c r="Z82" s="161"/>
      <c r="AA82" s="161"/>
      <c r="AB82" s="161"/>
      <c r="AC82" s="171"/>
      <c r="AD82" s="198"/>
    </row>
    <row r="83">
      <c r="A83" s="169"/>
      <c r="B83" s="169"/>
      <c r="C83" s="161"/>
      <c r="D83" s="229"/>
      <c r="E83" s="161"/>
      <c r="F83" s="161"/>
      <c r="G83" s="161"/>
      <c r="H83" s="171"/>
      <c r="I83" s="171"/>
      <c r="J83" s="171"/>
      <c r="K83" s="171"/>
      <c r="L83" s="171"/>
      <c r="M83" s="171"/>
      <c r="N83" s="171"/>
      <c r="O83" s="171"/>
      <c r="P83" s="171"/>
      <c r="Q83" s="171"/>
      <c r="R83" s="171"/>
      <c r="S83" s="171"/>
      <c r="T83" s="171"/>
      <c r="U83" s="171"/>
      <c r="V83" s="171"/>
      <c r="W83" s="171"/>
      <c r="X83" s="161"/>
      <c r="Y83" s="161"/>
      <c r="Z83" s="161"/>
      <c r="AA83" s="161"/>
      <c r="AB83" s="161"/>
      <c r="AC83" s="171"/>
      <c r="AD83" s="198"/>
    </row>
    <row r="84">
      <c r="A84" s="169"/>
      <c r="B84" s="169"/>
      <c r="C84" s="161"/>
      <c r="D84" s="229"/>
      <c r="E84" s="161"/>
      <c r="F84" s="161"/>
      <c r="G84" s="161"/>
      <c r="H84" s="171"/>
      <c r="I84" s="171"/>
      <c r="J84" s="171"/>
      <c r="K84" s="171"/>
      <c r="L84" s="171"/>
      <c r="M84" s="171"/>
      <c r="N84" s="171"/>
      <c r="O84" s="171"/>
      <c r="P84" s="171"/>
      <c r="Q84" s="171"/>
      <c r="R84" s="171"/>
      <c r="S84" s="171"/>
      <c r="T84" s="171"/>
      <c r="U84" s="171"/>
      <c r="V84" s="171"/>
      <c r="W84" s="171"/>
      <c r="X84" s="161"/>
      <c r="Y84" s="161"/>
      <c r="Z84" s="161"/>
      <c r="AA84" s="161"/>
      <c r="AB84" s="161"/>
      <c r="AC84" s="171"/>
      <c r="AD84" s="198"/>
    </row>
    <row r="85">
      <c r="A85" s="169"/>
      <c r="B85" s="169"/>
      <c r="C85" s="161"/>
      <c r="D85" s="229"/>
      <c r="E85" s="161"/>
      <c r="F85" s="161"/>
      <c r="G85" s="161"/>
      <c r="H85" s="171"/>
      <c r="I85" s="171"/>
      <c r="J85" s="171"/>
      <c r="K85" s="171"/>
      <c r="L85" s="171"/>
      <c r="M85" s="171"/>
      <c r="N85" s="171"/>
      <c r="O85" s="171"/>
      <c r="P85" s="171"/>
      <c r="Q85" s="171"/>
      <c r="R85" s="171"/>
      <c r="S85" s="171"/>
      <c r="T85" s="171"/>
      <c r="U85" s="171"/>
      <c r="V85" s="171"/>
      <c r="W85" s="171"/>
      <c r="X85" s="161"/>
      <c r="Y85" s="161"/>
      <c r="Z85" s="161"/>
      <c r="AA85" s="161"/>
      <c r="AB85" s="161"/>
      <c r="AC85" s="171"/>
      <c r="AD85" s="198"/>
    </row>
    <row r="86">
      <c r="A86" s="169"/>
      <c r="B86" s="169"/>
      <c r="C86" s="161"/>
      <c r="D86" s="229"/>
      <c r="E86" s="161"/>
      <c r="F86" s="161"/>
      <c r="G86" s="161"/>
      <c r="H86" s="171"/>
      <c r="I86" s="171"/>
      <c r="J86" s="171"/>
      <c r="K86" s="171"/>
      <c r="L86" s="171"/>
      <c r="M86" s="171"/>
      <c r="N86" s="171"/>
      <c r="O86" s="171"/>
      <c r="P86" s="171"/>
      <c r="Q86" s="171"/>
      <c r="R86" s="171"/>
      <c r="S86" s="171"/>
      <c r="T86" s="171"/>
      <c r="U86" s="171"/>
      <c r="V86" s="171"/>
      <c r="W86" s="171"/>
      <c r="X86" s="161"/>
      <c r="Y86" s="161"/>
      <c r="Z86" s="161"/>
      <c r="AA86" s="161"/>
      <c r="AB86" s="161"/>
      <c r="AC86" s="171"/>
      <c r="AD86" s="198"/>
    </row>
    <row r="87">
      <c r="A87" s="169"/>
      <c r="B87" s="169"/>
      <c r="C87" s="161"/>
      <c r="D87" s="229"/>
      <c r="E87" s="161"/>
      <c r="F87" s="161"/>
      <c r="G87" s="161"/>
      <c r="H87" s="171"/>
      <c r="I87" s="171"/>
      <c r="J87" s="171"/>
      <c r="K87" s="171"/>
      <c r="L87" s="171"/>
      <c r="M87" s="171"/>
      <c r="N87" s="171"/>
      <c r="O87" s="171"/>
      <c r="P87" s="171"/>
      <c r="Q87" s="171"/>
      <c r="R87" s="171"/>
      <c r="S87" s="171"/>
      <c r="T87" s="171"/>
      <c r="U87" s="171"/>
      <c r="V87" s="171"/>
      <c r="W87" s="171"/>
      <c r="X87" s="161"/>
      <c r="Y87" s="161"/>
      <c r="Z87" s="161"/>
      <c r="AA87" s="161"/>
      <c r="AB87" s="161"/>
      <c r="AC87" s="171"/>
      <c r="AD87" s="198"/>
    </row>
    <row r="88">
      <c r="A88" s="169"/>
      <c r="B88" s="169"/>
      <c r="C88" s="161"/>
      <c r="D88" s="229"/>
      <c r="E88" s="161"/>
      <c r="F88" s="161"/>
      <c r="G88" s="161"/>
      <c r="H88" s="171"/>
      <c r="I88" s="171"/>
      <c r="J88" s="171"/>
      <c r="K88" s="171"/>
      <c r="L88" s="171"/>
      <c r="M88" s="171"/>
      <c r="N88" s="171"/>
      <c r="O88" s="171"/>
      <c r="P88" s="171"/>
      <c r="Q88" s="171"/>
      <c r="R88" s="171"/>
      <c r="S88" s="171"/>
      <c r="T88" s="171"/>
      <c r="U88" s="171"/>
      <c r="V88" s="171"/>
      <c r="W88" s="171"/>
      <c r="X88" s="161"/>
      <c r="Y88" s="161"/>
      <c r="Z88" s="161"/>
      <c r="AA88" s="161"/>
      <c r="AB88" s="161"/>
      <c r="AC88" s="171"/>
      <c r="AD88" s="198"/>
    </row>
    <row r="89">
      <c r="A89" s="169"/>
      <c r="B89" s="169"/>
      <c r="C89" s="161"/>
      <c r="D89" s="229"/>
      <c r="E89" s="161"/>
      <c r="F89" s="161"/>
      <c r="G89" s="161"/>
      <c r="H89" s="171"/>
      <c r="I89" s="171"/>
      <c r="J89" s="171"/>
      <c r="K89" s="171"/>
      <c r="L89" s="171"/>
      <c r="M89" s="171"/>
      <c r="N89" s="171"/>
      <c r="O89" s="171"/>
      <c r="P89" s="171"/>
      <c r="Q89" s="171"/>
      <c r="R89" s="171"/>
      <c r="S89" s="171"/>
      <c r="T89" s="171"/>
      <c r="U89" s="171"/>
      <c r="V89" s="171"/>
      <c r="W89" s="171"/>
      <c r="X89" s="161"/>
      <c r="Y89" s="161"/>
      <c r="Z89" s="161"/>
      <c r="AA89" s="161"/>
      <c r="AB89" s="161"/>
      <c r="AC89" s="171"/>
      <c r="AD89" s="198"/>
    </row>
    <row r="90">
      <c r="A90" s="169"/>
      <c r="B90" s="169"/>
      <c r="C90" s="161"/>
      <c r="D90" s="229"/>
      <c r="E90" s="161"/>
      <c r="F90" s="161"/>
      <c r="G90" s="161"/>
      <c r="H90" s="171"/>
      <c r="I90" s="171"/>
      <c r="J90" s="171"/>
      <c r="K90" s="171"/>
      <c r="L90" s="171"/>
      <c r="M90" s="171"/>
      <c r="N90" s="171"/>
      <c r="O90" s="171"/>
      <c r="P90" s="171"/>
      <c r="Q90" s="171"/>
      <c r="R90" s="171"/>
      <c r="S90" s="171"/>
      <c r="T90" s="171"/>
      <c r="U90" s="171"/>
      <c r="V90" s="171"/>
      <c r="W90" s="171"/>
      <c r="X90" s="161"/>
      <c r="Y90" s="161"/>
      <c r="Z90" s="161"/>
      <c r="AA90" s="161"/>
      <c r="AB90" s="161"/>
      <c r="AC90" s="171"/>
      <c r="AD90" s="198"/>
    </row>
    <row r="91">
      <c r="A91" s="169"/>
      <c r="B91" s="169"/>
      <c r="C91" s="161"/>
      <c r="D91" s="229"/>
      <c r="E91" s="161"/>
      <c r="F91" s="161"/>
      <c r="G91" s="161"/>
      <c r="H91" s="171"/>
      <c r="I91" s="171"/>
      <c r="J91" s="171"/>
      <c r="K91" s="171"/>
      <c r="L91" s="171"/>
      <c r="M91" s="171"/>
      <c r="N91" s="171"/>
      <c r="O91" s="171"/>
      <c r="P91" s="171"/>
      <c r="Q91" s="171"/>
      <c r="R91" s="171"/>
      <c r="S91" s="171"/>
      <c r="T91" s="171"/>
      <c r="U91" s="171"/>
      <c r="V91" s="171"/>
      <c r="W91" s="171"/>
      <c r="X91" s="161"/>
      <c r="Y91" s="161"/>
      <c r="Z91" s="161"/>
      <c r="AA91" s="161"/>
      <c r="AB91" s="161"/>
      <c r="AC91" s="171"/>
      <c r="AD91" s="198"/>
    </row>
    <row r="92">
      <c r="A92" s="169"/>
      <c r="B92" s="169"/>
      <c r="C92" s="161"/>
      <c r="D92" s="229"/>
      <c r="E92" s="161"/>
      <c r="F92" s="161"/>
      <c r="G92" s="161"/>
      <c r="H92" s="171"/>
      <c r="I92" s="171"/>
      <c r="J92" s="171"/>
      <c r="K92" s="171"/>
      <c r="L92" s="171"/>
      <c r="M92" s="171"/>
      <c r="N92" s="171"/>
      <c r="O92" s="171"/>
      <c r="P92" s="171"/>
      <c r="Q92" s="171"/>
      <c r="R92" s="171"/>
      <c r="S92" s="171"/>
      <c r="T92" s="171"/>
      <c r="U92" s="171"/>
      <c r="V92" s="171"/>
      <c r="W92" s="171"/>
      <c r="X92" s="161"/>
      <c r="Y92" s="161"/>
      <c r="Z92" s="161"/>
      <c r="AA92" s="161"/>
      <c r="AB92" s="161"/>
      <c r="AC92" s="171"/>
      <c r="AD92" s="198"/>
    </row>
    <row r="93">
      <c r="A93" s="169"/>
      <c r="B93" s="169"/>
      <c r="C93" s="161"/>
      <c r="D93" s="229"/>
      <c r="E93" s="161"/>
      <c r="F93" s="161"/>
      <c r="G93" s="161"/>
      <c r="H93" s="171"/>
      <c r="I93" s="171"/>
      <c r="J93" s="171"/>
      <c r="K93" s="171"/>
      <c r="L93" s="171"/>
      <c r="M93" s="171"/>
      <c r="N93" s="171"/>
      <c r="O93" s="171"/>
      <c r="P93" s="171"/>
      <c r="Q93" s="171"/>
      <c r="R93" s="171"/>
      <c r="S93" s="171"/>
      <c r="T93" s="171"/>
      <c r="U93" s="171"/>
      <c r="V93" s="171"/>
      <c r="W93" s="171"/>
      <c r="X93" s="161"/>
      <c r="Y93" s="161"/>
      <c r="Z93" s="161"/>
      <c r="AA93" s="161"/>
      <c r="AB93" s="161"/>
      <c r="AC93" s="171"/>
      <c r="AD93" s="198"/>
    </row>
    <row r="94">
      <c r="A94" s="169"/>
      <c r="B94" s="169"/>
      <c r="C94" s="161"/>
      <c r="D94" s="229"/>
      <c r="E94" s="161"/>
      <c r="F94" s="161"/>
      <c r="G94" s="161"/>
      <c r="H94" s="171"/>
      <c r="I94" s="171"/>
      <c r="J94" s="171"/>
      <c r="K94" s="171"/>
      <c r="L94" s="171"/>
      <c r="M94" s="171"/>
      <c r="N94" s="171"/>
      <c r="O94" s="171"/>
      <c r="P94" s="171"/>
      <c r="Q94" s="171"/>
      <c r="R94" s="171"/>
      <c r="S94" s="171"/>
      <c r="T94" s="171"/>
      <c r="U94" s="171"/>
      <c r="V94" s="171"/>
      <c r="W94" s="171"/>
      <c r="X94" s="161"/>
      <c r="Y94" s="161"/>
      <c r="Z94" s="161"/>
      <c r="AA94" s="161"/>
      <c r="AB94" s="161"/>
      <c r="AC94" s="171"/>
      <c r="AD94" s="198"/>
    </row>
    <row r="95">
      <c r="A95" s="169"/>
      <c r="B95" s="169"/>
      <c r="C95" s="161"/>
      <c r="D95" s="229"/>
      <c r="E95" s="161"/>
      <c r="F95" s="161"/>
      <c r="G95" s="161"/>
      <c r="H95" s="171"/>
      <c r="I95" s="171"/>
      <c r="J95" s="171"/>
      <c r="K95" s="171"/>
      <c r="L95" s="171"/>
      <c r="M95" s="171"/>
      <c r="N95" s="171"/>
      <c r="O95" s="171"/>
      <c r="P95" s="171"/>
      <c r="Q95" s="171"/>
      <c r="R95" s="171"/>
      <c r="S95" s="171"/>
      <c r="T95" s="171"/>
      <c r="U95" s="171"/>
      <c r="V95" s="171"/>
      <c r="W95" s="171"/>
      <c r="X95" s="161"/>
      <c r="Y95" s="161"/>
      <c r="Z95" s="161"/>
      <c r="AA95" s="161"/>
      <c r="AB95" s="161"/>
      <c r="AC95" s="171"/>
      <c r="AD95" s="198"/>
    </row>
    <row r="96">
      <c r="A96" s="169"/>
      <c r="B96" s="169"/>
      <c r="C96" s="161"/>
      <c r="D96" s="229"/>
      <c r="E96" s="161"/>
      <c r="F96" s="161"/>
      <c r="G96" s="161"/>
      <c r="H96" s="171"/>
      <c r="I96" s="171"/>
      <c r="J96" s="171"/>
      <c r="K96" s="171"/>
      <c r="L96" s="171"/>
      <c r="M96" s="171"/>
      <c r="N96" s="171"/>
      <c r="O96" s="171"/>
      <c r="P96" s="171"/>
      <c r="Q96" s="171"/>
      <c r="R96" s="171"/>
      <c r="S96" s="171"/>
      <c r="T96" s="171"/>
      <c r="U96" s="171"/>
      <c r="V96" s="171"/>
      <c r="W96" s="171"/>
      <c r="X96" s="161"/>
      <c r="Y96" s="161"/>
      <c r="Z96" s="161"/>
      <c r="AA96" s="161"/>
      <c r="AB96" s="161"/>
      <c r="AC96" s="171"/>
      <c r="AD96" s="198"/>
    </row>
    <row r="97">
      <c r="A97" s="169"/>
      <c r="B97" s="169"/>
      <c r="C97" s="161"/>
      <c r="D97" s="229"/>
      <c r="E97" s="161"/>
      <c r="F97" s="161"/>
      <c r="G97" s="161"/>
      <c r="H97" s="171"/>
      <c r="I97" s="171"/>
      <c r="J97" s="171"/>
      <c r="K97" s="171"/>
      <c r="L97" s="171"/>
      <c r="M97" s="171"/>
      <c r="N97" s="171"/>
      <c r="O97" s="171"/>
      <c r="P97" s="171"/>
      <c r="Q97" s="171"/>
      <c r="R97" s="171"/>
      <c r="S97" s="171"/>
      <c r="T97" s="171"/>
      <c r="U97" s="171"/>
      <c r="V97" s="171"/>
      <c r="W97" s="171"/>
      <c r="X97" s="161"/>
      <c r="Y97" s="161"/>
      <c r="Z97" s="161"/>
      <c r="AA97" s="161"/>
      <c r="AB97" s="161"/>
      <c r="AC97" s="171"/>
      <c r="AD97" s="198"/>
    </row>
    <row r="98">
      <c r="A98" s="169"/>
      <c r="B98" s="169"/>
      <c r="C98" s="161"/>
      <c r="D98" s="229"/>
      <c r="E98" s="161"/>
      <c r="F98" s="161"/>
      <c r="G98" s="161"/>
      <c r="H98" s="171"/>
      <c r="I98" s="171"/>
      <c r="J98" s="171"/>
      <c r="K98" s="171"/>
      <c r="L98" s="171"/>
      <c r="M98" s="171"/>
      <c r="N98" s="171"/>
      <c r="O98" s="171"/>
      <c r="P98" s="171"/>
      <c r="Q98" s="171"/>
      <c r="R98" s="171"/>
      <c r="S98" s="171"/>
      <c r="T98" s="171"/>
      <c r="U98" s="171"/>
      <c r="V98" s="171"/>
      <c r="W98" s="171"/>
      <c r="X98" s="161"/>
      <c r="Y98" s="161"/>
      <c r="Z98" s="161"/>
      <c r="AA98" s="161"/>
      <c r="AB98" s="161"/>
      <c r="AC98" s="171"/>
      <c r="AD98" s="198"/>
    </row>
    <row r="99">
      <c r="A99" s="169"/>
      <c r="B99" s="169"/>
      <c r="C99" s="161"/>
      <c r="D99" s="229"/>
      <c r="E99" s="161"/>
      <c r="F99" s="161"/>
      <c r="G99" s="161"/>
      <c r="H99" s="171"/>
      <c r="I99" s="171"/>
      <c r="J99" s="171"/>
      <c r="K99" s="171"/>
      <c r="L99" s="171"/>
      <c r="M99" s="171"/>
      <c r="N99" s="171"/>
      <c r="O99" s="171"/>
      <c r="P99" s="171"/>
      <c r="Q99" s="171"/>
      <c r="R99" s="171"/>
      <c r="S99" s="171"/>
      <c r="T99" s="171"/>
      <c r="U99" s="171"/>
      <c r="V99" s="171"/>
      <c r="W99" s="171"/>
      <c r="X99" s="161"/>
      <c r="Y99" s="161"/>
      <c r="Z99" s="161"/>
      <c r="AA99" s="161"/>
      <c r="AB99" s="161"/>
      <c r="AC99" s="171"/>
      <c r="AD99" s="198"/>
    </row>
    <row r="100">
      <c r="A100" s="169"/>
      <c r="B100" s="169"/>
      <c r="C100" s="161"/>
      <c r="D100" s="229"/>
      <c r="E100" s="161"/>
      <c r="F100" s="161"/>
      <c r="G100" s="161"/>
      <c r="H100" s="171"/>
      <c r="I100" s="171"/>
      <c r="J100" s="171"/>
      <c r="K100" s="171"/>
      <c r="L100" s="171"/>
      <c r="M100" s="171"/>
      <c r="N100" s="171"/>
      <c r="O100" s="171"/>
      <c r="P100" s="171"/>
      <c r="Q100" s="171"/>
      <c r="R100" s="171"/>
      <c r="S100" s="171"/>
      <c r="T100" s="171"/>
      <c r="U100" s="171"/>
      <c r="V100" s="171"/>
      <c r="W100" s="171"/>
      <c r="X100" s="161"/>
      <c r="Y100" s="161"/>
      <c r="Z100" s="161"/>
      <c r="AA100" s="161"/>
      <c r="AB100" s="161"/>
      <c r="AC100" s="171"/>
      <c r="AD100" s="198"/>
    </row>
    <row r="101">
      <c r="A101" s="169"/>
      <c r="B101" s="169"/>
      <c r="C101" s="161"/>
      <c r="D101" s="229"/>
      <c r="E101" s="161"/>
      <c r="F101" s="161"/>
      <c r="G101" s="161"/>
      <c r="H101" s="171"/>
      <c r="I101" s="171"/>
      <c r="J101" s="171"/>
      <c r="K101" s="171"/>
      <c r="L101" s="171"/>
      <c r="M101" s="171"/>
      <c r="N101" s="171"/>
      <c r="O101" s="171"/>
      <c r="P101" s="171"/>
      <c r="Q101" s="171"/>
      <c r="R101" s="171"/>
      <c r="S101" s="171"/>
      <c r="T101" s="171"/>
      <c r="U101" s="171"/>
      <c r="V101" s="171"/>
      <c r="W101" s="171"/>
      <c r="X101" s="161"/>
      <c r="Y101" s="161"/>
      <c r="Z101" s="161"/>
      <c r="AA101" s="161"/>
      <c r="AB101" s="161"/>
      <c r="AC101" s="171"/>
      <c r="AD101" s="198"/>
    </row>
    <row r="102">
      <c r="A102" s="169"/>
      <c r="B102" s="169"/>
      <c r="C102" s="161"/>
      <c r="D102" s="229"/>
      <c r="E102" s="161"/>
      <c r="F102" s="161"/>
      <c r="G102" s="161"/>
      <c r="H102" s="171"/>
      <c r="I102" s="171"/>
      <c r="J102" s="171"/>
      <c r="K102" s="171"/>
      <c r="L102" s="171"/>
      <c r="M102" s="171"/>
      <c r="N102" s="171"/>
      <c r="O102" s="171"/>
      <c r="P102" s="171"/>
      <c r="Q102" s="171"/>
      <c r="R102" s="171"/>
      <c r="S102" s="171"/>
      <c r="T102" s="171"/>
      <c r="U102" s="171"/>
      <c r="V102" s="171"/>
      <c r="W102" s="171"/>
      <c r="X102" s="161"/>
      <c r="Y102" s="161"/>
      <c r="Z102" s="161"/>
      <c r="AA102" s="161"/>
      <c r="AB102" s="161"/>
      <c r="AC102" s="171"/>
      <c r="AD102" s="198"/>
    </row>
    <row r="103">
      <c r="A103" s="169"/>
      <c r="B103" s="169"/>
      <c r="C103" s="161"/>
      <c r="D103" s="229"/>
      <c r="E103" s="161"/>
      <c r="F103" s="161"/>
      <c r="G103" s="161"/>
      <c r="H103" s="171"/>
      <c r="I103" s="171"/>
      <c r="J103" s="171"/>
      <c r="K103" s="171"/>
      <c r="L103" s="171"/>
      <c r="M103" s="171"/>
      <c r="N103" s="171"/>
      <c r="O103" s="171"/>
      <c r="P103" s="171"/>
      <c r="Q103" s="171"/>
      <c r="R103" s="171"/>
      <c r="S103" s="171"/>
      <c r="T103" s="171"/>
      <c r="U103" s="171"/>
      <c r="V103" s="171"/>
      <c r="W103" s="171"/>
      <c r="X103" s="161"/>
      <c r="Y103" s="161"/>
      <c r="Z103" s="161"/>
      <c r="AA103" s="161"/>
      <c r="AB103" s="161"/>
      <c r="AC103" s="171"/>
      <c r="AD103" s="198"/>
    </row>
    <row r="104">
      <c r="A104" s="169"/>
      <c r="B104" s="169"/>
      <c r="C104" s="161"/>
      <c r="D104" s="229"/>
      <c r="E104" s="161"/>
      <c r="F104" s="161"/>
      <c r="G104" s="161"/>
      <c r="H104" s="171"/>
      <c r="I104" s="171"/>
      <c r="J104" s="171"/>
      <c r="K104" s="171"/>
      <c r="L104" s="171"/>
      <c r="M104" s="171"/>
      <c r="N104" s="171"/>
      <c r="O104" s="171"/>
      <c r="P104" s="171"/>
      <c r="Q104" s="171"/>
      <c r="R104" s="171"/>
      <c r="S104" s="171"/>
      <c r="T104" s="171"/>
      <c r="U104" s="171"/>
      <c r="V104" s="171"/>
      <c r="W104" s="171"/>
      <c r="X104" s="161"/>
      <c r="Y104" s="161"/>
      <c r="Z104" s="161"/>
      <c r="AA104" s="161"/>
      <c r="AB104" s="161"/>
      <c r="AC104" s="171"/>
      <c r="AD104" s="198"/>
    </row>
    <row r="105">
      <c r="A105" s="169"/>
      <c r="B105" s="169"/>
      <c r="C105" s="161"/>
      <c r="D105" s="229"/>
      <c r="E105" s="161"/>
      <c r="F105" s="161"/>
      <c r="G105" s="161"/>
      <c r="H105" s="171"/>
      <c r="I105" s="171"/>
      <c r="J105" s="171"/>
      <c r="K105" s="171"/>
      <c r="L105" s="171"/>
      <c r="M105" s="171"/>
      <c r="N105" s="171"/>
      <c r="O105" s="171"/>
      <c r="P105" s="171"/>
      <c r="Q105" s="171"/>
      <c r="R105" s="171"/>
      <c r="S105" s="171"/>
      <c r="T105" s="171"/>
      <c r="U105" s="171"/>
      <c r="V105" s="171"/>
      <c r="W105" s="171"/>
      <c r="X105" s="161"/>
      <c r="Y105" s="161"/>
      <c r="Z105" s="161"/>
      <c r="AA105" s="161"/>
      <c r="AB105" s="161"/>
      <c r="AC105" s="171"/>
      <c r="AD105" s="198"/>
    </row>
    <row r="106">
      <c r="A106" s="169"/>
      <c r="B106" s="169"/>
      <c r="C106" s="161"/>
      <c r="D106" s="229"/>
      <c r="E106" s="161"/>
      <c r="F106" s="161"/>
      <c r="G106" s="161"/>
      <c r="H106" s="171"/>
      <c r="I106" s="171"/>
      <c r="J106" s="171"/>
      <c r="K106" s="171"/>
      <c r="L106" s="171"/>
      <c r="M106" s="171"/>
      <c r="N106" s="171"/>
      <c r="O106" s="171"/>
      <c r="P106" s="171"/>
      <c r="Q106" s="171"/>
      <c r="R106" s="171"/>
      <c r="S106" s="171"/>
      <c r="T106" s="171"/>
      <c r="U106" s="171"/>
      <c r="V106" s="171"/>
      <c r="W106" s="171"/>
      <c r="X106" s="161"/>
      <c r="Y106" s="161"/>
      <c r="Z106" s="161"/>
      <c r="AA106" s="161"/>
      <c r="AB106" s="161"/>
      <c r="AC106" s="171"/>
      <c r="AD106" s="198"/>
    </row>
    <row r="107">
      <c r="A107" s="169"/>
      <c r="B107" s="169"/>
      <c r="C107" s="161"/>
      <c r="D107" s="229"/>
      <c r="E107" s="161"/>
      <c r="F107" s="161"/>
      <c r="G107" s="161"/>
      <c r="H107" s="171"/>
      <c r="I107" s="171"/>
      <c r="J107" s="171"/>
      <c r="K107" s="171"/>
      <c r="L107" s="171"/>
      <c r="M107" s="171"/>
      <c r="N107" s="171"/>
      <c r="O107" s="171"/>
      <c r="P107" s="171"/>
      <c r="Q107" s="171"/>
      <c r="R107" s="171"/>
      <c r="S107" s="171"/>
      <c r="T107" s="171"/>
      <c r="U107" s="171"/>
      <c r="V107" s="171"/>
      <c r="W107" s="171"/>
      <c r="X107" s="161"/>
      <c r="Y107" s="161"/>
      <c r="Z107" s="161"/>
      <c r="AA107" s="161"/>
      <c r="AB107" s="161"/>
      <c r="AC107" s="171"/>
      <c r="AD107" s="198"/>
    </row>
    <row r="108">
      <c r="A108" s="169"/>
      <c r="B108" s="169"/>
      <c r="C108" s="161"/>
      <c r="D108" s="229"/>
      <c r="E108" s="161"/>
      <c r="F108" s="161"/>
      <c r="G108" s="161"/>
      <c r="H108" s="171"/>
      <c r="I108" s="171"/>
      <c r="J108" s="171"/>
      <c r="K108" s="171"/>
      <c r="L108" s="171"/>
      <c r="M108" s="171"/>
      <c r="N108" s="171"/>
      <c r="O108" s="171"/>
      <c r="P108" s="171"/>
      <c r="Q108" s="171"/>
      <c r="R108" s="171"/>
      <c r="S108" s="171"/>
      <c r="T108" s="171"/>
      <c r="U108" s="171"/>
      <c r="V108" s="171"/>
      <c r="W108" s="171"/>
      <c r="X108" s="161"/>
      <c r="Y108" s="161"/>
      <c r="Z108" s="161"/>
      <c r="AA108" s="161"/>
      <c r="AB108" s="161"/>
      <c r="AC108" s="171"/>
      <c r="AD108" s="198"/>
    </row>
    <row r="109">
      <c r="A109" s="169"/>
      <c r="B109" s="169"/>
      <c r="C109" s="161"/>
      <c r="D109" s="229"/>
      <c r="E109" s="161"/>
      <c r="F109" s="161"/>
      <c r="G109" s="161"/>
      <c r="H109" s="171"/>
      <c r="I109" s="171"/>
      <c r="J109" s="171"/>
      <c r="K109" s="171"/>
      <c r="L109" s="171"/>
      <c r="M109" s="171"/>
      <c r="N109" s="171"/>
      <c r="O109" s="171"/>
      <c r="P109" s="171"/>
      <c r="Q109" s="171"/>
      <c r="R109" s="171"/>
      <c r="S109" s="171"/>
      <c r="T109" s="171"/>
      <c r="U109" s="171"/>
      <c r="V109" s="171"/>
      <c r="W109" s="171"/>
      <c r="X109" s="161"/>
      <c r="Y109" s="161"/>
      <c r="Z109" s="161"/>
      <c r="AA109" s="161"/>
      <c r="AB109" s="161"/>
      <c r="AC109" s="171"/>
      <c r="AD109" s="198"/>
    </row>
    <row r="110">
      <c r="A110" s="169"/>
      <c r="B110" s="169"/>
      <c r="C110" s="161"/>
      <c r="D110" s="229"/>
      <c r="E110" s="161"/>
      <c r="F110" s="161"/>
      <c r="G110" s="161"/>
      <c r="H110" s="171"/>
      <c r="I110" s="171"/>
      <c r="J110" s="171"/>
      <c r="K110" s="171"/>
      <c r="L110" s="171"/>
      <c r="M110" s="171"/>
      <c r="N110" s="171"/>
      <c r="O110" s="171"/>
      <c r="P110" s="171"/>
      <c r="Q110" s="171"/>
      <c r="R110" s="171"/>
      <c r="S110" s="171"/>
      <c r="T110" s="171"/>
      <c r="U110" s="171"/>
      <c r="V110" s="171"/>
      <c r="W110" s="171"/>
      <c r="X110" s="161"/>
      <c r="Y110" s="161"/>
      <c r="Z110" s="161"/>
      <c r="AA110" s="161"/>
      <c r="AB110" s="161"/>
      <c r="AC110" s="171"/>
      <c r="AD110" s="198"/>
    </row>
    <row r="111">
      <c r="A111" s="169"/>
      <c r="B111" s="169"/>
      <c r="C111" s="161"/>
      <c r="D111" s="229"/>
      <c r="E111" s="161"/>
      <c r="F111" s="161"/>
      <c r="G111" s="161"/>
      <c r="H111" s="171"/>
      <c r="I111" s="171"/>
      <c r="J111" s="171"/>
      <c r="K111" s="171"/>
      <c r="L111" s="171"/>
      <c r="M111" s="171"/>
      <c r="N111" s="171"/>
      <c r="O111" s="171"/>
      <c r="P111" s="171"/>
      <c r="Q111" s="171"/>
      <c r="R111" s="171"/>
      <c r="S111" s="171"/>
      <c r="T111" s="171"/>
      <c r="U111" s="171"/>
      <c r="V111" s="171"/>
      <c r="W111" s="171"/>
      <c r="X111" s="161"/>
      <c r="Y111" s="161"/>
      <c r="Z111" s="161"/>
      <c r="AA111" s="161"/>
      <c r="AB111" s="161"/>
      <c r="AC111" s="171"/>
      <c r="AD111" s="198"/>
    </row>
    <row r="112">
      <c r="A112" s="169"/>
      <c r="B112" s="169"/>
      <c r="C112" s="161"/>
      <c r="D112" s="229"/>
      <c r="E112" s="161"/>
      <c r="F112" s="161"/>
      <c r="G112" s="161"/>
      <c r="H112" s="171"/>
      <c r="I112" s="171"/>
      <c r="J112" s="171"/>
      <c r="K112" s="171"/>
      <c r="L112" s="171"/>
      <c r="M112" s="171"/>
      <c r="N112" s="171"/>
      <c r="O112" s="171"/>
      <c r="P112" s="171"/>
      <c r="Q112" s="171"/>
      <c r="R112" s="171"/>
      <c r="S112" s="171"/>
      <c r="T112" s="171"/>
      <c r="U112" s="171"/>
      <c r="V112" s="171"/>
      <c r="W112" s="171"/>
      <c r="X112" s="161"/>
      <c r="Y112" s="161"/>
      <c r="Z112" s="161"/>
      <c r="AA112" s="161"/>
      <c r="AB112" s="161"/>
      <c r="AC112" s="171"/>
      <c r="AD112" s="198"/>
    </row>
    <row r="113">
      <c r="A113" s="169"/>
      <c r="B113" s="169"/>
      <c r="C113" s="161"/>
      <c r="D113" s="229"/>
      <c r="E113" s="161"/>
      <c r="F113" s="161"/>
      <c r="G113" s="161"/>
      <c r="H113" s="171"/>
      <c r="I113" s="171"/>
      <c r="J113" s="171"/>
      <c r="K113" s="171"/>
      <c r="L113" s="171"/>
      <c r="M113" s="171"/>
      <c r="N113" s="171"/>
      <c r="O113" s="171"/>
      <c r="P113" s="171"/>
      <c r="Q113" s="171"/>
      <c r="R113" s="171"/>
      <c r="S113" s="171"/>
      <c r="T113" s="171"/>
      <c r="U113" s="171"/>
      <c r="V113" s="171"/>
      <c r="W113" s="171"/>
      <c r="X113" s="161"/>
      <c r="Y113" s="161"/>
      <c r="Z113" s="161"/>
      <c r="AA113" s="161"/>
      <c r="AB113" s="161"/>
      <c r="AC113" s="171"/>
      <c r="AD113" s="198"/>
    </row>
    <row r="114">
      <c r="A114" s="169"/>
      <c r="B114" s="169"/>
      <c r="C114" s="161"/>
      <c r="D114" s="229"/>
      <c r="E114" s="161"/>
      <c r="F114" s="161"/>
      <c r="G114" s="161"/>
      <c r="H114" s="171"/>
      <c r="I114" s="171"/>
      <c r="J114" s="171"/>
      <c r="K114" s="171"/>
      <c r="L114" s="171"/>
      <c r="M114" s="171"/>
      <c r="N114" s="171"/>
      <c r="O114" s="171"/>
      <c r="P114" s="171"/>
      <c r="Q114" s="171"/>
      <c r="R114" s="171"/>
      <c r="S114" s="171"/>
      <c r="T114" s="171"/>
      <c r="U114" s="171"/>
      <c r="V114" s="171"/>
      <c r="W114" s="171"/>
      <c r="X114" s="161"/>
      <c r="Y114" s="161"/>
      <c r="Z114" s="161"/>
      <c r="AA114" s="161"/>
      <c r="AB114" s="161"/>
      <c r="AC114" s="171"/>
      <c r="AD114" s="198"/>
    </row>
    <row r="115">
      <c r="A115" s="169"/>
      <c r="B115" s="169"/>
      <c r="C115" s="161"/>
      <c r="D115" s="229"/>
      <c r="E115" s="161"/>
      <c r="F115" s="161"/>
      <c r="G115" s="161"/>
      <c r="H115" s="171"/>
      <c r="I115" s="171"/>
      <c r="J115" s="171"/>
      <c r="K115" s="171"/>
      <c r="L115" s="171"/>
      <c r="M115" s="171"/>
      <c r="N115" s="171"/>
      <c r="O115" s="171"/>
      <c r="P115" s="171"/>
      <c r="Q115" s="171"/>
      <c r="R115" s="171"/>
      <c r="S115" s="171"/>
      <c r="T115" s="171"/>
      <c r="U115" s="171"/>
      <c r="V115" s="171"/>
      <c r="W115" s="171"/>
      <c r="X115" s="161"/>
      <c r="Y115" s="161"/>
      <c r="Z115" s="161"/>
      <c r="AA115" s="161"/>
      <c r="AB115" s="161"/>
      <c r="AC115" s="171"/>
      <c r="AD115" s="198"/>
    </row>
    <row r="116">
      <c r="A116" s="169"/>
      <c r="B116" s="169"/>
      <c r="C116" s="161"/>
      <c r="D116" s="229"/>
      <c r="E116" s="161"/>
      <c r="F116" s="161"/>
      <c r="G116" s="161"/>
      <c r="H116" s="171"/>
      <c r="I116" s="171"/>
      <c r="J116" s="171"/>
      <c r="K116" s="171"/>
      <c r="L116" s="171"/>
      <c r="M116" s="171"/>
      <c r="N116" s="171"/>
      <c r="O116" s="171"/>
      <c r="P116" s="171"/>
      <c r="Q116" s="171"/>
      <c r="R116" s="171"/>
      <c r="S116" s="171"/>
      <c r="T116" s="171"/>
      <c r="U116" s="171"/>
      <c r="V116" s="171"/>
      <c r="W116" s="171"/>
      <c r="X116" s="161"/>
      <c r="Y116" s="161"/>
      <c r="Z116" s="161"/>
      <c r="AA116" s="161"/>
      <c r="AB116" s="161"/>
      <c r="AC116" s="171"/>
      <c r="AD116" s="198"/>
    </row>
    <row r="117">
      <c r="A117" s="169"/>
      <c r="B117" s="169"/>
      <c r="C117" s="161"/>
      <c r="D117" s="229"/>
      <c r="E117" s="161"/>
      <c r="F117" s="161"/>
      <c r="G117" s="161"/>
      <c r="H117" s="171"/>
      <c r="I117" s="171"/>
      <c r="J117" s="171"/>
      <c r="K117" s="171"/>
      <c r="L117" s="171"/>
      <c r="M117" s="171"/>
      <c r="N117" s="171"/>
      <c r="O117" s="171"/>
      <c r="P117" s="171"/>
      <c r="Q117" s="171"/>
      <c r="R117" s="171"/>
      <c r="S117" s="171"/>
      <c r="T117" s="171"/>
      <c r="U117" s="171"/>
      <c r="V117" s="171"/>
      <c r="W117" s="171"/>
      <c r="X117" s="161"/>
      <c r="Y117" s="161"/>
      <c r="Z117" s="161"/>
      <c r="AA117" s="161"/>
      <c r="AB117" s="161"/>
      <c r="AC117" s="171"/>
      <c r="AD117" s="198"/>
    </row>
    <row r="118">
      <c r="A118" s="169"/>
      <c r="B118" s="169"/>
      <c r="C118" s="161"/>
      <c r="D118" s="229"/>
      <c r="E118" s="161"/>
      <c r="F118" s="161"/>
      <c r="G118" s="161"/>
      <c r="H118" s="171"/>
      <c r="I118" s="171"/>
      <c r="J118" s="171"/>
      <c r="K118" s="171"/>
      <c r="L118" s="171"/>
      <c r="M118" s="171"/>
      <c r="N118" s="171"/>
      <c r="O118" s="171"/>
      <c r="P118" s="171"/>
      <c r="Q118" s="171"/>
      <c r="R118" s="171"/>
      <c r="S118" s="171"/>
      <c r="T118" s="171"/>
      <c r="U118" s="171"/>
      <c r="V118" s="171"/>
      <c r="W118" s="171"/>
      <c r="X118" s="161"/>
      <c r="Y118" s="161"/>
      <c r="Z118" s="161"/>
      <c r="AA118" s="161"/>
      <c r="AB118" s="161"/>
      <c r="AC118" s="171"/>
      <c r="AD118" s="198"/>
    </row>
    <row r="119">
      <c r="A119" s="169"/>
      <c r="B119" s="169"/>
      <c r="C119" s="161"/>
      <c r="D119" s="229"/>
      <c r="E119" s="161"/>
      <c r="F119" s="161"/>
      <c r="G119" s="161"/>
      <c r="H119" s="171"/>
      <c r="I119" s="171"/>
      <c r="J119" s="171"/>
      <c r="K119" s="171"/>
      <c r="L119" s="171"/>
      <c r="M119" s="171"/>
      <c r="N119" s="171"/>
      <c r="O119" s="171"/>
      <c r="P119" s="171"/>
      <c r="Q119" s="171"/>
      <c r="R119" s="171"/>
      <c r="S119" s="171"/>
      <c r="T119" s="171"/>
      <c r="U119" s="171"/>
      <c r="V119" s="171"/>
      <c r="W119" s="171"/>
      <c r="X119" s="161"/>
      <c r="Y119" s="161"/>
      <c r="Z119" s="161"/>
      <c r="AA119" s="161"/>
      <c r="AB119" s="161"/>
      <c r="AC119" s="171"/>
      <c r="AD119" s="198"/>
    </row>
    <row r="120">
      <c r="A120" s="169"/>
      <c r="B120" s="169"/>
      <c r="C120" s="161"/>
      <c r="D120" s="229"/>
      <c r="E120" s="161"/>
      <c r="F120" s="161"/>
      <c r="G120" s="161"/>
      <c r="H120" s="171"/>
      <c r="I120" s="171"/>
      <c r="J120" s="171"/>
      <c r="K120" s="171"/>
      <c r="L120" s="171"/>
      <c r="M120" s="171"/>
      <c r="N120" s="171"/>
      <c r="O120" s="171"/>
      <c r="P120" s="171"/>
      <c r="Q120" s="171"/>
      <c r="R120" s="171"/>
      <c r="S120" s="171"/>
      <c r="T120" s="171"/>
      <c r="U120" s="171"/>
      <c r="V120" s="171"/>
      <c r="W120" s="171"/>
      <c r="X120" s="161"/>
      <c r="Y120" s="161"/>
      <c r="Z120" s="161"/>
      <c r="AA120" s="161"/>
      <c r="AB120" s="161"/>
      <c r="AC120" s="171"/>
      <c r="AD120" s="198"/>
    </row>
    <row r="121">
      <c r="A121" s="169"/>
      <c r="B121" s="169"/>
      <c r="C121" s="161"/>
      <c r="D121" s="229"/>
      <c r="E121" s="161"/>
      <c r="F121" s="161"/>
      <c r="G121" s="161"/>
      <c r="H121" s="171"/>
      <c r="I121" s="171"/>
      <c r="J121" s="171"/>
      <c r="K121" s="171"/>
      <c r="L121" s="171"/>
      <c r="M121" s="171"/>
      <c r="N121" s="171"/>
      <c r="O121" s="171"/>
      <c r="P121" s="171"/>
      <c r="Q121" s="171"/>
      <c r="R121" s="171"/>
      <c r="S121" s="171"/>
      <c r="T121" s="171"/>
      <c r="U121" s="171"/>
      <c r="V121" s="171"/>
      <c r="W121" s="171"/>
      <c r="X121" s="161"/>
      <c r="Y121" s="161"/>
      <c r="Z121" s="161"/>
      <c r="AA121" s="161"/>
      <c r="AB121" s="161"/>
      <c r="AC121" s="171"/>
      <c r="AD121" s="198"/>
    </row>
    <row r="122">
      <c r="A122" s="169"/>
      <c r="B122" s="169"/>
      <c r="C122" s="161"/>
      <c r="D122" s="229"/>
      <c r="E122" s="161"/>
      <c r="F122" s="161"/>
      <c r="G122" s="161"/>
      <c r="H122" s="171"/>
      <c r="I122" s="171"/>
      <c r="J122" s="171"/>
      <c r="K122" s="171"/>
      <c r="L122" s="171"/>
      <c r="M122" s="171"/>
      <c r="N122" s="171"/>
      <c r="O122" s="171"/>
      <c r="P122" s="171"/>
      <c r="Q122" s="171"/>
      <c r="R122" s="171"/>
      <c r="S122" s="171"/>
      <c r="T122" s="171"/>
      <c r="U122" s="171"/>
      <c r="V122" s="171"/>
      <c r="W122" s="171"/>
      <c r="X122" s="161"/>
      <c r="Y122" s="161"/>
      <c r="Z122" s="161"/>
      <c r="AA122" s="161"/>
      <c r="AB122" s="161"/>
      <c r="AC122" s="171"/>
      <c r="AD122" s="198"/>
    </row>
    <row r="123">
      <c r="A123" s="169"/>
      <c r="B123" s="169"/>
      <c r="C123" s="161"/>
      <c r="D123" s="229"/>
      <c r="E123" s="161"/>
      <c r="F123" s="161"/>
      <c r="G123" s="161"/>
      <c r="H123" s="171"/>
      <c r="I123" s="171"/>
      <c r="J123" s="171"/>
      <c r="K123" s="171"/>
      <c r="L123" s="171"/>
      <c r="M123" s="171"/>
      <c r="N123" s="171"/>
      <c r="O123" s="171"/>
      <c r="P123" s="171"/>
      <c r="Q123" s="171"/>
      <c r="R123" s="171"/>
      <c r="S123" s="171"/>
      <c r="T123" s="171"/>
      <c r="U123" s="171"/>
      <c r="V123" s="171"/>
      <c r="W123" s="171"/>
      <c r="X123" s="161"/>
      <c r="Y123" s="161"/>
      <c r="Z123" s="161"/>
      <c r="AA123" s="161"/>
      <c r="AB123" s="161"/>
      <c r="AC123" s="171"/>
      <c r="AD123" s="198"/>
    </row>
    <row r="124">
      <c r="A124" s="169"/>
      <c r="B124" s="169"/>
      <c r="C124" s="161"/>
      <c r="D124" s="229"/>
      <c r="E124" s="161"/>
      <c r="F124" s="161"/>
      <c r="G124" s="161"/>
      <c r="H124" s="171"/>
      <c r="I124" s="171"/>
      <c r="J124" s="171"/>
      <c r="K124" s="171"/>
      <c r="L124" s="171"/>
      <c r="M124" s="171"/>
      <c r="N124" s="171"/>
      <c r="O124" s="171"/>
      <c r="P124" s="171"/>
      <c r="Q124" s="171"/>
      <c r="R124" s="171"/>
      <c r="S124" s="171"/>
      <c r="T124" s="171"/>
      <c r="U124" s="171"/>
      <c r="V124" s="171"/>
      <c r="W124" s="171"/>
      <c r="X124" s="161"/>
      <c r="Y124" s="161"/>
      <c r="Z124" s="161"/>
      <c r="AA124" s="161"/>
      <c r="AB124" s="161"/>
      <c r="AC124" s="171"/>
      <c r="AD124" s="198"/>
    </row>
    <row r="125">
      <c r="A125" s="169"/>
      <c r="B125" s="169"/>
      <c r="C125" s="161"/>
      <c r="D125" s="229"/>
      <c r="E125" s="161"/>
      <c r="F125" s="161"/>
      <c r="G125" s="161"/>
      <c r="H125" s="171"/>
      <c r="I125" s="171"/>
      <c r="J125" s="171"/>
      <c r="K125" s="171"/>
      <c r="L125" s="171"/>
      <c r="M125" s="171"/>
      <c r="N125" s="171"/>
      <c r="O125" s="171"/>
      <c r="P125" s="171"/>
      <c r="Q125" s="171"/>
      <c r="R125" s="171"/>
      <c r="S125" s="171"/>
      <c r="T125" s="171"/>
      <c r="U125" s="171"/>
      <c r="V125" s="171"/>
      <c r="W125" s="171"/>
      <c r="X125" s="161"/>
      <c r="Y125" s="161"/>
      <c r="Z125" s="161"/>
      <c r="AA125" s="161"/>
      <c r="AB125" s="161"/>
      <c r="AC125" s="171"/>
      <c r="AD125" s="198"/>
    </row>
    <row r="126">
      <c r="A126" s="169"/>
      <c r="B126" s="169"/>
      <c r="C126" s="161"/>
      <c r="D126" s="229"/>
      <c r="E126" s="161"/>
      <c r="F126" s="161"/>
      <c r="G126" s="161"/>
      <c r="H126" s="171"/>
      <c r="I126" s="171"/>
      <c r="J126" s="171"/>
      <c r="K126" s="171"/>
      <c r="L126" s="171"/>
      <c r="M126" s="171"/>
      <c r="N126" s="171"/>
      <c r="O126" s="171"/>
      <c r="P126" s="171"/>
      <c r="Q126" s="171"/>
      <c r="R126" s="171"/>
      <c r="S126" s="171"/>
      <c r="T126" s="171"/>
      <c r="U126" s="171"/>
      <c r="V126" s="171"/>
      <c r="W126" s="171"/>
      <c r="X126" s="161"/>
      <c r="Y126" s="161"/>
      <c r="Z126" s="161"/>
      <c r="AA126" s="161"/>
      <c r="AB126" s="161"/>
      <c r="AC126" s="171"/>
      <c r="AD126" s="198"/>
    </row>
    <row r="127">
      <c r="A127" s="169"/>
      <c r="B127" s="169"/>
      <c r="C127" s="161"/>
      <c r="D127" s="229"/>
      <c r="E127" s="161"/>
      <c r="F127" s="161"/>
      <c r="G127" s="161"/>
      <c r="H127" s="171"/>
      <c r="I127" s="171"/>
      <c r="J127" s="171"/>
      <c r="K127" s="171"/>
      <c r="L127" s="171"/>
      <c r="M127" s="171"/>
      <c r="N127" s="171"/>
      <c r="O127" s="171"/>
      <c r="P127" s="171"/>
      <c r="Q127" s="171"/>
      <c r="R127" s="171"/>
      <c r="S127" s="171"/>
      <c r="T127" s="171"/>
      <c r="U127" s="171"/>
      <c r="V127" s="171"/>
      <c r="W127" s="171"/>
      <c r="X127" s="161"/>
      <c r="Y127" s="161"/>
      <c r="Z127" s="161"/>
      <c r="AA127" s="161"/>
      <c r="AB127" s="161"/>
      <c r="AC127" s="171"/>
      <c r="AD127" s="198"/>
    </row>
    <row r="128">
      <c r="A128" s="169"/>
      <c r="B128" s="169"/>
      <c r="C128" s="161"/>
      <c r="D128" s="229"/>
      <c r="E128" s="161"/>
      <c r="F128" s="161"/>
      <c r="G128" s="161"/>
      <c r="H128" s="171"/>
      <c r="I128" s="171"/>
      <c r="J128" s="171"/>
      <c r="K128" s="171"/>
      <c r="L128" s="171"/>
      <c r="M128" s="171"/>
      <c r="N128" s="171"/>
      <c r="O128" s="171"/>
      <c r="P128" s="171"/>
      <c r="Q128" s="171"/>
      <c r="R128" s="171"/>
      <c r="S128" s="171"/>
      <c r="T128" s="171"/>
      <c r="U128" s="171"/>
      <c r="V128" s="171"/>
      <c r="W128" s="171"/>
      <c r="X128" s="161"/>
      <c r="Y128" s="161"/>
      <c r="Z128" s="161"/>
      <c r="AA128" s="161"/>
      <c r="AB128" s="161"/>
      <c r="AC128" s="171"/>
      <c r="AD128" s="198"/>
    </row>
    <row r="129">
      <c r="A129" s="169"/>
      <c r="B129" s="169"/>
      <c r="C129" s="161"/>
      <c r="D129" s="229"/>
      <c r="E129" s="161"/>
      <c r="F129" s="161"/>
      <c r="G129" s="161"/>
      <c r="H129" s="171"/>
      <c r="I129" s="171"/>
      <c r="J129" s="171"/>
      <c r="K129" s="171"/>
      <c r="L129" s="171"/>
      <c r="M129" s="171"/>
      <c r="N129" s="171"/>
      <c r="O129" s="171"/>
      <c r="P129" s="171"/>
      <c r="Q129" s="171"/>
      <c r="R129" s="171"/>
      <c r="S129" s="171"/>
      <c r="T129" s="171"/>
      <c r="U129" s="171"/>
      <c r="V129" s="171"/>
      <c r="W129" s="171"/>
      <c r="X129" s="161"/>
      <c r="Y129" s="161"/>
      <c r="Z129" s="161"/>
      <c r="AA129" s="161"/>
      <c r="AB129" s="161"/>
      <c r="AC129" s="171"/>
      <c r="AD129" s="198"/>
    </row>
    <row r="130">
      <c r="A130" s="169"/>
      <c r="B130" s="169"/>
      <c r="C130" s="161"/>
      <c r="D130" s="229"/>
      <c r="E130" s="161"/>
      <c r="F130" s="161"/>
      <c r="G130" s="161"/>
      <c r="H130" s="171"/>
      <c r="I130" s="171"/>
      <c r="J130" s="171"/>
      <c r="K130" s="171"/>
      <c r="L130" s="171"/>
      <c r="M130" s="171"/>
      <c r="N130" s="171"/>
      <c r="O130" s="171"/>
      <c r="P130" s="171"/>
      <c r="Q130" s="171"/>
      <c r="R130" s="171"/>
      <c r="S130" s="171"/>
      <c r="T130" s="171"/>
      <c r="U130" s="171"/>
      <c r="V130" s="171"/>
      <c r="W130" s="171"/>
      <c r="X130" s="161"/>
      <c r="Y130" s="161"/>
      <c r="Z130" s="161"/>
      <c r="AA130" s="161"/>
      <c r="AB130" s="161"/>
      <c r="AC130" s="171"/>
      <c r="AD130" s="198"/>
    </row>
    <row r="131">
      <c r="A131" s="169"/>
      <c r="B131" s="169"/>
      <c r="C131" s="161"/>
      <c r="D131" s="229"/>
      <c r="E131" s="161"/>
      <c r="F131" s="161"/>
      <c r="G131" s="161"/>
      <c r="H131" s="171"/>
      <c r="I131" s="171"/>
      <c r="J131" s="171"/>
      <c r="K131" s="171"/>
      <c r="L131" s="171"/>
      <c r="M131" s="171"/>
      <c r="N131" s="171"/>
      <c r="O131" s="171"/>
      <c r="P131" s="171"/>
      <c r="Q131" s="171"/>
      <c r="R131" s="171"/>
      <c r="S131" s="171"/>
      <c r="T131" s="171"/>
      <c r="U131" s="171"/>
      <c r="V131" s="171"/>
      <c r="W131" s="171"/>
      <c r="X131" s="161"/>
      <c r="Y131" s="161"/>
      <c r="Z131" s="161"/>
      <c r="AA131" s="161"/>
      <c r="AB131" s="161"/>
      <c r="AC131" s="171"/>
      <c r="AD131" s="198"/>
    </row>
    <row r="132">
      <c r="A132" s="169"/>
      <c r="B132" s="169"/>
      <c r="C132" s="161"/>
      <c r="D132" s="229"/>
      <c r="E132" s="161"/>
      <c r="F132" s="161"/>
      <c r="G132" s="161"/>
      <c r="H132" s="171"/>
      <c r="I132" s="171"/>
      <c r="J132" s="171"/>
      <c r="K132" s="171"/>
      <c r="L132" s="171"/>
      <c r="M132" s="171"/>
      <c r="N132" s="171"/>
      <c r="O132" s="171"/>
      <c r="P132" s="171"/>
      <c r="Q132" s="171"/>
      <c r="R132" s="171"/>
      <c r="S132" s="171"/>
      <c r="T132" s="171"/>
      <c r="U132" s="171"/>
      <c r="V132" s="171"/>
      <c r="W132" s="171"/>
      <c r="X132" s="161"/>
      <c r="Y132" s="161"/>
      <c r="Z132" s="161"/>
      <c r="AA132" s="161"/>
      <c r="AB132" s="161"/>
      <c r="AC132" s="171"/>
      <c r="AD132" s="198"/>
    </row>
    <row r="133">
      <c r="A133" s="169"/>
      <c r="B133" s="169"/>
      <c r="C133" s="161"/>
      <c r="D133" s="229"/>
      <c r="E133" s="161"/>
      <c r="F133" s="161"/>
      <c r="G133" s="161"/>
      <c r="H133" s="171"/>
      <c r="I133" s="171"/>
      <c r="J133" s="171"/>
      <c r="K133" s="171"/>
      <c r="L133" s="171"/>
      <c r="M133" s="171"/>
      <c r="N133" s="171"/>
      <c r="O133" s="171"/>
      <c r="P133" s="171"/>
      <c r="Q133" s="171"/>
      <c r="R133" s="171"/>
      <c r="S133" s="171"/>
      <c r="T133" s="171"/>
      <c r="U133" s="171"/>
      <c r="V133" s="171"/>
      <c r="W133" s="171"/>
      <c r="X133" s="161"/>
      <c r="Y133" s="161"/>
      <c r="Z133" s="161"/>
      <c r="AA133" s="161"/>
      <c r="AB133" s="161"/>
      <c r="AC133" s="171"/>
      <c r="AD133" s="198"/>
    </row>
    <row r="134">
      <c r="A134" s="169"/>
      <c r="B134" s="169"/>
      <c r="C134" s="161"/>
      <c r="D134" s="229"/>
      <c r="E134" s="161"/>
      <c r="F134" s="161"/>
      <c r="G134" s="161"/>
      <c r="H134" s="171"/>
      <c r="I134" s="171"/>
      <c r="J134" s="171"/>
      <c r="K134" s="171"/>
      <c r="L134" s="171"/>
      <c r="M134" s="171"/>
      <c r="N134" s="171"/>
      <c r="O134" s="171"/>
      <c r="P134" s="171"/>
      <c r="Q134" s="171"/>
      <c r="R134" s="171"/>
      <c r="S134" s="171"/>
      <c r="T134" s="171"/>
      <c r="U134" s="171"/>
      <c r="V134" s="171"/>
      <c r="W134" s="171"/>
      <c r="X134" s="161"/>
      <c r="Y134" s="161"/>
      <c r="Z134" s="161"/>
      <c r="AA134" s="161"/>
      <c r="AB134" s="161"/>
      <c r="AC134" s="171"/>
      <c r="AD134" s="198"/>
    </row>
    <row r="135">
      <c r="A135" s="169"/>
      <c r="B135" s="169"/>
      <c r="C135" s="161"/>
      <c r="D135" s="229"/>
      <c r="E135" s="161"/>
      <c r="F135" s="161"/>
      <c r="G135" s="161"/>
      <c r="H135" s="171"/>
      <c r="I135" s="171"/>
      <c r="J135" s="171"/>
      <c r="K135" s="171"/>
      <c r="L135" s="171"/>
      <c r="M135" s="171"/>
      <c r="N135" s="171"/>
      <c r="O135" s="171"/>
      <c r="P135" s="171"/>
      <c r="Q135" s="171"/>
      <c r="R135" s="171"/>
      <c r="S135" s="171"/>
      <c r="T135" s="171"/>
      <c r="U135" s="171"/>
      <c r="V135" s="171"/>
      <c r="W135" s="171"/>
      <c r="X135" s="161"/>
      <c r="Y135" s="161"/>
      <c r="Z135" s="161"/>
      <c r="AA135" s="161"/>
      <c r="AB135" s="161"/>
      <c r="AC135" s="171"/>
      <c r="AD135" s="198"/>
    </row>
    <row r="136">
      <c r="A136" s="169"/>
      <c r="B136" s="169"/>
      <c r="C136" s="161"/>
      <c r="D136" s="229"/>
      <c r="E136" s="161"/>
      <c r="F136" s="161"/>
      <c r="G136" s="161"/>
      <c r="H136" s="171"/>
      <c r="I136" s="171"/>
      <c r="J136" s="171"/>
      <c r="K136" s="171"/>
      <c r="L136" s="171"/>
      <c r="M136" s="171"/>
      <c r="N136" s="171"/>
      <c r="O136" s="171"/>
      <c r="P136" s="171"/>
      <c r="Q136" s="171"/>
      <c r="R136" s="171"/>
      <c r="S136" s="171"/>
      <c r="T136" s="171"/>
      <c r="U136" s="171"/>
      <c r="V136" s="171"/>
      <c r="W136" s="171"/>
      <c r="X136" s="161"/>
      <c r="Y136" s="161"/>
      <c r="Z136" s="161"/>
      <c r="AA136" s="161"/>
      <c r="AB136" s="161"/>
      <c r="AC136" s="171"/>
      <c r="AD136" s="198"/>
    </row>
    <row r="137">
      <c r="A137" s="169"/>
      <c r="B137" s="169"/>
      <c r="C137" s="161"/>
      <c r="D137" s="229"/>
      <c r="E137" s="161"/>
      <c r="F137" s="161"/>
      <c r="G137" s="161"/>
      <c r="H137" s="171"/>
      <c r="I137" s="171"/>
      <c r="J137" s="171"/>
      <c r="K137" s="171"/>
      <c r="L137" s="171"/>
      <c r="M137" s="171"/>
      <c r="N137" s="171"/>
      <c r="O137" s="171"/>
      <c r="P137" s="171"/>
      <c r="Q137" s="171"/>
      <c r="R137" s="171"/>
      <c r="S137" s="171"/>
      <c r="T137" s="171"/>
      <c r="U137" s="171"/>
      <c r="V137" s="171"/>
      <c r="W137" s="171"/>
      <c r="X137" s="161"/>
      <c r="Y137" s="161"/>
      <c r="Z137" s="161"/>
      <c r="AA137" s="161"/>
      <c r="AB137" s="161"/>
      <c r="AC137" s="171"/>
      <c r="AD137" s="198"/>
    </row>
    <row r="138">
      <c r="A138" s="169"/>
      <c r="B138" s="169"/>
      <c r="C138" s="161"/>
      <c r="D138" s="229"/>
      <c r="E138" s="161"/>
      <c r="F138" s="161"/>
      <c r="G138" s="161"/>
      <c r="H138" s="171"/>
      <c r="I138" s="171"/>
      <c r="J138" s="171"/>
      <c r="K138" s="171"/>
      <c r="L138" s="171"/>
      <c r="M138" s="171"/>
      <c r="N138" s="171"/>
      <c r="O138" s="171"/>
      <c r="P138" s="171"/>
      <c r="Q138" s="171"/>
      <c r="R138" s="171"/>
      <c r="S138" s="171"/>
      <c r="T138" s="171"/>
      <c r="U138" s="171"/>
      <c r="V138" s="171"/>
      <c r="W138" s="171"/>
      <c r="X138" s="161"/>
      <c r="Y138" s="161"/>
      <c r="Z138" s="161"/>
      <c r="AA138" s="161"/>
      <c r="AB138" s="161"/>
      <c r="AC138" s="171"/>
      <c r="AD138" s="198"/>
    </row>
    <row r="139">
      <c r="A139" s="169"/>
      <c r="B139" s="169"/>
      <c r="C139" s="161"/>
      <c r="D139" s="229"/>
      <c r="E139" s="161"/>
      <c r="F139" s="161"/>
      <c r="G139" s="161"/>
      <c r="H139" s="171"/>
      <c r="I139" s="171"/>
      <c r="J139" s="171"/>
      <c r="K139" s="171"/>
      <c r="L139" s="171"/>
      <c r="M139" s="171"/>
      <c r="N139" s="171"/>
      <c r="O139" s="171"/>
      <c r="P139" s="171"/>
      <c r="Q139" s="171"/>
      <c r="R139" s="171"/>
      <c r="S139" s="171"/>
      <c r="T139" s="171"/>
      <c r="U139" s="171"/>
      <c r="V139" s="171"/>
      <c r="W139" s="171"/>
      <c r="X139" s="161"/>
      <c r="Y139" s="161"/>
      <c r="Z139" s="161"/>
      <c r="AA139" s="161"/>
      <c r="AB139" s="161"/>
      <c r="AC139" s="171"/>
      <c r="AD139" s="198"/>
    </row>
    <row r="140">
      <c r="A140" s="169"/>
      <c r="B140" s="169"/>
      <c r="C140" s="161"/>
      <c r="D140" s="229"/>
      <c r="E140" s="161"/>
      <c r="F140" s="161"/>
      <c r="G140" s="161"/>
      <c r="H140" s="171"/>
      <c r="I140" s="171"/>
      <c r="J140" s="171"/>
      <c r="K140" s="171"/>
      <c r="L140" s="171"/>
      <c r="M140" s="171"/>
      <c r="N140" s="171"/>
      <c r="O140" s="171"/>
      <c r="P140" s="171"/>
      <c r="Q140" s="171"/>
      <c r="R140" s="171"/>
      <c r="S140" s="171"/>
      <c r="T140" s="171"/>
      <c r="U140" s="171"/>
      <c r="V140" s="171"/>
      <c r="W140" s="171"/>
      <c r="X140" s="161"/>
      <c r="Y140" s="161"/>
      <c r="Z140" s="161"/>
      <c r="AA140" s="161"/>
      <c r="AB140" s="161"/>
      <c r="AC140" s="171"/>
      <c r="AD140" s="198"/>
    </row>
    <row r="141">
      <c r="A141" s="169"/>
      <c r="B141" s="169"/>
      <c r="C141" s="161"/>
      <c r="D141" s="229"/>
      <c r="E141" s="161"/>
      <c r="F141" s="161"/>
      <c r="G141" s="161"/>
      <c r="H141" s="171"/>
      <c r="I141" s="171"/>
      <c r="J141" s="171"/>
      <c r="K141" s="171"/>
      <c r="L141" s="171"/>
      <c r="M141" s="171"/>
      <c r="N141" s="171"/>
      <c r="O141" s="171"/>
      <c r="P141" s="171"/>
      <c r="Q141" s="171"/>
      <c r="R141" s="171"/>
      <c r="S141" s="171"/>
      <c r="T141" s="171"/>
      <c r="U141" s="171"/>
      <c r="V141" s="171"/>
      <c r="W141" s="171"/>
      <c r="X141" s="161"/>
      <c r="Y141" s="161"/>
      <c r="Z141" s="161"/>
      <c r="AA141" s="161"/>
      <c r="AB141" s="161"/>
      <c r="AC141" s="171"/>
      <c r="AD141" s="198"/>
    </row>
    <row r="142">
      <c r="A142" s="169"/>
      <c r="B142" s="169"/>
      <c r="C142" s="161"/>
      <c r="D142" s="229"/>
      <c r="E142" s="161"/>
      <c r="F142" s="161"/>
      <c r="G142" s="161"/>
      <c r="H142" s="171"/>
      <c r="I142" s="171"/>
      <c r="J142" s="171"/>
      <c r="K142" s="171"/>
      <c r="L142" s="171"/>
      <c r="M142" s="171"/>
      <c r="N142" s="171"/>
      <c r="O142" s="171"/>
      <c r="P142" s="171"/>
      <c r="Q142" s="171"/>
      <c r="R142" s="171"/>
      <c r="S142" s="171"/>
      <c r="T142" s="171"/>
      <c r="U142" s="171"/>
      <c r="V142" s="171"/>
      <c r="W142" s="171"/>
      <c r="X142" s="161"/>
      <c r="Y142" s="161"/>
      <c r="Z142" s="161"/>
      <c r="AA142" s="161"/>
      <c r="AB142" s="161"/>
      <c r="AC142" s="171"/>
      <c r="AD142" s="198"/>
    </row>
    <row r="143">
      <c r="A143" s="169"/>
      <c r="B143" s="169"/>
      <c r="C143" s="161"/>
      <c r="D143" s="229"/>
      <c r="E143" s="161"/>
      <c r="F143" s="161"/>
      <c r="G143" s="161"/>
      <c r="H143" s="171"/>
      <c r="I143" s="171"/>
      <c r="J143" s="171"/>
      <c r="K143" s="171"/>
      <c r="L143" s="171"/>
      <c r="M143" s="171"/>
      <c r="N143" s="171"/>
      <c r="O143" s="171"/>
      <c r="P143" s="171"/>
      <c r="Q143" s="171"/>
      <c r="R143" s="171"/>
      <c r="S143" s="171"/>
      <c r="T143" s="171"/>
      <c r="U143" s="171"/>
      <c r="V143" s="171"/>
      <c r="W143" s="171"/>
      <c r="X143" s="161"/>
      <c r="Y143" s="161"/>
      <c r="Z143" s="161"/>
      <c r="AA143" s="161"/>
      <c r="AB143" s="161"/>
      <c r="AC143" s="171"/>
      <c r="AD143" s="198"/>
    </row>
    <row r="144">
      <c r="A144" s="169"/>
      <c r="B144" s="169"/>
      <c r="C144" s="161"/>
      <c r="D144" s="229"/>
      <c r="E144" s="161"/>
      <c r="F144" s="161"/>
      <c r="G144" s="161"/>
      <c r="H144" s="171"/>
      <c r="I144" s="171"/>
      <c r="J144" s="171"/>
      <c r="K144" s="171"/>
      <c r="L144" s="171"/>
      <c r="M144" s="171"/>
      <c r="N144" s="171"/>
      <c r="O144" s="171"/>
      <c r="P144" s="171"/>
      <c r="Q144" s="171"/>
      <c r="R144" s="171"/>
      <c r="S144" s="171"/>
      <c r="T144" s="171"/>
      <c r="U144" s="171"/>
      <c r="V144" s="171"/>
      <c r="W144" s="171"/>
      <c r="X144" s="161"/>
      <c r="Y144" s="161"/>
      <c r="Z144" s="161"/>
      <c r="AA144" s="161"/>
      <c r="AB144" s="161"/>
      <c r="AC144" s="171"/>
      <c r="AD144" s="198"/>
    </row>
    <row r="145">
      <c r="A145" s="169"/>
      <c r="B145" s="169"/>
      <c r="C145" s="161"/>
      <c r="D145" s="229"/>
      <c r="E145" s="161"/>
      <c r="F145" s="161"/>
      <c r="G145" s="161"/>
      <c r="H145" s="171"/>
      <c r="I145" s="171"/>
      <c r="J145" s="171"/>
      <c r="K145" s="171"/>
      <c r="L145" s="171"/>
      <c r="M145" s="171"/>
      <c r="N145" s="171"/>
      <c r="O145" s="171"/>
      <c r="P145" s="171"/>
      <c r="Q145" s="171"/>
      <c r="R145" s="171"/>
      <c r="S145" s="171"/>
      <c r="T145" s="171"/>
      <c r="U145" s="171"/>
      <c r="V145" s="171"/>
      <c r="W145" s="171"/>
      <c r="X145" s="161"/>
      <c r="Y145" s="161"/>
      <c r="Z145" s="161"/>
      <c r="AA145" s="161"/>
      <c r="AB145" s="161"/>
      <c r="AC145" s="171"/>
      <c r="AD145" s="198"/>
    </row>
    <row r="146">
      <c r="A146" s="169"/>
      <c r="B146" s="169"/>
      <c r="C146" s="161"/>
      <c r="D146" s="229"/>
      <c r="E146" s="161"/>
      <c r="F146" s="161"/>
      <c r="G146" s="161"/>
      <c r="H146" s="171"/>
      <c r="I146" s="171"/>
      <c r="J146" s="171"/>
      <c r="K146" s="171"/>
      <c r="L146" s="171"/>
      <c r="M146" s="171"/>
      <c r="N146" s="171"/>
      <c r="O146" s="171"/>
      <c r="P146" s="171"/>
      <c r="Q146" s="171"/>
      <c r="R146" s="171"/>
      <c r="S146" s="171"/>
      <c r="T146" s="171"/>
      <c r="U146" s="171"/>
      <c r="V146" s="171"/>
      <c r="W146" s="171"/>
      <c r="X146" s="161"/>
      <c r="Y146" s="161"/>
      <c r="Z146" s="161"/>
      <c r="AA146" s="161"/>
      <c r="AB146" s="161"/>
      <c r="AC146" s="171"/>
      <c r="AD146" s="198"/>
    </row>
    <row r="147">
      <c r="A147" s="169"/>
      <c r="B147" s="169"/>
      <c r="C147" s="161"/>
      <c r="D147" s="229"/>
      <c r="E147" s="161"/>
      <c r="F147" s="161"/>
      <c r="G147" s="161"/>
      <c r="H147" s="171"/>
      <c r="I147" s="171"/>
      <c r="J147" s="171"/>
      <c r="K147" s="171"/>
      <c r="L147" s="171"/>
      <c r="M147" s="171"/>
      <c r="N147" s="171"/>
      <c r="O147" s="171"/>
      <c r="P147" s="171"/>
      <c r="Q147" s="171"/>
      <c r="R147" s="171"/>
      <c r="S147" s="171"/>
      <c r="T147" s="171"/>
      <c r="U147" s="171"/>
      <c r="V147" s="171"/>
      <c r="W147" s="171"/>
      <c r="X147" s="161"/>
      <c r="Y147" s="161"/>
      <c r="Z147" s="161"/>
      <c r="AA147" s="161"/>
      <c r="AB147" s="161"/>
      <c r="AC147" s="171"/>
      <c r="AD147" s="198"/>
    </row>
    <row r="148">
      <c r="A148" s="169"/>
      <c r="B148" s="169"/>
      <c r="C148" s="161"/>
      <c r="D148" s="229"/>
      <c r="E148" s="161"/>
      <c r="F148" s="161"/>
      <c r="G148" s="161"/>
      <c r="H148" s="171"/>
      <c r="I148" s="171"/>
      <c r="J148" s="171"/>
      <c r="K148" s="171"/>
      <c r="L148" s="171"/>
      <c r="M148" s="171"/>
      <c r="N148" s="171"/>
      <c r="O148" s="171"/>
      <c r="P148" s="171"/>
      <c r="Q148" s="171"/>
      <c r="R148" s="171"/>
      <c r="S148" s="171"/>
      <c r="T148" s="171"/>
      <c r="U148" s="171"/>
      <c r="V148" s="171"/>
      <c r="W148" s="171"/>
      <c r="X148" s="161"/>
      <c r="Y148" s="161"/>
      <c r="Z148" s="161"/>
      <c r="AA148" s="161"/>
      <c r="AB148" s="161"/>
      <c r="AC148" s="171"/>
      <c r="AD148" s="198"/>
    </row>
    <row r="149">
      <c r="A149" s="169"/>
      <c r="B149" s="169"/>
      <c r="C149" s="161"/>
      <c r="D149" s="229"/>
      <c r="E149" s="161"/>
      <c r="F149" s="161"/>
      <c r="G149" s="161"/>
      <c r="H149" s="171"/>
      <c r="I149" s="171"/>
      <c r="J149" s="171"/>
      <c r="K149" s="171"/>
      <c r="L149" s="171"/>
      <c r="M149" s="171"/>
      <c r="N149" s="171"/>
      <c r="O149" s="171"/>
      <c r="P149" s="171"/>
      <c r="Q149" s="171"/>
      <c r="R149" s="171"/>
      <c r="S149" s="171"/>
      <c r="T149" s="171"/>
      <c r="U149" s="171"/>
      <c r="V149" s="171"/>
      <c r="W149" s="171"/>
      <c r="X149" s="161"/>
      <c r="Y149" s="161"/>
      <c r="Z149" s="161"/>
      <c r="AA149" s="161"/>
      <c r="AB149" s="161"/>
      <c r="AC149" s="171"/>
      <c r="AD149" s="198"/>
    </row>
    <row r="150">
      <c r="A150" s="169"/>
      <c r="B150" s="169"/>
      <c r="C150" s="161"/>
      <c r="D150" s="229"/>
      <c r="E150" s="161"/>
      <c r="F150" s="161"/>
      <c r="G150" s="161"/>
      <c r="H150" s="171"/>
      <c r="I150" s="171"/>
      <c r="J150" s="171"/>
      <c r="K150" s="171"/>
      <c r="L150" s="171"/>
      <c r="M150" s="171"/>
      <c r="N150" s="171"/>
      <c r="O150" s="171"/>
      <c r="P150" s="171"/>
      <c r="Q150" s="171"/>
      <c r="R150" s="171"/>
      <c r="S150" s="171"/>
      <c r="T150" s="171"/>
      <c r="U150" s="171"/>
      <c r="V150" s="171"/>
      <c r="W150" s="171"/>
      <c r="X150" s="161"/>
      <c r="Y150" s="161"/>
      <c r="Z150" s="161"/>
      <c r="AA150" s="161"/>
      <c r="AB150" s="161"/>
      <c r="AC150" s="171"/>
      <c r="AD150" s="198"/>
    </row>
    <row r="151">
      <c r="A151" s="169"/>
      <c r="B151" s="169"/>
      <c r="C151" s="161"/>
      <c r="D151" s="229"/>
      <c r="E151" s="161"/>
      <c r="F151" s="161"/>
      <c r="G151" s="161"/>
      <c r="H151" s="171"/>
      <c r="I151" s="171"/>
      <c r="J151" s="171"/>
      <c r="K151" s="171"/>
      <c r="L151" s="171"/>
      <c r="M151" s="171"/>
      <c r="N151" s="171"/>
      <c r="O151" s="171"/>
      <c r="P151" s="171"/>
      <c r="Q151" s="171"/>
      <c r="R151" s="171"/>
      <c r="S151" s="171"/>
      <c r="T151" s="171"/>
      <c r="U151" s="171"/>
      <c r="V151" s="171"/>
      <c r="W151" s="171"/>
      <c r="X151" s="161"/>
      <c r="Y151" s="161"/>
      <c r="Z151" s="161"/>
      <c r="AA151" s="161"/>
      <c r="AB151" s="161"/>
      <c r="AC151" s="171"/>
      <c r="AD151" s="198"/>
    </row>
    <row r="152">
      <c r="A152" s="169"/>
      <c r="B152" s="169"/>
      <c r="C152" s="161"/>
      <c r="D152" s="229"/>
      <c r="E152" s="161"/>
      <c r="F152" s="161"/>
      <c r="G152" s="161"/>
      <c r="H152" s="171"/>
      <c r="I152" s="171"/>
      <c r="J152" s="171"/>
      <c r="K152" s="171"/>
      <c r="L152" s="171"/>
      <c r="M152" s="171"/>
      <c r="N152" s="171"/>
      <c r="O152" s="171"/>
      <c r="P152" s="171"/>
      <c r="Q152" s="171"/>
      <c r="R152" s="171"/>
      <c r="S152" s="171"/>
      <c r="T152" s="171"/>
      <c r="U152" s="171"/>
      <c r="V152" s="171"/>
      <c r="W152" s="171"/>
      <c r="X152" s="161"/>
      <c r="Y152" s="161"/>
      <c r="Z152" s="161"/>
      <c r="AA152" s="161"/>
      <c r="AB152" s="161"/>
      <c r="AC152" s="171"/>
      <c r="AD152" s="198"/>
    </row>
    <row r="153">
      <c r="A153" s="169"/>
      <c r="B153" s="169"/>
      <c r="C153" s="161"/>
      <c r="D153" s="229"/>
      <c r="E153" s="161"/>
      <c r="F153" s="161"/>
      <c r="G153" s="161"/>
      <c r="H153" s="171"/>
      <c r="I153" s="171"/>
      <c r="J153" s="171"/>
      <c r="K153" s="171"/>
      <c r="L153" s="171"/>
      <c r="M153" s="171"/>
      <c r="N153" s="171"/>
      <c r="O153" s="171"/>
      <c r="P153" s="171"/>
      <c r="Q153" s="171"/>
      <c r="R153" s="171"/>
      <c r="S153" s="171"/>
      <c r="T153" s="171"/>
      <c r="U153" s="171"/>
      <c r="V153" s="171"/>
      <c r="W153" s="171"/>
      <c r="X153" s="161"/>
      <c r="Y153" s="161"/>
      <c r="Z153" s="161"/>
      <c r="AA153" s="161"/>
      <c r="AB153" s="161"/>
      <c r="AC153" s="171"/>
      <c r="AD153" s="198"/>
    </row>
    <row r="154">
      <c r="A154" s="169"/>
      <c r="B154" s="169"/>
      <c r="C154" s="161"/>
      <c r="D154" s="229"/>
      <c r="E154" s="161"/>
      <c r="F154" s="161"/>
      <c r="G154" s="161"/>
      <c r="H154" s="171"/>
      <c r="I154" s="171"/>
      <c r="J154" s="171"/>
      <c r="K154" s="171"/>
      <c r="L154" s="171"/>
      <c r="M154" s="171"/>
      <c r="N154" s="171"/>
      <c r="O154" s="171"/>
      <c r="P154" s="171"/>
      <c r="Q154" s="171"/>
      <c r="R154" s="171"/>
      <c r="S154" s="171"/>
      <c r="T154" s="171"/>
      <c r="U154" s="171"/>
      <c r="V154" s="171"/>
      <c r="W154" s="171"/>
      <c r="X154" s="161"/>
      <c r="Y154" s="161"/>
      <c r="Z154" s="161"/>
      <c r="AA154" s="161"/>
      <c r="AB154" s="161"/>
      <c r="AC154" s="171"/>
      <c r="AD154" s="198"/>
    </row>
    <row r="155">
      <c r="A155" s="169"/>
      <c r="B155" s="169"/>
      <c r="C155" s="161"/>
      <c r="D155" s="229"/>
      <c r="E155" s="161"/>
      <c r="F155" s="161"/>
      <c r="G155" s="161"/>
      <c r="H155" s="171"/>
      <c r="I155" s="171"/>
      <c r="J155" s="171"/>
      <c r="K155" s="171"/>
      <c r="L155" s="171"/>
      <c r="M155" s="171"/>
      <c r="N155" s="171"/>
      <c r="O155" s="171"/>
      <c r="P155" s="171"/>
      <c r="Q155" s="171"/>
      <c r="R155" s="171"/>
      <c r="S155" s="171"/>
      <c r="T155" s="171"/>
      <c r="U155" s="171"/>
      <c r="V155" s="171"/>
      <c r="W155" s="171"/>
      <c r="X155" s="161"/>
      <c r="Y155" s="161"/>
      <c r="Z155" s="161"/>
      <c r="AA155" s="161"/>
      <c r="AB155" s="161"/>
      <c r="AC155" s="171"/>
      <c r="AD155" s="198"/>
    </row>
    <row r="156">
      <c r="A156" s="169"/>
      <c r="B156" s="169"/>
      <c r="C156" s="161"/>
      <c r="D156" s="229"/>
      <c r="E156" s="161"/>
      <c r="F156" s="161"/>
      <c r="G156" s="161"/>
      <c r="H156" s="171"/>
      <c r="I156" s="171"/>
      <c r="J156" s="171"/>
      <c r="K156" s="171"/>
      <c r="L156" s="171"/>
      <c r="M156" s="171"/>
      <c r="N156" s="171"/>
      <c r="O156" s="171"/>
      <c r="P156" s="171"/>
      <c r="Q156" s="171"/>
      <c r="R156" s="171"/>
      <c r="S156" s="171"/>
      <c r="T156" s="171"/>
      <c r="U156" s="171"/>
      <c r="V156" s="171"/>
      <c r="W156" s="171"/>
      <c r="X156" s="161"/>
      <c r="Y156" s="161"/>
      <c r="Z156" s="161"/>
      <c r="AA156" s="161"/>
      <c r="AB156" s="161"/>
      <c r="AC156" s="171"/>
      <c r="AD156" s="198"/>
    </row>
    <row r="157">
      <c r="A157" s="169"/>
      <c r="B157" s="169"/>
      <c r="C157" s="161"/>
      <c r="D157" s="229"/>
      <c r="E157" s="161"/>
      <c r="F157" s="161"/>
      <c r="G157" s="161"/>
      <c r="H157" s="171"/>
      <c r="I157" s="171"/>
      <c r="J157" s="171"/>
      <c r="K157" s="171"/>
      <c r="L157" s="171"/>
      <c r="M157" s="171"/>
      <c r="N157" s="171"/>
      <c r="O157" s="171"/>
      <c r="P157" s="171"/>
      <c r="Q157" s="171"/>
      <c r="R157" s="171"/>
      <c r="S157" s="171"/>
      <c r="T157" s="171"/>
      <c r="U157" s="171"/>
      <c r="V157" s="171"/>
      <c r="W157" s="171"/>
      <c r="X157" s="161"/>
      <c r="Y157" s="161"/>
      <c r="Z157" s="161"/>
      <c r="AA157" s="161"/>
      <c r="AB157" s="161"/>
      <c r="AC157" s="171"/>
      <c r="AD157" s="198"/>
    </row>
    <row r="158">
      <c r="A158" s="169"/>
      <c r="B158" s="169"/>
      <c r="C158" s="161"/>
      <c r="D158" s="229"/>
      <c r="E158" s="161"/>
      <c r="F158" s="161"/>
      <c r="G158" s="161"/>
      <c r="H158" s="171"/>
      <c r="I158" s="171"/>
      <c r="J158" s="171"/>
      <c r="K158" s="171"/>
      <c r="L158" s="171"/>
      <c r="M158" s="171"/>
      <c r="N158" s="171"/>
      <c r="O158" s="171"/>
      <c r="P158" s="171"/>
      <c r="Q158" s="171"/>
      <c r="R158" s="171"/>
      <c r="S158" s="171"/>
      <c r="T158" s="171"/>
      <c r="U158" s="171"/>
      <c r="V158" s="171"/>
      <c r="W158" s="171"/>
      <c r="X158" s="161"/>
      <c r="Y158" s="161"/>
      <c r="Z158" s="161"/>
      <c r="AA158" s="161"/>
      <c r="AB158" s="161"/>
      <c r="AC158" s="171"/>
      <c r="AD158" s="198"/>
    </row>
    <row r="159">
      <c r="A159" s="169"/>
      <c r="B159" s="169"/>
      <c r="C159" s="161"/>
      <c r="D159" s="229"/>
      <c r="E159" s="161"/>
      <c r="F159" s="161"/>
      <c r="G159" s="161"/>
      <c r="H159" s="171"/>
      <c r="I159" s="171"/>
      <c r="J159" s="171"/>
      <c r="K159" s="171"/>
      <c r="L159" s="171"/>
      <c r="M159" s="171"/>
      <c r="N159" s="171"/>
      <c r="O159" s="171"/>
      <c r="P159" s="171"/>
      <c r="Q159" s="171"/>
      <c r="R159" s="171"/>
      <c r="S159" s="171"/>
      <c r="T159" s="171"/>
      <c r="U159" s="171"/>
      <c r="V159" s="171"/>
      <c r="W159" s="171"/>
      <c r="X159" s="161"/>
      <c r="Y159" s="161"/>
      <c r="Z159" s="161"/>
      <c r="AA159" s="161"/>
      <c r="AB159" s="161"/>
      <c r="AC159" s="171"/>
      <c r="AD159" s="198"/>
    </row>
    <row r="160">
      <c r="A160" s="169"/>
      <c r="B160" s="169"/>
      <c r="C160" s="161"/>
      <c r="D160" s="229"/>
      <c r="E160" s="161"/>
      <c r="F160" s="161"/>
      <c r="G160" s="161"/>
      <c r="H160" s="171"/>
      <c r="I160" s="171"/>
      <c r="J160" s="171"/>
      <c r="K160" s="171"/>
      <c r="L160" s="171"/>
      <c r="M160" s="171"/>
      <c r="N160" s="171"/>
      <c r="O160" s="171"/>
      <c r="P160" s="171"/>
      <c r="Q160" s="171"/>
      <c r="R160" s="171"/>
      <c r="S160" s="171"/>
      <c r="T160" s="171"/>
      <c r="U160" s="171"/>
      <c r="V160" s="171"/>
      <c r="W160" s="171"/>
      <c r="X160" s="161"/>
      <c r="Y160" s="161"/>
      <c r="Z160" s="161"/>
      <c r="AA160" s="161"/>
      <c r="AB160" s="161"/>
      <c r="AC160" s="171"/>
      <c r="AD160" s="198"/>
    </row>
    <row r="161">
      <c r="A161" s="169"/>
      <c r="B161" s="169"/>
      <c r="C161" s="161"/>
      <c r="D161" s="229"/>
      <c r="E161" s="161"/>
      <c r="F161" s="161"/>
      <c r="G161" s="161"/>
      <c r="H161" s="171"/>
      <c r="I161" s="171"/>
      <c r="J161" s="171"/>
      <c r="K161" s="171"/>
      <c r="L161" s="171"/>
      <c r="M161" s="171"/>
      <c r="N161" s="171"/>
      <c r="O161" s="171"/>
      <c r="P161" s="171"/>
      <c r="Q161" s="171"/>
      <c r="R161" s="171"/>
      <c r="S161" s="171"/>
      <c r="T161" s="171"/>
      <c r="U161" s="171"/>
      <c r="V161" s="171"/>
      <c r="W161" s="171"/>
      <c r="X161" s="161"/>
      <c r="Y161" s="161"/>
      <c r="Z161" s="161"/>
      <c r="AA161" s="161"/>
      <c r="AB161" s="161"/>
      <c r="AC161" s="171"/>
      <c r="AD161" s="198"/>
    </row>
    <row r="162">
      <c r="A162" s="169"/>
      <c r="B162" s="169"/>
      <c r="C162" s="161"/>
      <c r="D162" s="229"/>
      <c r="E162" s="161"/>
      <c r="F162" s="161"/>
      <c r="G162" s="161"/>
      <c r="H162" s="171"/>
      <c r="I162" s="171"/>
      <c r="J162" s="171"/>
      <c r="K162" s="171"/>
      <c r="L162" s="171"/>
      <c r="M162" s="171"/>
      <c r="N162" s="171"/>
      <c r="O162" s="171"/>
      <c r="P162" s="171"/>
      <c r="Q162" s="171"/>
      <c r="R162" s="171"/>
      <c r="S162" s="171"/>
      <c r="T162" s="171"/>
      <c r="U162" s="171"/>
      <c r="V162" s="171"/>
      <c r="W162" s="171"/>
      <c r="X162" s="161"/>
      <c r="Y162" s="161"/>
      <c r="Z162" s="161"/>
      <c r="AA162" s="161"/>
      <c r="AB162" s="161"/>
      <c r="AC162" s="171"/>
      <c r="AD162" s="198"/>
    </row>
    <row r="163">
      <c r="A163" s="169"/>
      <c r="B163" s="169"/>
      <c r="C163" s="161"/>
      <c r="D163" s="229"/>
      <c r="E163" s="161"/>
      <c r="F163" s="161"/>
      <c r="G163" s="161"/>
      <c r="H163" s="171"/>
      <c r="I163" s="171"/>
      <c r="J163" s="171"/>
      <c r="K163" s="171"/>
      <c r="L163" s="171"/>
      <c r="M163" s="171"/>
      <c r="N163" s="171"/>
      <c r="O163" s="171"/>
      <c r="P163" s="171"/>
      <c r="Q163" s="171"/>
      <c r="R163" s="171"/>
      <c r="S163" s="171"/>
      <c r="T163" s="171"/>
      <c r="U163" s="171"/>
      <c r="V163" s="171"/>
      <c r="W163" s="171"/>
      <c r="X163" s="161"/>
      <c r="Y163" s="161"/>
      <c r="Z163" s="161"/>
      <c r="AA163" s="161"/>
      <c r="AB163" s="161"/>
      <c r="AC163" s="171"/>
      <c r="AD163" s="198"/>
    </row>
    <row r="164">
      <c r="A164" s="169"/>
      <c r="B164" s="169"/>
      <c r="C164" s="161"/>
      <c r="D164" s="229"/>
      <c r="E164" s="161"/>
      <c r="F164" s="161"/>
      <c r="G164" s="161"/>
      <c r="H164" s="171"/>
      <c r="I164" s="171"/>
      <c r="J164" s="171"/>
      <c r="K164" s="171"/>
      <c r="L164" s="171"/>
      <c r="M164" s="171"/>
      <c r="N164" s="171"/>
      <c r="O164" s="171"/>
      <c r="P164" s="171"/>
      <c r="Q164" s="171"/>
      <c r="R164" s="171"/>
      <c r="S164" s="171"/>
      <c r="T164" s="171"/>
      <c r="U164" s="171"/>
      <c r="V164" s="171"/>
      <c r="W164" s="171"/>
      <c r="X164" s="161"/>
      <c r="Y164" s="161"/>
      <c r="Z164" s="161"/>
      <c r="AA164" s="161"/>
      <c r="AB164" s="161"/>
      <c r="AC164" s="171"/>
      <c r="AD164" s="198"/>
    </row>
    <row r="165">
      <c r="A165" s="169"/>
      <c r="B165" s="169"/>
      <c r="C165" s="161"/>
      <c r="D165" s="229"/>
      <c r="E165" s="161"/>
      <c r="F165" s="161"/>
      <c r="G165" s="161"/>
      <c r="H165" s="171"/>
      <c r="I165" s="171"/>
      <c r="J165" s="171"/>
      <c r="K165" s="171"/>
      <c r="L165" s="171"/>
      <c r="M165" s="171"/>
      <c r="N165" s="171"/>
      <c r="O165" s="171"/>
      <c r="P165" s="171"/>
      <c r="Q165" s="171"/>
      <c r="R165" s="171"/>
      <c r="S165" s="171"/>
      <c r="T165" s="171"/>
      <c r="U165" s="171"/>
      <c r="V165" s="171"/>
      <c r="W165" s="171"/>
      <c r="X165" s="161"/>
      <c r="Y165" s="161"/>
      <c r="Z165" s="161"/>
      <c r="AA165" s="161"/>
      <c r="AB165" s="161"/>
      <c r="AC165" s="171"/>
      <c r="AD165" s="198"/>
    </row>
    <row r="166">
      <c r="A166" s="169"/>
      <c r="B166" s="169"/>
      <c r="C166" s="161"/>
      <c r="D166" s="229"/>
      <c r="E166" s="161"/>
      <c r="F166" s="161"/>
      <c r="G166" s="161"/>
      <c r="H166" s="171"/>
      <c r="I166" s="171"/>
      <c r="J166" s="171"/>
      <c r="K166" s="171"/>
      <c r="L166" s="171"/>
      <c r="M166" s="171"/>
      <c r="N166" s="171"/>
      <c r="O166" s="171"/>
      <c r="P166" s="171"/>
      <c r="Q166" s="171"/>
      <c r="R166" s="171"/>
      <c r="S166" s="171"/>
      <c r="T166" s="171"/>
      <c r="U166" s="171"/>
      <c r="V166" s="171"/>
      <c r="W166" s="171"/>
      <c r="X166" s="161"/>
      <c r="Y166" s="161"/>
      <c r="Z166" s="161"/>
      <c r="AA166" s="161"/>
      <c r="AB166" s="161"/>
      <c r="AC166" s="171"/>
      <c r="AD166" s="198"/>
    </row>
    <row r="167">
      <c r="A167" s="169"/>
      <c r="B167" s="169"/>
      <c r="C167" s="161"/>
      <c r="D167" s="229"/>
      <c r="E167" s="161"/>
      <c r="F167" s="161"/>
      <c r="G167" s="161"/>
      <c r="H167" s="171"/>
      <c r="I167" s="171"/>
      <c r="J167" s="171"/>
      <c r="K167" s="171"/>
      <c r="L167" s="171"/>
      <c r="M167" s="171"/>
      <c r="N167" s="171"/>
      <c r="O167" s="171"/>
      <c r="P167" s="171"/>
      <c r="Q167" s="171"/>
      <c r="R167" s="171"/>
      <c r="S167" s="171"/>
      <c r="T167" s="171"/>
      <c r="U167" s="171"/>
      <c r="V167" s="171"/>
      <c r="W167" s="171"/>
      <c r="X167" s="161"/>
      <c r="Y167" s="161"/>
      <c r="Z167" s="161"/>
      <c r="AA167" s="161"/>
      <c r="AB167" s="161"/>
      <c r="AC167" s="171"/>
      <c r="AD167" s="198"/>
    </row>
    <row r="168">
      <c r="A168" s="169"/>
      <c r="B168" s="169"/>
      <c r="C168" s="161"/>
      <c r="D168" s="229"/>
      <c r="E168" s="161"/>
      <c r="F168" s="161"/>
      <c r="G168" s="161"/>
      <c r="H168" s="171"/>
      <c r="I168" s="171"/>
      <c r="J168" s="171"/>
      <c r="K168" s="171"/>
      <c r="L168" s="171"/>
      <c r="M168" s="171"/>
      <c r="N168" s="171"/>
      <c r="O168" s="171"/>
      <c r="P168" s="171"/>
      <c r="Q168" s="171"/>
      <c r="R168" s="171"/>
      <c r="S168" s="171"/>
      <c r="T168" s="171"/>
      <c r="U168" s="171"/>
      <c r="V168" s="171"/>
      <c r="W168" s="171"/>
      <c r="X168" s="161"/>
      <c r="Y168" s="161"/>
      <c r="Z168" s="161"/>
      <c r="AA168" s="161"/>
      <c r="AB168" s="161"/>
      <c r="AC168" s="171"/>
      <c r="AD168" s="198"/>
    </row>
    <row r="169">
      <c r="A169" s="169"/>
      <c r="B169" s="169"/>
      <c r="C169" s="161"/>
      <c r="D169" s="229"/>
      <c r="E169" s="161"/>
      <c r="F169" s="161"/>
      <c r="G169" s="161"/>
      <c r="H169" s="171"/>
      <c r="I169" s="171"/>
      <c r="J169" s="171"/>
      <c r="K169" s="171"/>
      <c r="L169" s="171"/>
      <c r="M169" s="171"/>
      <c r="N169" s="171"/>
      <c r="O169" s="171"/>
      <c r="P169" s="171"/>
      <c r="Q169" s="171"/>
      <c r="R169" s="171"/>
      <c r="S169" s="171"/>
      <c r="T169" s="171"/>
      <c r="U169" s="171"/>
      <c r="V169" s="171"/>
      <c r="W169" s="171"/>
      <c r="X169" s="161"/>
      <c r="Y169" s="161"/>
      <c r="Z169" s="161"/>
      <c r="AA169" s="161"/>
      <c r="AB169" s="161"/>
      <c r="AC169" s="171"/>
      <c r="AD169" s="198"/>
    </row>
    <row r="170">
      <c r="A170" s="169"/>
      <c r="B170" s="169"/>
      <c r="C170" s="161"/>
      <c r="D170" s="229"/>
      <c r="E170" s="161"/>
      <c r="F170" s="161"/>
      <c r="G170" s="161"/>
      <c r="H170" s="171"/>
      <c r="I170" s="171"/>
      <c r="J170" s="171"/>
      <c r="K170" s="171"/>
      <c r="L170" s="171"/>
      <c r="M170" s="171"/>
      <c r="N170" s="171"/>
      <c r="O170" s="171"/>
      <c r="P170" s="171"/>
      <c r="Q170" s="171"/>
      <c r="R170" s="171"/>
      <c r="S170" s="171"/>
      <c r="T170" s="171"/>
      <c r="U170" s="171"/>
      <c r="V170" s="171"/>
      <c r="W170" s="171"/>
      <c r="X170" s="161"/>
      <c r="Y170" s="161"/>
      <c r="Z170" s="161"/>
      <c r="AA170" s="161"/>
      <c r="AB170" s="161"/>
      <c r="AC170" s="171"/>
      <c r="AD170" s="198"/>
    </row>
    <row r="171">
      <c r="A171" s="169"/>
      <c r="B171" s="169"/>
      <c r="C171" s="161"/>
      <c r="D171" s="229"/>
      <c r="E171" s="161"/>
      <c r="F171" s="161"/>
      <c r="G171" s="161"/>
      <c r="H171" s="171"/>
      <c r="I171" s="171"/>
      <c r="J171" s="171"/>
      <c r="K171" s="171"/>
      <c r="L171" s="171"/>
      <c r="M171" s="171"/>
      <c r="N171" s="171"/>
      <c r="O171" s="171"/>
      <c r="P171" s="171"/>
      <c r="Q171" s="171"/>
      <c r="R171" s="171"/>
      <c r="S171" s="171"/>
      <c r="T171" s="171"/>
      <c r="U171" s="171"/>
      <c r="V171" s="171"/>
      <c r="W171" s="171"/>
      <c r="X171" s="161"/>
      <c r="Y171" s="161"/>
      <c r="Z171" s="161"/>
      <c r="AA171" s="161"/>
      <c r="AB171" s="161"/>
      <c r="AC171" s="171"/>
      <c r="AD171" s="198"/>
    </row>
    <row r="172">
      <c r="A172" s="169"/>
      <c r="B172" s="169"/>
      <c r="C172" s="161"/>
      <c r="D172" s="229"/>
      <c r="E172" s="161"/>
      <c r="F172" s="161"/>
      <c r="G172" s="161"/>
      <c r="H172" s="171"/>
      <c r="I172" s="171"/>
      <c r="J172" s="171"/>
      <c r="K172" s="171"/>
      <c r="L172" s="171"/>
      <c r="M172" s="171"/>
      <c r="N172" s="171"/>
      <c r="O172" s="171"/>
      <c r="P172" s="171"/>
      <c r="Q172" s="171"/>
      <c r="R172" s="171"/>
      <c r="S172" s="171"/>
      <c r="T172" s="171"/>
      <c r="U172" s="171"/>
      <c r="V172" s="171"/>
      <c r="W172" s="171"/>
      <c r="X172" s="161"/>
      <c r="Y172" s="161"/>
      <c r="Z172" s="161"/>
      <c r="AA172" s="161"/>
      <c r="AB172" s="161"/>
      <c r="AC172" s="171"/>
      <c r="AD172" s="198"/>
    </row>
    <row r="173">
      <c r="A173" s="169"/>
      <c r="B173" s="169"/>
      <c r="C173" s="161"/>
      <c r="D173" s="229"/>
      <c r="E173" s="161"/>
      <c r="F173" s="161"/>
      <c r="G173" s="161"/>
      <c r="H173" s="171"/>
      <c r="I173" s="171"/>
      <c r="J173" s="171"/>
      <c r="K173" s="171"/>
      <c r="L173" s="171"/>
      <c r="M173" s="171"/>
      <c r="N173" s="171"/>
      <c r="O173" s="171"/>
      <c r="P173" s="171"/>
      <c r="Q173" s="171"/>
      <c r="R173" s="171"/>
      <c r="S173" s="171"/>
      <c r="T173" s="171"/>
      <c r="U173" s="171"/>
      <c r="V173" s="171"/>
      <c r="W173" s="171"/>
      <c r="X173" s="161"/>
      <c r="Y173" s="161"/>
      <c r="Z173" s="161"/>
      <c r="AA173" s="161"/>
      <c r="AB173" s="161"/>
      <c r="AC173" s="171"/>
      <c r="AD173" s="198"/>
    </row>
    <row r="174">
      <c r="A174" s="169"/>
      <c r="B174" s="169"/>
      <c r="C174" s="161"/>
      <c r="D174" s="229"/>
      <c r="E174" s="161"/>
      <c r="F174" s="161"/>
      <c r="G174" s="161"/>
      <c r="H174" s="171"/>
      <c r="I174" s="171"/>
      <c r="J174" s="171"/>
      <c r="K174" s="171"/>
      <c r="L174" s="171"/>
      <c r="M174" s="171"/>
      <c r="N174" s="171"/>
      <c r="O174" s="171"/>
      <c r="P174" s="171"/>
      <c r="Q174" s="171"/>
      <c r="R174" s="171"/>
      <c r="S174" s="171"/>
      <c r="T174" s="171"/>
      <c r="U174" s="171"/>
      <c r="V174" s="171"/>
      <c r="W174" s="171"/>
      <c r="X174" s="161"/>
      <c r="Y174" s="161"/>
      <c r="Z174" s="161"/>
      <c r="AA174" s="161"/>
      <c r="AB174" s="161"/>
      <c r="AC174" s="171"/>
      <c r="AD174" s="198"/>
    </row>
    <row r="175">
      <c r="A175" s="169"/>
      <c r="B175" s="169"/>
      <c r="C175" s="161"/>
      <c r="D175" s="229"/>
      <c r="E175" s="161"/>
      <c r="F175" s="161"/>
      <c r="G175" s="161"/>
      <c r="H175" s="171"/>
      <c r="I175" s="171"/>
      <c r="J175" s="171"/>
      <c r="K175" s="171"/>
      <c r="L175" s="171"/>
      <c r="M175" s="171"/>
      <c r="N175" s="171"/>
      <c r="O175" s="171"/>
      <c r="P175" s="171"/>
      <c r="Q175" s="171"/>
      <c r="R175" s="171"/>
      <c r="S175" s="171"/>
      <c r="T175" s="171"/>
      <c r="U175" s="171"/>
      <c r="V175" s="171"/>
      <c r="W175" s="171"/>
      <c r="X175" s="161"/>
      <c r="Y175" s="161"/>
      <c r="Z175" s="161"/>
      <c r="AA175" s="161"/>
      <c r="AB175" s="161"/>
      <c r="AC175" s="171"/>
      <c r="AD175" s="198"/>
    </row>
    <row r="176">
      <c r="A176" s="169"/>
      <c r="B176" s="169"/>
      <c r="C176" s="161"/>
      <c r="D176" s="229"/>
      <c r="E176" s="161"/>
      <c r="F176" s="161"/>
      <c r="G176" s="161"/>
      <c r="H176" s="171"/>
      <c r="I176" s="171"/>
      <c r="J176" s="171"/>
      <c r="K176" s="171"/>
      <c r="L176" s="171"/>
      <c r="M176" s="171"/>
      <c r="N176" s="171"/>
      <c r="O176" s="171"/>
      <c r="P176" s="171"/>
      <c r="Q176" s="171"/>
      <c r="R176" s="171"/>
      <c r="S176" s="171"/>
      <c r="T176" s="171"/>
      <c r="U176" s="171"/>
      <c r="V176" s="171"/>
      <c r="W176" s="171"/>
      <c r="X176" s="161"/>
      <c r="Y176" s="161"/>
      <c r="Z176" s="161"/>
      <c r="AA176" s="161"/>
      <c r="AB176" s="161"/>
      <c r="AC176" s="171"/>
      <c r="AD176" s="198"/>
    </row>
    <row r="177">
      <c r="A177" s="169"/>
      <c r="B177" s="169"/>
      <c r="C177" s="161"/>
      <c r="D177" s="229"/>
      <c r="E177" s="161"/>
      <c r="F177" s="161"/>
      <c r="G177" s="161"/>
      <c r="H177" s="171"/>
      <c r="I177" s="171"/>
      <c r="J177" s="171"/>
      <c r="K177" s="171"/>
      <c r="L177" s="171"/>
      <c r="M177" s="171"/>
      <c r="N177" s="171"/>
      <c r="O177" s="171"/>
      <c r="P177" s="171"/>
      <c r="Q177" s="171"/>
      <c r="R177" s="171"/>
      <c r="S177" s="171"/>
      <c r="T177" s="171"/>
      <c r="U177" s="171"/>
      <c r="V177" s="171"/>
      <c r="W177" s="171"/>
      <c r="X177" s="161"/>
      <c r="Y177" s="161"/>
      <c r="Z177" s="161"/>
      <c r="AA177" s="161"/>
      <c r="AB177" s="161"/>
      <c r="AC177" s="171"/>
      <c r="AD177" s="198"/>
    </row>
    <row r="178">
      <c r="A178" s="169"/>
      <c r="B178" s="169"/>
      <c r="C178" s="161"/>
      <c r="D178" s="229"/>
      <c r="E178" s="161"/>
      <c r="F178" s="161"/>
      <c r="G178" s="161"/>
      <c r="H178" s="171"/>
      <c r="I178" s="171"/>
      <c r="J178" s="171"/>
      <c r="K178" s="171"/>
      <c r="L178" s="171"/>
      <c r="M178" s="171"/>
      <c r="N178" s="171"/>
      <c r="O178" s="171"/>
      <c r="P178" s="171"/>
      <c r="Q178" s="171"/>
      <c r="R178" s="171"/>
      <c r="S178" s="171"/>
      <c r="T178" s="171"/>
      <c r="U178" s="171"/>
      <c r="V178" s="171"/>
      <c r="W178" s="171"/>
      <c r="X178" s="161"/>
      <c r="Y178" s="161"/>
      <c r="Z178" s="161"/>
      <c r="AA178" s="161"/>
      <c r="AB178" s="161"/>
      <c r="AC178" s="171"/>
      <c r="AD178" s="198"/>
    </row>
    <row r="179">
      <c r="A179" s="169"/>
      <c r="B179" s="169"/>
      <c r="C179" s="161"/>
      <c r="D179" s="229"/>
      <c r="E179" s="161"/>
      <c r="F179" s="161"/>
      <c r="G179" s="161"/>
      <c r="H179" s="171"/>
      <c r="I179" s="171"/>
      <c r="J179" s="171"/>
      <c r="K179" s="171"/>
      <c r="L179" s="171"/>
      <c r="M179" s="171"/>
      <c r="N179" s="171"/>
      <c r="O179" s="171"/>
      <c r="P179" s="171"/>
      <c r="Q179" s="171"/>
      <c r="R179" s="171"/>
      <c r="S179" s="171"/>
      <c r="T179" s="171"/>
      <c r="U179" s="171"/>
      <c r="V179" s="171"/>
      <c r="W179" s="171"/>
      <c r="X179" s="161"/>
      <c r="Y179" s="161"/>
      <c r="Z179" s="161"/>
      <c r="AA179" s="161"/>
      <c r="AB179" s="161"/>
      <c r="AC179" s="171"/>
      <c r="AD179" s="198"/>
    </row>
    <row r="180">
      <c r="A180" s="169"/>
      <c r="B180" s="169"/>
      <c r="C180" s="161"/>
      <c r="D180" s="229"/>
      <c r="E180" s="161"/>
      <c r="F180" s="161"/>
      <c r="G180" s="161"/>
      <c r="H180" s="171"/>
      <c r="I180" s="171"/>
      <c r="J180" s="171"/>
      <c r="K180" s="171"/>
      <c r="L180" s="171"/>
      <c r="M180" s="171"/>
      <c r="N180" s="171"/>
      <c r="O180" s="171"/>
      <c r="P180" s="171"/>
      <c r="Q180" s="171"/>
      <c r="R180" s="171"/>
      <c r="S180" s="171"/>
      <c r="T180" s="171"/>
      <c r="U180" s="171"/>
      <c r="V180" s="171"/>
      <c r="W180" s="171"/>
      <c r="X180" s="161"/>
      <c r="Y180" s="161"/>
      <c r="Z180" s="161"/>
      <c r="AA180" s="161"/>
      <c r="AB180" s="161"/>
      <c r="AC180" s="171"/>
      <c r="AD180" s="198"/>
    </row>
    <row r="181">
      <c r="A181" s="169"/>
      <c r="B181" s="169"/>
      <c r="C181" s="161"/>
      <c r="D181" s="229"/>
      <c r="E181" s="161"/>
      <c r="F181" s="161"/>
      <c r="G181" s="161"/>
      <c r="H181" s="171"/>
      <c r="I181" s="171"/>
      <c r="J181" s="171"/>
      <c r="K181" s="171"/>
      <c r="L181" s="171"/>
      <c r="M181" s="171"/>
      <c r="N181" s="171"/>
      <c r="O181" s="171"/>
      <c r="P181" s="171"/>
      <c r="Q181" s="171"/>
      <c r="R181" s="171"/>
      <c r="S181" s="171"/>
      <c r="T181" s="171"/>
      <c r="U181" s="171"/>
      <c r="V181" s="171"/>
      <c r="W181" s="171"/>
      <c r="X181" s="161"/>
      <c r="Y181" s="161"/>
      <c r="Z181" s="161"/>
      <c r="AA181" s="161"/>
      <c r="AB181" s="161"/>
      <c r="AC181" s="171"/>
      <c r="AD181" s="198"/>
    </row>
    <row r="182">
      <c r="A182" s="169"/>
      <c r="B182" s="169"/>
      <c r="C182" s="161"/>
      <c r="D182" s="229"/>
      <c r="E182" s="161"/>
      <c r="F182" s="161"/>
      <c r="G182" s="161"/>
      <c r="H182" s="171"/>
      <c r="I182" s="171"/>
      <c r="J182" s="171"/>
      <c r="K182" s="171"/>
      <c r="L182" s="171"/>
      <c r="M182" s="171"/>
      <c r="N182" s="171"/>
      <c r="O182" s="171"/>
      <c r="P182" s="171"/>
      <c r="Q182" s="171"/>
      <c r="R182" s="171"/>
      <c r="S182" s="171"/>
      <c r="T182" s="171"/>
      <c r="U182" s="171"/>
      <c r="V182" s="171"/>
      <c r="W182" s="171"/>
      <c r="X182" s="161"/>
      <c r="Y182" s="161"/>
      <c r="Z182" s="161"/>
      <c r="AA182" s="161"/>
      <c r="AB182" s="161"/>
      <c r="AC182" s="171"/>
      <c r="AD182" s="198"/>
    </row>
    <row r="183">
      <c r="A183" s="169"/>
      <c r="B183" s="169"/>
      <c r="C183" s="161"/>
      <c r="D183" s="229"/>
      <c r="E183" s="161"/>
      <c r="F183" s="161"/>
      <c r="G183" s="161"/>
      <c r="H183" s="171"/>
      <c r="I183" s="171"/>
      <c r="J183" s="171"/>
      <c r="K183" s="171"/>
      <c r="L183" s="171"/>
      <c r="M183" s="171"/>
      <c r="N183" s="171"/>
      <c r="O183" s="171"/>
      <c r="P183" s="171"/>
      <c r="Q183" s="171"/>
      <c r="R183" s="171"/>
      <c r="S183" s="171"/>
      <c r="T183" s="171"/>
      <c r="U183" s="171"/>
      <c r="V183" s="171"/>
      <c r="W183" s="171"/>
      <c r="X183" s="161"/>
      <c r="Y183" s="161"/>
      <c r="Z183" s="161"/>
      <c r="AA183" s="161"/>
      <c r="AB183" s="161"/>
      <c r="AC183" s="171"/>
      <c r="AD183" s="198"/>
    </row>
    <row r="184">
      <c r="A184" s="169"/>
      <c r="B184" s="169"/>
      <c r="C184" s="161"/>
      <c r="D184" s="229"/>
      <c r="E184" s="161"/>
      <c r="F184" s="161"/>
      <c r="G184" s="161"/>
      <c r="H184" s="171"/>
      <c r="I184" s="171"/>
      <c r="J184" s="171"/>
      <c r="K184" s="171"/>
      <c r="L184" s="171"/>
      <c r="M184" s="171"/>
      <c r="N184" s="171"/>
      <c r="O184" s="171"/>
      <c r="P184" s="171"/>
      <c r="Q184" s="171"/>
      <c r="R184" s="171"/>
      <c r="S184" s="171"/>
      <c r="T184" s="171"/>
      <c r="U184" s="171"/>
      <c r="V184" s="171"/>
      <c r="W184" s="171"/>
      <c r="X184" s="161"/>
      <c r="Y184" s="161"/>
      <c r="Z184" s="161"/>
      <c r="AA184" s="161"/>
      <c r="AB184" s="161"/>
      <c r="AC184" s="171"/>
      <c r="AD184" s="198"/>
    </row>
    <row r="185">
      <c r="A185" s="169"/>
      <c r="B185" s="169"/>
      <c r="C185" s="161"/>
      <c r="D185" s="229"/>
      <c r="E185" s="161"/>
      <c r="F185" s="161"/>
      <c r="G185" s="161"/>
      <c r="H185" s="171"/>
      <c r="I185" s="171"/>
      <c r="J185" s="171"/>
      <c r="K185" s="171"/>
      <c r="L185" s="171"/>
      <c r="M185" s="171"/>
      <c r="N185" s="171"/>
      <c r="O185" s="171"/>
      <c r="P185" s="171"/>
      <c r="Q185" s="171"/>
      <c r="R185" s="171"/>
      <c r="S185" s="171"/>
      <c r="T185" s="171"/>
      <c r="U185" s="171"/>
      <c r="V185" s="171"/>
      <c r="W185" s="171"/>
      <c r="X185" s="161"/>
      <c r="Y185" s="161"/>
      <c r="Z185" s="161"/>
      <c r="AA185" s="161"/>
      <c r="AB185" s="161"/>
      <c r="AC185" s="171"/>
      <c r="AD185" s="198"/>
    </row>
    <row r="186">
      <c r="A186" s="169"/>
      <c r="B186" s="169"/>
      <c r="C186" s="161"/>
      <c r="D186" s="229"/>
      <c r="E186" s="161"/>
      <c r="F186" s="161"/>
      <c r="G186" s="161"/>
      <c r="H186" s="171"/>
      <c r="I186" s="171"/>
      <c r="J186" s="171"/>
      <c r="K186" s="171"/>
      <c r="L186" s="171"/>
      <c r="M186" s="171"/>
      <c r="N186" s="171"/>
      <c r="O186" s="171"/>
      <c r="P186" s="171"/>
      <c r="Q186" s="171"/>
      <c r="R186" s="171"/>
      <c r="S186" s="171"/>
      <c r="T186" s="171"/>
      <c r="U186" s="171"/>
      <c r="V186" s="171"/>
      <c r="W186" s="171"/>
      <c r="X186" s="161"/>
      <c r="Y186" s="161"/>
      <c r="Z186" s="161"/>
      <c r="AA186" s="161"/>
      <c r="AB186" s="161"/>
      <c r="AC186" s="171"/>
      <c r="AD186" s="198"/>
    </row>
    <row r="187">
      <c r="A187" s="169"/>
      <c r="B187" s="169"/>
      <c r="C187" s="161"/>
      <c r="D187" s="229"/>
      <c r="E187" s="161"/>
      <c r="F187" s="161"/>
      <c r="G187" s="161"/>
      <c r="H187" s="171"/>
      <c r="I187" s="171"/>
      <c r="J187" s="171"/>
      <c r="K187" s="171"/>
      <c r="L187" s="171"/>
      <c r="M187" s="171"/>
      <c r="N187" s="171"/>
      <c r="O187" s="171"/>
      <c r="P187" s="171"/>
      <c r="Q187" s="171"/>
      <c r="R187" s="171"/>
      <c r="S187" s="171"/>
      <c r="T187" s="171"/>
      <c r="U187" s="171"/>
      <c r="V187" s="171"/>
      <c r="W187" s="171"/>
      <c r="X187" s="161"/>
      <c r="Y187" s="161"/>
      <c r="Z187" s="161"/>
      <c r="AA187" s="161"/>
      <c r="AB187" s="161"/>
      <c r="AC187" s="171"/>
      <c r="AD187" s="198"/>
    </row>
    <row r="188">
      <c r="A188" s="169"/>
      <c r="B188" s="169"/>
      <c r="C188" s="161"/>
      <c r="D188" s="229"/>
      <c r="E188" s="161"/>
      <c r="F188" s="161"/>
      <c r="G188" s="161"/>
      <c r="H188" s="171"/>
      <c r="I188" s="171"/>
      <c r="J188" s="171"/>
      <c r="K188" s="171"/>
      <c r="L188" s="171"/>
      <c r="M188" s="171"/>
      <c r="N188" s="171"/>
      <c r="O188" s="171"/>
      <c r="P188" s="171"/>
      <c r="Q188" s="171"/>
      <c r="R188" s="171"/>
      <c r="S188" s="171"/>
      <c r="T188" s="171"/>
      <c r="U188" s="171"/>
      <c r="V188" s="171"/>
      <c r="W188" s="171"/>
      <c r="X188" s="161"/>
      <c r="Y188" s="161"/>
      <c r="Z188" s="161"/>
      <c r="AA188" s="161"/>
      <c r="AB188" s="161"/>
      <c r="AC188" s="171"/>
      <c r="AD188" s="198"/>
    </row>
    <row r="189">
      <c r="A189" s="169"/>
      <c r="B189" s="169"/>
      <c r="C189" s="161"/>
      <c r="D189" s="229"/>
      <c r="E189" s="161"/>
      <c r="F189" s="161"/>
      <c r="G189" s="161"/>
      <c r="H189" s="171"/>
      <c r="I189" s="171"/>
      <c r="J189" s="171"/>
      <c r="K189" s="171"/>
      <c r="L189" s="171"/>
      <c r="M189" s="171"/>
      <c r="N189" s="171"/>
      <c r="O189" s="171"/>
      <c r="P189" s="171"/>
      <c r="Q189" s="171"/>
      <c r="R189" s="171"/>
      <c r="S189" s="171"/>
      <c r="T189" s="171"/>
      <c r="U189" s="171"/>
      <c r="V189" s="171"/>
      <c r="W189" s="171"/>
      <c r="X189" s="161"/>
      <c r="Y189" s="161"/>
      <c r="Z189" s="161"/>
      <c r="AA189" s="161"/>
      <c r="AB189" s="161"/>
      <c r="AC189" s="171"/>
      <c r="AD189" s="198"/>
    </row>
    <row r="190">
      <c r="A190" s="169"/>
      <c r="B190" s="169"/>
      <c r="C190" s="161"/>
      <c r="D190" s="229"/>
      <c r="E190" s="161"/>
      <c r="F190" s="161"/>
      <c r="G190" s="161"/>
      <c r="H190" s="171"/>
      <c r="I190" s="171"/>
      <c r="J190" s="171"/>
      <c r="K190" s="171"/>
      <c r="L190" s="171"/>
      <c r="M190" s="171"/>
      <c r="N190" s="171"/>
      <c r="O190" s="171"/>
      <c r="P190" s="171"/>
      <c r="Q190" s="171"/>
      <c r="R190" s="171"/>
      <c r="S190" s="171"/>
      <c r="T190" s="171"/>
      <c r="U190" s="171"/>
      <c r="V190" s="171"/>
      <c r="W190" s="171"/>
      <c r="X190" s="161"/>
      <c r="Y190" s="161"/>
      <c r="Z190" s="161"/>
      <c r="AA190" s="161"/>
      <c r="AB190" s="161"/>
      <c r="AC190" s="171"/>
      <c r="AD190" s="198"/>
    </row>
    <row r="191">
      <c r="A191" s="169"/>
      <c r="B191" s="169"/>
      <c r="C191" s="161"/>
      <c r="D191" s="229"/>
      <c r="E191" s="161"/>
      <c r="F191" s="161"/>
      <c r="G191" s="161"/>
      <c r="H191" s="171"/>
      <c r="I191" s="171"/>
      <c r="J191" s="171"/>
      <c r="K191" s="171"/>
      <c r="L191" s="171"/>
      <c r="M191" s="171"/>
      <c r="N191" s="171"/>
      <c r="O191" s="171"/>
      <c r="P191" s="171"/>
      <c r="Q191" s="171"/>
      <c r="R191" s="171"/>
      <c r="S191" s="171"/>
      <c r="T191" s="171"/>
      <c r="U191" s="171"/>
      <c r="V191" s="171"/>
      <c r="W191" s="171"/>
      <c r="X191" s="161"/>
      <c r="Y191" s="161"/>
      <c r="Z191" s="161"/>
      <c r="AA191" s="161"/>
      <c r="AB191" s="161"/>
      <c r="AC191" s="171"/>
      <c r="AD191" s="198"/>
    </row>
    <row r="192">
      <c r="A192" s="169"/>
      <c r="B192" s="169"/>
      <c r="C192" s="161"/>
      <c r="D192" s="229"/>
      <c r="E192" s="161"/>
      <c r="F192" s="161"/>
      <c r="G192" s="161"/>
      <c r="H192" s="171"/>
      <c r="I192" s="171"/>
      <c r="J192" s="171"/>
      <c r="K192" s="171"/>
      <c r="L192" s="171"/>
      <c r="M192" s="171"/>
      <c r="N192" s="171"/>
      <c r="O192" s="171"/>
      <c r="P192" s="171"/>
      <c r="Q192" s="171"/>
      <c r="R192" s="171"/>
      <c r="S192" s="171"/>
      <c r="T192" s="171"/>
      <c r="U192" s="171"/>
      <c r="V192" s="171"/>
      <c r="W192" s="171"/>
      <c r="X192" s="161"/>
      <c r="Y192" s="161"/>
      <c r="Z192" s="161"/>
      <c r="AA192" s="161"/>
      <c r="AB192" s="161"/>
      <c r="AC192" s="171"/>
      <c r="AD192" s="198"/>
    </row>
    <row r="193">
      <c r="A193" s="169"/>
      <c r="B193" s="169"/>
      <c r="C193" s="161"/>
      <c r="D193" s="229"/>
      <c r="E193" s="161"/>
      <c r="F193" s="161"/>
      <c r="G193" s="161"/>
      <c r="H193" s="171"/>
      <c r="I193" s="171"/>
      <c r="J193" s="171"/>
      <c r="K193" s="171"/>
      <c r="L193" s="171"/>
      <c r="M193" s="171"/>
      <c r="N193" s="171"/>
      <c r="O193" s="171"/>
      <c r="P193" s="171"/>
      <c r="Q193" s="171"/>
      <c r="R193" s="171"/>
      <c r="S193" s="171"/>
      <c r="T193" s="171"/>
      <c r="U193" s="171"/>
      <c r="V193" s="171"/>
      <c r="W193" s="171"/>
      <c r="X193" s="161"/>
      <c r="Y193" s="161"/>
      <c r="Z193" s="161"/>
      <c r="AA193" s="161"/>
      <c r="AB193" s="161"/>
      <c r="AC193" s="171"/>
      <c r="AD193" s="198"/>
    </row>
    <row r="194">
      <c r="A194" s="169"/>
      <c r="B194" s="169"/>
      <c r="C194" s="161"/>
      <c r="D194" s="229"/>
      <c r="E194" s="161"/>
      <c r="F194" s="161"/>
      <c r="G194" s="161"/>
      <c r="H194" s="171"/>
      <c r="I194" s="171"/>
      <c r="J194" s="171"/>
      <c r="K194" s="171"/>
      <c r="L194" s="171"/>
      <c r="M194" s="171"/>
      <c r="N194" s="171"/>
      <c r="O194" s="171"/>
      <c r="P194" s="171"/>
      <c r="Q194" s="171"/>
      <c r="R194" s="171"/>
      <c r="S194" s="171"/>
      <c r="T194" s="171"/>
      <c r="U194" s="171"/>
      <c r="V194" s="171"/>
      <c r="W194" s="171"/>
      <c r="X194" s="161"/>
      <c r="Y194" s="161"/>
      <c r="Z194" s="161"/>
      <c r="AA194" s="161"/>
      <c r="AB194" s="161"/>
      <c r="AC194" s="171"/>
      <c r="AD194" s="198"/>
    </row>
    <row r="195">
      <c r="A195" s="169"/>
      <c r="B195" s="169"/>
      <c r="C195" s="161"/>
      <c r="D195" s="229"/>
      <c r="E195" s="161"/>
      <c r="F195" s="161"/>
      <c r="G195" s="161"/>
      <c r="H195" s="171"/>
      <c r="I195" s="171"/>
      <c r="J195" s="171"/>
      <c r="K195" s="171"/>
      <c r="L195" s="171"/>
      <c r="M195" s="171"/>
      <c r="N195" s="171"/>
      <c r="O195" s="171"/>
      <c r="P195" s="171"/>
      <c r="Q195" s="171"/>
      <c r="R195" s="171"/>
      <c r="S195" s="171"/>
      <c r="T195" s="171"/>
      <c r="U195" s="171"/>
      <c r="V195" s="171"/>
      <c r="W195" s="171"/>
      <c r="X195" s="161"/>
      <c r="Y195" s="161"/>
      <c r="Z195" s="161"/>
      <c r="AA195" s="161"/>
      <c r="AB195" s="161"/>
      <c r="AC195" s="171"/>
      <c r="AD195" s="198"/>
    </row>
    <row r="196">
      <c r="A196" s="169"/>
      <c r="B196" s="169"/>
      <c r="C196" s="161"/>
      <c r="D196" s="229"/>
      <c r="E196" s="161"/>
      <c r="F196" s="161"/>
      <c r="G196" s="161"/>
      <c r="H196" s="171"/>
      <c r="I196" s="171"/>
      <c r="J196" s="171"/>
      <c r="K196" s="171"/>
      <c r="L196" s="171"/>
      <c r="M196" s="171"/>
      <c r="N196" s="171"/>
      <c r="O196" s="171"/>
      <c r="P196" s="171"/>
      <c r="Q196" s="171"/>
      <c r="R196" s="171"/>
      <c r="S196" s="171"/>
      <c r="T196" s="171"/>
      <c r="U196" s="171"/>
      <c r="V196" s="171"/>
      <c r="W196" s="171"/>
      <c r="X196" s="161"/>
      <c r="Y196" s="161"/>
      <c r="Z196" s="161"/>
      <c r="AA196" s="161"/>
      <c r="AB196" s="161"/>
      <c r="AC196" s="171"/>
      <c r="AD196" s="198"/>
    </row>
    <row r="197">
      <c r="A197" s="169"/>
      <c r="B197" s="169"/>
      <c r="C197" s="161"/>
      <c r="D197" s="229"/>
      <c r="E197" s="161"/>
      <c r="F197" s="161"/>
      <c r="G197" s="161"/>
      <c r="H197" s="171"/>
      <c r="I197" s="171"/>
      <c r="J197" s="171"/>
      <c r="K197" s="171"/>
      <c r="L197" s="171"/>
      <c r="M197" s="171"/>
      <c r="N197" s="171"/>
      <c r="O197" s="171"/>
      <c r="P197" s="171"/>
      <c r="Q197" s="171"/>
      <c r="R197" s="171"/>
      <c r="S197" s="171"/>
      <c r="T197" s="171"/>
      <c r="U197" s="171"/>
      <c r="V197" s="171"/>
      <c r="W197" s="171"/>
      <c r="X197" s="161"/>
      <c r="Y197" s="161"/>
      <c r="Z197" s="161"/>
      <c r="AA197" s="161"/>
      <c r="AB197" s="161"/>
      <c r="AC197" s="171"/>
      <c r="AD197" s="198"/>
    </row>
    <row r="198">
      <c r="A198" s="169"/>
      <c r="B198" s="169"/>
      <c r="C198" s="161"/>
      <c r="D198" s="229"/>
      <c r="E198" s="161"/>
      <c r="F198" s="161"/>
      <c r="G198" s="161"/>
      <c r="H198" s="171"/>
      <c r="I198" s="171"/>
      <c r="J198" s="171"/>
      <c r="K198" s="171"/>
      <c r="L198" s="171"/>
      <c r="M198" s="171"/>
      <c r="N198" s="171"/>
      <c r="O198" s="171"/>
      <c r="P198" s="171"/>
      <c r="Q198" s="171"/>
      <c r="R198" s="171"/>
      <c r="S198" s="171"/>
      <c r="T198" s="171"/>
      <c r="U198" s="171"/>
      <c r="V198" s="171"/>
      <c r="W198" s="171"/>
      <c r="X198" s="161"/>
      <c r="Y198" s="161"/>
      <c r="Z198" s="161"/>
      <c r="AA198" s="161"/>
      <c r="AB198" s="161"/>
      <c r="AC198" s="171"/>
      <c r="AD198" s="198"/>
    </row>
    <row r="199">
      <c r="A199" s="169"/>
      <c r="B199" s="169"/>
      <c r="C199" s="161"/>
      <c r="D199" s="229"/>
      <c r="E199" s="161"/>
      <c r="F199" s="161"/>
      <c r="G199" s="161"/>
      <c r="H199" s="171"/>
      <c r="I199" s="171"/>
      <c r="J199" s="171"/>
      <c r="K199" s="171"/>
      <c r="L199" s="171"/>
      <c r="M199" s="171"/>
      <c r="N199" s="171"/>
      <c r="O199" s="171"/>
      <c r="P199" s="171"/>
      <c r="Q199" s="171"/>
      <c r="R199" s="171"/>
      <c r="S199" s="171"/>
      <c r="T199" s="171"/>
      <c r="U199" s="171"/>
      <c r="V199" s="171"/>
      <c r="W199" s="171"/>
      <c r="X199" s="161"/>
      <c r="Y199" s="161"/>
      <c r="Z199" s="161"/>
      <c r="AA199" s="161"/>
      <c r="AB199" s="161"/>
      <c r="AC199" s="171"/>
      <c r="AD199" s="198"/>
    </row>
    <row r="200">
      <c r="A200" s="169"/>
      <c r="B200" s="169"/>
      <c r="C200" s="161"/>
      <c r="D200" s="229"/>
      <c r="E200" s="161"/>
      <c r="F200" s="161"/>
      <c r="G200" s="161"/>
      <c r="H200" s="171"/>
      <c r="I200" s="171"/>
      <c r="J200" s="171"/>
      <c r="K200" s="171"/>
      <c r="L200" s="171"/>
      <c r="M200" s="171"/>
      <c r="N200" s="171"/>
      <c r="O200" s="171"/>
      <c r="P200" s="171"/>
      <c r="Q200" s="171"/>
      <c r="R200" s="171"/>
      <c r="S200" s="171"/>
      <c r="T200" s="171"/>
      <c r="U200" s="171"/>
      <c r="V200" s="171"/>
      <c r="W200" s="171"/>
      <c r="X200" s="161"/>
      <c r="Y200" s="161"/>
      <c r="Z200" s="161"/>
      <c r="AA200" s="161"/>
      <c r="AB200" s="161"/>
      <c r="AC200" s="171"/>
      <c r="AD200" s="198"/>
    </row>
    <row r="201">
      <c r="A201" s="169"/>
      <c r="B201" s="169"/>
      <c r="C201" s="161"/>
      <c r="D201" s="229"/>
      <c r="E201" s="161"/>
      <c r="F201" s="161"/>
      <c r="G201" s="161"/>
      <c r="H201" s="171"/>
      <c r="I201" s="171"/>
      <c r="J201" s="171"/>
      <c r="K201" s="171"/>
      <c r="L201" s="171"/>
      <c r="M201" s="171"/>
      <c r="N201" s="171"/>
      <c r="O201" s="171"/>
      <c r="P201" s="171"/>
      <c r="Q201" s="171"/>
      <c r="R201" s="171"/>
      <c r="S201" s="171"/>
      <c r="T201" s="171"/>
      <c r="U201" s="171"/>
      <c r="V201" s="171"/>
      <c r="W201" s="171"/>
      <c r="X201" s="161"/>
      <c r="Y201" s="161"/>
      <c r="Z201" s="161"/>
      <c r="AA201" s="161"/>
      <c r="AB201" s="161"/>
      <c r="AC201" s="171"/>
      <c r="AD201" s="198"/>
    </row>
    <row r="202">
      <c r="A202" s="169"/>
      <c r="B202" s="169"/>
      <c r="C202" s="161"/>
      <c r="D202" s="229"/>
      <c r="E202" s="161"/>
      <c r="F202" s="161"/>
      <c r="G202" s="161"/>
      <c r="H202" s="171"/>
      <c r="I202" s="171"/>
      <c r="J202" s="171"/>
      <c r="K202" s="171"/>
      <c r="L202" s="171"/>
      <c r="M202" s="171"/>
      <c r="N202" s="171"/>
      <c r="O202" s="171"/>
      <c r="P202" s="171"/>
      <c r="Q202" s="171"/>
      <c r="R202" s="171"/>
      <c r="S202" s="171"/>
      <c r="T202" s="171"/>
      <c r="U202" s="171"/>
      <c r="V202" s="171"/>
      <c r="W202" s="171"/>
      <c r="X202" s="161"/>
      <c r="Y202" s="161"/>
      <c r="Z202" s="161"/>
      <c r="AA202" s="161"/>
      <c r="AB202" s="161"/>
      <c r="AC202" s="171"/>
      <c r="AD202" s="198"/>
    </row>
    <row r="203">
      <c r="A203" s="169"/>
      <c r="B203" s="169"/>
      <c r="C203" s="161"/>
      <c r="D203" s="229"/>
      <c r="E203" s="161"/>
      <c r="F203" s="161"/>
      <c r="G203" s="161"/>
      <c r="H203" s="171"/>
      <c r="I203" s="171"/>
      <c r="J203" s="171"/>
      <c r="K203" s="171"/>
      <c r="L203" s="171"/>
      <c r="M203" s="171"/>
      <c r="N203" s="171"/>
      <c r="O203" s="171"/>
      <c r="P203" s="171"/>
      <c r="Q203" s="171"/>
      <c r="R203" s="171"/>
      <c r="S203" s="171"/>
      <c r="T203" s="171"/>
      <c r="U203" s="171"/>
      <c r="V203" s="171"/>
      <c r="W203" s="171"/>
      <c r="X203" s="161"/>
      <c r="Y203" s="161"/>
      <c r="Z203" s="161"/>
      <c r="AA203" s="161"/>
      <c r="AB203" s="161"/>
      <c r="AC203" s="171"/>
      <c r="AD203" s="198"/>
    </row>
    <row r="204">
      <c r="A204" s="169"/>
      <c r="B204" s="169"/>
      <c r="C204" s="161"/>
      <c r="D204" s="229"/>
      <c r="E204" s="161"/>
      <c r="F204" s="161"/>
      <c r="G204" s="161"/>
      <c r="H204" s="171"/>
      <c r="I204" s="171"/>
      <c r="J204" s="171"/>
      <c r="K204" s="171"/>
      <c r="L204" s="171"/>
      <c r="M204" s="171"/>
      <c r="N204" s="171"/>
      <c r="O204" s="171"/>
      <c r="P204" s="171"/>
      <c r="Q204" s="171"/>
      <c r="R204" s="171"/>
      <c r="S204" s="171"/>
      <c r="T204" s="171"/>
      <c r="U204" s="171"/>
      <c r="V204" s="171"/>
      <c r="W204" s="171"/>
      <c r="X204" s="161"/>
      <c r="Y204" s="161"/>
      <c r="Z204" s="161"/>
      <c r="AA204" s="161"/>
      <c r="AB204" s="161"/>
      <c r="AC204" s="171"/>
      <c r="AD204" s="198"/>
    </row>
    <row r="205">
      <c r="A205" s="169"/>
      <c r="B205" s="169"/>
      <c r="C205" s="161"/>
      <c r="D205" s="229"/>
      <c r="E205" s="161"/>
      <c r="F205" s="161"/>
      <c r="G205" s="161"/>
      <c r="H205" s="171"/>
      <c r="I205" s="171"/>
      <c r="J205" s="171"/>
      <c r="K205" s="171"/>
      <c r="L205" s="171"/>
      <c r="M205" s="171"/>
      <c r="N205" s="171"/>
      <c r="O205" s="171"/>
      <c r="P205" s="171"/>
      <c r="Q205" s="171"/>
      <c r="R205" s="171"/>
      <c r="S205" s="171"/>
      <c r="T205" s="171"/>
      <c r="U205" s="171"/>
      <c r="V205" s="171"/>
      <c r="W205" s="171"/>
      <c r="X205" s="161"/>
      <c r="Y205" s="161"/>
      <c r="Z205" s="161"/>
      <c r="AA205" s="161"/>
      <c r="AB205" s="161"/>
      <c r="AC205" s="171"/>
      <c r="AD205" s="198"/>
    </row>
    <row r="206">
      <c r="A206" s="169"/>
      <c r="B206" s="169"/>
      <c r="C206" s="161"/>
      <c r="D206" s="229"/>
      <c r="E206" s="161"/>
      <c r="F206" s="161"/>
      <c r="G206" s="161"/>
      <c r="H206" s="171"/>
      <c r="I206" s="171"/>
      <c r="J206" s="171"/>
      <c r="K206" s="171"/>
      <c r="L206" s="171"/>
      <c r="M206" s="171"/>
      <c r="N206" s="171"/>
      <c r="O206" s="171"/>
      <c r="P206" s="171"/>
      <c r="Q206" s="171"/>
      <c r="R206" s="171"/>
      <c r="S206" s="171"/>
      <c r="T206" s="171"/>
      <c r="U206" s="171"/>
      <c r="V206" s="171"/>
      <c r="W206" s="171"/>
      <c r="X206" s="161"/>
      <c r="Y206" s="161"/>
      <c r="Z206" s="161"/>
      <c r="AA206" s="161"/>
      <c r="AB206" s="161"/>
      <c r="AC206" s="171"/>
      <c r="AD206" s="198"/>
    </row>
    <row r="207">
      <c r="A207" s="169"/>
      <c r="B207" s="169"/>
      <c r="C207" s="161"/>
      <c r="D207" s="229"/>
      <c r="E207" s="161"/>
      <c r="F207" s="161"/>
      <c r="G207" s="161"/>
      <c r="H207" s="171"/>
      <c r="I207" s="171"/>
      <c r="J207" s="171"/>
      <c r="K207" s="171"/>
      <c r="L207" s="171"/>
      <c r="M207" s="171"/>
      <c r="N207" s="171"/>
      <c r="O207" s="171"/>
      <c r="P207" s="171"/>
      <c r="Q207" s="171"/>
      <c r="R207" s="171"/>
      <c r="S207" s="171"/>
      <c r="T207" s="171"/>
      <c r="U207" s="171"/>
      <c r="V207" s="171"/>
      <c r="W207" s="171"/>
      <c r="X207" s="161"/>
      <c r="Y207" s="161"/>
      <c r="Z207" s="161"/>
      <c r="AA207" s="161"/>
      <c r="AB207" s="161"/>
      <c r="AC207" s="171"/>
      <c r="AD207" s="198"/>
    </row>
    <row r="208">
      <c r="A208" s="169"/>
      <c r="B208" s="169"/>
      <c r="C208" s="161"/>
      <c r="D208" s="229"/>
      <c r="E208" s="161"/>
      <c r="F208" s="161"/>
      <c r="G208" s="161"/>
      <c r="H208" s="171"/>
      <c r="I208" s="171"/>
      <c r="J208" s="171"/>
      <c r="K208" s="171"/>
      <c r="L208" s="171"/>
      <c r="M208" s="171"/>
      <c r="N208" s="171"/>
      <c r="O208" s="171"/>
      <c r="P208" s="171"/>
      <c r="Q208" s="171"/>
      <c r="R208" s="171"/>
      <c r="S208" s="171"/>
      <c r="T208" s="171"/>
      <c r="U208" s="171"/>
      <c r="V208" s="171"/>
      <c r="W208" s="171"/>
      <c r="X208" s="161"/>
      <c r="Y208" s="161"/>
      <c r="Z208" s="161"/>
      <c r="AA208" s="161"/>
      <c r="AB208" s="161"/>
      <c r="AC208" s="171"/>
      <c r="AD208" s="198"/>
    </row>
    <row r="209">
      <c r="A209" s="169"/>
      <c r="B209" s="169"/>
      <c r="C209" s="161"/>
      <c r="D209" s="229"/>
      <c r="E209" s="161"/>
      <c r="F209" s="161"/>
      <c r="G209" s="161"/>
      <c r="H209" s="171"/>
      <c r="I209" s="171"/>
      <c r="J209" s="171"/>
      <c r="K209" s="171"/>
      <c r="L209" s="171"/>
      <c r="M209" s="171"/>
      <c r="N209" s="171"/>
      <c r="O209" s="171"/>
      <c r="P209" s="171"/>
      <c r="Q209" s="171"/>
      <c r="R209" s="171"/>
      <c r="S209" s="171"/>
      <c r="T209" s="171"/>
      <c r="U209" s="171"/>
      <c r="V209" s="171"/>
      <c r="W209" s="171"/>
      <c r="X209" s="161"/>
      <c r="Y209" s="161"/>
      <c r="Z209" s="161"/>
      <c r="AA209" s="161"/>
      <c r="AB209" s="161"/>
      <c r="AC209" s="171"/>
      <c r="AD209" s="198"/>
    </row>
    <row r="210">
      <c r="A210" s="169"/>
      <c r="B210" s="169"/>
      <c r="C210" s="161"/>
      <c r="D210" s="229"/>
      <c r="E210" s="161"/>
      <c r="F210" s="161"/>
      <c r="G210" s="161"/>
      <c r="H210" s="171"/>
      <c r="I210" s="171"/>
      <c r="J210" s="171"/>
      <c r="K210" s="171"/>
      <c r="L210" s="171"/>
      <c r="M210" s="171"/>
      <c r="N210" s="171"/>
      <c r="O210" s="171"/>
      <c r="P210" s="171"/>
      <c r="Q210" s="171"/>
      <c r="R210" s="171"/>
      <c r="S210" s="171"/>
      <c r="T210" s="171"/>
      <c r="U210" s="171"/>
      <c r="V210" s="171"/>
      <c r="W210" s="171"/>
      <c r="X210" s="161"/>
      <c r="Y210" s="161"/>
      <c r="Z210" s="161"/>
      <c r="AA210" s="161"/>
      <c r="AB210" s="161"/>
      <c r="AC210" s="171"/>
      <c r="AD210" s="198"/>
    </row>
    <row r="211">
      <c r="A211" s="169"/>
      <c r="B211" s="169"/>
      <c r="C211" s="161"/>
      <c r="D211" s="229"/>
      <c r="E211" s="161"/>
      <c r="F211" s="161"/>
      <c r="G211" s="161"/>
      <c r="H211" s="171"/>
      <c r="I211" s="171"/>
      <c r="J211" s="171"/>
      <c r="K211" s="171"/>
      <c r="L211" s="171"/>
      <c r="M211" s="171"/>
      <c r="N211" s="171"/>
      <c r="O211" s="171"/>
      <c r="P211" s="171"/>
      <c r="Q211" s="171"/>
      <c r="R211" s="171"/>
      <c r="S211" s="171"/>
      <c r="T211" s="171"/>
      <c r="U211" s="171"/>
      <c r="V211" s="171"/>
      <c r="W211" s="171"/>
      <c r="X211" s="161"/>
      <c r="Y211" s="161"/>
      <c r="Z211" s="161"/>
      <c r="AA211" s="161"/>
      <c r="AB211" s="161"/>
      <c r="AC211" s="171"/>
      <c r="AD211" s="198"/>
    </row>
    <row r="212">
      <c r="A212" s="169"/>
      <c r="B212" s="169"/>
      <c r="C212" s="161"/>
      <c r="D212" s="229"/>
      <c r="E212" s="161"/>
      <c r="F212" s="161"/>
      <c r="G212" s="161"/>
      <c r="H212" s="171"/>
      <c r="I212" s="171"/>
      <c r="J212" s="171"/>
      <c r="K212" s="171"/>
      <c r="L212" s="171"/>
      <c r="M212" s="171"/>
      <c r="N212" s="171"/>
      <c r="O212" s="171"/>
      <c r="P212" s="171"/>
      <c r="Q212" s="171"/>
      <c r="R212" s="171"/>
      <c r="S212" s="171"/>
      <c r="T212" s="171"/>
      <c r="U212" s="171"/>
      <c r="V212" s="171"/>
      <c r="W212" s="171"/>
      <c r="X212" s="161"/>
      <c r="Y212" s="161"/>
      <c r="Z212" s="161"/>
      <c r="AA212" s="161"/>
      <c r="AB212" s="161"/>
      <c r="AC212" s="171"/>
      <c r="AD212" s="198"/>
    </row>
    <row r="213">
      <c r="A213" s="169"/>
      <c r="B213" s="169"/>
      <c r="C213" s="161"/>
      <c r="D213" s="229"/>
      <c r="E213" s="161"/>
      <c r="F213" s="161"/>
      <c r="G213" s="161"/>
      <c r="H213" s="171"/>
      <c r="I213" s="171"/>
      <c r="J213" s="171"/>
      <c r="K213" s="171"/>
      <c r="L213" s="171"/>
      <c r="M213" s="171"/>
      <c r="N213" s="171"/>
      <c r="O213" s="171"/>
      <c r="P213" s="171"/>
      <c r="Q213" s="171"/>
      <c r="R213" s="171"/>
      <c r="S213" s="171"/>
      <c r="T213" s="171"/>
      <c r="U213" s="171"/>
      <c r="V213" s="171"/>
      <c r="W213" s="171"/>
      <c r="X213" s="161"/>
      <c r="Y213" s="161"/>
      <c r="Z213" s="161"/>
      <c r="AA213" s="161"/>
      <c r="AB213" s="161"/>
      <c r="AC213" s="171"/>
      <c r="AD213" s="198"/>
    </row>
    <row r="214">
      <c r="A214" s="169"/>
      <c r="B214" s="169"/>
      <c r="C214" s="161"/>
      <c r="D214" s="229"/>
      <c r="E214" s="161"/>
      <c r="F214" s="161"/>
      <c r="G214" s="161"/>
      <c r="H214" s="171"/>
      <c r="I214" s="171"/>
      <c r="J214" s="171"/>
      <c r="K214" s="171"/>
      <c r="L214" s="171"/>
      <c r="M214" s="171"/>
      <c r="N214" s="171"/>
      <c r="O214" s="171"/>
      <c r="P214" s="171"/>
      <c r="Q214" s="171"/>
      <c r="R214" s="171"/>
      <c r="S214" s="171"/>
      <c r="T214" s="171"/>
      <c r="U214" s="171"/>
      <c r="V214" s="171"/>
      <c r="W214" s="171"/>
      <c r="X214" s="161"/>
      <c r="Y214" s="161"/>
      <c r="Z214" s="161"/>
      <c r="AA214" s="161"/>
      <c r="AB214" s="161"/>
      <c r="AC214" s="171"/>
      <c r="AD214" s="198"/>
    </row>
    <row r="215">
      <c r="A215" s="169"/>
      <c r="B215" s="169"/>
      <c r="C215" s="161"/>
      <c r="D215" s="229"/>
      <c r="E215" s="161"/>
      <c r="F215" s="161"/>
      <c r="G215" s="161"/>
      <c r="H215" s="171"/>
      <c r="I215" s="171"/>
      <c r="J215" s="171"/>
      <c r="K215" s="171"/>
      <c r="L215" s="171"/>
      <c r="M215" s="171"/>
      <c r="N215" s="171"/>
      <c r="O215" s="171"/>
      <c r="P215" s="171"/>
      <c r="Q215" s="171"/>
      <c r="R215" s="171"/>
      <c r="S215" s="171"/>
      <c r="T215" s="171"/>
      <c r="U215" s="171"/>
      <c r="V215" s="171"/>
      <c r="W215" s="171"/>
      <c r="X215" s="161"/>
      <c r="Y215" s="161"/>
      <c r="Z215" s="161"/>
      <c r="AA215" s="161"/>
      <c r="AB215" s="161"/>
      <c r="AC215" s="171"/>
      <c r="AD215" s="198"/>
    </row>
    <row r="216">
      <c r="A216" s="169"/>
      <c r="B216" s="169"/>
      <c r="C216" s="161"/>
      <c r="D216" s="229"/>
      <c r="E216" s="161"/>
      <c r="F216" s="161"/>
      <c r="G216" s="161"/>
      <c r="H216" s="171"/>
      <c r="I216" s="171"/>
      <c r="J216" s="171"/>
      <c r="K216" s="171"/>
      <c r="L216" s="171"/>
      <c r="M216" s="171"/>
      <c r="N216" s="171"/>
      <c r="O216" s="171"/>
      <c r="P216" s="171"/>
      <c r="Q216" s="171"/>
      <c r="R216" s="171"/>
      <c r="S216" s="171"/>
      <c r="T216" s="171"/>
      <c r="U216" s="171"/>
      <c r="V216" s="171"/>
      <c r="W216" s="171"/>
      <c r="X216" s="161"/>
      <c r="Y216" s="161"/>
      <c r="Z216" s="161"/>
      <c r="AA216" s="161"/>
      <c r="AB216" s="161"/>
      <c r="AC216" s="171"/>
      <c r="AD216" s="198"/>
    </row>
    <row r="217">
      <c r="A217" s="169"/>
      <c r="B217" s="169"/>
      <c r="C217" s="161"/>
      <c r="D217" s="229"/>
      <c r="E217" s="161"/>
      <c r="F217" s="161"/>
      <c r="G217" s="161"/>
      <c r="H217" s="171"/>
      <c r="I217" s="171"/>
      <c r="J217" s="171"/>
      <c r="K217" s="171"/>
      <c r="L217" s="171"/>
      <c r="M217" s="171"/>
      <c r="N217" s="171"/>
      <c r="O217" s="171"/>
      <c r="P217" s="171"/>
      <c r="Q217" s="171"/>
      <c r="R217" s="171"/>
      <c r="S217" s="171"/>
      <c r="T217" s="171"/>
      <c r="U217" s="171"/>
      <c r="V217" s="171"/>
      <c r="W217" s="171"/>
      <c r="X217" s="161"/>
      <c r="Y217" s="161"/>
      <c r="Z217" s="161"/>
      <c r="AA217" s="161"/>
      <c r="AB217" s="161"/>
      <c r="AC217" s="171"/>
      <c r="AD217" s="198"/>
    </row>
    <row r="218">
      <c r="A218" s="169"/>
      <c r="B218" s="169"/>
      <c r="C218" s="161"/>
      <c r="D218" s="229"/>
      <c r="E218" s="161"/>
      <c r="F218" s="161"/>
      <c r="G218" s="161"/>
      <c r="H218" s="171"/>
      <c r="I218" s="171"/>
      <c r="J218" s="171"/>
      <c r="K218" s="171"/>
      <c r="L218" s="171"/>
      <c r="M218" s="171"/>
      <c r="N218" s="171"/>
      <c r="O218" s="171"/>
      <c r="P218" s="171"/>
      <c r="Q218" s="171"/>
      <c r="R218" s="171"/>
      <c r="S218" s="171"/>
      <c r="T218" s="171"/>
      <c r="U218" s="171"/>
      <c r="V218" s="171"/>
      <c r="W218" s="171"/>
      <c r="X218" s="161"/>
      <c r="Y218" s="161"/>
      <c r="Z218" s="161"/>
      <c r="AA218" s="161"/>
      <c r="AB218" s="161"/>
      <c r="AC218" s="171"/>
      <c r="AD218" s="198"/>
    </row>
    <row r="219">
      <c r="A219" s="169"/>
      <c r="B219" s="169"/>
      <c r="C219" s="161"/>
      <c r="D219" s="229"/>
      <c r="E219" s="161"/>
      <c r="F219" s="161"/>
      <c r="G219" s="161"/>
      <c r="H219" s="171"/>
      <c r="I219" s="171"/>
      <c r="J219" s="171"/>
      <c r="K219" s="171"/>
      <c r="L219" s="171"/>
      <c r="M219" s="171"/>
      <c r="N219" s="171"/>
      <c r="O219" s="171"/>
      <c r="P219" s="171"/>
      <c r="Q219" s="171"/>
      <c r="R219" s="171"/>
      <c r="S219" s="171"/>
      <c r="T219" s="171"/>
      <c r="U219" s="171"/>
      <c r="V219" s="171"/>
      <c r="W219" s="171"/>
      <c r="X219" s="161"/>
      <c r="Y219" s="161"/>
      <c r="Z219" s="161"/>
      <c r="AA219" s="161"/>
      <c r="AB219" s="161"/>
      <c r="AC219" s="171"/>
      <c r="AD219" s="198"/>
    </row>
    <row r="220">
      <c r="A220" s="169"/>
      <c r="B220" s="169"/>
      <c r="C220" s="161"/>
      <c r="D220" s="229"/>
      <c r="E220" s="161"/>
      <c r="F220" s="161"/>
      <c r="G220" s="161"/>
      <c r="H220" s="171"/>
      <c r="I220" s="171"/>
      <c r="J220" s="171"/>
      <c r="K220" s="171"/>
      <c r="L220" s="171"/>
      <c r="M220" s="171"/>
      <c r="N220" s="171"/>
      <c r="O220" s="171"/>
      <c r="P220" s="171"/>
      <c r="Q220" s="171"/>
      <c r="R220" s="171"/>
      <c r="S220" s="171"/>
      <c r="T220" s="171"/>
      <c r="U220" s="171"/>
      <c r="V220" s="171"/>
      <c r="W220" s="171"/>
      <c r="X220" s="161"/>
      <c r="Y220" s="161"/>
      <c r="Z220" s="161"/>
      <c r="AA220" s="161"/>
      <c r="AB220" s="161"/>
      <c r="AC220" s="171"/>
      <c r="AD220" s="198"/>
    </row>
    <row r="221">
      <c r="A221" s="169"/>
      <c r="B221" s="169"/>
      <c r="C221" s="161"/>
      <c r="D221" s="229"/>
      <c r="E221" s="161"/>
      <c r="F221" s="161"/>
      <c r="G221" s="161"/>
      <c r="H221" s="171"/>
      <c r="I221" s="171"/>
      <c r="J221" s="171"/>
      <c r="K221" s="171"/>
      <c r="L221" s="171"/>
      <c r="M221" s="171"/>
      <c r="N221" s="171"/>
      <c r="O221" s="171"/>
      <c r="P221" s="171"/>
      <c r="Q221" s="171"/>
      <c r="R221" s="171"/>
      <c r="S221" s="171"/>
      <c r="T221" s="171"/>
      <c r="U221" s="171"/>
      <c r="V221" s="171"/>
      <c r="W221" s="171"/>
      <c r="X221" s="161"/>
      <c r="Y221" s="161"/>
      <c r="Z221" s="161"/>
      <c r="AA221" s="161"/>
      <c r="AB221" s="161"/>
      <c r="AC221" s="171"/>
      <c r="AD221" s="198"/>
    </row>
    <row r="222">
      <c r="A222" s="169"/>
      <c r="B222" s="169"/>
      <c r="C222" s="161"/>
      <c r="D222" s="229"/>
      <c r="E222" s="161"/>
      <c r="F222" s="161"/>
      <c r="G222" s="161"/>
      <c r="H222" s="171"/>
      <c r="I222" s="171"/>
      <c r="J222" s="171"/>
      <c r="K222" s="171"/>
      <c r="L222" s="171"/>
      <c r="M222" s="171"/>
      <c r="N222" s="171"/>
      <c r="O222" s="171"/>
      <c r="P222" s="171"/>
      <c r="Q222" s="171"/>
      <c r="R222" s="171"/>
      <c r="S222" s="171"/>
      <c r="T222" s="171"/>
      <c r="U222" s="171"/>
      <c r="V222" s="171"/>
      <c r="W222" s="171"/>
      <c r="X222" s="161"/>
      <c r="Y222" s="161"/>
      <c r="Z222" s="161"/>
      <c r="AA222" s="161"/>
      <c r="AB222" s="161"/>
      <c r="AC222" s="171"/>
      <c r="AD222" s="198"/>
    </row>
    <row r="223">
      <c r="A223" s="169"/>
      <c r="B223" s="169"/>
      <c r="C223" s="161"/>
      <c r="D223" s="229"/>
      <c r="E223" s="161"/>
      <c r="F223" s="161"/>
      <c r="G223" s="161"/>
      <c r="H223" s="171"/>
      <c r="I223" s="171"/>
      <c r="J223" s="171"/>
      <c r="K223" s="171"/>
      <c r="L223" s="171"/>
      <c r="M223" s="171"/>
      <c r="N223" s="171"/>
      <c r="O223" s="171"/>
      <c r="P223" s="171"/>
      <c r="Q223" s="171"/>
      <c r="R223" s="171"/>
      <c r="S223" s="171"/>
      <c r="T223" s="171"/>
      <c r="U223" s="171"/>
      <c r="V223" s="171"/>
      <c r="W223" s="171"/>
      <c r="X223" s="161"/>
      <c r="Y223" s="161"/>
      <c r="Z223" s="161"/>
      <c r="AA223" s="161"/>
      <c r="AB223" s="161"/>
      <c r="AC223" s="171"/>
      <c r="AD223" s="198"/>
    </row>
    <row r="224">
      <c r="A224" s="169"/>
      <c r="B224" s="169"/>
      <c r="C224" s="161"/>
      <c r="D224" s="229"/>
      <c r="E224" s="161"/>
      <c r="F224" s="161"/>
      <c r="G224" s="161"/>
      <c r="H224" s="171"/>
      <c r="I224" s="171"/>
      <c r="J224" s="171"/>
      <c r="K224" s="171"/>
      <c r="L224" s="171"/>
      <c r="M224" s="171"/>
      <c r="N224" s="171"/>
      <c r="O224" s="171"/>
      <c r="P224" s="171"/>
      <c r="Q224" s="171"/>
      <c r="R224" s="171"/>
      <c r="S224" s="171"/>
      <c r="T224" s="171"/>
      <c r="U224" s="171"/>
      <c r="V224" s="171"/>
      <c r="W224" s="171"/>
      <c r="X224" s="161"/>
      <c r="Y224" s="161"/>
      <c r="Z224" s="161"/>
      <c r="AA224" s="161"/>
      <c r="AB224" s="161"/>
      <c r="AC224" s="171"/>
      <c r="AD224" s="198"/>
    </row>
    <row r="225">
      <c r="A225" s="169"/>
      <c r="B225" s="169"/>
      <c r="C225" s="161"/>
      <c r="D225" s="229"/>
      <c r="E225" s="161"/>
      <c r="F225" s="161"/>
      <c r="G225" s="161"/>
      <c r="H225" s="171"/>
      <c r="I225" s="171"/>
      <c r="J225" s="171"/>
      <c r="K225" s="171"/>
      <c r="L225" s="171"/>
      <c r="M225" s="171"/>
      <c r="N225" s="171"/>
      <c r="O225" s="171"/>
      <c r="P225" s="171"/>
      <c r="Q225" s="171"/>
      <c r="R225" s="171"/>
      <c r="S225" s="171"/>
      <c r="T225" s="171"/>
      <c r="U225" s="171"/>
      <c r="V225" s="171"/>
      <c r="W225" s="171"/>
      <c r="X225" s="161"/>
      <c r="Y225" s="161"/>
      <c r="Z225" s="161"/>
      <c r="AA225" s="161"/>
      <c r="AB225" s="161"/>
      <c r="AC225" s="171"/>
      <c r="AD225" s="198"/>
    </row>
    <row r="226">
      <c r="A226" s="169"/>
      <c r="B226" s="169"/>
      <c r="C226" s="161"/>
      <c r="D226" s="229"/>
      <c r="E226" s="161"/>
      <c r="F226" s="161"/>
      <c r="G226" s="161"/>
      <c r="H226" s="171"/>
      <c r="I226" s="171"/>
      <c r="J226" s="171"/>
      <c r="K226" s="171"/>
      <c r="L226" s="171"/>
      <c r="M226" s="171"/>
      <c r="N226" s="171"/>
      <c r="O226" s="171"/>
      <c r="P226" s="171"/>
      <c r="Q226" s="171"/>
      <c r="R226" s="171"/>
      <c r="S226" s="171"/>
      <c r="T226" s="171"/>
      <c r="U226" s="171"/>
      <c r="V226" s="171"/>
      <c r="W226" s="171"/>
      <c r="X226" s="161"/>
      <c r="Y226" s="161"/>
      <c r="Z226" s="161"/>
      <c r="AA226" s="161"/>
      <c r="AB226" s="161"/>
      <c r="AC226" s="171"/>
      <c r="AD226" s="198"/>
    </row>
    <row r="227">
      <c r="A227" s="169"/>
      <c r="B227" s="169"/>
      <c r="C227" s="161"/>
      <c r="D227" s="229"/>
      <c r="E227" s="161"/>
      <c r="F227" s="161"/>
      <c r="G227" s="161"/>
      <c r="H227" s="171"/>
      <c r="I227" s="171"/>
      <c r="J227" s="171"/>
      <c r="K227" s="171"/>
      <c r="L227" s="171"/>
      <c r="M227" s="171"/>
      <c r="N227" s="171"/>
      <c r="O227" s="171"/>
      <c r="P227" s="171"/>
      <c r="Q227" s="171"/>
      <c r="R227" s="171"/>
      <c r="S227" s="171"/>
      <c r="T227" s="171"/>
      <c r="U227" s="171"/>
      <c r="V227" s="171"/>
      <c r="W227" s="171"/>
      <c r="X227" s="161"/>
      <c r="Y227" s="161"/>
      <c r="Z227" s="161"/>
      <c r="AA227" s="161"/>
      <c r="AB227" s="161"/>
      <c r="AC227" s="171"/>
      <c r="AD227" s="198"/>
    </row>
    <row r="228">
      <c r="A228" s="169"/>
      <c r="B228" s="169"/>
      <c r="C228" s="161"/>
      <c r="D228" s="229"/>
      <c r="E228" s="161"/>
      <c r="F228" s="161"/>
      <c r="G228" s="161"/>
      <c r="H228" s="171"/>
      <c r="I228" s="171"/>
      <c r="J228" s="171"/>
      <c r="K228" s="171"/>
      <c r="L228" s="171"/>
      <c r="M228" s="171"/>
      <c r="N228" s="171"/>
      <c r="O228" s="171"/>
      <c r="P228" s="171"/>
      <c r="Q228" s="171"/>
      <c r="R228" s="171"/>
      <c r="S228" s="171"/>
      <c r="T228" s="171"/>
      <c r="U228" s="171"/>
      <c r="V228" s="171"/>
      <c r="W228" s="171"/>
      <c r="X228" s="161"/>
      <c r="Y228" s="161"/>
      <c r="Z228" s="161"/>
      <c r="AA228" s="161"/>
      <c r="AB228" s="161"/>
      <c r="AC228" s="171"/>
      <c r="AD228" s="198"/>
    </row>
    <row r="229">
      <c r="A229" s="169"/>
      <c r="B229" s="169"/>
      <c r="C229" s="161"/>
      <c r="D229" s="229"/>
      <c r="E229" s="161"/>
      <c r="F229" s="161"/>
      <c r="G229" s="161"/>
      <c r="H229" s="171"/>
      <c r="I229" s="171"/>
      <c r="J229" s="171"/>
      <c r="K229" s="171"/>
      <c r="L229" s="171"/>
      <c r="M229" s="171"/>
      <c r="N229" s="171"/>
      <c r="O229" s="171"/>
      <c r="P229" s="171"/>
      <c r="Q229" s="171"/>
      <c r="R229" s="171"/>
      <c r="S229" s="171"/>
      <c r="T229" s="171"/>
      <c r="U229" s="171"/>
      <c r="V229" s="171"/>
      <c r="W229" s="171"/>
      <c r="X229" s="161"/>
      <c r="Y229" s="161"/>
      <c r="Z229" s="161"/>
      <c r="AA229" s="161"/>
      <c r="AB229" s="161"/>
      <c r="AC229" s="171"/>
      <c r="AD229" s="198"/>
    </row>
    <row r="230">
      <c r="A230" s="169"/>
      <c r="B230" s="169"/>
      <c r="C230" s="161"/>
      <c r="D230" s="229"/>
      <c r="E230" s="161"/>
      <c r="F230" s="161"/>
      <c r="G230" s="161"/>
      <c r="H230" s="171"/>
      <c r="I230" s="171"/>
      <c r="J230" s="171"/>
      <c r="K230" s="171"/>
      <c r="L230" s="171"/>
      <c r="M230" s="171"/>
      <c r="N230" s="171"/>
      <c r="O230" s="171"/>
      <c r="P230" s="171"/>
      <c r="Q230" s="171"/>
      <c r="R230" s="171"/>
      <c r="S230" s="171"/>
      <c r="T230" s="171"/>
      <c r="U230" s="171"/>
      <c r="V230" s="171"/>
      <c r="W230" s="171"/>
      <c r="X230" s="161"/>
      <c r="Y230" s="161"/>
      <c r="Z230" s="161"/>
      <c r="AA230" s="161"/>
      <c r="AB230" s="161"/>
      <c r="AC230" s="171"/>
      <c r="AD230" s="198"/>
    </row>
    <row r="231">
      <c r="A231" s="169"/>
      <c r="B231" s="169"/>
      <c r="C231" s="161"/>
      <c r="D231" s="229"/>
      <c r="E231" s="161"/>
      <c r="F231" s="161"/>
      <c r="G231" s="161"/>
      <c r="H231" s="171"/>
      <c r="I231" s="171"/>
      <c r="J231" s="171"/>
      <c r="K231" s="171"/>
      <c r="L231" s="171"/>
      <c r="M231" s="171"/>
      <c r="N231" s="171"/>
      <c r="O231" s="171"/>
      <c r="P231" s="171"/>
      <c r="Q231" s="171"/>
      <c r="R231" s="171"/>
      <c r="S231" s="171"/>
      <c r="T231" s="171"/>
      <c r="U231" s="171"/>
      <c r="V231" s="171"/>
      <c r="W231" s="171"/>
      <c r="X231" s="161"/>
      <c r="Y231" s="161"/>
      <c r="Z231" s="161"/>
      <c r="AA231" s="161"/>
      <c r="AB231" s="161"/>
      <c r="AC231" s="171"/>
      <c r="AD231" s="198"/>
    </row>
    <row r="232">
      <c r="A232" s="169"/>
      <c r="B232" s="169"/>
      <c r="C232" s="161"/>
      <c r="D232" s="229"/>
      <c r="E232" s="161"/>
      <c r="F232" s="161"/>
      <c r="G232" s="161"/>
      <c r="H232" s="171"/>
      <c r="I232" s="171"/>
      <c r="J232" s="171"/>
      <c r="K232" s="171"/>
      <c r="L232" s="171"/>
      <c r="M232" s="171"/>
      <c r="N232" s="171"/>
      <c r="O232" s="171"/>
      <c r="P232" s="171"/>
      <c r="Q232" s="171"/>
      <c r="R232" s="171"/>
      <c r="S232" s="171"/>
      <c r="T232" s="171"/>
      <c r="U232" s="171"/>
      <c r="V232" s="171"/>
      <c r="W232" s="171"/>
      <c r="X232" s="161"/>
      <c r="Y232" s="161"/>
      <c r="Z232" s="161"/>
      <c r="AA232" s="161"/>
      <c r="AB232" s="161"/>
      <c r="AC232" s="171"/>
      <c r="AD232" s="198"/>
    </row>
    <row r="233">
      <c r="A233" s="169"/>
      <c r="B233" s="169"/>
      <c r="C233" s="161"/>
      <c r="D233" s="229"/>
      <c r="E233" s="161"/>
      <c r="F233" s="161"/>
      <c r="G233" s="161"/>
      <c r="H233" s="171"/>
      <c r="I233" s="171"/>
      <c r="J233" s="171"/>
      <c r="K233" s="171"/>
      <c r="L233" s="171"/>
      <c r="M233" s="171"/>
      <c r="N233" s="171"/>
      <c r="O233" s="171"/>
      <c r="P233" s="171"/>
      <c r="Q233" s="171"/>
      <c r="R233" s="171"/>
      <c r="S233" s="171"/>
      <c r="T233" s="171"/>
      <c r="U233" s="171"/>
      <c r="V233" s="171"/>
      <c r="W233" s="171"/>
      <c r="X233" s="161"/>
      <c r="Y233" s="161"/>
      <c r="Z233" s="161"/>
      <c r="AA233" s="161"/>
      <c r="AB233" s="161"/>
      <c r="AC233" s="171"/>
      <c r="AD233" s="198"/>
    </row>
    <row r="234">
      <c r="A234" s="169"/>
      <c r="B234" s="169"/>
      <c r="C234" s="161"/>
      <c r="D234" s="229"/>
      <c r="E234" s="161"/>
      <c r="F234" s="161"/>
      <c r="G234" s="161"/>
      <c r="H234" s="171"/>
      <c r="I234" s="171"/>
      <c r="J234" s="171"/>
      <c r="K234" s="171"/>
      <c r="L234" s="171"/>
      <c r="M234" s="171"/>
      <c r="N234" s="171"/>
      <c r="O234" s="171"/>
      <c r="P234" s="171"/>
      <c r="Q234" s="171"/>
      <c r="R234" s="171"/>
      <c r="S234" s="171"/>
      <c r="T234" s="171"/>
      <c r="U234" s="171"/>
      <c r="V234" s="171"/>
      <c r="W234" s="171"/>
      <c r="X234" s="161"/>
      <c r="Y234" s="161"/>
      <c r="Z234" s="161"/>
      <c r="AA234" s="161"/>
      <c r="AB234" s="161"/>
      <c r="AC234" s="171"/>
      <c r="AD234" s="198"/>
    </row>
    <row r="235">
      <c r="A235" s="169"/>
      <c r="B235" s="169"/>
      <c r="C235" s="161"/>
      <c r="D235" s="229"/>
      <c r="E235" s="161"/>
      <c r="F235" s="161"/>
      <c r="G235" s="161"/>
      <c r="H235" s="171"/>
      <c r="I235" s="171"/>
      <c r="J235" s="171"/>
      <c r="K235" s="171"/>
      <c r="L235" s="171"/>
      <c r="M235" s="171"/>
      <c r="N235" s="171"/>
      <c r="O235" s="171"/>
      <c r="P235" s="171"/>
      <c r="Q235" s="171"/>
      <c r="R235" s="171"/>
      <c r="S235" s="171"/>
      <c r="T235" s="171"/>
      <c r="U235" s="171"/>
      <c r="V235" s="171"/>
      <c r="W235" s="171"/>
      <c r="X235" s="161"/>
      <c r="Y235" s="161"/>
      <c r="Z235" s="161"/>
      <c r="AA235" s="161"/>
      <c r="AB235" s="161"/>
      <c r="AC235" s="171"/>
      <c r="AD235" s="198"/>
    </row>
    <row r="236">
      <c r="A236" s="169"/>
      <c r="B236" s="169"/>
      <c r="C236" s="161"/>
      <c r="D236" s="229"/>
      <c r="E236" s="161"/>
      <c r="F236" s="161"/>
      <c r="G236" s="161"/>
      <c r="H236" s="171"/>
      <c r="I236" s="171"/>
      <c r="J236" s="171"/>
      <c r="K236" s="171"/>
      <c r="L236" s="171"/>
      <c r="M236" s="171"/>
      <c r="N236" s="171"/>
      <c r="O236" s="171"/>
      <c r="P236" s="171"/>
      <c r="Q236" s="171"/>
      <c r="R236" s="171"/>
      <c r="S236" s="171"/>
      <c r="T236" s="171"/>
      <c r="U236" s="171"/>
      <c r="V236" s="171"/>
      <c r="W236" s="171"/>
      <c r="X236" s="161"/>
      <c r="Y236" s="161"/>
      <c r="Z236" s="161"/>
      <c r="AA236" s="161"/>
      <c r="AB236" s="161"/>
      <c r="AC236" s="171"/>
      <c r="AD236" s="198"/>
    </row>
    <row r="237">
      <c r="A237" s="169"/>
      <c r="B237" s="169"/>
      <c r="C237" s="161"/>
      <c r="D237" s="229"/>
      <c r="E237" s="161"/>
      <c r="F237" s="161"/>
      <c r="G237" s="161"/>
      <c r="H237" s="171"/>
      <c r="I237" s="171"/>
      <c r="J237" s="171"/>
      <c r="K237" s="171"/>
      <c r="L237" s="171"/>
      <c r="M237" s="171"/>
      <c r="N237" s="171"/>
      <c r="O237" s="171"/>
      <c r="P237" s="171"/>
      <c r="Q237" s="171"/>
      <c r="R237" s="171"/>
      <c r="S237" s="171"/>
      <c r="T237" s="171"/>
      <c r="U237" s="171"/>
      <c r="V237" s="171"/>
      <c r="W237" s="171"/>
      <c r="X237" s="161"/>
      <c r="Y237" s="161"/>
      <c r="Z237" s="161"/>
      <c r="AA237" s="161"/>
      <c r="AB237" s="161"/>
      <c r="AC237" s="171"/>
      <c r="AD237" s="198"/>
    </row>
    <row r="238">
      <c r="A238" s="169"/>
      <c r="B238" s="169"/>
      <c r="C238" s="161"/>
      <c r="D238" s="229"/>
      <c r="E238" s="161"/>
      <c r="F238" s="161"/>
      <c r="G238" s="161"/>
      <c r="H238" s="171"/>
      <c r="I238" s="171"/>
      <c r="J238" s="171"/>
      <c r="K238" s="171"/>
      <c r="L238" s="171"/>
      <c r="M238" s="171"/>
      <c r="N238" s="171"/>
      <c r="O238" s="171"/>
      <c r="P238" s="171"/>
      <c r="Q238" s="171"/>
      <c r="R238" s="171"/>
      <c r="S238" s="171"/>
      <c r="T238" s="171"/>
      <c r="U238" s="171"/>
      <c r="V238" s="171"/>
      <c r="W238" s="171"/>
      <c r="X238" s="161"/>
      <c r="Y238" s="161"/>
      <c r="Z238" s="161"/>
      <c r="AA238" s="161"/>
      <c r="AB238" s="161"/>
      <c r="AC238" s="171"/>
      <c r="AD238" s="198"/>
    </row>
    <row r="239">
      <c r="A239" s="169"/>
      <c r="B239" s="169"/>
      <c r="C239" s="161"/>
      <c r="D239" s="229"/>
      <c r="E239" s="161"/>
      <c r="F239" s="161"/>
      <c r="G239" s="161"/>
      <c r="H239" s="171"/>
      <c r="I239" s="171"/>
      <c r="J239" s="171"/>
      <c r="K239" s="171"/>
      <c r="L239" s="171"/>
      <c r="M239" s="171"/>
      <c r="N239" s="171"/>
      <c r="O239" s="171"/>
      <c r="P239" s="171"/>
      <c r="Q239" s="171"/>
      <c r="R239" s="171"/>
      <c r="S239" s="171"/>
      <c r="T239" s="171"/>
      <c r="U239" s="171"/>
      <c r="V239" s="171"/>
      <c r="W239" s="171"/>
      <c r="X239" s="161"/>
      <c r="Y239" s="161"/>
      <c r="Z239" s="161"/>
      <c r="AA239" s="161"/>
      <c r="AB239" s="161"/>
      <c r="AC239" s="171"/>
      <c r="AD239" s="198"/>
    </row>
    <row r="240">
      <c r="A240" s="169"/>
      <c r="B240" s="169"/>
      <c r="C240" s="161"/>
      <c r="D240" s="229"/>
      <c r="E240" s="161"/>
      <c r="F240" s="161"/>
      <c r="G240" s="161"/>
      <c r="H240" s="171"/>
      <c r="I240" s="171"/>
      <c r="J240" s="171"/>
      <c r="K240" s="171"/>
      <c r="L240" s="171"/>
      <c r="M240" s="171"/>
      <c r="N240" s="171"/>
      <c r="O240" s="171"/>
      <c r="P240" s="171"/>
      <c r="Q240" s="171"/>
      <c r="R240" s="171"/>
      <c r="S240" s="171"/>
      <c r="T240" s="171"/>
      <c r="U240" s="171"/>
      <c r="V240" s="171"/>
      <c r="W240" s="171"/>
      <c r="X240" s="161"/>
      <c r="Y240" s="161"/>
      <c r="Z240" s="161"/>
      <c r="AA240" s="161"/>
      <c r="AB240" s="161"/>
      <c r="AC240" s="171"/>
      <c r="AD240" s="198"/>
    </row>
    <row r="241">
      <c r="A241" s="169"/>
      <c r="B241" s="169"/>
      <c r="C241" s="161"/>
      <c r="D241" s="229"/>
      <c r="E241" s="161"/>
      <c r="F241" s="161"/>
      <c r="G241" s="161"/>
      <c r="H241" s="171"/>
      <c r="I241" s="171"/>
      <c r="J241" s="171"/>
      <c r="K241" s="171"/>
      <c r="L241" s="171"/>
      <c r="M241" s="171"/>
      <c r="N241" s="171"/>
      <c r="O241" s="171"/>
      <c r="P241" s="171"/>
      <c r="Q241" s="171"/>
      <c r="R241" s="171"/>
      <c r="S241" s="171"/>
      <c r="T241" s="171"/>
      <c r="U241" s="171"/>
      <c r="V241" s="171"/>
      <c r="W241" s="171"/>
      <c r="X241" s="161"/>
      <c r="Y241" s="161"/>
      <c r="Z241" s="161"/>
      <c r="AA241" s="161"/>
      <c r="AB241" s="161"/>
      <c r="AC241" s="171"/>
      <c r="AD241" s="198"/>
    </row>
    <row r="242">
      <c r="A242" s="169"/>
      <c r="B242" s="169"/>
      <c r="C242" s="161"/>
      <c r="D242" s="229"/>
      <c r="E242" s="161"/>
      <c r="F242" s="161"/>
      <c r="G242" s="161"/>
      <c r="H242" s="171"/>
      <c r="I242" s="171"/>
      <c r="J242" s="171"/>
      <c r="K242" s="171"/>
      <c r="L242" s="171"/>
      <c r="M242" s="171"/>
      <c r="N242" s="171"/>
      <c r="O242" s="171"/>
      <c r="P242" s="171"/>
      <c r="Q242" s="171"/>
      <c r="R242" s="171"/>
      <c r="S242" s="171"/>
      <c r="T242" s="171"/>
      <c r="U242" s="171"/>
      <c r="V242" s="171"/>
      <c r="W242" s="171"/>
      <c r="X242" s="161"/>
      <c r="Y242" s="161"/>
      <c r="Z242" s="161"/>
      <c r="AA242" s="161"/>
      <c r="AB242" s="161"/>
      <c r="AC242" s="171"/>
      <c r="AD242" s="198"/>
    </row>
    <row r="243">
      <c r="A243" s="169"/>
      <c r="B243" s="169"/>
      <c r="C243" s="161"/>
      <c r="D243" s="229"/>
      <c r="E243" s="161"/>
      <c r="F243" s="161"/>
      <c r="G243" s="161"/>
      <c r="H243" s="171"/>
      <c r="I243" s="171"/>
      <c r="J243" s="171"/>
      <c r="K243" s="171"/>
      <c r="L243" s="171"/>
      <c r="M243" s="171"/>
      <c r="N243" s="171"/>
      <c r="O243" s="171"/>
      <c r="P243" s="171"/>
      <c r="Q243" s="171"/>
      <c r="R243" s="171"/>
      <c r="S243" s="171"/>
      <c r="T243" s="171"/>
      <c r="U243" s="171"/>
      <c r="V243" s="171"/>
      <c r="W243" s="171"/>
      <c r="X243" s="161"/>
      <c r="Y243" s="161"/>
      <c r="Z243" s="161"/>
      <c r="AA243" s="161"/>
      <c r="AB243" s="161"/>
      <c r="AC243" s="171"/>
      <c r="AD243" s="198"/>
    </row>
    <row r="244">
      <c r="A244" s="169"/>
      <c r="B244" s="169"/>
      <c r="C244" s="161"/>
      <c r="D244" s="229"/>
      <c r="E244" s="161"/>
      <c r="F244" s="161"/>
      <c r="G244" s="161"/>
      <c r="H244" s="171"/>
      <c r="I244" s="171"/>
      <c r="J244" s="171"/>
      <c r="K244" s="171"/>
      <c r="L244" s="171"/>
      <c r="M244" s="171"/>
      <c r="N244" s="171"/>
      <c r="O244" s="171"/>
      <c r="P244" s="171"/>
      <c r="Q244" s="171"/>
      <c r="R244" s="171"/>
      <c r="S244" s="171"/>
      <c r="T244" s="171"/>
      <c r="U244" s="171"/>
      <c r="V244" s="171"/>
      <c r="W244" s="171"/>
      <c r="X244" s="161"/>
      <c r="Y244" s="161"/>
      <c r="Z244" s="161"/>
      <c r="AA244" s="161"/>
      <c r="AB244" s="161"/>
      <c r="AC244" s="171"/>
      <c r="AD244" s="198"/>
    </row>
    <row r="245">
      <c r="A245" s="169"/>
      <c r="B245" s="169"/>
      <c r="C245" s="161"/>
      <c r="D245" s="229"/>
      <c r="E245" s="161"/>
      <c r="F245" s="161"/>
      <c r="G245" s="161"/>
      <c r="H245" s="171"/>
      <c r="I245" s="171"/>
      <c r="J245" s="171"/>
      <c r="K245" s="171"/>
      <c r="L245" s="171"/>
      <c r="M245" s="171"/>
      <c r="N245" s="171"/>
      <c r="O245" s="171"/>
      <c r="P245" s="171"/>
      <c r="Q245" s="171"/>
      <c r="R245" s="171"/>
      <c r="S245" s="171"/>
      <c r="T245" s="171"/>
      <c r="U245" s="171"/>
      <c r="V245" s="171"/>
      <c r="W245" s="171"/>
      <c r="X245" s="161"/>
      <c r="Y245" s="161"/>
      <c r="Z245" s="161"/>
      <c r="AA245" s="161"/>
      <c r="AB245" s="161"/>
      <c r="AC245" s="171"/>
      <c r="AD245" s="198"/>
    </row>
    <row r="246">
      <c r="A246" s="169"/>
      <c r="B246" s="169"/>
      <c r="C246" s="161"/>
      <c r="D246" s="229"/>
      <c r="E246" s="161"/>
      <c r="F246" s="161"/>
      <c r="G246" s="161"/>
      <c r="H246" s="171"/>
      <c r="I246" s="171"/>
      <c r="J246" s="171"/>
      <c r="K246" s="171"/>
      <c r="L246" s="171"/>
      <c r="M246" s="171"/>
      <c r="N246" s="171"/>
      <c r="O246" s="171"/>
      <c r="P246" s="171"/>
      <c r="Q246" s="171"/>
      <c r="R246" s="171"/>
      <c r="S246" s="171"/>
      <c r="T246" s="171"/>
      <c r="U246" s="171"/>
      <c r="V246" s="171"/>
      <c r="W246" s="171"/>
      <c r="X246" s="161"/>
      <c r="Y246" s="161"/>
      <c r="Z246" s="161"/>
      <c r="AA246" s="161"/>
      <c r="AB246" s="161"/>
      <c r="AC246" s="171"/>
      <c r="AD246" s="198"/>
    </row>
    <row r="247">
      <c r="A247" s="169"/>
      <c r="B247" s="169"/>
      <c r="C247" s="161"/>
      <c r="D247" s="229"/>
      <c r="E247" s="161"/>
      <c r="F247" s="161"/>
      <c r="G247" s="161"/>
      <c r="H247" s="171"/>
      <c r="I247" s="171"/>
      <c r="J247" s="171"/>
      <c r="K247" s="171"/>
      <c r="L247" s="171"/>
      <c r="M247" s="171"/>
      <c r="N247" s="171"/>
      <c r="O247" s="171"/>
      <c r="P247" s="171"/>
      <c r="Q247" s="171"/>
      <c r="R247" s="171"/>
      <c r="S247" s="171"/>
      <c r="T247" s="171"/>
      <c r="U247" s="171"/>
      <c r="V247" s="171"/>
      <c r="W247" s="171"/>
      <c r="X247" s="161"/>
      <c r="Y247" s="161"/>
      <c r="Z247" s="161"/>
      <c r="AA247" s="161"/>
      <c r="AB247" s="161"/>
      <c r="AC247" s="171"/>
      <c r="AD247" s="198"/>
    </row>
    <row r="248">
      <c r="A248" s="169"/>
      <c r="B248" s="169"/>
      <c r="C248" s="161"/>
      <c r="D248" s="229"/>
      <c r="E248" s="161"/>
      <c r="F248" s="161"/>
      <c r="G248" s="161"/>
      <c r="H248" s="171"/>
      <c r="I248" s="171"/>
      <c r="J248" s="171"/>
      <c r="K248" s="171"/>
      <c r="L248" s="171"/>
      <c r="M248" s="171"/>
      <c r="N248" s="171"/>
      <c r="O248" s="171"/>
      <c r="P248" s="171"/>
      <c r="Q248" s="171"/>
      <c r="R248" s="171"/>
      <c r="S248" s="171"/>
      <c r="T248" s="171"/>
      <c r="U248" s="171"/>
      <c r="V248" s="171"/>
      <c r="W248" s="171"/>
      <c r="X248" s="161"/>
      <c r="Y248" s="161"/>
      <c r="Z248" s="161"/>
      <c r="AA248" s="161"/>
      <c r="AB248" s="161"/>
      <c r="AC248" s="171"/>
      <c r="AD248" s="198"/>
    </row>
    <row r="249">
      <c r="A249" s="169"/>
      <c r="B249" s="169"/>
      <c r="C249" s="161"/>
      <c r="D249" s="229"/>
      <c r="E249" s="161"/>
      <c r="F249" s="161"/>
      <c r="G249" s="161"/>
      <c r="H249" s="171"/>
      <c r="I249" s="171"/>
      <c r="J249" s="171"/>
      <c r="K249" s="171"/>
      <c r="L249" s="171"/>
      <c r="M249" s="171"/>
      <c r="N249" s="171"/>
      <c r="O249" s="171"/>
      <c r="P249" s="171"/>
      <c r="Q249" s="171"/>
      <c r="R249" s="171"/>
      <c r="S249" s="171"/>
      <c r="T249" s="171"/>
      <c r="U249" s="171"/>
      <c r="V249" s="171"/>
      <c r="W249" s="171"/>
      <c r="X249" s="161"/>
      <c r="Y249" s="161"/>
      <c r="Z249" s="161"/>
      <c r="AA249" s="161"/>
      <c r="AB249" s="161"/>
      <c r="AC249" s="171"/>
      <c r="AD249" s="198"/>
    </row>
    <row r="250">
      <c r="A250" s="169"/>
      <c r="B250" s="169"/>
      <c r="C250" s="161"/>
      <c r="D250" s="229"/>
      <c r="E250" s="161"/>
      <c r="F250" s="161"/>
      <c r="G250" s="161"/>
      <c r="H250" s="171"/>
      <c r="I250" s="171"/>
      <c r="J250" s="171"/>
      <c r="K250" s="171"/>
      <c r="L250" s="171"/>
      <c r="M250" s="171"/>
      <c r="N250" s="171"/>
      <c r="O250" s="171"/>
      <c r="P250" s="171"/>
      <c r="Q250" s="171"/>
      <c r="R250" s="171"/>
      <c r="S250" s="171"/>
      <c r="T250" s="171"/>
      <c r="U250" s="171"/>
      <c r="V250" s="171"/>
      <c r="W250" s="171"/>
      <c r="X250" s="161"/>
      <c r="Y250" s="161"/>
      <c r="Z250" s="161"/>
      <c r="AA250" s="161"/>
      <c r="AB250" s="161"/>
      <c r="AC250" s="171"/>
      <c r="AD250" s="198"/>
    </row>
    <row r="251">
      <c r="A251" s="169"/>
      <c r="B251" s="169"/>
      <c r="C251" s="161"/>
      <c r="D251" s="229"/>
      <c r="E251" s="161"/>
      <c r="F251" s="161"/>
      <c r="G251" s="161"/>
      <c r="H251" s="171"/>
      <c r="I251" s="171"/>
      <c r="J251" s="171"/>
      <c r="K251" s="171"/>
      <c r="L251" s="171"/>
      <c r="M251" s="171"/>
      <c r="N251" s="171"/>
      <c r="O251" s="171"/>
      <c r="P251" s="171"/>
      <c r="Q251" s="171"/>
      <c r="R251" s="171"/>
      <c r="S251" s="171"/>
      <c r="T251" s="171"/>
      <c r="U251" s="171"/>
      <c r="V251" s="171"/>
      <c r="W251" s="171"/>
      <c r="X251" s="161"/>
      <c r="Y251" s="161"/>
      <c r="Z251" s="161"/>
      <c r="AA251" s="161"/>
      <c r="AB251" s="161"/>
      <c r="AC251" s="171"/>
      <c r="AD251" s="198"/>
    </row>
    <row r="252">
      <c r="A252" s="169"/>
      <c r="B252" s="169"/>
      <c r="C252" s="161"/>
      <c r="D252" s="229"/>
      <c r="E252" s="161"/>
      <c r="F252" s="161"/>
      <c r="G252" s="161"/>
      <c r="H252" s="171"/>
      <c r="I252" s="171"/>
      <c r="J252" s="171"/>
      <c r="K252" s="171"/>
      <c r="L252" s="171"/>
      <c r="M252" s="171"/>
      <c r="N252" s="171"/>
      <c r="O252" s="171"/>
      <c r="P252" s="171"/>
      <c r="Q252" s="171"/>
      <c r="R252" s="171"/>
      <c r="S252" s="171"/>
      <c r="T252" s="171"/>
      <c r="U252" s="171"/>
      <c r="V252" s="171"/>
      <c r="W252" s="171"/>
      <c r="X252" s="161"/>
      <c r="Y252" s="161"/>
      <c r="Z252" s="161"/>
      <c r="AA252" s="161"/>
      <c r="AB252" s="161"/>
      <c r="AC252" s="171"/>
      <c r="AD252" s="198"/>
    </row>
    <row r="253">
      <c r="A253" s="169"/>
      <c r="B253" s="169"/>
      <c r="C253" s="161"/>
      <c r="D253" s="229"/>
      <c r="E253" s="161"/>
      <c r="F253" s="161"/>
      <c r="G253" s="161"/>
      <c r="H253" s="171"/>
      <c r="I253" s="171"/>
      <c r="J253" s="171"/>
      <c r="K253" s="171"/>
      <c r="L253" s="171"/>
      <c r="M253" s="171"/>
      <c r="N253" s="171"/>
      <c r="O253" s="171"/>
      <c r="P253" s="171"/>
      <c r="Q253" s="171"/>
      <c r="R253" s="171"/>
      <c r="S253" s="171"/>
      <c r="T253" s="171"/>
      <c r="U253" s="171"/>
      <c r="V253" s="171"/>
      <c r="W253" s="171"/>
      <c r="X253" s="161"/>
      <c r="Y253" s="161"/>
      <c r="Z253" s="161"/>
      <c r="AA253" s="161"/>
      <c r="AB253" s="161"/>
      <c r="AC253" s="171"/>
      <c r="AD253" s="198"/>
    </row>
    <row r="254">
      <c r="A254" s="169"/>
      <c r="B254" s="169"/>
      <c r="C254" s="161"/>
      <c r="D254" s="229"/>
      <c r="E254" s="161"/>
      <c r="F254" s="161"/>
      <c r="G254" s="161"/>
      <c r="H254" s="171"/>
      <c r="I254" s="171"/>
      <c r="J254" s="171"/>
      <c r="K254" s="171"/>
      <c r="L254" s="171"/>
      <c r="M254" s="171"/>
      <c r="N254" s="171"/>
      <c r="O254" s="171"/>
      <c r="P254" s="171"/>
      <c r="Q254" s="171"/>
      <c r="R254" s="171"/>
      <c r="S254" s="171"/>
      <c r="T254" s="171"/>
      <c r="U254" s="171"/>
      <c r="V254" s="171"/>
      <c r="W254" s="171"/>
      <c r="X254" s="161"/>
      <c r="Y254" s="161"/>
      <c r="Z254" s="161"/>
      <c r="AA254" s="161"/>
      <c r="AB254" s="161"/>
      <c r="AC254" s="171"/>
      <c r="AD254" s="198"/>
    </row>
    <row r="255">
      <c r="A255" s="169"/>
      <c r="B255" s="169"/>
      <c r="C255" s="161"/>
      <c r="D255" s="229"/>
      <c r="E255" s="161"/>
      <c r="F255" s="161"/>
      <c r="G255" s="161"/>
      <c r="H255" s="171"/>
      <c r="I255" s="171"/>
      <c r="J255" s="171"/>
      <c r="K255" s="171"/>
      <c r="L255" s="171"/>
      <c r="M255" s="171"/>
      <c r="N255" s="171"/>
      <c r="O255" s="171"/>
      <c r="P255" s="171"/>
      <c r="Q255" s="171"/>
      <c r="R255" s="171"/>
      <c r="S255" s="171"/>
      <c r="T255" s="171"/>
      <c r="U255" s="171"/>
      <c r="V255" s="171"/>
      <c r="W255" s="171"/>
      <c r="X255" s="161"/>
      <c r="Y255" s="161"/>
      <c r="Z255" s="161"/>
      <c r="AA255" s="161"/>
      <c r="AB255" s="161"/>
      <c r="AC255" s="171"/>
      <c r="AD255" s="198"/>
    </row>
    <row r="256">
      <c r="A256" s="169"/>
      <c r="B256" s="169"/>
      <c r="C256" s="161"/>
      <c r="D256" s="229"/>
      <c r="E256" s="161"/>
      <c r="F256" s="161"/>
      <c r="G256" s="161"/>
      <c r="H256" s="171"/>
      <c r="I256" s="171"/>
      <c r="J256" s="171"/>
      <c r="K256" s="171"/>
      <c r="L256" s="171"/>
      <c r="M256" s="171"/>
      <c r="N256" s="171"/>
      <c r="O256" s="171"/>
      <c r="P256" s="171"/>
      <c r="Q256" s="171"/>
      <c r="R256" s="171"/>
      <c r="S256" s="171"/>
      <c r="T256" s="171"/>
      <c r="U256" s="171"/>
      <c r="V256" s="171"/>
      <c r="W256" s="171"/>
      <c r="X256" s="161"/>
      <c r="Y256" s="161"/>
      <c r="Z256" s="161"/>
      <c r="AA256" s="161"/>
      <c r="AB256" s="161"/>
      <c r="AC256" s="171"/>
      <c r="AD256" s="198"/>
    </row>
    <row r="257">
      <c r="A257" s="169"/>
      <c r="B257" s="169"/>
      <c r="C257" s="161"/>
      <c r="D257" s="229"/>
      <c r="E257" s="161"/>
      <c r="F257" s="161"/>
      <c r="G257" s="161"/>
      <c r="H257" s="171"/>
      <c r="I257" s="171"/>
      <c r="J257" s="171"/>
      <c r="K257" s="171"/>
      <c r="L257" s="171"/>
      <c r="M257" s="171"/>
      <c r="N257" s="171"/>
      <c r="O257" s="171"/>
      <c r="P257" s="171"/>
      <c r="Q257" s="171"/>
      <c r="R257" s="171"/>
      <c r="S257" s="171"/>
      <c r="T257" s="171"/>
      <c r="U257" s="171"/>
      <c r="V257" s="171"/>
      <c r="W257" s="171"/>
      <c r="X257" s="161"/>
      <c r="Y257" s="161"/>
      <c r="Z257" s="161"/>
      <c r="AA257" s="161"/>
      <c r="AB257" s="161"/>
      <c r="AC257" s="171"/>
      <c r="AD257" s="198"/>
    </row>
    <row r="258">
      <c r="A258" s="169"/>
      <c r="B258" s="169"/>
      <c r="C258" s="161"/>
      <c r="D258" s="229"/>
      <c r="E258" s="161"/>
      <c r="F258" s="161"/>
      <c r="G258" s="161"/>
      <c r="H258" s="171"/>
      <c r="I258" s="171"/>
      <c r="J258" s="171"/>
      <c r="K258" s="171"/>
      <c r="L258" s="171"/>
      <c r="M258" s="171"/>
      <c r="N258" s="171"/>
      <c r="O258" s="171"/>
      <c r="P258" s="171"/>
      <c r="Q258" s="171"/>
      <c r="R258" s="171"/>
      <c r="S258" s="171"/>
      <c r="T258" s="171"/>
      <c r="U258" s="171"/>
      <c r="V258" s="171"/>
      <c r="W258" s="171"/>
      <c r="X258" s="161"/>
      <c r="Y258" s="161"/>
      <c r="Z258" s="161"/>
      <c r="AA258" s="161"/>
      <c r="AB258" s="161"/>
      <c r="AC258" s="171"/>
      <c r="AD258" s="198"/>
    </row>
    <row r="259">
      <c r="A259" s="169"/>
      <c r="B259" s="169"/>
      <c r="C259" s="161"/>
      <c r="D259" s="229"/>
      <c r="E259" s="161"/>
      <c r="F259" s="161"/>
      <c r="G259" s="161"/>
      <c r="H259" s="171"/>
      <c r="I259" s="171"/>
      <c r="J259" s="171"/>
      <c r="K259" s="171"/>
      <c r="L259" s="171"/>
      <c r="M259" s="171"/>
      <c r="N259" s="171"/>
      <c r="O259" s="171"/>
      <c r="P259" s="171"/>
      <c r="Q259" s="171"/>
      <c r="R259" s="171"/>
      <c r="S259" s="171"/>
      <c r="T259" s="171"/>
      <c r="U259" s="171"/>
      <c r="V259" s="171"/>
      <c r="W259" s="171"/>
      <c r="X259" s="161"/>
      <c r="Y259" s="161"/>
      <c r="Z259" s="161"/>
      <c r="AA259" s="161"/>
      <c r="AB259" s="161"/>
      <c r="AC259" s="171"/>
      <c r="AD259" s="198"/>
    </row>
    <row r="260">
      <c r="A260" s="169"/>
      <c r="B260" s="169"/>
      <c r="C260" s="161"/>
      <c r="D260" s="229"/>
      <c r="E260" s="161"/>
      <c r="F260" s="161"/>
      <c r="G260" s="161"/>
      <c r="H260" s="171"/>
      <c r="I260" s="171"/>
      <c r="J260" s="171"/>
      <c r="K260" s="171"/>
      <c r="L260" s="171"/>
      <c r="M260" s="171"/>
      <c r="N260" s="171"/>
      <c r="O260" s="171"/>
      <c r="P260" s="171"/>
      <c r="Q260" s="171"/>
      <c r="R260" s="171"/>
      <c r="S260" s="171"/>
      <c r="T260" s="171"/>
      <c r="U260" s="171"/>
      <c r="V260" s="171"/>
      <c r="W260" s="171"/>
      <c r="X260" s="161"/>
      <c r="Y260" s="161"/>
      <c r="Z260" s="161"/>
      <c r="AA260" s="161"/>
      <c r="AB260" s="161"/>
      <c r="AC260" s="171"/>
      <c r="AD260" s="198"/>
    </row>
    <row r="261">
      <c r="A261" s="169"/>
      <c r="B261" s="169"/>
      <c r="C261" s="161"/>
      <c r="D261" s="229"/>
      <c r="E261" s="161"/>
      <c r="F261" s="161"/>
      <c r="G261" s="161"/>
      <c r="H261" s="171"/>
      <c r="I261" s="171"/>
      <c r="J261" s="171"/>
      <c r="K261" s="171"/>
      <c r="L261" s="171"/>
      <c r="M261" s="171"/>
      <c r="N261" s="171"/>
      <c r="O261" s="171"/>
      <c r="P261" s="171"/>
      <c r="Q261" s="171"/>
      <c r="R261" s="171"/>
      <c r="S261" s="171"/>
      <c r="T261" s="171"/>
      <c r="U261" s="171"/>
      <c r="V261" s="171"/>
      <c r="W261" s="171"/>
      <c r="X261" s="161"/>
      <c r="Y261" s="161"/>
      <c r="Z261" s="161"/>
      <c r="AA261" s="161"/>
      <c r="AB261" s="161"/>
      <c r="AC261" s="171"/>
      <c r="AD261" s="198"/>
    </row>
    <row r="262">
      <c r="A262" s="169"/>
      <c r="B262" s="169"/>
      <c r="C262" s="161"/>
      <c r="D262" s="229"/>
      <c r="E262" s="161"/>
      <c r="F262" s="161"/>
      <c r="G262" s="161"/>
      <c r="H262" s="171"/>
      <c r="I262" s="171"/>
      <c r="J262" s="171"/>
      <c r="K262" s="171"/>
      <c r="L262" s="171"/>
      <c r="M262" s="171"/>
      <c r="N262" s="171"/>
      <c r="O262" s="171"/>
      <c r="P262" s="171"/>
      <c r="Q262" s="171"/>
      <c r="R262" s="171"/>
      <c r="S262" s="171"/>
      <c r="T262" s="171"/>
      <c r="U262" s="171"/>
      <c r="V262" s="171"/>
      <c r="W262" s="171"/>
      <c r="X262" s="161"/>
      <c r="Y262" s="161"/>
      <c r="Z262" s="161"/>
      <c r="AA262" s="161"/>
      <c r="AB262" s="161"/>
      <c r="AC262" s="171"/>
      <c r="AD262" s="198"/>
    </row>
    <row r="263">
      <c r="A263" s="169"/>
      <c r="B263" s="169"/>
      <c r="C263" s="161"/>
      <c r="D263" s="229"/>
      <c r="E263" s="161"/>
      <c r="F263" s="161"/>
      <c r="G263" s="161"/>
      <c r="H263" s="171"/>
      <c r="I263" s="171"/>
      <c r="J263" s="171"/>
      <c r="K263" s="171"/>
      <c r="L263" s="171"/>
      <c r="M263" s="171"/>
      <c r="N263" s="171"/>
      <c r="O263" s="171"/>
      <c r="P263" s="171"/>
      <c r="Q263" s="171"/>
      <c r="R263" s="171"/>
      <c r="S263" s="171"/>
      <c r="T263" s="171"/>
      <c r="U263" s="171"/>
      <c r="V263" s="171"/>
      <c r="W263" s="171"/>
      <c r="X263" s="161"/>
      <c r="Y263" s="161"/>
      <c r="Z263" s="161"/>
      <c r="AA263" s="161"/>
      <c r="AB263" s="161"/>
      <c r="AC263" s="171"/>
      <c r="AD263" s="198"/>
    </row>
    <row r="264">
      <c r="A264" s="169"/>
      <c r="B264" s="169"/>
      <c r="C264" s="161"/>
      <c r="D264" s="229"/>
      <c r="E264" s="161"/>
      <c r="F264" s="161"/>
      <c r="G264" s="161"/>
      <c r="H264" s="171"/>
      <c r="I264" s="171"/>
      <c r="J264" s="171"/>
      <c r="K264" s="171"/>
      <c r="L264" s="171"/>
      <c r="M264" s="171"/>
      <c r="N264" s="171"/>
      <c r="O264" s="171"/>
      <c r="P264" s="171"/>
      <c r="Q264" s="171"/>
      <c r="R264" s="171"/>
      <c r="S264" s="171"/>
      <c r="T264" s="171"/>
      <c r="U264" s="171"/>
      <c r="V264" s="171"/>
      <c r="W264" s="171"/>
      <c r="X264" s="161"/>
      <c r="Y264" s="161"/>
      <c r="Z264" s="161"/>
      <c r="AA264" s="161"/>
      <c r="AB264" s="161"/>
      <c r="AC264" s="171"/>
      <c r="AD264" s="198"/>
    </row>
    <row r="265">
      <c r="A265" s="169"/>
      <c r="B265" s="169"/>
      <c r="C265" s="161"/>
      <c r="D265" s="229"/>
      <c r="E265" s="161"/>
      <c r="F265" s="161"/>
      <c r="G265" s="161"/>
      <c r="H265" s="171"/>
      <c r="I265" s="171"/>
      <c r="J265" s="171"/>
      <c r="K265" s="171"/>
      <c r="L265" s="171"/>
      <c r="M265" s="171"/>
      <c r="N265" s="171"/>
      <c r="O265" s="171"/>
      <c r="P265" s="171"/>
      <c r="Q265" s="171"/>
      <c r="R265" s="171"/>
      <c r="S265" s="171"/>
      <c r="T265" s="171"/>
      <c r="U265" s="171"/>
      <c r="V265" s="171"/>
      <c r="W265" s="171"/>
      <c r="X265" s="161"/>
      <c r="Y265" s="161"/>
      <c r="Z265" s="161"/>
      <c r="AA265" s="161"/>
      <c r="AB265" s="161"/>
      <c r="AC265" s="171"/>
      <c r="AD265" s="198"/>
    </row>
    <row r="266">
      <c r="A266" s="169"/>
      <c r="B266" s="169"/>
      <c r="C266" s="161"/>
      <c r="D266" s="229"/>
      <c r="E266" s="161"/>
      <c r="F266" s="161"/>
      <c r="G266" s="161"/>
      <c r="H266" s="171"/>
      <c r="I266" s="171"/>
      <c r="J266" s="171"/>
      <c r="K266" s="171"/>
      <c r="L266" s="171"/>
      <c r="M266" s="171"/>
      <c r="N266" s="171"/>
      <c r="O266" s="171"/>
      <c r="P266" s="171"/>
      <c r="Q266" s="171"/>
      <c r="R266" s="171"/>
      <c r="S266" s="171"/>
      <c r="T266" s="171"/>
      <c r="U266" s="171"/>
      <c r="V266" s="171"/>
      <c r="W266" s="171"/>
      <c r="X266" s="161"/>
      <c r="Y266" s="161"/>
      <c r="Z266" s="161"/>
      <c r="AA266" s="161"/>
      <c r="AB266" s="161"/>
      <c r="AC266" s="171"/>
      <c r="AD266" s="198"/>
    </row>
    <row r="267">
      <c r="A267" s="169"/>
      <c r="B267" s="169"/>
      <c r="C267" s="161"/>
      <c r="D267" s="229"/>
      <c r="E267" s="161"/>
      <c r="F267" s="161"/>
      <c r="G267" s="161"/>
      <c r="H267" s="171"/>
      <c r="I267" s="171"/>
      <c r="J267" s="171"/>
      <c r="K267" s="171"/>
      <c r="L267" s="171"/>
      <c r="M267" s="171"/>
      <c r="N267" s="171"/>
      <c r="O267" s="171"/>
      <c r="P267" s="171"/>
      <c r="Q267" s="171"/>
      <c r="R267" s="171"/>
      <c r="S267" s="171"/>
      <c r="T267" s="171"/>
      <c r="U267" s="171"/>
      <c r="V267" s="171"/>
      <c r="W267" s="171"/>
      <c r="X267" s="161"/>
      <c r="Y267" s="161"/>
      <c r="Z267" s="161"/>
      <c r="AA267" s="161"/>
      <c r="AB267" s="161"/>
      <c r="AC267" s="171"/>
      <c r="AD267" s="198"/>
    </row>
    <row r="268">
      <c r="A268" s="169"/>
      <c r="B268" s="169"/>
      <c r="C268" s="161"/>
      <c r="D268" s="229"/>
      <c r="E268" s="161"/>
      <c r="F268" s="161"/>
      <c r="G268" s="161"/>
      <c r="H268" s="171"/>
      <c r="I268" s="171"/>
      <c r="J268" s="171"/>
      <c r="K268" s="171"/>
      <c r="L268" s="171"/>
      <c r="M268" s="171"/>
      <c r="N268" s="171"/>
      <c r="O268" s="171"/>
      <c r="P268" s="171"/>
      <c r="Q268" s="171"/>
      <c r="R268" s="171"/>
      <c r="S268" s="171"/>
      <c r="T268" s="171"/>
      <c r="U268" s="171"/>
      <c r="V268" s="171"/>
      <c r="W268" s="171"/>
      <c r="X268" s="161"/>
      <c r="Y268" s="161"/>
      <c r="Z268" s="161"/>
      <c r="AA268" s="161"/>
      <c r="AB268" s="161"/>
      <c r="AC268" s="171"/>
      <c r="AD268" s="198"/>
    </row>
    <row r="269">
      <c r="A269" s="169"/>
      <c r="B269" s="169"/>
      <c r="C269" s="161"/>
      <c r="D269" s="229"/>
      <c r="E269" s="161"/>
      <c r="F269" s="161"/>
      <c r="G269" s="161"/>
      <c r="H269" s="171"/>
      <c r="I269" s="171"/>
      <c r="J269" s="171"/>
      <c r="K269" s="171"/>
      <c r="L269" s="171"/>
      <c r="M269" s="171"/>
      <c r="N269" s="171"/>
      <c r="O269" s="171"/>
      <c r="P269" s="171"/>
      <c r="Q269" s="171"/>
      <c r="R269" s="171"/>
      <c r="S269" s="171"/>
      <c r="T269" s="171"/>
      <c r="U269" s="171"/>
      <c r="V269" s="171"/>
      <c r="W269" s="171"/>
      <c r="X269" s="161"/>
      <c r="Y269" s="161"/>
      <c r="Z269" s="161"/>
      <c r="AA269" s="161"/>
      <c r="AB269" s="161"/>
      <c r="AC269" s="171"/>
      <c r="AD269" s="198"/>
    </row>
    <row r="270">
      <c r="A270" s="169"/>
      <c r="B270" s="169"/>
      <c r="C270" s="161"/>
      <c r="D270" s="229"/>
      <c r="E270" s="161"/>
      <c r="F270" s="161"/>
      <c r="G270" s="161"/>
      <c r="H270" s="171"/>
      <c r="I270" s="171"/>
      <c r="J270" s="171"/>
      <c r="K270" s="171"/>
      <c r="L270" s="171"/>
      <c r="M270" s="171"/>
      <c r="N270" s="171"/>
      <c r="O270" s="171"/>
      <c r="P270" s="171"/>
      <c r="Q270" s="171"/>
      <c r="R270" s="171"/>
      <c r="S270" s="171"/>
      <c r="T270" s="171"/>
      <c r="U270" s="171"/>
      <c r="V270" s="171"/>
      <c r="W270" s="171"/>
      <c r="X270" s="161"/>
      <c r="Y270" s="161"/>
      <c r="Z270" s="161"/>
      <c r="AA270" s="161"/>
      <c r="AB270" s="161"/>
      <c r="AC270" s="171"/>
      <c r="AD270" s="198"/>
    </row>
    <row r="271">
      <c r="A271" s="169"/>
      <c r="B271" s="169"/>
      <c r="C271" s="161"/>
      <c r="D271" s="229"/>
      <c r="E271" s="161"/>
      <c r="F271" s="161"/>
      <c r="G271" s="161"/>
      <c r="H271" s="171"/>
      <c r="I271" s="171"/>
      <c r="J271" s="171"/>
      <c r="K271" s="171"/>
      <c r="L271" s="171"/>
      <c r="M271" s="171"/>
      <c r="N271" s="171"/>
      <c r="O271" s="171"/>
      <c r="P271" s="171"/>
      <c r="Q271" s="171"/>
      <c r="R271" s="171"/>
      <c r="S271" s="171"/>
      <c r="T271" s="171"/>
      <c r="U271" s="171"/>
      <c r="V271" s="171"/>
      <c r="W271" s="171"/>
      <c r="X271" s="161"/>
      <c r="Y271" s="161"/>
      <c r="Z271" s="161"/>
      <c r="AA271" s="161"/>
      <c r="AB271" s="161"/>
      <c r="AC271" s="171"/>
      <c r="AD271" s="198"/>
    </row>
    <row r="272">
      <c r="A272" s="169"/>
      <c r="B272" s="169"/>
      <c r="C272" s="161"/>
      <c r="D272" s="229"/>
      <c r="E272" s="161"/>
      <c r="F272" s="161"/>
      <c r="G272" s="161"/>
      <c r="H272" s="171"/>
      <c r="I272" s="171"/>
      <c r="J272" s="171"/>
      <c r="K272" s="171"/>
      <c r="L272" s="171"/>
      <c r="M272" s="171"/>
      <c r="N272" s="171"/>
      <c r="O272" s="171"/>
      <c r="P272" s="171"/>
      <c r="Q272" s="171"/>
      <c r="R272" s="171"/>
      <c r="S272" s="171"/>
      <c r="T272" s="171"/>
      <c r="U272" s="171"/>
      <c r="V272" s="171"/>
      <c r="W272" s="171"/>
      <c r="X272" s="161"/>
      <c r="Y272" s="161"/>
      <c r="Z272" s="161"/>
      <c r="AA272" s="161"/>
      <c r="AB272" s="161"/>
      <c r="AC272" s="171"/>
      <c r="AD272" s="198"/>
    </row>
    <row r="273">
      <c r="A273" s="169"/>
      <c r="B273" s="169"/>
      <c r="C273" s="161"/>
      <c r="D273" s="229"/>
      <c r="E273" s="161"/>
      <c r="F273" s="161"/>
      <c r="G273" s="161"/>
      <c r="H273" s="171"/>
      <c r="I273" s="171"/>
      <c r="J273" s="171"/>
      <c r="K273" s="171"/>
      <c r="L273" s="171"/>
      <c r="M273" s="171"/>
      <c r="N273" s="171"/>
      <c r="O273" s="171"/>
      <c r="P273" s="171"/>
      <c r="Q273" s="171"/>
      <c r="R273" s="171"/>
      <c r="S273" s="171"/>
      <c r="T273" s="171"/>
      <c r="U273" s="171"/>
      <c r="V273" s="171"/>
      <c r="W273" s="171"/>
      <c r="X273" s="161"/>
      <c r="Y273" s="161"/>
      <c r="Z273" s="161"/>
      <c r="AA273" s="161"/>
      <c r="AB273" s="161"/>
      <c r="AC273" s="171"/>
      <c r="AD273" s="198"/>
    </row>
    <row r="274">
      <c r="A274" s="169"/>
      <c r="B274" s="169"/>
      <c r="C274" s="161"/>
      <c r="D274" s="229"/>
      <c r="E274" s="161"/>
      <c r="F274" s="161"/>
      <c r="G274" s="161"/>
      <c r="H274" s="171"/>
      <c r="I274" s="171"/>
      <c r="J274" s="171"/>
      <c r="K274" s="171"/>
      <c r="L274" s="171"/>
      <c r="M274" s="171"/>
      <c r="N274" s="171"/>
      <c r="O274" s="171"/>
      <c r="P274" s="171"/>
      <c r="Q274" s="171"/>
      <c r="R274" s="171"/>
      <c r="S274" s="171"/>
      <c r="T274" s="171"/>
      <c r="U274" s="171"/>
      <c r="V274" s="171"/>
      <c r="W274" s="171"/>
      <c r="X274" s="161"/>
      <c r="Y274" s="161"/>
      <c r="Z274" s="161"/>
      <c r="AA274" s="161"/>
      <c r="AB274" s="161"/>
      <c r="AC274" s="171"/>
      <c r="AD274" s="198"/>
    </row>
    <row r="275">
      <c r="A275" s="169"/>
      <c r="B275" s="169"/>
      <c r="C275" s="161"/>
      <c r="D275" s="229"/>
      <c r="E275" s="161"/>
      <c r="F275" s="161"/>
      <c r="G275" s="161"/>
      <c r="H275" s="171"/>
      <c r="I275" s="171"/>
      <c r="J275" s="171"/>
      <c r="K275" s="171"/>
      <c r="L275" s="171"/>
      <c r="M275" s="171"/>
      <c r="N275" s="171"/>
      <c r="O275" s="171"/>
      <c r="P275" s="171"/>
      <c r="Q275" s="171"/>
      <c r="R275" s="171"/>
      <c r="S275" s="171"/>
      <c r="T275" s="171"/>
      <c r="U275" s="171"/>
      <c r="V275" s="171"/>
      <c r="W275" s="171"/>
      <c r="X275" s="161"/>
      <c r="Y275" s="161"/>
      <c r="Z275" s="161"/>
      <c r="AA275" s="161"/>
      <c r="AB275" s="161"/>
      <c r="AC275" s="171"/>
      <c r="AD275" s="198"/>
    </row>
    <row r="276">
      <c r="A276" s="169"/>
      <c r="B276" s="169"/>
      <c r="C276" s="161"/>
      <c r="D276" s="229"/>
      <c r="E276" s="161"/>
      <c r="F276" s="161"/>
      <c r="G276" s="161"/>
      <c r="H276" s="171"/>
      <c r="I276" s="171"/>
      <c r="J276" s="171"/>
      <c r="K276" s="171"/>
      <c r="L276" s="171"/>
      <c r="M276" s="171"/>
      <c r="N276" s="171"/>
      <c r="O276" s="171"/>
      <c r="P276" s="171"/>
      <c r="Q276" s="171"/>
      <c r="R276" s="171"/>
      <c r="S276" s="171"/>
      <c r="T276" s="171"/>
      <c r="U276" s="171"/>
      <c r="V276" s="171"/>
      <c r="W276" s="171"/>
      <c r="X276" s="161"/>
      <c r="Y276" s="161"/>
      <c r="Z276" s="161"/>
      <c r="AA276" s="161"/>
      <c r="AB276" s="161"/>
      <c r="AC276" s="171"/>
      <c r="AD276" s="198"/>
    </row>
    <row r="277">
      <c r="A277" s="169"/>
      <c r="B277" s="169"/>
      <c r="C277" s="161"/>
      <c r="D277" s="229"/>
      <c r="E277" s="161"/>
      <c r="F277" s="161"/>
      <c r="G277" s="161"/>
      <c r="H277" s="171"/>
      <c r="I277" s="171"/>
      <c r="J277" s="171"/>
      <c r="K277" s="171"/>
      <c r="L277" s="171"/>
      <c r="M277" s="171"/>
      <c r="N277" s="171"/>
      <c r="O277" s="171"/>
      <c r="P277" s="171"/>
      <c r="Q277" s="171"/>
      <c r="R277" s="171"/>
      <c r="S277" s="171"/>
      <c r="T277" s="171"/>
      <c r="U277" s="171"/>
      <c r="V277" s="171"/>
      <c r="W277" s="171"/>
      <c r="X277" s="161"/>
      <c r="Y277" s="161"/>
      <c r="Z277" s="161"/>
      <c r="AA277" s="161"/>
      <c r="AB277" s="161"/>
      <c r="AC277" s="171"/>
      <c r="AD277" s="198"/>
    </row>
    <row r="278">
      <c r="A278" s="169"/>
      <c r="B278" s="169"/>
      <c r="C278" s="161"/>
      <c r="D278" s="229"/>
      <c r="E278" s="161"/>
      <c r="F278" s="161"/>
      <c r="G278" s="161"/>
      <c r="H278" s="171"/>
      <c r="I278" s="171"/>
      <c r="J278" s="171"/>
      <c r="K278" s="171"/>
      <c r="L278" s="171"/>
      <c r="M278" s="171"/>
      <c r="N278" s="171"/>
      <c r="O278" s="171"/>
      <c r="P278" s="171"/>
      <c r="Q278" s="171"/>
      <c r="R278" s="171"/>
      <c r="S278" s="171"/>
      <c r="T278" s="171"/>
      <c r="U278" s="171"/>
      <c r="V278" s="171"/>
      <c r="W278" s="171"/>
      <c r="X278" s="161"/>
      <c r="Y278" s="161"/>
      <c r="Z278" s="161"/>
      <c r="AA278" s="161"/>
      <c r="AB278" s="161"/>
      <c r="AC278" s="171"/>
      <c r="AD278" s="198"/>
    </row>
    <row r="279">
      <c r="A279" s="169"/>
      <c r="B279" s="169"/>
      <c r="C279" s="161"/>
      <c r="D279" s="229"/>
      <c r="E279" s="161"/>
      <c r="F279" s="161"/>
      <c r="G279" s="161"/>
      <c r="H279" s="171"/>
      <c r="I279" s="171"/>
      <c r="J279" s="171"/>
      <c r="K279" s="171"/>
      <c r="L279" s="171"/>
      <c r="M279" s="171"/>
      <c r="N279" s="171"/>
      <c r="O279" s="171"/>
      <c r="P279" s="171"/>
      <c r="Q279" s="171"/>
      <c r="R279" s="171"/>
      <c r="S279" s="171"/>
      <c r="T279" s="171"/>
      <c r="U279" s="171"/>
      <c r="V279" s="171"/>
      <c r="W279" s="171"/>
      <c r="X279" s="161"/>
      <c r="Y279" s="161"/>
      <c r="Z279" s="161"/>
      <c r="AA279" s="161"/>
      <c r="AB279" s="161"/>
      <c r="AC279" s="171"/>
      <c r="AD279" s="198"/>
    </row>
    <row r="280">
      <c r="A280" s="169"/>
      <c r="B280" s="169"/>
      <c r="C280" s="161"/>
      <c r="D280" s="229"/>
      <c r="E280" s="161"/>
      <c r="F280" s="161"/>
      <c r="G280" s="161"/>
      <c r="H280" s="171"/>
      <c r="I280" s="171"/>
      <c r="J280" s="171"/>
      <c r="K280" s="171"/>
      <c r="L280" s="171"/>
      <c r="M280" s="171"/>
      <c r="N280" s="171"/>
      <c r="O280" s="171"/>
      <c r="P280" s="171"/>
      <c r="Q280" s="171"/>
      <c r="R280" s="171"/>
      <c r="S280" s="171"/>
      <c r="T280" s="171"/>
      <c r="U280" s="171"/>
      <c r="V280" s="171"/>
      <c r="W280" s="171"/>
      <c r="X280" s="161"/>
      <c r="Y280" s="161"/>
      <c r="Z280" s="161"/>
      <c r="AA280" s="161"/>
      <c r="AB280" s="161"/>
      <c r="AC280" s="171"/>
      <c r="AD280" s="198"/>
    </row>
    <row r="281">
      <c r="A281" s="169"/>
      <c r="B281" s="169"/>
      <c r="C281" s="161"/>
      <c r="D281" s="229"/>
      <c r="E281" s="161"/>
      <c r="F281" s="161"/>
      <c r="G281" s="161"/>
      <c r="H281" s="171"/>
      <c r="I281" s="171"/>
      <c r="J281" s="171"/>
      <c r="K281" s="171"/>
      <c r="L281" s="171"/>
      <c r="M281" s="171"/>
      <c r="N281" s="171"/>
      <c r="O281" s="171"/>
      <c r="P281" s="171"/>
      <c r="Q281" s="171"/>
      <c r="R281" s="171"/>
      <c r="S281" s="171"/>
      <c r="T281" s="171"/>
      <c r="U281" s="171"/>
      <c r="V281" s="171"/>
      <c r="W281" s="171"/>
      <c r="X281" s="161"/>
      <c r="Y281" s="161"/>
      <c r="Z281" s="161"/>
      <c r="AA281" s="161"/>
      <c r="AB281" s="161"/>
      <c r="AC281" s="171"/>
      <c r="AD281" s="198"/>
    </row>
    <row r="282">
      <c r="A282" s="169"/>
      <c r="B282" s="169"/>
      <c r="C282" s="161"/>
      <c r="D282" s="229"/>
      <c r="E282" s="161"/>
      <c r="F282" s="161"/>
      <c r="G282" s="161"/>
      <c r="H282" s="171"/>
      <c r="I282" s="171"/>
      <c r="J282" s="171"/>
      <c r="K282" s="171"/>
      <c r="L282" s="171"/>
      <c r="M282" s="171"/>
      <c r="N282" s="171"/>
      <c r="O282" s="171"/>
      <c r="P282" s="171"/>
      <c r="Q282" s="171"/>
      <c r="R282" s="171"/>
      <c r="S282" s="171"/>
      <c r="T282" s="171"/>
      <c r="U282" s="171"/>
      <c r="V282" s="171"/>
      <c r="W282" s="171"/>
      <c r="X282" s="161"/>
      <c r="Y282" s="161"/>
      <c r="Z282" s="161"/>
      <c r="AA282" s="161"/>
      <c r="AB282" s="161"/>
      <c r="AC282" s="171"/>
      <c r="AD282" s="198"/>
    </row>
    <row r="283">
      <c r="A283" s="169"/>
      <c r="B283" s="169"/>
      <c r="C283" s="161"/>
      <c r="D283" s="229"/>
      <c r="E283" s="161"/>
      <c r="F283" s="161"/>
      <c r="G283" s="161"/>
      <c r="H283" s="171"/>
      <c r="I283" s="171"/>
      <c r="J283" s="171"/>
      <c r="K283" s="171"/>
      <c r="L283" s="171"/>
      <c r="M283" s="171"/>
      <c r="N283" s="171"/>
      <c r="O283" s="171"/>
      <c r="P283" s="171"/>
      <c r="Q283" s="171"/>
      <c r="R283" s="171"/>
      <c r="S283" s="171"/>
      <c r="T283" s="171"/>
      <c r="U283" s="171"/>
      <c r="V283" s="171"/>
      <c r="W283" s="171"/>
      <c r="X283" s="161"/>
      <c r="Y283" s="161"/>
      <c r="Z283" s="161"/>
      <c r="AA283" s="161"/>
      <c r="AB283" s="161"/>
      <c r="AC283" s="171"/>
      <c r="AD283" s="198"/>
    </row>
    <row r="284">
      <c r="A284" s="169"/>
      <c r="B284" s="169"/>
      <c r="C284" s="161"/>
      <c r="D284" s="229"/>
      <c r="E284" s="161"/>
      <c r="F284" s="161"/>
      <c r="G284" s="161"/>
      <c r="H284" s="171"/>
      <c r="I284" s="171"/>
      <c r="J284" s="171"/>
      <c r="K284" s="171"/>
      <c r="L284" s="171"/>
      <c r="M284" s="171"/>
      <c r="N284" s="171"/>
      <c r="O284" s="171"/>
      <c r="P284" s="171"/>
      <c r="Q284" s="171"/>
      <c r="R284" s="171"/>
      <c r="S284" s="171"/>
      <c r="T284" s="171"/>
      <c r="U284" s="171"/>
      <c r="V284" s="171"/>
      <c r="W284" s="171"/>
      <c r="X284" s="161"/>
      <c r="Y284" s="161"/>
      <c r="Z284" s="161"/>
      <c r="AA284" s="161"/>
      <c r="AB284" s="161"/>
      <c r="AC284" s="171"/>
      <c r="AD284" s="198"/>
    </row>
    <row r="285">
      <c r="A285" s="169"/>
      <c r="B285" s="169"/>
      <c r="C285" s="161"/>
      <c r="D285" s="229"/>
      <c r="E285" s="161"/>
      <c r="F285" s="161"/>
      <c r="G285" s="161"/>
      <c r="H285" s="171"/>
      <c r="I285" s="171"/>
      <c r="J285" s="171"/>
      <c r="K285" s="171"/>
      <c r="L285" s="171"/>
      <c r="M285" s="171"/>
      <c r="N285" s="171"/>
      <c r="O285" s="171"/>
      <c r="P285" s="171"/>
      <c r="Q285" s="171"/>
      <c r="R285" s="171"/>
      <c r="S285" s="171"/>
      <c r="T285" s="171"/>
      <c r="U285" s="171"/>
      <c r="V285" s="171"/>
      <c r="W285" s="171"/>
      <c r="X285" s="161"/>
      <c r="Y285" s="161"/>
      <c r="Z285" s="161"/>
      <c r="AA285" s="161"/>
      <c r="AB285" s="161"/>
      <c r="AC285" s="171"/>
      <c r="AD285" s="198"/>
    </row>
    <row r="286">
      <c r="A286" s="169"/>
      <c r="B286" s="169"/>
      <c r="C286" s="161"/>
      <c r="D286" s="229"/>
      <c r="E286" s="161"/>
      <c r="F286" s="161"/>
      <c r="G286" s="161"/>
      <c r="H286" s="171"/>
      <c r="I286" s="171"/>
      <c r="J286" s="171"/>
      <c r="K286" s="171"/>
      <c r="L286" s="171"/>
      <c r="M286" s="171"/>
      <c r="N286" s="171"/>
      <c r="O286" s="171"/>
      <c r="P286" s="171"/>
      <c r="Q286" s="171"/>
      <c r="R286" s="171"/>
      <c r="S286" s="171"/>
      <c r="T286" s="171"/>
      <c r="U286" s="171"/>
      <c r="V286" s="171"/>
      <c r="W286" s="171"/>
      <c r="X286" s="161"/>
      <c r="Y286" s="161"/>
      <c r="Z286" s="161"/>
      <c r="AA286" s="161"/>
      <c r="AB286" s="161"/>
      <c r="AC286" s="171"/>
      <c r="AD286" s="198"/>
    </row>
    <row r="287">
      <c r="A287" s="169"/>
      <c r="B287" s="169"/>
      <c r="C287" s="161"/>
      <c r="D287" s="229"/>
      <c r="E287" s="161"/>
      <c r="F287" s="161"/>
      <c r="G287" s="161"/>
      <c r="H287" s="171"/>
      <c r="I287" s="171"/>
      <c r="J287" s="171"/>
      <c r="K287" s="171"/>
      <c r="L287" s="171"/>
      <c r="M287" s="171"/>
      <c r="N287" s="171"/>
      <c r="O287" s="171"/>
      <c r="P287" s="171"/>
      <c r="Q287" s="171"/>
      <c r="R287" s="171"/>
      <c r="S287" s="171"/>
      <c r="T287" s="171"/>
      <c r="U287" s="171"/>
      <c r="V287" s="171"/>
      <c r="W287" s="171"/>
      <c r="X287" s="161"/>
      <c r="Y287" s="161"/>
      <c r="Z287" s="161"/>
      <c r="AA287" s="161"/>
      <c r="AB287" s="161"/>
      <c r="AC287" s="171"/>
      <c r="AD287" s="198"/>
    </row>
    <row r="288">
      <c r="A288" s="169"/>
      <c r="B288" s="169"/>
      <c r="C288" s="161"/>
      <c r="D288" s="229"/>
      <c r="E288" s="161"/>
      <c r="F288" s="161"/>
      <c r="G288" s="161"/>
      <c r="H288" s="171"/>
      <c r="I288" s="171"/>
      <c r="J288" s="171"/>
      <c r="K288" s="171"/>
      <c r="L288" s="171"/>
      <c r="M288" s="171"/>
      <c r="N288" s="171"/>
      <c r="O288" s="171"/>
      <c r="P288" s="171"/>
      <c r="Q288" s="171"/>
      <c r="R288" s="171"/>
      <c r="S288" s="171"/>
      <c r="T288" s="171"/>
      <c r="U288" s="171"/>
      <c r="V288" s="171"/>
      <c r="W288" s="171"/>
      <c r="X288" s="161"/>
      <c r="Y288" s="161"/>
      <c r="Z288" s="161"/>
      <c r="AA288" s="161"/>
      <c r="AB288" s="161"/>
      <c r="AC288" s="171"/>
      <c r="AD288" s="198"/>
    </row>
    <row r="289">
      <c r="A289" s="169"/>
      <c r="B289" s="169"/>
      <c r="C289" s="161"/>
      <c r="D289" s="229"/>
      <c r="E289" s="161"/>
      <c r="F289" s="161"/>
      <c r="G289" s="161"/>
      <c r="H289" s="171"/>
      <c r="I289" s="171"/>
      <c r="J289" s="171"/>
      <c r="K289" s="171"/>
      <c r="L289" s="171"/>
      <c r="M289" s="171"/>
      <c r="N289" s="171"/>
      <c r="O289" s="171"/>
      <c r="P289" s="171"/>
      <c r="Q289" s="171"/>
      <c r="R289" s="171"/>
      <c r="S289" s="171"/>
      <c r="T289" s="171"/>
      <c r="U289" s="171"/>
      <c r="V289" s="171"/>
      <c r="W289" s="171"/>
      <c r="X289" s="161"/>
      <c r="Y289" s="161"/>
      <c r="Z289" s="161"/>
      <c r="AA289" s="161"/>
      <c r="AB289" s="161"/>
      <c r="AC289" s="171"/>
      <c r="AD289" s="198"/>
    </row>
    <row r="290">
      <c r="A290" s="169"/>
      <c r="B290" s="169"/>
      <c r="C290" s="161"/>
      <c r="D290" s="229"/>
      <c r="E290" s="161"/>
      <c r="F290" s="161"/>
      <c r="G290" s="161"/>
      <c r="H290" s="171"/>
      <c r="I290" s="171"/>
      <c r="J290" s="171"/>
      <c r="K290" s="171"/>
      <c r="L290" s="171"/>
      <c r="M290" s="171"/>
      <c r="N290" s="171"/>
      <c r="O290" s="171"/>
      <c r="P290" s="171"/>
      <c r="Q290" s="171"/>
      <c r="R290" s="171"/>
      <c r="S290" s="171"/>
      <c r="T290" s="171"/>
      <c r="U290" s="171"/>
      <c r="V290" s="171"/>
      <c r="W290" s="171"/>
      <c r="X290" s="161"/>
      <c r="Y290" s="161"/>
      <c r="Z290" s="161"/>
      <c r="AA290" s="161"/>
      <c r="AB290" s="161"/>
      <c r="AC290" s="171"/>
      <c r="AD290" s="198"/>
    </row>
    <row r="291">
      <c r="A291" s="169"/>
      <c r="B291" s="169"/>
      <c r="C291" s="161"/>
      <c r="D291" s="229"/>
      <c r="E291" s="161"/>
      <c r="F291" s="161"/>
      <c r="G291" s="161"/>
      <c r="H291" s="171"/>
      <c r="I291" s="171"/>
      <c r="J291" s="171"/>
      <c r="K291" s="171"/>
      <c r="L291" s="171"/>
      <c r="M291" s="171"/>
      <c r="N291" s="171"/>
      <c r="O291" s="171"/>
      <c r="P291" s="171"/>
      <c r="Q291" s="171"/>
      <c r="R291" s="171"/>
      <c r="S291" s="171"/>
      <c r="T291" s="171"/>
      <c r="U291" s="171"/>
      <c r="V291" s="171"/>
      <c r="W291" s="171"/>
      <c r="X291" s="161"/>
      <c r="Y291" s="161"/>
      <c r="Z291" s="161"/>
      <c r="AA291" s="161"/>
      <c r="AB291" s="161"/>
      <c r="AC291" s="171"/>
      <c r="AD291" s="198"/>
    </row>
    <row r="292">
      <c r="A292" s="169"/>
      <c r="B292" s="169"/>
      <c r="C292" s="161"/>
      <c r="D292" s="229"/>
      <c r="E292" s="161"/>
      <c r="F292" s="161"/>
      <c r="G292" s="161"/>
      <c r="H292" s="171"/>
      <c r="I292" s="171"/>
      <c r="J292" s="171"/>
      <c r="K292" s="171"/>
      <c r="L292" s="171"/>
      <c r="M292" s="171"/>
      <c r="N292" s="171"/>
      <c r="O292" s="171"/>
      <c r="P292" s="171"/>
      <c r="Q292" s="171"/>
      <c r="R292" s="171"/>
      <c r="S292" s="171"/>
      <c r="T292" s="171"/>
      <c r="U292" s="171"/>
      <c r="V292" s="171"/>
      <c r="W292" s="171"/>
      <c r="X292" s="161"/>
      <c r="Y292" s="161"/>
      <c r="Z292" s="161"/>
      <c r="AA292" s="161"/>
      <c r="AB292" s="161"/>
      <c r="AC292" s="171"/>
      <c r="AD292" s="198"/>
    </row>
    <row r="293">
      <c r="A293" s="169"/>
      <c r="B293" s="169"/>
      <c r="C293" s="161"/>
      <c r="D293" s="229"/>
      <c r="E293" s="161"/>
      <c r="F293" s="161"/>
      <c r="G293" s="161"/>
      <c r="H293" s="171"/>
      <c r="I293" s="171"/>
      <c r="J293" s="171"/>
      <c r="K293" s="171"/>
      <c r="L293" s="171"/>
      <c r="M293" s="171"/>
      <c r="N293" s="171"/>
      <c r="O293" s="171"/>
      <c r="P293" s="171"/>
      <c r="Q293" s="171"/>
      <c r="R293" s="171"/>
      <c r="S293" s="171"/>
      <c r="T293" s="171"/>
      <c r="U293" s="171"/>
      <c r="V293" s="171"/>
      <c r="W293" s="171"/>
      <c r="X293" s="161"/>
      <c r="Y293" s="161"/>
      <c r="Z293" s="161"/>
      <c r="AA293" s="161"/>
      <c r="AB293" s="161"/>
      <c r="AC293" s="171"/>
      <c r="AD293" s="198"/>
    </row>
    <row r="294">
      <c r="A294" s="169"/>
      <c r="B294" s="169"/>
      <c r="C294" s="161"/>
      <c r="D294" s="229"/>
      <c r="E294" s="161"/>
      <c r="F294" s="161"/>
      <c r="G294" s="161"/>
      <c r="H294" s="171"/>
      <c r="I294" s="171"/>
      <c r="J294" s="171"/>
      <c r="K294" s="171"/>
      <c r="L294" s="171"/>
      <c r="M294" s="171"/>
      <c r="N294" s="171"/>
      <c r="O294" s="171"/>
      <c r="P294" s="171"/>
      <c r="Q294" s="171"/>
      <c r="R294" s="171"/>
      <c r="S294" s="171"/>
      <c r="T294" s="171"/>
      <c r="U294" s="171"/>
      <c r="V294" s="171"/>
      <c r="W294" s="171"/>
      <c r="X294" s="161"/>
      <c r="Y294" s="161"/>
      <c r="Z294" s="161"/>
      <c r="AA294" s="161"/>
      <c r="AB294" s="161"/>
      <c r="AC294" s="171"/>
      <c r="AD294" s="198"/>
    </row>
    <row r="295">
      <c r="A295" s="169"/>
      <c r="B295" s="169"/>
      <c r="C295" s="161"/>
      <c r="D295" s="229"/>
      <c r="E295" s="161"/>
      <c r="F295" s="161"/>
      <c r="G295" s="161"/>
      <c r="H295" s="171"/>
      <c r="I295" s="171"/>
      <c r="J295" s="171"/>
      <c r="K295" s="171"/>
      <c r="L295" s="171"/>
      <c r="M295" s="171"/>
      <c r="N295" s="171"/>
      <c r="O295" s="171"/>
      <c r="P295" s="171"/>
      <c r="Q295" s="171"/>
      <c r="R295" s="171"/>
      <c r="S295" s="171"/>
      <c r="T295" s="171"/>
      <c r="U295" s="171"/>
      <c r="V295" s="171"/>
      <c r="W295" s="171"/>
      <c r="X295" s="161"/>
      <c r="Y295" s="161"/>
      <c r="Z295" s="161"/>
      <c r="AA295" s="161"/>
      <c r="AB295" s="161"/>
      <c r="AC295" s="171"/>
      <c r="AD295" s="198"/>
    </row>
    <row r="296">
      <c r="A296" s="169"/>
      <c r="B296" s="169"/>
      <c r="C296" s="161"/>
      <c r="D296" s="229"/>
      <c r="E296" s="161"/>
      <c r="F296" s="161"/>
      <c r="G296" s="161"/>
      <c r="H296" s="171"/>
      <c r="I296" s="171"/>
      <c r="J296" s="171"/>
      <c r="K296" s="171"/>
      <c r="L296" s="171"/>
      <c r="M296" s="171"/>
      <c r="N296" s="171"/>
      <c r="O296" s="171"/>
      <c r="P296" s="171"/>
      <c r="Q296" s="171"/>
      <c r="R296" s="171"/>
      <c r="S296" s="171"/>
      <c r="T296" s="171"/>
      <c r="U296" s="171"/>
      <c r="V296" s="171"/>
      <c r="W296" s="171"/>
      <c r="X296" s="161"/>
      <c r="Y296" s="161"/>
      <c r="Z296" s="161"/>
      <c r="AA296" s="161"/>
      <c r="AB296" s="161"/>
      <c r="AC296" s="171"/>
      <c r="AD296" s="198"/>
    </row>
    <row r="297">
      <c r="A297" s="169"/>
      <c r="B297" s="169"/>
      <c r="C297" s="161"/>
      <c r="D297" s="229"/>
      <c r="E297" s="161"/>
      <c r="F297" s="161"/>
      <c r="G297" s="161"/>
      <c r="H297" s="171"/>
      <c r="I297" s="171"/>
      <c r="J297" s="171"/>
      <c r="K297" s="171"/>
      <c r="L297" s="171"/>
      <c r="M297" s="171"/>
      <c r="N297" s="171"/>
      <c r="O297" s="171"/>
      <c r="P297" s="171"/>
      <c r="Q297" s="171"/>
      <c r="R297" s="171"/>
      <c r="S297" s="171"/>
      <c r="T297" s="171"/>
      <c r="U297" s="171"/>
      <c r="V297" s="171"/>
      <c r="W297" s="171"/>
      <c r="X297" s="161"/>
      <c r="Y297" s="161"/>
      <c r="Z297" s="161"/>
      <c r="AA297" s="161"/>
      <c r="AB297" s="161"/>
      <c r="AC297" s="171"/>
      <c r="AD297" s="198"/>
    </row>
    <row r="298">
      <c r="A298" s="169"/>
      <c r="B298" s="169"/>
      <c r="C298" s="161"/>
      <c r="D298" s="229"/>
      <c r="E298" s="161"/>
      <c r="F298" s="161"/>
      <c r="G298" s="161"/>
      <c r="H298" s="171"/>
      <c r="I298" s="171"/>
      <c r="J298" s="171"/>
      <c r="K298" s="171"/>
      <c r="L298" s="171"/>
      <c r="M298" s="171"/>
      <c r="N298" s="171"/>
      <c r="O298" s="171"/>
      <c r="P298" s="171"/>
      <c r="Q298" s="171"/>
      <c r="R298" s="171"/>
      <c r="S298" s="171"/>
      <c r="T298" s="171"/>
      <c r="U298" s="171"/>
      <c r="V298" s="171"/>
      <c r="W298" s="171"/>
      <c r="X298" s="161"/>
      <c r="Y298" s="161"/>
      <c r="Z298" s="161"/>
      <c r="AA298" s="161"/>
      <c r="AB298" s="161"/>
      <c r="AC298" s="171"/>
      <c r="AD298" s="198"/>
    </row>
    <row r="299">
      <c r="A299" s="169"/>
      <c r="B299" s="169"/>
      <c r="C299" s="161"/>
      <c r="D299" s="229"/>
      <c r="E299" s="161"/>
      <c r="F299" s="161"/>
      <c r="G299" s="161"/>
      <c r="H299" s="171"/>
      <c r="I299" s="171"/>
      <c r="J299" s="171"/>
      <c r="K299" s="171"/>
      <c r="L299" s="171"/>
      <c r="M299" s="171"/>
      <c r="N299" s="171"/>
      <c r="O299" s="171"/>
      <c r="P299" s="171"/>
      <c r="Q299" s="171"/>
      <c r="R299" s="171"/>
      <c r="S299" s="171"/>
      <c r="T299" s="171"/>
      <c r="U299" s="171"/>
      <c r="V299" s="171"/>
      <c r="W299" s="171"/>
      <c r="X299" s="161"/>
      <c r="Y299" s="161"/>
      <c r="Z299" s="161"/>
      <c r="AA299" s="161"/>
      <c r="AB299" s="161"/>
      <c r="AC299" s="171"/>
      <c r="AD299" s="198"/>
    </row>
    <row r="300">
      <c r="A300" s="169"/>
      <c r="B300" s="169"/>
      <c r="C300" s="161"/>
      <c r="D300" s="229"/>
      <c r="E300" s="161"/>
      <c r="F300" s="161"/>
      <c r="G300" s="161"/>
      <c r="H300" s="171"/>
      <c r="I300" s="171"/>
      <c r="J300" s="171"/>
      <c r="K300" s="171"/>
      <c r="L300" s="171"/>
      <c r="M300" s="171"/>
      <c r="N300" s="171"/>
      <c r="O300" s="171"/>
      <c r="P300" s="171"/>
      <c r="Q300" s="171"/>
      <c r="R300" s="171"/>
      <c r="S300" s="171"/>
      <c r="T300" s="171"/>
      <c r="U300" s="171"/>
      <c r="V300" s="171"/>
      <c r="W300" s="171"/>
      <c r="X300" s="161"/>
      <c r="Y300" s="161"/>
      <c r="Z300" s="161"/>
      <c r="AA300" s="161"/>
      <c r="AB300" s="161"/>
      <c r="AC300" s="171"/>
      <c r="AD300" s="198"/>
    </row>
    <row r="301">
      <c r="A301" s="169"/>
      <c r="B301" s="169"/>
      <c r="C301" s="161"/>
      <c r="D301" s="229"/>
      <c r="E301" s="161"/>
      <c r="F301" s="161"/>
      <c r="G301" s="161"/>
      <c r="H301" s="171"/>
      <c r="I301" s="171"/>
      <c r="J301" s="171"/>
      <c r="K301" s="171"/>
      <c r="L301" s="171"/>
      <c r="M301" s="171"/>
      <c r="N301" s="171"/>
      <c r="O301" s="171"/>
      <c r="P301" s="171"/>
      <c r="Q301" s="171"/>
      <c r="R301" s="171"/>
      <c r="S301" s="171"/>
      <c r="T301" s="171"/>
      <c r="U301" s="171"/>
      <c r="V301" s="171"/>
      <c r="W301" s="171"/>
      <c r="X301" s="161"/>
      <c r="Y301" s="161"/>
      <c r="Z301" s="161"/>
      <c r="AA301" s="161"/>
      <c r="AB301" s="161"/>
      <c r="AC301" s="171"/>
      <c r="AD301" s="198"/>
    </row>
    <row r="302">
      <c r="A302" s="169"/>
      <c r="B302" s="169"/>
      <c r="C302" s="161"/>
      <c r="D302" s="229"/>
      <c r="E302" s="161"/>
      <c r="F302" s="161"/>
      <c r="G302" s="161"/>
      <c r="H302" s="171"/>
      <c r="I302" s="171"/>
      <c r="J302" s="171"/>
      <c r="K302" s="171"/>
      <c r="L302" s="171"/>
      <c r="M302" s="171"/>
      <c r="N302" s="171"/>
      <c r="O302" s="171"/>
      <c r="P302" s="171"/>
      <c r="Q302" s="171"/>
      <c r="R302" s="171"/>
      <c r="S302" s="171"/>
      <c r="T302" s="171"/>
      <c r="U302" s="171"/>
      <c r="V302" s="171"/>
      <c r="W302" s="171"/>
      <c r="X302" s="161"/>
      <c r="Y302" s="161"/>
      <c r="Z302" s="161"/>
      <c r="AA302" s="161"/>
      <c r="AB302" s="161"/>
      <c r="AC302" s="171"/>
      <c r="AD302" s="198"/>
    </row>
    <row r="303">
      <c r="A303" s="169"/>
      <c r="B303" s="169"/>
      <c r="C303" s="161"/>
      <c r="D303" s="229"/>
      <c r="E303" s="161"/>
      <c r="F303" s="161"/>
      <c r="G303" s="161"/>
      <c r="H303" s="171"/>
      <c r="I303" s="171"/>
      <c r="J303" s="171"/>
      <c r="K303" s="171"/>
      <c r="L303" s="171"/>
      <c r="M303" s="171"/>
      <c r="N303" s="171"/>
      <c r="O303" s="171"/>
      <c r="P303" s="171"/>
      <c r="Q303" s="171"/>
      <c r="R303" s="171"/>
      <c r="S303" s="171"/>
      <c r="T303" s="171"/>
      <c r="U303" s="171"/>
      <c r="V303" s="171"/>
      <c r="W303" s="171"/>
      <c r="X303" s="161"/>
      <c r="Y303" s="161"/>
      <c r="Z303" s="161"/>
      <c r="AA303" s="161"/>
      <c r="AB303" s="161"/>
      <c r="AC303" s="171"/>
      <c r="AD303" s="198"/>
    </row>
    <row r="304">
      <c r="A304" s="169"/>
      <c r="B304" s="169"/>
      <c r="C304" s="161"/>
      <c r="D304" s="229"/>
      <c r="E304" s="161"/>
      <c r="F304" s="161"/>
      <c r="G304" s="161"/>
      <c r="H304" s="171"/>
      <c r="I304" s="171"/>
      <c r="J304" s="171"/>
      <c r="K304" s="171"/>
      <c r="L304" s="171"/>
      <c r="M304" s="171"/>
      <c r="N304" s="171"/>
      <c r="O304" s="171"/>
      <c r="P304" s="171"/>
      <c r="Q304" s="171"/>
      <c r="R304" s="171"/>
      <c r="S304" s="171"/>
      <c r="T304" s="171"/>
      <c r="U304" s="171"/>
      <c r="V304" s="171"/>
      <c r="W304" s="171"/>
      <c r="X304" s="161"/>
      <c r="Y304" s="161"/>
      <c r="Z304" s="161"/>
      <c r="AA304" s="161"/>
      <c r="AB304" s="161"/>
      <c r="AC304" s="171"/>
      <c r="AD304" s="198"/>
    </row>
    <row r="305">
      <c r="A305" s="169"/>
      <c r="B305" s="169"/>
      <c r="C305" s="161"/>
      <c r="D305" s="229"/>
      <c r="E305" s="161"/>
      <c r="F305" s="161"/>
      <c r="G305" s="161"/>
      <c r="H305" s="171"/>
      <c r="I305" s="171"/>
      <c r="J305" s="171"/>
      <c r="K305" s="171"/>
      <c r="L305" s="171"/>
      <c r="M305" s="171"/>
      <c r="N305" s="171"/>
      <c r="O305" s="171"/>
      <c r="P305" s="171"/>
      <c r="Q305" s="171"/>
      <c r="R305" s="171"/>
      <c r="S305" s="171"/>
      <c r="T305" s="171"/>
      <c r="U305" s="171"/>
      <c r="V305" s="171"/>
      <c r="W305" s="171"/>
      <c r="X305" s="161"/>
      <c r="Y305" s="161"/>
      <c r="Z305" s="161"/>
      <c r="AA305" s="161"/>
      <c r="AB305" s="161"/>
      <c r="AC305" s="171"/>
      <c r="AD305" s="198"/>
    </row>
    <row r="306">
      <c r="A306" s="169"/>
      <c r="B306" s="169"/>
      <c r="C306" s="161"/>
      <c r="D306" s="229"/>
      <c r="E306" s="161"/>
      <c r="F306" s="161"/>
      <c r="G306" s="161"/>
      <c r="H306" s="171"/>
      <c r="I306" s="171"/>
      <c r="J306" s="171"/>
      <c r="K306" s="171"/>
      <c r="L306" s="171"/>
      <c r="M306" s="171"/>
      <c r="N306" s="171"/>
      <c r="O306" s="171"/>
      <c r="P306" s="171"/>
      <c r="Q306" s="171"/>
      <c r="R306" s="171"/>
      <c r="S306" s="171"/>
      <c r="T306" s="171"/>
      <c r="U306" s="171"/>
      <c r="V306" s="171"/>
      <c r="W306" s="171"/>
      <c r="X306" s="161"/>
      <c r="Y306" s="161"/>
      <c r="Z306" s="161"/>
      <c r="AA306" s="161"/>
      <c r="AB306" s="161"/>
      <c r="AC306" s="171"/>
      <c r="AD306" s="198"/>
    </row>
    <row r="307">
      <c r="A307" s="169"/>
      <c r="B307" s="169"/>
      <c r="C307" s="161"/>
      <c r="D307" s="229"/>
      <c r="E307" s="161"/>
      <c r="F307" s="161"/>
      <c r="G307" s="161"/>
      <c r="H307" s="171"/>
      <c r="I307" s="171"/>
      <c r="J307" s="171"/>
      <c r="K307" s="171"/>
      <c r="L307" s="171"/>
      <c r="M307" s="171"/>
      <c r="N307" s="171"/>
      <c r="O307" s="171"/>
      <c r="P307" s="171"/>
      <c r="Q307" s="171"/>
      <c r="R307" s="171"/>
      <c r="S307" s="171"/>
      <c r="T307" s="171"/>
      <c r="U307" s="171"/>
      <c r="V307" s="171"/>
      <c r="W307" s="171"/>
      <c r="X307" s="161"/>
      <c r="Y307" s="161"/>
      <c r="Z307" s="161"/>
      <c r="AA307" s="161"/>
      <c r="AB307" s="161"/>
      <c r="AC307" s="171"/>
      <c r="AD307" s="198"/>
    </row>
    <row r="308">
      <c r="A308" s="169"/>
      <c r="B308" s="169"/>
      <c r="C308" s="161"/>
      <c r="D308" s="229"/>
      <c r="E308" s="161"/>
      <c r="F308" s="161"/>
      <c r="G308" s="161"/>
      <c r="H308" s="171"/>
      <c r="I308" s="171"/>
      <c r="J308" s="171"/>
      <c r="K308" s="171"/>
      <c r="L308" s="171"/>
      <c r="M308" s="171"/>
      <c r="N308" s="171"/>
      <c r="O308" s="171"/>
      <c r="P308" s="171"/>
      <c r="Q308" s="171"/>
      <c r="R308" s="171"/>
      <c r="S308" s="171"/>
      <c r="T308" s="171"/>
      <c r="U308" s="171"/>
      <c r="V308" s="171"/>
      <c r="W308" s="171"/>
      <c r="X308" s="161"/>
      <c r="Y308" s="161"/>
      <c r="Z308" s="161"/>
      <c r="AA308" s="161"/>
      <c r="AB308" s="161"/>
      <c r="AC308" s="171"/>
      <c r="AD308" s="198"/>
    </row>
    <row r="309">
      <c r="A309" s="169"/>
      <c r="B309" s="169"/>
      <c r="C309" s="161"/>
      <c r="D309" s="229"/>
      <c r="E309" s="161"/>
      <c r="F309" s="161"/>
      <c r="G309" s="161"/>
      <c r="H309" s="171"/>
      <c r="I309" s="171"/>
      <c r="J309" s="171"/>
      <c r="K309" s="171"/>
      <c r="L309" s="171"/>
      <c r="M309" s="171"/>
      <c r="N309" s="171"/>
      <c r="O309" s="171"/>
      <c r="P309" s="171"/>
      <c r="Q309" s="171"/>
      <c r="R309" s="171"/>
      <c r="S309" s="171"/>
      <c r="T309" s="171"/>
      <c r="U309" s="171"/>
      <c r="V309" s="171"/>
      <c r="W309" s="171"/>
      <c r="X309" s="161"/>
      <c r="Y309" s="161"/>
      <c r="Z309" s="161"/>
      <c r="AA309" s="161"/>
      <c r="AB309" s="161"/>
      <c r="AC309" s="171"/>
      <c r="AD309" s="198"/>
    </row>
    <row r="310">
      <c r="A310" s="169"/>
      <c r="B310" s="169"/>
      <c r="C310" s="161"/>
      <c r="D310" s="229"/>
      <c r="E310" s="161"/>
      <c r="F310" s="161"/>
      <c r="G310" s="161"/>
      <c r="H310" s="171"/>
      <c r="I310" s="171"/>
      <c r="J310" s="171"/>
      <c r="K310" s="171"/>
      <c r="L310" s="171"/>
      <c r="M310" s="171"/>
      <c r="N310" s="171"/>
      <c r="O310" s="171"/>
      <c r="P310" s="171"/>
      <c r="Q310" s="171"/>
      <c r="R310" s="171"/>
      <c r="S310" s="171"/>
      <c r="T310" s="171"/>
      <c r="U310" s="171"/>
      <c r="V310" s="171"/>
      <c r="W310" s="171"/>
      <c r="X310" s="161"/>
      <c r="Y310" s="161"/>
      <c r="Z310" s="161"/>
      <c r="AA310" s="161"/>
      <c r="AB310" s="161"/>
      <c r="AC310" s="171"/>
      <c r="AD310" s="198"/>
    </row>
    <row r="311">
      <c r="A311" s="169"/>
      <c r="B311" s="169"/>
      <c r="C311" s="161"/>
      <c r="D311" s="229"/>
      <c r="E311" s="161"/>
      <c r="F311" s="161"/>
      <c r="G311" s="161"/>
      <c r="H311" s="171"/>
      <c r="I311" s="171"/>
      <c r="J311" s="171"/>
      <c r="K311" s="171"/>
      <c r="L311" s="171"/>
      <c r="M311" s="171"/>
      <c r="N311" s="171"/>
      <c r="O311" s="171"/>
      <c r="P311" s="171"/>
      <c r="Q311" s="171"/>
      <c r="R311" s="171"/>
      <c r="S311" s="171"/>
      <c r="T311" s="171"/>
      <c r="U311" s="171"/>
      <c r="V311" s="171"/>
      <c r="W311" s="171"/>
      <c r="X311" s="161"/>
      <c r="Y311" s="161"/>
      <c r="Z311" s="161"/>
      <c r="AA311" s="161"/>
      <c r="AB311" s="161"/>
      <c r="AC311" s="171"/>
      <c r="AD311" s="198"/>
    </row>
    <row r="312">
      <c r="A312" s="169"/>
      <c r="B312" s="169"/>
      <c r="C312" s="161"/>
      <c r="D312" s="229"/>
      <c r="E312" s="161"/>
      <c r="F312" s="161"/>
      <c r="G312" s="161"/>
      <c r="H312" s="171"/>
      <c r="I312" s="171"/>
      <c r="J312" s="171"/>
      <c r="K312" s="171"/>
      <c r="L312" s="171"/>
      <c r="M312" s="171"/>
      <c r="N312" s="171"/>
      <c r="O312" s="171"/>
      <c r="P312" s="171"/>
      <c r="Q312" s="171"/>
      <c r="R312" s="171"/>
      <c r="S312" s="171"/>
      <c r="T312" s="171"/>
      <c r="U312" s="171"/>
      <c r="V312" s="171"/>
      <c r="W312" s="171"/>
      <c r="X312" s="161"/>
      <c r="Y312" s="161"/>
      <c r="Z312" s="161"/>
      <c r="AA312" s="161"/>
      <c r="AB312" s="161"/>
      <c r="AC312" s="171"/>
      <c r="AD312" s="198"/>
    </row>
    <row r="313">
      <c r="A313" s="169"/>
      <c r="B313" s="169"/>
      <c r="C313" s="161"/>
      <c r="D313" s="229"/>
      <c r="E313" s="161"/>
      <c r="F313" s="161"/>
      <c r="G313" s="161"/>
      <c r="H313" s="171"/>
      <c r="I313" s="171"/>
      <c r="J313" s="171"/>
      <c r="K313" s="171"/>
      <c r="L313" s="171"/>
      <c r="M313" s="171"/>
      <c r="N313" s="171"/>
      <c r="O313" s="171"/>
      <c r="P313" s="171"/>
      <c r="Q313" s="171"/>
      <c r="R313" s="171"/>
      <c r="S313" s="171"/>
      <c r="T313" s="171"/>
      <c r="U313" s="171"/>
      <c r="V313" s="171"/>
      <c r="W313" s="171"/>
      <c r="X313" s="161"/>
      <c r="Y313" s="161"/>
      <c r="Z313" s="161"/>
      <c r="AA313" s="161"/>
      <c r="AB313" s="161"/>
      <c r="AC313" s="171"/>
      <c r="AD313" s="198"/>
    </row>
    <row r="314">
      <c r="A314" s="169"/>
      <c r="B314" s="169"/>
      <c r="C314" s="161"/>
      <c r="D314" s="229"/>
      <c r="E314" s="161"/>
      <c r="F314" s="161"/>
      <c r="G314" s="161"/>
      <c r="H314" s="171"/>
      <c r="I314" s="171"/>
      <c r="J314" s="171"/>
      <c r="K314" s="171"/>
      <c r="L314" s="171"/>
      <c r="M314" s="171"/>
      <c r="N314" s="171"/>
      <c r="O314" s="171"/>
      <c r="P314" s="171"/>
      <c r="Q314" s="171"/>
      <c r="R314" s="171"/>
      <c r="S314" s="171"/>
      <c r="T314" s="171"/>
      <c r="U314" s="171"/>
      <c r="V314" s="171"/>
      <c r="W314" s="171"/>
      <c r="X314" s="161"/>
      <c r="Y314" s="161"/>
      <c r="Z314" s="161"/>
      <c r="AA314" s="161"/>
      <c r="AB314" s="161"/>
      <c r="AC314" s="171"/>
      <c r="AD314" s="198"/>
    </row>
    <row r="315">
      <c r="A315" s="169"/>
      <c r="B315" s="169"/>
      <c r="C315" s="161"/>
      <c r="D315" s="229"/>
      <c r="E315" s="161"/>
      <c r="F315" s="161"/>
      <c r="G315" s="161"/>
      <c r="H315" s="171"/>
      <c r="I315" s="171"/>
      <c r="J315" s="171"/>
      <c r="K315" s="171"/>
      <c r="L315" s="171"/>
      <c r="M315" s="171"/>
      <c r="N315" s="171"/>
      <c r="O315" s="171"/>
      <c r="P315" s="171"/>
      <c r="Q315" s="171"/>
      <c r="R315" s="171"/>
      <c r="S315" s="171"/>
      <c r="T315" s="171"/>
      <c r="U315" s="171"/>
      <c r="V315" s="171"/>
      <c r="W315" s="171"/>
      <c r="X315" s="161"/>
      <c r="Y315" s="161"/>
      <c r="Z315" s="161"/>
      <c r="AA315" s="161"/>
      <c r="AB315" s="161"/>
      <c r="AC315" s="171"/>
      <c r="AD315" s="198"/>
    </row>
    <row r="316">
      <c r="A316" s="169"/>
      <c r="B316" s="169"/>
      <c r="C316" s="161"/>
      <c r="D316" s="229"/>
      <c r="E316" s="161"/>
      <c r="F316" s="161"/>
      <c r="G316" s="161"/>
      <c r="H316" s="171"/>
      <c r="I316" s="171"/>
      <c r="J316" s="171"/>
      <c r="K316" s="171"/>
      <c r="L316" s="171"/>
      <c r="M316" s="171"/>
      <c r="N316" s="171"/>
      <c r="O316" s="171"/>
      <c r="P316" s="171"/>
      <c r="Q316" s="171"/>
      <c r="R316" s="171"/>
      <c r="S316" s="171"/>
      <c r="T316" s="171"/>
      <c r="U316" s="171"/>
      <c r="V316" s="171"/>
      <c r="W316" s="171"/>
      <c r="X316" s="161"/>
      <c r="Y316" s="161"/>
      <c r="Z316" s="161"/>
      <c r="AA316" s="161"/>
      <c r="AB316" s="161"/>
      <c r="AC316" s="171"/>
      <c r="AD316" s="198"/>
    </row>
    <row r="317">
      <c r="A317" s="169"/>
      <c r="B317" s="169"/>
      <c r="C317" s="161"/>
      <c r="D317" s="229"/>
      <c r="E317" s="161"/>
      <c r="F317" s="161"/>
      <c r="G317" s="161"/>
      <c r="H317" s="171"/>
      <c r="I317" s="171"/>
      <c r="J317" s="171"/>
      <c r="K317" s="171"/>
      <c r="L317" s="171"/>
      <c r="M317" s="171"/>
      <c r="N317" s="171"/>
      <c r="O317" s="171"/>
      <c r="P317" s="171"/>
      <c r="Q317" s="171"/>
      <c r="R317" s="171"/>
      <c r="S317" s="171"/>
      <c r="T317" s="171"/>
      <c r="U317" s="171"/>
      <c r="V317" s="171"/>
      <c r="W317" s="171"/>
      <c r="X317" s="161"/>
      <c r="Y317" s="161"/>
      <c r="Z317" s="161"/>
      <c r="AA317" s="161"/>
      <c r="AB317" s="161"/>
      <c r="AC317" s="171"/>
      <c r="AD317" s="198"/>
    </row>
    <row r="318">
      <c r="A318" s="169"/>
      <c r="B318" s="169"/>
      <c r="C318" s="161"/>
      <c r="D318" s="229"/>
      <c r="E318" s="161"/>
      <c r="F318" s="161"/>
      <c r="G318" s="161"/>
      <c r="H318" s="171"/>
      <c r="I318" s="171"/>
      <c r="J318" s="171"/>
      <c r="K318" s="171"/>
      <c r="L318" s="171"/>
      <c r="M318" s="171"/>
      <c r="N318" s="171"/>
      <c r="O318" s="171"/>
      <c r="P318" s="171"/>
      <c r="Q318" s="171"/>
      <c r="R318" s="171"/>
      <c r="S318" s="171"/>
      <c r="T318" s="171"/>
      <c r="U318" s="171"/>
      <c r="V318" s="171"/>
      <c r="W318" s="171"/>
      <c r="X318" s="161"/>
      <c r="Y318" s="161"/>
      <c r="Z318" s="161"/>
      <c r="AA318" s="161"/>
      <c r="AB318" s="161"/>
      <c r="AC318" s="171"/>
      <c r="AD318" s="198"/>
    </row>
    <row r="319">
      <c r="A319" s="169"/>
      <c r="B319" s="169"/>
      <c r="C319" s="161"/>
      <c r="D319" s="229"/>
      <c r="E319" s="161"/>
      <c r="F319" s="161"/>
      <c r="G319" s="161"/>
      <c r="H319" s="171"/>
      <c r="I319" s="171"/>
      <c r="J319" s="171"/>
      <c r="K319" s="171"/>
      <c r="L319" s="171"/>
      <c r="M319" s="171"/>
      <c r="N319" s="171"/>
      <c r="O319" s="171"/>
      <c r="P319" s="171"/>
      <c r="Q319" s="171"/>
      <c r="R319" s="171"/>
      <c r="S319" s="171"/>
      <c r="T319" s="171"/>
      <c r="U319" s="171"/>
      <c r="V319" s="171"/>
      <c r="W319" s="171"/>
      <c r="X319" s="161"/>
      <c r="Y319" s="161"/>
      <c r="Z319" s="161"/>
      <c r="AA319" s="161"/>
      <c r="AB319" s="161"/>
      <c r="AC319" s="171"/>
      <c r="AD319" s="198"/>
    </row>
    <row r="320">
      <c r="A320" s="169"/>
      <c r="B320" s="169"/>
      <c r="C320" s="161"/>
      <c r="D320" s="229"/>
      <c r="E320" s="161"/>
      <c r="F320" s="161"/>
      <c r="G320" s="161"/>
      <c r="H320" s="171"/>
      <c r="I320" s="171"/>
      <c r="J320" s="171"/>
      <c r="K320" s="171"/>
      <c r="L320" s="171"/>
      <c r="M320" s="171"/>
      <c r="N320" s="171"/>
      <c r="O320" s="171"/>
      <c r="P320" s="171"/>
      <c r="Q320" s="171"/>
      <c r="R320" s="171"/>
      <c r="S320" s="171"/>
      <c r="T320" s="171"/>
      <c r="U320" s="171"/>
      <c r="V320" s="171"/>
      <c r="W320" s="171"/>
      <c r="X320" s="161"/>
      <c r="Y320" s="161"/>
      <c r="Z320" s="161"/>
      <c r="AA320" s="161"/>
      <c r="AB320" s="161"/>
      <c r="AC320" s="171"/>
      <c r="AD320" s="198"/>
    </row>
    <row r="321">
      <c r="A321" s="169"/>
      <c r="B321" s="169"/>
      <c r="C321" s="161"/>
      <c r="D321" s="229"/>
      <c r="E321" s="161"/>
      <c r="F321" s="161"/>
      <c r="G321" s="161"/>
      <c r="H321" s="171"/>
      <c r="I321" s="171"/>
      <c r="J321" s="171"/>
      <c r="K321" s="171"/>
      <c r="L321" s="171"/>
      <c r="M321" s="171"/>
      <c r="N321" s="171"/>
      <c r="O321" s="171"/>
      <c r="P321" s="171"/>
      <c r="Q321" s="171"/>
      <c r="R321" s="171"/>
      <c r="S321" s="171"/>
      <c r="T321" s="171"/>
      <c r="U321" s="171"/>
      <c r="V321" s="171"/>
      <c r="W321" s="171"/>
      <c r="X321" s="161"/>
      <c r="Y321" s="161"/>
      <c r="Z321" s="161"/>
      <c r="AA321" s="161"/>
      <c r="AB321" s="161"/>
      <c r="AC321" s="171"/>
      <c r="AD321" s="198"/>
    </row>
    <row r="322">
      <c r="A322" s="169"/>
      <c r="B322" s="169"/>
      <c r="C322" s="161"/>
      <c r="D322" s="229"/>
      <c r="E322" s="161"/>
      <c r="F322" s="161"/>
      <c r="G322" s="161"/>
      <c r="H322" s="171"/>
      <c r="I322" s="171"/>
      <c r="J322" s="171"/>
      <c r="K322" s="171"/>
      <c r="L322" s="171"/>
      <c r="M322" s="171"/>
      <c r="N322" s="171"/>
      <c r="O322" s="171"/>
      <c r="P322" s="171"/>
      <c r="Q322" s="171"/>
      <c r="R322" s="171"/>
      <c r="S322" s="171"/>
      <c r="T322" s="171"/>
      <c r="U322" s="171"/>
      <c r="V322" s="171"/>
      <c r="W322" s="171"/>
      <c r="X322" s="161"/>
      <c r="Y322" s="161"/>
      <c r="Z322" s="161"/>
      <c r="AA322" s="161"/>
      <c r="AB322" s="161"/>
      <c r="AC322" s="171"/>
      <c r="AD322" s="198"/>
    </row>
    <row r="323">
      <c r="A323" s="169"/>
      <c r="B323" s="169"/>
      <c r="C323" s="161"/>
      <c r="D323" s="229"/>
      <c r="E323" s="161"/>
      <c r="F323" s="161"/>
      <c r="G323" s="161"/>
      <c r="H323" s="171"/>
      <c r="I323" s="171"/>
      <c r="J323" s="171"/>
      <c r="K323" s="171"/>
      <c r="L323" s="171"/>
      <c r="M323" s="171"/>
      <c r="N323" s="171"/>
      <c r="O323" s="171"/>
      <c r="P323" s="171"/>
      <c r="Q323" s="171"/>
      <c r="R323" s="171"/>
      <c r="S323" s="171"/>
      <c r="T323" s="171"/>
      <c r="U323" s="171"/>
      <c r="V323" s="171"/>
      <c r="W323" s="171"/>
      <c r="X323" s="161"/>
      <c r="Y323" s="161"/>
      <c r="Z323" s="161"/>
      <c r="AA323" s="161"/>
      <c r="AB323" s="161"/>
      <c r="AC323" s="171"/>
      <c r="AD323" s="198"/>
    </row>
    <row r="324">
      <c r="A324" s="169"/>
      <c r="B324" s="169"/>
      <c r="C324" s="161"/>
      <c r="D324" s="229"/>
      <c r="E324" s="161"/>
      <c r="F324" s="161"/>
      <c r="G324" s="161"/>
      <c r="H324" s="171"/>
      <c r="I324" s="171"/>
      <c r="J324" s="171"/>
      <c r="K324" s="171"/>
      <c r="L324" s="171"/>
      <c r="M324" s="171"/>
      <c r="N324" s="171"/>
      <c r="O324" s="171"/>
      <c r="P324" s="171"/>
      <c r="Q324" s="171"/>
      <c r="R324" s="171"/>
      <c r="S324" s="171"/>
      <c r="T324" s="171"/>
      <c r="U324" s="171"/>
      <c r="V324" s="171"/>
      <c r="W324" s="171"/>
      <c r="X324" s="161"/>
      <c r="Y324" s="161"/>
      <c r="Z324" s="161"/>
      <c r="AA324" s="161"/>
      <c r="AB324" s="161"/>
      <c r="AC324" s="171"/>
      <c r="AD324" s="198"/>
    </row>
    <row r="325">
      <c r="A325" s="169"/>
      <c r="B325" s="169"/>
      <c r="C325" s="161"/>
      <c r="D325" s="229"/>
      <c r="E325" s="161"/>
      <c r="F325" s="161"/>
      <c r="G325" s="161"/>
      <c r="H325" s="171"/>
      <c r="I325" s="171"/>
      <c r="J325" s="171"/>
      <c r="K325" s="171"/>
      <c r="L325" s="171"/>
      <c r="M325" s="171"/>
      <c r="N325" s="171"/>
      <c r="O325" s="171"/>
      <c r="P325" s="171"/>
      <c r="Q325" s="171"/>
      <c r="R325" s="171"/>
      <c r="S325" s="171"/>
      <c r="T325" s="171"/>
      <c r="U325" s="171"/>
      <c r="V325" s="171"/>
      <c r="W325" s="171"/>
      <c r="X325" s="161"/>
      <c r="Y325" s="161"/>
      <c r="Z325" s="161"/>
      <c r="AA325" s="161"/>
      <c r="AB325" s="161"/>
      <c r="AC325" s="171"/>
      <c r="AD325" s="198"/>
    </row>
    <row r="326">
      <c r="A326" s="169"/>
      <c r="B326" s="169"/>
      <c r="C326" s="161"/>
      <c r="D326" s="229"/>
      <c r="E326" s="161"/>
      <c r="F326" s="161"/>
      <c r="G326" s="161"/>
      <c r="H326" s="171"/>
      <c r="I326" s="171"/>
      <c r="J326" s="171"/>
      <c r="K326" s="171"/>
      <c r="L326" s="171"/>
      <c r="M326" s="171"/>
      <c r="N326" s="171"/>
      <c r="O326" s="171"/>
      <c r="P326" s="171"/>
      <c r="Q326" s="171"/>
      <c r="R326" s="171"/>
      <c r="S326" s="171"/>
      <c r="T326" s="171"/>
      <c r="U326" s="171"/>
      <c r="V326" s="171"/>
      <c r="W326" s="171"/>
      <c r="X326" s="161"/>
      <c r="Y326" s="161"/>
      <c r="Z326" s="161"/>
      <c r="AA326" s="161"/>
      <c r="AB326" s="161"/>
      <c r="AC326" s="171"/>
      <c r="AD326" s="198"/>
    </row>
    <row r="327">
      <c r="A327" s="169"/>
      <c r="B327" s="169"/>
      <c r="C327" s="161"/>
      <c r="D327" s="229"/>
      <c r="E327" s="161"/>
      <c r="F327" s="161"/>
      <c r="G327" s="161"/>
      <c r="H327" s="171"/>
      <c r="I327" s="171"/>
      <c r="J327" s="171"/>
      <c r="K327" s="171"/>
      <c r="L327" s="171"/>
      <c r="M327" s="171"/>
      <c r="N327" s="171"/>
      <c r="O327" s="171"/>
      <c r="P327" s="171"/>
      <c r="Q327" s="171"/>
      <c r="R327" s="171"/>
      <c r="S327" s="171"/>
      <c r="T327" s="171"/>
      <c r="U327" s="171"/>
      <c r="V327" s="171"/>
      <c r="W327" s="171"/>
      <c r="X327" s="161"/>
      <c r="Y327" s="161"/>
      <c r="Z327" s="161"/>
      <c r="AA327" s="161"/>
      <c r="AB327" s="161"/>
      <c r="AC327" s="171"/>
      <c r="AD327" s="198"/>
    </row>
    <row r="328">
      <c r="A328" s="169"/>
      <c r="B328" s="169"/>
      <c r="C328" s="161"/>
      <c r="D328" s="229"/>
      <c r="E328" s="161"/>
      <c r="F328" s="161"/>
      <c r="G328" s="161"/>
      <c r="H328" s="171"/>
      <c r="I328" s="171"/>
      <c r="J328" s="171"/>
      <c r="K328" s="171"/>
      <c r="L328" s="171"/>
      <c r="M328" s="171"/>
      <c r="N328" s="171"/>
      <c r="O328" s="171"/>
      <c r="P328" s="171"/>
      <c r="Q328" s="171"/>
      <c r="R328" s="171"/>
      <c r="S328" s="171"/>
      <c r="T328" s="171"/>
      <c r="U328" s="171"/>
      <c r="V328" s="171"/>
      <c r="W328" s="171"/>
      <c r="X328" s="161"/>
      <c r="Y328" s="161"/>
      <c r="Z328" s="161"/>
      <c r="AA328" s="161"/>
      <c r="AB328" s="161"/>
      <c r="AC328" s="171"/>
      <c r="AD328" s="198"/>
    </row>
    <row r="329">
      <c r="A329" s="169"/>
      <c r="B329" s="169"/>
      <c r="C329" s="161"/>
      <c r="D329" s="229"/>
      <c r="E329" s="161"/>
      <c r="F329" s="161"/>
      <c r="G329" s="161"/>
      <c r="H329" s="171"/>
      <c r="I329" s="171"/>
      <c r="J329" s="171"/>
      <c r="K329" s="171"/>
      <c r="L329" s="171"/>
      <c r="M329" s="171"/>
      <c r="N329" s="171"/>
      <c r="O329" s="171"/>
      <c r="P329" s="171"/>
      <c r="Q329" s="171"/>
      <c r="R329" s="171"/>
      <c r="S329" s="171"/>
      <c r="T329" s="171"/>
      <c r="U329" s="171"/>
      <c r="V329" s="171"/>
      <c r="W329" s="171"/>
      <c r="X329" s="161"/>
      <c r="Y329" s="161"/>
      <c r="Z329" s="161"/>
      <c r="AA329" s="161"/>
      <c r="AB329" s="161"/>
      <c r="AC329" s="171"/>
      <c r="AD329" s="198"/>
    </row>
    <row r="330">
      <c r="A330" s="169"/>
      <c r="B330" s="169"/>
      <c r="C330" s="161"/>
      <c r="D330" s="229"/>
      <c r="E330" s="161"/>
      <c r="F330" s="161"/>
      <c r="G330" s="161"/>
      <c r="H330" s="171"/>
      <c r="I330" s="171"/>
      <c r="J330" s="171"/>
      <c r="K330" s="171"/>
      <c r="L330" s="171"/>
      <c r="M330" s="171"/>
      <c r="N330" s="171"/>
      <c r="O330" s="171"/>
      <c r="P330" s="171"/>
      <c r="Q330" s="171"/>
      <c r="R330" s="171"/>
      <c r="S330" s="171"/>
      <c r="T330" s="171"/>
      <c r="U330" s="171"/>
      <c r="V330" s="171"/>
      <c r="W330" s="171"/>
      <c r="X330" s="161"/>
      <c r="Y330" s="161"/>
      <c r="Z330" s="161"/>
      <c r="AA330" s="161"/>
      <c r="AB330" s="161"/>
      <c r="AC330" s="171"/>
      <c r="AD330" s="198"/>
    </row>
    <row r="331">
      <c r="A331" s="169"/>
      <c r="B331" s="169"/>
      <c r="C331" s="161"/>
      <c r="D331" s="229"/>
      <c r="E331" s="161"/>
      <c r="F331" s="161"/>
      <c r="G331" s="161"/>
      <c r="H331" s="171"/>
      <c r="I331" s="171"/>
      <c r="J331" s="171"/>
      <c r="K331" s="171"/>
      <c r="L331" s="171"/>
      <c r="M331" s="171"/>
      <c r="N331" s="171"/>
      <c r="O331" s="171"/>
      <c r="P331" s="171"/>
      <c r="Q331" s="171"/>
      <c r="R331" s="171"/>
      <c r="S331" s="171"/>
      <c r="T331" s="171"/>
      <c r="U331" s="171"/>
      <c r="V331" s="171"/>
      <c r="W331" s="171"/>
      <c r="X331" s="161"/>
      <c r="Y331" s="161"/>
      <c r="Z331" s="161"/>
      <c r="AA331" s="161"/>
      <c r="AB331" s="161"/>
      <c r="AC331" s="171"/>
      <c r="AD331" s="198"/>
    </row>
    <row r="332">
      <c r="A332" s="169"/>
      <c r="B332" s="169"/>
      <c r="C332" s="161"/>
      <c r="D332" s="229"/>
      <c r="E332" s="161"/>
      <c r="F332" s="161"/>
      <c r="G332" s="161"/>
      <c r="H332" s="171"/>
      <c r="I332" s="171"/>
      <c r="J332" s="171"/>
      <c r="K332" s="171"/>
      <c r="L332" s="171"/>
      <c r="M332" s="171"/>
      <c r="N332" s="171"/>
      <c r="O332" s="171"/>
      <c r="P332" s="171"/>
      <c r="Q332" s="171"/>
      <c r="R332" s="171"/>
      <c r="S332" s="171"/>
      <c r="T332" s="171"/>
      <c r="U332" s="171"/>
      <c r="V332" s="171"/>
      <c r="W332" s="171"/>
      <c r="X332" s="161"/>
      <c r="Y332" s="161"/>
      <c r="Z332" s="161"/>
      <c r="AA332" s="161"/>
      <c r="AB332" s="161"/>
      <c r="AC332" s="171"/>
      <c r="AD332" s="198"/>
    </row>
    <row r="333">
      <c r="A333" s="169"/>
      <c r="B333" s="169"/>
      <c r="C333" s="161"/>
      <c r="D333" s="229"/>
      <c r="E333" s="161"/>
      <c r="F333" s="161"/>
      <c r="G333" s="161"/>
      <c r="H333" s="171"/>
      <c r="I333" s="171"/>
      <c r="J333" s="171"/>
      <c r="K333" s="171"/>
      <c r="L333" s="171"/>
      <c r="M333" s="171"/>
      <c r="N333" s="171"/>
      <c r="O333" s="171"/>
      <c r="P333" s="171"/>
      <c r="Q333" s="171"/>
      <c r="R333" s="171"/>
      <c r="S333" s="171"/>
      <c r="T333" s="171"/>
      <c r="U333" s="171"/>
      <c r="V333" s="171"/>
      <c r="W333" s="171"/>
      <c r="X333" s="161"/>
      <c r="Y333" s="161"/>
      <c r="Z333" s="161"/>
      <c r="AA333" s="161"/>
      <c r="AB333" s="161"/>
      <c r="AC333" s="171"/>
      <c r="AD333" s="198"/>
    </row>
    <row r="334">
      <c r="A334" s="169"/>
      <c r="B334" s="169"/>
      <c r="C334" s="161"/>
      <c r="D334" s="229"/>
      <c r="E334" s="161"/>
      <c r="F334" s="161"/>
      <c r="G334" s="161"/>
      <c r="H334" s="171"/>
      <c r="I334" s="171"/>
      <c r="J334" s="171"/>
      <c r="K334" s="171"/>
      <c r="L334" s="171"/>
      <c r="M334" s="171"/>
      <c r="N334" s="171"/>
      <c r="O334" s="171"/>
      <c r="P334" s="171"/>
      <c r="Q334" s="171"/>
      <c r="R334" s="171"/>
      <c r="S334" s="171"/>
      <c r="T334" s="171"/>
      <c r="U334" s="171"/>
      <c r="V334" s="171"/>
      <c r="W334" s="171"/>
      <c r="X334" s="161"/>
      <c r="Y334" s="161"/>
      <c r="Z334" s="161"/>
      <c r="AA334" s="161"/>
      <c r="AB334" s="161"/>
      <c r="AC334" s="171"/>
      <c r="AD334" s="198"/>
    </row>
    <row r="335">
      <c r="A335" s="169"/>
      <c r="B335" s="169"/>
      <c r="C335" s="161"/>
      <c r="D335" s="229"/>
      <c r="E335" s="161"/>
      <c r="F335" s="161"/>
      <c r="G335" s="161"/>
      <c r="H335" s="171"/>
      <c r="I335" s="171"/>
      <c r="J335" s="171"/>
      <c r="K335" s="171"/>
      <c r="L335" s="171"/>
      <c r="M335" s="171"/>
      <c r="N335" s="171"/>
      <c r="O335" s="171"/>
      <c r="P335" s="171"/>
      <c r="Q335" s="171"/>
      <c r="R335" s="171"/>
      <c r="S335" s="171"/>
      <c r="T335" s="171"/>
      <c r="U335" s="171"/>
      <c r="V335" s="171"/>
      <c r="W335" s="171"/>
      <c r="X335" s="161"/>
      <c r="Y335" s="161"/>
      <c r="Z335" s="161"/>
      <c r="AA335" s="161"/>
      <c r="AB335" s="161"/>
      <c r="AC335" s="171"/>
      <c r="AD335" s="198"/>
    </row>
    <row r="336">
      <c r="A336" s="169"/>
      <c r="B336" s="169"/>
      <c r="C336" s="161"/>
      <c r="D336" s="229"/>
      <c r="E336" s="161"/>
      <c r="F336" s="161"/>
      <c r="G336" s="161"/>
      <c r="H336" s="171"/>
      <c r="I336" s="171"/>
      <c r="J336" s="171"/>
      <c r="K336" s="171"/>
      <c r="L336" s="171"/>
      <c r="M336" s="171"/>
      <c r="N336" s="171"/>
      <c r="O336" s="171"/>
      <c r="P336" s="171"/>
      <c r="Q336" s="171"/>
      <c r="R336" s="171"/>
      <c r="S336" s="171"/>
      <c r="T336" s="171"/>
      <c r="U336" s="171"/>
      <c r="V336" s="171"/>
      <c r="W336" s="171"/>
      <c r="X336" s="161"/>
      <c r="Y336" s="161"/>
      <c r="Z336" s="161"/>
      <c r="AA336" s="161"/>
      <c r="AB336" s="161"/>
      <c r="AC336" s="171"/>
      <c r="AD336" s="198"/>
    </row>
    <row r="337">
      <c r="A337" s="169"/>
      <c r="B337" s="169"/>
      <c r="C337" s="161"/>
      <c r="D337" s="229"/>
      <c r="E337" s="161"/>
      <c r="F337" s="161"/>
      <c r="G337" s="161"/>
      <c r="H337" s="171"/>
      <c r="I337" s="171"/>
      <c r="J337" s="171"/>
      <c r="K337" s="171"/>
      <c r="L337" s="171"/>
      <c r="M337" s="171"/>
      <c r="N337" s="171"/>
      <c r="O337" s="171"/>
      <c r="P337" s="171"/>
      <c r="Q337" s="171"/>
      <c r="R337" s="171"/>
      <c r="S337" s="171"/>
      <c r="T337" s="171"/>
      <c r="U337" s="171"/>
      <c r="V337" s="171"/>
      <c r="W337" s="171"/>
      <c r="X337" s="161"/>
      <c r="Y337" s="161"/>
      <c r="Z337" s="161"/>
      <c r="AA337" s="161"/>
      <c r="AB337" s="161"/>
      <c r="AC337" s="171"/>
      <c r="AD337" s="198"/>
    </row>
    <row r="338">
      <c r="A338" s="169"/>
      <c r="B338" s="169"/>
      <c r="C338" s="161"/>
      <c r="D338" s="229"/>
      <c r="E338" s="161"/>
      <c r="F338" s="161"/>
      <c r="G338" s="161"/>
      <c r="H338" s="171"/>
      <c r="I338" s="171"/>
      <c r="J338" s="171"/>
      <c r="K338" s="171"/>
      <c r="L338" s="171"/>
      <c r="M338" s="171"/>
      <c r="N338" s="171"/>
      <c r="O338" s="171"/>
      <c r="P338" s="171"/>
      <c r="Q338" s="171"/>
      <c r="R338" s="171"/>
      <c r="S338" s="171"/>
      <c r="T338" s="171"/>
      <c r="U338" s="171"/>
      <c r="V338" s="171"/>
      <c r="W338" s="171"/>
      <c r="X338" s="161"/>
      <c r="Y338" s="161"/>
      <c r="Z338" s="161"/>
      <c r="AA338" s="161"/>
      <c r="AB338" s="161"/>
      <c r="AC338" s="171"/>
      <c r="AD338" s="198"/>
    </row>
    <row r="339">
      <c r="A339" s="169"/>
      <c r="B339" s="169"/>
      <c r="C339" s="161"/>
      <c r="D339" s="229"/>
      <c r="E339" s="161"/>
      <c r="F339" s="161"/>
      <c r="G339" s="161"/>
      <c r="H339" s="171"/>
      <c r="I339" s="171"/>
      <c r="J339" s="171"/>
      <c r="K339" s="171"/>
      <c r="L339" s="171"/>
      <c r="M339" s="171"/>
      <c r="N339" s="171"/>
      <c r="O339" s="171"/>
      <c r="P339" s="171"/>
      <c r="Q339" s="171"/>
      <c r="R339" s="171"/>
      <c r="S339" s="171"/>
      <c r="T339" s="171"/>
      <c r="U339" s="171"/>
      <c r="V339" s="171"/>
      <c r="W339" s="171"/>
      <c r="X339" s="161"/>
      <c r="Y339" s="161"/>
      <c r="Z339" s="161"/>
      <c r="AA339" s="161"/>
      <c r="AB339" s="161"/>
      <c r="AC339" s="171"/>
      <c r="AD339" s="198"/>
    </row>
    <row r="340">
      <c r="A340" s="169"/>
      <c r="B340" s="169"/>
      <c r="C340" s="161"/>
      <c r="D340" s="229"/>
      <c r="E340" s="161"/>
      <c r="F340" s="161"/>
      <c r="G340" s="161"/>
      <c r="H340" s="171"/>
      <c r="I340" s="171"/>
      <c r="J340" s="171"/>
      <c r="K340" s="171"/>
      <c r="L340" s="171"/>
      <c r="M340" s="171"/>
      <c r="N340" s="171"/>
      <c r="O340" s="171"/>
      <c r="P340" s="171"/>
      <c r="Q340" s="171"/>
      <c r="R340" s="171"/>
      <c r="S340" s="171"/>
      <c r="T340" s="171"/>
      <c r="U340" s="171"/>
      <c r="V340" s="171"/>
      <c r="W340" s="171"/>
      <c r="X340" s="161"/>
      <c r="Y340" s="161"/>
      <c r="Z340" s="161"/>
      <c r="AA340" s="161"/>
      <c r="AB340" s="161"/>
      <c r="AC340" s="171"/>
      <c r="AD340" s="198"/>
    </row>
    <row r="341">
      <c r="A341" s="169"/>
      <c r="B341" s="169"/>
      <c r="C341" s="161"/>
      <c r="D341" s="229"/>
      <c r="E341" s="161"/>
      <c r="F341" s="161"/>
      <c r="G341" s="161"/>
      <c r="H341" s="171"/>
      <c r="I341" s="171"/>
      <c r="J341" s="171"/>
      <c r="K341" s="171"/>
      <c r="L341" s="171"/>
      <c r="M341" s="171"/>
      <c r="N341" s="171"/>
      <c r="O341" s="171"/>
      <c r="P341" s="171"/>
      <c r="Q341" s="171"/>
      <c r="R341" s="171"/>
      <c r="S341" s="171"/>
      <c r="T341" s="171"/>
      <c r="U341" s="171"/>
      <c r="V341" s="171"/>
      <c r="W341" s="171"/>
      <c r="X341" s="161"/>
      <c r="Y341" s="161"/>
      <c r="Z341" s="161"/>
      <c r="AA341" s="161"/>
      <c r="AB341" s="161"/>
      <c r="AC341" s="171"/>
      <c r="AD341" s="198"/>
    </row>
    <row r="342">
      <c r="A342" s="169"/>
      <c r="B342" s="169"/>
      <c r="C342" s="161"/>
      <c r="D342" s="229"/>
      <c r="E342" s="161"/>
      <c r="F342" s="161"/>
      <c r="G342" s="161"/>
      <c r="H342" s="171"/>
      <c r="I342" s="171"/>
      <c r="J342" s="171"/>
      <c r="K342" s="171"/>
      <c r="L342" s="171"/>
      <c r="M342" s="171"/>
      <c r="N342" s="171"/>
      <c r="O342" s="171"/>
      <c r="P342" s="171"/>
      <c r="Q342" s="171"/>
      <c r="R342" s="171"/>
      <c r="S342" s="171"/>
      <c r="T342" s="171"/>
      <c r="U342" s="171"/>
      <c r="V342" s="171"/>
      <c r="W342" s="171"/>
      <c r="X342" s="161"/>
      <c r="Y342" s="161"/>
      <c r="Z342" s="161"/>
      <c r="AA342" s="161"/>
      <c r="AB342" s="161"/>
      <c r="AC342" s="171"/>
      <c r="AD342" s="198"/>
    </row>
    <row r="343">
      <c r="A343" s="169"/>
      <c r="B343" s="169"/>
      <c r="C343" s="161"/>
      <c r="D343" s="229"/>
      <c r="E343" s="161"/>
      <c r="F343" s="161"/>
      <c r="G343" s="161"/>
      <c r="H343" s="171"/>
      <c r="I343" s="171"/>
      <c r="J343" s="171"/>
      <c r="K343" s="171"/>
      <c r="L343" s="171"/>
      <c r="M343" s="171"/>
      <c r="N343" s="171"/>
      <c r="O343" s="171"/>
      <c r="P343" s="171"/>
      <c r="Q343" s="171"/>
      <c r="R343" s="171"/>
      <c r="S343" s="171"/>
      <c r="T343" s="171"/>
      <c r="U343" s="171"/>
      <c r="V343" s="171"/>
      <c r="W343" s="171"/>
      <c r="X343" s="161"/>
      <c r="Y343" s="161"/>
      <c r="Z343" s="161"/>
      <c r="AA343" s="161"/>
      <c r="AB343" s="161"/>
      <c r="AC343" s="171"/>
      <c r="AD343" s="198"/>
    </row>
    <row r="344">
      <c r="A344" s="169"/>
      <c r="B344" s="169"/>
      <c r="C344" s="161"/>
      <c r="D344" s="229"/>
      <c r="E344" s="161"/>
      <c r="F344" s="161"/>
      <c r="G344" s="161"/>
      <c r="H344" s="171"/>
      <c r="I344" s="171"/>
      <c r="J344" s="171"/>
      <c r="K344" s="171"/>
      <c r="L344" s="171"/>
      <c r="M344" s="171"/>
      <c r="N344" s="171"/>
      <c r="O344" s="171"/>
      <c r="P344" s="171"/>
      <c r="Q344" s="171"/>
      <c r="R344" s="171"/>
      <c r="S344" s="171"/>
      <c r="T344" s="171"/>
      <c r="U344" s="171"/>
      <c r="V344" s="171"/>
      <c r="W344" s="171"/>
      <c r="X344" s="161"/>
      <c r="Y344" s="161"/>
      <c r="Z344" s="161"/>
      <c r="AA344" s="161"/>
      <c r="AB344" s="161"/>
      <c r="AC344" s="171"/>
      <c r="AD344" s="198"/>
    </row>
    <row r="345">
      <c r="A345" s="169"/>
      <c r="B345" s="169"/>
      <c r="C345" s="161"/>
      <c r="D345" s="229"/>
      <c r="E345" s="161"/>
      <c r="F345" s="161"/>
      <c r="G345" s="161"/>
      <c r="H345" s="171"/>
      <c r="I345" s="171"/>
      <c r="J345" s="171"/>
      <c r="K345" s="171"/>
      <c r="L345" s="171"/>
      <c r="M345" s="171"/>
      <c r="N345" s="171"/>
      <c r="O345" s="171"/>
      <c r="P345" s="171"/>
      <c r="Q345" s="171"/>
      <c r="R345" s="171"/>
      <c r="S345" s="171"/>
      <c r="T345" s="171"/>
      <c r="U345" s="171"/>
      <c r="V345" s="171"/>
      <c r="W345" s="171"/>
      <c r="X345" s="161"/>
      <c r="Y345" s="161"/>
      <c r="Z345" s="161"/>
      <c r="AA345" s="161"/>
      <c r="AB345" s="161"/>
      <c r="AC345" s="171"/>
      <c r="AD345" s="198"/>
    </row>
    <row r="346">
      <c r="A346" s="169"/>
      <c r="B346" s="169"/>
      <c r="C346" s="161"/>
      <c r="D346" s="229"/>
      <c r="E346" s="161"/>
      <c r="F346" s="161"/>
      <c r="G346" s="161"/>
      <c r="H346" s="171"/>
      <c r="I346" s="171"/>
      <c r="J346" s="171"/>
      <c r="K346" s="171"/>
      <c r="L346" s="171"/>
      <c r="M346" s="171"/>
      <c r="N346" s="171"/>
      <c r="O346" s="171"/>
      <c r="P346" s="171"/>
      <c r="Q346" s="171"/>
      <c r="R346" s="171"/>
      <c r="S346" s="171"/>
      <c r="T346" s="171"/>
      <c r="U346" s="171"/>
      <c r="V346" s="171"/>
      <c r="W346" s="171"/>
      <c r="X346" s="161"/>
      <c r="Y346" s="161"/>
      <c r="Z346" s="161"/>
      <c r="AA346" s="161"/>
      <c r="AB346" s="161"/>
      <c r="AC346" s="171"/>
      <c r="AD346" s="198"/>
    </row>
    <row r="347">
      <c r="A347" s="169"/>
      <c r="B347" s="169"/>
      <c r="C347" s="161"/>
      <c r="D347" s="229"/>
      <c r="E347" s="161"/>
      <c r="F347" s="161"/>
      <c r="G347" s="161"/>
      <c r="H347" s="171"/>
      <c r="I347" s="171"/>
      <c r="J347" s="171"/>
      <c r="K347" s="171"/>
      <c r="L347" s="171"/>
      <c r="M347" s="171"/>
      <c r="N347" s="171"/>
      <c r="O347" s="171"/>
      <c r="P347" s="171"/>
      <c r="Q347" s="171"/>
      <c r="R347" s="171"/>
      <c r="S347" s="171"/>
      <c r="T347" s="171"/>
      <c r="U347" s="171"/>
      <c r="V347" s="171"/>
      <c r="W347" s="171"/>
      <c r="X347" s="161"/>
      <c r="Y347" s="161"/>
      <c r="Z347" s="161"/>
      <c r="AA347" s="161"/>
      <c r="AB347" s="161"/>
      <c r="AC347" s="171"/>
      <c r="AD347" s="198"/>
    </row>
    <row r="348">
      <c r="A348" s="169"/>
      <c r="B348" s="169"/>
      <c r="C348" s="161"/>
      <c r="D348" s="229"/>
      <c r="E348" s="161"/>
      <c r="F348" s="161"/>
      <c r="G348" s="161"/>
      <c r="H348" s="171"/>
      <c r="I348" s="171"/>
      <c r="J348" s="171"/>
      <c r="K348" s="171"/>
      <c r="L348" s="171"/>
      <c r="M348" s="171"/>
      <c r="N348" s="171"/>
      <c r="O348" s="171"/>
      <c r="P348" s="171"/>
      <c r="Q348" s="171"/>
      <c r="R348" s="171"/>
      <c r="S348" s="171"/>
      <c r="T348" s="171"/>
      <c r="U348" s="171"/>
      <c r="V348" s="171"/>
      <c r="W348" s="171"/>
      <c r="X348" s="161"/>
      <c r="Y348" s="161"/>
      <c r="Z348" s="161"/>
      <c r="AA348" s="161"/>
      <c r="AB348" s="161"/>
      <c r="AC348" s="171"/>
      <c r="AD348" s="198"/>
    </row>
    <row r="349">
      <c r="A349" s="169"/>
      <c r="B349" s="169"/>
      <c r="C349" s="161"/>
      <c r="D349" s="229"/>
      <c r="E349" s="161"/>
      <c r="F349" s="161"/>
      <c r="G349" s="161"/>
      <c r="H349" s="171"/>
      <c r="I349" s="171"/>
      <c r="J349" s="171"/>
      <c r="K349" s="171"/>
      <c r="L349" s="171"/>
      <c r="M349" s="171"/>
      <c r="N349" s="171"/>
      <c r="O349" s="171"/>
      <c r="P349" s="171"/>
      <c r="Q349" s="171"/>
      <c r="R349" s="171"/>
      <c r="S349" s="171"/>
      <c r="T349" s="171"/>
      <c r="U349" s="171"/>
      <c r="V349" s="171"/>
      <c r="W349" s="171"/>
      <c r="X349" s="161"/>
      <c r="Y349" s="161"/>
      <c r="Z349" s="161"/>
      <c r="AA349" s="161"/>
      <c r="AB349" s="161"/>
      <c r="AC349" s="171"/>
      <c r="AD349" s="198"/>
    </row>
    <row r="350">
      <c r="A350" s="169"/>
      <c r="B350" s="169"/>
      <c r="C350" s="161"/>
      <c r="D350" s="229"/>
      <c r="E350" s="161"/>
      <c r="F350" s="161"/>
      <c r="G350" s="161"/>
      <c r="H350" s="171"/>
      <c r="I350" s="171"/>
      <c r="J350" s="171"/>
      <c r="K350" s="171"/>
      <c r="L350" s="171"/>
      <c r="M350" s="171"/>
      <c r="N350" s="171"/>
      <c r="O350" s="171"/>
      <c r="P350" s="171"/>
      <c r="Q350" s="171"/>
      <c r="R350" s="171"/>
      <c r="S350" s="171"/>
      <c r="T350" s="171"/>
      <c r="U350" s="171"/>
      <c r="V350" s="171"/>
      <c r="W350" s="171"/>
      <c r="X350" s="161"/>
      <c r="Y350" s="161"/>
      <c r="Z350" s="161"/>
      <c r="AA350" s="161"/>
      <c r="AB350" s="161"/>
      <c r="AC350" s="171"/>
      <c r="AD350" s="198"/>
    </row>
    <row r="351">
      <c r="A351" s="169"/>
      <c r="B351" s="169"/>
      <c r="C351" s="161"/>
      <c r="D351" s="229"/>
      <c r="E351" s="161"/>
      <c r="F351" s="161"/>
      <c r="G351" s="161"/>
      <c r="H351" s="171"/>
      <c r="I351" s="171"/>
      <c r="J351" s="171"/>
      <c r="K351" s="171"/>
      <c r="L351" s="171"/>
      <c r="M351" s="171"/>
      <c r="N351" s="171"/>
      <c r="O351" s="171"/>
      <c r="P351" s="171"/>
      <c r="Q351" s="171"/>
      <c r="R351" s="171"/>
      <c r="S351" s="171"/>
      <c r="T351" s="171"/>
      <c r="U351" s="171"/>
      <c r="V351" s="171"/>
      <c r="W351" s="171"/>
      <c r="X351" s="161"/>
      <c r="Y351" s="161"/>
      <c r="Z351" s="161"/>
      <c r="AA351" s="161"/>
      <c r="AB351" s="161"/>
      <c r="AC351" s="171"/>
      <c r="AD351" s="198"/>
    </row>
    <row r="352">
      <c r="A352" s="169"/>
      <c r="B352" s="169"/>
      <c r="C352" s="161"/>
      <c r="D352" s="229"/>
      <c r="E352" s="161"/>
      <c r="F352" s="161"/>
      <c r="G352" s="161"/>
      <c r="H352" s="171"/>
      <c r="I352" s="171"/>
      <c r="J352" s="171"/>
      <c r="K352" s="171"/>
      <c r="L352" s="171"/>
      <c r="M352" s="171"/>
      <c r="N352" s="171"/>
      <c r="O352" s="171"/>
      <c r="P352" s="171"/>
      <c r="Q352" s="171"/>
      <c r="R352" s="171"/>
      <c r="S352" s="171"/>
      <c r="T352" s="171"/>
      <c r="U352" s="171"/>
      <c r="V352" s="171"/>
      <c r="W352" s="171"/>
      <c r="X352" s="161"/>
      <c r="Y352" s="161"/>
      <c r="Z352" s="161"/>
      <c r="AA352" s="161"/>
      <c r="AB352" s="161"/>
      <c r="AC352" s="171"/>
      <c r="AD352" s="198"/>
    </row>
    <row r="353">
      <c r="A353" s="169"/>
      <c r="B353" s="169"/>
      <c r="C353" s="161"/>
      <c r="D353" s="229"/>
      <c r="E353" s="161"/>
      <c r="F353" s="161"/>
      <c r="G353" s="161"/>
      <c r="H353" s="171"/>
      <c r="I353" s="171"/>
      <c r="J353" s="171"/>
      <c r="K353" s="171"/>
      <c r="L353" s="171"/>
      <c r="M353" s="171"/>
      <c r="N353" s="171"/>
      <c r="O353" s="171"/>
      <c r="P353" s="171"/>
      <c r="Q353" s="171"/>
      <c r="R353" s="171"/>
      <c r="S353" s="171"/>
      <c r="T353" s="171"/>
      <c r="U353" s="171"/>
      <c r="V353" s="171"/>
      <c r="W353" s="171"/>
      <c r="X353" s="161"/>
      <c r="Y353" s="161"/>
      <c r="Z353" s="161"/>
      <c r="AA353" s="161"/>
      <c r="AB353" s="161"/>
      <c r="AC353" s="171"/>
      <c r="AD353" s="198"/>
    </row>
    <row r="354">
      <c r="A354" s="169"/>
      <c r="B354" s="169"/>
      <c r="C354" s="161"/>
      <c r="D354" s="229"/>
      <c r="E354" s="161"/>
      <c r="F354" s="161"/>
      <c r="G354" s="161"/>
      <c r="H354" s="171"/>
      <c r="I354" s="171"/>
      <c r="J354" s="171"/>
      <c r="K354" s="171"/>
      <c r="L354" s="171"/>
      <c r="M354" s="171"/>
      <c r="N354" s="171"/>
      <c r="O354" s="171"/>
      <c r="P354" s="171"/>
      <c r="Q354" s="171"/>
      <c r="R354" s="171"/>
      <c r="S354" s="171"/>
      <c r="T354" s="171"/>
      <c r="U354" s="171"/>
      <c r="V354" s="171"/>
      <c r="W354" s="171"/>
      <c r="X354" s="161"/>
      <c r="Y354" s="161"/>
      <c r="Z354" s="161"/>
      <c r="AA354" s="161"/>
      <c r="AB354" s="161"/>
      <c r="AC354" s="171"/>
      <c r="AD354" s="198"/>
    </row>
    <row r="355">
      <c r="A355" s="169"/>
      <c r="B355" s="169"/>
      <c r="C355" s="161"/>
      <c r="D355" s="229"/>
      <c r="E355" s="161"/>
      <c r="F355" s="161"/>
      <c r="G355" s="161"/>
      <c r="H355" s="171"/>
      <c r="I355" s="171"/>
      <c r="J355" s="171"/>
      <c r="K355" s="171"/>
      <c r="L355" s="171"/>
      <c r="M355" s="171"/>
      <c r="N355" s="171"/>
      <c r="O355" s="171"/>
      <c r="P355" s="171"/>
      <c r="Q355" s="171"/>
      <c r="R355" s="171"/>
      <c r="S355" s="171"/>
      <c r="T355" s="171"/>
      <c r="U355" s="171"/>
      <c r="V355" s="171"/>
      <c r="W355" s="171"/>
      <c r="X355" s="161"/>
      <c r="Y355" s="161"/>
      <c r="Z355" s="161"/>
      <c r="AA355" s="161"/>
      <c r="AB355" s="161"/>
      <c r="AC355" s="171"/>
      <c r="AD355" s="198"/>
    </row>
    <row r="356">
      <c r="A356" s="169"/>
      <c r="B356" s="169"/>
      <c r="C356" s="161"/>
      <c r="D356" s="229"/>
      <c r="E356" s="161"/>
      <c r="F356" s="161"/>
      <c r="G356" s="161"/>
      <c r="H356" s="171"/>
      <c r="I356" s="171"/>
      <c r="J356" s="171"/>
      <c r="K356" s="171"/>
      <c r="L356" s="171"/>
      <c r="M356" s="171"/>
      <c r="N356" s="171"/>
      <c r="O356" s="171"/>
      <c r="P356" s="171"/>
      <c r="Q356" s="171"/>
      <c r="R356" s="171"/>
      <c r="S356" s="171"/>
      <c r="T356" s="171"/>
      <c r="U356" s="171"/>
      <c r="V356" s="171"/>
      <c r="W356" s="171"/>
      <c r="X356" s="161"/>
      <c r="Y356" s="161"/>
      <c r="Z356" s="161"/>
      <c r="AA356" s="161"/>
      <c r="AB356" s="161"/>
      <c r="AC356" s="171"/>
      <c r="AD356" s="198"/>
    </row>
    <row r="357">
      <c r="A357" s="169"/>
      <c r="B357" s="169"/>
      <c r="C357" s="161"/>
      <c r="D357" s="229"/>
      <c r="E357" s="161"/>
      <c r="F357" s="161"/>
      <c r="G357" s="161"/>
      <c r="H357" s="171"/>
      <c r="I357" s="171"/>
      <c r="J357" s="171"/>
      <c r="K357" s="171"/>
      <c r="L357" s="171"/>
      <c r="M357" s="171"/>
      <c r="N357" s="171"/>
      <c r="O357" s="171"/>
      <c r="P357" s="171"/>
      <c r="Q357" s="171"/>
      <c r="R357" s="171"/>
      <c r="S357" s="171"/>
      <c r="T357" s="171"/>
      <c r="U357" s="171"/>
      <c r="V357" s="171"/>
      <c r="W357" s="171"/>
      <c r="X357" s="161"/>
      <c r="Y357" s="161"/>
      <c r="Z357" s="161"/>
      <c r="AA357" s="161"/>
      <c r="AB357" s="161"/>
      <c r="AC357" s="171"/>
      <c r="AD357" s="198"/>
    </row>
    <row r="358">
      <c r="A358" s="169"/>
      <c r="B358" s="169"/>
      <c r="C358" s="161"/>
      <c r="D358" s="229"/>
      <c r="E358" s="161"/>
      <c r="F358" s="161"/>
      <c r="G358" s="161"/>
      <c r="H358" s="171"/>
      <c r="I358" s="171"/>
      <c r="J358" s="171"/>
      <c r="K358" s="171"/>
      <c r="L358" s="171"/>
      <c r="M358" s="171"/>
      <c r="N358" s="171"/>
      <c r="O358" s="171"/>
      <c r="P358" s="171"/>
      <c r="Q358" s="171"/>
      <c r="R358" s="171"/>
      <c r="S358" s="171"/>
      <c r="T358" s="171"/>
      <c r="U358" s="171"/>
      <c r="V358" s="171"/>
      <c r="W358" s="171"/>
      <c r="X358" s="161"/>
      <c r="Y358" s="161"/>
      <c r="Z358" s="161"/>
      <c r="AA358" s="161"/>
      <c r="AB358" s="161"/>
      <c r="AC358" s="171"/>
      <c r="AD358" s="198"/>
    </row>
    <row r="359">
      <c r="A359" s="169"/>
      <c r="B359" s="169"/>
      <c r="C359" s="161"/>
      <c r="D359" s="229"/>
      <c r="E359" s="161"/>
      <c r="F359" s="161"/>
      <c r="G359" s="161"/>
      <c r="H359" s="171"/>
      <c r="I359" s="171"/>
      <c r="J359" s="171"/>
      <c r="K359" s="171"/>
      <c r="L359" s="171"/>
      <c r="M359" s="171"/>
      <c r="N359" s="171"/>
      <c r="O359" s="171"/>
      <c r="P359" s="171"/>
      <c r="Q359" s="171"/>
      <c r="R359" s="171"/>
      <c r="S359" s="171"/>
      <c r="T359" s="171"/>
      <c r="U359" s="171"/>
      <c r="V359" s="171"/>
      <c r="W359" s="171"/>
      <c r="X359" s="161"/>
      <c r="Y359" s="161"/>
      <c r="Z359" s="161"/>
      <c r="AA359" s="161"/>
      <c r="AB359" s="161"/>
      <c r="AC359" s="171"/>
      <c r="AD359" s="198"/>
    </row>
    <row r="360">
      <c r="A360" s="169"/>
      <c r="B360" s="169"/>
      <c r="C360" s="161"/>
      <c r="D360" s="229"/>
      <c r="E360" s="161"/>
      <c r="F360" s="161"/>
      <c r="G360" s="161"/>
      <c r="H360" s="171"/>
      <c r="I360" s="171"/>
      <c r="J360" s="171"/>
      <c r="K360" s="171"/>
      <c r="L360" s="171"/>
      <c r="M360" s="171"/>
      <c r="N360" s="171"/>
      <c r="O360" s="171"/>
      <c r="P360" s="171"/>
      <c r="Q360" s="171"/>
      <c r="R360" s="171"/>
      <c r="S360" s="171"/>
      <c r="T360" s="171"/>
      <c r="U360" s="171"/>
      <c r="V360" s="171"/>
      <c r="W360" s="171"/>
      <c r="X360" s="161"/>
      <c r="Y360" s="161"/>
      <c r="Z360" s="161"/>
      <c r="AA360" s="161"/>
      <c r="AB360" s="161"/>
      <c r="AC360" s="171"/>
      <c r="AD360" s="198"/>
    </row>
    <row r="361">
      <c r="A361" s="169"/>
      <c r="B361" s="169"/>
      <c r="C361" s="161"/>
      <c r="D361" s="229"/>
      <c r="E361" s="161"/>
      <c r="F361" s="161"/>
      <c r="G361" s="161"/>
      <c r="H361" s="171"/>
      <c r="I361" s="171"/>
      <c r="J361" s="171"/>
      <c r="K361" s="171"/>
      <c r="L361" s="171"/>
      <c r="M361" s="171"/>
      <c r="N361" s="171"/>
      <c r="O361" s="171"/>
      <c r="P361" s="171"/>
      <c r="Q361" s="171"/>
      <c r="R361" s="171"/>
      <c r="S361" s="171"/>
      <c r="T361" s="171"/>
      <c r="U361" s="171"/>
      <c r="V361" s="171"/>
      <c r="W361" s="171"/>
      <c r="X361" s="161"/>
      <c r="Y361" s="161"/>
      <c r="Z361" s="161"/>
      <c r="AA361" s="161"/>
      <c r="AB361" s="161"/>
      <c r="AC361" s="171"/>
      <c r="AD361" s="198"/>
    </row>
    <row r="362">
      <c r="A362" s="169"/>
      <c r="B362" s="169"/>
      <c r="C362" s="161"/>
      <c r="D362" s="229"/>
      <c r="E362" s="161"/>
      <c r="F362" s="161"/>
      <c r="G362" s="161"/>
      <c r="H362" s="171"/>
      <c r="I362" s="171"/>
      <c r="J362" s="171"/>
      <c r="K362" s="171"/>
      <c r="L362" s="171"/>
      <c r="M362" s="171"/>
      <c r="N362" s="171"/>
      <c r="O362" s="171"/>
      <c r="P362" s="171"/>
      <c r="Q362" s="171"/>
      <c r="R362" s="171"/>
      <c r="S362" s="171"/>
      <c r="T362" s="171"/>
      <c r="U362" s="171"/>
      <c r="V362" s="171"/>
      <c r="W362" s="171"/>
      <c r="X362" s="161"/>
      <c r="Y362" s="161"/>
      <c r="Z362" s="161"/>
      <c r="AA362" s="161"/>
      <c r="AB362" s="161"/>
      <c r="AC362" s="171"/>
      <c r="AD362" s="198"/>
    </row>
    <row r="363">
      <c r="A363" s="169"/>
      <c r="B363" s="169"/>
      <c r="C363" s="161"/>
      <c r="D363" s="229"/>
      <c r="E363" s="161"/>
      <c r="F363" s="161"/>
      <c r="G363" s="161"/>
      <c r="H363" s="171"/>
      <c r="I363" s="171"/>
      <c r="J363" s="171"/>
      <c r="K363" s="171"/>
      <c r="L363" s="171"/>
      <c r="M363" s="171"/>
      <c r="N363" s="171"/>
      <c r="O363" s="171"/>
      <c r="P363" s="171"/>
      <c r="Q363" s="171"/>
      <c r="R363" s="171"/>
      <c r="S363" s="171"/>
      <c r="T363" s="171"/>
      <c r="U363" s="171"/>
      <c r="V363" s="171"/>
      <c r="W363" s="171"/>
      <c r="X363" s="161"/>
      <c r="Y363" s="161"/>
      <c r="Z363" s="161"/>
      <c r="AA363" s="161"/>
      <c r="AB363" s="161"/>
      <c r="AC363" s="171"/>
      <c r="AD363" s="198"/>
    </row>
    <row r="364">
      <c r="A364" s="169"/>
      <c r="B364" s="169"/>
      <c r="C364" s="161"/>
      <c r="D364" s="229"/>
      <c r="E364" s="161"/>
      <c r="F364" s="161"/>
      <c r="G364" s="161"/>
      <c r="H364" s="171"/>
      <c r="I364" s="171"/>
      <c r="J364" s="171"/>
      <c r="K364" s="171"/>
      <c r="L364" s="171"/>
      <c r="M364" s="171"/>
      <c r="N364" s="171"/>
      <c r="O364" s="171"/>
      <c r="P364" s="171"/>
      <c r="Q364" s="171"/>
      <c r="R364" s="171"/>
      <c r="S364" s="171"/>
      <c r="T364" s="171"/>
      <c r="U364" s="171"/>
      <c r="V364" s="171"/>
      <c r="W364" s="171"/>
      <c r="X364" s="161"/>
      <c r="Y364" s="161"/>
      <c r="Z364" s="161"/>
      <c r="AA364" s="161"/>
      <c r="AB364" s="161"/>
      <c r="AC364" s="171"/>
      <c r="AD364" s="198"/>
    </row>
    <row r="365">
      <c r="A365" s="169"/>
      <c r="B365" s="169"/>
      <c r="C365" s="161"/>
      <c r="D365" s="229"/>
      <c r="E365" s="161"/>
      <c r="F365" s="161"/>
      <c r="G365" s="161"/>
      <c r="H365" s="171"/>
      <c r="I365" s="171"/>
      <c r="J365" s="171"/>
      <c r="K365" s="171"/>
      <c r="L365" s="171"/>
      <c r="M365" s="171"/>
      <c r="N365" s="171"/>
      <c r="O365" s="171"/>
      <c r="P365" s="171"/>
      <c r="Q365" s="171"/>
      <c r="R365" s="171"/>
      <c r="S365" s="171"/>
      <c r="T365" s="171"/>
      <c r="U365" s="171"/>
      <c r="V365" s="171"/>
      <c r="W365" s="171"/>
      <c r="X365" s="161"/>
      <c r="Y365" s="161"/>
      <c r="Z365" s="161"/>
      <c r="AA365" s="161"/>
      <c r="AB365" s="161"/>
      <c r="AC365" s="171"/>
      <c r="AD365" s="198"/>
    </row>
    <row r="366">
      <c r="A366" s="169"/>
      <c r="B366" s="169"/>
      <c r="C366" s="161"/>
      <c r="D366" s="229"/>
      <c r="E366" s="161"/>
      <c r="F366" s="161"/>
      <c r="G366" s="161"/>
      <c r="H366" s="171"/>
      <c r="I366" s="171"/>
      <c r="J366" s="171"/>
      <c r="K366" s="171"/>
      <c r="L366" s="171"/>
      <c r="M366" s="171"/>
      <c r="N366" s="171"/>
      <c r="O366" s="171"/>
      <c r="P366" s="171"/>
      <c r="Q366" s="171"/>
      <c r="R366" s="171"/>
      <c r="S366" s="171"/>
      <c r="T366" s="171"/>
      <c r="U366" s="171"/>
      <c r="V366" s="171"/>
      <c r="W366" s="171"/>
      <c r="X366" s="161"/>
      <c r="Y366" s="161"/>
      <c r="Z366" s="161"/>
      <c r="AA366" s="161"/>
      <c r="AB366" s="161"/>
      <c r="AC366" s="171"/>
      <c r="AD366" s="198"/>
    </row>
    <row r="367">
      <c r="A367" s="169"/>
      <c r="B367" s="169"/>
      <c r="C367" s="161"/>
      <c r="D367" s="229"/>
      <c r="E367" s="161"/>
      <c r="F367" s="161"/>
      <c r="G367" s="161"/>
      <c r="H367" s="171"/>
      <c r="I367" s="171"/>
      <c r="J367" s="171"/>
      <c r="K367" s="171"/>
      <c r="L367" s="171"/>
      <c r="M367" s="171"/>
      <c r="N367" s="171"/>
      <c r="O367" s="171"/>
      <c r="P367" s="171"/>
      <c r="Q367" s="171"/>
      <c r="R367" s="171"/>
      <c r="S367" s="171"/>
      <c r="T367" s="171"/>
      <c r="U367" s="171"/>
      <c r="V367" s="171"/>
      <c r="W367" s="171"/>
      <c r="X367" s="161"/>
      <c r="Y367" s="161"/>
      <c r="Z367" s="161"/>
      <c r="AA367" s="161"/>
      <c r="AB367" s="161"/>
      <c r="AC367" s="171"/>
      <c r="AD367" s="198"/>
    </row>
    <row r="368">
      <c r="A368" s="169"/>
      <c r="B368" s="169"/>
      <c r="C368" s="161"/>
      <c r="D368" s="229"/>
      <c r="E368" s="161"/>
      <c r="F368" s="161"/>
      <c r="G368" s="161"/>
      <c r="H368" s="171"/>
      <c r="I368" s="171"/>
      <c r="J368" s="171"/>
      <c r="K368" s="171"/>
      <c r="L368" s="171"/>
      <c r="M368" s="171"/>
      <c r="N368" s="171"/>
      <c r="O368" s="171"/>
      <c r="P368" s="171"/>
      <c r="Q368" s="171"/>
      <c r="R368" s="171"/>
      <c r="S368" s="171"/>
      <c r="T368" s="171"/>
      <c r="U368" s="171"/>
      <c r="V368" s="171"/>
      <c r="W368" s="171"/>
      <c r="X368" s="161"/>
      <c r="Y368" s="161"/>
      <c r="Z368" s="161"/>
      <c r="AA368" s="161"/>
      <c r="AB368" s="161"/>
      <c r="AC368" s="171"/>
      <c r="AD368" s="198"/>
    </row>
    <row r="369">
      <c r="A369" s="169"/>
      <c r="B369" s="169"/>
      <c r="C369" s="161"/>
      <c r="D369" s="229"/>
      <c r="E369" s="161"/>
      <c r="F369" s="161"/>
      <c r="G369" s="161"/>
      <c r="H369" s="171"/>
      <c r="I369" s="171"/>
      <c r="J369" s="171"/>
      <c r="K369" s="171"/>
      <c r="L369" s="171"/>
      <c r="M369" s="171"/>
      <c r="N369" s="171"/>
      <c r="O369" s="171"/>
      <c r="P369" s="171"/>
      <c r="Q369" s="171"/>
      <c r="R369" s="171"/>
      <c r="S369" s="171"/>
      <c r="T369" s="171"/>
      <c r="U369" s="171"/>
      <c r="V369" s="171"/>
      <c r="W369" s="171"/>
      <c r="X369" s="161"/>
      <c r="Y369" s="161"/>
      <c r="Z369" s="161"/>
      <c r="AA369" s="161"/>
      <c r="AB369" s="161"/>
      <c r="AC369" s="171"/>
      <c r="AD369" s="198"/>
    </row>
    <row r="370">
      <c r="A370" s="169"/>
      <c r="B370" s="169"/>
      <c r="C370" s="161"/>
      <c r="D370" s="229"/>
      <c r="E370" s="161"/>
      <c r="F370" s="161"/>
      <c r="G370" s="161"/>
      <c r="H370" s="171"/>
      <c r="I370" s="171"/>
      <c r="J370" s="171"/>
      <c r="K370" s="171"/>
      <c r="L370" s="171"/>
      <c r="M370" s="171"/>
      <c r="N370" s="171"/>
      <c r="O370" s="171"/>
      <c r="P370" s="171"/>
      <c r="Q370" s="171"/>
      <c r="R370" s="171"/>
      <c r="S370" s="171"/>
      <c r="T370" s="171"/>
      <c r="U370" s="171"/>
      <c r="V370" s="171"/>
      <c r="W370" s="171"/>
      <c r="X370" s="161"/>
      <c r="Y370" s="161"/>
      <c r="Z370" s="161"/>
      <c r="AA370" s="161"/>
      <c r="AB370" s="161"/>
      <c r="AC370" s="171"/>
      <c r="AD370" s="198"/>
    </row>
    <row r="371">
      <c r="A371" s="169"/>
      <c r="B371" s="169"/>
      <c r="C371" s="161"/>
      <c r="D371" s="229"/>
      <c r="E371" s="161"/>
      <c r="F371" s="161"/>
      <c r="G371" s="161"/>
      <c r="H371" s="171"/>
      <c r="I371" s="171"/>
      <c r="J371" s="171"/>
      <c r="K371" s="171"/>
      <c r="L371" s="171"/>
      <c r="M371" s="171"/>
      <c r="N371" s="171"/>
      <c r="O371" s="171"/>
      <c r="P371" s="171"/>
      <c r="Q371" s="171"/>
      <c r="R371" s="171"/>
      <c r="S371" s="171"/>
      <c r="T371" s="171"/>
      <c r="U371" s="171"/>
      <c r="V371" s="171"/>
      <c r="W371" s="171"/>
      <c r="X371" s="161"/>
      <c r="Y371" s="161"/>
      <c r="Z371" s="161"/>
      <c r="AA371" s="161"/>
      <c r="AB371" s="161"/>
      <c r="AC371" s="171"/>
      <c r="AD371" s="198"/>
    </row>
    <row r="372">
      <c r="A372" s="169"/>
      <c r="B372" s="169"/>
      <c r="C372" s="161"/>
      <c r="D372" s="229"/>
      <c r="E372" s="161"/>
      <c r="F372" s="161"/>
      <c r="G372" s="161"/>
      <c r="H372" s="171"/>
      <c r="I372" s="171"/>
      <c r="J372" s="171"/>
      <c r="K372" s="171"/>
      <c r="L372" s="171"/>
      <c r="M372" s="171"/>
      <c r="N372" s="171"/>
      <c r="O372" s="171"/>
      <c r="P372" s="171"/>
      <c r="Q372" s="171"/>
      <c r="R372" s="171"/>
      <c r="S372" s="171"/>
      <c r="T372" s="171"/>
      <c r="U372" s="171"/>
      <c r="V372" s="171"/>
      <c r="W372" s="171"/>
      <c r="X372" s="161"/>
      <c r="Y372" s="161"/>
      <c r="Z372" s="161"/>
      <c r="AA372" s="161"/>
      <c r="AB372" s="161"/>
      <c r="AC372" s="171"/>
      <c r="AD372" s="198"/>
    </row>
    <row r="373">
      <c r="A373" s="169"/>
      <c r="B373" s="169"/>
      <c r="C373" s="161"/>
      <c r="D373" s="229"/>
      <c r="E373" s="161"/>
      <c r="F373" s="161"/>
      <c r="G373" s="161"/>
      <c r="H373" s="171"/>
      <c r="I373" s="171"/>
      <c r="J373" s="171"/>
      <c r="K373" s="171"/>
      <c r="L373" s="171"/>
      <c r="M373" s="171"/>
      <c r="N373" s="171"/>
      <c r="O373" s="171"/>
      <c r="P373" s="171"/>
      <c r="Q373" s="171"/>
      <c r="R373" s="171"/>
      <c r="S373" s="171"/>
      <c r="T373" s="171"/>
      <c r="U373" s="171"/>
      <c r="V373" s="171"/>
      <c r="W373" s="171"/>
      <c r="X373" s="161"/>
      <c r="Y373" s="161"/>
      <c r="Z373" s="161"/>
      <c r="AA373" s="161"/>
      <c r="AB373" s="161"/>
      <c r="AC373" s="171"/>
      <c r="AD373" s="198"/>
    </row>
    <row r="374">
      <c r="A374" s="169"/>
      <c r="B374" s="169"/>
      <c r="C374" s="161"/>
      <c r="D374" s="229"/>
      <c r="E374" s="161"/>
      <c r="F374" s="161"/>
      <c r="G374" s="161"/>
      <c r="H374" s="171"/>
      <c r="I374" s="171"/>
      <c r="J374" s="171"/>
      <c r="K374" s="171"/>
      <c r="L374" s="171"/>
      <c r="M374" s="171"/>
      <c r="N374" s="171"/>
      <c r="O374" s="171"/>
      <c r="P374" s="171"/>
      <c r="Q374" s="171"/>
      <c r="R374" s="171"/>
      <c r="S374" s="171"/>
      <c r="T374" s="171"/>
      <c r="U374" s="171"/>
      <c r="V374" s="171"/>
      <c r="W374" s="171"/>
      <c r="X374" s="161"/>
      <c r="Y374" s="161"/>
      <c r="Z374" s="161"/>
      <c r="AA374" s="161"/>
      <c r="AB374" s="161"/>
      <c r="AC374" s="171"/>
      <c r="AD374" s="198"/>
    </row>
    <row r="375">
      <c r="A375" s="169"/>
      <c r="B375" s="169"/>
      <c r="C375" s="161"/>
      <c r="D375" s="229"/>
      <c r="E375" s="161"/>
      <c r="F375" s="161"/>
      <c r="G375" s="161"/>
      <c r="H375" s="171"/>
      <c r="I375" s="171"/>
      <c r="J375" s="171"/>
      <c r="K375" s="171"/>
      <c r="L375" s="171"/>
      <c r="M375" s="171"/>
      <c r="N375" s="171"/>
      <c r="O375" s="171"/>
      <c r="P375" s="171"/>
      <c r="Q375" s="171"/>
      <c r="R375" s="171"/>
      <c r="S375" s="171"/>
      <c r="T375" s="171"/>
      <c r="U375" s="171"/>
      <c r="V375" s="171"/>
      <c r="W375" s="171"/>
      <c r="X375" s="161"/>
      <c r="Y375" s="161"/>
      <c r="Z375" s="161"/>
      <c r="AA375" s="161"/>
      <c r="AB375" s="161"/>
      <c r="AC375" s="171"/>
      <c r="AD375" s="198"/>
    </row>
    <row r="376">
      <c r="A376" s="169"/>
      <c r="B376" s="169"/>
      <c r="C376" s="161"/>
      <c r="D376" s="229"/>
      <c r="E376" s="161"/>
      <c r="F376" s="161"/>
      <c r="G376" s="161"/>
      <c r="H376" s="171"/>
      <c r="I376" s="171"/>
      <c r="J376" s="171"/>
      <c r="K376" s="171"/>
      <c r="L376" s="171"/>
      <c r="M376" s="171"/>
      <c r="N376" s="171"/>
      <c r="O376" s="171"/>
      <c r="P376" s="171"/>
      <c r="Q376" s="171"/>
      <c r="R376" s="171"/>
      <c r="S376" s="171"/>
      <c r="T376" s="171"/>
      <c r="U376" s="171"/>
      <c r="V376" s="171"/>
      <c r="W376" s="171"/>
      <c r="X376" s="161"/>
      <c r="Y376" s="161"/>
      <c r="Z376" s="161"/>
      <c r="AA376" s="161"/>
      <c r="AB376" s="161"/>
      <c r="AC376" s="171"/>
      <c r="AD376" s="198"/>
    </row>
    <row r="377">
      <c r="A377" s="169"/>
      <c r="B377" s="169"/>
      <c r="C377" s="161"/>
      <c r="D377" s="229"/>
      <c r="E377" s="161"/>
      <c r="F377" s="161"/>
      <c r="G377" s="161"/>
      <c r="H377" s="171"/>
      <c r="I377" s="171"/>
      <c r="J377" s="171"/>
      <c r="K377" s="171"/>
      <c r="L377" s="171"/>
      <c r="M377" s="171"/>
      <c r="N377" s="171"/>
      <c r="O377" s="171"/>
      <c r="P377" s="171"/>
      <c r="Q377" s="171"/>
      <c r="R377" s="171"/>
      <c r="S377" s="171"/>
      <c r="T377" s="171"/>
      <c r="U377" s="171"/>
      <c r="V377" s="171"/>
      <c r="W377" s="171"/>
      <c r="X377" s="161"/>
      <c r="Y377" s="161"/>
      <c r="Z377" s="161"/>
      <c r="AA377" s="161"/>
      <c r="AB377" s="161"/>
      <c r="AC377" s="171"/>
      <c r="AD377" s="198"/>
    </row>
    <row r="378">
      <c r="A378" s="169"/>
      <c r="B378" s="169"/>
      <c r="C378" s="161"/>
      <c r="D378" s="229"/>
      <c r="E378" s="161"/>
      <c r="F378" s="161"/>
      <c r="G378" s="161"/>
      <c r="H378" s="171"/>
      <c r="I378" s="171"/>
      <c r="J378" s="171"/>
      <c r="K378" s="171"/>
      <c r="L378" s="171"/>
      <c r="M378" s="171"/>
      <c r="N378" s="171"/>
      <c r="O378" s="171"/>
      <c r="P378" s="171"/>
      <c r="Q378" s="171"/>
      <c r="R378" s="171"/>
      <c r="S378" s="171"/>
      <c r="T378" s="171"/>
      <c r="U378" s="171"/>
      <c r="V378" s="171"/>
      <c r="W378" s="171"/>
      <c r="X378" s="161"/>
      <c r="Y378" s="161"/>
      <c r="Z378" s="161"/>
      <c r="AA378" s="161"/>
      <c r="AB378" s="161"/>
      <c r="AC378" s="171"/>
      <c r="AD378" s="198"/>
    </row>
    <row r="379">
      <c r="A379" s="169"/>
      <c r="B379" s="169"/>
      <c r="C379" s="161"/>
      <c r="D379" s="229"/>
      <c r="E379" s="161"/>
      <c r="F379" s="161"/>
      <c r="G379" s="161"/>
      <c r="H379" s="171"/>
      <c r="I379" s="171"/>
      <c r="J379" s="171"/>
      <c r="K379" s="171"/>
      <c r="L379" s="171"/>
      <c r="M379" s="171"/>
      <c r="N379" s="171"/>
      <c r="O379" s="171"/>
      <c r="P379" s="171"/>
      <c r="Q379" s="171"/>
      <c r="R379" s="171"/>
      <c r="S379" s="171"/>
      <c r="T379" s="171"/>
      <c r="U379" s="171"/>
      <c r="V379" s="171"/>
      <c r="W379" s="171"/>
      <c r="X379" s="161"/>
      <c r="Y379" s="161"/>
      <c r="Z379" s="161"/>
      <c r="AA379" s="161"/>
      <c r="AB379" s="161"/>
      <c r="AC379" s="171"/>
      <c r="AD379" s="198"/>
    </row>
    <row r="380">
      <c r="A380" s="169"/>
      <c r="B380" s="169"/>
      <c r="C380" s="161"/>
      <c r="D380" s="229"/>
      <c r="E380" s="161"/>
      <c r="F380" s="161"/>
      <c r="G380" s="161"/>
      <c r="H380" s="171"/>
      <c r="I380" s="171"/>
      <c r="J380" s="171"/>
      <c r="K380" s="171"/>
      <c r="L380" s="171"/>
      <c r="M380" s="171"/>
      <c r="N380" s="171"/>
      <c r="O380" s="171"/>
      <c r="P380" s="171"/>
      <c r="Q380" s="171"/>
      <c r="R380" s="171"/>
      <c r="S380" s="171"/>
      <c r="T380" s="171"/>
      <c r="U380" s="171"/>
      <c r="V380" s="171"/>
      <c r="W380" s="171"/>
      <c r="X380" s="161"/>
      <c r="Y380" s="161"/>
      <c r="Z380" s="161"/>
      <c r="AA380" s="161"/>
      <c r="AB380" s="161"/>
      <c r="AC380" s="171"/>
      <c r="AD380" s="198"/>
    </row>
    <row r="381">
      <c r="A381" s="169"/>
      <c r="B381" s="169"/>
      <c r="C381" s="161"/>
      <c r="D381" s="229"/>
      <c r="E381" s="161"/>
      <c r="F381" s="161"/>
      <c r="G381" s="161"/>
      <c r="H381" s="171"/>
      <c r="I381" s="171"/>
      <c r="J381" s="171"/>
      <c r="K381" s="171"/>
      <c r="L381" s="171"/>
      <c r="M381" s="171"/>
      <c r="N381" s="171"/>
      <c r="O381" s="171"/>
      <c r="P381" s="171"/>
      <c r="Q381" s="171"/>
      <c r="R381" s="171"/>
      <c r="S381" s="171"/>
      <c r="T381" s="171"/>
      <c r="U381" s="171"/>
      <c r="V381" s="171"/>
      <c r="W381" s="171"/>
      <c r="X381" s="161"/>
      <c r="Y381" s="161"/>
      <c r="Z381" s="161"/>
      <c r="AA381" s="161"/>
      <c r="AB381" s="161"/>
      <c r="AC381" s="171"/>
      <c r="AD381" s="198"/>
    </row>
    <row r="382">
      <c r="A382" s="169"/>
      <c r="B382" s="169"/>
      <c r="C382" s="161"/>
      <c r="D382" s="229"/>
      <c r="E382" s="161"/>
      <c r="F382" s="161"/>
      <c r="G382" s="161"/>
      <c r="H382" s="171"/>
      <c r="I382" s="171"/>
      <c r="J382" s="171"/>
      <c r="K382" s="171"/>
      <c r="L382" s="171"/>
      <c r="M382" s="171"/>
      <c r="N382" s="171"/>
      <c r="O382" s="171"/>
      <c r="P382" s="171"/>
      <c r="Q382" s="171"/>
      <c r="R382" s="171"/>
      <c r="S382" s="171"/>
      <c r="T382" s="171"/>
      <c r="U382" s="171"/>
      <c r="V382" s="171"/>
      <c r="W382" s="171"/>
      <c r="X382" s="161"/>
      <c r="Y382" s="161"/>
      <c r="Z382" s="161"/>
      <c r="AA382" s="161"/>
      <c r="AB382" s="161"/>
      <c r="AC382" s="171"/>
      <c r="AD382" s="198"/>
    </row>
    <row r="383">
      <c r="A383" s="169"/>
      <c r="B383" s="169"/>
      <c r="C383" s="161"/>
      <c r="D383" s="229"/>
      <c r="E383" s="161"/>
      <c r="F383" s="161"/>
      <c r="G383" s="161"/>
      <c r="H383" s="171"/>
      <c r="I383" s="171"/>
      <c r="J383" s="171"/>
      <c r="K383" s="171"/>
      <c r="L383" s="171"/>
      <c r="M383" s="171"/>
      <c r="N383" s="171"/>
      <c r="O383" s="171"/>
      <c r="P383" s="171"/>
      <c r="Q383" s="171"/>
      <c r="R383" s="171"/>
      <c r="S383" s="171"/>
      <c r="T383" s="171"/>
      <c r="U383" s="171"/>
      <c r="V383" s="171"/>
      <c r="W383" s="171"/>
      <c r="X383" s="161"/>
      <c r="Y383" s="161"/>
      <c r="Z383" s="161"/>
      <c r="AA383" s="161"/>
      <c r="AB383" s="161"/>
      <c r="AC383" s="171"/>
      <c r="AD383" s="198"/>
    </row>
    <row r="384">
      <c r="A384" s="169"/>
      <c r="B384" s="169"/>
      <c r="C384" s="161"/>
      <c r="D384" s="229"/>
      <c r="E384" s="161"/>
      <c r="F384" s="161"/>
      <c r="G384" s="161"/>
      <c r="H384" s="171"/>
      <c r="I384" s="171"/>
      <c r="J384" s="171"/>
      <c r="K384" s="171"/>
      <c r="L384" s="171"/>
      <c r="M384" s="171"/>
      <c r="N384" s="171"/>
      <c r="O384" s="171"/>
      <c r="P384" s="171"/>
      <c r="Q384" s="171"/>
      <c r="R384" s="171"/>
      <c r="S384" s="171"/>
      <c r="T384" s="171"/>
      <c r="U384" s="171"/>
      <c r="V384" s="171"/>
      <c r="W384" s="171"/>
      <c r="X384" s="161"/>
      <c r="Y384" s="161"/>
      <c r="Z384" s="161"/>
      <c r="AA384" s="161"/>
      <c r="AB384" s="161"/>
      <c r="AC384" s="171"/>
      <c r="AD384" s="198"/>
    </row>
    <row r="385">
      <c r="A385" s="169"/>
      <c r="B385" s="169"/>
      <c r="C385" s="161"/>
      <c r="D385" s="229"/>
      <c r="E385" s="161"/>
      <c r="F385" s="161"/>
      <c r="G385" s="161"/>
      <c r="H385" s="171"/>
      <c r="I385" s="171"/>
      <c r="J385" s="171"/>
      <c r="K385" s="171"/>
      <c r="L385" s="171"/>
      <c r="M385" s="171"/>
      <c r="N385" s="171"/>
      <c r="O385" s="171"/>
      <c r="P385" s="171"/>
      <c r="Q385" s="171"/>
      <c r="R385" s="171"/>
      <c r="S385" s="171"/>
      <c r="T385" s="171"/>
      <c r="U385" s="171"/>
      <c r="V385" s="171"/>
      <c r="W385" s="171"/>
      <c r="X385" s="161"/>
      <c r="Y385" s="161"/>
      <c r="Z385" s="161"/>
      <c r="AA385" s="161"/>
      <c r="AB385" s="161"/>
      <c r="AC385" s="171"/>
      <c r="AD385" s="198"/>
    </row>
    <row r="386">
      <c r="A386" s="169"/>
      <c r="B386" s="169"/>
      <c r="C386" s="161"/>
      <c r="D386" s="229"/>
      <c r="E386" s="161"/>
      <c r="F386" s="161"/>
      <c r="G386" s="161"/>
      <c r="H386" s="171"/>
      <c r="I386" s="171"/>
      <c r="J386" s="171"/>
      <c r="K386" s="171"/>
      <c r="L386" s="171"/>
      <c r="M386" s="171"/>
      <c r="N386" s="171"/>
      <c r="O386" s="171"/>
      <c r="P386" s="171"/>
      <c r="Q386" s="171"/>
      <c r="R386" s="171"/>
      <c r="S386" s="171"/>
      <c r="T386" s="171"/>
      <c r="U386" s="171"/>
      <c r="V386" s="171"/>
      <c r="W386" s="171"/>
      <c r="X386" s="161"/>
      <c r="Y386" s="161"/>
      <c r="Z386" s="161"/>
      <c r="AA386" s="161"/>
      <c r="AB386" s="161"/>
      <c r="AC386" s="171"/>
      <c r="AD386" s="198"/>
    </row>
    <row r="387">
      <c r="A387" s="169"/>
      <c r="B387" s="169"/>
      <c r="C387" s="161"/>
      <c r="D387" s="229"/>
      <c r="E387" s="161"/>
      <c r="F387" s="161"/>
      <c r="G387" s="161"/>
      <c r="H387" s="171"/>
      <c r="I387" s="171"/>
      <c r="J387" s="171"/>
      <c r="K387" s="171"/>
      <c r="L387" s="171"/>
      <c r="M387" s="171"/>
      <c r="N387" s="171"/>
      <c r="O387" s="171"/>
      <c r="P387" s="171"/>
      <c r="Q387" s="171"/>
      <c r="R387" s="171"/>
      <c r="S387" s="171"/>
      <c r="T387" s="171"/>
      <c r="U387" s="171"/>
      <c r="V387" s="171"/>
      <c r="W387" s="171"/>
      <c r="X387" s="161"/>
      <c r="Y387" s="161"/>
      <c r="Z387" s="161"/>
      <c r="AA387" s="161"/>
      <c r="AB387" s="161"/>
      <c r="AC387" s="171"/>
      <c r="AD387" s="198"/>
    </row>
    <row r="388">
      <c r="A388" s="169"/>
      <c r="B388" s="169"/>
      <c r="C388" s="161"/>
      <c r="D388" s="229"/>
      <c r="E388" s="161"/>
      <c r="F388" s="161"/>
      <c r="G388" s="161"/>
      <c r="H388" s="171"/>
      <c r="I388" s="171"/>
      <c r="J388" s="171"/>
      <c r="K388" s="171"/>
      <c r="L388" s="171"/>
      <c r="M388" s="171"/>
      <c r="N388" s="171"/>
      <c r="O388" s="171"/>
      <c r="P388" s="171"/>
      <c r="Q388" s="171"/>
      <c r="R388" s="171"/>
      <c r="S388" s="171"/>
      <c r="T388" s="171"/>
      <c r="U388" s="171"/>
      <c r="V388" s="171"/>
      <c r="W388" s="171"/>
      <c r="X388" s="161"/>
      <c r="Y388" s="161"/>
      <c r="Z388" s="161"/>
      <c r="AA388" s="161"/>
      <c r="AB388" s="161"/>
      <c r="AC388" s="171"/>
      <c r="AD388" s="198"/>
    </row>
    <row r="389">
      <c r="A389" s="169"/>
      <c r="B389" s="169"/>
      <c r="C389" s="161"/>
      <c r="D389" s="229"/>
      <c r="E389" s="161"/>
      <c r="F389" s="161"/>
      <c r="G389" s="161"/>
      <c r="H389" s="171"/>
      <c r="I389" s="171"/>
      <c r="J389" s="171"/>
      <c r="K389" s="171"/>
      <c r="L389" s="171"/>
      <c r="M389" s="171"/>
      <c r="N389" s="171"/>
      <c r="O389" s="171"/>
      <c r="P389" s="171"/>
      <c r="Q389" s="171"/>
      <c r="R389" s="171"/>
      <c r="S389" s="171"/>
      <c r="T389" s="171"/>
      <c r="U389" s="171"/>
      <c r="V389" s="171"/>
      <c r="W389" s="171"/>
      <c r="X389" s="161"/>
      <c r="Y389" s="161"/>
      <c r="Z389" s="161"/>
      <c r="AA389" s="161"/>
      <c r="AB389" s="161"/>
      <c r="AC389" s="171"/>
      <c r="AD389" s="198"/>
    </row>
    <row r="390">
      <c r="A390" s="169"/>
      <c r="B390" s="169"/>
      <c r="C390" s="161"/>
      <c r="D390" s="229"/>
      <c r="E390" s="161"/>
      <c r="F390" s="161"/>
      <c r="G390" s="161"/>
      <c r="H390" s="171"/>
      <c r="I390" s="171"/>
      <c r="J390" s="171"/>
      <c r="K390" s="171"/>
      <c r="L390" s="171"/>
      <c r="M390" s="171"/>
      <c r="N390" s="171"/>
      <c r="O390" s="171"/>
      <c r="P390" s="171"/>
      <c r="Q390" s="171"/>
      <c r="R390" s="171"/>
      <c r="S390" s="171"/>
      <c r="T390" s="171"/>
      <c r="U390" s="171"/>
      <c r="V390" s="171"/>
      <c r="W390" s="171"/>
      <c r="X390" s="161"/>
      <c r="Y390" s="161"/>
      <c r="Z390" s="161"/>
      <c r="AA390" s="161"/>
      <c r="AB390" s="161"/>
      <c r="AC390" s="171"/>
      <c r="AD390" s="198"/>
    </row>
    <row r="391">
      <c r="A391" s="169"/>
      <c r="B391" s="169"/>
      <c r="C391" s="161"/>
      <c r="D391" s="229"/>
      <c r="E391" s="161"/>
      <c r="F391" s="161"/>
      <c r="G391" s="161"/>
      <c r="H391" s="171"/>
      <c r="I391" s="171"/>
      <c r="J391" s="171"/>
      <c r="K391" s="171"/>
      <c r="L391" s="171"/>
      <c r="M391" s="171"/>
      <c r="N391" s="171"/>
      <c r="O391" s="171"/>
      <c r="P391" s="171"/>
      <c r="Q391" s="171"/>
      <c r="R391" s="171"/>
      <c r="S391" s="171"/>
      <c r="T391" s="171"/>
      <c r="U391" s="171"/>
      <c r="V391" s="171"/>
      <c r="W391" s="171"/>
      <c r="X391" s="161"/>
      <c r="Y391" s="161"/>
      <c r="Z391" s="161"/>
      <c r="AA391" s="161"/>
      <c r="AB391" s="161"/>
      <c r="AC391" s="171"/>
      <c r="AD391" s="198"/>
    </row>
    <row r="392">
      <c r="A392" s="169"/>
      <c r="B392" s="169"/>
      <c r="C392" s="161"/>
      <c r="D392" s="229"/>
      <c r="E392" s="161"/>
      <c r="F392" s="161"/>
      <c r="G392" s="161"/>
      <c r="H392" s="171"/>
      <c r="I392" s="171"/>
      <c r="J392" s="171"/>
      <c r="K392" s="171"/>
      <c r="L392" s="171"/>
      <c r="M392" s="171"/>
      <c r="N392" s="171"/>
      <c r="O392" s="171"/>
      <c r="P392" s="171"/>
      <c r="Q392" s="171"/>
      <c r="R392" s="171"/>
      <c r="S392" s="171"/>
      <c r="T392" s="171"/>
      <c r="U392" s="171"/>
      <c r="V392" s="171"/>
      <c r="W392" s="171"/>
      <c r="X392" s="161"/>
      <c r="Y392" s="161"/>
      <c r="Z392" s="161"/>
      <c r="AA392" s="161"/>
      <c r="AB392" s="161"/>
      <c r="AC392" s="171"/>
      <c r="AD392" s="198"/>
    </row>
    <row r="393">
      <c r="A393" s="169"/>
      <c r="B393" s="169"/>
      <c r="C393" s="161"/>
      <c r="D393" s="229"/>
      <c r="E393" s="161"/>
      <c r="F393" s="161"/>
      <c r="G393" s="161"/>
      <c r="H393" s="171"/>
      <c r="I393" s="171"/>
      <c r="J393" s="171"/>
      <c r="K393" s="171"/>
      <c r="L393" s="171"/>
      <c r="M393" s="171"/>
      <c r="N393" s="171"/>
      <c r="O393" s="171"/>
      <c r="P393" s="171"/>
      <c r="Q393" s="171"/>
      <c r="R393" s="171"/>
      <c r="S393" s="171"/>
      <c r="T393" s="171"/>
      <c r="U393" s="171"/>
      <c r="V393" s="171"/>
      <c r="W393" s="171"/>
      <c r="X393" s="161"/>
      <c r="Y393" s="161"/>
      <c r="Z393" s="161"/>
      <c r="AA393" s="161"/>
      <c r="AB393" s="161"/>
      <c r="AC393" s="171"/>
      <c r="AD393" s="198"/>
    </row>
    <row r="394">
      <c r="A394" s="169"/>
      <c r="B394" s="169"/>
      <c r="C394" s="161"/>
      <c r="D394" s="229"/>
      <c r="E394" s="161"/>
      <c r="F394" s="161"/>
      <c r="G394" s="161"/>
      <c r="H394" s="171"/>
      <c r="I394" s="171"/>
      <c r="J394" s="171"/>
      <c r="K394" s="171"/>
      <c r="L394" s="171"/>
      <c r="M394" s="171"/>
      <c r="N394" s="171"/>
      <c r="O394" s="171"/>
      <c r="P394" s="171"/>
      <c r="Q394" s="171"/>
      <c r="R394" s="171"/>
      <c r="S394" s="171"/>
      <c r="T394" s="171"/>
      <c r="U394" s="171"/>
      <c r="V394" s="171"/>
      <c r="W394" s="171"/>
      <c r="X394" s="161"/>
      <c r="Y394" s="161"/>
      <c r="Z394" s="161"/>
      <c r="AA394" s="161"/>
      <c r="AB394" s="161"/>
      <c r="AC394" s="171"/>
      <c r="AD394" s="198"/>
    </row>
    <row r="395">
      <c r="A395" s="169"/>
      <c r="B395" s="169"/>
      <c r="C395" s="161"/>
      <c r="D395" s="229"/>
      <c r="E395" s="161"/>
      <c r="F395" s="161"/>
      <c r="G395" s="161"/>
      <c r="H395" s="171"/>
      <c r="I395" s="171"/>
      <c r="J395" s="171"/>
      <c r="K395" s="171"/>
      <c r="L395" s="171"/>
      <c r="M395" s="171"/>
      <c r="N395" s="171"/>
      <c r="O395" s="171"/>
      <c r="P395" s="171"/>
      <c r="Q395" s="171"/>
      <c r="R395" s="171"/>
      <c r="S395" s="171"/>
      <c r="T395" s="171"/>
      <c r="U395" s="171"/>
      <c r="V395" s="171"/>
      <c r="W395" s="171"/>
      <c r="X395" s="161"/>
      <c r="Y395" s="161"/>
      <c r="Z395" s="161"/>
      <c r="AA395" s="161"/>
      <c r="AB395" s="161"/>
      <c r="AC395" s="171"/>
      <c r="AD395" s="198"/>
    </row>
    <row r="396">
      <c r="A396" s="169"/>
      <c r="B396" s="169"/>
      <c r="C396" s="161"/>
      <c r="D396" s="229"/>
      <c r="E396" s="161"/>
      <c r="F396" s="161"/>
      <c r="G396" s="161"/>
      <c r="H396" s="171"/>
      <c r="I396" s="171"/>
      <c r="J396" s="171"/>
      <c r="K396" s="171"/>
      <c r="L396" s="171"/>
      <c r="M396" s="171"/>
      <c r="N396" s="171"/>
      <c r="O396" s="171"/>
      <c r="P396" s="171"/>
      <c r="Q396" s="171"/>
      <c r="R396" s="171"/>
      <c r="S396" s="171"/>
      <c r="T396" s="171"/>
      <c r="U396" s="171"/>
      <c r="V396" s="171"/>
      <c r="W396" s="171"/>
      <c r="X396" s="161"/>
      <c r="Y396" s="161"/>
      <c r="Z396" s="161"/>
      <c r="AA396" s="161"/>
      <c r="AB396" s="161"/>
      <c r="AC396" s="171"/>
      <c r="AD396" s="198"/>
    </row>
    <row r="397">
      <c r="A397" s="169"/>
      <c r="B397" s="169"/>
      <c r="C397" s="161"/>
      <c r="D397" s="229"/>
      <c r="E397" s="161"/>
      <c r="F397" s="161"/>
      <c r="G397" s="161"/>
      <c r="H397" s="171"/>
      <c r="I397" s="171"/>
      <c r="J397" s="171"/>
      <c r="K397" s="171"/>
      <c r="L397" s="171"/>
      <c r="M397" s="171"/>
      <c r="N397" s="171"/>
      <c r="O397" s="171"/>
      <c r="P397" s="171"/>
      <c r="Q397" s="171"/>
      <c r="R397" s="171"/>
      <c r="S397" s="171"/>
      <c r="T397" s="171"/>
      <c r="U397" s="171"/>
      <c r="V397" s="171"/>
      <c r="W397" s="171"/>
      <c r="X397" s="161"/>
      <c r="Y397" s="161"/>
      <c r="Z397" s="161"/>
      <c r="AA397" s="161"/>
      <c r="AB397" s="161"/>
      <c r="AC397" s="171"/>
      <c r="AD397" s="198"/>
    </row>
    <row r="398">
      <c r="A398" s="169"/>
      <c r="B398" s="169"/>
      <c r="C398" s="161"/>
      <c r="D398" s="229"/>
      <c r="E398" s="161"/>
      <c r="F398" s="161"/>
      <c r="G398" s="161"/>
      <c r="H398" s="171"/>
      <c r="I398" s="171"/>
      <c r="J398" s="171"/>
      <c r="K398" s="171"/>
      <c r="L398" s="171"/>
      <c r="M398" s="171"/>
      <c r="N398" s="171"/>
      <c r="O398" s="171"/>
      <c r="P398" s="171"/>
      <c r="Q398" s="171"/>
      <c r="R398" s="171"/>
      <c r="S398" s="171"/>
      <c r="T398" s="171"/>
      <c r="U398" s="171"/>
      <c r="V398" s="171"/>
      <c r="W398" s="171"/>
      <c r="X398" s="161"/>
      <c r="Y398" s="161"/>
      <c r="Z398" s="161"/>
      <c r="AA398" s="161"/>
      <c r="AB398" s="161"/>
      <c r="AC398" s="171"/>
      <c r="AD398" s="198"/>
    </row>
    <row r="399">
      <c r="A399" s="169"/>
      <c r="B399" s="169"/>
      <c r="C399" s="161"/>
      <c r="D399" s="229"/>
      <c r="E399" s="161"/>
      <c r="F399" s="161"/>
      <c r="G399" s="161"/>
      <c r="H399" s="171"/>
      <c r="I399" s="171"/>
      <c r="J399" s="171"/>
      <c r="K399" s="171"/>
      <c r="L399" s="171"/>
      <c r="M399" s="171"/>
      <c r="N399" s="171"/>
      <c r="O399" s="171"/>
      <c r="P399" s="171"/>
      <c r="Q399" s="171"/>
      <c r="R399" s="171"/>
      <c r="S399" s="171"/>
      <c r="T399" s="171"/>
      <c r="U399" s="171"/>
      <c r="V399" s="171"/>
      <c r="W399" s="171"/>
      <c r="X399" s="161"/>
      <c r="Y399" s="161"/>
      <c r="Z399" s="161"/>
      <c r="AA399" s="161"/>
      <c r="AB399" s="161"/>
      <c r="AC399" s="171"/>
      <c r="AD399" s="198"/>
    </row>
    <row r="400">
      <c r="A400" s="169"/>
      <c r="B400" s="169"/>
      <c r="C400" s="161"/>
      <c r="D400" s="229"/>
      <c r="E400" s="161"/>
      <c r="F400" s="161"/>
      <c r="G400" s="161"/>
      <c r="H400" s="171"/>
      <c r="I400" s="171"/>
      <c r="J400" s="171"/>
      <c r="K400" s="171"/>
      <c r="L400" s="171"/>
      <c r="M400" s="171"/>
      <c r="N400" s="171"/>
      <c r="O400" s="171"/>
      <c r="P400" s="171"/>
      <c r="Q400" s="171"/>
      <c r="R400" s="171"/>
      <c r="S400" s="171"/>
      <c r="T400" s="171"/>
      <c r="U400" s="171"/>
      <c r="V400" s="171"/>
      <c r="W400" s="171"/>
      <c r="X400" s="161"/>
      <c r="Y400" s="161"/>
      <c r="Z400" s="161"/>
      <c r="AA400" s="161"/>
      <c r="AB400" s="161"/>
      <c r="AC400" s="171"/>
      <c r="AD400" s="198"/>
    </row>
    <row r="401">
      <c r="A401" s="169"/>
      <c r="B401" s="169"/>
      <c r="C401" s="161"/>
      <c r="D401" s="229"/>
      <c r="E401" s="161"/>
      <c r="F401" s="161"/>
      <c r="G401" s="161"/>
      <c r="H401" s="171"/>
      <c r="I401" s="171"/>
      <c r="J401" s="171"/>
      <c r="K401" s="171"/>
      <c r="L401" s="171"/>
      <c r="M401" s="171"/>
      <c r="N401" s="171"/>
      <c r="O401" s="171"/>
      <c r="P401" s="171"/>
      <c r="Q401" s="171"/>
      <c r="R401" s="171"/>
      <c r="S401" s="171"/>
      <c r="T401" s="171"/>
      <c r="U401" s="171"/>
      <c r="V401" s="171"/>
      <c r="W401" s="171"/>
      <c r="X401" s="161"/>
      <c r="Y401" s="161"/>
      <c r="Z401" s="161"/>
      <c r="AA401" s="161"/>
      <c r="AB401" s="161"/>
      <c r="AC401" s="171"/>
      <c r="AD401" s="198"/>
    </row>
    <row r="402">
      <c r="A402" s="169"/>
      <c r="B402" s="169"/>
      <c r="C402" s="161"/>
      <c r="D402" s="229"/>
      <c r="E402" s="161"/>
      <c r="F402" s="161"/>
      <c r="G402" s="161"/>
      <c r="H402" s="171"/>
      <c r="I402" s="171"/>
      <c r="J402" s="171"/>
      <c r="K402" s="171"/>
      <c r="L402" s="171"/>
      <c r="M402" s="171"/>
      <c r="N402" s="171"/>
      <c r="O402" s="171"/>
      <c r="P402" s="171"/>
      <c r="Q402" s="171"/>
      <c r="R402" s="171"/>
      <c r="S402" s="171"/>
      <c r="T402" s="171"/>
      <c r="U402" s="171"/>
      <c r="V402" s="171"/>
      <c r="W402" s="171"/>
      <c r="X402" s="161"/>
      <c r="Y402" s="161"/>
      <c r="Z402" s="161"/>
      <c r="AA402" s="161"/>
      <c r="AB402" s="161"/>
      <c r="AC402" s="171"/>
      <c r="AD402" s="198"/>
    </row>
    <row r="403">
      <c r="A403" s="169"/>
      <c r="B403" s="169"/>
      <c r="C403" s="161"/>
      <c r="D403" s="229"/>
      <c r="E403" s="161"/>
      <c r="F403" s="161"/>
      <c r="G403" s="161"/>
      <c r="H403" s="171"/>
      <c r="I403" s="171"/>
      <c r="J403" s="171"/>
      <c r="K403" s="171"/>
      <c r="L403" s="171"/>
      <c r="M403" s="171"/>
      <c r="N403" s="171"/>
      <c r="O403" s="171"/>
      <c r="P403" s="171"/>
      <c r="Q403" s="171"/>
      <c r="R403" s="171"/>
      <c r="S403" s="171"/>
      <c r="T403" s="171"/>
      <c r="U403" s="171"/>
      <c r="V403" s="171"/>
      <c r="W403" s="171"/>
      <c r="X403" s="161"/>
      <c r="Y403" s="161"/>
      <c r="Z403" s="161"/>
      <c r="AA403" s="161"/>
      <c r="AB403" s="161"/>
      <c r="AC403" s="171"/>
      <c r="AD403" s="198"/>
    </row>
    <row r="404">
      <c r="A404" s="169"/>
      <c r="B404" s="169"/>
      <c r="C404" s="161"/>
      <c r="D404" s="229"/>
      <c r="E404" s="161"/>
      <c r="F404" s="161"/>
      <c r="G404" s="161"/>
      <c r="H404" s="171"/>
      <c r="I404" s="171"/>
      <c r="J404" s="171"/>
      <c r="K404" s="171"/>
      <c r="L404" s="171"/>
      <c r="M404" s="171"/>
      <c r="N404" s="171"/>
      <c r="O404" s="171"/>
      <c r="P404" s="171"/>
      <c r="Q404" s="171"/>
      <c r="R404" s="171"/>
      <c r="S404" s="171"/>
      <c r="T404" s="171"/>
      <c r="U404" s="171"/>
      <c r="V404" s="171"/>
      <c r="W404" s="171"/>
      <c r="X404" s="161"/>
      <c r="Y404" s="161"/>
      <c r="Z404" s="161"/>
      <c r="AA404" s="161"/>
      <c r="AB404" s="161"/>
      <c r="AC404" s="171"/>
      <c r="AD404" s="198"/>
    </row>
    <row r="405">
      <c r="A405" s="169"/>
      <c r="B405" s="169"/>
      <c r="C405" s="161"/>
      <c r="D405" s="229"/>
      <c r="E405" s="161"/>
      <c r="F405" s="161"/>
      <c r="G405" s="161"/>
      <c r="H405" s="171"/>
      <c r="I405" s="171"/>
      <c r="J405" s="171"/>
      <c r="K405" s="171"/>
      <c r="L405" s="171"/>
      <c r="M405" s="171"/>
      <c r="N405" s="171"/>
      <c r="O405" s="171"/>
      <c r="P405" s="171"/>
      <c r="Q405" s="171"/>
      <c r="R405" s="171"/>
      <c r="S405" s="171"/>
      <c r="T405" s="171"/>
      <c r="U405" s="171"/>
      <c r="V405" s="171"/>
      <c r="W405" s="171"/>
      <c r="X405" s="161"/>
      <c r="Y405" s="161"/>
      <c r="Z405" s="161"/>
      <c r="AA405" s="161"/>
      <c r="AB405" s="161"/>
      <c r="AC405" s="171"/>
      <c r="AD405" s="198"/>
    </row>
    <row r="406">
      <c r="A406" s="169"/>
      <c r="B406" s="169"/>
      <c r="C406" s="161"/>
      <c r="D406" s="229"/>
      <c r="E406" s="161"/>
      <c r="F406" s="161"/>
      <c r="G406" s="161"/>
      <c r="H406" s="171"/>
      <c r="I406" s="171"/>
      <c r="J406" s="171"/>
      <c r="K406" s="171"/>
      <c r="L406" s="171"/>
      <c r="M406" s="171"/>
      <c r="N406" s="171"/>
      <c r="O406" s="171"/>
      <c r="P406" s="171"/>
      <c r="Q406" s="171"/>
      <c r="R406" s="171"/>
      <c r="S406" s="171"/>
      <c r="T406" s="171"/>
      <c r="U406" s="171"/>
      <c r="V406" s="171"/>
      <c r="W406" s="171"/>
      <c r="X406" s="161"/>
      <c r="Y406" s="161"/>
      <c r="Z406" s="161"/>
      <c r="AA406" s="161"/>
      <c r="AB406" s="161"/>
      <c r="AC406" s="171"/>
      <c r="AD406" s="198"/>
    </row>
    <row r="407">
      <c r="A407" s="169"/>
      <c r="B407" s="169"/>
      <c r="C407" s="161"/>
      <c r="D407" s="229"/>
      <c r="E407" s="161"/>
      <c r="F407" s="161"/>
      <c r="G407" s="161"/>
      <c r="H407" s="171"/>
      <c r="I407" s="171"/>
      <c r="J407" s="171"/>
      <c r="K407" s="171"/>
      <c r="L407" s="171"/>
      <c r="M407" s="171"/>
      <c r="N407" s="171"/>
      <c r="O407" s="171"/>
      <c r="P407" s="171"/>
      <c r="Q407" s="171"/>
      <c r="R407" s="171"/>
      <c r="S407" s="171"/>
      <c r="T407" s="171"/>
      <c r="U407" s="171"/>
      <c r="V407" s="171"/>
      <c r="W407" s="171"/>
      <c r="X407" s="161"/>
      <c r="Y407" s="161"/>
      <c r="Z407" s="161"/>
      <c r="AA407" s="161"/>
      <c r="AB407" s="161"/>
      <c r="AC407" s="171"/>
      <c r="AD407" s="198"/>
    </row>
    <row r="408">
      <c r="A408" s="169"/>
      <c r="B408" s="169"/>
      <c r="C408" s="161"/>
      <c r="D408" s="229"/>
      <c r="E408" s="161"/>
      <c r="F408" s="161"/>
      <c r="G408" s="161"/>
      <c r="H408" s="171"/>
      <c r="I408" s="171"/>
      <c r="J408" s="171"/>
      <c r="K408" s="171"/>
      <c r="L408" s="171"/>
      <c r="M408" s="171"/>
      <c r="N408" s="171"/>
      <c r="O408" s="171"/>
      <c r="P408" s="171"/>
      <c r="Q408" s="171"/>
      <c r="R408" s="171"/>
      <c r="S408" s="171"/>
      <c r="T408" s="171"/>
      <c r="U408" s="171"/>
      <c r="V408" s="171"/>
      <c r="W408" s="171"/>
      <c r="X408" s="161"/>
      <c r="Y408" s="161"/>
      <c r="Z408" s="161"/>
      <c r="AA408" s="161"/>
      <c r="AB408" s="161"/>
      <c r="AC408" s="171"/>
      <c r="AD408" s="198"/>
    </row>
    <row r="409">
      <c r="A409" s="169"/>
      <c r="B409" s="169"/>
      <c r="C409" s="161"/>
      <c r="D409" s="229"/>
      <c r="E409" s="161"/>
      <c r="F409" s="161"/>
      <c r="G409" s="161"/>
      <c r="H409" s="171"/>
      <c r="I409" s="171"/>
      <c r="J409" s="171"/>
      <c r="K409" s="171"/>
      <c r="L409" s="171"/>
      <c r="M409" s="171"/>
      <c r="N409" s="171"/>
      <c r="O409" s="171"/>
      <c r="P409" s="171"/>
      <c r="Q409" s="171"/>
      <c r="R409" s="171"/>
      <c r="S409" s="171"/>
      <c r="T409" s="171"/>
      <c r="U409" s="171"/>
      <c r="V409" s="171"/>
      <c r="W409" s="171"/>
      <c r="X409" s="161"/>
      <c r="Y409" s="161"/>
      <c r="Z409" s="161"/>
      <c r="AA409" s="161"/>
      <c r="AB409" s="161"/>
      <c r="AC409" s="171"/>
      <c r="AD409" s="198"/>
    </row>
    <row r="410">
      <c r="A410" s="169"/>
      <c r="B410" s="169"/>
      <c r="C410" s="161"/>
      <c r="D410" s="229"/>
      <c r="E410" s="161"/>
      <c r="F410" s="161"/>
      <c r="G410" s="161"/>
      <c r="H410" s="171"/>
      <c r="I410" s="171"/>
      <c r="J410" s="171"/>
      <c r="K410" s="171"/>
      <c r="L410" s="171"/>
      <c r="M410" s="171"/>
      <c r="N410" s="171"/>
      <c r="O410" s="171"/>
      <c r="P410" s="171"/>
      <c r="Q410" s="171"/>
      <c r="R410" s="171"/>
      <c r="S410" s="171"/>
      <c r="T410" s="171"/>
      <c r="U410" s="171"/>
      <c r="V410" s="171"/>
      <c r="W410" s="171"/>
      <c r="X410" s="161"/>
      <c r="Y410" s="161"/>
      <c r="Z410" s="161"/>
      <c r="AA410" s="161"/>
      <c r="AB410" s="161"/>
      <c r="AC410" s="171"/>
      <c r="AD410" s="198"/>
    </row>
    <row r="411">
      <c r="A411" s="169"/>
      <c r="B411" s="169"/>
      <c r="C411" s="161"/>
      <c r="D411" s="229"/>
      <c r="E411" s="161"/>
      <c r="F411" s="161"/>
      <c r="G411" s="161"/>
      <c r="H411" s="171"/>
      <c r="I411" s="171"/>
      <c r="J411" s="171"/>
      <c r="K411" s="171"/>
      <c r="L411" s="171"/>
      <c r="M411" s="171"/>
      <c r="N411" s="171"/>
      <c r="O411" s="171"/>
      <c r="P411" s="171"/>
      <c r="Q411" s="171"/>
      <c r="R411" s="171"/>
      <c r="S411" s="171"/>
      <c r="T411" s="171"/>
      <c r="U411" s="171"/>
      <c r="V411" s="171"/>
      <c r="W411" s="171"/>
      <c r="X411" s="161"/>
      <c r="Y411" s="161"/>
      <c r="Z411" s="161"/>
      <c r="AA411" s="161"/>
      <c r="AB411" s="161"/>
      <c r="AC411" s="171"/>
      <c r="AD411" s="198"/>
    </row>
    <row r="412">
      <c r="A412" s="169"/>
      <c r="B412" s="169"/>
      <c r="C412" s="161"/>
      <c r="D412" s="229"/>
      <c r="E412" s="161"/>
      <c r="F412" s="161"/>
      <c r="G412" s="161"/>
      <c r="H412" s="171"/>
      <c r="I412" s="171"/>
      <c r="J412" s="171"/>
      <c r="K412" s="171"/>
      <c r="L412" s="171"/>
      <c r="M412" s="171"/>
      <c r="N412" s="171"/>
      <c r="O412" s="171"/>
      <c r="P412" s="171"/>
      <c r="Q412" s="171"/>
      <c r="R412" s="171"/>
      <c r="S412" s="171"/>
      <c r="T412" s="171"/>
      <c r="U412" s="171"/>
      <c r="V412" s="171"/>
      <c r="W412" s="171"/>
      <c r="X412" s="161"/>
      <c r="Y412" s="161"/>
      <c r="Z412" s="161"/>
      <c r="AA412" s="161"/>
      <c r="AB412" s="161"/>
      <c r="AC412" s="171"/>
      <c r="AD412" s="198"/>
    </row>
    <row r="413">
      <c r="A413" s="169"/>
      <c r="B413" s="169"/>
      <c r="C413" s="161"/>
      <c r="D413" s="229"/>
      <c r="E413" s="161"/>
      <c r="F413" s="161"/>
      <c r="G413" s="161"/>
      <c r="H413" s="171"/>
      <c r="I413" s="171"/>
      <c r="J413" s="171"/>
      <c r="K413" s="171"/>
      <c r="L413" s="171"/>
      <c r="M413" s="171"/>
      <c r="N413" s="171"/>
      <c r="O413" s="171"/>
      <c r="P413" s="171"/>
      <c r="Q413" s="171"/>
      <c r="R413" s="171"/>
      <c r="S413" s="171"/>
      <c r="T413" s="171"/>
      <c r="U413" s="171"/>
      <c r="V413" s="171"/>
      <c r="W413" s="171"/>
      <c r="X413" s="161"/>
      <c r="Y413" s="161"/>
      <c r="Z413" s="161"/>
      <c r="AA413" s="161"/>
      <c r="AB413" s="161"/>
      <c r="AC413" s="171"/>
      <c r="AD413" s="198"/>
    </row>
    <row r="414">
      <c r="A414" s="169"/>
      <c r="B414" s="169"/>
      <c r="C414" s="161"/>
      <c r="D414" s="229"/>
      <c r="E414" s="161"/>
      <c r="F414" s="161"/>
      <c r="G414" s="161"/>
      <c r="H414" s="171"/>
      <c r="I414" s="171"/>
      <c r="J414" s="171"/>
      <c r="K414" s="171"/>
      <c r="L414" s="171"/>
      <c r="M414" s="171"/>
      <c r="N414" s="171"/>
      <c r="O414" s="171"/>
      <c r="P414" s="171"/>
      <c r="Q414" s="171"/>
      <c r="R414" s="171"/>
      <c r="S414" s="171"/>
      <c r="T414" s="171"/>
      <c r="U414" s="171"/>
      <c r="V414" s="171"/>
      <c r="W414" s="171"/>
      <c r="X414" s="161"/>
      <c r="Y414" s="161"/>
      <c r="Z414" s="161"/>
      <c r="AA414" s="161"/>
      <c r="AB414" s="161"/>
      <c r="AC414" s="171"/>
      <c r="AD414" s="198"/>
    </row>
    <row r="415">
      <c r="A415" s="169"/>
      <c r="B415" s="169"/>
      <c r="C415" s="161"/>
      <c r="D415" s="229"/>
      <c r="E415" s="161"/>
      <c r="F415" s="161"/>
      <c r="G415" s="161"/>
      <c r="H415" s="171"/>
      <c r="I415" s="171"/>
      <c r="J415" s="171"/>
      <c r="K415" s="171"/>
      <c r="L415" s="171"/>
      <c r="M415" s="171"/>
      <c r="N415" s="171"/>
      <c r="O415" s="171"/>
      <c r="P415" s="171"/>
      <c r="Q415" s="171"/>
      <c r="R415" s="171"/>
      <c r="S415" s="171"/>
      <c r="T415" s="171"/>
      <c r="U415" s="171"/>
      <c r="V415" s="171"/>
      <c r="W415" s="171"/>
      <c r="X415" s="161"/>
      <c r="Y415" s="161"/>
      <c r="Z415" s="161"/>
      <c r="AA415" s="161"/>
      <c r="AB415" s="161"/>
      <c r="AC415" s="171"/>
      <c r="AD415" s="198"/>
    </row>
    <row r="416">
      <c r="A416" s="169"/>
      <c r="B416" s="169"/>
      <c r="C416" s="161"/>
      <c r="D416" s="229"/>
      <c r="E416" s="161"/>
      <c r="F416" s="161"/>
      <c r="G416" s="161"/>
      <c r="H416" s="171"/>
      <c r="I416" s="171"/>
      <c r="J416" s="171"/>
      <c r="K416" s="171"/>
      <c r="L416" s="171"/>
      <c r="M416" s="171"/>
      <c r="N416" s="171"/>
      <c r="O416" s="171"/>
      <c r="P416" s="171"/>
      <c r="Q416" s="171"/>
      <c r="R416" s="171"/>
      <c r="S416" s="171"/>
      <c r="T416" s="171"/>
      <c r="U416" s="171"/>
      <c r="V416" s="171"/>
      <c r="W416" s="171"/>
      <c r="X416" s="161"/>
      <c r="Y416" s="161"/>
      <c r="Z416" s="161"/>
      <c r="AA416" s="161"/>
      <c r="AB416" s="161"/>
      <c r="AC416" s="171"/>
      <c r="AD416" s="198"/>
    </row>
    <row r="417">
      <c r="A417" s="169"/>
      <c r="B417" s="169"/>
      <c r="C417" s="161"/>
      <c r="D417" s="229"/>
      <c r="E417" s="161"/>
      <c r="F417" s="161"/>
      <c r="G417" s="161"/>
      <c r="H417" s="171"/>
      <c r="I417" s="171"/>
      <c r="J417" s="171"/>
      <c r="K417" s="171"/>
      <c r="L417" s="171"/>
      <c r="M417" s="171"/>
      <c r="N417" s="171"/>
      <c r="O417" s="171"/>
      <c r="P417" s="171"/>
      <c r="Q417" s="171"/>
      <c r="R417" s="171"/>
      <c r="S417" s="171"/>
      <c r="T417" s="171"/>
      <c r="U417" s="171"/>
      <c r="V417" s="171"/>
      <c r="W417" s="171"/>
      <c r="X417" s="161"/>
      <c r="Y417" s="161"/>
      <c r="Z417" s="161"/>
      <c r="AA417" s="161"/>
      <c r="AB417" s="161"/>
      <c r="AC417" s="171"/>
      <c r="AD417" s="198"/>
    </row>
    <row r="418">
      <c r="A418" s="169"/>
      <c r="B418" s="169"/>
      <c r="C418" s="161"/>
      <c r="D418" s="229"/>
      <c r="E418" s="161"/>
      <c r="F418" s="161"/>
      <c r="G418" s="161"/>
      <c r="H418" s="171"/>
      <c r="I418" s="171"/>
      <c r="J418" s="171"/>
      <c r="K418" s="171"/>
      <c r="L418" s="171"/>
      <c r="M418" s="171"/>
      <c r="N418" s="171"/>
      <c r="O418" s="171"/>
      <c r="P418" s="171"/>
      <c r="Q418" s="171"/>
      <c r="R418" s="171"/>
      <c r="S418" s="171"/>
      <c r="T418" s="171"/>
      <c r="U418" s="171"/>
      <c r="V418" s="171"/>
      <c r="W418" s="171"/>
      <c r="X418" s="161"/>
      <c r="Y418" s="161"/>
      <c r="Z418" s="161"/>
      <c r="AA418" s="161"/>
      <c r="AB418" s="161"/>
      <c r="AC418" s="171"/>
      <c r="AD418" s="198"/>
    </row>
    <row r="419">
      <c r="A419" s="169"/>
      <c r="B419" s="169"/>
      <c r="C419" s="161"/>
      <c r="D419" s="229"/>
      <c r="E419" s="161"/>
      <c r="F419" s="161"/>
      <c r="G419" s="161"/>
      <c r="H419" s="171"/>
      <c r="I419" s="171"/>
      <c r="J419" s="171"/>
      <c r="K419" s="171"/>
      <c r="L419" s="171"/>
      <c r="M419" s="171"/>
      <c r="N419" s="171"/>
      <c r="O419" s="171"/>
      <c r="P419" s="171"/>
      <c r="Q419" s="171"/>
      <c r="R419" s="171"/>
      <c r="S419" s="171"/>
      <c r="T419" s="171"/>
      <c r="U419" s="171"/>
      <c r="V419" s="171"/>
      <c r="W419" s="171"/>
      <c r="X419" s="161"/>
      <c r="Y419" s="161"/>
      <c r="Z419" s="161"/>
      <c r="AA419" s="161"/>
      <c r="AB419" s="161"/>
      <c r="AC419" s="171"/>
      <c r="AD419" s="198"/>
    </row>
    <row r="420">
      <c r="A420" s="169"/>
      <c r="B420" s="169"/>
      <c r="C420" s="161"/>
      <c r="D420" s="229"/>
      <c r="E420" s="161"/>
      <c r="F420" s="161"/>
      <c r="G420" s="161"/>
      <c r="H420" s="171"/>
      <c r="I420" s="171"/>
      <c r="J420" s="171"/>
      <c r="K420" s="171"/>
      <c r="L420" s="171"/>
      <c r="M420" s="171"/>
      <c r="N420" s="171"/>
      <c r="O420" s="171"/>
      <c r="P420" s="171"/>
      <c r="Q420" s="171"/>
      <c r="R420" s="171"/>
      <c r="S420" s="171"/>
      <c r="T420" s="171"/>
      <c r="U420" s="171"/>
      <c r="V420" s="171"/>
      <c r="W420" s="171"/>
      <c r="X420" s="161"/>
      <c r="Y420" s="161"/>
      <c r="Z420" s="161"/>
      <c r="AA420" s="161"/>
      <c r="AB420" s="161"/>
      <c r="AC420" s="171"/>
      <c r="AD420" s="198"/>
    </row>
    <row r="421">
      <c r="A421" s="169"/>
      <c r="B421" s="169"/>
      <c r="C421" s="161"/>
      <c r="D421" s="229"/>
      <c r="E421" s="161"/>
      <c r="F421" s="161"/>
      <c r="G421" s="161"/>
      <c r="H421" s="171"/>
      <c r="I421" s="171"/>
      <c r="J421" s="171"/>
      <c r="K421" s="171"/>
      <c r="L421" s="171"/>
      <c r="M421" s="171"/>
      <c r="N421" s="171"/>
      <c r="O421" s="171"/>
      <c r="P421" s="171"/>
      <c r="Q421" s="171"/>
      <c r="R421" s="171"/>
      <c r="S421" s="171"/>
      <c r="T421" s="171"/>
      <c r="U421" s="171"/>
      <c r="V421" s="171"/>
      <c r="W421" s="171"/>
      <c r="X421" s="161"/>
      <c r="Y421" s="161"/>
      <c r="Z421" s="161"/>
      <c r="AA421" s="161"/>
      <c r="AB421" s="161"/>
      <c r="AC421" s="171"/>
      <c r="AD421" s="198"/>
    </row>
    <row r="422">
      <c r="A422" s="169"/>
      <c r="B422" s="169"/>
      <c r="C422" s="161"/>
      <c r="D422" s="229"/>
      <c r="E422" s="161"/>
      <c r="F422" s="161"/>
      <c r="G422" s="161"/>
      <c r="H422" s="171"/>
      <c r="I422" s="171"/>
      <c r="J422" s="171"/>
      <c r="K422" s="171"/>
      <c r="L422" s="171"/>
      <c r="M422" s="171"/>
      <c r="N422" s="171"/>
      <c r="O422" s="171"/>
      <c r="P422" s="171"/>
      <c r="Q422" s="171"/>
      <c r="R422" s="171"/>
      <c r="S422" s="171"/>
      <c r="T422" s="171"/>
      <c r="U422" s="171"/>
      <c r="V422" s="171"/>
      <c r="W422" s="171"/>
      <c r="X422" s="161"/>
      <c r="Y422" s="161"/>
      <c r="Z422" s="161"/>
      <c r="AA422" s="161"/>
      <c r="AB422" s="161"/>
      <c r="AC422" s="171"/>
      <c r="AD422" s="198"/>
    </row>
    <row r="423">
      <c r="A423" s="169"/>
      <c r="B423" s="169"/>
      <c r="C423" s="161"/>
      <c r="D423" s="229"/>
      <c r="E423" s="161"/>
      <c r="F423" s="161"/>
      <c r="G423" s="161"/>
      <c r="H423" s="171"/>
      <c r="I423" s="171"/>
      <c r="J423" s="171"/>
      <c r="K423" s="171"/>
      <c r="L423" s="171"/>
      <c r="M423" s="171"/>
      <c r="N423" s="171"/>
      <c r="O423" s="171"/>
      <c r="P423" s="171"/>
      <c r="Q423" s="171"/>
      <c r="R423" s="171"/>
      <c r="S423" s="171"/>
      <c r="T423" s="171"/>
      <c r="U423" s="171"/>
      <c r="V423" s="171"/>
      <c r="W423" s="171"/>
      <c r="X423" s="161"/>
      <c r="Y423" s="161"/>
      <c r="Z423" s="161"/>
      <c r="AA423" s="161"/>
      <c r="AB423" s="161"/>
      <c r="AC423" s="171"/>
      <c r="AD423" s="198"/>
    </row>
    <row r="424">
      <c r="A424" s="169"/>
      <c r="B424" s="169"/>
      <c r="C424" s="161"/>
      <c r="D424" s="229"/>
      <c r="E424" s="161"/>
      <c r="F424" s="161"/>
      <c r="G424" s="161"/>
      <c r="H424" s="171"/>
      <c r="I424" s="171"/>
      <c r="J424" s="171"/>
      <c r="K424" s="171"/>
      <c r="L424" s="171"/>
      <c r="M424" s="171"/>
      <c r="N424" s="171"/>
      <c r="O424" s="171"/>
      <c r="P424" s="171"/>
      <c r="Q424" s="171"/>
      <c r="R424" s="171"/>
      <c r="S424" s="171"/>
      <c r="T424" s="171"/>
      <c r="U424" s="171"/>
      <c r="V424" s="171"/>
      <c r="W424" s="171"/>
      <c r="X424" s="161"/>
      <c r="Y424" s="161"/>
      <c r="Z424" s="161"/>
      <c r="AA424" s="161"/>
      <c r="AB424" s="161"/>
      <c r="AC424" s="171"/>
      <c r="AD424" s="198"/>
    </row>
    <row r="425">
      <c r="A425" s="169"/>
      <c r="B425" s="169"/>
      <c r="C425" s="161"/>
      <c r="D425" s="229"/>
      <c r="E425" s="161"/>
      <c r="F425" s="161"/>
      <c r="G425" s="161"/>
      <c r="H425" s="171"/>
      <c r="I425" s="171"/>
      <c r="J425" s="171"/>
      <c r="K425" s="171"/>
      <c r="L425" s="171"/>
      <c r="M425" s="171"/>
      <c r="N425" s="171"/>
      <c r="O425" s="171"/>
      <c r="P425" s="171"/>
      <c r="Q425" s="171"/>
      <c r="R425" s="171"/>
      <c r="S425" s="171"/>
      <c r="T425" s="171"/>
      <c r="U425" s="171"/>
      <c r="V425" s="171"/>
      <c r="W425" s="171"/>
      <c r="X425" s="161"/>
      <c r="Y425" s="161"/>
      <c r="Z425" s="161"/>
      <c r="AA425" s="161"/>
      <c r="AB425" s="161"/>
      <c r="AC425" s="171"/>
      <c r="AD425" s="198"/>
    </row>
    <row r="426">
      <c r="A426" s="169"/>
      <c r="B426" s="169"/>
      <c r="C426" s="161"/>
      <c r="D426" s="229"/>
      <c r="E426" s="161"/>
      <c r="F426" s="161"/>
      <c r="G426" s="161"/>
      <c r="H426" s="171"/>
      <c r="I426" s="171"/>
      <c r="J426" s="171"/>
      <c r="K426" s="171"/>
      <c r="L426" s="171"/>
      <c r="M426" s="171"/>
      <c r="N426" s="171"/>
      <c r="O426" s="171"/>
      <c r="P426" s="171"/>
      <c r="Q426" s="171"/>
      <c r="R426" s="171"/>
      <c r="S426" s="171"/>
      <c r="T426" s="171"/>
      <c r="U426" s="171"/>
      <c r="V426" s="171"/>
      <c r="W426" s="171"/>
      <c r="X426" s="161"/>
      <c r="Y426" s="161"/>
      <c r="Z426" s="161"/>
      <c r="AA426" s="161"/>
      <c r="AB426" s="161"/>
      <c r="AC426" s="171"/>
      <c r="AD426" s="198"/>
    </row>
    <row r="427">
      <c r="A427" s="169"/>
      <c r="B427" s="169"/>
      <c r="C427" s="161"/>
      <c r="D427" s="229"/>
      <c r="E427" s="161"/>
      <c r="F427" s="161"/>
      <c r="G427" s="161"/>
      <c r="H427" s="171"/>
      <c r="I427" s="171"/>
      <c r="J427" s="171"/>
      <c r="K427" s="171"/>
      <c r="L427" s="171"/>
      <c r="M427" s="171"/>
      <c r="N427" s="171"/>
      <c r="O427" s="171"/>
      <c r="P427" s="171"/>
      <c r="Q427" s="171"/>
      <c r="R427" s="171"/>
      <c r="S427" s="171"/>
      <c r="T427" s="171"/>
      <c r="U427" s="171"/>
      <c r="V427" s="171"/>
      <c r="W427" s="171"/>
      <c r="X427" s="161"/>
      <c r="Y427" s="161"/>
      <c r="Z427" s="161"/>
      <c r="AA427" s="161"/>
      <c r="AB427" s="161"/>
      <c r="AC427" s="171"/>
      <c r="AD427" s="198"/>
    </row>
    <row r="428">
      <c r="A428" s="169"/>
      <c r="B428" s="169"/>
      <c r="C428" s="161"/>
      <c r="D428" s="229"/>
      <c r="E428" s="161"/>
      <c r="F428" s="161"/>
      <c r="G428" s="161"/>
      <c r="H428" s="171"/>
      <c r="I428" s="171"/>
      <c r="J428" s="171"/>
      <c r="K428" s="171"/>
      <c r="L428" s="171"/>
      <c r="M428" s="171"/>
      <c r="N428" s="171"/>
      <c r="O428" s="171"/>
      <c r="P428" s="171"/>
      <c r="Q428" s="171"/>
      <c r="R428" s="171"/>
      <c r="S428" s="171"/>
      <c r="T428" s="171"/>
      <c r="U428" s="171"/>
      <c r="V428" s="171"/>
      <c r="W428" s="171"/>
      <c r="X428" s="161"/>
      <c r="Y428" s="161"/>
      <c r="Z428" s="161"/>
      <c r="AA428" s="161"/>
      <c r="AB428" s="161"/>
      <c r="AC428" s="171"/>
      <c r="AD428" s="198"/>
    </row>
    <row r="429">
      <c r="A429" s="169"/>
      <c r="B429" s="169"/>
      <c r="C429" s="161"/>
      <c r="D429" s="229"/>
      <c r="E429" s="161"/>
      <c r="F429" s="161"/>
      <c r="G429" s="161"/>
      <c r="H429" s="171"/>
      <c r="I429" s="171"/>
      <c r="J429" s="171"/>
      <c r="K429" s="171"/>
      <c r="L429" s="171"/>
      <c r="M429" s="171"/>
      <c r="N429" s="171"/>
      <c r="O429" s="171"/>
      <c r="P429" s="171"/>
      <c r="Q429" s="171"/>
      <c r="R429" s="171"/>
      <c r="S429" s="171"/>
      <c r="T429" s="171"/>
      <c r="U429" s="171"/>
      <c r="V429" s="171"/>
      <c r="W429" s="171"/>
      <c r="X429" s="161"/>
      <c r="Y429" s="161"/>
      <c r="Z429" s="161"/>
      <c r="AA429" s="161"/>
      <c r="AB429" s="161"/>
      <c r="AC429" s="171"/>
      <c r="AD429" s="198"/>
    </row>
    <row r="430">
      <c r="A430" s="169"/>
      <c r="B430" s="169"/>
      <c r="C430" s="161"/>
      <c r="D430" s="229"/>
      <c r="E430" s="161"/>
      <c r="F430" s="161"/>
      <c r="G430" s="161"/>
      <c r="H430" s="171"/>
      <c r="I430" s="171"/>
      <c r="J430" s="171"/>
      <c r="K430" s="171"/>
      <c r="L430" s="171"/>
      <c r="M430" s="171"/>
      <c r="N430" s="171"/>
      <c r="O430" s="171"/>
      <c r="P430" s="171"/>
      <c r="Q430" s="171"/>
      <c r="R430" s="171"/>
      <c r="S430" s="171"/>
      <c r="T430" s="171"/>
      <c r="U430" s="171"/>
      <c r="V430" s="171"/>
      <c r="W430" s="171"/>
      <c r="X430" s="161"/>
      <c r="Y430" s="161"/>
      <c r="Z430" s="161"/>
      <c r="AA430" s="161"/>
      <c r="AB430" s="161"/>
      <c r="AC430" s="171"/>
      <c r="AD430" s="198"/>
    </row>
    <row r="431">
      <c r="A431" s="169"/>
      <c r="B431" s="169"/>
      <c r="C431" s="161"/>
      <c r="D431" s="229"/>
      <c r="E431" s="161"/>
      <c r="F431" s="161"/>
      <c r="G431" s="161"/>
      <c r="H431" s="171"/>
      <c r="I431" s="171"/>
      <c r="J431" s="171"/>
      <c r="K431" s="171"/>
      <c r="L431" s="171"/>
      <c r="M431" s="171"/>
      <c r="N431" s="171"/>
      <c r="O431" s="171"/>
      <c r="P431" s="171"/>
      <c r="Q431" s="171"/>
      <c r="R431" s="171"/>
      <c r="S431" s="171"/>
      <c r="T431" s="171"/>
      <c r="U431" s="171"/>
      <c r="V431" s="171"/>
      <c r="W431" s="171"/>
      <c r="X431" s="161"/>
      <c r="Y431" s="161"/>
      <c r="Z431" s="161"/>
      <c r="AA431" s="161"/>
      <c r="AB431" s="161"/>
      <c r="AC431" s="171"/>
      <c r="AD431" s="198"/>
    </row>
    <row r="432">
      <c r="A432" s="169"/>
      <c r="B432" s="169"/>
      <c r="C432" s="161"/>
      <c r="D432" s="229"/>
      <c r="E432" s="161"/>
      <c r="F432" s="161"/>
      <c r="G432" s="161"/>
      <c r="H432" s="171"/>
      <c r="I432" s="171"/>
      <c r="J432" s="171"/>
      <c r="K432" s="171"/>
      <c r="L432" s="171"/>
      <c r="M432" s="171"/>
      <c r="N432" s="171"/>
      <c r="O432" s="171"/>
      <c r="P432" s="171"/>
      <c r="Q432" s="171"/>
      <c r="R432" s="171"/>
      <c r="S432" s="171"/>
      <c r="T432" s="171"/>
      <c r="U432" s="171"/>
      <c r="V432" s="171"/>
      <c r="W432" s="171"/>
      <c r="X432" s="161"/>
      <c r="Y432" s="161"/>
      <c r="Z432" s="161"/>
      <c r="AA432" s="161"/>
      <c r="AB432" s="161"/>
      <c r="AC432" s="171"/>
      <c r="AD432" s="198"/>
    </row>
    <row r="433">
      <c r="A433" s="169"/>
      <c r="B433" s="169"/>
      <c r="C433" s="161"/>
      <c r="D433" s="229"/>
      <c r="E433" s="161"/>
      <c r="F433" s="161"/>
      <c r="G433" s="161"/>
      <c r="H433" s="171"/>
      <c r="I433" s="171"/>
      <c r="J433" s="171"/>
      <c r="K433" s="171"/>
      <c r="L433" s="171"/>
      <c r="M433" s="171"/>
      <c r="N433" s="171"/>
      <c r="O433" s="171"/>
      <c r="P433" s="171"/>
      <c r="Q433" s="171"/>
      <c r="R433" s="171"/>
      <c r="S433" s="171"/>
      <c r="T433" s="171"/>
      <c r="U433" s="171"/>
      <c r="V433" s="171"/>
      <c r="W433" s="171"/>
      <c r="X433" s="161"/>
      <c r="Y433" s="161"/>
      <c r="Z433" s="161"/>
      <c r="AA433" s="161"/>
      <c r="AB433" s="161"/>
      <c r="AC433" s="171"/>
      <c r="AD433" s="198"/>
    </row>
    <row r="434">
      <c r="A434" s="169"/>
      <c r="B434" s="169"/>
      <c r="C434" s="161"/>
      <c r="D434" s="229"/>
      <c r="E434" s="161"/>
      <c r="F434" s="161"/>
      <c r="G434" s="161"/>
      <c r="H434" s="171"/>
      <c r="I434" s="171"/>
      <c r="J434" s="171"/>
      <c r="K434" s="171"/>
      <c r="L434" s="171"/>
      <c r="M434" s="171"/>
      <c r="N434" s="171"/>
      <c r="O434" s="171"/>
      <c r="P434" s="171"/>
      <c r="Q434" s="171"/>
      <c r="R434" s="171"/>
      <c r="S434" s="171"/>
      <c r="T434" s="171"/>
      <c r="U434" s="171"/>
      <c r="V434" s="171"/>
      <c r="W434" s="171"/>
      <c r="X434" s="161"/>
      <c r="Y434" s="161"/>
      <c r="Z434" s="161"/>
      <c r="AA434" s="161"/>
      <c r="AB434" s="161"/>
      <c r="AC434" s="171"/>
      <c r="AD434" s="198"/>
    </row>
    <row r="435">
      <c r="A435" s="169"/>
      <c r="B435" s="169"/>
      <c r="C435" s="161"/>
      <c r="D435" s="229"/>
      <c r="E435" s="161"/>
      <c r="F435" s="161"/>
      <c r="G435" s="161"/>
      <c r="H435" s="171"/>
      <c r="I435" s="171"/>
      <c r="J435" s="171"/>
      <c r="K435" s="171"/>
      <c r="L435" s="171"/>
      <c r="M435" s="171"/>
      <c r="N435" s="171"/>
      <c r="O435" s="171"/>
      <c r="P435" s="171"/>
      <c r="Q435" s="171"/>
      <c r="R435" s="171"/>
      <c r="S435" s="171"/>
      <c r="T435" s="171"/>
      <c r="U435" s="171"/>
      <c r="V435" s="171"/>
      <c r="W435" s="171"/>
      <c r="X435" s="161"/>
      <c r="Y435" s="161"/>
      <c r="Z435" s="161"/>
      <c r="AA435" s="161"/>
      <c r="AB435" s="161"/>
      <c r="AC435" s="171"/>
      <c r="AD435" s="198"/>
    </row>
    <row r="436">
      <c r="A436" s="169"/>
      <c r="B436" s="169"/>
      <c r="C436" s="161"/>
      <c r="D436" s="229"/>
      <c r="E436" s="161"/>
      <c r="F436" s="161"/>
      <c r="G436" s="161"/>
      <c r="H436" s="171"/>
      <c r="I436" s="171"/>
      <c r="J436" s="171"/>
      <c r="K436" s="171"/>
      <c r="L436" s="171"/>
      <c r="M436" s="171"/>
      <c r="N436" s="171"/>
      <c r="O436" s="171"/>
      <c r="P436" s="171"/>
      <c r="Q436" s="171"/>
      <c r="R436" s="171"/>
      <c r="S436" s="171"/>
      <c r="T436" s="171"/>
      <c r="U436" s="171"/>
      <c r="V436" s="171"/>
      <c r="W436" s="171"/>
      <c r="X436" s="161"/>
      <c r="Y436" s="161"/>
      <c r="Z436" s="161"/>
      <c r="AA436" s="161"/>
      <c r="AB436" s="161"/>
      <c r="AC436" s="171"/>
      <c r="AD436" s="198"/>
    </row>
    <row r="437">
      <c r="A437" s="169"/>
      <c r="B437" s="169"/>
      <c r="C437" s="161"/>
      <c r="D437" s="229"/>
      <c r="E437" s="161"/>
      <c r="F437" s="161"/>
      <c r="G437" s="161"/>
      <c r="H437" s="171"/>
      <c r="I437" s="171"/>
      <c r="J437" s="171"/>
      <c r="K437" s="171"/>
      <c r="L437" s="171"/>
      <c r="M437" s="171"/>
      <c r="N437" s="171"/>
      <c r="O437" s="171"/>
      <c r="P437" s="171"/>
      <c r="Q437" s="171"/>
      <c r="R437" s="171"/>
      <c r="S437" s="171"/>
      <c r="T437" s="171"/>
      <c r="U437" s="171"/>
      <c r="V437" s="171"/>
      <c r="W437" s="171"/>
      <c r="X437" s="161"/>
      <c r="Y437" s="161"/>
      <c r="Z437" s="161"/>
      <c r="AA437" s="161"/>
      <c r="AB437" s="161"/>
      <c r="AC437" s="171"/>
      <c r="AD437" s="198"/>
    </row>
    <row r="438">
      <c r="A438" s="169"/>
      <c r="B438" s="169"/>
      <c r="C438" s="161"/>
      <c r="D438" s="229"/>
      <c r="E438" s="161"/>
      <c r="F438" s="161"/>
      <c r="G438" s="161"/>
      <c r="H438" s="171"/>
      <c r="I438" s="171"/>
      <c r="J438" s="171"/>
      <c r="K438" s="171"/>
      <c r="L438" s="171"/>
      <c r="M438" s="171"/>
      <c r="N438" s="171"/>
      <c r="O438" s="171"/>
      <c r="P438" s="171"/>
      <c r="Q438" s="171"/>
      <c r="R438" s="171"/>
      <c r="S438" s="171"/>
      <c r="T438" s="171"/>
      <c r="U438" s="171"/>
      <c r="V438" s="171"/>
      <c r="W438" s="171"/>
      <c r="X438" s="161"/>
      <c r="Y438" s="161"/>
      <c r="Z438" s="161"/>
      <c r="AA438" s="161"/>
      <c r="AB438" s="161"/>
      <c r="AC438" s="171"/>
      <c r="AD438" s="198"/>
    </row>
    <row r="439">
      <c r="A439" s="169"/>
      <c r="B439" s="169"/>
      <c r="C439" s="161"/>
      <c r="D439" s="229"/>
      <c r="E439" s="161"/>
      <c r="F439" s="161"/>
      <c r="G439" s="161"/>
      <c r="H439" s="171"/>
      <c r="I439" s="171"/>
      <c r="J439" s="171"/>
      <c r="K439" s="171"/>
      <c r="L439" s="171"/>
      <c r="M439" s="171"/>
      <c r="N439" s="171"/>
      <c r="O439" s="171"/>
      <c r="P439" s="171"/>
      <c r="Q439" s="171"/>
      <c r="R439" s="171"/>
      <c r="S439" s="171"/>
      <c r="T439" s="171"/>
      <c r="U439" s="171"/>
      <c r="V439" s="171"/>
      <c r="W439" s="171"/>
      <c r="X439" s="161"/>
      <c r="Y439" s="161"/>
      <c r="Z439" s="161"/>
      <c r="AA439" s="161"/>
      <c r="AB439" s="161"/>
      <c r="AC439" s="171"/>
      <c r="AD439" s="198"/>
    </row>
    <row r="440">
      <c r="A440" s="169"/>
      <c r="B440" s="169"/>
      <c r="C440" s="161"/>
      <c r="D440" s="229"/>
      <c r="E440" s="161"/>
      <c r="F440" s="161"/>
      <c r="G440" s="161"/>
      <c r="H440" s="171"/>
      <c r="I440" s="171"/>
      <c r="J440" s="171"/>
      <c r="K440" s="171"/>
      <c r="L440" s="171"/>
      <c r="M440" s="171"/>
      <c r="N440" s="171"/>
      <c r="O440" s="171"/>
      <c r="P440" s="171"/>
      <c r="Q440" s="171"/>
      <c r="R440" s="171"/>
      <c r="S440" s="171"/>
      <c r="T440" s="171"/>
      <c r="U440" s="171"/>
      <c r="V440" s="171"/>
      <c r="W440" s="171"/>
      <c r="X440" s="161"/>
      <c r="Y440" s="161"/>
      <c r="Z440" s="161"/>
      <c r="AA440" s="161"/>
      <c r="AB440" s="161"/>
      <c r="AC440" s="171"/>
      <c r="AD440" s="198"/>
    </row>
    <row r="441">
      <c r="A441" s="169"/>
      <c r="B441" s="169"/>
      <c r="C441" s="161"/>
      <c r="D441" s="229"/>
      <c r="E441" s="161"/>
      <c r="F441" s="161"/>
      <c r="G441" s="161"/>
      <c r="H441" s="171"/>
      <c r="I441" s="171"/>
      <c r="J441" s="171"/>
      <c r="K441" s="171"/>
      <c r="L441" s="171"/>
      <c r="M441" s="171"/>
      <c r="N441" s="171"/>
      <c r="O441" s="171"/>
      <c r="P441" s="171"/>
      <c r="Q441" s="171"/>
      <c r="R441" s="171"/>
      <c r="S441" s="171"/>
      <c r="T441" s="171"/>
      <c r="U441" s="171"/>
      <c r="V441" s="171"/>
      <c r="W441" s="171"/>
      <c r="X441" s="161"/>
      <c r="Y441" s="161"/>
      <c r="Z441" s="161"/>
      <c r="AA441" s="161"/>
      <c r="AB441" s="161"/>
      <c r="AC441" s="171"/>
      <c r="AD441" s="198"/>
    </row>
    <row r="442">
      <c r="A442" s="169"/>
      <c r="B442" s="169"/>
      <c r="C442" s="161"/>
      <c r="D442" s="229"/>
      <c r="E442" s="161"/>
      <c r="F442" s="161"/>
      <c r="G442" s="161"/>
      <c r="H442" s="171"/>
      <c r="I442" s="171"/>
      <c r="J442" s="171"/>
      <c r="K442" s="171"/>
      <c r="L442" s="171"/>
      <c r="M442" s="171"/>
      <c r="N442" s="171"/>
      <c r="O442" s="171"/>
      <c r="P442" s="171"/>
      <c r="Q442" s="171"/>
      <c r="R442" s="171"/>
      <c r="S442" s="171"/>
      <c r="T442" s="171"/>
      <c r="U442" s="171"/>
      <c r="V442" s="171"/>
      <c r="W442" s="171"/>
      <c r="X442" s="161"/>
      <c r="Y442" s="161"/>
      <c r="Z442" s="161"/>
      <c r="AA442" s="161"/>
      <c r="AB442" s="161"/>
      <c r="AC442" s="171"/>
      <c r="AD442" s="198"/>
    </row>
    <row r="443">
      <c r="A443" s="169"/>
      <c r="B443" s="169"/>
      <c r="C443" s="161"/>
      <c r="D443" s="229"/>
      <c r="E443" s="161"/>
      <c r="F443" s="161"/>
      <c r="G443" s="161"/>
      <c r="H443" s="171"/>
      <c r="I443" s="171"/>
      <c r="J443" s="171"/>
      <c r="K443" s="171"/>
      <c r="L443" s="171"/>
      <c r="M443" s="171"/>
      <c r="N443" s="171"/>
      <c r="O443" s="171"/>
      <c r="P443" s="171"/>
      <c r="Q443" s="171"/>
      <c r="R443" s="171"/>
      <c r="S443" s="171"/>
      <c r="T443" s="171"/>
      <c r="U443" s="171"/>
      <c r="V443" s="171"/>
      <c r="W443" s="171"/>
      <c r="X443" s="161"/>
      <c r="Y443" s="161"/>
      <c r="Z443" s="161"/>
      <c r="AA443" s="161"/>
      <c r="AB443" s="161"/>
      <c r="AC443" s="171"/>
      <c r="AD443" s="198"/>
    </row>
    <row r="444">
      <c r="A444" s="169"/>
      <c r="B444" s="169"/>
      <c r="C444" s="161"/>
      <c r="D444" s="229"/>
      <c r="E444" s="161"/>
      <c r="F444" s="161"/>
      <c r="G444" s="161"/>
      <c r="H444" s="171"/>
      <c r="I444" s="171"/>
      <c r="J444" s="171"/>
      <c r="K444" s="171"/>
      <c r="L444" s="171"/>
      <c r="M444" s="171"/>
      <c r="N444" s="171"/>
      <c r="O444" s="171"/>
      <c r="P444" s="171"/>
      <c r="Q444" s="171"/>
      <c r="R444" s="171"/>
      <c r="S444" s="171"/>
      <c r="T444" s="171"/>
      <c r="U444" s="171"/>
      <c r="V444" s="171"/>
      <c r="W444" s="171"/>
      <c r="X444" s="161"/>
      <c r="Y444" s="161"/>
      <c r="Z444" s="161"/>
      <c r="AA444" s="161"/>
      <c r="AB444" s="161"/>
      <c r="AC444" s="171"/>
      <c r="AD444" s="198"/>
    </row>
    <row r="445">
      <c r="A445" s="169"/>
      <c r="B445" s="169"/>
      <c r="C445" s="161"/>
      <c r="D445" s="229"/>
      <c r="E445" s="161"/>
      <c r="F445" s="161"/>
      <c r="G445" s="161"/>
      <c r="H445" s="171"/>
      <c r="I445" s="171"/>
      <c r="J445" s="171"/>
      <c r="K445" s="171"/>
      <c r="L445" s="171"/>
      <c r="M445" s="171"/>
      <c r="N445" s="171"/>
      <c r="O445" s="171"/>
      <c r="P445" s="171"/>
      <c r="Q445" s="171"/>
      <c r="R445" s="171"/>
      <c r="S445" s="171"/>
      <c r="T445" s="171"/>
      <c r="U445" s="171"/>
      <c r="V445" s="171"/>
      <c r="W445" s="171"/>
      <c r="X445" s="161"/>
      <c r="Y445" s="161"/>
      <c r="Z445" s="161"/>
      <c r="AA445" s="161"/>
      <c r="AB445" s="161"/>
      <c r="AC445" s="171"/>
      <c r="AD445" s="198"/>
    </row>
    <row r="446">
      <c r="A446" s="169"/>
      <c r="B446" s="169"/>
      <c r="C446" s="161"/>
      <c r="D446" s="229"/>
      <c r="E446" s="161"/>
      <c r="F446" s="161"/>
      <c r="G446" s="161"/>
      <c r="H446" s="171"/>
      <c r="I446" s="171"/>
      <c r="J446" s="171"/>
      <c r="K446" s="171"/>
      <c r="L446" s="171"/>
      <c r="M446" s="171"/>
      <c r="N446" s="171"/>
      <c r="O446" s="171"/>
      <c r="P446" s="171"/>
      <c r="Q446" s="171"/>
      <c r="R446" s="171"/>
      <c r="S446" s="171"/>
      <c r="T446" s="171"/>
      <c r="U446" s="171"/>
      <c r="V446" s="171"/>
      <c r="W446" s="171"/>
      <c r="X446" s="161"/>
      <c r="Y446" s="161"/>
      <c r="Z446" s="161"/>
      <c r="AA446" s="161"/>
      <c r="AB446" s="161"/>
      <c r="AC446" s="171"/>
      <c r="AD446" s="198"/>
    </row>
    <row r="447">
      <c r="A447" s="169"/>
      <c r="B447" s="169"/>
      <c r="C447" s="161"/>
      <c r="D447" s="229"/>
      <c r="E447" s="161"/>
      <c r="F447" s="161"/>
      <c r="G447" s="161"/>
      <c r="H447" s="171"/>
      <c r="I447" s="171"/>
      <c r="J447" s="171"/>
      <c r="K447" s="171"/>
      <c r="L447" s="171"/>
      <c r="M447" s="171"/>
      <c r="N447" s="171"/>
      <c r="O447" s="171"/>
      <c r="P447" s="171"/>
      <c r="Q447" s="171"/>
      <c r="R447" s="171"/>
      <c r="S447" s="171"/>
      <c r="T447" s="171"/>
      <c r="U447" s="171"/>
      <c r="V447" s="171"/>
      <c r="W447" s="171"/>
      <c r="X447" s="161"/>
      <c r="Y447" s="161"/>
      <c r="Z447" s="161"/>
      <c r="AA447" s="161"/>
      <c r="AB447" s="161"/>
      <c r="AC447" s="171"/>
      <c r="AD447" s="198"/>
    </row>
    <row r="448">
      <c r="A448" s="169"/>
      <c r="B448" s="169"/>
      <c r="C448" s="161"/>
      <c r="D448" s="229"/>
      <c r="E448" s="161"/>
      <c r="F448" s="161"/>
      <c r="G448" s="161"/>
      <c r="H448" s="171"/>
      <c r="I448" s="171"/>
      <c r="J448" s="171"/>
      <c r="K448" s="171"/>
      <c r="L448" s="171"/>
      <c r="M448" s="171"/>
      <c r="N448" s="171"/>
      <c r="O448" s="171"/>
      <c r="P448" s="171"/>
      <c r="Q448" s="171"/>
      <c r="R448" s="171"/>
      <c r="S448" s="171"/>
      <c r="T448" s="171"/>
      <c r="U448" s="171"/>
      <c r="V448" s="171"/>
      <c r="W448" s="171"/>
      <c r="X448" s="161"/>
      <c r="Y448" s="161"/>
      <c r="Z448" s="161"/>
      <c r="AA448" s="161"/>
      <c r="AB448" s="161"/>
      <c r="AC448" s="171"/>
      <c r="AD448" s="198"/>
    </row>
    <row r="449">
      <c r="A449" s="169"/>
      <c r="B449" s="169"/>
      <c r="C449" s="161"/>
      <c r="D449" s="229"/>
      <c r="E449" s="161"/>
      <c r="F449" s="161"/>
      <c r="G449" s="161"/>
      <c r="H449" s="171"/>
      <c r="I449" s="171"/>
      <c r="J449" s="171"/>
      <c r="K449" s="171"/>
      <c r="L449" s="171"/>
      <c r="M449" s="171"/>
      <c r="N449" s="171"/>
      <c r="O449" s="171"/>
      <c r="P449" s="171"/>
      <c r="Q449" s="171"/>
      <c r="R449" s="171"/>
      <c r="S449" s="171"/>
      <c r="T449" s="171"/>
      <c r="U449" s="171"/>
      <c r="V449" s="171"/>
      <c r="W449" s="171"/>
      <c r="X449" s="161"/>
      <c r="Y449" s="161"/>
      <c r="Z449" s="161"/>
      <c r="AA449" s="161"/>
      <c r="AB449" s="161"/>
      <c r="AC449" s="171"/>
      <c r="AD449" s="198"/>
    </row>
    <row r="450">
      <c r="A450" s="169"/>
      <c r="B450" s="169"/>
      <c r="C450" s="161"/>
      <c r="D450" s="229"/>
      <c r="E450" s="161"/>
      <c r="F450" s="161"/>
      <c r="G450" s="161"/>
      <c r="H450" s="171"/>
      <c r="I450" s="171"/>
      <c r="J450" s="171"/>
      <c r="K450" s="171"/>
      <c r="L450" s="171"/>
      <c r="M450" s="171"/>
      <c r="N450" s="171"/>
      <c r="O450" s="171"/>
      <c r="P450" s="171"/>
      <c r="Q450" s="171"/>
      <c r="R450" s="171"/>
      <c r="S450" s="171"/>
      <c r="T450" s="171"/>
      <c r="U450" s="171"/>
      <c r="V450" s="171"/>
      <c r="W450" s="171"/>
      <c r="X450" s="161"/>
      <c r="Y450" s="161"/>
      <c r="Z450" s="161"/>
      <c r="AA450" s="161"/>
      <c r="AB450" s="161"/>
      <c r="AC450" s="171"/>
      <c r="AD450" s="198"/>
    </row>
    <row r="451">
      <c r="A451" s="169"/>
      <c r="B451" s="169"/>
      <c r="C451" s="161"/>
      <c r="D451" s="229"/>
      <c r="E451" s="161"/>
      <c r="F451" s="161"/>
      <c r="G451" s="161"/>
      <c r="H451" s="171"/>
      <c r="I451" s="171"/>
      <c r="J451" s="171"/>
      <c r="K451" s="171"/>
      <c r="L451" s="171"/>
      <c r="M451" s="171"/>
      <c r="N451" s="171"/>
      <c r="O451" s="171"/>
      <c r="P451" s="171"/>
      <c r="Q451" s="171"/>
      <c r="R451" s="171"/>
      <c r="S451" s="171"/>
      <c r="T451" s="171"/>
      <c r="U451" s="171"/>
      <c r="V451" s="171"/>
      <c r="W451" s="171"/>
      <c r="X451" s="161"/>
      <c r="Y451" s="161"/>
      <c r="Z451" s="161"/>
      <c r="AA451" s="161"/>
      <c r="AB451" s="161"/>
      <c r="AC451" s="171"/>
      <c r="AD451" s="198"/>
    </row>
    <row r="452">
      <c r="A452" s="169"/>
      <c r="B452" s="169"/>
      <c r="C452" s="161"/>
      <c r="D452" s="229"/>
      <c r="E452" s="161"/>
      <c r="F452" s="161"/>
      <c r="G452" s="161"/>
      <c r="H452" s="171"/>
      <c r="I452" s="171"/>
      <c r="J452" s="171"/>
      <c r="K452" s="171"/>
      <c r="L452" s="171"/>
      <c r="M452" s="171"/>
      <c r="N452" s="171"/>
      <c r="O452" s="171"/>
      <c r="P452" s="171"/>
      <c r="Q452" s="171"/>
      <c r="R452" s="171"/>
      <c r="S452" s="171"/>
      <c r="T452" s="171"/>
      <c r="U452" s="171"/>
      <c r="V452" s="171"/>
      <c r="W452" s="171"/>
      <c r="X452" s="161"/>
      <c r="Y452" s="161"/>
      <c r="Z452" s="161"/>
      <c r="AA452" s="161"/>
      <c r="AB452" s="161"/>
      <c r="AC452" s="171"/>
      <c r="AD452" s="198"/>
    </row>
    <row r="453">
      <c r="A453" s="169"/>
      <c r="B453" s="169"/>
      <c r="C453" s="161"/>
      <c r="D453" s="229"/>
      <c r="E453" s="161"/>
      <c r="F453" s="161"/>
      <c r="G453" s="161"/>
      <c r="H453" s="171"/>
      <c r="I453" s="171"/>
      <c r="J453" s="171"/>
      <c r="K453" s="171"/>
      <c r="L453" s="171"/>
      <c r="M453" s="171"/>
      <c r="N453" s="171"/>
      <c r="O453" s="171"/>
      <c r="P453" s="171"/>
      <c r="Q453" s="171"/>
      <c r="R453" s="171"/>
      <c r="S453" s="171"/>
      <c r="T453" s="171"/>
      <c r="U453" s="171"/>
      <c r="V453" s="171"/>
      <c r="W453" s="171"/>
      <c r="X453" s="161"/>
      <c r="Y453" s="161"/>
      <c r="Z453" s="161"/>
      <c r="AA453" s="161"/>
      <c r="AB453" s="161"/>
      <c r="AC453" s="171"/>
      <c r="AD453" s="198"/>
    </row>
    <row r="454">
      <c r="A454" s="169"/>
      <c r="B454" s="169"/>
      <c r="C454" s="161"/>
      <c r="D454" s="229"/>
      <c r="E454" s="161"/>
      <c r="F454" s="161"/>
      <c r="G454" s="161"/>
      <c r="H454" s="171"/>
      <c r="I454" s="171"/>
      <c r="J454" s="171"/>
      <c r="K454" s="171"/>
      <c r="L454" s="171"/>
      <c r="M454" s="171"/>
      <c r="N454" s="171"/>
      <c r="O454" s="171"/>
      <c r="P454" s="171"/>
      <c r="Q454" s="171"/>
      <c r="R454" s="171"/>
      <c r="S454" s="171"/>
      <c r="T454" s="171"/>
      <c r="U454" s="171"/>
      <c r="V454" s="171"/>
      <c r="W454" s="171"/>
      <c r="X454" s="161"/>
      <c r="Y454" s="161"/>
      <c r="Z454" s="161"/>
      <c r="AA454" s="161"/>
      <c r="AB454" s="161"/>
      <c r="AC454" s="171"/>
      <c r="AD454" s="198"/>
    </row>
    <row r="455">
      <c r="A455" s="169"/>
      <c r="B455" s="169"/>
      <c r="C455" s="161"/>
      <c r="D455" s="229"/>
      <c r="E455" s="161"/>
      <c r="F455" s="161"/>
      <c r="G455" s="161"/>
      <c r="H455" s="171"/>
      <c r="I455" s="171"/>
      <c r="J455" s="171"/>
      <c r="K455" s="171"/>
      <c r="L455" s="171"/>
      <c r="M455" s="171"/>
      <c r="N455" s="171"/>
      <c r="O455" s="171"/>
      <c r="P455" s="171"/>
      <c r="Q455" s="171"/>
      <c r="R455" s="171"/>
      <c r="S455" s="171"/>
      <c r="T455" s="171"/>
      <c r="U455" s="171"/>
      <c r="V455" s="171"/>
      <c r="W455" s="171"/>
      <c r="X455" s="161"/>
      <c r="Y455" s="161"/>
      <c r="Z455" s="161"/>
      <c r="AA455" s="161"/>
      <c r="AB455" s="161"/>
      <c r="AC455" s="171"/>
      <c r="AD455" s="198"/>
    </row>
    <row r="456">
      <c r="A456" s="169"/>
      <c r="B456" s="169"/>
      <c r="C456" s="161"/>
      <c r="D456" s="229"/>
      <c r="E456" s="161"/>
      <c r="F456" s="161"/>
      <c r="G456" s="161"/>
      <c r="H456" s="171"/>
      <c r="I456" s="171"/>
      <c r="J456" s="171"/>
      <c r="K456" s="171"/>
      <c r="L456" s="171"/>
      <c r="M456" s="171"/>
      <c r="N456" s="171"/>
      <c r="O456" s="171"/>
      <c r="P456" s="171"/>
      <c r="Q456" s="171"/>
      <c r="R456" s="171"/>
      <c r="S456" s="171"/>
      <c r="T456" s="171"/>
      <c r="U456" s="171"/>
      <c r="V456" s="171"/>
      <c r="W456" s="171"/>
      <c r="X456" s="161"/>
      <c r="Y456" s="161"/>
      <c r="Z456" s="161"/>
      <c r="AA456" s="161"/>
      <c r="AB456" s="161"/>
      <c r="AC456" s="171"/>
      <c r="AD456" s="198"/>
    </row>
    <row r="457">
      <c r="A457" s="169"/>
      <c r="B457" s="169"/>
      <c r="C457" s="161"/>
      <c r="D457" s="229"/>
      <c r="E457" s="161"/>
      <c r="F457" s="161"/>
      <c r="G457" s="161"/>
      <c r="H457" s="171"/>
      <c r="I457" s="171"/>
      <c r="J457" s="171"/>
      <c r="K457" s="171"/>
      <c r="L457" s="171"/>
      <c r="M457" s="171"/>
      <c r="N457" s="171"/>
      <c r="O457" s="171"/>
      <c r="P457" s="171"/>
      <c r="Q457" s="171"/>
      <c r="R457" s="171"/>
      <c r="S457" s="171"/>
      <c r="T457" s="171"/>
      <c r="U457" s="171"/>
      <c r="V457" s="171"/>
      <c r="W457" s="171"/>
      <c r="X457" s="161"/>
      <c r="Y457" s="161"/>
      <c r="Z457" s="161"/>
      <c r="AA457" s="161"/>
      <c r="AB457" s="161"/>
      <c r="AC457" s="171"/>
      <c r="AD457" s="198"/>
    </row>
    <row r="458">
      <c r="A458" s="169"/>
      <c r="B458" s="169"/>
      <c r="C458" s="161"/>
      <c r="D458" s="229"/>
      <c r="E458" s="161"/>
      <c r="F458" s="161"/>
      <c r="G458" s="161"/>
      <c r="H458" s="171"/>
      <c r="I458" s="171"/>
      <c r="J458" s="171"/>
      <c r="K458" s="171"/>
      <c r="L458" s="171"/>
      <c r="M458" s="171"/>
      <c r="N458" s="171"/>
      <c r="O458" s="171"/>
      <c r="P458" s="171"/>
      <c r="Q458" s="171"/>
      <c r="R458" s="171"/>
      <c r="S458" s="171"/>
      <c r="T458" s="171"/>
      <c r="U458" s="171"/>
      <c r="V458" s="171"/>
      <c r="W458" s="171"/>
      <c r="X458" s="161"/>
      <c r="Y458" s="161"/>
      <c r="Z458" s="161"/>
      <c r="AA458" s="161"/>
      <c r="AB458" s="161"/>
      <c r="AC458" s="171"/>
      <c r="AD458" s="198"/>
    </row>
    <row r="459">
      <c r="A459" s="169"/>
      <c r="B459" s="169"/>
      <c r="C459" s="161"/>
      <c r="D459" s="229"/>
      <c r="E459" s="161"/>
      <c r="F459" s="161"/>
      <c r="G459" s="161"/>
      <c r="H459" s="171"/>
      <c r="I459" s="171"/>
      <c r="J459" s="171"/>
      <c r="K459" s="171"/>
      <c r="L459" s="171"/>
      <c r="M459" s="171"/>
      <c r="N459" s="171"/>
      <c r="O459" s="171"/>
      <c r="P459" s="171"/>
      <c r="Q459" s="171"/>
      <c r="R459" s="171"/>
      <c r="S459" s="171"/>
      <c r="T459" s="171"/>
      <c r="U459" s="171"/>
      <c r="V459" s="171"/>
      <c r="W459" s="171"/>
      <c r="X459" s="161"/>
      <c r="Y459" s="161"/>
      <c r="Z459" s="161"/>
      <c r="AA459" s="161"/>
      <c r="AB459" s="161"/>
      <c r="AC459" s="171"/>
      <c r="AD459" s="198"/>
    </row>
    <row r="460">
      <c r="A460" s="169"/>
      <c r="B460" s="169"/>
      <c r="C460" s="161"/>
      <c r="D460" s="229"/>
      <c r="E460" s="161"/>
      <c r="F460" s="161"/>
      <c r="G460" s="161"/>
      <c r="H460" s="171"/>
      <c r="I460" s="171"/>
      <c r="J460" s="171"/>
      <c r="K460" s="171"/>
      <c r="L460" s="171"/>
      <c r="M460" s="171"/>
      <c r="N460" s="171"/>
      <c r="O460" s="171"/>
      <c r="P460" s="171"/>
      <c r="Q460" s="171"/>
      <c r="R460" s="171"/>
      <c r="S460" s="171"/>
      <c r="T460" s="171"/>
      <c r="U460" s="171"/>
      <c r="V460" s="171"/>
      <c r="W460" s="171"/>
      <c r="X460" s="161"/>
      <c r="Y460" s="161"/>
      <c r="Z460" s="161"/>
      <c r="AA460" s="161"/>
      <c r="AB460" s="161"/>
      <c r="AC460" s="171"/>
      <c r="AD460" s="198"/>
    </row>
    <row r="461">
      <c r="A461" s="169"/>
      <c r="B461" s="169"/>
      <c r="C461" s="161"/>
      <c r="D461" s="229"/>
      <c r="E461" s="161"/>
      <c r="F461" s="161"/>
      <c r="G461" s="161"/>
      <c r="H461" s="171"/>
      <c r="I461" s="171"/>
      <c r="J461" s="171"/>
      <c r="K461" s="171"/>
      <c r="L461" s="171"/>
      <c r="M461" s="171"/>
      <c r="N461" s="171"/>
      <c r="O461" s="171"/>
      <c r="P461" s="171"/>
      <c r="Q461" s="171"/>
      <c r="R461" s="171"/>
      <c r="S461" s="171"/>
      <c r="T461" s="171"/>
      <c r="U461" s="171"/>
      <c r="V461" s="171"/>
      <c r="W461" s="171"/>
      <c r="X461" s="161"/>
      <c r="Y461" s="161"/>
      <c r="Z461" s="161"/>
      <c r="AA461" s="161"/>
      <c r="AB461" s="161"/>
      <c r="AC461" s="171"/>
      <c r="AD461" s="198"/>
    </row>
    <row r="462">
      <c r="A462" s="169"/>
      <c r="B462" s="169"/>
      <c r="C462" s="161"/>
      <c r="D462" s="229"/>
      <c r="E462" s="161"/>
      <c r="F462" s="161"/>
      <c r="G462" s="161"/>
      <c r="H462" s="171"/>
      <c r="I462" s="171"/>
      <c r="J462" s="171"/>
      <c r="K462" s="171"/>
      <c r="L462" s="171"/>
      <c r="M462" s="171"/>
      <c r="N462" s="171"/>
      <c r="O462" s="171"/>
      <c r="P462" s="171"/>
      <c r="Q462" s="171"/>
      <c r="R462" s="171"/>
      <c r="S462" s="171"/>
      <c r="T462" s="171"/>
      <c r="U462" s="171"/>
      <c r="V462" s="171"/>
      <c r="W462" s="171"/>
      <c r="X462" s="161"/>
      <c r="Y462" s="161"/>
      <c r="Z462" s="161"/>
      <c r="AA462" s="161"/>
      <c r="AB462" s="161"/>
      <c r="AC462" s="171"/>
      <c r="AD462" s="198"/>
    </row>
    <row r="463">
      <c r="A463" s="169"/>
      <c r="B463" s="169"/>
      <c r="C463" s="161"/>
      <c r="D463" s="229"/>
      <c r="E463" s="161"/>
      <c r="F463" s="161"/>
      <c r="G463" s="161"/>
      <c r="H463" s="171"/>
      <c r="I463" s="171"/>
      <c r="J463" s="171"/>
      <c r="K463" s="171"/>
      <c r="L463" s="171"/>
      <c r="M463" s="171"/>
      <c r="N463" s="171"/>
      <c r="O463" s="171"/>
      <c r="P463" s="171"/>
      <c r="Q463" s="171"/>
      <c r="R463" s="171"/>
      <c r="S463" s="171"/>
      <c r="T463" s="171"/>
      <c r="U463" s="171"/>
      <c r="V463" s="171"/>
      <c r="W463" s="171"/>
      <c r="X463" s="161"/>
      <c r="Y463" s="161"/>
      <c r="Z463" s="161"/>
      <c r="AA463" s="161"/>
      <c r="AB463" s="161"/>
      <c r="AC463" s="171"/>
      <c r="AD463" s="198"/>
    </row>
    <row r="464">
      <c r="A464" s="169"/>
      <c r="B464" s="169"/>
      <c r="C464" s="161"/>
      <c r="D464" s="229"/>
      <c r="E464" s="161"/>
      <c r="F464" s="161"/>
      <c r="G464" s="161"/>
      <c r="H464" s="171"/>
      <c r="I464" s="171"/>
      <c r="J464" s="171"/>
      <c r="K464" s="171"/>
      <c r="L464" s="171"/>
      <c r="M464" s="171"/>
      <c r="N464" s="171"/>
      <c r="O464" s="171"/>
      <c r="P464" s="171"/>
      <c r="Q464" s="171"/>
      <c r="R464" s="171"/>
      <c r="S464" s="171"/>
      <c r="T464" s="171"/>
      <c r="U464" s="171"/>
      <c r="V464" s="171"/>
      <c r="W464" s="171"/>
      <c r="X464" s="161"/>
      <c r="Y464" s="161"/>
      <c r="Z464" s="161"/>
      <c r="AA464" s="161"/>
      <c r="AB464" s="161"/>
      <c r="AC464" s="171"/>
      <c r="AD464" s="198"/>
    </row>
    <row r="465">
      <c r="A465" s="169"/>
      <c r="B465" s="169"/>
      <c r="C465" s="161"/>
      <c r="D465" s="229"/>
      <c r="E465" s="161"/>
      <c r="F465" s="161"/>
      <c r="G465" s="161"/>
      <c r="H465" s="171"/>
      <c r="I465" s="171"/>
      <c r="J465" s="171"/>
      <c r="K465" s="171"/>
      <c r="L465" s="171"/>
      <c r="M465" s="171"/>
      <c r="N465" s="171"/>
      <c r="O465" s="171"/>
      <c r="P465" s="171"/>
      <c r="Q465" s="171"/>
      <c r="R465" s="171"/>
      <c r="S465" s="171"/>
      <c r="T465" s="171"/>
      <c r="U465" s="171"/>
      <c r="V465" s="171"/>
      <c r="W465" s="171"/>
      <c r="X465" s="161"/>
      <c r="Y465" s="161"/>
      <c r="Z465" s="161"/>
      <c r="AA465" s="161"/>
      <c r="AB465" s="161"/>
      <c r="AC465" s="171"/>
      <c r="AD465" s="198"/>
    </row>
    <row r="466">
      <c r="A466" s="169"/>
      <c r="B466" s="169"/>
      <c r="C466" s="161"/>
      <c r="D466" s="229"/>
      <c r="E466" s="161"/>
      <c r="F466" s="161"/>
      <c r="G466" s="161"/>
      <c r="H466" s="171"/>
      <c r="I466" s="171"/>
      <c r="J466" s="171"/>
      <c r="K466" s="171"/>
      <c r="L466" s="171"/>
      <c r="M466" s="171"/>
      <c r="N466" s="171"/>
      <c r="O466" s="171"/>
      <c r="P466" s="171"/>
      <c r="Q466" s="171"/>
      <c r="R466" s="171"/>
      <c r="S466" s="171"/>
      <c r="T466" s="171"/>
      <c r="U466" s="171"/>
      <c r="V466" s="171"/>
      <c r="W466" s="171"/>
      <c r="X466" s="161"/>
      <c r="Y466" s="161"/>
      <c r="Z466" s="161"/>
      <c r="AA466" s="161"/>
      <c r="AB466" s="161"/>
      <c r="AC466" s="171"/>
      <c r="AD466" s="198"/>
    </row>
    <row r="467">
      <c r="A467" s="169"/>
      <c r="B467" s="169"/>
      <c r="C467" s="161"/>
      <c r="D467" s="229"/>
      <c r="E467" s="161"/>
      <c r="F467" s="161"/>
      <c r="G467" s="161"/>
      <c r="H467" s="171"/>
      <c r="I467" s="171"/>
      <c r="J467" s="171"/>
      <c r="K467" s="171"/>
      <c r="L467" s="171"/>
      <c r="M467" s="171"/>
      <c r="N467" s="171"/>
      <c r="O467" s="171"/>
      <c r="P467" s="171"/>
      <c r="Q467" s="171"/>
      <c r="R467" s="171"/>
      <c r="S467" s="171"/>
      <c r="T467" s="171"/>
      <c r="U467" s="171"/>
      <c r="V467" s="171"/>
      <c r="W467" s="171"/>
      <c r="X467" s="161"/>
      <c r="Y467" s="161"/>
      <c r="Z467" s="161"/>
      <c r="AA467" s="161"/>
      <c r="AB467" s="161"/>
      <c r="AC467" s="171"/>
      <c r="AD467" s="198"/>
    </row>
    <row r="468">
      <c r="A468" s="169"/>
      <c r="B468" s="169"/>
      <c r="C468" s="161"/>
      <c r="D468" s="229"/>
      <c r="E468" s="161"/>
      <c r="F468" s="161"/>
      <c r="G468" s="161"/>
      <c r="H468" s="171"/>
      <c r="I468" s="171"/>
      <c r="J468" s="171"/>
      <c r="K468" s="171"/>
      <c r="L468" s="171"/>
      <c r="M468" s="171"/>
      <c r="N468" s="171"/>
      <c r="O468" s="171"/>
      <c r="P468" s="171"/>
      <c r="Q468" s="171"/>
      <c r="R468" s="171"/>
      <c r="S468" s="171"/>
      <c r="T468" s="171"/>
      <c r="U468" s="171"/>
      <c r="V468" s="171"/>
      <c r="W468" s="171"/>
      <c r="X468" s="161"/>
      <c r="Y468" s="161"/>
      <c r="Z468" s="161"/>
      <c r="AA468" s="161"/>
      <c r="AB468" s="161"/>
      <c r="AC468" s="171"/>
      <c r="AD468" s="198"/>
    </row>
    <row r="469">
      <c r="A469" s="169"/>
      <c r="B469" s="169"/>
      <c r="C469" s="161"/>
      <c r="D469" s="229"/>
      <c r="E469" s="161"/>
      <c r="F469" s="161"/>
      <c r="G469" s="161"/>
      <c r="H469" s="171"/>
      <c r="I469" s="171"/>
      <c r="J469" s="171"/>
      <c r="K469" s="171"/>
      <c r="L469" s="171"/>
      <c r="M469" s="171"/>
      <c r="N469" s="171"/>
      <c r="O469" s="171"/>
      <c r="P469" s="171"/>
      <c r="Q469" s="171"/>
      <c r="R469" s="171"/>
      <c r="S469" s="171"/>
      <c r="T469" s="171"/>
      <c r="U469" s="171"/>
      <c r="V469" s="171"/>
      <c r="W469" s="171"/>
      <c r="X469" s="161"/>
      <c r="Y469" s="161"/>
      <c r="Z469" s="161"/>
      <c r="AA469" s="161"/>
      <c r="AB469" s="161"/>
      <c r="AC469" s="171"/>
      <c r="AD469" s="198"/>
    </row>
    <row r="470">
      <c r="A470" s="169"/>
      <c r="B470" s="169"/>
      <c r="C470" s="161"/>
      <c r="D470" s="229"/>
      <c r="E470" s="161"/>
      <c r="F470" s="161"/>
      <c r="G470" s="161"/>
      <c r="H470" s="171"/>
      <c r="I470" s="171"/>
      <c r="J470" s="171"/>
      <c r="K470" s="171"/>
      <c r="L470" s="171"/>
      <c r="M470" s="171"/>
      <c r="N470" s="171"/>
      <c r="O470" s="171"/>
      <c r="P470" s="171"/>
      <c r="Q470" s="171"/>
      <c r="R470" s="171"/>
      <c r="S470" s="171"/>
      <c r="T470" s="171"/>
      <c r="U470" s="171"/>
      <c r="V470" s="171"/>
      <c r="W470" s="171"/>
      <c r="X470" s="161"/>
      <c r="Y470" s="161"/>
      <c r="Z470" s="161"/>
      <c r="AA470" s="161"/>
      <c r="AB470" s="161"/>
      <c r="AC470" s="171"/>
      <c r="AD470" s="198"/>
    </row>
    <row r="471">
      <c r="A471" s="169"/>
      <c r="B471" s="169"/>
      <c r="C471" s="161"/>
      <c r="D471" s="229"/>
      <c r="E471" s="161"/>
      <c r="F471" s="161"/>
      <c r="G471" s="161"/>
      <c r="H471" s="171"/>
      <c r="I471" s="171"/>
      <c r="J471" s="171"/>
      <c r="K471" s="171"/>
      <c r="L471" s="171"/>
      <c r="M471" s="171"/>
      <c r="N471" s="171"/>
      <c r="O471" s="171"/>
      <c r="P471" s="171"/>
      <c r="Q471" s="171"/>
      <c r="R471" s="171"/>
      <c r="S471" s="171"/>
      <c r="T471" s="171"/>
      <c r="U471" s="171"/>
      <c r="V471" s="171"/>
      <c r="W471" s="171"/>
      <c r="X471" s="161"/>
      <c r="Y471" s="161"/>
      <c r="Z471" s="161"/>
      <c r="AA471" s="161"/>
      <c r="AB471" s="161"/>
      <c r="AC471" s="171"/>
      <c r="AD471" s="198"/>
    </row>
    <row r="472">
      <c r="A472" s="169"/>
      <c r="B472" s="169"/>
      <c r="C472" s="161"/>
      <c r="D472" s="229"/>
      <c r="E472" s="161"/>
      <c r="F472" s="161"/>
      <c r="G472" s="161"/>
      <c r="H472" s="171"/>
      <c r="I472" s="171"/>
      <c r="J472" s="171"/>
      <c r="K472" s="171"/>
      <c r="L472" s="171"/>
      <c r="M472" s="171"/>
      <c r="N472" s="171"/>
      <c r="O472" s="171"/>
      <c r="P472" s="171"/>
      <c r="Q472" s="171"/>
      <c r="R472" s="171"/>
      <c r="S472" s="171"/>
      <c r="T472" s="171"/>
      <c r="U472" s="171"/>
      <c r="V472" s="171"/>
      <c r="W472" s="171"/>
      <c r="X472" s="161"/>
      <c r="Y472" s="161"/>
      <c r="Z472" s="161"/>
      <c r="AA472" s="161"/>
      <c r="AB472" s="161"/>
      <c r="AC472" s="171"/>
      <c r="AD472" s="198"/>
    </row>
    <row r="473">
      <c r="A473" s="169"/>
      <c r="B473" s="169"/>
      <c r="C473" s="161"/>
      <c r="D473" s="229"/>
      <c r="E473" s="161"/>
      <c r="F473" s="161"/>
      <c r="G473" s="161"/>
      <c r="H473" s="171"/>
      <c r="I473" s="171"/>
      <c r="J473" s="171"/>
      <c r="K473" s="171"/>
      <c r="L473" s="171"/>
      <c r="M473" s="171"/>
      <c r="N473" s="171"/>
      <c r="O473" s="171"/>
      <c r="P473" s="171"/>
      <c r="Q473" s="171"/>
      <c r="R473" s="171"/>
      <c r="S473" s="171"/>
      <c r="T473" s="171"/>
      <c r="U473" s="171"/>
      <c r="V473" s="171"/>
      <c r="W473" s="171"/>
      <c r="X473" s="161"/>
      <c r="Y473" s="161"/>
      <c r="Z473" s="161"/>
      <c r="AA473" s="161"/>
      <c r="AB473" s="161"/>
      <c r="AC473" s="171"/>
      <c r="AD473" s="198"/>
    </row>
    <row r="474">
      <c r="A474" s="169"/>
      <c r="B474" s="169"/>
      <c r="C474" s="161"/>
      <c r="D474" s="229"/>
      <c r="E474" s="161"/>
      <c r="F474" s="161"/>
      <c r="G474" s="161"/>
      <c r="H474" s="171"/>
      <c r="I474" s="171"/>
      <c r="J474" s="171"/>
      <c r="K474" s="171"/>
      <c r="L474" s="171"/>
      <c r="M474" s="171"/>
      <c r="N474" s="171"/>
      <c r="O474" s="171"/>
      <c r="P474" s="171"/>
      <c r="Q474" s="171"/>
      <c r="R474" s="171"/>
      <c r="S474" s="171"/>
      <c r="T474" s="171"/>
      <c r="U474" s="171"/>
      <c r="V474" s="171"/>
      <c r="W474" s="171"/>
      <c r="X474" s="161"/>
      <c r="Y474" s="161"/>
      <c r="Z474" s="161"/>
      <c r="AA474" s="161"/>
      <c r="AB474" s="161"/>
      <c r="AC474" s="171"/>
      <c r="AD474" s="198"/>
    </row>
    <row r="475">
      <c r="A475" s="169"/>
      <c r="B475" s="169"/>
      <c r="C475" s="161"/>
      <c r="D475" s="229"/>
      <c r="E475" s="161"/>
      <c r="F475" s="161"/>
      <c r="G475" s="161"/>
      <c r="H475" s="171"/>
      <c r="I475" s="171"/>
      <c r="J475" s="171"/>
      <c r="K475" s="171"/>
      <c r="L475" s="171"/>
      <c r="M475" s="171"/>
      <c r="N475" s="171"/>
      <c r="O475" s="171"/>
      <c r="P475" s="171"/>
      <c r="Q475" s="171"/>
      <c r="R475" s="171"/>
      <c r="S475" s="171"/>
      <c r="T475" s="171"/>
      <c r="U475" s="171"/>
      <c r="V475" s="171"/>
      <c r="W475" s="171"/>
      <c r="X475" s="161"/>
      <c r="Y475" s="161"/>
      <c r="Z475" s="161"/>
      <c r="AA475" s="161"/>
      <c r="AB475" s="161"/>
      <c r="AC475" s="171"/>
      <c r="AD475" s="198"/>
    </row>
    <row r="476">
      <c r="A476" s="169"/>
      <c r="B476" s="169"/>
      <c r="C476" s="161"/>
      <c r="D476" s="229"/>
      <c r="E476" s="161"/>
      <c r="F476" s="161"/>
      <c r="G476" s="161"/>
      <c r="H476" s="171"/>
      <c r="I476" s="171"/>
      <c r="J476" s="171"/>
      <c r="K476" s="171"/>
      <c r="L476" s="171"/>
      <c r="M476" s="171"/>
      <c r="N476" s="171"/>
      <c r="O476" s="171"/>
      <c r="P476" s="171"/>
      <c r="Q476" s="171"/>
      <c r="R476" s="171"/>
      <c r="S476" s="171"/>
      <c r="T476" s="171"/>
      <c r="U476" s="171"/>
      <c r="V476" s="171"/>
      <c r="W476" s="171"/>
      <c r="X476" s="161"/>
      <c r="Y476" s="161"/>
      <c r="Z476" s="161"/>
      <c r="AA476" s="161"/>
      <c r="AB476" s="161"/>
      <c r="AC476" s="171"/>
      <c r="AD476" s="198"/>
    </row>
    <row r="477">
      <c r="A477" s="169"/>
      <c r="B477" s="169"/>
      <c r="C477" s="161"/>
      <c r="D477" s="229"/>
      <c r="E477" s="161"/>
      <c r="F477" s="161"/>
      <c r="G477" s="161"/>
      <c r="H477" s="171"/>
      <c r="I477" s="171"/>
      <c r="J477" s="171"/>
      <c r="K477" s="171"/>
      <c r="L477" s="171"/>
      <c r="M477" s="171"/>
      <c r="N477" s="171"/>
      <c r="O477" s="171"/>
      <c r="P477" s="171"/>
      <c r="Q477" s="171"/>
      <c r="R477" s="171"/>
      <c r="S477" s="171"/>
      <c r="T477" s="171"/>
      <c r="U477" s="171"/>
      <c r="V477" s="171"/>
      <c r="W477" s="171"/>
      <c r="X477" s="161"/>
      <c r="Y477" s="161"/>
      <c r="Z477" s="161"/>
      <c r="AA477" s="161"/>
      <c r="AB477" s="161"/>
      <c r="AC477" s="171"/>
      <c r="AD477" s="198"/>
    </row>
    <row r="478">
      <c r="A478" s="169"/>
      <c r="B478" s="169"/>
      <c r="C478" s="161"/>
      <c r="D478" s="229"/>
      <c r="E478" s="161"/>
      <c r="F478" s="161"/>
      <c r="G478" s="161"/>
      <c r="H478" s="171"/>
      <c r="I478" s="171"/>
      <c r="J478" s="171"/>
      <c r="K478" s="171"/>
      <c r="L478" s="171"/>
      <c r="M478" s="171"/>
      <c r="N478" s="171"/>
      <c r="O478" s="171"/>
      <c r="P478" s="171"/>
      <c r="Q478" s="171"/>
      <c r="R478" s="171"/>
      <c r="S478" s="171"/>
      <c r="T478" s="171"/>
      <c r="U478" s="171"/>
      <c r="V478" s="171"/>
      <c r="W478" s="171"/>
      <c r="X478" s="161"/>
      <c r="Y478" s="161"/>
      <c r="Z478" s="161"/>
      <c r="AA478" s="161"/>
      <c r="AB478" s="161"/>
      <c r="AC478" s="171"/>
      <c r="AD478" s="198"/>
    </row>
    <row r="479">
      <c r="A479" s="169"/>
      <c r="B479" s="169"/>
      <c r="C479" s="161"/>
      <c r="D479" s="229"/>
      <c r="E479" s="161"/>
      <c r="F479" s="161"/>
      <c r="G479" s="161"/>
      <c r="H479" s="171"/>
      <c r="I479" s="171"/>
      <c r="J479" s="171"/>
      <c r="K479" s="171"/>
      <c r="L479" s="171"/>
      <c r="M479" s="171"/>
      <c r="N479" s="171"/>
      <c r="O479" s="171"/>
      <c r="P479" s="171"/>
      <c r="Q479" s="171"/>
      <c r="R479" s="171"/>
      <c r="S479" s="171"/>
      <c r="T479" s="171"/>
      <c r="U479" s="171"/>
      <c r="V479" s="171"/>
      <c r="W479" s="171"/>
      <c r="X479" s="161"/>
      <c r="Y479" s="161"/>
      <c r="Z479" s="161"/>
      <c r="AA479" s="161"/>
      <c r="AB479" s="161"/>
      <c r="AC479" s="171"/>
      <c r="AD479" s="198"/>
    </row>
    <row r="480">
      <c r="A480" s="169"/>
      <c r="B480" s="169"/>
      <c r="C480" s="161"/>
      <c r="D480" s="229"/>
      <c r="E480" s="161"/>
      <c r="F480" s="161"/>
      <c r="G480" s="161"/>
      <c r="H480" s="171"/>
      <c r="I480" s="171"/>
      <c r="J480" s="171"/>
      <c r="K480" s="171"/>
      <c r="L480" s="171"/>
      <c r="M480" s="171"/>
      <c r="N480" s="171"/>
      <c r="O480" s="171"/>
      <c r="P480" s="171"/>
      <c r="Q480" s="171"/>
      <c r="R480" s="171"/>
      <c r="S480" s="171"/>
      <c r="T480" s="171"/>
      <c r="U480" s="171"/>
      <c r="V480" s="171"/>
      <c r="W480" s="171"/>
      <c r="X480" s="161"/>
      <c r="Y480" s="161"/>
      <c r="Z480" s="161"/>
      <c r="AA480" s="161"/>
      <c r="AB480" s="161"/>
      <c r="AC480" s="171"/>
      <c r="AD480" s="198"/>
    </row>
    <row r="481">
      <c r="A481" s="169"/>
      <c r="B481" s="169"/>
      <c r="C481" s="161"/>
      <c r="D481" s="229"/>
      <c r="E481" s="161"/>
      <c r="F481" s="161"/>
      <c r="G481" s="161"/>
      <c r="H481" s="171"/>
      <c r="I481" s="171"/>
      <c r="J481" s="171"/>
      <c r="K481" s="171"/>
      <c r="L481" s="171"/>
      <c r="M481" s="171"/>
      <c r="N481" s="171"/>
      <c r="O481" s="171"/>
      <c r="P481" s="171"/>
      <c r="Q481" s="171"/>
      <c r="R481" s="171"/>
      <c r="S481" s="171"/>
      <c r="T481" s="171"/>
      <c r="U481" s="171"/>
      <c r="V481" s="171"/>
      <c r="W481" s="171"/>
      <c r="X481" s="161"/>
      <c r="Y481" s="161"/>
      <c r="Z481" s="161"/>
      <c r="AA481" s="161"/>
      <c r="AB481" s="161"/>
      <c r="AC481" s="171"/>
      <c r="AD481" s="198"/>
    </row>
    <row r="482">
      <c r="A482" s="169"/>
      <c r="B482" s="169"/>
      <c r="C482" s="161"/>
      <c r="D482" s="229"/>
      <c r="E482" s="161"/>
      <c r="F482" s="161"/>
      <c r="G482" s="161"/>
      <c r="H482" s="171"/>
      <c r="I482" s="171"/>
      <c r="J482" s="171"/>
      <c r="K482" s="171"/>
      <c r="L482" s="171"/>
      <c r="M482" s="171"/>
      <c r="N482" s="171"/>
      <c r="O482" s="171"/>
      <c r="P482" s="171"/>
      <c r="Q482" s="171"/>
      <c r="R482" s="171"/>
      <c r="S482" s="171"/>
      <c r="T482" s="171"/>
      <c r="U482" s="171"/>
      <c r="V482" s="171"/>
      <c r="W482" s="171"/>
      <c r="X482" s="161"/>
      <c r="Y482" s="161"/>
      <c r="Z482" s="161"/>
      <c r="AA482" s="161"/>
      <c r="AB482" s="161"/>
      <c r="AC482" s="171"/>
      <c r="AD482" s="198"/>
    </row>
    <row r="483">
      <c r="A483" s="169"/>
      <c r="B483" s="169"/>
      <c r="C483" s="161"/>
      <c r="D483" s="229"/>
      <c r="E483" s="161"/>
      <c r="F483" s="161"/>
      <c r="G483" s="161"/>
      <c r="H483" s="171"/>
      <c r="I483" s="171"/>
      <c r="J483" s="171"/>
      <c r="K483" s="171"/>
      <c r="L483" s="171"/>
      <c r="M483" s="171"/>
      <c r="N483" s="171"/>
      <c r="O483" s="171"/>
      <c r="P483" s="171"/>
      <c r="Q483" s="171"/>
      <c r="R483" s="171"/>
      <c r="S483" s="171"/>
      <c r="T483" s="171"/>
      <c r="U483" s="171"/>
      <c r="V483" s="171"/>
      <c r="W483" s="171"/>
      <c r="X483" s="161"/>
      <c r="Y483" s="161"/>
      <c r="Z483" s="161"/>
      <c r="AA483" s="161"/>
      <c r="AB483" s="161"/>
      <c r="AC483" s="171"/>
      <c r="AD483" s="198"/>
    </row>
    <row r="484">
      <c r="A484" s="169"/>
      <c r="B484" s="169"/>
      <c r="C484" s="161"/>
      <c r="D484" s="229"/>
      <c r="E484" s="161"/>
      <c r="F484" s="161"/>
      <c r="G484" s="161"/>
      <c r="H484" s="171"/>
      <c r="I484" s="171"/>
      <c r="J484" s="171"/>
      <c r="K484" s="171"/>
      <c r="L484" s="171"/>
      <c r="M484" s="171"/>
      <c r="N484" s="171"/>
      <c r="O484" s="171"/>
      <c r="P484" s="171"/>
      <c r="Q484" s="171"/>
      <c r="R484" s="171"/>
      <c r="S484" s="171"/>
      <c r="T484" s="171"/>
      <c r="U484" s="171"/>
      <c r="V484" s="171"/>
      <c r="W484" s="171"/>
      <c r="X484" s="161"/>
      <c r="Y484" s="161"/>
      <c r="Z484" s="161"/>
      <c r="AA484" s="161"/>
      <c r="AB484" s="161"/>
      <c r="AC484" s="171"/>
      <c r="AD484" s="198"/>
    </row>
    <row r="485">
      <c r="A485" s="169"/>
      <c r="B485" s="169"/>
      <c r="C485" s="161"/>
      <c r="D485" s="229"/>
      <c r="E485" s="161"/>
      <c r="F485" s="161"/>
      <c r="G485" s="161"/>
      <c r="H485" s="171"/>
      <c r="I485" s="171"/>
      <c r="J485" s="171"/>
      <c r="K485" s="171"/>
      <c r="L485" s="171"/>
      <c r="M485" s="171"/>
      <c r="N485" s="171"/>
      <c r="O485" s="171"/>
      <c r="P485" s="171"/>
      <c r="Q485" s="171"/>
      <c r="R485" s="171"/>
      <c r="S485" s="171"/>
      <c r="T485" s="171"/>
      <c r="U485" s="171"/>
      <c r="V485" s="171"/>
      <c r="W485" s="171"/>
      <c r="X485" s="161"/>
      <c r="Y485" s="161"/>
      <c r="Z485" s="161"/>
      <c r="AA485" s="161"/>
      <c r="AB485" s="161"/>
      <c r="AC485" s="171"/>
      <c r="AD485" s="198"/>
    </row>
    <row r="486">
      <c r="A486" s="169"/>
      <c r="B486" s="169"/>
      <c r="C486" s="161"/>
      <c r="D486" s="229"/>
      <c r="E486" s="161"/>
      <c r="F486" s="161"/>
      <c r="G486" s="161"/>
      <c r="H486" s="171"/>
      <c r="I486" s="171"/>
      <c r="J486" s="171"/>
      <c r="K486" s="171"/>
      <c r="L486" s="171"/>
      <c r="M486" s="171"/>
      <c r="N486" s="171"/>
      <c r="O486" s="171"/>
      <c r="P486" s="171"/>
      <c r="Q486" s="171"/>
      <c r="R486" s="171"/>
      <c r="S486" s="171"/>
      <c r="T486" s="171"/>
      <c r="U486" s="171"/>
      <c r="V486" s="171"/>
      <c r="W486" s="171"/>
      <c r="X486" s="161"/>
      <c r="Y486" s="161"/>
      <c r="Z486" s="161"/>
      <c r="AA486" s="161"/>
      <c r="AB486" s="161"/>
      <c r="AC486" s="171"/>
      <c r="AD486" s="198"/>
    </row>
    <row r="487">
      <c r="A487" s="169"/>
      <c r="B487" s="169"/>
      <c r="C487" s="161"/>
      <c r="D487" s="229"/>
      <c r="E487" s="161"/>
      <c r="F487" s="161"/>
      <c r="G487" s="161"/>
      <c r="H487" s="171"/>
      <c r="I487" s="171"/>
      <c r="J487" s="171"/>
      <c r="K487" s="171"/>
      <c r="L487" s="171"/>
      <c r="M487" s="171"/>
      <c r="N487" s="171"/>
      <c r="O487" s="171"/>
      <c r="P487" s="171"/>
      <c r="Q487" s="171"/>
      <c r="R487" s="171"/>
      <c r="S487" s="171"/>
      <c r="T487" s="171"/>
      <c r="U487" s="171"/>
      <c r="V487" s="171"/>
      <c r="W487" s="171"/>
      <c r="X487" s="161"/>
      <c r="Y487" s="161"/>
      <c r="Z487" s="161"/>
      <c r="AA487" s="161"/>
      <c r="AB487" s="161"/>
      <c r="AC487" s="171"/>
      <c r="AD487" s="198"/>
    </row>
    <row r="488">
      <c r="A488" s="169"/>
      <c r="B488" s="169"/>
      <c r="C488" s="161"/>
      <c r="D488" s="229"/>
      <c r="E488" s="161"/>
      <c r="F488" s="161"/>
      <c r="G488" s="161"/>
      <c r="H488" s="171"/>
      <c r="I488" s="171"/>
      <c r="J488" s="171"/>
      <c r="K488" s="171"/>
      <c r="L488" s="171"/>
      <c r="M488" s="171"/>
      <c r="N488" s="171"/>
      <c r="O488" s="171"/>
      <c r="P488" s="171"/>
      <c r="Q488" s="171"/>
      <c r="R488" s="171"/>
      <c r="S488" s="171"/>
      <c r="T488" s="171"/>
      <c r="U488" s="171"/>
      <c r="V488" s="171"/>
      <c r="W488" s="171"/>
      <c r="X488" s="161"/>
      <c r="Y488" s="161"/>
      <c r="Z488" s="161"/>
      <c r="AA488" s="161"/>
      <c r="AB488" s="161"/>
      <c r="AC488" s="171"/>
      <c r="AD488" s="198"/>
    </row>
    <row r="489">
      <c r="A489" s="169"/>
      <c r="B489" s="169"/>
      <c r="C489" s="161"/>
      <c r="D489" s="229"/>
      <c r="E489" s="161"/>
      <c r="F489" s="161"/>
      <c r="G489" s="161"/>
      <c r="H489" s="171"/>
      <c r="I489" s="171"/>
      <c r="J489" s="171"/>
      <c r="K489" s="171"/>
      <c r="L489" s="171"/>
      <c r="M489" s="171"/>
      <c r="N489" s="171"/>
      <c r="O489" s="171"/>
      <c r="P489" s="171"/>
      <c r="Q489" s="171"/>
      <c r="R489" s="171"/>
      <c r="S489" s="171"/>
      <c r="T489" s="171"/>
      <c r="U489" s="171"/>
      <c r="V489" s="171"/>
      <c r="W489" s="171"/>
      <c r="X489" s="161"/>
      <c r="Y489" s="161"/>
      <c r="Z489" s="161"/>
      <c r="AA489" s="161"/>
      <c r="AB489" s="161"/>
      <c r="AC489" s="171"/>
      <c r="AD489" s="198"/>
    </row>
    <row r="490">
      <c r="A490" s="169"/>
      <c r="B490" s="169"/>
      <c r="C490" s="161"/>
      <c r="D490" s="229"/>
      <c r="E490" s="161"/>
      <c r="F490" s="161"/>
      <c r="G490" s="161"/>
      <c r="H490" s="171"/>
      <c r="I490" s="171"/>
      <c r="J490" s="171"/>
      <c r="K490" s="171"/>
      <c r="L490" s="171"/>
      <c r="M490" s="171"/>
      <c r="N490" s="171"/>
      <c r="O490" s="171"/>
      <c r="P490" s="171"/>
      <c r="Q490" s="171"/>
      <c r="R490" s="171"/>
      <c r="S490" s="171"/>
      <c r="T490" s="171"/>
      <c r="U490" s="171"/>
      <c r="V490" s="171"/>
      <c r="W490" s="171"/>
      <c r="X490" s="161"/>
      <c r="Y490" s="161"/>
      <c r="Z490" s="161"/>
      <c r="AA490" s="161"/>
      <c r="AB490" s="161"/>
      <c r="AC490" s="171"/>
      <c r="AD490" s="198"/>
    </row>
    <row r="491">
      <c r="A491" s="169"/>
      <c r="B491" s="169"/>
      <c r="C491" s="161"/>
      <c r="D491" s="229"/>
      <c r="E491" s="161"/>
      <c r="F491" s="161"/>
      <c r="G491" s="161"/>
      <c r="H491" s="171"/>
      <c r="I491" s="171"/>
      <c r="J491" s="171"/>
      <c r="K491" s="171"/>
      <c r="L491" s="171"/>
      <c r="M491" s="171"/>
      <c r="N491" s="171"/>
      <c r="O491" s="171"/>
      <c r="P491" s="171"/>
      <c r="Q491" s="171"/>
      <c r="R491" s="171"/>
      <c r="S491" s="171"/>
      <c r="T491" s="171"/>
      <c r="U491" s="171"/>
      <c r="V491" s="171"/>
      <c r="W491" s="171"/>
      <c r="X491" s="161"/>
      <c r="Y491" s="161"/>
      <c r="Z491" s="161"/>
      <c r="AA491" s="161"/>
      <c r="AB491" s="161"/>
      <c r="AC491" s="171"/>
      <c r="AD491" s="198"/>
    </row>
    <row r="492">
      <c r="A492" s="169"/>
      <c r="B492" s="169"/>
      <c r="C492" s="161"/>
      <c r="D492" s="229"/>
      <c r="E492" s="161"/>
      <c r="F492" s="161"/>
      <c r="G492" s="161"/>
      <c r="H492" s="171"/>
      <c r="I492" s="171"/>
      <c r="J492" s="171"/>
      <c r="K492" s="171"/>
      <c r="L492" s="171"/>
      <c r="M492" s="171"/>
      <c r="N492" s="171"/>
      <c r="O492" s="171"/>
      <c r="P492" s="171"/>
      <c r="Q492" s="171"/>
      <c r="R492" s="171"/>
      <c r="S492" s="171"/>
      <c r="T492" s="171"/>
      <c r="U492" s="171"/>
      <c r="V492" s="171"/>
      <c r="W492" s="171"/>
      <c r="X492" s="161"/>
      <c r="Y492" s="161"/>
      <c r="Z492" s="161"/>
      <c r="AA492" s="161"/>
      <c r="AB492" s="161"/>
      <c r="AC492" s="171"/>
      <c r="AD492" s="198"/>
    </row>
    <row r="493">
      <c r="A493" s="169"/>
      <c r="B493" s="169"/>
      <c r="C493" s="161"/>
      <c r="D493" s="229"/>
      <c r="E493" s="161"/>
      <c r="F493" s="161"/>
      <c r="G493" s="161"/>
      <c r="H493" s="171"/>
      <c r="I493" s="171"/>
      <c r="J493" s="171"/>
      <c r="K493" s="171"/>
      <c r="L493" s="171"/>
      <c r="M493" s="171"/>
      <c r="N493" s="171"/>
      <c r="O493" s="171"/>
      <c r="P493" s="171"/>
      <c r="Q493" s="171"/>
      <c r="R493" s="171"/>
      <c r="S493" s="171"/>
      <c r="T493" s="171"/>
      <c r="U493" s="171"/>
      <c r="V493" s="171"/>
      <c r="W493" s="171"/>
      <c r="X493" s="161"/>
      <c r="Y493" s="161"/>
      <c r="Z493" s="161"/>
      <c r="AA493" s="161"/>
      <c r="AB493" s="161"/>
      <c r="AC493" s="171"/>
      <c r="AD493" s="198"/>
    </row>
    <row r="494">
      <c r="A494" s="169"/>
      <c r="B494" s="169"/>
      <c r="C494" s="161"/>
      <c r="D494" s="229"/>
      <c r="E494" s="161"/>
      <c r="F494" s="161"/>
      <c r="G494" s="161"/>
      <c r="H494" s="171"/>
      <c r="I494" s="171"/>
      <c r="J494" s="171"/>
      <c r="K494" s="171"/>
      <c r="L494" s="171"/>
      <c r="M494" s="171"/>
      <c r="N494" s="171"/>
      <c r="O494" s="171"/>
      <c r="P494" s="171"/>
      <c r="Q494" s="171"/>
      <c r="R494" s="171"/>
      <c r="S494" s="171"/>
      <c r="T494" s="171"/>
      <c r="U494" s="171"/>
      <c r="V494" s="171"/>
      <c r="W494" s="171"/>
      <c r="X494" s="161"/>
      <c r="Y494" s="161"/>
      <c r="Z494" s="161"/>
      <c r="AA494" s="161"/>
      <c r="AB494" s="161"/>
      <c r="AC494" s="171"/>
      <c r="AD494" s="198"/>
    </row>
    <row r="495">
      <c r="A495" s="169"/>
      <c r="B495" s="169"/>
      <c r="C495" s="161"/>
      <c r="D495" s="229"/>
      <c r="E495" s="161"/>
      <c r="F495" s="161"/>
      <c r="G495" s="161"/>
      <c r="H495" s="171"/>
      <c r="I495" s="171"/>
      <c r="J495" s="171"/>
      <c r="K495" s="171"/>
      <c r="L495" s="171"/>
      <c r="M495" s="171"/>
      <c r="N495" s="171"/>
      <c r="O495" s="171"/>
      <c r="P495" s="171"/>
      <c r="Q495" s="171"/>
      <c r="R495" s="171"/>
      <c r="S495" s="171"/>
      <c r="T495" s="171"/>
      <c r="U495" s="171"/>
      <c r="V495" s="171"/>
      <c r="W495" s="171"/>
      <c r="X495" s="161"/>
      <c r="Y495" s="161"/>
      <c r="Z495" s="161"/>
      <c r="AA495" s="161"/>
      <c r="AB495" s="161"/>
      <c r="AC495" s="171"/>
      <c r="AD495" s="198"/>
    </row>
    <row r="496">
      <c r="A496" s="169"/>
      <c r="B496" s="169"/>
      <c r="C496" s="161"/>
      <c r="D496" s="229"/>
      <c r="E496" s="161"/>
      <c r="F496" s="161"/>
      <c r="G496" s="161"/>
      <c r="H496" s="171"/>
      <c r="I496" s="171"/>
      <c r="J496" s="171"/>
      <c r="K496" s="171"/>
      <c r="L496" s="171"/>
      <c r="M496" s="171"/>
      <c r="N496" s="171"/>
      <c r="O496" s="171"/>
      <c r="P496" s="171"/>
      <c r="Q496" s="171"/>
      <c r="R496" s="171"/>
      <c r="S496" s="171"/>
      <c r="T496" s="171"/>
      <c r="U496" s="171"/>
      <c r="V496" s="171"/>
      <c r="W496" s="171"/>
      <c r="X496" s="161"/>
      <c r="Y496" s="161"/>
      <c r="Z496" s="161"/>
      <c r="AA496" s="161"/>
      <c r="AB496" s="161"/>
      <c r="AC496" s="171"/>
      <c r="AD496" s="198"/>
    </row>
    <row r="497">
      <c r="A497" s="169"/>
      <c r="B497" s="169"/>
      <c r="C497" s="161"/>
      <c r="D497" s="229"/>
      <c r="E497" s="161"/>
      <c r="F497" s="161"/>
      <c r="G497" s="161"/>
      <c r="H497" s="171"/>
      <c r="I497" s="171"/>
      <c r="J497" s="171"/>
      <c r="K497" s="171"/>
      <c r="L497" s="171"/>
      <c r="M497" s="171"/>
      <c r="N497" s="171"/>
      <c r="O497" s="171"/>
      <c r="P497" s="171"/>
      <c r="Q497" s="171"/>
      <c r="R497" s="171"/>
      <c r="S497" s="171"/>
      <c r="T497" s="171"/>
      <c r="U497" s="171"/>
      <c r="V497" s="171"/>
      <c r="W497" s="171"/>
      <c r="X497" s="161"/>
      <c r="Y497" s="161"/>
      <c r="Z497" s="161"/>
      <c r="AA497" s="161"/>
      <c r="AB497" s="161"/>
      <c r="AC497" s="171"/>
      <c r="AD497" s="198"/>
    </row>
    <row r="498">
      <c r="A498" s="169"/>
      <c r="B498" s="169"/>
      <c r="C498" s="161"/>
      <c r="D498" s="229"/>
      <c r="E498" s="161"/>
      <c r="F498" s="161"/>
      <c r="G498" s="161"/>
      <c r="H498" s="171"/>
      <c r="I498" s="171"/>
      <c r="J498" s="171"/>
      <c r="K498" s="171"/>
      <c r="L498" s="171"/>
      <c r="M498" s="171"/>
      <c r="N498" s="171"/>
      <c r="O498" s="171"/>
      <c r="P498" s="171"/>
      <c r="Q498" s="171"/>
      <c r="R498" s="171"/>
      <c r="S498" s="171"/>
      <c r="T498" s="171"/>
      <c r="U498" s="171"/>
      <c r="V498" s="171"/>
      <c r="W498" s="171"/>
      <c r="X498" s="161"/>
      <c r="Y498" s="161"/>
      <c r="Z498" s="161"/>
      <c r="AA498" s="161"/>
      <c r="AB498" s="161"/>
      <c r="AC498" s="171"/>
      <c r="AD498" s="198"/>
    </row>
    <row r="499">
      <c r="A499" s="169"/>
      <c r="B499" s="169"/>
      <c r="C499" s="161"/>
      <c r="D499" s="229"/>
      <c r="E499" s="161"/>
      <c r="F499" s="161"/>
      <c r="G499" s="161"/>
      <c r="H499" s="171"/>
      <c r="I499" s="171"/>
      <c r="J499" s="171"/>
      <c r="K499" s="171"/>
      <c r="L499" s="171"/>
      <c r="M499" s="171"/>
      <c r="N499" s="171"/>
      <c r="O499" s="171"/>
      <c r="P499" s="171"/>
      <c r="Q499" s="171"/>
      <c r="R499" s="171"/>
      <c r="S499" s="171"/>
      <c r="T499" s="171"/>
      <c r="U499" s="171"/>
      <c r="V499" s="171"/>
      <c r="W499" s="171"/>
      <c r="X499" s="161"/>
      <c r="Y499" s="161"/>
      <c r="Z499" s="161"/>
      <c r="AA499" s="161"/>
      <c r="AB499" s="161"/>
      <c r="AC499" s="171"/>
      <c r="AD499" s="198"/>
    </row>
    <row r="500">
      <c r="A500" s="169"/>
      <c r="B500" s="169"/>
      <c r="C500" s="161"/>
      <c r="D500" s="229"/>
      <c r="E500" s="161"/>
      <c r="F500" s="161"/>
      <c r="G500" s="161"/>
      <c r="H500" s="171"/>
      <c r="I500" s="171"/>
      <c r="J500" s="171"/>
      <c r="K500" s="171"/>
      <c r="L500" s="171"/>
      <c r="M500" s="171"/>
      <c r="N500" s="171"/>
      <c r="O500" s="171"/>
      <c r="P500" s="171"/>
      <c r="Q500" s="171"/>
      <c r="R500" s="171"/>
      <c r="S500" s="171"/>
      <c r="T500" s="171"/>
      <c r="U500" s="171"/>
      <c r="V500" s="171"/>
      <c r="W500" s="171"/>
      <c r="X500" s="161"/>
      <c r="Y500" s="161"/>
      <c r="Z500" s="161"/>
      <c r="AA500" s="161"/>
      <c r="AB500" s="161"/>
      <c r="AC500" s="171"/>
      <c r="AD500" s="198"/>
    </row>
    <row r="501">
      <c r="A501" s="169"/>
      <c r="B501" s="169"/>
      <c r="C501" s="161"/>
      <c r="D501" s="229"/>
      <c r="E501" s="161"/>
      <c r="F501" s="161"/>
      <c r="G501" s="161"/>
      <c r="H501" s="171"/>
      <c r="I501" s="171"/>
      <c r="J501" s="171"/>
      <c r="K501" s="171"/>
      <c r="L501" s="171"/>
      <c r="M501" s="171"/>
      <c r="N501" s="171"/>
      <c r="O501" s="171"/>
      <c r="P501" s="171"/>
      <c r="Q501" s="171"/>
      <c r="R501" s="171"/>
      <c r="S501" s="171"/>
      <c r="T501" s="171"/>
      <c r="U501" s="171"/>
      <c r="V501" s="171"/>
      <c r="W501" s="171"/>
      <c r="X501" s="161"/>
      <c r="Y501" s="161"/>
      <c r="Z501" s="161"/>
      <c r="AA501" s="161"/>
      <c r="AB501" s="161"/>
      <c r="AC501" s="171"/>
      <c r="AD501" s="198"/>
    </row>
    <row r="502">
      <c r="A502" s="169"/>
      <c r="B502" s="169"/>
      <c r="C502" s="161"/>
      <c r="D502" s="229"/>
      <c r="E502" s="161"/>
      <c r="F502" s="161"/>
      <c r="G502" s="161"/>
      <c r="H502" s="171"/>
      <c r="I502" s="171"/>
      <c r="J502" s="171"/>
      <c r="K502" s="171"/>
      <c r="L502" s="171"/>
      <c r="M502" s="171"/>
      <c r="N502" s="171"/>
      <c r="O502" s="171"/>
      <c r="P502" s="171"/>
      <c r="Q502" s="171"/>
      <c r="R502" s="171"/>
      <c r="S502" s="171"/>
      <c r="T502" s="171"/>
      <c r="U502" s="171"/>
      <c r="V502" s="171"/>
      <c r="W502" s="171"/>
      <c r="X502" s="161"/>
      <c r="Y502" s="161"/>
      <c r="Z502" s="161"/>
      <c r="AA502" s="161"/>
      <c r="AB502" s="161"/>
      <c r="AC502" s="171"/>
      <c r="AD502" s="198"/>
    </row>
    <row r="503">
      <c r="A503" s="169"/>
      <c r="B503" s="169"/>
      <c r="C503" s="161"/>
      <c r="D503" s="229"/>
      <c r="E503" s="161"/>
      <c r="F503" s="161"/>
      <c r="G503" s="161"/>
      <c r="H503" s="171"/>
      <c r="I503" s="171"/>
      <c r="J503" s="171"/>
      <c r="K503" s="171"/>
      <c r="L503" s="171"/>
      <c r="M503" s="171"/>
      <c r="N503" s="171"/>
      <c r="O503" s="171"/>
      <c r="P503" s="171"/>
      <c r="Q503" s="171"/>
      <c r="R503" s="171"/>
      <c r="S503" s="171"/>
      <c r="T503" s="171"/>
      <c r="U503" s="171"/>
      <c r="V503" s="171"/>
      <c r="W503" s="171"/>
      <c r="X503" s="161"/>
      <c r="Y503" s="161"/>
      <c r="Z503" s="161"/>
      <c r="AA503" s="161"/>
      <c r="AB503" s="161"/>
      <c r="AC503" s="171"/>
      <c r="AD503" s="198"/>
    </row>
    <row r="504">
      <c r="A504" s="169"/>
      <c r="B504" s="169"/>
      <c r="C504" s="161"/>
      <c r="D504" s="229"/>
      <c r="E504" s="161"/>
      <c r="F504" s="161"/>
      <c r="G504" s="161"/>
      <c r="H504" s="171"/>
      <c r="I504" s="171"/>
      <c r="J504" s="171"/>
      <c r="K504" s="171"/>
      <c r="L504" s="171"/>
      <c r="M504" s="171"/>
      <c r="N504" s="171"/>
      <c r="O504" s="171"/>
      <c r="P504" s="171"/>
      <c r="Q504" s="171"/>
      <c r="R504" s="171"/>
      <c r="S504" s="171"/>
      <c r="T504" s="171"/>
      <c r="U504" s="171"/>
      <c r="V504" s="171"/>
      <c r="W504" s="171"/>
      <c r="X504" s="161"/>
      <c r="Y504" s="161"/>
      <c r="Z504" s="161"/>
      <c r="AA504" s="161"/>
      <c r="AB504" s="161"/>
      <c r="AC504" s="171"/>
      <c r="AD504" s="198"/>
    </row>
    <row r="505">
      <c r="A505" s="169"/>
      <c r="B505" s="169"/>
      <c r="C505" s="161"/>
      <c r="D505" s="229"/>
      <c r="E505" s="161"/>
      <c r="F505" s="161"/>
      <c r="G505" s="161"/>
      <c r="H505" s="171"/>
      <c r="I505" s="171"/>
      <c r="J505" s="171"/>
      <c r="K505" s="171"/>
      <c r="L505" s="171"/>
      <c r="M505" s="171"/>
      <c r="N505" s="171"/>
      <c r="O505" s="171"/>
      <c r="P505" s="171"/>
      <c r="Q505" s="171"/>
      <c r="R505" s="171"/>
      <c r="S505" s="171"/>
      <c r="T505" s="171"/>
      <c r="U505" s="171"/>
      <c r="V505" s="171"/>
      <c r="W505" s="171"/>
      <c r="X505" s="161"/>
      <c r="Y505" s="161"/>
      <c r="Z505" s="161"/>
      <c r="AA505" s="161"/>
      <c r="AB505" s="161"/>
      <c r="AC505" s="171"/>
      <c r="AD505" s="198"/>
    </row>
    <row r="506">
      <c r="A506" s="169"/>
      <c r="B506" s="169"/>
      <c r="C506" s="161"/>
      <c r="D506" s="229"/>
      <c r="E506" s="161"/>
      <c r="F506" s="161"/>
      <c r="G506" s="161"/>
      <c r="H506" s="171"/>
      <c r="I506" s="171"/>
      <c r="J506" s="171"/>
      <c r="K506" s="171"/>
      <c r="L506" s="171"/>
      <c r="M506" s="171"/>
      <c r="N506" s="171"/>
      <c r="O506" s="171"/>
      <c r="P506" s="171"/>
      <c r="Q506" s="171"/>
      <c r="R506" s="171"/>
      <c r="S506" s="171"/>
      <c r="T506" s="171"/>
      <c r="U506" s="171"/>
      <c r="V506" s="171"/>
      <c r="W506" s="171"/>
      <c r="X506" s="161"/>
      <c r="Y506" s="161"/>
      <c r="Z506" s="161"/>
      <c r="AA506" s="161"/>
      <c r="AB506" s="161"/>
      <c r="AC506" s="171"/>
      <c r="AD506" s="198"/>
    </row>
    <row r="507">
      <c r="A507" s="169"/>
      <c r="B507" s="169"/>
      <c r="C507" s="161"/>
      <c r="D507" s="229"/>
      <c r="E507" s="161"/>
      <c r="F507" s="161"/>
      <c r="G507" s="161"/>
      <c r="H507" s="171"/>
      <c r="I507" s="171"/>
      <c r="J507" s="171"/>
      <c r="K507" s="171"/>
      <c r="L507" s="171"/>
      <c r="M507" s="171"/>
      <c r="N507" s="171"/>
      <c r="O507" s="171"/>
      <c r="P507" s="171"/>
      <c r="Q507" s="171"/>
      <c r="R507" s="171"/>
      <c r="S507" s="171"/>
      <c r="T507" s="171"/>
      <c r="U507" s="171"/>
      <c r="V507" s="171"/>
      <c r="W507" s="171"/>
      <c r="X507" s="161"/>
      <c r="Y507" s="161"/>
      <c r="Z507" s="161"/>
      <c r="AA507" s="161"/>
      <c r="AB507" s="161"/>
      <c r="AC507" s="171"/>
      <c r="AD507" s="198"/>
    </row>
    <row r="508">
      <c r="A508" s="169"/>
      <c r="B508" s="169"/>
      <c r="C508" s="161"/>
      <c r="D508" s="229"/>
      <c r="E508" s="161"/>
      <c r="F508" s="161"/>
      <c r="G508" s="161"/>
      <c r="H508" s="171"/>
      <c r="I508" s="171"/>
      <c r="J508" s="171"/>
      <c r="K508" s="171"/>
      <c r="L508" s="171"/>
      <c r="M508" s="171"/>
      <c r="N508" s="171"/>
      <c r="O508" s="171"/>
      <c r="P508" s="171"/>
      <c r="Q508" s="171"/>
      <c r="R508" s="171"/>
      <c r="S508" s="171"/>
      <c r="T508" s="171"/>
      <c r="U508" s="171"/>
      <c r="V508" s="171"/>
      <c r="W508" s="171"/>
      <c r="X508" s="161"/>
      <c r="Y508" s="161"/>
      <c r="Z508" s="161"/>
      <c r="AA508" s="161"/>
      <c r="AB508" s="161"/>
      <c r="AC508" s="171"/>
      <c r="AD508" s="198"/>
    </row>
    <row r="509">
      <c r="A509" s="169"/>
      <c r="B509" s="169"/>
      <c r="C509" s="161"/>
      <c r="D509" s="229"/>
      <c r="E509" s="161"/>
      <c r="F509" s="161"/>
      <c r="G509" s="161"/>
      <c r="H509" s="171"/>
      <c r="I509" s="171"/>
      <c r="J509" s="171"/>
      <c r="K509" s="171"/>
      <c r="L509" s="171"/>
      <c r="M509" s="171"/>
      <c r="N509" s="171"/>
      <c r="O509" s="171"/>
      <c r="P509" s="171"/>
      <c r="Q509" s="171"/>
      <c r="R509" s="171"/>
      <c r="S509" s="171"/>
      <c r="T509" s="171"/>
      <c r="U509" s="171"/>
      <c r="V509" s="171"/>
      <c r="W509" s="171"/>
      <c r="X509" s="161"/>
      <c r="Y509" s="161"/>
      <c r="Z509" s="161"/>
      <c r="AA509" s="161"/>
      <c r="AB509" s="161"/>
      <c r="AC509" s="171"/>
      <c r="AD509" s="198"/>
    </row>
    <row r="510">
      <c r="A510" s="169"/>
      <c r="B510" s="169"/>
      <c r="C510" s="161"/>
      <c r="D510" s="229"/>
      <c r="E510" s="161"/>
      <c r="F510" s="161"/>
      <c r="G510" s="161"/>
      <c r="H510" s="171"/>
      <c r="I510" s="171"/>
      <c r="J510" s="171"/>
      <c r="K510" s="171"/>
      <c r="L510" s="171"/>
      <c r="M510" s="171"/>
      <c r="N510" s="171"/>
      <c r="O510" s="171"/>
      <c r="P510" s="171"/>
      <c r="Q510" s="171"/>
      <c r="R510" s="171"/>
      <c r="S510" s="171"/>
      <c r="T510" s="171"/>
      <c r="U510" s="171"/>
      <c r="V510" s="171"/>
      <c r="W510" s="171"/>
      <c r="X510" s="161"/>
      <c r="Y510" s="161"/>
      <c r="Z510" s="161"/>
      <c r="AA510" s="161"/>
      <c r="AB510" s="161"/>
      <c r="AC510" s="171"/>
      <c r="AD510" s="198"/>
    </row>
    <row r="511">
      <c r="A511" s="169"/>
      <c r="B511" s="169"/>
      <c r="C511" s="161"/>
      <c r="D511" s="229"/>
      <c r="E511" s="161"/>
      <c r="F511" s="161"/>
      <c r="G511" s="161"/>
      <c r="H511" s="171"/>
      <c r="I511" s="171"/>
      <c r="J511" s="171"/>
      <c r="K511" s="171"/>
      <c r="L511" s="171"/>
      <c r="M511" s="171"/>
      <c r="N511" s="171"/>
      <c r="O511" s="171"/>
      <c r="P511" s="171"/>
      <c r="Q511" s="171"/>
      <c r="R511" s="171"/>
      <c r="S511" s="171"/>
      <c r="T511" s="171"/>
      <c r="U511" s="171"/>
      <c r="V511" s="171"/>
      <c r="W511" s="171"/>
      <c r="X511" s="161"/>
      <c r="Y511" s="161"/>
      <c r="Z511" s="161"/>
      <c r="AA511" s="161"/>
      <c r="AB511" s="161"/>
      <c r="AC511" s="171"/>
      <c r="AD511" s="198"/>
    </row>
    <row r="512">
      <c r="A512" s="169"/>
      <c r="B512" s="169"/>
      <c r="C512" s="161"/>
      <c r="D512" s="229"/>
      <c r="E512" s="161"/>
      <c r="F512" s="161"/>
      <c r="G512" s="161"/>
      <c r="H512" s="171"/>
      <c r="I512" s="171"/>
      <c r="J512" s="171"/>
      <c r="K512" s="171"/>
      <c r="L512" s="171"/>
      <c r="M512" s="171"/>
      <c r="N512" s="171"/>
      <c r="O512" s="171"/>
      <c r="P512" s="171"/>
      <c r="Q512" s="171"/>
      <c r="R512" s="171"/>
      <c r="S512" s="171"/>
      <c r="T512" s="171"/>
      <c r="U512" s="171"/>
      <c r="V512" s="171"/>
      <c r="W512" s="171"/>
      <c r="X512" s="161"/>
      <c r="Y512" s="161"/>
      <c r="Z512" s="161"/>
      <c r="AA512" s="161"/>
      <c r="AB512" s="161"/>
      <c r="AC512" s="171"/>
      <c r="AD512" s="198"/>
    </row>
    <row r="513">
      <c r="A513" s="169"/>
      <c r="B513" s="169"/>
      <c r="C513" s="161"/>
      <c r="D513" s="229"/>
      <c r="E513" s="161"/>
      <c r="F513" s="161"/>
      <c r="G513" s="161"/>
      <c r="H513" s="171"/>
      <c r="I513" s="171"/>
      <c r="J513" s="171"/>
      <c r="K513" s="171"/>
      <c r="L513" s="171"/>
      <c r="M513" s="171"/>
      <c r="N513" s="171"/>
      <c r="O513" s="171"/>
      <c r="P513" s="171"/>
      <c r="Q513" s="171"/>
      <c r="R513" s="171"/>
      <c r="S513" s="171"/>
      <c r="T513" s="171"/>
      <c r="U513" s="171"/>
      <c r="V513" s="171"/>
      <c r="W513" s="171"/>
      <c r="X513" s="161"/>
      <c r="Y513" s="161"/>
      <c r="Z513" s="161"/>
      <c r="AA513" s="161"/>
      <c r="AB513" s="161"/>
      <c r="AC513" s="171"/>
      <c r="AD513" s="198"/>
    </row>
    <row r="514">
      <c r="A514" s="169"/>
      <c r="B514" s="169"/>
      <c r="C514" s="161"/>
      <c r="D514" s="229"/>
      <c r="E514" s="161"/>
      <c r="F514" s="161"/>
      <c r="G514" s="161"/>
      <c r="H514" s="171"/>
      <c r="I514" s="171"/>
      <c r="J514" s="171"/>
      <c r="K514" s="171"/>
      <c r="L514" s="171"/>
      <c r="M514" s="171"/>
      <c r="N514" s="171"/>
      <c r="O514" s="171"/>
      <c r="P514" s="171"/>
      <c r="Q514" s="171"/>
      <c r="R514" s="171"/>
      <c r="S514" s="171"/>
      <c r="T514" s="171"/>
      <c r="U514" s="171"/>
      <c r="V514" s="171"/>
      <c r="W514" s="171"/>
      <c r="X514" s="161"/>
      <c r="Y514" s="161"/>
      <c r="Z514" s="161"/>
      <c r="AA514" s="161"/>
      <c r="AB514" s="161"/>
      <c r="AC514" s="171"/>
      <c r="AD514" s="198"/>
    </row>
    <row r="515">
      <c r="A515" s="169"/>
      <c r="B515" s="169"/>
      <c r="C515" s="161"/>
      <c r="D515" s="229"/>
      <c r="E515" s="161"/>
      <c r="F515" s="161"/>
      <c r="G515" s="161"/>
      <c r="H515" s="171"/>
      <c r="I515" s="171"/>
      <c r="J515" s="171"/>
      <c r="K515" s="171"/>
      <c r="L515" s="171"/>
      <c r="M515" s="171"/>
      <c r="N515" s="171"/>
      <c r="O515" s="171"/>
      <c r="P515" s="171"/>
      <c r="Q515" s="171"/>
      <c r="R515" s="171"/>
      <c r="S515" s="171"/>
      <c r="T515" s="171"/>
      <c r="U515" s="171"/>
      <c r="V515" s="171"/>
      <c r="W515" s="171"/>
      <c r="X515" s="161"/>
      <c r="Y515" s="161"/>
      <c r="Z515" s="161"/>
      <c r="AA515" s="161"/>
      <c r="AB515" s="161"/>
      <c r="AC515" s="171"/>
      <c r="AD515" s="198"/>
    </row>
    <row r="516">
      <c r="A516" s="169"/>
      <c r="B516" s="169"/>
      <c r="C516" s="161"/>
      <c r="D516" s="229"/>
      <c r="E516" s="161"/>
      <c r="F516" s="161"/>
      <c r="G516" s="161"/>
      <c r="H516" s="171"/>
      <c r="I516" s="171"/>
      <c r="J516" s="171"/>
      <c r="K516" s="171"/>
      <c r="L516" s="171"/>
      <c r="M516" s="171"/>
      <c r="N516" s="171"/>
      <c r="O516" s="171"/>
      <c r="P516" s="171"/>
      <c r="Q516" s="171"/>
      <c r="R516" s="171"/>
      <c r="S516" s="171"/>
      <c r="T516" s="171"/>
      <c r="U516" s="171"/>
      <c r="V516" s="171"/>
      <c r="W516" s="171"/>
      <c r="X516" s="161"/>
      <c r="Y516" s="161"/>
      <c r="Z516" s="161"/>
      <c r="AA516" s="161"/>
      <c r="AB516" s="161"/>
      <c r="AC516" s="171"/>
      <c r="AD516" s="198"/>
    </row>
    <row r="517">
      <c r="A517" s="169"/>
      <c r="B517" s="169"/>
      <c r="C517" s="161"/>
      <c r="D517" s="229"/>
      <c r="E517" s="161"/>
      <c r="F517" s="161"/>
      <c r="G517" s="161"/>
      <c r="H517" s="171"/>
      <c r="I517" s="171"/>
      <c r="J517" s="171"/>
      <c r="K517" s="171"/>
      <c r="L517" s="171"/>
      <c r="M517" s="171"/>
      <c r="N517" s="171"/>
      <c r="O517" s="171"/>
      <c r="P517" s="171"/>
      <c r="Q517" s="171"/>
      <c r="R517" s="171"/>
      <c r="S517" s="171"/>
      <c r="T517" s="171"/>
      <c r="U517" s="171"/>
      <c r="V517" s="171"/>
      <c r="W517" s="171"/>
      <c r="X517" s="161"/>
      <c r="Y517" s="161"/>
      <c r="Z517" s="161"/>
      <c r="AA517" s="161"/>
      <c r="AB517" s="161"/>
      <c r="AC517" s="171"/>
      <c r="AD517" s="198"/>
    </row>
    <row r="518">
      <c r="A518" s="169"/>
      <c r="B518" s="169"/>
      <c r="C518" s="161"/>
      <c r="D518" s="229"/>
      <c r="E518" s="161"/>
      <c r="F518" s="161"/>
      <c r="G518" s="161"/>
      <c r="H518" s="171"/>
      <c r="I518" s="171"/>
      <c r="J518" s="171"/>
      <c r="K518" s="171"/>
      <c r="L518" s="171"/>
      <c r="M518" s="171"/>
      <c r="N518" s="171"/>
      <c r="O518" s="171"/>
      <c r="P518" s="171"/>
      <c r="Q518" s="171"/>
      <c r="R518" s="171"/>
      <c r="S518" s="171"/>
      <c r="T518" s="171"/>
      <c r="U518" s="171"/>
      <c r="V518" s="171"/>
      <c r="W518" s="171"/>
      <c r="X518" s="161"/>
      <c r="Y518" s="161"/>
      <c r="Z518" s="161"/>
      <c r="AA518" s="161"/>
      <c r="AB518" s="161"/>
      <c r="AC518" s="171"/>
      <c r="AD518" s="198"/>
    </row>
    <row r="519">
      <c r="A519" s="169"/>
      <c r="B519" s="169"/>
      <c r="C519" s="161"/>
      <c r="D519" s="229"/>
      <c r="E519" s="161"/>
      <c r="F519" s="161"/>
      <c r="G519" s="161"/>
      <c r="H519" s="171"/>
      <c r="I519" s="171"/>
      <c r="J519" s="171"/>
      <c r="K519" s="171"/>
      <c r="L519" s="171"/>
      <c r="M519" s="171"/>
      <c r="N519" s="171"/>
      <c r="O519" s="171"/>
      <c r="P519" s="171"/>
      <c r="Q519" s="171"/>
      <c r="R519" s="171"/>
      <c r="S519" s="171"/>
      <c r="T519" s="171"/>
      <c r="U519" s="171"/>
      <c r="V519" s="171"/>
      <c r="W519" s="171"/>
      <c r="X519" s="161"/>
      <c r="Y519" s="161"/>
      <c r="Z519" s="161"/>
      <c r="AA519" s="161"/>
      <c r="AB519" s="161"/>
      <c r="AC519" s="171"/>
      <c r="AD519" s="198"/>
    </row>
    <row r="520">
      <c r="A520" s="169"/>
      <c r="B520" s="169"/>
      <c r="C520" s="161"/>
      <c r="D520" s="229"/>
      <c r="E520" s="161"/>
      <c r="F520" s="161"/>
      <c r="G520" s="161"/>
      <c r="H520" s="171"/>
      <c r="I520" s="171"/>
      <c r="J520" s="171"/>
      <c r="K520" s="171"/>
      <c r="L520" s="171"/>
      <c r="M520" s="171"/>
      <c r="N520" s="171"/>
      <c r="O520" s="171"/>
      <c r="P520" s="171"/>
      <c r="Q520" s="171"/>
      <c r="R520" s="171"/>
      <c r="S520" s="171"/>
      <c r="T520" s="171"/>
      <c r="U520" s="171"/>
      <c r="V520" s="171"/>
      <c r="W520" s="171"/>
      <c r="X520" s="161"/>
      <c r="Y520" s="161"/>
      <c r="Z520" s="161"/>
      <c r="AA520" s="161"/>
      <c r="AB520" s="161"/>
      <c r="AC520" s="171"/>
      <c r="AD520" s="198"/>
    </row>
    <row r="521">
      <c r="A521" s="169"/>
      <c r="B521" s="169"/>
      <c r="C521" s="161"/>
      <c r="D521" s="229"/>
      <c r="E521" s="161"/>
      <c r="F521" s="161"/>
      <c r="G521" s="161"/>
      <c r="H521" s="171"/>
      <c r="I521" s="171"/>
      <c r="J521" s="171"/>
      <c r="K521" s="171"/>
      <c r="L521" s="171"/>
      <c r="M521" s="171"/>
      <c r="N521" s="171"/>
      <c r="O521" s="171"/>
      <c r="P521" s="171"/>
      <c r="Q521" s="171"/>
      <c r="R521" s="171"/>
      <c r="S521" s="171"/>
      <c r="T521" s="171"/>
      <c r="U521" s="171"/>
      <c r="V521" s="171"/>
      <c r="W521" s="171"/>
      <c r="X521" s="161"/>
      <c r="Y521" s="161"/>
      <c r="Z521" s="161"/>
      <c r="AA521" s="161"/>
      <c r="AB521" s="161"/>
      <c r="AC521" s="171"/>
      <c r="AD521" s="198"/>
    </row>
    <row r="522">
      <c r="A522" s="169"/>
      <c r="B522" s="169"/>
      <c r="C522" s="161"/>
      <c r="D522" s="229"/>
      <c r="E522" s="161"/>
      <c r="F522" s="161"/>
      <c r="G522" s="161"/>
      <c r="H522" s="171"/>
      <c r="I522" s="171"/>
      <c r="J522" s="171"/>
      <c r="K522" s="171"/>
      <c r="L522" s="171"/>
      <c r="M522" s="171"/>
      <c r="N522" s="171"/>
      <c r="O522" s="171"/>
      <c r="P522" s="171"/>
      <c r="Q522" s="171"/>
      <c r="R522" s="171"/>
      <c r="S522" s="171"/>
      <c r="T522" s="171"/>
      <c r="U522" s="171"/>
      <c r="V522" s="171"/>
      <c r="W522" s="171"/>
      <c r="X522" s="161"/>
      <c r="Y522" s="161"/>
      <c r="Z522" s="161"/>
      <c r="AA522" s="161"/>
      <c r="AB522" s="161"/>
      <c r="AC522" s="171"/>
      <c r="AD522" s="198"/>
    </row>
    <row r="523">
      <c r="A523" s="169"/>
      <c r="B523" s="169"/>
      <c r="C523" s="161"/>
      <c r="D523" s="229"/>
      <c r="E523" s="161"/>
      <c r="F523" s="161"/>
      <c r="G523" s="161"/>
      <c r="H523" s="171"/>
      <c r="I523" s="171"/>
      <c r="J523" s="171"/>
      <c r="K523" s="171"/>
      <c r="L523" s="171"/>
      <c r="M523" s="171"/>
      <c r="N523" s="171"/>
      <c r="O523" s="171"/>
      <c r="P523" s="171"/>
      <c r="Q523" s="171"/>
      <c r="R523" s="171"/>
      <c r="S523" s="171"/>
      <c r="T523" s="171"/>
      <c r="U523" s="171"/>
      <c r="V523" s="171"/>
      <c r="W523" s="171"/>
      <c r="X523" s="161"/>
      <c r="Y523" s="161"/>
      <c r="Z523" s="161"/>
      <c r="AA523" s="161"/>
      <c r="AB523" s="161"/>
      <c r="AC523" s="171"/>
      <c r="AD523" s="198"/>
    </row>
    <row r="524">
      <c r="A524" s="169"/>
      <c r="B524" s="169"/>
      <c r="C524" s="161"/>
      <c r="D524" s="229"/>
      <c r="E524" s="161"/>
      <c r="F524" s="161"/>
      <c r="G524" s="161"/>
      <c r="H524" s="171"/>
      <c r="I524" s="171"/>
      <c r="J524" s="171"/>
      <c r="K524" s="171"/>
      <c r="L524" s="171"/>
      <c r="M524" s="171"/>
      <c r="N524" s="171"/>
      <c r="O524" s="171"/>
      <c r="P524" s="171"/>
      <c r="Q524" s="171"/>
      <c r="R524" s="171"/>
      <c r="S524" s="171"/>
      <c r="T524" s="171"/>
      <c r="U524" s="171"/>
      <c r="V524" s="171"/>
      <c r="W524" s="171"/>
      <c r="X524" s="161"/>
      <c r="Y524" s="161"/>
      <c r="Z524" s="161"/>
      <c r="AA524" s="161"/>
      <c r="AB524" s="161"/>
      <c r="AC524" s="171"/>
      <c r="AD524" s="198"/>
    </row>
    <row r="525">
      <c r="A525" s="169"/>
      <c r="B525" s="169"/>
      <c r="C525" s="161"/>
      <c r="D525" s="229"/>
      <c r="E525" s="161"/>
      <c r="F525" s="161"/>
      <c r="G525" s="161"/>
      <c r="H525" s="171"/>
      <c r="I525" s="171"/>
      <c r="J525" s="171"/>
      <c r="K525" s="171"/>
      <c r="L525" s="171"/>
      <c r="M525" s="171"/>
      <c r="N525" s="171"/>
      <c r="O525" s="171"/>
      <c r="P525" s="171"/>
      <c r="Q525" s="171"/>
      <c r="R525" s="171"/>
      <c r="S525" s="171"/>
      <c r="T525" s="171"/>
      <c r="U525" s="171"/>
      <c r="V525" s="171"/>
      <c r="W525" s="171"/>
      <c r="X525" s="161"/>
      <c r="Y525" s="161"/>
      <c r="Z525" s="161"/>
      <c r="AA525" s="161"/>
      <c r="AB525" s="161"/>
      <c r="AC525" s="171"/>
      <c r="AD525" s="198"/>
    </row>
    <row r="526">
      <c r="A526" s="169"/>
      <c r="B526" s="169"/>
      <c r="C526" s="161"/>
      <c r="D526" s="229"/>
      <c r="E526" s="161"/>
      <c r="F526" s="161"/>
      <c r="G526" s="161"/>
      <c r="H526" s="171"/>
      <c r="I526" s="171"/>
      <c r="J526" s="171"/>
      <c r="K526" s="171"/>
      <c r="L526" s="171"/>
      <c r="M526" s="171"/>
      <c r="N526" s="171"/>
      <c r="O526" s="171"/>
      <c r="P526" s="171"/>
      <c r="Q526" s="171"/>
      <c r="R526" s="171"/>
      <c r="S526" s="171"/>
      <c r="T526" s="171"/>
      <c r="U526" s="171"/>
      <c r="V526" s="171"/>
      <c r="W526" s="171"/>
      <c r="X526" s="161"/>
      <c r="Y526" s="161"/>
      <c r="Z526" s="161"/>
      <c r="AA526" s="161"/>
      <c r="AB526" s="161"/>
      <c r="AC526" s="171"/>
      <c r="AD526" s="198"/>
    </row>
    <row r="527">
      <c r="A527" s="169"/>
      <c r="B527" s="169"/>
      <c r="C527" s="161"/>
      <c r="D527" s="229"/>
      <c r="E527" s="161"/>
      <c r="F527" s="161"/>
      <c r="G527" s="161"/>
      <c r="H527" s="171"/>
      <c r="I527" s="171"/>
      <c r="J527" s="171"/>
      <c r="K527" s="171"/>
      <c r="L527" s="171"/>
      <c r="M527" s="171"/>
      <c r="N527" s="171"/>
      <c r="O527" s="171"/>
      <c r="P527" s="171"/>
      <c r="Q527" s="171"/>
      <c r="R527" s="171"/>
      <c r="S527" s="171"/>
      <c r="T527" s="171"/>
      <c r="U527" s="171"/>
      <c r="V527" s="171"/>
      <c r="W527" s="171"/>
      <c r="X527" s="161"/>
      <c r="Y527" s="161"/>
      <c r="Z527" s="161"/>
      <c r="AA527" s="161"/>
      <c r="AB527" s="161"/>
      <c r="AC527" s="171"/>
      <c r="AD527" s="198"/>
    </row>
    <row r="528">
      <c r="A528" s="169"/>
      <c r="B528" s="169"/>
      <c r="C528" s="161"/>
      <c r="D528" s="229"/>
      <c r="E528" s="161"/>
      <c r="F528" s="161"/>
      <c r="G528" s="161"/>
      <c r="H528" s="171"/>
      <c r="I528" s="171"/>
      <c r="J528" s="171"/>
      <c r="K528" s="171"/>
      <c r="L528" s="171"/>
      <c r="M528" s="171"/>
      <c r="N528" s="171"/>
      <c r="O528" s="171"/>
      <c r="P528" s="171"/>
      <c r="Q528" s="171"/>
      <c r="R528" s="171"/>
      <c r="S528" s="171"/>
      <c r="T528" s="171"/>
      <c r="U528" s="171"/>
      <c r="V528" s="171"/>
      <c r="W528" s="171"/>
      <c r="X528" s="161"/>
      <c r="Y528" s="161"/>
      <c r="Z528" s="161"/>
      <c r="AA528" s="161"/>
      <c r="AB528" s="161"/>
      <c r="AC528" s="171"/>
      <c r="AD528" s="198"/>
    </row>
    <row r="529">
      <c r="A529" s="169"/>
      <c r="B529" s="169"/>
      <c r="C529" s="161"/>
      <c r="D529" s="229"/>
      <c r="E529" s="161"/>
      <c r="F529" s="161"/>
      <c r="G529" s="161"/>
      <c r="H529" s="171"/>
      <c r="I529" s="171"/>
      <c r="J529" s="171"/>
      <c r="K529" s="171"/>
      <c r="L529" s="171"/>
      <c r="M529" s="171"/>
      <c r="N529" s="171"/>
      <c r="O529" s="171"/>
      <c r="P529" s="171"/>
      <c r="Q529" s="171"/>
      <c r="R529" s="171"/>
      <c r="S529" s="171"/>
      <c r="T529" s="171"/>
      <c r="U529" s="171"/>
      <c r="V529" s="171"/>
      <c r="W529" s="171"/>
      <c r="X529" s="161"/>
      <c r="Y529" s="161"/>
      <c r="Z529" s="161"/>
      <c r="AA529" s="161"/>
      <c r="AB529" s="161"/>
      <c r="AC529" s="171"/>
      <c r="AD529" s="198"/>
    </row>
    <row r="530">
      <c r="A530" s="169"/>
      <c r="B530" s="169"/>
      <c r="C530" s="161"/>
      <c r="D530" s="229"/>
      <c r="E530" s="161"/>
      <c r="F530" s="161"/>
      <c r="G530" s="161"/>
      <c r="H530" s="171"/>
      <c r="I530" s="171"/>
      <c r="J530" s="171"/>
      <c r="K530" s="171"/>
      <c r="L530" s="171"/>
      <c r="M530" s="171"/>
      <c r="N530" s="171"/>
      <c r="O530" s="171"/>
      <c r="P530" s="171"/>
      <c r="Q530" s="171"/>
      <c r="R530" s="171"/>
      <c r="S530" s="171"/>
      <c r="T530" s="171"/>
      <c r="U530" s="171"/>
      <c r="V530" s="171"/>
      <c r="W530" s="171"/>
      <c r="X530" s="161"/>
      <c r="Y530" s="161"/>
      <c r="Z530" s="161"/>
      <c r="AA530" s="161"/>
      <c r="AB530" s="161"/>
      <c r="AC530" s="171"/>
      <c r="AD530" s="198"/>
    </row>
    <row r="531">
      <c r="A531" s="169"/>
      <c r="B531" s="169"/>
      <c r="C531" s="161"/>
      <c r="D531" s="229"/>
      <c r="E531" s="161"/>
      <c r="F531" s="161"/>
      <c r="G531" s="161"/>
      <c r="H531" s="171"/>
      <c r="I531" s="171"/>
      <c r="J531" s="171"/>
      <c r="K531" s="171"/>
      <c r="L531" s="171"/>
      <c r="M531" s="171"/>
      <c r="N531" s="171"/>
      <c r="O531" s="171"/>
      <c r="P531" s="171"/>
      <c r="Q531" s="171"/>
      <c r="R531" s="171"/>
      <c r="S531" s="171"/>
      <c r="T531" s="171"/>
      <c r="U531" s="171"/>
      <c r="V531" s="171"/>
      <c r="W531" s="171"/>
      <c r="X531" s="161"/>
      <c r="Y531" s="161"/>
      <c r="Z531" s="161"/>
      <c r="AA531" s="161"/>
      <c r="AB531" s="161"/>
      <c r="AC531" s="171"/>
      <c r="AD531" s="198"/>
    </row>
    <row r="532">
      <c r="A532" s="169"/>
      <c r="B532" s="169"/>
      <c r="C532" s="161"/>
      <c r="D532" s="229"/>
      <c r="E532" s="161"/>
      <c r="F532" s="161"/>
      <c r="G532" s="161"/>
      <c r="H532" s="171"/>
      <c r="I532" s="171"/>
      <c r="J532" s="171"/>
      <c r="K532" s="171"/>
      <c r="L532" s="171"/>
      <c r="M532" s="171"/>
      <c r="N532" s="171"/>
      <c r="O532" s="171"/>
      <c r="P532" s="171"/>
      <c r="Q532" s="171"/>
      <c r="R532" s="171"/>
      <c r="S532" s="171"/>
      <c r="T532" s="171"/>
      <c r="U532" s="171"/>
      <c r="V532" s="171"/>
      <c r="W532" s="171"/>
      <c r="X532" s="161"/>
      <c r="Y532" s="161"/>
      <c r="Z532" s="161"/>
      <c r="AA532" s="161"/>
      <c r="AB532" s="161"/>
      <c r="AC532" s="171"/>
      <c r="AD532" s="198"/>
    </row>
    <row r="533">
      <c r="A533" s="169"/>
      <c r="B533" s="169"/>
      <c r="C533" s="161"/>
      <c r="D533" s="229"/>
      <c r="E533" s="161"/>
      <c r="F533" s="161"/>
      <c r="G533" s="161"/>
      <c r="H533" s="171"/>
      <c r="I533" s="171"/>
      <c r="J533" s="171"/>
      <c r="K533" s="171"/>
      <c r="L533" s="171"/>
      <c r="M533" s="171"/>
      <c r="N533" s="171"/>
      <c r="O533" s="171"/>
      <c r="P533" s="171"/>
      <c r="Q533" s="171"/>
      <c r="R533" s="171"/>
      <c r="S533" s="171"/>
      <c r="T533" s="171"/>
      <c r="U533" s="171"/>
      <c r="V533" s="171"/>
      <c r="W533" s="171"/>
      <c r="X533" s="161"/>
      <c r="Y533" s="161"/>
      <c r="Z533" s="161"/>
      <c r="AA533" s="161"/>
      <c r="AB533" s="161"/>
      <c r="AC533" s="171"/>
      <c r="AD533" s="198"/>
    </row>
    <row r="534">
      <c r="A534" s="169"/>
      <c r="B534" s="169"/>
      <c r="C534" s="161"/>
      <c r="D534" s="229"/>
      <c r="E534" s="161"/>
      <c r="F534" s="161"/>
      <c r="G534" s="161"/>
      <c r="H534" s="171"/>
      <c r="I534" s="171"/>
      <c r="J534" s="171"/>
      <c r="K534" s="171"/>
      <c r="L534" s="171"/>
      <c r="M534" s="171"/>
      <c r="N534" s="171"/>
      <c r="O534" s="171"/>
      <c r="P534" s="171"/>
      <c r="Q534" s="171"/>
      <c r="R534" s="171"/>
      <c r="S534" s="171"/>
      <c r="T534" s="171"/>
      <c r="U534" s="171"/>
      <c r="V534" s="171"/>
      <c r="W534" s="171"/>
      <c r="X534" s="161"/>
      <c r="Y534" s="161"/>
      <c r="Z534" s="161"/>
      <c r="AA534" s="161"/>
      <c r="AB534" s="161"/>
      <c r="AC534" s="171"/>
      <c r="AD534" s="198"/>
    </row>
    <row r="535">
      <c r="A535" s="169"/>
      <c r="B535" s="169"/>
      <c r="C535" s="161"/>
      <c r="D535" s="229"/>
      <c r="E535" s="161"/>
      <c r="F535" s="161"/>
      <c r="G535" s="161"/>
      <c r="H535" s="171"/>
      <c r="I535" s="171"/>
      <c r="J535" s="171"/>
      <c r="K535" s="171"/>
      <c r="L535" s="171"/>
      <c r="M535" s="171"/>
      <c r="N535" s="171"/>
      <c r="O535" s="171"/>
      <c r="P535" s="171"/>
      <c r="Q535" s="171"/>
      <c r="R535" s="171"/>
      <c r="S535" s="171"/>
      <c r="T535" s="171"/>
      <c r="U535" s="171"/>
      <c r="V535" s="171"/>
      <c r="W535" s="171"/>
      <c r="X535" s="161"/>
      <c r="Y535" s="161"/>
      <c r="Z535" s="161"/>
      <c r="AA535" s="161"/>
      <c r="AB535" s="161"/>
      <c r="AC535" s="171"/>
      <c r="AD535" s="198"/>
    </row>
    <row r="536">
      <c r="A536" s="169"/>
      <c r="B536" s="169"/>
      <c r="C536" s="161"/>
      <c r="D536" s="229"/>
      <c r="E536" s="161"/>
      <c r="F536" s="161"/>
      <c r="G536" s="161"/>
      <c r="H536" s="171"/>
      <c r="I536" s="171"/>
      <c r="J536" s="171"/>
      <c r="K536" s="171"/>
      <c r="L536" s="171"/>
      <c r="M536" s="171"/>
      <c r="N536" s="171"/>
      <c r="O536" s="171"/>
      <c r="P536" s="171"/>
      <c r="Q536" s="171"/>
      <c r="R536" s="171"/>
      <c r="S536" s="171"/>
      <c r="T536" s="171"/>
      <c r="U536" s="171"/>
      <c r="V536" s="171"/>
      <c r="W536" s="171"/>
      <c r="X536" s="161"/>
      <c r="Y536" s="161"/>
      <c r="Z536" s="161"/>
      <c r="AA536" s="161"/>
      <c r="AB536" s="161"/>
      <c r="AC536" s="171"/>
      <c r="AD536" s="198"/>
    </row>
    <row r="537">
      <c r="A537" s="169"/>
      <c r="B537" s="169"/>
      <c r="C537" s="161"/>
      <c r="D537" s="229"/>
      <c r="E537" s="161"/>
      <c r="F537" s="161"/>
      <c r="G537" s="161"/>
      <c r="H537" s="171"/>
      <c r="I537" s="171"/>
      <c r="J537" s="171"/>
      <c r="K537" s="171"/>
      <c r="L537" s="171"/>
      <c r="M537" s="171"/>
      <c r="N537" s="171"/>
      <c r="O537" s="171"/>
      <c r="P537" s="171"/>
      <c r="Q537" s="171"/>
      <c r="R537" s="171"/>
      <c r="S537" s="171"/>
      <c r="T537" s="171"/>
      <c r="U537" s="171"/>
      <c r="V537" s="171"/>
      <c r="W537" s="171"/>
      <c r="X537" s="161"/>
      <c r="Y537" s="161"/>
      <c r="Z537" s="161"/>
      <c r="AA537" s="161"/>
      <c r="AB537" s="161"/>
      <c r="AC537" s="171"/>
      <c r="AD537" s="198"/>
    </row>
    <row r="538">
      <c r="A538" s="169"/>
      <c r="B538" s="169"/>
      <c r="C538" s="161"/>
      <c r="D538" s="229"/>
      <c r="E538" s="161"/>
      <c r="F538" s="161"/>
      <c r="G538" s="161"/>
      <c r="H538" s="171"/>
      <c r="I538" s="171"/>
      <c r="J538" s="171"/>
      <c r="K538" s="171"/>
      <c r="L538" s="171"/>
      <c r="M538" s="171"/>
      <c r="N538" s="171"/>
      <c r="O538" s="171"/>
      <c r="P538" s="171"/>
      <c r="Q538" s="171"/>
      <c r="R538" s="171"/>
      <c r="S538" s="171"/>
      <c r="T538" s="171"/>
      <c r="U538" s="171"/>
      <c r="V538" s="171"/>
      <c r="W538" s="171"/>
      <c r="X538" s="161"/>
      <c r="Y538" s="161"/>
      <c r="Z538" s="161"/>
      <c r="AA538" s="161"/>
      <c r="AB538" s="161"/>
      <c r="AC538" s="171"/>
      <c r="AD538" s="198"/>
    </row>
    <row r="539">
      <c r="A539" s="169"/>
      <c r="B539" s="169"/>
      <c r="C539" s="161"/>
      <c r="D539" s="229"/>
      <c r="E539" s="161"/>
      <c r="F539" s="161"/>
      <c r="G539" s="161"/>
      <c r="H539" s="171"/>
      <c r="I539" s="171"/>
      <c r="J539" s="171"/>
      <c r="K539" s="171"/>
      <c r="L539" s="171"/>
      <c r="M539" s="171"/>
      <c r="N539" s="171"/>
      <c r="O539" s="171"/>
      <c r="P539" s="171"/>
      <c r="Q539" s="171"/>
      <c r="R539" s="171"/>
      <c r="S539" s="171"/>
      <c r="T539" s="171"/>
      <c r="U539" s="171"/>
      <c r="V539" s="171"/>
      <c r="W539" s="171"/>
      <c r="X539" s="161"/>
      <c r="Y539" s="161"/>
      <c r="Z539" s="161"/>
      <c r="AA539" s="161"/>
      <c r="AB539" s="161"/>
      <c r="AC539" s="171"/>
      <c r="AD539" s="198"/>
    </row>
    <row r="540">
      <c r="A540" s="169"/>
      <c r="B540" s="169"/>
      <c r="C540" s="161"/>
      <c r="D540" s="229"/>
      <c r="E540" s="161"/>
      <c r="F540" s="161"/>
      <c r="G540" s="161"/>
      <c r="H540" s="171"/>
      <c r="I540" s="171"/>
      <c r="J540" s="171"/>
      <c r="K540" s="171"/>
      <c r="L540" s="171"/>
      <c r="M540" s="171"/>
      <c r="N540" s="171"/>
      <c r="O540" s="171"/>
      <c r="P540" s="171"/>
      <c r="Q540" s="171"/>
      <c r="R540" s="171"/>
      <c r="S540" s="171"/>
      <c r="T540" s="171"/>
      <c r="U540" s="171"/>
      <c r="V540" s="171"/>
      <c r="W540" s="171"/>
      <c r="X540" s="161"/>
      <c r="Y540" s="161"/>
      <c r="Z540" s="161"/>
      <c r="AA540" s="161"/>
      <c r="AB540" s="161"/>
      <c r="AC540" s="171"/>
      <c r="AD540" s="198"/>
    </row>
    <row r="541">
      <c r="A541" s="169"/>
      <c r="B541" s="169"/>
      <c r="C541" s="161"/>
      <c r="D541" s="229"/>
      <c r="E541" s="161"/>
      <c r="F541" s="161"/>
      <c r="G541" s="161"/>
      <c r="H541" s="171"/>
      <c r="I541" s="171"/>
      <c r="J541" s="171"/>
      <c r="K541" s="171"/>
      <c r="L541" s="171"/>
      <c r="M541" s="171"/>
      <c r="N541" s="171"/>
      <c r="O541" s="171"/>
      <c r="P541" s="171"/>
      <c r="Q541" s="171"/>
      <c r="R541" s="171"/>
      <c r="S541" s="171"/>
      <c r="T541" s="171"/>
      <c r="U541" s="171"/>
      <c r="V541" s="171"/>
      <c r="W541" s="171"/>
      <c r="X541" s="161"/>
      <c r="Y541" s="161"/>
      <c r="Z541" s="161"/>
      <c r="AA541" s="161"/>
      <c r="AB541" s="161"/>
      <c r="AC541" s="171"/>
      <c r="AD541" s="198"/>
    </row>
    <row r="542">
      <c r="A542" s="169"/>
      <c r="B542" s="169"/>
      <c r="C542" s="161"/>
      <c r="D542" s="229"/>
      <c r="E542" s="161"/>
      <c r="F542" s="161"/>
      <c r="G542" s="161"/>
      <c r="H542" s="171"/>
      <c r="I542" s="171"/>
      <c r="J542" s="171"/>
      <c r="K542" s="171"/>
      <c r="L542" s="171"/>
      <c r="M542" s="171"/>
      <c r="N542" s="171"/>
      <c r="O542" s="171"/>
      <c r="P542" s="171"/>
      <c r="Q542" s="171"/>
      <c r="R542" s="171"/>
      <c r="S542" s="171"/>
      <c r="T542" s="171"/>
      <c r="U542" s="171"/>
      <c r="V542" s="171"/>
      <c r="W542" s="171"/>
      <c r="X542" s="161"/>
      <c r="Y542" s="161"/>
      <c r="Z542" s="161"/>
      <c r="AA542" s="161"/>
      <c r="AB542" s="161"/>
      <c r="AC542" s="171"/>
      <c r="AD542" s="198"/>
    </row>
    <row r="543">
      <c r="A543" s="169"/>
      <c r="B543" s="169"/>
      <c r="C543" s="161"/>
      <c r="D543" s="229"/>
      <c r="E543" s="161"/>
      <c r="F543" s="161"/>
      <c r="G543" s="161"/>
      <c r="H543" s="171"/>
      <c r="I543" s="171"/>
      <c r="J543" s="171"/>
      <c r="K543" s="171"/>
      <c r="L543" s="171"/>
      <c r="M543" s="171"/>
      <c r="N543" s="171"/>
      <c r="O543" s="171"/>
      <c r="P543" s="171"/>
      <c r="Q543" s="171"/>
      <c r="R543" s="171"/>
      <c r="S543" s="171"/>
      <c r="T543" s="171"/>
      <c r="U543" s="171"/>
      <c r="V543" s="171"/>
      <c r="W543" s="171"/>
      <c r="X543" s="161"/>
      <c r="Y543" s="161"/>
      <c r="Z543" s="161"/>
      <c r="AA543" s="161"/>
      <c r="AB543" s="161"/>
      <c r="AC543" s="171"/>
      <c r="AD543" s="198"/>
    </row>
    <row r="544">
      <c r="A544" s="169"/>
      <c r="B544" s="169"/>
      <c r="C544" s="161"/>
      <c r="D544" s="229"/>
      <c r="E544" s="161"/>
      <c r="F544" s="161"/>
      <c r="G544" s="161"/>
      <c r="H544" s="171"/>
      <c r="I544" s="171"/>
      <c r="J544" s="171"/>
      <c r="K544" s="171"/>
      <c r="L544" s="171"/>
      <c r="M544" s="171"/>
      <c r="N544" s="171"/>
      <c r="O544" s="171"/>
      <c r="P544" s="171"/>
      <c r="Q544" s="171"/>
      <c r="R544" s="171"/>
      <c r="S544" s="171"/>
      <c r="T544" s="171"/>
      <c r="U544" s="171"/>
      <c r="V544" s="171"/>
      <c r="W544" s="171"/>
      <c r="X544" s="161"/>
      <c r="Y544" s="161"/>
      <c r="Z544" s="161"/>
      <c r="AA544" s="161"/>
      <c r="AB544" s="161"/>
      <c r="AC544" s="171"/>
      <c r="AD544" s="198"/>
    </row>
    <row r="545">
      <c r="A545" s="169"/>
      <c r="B545" s="169"/>
      <c r="C545" s="161"/>
      <c r="D545" s="229"/>
      <c r="E545" s="161"/>
      <c r="F545" s="161"/>
      <c r="G545" s="161"/>
      <c r="H545" s="171"/>
      <c r="I545" s="171"/>
      <c r="J545" s="171"/>
      <c r="K545" s="171"/>
      <c r="L545" s="171"/>
      <c r="M545" s="171"/>
      <c r="N545" s="171"/>
      <c r="O545" s="171"/>
      <c r="P545" s="171"/>
      <c r="Q545" s="171"/>
      <c r="R545" s="171"/>
      <c r="S545" s="171"/>
      <c r="T545" s="171"/>
      <c r="U545" s="171"/>
      <c r="V545" s="171"/>
      <c r="W545" s="171"/>
      <c r="X545" s="161"/>
      <c r="Y545" s="161"/>
      <c r="Z545" s="161"/>
      <c r="AA545" s="161"/>
      <c r="AB545" s="161"/>
      <c r="AC545" s="171"/>
      <c r="AD545" s="198"/>
    </row>
    <row r="546">
      <c r="A546" s="169"/>
      <c r="B546" s="169"/>
      <c r="C546" s="161"/>
      <c r="D546" s="229"/>
      <c r="E546" s="161"/>
      <c r="F546" s="161"/>
      <c r="G546" s="161"/>
      <c r="H546" s="171"/>
      <c r="I546" s="171"/>
      <c r="J546" s="171"/>
      <c r="K546" s="171"/>
      <c r="L546" s="171"/>
      <c r="M546" s="171"/>
      <c r="N546" s="171"/>
      <c r="O546" s="171"/>
      <c r="P546" s="171"/>
      <c r="Q546" s="171"/>
      <c r="R546" s="171"/>
      <c r="S546" s="171"/>
      <c r="T546" s="171"/>
      <c r="U546" s="171"/>
      <c r="V546" s="171"/>
      <c r="W546" s="171"/>
      <c r="X546" s="161"/>
      <c r="Y546" s="161"/>
      <c r="Z546" s="161"/>
      <c r="AA546" s="161"/>
      <c r="AB546" s="161"/>
      <c r="AC546" s="171"/>
      <c r="AD546" s="198"/>
    </row>
    <row r="547">
      <c r="A547" s="169"/>
      <c r="B547" s="169"/>
      <c r="C547" s="161"/>
      <c r="D547" s="229"/>
      <c r="E547" s="161"/>
      <c r="F547" s="161"/>
      <c r="G547" s="161"/>
      <c r="H547" s="171"/>
      <c r="I547" s="171"/>
      <c r="J547" s="171"/>
      <c r="K547" s="171"/>
      <c r="L547" s="171"/>
      <c r="M547" s="171"/>
      <c r="N547" s="171"/>
      <c r="O547" s="171"/>
      <c r="P547" s="171"/>
      <c r="Q547" s="171"/>
      <c r="R547" s="171"/>
      <c r="S547" s="171"/>
      <c r="T547" s="171"/>
      <c r="U547" s="171"/>
      <c r="V547" s="171"/>
      <c r="W547" s="171"/>
      <c r="X547" s="161"/>
      <c r="Y547" s="161"/>
      <c r="Z547" s="161"/>
      <c r="AA547" s="161"/>
      <c r="AB547" s="161"/>
      <c r="AC547" s="171"/>
      <c r="AD547" s="198"/>
    </row>
    <row r="548">
      <c r="A548" s="169"/>
      <c r="B548" s="169"/>
      <c r="C548" s="161"/>
      <c r="D548" s="229"/>
      <c r="E548" s="161"/>
      <c r="F548" s="161"/>
      <c r="G548" s="161"/>
      <c r="H548" s="171"/>
      <c r="I548" s="171"/>
      <c r="J548" s="171"/>
      <c r="K548" s="171"/>
      <c r="L548" s="171"/>
      <c r="M548" s="171"/>
      <c r="N548" s="171"/>
      <c r="O548" s="171"/>
      <c r="P548" s="171"/>
      <c r="Q548" s="171"/>
      <c r="R548" s="171"/>
      <c r="S548" s="171"/>
      <c r="T548" s="171"/>
      <c r="U548" s="171"/>
      <c r="V548" s="171"/>
      <c r="W548" s="171"/>
      <c r="X548" s="161"/>
      <c r="Y548" s="161"/>
      <c r="Z548" s="161"/>
      <c r="AA548" s="161"/>
      <c r="AB548" s="161"/>
      <c r="AC548" s="171"/>
      <c r="AD548" s="198"/>
    </row>
    <row r="549">
      <c r="A549" s="169"/>
      <c r="B549" s="169"/>
      <c r="C549" s="161"/>
      <c r="D549" s="229"/>
      <c r="E549" s="161"/>
      <c r="F549" s="161"/>
      <c r="G549" s="161"/>
      <c r="H549" s="171"/>
      <c r="I549" s="171"/>
      <c r="J549" s="171"/>
      <c r="K549" s="171"/>
      <c r="L549" s="171"/>
      <c r="M549" s="171"/>
      <c r="N549" s="171"/>
      <c r="O549" s="171"/>
      <c r="P549" s="171"/>
      <c r="Q549" s="171"/>
      <c r="R549" s="171"/>
      <c r="S549" s="171"/>
      <c r="T549" s="171"/>
      <c r="U549" s="171"/>
      <c r="V549" s="171"/>
      <c r="W549" s="171"/>
      <c r="X549" s="161"/>
      <c r="Y549" s="161"/>
      <c r="Z549" s="161"/>
      <c r="AA549" s="161"/>
      <c r="AB549" s="161"/>
      <c r="AC549" s="171"/>
      <c r="AD549" s="198"/>
    </row>
    <row r="550">
      <c r="A550" s="169"/>
      <c r="B550" s="169"/>
      <c r="C550" s="161"/>
      <c r="D550" s="229"/>
      <c r="E550" s="161"/>
      <c r="F550" s="161"/>
      <c r="G550" s="161"/>
      <c r="H550" s="171"/>
      <c r="I550" s="171"/>
      <c r="J550" s="171"/>
      <c r="K550" s="171"/>
      <c r="L550" s="171"/>
      <c r="M550" s="171"/>
      <c r="N550" s="171"/>
      <c r="O550" s="171"/>
      <c r="P550" s="171"/>
      <c r="Q550" s="171"/>
      <c r="R550" s="171"/>
      <c r="S550" s="171"/>
      <c r="T550" s="171"/>
      <c r="U550" s="171"/>
      <c r="V550" s="171"/>
      <c r="W550" s="171"/>
      <c r="X550" s="161"/>
      <c r="Y550" s="161"/>
      <c r="Z550" s="161"/>
      <c r="AA550" s="161"/>
      <c r="AB550" s="161"/>
      <c r="AC550" s="171"/>
      <c r="AD550" s="198"/>
    </row>
    <row r="551">
      <c r="A551" s="169"/>
      <c r="B551" s="169"/>
      <c r="C551" s="161"/>
      <c r="D551" s="229"/>
      <c r="E551" s="161"/>
      <c r="F551" s="161"/>
      <c r="G551" s="161"/>
      <c r="H551" s="171"/>
      <c r="I551" s="171"/>
      <c r="J551" s="171"/>
      <c r="K551" s="171"/>
      <c r="L551" s="171"/>
      <c r="M551" s="171"/>
      <c r="N551" s="171"/>
      <c r="O551" s="171"/>
      <c r="P551" s="171"/>
      <c r="Q551" s="171"/>
      <c r="R551" s="171"/>
      <c r="S551" s="171"/>
      <c r="T551" s="171"/>
      <c r="U551" s="171"/>
      <c r="V551" s="171"/>
      <c r="W551" s="171"/>
      <c r="X551" s="161"/>
      <c r="Y551" s="161"/>
      <c r="Z551" s="161"/>
      <c r="AA551" s="161"/>
      <c r="AB551" s="161"/>
      <c r="AC551" s="171"/>
      <c r="AD551" s="198"/>
    </row>
    <row r="552">
      <c r="A552" s="169"/>
      <c r="B552" s="169"/>
      <c r="C552" s="161"/>
      <c r="D552" s="229"/>
      <c r="E552" s="161"/>
      <c r="F552" s="161"/>
      <c r="G552" s="161"/>
      <c r="H552" s="171"/>
      <c r="I552" s="171"/>
      <c r="J552" s="171"/>
      <c r="K552" s="171"/>
      <c r="L552" s="171"/>
      <c r="M552" s="171"/>
      <c r="N552" s="171"/>
      <c r="O552" s="171"/>
      <c r="P552" s="171"/>
      <c r="Q552" s="171"/>
      <c r="R552" s="171"/>
      <c r="S552" s="171"/>
      <c r="T552" s="171"/>
      <c r="U552" s="171"/>
      <c r="V552" s="171"/>
      <c r="W552" s="171"/>
      <c r="X552" s="161"/>
      <c r="Y552" s="161"/>
      <c r="Z552" s="161"/>
      <c r="AA552" s="161"/>
      <c r="AB552" s="161"/>
      <c r="AC552" s="171"/>
      <c r="AD552" s="198"/>
    </row>
    <row r="553">
      <c r="A553" s="169"/>
      <c r="B553" s="169"/>
      <c r="C553" s="161"/>
      <c r="D553" s="229"/>
      <c r="E553" s="161"/>
      <c r="F553" s="161"/>
      <c r="G553" s="161"/>
      <c r="H553" s="171"/>
      <c r="I553" s="171"/>
      <c r="J553" s="171"/>
      <c r="K553" s="171"/>
      <c r="L553" s="171"/>
      <c r="M553" s="171"/>
      <c r="N553" s="171"/>
      <c r="O553" s="171"/>
      <c r="P553" s="171"/>
      <c r="Q553" s="171"/>
      <c r="R553" s="171"/>
      <c r="S553" s="171"/>
      <c r="T553" s="171"/>
      <c r="U553" s="171"/>
      <c r="V553" s="171"/>
      <c r="W553" s="171"/>
      <c r="X553" s="161"/>
      <c r="Y553" s="161"/>
      <c r="Z553" s="161"/>
      <c r="AA553" s="161"/>
      <c r="AB553" s="161"/>
      <c r="AC553" s="171"/>
      <c r="AD553" s="198"/>
    </row>
    <row r="554">
      <c r="A554" s="169"/>
      <c r="B554" s="169"/>
      <c r="C554" s="161"/>
      <c r="D554" s="229"/>
      <c r="E554" s="161"/>
      <c r="F554" s="161"/>
      <c r="G554" s="161"/>
      <c r="H554" s="171"/>
      <c r="I554" s="171"/>
      <c r="J554" s="171"/>
      <c r="K554" s="171"/>
      <c r="L554" s="171"/>
      <c r="M554" s="171"/>
      <c r="N554" s="171"/>
      <c r="O554" s="171"/>
      <c r="P554" s="171"/>
      <c r="Q554" s="171"/>
      <c r="R554" s="171"/>
      <c r="S554" s="171"/>
      <c r="T554" s="171"/>
      <c r="U554" s="171"/>
      <c r="V554" s="171"/>
      <c r="W554" s="171"/>
      <c r="X554" s="161"/>
      <c r="Y554" s="161"/>
      <c r="Z554" s="161"/>
      <c r="AA554" s="161"/>
      <c r="AB554" s="161"/>
      <c r="AC554" s="171"/>
      <c r="AD554" s="198"/>
    </row>
    <row r="555">
      <c r="A555" s="169"/>
      <c r="B555" s="169"/>
      <c r="C555" s="161"/>
      <c r="D555" s="229"/>
      <c r="E555" s="161"/>
      <c r="F555" s="161"/>
      <c r="G555" s="161"/>
      <c r="H555" s="171"/>
      <c r="I555" s="171"/>
      <c r="J555" s="171"/>
      <c r="K555" s="171"/>
      <c r="L555" s="171"/>
      <c r="M555" s="171"/>
      <c r="N555" s="171"/>
      <c r="O555" s="171"/>
      <c r="P555" s="171"/>
      <c r="Q555" s="171"/>
      <c r="R555" s="171"/>
      <c r="S555" s="171"/>
      <c r="T555" s="171"/>
      <c r="U555" s="171"/>
      <c r="V555" s="171"/>
      <c r="W555" s="171"/>
      <c r="X555" s="161"/>
      <c r="Y555" s="161"/>
      <c r="Z555" s="161"/>
      <c r="AA555" s="161"/>
      <c r="AB555" s="161"/>
      <c r="AC555" s="171"/>
      <c r="AD555" s="198"/>
    </row>
    <row r="556">
      <c r="A556" s="169"/>
      <c r="B556" s="169"/>
      <c r="C556" s="161"/>
      <c r="D556" s="229"/>
      <c r="E556" s="161"/>
      <c r="F556" s="161"/>
      <c r="G556" s="161"/>
      <c r="H556" s="171"/>
      <c r="I556" s="171"/>
      <c r="J556" s="171"/>
      <c r="K556" s="171"/>
      <c r="L556" s="171"/>
      <c r="M556" s="171"/>
      <c r="N556" s="171"/>
      <c r="O556" s="171"/>
      <c r="P556" s="171"/>
      <c r="Q556" s="171"/>
      <c r="R556" s="171"/>
      <c r="S556" s="171"/>
      <c r="T556" s="171"/>
      <c r="U556" s="171"/>
      <c r="V556" s="171"/>
      <c r="W556" s="171"/>
      <c r="X556" s="161"/>
      <c r="Y556" s="161"/>
      <c r="Z556" s="161"/>
      <c r="AA556" s="161"/>
      <c r="AB556" s="161"/>
      <c r="AC556" s="171"/>
      <c r="AD556" s="198"/>
    </row>
    <row r="557">
      <c r="A557" s="169"/>
      <c r="B557" s="169"/>
      <c r="C557" s="161"/>
      <c r="D557" s="229"/>
      <c r="E557" s="161"/>
      <c r="F557" s="161"/>
      <c r="G557" s="161"/>
      <c r="H557" s="171"/>
      <c r="I557" s="171"/>
      <c r="J557" s="171"/>
      <c r="K557" s="171"/>
      <c r="L557" s="171"/>
      <c r="M557" s="171"/>
      <c r="N557" s="171"/>
      <c r="O557" s="171"/>
      <c r="P557" s="171"/>
      <c r="Q557" s="171"/>
      <c r="R557" s="171"/>
      <c r="S557" s="171"/>
      <c r="T557" s="171"/>
      <c r="U557" s="171"/>
      <c r="V557" s="171"/>
      <c r="W557" s="171"/>
      <c r="X557" s="161"/>
      <c r="Y557" s="161"/>
      <c r="Z557" s="161"/>
      <c r="AA557" s="161"/>
      <c r="AB557" s="161"/>
      <c r="AC557" s="171"/>
      <c r="AD557" s="198"/>
    </row>
    <row r="558">
      <c r="A558" s="169"/>
      <c r="B558" s="169"/>
      <c r="C558" s="161"/>
      <c r="D558" s="229"/>
      <c r="E558" s="161"/>
      <c r="F558" s="161"/>
      <c r="G558" s="161"/>
      <c r="H558" s="171"/>
      <c r="I558" s="171"/>
      <c r="J558" s="171"/>
      <c r="K558" s="171"/>
      <c r="L558" s="171"/>
      <c r="M558" s="171"/>
      <c r="N558" s="171"/>
      <c r="O558" s="171"/>
      <c r="P558" s="171"/>
      <c r="Q558" s="171"/>
      <c r="R558" s="171"/>
      <c r="S558" s="171"/>
      <c r="T558" s="171"/>
      <c r="U558" s="171"/>
      <c r="V558" s="171"/>
      <c r="W558" s="171"/>
      <c r="X558" s="161"/>
      <c r="Y558" s="161"/>
      <c r="Z558" s="161"/>
      <c r="AA558" s="161"/>
      <c r="AB558" s="161"/>
      <c r="AC558" s="171"/>
      <c r="AD558" s="198"/>
    </row>
    <row r="559">
      <c r="A559" s="169"/>
      <c r="B559" s="169"/>
      <c r="C559" s="161"/>
      <c r="D559" s="229"/>
      <c r="E559" s="161"/>
      <c r="F559" s="161"/>
      <c r="G559" s="161"/>
      <c r="H559" s="171"/>
      <c r="I559" s="171"/>
      <c r="J559" s="171"/>
      <c r="K559" s="171"/>
      <c r="L559" s="171"/>
      <c r="M559" s="171"/>
      <c r="N559" s="171"/>
      <c r="O559" s="171"/>
      <c r="P559" s="171"/>
      <c r="Q559" s="171"/>
      <c r="R559" s="171"/>
      <c r="S559" s="171"/>
      <c r="T559" s="171"/>
      <c r="U559" s="171"/>
      <c r="V559" s="171"/>
      <c r="W559" s="171"/>
      <c r="X559" s="161"/>
      <c r="Y559" s="161"/>
      <c r="Z559" s="161"/>
      <c r="AA559" s="161"/>
      <c r="AB559" s="161"/>
      <c r="AC559" s="171"/>
      <c r="AD559" s="198"/>
    </row>
    <row r="560">
      <c r="A560" s="169"/>
      <c r="B560" s="169"/>
      <c r="C560" s="161"/>
      <c r="D560" s="229"/>
      <c r="E560" s="161"/>
      <c r="F560" s="161"/>
      <c r="G560" s="161"/>
      <c r="H560" s="171"/>
      <c r="I560" s="171"/>
      <c r="J560" s="171"/>
      <c r="K560" s="171"/>
      <c r="L560" s="171"/>
      <c r="M560" s="171"/>
      <c r="N560" s="171"/>
      <c r="O560" s="171"/>
      <c r="P560" s="171"/>
      <c r="Q560" s="171"/>
      <c r="R560" s="171"/>
      <c r="S560" s="171"/>
      <c r="T560" s="171"/>
      <c r="U560" s="171"/>
      <c r="V560" s="171"/>
      <c r="W560" s="171"/>
      <c r="X560" s="161"/>
      <c r="Y560" s="161"/>
      <c r="Z560" s="161"/>
      <c r="AA560" s="161"/>
      <c r="AB560" s="161"/>
      <c r="AC560" s="171"/>
      <c r="AD560" s="198"/>
    </row>
    <row r="561">
      <c r="A561" s="169"/>
      <c r="B561" s="169"/>
      <c r="C561" s="161"/>
      <c r="D561" s="229"/>
      <c r="E561" s="161"/>
      <c r="F561" s="161"/>
      <c r="G561" s="161"/>
      <c r="H561" s="171"/>
      <c r="I561" s="171"/>
      <c r="J561" s="171"/>
      <c r="K561" s="171"/>
      <c r="L561" s="171"/>
      <c r="M561" s="171"/>
      <c r="N561" s="171"/>
      <c r="O561" s="171"/>
      <c r="P561" s="171"/>
      <c r="Q561" s="171"/>
      <c r="R561" s="171"/>
      <c r="S561" s="171"/>
      <c r="T561" s="171"/>
      <c r="U561" s="171"/>
      <c r="V561" s="171"/>
      <c r="W561" s="171"/>
      <c r="X561" s="161"/>
      <c r="Y561" s="161"/>
      <c r="Z561" s="161"/>
      <c r="AA561" s="161"/>
      <c r="AB561" s="161"/>
      <c r="AC561" s="171"/>
      <c r="AD561" s="198"/>
    </row>
    <row r="562">
      <c r="A562" s="169"/>
      <c r="B562" s="169"/>
      <c r="C562" s="161"/>
      <c r="D562" s="229"/>
      <c r="E562" s="161"/>
      <c r="F562" s="161"/>
      <c r="G562" s="161"/>
      <c r="H562" s="171"/>
      <c r="I562" s="171"/>
      <c r="J562" s="171"/>
      <c r="K562" s="171"/>
      <c r="L562" s="171"/>
      <c r="M562" s="171"/>
      <c r="N562" s="171"/>
      <c r="O562" s="171"/>
      <c r="P562" s="171"/>
      <c r="Q562" s="171"/>
      <c r="R562" s="171"/>
      <c r="S562" s="171"/>
      <c r="T562" s="171"/>
      <c r="U562" s="171"/>
      <c r="V562" s="171"/>
      <c r="W562" s="171"/>
      <c r="X562" s="161"/>
      <c r="Y562" s="161"/>
      <c r="Z562" s="161"/>
      <c r="AA562" s="161"/>
      <c r="AB562" s="161"/>
      <c r="AC562" s="171"/>
      <c r="AD562" s="198"/>
    </row>
    <row r="563">
      <c r="A563" s="169"/>
      <c r="B563" s="169"/>
      <c r="C563" s="161"/>
      <c r="D563" s="229"/>
      <c r="E563" s="161"/>
      <c r="F563" s="161"/>
      <c r="G563" s="161"/>
      <c r="H563" s="171"/>
      <c r="I563" s="171"/>
      <c r="J563" s="171"/>
      <c r="K563" s="171"/>
      <c r="L563" s="171"/>
      <c r="M563" s="171"/>
      <c r="N563" s="171"/>
      <c r="O563" s="171"/>
      <c r="P563" s="171"/>
      <c r="Q563" s="171"/>
      <c r="R563" s="171"/>
      <c r="S563" s="171"/>
      <c r="T563" s="171"/>
      <c r="U563" s="171"/>
      <c r="V563" s="171"/>
      <c r="W563" s="171"/>
      <c r="X563" s="161"/>
      <c r="Y563" s="161"/>
      <c r="Z563" s="161"/>
      <c r="AA563" s="161"/>
      <c r="AB563" s="161"/>
      <c r="AC563" s="171"/>
      <c r="AD563" s="198"/>
    </row>
    <row r="564">
      <c r="A564" s="169"/>
      <c r="B564" s="169"/>
      <c r="C564" s="161"/>
      <c r="D564" s="229"/>
      <c r="E564" s="161"/>
      <c r="F564" s="161"/>
      <c r="G564" s="161"/>
      <c r="H564" s="171"/>
      <c r="I564" s="171"/>
      <c r="J564" s="171"/>
      <c r="K564" s="171"/>
      <c r="L564" s="171"/>
      <c r="M564" s="171"/>
      <c r="N564" s="171"/>
      <c r="O564" s="171"/>
      <c r="P564" s="171"/>
      <c r="Q564" s="171"/>
      <c r="R564" s="171"/>
      <c r="S564" s="171"/>
      <c r="T564" s="171"/>
      <c r="U564" s="171"/>
      <c r="V564" s="171"/>
      <c r="W564" s="171"/>
      <c r="X564" s="161"/>
      <c r="Y564" s="161"/>
      <c r="Z564" s="161"/>
      <c r="AA564" s="161"/>
      <c r="AB564" s="161"/>
      <c r="AC564" s="171"/>
      <c r="AD564" s="198"/>
    </row>
    <row r="565">
      <c r="A565" s="169"/>
      <c r="B565" s="169"/>
      <c r="C565" s="161"/>
      <c r="D565" s="229"/>
      <c r="E565" s="161"/>
      <c r="F565" s="161"/>
      <c r="G565" s="161"/>
      <c r="H565" s="171"/>
      <c r="I565" s="171"/>
      <c r="J565" s="171"/>
      <c r="K565" s="171"/>
      <c r="L565" s="171"/>
      <c r="M565" s="171"/>
      <c r="N565" s="171"/>
      <c r="O565" s="171"/>
      <c r="P565" s="171"/>
      <c r="Q565" s="171"/>
      <c r="R565" s="171"/>
      <c r="S565" s="171"/>
      <c r="T565" s="171"/>
      <c r="U565" s="171"/>
      <c r="V565" s="171"/>
      <c r="W565" s="171"/>
      <c r="X565" s="161"/>
      <c r="Y565" s="161"/>
      <c r="Z565" s="161"/>
      <c r="AA565" s="161"/>
      <c r="AB565" s="161"/>
      <c r="AC565" s="171"/>
      <c r="AD565" s="198"/>
    </row>
    <row r="566">
      <c r="A566" s="169"/>
      <c r="B566" s="169"/>
      <c r="C566" s="161"/>
      <c r="D566" s="229"/>
      <c r="E566" s="161"/>
      <c r="F566" s="161"/>
      <c r="G566" s="161"/>
      <c r="H566" s="171"/>
      <c r="I566" s="171"/>
      <c r="J566" s="171"/>
      <c r="K566" s="171"/>
      <c r="L566" s="171"/>
      <c r="M566" s="171"/>
      <c r="N566" s="171"/>
      <c r="O566" s="171"/>
      <c r="P566" s="171"/>
      <c r="Q566" s="171"/>
      <c r="R566" s="171"/>
      <c r="S566" s="171"/>
      <c r="T566" s="171"/>
      <c r="U566" s="171"/>
      <c r="V566" s="171"/>
      <c r="W566" s="171"/>
      <c r="X566" s="161"/>
      <c r="Y566" s="161"/>
      <c r="Z566" s="161"/>
      <c r="AA566" s="161"/>
      <c r="AB566" s="161"/>
      <c r="AC566" s="171"/>
      <c r="AD566" s="198"/>
    </row>
    <row r="567">
      <c r="A567" s="169"/>
      <c r="B567" s="169"/>
      <c r="C567" s="161"/>
      <c r="D567" s="229"/>
      <c r="E567" s="161"/>
      <c r="F567" s="161"/>
      <c r="G567" s="161"/>
      <c r="H567" s="171"/>
      <c r="I567" s="171"/>
      <c r="J567" s="171"/>
      <c r="K567" s="171"/>
      <c r="L567" s="171"/>
      <c r="M567" s="171"/>
      <c r="N567" s="171"/>
      <c r="O567" s="171"/>
      <c r="P567" s="171"/>
      <c r="Q567" s="171"/>
      <c r="R567" s="171"/>
      <c r="S567" s="171"/>
      <c r="T567" s="171"/>
      <c r="U567" s="171"/>
      <c r="V567" s="171"/>
      <c r="W567" s="171"/>
      <c r="X567" s="161"/>
      <c r="Y567" s="161"/>
      <c r="Z567" s="161"/>
      <c r="AA567" s="161"/>
      <c r="AB567" s="161"/>
      <c r="AC567" s="171"/>
      <c r="AD567" s="198"/>
    </row>
    <row r="568">
      <c r="A568" s="169"/>
      <c r="B568" s="169"/>
      <c r="C568" s="161"/>
      <c r="D568" s="229"/>
      <c r="E568" s="161"/>
      <c r="F568" s="161"/>
      <c r="G568" s="161"/>
      <c r="H568" s="171"/>
      <c r="I568" s="171"/>
      <c r="J568" s="171"/>
      <c r="K568" s="171"/>
      <c r="L568" s="171"/>
      <c r="M568" s="171"/>
      <c r="N568" s="171"/>
      <c r="O568" s="171"/>
      <c r="P568" s="171"/>
      <c r="Q568" s="171"/>
      <c r="R568" s="171"/>
      <c r="S568" s="171"/>
      <c r="T568" s="171"/>
      <c r="U568" s="171"/>
      <c r="V568" s="171"/>
      <c r="W568" s="171"/>
      <c r="X568" s="161"/>
      <c r="Y568" s="161"/>
      <c r="Z568" s="161"/>
      <c r="AA568" s="161"/>
      <c r="AB568" s="161"/>
      <c r="AC568" s="171"/>
      <c r="AD568" s="198"/>
    </row>
    <row r="569">
      <c r="A569" s="169"/>
      <c r="B569" s="169"/>
      <c r="C569" s="161"/>
      <c r="D569" s="229"/>
      <c r="E569" s="161"/>
      <c r="F569" s="161"/>
      <c r="G569" s="161"/>
      <c r="H569" s="171"/>
      <c r="I569" s="171"/>
      <c r="J569" s="171"/>
      <c r="K569" s="171"/>
      <c r="L569" s="171"/>
      <c r="M569" s="171"/>
      <c r="N569" s="171"/>
      <c r="O569" s="171"/>
      <c r="P569" s="171"/>
      <c r="Q569" s="171"/>
      <c r="R569" s="171"/>
      <c r="S569" s="171"/>
      <c r="T569" s="171"/>
      <c r="U569" s="171"/>
      <c r="V569" s="171"/>
      <c r="W569" s="171"/>
      <c r="X569" s="161"/>
      <c r="Y569" s="161"/>
      <c r="Z569" s="161"/>
      <c r="AA569" s="161"/>
      <c r="AB569" s="161"/>
      <c r="AC569" s="171"/>
      <c r="AD569" s="198"/>
    </row>
    <row r="570">
      <c r="A570" s="169"/>
      <c r="B570" s="169"/>
      <c r="C570" s="161"/>
      <c r="D570" s="229"/>
      <c r="E570" s="161"/>
      <c r="F570" s="161"/>
      <c r="G570" s="161"/>
      <c r="H570" s="171"/>
      <c r="I570" s="171"/>
      <c r="J570" s="171"/>
      <c r="K570" s="171"/>
      <c r="L570" s="171"/>
      <c r="M570" s="171"/>
      <c r="N570" s="171"/>
      <c r="O570" s="171"/>
      <c r="P570" s="171"/>
      <c r="Q570" s="171"/>
      <c r="R570" s="171"/>
      <c r="S570" s="171"/>
      <c r="T570" s="171"/>
      <c r="U570" s="171"/>
      <c r="V570" s="171"/>
      <c r="W570" s="171"/>
      <c r="X570" s="161"/>
      <c r="Y570" s="161"/>
      <c r="Z570" s="161"/>
      <c r="AA570" s="161"/>
      <c r="AB570" s="161"/>
      <c r="AC570" s="171"/>
      <c r="AD570" s="198"/>
    </row>
    <row r="571">
      <c r="A571" s="169"/>
      <c r="B571" s="169"/>
      <c r="C571" s="161"/>
      <c r="D571" s="229"/>
      <c r="E571" s="161"/>
      <c r="F571" s="161"/>
      <c r="G571" s="161"/>
      <c r="H571" s="171"/>
      <c r="I571" s="171"/>
      <c r="J571" s="171"/>
      <c r="K571" s="171"/>
      <c r="L571" s="171"/>
      <c r="M571" s="171"/>
      <c r="N571" s="171"/>
      <c r="O571" s="171"/>
      <c r="P571" s="171"/>
      <c r="Q571" s="171"/>
      <c r="R571" s="171"/>
      <c r="S571" s="171"/>
      <c r="T571" s="171"/>
      <c r="U571" s="171"/>
      <c r="V571" s="171"/>
      <c r="W571" s="171"/>
      <c r="X571" s="161"/>
      <c r="Y571" s="161"/>
      <c r="Z571" s="161"/>
      <c r="AA571" s="161"/>
      <c r="AB571" s="161"/>
      <c r="AC571" s="171"/>
      <c r="AD571" s="198"/>
    </row>
    <row r="572">
      <c r="A572" s="169"/>
      <c r="B572" s="169"/>
      <c r="C572" s="161"/>
      <c r="D572" s="229"/>
      <c r="E572" s="161"/>
      <c r="F572" s="161"/>
      <c r="G572" s="161"/>
      <c r="H572" s="171"/>
      <c r="I572" s="171"/>
      <c r="J572" s="171"/>
      <c r="K572" s="171"/>
      <c r="L572" s="171"/>
      <c r="M572" s="171"/>
      <c r="N572" s="171"/>
      <c r="O572" s="171"/>
      <c r="P572" s="171"/>
      <c r="Q572" s="171"/>
      <c r="R572" s="171"/>
      <c r="S572" s="171"/>
      <c r="T572" s="171"/>
      <c r="U572" s="171"/>
      <c r="V572" s="171"/>
      <c r="W572" s="171"/>
      <c r="X572" s="161"/>
      <c r="Y572" s="161"/>
      <c r="Z572" s="161"/>
      <c r="AA572" s="161"/>
      <c r="AB572" s="161"/>
      <c r="AC572" s="171"/>
      <c r="AD572" s="198"/>
    </row>
    <row r="573">
      <c r="A573" s="169"/>
      <c r="B573" s="169"/>
      <c r="C573" s="161"/>
      <c r="D573" s="229"/>
      <c r="E573" s="161"/>
      <c r="F573" s="161"/>
      <c r="G573" s="161"/>
      <c r="H573" s="171"/>
      <c r="I573" s="171"/>
      <c r="J573" s="171"/>
      <c r="K573" s="171"/>
      <c r="L573" s="171"/>
      <c r="M573" s="171"/>
      <c r="N573" s="171"/>
      <c r="O573" s="171"/>
      <c r="P573" s="171"/>
      <c r="Q573" s="171"/>
      <c r="R573" s="171"/>
      <c r="S573" s="171"/>
      <c r="T573" s="171"/>
      <c r="U573" s="171"/>
      <c r="V573" s="171"/>
      <c r="W573" s="171"/>
      <c r="X573" s="161"/>
      <c r="Y573" s="161"/>
      <c r="Z573" s="161"/>
      <c r="AA573" s="161"/>
      <c r="AB573" s="161"/>
      <c r="AC573" s="171"/>
      <c r="AD573" s="198"/>
    </row>
    <row r="574">
      <c r="A574" s="169"/>
      <c r="B574" s="169"/>
      <c r="C574" s="161"/>
      <c r="D574" s="229"/>
      <c r="E574" s="161"/>
      <c r="F574" s="161"/>
      <c r="G574" s="161"/>
      <c r="H574" s="171"/>
      <c r="I574" s="171"/>
      <c r="J574" s="171"/>
      <c r="K574" s="171"/>
      <c r="L574" s="171"/>
      <c r="M574" s="171"/>
      <c r="N574" s="171"/>
      <c r="O574" s="171"/>
      <c r="P574" s="171"/>
      <c r="Q574" s="171"/>
      <c r="R574" s="171"/>
      <c r="S574" s="171"/>
      <c r="T574" s="171"/>
      <c r="U574" s="171"/>
      <c r="V574" s="171"/>
      <c r="W574" s="171"/>
      <c r="X574" s="161"/>
      <c r="Y574" s="161"/>
      <c r="Z574" s="161"/>
      <c r="AA574" s="161"/>
      <c r="AB574" s="161"/>
      <c r="AC574" s="171"/>
      <c r="AD574" s="198"/>
    </row>
    <row r="575">
      <c r="A575" s="169"/>
      <c r="B575" s="169"/>
      <c r="C575" s="161"/>
      <c r="D575" s="229"/>
      <c r="E575" s="161"/>
      <c r="F575" s="161"/>
      <c r="G575" s="161"/>
      <c r="H575" s="171"/>
      <c r="I575" s="171"/>
      <c r="J575" s="171"/>
      <c r="K575" s="171"/>
      <c r="L575" s="171"/>
      <c r="M575" s="171"/>
      <c r="N575" s="171"/>
      <c r="O575" s="171"/>
      <c r="P575" s="171"/>
      <c r="Q575" s="171"/>
      <c r="R575" s="171"/>
      <c r="S575" s="171"/>
      <c r="T575" s="171"/>
      <c r="U575" s="171"/>
      <c r="V575" s="171"/>
      <c r="W575" s="171"/>
      <c r="X575" s="161"/>
      <c r="Y575" s="161"/>
      <c r="Z575" s="161"/>
      <c r="AA575" s="161"/>
      <c r="AB575" s="161"/>
      <c r="AC575" s="171"/>
      <c r="AD575" s="198"/>
    </row>
    <row r="576">
      <c r="A576" s="169"/>
      <c r="B576" s="169"/>
      <c r="C576" s="161"/>
      <c r="D576" s="229"/>
      <c r="E576" s="161"/>
      <c r="F576" s="161"/>
      <c r="G576" s="161"/>
      <c r="H576" s="171"/>
      <c r="I576" s="171"/>
      <c r="J576" s="171"/>
      <c r="K576" s="171"/>
      <c r="L576" s="171"/>
      <c r="M576" s="171"/>
      <c r="N576" s="171"/>
      <c r="O576" s="171"/>
      <c r="P576" s="171"/>
      <c r="Q576" s="171"/>
      <c r="R576" s="171"/>
      <c r="S576" s="171"/>
      <c r="T576" s="171"/>
      <c r="U576" s="171"/>
      <c r="V576" s="171"/>
      <c r="W576" s="171"/>
      <c r="X576" s="161"/>
      <c r="Y576" s="161"/>
      <c r="Z576" s="161"/>
      <c r="AA576" s="161"/>
      <c r="AB576" s="161"/>
      <c r="AC576" s="171"/>
      <c r="AD576" s="198"/>
    </row>
    <row r="577">
      <c r="A577" s="169"/>
      <c r="B577" s="169"/>
      <c r="C577" s="161"/>
      <c r="D577" s="229"/>
      <c r="E577" s="161"/>
      <c r="F577" s="161"/>
      <c r="G577" s="161"/>
      <c r="H577" s="171"/>
      <c r="I577" s="171"/>
      <c r="J577" s="171"/>
      <c r="K577" s="171"/>
      <c r="L577" s="171"/>
      <c r="M577" s="171"/>
      <c r="N577" s="171"/>
      <c r="O577" s="171"/>
      <c r="P577" s="171"/>
      <c r="Q577" s="171"/>
      <c r="R577" s="171"/>
      <c r="S577" s="171"/>
      <c r="T577" s="171"/>
      <c r="U577" s="171"/>
      <c r="V577" s="171"/>
      <c r="W577" s="171"/>
      <c r="X577" s="161"/>
      <c r="Y577" s="161"/>
      <c r="Z577" s="161"/>
      <c r="AA577" s="161"/>
      <c r="AB577" s="161"/>
      <c r="AC577" s="171"/>
      <c r="AD577" s="198"/>
    </row>
    <row r="578">
      <c r="A578" s="169"/>
      <c r="B578" s="169"/>
      <c r="C578" s="161"/>
      <c r="D578" s="229"/>
      <c r="E578" s="161"/>
      <c r="F578" s="161"/>
      <c r="G578" s="161"/>
      <c r="H578" s="171"/>
      <c r="I578" s="171"/>
      <c r="J578" s="171"/>
      <c r="K578" s="171"/>
      <c r="L578" s="171"/>
      <c r="M578" s="171"/>
      <c r="N578" s="171"/>
      <c r="O578" s="171"/>
      <c r="P578" s="171"/>
      <c r="Q578" s="171"/>
      <c r="R578" s="171"/>
      <c r="S578" s="171"/>
      <c r="T578" s="171"/>
      <c r="U578" s="171"/>
      <c r="V578" s="171"/>
      <c r="W578" s="171"/>
      <c r="X578" s="161"/>
      <c r="Y578" s="161"/>
      <c r="Z578" s="161"/>
      <c r="AA578" s="161"/>
      <c r="AB578" s="161"/>
      <c r="AC578" s="171"/>
      <c r="AD578" s="198"/>
    </row>
    <row r="579">
      <c r="A579" s="169"/>
      <c r="B579" s="169"/>
      <c r="C579" s="161"/>
      <c r="D579" s="229"/>
      <c r="E579" s="161"/>
      <c r="F579" s="161"/>
      <c r="G579" s="161"/>
      <c r="H579" s="171"/>
      <c r="I579" s="171"/>
      <c r="J579" s="171"/>
      <c r="K579" s="171"/>
      <c r="L579" s="171"/>
      <c r="M579" s="171"/>
      <c r="N579" s="171"/>
      <c r="O579" s="171"/>
      <c r="P579" s="171"/>
      <c r="Q579" s="171"/>
      <c r="R579" s="171"/>
      <c r="S579" s="171"/>
      <c r="T579" s="171"/>
      <c r="U579" s="171"/>
      <c r="V579" s="171"/>
      <c r="W579" s="171"/>
      <c r="X579" s="161"/>
      <c r="Y579" s="161"/>
      <c r="Z579" s="161"/>
      <c r="AA579" s="161"/>
      <c r="AB579" s="161"/>
      <c r="AC579" s="171"/>
      <c r="AD579" s="198"/>
    </row>
    <row r="580">
      <c r="A580" s="169"/>
      <c r="B580" s="169"/>
      <c r="C580" s="161"/>
      <c r="D580" s="229"/>
      <c r="E580" s="161"/>
      <c r="F580" s="161"/>
      <c r="G580" s="161"/>
      <c r="H580" s="171"/>
      <c r="I580" s="171"/>
      <c r="J580" s="171"/>
      <c r="K580" s="171"/>
      <c r="L580" s="171"/>
      <c r="M580" s="171"/>
      <c r="N580" s="171"/>
      <c r="O580" s="171"/>
      <c r="P580" s="171"/>
      <c r="Q580" s="171"/>
      <c r="R580" s="171"/>
      <c r="S580" s="171"/>
      <c r="T580" s="171"/>
      <c r="U580" s="171"/>
      <c r="V580" s="171"/>
      <c r="W580" s="171"/>
      <c r="X580" s="161"/>
      <c r="Y580" s="161"/>
      <c r="Z580" s="161"/>
      <c r="AA580" s="161"/>
      <c r="AB580" s="161"/>
      <c r="AC580" s="171"/>
      <c r="AD580" s="198"/>
    </row>
    <row r="581">
      <c r="A581" s="169"/>
      <c r="B581" s="169"/>
      <c r="C581" s="161"/>
      <c r="D581" s="229"/>
      <c r="E581" s="161"/>
      <c r="F581" s="161"/>
      <c r="G581" s="161"/>
      <c r="H581" s="171"/>
      <c r="I581" s="171"/>
      <c r="J581" s="171"/>
      <c r="K581" s="171"/>
      <c r="L581" s="171"/>
      <c r="M581" s="171"/>
      <c r="N581" s="171"/>
      <c r="O581" s="171"/>
      <c r="P581" s="171"/>
      <c r="Q581" s="171"/>
      <c r="R581" s="171"/>
      <c r="S581" s="171"/>
      <c r="T581" s="171"/>
      <c r="U581" s="171"/>
      <c r="V581" s="171"/>
      <c r="W581" s="171"/>
      <c r="X581" s="161"/>
      <c r="Y581" s="161"/>
      <c r="Z581" s="161"/>
      <c r="AA581" s="161"/>
      <c r="AB581" s="161"/>
      <c r="AC581" s="171"/>
      <c r="AD581" s="198"/>
    </row>
    <row r="582">
      <c r="A582" s="169"/>
      <c r="B582" s="169"/>
      <c r="C582" s="161"/>
      <c r="D582" s="229"/>
      <c r="E582" s="161"/>
      <c r="F582" s="161"/>
      <c r="G582" s="161"/>
      <c r="H582" s="171"/>
      <c r="I582" s="171"/>
      <c r="J582" s="171"/>
      <c r="K582" s="171"/>
      <c r="L582" s="171"/>
      <c r="M582" s="171"/>
      <c r="N582" s="171"/>
      <c r="O582" s="171"/>
      <c r="P582" s="171"/>
      <c r="Q582" s="171"/>
      <c r="R582" s="171"/>
      <c r="S582" s="171"/>
      <c r="T582" s="171"/>
      <c r="U582" s="171"/>
      <c r="V582" s="171"/>
      <c r="W582" s="171"/>
      <c r="X582" s="161"/>
      <c r="Y582" s="161"/>
      <c r="Z582" s="161"/>
      <c r="AA582" s="161"/>
      <c r="AB582" s="161"/>
      <c r="AC582" s="171"/>
      <c r="AD582" s="198"/>
    </row>
    <row r="583">
      <c r="A583" s="169"/>
      <c r="B583" s="169"/>
      <c r="C583" s="161"/>
      <c r="D583" s="229"/>
      <c r="E583" s="161"/>
      <c r="F583" s="161"/>
      <c r="G583" s="161"/>
      <c r="H583" s="171"/>
      <c r="I583" s="171"/>
      <c r="J583" s="171"/>
      <c r="K583" s="171"/>
      <c r="L583" s="171"/>
      <c r="M583" s="171"/>
      <c r="N583" s="171"/>
      <c r="O583" s="171"/>
      <c r="P583" s="171"/>
      <c r="Q583" s="171"/>
      <c r="R583" s="171"/>
      <c r="S583" s="171"/>
      <c r="T583" s="171"/>
      <c r="U583" s="171"/>
      <c r="V583" s="171"/>
      <c r="W583" s="171"/>
      <c r="X583" s="161"/>
      <c r="Y583" s="161"/>
      <c r="Z583" s="161"/>
      <c r="AA583" s="161"/>
      <c r="AB583" s="161"/>
      <c r="AC583" s="171"/>
      <c r="AD583" s="198"/>
    </row>
    <row r="584">
      <c r="A584" s="169"/>
      <c r="B584" s="169"/>
      <c r="C584" s="161"/>
      <c r="D584" s="229"/>
      <c r="E584" s="161"/>
      <c r="F584" s="161"/>
      <c r="G584" s="161"/>
      <c r="H584" s="171"/>
      <c r="I584" s="171"/>
      <c r="J584" s="171"/>
      <c r="K584" s="171"/>
      <c r="L584" s="171"/>
      <c r="M584" s="171"/>
      <c r="N584" s="171"/>
      <c r="O584" s="171"/>
      <c r="P584" s="171"/>
      <c r="Q584" s="171"/>
      <c r="R584" s="171"/>
      <c r="S584" s="171"/>
      <c r="T584" s="171"/>
      <c r="U584" s="171"/>
      <c r="V584" s="171"/>
      <c r="W584" s="171"/>
      <c r="X584" s="161"/>
      <c r="Y584" s="161"/>
      <c r="Z584" s="161"/>
      <c r="AA584" s="161"/>
      <c r="AB584" s="161"/>
      <c r="AC584" s="171"/>
      <c r="AD584" s="198"/>
    </row>
    <row r="585">
      <c r="A585" s="169"/>
      <c r="B585" s="169"/>
      <c r="C585" s="161"/>
      <c r="D585" s="229"/>
      <c r="E585" s="161"/>
      <c r="F585" s="161"/>
      <c r="G585" s="161"/>
      <c r="H585" s="171"/>
      <c r="I585" s="171"/>
      <c r="J585" s="171"/>
      <c r="K585" s="171"/>
      <c r="L585" s="171"/>
      <c r="M585" s="171"/>
      <c r="N585" s="171"/>
      <c r="O585" s="171"/>
      <c r="P585" s="171"/>
      <c r="Q585" s="171"/>
      <c r="R585" s="171"/>
      <c r="S585" s="171"/>
      <c r="T585" s="171"/>
      <c r="U585" s="171"/>
      <c r="V585" s="171"/>
      <c r="W585" s="171"/>
      <c r="X585" s="161"/>
      <c r="Y585" s="161"/>
      <c r="Z585" s="161"/>
      <c r="AA585" s="161"/>
      <c r="AB585" s="161"/>
      <c r="AC585" s="171"/>
      <c r="AD585" s="198"/>
    </row>
    <row r="586">
      <c r="A586" s="169"/>
      <c r="B586" s="169"/>
      <c r="C586" s="161"/>
      <c r="D586" s="229"/>
      <c r="E586" s="161"/>
      <c r="F586" s="161"/>
      <c r="G586" s="161"/>
      <c r="H586" s="171"/>
      <c r="I586" s="171"/>
      <c r="J586" s="171"/>
      <c r="K586" s="171"/>
      <c r="L586" s="171"/>
      <c r="M586" s="171"/>
      <c r="N586" s="171"/>
      <c r="O586" s="171"/>
      <c r="P586" s="171"/>
      <c r="Q586" s="171"/>
      <c r="R586" s="171"/>
      <c r="S586" s="171"/>
      <c r="T586" s="171"/>
      <c r="U586" s="171"/>
      <c r="V586" s="171"/>
      <c r="W586" s="171"/>
      <c r="X586" s="161"/>
      <c r="Y586" s="161"/>
      <c r="Z586" s="161"/>
      <c r="AA586" s="161"/>
      <c r="AB586" s="161"/>
      <c r="AC586" s="171"/>
      <c r="AD586" s="198"/>
    </row>
    <row r="587">
      <c r="A587" s="169"/>
      <c r="B587" s="169"/>
      <c r="C587" s="161"/>
      <c r="D587" s="229"/>
      <c r="E587" s="161"/>
      <c r="F587" s="161"/>
      <c r="G587" s="161"/>
      <c r="H587" s="171"/>
      <c r="I587" s="171"/>
      <c r="J587" s="171"/>
      <c r="K587" s="171"/>
      <c r="L587" s="171"/>
      <c r="M587" s="171"/>
      <c r="N587" s="171"/>
      <c r="O587" s="171"/>
      <c r="P587" s="171"/>
      <c r="Q587" s="171"/>
      <c r="R587" s="171"/>
      <c r="S587" s="171"/>
      <c r="T587" s="171"/>
      <c r="U587" s="171"/>
      <c r="V587" s="171"/>
      <c r="W587" s="171"/>
      <c r="X587" s="161"/>
      <c r="Y587" s="161"/>
      <c r="Z587" s="161"/>
      <c r="AA587" s="161"/>
      <c r="AB587" s="161"/>
      <c r="AC587" s="171"/>
      <c r="AD587" s="198"/>
    </row>
    <row r="588">
      <c r="A588" s="169"/>
      <c r="B588" s="169"/>
      <c r="C588" s="161"/>
      <c r="D588" s="229"/>
      <c r="E588" s="161"/>
      <c r="F588" s="161"/>
      <c r="G588" s="161"/>
      <c r="H588" s="171"/>
      <c r="I588" s="171"/>
      <c r="J588" s="171"/>
      <c r="K588" s="171"/>
      <c r="L588" s="171"/>
      <c r="M588" s="171"/>
      <c r="N588" s="171"/>
      <c r="O588" s="171"/>
      <c r="P588" s="171"/>
      <c r="Q588" s="171"/>
      <c r="R588" s="171"/>
      <c r="S588" s="171"/>
      <c r="T588" s="171"/>
      <c r="U588" s="171"/>
      <c r="V588" s="171"/>
      <c r="W588" s="171"/>
      <c r="X588" s="161"/>
      <c r="Y588" s="161"/>
      <c r="Z588" s="161"/>
      <c r="AA588" s="161"/>
      <c r="AB588" s="161"/>
      <c r="AC588" s="171"/>
      <c r="AD588" s="198"/>
    </row>
    <row r="589">
      <c r="A589" s="169"/>
      <c r="B589" s="169"/>
      <c r="C589" s="161"/>
      <c r="D589" s="229"/>
      <c r="E589" s="161"/>
      <c r="F589" s="161"/>
      <c r="G589" s="161"/>
      <c r="H589" s="171"/>
      <c r="I589" s="171"/>
      <c r="J589" s="171"/>
      <c r="K589" s="171"/>
      <c r="L589" s="171"/>
      <c r="M589" s="171"/>
      <c r="N589" s="171"/>
      <c r="O589" s="171"/>
      <c r="P589" s="171"/>
      <c r="Q589" s="171"/>
      <c r="R589" s="171"/>
      <c r="S589" s="171"/>
      <c r="T589" s="171"/>
      <c r="U589" s="171"/>
      <c r="V589" s="171"/>
      <c r="W589" s="171"/>
      <c r="X589" s="161"/>
      <c r="Y589" s="161"/>
      <c r="Z589" s="161"/>
      <c r="AA589" s="161"/>
      <c r="AB589" s="161"/>
      <c r="AC589" s="171"/>
      <c r="AD589" s="198"/>
    </row>
    <row r="590">
      <c r="A590" s="169"/>
      <c r="B590" s="169"/>
      <c r="C590" s="161"/>
      <c r="D590" s="229"/>
      <c r="E590" s="161"/>
      <c r="F590" s="161"/>
      <c r="G590" s="161"/>
      <c r="H590" s="171"/>
      <c r="I590" s="171"/>
      <c r="J590" s="171"/>
      <c r="K590" s="171"/>
      <c r="L590" s="171"/>
      <c r="M590" s="171"/>
      <c r="N590" s="171"/>
      <c r="O590" s="171"/>
      <c r="P590" s="171"/>
      <c r="Q590" s="171"/>
      <c r="R590" s="171"/>
      <c r="S590" s="171"/>
      <c r="T590" s="171"/>
      <c r="U590" s="171"/>
      <c r="V590" s="171"/>
      <c r="W590" s="171"/>
      <c r="X590" s="161"/>
      <c r="Y590" s="161"/>
      <c r="Z590" s="161"/>
      <c r="AA590" s="161"/>
      <c r="AB590" s="161"/>
      <c r="AC590" s="171"/>
      <c r="AD590" s="198"/>
    </row>
    <row r="591">
      <c r="A591" s="169"/>
      <c r="B591" s="169"/>
      <c r="C591" s="161"/>
      <c r="D591" s="229"/>
      <c r="E591" s="161"/>
      <c r="F591" s="161"/>
      <c r="G591" s="161"/>
      <c r="H591" s="171"/>
      <c r="I591" s="171"/>
      <c r="J591" s="171"/>
      <c r="K591" s="171"/>
      <c r="L591" s="171"/>
      <c r="M591" s="171"/>
      <c r="N591" s="171"/>
      <c r="O591" s="171"/>
      <c r="P591" s="171"/>
      <c r="Q591" s="171"/>
      <c r="R591" s="171"/>
      <c r="S591" s="171"/>
      <c r="T591" s="171"/>
      <c r="U591" s="171"/>
      <c r="V591" s="171"/>
      <c r="W591" s="171"/>
      <c r="X591" s="161"/>
      <c r="Y591" s="161"/>
      <c r="Z591" s="161"/>
      <c r="AA591" s="161"/>
      <c r="AB591" s="161"/>
      <c r="AC591" s="171"/>
      <c r="AD591" s="198"/>
    </row>
    <row r="592">
      <c r="A592" s="169"/>
      <c r="B592" s="169"/>
      <c r="C592" s="161"/>
      <c r="D592" s="229"/>
      <c r="E592" s="161"/>
      <c r="F592" s="161"/>
      <c r="G592" s="161"/>
      <c r="H592" s="171"/>
      <c r="I592" s="171"/>
      <c r="J592" s="171"/>
      <c r="K592" s="171"/>
      <c r="L592" s="171"/>
      <c r="M592" s="171"/>
      <c r="N592" s="171"/>
      <c r="O592" s="171"/>
      <c r="P592" s="171"/>
      <c r="Q592" s="171"/>
      <c r="R592" s="171"/>
      <c r="S592" s="171"/>
      <c r="T592" s="171"/>
      <c r="U592" s="171"/>
      <c r="V592" s="171"/>
      <c r="W592" s="171"/>
      <c r="X592" s="161"/>
      <c r="Y592" s="161"/>
      <c r="Z592" s="161"/>
      <c r="AA592" s="161"/>
      <c r="AB592" s="161"/>
      <c r="AC592" s="171"/>
      <c r="AD592" s="198"/>
    </row>
    <row r="593">
      <c r="A593" s="169"/>
      <c r="B593" s="169"/>
      <c r="C593" s="161"/>
      <c r="D593" s="229"/>
      <c r="E593" s="161"/>
      <c r="F593" s="161"/>
      <c r="G593" s="161"/>
      <c r="H593" s="171"/>
      <c r="I593" s="171"/>
      <c r="J593" s="171"/>
      <c r="K593" s="171"/>
      <c r="L593" s="171"/>
      <c r="M593" s="171"/>
      <c r="N593" s="171"/>
      <c r="O593" s="171"/>
      <c r="P593" s="171"/>
      <c r="Q593" s="171"/>
      <c r="R593" s="171"/>
      <c r="S593" s="171"/>
      <c r="T593" s="171"/>
      <c r="U593" s="171"/>
      <c r="V593" s="171"/>
      <c r="W593" s="171"/>
      <c r="X593" s="161"/>
      <c r="Y593" s="161"/>
      <c r="Z593" s="161"/>
      <c r="AA593" s="161"/>
      <c r="AB593" s="161"/>
      <c r="AC593" s="171"/>
      <c r="AD593" s="198"/>
    </row>
    <row r="594">
      <c r="A594" s="169"/>
      <c r="B594" s="169"/>
      <c r="C594" s="161"/>
      <c r="D594" s="229"/>
      <c r="E594" s="161"/>
      <c r="F594" s="161"/>
      <c r="G594" s="161"/>
      <c r="H594" s="171"/>
      <c r="I594" s="171"/>
      <c r="J594" s="171"/>
      <c r="K594" s="171"/>
      <c r="L594" s="171"/>
      <c r="M594" s="171"/>
      <c r="N594" s="171"/>
      <c r="O594" s="171"/>
      <c r="P594" s="171"/>
      <c r="Q594" s="171"/>
      <c r="R594" s="171"/>
      <c r="S594" s="171"/>
      <c r="T594" s="171"/>
      <c r="U594" s="171"/>
      <c r="V594" s="171"/>
      <c r="W594" s="171"/>
      <c r="X594" s="161"/>
      <c r="Y594" s="161"/>
      <c r="Z594" s="161"/>
      <c r="AA594" s="161"/>
      <c r="AB594" s="161"/>
      <c r="AC594" s="171"/>
      <c r="AD594" s="198"/>
    </row>
    <row r="595">
      <c r="A595" s="169"/>
      <c r="B595" s="169"/>
      <c r="C595" s="161"/>
      <c r="D595" s="229"/>
      <c r="E595" s="161"/>
      <c r="F595" s="161"/>
      <c r="G595" s="161"/>
      <c r="H595" s="171"/>
      <c r="I595" s="171"/>
      <c r="J595" s="171"/>
      <c r="K595" s="171"/>
      <c r="L595" s="171"/>
      <c r="M595" s="171"/>
      <c r="N595" s="171"/>
      <c r="O595" s="171"/>
      <c r="P595" s="171"/>
      <c r="Q595" s="171"/>
      <c r="R595" s="171"/>
      <c r="S595" s="171"/>
      <c r="T595" s="171"/>
      <c r="U595" s="171"/>
      <c r="V595" s="171"/>
      <c r="W595" s="171"/>
      <c r="X595" s="161"/>
      <c r="Y595" s="161"/>
      <c r="Z595" s="161"/>
      <c r="AA595" s="161"/>
      <c r="AB595" s="161"/>
      <c r="AC595" s="171"/>
      <c r="AD595" s="198"/>
    </row>
    <row r="596">
      <c r="A596" s="169"/>
      <c r="B596" s="169"/>
      <c r="C596" s="161"/>
      <c r="D596" s="229"/>
      <c r="E596" s="161"/>
      <c r="F596" s="161"/>
      <c r="G596" s="161"/>
      <c r="H596" s="171"/>
      <c r="I596" s="171"/>
      <c r="J596" s="171"/>
      <c r="K596" s="171"/>
      <c r="L596" s="171"/>
      <c r="M596" s="171"/>
      <c r="N596" s="171"/>
      <c r="O596" s="171"/>
      <c r="P596" s="171"/>
      <c r="Q596" s="171"/>
      <c r="R596" s="171"/>
      <c r="S596" s="171"/>
      <c r="T596" s="171"/>
      <c r="U596" s="171"/>
      <c r="V596" s="171"/>
      <c r="W596" s="171"/>
      <c r="X596" s="161"/>
      <c r="Y596" s="161"/>
      <c r="Z596" s="161"/>
      <c r="AA596" s="161"/>
      <c r="AB596" s="161"/>
      <c r="AC596" s="171"/>
      <c r="AD596" s="198"/>
    </row>
    <row r="597">
      <c r="A597" s="169"/>
      <c r="B597" s="169"/>
      <c r="C597" s="161"/>
      <c r="D597" s="229"/>
      <c r="E597" s="161"/>
      <c r="F597" s="161"/>
      <c r="G597" s="161"/>
      <c r="H597" s="171"/>
      <c r="I597" s="171"/>
      <c r="J597" s="171"/>
      <c r="K597" s="171"/>
      <c r="L597" s="171"/>
      <c r="M597" s="171"/>
      <c r="N597" s="171"/>
      <c r="O597" s="171"/>
      <c r="P597" s="171"/>
      <c r="Q597" s="171"/>
      <c r="R597" s="171"/>
      <c r="S597" s="171"/>
      <c r="T597" s="171"/>
      <c r="U597" s="171"/>
      <c r="V597" s="171"/>
      <c r="W597" s="171"/>
      <c r="X597" s="161"/>
      <c r="Y597" s="161"/>
      <c r="Z597" s="161"/>
      <c r="AA597" s="161"/>
      <c r="AB597" s="161"/>
      <c r="AC597" s="171"/>
      <c r="AD597" s="198"/>
    </row>
    <row r="598">
      <c r="A598" s="169"/>
      <c r="B598" s="169"/>
      <c r="C598" s="161"/>
      <c r="D598" s="229"/>
      <c r="E598" s="161"/>
      <c r="F598" s="161"/>
      <c r="G598" s="161"/>
      <c r="H598" s="171"/>
      <c r="I598" s="171"/>
      <c r="J598" s="171"/>
      <c r="K598" s="171"/>
      <c r="L598" s="171"/>
      <c r="M598" s="171"/>
      <c r="N598" s="171"/>
      <c r="O598" s="171"/>
      <c r="P598" s="171"/>
      <c r="Q598" s="171"/>
      <c r="R598" s="171"/>
      <c r="S598" s="171"/>
      <c r="T598" s="171"/>
      <c r="U598" s="171"/>
      <c r="V598" s="171"/>
      <c r="W598" s="171"/>
      <c r="X598" s="161"/>
      <c r="Y598" s="161"/>
      <c r="Z598" s="161"/>
      <c r="AA598" s="161"/>
      <c r="AB598" s="161"/>
      <c r="AC598" s="171"/>
      <c r="AD598" s="198"/>
    </row>
    <row r="599">
      <c r="A599" s="169"/>
      <c r="B599" s="169"/>
      <c r="C599" s="161"/>
      <c r="D599" s="229"/>
      <c r="E599" s="161"/>
      <c r="F599" s="161"/>
      <c r="G599" s="161"/>
      <c r="H599" s="171"/>
      <c r="I599" s="171"/>
      <c r="J599" s="171"/>
      <c r="K599" s="171"/>
      <c r="L599" s="171"/>
      <c r="M599" s="171"/>
      <c r="N599" s="171"/>
      <c r="O599" s="171"/>
      <c r="P599" s="171"/>
      <c r="Q599" s="171"/>
      <c r="R599" s="171"/>
      <c r="S599" s="171"/>
      <c r="T599" s="171"/>
      <c r="U599" s="171"/>
      <c r="V599" s="171"/>
      <c r="W599" s="171"/>
      <c r="X599" s="161"/>
      <c r="Y599" s="161"/>
      <c r="Z599" s="161"/>
      <c r="AA599" s="161"/>
      <c r="AB599" s="161"/>
      <c r="AC599" s="171"/>
      <c r="AD599" s="198"/>
    </row>
    <row r="600">
      <c r="A600" s="169"/>
      <c r="B600" s="169"/>
      <c r="C600" s="161"/>
      <c r="D600" s="229"/>
      <c r="E600" s="161"/>
      <c r="F600" s="161"/>
      <c r="G600" s="161"/>
      <c r="H600" s="171"/>
      <c r="I600" s="171"/>
      <c r="J600" s="171"/>
      <c r="K600" s="171"/>
      <c r="L600" s="171"/>
      <c r="M600" s="171"/>
      <c r="N600" s="171"/>
      <c r="O600" s="171"/>
      <c r="P600" s="171"/>
      <c r="Q600" s="171"/>
      <c r="R600" s="171"/>
      <c r="S600" s="171"/>
      <c r="T600" s="171"/>
      <c r="U600" s="171"/>
      <c r="V600" s="171"/>
      <c r="W600" s="171"/>
      <c r="X600" s="161"/>
      <c r="Y600" s="161"/>
      <c r="Z600" s="161"/>
      <c r="AA600" s="161"/>
      <c r="AB600" s="161"/>
      <c r="AC600" s="171"/>
      <c r="AD600" s="198"/>
    </row>
    <row r="601">
      <c r="A601" s="169"/>
      <c r="B601" s="169"/>
      <c r="C601" s="161"/>
      <c r="D601" s="229"/>
      <c r="E601" s="161"/>
      <c r="F601" s="161"/>
      <c r="G601" s="161"/>
      <c r="H601" s="171"/>
      <c r="I601" s="171"/>
      <c r="J601" s="171"/>
      <c r="K601" s="171"/>
      <c r="L601" s="171"/>
      <c r="M601" s="171"/>
      <c r="N601" s="171"/>
      <c r="O601" s="171"/>
      <c r="P601" s="171"/>
      <c r="Q601" s="171"/>
      <c r="R601" s="171"/>
      <c r="S601" s="171"/>
      <c r="T601" s="171"/>
      <c r="U601" s="171"/>
      <c r="V601" s="171"/>
      <c r="W601" s="171"/>
      <c r="X601" s="161"/>
      <c r="Y601" s="161"/>
      <c r="Z601" s="161"/>
      <c r="AA601" s="161"/>
      <c r="AB601" s="161"/>
      <c r="AC601" s="171"/>
      <c r="AD601" s="198"/>
    </row>
    <row r="602">
      <c r="A602" s="169"/>
      <c r="B602" s="169"/>
      <c r="C602" s="161"/>
      <c r="D602" s="229"/>
      <c r="E602" s="161"/>
      <c r="F602" s="161"/>
      <c r="G602" s="161"/>
      <c r="H602" s="171"/>
      <c r="I602" s="171"/>
      <c r="J602" s="171"/>
      <c r="K602" s="171"/>
      <c r="L602" s="171"/>
      <c r="M602" s="171"/>
      <c r="N602" s="171"/>
      <c r="O602" s="171"/>
      <c r="P602" s="171"/>
      <c r="Q602" s="171"/>
      <c r="R602" s="171"/>
      <c r="S602" s="171"/>
      <c r="T602" s="171"/>
      <c r="U602" s="171"/>
      <c r="V602" s="171"/>
      <c r="W602" s="171"/>
      <c r="X602" s="161"/>
      <c r="Y602" s="161"/>
      <c r="Z602" s="161"/>
      <c r="AA602" s="161"/>
      <c r="AB602" s="161"/>
      <c r="AC602" s="171"/>
      <c r="AD602" s="198"/>
    </row>
    <row r="603">
      <c r="A603" s="169"/>
      <c r="B603" s="169"/>
      <c r="C603" s="161"/>
      <c r="D603" s="229"/>
      <c r="E603" s="161"/>
      <c r="F603" s="161"/>
      <c r="G603" s="161"/>
      <c r="H603" s="171"/>
      <c r="I603" s="171"/>
      <c r="J603" s="171"/>
      <c r="K603" s="171"/>
      <c r="L603" s="171"/>
      <c r="M603" s="171"/>
      <c r="N603" s="171"/>
      <c r="O603" s="171"/>
      <c r="P603" s="171"/>
      <c r="Q603" s="171"/>
      <c r="R603" s="171"/>
      <c r="S603" s="171"/>
      <c r="T603" s="171"/>
      <c r="U603" s="171"/>
      <c r="V603" s="171"/>
      <c r="W603" s="171"/>
      <c r="X603" s="161"/>
      <c r="Y603" s="161"/>
      <c r="Z603" s="161"/>
      <c r="AA603" s="161"/>
      <c r="AB603" s="161"/>
      <c r="AC603" s="171"/>
      <c r="AD603" s="198"/>
    </row>
    <row r="604">
      <c r="A604" s="169"/>
      <c r="B604" s="169"/>
      <c r="C604" s="161"/>
      <c r="D604" s="229"/>
      <c r="E604" s="161"/>
      <c r="F604" s="161"/>
      <c r="G604" s="161"/>
      <c r="H604" s="171"/>
      <c r="I604" s="171"/>
      <c r="J604" s="171"/>
      <c r="K604" s="171"/>
      <c r="L604" s="171"/>
      <c r="M604" s="171"/>
      <c r="N604" s="171"/>
      <c r="O604" s="171"/>
      <c r="P604" s="171"/>
      <c r="Q604" s="171"/>
      <c r="R604" s="171"/>
      <c r="S604" s="171"/>
      <c r="T604" s="171"/>
      <c r="U604" s="171"/>
      <c r="V604" s="171"/>
      <c r="W604" s="171"/>
      <c r="X604" s="161"/>
      <c r="Y604" s="161"/>
      <c r="Z604" s="161"/>
      <c r="AA604" s="161"/>
      <c r="AB604" s="161"/>
      <c r="AC604" s="171"/>
      <c r="AD604" s="198"/>
    </row>
    <row r="605">
      <c r="A605" s="169"/>
      <c r="B605" s="169"/>
      <c r="C605" s="161"/>
      <c r="D605" s="229"/>
      <c r="E605" s="161"/>
      <c r="F605" s="161"/>
      <c r="G605" s="161"/>
      <c r="H605" s="171"/>
      <c r="I605" s="171"/>
      <c r="J605" s="171"/>
      <c r="K605" s="171"/>
      <c r="L605" s="171"/>
      <c r="M605" s="171"/>
      <c r="N605" s="171"/>
      <c r="O605" s="171"/>
      <c r="P605" s="171"/>
      <c r="Q605" s="171"/>
      <c r="R605" s="171"/>
      <c r="S605" s="171"/>
      <c r="T605" s="171"/>
      <c r="U605" s="171"/>
      <c r="V605" s="171"/>
      <c r="W605" s="171"/>
      <c r="X605" s="161"/>
      <c r="Y605" s="161"/>
      <c r="Z605" s="161"/>
      <c r="AA605" s="161"/>
      <c r="AB605" s="161"/>
      <c r="AC605" s="171"/>
      <c r="AD605" s="198"/>
    </row>
    <row r="606">
      <c r="A606" s="169"/>
      <c r="B606" s="169"/>
      <c r="C606" s="161"/>
      <c r="D606" s="229"/>
      <c r="E606" s="161"/>
      <c r="F606" s="161"/>
      <c r="G606" s="161"/>
      <c r="H606" s="171"/>
      <c r="I606" s="171"/>
      <c r="J606" s="171"/>
      <c r="K606" s="171"/>
      <c r="L606" s="171"/>
      <c r="M606" s="171"/>
      <c r="N606" s="171"/>
      <c r="O606" s="171"/>
      <c r="P606" s="171"/>
      <c r="Q606" s="171"/>
      <c r="R606" s="171"/>
      <c r="S606" s="171"/>
      <c r="T606" s="171"/>
      <c r="U606" s="171"/>
      <c r="V606" s="171"/>
      <c r="W606" s="171"/>
      <c r="X606" s="161"/>
      <c r="Y606" s="161"/>
      <c r="Z606" s="161"/>
      <c r="AA606" s="161"/>
      <c r="AB606" s="161"/>
      <c r="AC606" s="171"/>
      <c r="AD606" s="198"/>
    </row>
    <row r="607">
      <c r="A607" s="169"/>
      <c r="B607" s="169"/>
      <c r="C607" s="161"/>
      <c r="D607" s="229"/>
      <c r="E607" s="161"/>
      <c r="F607" s="161"/>
      <c r="G607" s="161"/>
      <c r="H607" s="171"/>
      <c r="I607" s="171"/>
      <c r="J607" s="171"/>
      <c r="K607" s="171"/>
      <c r="L607" s="171"/>
      <c r="M607" s="171"/>
      <c r="N607" s="171"/>
      <c r="O607" s="171"/>
      <c r="P607" s="171"/>
      <c r="Q607" s="171"/>
      <c r="R607" s="171"/>
      <c r="S607" s="171"/>
      <c r="T607" s="171"/>
      <c r="U607" s="171"/>
      <c r="V607" s="171"/>
      <c r="W607" s="171"/>
      <c r="X607" s="161"/>
      <c r="Y607" s="161"/>
      <c r="Z607" s="161"/>
      <c r="AA607" s="161"/>
      <c r="AB607" s="161"/>
      <c r="AC607" s="171"/>
      <c r="AD607" s="198"/>
    </row>
    <row r="608">
      <c r="A608" s="169"/>
      <c r="B608" s="169"/>
      <c r="C608" s="161"/>
      <c r="D608" s="229"/>
      <c r="E608" s="161"/>
      <c r="F608" s="161"/>
      <c r="G608" s="161"/>
      <c r="H608" s="171"/>
      <c r="I608" s="171"/>
      <c r="J608" s="171"/>
      <c r="K608" s="171"/>
      <c r="L608" s="171"/>
      <c r="M608" s="171"/>
      <c r="N608" s="171"/>
      <c r="O608" s="171"/>
      <c r="P608" s="171"/>
      <c r="Q608" s="171"/>
      <c r="R608" s="171"/>
      <c r="S608" s="171"/>
      <c r="T608" s="171"/>
      <c r="U608" s="171"/>
      <c r="V608" s="171"/>
      <c r="W608" s="171"/>
      <c r="X608" s="161"/>
      <c r="Y608" s="161"/>
      <c r="Z608" s="161"/>
      <c r="AA608" s="161"/>
      <c r="AB608" s="161"/>
      <c r="AC608" s="171"/>
      <c r="AD608" s="198"/>
    </row>
    <row r="609">
      <c r="A609" s="169"/>
      <c r="B609" s="169"/>
      <c r="C609" s="161"/>
      <c r="D609" s="229"/>
      <c r="E609" s="161"/>
      <c r="F609" s="161"/>
      <c r="G609" s="161"/>
      <c r="H609" s="171"/>
      <c r="I609" s="171"/>
      <c r="J609" s="171"/>
      <c r="K609" s="171"/>
      <c r="L609" s="171"/>
      <c r="M609" s="171"/>
      <c r="N609" s="171"/>
      <c r="O609" s="171"/>
      <c r="P609" s="171"/>
      <c r="Q609" s="171"/>
      <c r="R609" s="171"/>
      <c r="S609" s="171"/>
      <c r="T609" s="171"/>
      <c r="U609" s="171"/>
      <c r="V609" s="171"/>
      <c r="W609" s="171"/>
      <c r="X609" s="161"/>
      <c r="Y609" s="161"/>
      <c r="Z609" s="161"/>
      <c r="AA609" s="161"/>
      <c r="AB609" s="161"/>
      <c r="AC609" s="171"/>
      <c r="AD609" s="198"/>
    </row>
    <row r="610">
      <c r="A610" s="169"/>
      <c r="B610" s="169"/>
      <c r="C610" s="161"/>
      <c r="D610" s="229"/>
      <c r="E610" s="161"/>
      <c r="F610" s="161"/>
      <c r="G610" s="161"/>
      <c r="H610" s="171"/>
      <c r="I610" s="171"/>
      <c r="J610" s="171"/>
      <c r="K610" s="171"/>
      <c r="L610" s="171"/>
      <c r="M610" s="171"/>
      <c r="N610" s="171"/>
      <c r="O610" s="171"/>
      <c r="P610" s="171"/>
      <c r="Q610" s="171"/>
      <c r="R610" s="171"/>
      <c r="S610" s="171"/>
      <c r="T610" s="171"/>
      <c r="U610" s="171"/>
      <c r="V610" s="171"/>
      <c r="W610" s="171"/>
      <c r="X610" s="161"/>
      <c r="Y610" s="161"/>
      <c r="Z610" s="161"/>
      <c r="AA610" s="161"/>
      <c r="AB610" s="161"/>
      <c r="AC610" s="171"/>
      <c r="AD610" s="198"/>
    </row>
    <row r="611">
      <c r="A611" s="169"/>
      <c r="B611" s="169"/>
      <c r="C611" s="161"/>
      <c r="D611" s="229"/>
      <c r="E611" s="161"/>
      <c r="F611" s="161"/>
      <c r="G611" s="161"/>
      <c r="H611" s="171"/>
      <c r="I611" s="171"/>
      <c r="J611" s="171"/>
      <c r="K611" s="171"/>
      <c r="L611" s="171"/>
      <c r="M611" s="171"/>
      <c r="N611" s="171"/>
      <c r="O611" s="171"/>
      <c r="P611" s="171"/>
      <c r="Q611" s="171"/>
      <c r="R611" s="171"/>
      <c r="S611" s="171"/>
      <c r="T611" s="171"/>
      <c r="U611" s="171"/>
      <c r="V611" s="171"/>
      <c r="W611" s="171"/>
      <c r="X611" s="161"/>
      <c r="Y611" s="161"/>
      <c r="Z611" s="161"/>
      <c r="AA611" s="161"/>
      <c r="AB611" s="161"/>
      <c r="AC611" s="171"/>
      <c r="AD611" s="198"/>
    </row>
    <row r="612">
      <c r="A612" s="169"/>
      <c r="B612" s="169"/>
      <c r="C612" s="161"/>
      <c r="D612" s="229"/>
      <c r="E612" s="161"/>
      <c r="F612" s="161"/>
      <c r="G612" s="161"/>
      <c r="H612" s="171"/>
      <c r="I612" s="171"/>
      <c r="J612" s="171"/>
      <c r="K612" s="171"/>
      <c r="L612" s="171"/>
      <c r="M612" s="171"/>
      <c r="N612" s="171"/>
      <c r="O612" s="171"/>
      <c r="P612" s="171"/>
      <c r="Q612" s="171"/>
      <c r="R612" s="171"/>
      <c r="S612" s="171"/>
      <c r="T612" s="171"/>
      <c r="U612" s="171"/>
      <c r="V612" s="171"/>
      <c r="W612" s="171"/>
      <c r="X612" s="161"/>
      <c r="Y612" s="161"/>
      <c r="Z612" s="161"/>
      <c r="AA612" s="161"/>
      <c r="AB612" s="161"/>
      <c r="AC612" s="171"/>
      <c r="AD612" s="198"/>
    </row>
    <row r="613">
      <c r="A613" s="169"/>
      <c r="B613" s="169"/>
      <c r="C613" s="161"/>
      <c r="D613" s="229"/>
      <c r="E613" s="161"/>
      <c r="F613" s="161"/>
      <c r="G613" s="161"/>
      <c r="H613" s="171"/>
      <c r="I613" s="171"/>
      <c r="J613" s="171"/>
      <c r="K613" s="171"/>
      <c r="L613" s="171"/>
      <c r="M613" s="171"/>
      <c r="N613" s="171"/>
      <c r="O613" s="171"/>
      <c r="P613" s="171"/>
      <c r="Q613" s="171"/>
      <c r="R613" s="171"/>
      <c r="S613" s="171"/>
      <c r="T613" s="171"/>
      <c r="U613" s="171"/>
      <c r="V613" s="171"/>
      <c r="W613" s="171"/>
      <c r="X613" s="161"/>
      <c r="Y613" s="161"/>
      <c r="Z613" s="161"/>
      <c r="AA613" s="161"/>
      <c r="AB613" s="161"/>
      <c r="AC613" s="171"/>
      <c r="AD613" s="198"/>
    </row>
    <row r="614">
      <c r="A614" s="169"/>
      <c r="B614" s="169"/>
      <c r="C614" s="161"/>
      <c r="D614" s="229"/>
      <c r="E614" s="161"/>
      <c r="F614" s="161"/>
      <c r="G614" s="161"/>
      <c r="H614" s="171"/>
      <c r="I614" s="171"/>
      <c r="J614" s="171"/>
      <c r="K614" s="171"/>
      <c r="L614" s="171"/>
      <c r="M614" s="171"/>
      <c r="N614" s="171"/>
      <c r="O614" s="171"/>
      <c r="P614" s="171"/>
      <c r="Q614" s="171"/>
      <c r="R614" s="171"/>
      <c r="S614" s="171"/>
      <c r="T614" s="171"/>
      <c r="U614" s="171"/>
      <c r="V614" s="171"/>
      <c r="W614" s="171"/>
      <c r="X614" s="161"/>
      <c r="Y614" s="161"/>
      <c r="Z614" s="161"/>
      <c r="AA614" s="161"/>
      <c r="AB614" s="161"/>
      <c r="AC614" s="171"/>
      <c r="AD614" s="198"/>
    </row>
    <row r="615">
      <c r="A615" s="169"/>
      <c r="B615" s="169"/>
      <c r="C615" s="161"/>
      <c r="D615" s="229"/>
      <c r="E615" s="161"/>
      <c r="F615" s="161"/>
      <c r="G615" s="161"/>
      <c r="H615" s="171"/>
      <c r="I615" s="171"/>
      <c r="J615" s="171"/>
      <c r="K615" s="171"/>
      <c r="L615" s="171"/>
      <c r="M615" s="171"/>
      <c r="N615" s="171"/>
      <c r="O615" s="171"/>
      <c r="P615" s="171"/>
      <c r="Q615" s="171"/>
      <c r="R615" s="171"/>
      <c r="S615" s="171"/>
      <c r="T615" s="171"/>
      <c r="U615" s="171"/>
      <c r="V615" s="171"/>
      <c r="W615" s="171"/>
      <c r="X615" s="161"/>
      <c r="Y615" s="161"/>
      <c r="Z615" s="161"/>
      <c r="AA615" s="161"/>
      <c r="AB615" s="161"/>
      <c r="AC615" s="171"/>
      <c r="AD615" s="198"/>
    </row>
    <row r="616">
      <c r="A616" s="169"/>
      <c r="B616" s="169"/>
      <c r="C616" s="161"/>
      <c r="D616" s="229"/>
      <c r="E616" s="161"/>
      <c r="F616" s="161"/>
      <c r="G616" s="161"/>
      <c r="H616" s="171"/>
      <c r="I616" s="171"/>
      <c r="J616" s="171"/>
      <c r="K616" s="171"/>
      <c r="L616" s="171"/>
      <c r="M616" s="171"/>
      <c r="N616" s="171"/>
      <c r="O616" s="171"/>
      <c r="P616" s="171"/>
      <c r="Q616" s="171"/>
      <c r="R616" s="171"/>
      <c r="S616" s="171"/>
      <c r="T616" s="171"/>
      <c r="U616" s="171"/>
      <c r="V616" s="171"/>
      <c r="W616" s="171"/>
      <c r="X616" s="161"/>
      <c r="Y616" s="161"/>
      <c r="Z616" s="161"/>
      <c r="AA616" s="161"/>
      <c r="AB616" s="161"/>
      <c r="AC616" s="171"/>
      <c r="AD616" s="198"/>
    </row>
    <row r="617">
      <c r="A617" s="169"/>
      <c r="B617" s="169"/>
      <c r="C617" s="161"/>
      <c r="D617" s="229"/>
      <c r="E617" s="161"/>
      <c r="F617" s="161"/>
      <c r="G617" s="161"/>
      <c r="H617" s="171"/>
      <c r="I617" s="171"/>
      <c r="J617" s="171"/>
      <c r="K617" s="171"/>
      <c r="L617" s="171"/>
      <c r="M617" s="171"/>
      <c r="N617" s="171"/>
      <c r="O617" s="171"/>
      <c r="P617" s="171"/>
      <c r="Q617" s="171"/>
      <c r="R617" s="171"/>
      <c r="S617" s="171"/>
      <c r="T617" s="171"/>
      <c r="U617" s="171"/>
      <c r="V617" s="171"/>
      <c r="W617" s="171"/>
      <c r="X617" s="161"/>
      <c r="Y617" s="161"/>
      <c r="Z617" s="161"/>
      <c r="AA617" s="161"/>
      <c r="AB617" s="161"/>
      <c r="AC617" s="171"/>
      <c r="AD617" s="198"/>
    </row>
    <row r="618">
      <c r="A618" s="169"/>
      <c r="B618" s="169"/>
      <c r="C618" s="161"/>
      <c r="D618" s="229"/>
      <c r="E618" s="161"/>
      <c r="F618" s="161"/>
      <c r="G618" s="161"/>
      <c r="H618" s="171"/>
      <c r="I618" s="171"/>
      <c r="J618" s="171"/>
      <c r="K618" s="171"/>
      <c r="L618" s="171"/>
      <c r="M618" s="171"/>
      <c r="N618" s="171"/>
      <c r="O618" s="171"/>
      <c r="P618" s="171"/>
      <c r="Q618" s="171"/>
      <c r="R618" s="171"/>
      <c r="S618" s="171"/>
      <c r="T618" s="171"/>
      <c r="U618" s="171"/>
      <c r="V618" s="171"/>
      <c r="W618" s="171"/>
      <c r="X618" s="161"/>
      <c r="Y618" s="161"/>
      <c r="Z618" s="161"/>
      <c r="AA618" s="161"/>
      <c r="AB618" s="161"/>
      <c r="AC618" s="171"/>
      <c r="AD618" s="198"/>
    </row>
    <row r="619">
      <c r="A619" s="169"/>
      <c r="B619" s="169"/>
      <c r="C619" s="161"/>
      <c r="D619" s="229"/>
      <c r="E619" s="161"/>
      <c r="F619" s="161"/>
      <c r="G619" s="161"/>
      <c r="H619" s="171"/>
      <c r="I619" s="171"/>
      <c r="J619" s="171"/>
      <c r="K619" s="171"/>
      <c r="L619" s="171"/>
      <c r="M619" s="171"/>
      <c r="N619" s="171"/>
      <c r="O619" s="171"/>
      <c r="P619" s="171"/>
      <c r="Q619" s="171"/>
      <c r="R619" s="171"/>
      <c r="S619" s="171"/>
      <c r="T619" s="171"/>
      <c r="U619" s="171"/>
      <c r="V619" s="171"/>
      <c r="W619" s="171"/>
      <c r="X619" s="161"/>
      <c r="Y619" s="161"/>
      <c r="Z619" s="161"/>
      <c r="AA619" s="161"/>
      <c r="AB619" s="161"/>
      <c r="AC619" s="171"/>
      <c r="AD619" s="198"/>
    </row>
    <row r="620">
      <c r="A620" s="169"/>
      <c r="B620" s="169"/>
      <c r="C620" s="161"/>
      <c r="D620" s="229"/>
      <c r="E620" s="161"/>
      <c r="F620" s="161"/>
      <c r="G620" s="161"/>
      <c r="H620" s="171"/>
      <c r="I620" s="171"/>
      <c r="J620" s="171"/>
      <c r="K620" s="171"/>
      <c r="L620" s="171"/>
      <c r="M620" s="171"/>
      <c r="N620" s="171"/>
      <c r="O620" s="171"/>
      <c r="P620" s="171"/>
      <c r="Q620" s="171"/>
      <c r="R620" s="171"/>
      <c r="S620" s="171"/>
      <c r="T620" s="171"/>
      <c r="U620" s="171"/>
      <c r="V620" s="171"/>
      <c r="W620" s="171"/>
      <c r="X620" s="161"/>
      <c r="Y620" s="161"/>
      <c r="Z620" s="161"/>
      <c r="AA620" s="161"/>
      <c r="AB620" s="161"/>
      <c r="AC620" s="171"/>
      <c r="AD620" s="198"/>
    </row>
    <row r="621">
      <c r="A621" s="169"/>
      <c r="B621" s="169"/>
      <c r="C621" s="161"/>
      <c r="D621" s="229"/>
      <c r="E621" s="161"/>
      <c r="F621" s="161"/>
      <c r="G621" s="161"/>
      <c r="H621" s="171"/>
      <c r="I621" s="171"/>
      <c r="J621" s="171"/>
      <c r="K621" s="171"/>
      <c r="L621" s="171"/>
      <c r="M621" s="171"/>
      <c r="N621" s="171"/>
      <c r="O621" s="171"/>
      <c r="P621" s="171"/>
      <c r="Q621" s="171"/>
      <c r="R621" s="171"/>
      <c r="S621" s="171"/>
      <c r="T621" s="171"/>
      <c r="U621" s="171"/>
      <c r="V621" s="171"/>
      <c r="W621" s="171"/>
      <c r="X621" s="161"/>
      <c r="Y621" s="161"/>
      <c r="Z621" s="161"/>
      <c r="AA621" s="161"/>
      <c r="AB621" s="161"/>
      <c r="AC621" s="171"/>
      <c r="AD621" s="198"/>
    </row>
    <row r="622">
      <c r="A622" s="169"/>
      <c r="B622" s="169"/>
      <c r="C622" s="161"/>
      <c r="D622" s="229"/>
      <c r="E622" s="161"/>
      <c r="F622" s="161"/>
      <c r="G622" s="161"/>
      <c r="H622" s="171"/>
      <c r="I622" s="171"/>
      <c r="J622" s="171"/>
      <c r="K622" s="171"/>
      <c r="L622" s="171"/>
      <c r="M622" s="171"/>
      <c r="N622" s="171"/>
      <c r="O622" s="171"/>
      <c r="P622" s="171"/>
      <c r="Q622" s="171"/>
      <c r="R622" s="171"/>
      <c r="S622" s="171"/>
      <c r="T622" s="171"/>
      <c r="U622" s="171"/>
      <c r="V622" s="171"/>
      <c r="W622" s="171"/>
      <c r="X622" s="161"/>
      <c r="Y622" s="161"/>
      <c r="Z622" s="161"/>
      <c r="AA622" s="161"/>
      <c r="AB622" s="161"/>
      <c r="AC622" s="171"/>
      <c r="AD622" s="198"/>
    </row>
    <row r="623">
      <c r="A623" s="169"/>
      <c r="B623" s="169"/>
      <c r="C623" s="161"/>
      <c r="D623" s="229"/>
      <c r="E623" s="161"/>
      <c r="F623" s="161"/>
      <c r="G623" s="161"/>
      <c r="H623" s="171"/>
      <c r="I623" s="171"/>
      <c r="J623" s="171"/>
      <c r="K623" s="171"/>
      <c r="L623" s="171"/>
      <c r="M623" s="171"/>
      <c r="N623" s="171"/>
      <c r="O623" s="171"/>
      <c r="P623" s="171"/>
      <c r="Q623" s="171"/>
      <c r="R623" s="171"/>
      <c r="S623" s="171"/>
      <c r="T623" s="171"/>
      <c r="U623" s="171"/>
      <c r="V623" s="171"/>
      <c r="W623" s="171"/>
      <c r="X623" s="161"/>
      <c r="Y623" s="161"/>
      <c r="Z623" s="161"/>
      <c r="AA623" s="161"/>
      <c r="AB623" s="161"/>
      <c r="AC623" s="171"/>
      <c r="AD623" s="198"/>
    </row>
    <row r="624">
      <c r="A624" s="169"/>
      <c r="B624" s="169"/>
      <c r="C624" s="161"/>
      <c r="D624" s="229"/>
      <c r="E624" s="161"/>
      <c r="F624" s="161"/>
      <c r="G624" s="161"/>
      <c r="H624" s="171"/>
      <c r="I624" s="171"/>
      <c r="J624" s="171"/>
      <c r="K624" s="171"/>
      <c r="L624" s="171"/>
      <c r="M624" s="171"/>
      <c r="N624" s="171"/>
      <c r="O624" s="171"/>
      <c r="P624" s="171"/>
      <c r="Q624" s="171"/>
      <c r="R624" s="171"/>
      <c r="S624" s="171"/>
      <c r="T624" s="171"/>
      <c r="U624" s="171"/>
      <c r="V624" s="171"/>
      <c r="W624" s="171"/>
      <c r="X624" s="161"/>
      <c r="Y624" s="161"/>
      <c r="Z624" s="161"/>
      <c r="AA624" s="161"/>
      <c r="AB624" s="161"/>
      <c r="AC624" s="171"/>
      <c r="AD624" s="198"/>
    </row>
    <row r="625">
      <c r="A625" s="169"/>
      <c r="B625" s="169"/>
      <c r="C625" s="161"/>
      <c r="D625" s="229"/>
      <c r="E625" s="161"/>
      <c r="F625" s="161"/>
      <c r="G625" s="161"/>
      <c r="H625" s="171"/>
      <c r="I625" s="171"/>
      <c r="J625" s="171"/>
      <c r="K625" s="171"/>
      <c r="L625" s="171"/>
      <c r="M625" s="171"/>
      <c r="N625" s="171"/>
      <c r="O625" s="171"/>
      <c r="P625" s="171"/>
      <c r="Q625" s="171"/>
      <c r="R625" s="171"/>
      <c r="S625" s="171"/>
      <c r="T625" s="171"/>
      <c r="U625" s="171"/>
      <c r="V625" s="171"/>
      <c r="W625" s="171"/>
      <c r="X625" s="161"/>
      <c r="Y625" s="161"/>
      <c r="Z625" s="161"/>
      <c r="AA625" s="161"/>
      <c r="AB625" s="161"/>
      <c r="AC625" s="171"/>
      <c r="AD625" s="198"/>
    </row>
    <row r="626">
      <c r="A626" s="169"/>
      <c r="B626" s="169"/>
      <c r="C626" s="161"/>
      <c r="D626" s="229"/>
      <c r="E626" s="161"/>
      <c r="F626" s="161"/>
      <c r="G626" s="161"/>
      <c r="H626" s="171"/>
      <c r="I626" s="171"/>
      <c r="J626" s="171"/>
      <c r="K626" s="171"/>
      <c r="L626" s="171"/>
      <c r="M626" s="171"/>
      <c r="N626" s="171"/>
      <c r="O626" s="171"/>
      <c r="P626" s="171"/>
      <c r="Q626" s="171"/>
      <c r="R626" s="171"/>
      <c r="S626" s="171"/>
      <c r="T626" s="171"/>
      <c r="U626" s="171"/>
      <c r="V626" s="171"/>
      <c r="W626" s="171"/>
      <c r="X626" s="161"/>
      <c r="Y626" s="161"/>
      <c r="Z626" s="161"/>
      <c r="AA626" s="161"/>
      <c r="AB626" s="161"/>
      <c r="AC626" s="171"/>
      <c r="AD626" s="198"/>
    </row>
    <row r="627">
      <c r="A627" s="169"/>
      <c r="B627" s="169"/>
      <c r="C627" s="161"/>
      <c r="D627" s="229"/>
      <c r="E627" s="161"/>
      <c r="F627" s="161"/>
      <c r="G627" s="161"/>
      <c r="H627" s="171"/>
      <c r="I627" s="171"/>
      <c r="J627" s="171"/>
      <c r="K627" s="171"/>
      <c r="L627" s="171"/>
      <c r="M627" s="171"/>
      <c r="N627" s="171"/>
      <c r="O627" s="171"/>
      <c r="P627" s="171"/>
      <c r="Q627" s="171"/>
      <c r="R627" s="171"/>
      <c r="S627" s="171"/>
      <c r="T627" s="171"/>
      <c r="U627" s="171"/>
      <c r="V627" s="171"/>
      <c r="W627" s="171"/>
      <c r="X627" s="161"/>
      <c r="Y627" s="161"/>
      <c r="Z627" s="161"/>
      <c r="AA627" s="161"/>
      <c r="AB627" s="161"/>
      <c r="AC627" s="171"/>
      <c r="AD627" s="198"/>
    </row>
    <row r="628">
      <c r="A628" s="169"/>
      <c r="B628" s="169"/>
      <c r="C628" s="161"/>
      <c r="D628" s="229"/>
      <c r="E628" s="161"/>
      <c r="F628" s="161"/>
      <c r="G628" s="161"/>
      <c r="H628" s="171"/>
      <c r="I628" s="171"/>
      <c r="J628" s="171"/>
      <c r="K628" s="171"/>
      <c r="L628" s="171"/>
      <c r="M628" s="171"/>
      <c r="N628" s="171"/>
      <c r="O628" s="171"/>
      <c r="P628" s="171"/>
      <c r="Q628" s="171"/>
      <c r="R628" s="171"/>
      <c r="S628" s="171"/>
      <c r="T628" s="171"/>
      <c r="U628" s="171"/>
      <c r="V628" s="171"/>
      <c r="W628" s="171"/>
      <c r="X628" s="161"/>
      <c r="Y628" s="161"/>
      <c r="Z628" s="161"/>
      <c r="AA628" s="161"/>
      <c r="AB628" s="161"/>
      <c r="AC628" s="171"/>
      <c r="AD628" s="198"/>
    </row>
    <row r="629">
      <c r="A629" s="169"/>
      <c r="B629" s="169"/>
      <c r="C629" s="161"/>
      <c r="D629" s="229"/>
      <c r="E629" s="161"/>
      <c r="F629" s="161"/>
      <c r="G629" s="161"/>
      <c r="H629" s="171"/>
      <c r="I629" s="171"/>
      <c r="J629" s="171"/>
      <c r="K629" s="171"/>
      <c r="L629" s="171"/>
      <c r="M629" s="171"/>
      <c r="N629" s="171"/>
      <c r="O629" s="171"/>
      <c r="P629" s="171"/>
      <c r="Q629" s="171"/>
      <c r="R629" s="171"/>
      <c r="S629" s="171"/>
      <c r="T629" s="171"/>
      <c r="U629" s="171"/>
      <c r="V629" s="171"/>
      <c r="W629" s="171"/>
      <c r="X629" s="161"/>
      <c r="Y629" s="161"/>
      <c r="Z629" s="161"/>
      <c r="AA629" s="161"/>
      <c r="AB629" s="161"/>
      <c r="AC629" s="171"/>
      <c r="AD629" s="198"/>
    </row>
    <row r="630">
      <c r="A630" s="169"/>
      <c r="B630" s="169"/>
      <c r="C630" s="161"/>
      <c r="D630" s="229"/>
      <c r="E630" s="161"/>
      <c r="F630" s="161"/>
      <c r="G630" s="161"/>
      <c r="H630" s="171"/>
      <c r="I630" s="171"/>
      <c r="J630" s="171"/>
      <c r="K630" s="171"/>
      <c r="L630" s="171"/>
      <c r="M630" s="171"/>
      <c r="N630" s="171"/>
      <c r="O630" s="171"/>
      <c r="P630" s="171"/>
      <c r="Q630" s="171"/>
      <c r="R630" s="171"/>
      <c r="S630" s="171"/>
      <c r="T630" s="171"/>
      <c r="U630" s="171"/>
      <c r="V630" s="171"/>
      <c r="W630" s="171"/>
      <c r="X630" s="161"/>
      <c r="Y630" s="161"/>
      <c r="Z630" s="161"/>
      <c r="AA630" s="161"/>
      <c r="AB630" s="161"/>
      <c r="AC630" s="171"/>
      <c r="AD630" s="198"/>
    </row>
    <row r="631">
      <c r="A631" s="169"/>
      <c r="B631" s="169"/>
      <c r="C631" s="161"/>
      <c r="D631" s="229"/>
      <c r="E631" s="161"/>
      <c r="F631" s="161"/>
      <c r="G631" s="161"/>
      <c r="H631" s="171"/>
      <c r="I631" s="171"/>
      <c r="J631" s="171"/>
      <c r="K631" s="171"/>
      <c r="L631" s="171"/>
      <c r="M631" s="171"/>
      <c r="N631" s="171"/>
      <c r="O631" s="171"/>
      <c r="P631" s="171"/>
      <c r="Q631" s="171"/>
      <c r="R631" s="171"/>
      <c r="S631" s="171"/>
      <c r="T631" s="171"/>
      <c r="U631" s="171"/>
      <c r="V631" s="171"/>
      <c r="W631" s="171"/>
      <c r="X631" s="161"/>
      <c r="Y631" s="161"/>
      <c r="Z631" s="161"/>
      <c r="AA631" s="161"/>
      <c r="AB631" s="161"/>
      <c r="AC631" s="171"/>
      <c r="AD631" s="198"/>
    </row>
    <row r="632">
      <c r="A632" s="169"/>
      <c r="B632" s="169"/>
      <c r="C632" s="161"/>
      <c r="D632" s="229"/>
      <c r="E632" s="161"/>
      <c r="F632" s="161"/>
      <c r="G632" s="161"/>
      <c r="H632" s="171"/>
      <c r="I632" s="171"/>
      <c r="J632" s="171"/>
      <c r="K632" s="171"/>
      <c r="L632" s="171"/>
      <c r="M632" s="171"/>
      <c r="N632" s="171"/>
      <c r="O632" s="171"/>
      <c r="P632" s="171"/>
      <c r="Q632" s="171"/>
      <c r="R632" s="171"/>
      <c r="S632" s="171"/>
      <c r="T632" s="171"/>
      <c r="U632" s="171"/>
      <c r="V632" s="171"/>
      <c r="W632" s="171"/>
      <c r="X632" s="161"/>
      <c r="Y632" s="161"/>
      <c r="Z632" s="161"/>
      <c r="AA632" s="161"/>
      <c r="AB632" s="161"/>
      <c r="AC632" s="171"/>
      <c r="AD632" s="198"/>
    </row>
    <row r="633">
      <c r="A633" s="169"/>
      <c r="B633" s="169"/>
      <c r="C633" s="161"/>
      <c r="D633" s="229"/>
      <c r="E633" s="161"/>
      <c r="F633" s="161"/>
      <c r="G633" s="161"/>
      <c r="H633" s="171"/>
      <c r="I633" s="171"/>
      <c r="J633" s="171"/>
      <c r="K633" s="171"/>
      <c r="L633" s="171"/>
      <c r="M633" s="171"/>
      <c r="N633" s="171"/>
      <c r="O633" s="171"/>
      <c r="P633" s="171"/>
      <c r="Q633" s="171"/>
      <c r="R633" s="171"/>
      <c r="S633" s="171"/>
      <c r="T633" s="171"/>
      <c r="U633" s="171"/>
      <c r="V633" s="171"/>
      <c r="W633" s="171"/>
      <c r="X633" s="161"/>
      <c r="Y633" s="161"/>
      <c r="Z633" s="161"/>
      <c r="AA633" s="161"/>
      <c r="AB633" s="161"/>
      <c r="AC633" s="171"/>
      <c r="AD633" s="198"/>
    </row>
    <row r="634">
      <c r="A634" s="169"/>
      <c r="B634" s="169"/>
      <c r="C634" s="161"/>
      <c r="D634" s="229"/>
      <c r="E634" s="161"/>
      <c r="F634" s="161"/>
      <c r="G634" s="161"/>
      <c r="H634" s="171"/>
      <c r="I634" s="171"/>
      <c r="J634" s="171"/>
      <c r="K634" s="171"/>
      <c r="L634" s="171"/>
      <c r="M634" s="171"/>
      <c r="N634" s="171"/>
      <c r="O634" s="171"/>
      <c r="P634" s="171"/>
      <c r="Q634" s="171"/>
      <c r="R634" s="171"/>
      <c r="S634" s="171"/>
      <c r="T634" s="171"/>
      <c r="U634" s="171"/>
      <c r="V634" s="171"/>
      <c r="W634" s="171"/>
      <c r="X634" s="161"/>
      <c r="Y634" s="161"/>
      <c r="Z634" s="161"/>
      <c r="AA634" s="161"/>
      <c r="AB634" s="161"/>
      <c r="AC634" s="171"/>
      <c r="AD634" s="198"/>
    </row>
    <row r="635">
      <c r="A635" s="169"/>
      <c r="B635" s="169"/>
      <c r="C635" s="161"/>
      <c r="D635" s="229"/>
      <c r="E635" s="161"/>
      <c r="F635" s="161"/>
      <c r="G635" s="161"/>
      <c r="H635" s="171"/>
      <c r="I635" s="171"/>
      <c r="J635" s="171"/>
      <c r="K635" s="171"/>
      <c r="L635" s="171"/>
      <c r="M635" s="171"/>
      <c r="N635" s="171"/>
      <c r="O635" s="171"/>
      <c r="P635" s="171"/>
      <c r="Q635" s="171"/>
      <c r="R635" s="171"/>
      <c r="S635" s="171"/>
      <c r="T635" s="171"/>
      <c r="U635" s="171"/>
      <c r="V635" s="171"/>
      <c r="W635" s="171"/>
      <c r="X635" s="161"/>
      <c r="Y635" s="161"/>
      <c r="Z635" s="161"/>
      <c r="AA635" s="161"/>
      <c r="AB635" s="161"/>
      <c r="AC635" s="171"/>
      <c r="AD635" s="198"/>
    </row>
    <row r="636">
      <c r="A636" s="169"/>
      <c r="B636" s="169"/>
      <c r="C636" s="161"/>
      <c r="D636" s="229"/>
      <c r="E636" s="161"/>
      <c r="F636" s="161"/>
      <c r="G636" s="161"/>
      <c r="H636" s="171"/>
      <c r="I636" s="171"/>
      <c r="J636" s="171"/>
      <c r="K636" s="171"/>
      <c r="L636" s="171"/>
      <c r="M636" s="171"/>
      <c r="N636" s="171"/>
      <c r="O636" s="171"/>
      <c r="P636" s="171"/>
      <c r="Q636" s="171"/>
      <c r="R636" s="171"/>
      <c r="S636" s="171"/>
      <c r="T636" s="171"/>
      <c r="U636" s="171"/>
      <c r="V636" s="171"/>
      <c r="W636" s="171"/>
      <c r="X636" s="161"/>
      <c r="Y636" s="161"/>
      <c r="Z636" s="161"/>
      <c r="AA636" s="161"/>
      <c r="AB636" s="161"/>
      <c r="AC636" s="171"/>
      <c r="AD636" s="198"/>
    </row>
    <row r="637">
      <c r="A637" s="169"/>
      <c r="B637" s="169"/>
      <c r="C637" s="161"/>
      <c r="D637" s="229"/>
      <c r="E637" s="161"/>
      <c r="F637" s="161"/>
      <c r="G637" s="161"/>
      <c r="H637" s="171"/>
      <c r="I637" s="171"/>
      <c r="J637" s="171"/>
      <c r="K637" s="171"/>
      <c r="L637" s="171"/>
      <c r="M637" s="171"/>
      <c r="N637" s="171"/>
      <c r="O637" s="171"/>
      <c r="P637" s="171"/>
      <c r="Q637" s="171"/>
      <c r="R637" s="171"/>
      <c r="S637" s="171"/>
      <c r="T637" s="171"/>
      <c r="U637" s="171"/>
      <c r="V637" s="171"/>
      <c r="W637" s="171"/>
      <c r="X637" s="161"/>
      <c r="Y637" s="161"/>
      <c r="Z637" s="161"/>
      <c r="AA637" s="161"/>
      <c r="AB637" s="161"/>
      <c r="AC637" s="171"/>
      <c r="AD637" s="198"/>
    </row>
    <row r="638">
      <c r="A638" s="169"/>
      <c r="B638" s="169"/>
      <c r="C638" s="161"/>
      <c r="D638" s="229"/>
      <c r="E638" s="161"/>
      <c r="F638" s="161"/>
      <c r="G638" s="161"/>
      <c r="H638" s="171"/>
      <c r="I638" s="171"/>
      <c r="J638" s="171"/>
      <c r="K638" s="171"/>
      <c r="L638" s="171"/>
      <c r="M638" s="171"/>
      <c r="N638" s="171"/>
      <c r="O638" s="171"/>
      <c r="P638" s="171"/>
      <c r="Q638" s="171"/>
      <c r="R638" s="171"/>
      <c r="S638" s="171"/>
      <c r="T638" s="171"/>
      <c r="U638" s="171"/>
      <c r="V638" s="171"/>
      <c r="W638" s="171"/>
      <c r="X638" s="161"/>
      <c r="Y638" s="161"/>
      <c r="Z638" s="161"/>
      <c r="AA638" s="161"/>
      <c r="AB638" s="161"/>
      <c r="AC638" s="171"/>
      <c r="AD638" s="198"/>
    </row>
    <row r="639">
      <c r="A639" s="169"/>
      <c r="B639" s="169"/>
      <c r="C639" s="161"/>
      <c r="D639" s="229"/>
      <c r="E639" s="161"/>
      <c r="F639" s="161"/>
      <c r="G639" s="161"/>
      <c r="H639" s="171"/>
      <c r="I639" s="171"/>
      <c r="J639" s="171"/>
      <c r="K639" s="171"/>
      <c r="L639" s="171"/>
      <c r="M639" s="171"/>
      <c r="N639" s="171"/>
      <c r="O639" s="171"/>
      <c r="P639" s="171"/>
      <c r="Q639" s="171"/>
      <c r="R639" s="171"/>
      <c r="S639" s="171"/>
      <c r="T639" s="171"/>
      <c r="U639" s="171"/>
      <c r="V639" s="171"/>
      <c r="W639" s="171"/>
      <c r="X639" s="161"/>
      <c r="Y639" s="161"/>
      <c r="Z639" s="161"/>
      <c r="AA639" s="161"/>
      <c r="AB639" s="161"/>
      <c r="AC639" s="171"/>
      <c r="AD639" s="198"/>
    </row>
    <row r="640">
      <c r="A640" s="169"/>
      <c r="B640" s="169"/>
      <c r="C640" s="161"/>
      <c r="D640" s="229"/>
      <c r="E640" s="161"/>
      <c r="F640" s="161"/>
      <c r="G640" s="161"/>
      <c r="H640" s="171"/>
      <c r="I640" s="171"/>
      <c r="J640" s="171"/>
      <c r="K640" s="171"/>
      <c r="L640" s="171"/>
      <c r="M640" s="171"/>
      <c r="N640" s="171"/>
      <c r="O640" s="171"/>
      <c r="P640" s="171"/>
      <c r="Q640" s="171"/>
      <c r="R640" s="171"/>
      <c r="S640" s="171"/>
      <c r="T640" s="171"/>
      <c r="U640" s="171"/>
      <c r="V640" s="171"/>
      <c r="W640" s="171"/>
      <c r="X640" s="161"/>
      <c r="Y640" s="161"/>
      <c r="Z640" s="161"/>
      <c r="AA640" s="161"/>
      <c r="AB640" s="161"/>
      <c r="AC640" s="171"/>
      <c r="AD640" s="198"/>
    </row>
    <row r="641">
      <c r="A641" s="169"/>
      <c r="B641" s="169"/>
      <c r="C641" s="161"/>
      <c r="D641" s="229"/>
      <c r="E641" s="161"/>
      <c r="F641" s="161"/>
      <c r="G641" s="161"/>
      <c r="H641" s="171"/>
      <c r="I641" s="171"/>
      <c r="J641" s="171"/>
      <c r="K641" s="171"/>
      <c r="L641" s="171"/>
      <c r="M641" s="171"/>
      <c r="N641" s="171"/>
      <c r="O641" s="171"/>
      <c r="P641" s="171"/>
      <c r="Q641" s="171"/>
      <c r="R641" s="171"/>
      <c r="S641" s="171"/>
      <c r="T641" s="171"/>
      <c r="U641" s="171"/>
      <c r="V641" s="171"/>
      <c r="W641" s="171"/>
      <c r="X641" s="161"/>
      <c r="Y641" s="161"/>
      <c r="Z641" s="161"/>
      <c r="AA641" s="161"/>
      <c r="AB641" s="161"/>
      <c r="AC641" s="171"/>
      <c r="AD641" s="198"/>
    </row>
    <row r="642">
      <c r="A642" s="169"/>
      <c r="B642" s="169"/>
      <c r="C642" s="161"/>
      <c r="D642" s="229"/>
      <c r="E642" s="161"/>
      <c r="F642" s="161"/>
      <c r="G642" s="161"/>
      <c r="H642" s="171"/>
      <c r="I642" s="171"/>
      <c r="J642" s="171"/>
      <c r="K642" s="171"/>
      <c r="L642" s="171"/>
      <c r="M642" s="171"/>
      <c r="N642" s="171"/>
      <c r="O642" s="171"/>
      <c r="P642" s="171"/>
      <c r="Q642" s="171"/>
      <c r="R642" s="171"/>
      <c r="S642" s="171"/>
      <c r="T642" s="171"/>
      <c r="U642" s="171"/>
      <c r="V642" s="171"/>
      <c r="W642" s="171"/>
      <c r="X642" s="161"/>
      <c r="Y642" s="161"/>
      <c r="Z642" s="161"/>
      <c r="AA642" s="161"/>
      <c r="AB642" s="161"/>
      <c r="AC642" s="171"/>
      <c r="AD642" s="198"/>
    </row>
    <row r="643">
      <c r="A643" s="169"/>
      <c r="B643" s="169"/>
      <c r="C643" s="161"/>
      <c r="D643" s="229"/>
      <c r="E643" s="161"/>
      <c r="F643" s="161"/>
      <c r="G643" s="161"/>
      <c r="H643" s="171"/>
      <c r="I643" s="171"/>
      <c r="J643" s="171"/>
      <c r="K643" s="171"/>
      <c r="L643" s="171"/>
      <c r="M643" s="171"/>
      <c r="N643" s="171"/>
      <c r="O643" s="171"/>
      <c r="P643" s="171"/>
      <c r="Q643" s="171"/>
      <c r="R643" s="171"/>
      <c r="S643" s="171"/>
      <c r="T643" s="171"/>
      <c r="U643" s="171"/>
      <c r="V643" s="171"/>
      <c r="W643" s="171"/>
      <c r="X643" s="161"/>
      <c r="Y643" s="161"/>
      <c r="Z643" s="161"/>
      <c r="AA643" s="161"/>
      <c r="AB643" s="161"/>
      <c r="AC643" s="171"/>
      <c r="AD643" s="198"/>
    </row>
    <row r="644">
      <c r="A644" s="169"/>
      <c r="B644" s="169"/>
      <c r="C644" s="161"/>
      <c r="D644" s="229"/>
      <c r="E644" s="161"/>
      <c r="F644" s="161"/>
      <c r="G644" s="161"/>
      <c r="H644" s="171"/>
      <c r="I644" s="171"/>
      <c r="J644" s="171"/>
      <c r="K644" s="171"/>
      <c r="L644" s="171"/>
      <c r="M644" s="171"/>
      <c r="N644" s="171"/>
      <c r="O644" s="171"/>
      <c r="P644" s="171"/>
      <c r="Q644" s="171"/>
      <c r="R644" s="171"/>
      <c r="S644" s="171"/>
      <c r="T644" s="171"/>
      <c r="U644" s="171"/>
      <c r="V644" s="171"/>
      <c r="W644" s="171"/>
      <c r="X644" s="161"/>
      <c r="Y644" s="161"/>
      <c r="Z644" s="161"/>
      <c r="AA644" s="161"/>
      <c r="AB644" s="161"/>
      <c r="AC644" s="171"/>
      <c r="AD644" s="198"/>
    </row>
    <row r="645">
      <c r="A645" s="169"/>
      <c r="B645" s="169"/>
      <c r="C645" s="161"/>
      <c r="D645" s="229"/>
      <c r="E645" s="161"/>
      <c r="F645" s="161"/>
      <c r="G645" s="161"/>
      <c r="H645" s="171"/>
      <c r="I645" s="171"/>
      <c r="J645" s="171"/>
      <c r="K645" s="171"/>
      <c r="L645" s="171"/>
      <c r="M645" s="171"/>
      <c r="N645" s="171"/>
      <c r="O645" s="171"/>
      <c r="P645" s="171"/>
      <c r="Q645" s="171"/>
      <c r="R645" s="171"/>
      <c r="S645" s="171"/>
      <c r="T645" s="171"/>
      <c r="U645" s="171"/>
      <c r="V645" s="171"/>
      <c r="W645" s="171"/>
      <c r="X645" s="161"/>
      <c r="Y645" s="161"/>
      <c r="Z645" s="161"/>
      <c r="AA645" s="161"/>
      <c r="AB645" s="161"/>
      <c r="AC645" s="171"/>
      <c r="AD645" s="198"/>
    </row>
    <row r="646">
      <c r="A646" s="169"/>
      <c r="B646" s="169"/>
      <c r="C646" s="161"/>
      <c r="D646" s="229"/>
      <c r="E646" s="161"/>
      <c r="F646" s="161"/>
      <c r="G646" s="161"/>
      <c r="H646" s="171"/>
      <c r="I646" s="171"/>
      <c r="J646" s="171"/>
      <c r="K646" s="171"/>
      <c r="L646" s="171"/>
      <c r="M646" s="171"/>
      <c r="N646" s="171"/>
      <c r="O646" s="171"/>
      <c r="P646" s="171"/>
      <c r="Q646" s="171"/>
      <c r="R646" s="171"/>
      <c r="S646" s="171"/>
      <c r="T646" s="171"/>
      <c r="U646" s="171"/>
      <c r="V646" s="171"/>
      <c r="W646" s="171"/>
      <c r="X646" s="161"/>
      <c r="Y646" s="161"/>
      <c r="Z646" s="161"/>
      <c r="AA646" s="161"/>
      <c r="AB646" s="161"/>
      <c r="AC646" s="171"/>
      <c r="AD646" s="198"/>
    </row>
    <row r="647">
      <c r="A647" s="169"/>
      <c r="B647" s="169"/>
      <c r="C647" s="161"/>
      <c r="D647" s="229"/>
      <c r="E647" s="161"/>
      <c r="F647" s="161"/>
      <c r="G647" s="161"/>
      <c r="H647" s="171"/>
      <c r="I647" s="171"/>
      <c r="J647" s="171"/>
      <c r="K647" s="171"/>
      <c r="L647" s="171"/>
      <c r="M647" s="171"/>
      <c r="N647" s="171"/>
      <c r="O647" s="171"/>
      <c r="P647" s="171"/>
      <c r="Q647" s="171"/>
      <c r="R647" s="171"/>
      <c r="S647" s="171"/>
      <c r="T647" s="171"/>
      <c r="U647" s="171"/>
      <c r="V647" s="171"/>
      <c r="W647" s="171"/>
      <c r="X647" s="161"/>
      <c r="Y647" s="161"/>
      <c r="Z647" s="161"/>
      <c r="AA647" s="161"/>
      <c r="AB647" s="161"/>
      <c r="AC647" s="171"/>
      <c r="AD647" s="198"/>
    </row>
    <row r="648">
      <c r="A648" s="169"/>
      <c r="B648" s="169"/>
      <c r="C648" s="161"/>
      <c r="D648" s="229"/>
      <c r="E648" s="161"/>
      <c r="F648" s="161"/>
      <c r="G648" s="161"/>
      <c r="H648" s="171"/>
      <c r="I648" s="171"/>
      <c r="J648" s="171"/>
      <c r="K648" s="171"/>
      <c r="L648" s="171"/>
      <c r="M648" s="171"/>
      <c r="N648" s="171"/>
      <c r="O648" s="171"/>
      <c r="P648" s="171"/>
      <c r="Q648" s="171"/>
      <c r="R648" s="171"/>
      <c r="S648" s="171"/>
      <c r="T648" s="171"/>
      <c r="U648" s="171"/>
      <c r="V648" s="171"/>
      <c r="W648" s="171"/>
      <c r="X648" s="161"/>
      <c r="Y648" s="161"/>
      <c r="Z648" s="161"/>
      <c r="AA648" s="161"/>
      <c r="AB648" s="161"/>
      <c r="AC648" s="171"/>
      <c r="AD648" s="198"/>
    </row>
    <row r="649">
      <c r="A649" s="169"/>
      <c r="B649" s="169"/>
      <c r="C649" s="161"/>
      <c r="D649" s="229"/>
      <c r="E649" s="161"/>
      <c r="F649" s="161"/>
      <c r="G649" s="161"/>
      <c r="H649" s="171"/>
      <c r="I649" s="171"/>
      <c r="J649" s="171"/>
      <c r="K649" s="171"/>
      <c r="L649" s="171"/>
      <c r="M649" s="171"/>
      <c r="N649" s="171"/>
      <c r="O649" s="171"/>
      <c r="P649" s="171"/>
      <c r="Q649" s="171"/>
      <c r="R649" s="171"/>
      <c r="S649" s="171"/>
      <c r="T649" s="171"/>
      <c r="U649" s="171"/>
      <c r="V649" s="171"/>
      <c r="W649" s="171"/>
      <c r="X649" s="161"/>
      <c r="Y649" s="161"/>
      <c r="Z649" s="161"/>
      <c r="AA649" s="161"/>
      <c r="AB649" s="161"/>
      <c r="AC649" s="171"/>
      <c r="AD649" s="198"/>
    </row>
    <row r="650">
      <c r="A650" s="169"/>
      <c r="B650" s="169"/>
      <c r="C650" s="161"/>
      <c r="D650" s="229"/>
      <c r="E650" s="161"/>
      <c r="F650" s="161"/>
      <c r="G650" s="161"/>
      <c r="H650" s="171"/>
      <c r="I650" s="171"/>
      <c r="J650" s="171"/>
      <c r="K650" s="171"/>
      <c r="L650" s="171"/>
      <c r="M650" s="171"/>
      <c r="N650" s="171"/>
      <c r="O650" s="171"/>
      <c r="P650" s="171"/>
      <c r="Q650" s="171"/>
      <c r="R650" s="171"/>
      <c r="S650" s="171"/>
      <c r="T650" s="171"/>
      <c r="U650" s="171"/>
      <c r="V650" s="171"/>
      <c r="W650" s="171"/>
      <c r="X650" s="161"/>
      <c r="Y650" s="161"/>
      <c r="Z650" s="161"/>
      <c r="AA650" s="161"/>
      <c r="AB650" s="161"/>
      <c r="AC650" s="171"/>
      <c r="AD650" s="198"/>
    </row>
    <row r="651">
      <c r="A651" s="169"/>
      <c r="B651" s="169"/>
      <c r="C651" s="161"/>
      <c r="D651" s="229"/>
      <c r="E651" s="161"/>
      <c r="F651" s="161"/>
      <c r="G651" s="161"/>
      <c r="H651" s="171"/>
      <c r="I651" s="171"/>
      <c r="J651" s="171"/>
      <c r="K651" s="171"/>
      <c r="L651" s="171"/>
      <c r="M651" s="171"/>
      <c r="N651" s="171"/>
      <c r="O651" s="171"/>
      <c r="P651" s="171"/>
      <c r="Q651" s="171"/>
      <c r="R651" s="171"/>
      <c r="S651" s="171"/>
      <c r="T651" s="171"/>
      <c r="U651" s="171"/>
      <c r="V651" s="171"/>
      <c r="W651" s="171"/>
      <c r="X651" s="161"/>
      <c r="Y651" s="161"/>
      <c r="Z651" s="161"/>
      <c r="AA651" s="161"/>
      <c r="AB651" s="161"/>
      <c r="AC651" s="171"/>
      <c r="AD651" s="198"/>
    </row>
    <row r="652">
      <c r="A652" s="169"/>
      <c r="B652" s="169"/>
      <c r="C652" s="161"/>
      <c r="D652" s="229"/>
      <c r="E652" s="161"/>
      <c r="F652" s="161"/>
      <c r="G652" s="161"/>
      <c r="H652" s="171"/>
      <c r="I652" s="171"/>
      <c r="J652" s="171"/>
      <c r="K652" s="171"/>
      <c r="L652" s="171"/>
      <c r="M652" s="171"/>
      <c r="N652" s="171"/>
      <c r="O652" s="171"/>
      <c r="P652" s="171"/>
      <c r="Q652" s="171"/>
      <c r="R652" s="171"/>
      <c r="S652" s="171"/>
      <c r="T652" s="171"/>
      <c r="U652" s="171"/>
      <c r="V652" s="171"/>
      <c r="W652" s="171"/>
      <c r="X652" s="161"/>
      <c r="Y652" s="161"/>
      <c r="Z652" s="161"/>
      <c r="AA652" s="161"/>
      <c r="AB652" s="161"/>
      <c r="AC652" s="171"/>
      <c r="AD652" s="198"/>
    </row>
    <row r="653">
      <c r="A653" s="169"/>
      <c r="B653" s="169"/>
      <c r="C653" s="161"/>
      <c r="D653" s="229"/>
      <c r="E653" s="161"/>
      <c r="F653" s="161"/>
      <c r="G653" s="161"/>
      <c r="H653" s="171"/>
      <c r="I653" s="171"/>
      <c r="J653" s="171"/>
      <c r="K653" s="171"/>
      <c r="L653" s="171"/>
      <c r="M653" s="171"/>
      <c r="N653" s="171"/>
      <c r="O653" s="171"/>
      <c r="P653" s="171"/>
      <c r="Q653" s="171"/>
      <c r="R653" s="171"/>
      <c r="S653" s="171"/>
      <c r="T653" s="171"/>
      <c r="U653" s="171"/>
      <c r="V653" s="171"/>
      <c r="W653" s="171"/>
      <c r="X653" s="161"/>
      <c r="Y653" s="161"/>
      <c r="Z653" s="161"/>
      <c r="AA653" s="161"/>
      <c r="AB653" s="161"/>
      <c r="AC653" s="171"/>
      <c r="AD653" s="198"/>
    </row>
    <row r="654">
      <c r="A654" s="169"/>
      <c r="B654" s="169"/>
      <c r="C654" s="161"/>
      <c r="D654" s="229"/>
      <c r="E654" s="161"/>
      <c r="F654" s="161"/>
      <c r="G654" s="161"/>
      <c r="H654" s="171"/>
      <c r="I654" s="171"/>
      <c r="J654" s="171"/>
      <c r="K654" s="171"/>
      <c r="L654" s="171"/>
      <c r="M654" s="171"/>
      <c r="N654" s="171"/>
      <c r="O654" s="171"/>
      <c r="P654" s="171"/>
      <c r="Q654" s="171"/>
      <c r="R654" s="171"/>
      <c r="S654" s="171"/>
      <c r="T654" s="171"/>
      <c r="U654" s="171"/>
      <c r="V654" s="171"/>
      <c r="W654" s="171"/>
      <c r="X654" s="161"/>
      <c r="Y654" s="161"/>
      <c r="Z654" s="161"/>
      <c r="AA654" s="161"/>
      <c r="AB654" s="161"/>
      <c r="AC654" s="171"/>
      <c r="AD654" s="198"/>
    </row>
    <row r="655">
      <c r="A655" s="169"/>
      <c r="B655" s="169"/>
      <c r="C655" s="161"/>
      <c r="D655" s="229"/>
      <c r="E655" s="161"/>
      <c r="F655" s="161"/>
      <c r="G655" s="161"/>
      <c r="H655" s="171"/>
      <c r="I655" s="171"/>
      <c r="J655" s="171"/>
      <c r="K655" s="171"/>
      <c r="L655" s="171"/>
      <c r="M655" s="171"/>
      <c r="N655" s="171"/>
      <c r="O655" s="171"/>
      <c r="P655" s="171"/>
      <c r="Q655" s="171"/>
      <c r="R655" s="171"/>
      <c r="S655" s="171"/>
      <c r="T655" s="171"/>
      <c r="U655" s="171"/>
      <c r="V655" s="171"/>
      <c r="W655" s="171"/>
      <c r="X655" s="161"/>
      <c r="Y655" s="161"/>
      <c r="Z655" s="161"/>
      <c r="AA655" s="161"/>
      <c r="AB655" s="161"/>
      <c r="AC655" s="171"/>
      <c r="AD655" s="198"/>
    </row>
    <row r="656">
      <c r="A656" s="169"/>
      <c r="B656" s="169"/>
      <c r="C656" s="161"/>
      <c r="D656" s="229"/>
      <c r="E656" s="161"/>
      <c r="F656" s="161"/>
      <c r="G656" s="161"/>
      <c r="H656" s="171"/>
      <c r="I656" s="171"/>
      <c r="J656" s="171"/>
      <c r="K656" s="171"/>
      <c r="L656" s="171"/>
      <c r="M656" s="171"/>
      <c r="N656" s="171"/>
      <c r="O656" s="171"/>
      <c r="P656" s="171"/>
      <c r="Q656" s="171"/>
      <c r="R656" s="171"/>
      <c r="S656" s="171"/>
      <c r="T656" s="171"/>
      <c r="U656" s="171"/>
      <c r="V656" s="171"/>
      <c r="W656" s="171"/>
      <c r="X656" s="161"/>
      <c r="Y656" s="161"/>
      <c r="Z656" s="161"/>
      <c r="AA656" s="161"/>
      <c r="AB656" s="161"/>
      <c r="AC656" s="171"/>
      <c r="AD656" s="198"/>
    </row>
    <row r="657">
      <c r="A657" s="169"/>
      <c r="B657" s="169"/>
      <c r="C657" s="161"/>
      <c r="D657" s="229"/>
      <c r="E657" s="161"/>
      <c r="F657" s="161"/>
      <c r="G657" s="161"/>
      <c r="H657" s="171"/>
      <c r="I657" s="171"/>
      <c r="J657" s="171"/>
      <c r="K657" s="171"/>
      <c r="L657" s="171"/>
      <c r="M657" s="171"/>
      <c r="N657" s="171"/>
      <c r="O657" s="171"/>
      <c r="P657" s="171"/>
      <c r="Q657" s="171"/>
      <c r="R657" s="171"/>
      <c r="S657" s="171"/>
      <c r="T657" s="171"/>
      <c r="U657" s="171"/>
      <c r="V657" s="171"/>
      <c r="W657" s="171"/>
      <c r="X657" s="161"/>
      <c r="Y657" s="161"/>
      <c r="Z657" s="161"/>
      <c r="AA657" s="161"/>
      <c r="AB657" s="161"/>
      <c r="AC657" s="171"/>
      <c r="AD657" s="198"/>
    </row>
    <row r="658">
      <c r="A658" s="169"/>
      <c r="B658" s="169"/>
      <c r="C658" s="161"/>
      <c r="D658" s="229"/>
      <c r="E658" s="161"/>
      <c r="F658" s="161"/>
      <c r="G658" s="161"/>
      <c r="H658" s="171"/>
      <c r="I658" s="171"/>
      <c r="J658" s="171"/>
      <c r="K658" s="171"/>
      <c r="L658" s="171"/>
      <c r="M658" s="171"/>
      <c r="N658" s="171"/>
      <c r="O658" s="171"/>
      <c r="P658" s="171"/>
      <c r="Q658" s="171"/>
      <c r="R658" s="171"/>
      <c r="S658" s="171"/>
      <c r="T658" s="171"/>
      <c r="U658" s="171"/>
      <c r="V658" s="171"/>
      <c r="W658" s="171"/>
      <c r="X658" s="161"/>
      <c r="Y658" s="161"/>
      <c r="Z658" s="161"/>
      <c r="AA658" s="161"/>
      <c r="AB658" s="161"/>
      <c r="AC658" s="171"/>
      <c r="AD658" s="198"/>
    </row>
    <row r="659">
      <c r="A659" s="169"/>
      <c r="B659" s="169"/>
      <c r="C659" s="161"/>
      <c r="D659" s="229"/>
      <c r="E659" s="161"/>
      <c r="F659" s="161"/>
      <c r="G659" s="161"/>
      <c r="H659" s="171"/>
      <c r="I659" s="171"/>
      <c r="J659" s="171"/>
      <c r="K659" s="171"/>
      <c r="L659" s="171"/>
      <c r="M659" s="171"/>
      <c r="N659" s="171"/>
      <c r="O659" s="171"/>
      <c r="P659" s="171"/>
      <c r="Q659" s="171"/>
      <c r="R659" s="171"/>
      <c r="S659" s="171"/>
      <c r="T659" s="171"/>
      <c r="U659" s="171"/>
      <c r="V659" s="171"/>
      <c r="W659" s="171"/>
      <c r="X659" s="161"/>
      <c r="Y659" s="161"/>
      <c r="Z659" s="161"/>
      <c r="AA659" s="161"/>
      <c r="AB659" s="161"/>
      <c r="AC659" s="171"/>
      <c r="AD659" s="198"/>
    </row>
    <row r="660">
      <c r="A660" s="169"/>
      <c r="B660" s="169"/>
      <c r="C660" s="161"/>
      <c r="D660" s="229"/>
      <c r="E660" s="161"/>
      <c r="F660" s="161"/>
      <c r="G660" s="161"/>
      <c r="H660" s="171"/>
      <c r="I660" s="171"/>
      <c r="J660" s="171"/>
      <c r="K660" s="171"/>
      <c r="L660" s="171"/>
      <c r="M660" s="171"/>
      <c r="N660" s="171"/>
      <c r="O660" s="171"/>
      <c r="P660" s="171"/>
      <c r="Q660" s="171"/>
      <c r="R660" s="171"/>
      <c r="S660" s="171"/>
      <c r="T660" s="171"/>
      <c r="U660" s="171"/>
      <c r="V660" s="171"/>
      <c r="W660" s="171"/>
      <c r="X660" s="161"/>
      <c r="Y660" s="161"/>
      <c r="Z660" s="161"/>
      <c r="AA660" s="161"/>
      <c r="AB660" s="161"/>
      <c r="AC660" s="171"/>
      <c r="AD660" s="198"/>
    </row>
    <row r="661">
      <c r="A661" s="169"/>
      <c r="B661" s="169"/>
      <c r="C661" s="161"/>
      <c r="D661" s="229"/>
      <c r="E661" s="161"/>
      <c r="F661" s="161"/>
      <c r="G661" s="161"/>
      <c r="H661" s="171"/>
      <c r="I661" s="171"/>
      <c r="J661" s="171"/>
      <c r="K661" s="171"/>
      <c r="L661" s="171"/>
      <c r="M661" s="171"/>
      <c r="N661" s="171"/>
      <c r="O661" s="171"/>
      <c r="P661" s="171"/>
      <c r="Q661" s="171"/>
      <c r="R661" s="171"/>
      <c r="S661" s="171"/>
      <c r="T661" s="171"/>
      <c r="U661" s="171"/>
      <c r="V661" s="171"/>
      <c r="W661" s="171"/>
      <c r="X661" s="161"/>
      <c r="Y661" s="161"/>
      <c r="Z661" s="161"/>
      <c r="AA661" s="161"/>
      <c r="AB661" s="161"/>
      <c r="AC661" s="171"/>
      <c r="AD661" s="198"/>
    </row>
    <row r="662">
      <c r="A662" s="169"/>
      <c r="B662" s="169"/>
      <c r="C662" s="161"/>
      <c r="D662" s="229"/>
      <c r="E662" s="161"/>
      <c r="F662" s="161"/>
      <c r="G662" s="161"/>
      <c r="H662" s="171"/>
      <c r="I662" s="171"/>
      <c r="J662" s="171"/>
      <c r="K662" s="171"/>
      <c r="L662" s="171"/>
      <c r="M662" s="171"/>
      <c r="N662" s="171"/>
      <c r="O662" s="171"/>
      <c r="P662" s="171"/>
      <c r="Q662" s="171"/>
      <c r="R662" s="171"/>
      <c r="S662" s="171"/>
      <c r="T662" s="171"/>
      <c r="U662" s="171"/>
      <c r="V662" s="171"/>
      <c r="W662" s="171"/>
      <c r="X662" s="161"/>
      <c r="Y662" s="161"/>
      <c r="Z662" s="161"/>
      <c r="AA662" s="161"/>
      <c r="AB662" s="161"/>
      <c r="AC662" s="171"/>
      <c r="AD662" s="198"/>
    </row>
    <row r="663">
      <c r="A663" s="169"/>
      <c r="B663" s="169"/>
      <c r="C663" s="161"/>
      <c r="D663" s="229"/>
      <c r="E663" s="161"/>
      <c r="F663" s="161"/>
      <c r="G663" s="161"/>
      <c r="H663" s="171"/>
      <c r="I663" s="171"/>
      <c r="J663" s="171"/>
      <c r="K663" s="171"/>
      <c r="L663" s="171"/>
      <c r="M663" s="171"/>
      <c r="N663" s="171"/>
      <c r="O663" s="171"/>
      <c r="P663" s="171"/>
      <c r="Q663" s="171"/>
      <c r="R663" s="171"/>
      <c r="S663" s="171"/>
      <c r="T663" s="171"/>
      <c r="U663" s="171"/>
      <c r="V663" s="171"/>
      <c r="W663" s="171"/>
      <c r="X663" s="161"/>
      <c r="Y663" s="161"/>
      <c r="Z663" s="161"/>
      <c r="AA663" s="161"/>
      <c r="AB663" s="161"/>
      <c r="AC663" s="171"/>
      <c r="AD663" s="198"/>
    </row>
    <row r="664">
      <c r="A664" s="169"/>
      <c r="B664" s="169"/>
      <c r="C664" s="161"/>
      <c r="D664" s="229"/>
      <c r="E664" s="161"/>
      <c r="F664" s="161"/>
      <c r="G664" s="161"/>
      <c r="H664" s="171"/>
      <c r="I664" s="171"/>
      <c r="J664" s="171"/>
      <c r="K664" s="171"/>
      <c r="L664" s="171"/>
      <c r="M664" s="171"/>
      <c r="N664" s="171"/>
      <c r="O664" s="171"/>
      <c r="P664" s="171"/>
      <c r="Q664" s="171"/>
      <c r="R664" s="171"/>
      <c r="S664" s="171"/>
      <c r="T664" s="171"/>
      <c r="U664" s="171"/>
      <c r="V664" s="171"/>
      <c r="W664" s="171"/>
      <c r="X664" s="161"/>
      <c r="Y664" s="161"/>
      <c r="Z664" s="161"/>
      <c r="AA664" s="161"/>
      <c r="AB664" s="161"/>
      <c r="AC664" s="171"/>
      <c r="AD664" s="198"/>
    </row>
    <row r="665">
      <c r="A665" s="169"/>
      <c r="B665" s="169"/>
      <c r="C665" s="161"/>
      <c r="D665" s="229"/>
      <c r="E665" s="161"/>
      <c r="F665" s="161"/>
      <c r="G665" s="161"/>
      <c r="H665" s="171"/>
      <c r="I665" s="171"/>
      <c r="J665" s="171"/>
      <c r="K665" s="171"/>
      <c r="L665" s="171"/>
      <c r="M665" s="171"/>
      <c r="N665" s="171"/>
      <c r="O665" s="171"/>
      <c r="P665" s="171"/>
      <c r="Q665" s="171"/>
      <c r="R665" s="171"/>
      <c r="S665" s="171"/>
      <c r="T665" s="171"/>
      <c r="U665" s="171"/>
      <c r="V665" s="171"/>
      <c r="W665" s="171"/>
      <c r="X665" s="161"/>
      <c r="Y665" s="161"/>
      <c r="Z665" s="161"/>
      <c r="AA665" s="161"/>
      <c r="AB665" s="161"/>
      <c r="AC665" s="171"/>
      <c r="AD665" s="198"/>
    </row>
    <row r="666">
      <c r="A666" s="169"/>
      <c r="B666" s="169"/>
      <c r="C666" s="161"/>
      <c r="D666" s="229"/>
      <c r="E666" s="161"/>
      <c r="F666" s="161"/>
      <c r="G666" s="161"/>
      <c r="H666" s="171"/>
      <c r="I666" s="171"/>
      <c r="J666" s="171"/>
      <c r="K666" s="171"/>
      <c r="L666" s="171"/>
      <c r="M666" s="171"/>
      <c r="N666" s="171"/>
      <c r="O666" s="171"/>
      <c r="P666" s="171"/>
      <c r="Q666" s="171"/>
      <c r="R666" s="171"/>
      <c r="S666" s="171"/>
      <c r="T666" s="171"/>
      <c r="U666" s="171"/>
      <c r="V666" s="171"/>
      <c r="W666" s="171"/>
      <c r="X666" s="161"/>
      <c r="Y666" s="161"/>
      <c r="Z666" s="161"/>
      <c r="AA666" s="161"/>
      <c r="AB666" s="161"/>
      <c r="AC666" s="171"/>
      <c r="AD666" s="198"/>
    </row>
    <row r="667">
      <c r="A667" s="169"/>
      <c r="B667" s="169"/>
      <c r="C667" s="161"/>
      <c r="D667" s="229"/>
      <c r="E667" s="161"/>
      <c r="F667" s="161"/>
      <c r="G667" s="161"/>
      <c r="H667" s="171"/>
      <c r="I667" s="171"/>
      <c r="J667" s="171"/>
      <c r="K667" s="171"/>
      <c r="L667" s="171"/>
      <c r="M667" s="171"/>
      <c r="N667" s="171"/>
      <c r="O667" s="171"/>
      <c r="P667" s="171"/>
      <c r="Q667" s="171"/>
      <c r="R667" s="171"/>
      <c r="S667" s="171"/>
      <c r="T667" s="171"/>
      <c r="U667" s="171"/>
      <c r="V667" s="171"/>
      <c r="W667" s="171"/>
      <c r="X667" s="161"/>
      <c r="Y667" s="161"/>
      <c r="Z667" s="161"/>
      <c r="AA667" s="161"/>
      <c r="AB667" s="161"/>
      <c r="AC667" s="171"/>
      <c r="AD667" s="198"/>
    </row>
    <row r="668">
      <c r="A668" s="169"/>
      <c r="B668" s="169"/>
      <c r="C668" s="161"/>
      <c r="D668" s="229"/>
      <c r="E668" s="161"/>
      <c r="F668" s="161"/>
      <c r="G668" s="161"/>
      <c r="H668" s="171"/>
      <c r="I668" s="171"/>
      <c r="J668" s="171"/>
      <c r="K668" s="171"/>
      <c r="L668" s="171"/>
      <c r="M668" s="171"/>
      <c r="N668" s="171"/>
      <c r="O668" s="171"/>
      <c r="P668" s="171"/>
      <c r="Q668" s="171"/>
      <c r="R668" s="171"/>
      <c r="S668" s="171"/>
      <c r="T668" s="171"/>
      <c r="U668" s="171"/>
      <c r="V668" s="171"/>
      <c r="W668" s="171"/>
      <c r="X668" s="161"/>
      <c r="Y668" s="161"/>
      <c r="Z668" s="161"/>
      <c r="AA668" s="161"/>
      <c r="AB668" s="161"/>
      <c r="AC668" s="171"/>
      <c r="AD668" s="198"/>
    </row>
    <row r="669">
      <c r="A669" s="169"/>
      <c r="B669" s="169"/>
      <c r="C669" s="161"/>
      <c r="D669" s="229"/>
      <c r="E669" s="161"/>
      <c r="F669" s="161"/>
      <c r="G669" s="161"/>
      <c r="H669" s="171"/>
      <c r="I669" s="171"/>
      <c r="J669" s="171"/>
      <c r="K669" s="171"/>
      <c r="L669" s="171"/>
      <c r="M669" s="171"/>
      <c r="N669" s="171"/>
      <c r="O669" s="171"/>
      <c r="P669" s="171"/>
      <c r="Q669" s="171"/>
      <c r="R669" s="171"/>
      <c r="S669" s="171"/>
      <c r="T669" s="171"/>
      <c r="U669" s="171"/>
      <c r="V669" s="171"/>
      <c r="W669" s="171"/>
      <c r="X669" s="161"/>
      <c r="Y669" s="161"/>
      <c r="Z669" s="161"/>
      <c r="AA669" s="161"/>
      <c r="AB669" s="161"/>
      <c r="AC669" s="171"/>
      <c r="AD669" s="198"/>
    </row>
    <row r="670">
      <c r="A670" s="169"/>
      <c r="B670" s="169"/>
      <c r="C670" s="161"/>
      <c r="D670" s="229"/>
      <c r="E670" s="161"/>
      <c r="F670" s="161"/>
      <c r="G670" s="161"/>
      <c r="H670" s="171"/>
      <c r="I670" s="171"/>
      <c r="J670" s="171"/>
      <c r="K670" s="171"/>
      <c r="L670" s="171"/>
      <c r="M670" s="171"/>
      <c r="N670" s="171"/>
      <c r="O670" s="171"/>
      <c r="P670" s="171"/>
      <c r="Q670" s="171"/>
      <c r="R670" s="171"/>
      <c r="S670" s="171"/>
      <c r="T670" s="171"/>
      <c r="U670" s="171"/>
      <c r="V670" s="171"/>
      <c r="W670" s="171"/>
      <c r="X670" s="161"/>
      <c r="Y670" s="161"/>
      <c r="Z670" s="161"/>
      <c r="AA670" s="161"/>
      <c r="AB670" s="161"/>
      <c r="AC670" s="171"/>
      <c r="AD670" s="198"/>
    </row>
    <row r="671">
      <c r="A671" s="169"/>
      <c r="B671" s="169"/>
      <c r="C671" s="161"/>
      <c r="D671" s="229"/>
      <c r="E671" s="161"/>
      <c r="F671" s="161"/>
      <c r="G671" s="161"/>
      <c r="H671" s="171"/>
      <c r="I671" s="171"/>
      <c r="J671" s="171"/>
      <c r="K671" s="171"/>
      <c r="L671" s="171"/>
      <c r="M671" s="171"/>
      <c r="N671" s="171"/>
      <c r="O671" s="171"/>
      <c r="P671" s="171"/>
      <c r="Q671" s="171"/>
      <c r="R671" s="171"/>
      <c r="S671" s="171"/>
      <c r="T671" s="171"/>
      <c r="U671" s="171"/>
      <c r="V671" s="171"/>
      <c r="W671" s="171"/>
      <c r="X671" s="161"/>
      <c r="Y671" s="161"/>
      <c r="Z671" s="161"/>
      <c r="AA671" s="161"/>
      <c r="AB671" s="161"/>
      <c r="AC671" s="171"/>
      <c r="AD671" s="198"/>
    </row>
    <row r="672">
      <c r="A672" s="169"/>
      <c r="B672" s="169"/>
      <c r="C672" s="161"/>
      <c r="D672" s="229"/>
      <c r="E672" s="161"/>
      <c r="F672" s="161"/>
      <c r="G672" s="161"/>
      <c r="H672" s="171"/>
      <c r="I672" s="171"/>
      <c r="J672" s="171"/>
      <c r="K672" s="171"/>
      <c r="L672" s="171"/>
      <c r="M672" s="171"/>
      <c r="N672" s="171"/>
      <c r="O672" s="171"/>
      <c r="P672" s="171"/>
      <c r="Q672" s="171"/>
      <c r="R672" s="171"/>
      <c r="S672" s="171"/>
      <c r="T672" s="171"/>
      <c r="U672" s="171"/>
      <c r="V672" s="171"/>
      <c r="W672" s="171"/>
      <c r="X672" s="161"/>
      <c r="Y672" s="161"/>
      <c r="Z672" s="161"/>
      <c r="AA672" s="161"/>
      <c r="AB672" s="161"/>
      <c r="AC672" s="171"/>
      <c r="AD672" s="198"/>
    </row>
    <row r="673">
      <c r="A673" s="169"/>
      <c r="B673" s="169"/>
      <c r="C673" s="161"/>
      <c r="D673" s="229"/>
      <c r="E673" s="161"/>
      <c r="F673" s="161"/>
      <c r="G673" s="161"/>
      <c r="H673" s="171"/>
      <c r="I673" s="171"/>
      <c r="J673" s="171"/>
      <c r="K673" s="171"/>
      <c r="L673" s="171"/>
      <c r="M673" s="171"/>
      <c r="N673" s="171"/>
      <c r="O673" s="171"/>
      <c r="P673" s="171"/>
      <c r="Q673" s="171"/>
      <c r="R673" s="171"/>
      <c r="S673" s="171"/>
      <c r="T673" s="171"/>
      <c r="U673" s="171"/>
      <c r="V673" s="171"/>
      <c r="W673" s="171"/>
      <c r="X673" s="161"/>
      <c r="Y673" s="161"/>
      <c r="Z673" s="161"/>
      <c r="AA673" s="161"/>
      <c r="AB673" s="161"/>
      <c r="AC673" s="171"/>
      <c r="AD673" s="198"/>
    </row>
    <row r="674">
      <c r="A674" s="169"/>
      <c r="B674" s="169"/>
      <c r="C674" s="161"/>
      <c r="D674" s="229"/>
      <c r="E674" s="161"/>
      <c r="F674" s="161"/>
      <c r="G674" s="161"/>
      <c r="H674" s="171"/>
      <c r="I674" s="171"/>
      <c r="J674" s="171"/>
      <c r="K674" s="171"/>
      <c r="L674" s="171"/>
      <c r="M674" s="171"/>
      <c r="N674" s="171"/>
      <c r="O674" s="171"/>
      <c r="P674" s="171"/>
      <c r="Q674" s="171"/>
      <c r="R674" s="171"/>
      <c r="S674" s="171"/>
      <c r="T674" s="171"/>
      <c r="U674" s="171"/>
      <c r="V674" s="171"/>
      <c r="W674" s="171"/>
      <c r="X674" s="161"/>
      <c r="Y674" s="161"/>
      <c r="Z674" s="161"/>
      <c r="AA674" s="161"/>
      <c r="AB674" s="161"/>
      <c r="AC674" s="171"/>
      <c r="AD674" s="198"/>
    </row>
    <row r="675">
      <c r="A675" s="169"/>
      <c r="B675" s="169"/>
      <c r="C675" s="161"/>
      <c r="D675" s="229"/>
      <c r="E675" s="161"/>
      <c r="F675" s="161"/>
      <c r="G675" s="161"/>
      <c r="H675" s="171"/>
      <c r="I675" s="171"/>
      <c r="J675" s="171"/>
      <c r="K675" s="171"/>
      <c r="L675" s="171"/>
      <c r="M675" s="171"/>
      <c r="N675" s="171"/>
      <c r="O675" s="171"/>
      <c r="P675" s="171"/>
      <c r="Q675" s="171"/>
      <c r="R675" s="171"/>
      <c r="S675" s="171"/>
      <c r="T675" s="171"/>
      <c r="U675" s="171"/>
      <c r="V675" s="171"/>
      <c r="W675" s="171"/>
      <c r="X675" s="161"/>
      <c r="Y675" s="161"/>
      <c r="Z675" s="161"/>
      <c r="AA675" s="161"/>
      <c r="AB675" s="161"/>
      <c r="AC675" s="171"/>
      <c r="AD675" s="198"/>
    </row>
    <row r="676">
      <c r="A676" s="169"/>
      <c r="B676" s="169"/>
      <c r="C676" s="161"/>
      <c r="D676" s="229"/>
      <c r="E676" s="161"/>
      <c r="F676" s="161"/>
      <c r="G676" s="161"/>
      <c r="H676" s="171"/>
      <c r="I676" s="171"/>
      <c r="J676" s="171"/>
      <c r="K676" s="171"/>
      <c r="L676" s="171"/>
      <c r="M676" s="171"/>
      <c r="N676" s="171"/>
      <c r="O676" s="171"/>
      <c r="P676" s="171"/>
      <c r="Q676" s="171"/>
      <c r="R676" s="171"/>
      <c r="S676" s="171"/>
      <c r="T676" s="171"/>
      <c r="U676" s="171"/>
      <c r="V676" s="171"/>
      <c r="W676" s="171"/>
      <c r="X676" s="161"/>
      <c r="Y676" s="161"/>
      <c r="Z676" s="161"/>
      <c r="AA676" s="161"/>
      <c r="AB676" s="161"/>
      <c r="AC676" s="171"/>
      <c r="AD676" s="198"/>
    </row>
    <row r="677">
      <c r="A677" s="169"/>
      <c r="B677" s="169"/>
      <c r="C677" s="161"/>
      <c r="D677" s="229"/>
      <c r="E677" s="161"/>
      <c r="F677" s="161"/>
      <c r="G677" s="161"/>
      <c r="H677" s="171"/>
      <c r="I677" s="171"/>
      <c r="J677" s="171"/>
      <c r="K677" s="171"/>
      <c r="L677" s="171"/>
      <c r="M677" s="171"/>
      <c r="N677" s="171"/>
      <c r="O677" s="171"/>
      <c r="P677" s="171"/>
      <c r="Q677" s="171"/>
      <c r="R677" s="171"/>
      <c r="S677" s="171"/>
      <c r="T677" s="171"/>
      <c r="U677" s="171"/>
      <c r="V677" s="171"/>
      <c r="W677" s="171"/>
      <c r="X677" s="161"/>
      <c r="Y677" s="161"/>
      <c r="Z677" s="161"/>
      <c r="AA677" s="161"/>
      <c r="AB677" s="161"/>
      <c r="AC677" s="171"/>
      <c r="AD677" s="198"/>
    </row>
    <row r="678">
      <c r="A678" s="169"/>
      <c r="B678" s="169"/>
      <c r="C678" s="161"/>
      <c r="D678" s="229"/>
      <c r="E678" s="161"/>
      <c r="F678" s="161"/>
      <c r="G678" s="161"/>
      <c r="H678" s="171"/>
      <c r="I678" s="171"/>
      <c r="J678" s="171"/>
      <c r="K678" s="171"/>
      <c r="L678" s="171"/>
      <c r="M678" s="171"/>
      <c r="N678" s="171"/>
      <c r="O678" s="171"/>
      <c r="P678" s="171"/>
      <c r="Q678" s="171"/>
      <c r="R678" s="171"/>
      <c r="S678" s="171"/>
      <c r="T678" s="171"/>
      <c r="U678" s="171"/>
      <c r="V678" s="171"/>
      <c r="W678" s="171"/>
      <c r="X678" s="161"/>
      <c r="Y678" s="161"/>
      <c r="Z678" s="161"/>
      <c r="AA678" s="161"/>
      <c r="AB678" s="161"/>
      <c r="AC678" s="171"/>
      <c r="AD678" s="198"/>
    </row>
    <row r="679">
      <c r="A679" s="169"/>
      <c r="B679" s="169"/>
      <c r="C679" s="161"/>
      <c r="D679" s="229"/>
      <c r="E679" s="161"/>
      <c r="F679" s="161"/>
      <c r="G679" s="161"/>
      <c r="H679" s="171"/>
      <c r="I679" s="171"/>
      <c r="J679" s="171"/>
      <c r="K679" s="171"/>
      <c r="L679" s="171"/>
      <c r="M679" s="171"/>
      <c r="N679" s="171"/>
      <c r="O679" s="171"/>
      <c r="P679" s="171"/>
      <c r="Q679" s="171"/>
      <c r="R679" s="171"/>
      <c r="S679" s="171"/>
      <c r="T679" s="171"/>
      <c r="U679" s="171"/>
      <c r="V679" s="171"/>
      <c r="W679" s="171"/>
      <c r="X679" s="161"/>
      <c r="Y679" s="161"/>
      <c r="Z679" s="161"/>
      <c r="AA679" s="161"/>
      <c r="AB679" s="161"/>
      <c r="AC679" s="171"/>
      <c r="AD679" s="198"/>
    </row>
    <row r="680">
      <c r="A680" s="169"/>
      <c r="B680" s="169"/>
      <c r="C680" s="161"/>
      <c r="D680" s="229"/>
      <c r="E680" s="161"/>
      <c r="F680" s="161"/>
      <c r="G680" s="161"/>
      <c r="H680" s="171"/>
      <c r="I680" s="171"/>
      <c r="J680" s="171"/>
      <c r="K680" s="171"/>
      <c r="L680" s="171"/>
      <c r="M680" s="171"/>
      <c r="N680" s="171"/>
      <c r="O680" s="171"/>
      <c r="P680" s="171"/>
      <c r="Q680" s="171"/>
      <c r="R680" s="171"/>
      <c r="S680" s="171"/>
      <c r="T680" s="171"/>
      <c r="U680" s="171"/>
      <c r="V680" s="171"/>
      <c r="W680" s="171"/>
      <c r="X680" s="161"/>
      <c r="Y680" s="161"/>
      <c r="Z680" s="161"/>
      <c r="AA680" s="161"/>
      <c r="AB680" s="161"/>
      <c r="AC680" s="171"/>
      <c r="AD680" s="198"/>
    </row>
    <row r="681">
      <c r="A681" s="169"/>
      <c r="B681" s="169"/>
      <c r="C681" s="161"/>
      <c r="D681" s="229"/>
      <c r="E681" s="161"/>
      <c r="F681" s="161"/>
      <c r="G681" s="161"/>
      <c r="H681" s="171"/>
      <c r="I681" s="171"/>
      <c r="J681" s="171"/>
      <c r="K681" s="171"/>
      <c r="L681" s="171"/>
      <c r="M681" s="171"/>
      <c r="N681" s="171"/>
      <c r="O681" s="171"/>
      <c r="P681" s="171"/>
      <c r="Q681" s="171"/>
      <c r="R681" s="171"/>
      <c r="S681" s="171"/>
      <c r="T681" s="171"/>
      <c r="U681" s="171"/>
      <c r="V681" s="171"/>
      <c r="W681" s="171"/>
      <c r="X681" s="161"/>
      <c r="Y681" s="161"/>
      <c r="Z681" s="161"/>
      <c r="AA681" s="161"/>
      <c r="AB681" s="161"/>
      <c r="AC681" s="171"/>
      <c r="AD681" s="198"/>
    </row>
    <row r="682">
      <c r="A682" s="169"/>
      <c r="B682" s="169"/>
      <c r="C682" s="161"/>
      <c r="D682" s="229"/>
      <c r="E682" s="161"/>
      <c r="F682" s="161"/>
      <c r="G682" s="161"/>
      <c r="H682" s="171"/>
      <c r="I682" s="171"/>
      <c r="J682" s="171"/>
      <c r="K682" s="171"/>
      <c r="L682" s="171"/>
      <c r="M682" s="171"/>
      <c r="N682" s="171"/>
      <c r="O682" s="171"/>
      <c r="P682" s="171"/>
      <c r="Q682" s="171"/>
      <c r="R682" s="171"/>
      <c r="S682" s="171"/>
      <c r="T682" s="171"/>
      <c r="U682" s="171"/>
      <c r="V682" s="171"/>
      <c r="W682" s="171"/>
      <c r="X682" s="161"/>
      <c r="Y682" s="161"/>
      <c r="Z682" s="161"/>
      <c r="AA682" s="161"/>
      <c r="AB682" s="161"/>
      <c r="AC682" s="171"/>
      <c r="AD682" s="198"/>
    </row>
    <row r="683">
      <c r="A683" s="169"/>
      <c r="B683" s="169"/>
      <c r="C683" s="161"/>
      <c r="D683" s="229"/>
      <c r="E683" s="161"/>
      <c r="F683" s="161"/>
      <c r="G683" s="161"/>
      <c r="H683" s="171"/>
      <c r="I683" s="171"/>
      <c r="J683" s="171"/>
      <c r="K683" s="171"/>
      <c r="L683" s="171"/>
      <c r="M683" s="171"/>
      <c r="N683" s="171"/>
      <c r="O683" s="171"/>
      <c r="P683" s="171"/>
      <c r="Q683" s="171"/>
      <c r="R683" s="171"/>
      <c r="S683" s="171"/>
      <c r="T683" s="171"/>
      <c r="U683" s="171"/>
      <c r="V683" s="171"/>
      <c r="W683" s="171"/>
      <c r="X683" s="161"/>
      <c r="Y683" s="161"/>
      <c r="Z683" s="161"/>
      <c r="AA683" s="161"/>
      <c r="AB683" s="161"/>
      <c r="AC683" s="171"/>
      <c r="AD683" s="198"/>
    </row>
    <row r="684">
      <c r="A684" s="169"/>
      <c r="B684" s="169"/>
      <c r="C684" s="161"/>
      <c r="D684" s="229"/>
      <c r="E684" s="161"/>
      <c r="F684" s="161"/>
      <c r="G684" s="161"/>
      <c r="H684" s="171"/>
      <c r="I684" s="171"/>
      <c r="J684" s="171"/>
      <c r="K684" s="171"/>
      <c r="L684" s="171"/>
      <c r="M684" s="171"/>
      <c r="N684" s="171"/>
      <c r="O684" s="171"/>
      <c r="P684" s="171"/>
      <c r="Q684" s="171"/>
      <c r="R684" s="171"/>
      <c r="S684" s="171"/>
      <c r="T684" s="171"/>
      <c r="U684" s="171"/>
      <c r="V684" s="171"/>
      <c r="W684" s="171"/>
      <c r="X684" s="161"/>
      <c r="Y684" s="161"/>
      <c r="Z684" s="161"/>
      <c r="AA684" s="161"/>
      <c r="AB684" s="161"/>
      <c r="AC684" s="171"/>
      <c r="AD684" s="198"/>
    </row>
    <row r="685">
      <c r="A685" s="169"/>
      <c r="B685" s="169"/>
      <c r="C685" s="161"/>
      <c r="D685" s="229"/>
      <c r="E685" s="161"/>
      <c r="F685" s="161"/>
      <c r="G685" s="161"/>
      <c r="H685" s="171"/>
      <c r="I685" s="171"/>
      <c r="J685" s="171"/>
      <c r="K685" s="171"/>
      <c r="L685" s="171"/>
      <c r="M685" s="171"/>
      <c r="N685" s="171"/>
      <c r="O685" s="171"/>
      <c r="P685" s="171"/>
      <c r="Q685" s="171"/>
      <c r="R685" s="171"/>
      <c r="S685" s="171"/>
      <c r="T685" s="171"/>
      <c r="U685" s="171"/>
      <c r="V685" s="171"/>
      <c r="W685" s="171"/>
      <c r="X685" s="161"/>
      <c r="Y685" s="161"/>
      <c r="Z685" s="161"/>
      <c r="AA685" s="161"/>
      <c r="AB685" s="161"/>
      <c r="AC685" s="171"/>
      <c r="AD685" s="198"/>
    </row>
    <row r="686">
      <c r="A686" s="169"/>
      <c r="B686" s="169"/>
      <c r="C686" s="161"/>
      <c r="D686" s="229"/>
      <c r="E686" s="161"/>
      <c r="F686" s="161"/>
      <c r="G686" s="161"/>
      <c r="H686" s="171"/>
      <c r="I686" s="171"/>
      <c r="J686" s="171"/>
      <c r="K686" s="171"/>
      <c r="L686" s="171"/>
      <c r="M686" s="171"/>
      <c r="N686" s="171"/>
      <c r="O686" s="171"/>
      <c r="P686" s="171"/>
      <c r="Q686" s="171"/>
      <c r="R686" s="171"/>
      <c r="S686" s="171"/>
      <c r="T686" s="171"/>
      <c r="U686" s="171"/>
      <c r="V686" s="171"/>
      <c r="W686" s="171"/>
      <c r="X686" s="161"/>
      <c r="Y686" s="161"/>
      <c r="Z686" s="161"/>
      <c r="AA686" s="161"/>
      <c r="AB686" s="161"/>
      <c r="AC686" s="171"/>
      <c r="AD686" s="198"/>
    </row>
    <row r="687">
      <c r="A687" s="169"/>
      <c r="B687" s="169"/>
      <c r="C687" s="161"/>
      <c r="D687" s="229"/>
      <c r="E687" s="161"/>
      <c r="F687" s="161"/>
      <c r="G687" s="161"/>
      <c r="H687" s="171"/>
      <c r="I687" s="171"/>
      <c r="J687" s="171"/>
      <c r="K687" s="171"/>
      <c r="L687" s="171"/>
      <c r="M687" s="171"/>
      <c r="N687" s="171"/>
      <c r="O687" s="171"/>
      <c r="P687" s="171"/>
      <c r="Q687" s="171"/>
      <c r="R687" s="171"/>
      <c r="S687" s="171"/>
      <c r="T687" s="171"/>
      <c r="U687" s="171"/>
      <c r="V687" s="171"/>
      <c r="W687" s="171"/>
      <c r="X687" s="161"/>
      <c r="Y687" s="161"/>
      <c r="Z687" s="161"/>
      <c r="AA687" s="161"/>
      <c r="AB687" s="161"/>
      <c r="AC687" s="171"/>
      <c r="AD687" s="198"/>
    </row>
    <row r="688">
      <c r="A688" s="169"/>
      <c r="B688" s="169"/>
      <c r="C688" s="161"/>
      <c r="D688" s="229"/>
      <c r="E688" s="161"/>
      <c r="F688" s="161"/>
      <c r="G688" s="161"/>
      <c r="H688" s="171"/>
      <c r="I688" s="171"/>
      <c r="J688" s="171"/>
      <c r="K688" s="171"/>
      <c r="L688" s="171"/>
      <c r="M688" s="171"/>
      <c r="N688" s="171"/>
      <c r="O688" s="171"/>
      <c r="P688" s="171"/>
      <c r="Q688" s="171"/>
      <c r="R688" s="171"/>
      <c r="S688" s="171"/>
      <c r="T688" s="171"/>
      <c r="U688" s="171"/>
      <c r="V688" s="171"/>
      <c r="W688" s="171"/>
      <c r="X688" s="161"/>
      <c r="Y688" s="161"/>
      <c r="Z688" s="161"/>
      <c r="AA688" s="161"/>
      <c r="AB688" s="161"/>
      <c r="AC688" s="171"/>
      <c r="AD688" s="198"/>
    </row>
    <row r="689">
      <c r="A689" s="169"/>
      <c r="B689" s="169"/>
      <c r="C689" s="161"/>
      <c r="D689" s="229"/>
      <c r="E689" s="161"/>
      <c r="F689" s="161"/>
      <c r="G689" s="161"/>
      <c r="H689" s="171"/>
      <c r="I689" s="171"/>
      <c r="J689" s="171"/>
      <c r="K689" s="171"/>
      <c r="L689" s="171"/>
      <c r="M689" s="171"/>
      <c r="N689" s="171"/>
      <c r="O689" s="171"/>
      <c r="P689" s="171"/>
      <c r="Q689" s="171"/>
      <c r="R689" s="171"/>
      <c r="S689" s="171"/>
      <c r="T689" s="171"/>
      <c r="U689" s="171"/>
      <c r="V689" s="171"/>
      <c r="W689" s="171"/>
      <c r="X689" s="161"/>
      <c r="Y689" s="161"/>
      <c r="Z689" s="161"/>
      <c r="AA689" s="161"/>
      <c r="AB689" s="161"/>
      <c r="AC689" s="171"/>
      <c r="AD689" s="198"/>
    </row>
    <row r="690">
      <c r="A690" s="169"/>
      <c r="B690" s="169"/>
      <c r="C690" s="161"/>
      <c r="D690" s="229"/>
      <c r="E690" s="161"/>
      <c r="F690" s="161"/>
      <c r="G690" s="161"/>
      <c r="H690" s="171"/>
      <c r="I690" s="171"/>
      <c r="J690" s="171"/>
      <c r="K690" s="171"/>
      <c r="L690" s="171"/>
      <c r="M690" s="171"/>
      <c r="N690" s="171"/>
      <c r="O690" s="171"/>
      <c r="P690" s="171"/>
      <c r="Q690" s="171"/>
      <c r="R690" s="171"/>
      <c r="S690" s="171"/>
      <c r="T690" s="171"/>
      <c r="U690" s="171"/>
      <c r="V690" s="171"/>
      <c r="W690" s="171"/>
      <c r="X690" s="161"/>
      <c r="Y690" s="161"/>
      <c r="Z690" s="161"/>
      <c r="AA690" s="161"/>
      <c r="AB690" s="161"/>
      <c r="AC690" s="171"/>
      <c r="AD690" s="198"/>
    </row>
    <row r="691">
      <c r="A691" s="169"/>
      <c r="B691" s="169"/>
      <c r="C691" s="161"/>
      <c r="D691" s="229"/>
      <c r="E691" s="161"/>
      <c r="F691" s="161"/>
      <c r="G691" s="161"/>
      <c r="H691" s="171"/>
      <c r="I691" s="171"/>
      <c r="J691" s="171"/>
      <c r="K691" s="171"/>
      <c r="L691" s="171"/>
      <c r="M691" s="171"/>
      <c r="N691" s="171"/>
      <c r="O691" s="171"/>
      <c r="P691" s="171"/>
      <c r="Q691" s="171"/>
      <c r="R691" s="171"/>
      <c r="S691" s="171"/>
      <c r="T691" s="171"/>
      <c r="U691" s="171"/>
      <c r="V691" s="171"/>
      <c r="W691" s="171"/>
      <c r="X691" s="161"/>
      <c r="Y691" s="161"/>
      <c r="Z691" s="161"/>
      <c r="AA691" s="161"/>
      <c r="AB691" s="161"/>
      <c r="AC691" s="171"/>
      <c r="AD691" s="198"/>
    </row>
    <row r="692">
      <c r="A692" s="169"/>
      <c r="B692" s="169"/>
      <c r="C692" s="161"/>
      <c r="D692" s="229"/>
      <c r="E692" s="161"/>
      <c r="F692" s="161"/>
      <c r="G692" s="161"/>
      <c r="H692" s="171"/>
      <c r="I692" s="171"/>
      <c r="J692" s="171"/>
      <c r="K692" s="171"/>
      <c r="L692" s="171"/>
      <c r="M692" s="171"/>
      <c r="N692" s="171"/>
      <c r="O692" s="171"/>
      <c r="P692" s="171"/>
      <c r="Q692" s="171"/>
      <c r="R692" s="171"/>
      <c r="S692" s="171"/>
      <c r="T692" s="171"/>
      <c r="U692" s="171"/>
      <c r="V692" s="171"/>
      <c r="W692" s="171"/>
      <c r="X692" s="161"/>
      <c r="Y692" s="161"/>
      <c r="Z692" s="161"/>
      <c r="AA692" s="161"/>
      <c r="AB692" s="161"/>
      <c r="AC692" s="171"/>
      <c r="AD692" s="198"/>
    </row>
    <row r="693">
      <c r="A693" s="169"/>
      <c r="B693" s="169"/>
      <c r="C693" s="161"/>
      <c r="D693" s="229"/>
      <c r="E693" s="161"/>
      <c r="F693" s="161"/>
      <c r="G693" s="161"/>
      <c r="H693" s="171"/>
      <c r="I693" s="171"/>
      <c r="J693" s="171"/>
      <c r="K693" s="171"/>
      <c r="L693" s="171"/>
      <c r="M693" s="171"/>
      <c r="N693" s="171"/>
      <c r="O693" s="171"/>
      <c r="P693" s="171"/>
      <c r="Q693" s="171"/>
      <c r="R693" s="171"/>
      <c r="S693" s="171"/>
      <c r="T693" s="171"/>
      <c r="U693" s="171"/>
      <c r="V693" s="171"/>
      <c r="W693" s="171"/>
      <c r="X693" s="161"/>
      <c r="Y693" s="161"/>
      <c r="Z693" s="161"/>
      <c r="AA693" s="161"/>
      <c r="AB693" s="161"/>
      <c r="AC693" s="171"/>
      <c r="AD693" s="198"/>
    </row>
    <row r="694">
      <c r="A694" s="169"/>
      <c r="B694" s="169"/>
      <c r="C694" s="161"/>
      <c r="D694" s="229"/>
      <c r="E694" s="161"/>
      <c r="F694" s="161"/>
      <c r="G694" s="161"/>
      <c r="H694" s="171"/>
      <c r="I694" s="171"/>
      <c r="J694" s="171"/>
      <c r="K694" s="171"/>
      <c r="L694" s="171"/>
      <c r="M694" s="171"/>
      <c r="N694" s="171"/>
      <c r="O694" s="171"/>
      <c r="P694" s="171"/>
      <c r="Q694" s="171"/>
      <c r="R694" s="171"/>
      <c r="S694" s="171"/>
      <c r="T694" s="171"/>
      <c r="U694" s="171"/>
      <c r="V694" s="171"/>
      <c r="W694" s="171"/>
      <c r="X694" s="161"/>
      <c r="Y694" s="161"/>
      <c r="Z694" s="161"/>
      <c r="AA694" s="161"/>
      <c r="AB694" s="161"/>
      <c r="AC694" s="171"/>
      <c r="AD694" s="198"/>
    </row>
    <row r="695">
      <c r="A695" s="169"/>
      <c r="B695" s="169"/>
      <c r="C695" s="161"/>
      <c r="D695" s="229"/>
      <c r="E695" s="161"/>
      <c r="F695" s="161"/>
      <c r="G695" s="161"/>
      <c r="H695" s="171"/>
      <c r="I695" s="171"/>
      <c r="J695" s="171"/>
      <c r="K695" s="171"/>
      <c r="L695" s="171"/>
      <c r="M695" s="171"/>
      <c r="N695" s="171"/>
      <c r="O695" s="171"/>
      <c r="P695" s="171"/>
      <c r="Q695" s="171"/>
      <c r="R695" s="171"/>
      <c r="S695" s="171"/>
      <c r="T695" s="171"/>
      <c r="U695" s="171"/>
      <c r="V695" s="171"/>
      <c r="W695" s="171"/>
      <c r="X695" s="161"/>
      <c r="Y695" s="161"/>
      <c r="Z695" s="161"/>
      <c r="AA695" s="161"/>
      <c r="AB695" s="161"/>
      <c r="AC695" s="171"/>
      <c r="AD695" s="198"/>
    </row>
    <row r="696">
      <c r="A696" s="169"/>
      <c r="B696" s="169"/>
      <c r="C696" s="161"/>
      <c r="D696" s="229"/>
      <c r="E696" s="161"/>
      <c r="F696" s="161"/>
      <c r="G696" s="161"/>
      <c r="H696" s="171"/>
      <c r="I696" s="171"/>
      <c r="J696" s="171"/>
      <c r="K696" s="171"/>
      <c r="L696" s="171"/>
      <c r="M696" s="171"/>
      <c r="N696" s="171"/>
      <c r="O696" s="171"/>
      <c r="P696" s="171"/>
      <c r="Q696" s="171"/>
      <c r="R696" s="171"/>
      <c r="S696" s="171"/>
      <c r="T696" s="171"/>
      <c r="U696" s="171"/>
      <c r="V696" s="171"/>
      <c r="W696" s="171"/>
      <c r="X696" s="161"/>
      <c r="Y696" s="161"/>
      <c r="Z696" s="161"/>
      <c r="AA696" s="161"/>
      <c r="AB696" s="161"/>
      <c r="AC696" s="171"/>
      <c r="AD696" s="198"/>
    </row>
    <row r="697">
      <c r="A697" s="169"/>
      <c r="B697" s="169"/>
      <c r="C697" s="161"/>
      <c r="D697" s="229"/>
      <c r="E697" s="161"/>
      <c r="F697" s="161"/>
      <c r="G697" s="161"/>
      <c r="H697" s="171"/>
      <c r="I697" s="171"/>
      <c r="J697" s="171"/>
      <c r="K697" s="171"/>
      <c r="L697" s="171"/>
      <c r="M697" s="171"/>
      <c r="N697" s="171"/>
      <c r="O697" s="171"/>
      <c r="P697" s="171"/>
      <c r="Q697" s="171"/>
      <c r="R697" s="171"/>
      <c r="S697" s="171"/>
      <c r="T697" s="171"/>
      <c r="U697" s="171"/>
      <c r="V697" s="171"/>
      <c r="W697" s="171"/>
      <c r="X697" s="161"/>
      <c r="Y697" s="161"/>
      <c r="Z697" s="161"/>
      <c r="AA697" s="161"/>
      <c r="AB697" s="161"/>
      <c r="AC697" s="171"/>
      <c r="AD697" s="198"/>
    </row>
    <row r="698">
      <c r="A698" s="169"/>
      <c r="B698" s="169"/>
      <c r="C698" s="161"/>
      <c r="D698" s="229"/>
      <c r="E698" s="161"/>
      <c r="F698" s="161"/>
      <c r="G698" s="161"/>
      <c r="H698" s="171"/>
      <c r="I698" s="171"/>
      <c r="J698" s="171"/>
      <c r="K698" s="171"/>
      <c r="L698" s="171"/>
      <c r="M698" s="171"/>
      <c r="N698" s="171"/>
      <c r="O698" s="171"/>
      <c r="P698" s="171"/>
      <c r="Q698" s="171"/>
      <c r="R698" s="171"/>
      <c r="S698" s="171"/>
      <c r="T698" s="171"/>
      <c r="U698" s="171"/>
      <c r="V698" s="171"/>
      <c r="W698" s="171"/>
      <c r="X698" s="161"/>
      <c r="Y698" s="161"/>
      <c r="Z698" s="161"/>
      <c r="AA698" s="161"/>
      <c r="AB698" s="161"/>
      <c r="AC698" s="171"/>
      <c r="AD698" s="198"/>
    </row>
    <row r="699">
      <c r="A699" s="169"/>
      <c r="B699" s="169"/>
      <c r="C699" s="161"/>
      <c r="D699" s="229"/>
      <c r="E699" s="161"/>
      <c r="F699" s="161"/>
      <c r="G699" s="161"/>
      <c r="H699" s="171"/>
      <c r="I699" s="171"/>
      <c r="J699" s="171"/>
      <c r="K699" s="171"/>
      <c r="L699" s="171"/>
      <c r="M699" s="171"/>
      <c r="N699" s="171"/>
      <c r="O699" s="171"/>
      <c r="P699" s="171"/>
      <c r="Q699" s="171"/>
      <c r="R699" s="171"/>
      <c r="S699" s="171"/>
      <c r="T699" s="171"/>
      <c r="U699" s="171"/>
      <c r="V699" s="171"/>
      <c r="W699" s="171"/>
      <c r="X699" s="161"/>
      <c r="Y699" s="161"/>
      <c r="Z699" s="161"/>
      <c r="AA699" s="161"/>
      <c r="AB699" s="161"/>
      <c r="AC699" s="171"/>
      <c r="AD699" s="198"/>
    </row>
    <row r="700">
      <c r="A700" s="169"/>
      <c r="B700" s="169"/>
      <c r="C700" s="161"/>
      <c r="D700" s="229"/>
      <c r="E700" s="161"/>
      <c r="F700" s="161"/>
      <c r="G700" s="161"/>
      <c r="H700" s="171"/>
      <c r="I700" s="171"/>
      <c r="J700" s="171"/>
      <c r="K700" s="171"/>
      <c r="L700" s="171"/>
      <c r="M700" s="171"/>
      <c r="N700" s="171"/>
      <c r="O700" s="171"/>
      <c r="P700" s="171"/>
      <c r="Q700" s="171"/>
      <c r="R700" s="171"/>
      <c r="S700" s="171"/>
      <c r="T700" s="171"/>
      <c r="U700" s="171"/>
      <c r="V700" s="171"/>
      <c r="W700" s="171"/>
      <c r="X700" s="161"/>
      <c r="Y700" s="161"/>
      <c r="Z700" s="161"/>
      <c r="AA700" s="161"/>
      <c r="AB700" s="161"/>
      <c r="AC700" s="171"/>
      <c r="AD700" s="198"/>
    </row>
    <row r="701">
      <c r="A701" s="169"/>
      <c r="B701" s="169"/>
      <c r="C701" s="161"/>
      <c r="D701" s="229"/>
      <c r="E701" s="161"/>
      <c r="F701" s="161"/>
      <c r="G701" s="161"/>
      <c r="H701" s="171"/>
      <c r="I701" s="171"/>
      <c r="J701" s="171"/>
      <c r="K701" s="171"/>
      <c r="L701" s="171"/>
      <c r="M701" s="171"/>
      <c r="N701" s="171"/>
      <c r="O701" s="171"/>
      <c r="P701" s="171"/>
      <c r="Q701" s="171"/>
      <c r="R701" s="171"/>
      <c r="S701" s="171"/>
      <c r="T701" s="171"/>
      <c r="U701" s="171"/>
      <c r="V701" s="171"/>
      <c r="W701" s="171"/>
      <c r="X701" s="161"/>
      <c r="Y701" s="161"/>
      <c r="Z701" s="161"/>
      <c r="AA701" s="161"/>
      <c r="AB701" s="161"/>
      <c r="AC701" s="171"/>
      <c r="AD701" s="198"/>
    </row>
    <row r="702">
      <c r="A702" s="169"/>
      <c r="B702" s="169"/>
      <c r="C702" s="161"/>
      <c r="D702" s="229"/>
      <c r="E702" s="161"/>
      <c r="F702" s="161"/>
      <c r="G702" s="161"/>
      <c r="H702" s="171"/>
      <c r="I702" s="171"/>
      <c r="J702" s="171"/>
      <c r="K702" s="171"/>
      <c r="L702" s="171"/>
      <c r="M702" s="171"/>
      <c r="N702" s="171"/>
      <c r="O702" s="171"/>
      <c r="P702" s="171"/>
      <c r="Q702" s="171"/>
      <c r="R702" s="171"/>
      <c r="S702" s="171"/>
      <c r="T702" s="171"/>
      <c r="U702" s="171"/>
      <c r="V702" s="171"/>
      <c r="W702" s="171"/>
      <c r="X702" s="161"/>
      <c r="Y702" s="161"/>
      <c r="Z702" s="161"/>
      <c r="AA702" s="161"/>
      <c r="AB702" s="161"/>
      <c r="AC702" s="171"/>
      <c r="AD702" s="198"/>
    </row>
    <row r="703">
      <c r="A703" s="169"/>
      <c r="B703" s="169"/>
      <c r="C703" s="161"/>
      <c r="D703" s="229"/>
      <c r="E703" s="161"/>
      <c r="F703" s="161"/>
      <c r="G703" s="161"/>
      <c r="H703" s="171"/>
      <c r="I703" s="171"/>
      <c r="J703" s="171"/>
      <c r="K703" s="171"/>
      <c r="L703" s="171"/>
      <c r="M703" s="171"/>
      <c r="N703" s="171"/>
      <c r="O703" s="171"/>
      <c r="P703" s="171"/>
      <c r="Q703" s="171"/>
      <c r="R703" s="171"/>
      <c r="S703" s="171"/>
      <c r="T703" s="171"/>
      <c r="U703" s="171"/>
      <c r="V703" s="171"/>
      <c r="W703" s="171"/>
      <c r="X703" s="161"/>
      <c r="Y703" s="161"/>
      <c r="Z703" s="161"/>
      <c r="AA703" s="161"/>
      <c r="AB703" s="161"/>
      <c r="AC703" s="171"/>
      <c r="AD703" s="198"/>
    </row>
    <row r="704">
      <c r="A704" s="169"/>
      <c r="B704" s="169"/>
      <c r="C704" s="161"/>
      <c r="D704" s="229"/>
      <c r="E704" s="161"/>
      <c r="F704" s="161"/>
      <c r="G704" s="161"/>
      <c r="H704" s="171"/>
      <c r="I704" s="171"/>
      <c r="J704" s="171"/>
      <c r="K704" s="171"/>
      <c r="L704" s="171"/>
      <c r="M704" s="171"/>
      <c r="N704" s="171"/>
      <c r="O704" s="171"/>
      <c r="P704" s="171"/>
      <c r="Q704" s="171"/>
      <c r="R704" s="171"/>
      <c r="S704" s="171"/>
      <c r="T704" s="171"/>
      <c r="U704" s="171"/>
      <c r="V704" s="171"/>
      <c r="W704" s="171"/>
      <c r="X704" s="161"/>
      <c r="Y704" s="161"/>
      <c r="Z704" s="161"/>
      <c r="AA704" s="161"/>
      <c r="AB704" s="161"/>
      <c r="AC704" s="171"/>
      <c r="AD704" s="198"/>
    </row>
    <row r="705">
      <c r="A705" s="169"/>
      <c r="B705" s="169"/>
      <c r="C705" s="161"/>
      <c r="D705" s="229"/>
      <c r="E705" s="161"/>
      <c r="F705" s="161"/>
      <c r="G705" s="161"/>
      <c r="H705" s="171"/>
      <c r="I705" s="171"/>
      <c r="J705" s="171"/>
      <c r="K705" s="171"/>
      <c r="L705" s="171"/>
      <c r="M705" s="171"/>
      <c r="N705" s="171"/>
      <c r="O705" s="171"/>
      <c r="P705" s="171"/>
      <c r="Q705" s="171"/>
      <c r="R705" s="171"/>
      <c r="S705" s="171"/>
      <c r="T705" s="171"/>
      <c r="U705" s="171"/>
      <c r="V705" s="171"/>
      <c r="W705" s="171"/>
      <c r="X705" s="161"/>
      <c r="Y705" s="161"/>
      <c r="Z705" s="161"/>
      <c r="AA705" s="161"/>
      <c r="AB705" s="161"/>
      <c r="AC705" s="171"/>
      <c r="AD705" s="198"/>
    </row>
    <row r="706">
      <c r="A706" s="169"/>
      <c r="B706" s="169"/>
      <c r="C706" s="161"/>
      <c r="D706" s="229"/>
      <c r="E706" s="161"/>
      <c r="F706" s="161"/>
      <c r="G706" s="161"/>
      <c r="H706" s="171"/>
      <c r="I706" s="171"/>
      <c r="J706" s="171"/>
      <c r="K706" s="171"/>
      <c r="L706" s="171"/>
      <c r="M706" s="171"/>
      <c r="N706" s="171"/>
      <c r="O706" s="171"/>
      <c r="P706" s="171"/>
      <c r="Q706" s="171"/>
      <c r="R706" s="171"/>
      <c r="S706" s="171"/>
      <c r="T706" s="171"/>
      <c r="U706" s="171"/>
      <c r="V706" s="171"/>
      <c r="W706" s="171"/>
      <c r="X706" s="161"/>
      <c r="Y706" s="161"/>
      <c r="Z706" s="161"/>
      <c r="AA706" s="161"/>
      <c r="AB706" s="161"/>
      <c r="AC706" s="171"/>
      <c r="AD706" s="198"/>
    </row>
    <row r="707">
      <c r="A707" s="169"/>
      <c r="B707" s="169"/>
      <c r="C707" s="161"/>
      <c r="D707" s="229"/>
      <c r="E707" s="161"/>
      <c r="F707" s="161"/>
      <c r="G707" s="161"/>
      <c r="H707" s="171"/>
      <c r="I707" s="171"/>
      <c r="J707" s="171"/>
      <c r="K707" s="171"/>
      <c r="L707" s="171"/>
      <c r="M707" s="171"/>
      <c r="N707" s="171"/>
      <c r="O707" s="171"/>
      <c r="P707" s="171"/>
      <c r="Q707" s="171"/>
      <c r="R707" s="171"/>
      <c r="S707" s="171"/>
      <c r="T707" s="171"/>
      <c r="U707" s="171"/>
      <c r="V707" s="171"/>
      <c r="W707" s="171"/>
      <c r="X707" s="161"/>
      <c r="Y707" s="161"/>
      <c r="Z707" s="161"/>
      <c r="AA707" s="161"/>
      <c r="AB707" s="161"/>
      <c r="AC707" s="171"/>
      <c r="AD707" s="198"/>
    </row>
    <row r="708">
      <c r="A708" s="169"/>
      <c r="B708" s="169"/>
      <c r="C708" s="161"/>
      <c r="D708" s="229"/>
      <c r="E708" s="161"/>
      <c r="F708" s="161"/>
      <c r="G708" s="161"/>
      <c r="H708" s="171"/>
      <c r="I708" s="171"/>
      <c r="J708" s="171"/>
      <c r="K708" s="171"/>
      <c r="L708" s="171"/>
      <c r="M708" s="171"/>
      <c r="N708" s="171"/>
      <c r="O708" s="171"/>
      <c r="P708" s="171"/>
      <c r="Q708" s="171"/>
      <c r="R708" s="171"/>
      <c r="S708" s="171"/>
      <c r="T708" s="171"/>
      <c r="U708" s="171"/>
      <c r="V708" s="171"/>
      <c r="W708" s="171"/>
      <c r="X708" s="161"/>
      <c r="Y708" s="161"/>
      <c r="Z708" s="161"/>
      <c r="AA708" s="161"/>
      <c r="AB708" s="161"/>
      <c r="AC708" s="171"/>
      <c r="AD708" s="198"/>
    </row>
    <row r="709">
      <c r="A709" s="169"/>
      <c r="B709" s="169"/>
      <c r="C709" s="161"/>
      <c r="D709" s="229"/>
      <c r="E709" s="161"/>
      <c r="F709" s="161"/>
      <c r="G709" s="161"/>
      <c r="H709" s="171"/>
      <c r="I709" s="171"/>
      <c r="J709" s="171"/>
      <c r="K709" s="171"/>
      <c r="L709" s="171"/>
      <c r="M709" s="171"/>
      <c r="N709" s="171"/>
      <c r="O709" s="171"/>
      <c r="P709" s="171"/>
      <c r="Q709" s="171"/>
      <c r="R709" s="171"/>
      <c r="S709" s="171"/>
      <c r="T709" s="171"/>
      <c r="U709" s="171"/>
      <c r="V709" s="171"/>
      <c r="W709" s="171"/>
      <c r="X709" s="161"/>
      <c r="Y709" s="161"/>
      <c r="Z709" s="161"/>
      <c r="AA709" s="161"/>
      <c r="AB709" s="161"/>
      <c r="AC709" s="171"/>
      <c r="AD709" s="198"/>
    </row>
    <row r="710">
      <c r="A710" s="169"/>
      <c r="B710" s="169"/>
      <c r="C710" s="161"/>
      <c r="D710" s="229"/>
      <c r="E710" s="161"/>
      <c r="F710" s="161"/>
      <c r="G710" s="161"/>
      <c r="H710" s="171"/>
      <c r="I710" s="171"/>
      <c r="J710" s="171"/>
      <c r="K710" s="171"/>
      <c r="L710" s="171"/>
      <c r="M710" s="171"/>
      <c r="N710" s="171"/>
      <c r="O710" s="171"/>
      <c r="P710" s="171"/>
      <c r="Q710" s="171"/>
      <c r="R710" s="171"/>
      <c r="S710" s="171"/>
      <c r="T710" s="171"/>
      <c r="U710" s="171"/>
      <c r="V710" s="171"/>
      <c r="W710" s="171"/>
      <c r="X710" s="161"/>
      <c r="Y710" s="161"/>
      <c r="Z710" s="161"/>
      <c r="AA710" s="161"/>
      <c r="AB710" s="161"/>
      <c r="AC710" s="171"/>
      <c r="AD710" s="198"/>
    </row>
    <row r="711">
      <c r="A711" s="169"/>
      <c r="B711" s="169"/>
      <c r="C711" s="161"/>
      <c r="D711" s="229"/>
      <c r="E711" s="161"/>
      <c r="F711" s="161"/>
      <c r="G711" s="161"/>
      <c r="H711" s="171"/>
      <c r="I711" s="171"/>
      <c r="J711" s="171"/>
      <c r="K711" s="171"/>
      <c r="L711" s="171"/>
      <c r="M711" s="171"/>
      <c r="N711" s="171"/>
      <c r="O711" s="171"/>
      <c r="P711" s="171"/>
      <c r="Q711" s="171"/>
      <c r="R711" s="171"/>
      <c r="S711" s="171"/>
      <c r="T711" s="171"/>
      <c r="U711" s="171"/>
      <c r="V711" s="171"/>
      <c r="W711" s="171"/>
      <c r="X711" s="161"/>
      <c r="Y711" s="161"/>
      <c r="Z711" s="161"/>
      <c r="AA711" s="161"/>
      <c r="AB711" s="161"/>
      <c r="AC711" s="171"/>
      <c r="AD711" s="198"/>
    </row>
    <row r="712">
      <c r="A712" s="169"/>
      <c r="B712" s="169"/>
      <c r="C712" s="161"/>
      <c r="D712" s="229"/>
      <c r="E712" s="161"/>
      <c r="F712" s="161"/>
      <c r="G712" s="161"/>
      <c r="H712" s="171"/>
      <c r="I712" s="171"/>
      <c r="J712" s="171"/>
      <c r="K712" s="171"/>
      <c r="L712" s="171"/>
      <c r="M712" s="171"/>
      <c r="N712" s="171"/>
      <c r="O712" s="171"/>
      <c r="P712" s="171"/>
      <c r="Q712" s="171"/>
      <c r="R712" s="171"/>
      <c r="S712" s="171"/>
      <c r="T712" s="171"/>
      <c r="U712" s="171"/>
      <c r="V712" s="171"/>
      <c r="W712" s="171"/>
      <c r="X712" s="161"/>
      <c r="Y712" s="161"/>
      <c r="Z712" s="161"/>
      <c r="AA712" s="161"/>
      <c r="AB712" s="161"/>
      <c r="AC712" s="171"/>
      <c r="AD712" s="198"/>
    </row>
    <row r="713">
      <c r="A713" s="169"/>
      <c r="B713" s="169"/>
      <c r="C713" s="161"/>
      <c r="D713" s="229"/>
      <c r="E713" s="161"/>
      <c r="F713" s="161"/>
      <c r="G713" s="161"/>
      <c r="H713" s="171"/>
      <c r="I713" s="171"/>
      <c r="J713" s="171"/>
      <c r="K713" s="171"/>
      <c r="L713" s="171"/>
      <c r="M713" s="171"/>
      <c r="N713" s="171"/>
      <c r="O713" s="171"/>
      <c r="P713" s="171"/>
      <c r="Q713" s="171"/>
      <c r="R713" s="171"/>
      <c r="S713" s="171"/>
      <c r="T713" s="171"/>
      <c r="U713" s="171"/>
      <c r="V713" s="171"/>
      <c r="W713" s="171"/>
      <c r="X713" s="161"/>
      <c r="Y713" s="161"/>
      <c r="Z713" s="161"/>
      <c r="AA713" s="161"/>
      <c r="AB713" s="161"/>
      <c r="AC713" s="171"/>
      <c r="AD713" s="198"/>
    </row>
    <row r="714">
      <c r="A714" s="169"/>
      <c r="B714" s="169"/>
      <c r="C714" s="161"/>
      <c r="D714" s="229"/>
      <c r="E714" s="161"/>
      <c r="F714" s="161"/>
      <c r="G714" s="161"/>
      <c r="H714" s="171"/>
      <c r="I714" s="171"/>
      <c r="J714" s="171"/>
      <c r="K714" s="171"/>
      <c r="L714" s="171"/>
      <c r="M714" s="171"/>
      <c r="N714" s="171"/>
      <c r="O714" s="171"/>
      <c r="P714" s="171"/>
      <c r="Q714" s="171"/>
      <c r="R714" s="171"/>
      <c r="S714" s="171"/>
      <c r="T714" s="171"/>
      <c r="U714" s="171"/>
      <c r="V714" s="171"/>
      <c r="W714" s="171"/>
      <c r="X714" s="161"/>
      <c r="Y714" s="161"/>
      <c r="Z714" s="161"/>
      <c r="AA714" s="161"/>
      <c r="AB714" s="161"/>
      <c r="AC714" s="171"/>
      <c r="AD714" s="198"/>
    </row>
    <row r="715">
      <c r="A715" s="169"/>
      <c r="B715" s="169"/>
      <c r="C715" s="161"/>
      <c r="D715" s="229"/>
      <c r="E715" s="161"/>
      <c r="F715" s="161"/>
      <c r="G715" s="161"/>
      <c r="H715" s="171"/>
      <c r="I715" s="171"/>
      <c r="J715" s="171"/>
      <c r="K715" s="171"/>
      <c r="L715" s="171"/>
      <c r="M715" s="171"/>
      <c r="N715" s="171"/>
      <c r="O715" s="171"/>
      <c r="P715" s="171"/>
      <c r="Q715" s="171"/>
      <c r="R715" s="171"/>
      <c r="S715" s="171"/>
      <c r="T715" s="171"/>
      <c r="U715" s="171"/>
      <c r="V715" s="171"/>
      <c r="W715" s="171"/>
      <c r="X715" s="161"/>
      <c r="Y715" s="161"/>
      <c r="Z715" s="161"/>
      <c r="AA715" s="161"/>
      <c r="AB715" s="161"/>
      <c r="AC715" s="171"/>
      <c r="AD715" s="198"/>
    </row>
    <row r="716">
      <c r="A716" s="169"/>
      <c r="B716" s="169"/>
      <c r="C716" s="161"/>
      <c r="D716" s="229"/>
      <c r="E716" s="161"/>
      <c r="F716" s="161"/>
      <c r="G716" s="161"/>
      <c r="H716" s="171"/>
      <c r="I716" s="171"/>
      <c r="J716" s="171"/>
      <c r="K716" s="171"/>
      <c r="L716" s="171"/>
      <c r="M716" s="171"/>
      <c r="N716" s="171"/>
      <c r="O716" s="171"/>
      <c r="P716" s="171"/>
      <c r="Q716" s="171"/>
      <c r="R716" s="171"/>
      <c r="S716" s="171"/>
      <c r="T716" s="171"/>
      <c r="U716" s="171"/>
      <c r="V716" s="171"/>
      <c r="W716" s="171"/>
      <c r="X716" s="161"/>
      <c r="Y716" s="161"/>
      <c r="Z716" s="161"/>
      <c r="AA716" s="161"/>
      <c r="AB716" s="161"/>
      <c r="AC716" s="171"/>
      <c r="AD716" s="198"/>
    </row>
    <row r="717">
      <c r="A717" s="169"/>
      <c r="B717" s="169"/>
      <c r="C717" s="161"/>
      <c r="D717" s="229"/>
      <c r="E717" s="161"/>
      <c r="F717" s="161"/>
      <c r="G717" s="161"/>
      <c r="H717" s="171"/>
      <c r="I717" s="171"/>
      <c r="J717" s="171"/>
      <c r="K717" s="171"/>
      <c r="L717" s="171"/>
      <c r="M717" s="171"/>
      <c r="N717" s="171"/>
      <c r="O717" s="171"/>
      <c r="P717" s="171"/>
      <c r="Q717" s="171"/>
      <c r="R717" s="171"/>
      <c r="S717" s="171"/>
      <c r="T717" s="171"/>
      <c r="U717" s="171"/>
      <c r="V717" s="171"/>
      <c r="W717" s="171"/>
      <c r="X717" s="161"/>
      <c r="Y717" s="161"/>
      <c r="Z717" s="161"/>
      <c r="AA717" s="161"/>
      <c r="AB717" s="161"/>
      <c r="AC717" s="171"/>
      <c r="AD717" s="198"/>
    </row>
    <row r="718">
      <c r="A718" s="169"/>
      <c r="B718" s="169"/>
      <c r="C718" s="161"/>
      <c r="D718" s="229"/>
      <c r="E718" s="161"/>
      <c r="F718" s="161"/>
      <c r="G718" s="161"/>
      <c r="H718" s="171"/>
      <c r="I718" s="171"/>
      <c r="J718" s="171"/>
      <c r="K718" s="171"/>
      <c r="L718" s="171"/>
      <c r="M718" s="171"/>
      <c r="N718" s="171"/>
      <c r="O718" s="171"/>
      <c r="P718" s="171"/>
      <c r="Q718" s="171"/>
      <c r="R718" s="171"/>
      <c r="S718" s="171"/>
      <c r="T718" s="171"/>
      <c r="U718" s="171"/>
      <c r="V718" s="171"/>
      <c r="W718" s="171"/>
      <c r="X718" s="161"/>
      <c r="Y718" s="161"/>
      <c r="Z718" s="161"/>
      <c r="AA718" s="161"/>
      <c r="AB718" s="161"/>
      <c r="AC718" s="171"/>
      <c r="AD718" s="198"/>
    </row>
    <row r="719">
      <c r="A719" s="169"/>
      <c r="B719" s="169"/>
      <c r="C719" s="161"/>
      <c r="D719" s="229"/>
      <c r="E719" s="161"/>
      <c r="F719" s="161"/>
      <c r="G719" s="161"/>
      <c r="H719" s="171"/>
      <c r="I719" s="171"/>
      <c r="J719" s="171"/>
      <c r="K719" s="171"/>
      <c r="L719" s="171"/>
      <c r="M719" s="171"/>
      <c r="N719" s="171"/>
      <c r="O719" s="171"/>
      <c r="P719" s="171"/>
      <c r="Q719" s="171"/>
      <c r="R719" s="171"/>
      <c r="S719" s="171"/>
      <c r="T719" s="171"/>
      <c r="U719" s="171"/>
      <c r="V719" s="171"/>
      <c r="W719" s="171"/>
      <c r="X719" s="161"/>
      <c r="Y719" s="161"/>
      <c r="Z719" s="161"/>
      <c r="AA719" s="161"/>
      <c r="AB719" s="161"/>
      <c r="AC719" s="171"/>
      <c r="AD719" s="198"/>
    </row>
    <row r="720">
      <c r="A720" s="169"/>
      <c r="B720" s="169"/>
      <c r="C720" s="161"/>
      <c r="D720" s="229"/>
      <c r="E720" s="161"/>
      <c r="F720" s="161"/>
      <c r="G720" s="161"/>
      <c r="H720" s="171"/>
      <c r="I720" s="171"/>
      <c r="J720" s="171"/>
      <c r="K720" s="171"/>
      <c r="L720" s="171"/>
      <c r="M720" s="171"/>
      <c r="N720" s="171"/>
      <c r="O720" s="171"/>
      <c r="P720" s="171"/>
      <c r="Q720" s="171"/>
      <c r="R720" s="171"/>
      <c r="S720" s="171"/>
      <c r="T720" s="171"/>
      <c r="U720" s="171"/>
      <c r="V720" s="171"/>
      <c r="W720" s="171"/>
      <c r="X720" s="161"/>
      <c r="Y720" s="161"/>
      <c r="Z720" s="161"/>
      <c r="AA720" s="161"/>
      <c r="AB720" s="161"/>
      <c r="AC720" s="171"/>
      <c r="AD720" s="198"/>
    </row>
    <row r="721">
      <c r="A721" s="169"/>
      <c r="B721" s="169"/>
      <c r="C721" s="161"/>
      <c r="D721" s="229"/>
      <c r="E721" s="161"/>
      <c r="F721" s="161"/>
      <c r="G721" s="161"/>
      <c r="H721" s="171"/>
      <c r="I721" s="171"/>
      <c r="J721" s="171"/>
      <c r="K721" s="171"/>
      <c r="L721" s="171"/>
      <c r="M721" s="171"/>
      <c r="N721" s="171"/>
      <c r="O721" s="171"/>
      <c r="P721" s="171"/>
      <c r="Q721" s="171"/>
      <c r="R721" s="171"/>
      <c r="S721" s="171"/>
      <c r="T721" s="171"/>
      <c r="U721" s="171"/>
      <c r="V721" s="171"/>
      <c r="W721" s="171"/>
      <c r="X721" s="161"/>
      <c r="Y721" s="161"/>
      <c r="Z721" s="161"/>
      <c r="AA721" s="161"/>
      <c r="AB721" s="161"/>
      <c r="AC721" s="171"/>
      <c r="AD721" s="198"/>
    </row>
    <row r="722">
      <c r="A722" s="169"/>
      <c r="B722" s="169"/>
      <c r="C722" s="161"/>
      <c r="D722" s="229"/>
      <c r="E722" s="161"/>
      <c r="F722" s="161"/>
      <c r="G722" s="161"/>
      <c r="H722" s="171"/>
      <c r="I722" s="171"/>
      <c r="J722" s="171"/>
      <c r="K722" s="171"/>
      <c r="L722" s="171"/>
      <c r="M722" s="171"/>
      <c r="N722" s="171"/>
      <c r="O722" s="171"/>
      <c r="P722" s="171"/>
      <c r="Q722" s="171"/>
      <c r="R722" s="171"/>
      <c r="S722" s="171"/>
      <c r="T722" s="171"/>
      <c r="U722" s="171"/>
      <c r="V722" s="171"/>
      <c r="W722" s="171"/>
      <c r="X722" s="161"/>
      <c r="Y722" s="161"/>
      <c r="Z722" s="161"/>
      <c r="AA722" s="161"/>
      <c r="AB722" s="161"/>
      <c r="AC722" s="171"/>
      <c r="AD722" s="198"/>
    </row>
    <row r="723">
      <c r="A723" s="169"/>
      <c r="B723" s="169"/>
      <c r="C723" s="161"/>
      <c r="D723" s="229"/>
      <c r="E723" s="161"/>
      <c r="F723" s="161"/>
      <c r="G723" s="161"/>
      <c r="H723" s="171"/>
      <c r="I723" s="171"/>
      <c r="J723" s="171"/>
      <c r="K723" s="171"/>
      <c r="L723" s="171"/>
      <c r="M723" s="171"/>
      <c r="N723" s="171"/>
      <c r="O723" s="171"/>
      <c r="P723" s="171"/>
      <c r="Q723" s="171"/>
      <c r="R723" s="171"/>
      <c r="S723" s="171"/>
      <c r="T723" s="171"/>
      <c r="U723" s="171"/>
      <c r="V723" s="171"/>
      <c r="W723" s="171"/>
      <c r="X723" s="161"/>
      <c r="Y723" s="161"/>
      <c r="Z723" s="161"/>
      <c r="AA723" s="161"/>
      <c r="AB723" s="161"/>
      <c r="AC723" s="171"/>
      <c r="AD723" s="198"/>
    </row>
    <row r="724">
      <c r="A724" s="169"/>
      <c r="B724" s="169"/>
      <c r="C724" s="161"/>
      <c r="D724" s="229"/>
      <c r="E724" s="161"/>
      <c r="F724" s="161"/>
      <c r="G724" s="161"/>
      <c r="H724" s="171"/>
      <c r="I724" s="171"/>
      <c r="J724" s="171"/>
      <c r="K724" s="171"/>
      <c r="L724" s="171"/>
      <c r="M724" s="171"/>
      <c r="N724" s="171"/>
      <c r="O724" s="171"/>
      <c r="P724" s="171"/>
      <c r="Q724" s="171"/>
      <c r="R724" s="171"/>
      <c r="S724" s="171"/>
      <c r="T724" s="171"/>
      <c r="U724" s="171"/>
      <c r="V724" s="171"/>
      <c r="W724" s="171"/>
      <c r="X724" s="161"/>
      <c r="Y724" s="161"/>
      <c r="Z724" s="161"/>
      <c r="AA724" s="161"/>
      <c r="AB724" s="161"/>
      <c r="AC724" s="171"/>
      <c r="AD724" s="198"/>
    </row>
    <row r="725">
      <c r="A725" s="169"/>
      <c r="B725" s="169"/>
      <c r="C725" s="161"/>
      <c r="D725" s="229"/>
      <c r="E725" s="161"/>
      <c r="F725" s="161"/>
      <c r="G725" s="161"/>
      <c r="H725" s="171"/>
      <c r="I725" s="171"/>
      <c r="J725" s="171"/>
      <c r="K725" s="171"/>
      <c r="L725" s="171"/>
      <c r="M725" s="171"/>
      <c r="N725" s="171"/>
      <c r="O725" s="171"/>
      <c r="P725" s="171"/>
      <c r="Q725" s="171"/>
      <c r="R725" s="171"/>
      <c r="S725" s="171"/>
      <c r="T725" s="171"/>
      <c r="U725" s="171"/>
      <c r="V725" s="171"/>
      <c r="W725" s="171"/>
      <c r="X725" s="161"/>
      <c r="Y725" s="161"/>
      <c r="Z725" s="161"/>
      <c r="AA725" s="161"/>
      <c r="AB725" s="161"/>
      <c r="AC725" s="171"/>
      <c r="AD725" s="198"/>
    </row>
    <row r="726">
      <c r="A726" s="169"/>
      <c r="B726" s="169"/>
      <c r="C726" s="161"/>
      <c r="D726" s="229"/>
      <c r="E726" s="161"/>
      <c r="F726" s="161"/>
      <c r="G726" s="161"/>
      <c r="H726" s="171"/>
      <c r="I726" s="171"/>
      <c r="J726" s="171"/>
      <c r="K726" s="171"/>
      <c r="L726" s="171"/>
      <c r="M726" s="171"/>
      <c r="N726" s="171"/>
      <c r="O726" s="171"/>
      <c r="P726" s="171"/>
      <c r="Q726" s="171"/>
      <c r="R726" s="171"/>
      <c r="S726" s="171"/>
      <c r="T726" s="171"/>
      <c r="U726" s="171"/>
      <c r="V726" s="171"/>
      <c r="W726" s="171"/>
      <c r="X726" s="161"/>
      <c r="Y726" s="161"/>
      <c r="Z726" s="161"/>
      <c r="AA726" s="161"/>
      <c r="AB726" s="161"/>
      <c r="AC726" s="171"/>
      <c r="AD726" s="198"/>
    </row>
    <row r="727">
      <c r="A727" s="169"/>
      <c r="B727" s="169"/>
      <c r="C727" s="161"/>
      <c r="D727" s="229"/>
      <c r="E727" s="161"/>
      <c r="F727" s="161"/>
      <c r="G727" s="161"/>
      <c r="H727" s="171"/>
      <c r="I727" s="171"/>
      <c r="J727" s="171"/>
      <c r="K727" s="171"/>
      <c r="L727" s="171"/>
      <c r="M727" s="171"/>
      <c r="N727" s="171"/>
      <c r="O727" s="171"/>
      <c r="P727" s="171"/>
      <c r="Q727" s="171"/>
      <c r="R727" s="171"/>
      <c r="S727" s="171"/>
      <c r="T727" s="171"/>
      <c r="U727" s="171"/>
      <c r="V727" s="171"/>
      <c r="W727" s="171"/>
      <c r="X727" s="161"/>
      <c r="Y727" s="161"/>
      <c r="Z727" s="161"/>
      <c r="AA727" s="161"/>
      <c r="AB727" s="161"/>
      <c r="AC727" s="171"/>
      <c r="AD727" s="198"/>
    </row>
    <row r="728">
      <c r="A728" s="169"/>
      <c r="B728" s="169"/>
      <c r="C728" s="161"/>
      <c r="D728" s="229"/>
      <c r="E728" s="161"/>
      <c r="F728" s="161"/>
      <c r="G728" s="161"/>
      <c r="H728" s="171"/>
      <c r="I728" s="171"/>
      <c r="J728" s="171"/>
      <c r="K728" s="171"/>
      <c r="L728" s="171"/>
      <c r="M728" s="171"/>
      <c r="N728" s="171"/>
      <c r="O728" s="171"/>
      <c r="P728" s="171"/>
      <c r="Q728" s="171"/>
      <c r="R728" s="171"/>
      <c r="S728" s="171"/>
      <c r="T728" s="171"/>
      <c r="U728" s="171"/>
      <c r="V728" s="171"/>
      <c r="W728" s="171"/>
      <c r="X728" s="161"/>
      <c r="Y728" s="161"/>
      <c r="Z728" s="161"/>
      <c r="AA728" s="161"/>
      <c r="AB728" s="161"/>
      <c r="AC728" s="171"/>
      <c r="AD728" s="198"/>
    </row>
    <row r="729">
      <c r="A729" s="169"/>
      <c r="B729" s="169"/>
      <c r="C729" s="161"/>
      <c r="D729" s="229"/>
      <c r="E729" s="161"/>
      <c r="F729" s="161"/>
      <c r="G729" s="161"/>
      <c r="H729" s="171"/>
      <c r="I729" s="171"/>
      <c r="J729" s="171"/>
      <c r="K729" s="171"/>
      <c r="L729" s="171"/>
      <c r="M729" s="171"/>
      <c r="N729" s="171"/>
      <c r="O729" s="171"/>
      <c r="P729" s="171"/>
      <c r="Q729" s="171"/>
      <c r="R729" s="171"/>
      <c r="S729" s="171"/>
      <c r="T729" s="171"/>
      <c r="U729" s="171"/>
      <c r="V729" s="171"/>
      <c r="W729" s="171"/>
      <c r="X729" s="161"/>
      <c r="Y729" s="161"/>
      <c r="Z729" s="161"/>
      <c r="AA729" s="161"/>
      <c r="AB729" s="161"/>
      <c r="AC729" s="171"/>
      <c r="AD729" s="198"/>
    </row>
    <row r="730">
      <c r="A730" s="169"/>
      <c r="B730" s="169"/>
      <c r="C730" s="161"/>
      <c r="D730" s="229"/>
      <c r="E730" s="161"/>
      <c r="F730" s="161"/>
      <c r="G730" s="161"/>
      <c r="H730" s="171"/>
      <c r="I730" s="171"/>
      <c r="J730" s="171"/>
      <c r="K730" s="171"/>
      <c r="L730" s="171"/>
      <c r="M730" s="171"/>
      <c r="N730" s="171"/>
      <c r="O730" s="171"/>
      <c r="P730" s="171"/>
      <c r="Q730" s="171"/>
      <c r="R730" s="171"/>
      <c r="S730" s="171"/>
      <c r="T730" s="171"/>
      <c r="U730" s="171"/>
      <c r="V730" s="171"/>
      <c r="W730" s="171"/>
      <c r="X730" s="161"/>
      <c r="Y730" s="161"/>
      <c r="Z730" s="161"/>
      <c r="AA730" s="161"/>
      <c r="AB730" s="161"/>
      <c r="AC730" s="171"/>
      <c r="AD730" s="198"/>
    </row>
    <row r="731">
      <c r="A731" s="169"/>
      <c r="B731" s="169"/>
      <c r="C731" s="161"/>
      <c r="D731" s="229"/>
      <c r="E731" s="161"/>
      <c r="F731" s="161"/>
      <c r="G731" s="161"/>
      <c r="H731" s="171"/>
      <c r="I731" s="171"/>
      <c r="J731" s="171"/>
      <c r="K731" s="171"/>
      <c r="L731" s="171"/>
      <c r="M731" s="171"/>
      <c r="N731" s="171"/>
      <c r="O731" s="171"/>
      <c r="P731" s="171"/>
      <c r="Q731" s="171"/>
      <c r="R731" s="171"/>
      <c r="S731" s="171"/>
      <c r="T731" s="171"/>
      <c r="U731" s="171"/>
      <c r="V731" s="171"/>
      <c r="W731" s="171"/>
      <c r="X731" s="161"/>
      <c r="Y731" s="161"/>
      <c r="Z731" s="161"/>
      <c r="AA731" s="161"/>
      <c r="AB731" s="161"/>
      <c r="AC731" s="171"/>
      <c r="AD731" s="198"/>
    </row>
    <row r="732">
      <c r="A732" s="169"/>
      <c r="B732" s="169"/>
      <c r="C732" s="161"/>
      <c r="D732" s="229"/>
      <c r="E732" s="161"/>
      <c r="F732" s="161"/>
      <c r="G732" s="161"/>
      <c r="H732" s="171"/>
      <c r="I732" s="171"/>
      <c r="J732" s="171"/>
      <c r="K732" s="171"/>
      <c r="L732" s="171"/>
      <c r="M732" s="171"/>
      <c r="N732" s="171"/>
      <c r="O732" s="171"/>
      <c r="P732" s="171"/>
      <c r="Q732" s="171"/>
      <c r="R732" s="171"/>
      <c r="S732" s="171"/>
      <c r="T732" s="171"/>
      <c r="U732" s="171"/>
      <c r="V732" s="171"/>
      <c r="W732" s="171"/>
      <c r="X732" s="161"/>
      <c r="Y732" s="161"/>
      <c r="Z732" s="161"/>
      <c r="AA732" s="161"/>
      <c r="AB732" s="161"/>
      <c r="AC732" s="171"/>
      <c r="AD732" s="198"/>
    </row>
    <row r="733">
      <c r="A733" s="169"/>
      <c r="B733" s="169"/>
      <c r="C733" s="161"/>
      <c r="D733" s="229"/>
      <c r="E733" s="161"/>
      <c r="F733" s="161"/>
      <c r="G733" s="161"/>
      <c r="H733" s="171"/>
      <c r="I733" s="171"/>
      <c r="J733" s="171"/>
      <c r="K733" s="171"/>
      <c r="L733" s="171"/>
      <c r="M733" s="171"/>
      <c r="N733" s="171"/>
      <c r="O733" s="171"/>
      <c r="P733" s="171"/>
      <c r="Q733" s="171"/>
      <c r="R733" s="171"/>
      <c r="S733" s="171"/>
      <c r="T733" s="171"/>
      <c r="U733" s="171"/>
      <c r="V733" s="171"/>
      <c r="W733" s="171"/>
      <c r="X733" s="161"/>
      <c r="Y733" s="161"/>
      <c r="Z733" s="161"/>
      <c r="AA733" s="161"/>
      <c r="AB733" s="161"/>
      <c r="AC733" s="171"/>
      <c r="AD733" s="198"/>
    </row>
    <row r="734">
      <c r="A734" s="169"/>
      <c r="B734" s="169"/>
      <c r="C734" s="161"/>
      <c r="D734" s="229"/>
      <c r="E734" s="161"/>
      <c r="F734" s="161"/>
      <c r="G734" s="161"/>
      <c r="H734" s="171"/>
      <c r="I734" s="171"/>
      <c r="J734" s="171"/>
      <c r="K734" s="171"/>
      <c r="L734" s="171"/>
      <c r="M734" s="171"/>
      <c r="N734" s="171"/>
      <c r="O734" s="171"/>
      <c r="P734" s="171"/>
      <c r="Q734" s="171"/>
      <c r="R734" s="171"/>
      <c r="S734" s="171"/>
      <c r="T734" s="171"/>
      <c r="U734" s="171"/>
      <c r="V734" s="171"/>
      <c r="W734" s="171"/>
      <c r="X734" s="161"/>
      <c r="Y734" s="161"/>
      <c r="Z734" s="161"/>
      <c r="AA734" s="161"/>
      <c r="AB734" s="161"/>
      <c r="AC734" s="171"/>
      <c r="AD734" s="198"/>
    </row>
    <row r="735">
      <c r="A735" s="169"/>
      <c r="B735" s="169"/>
      <c r="C735" s="161"/>
      <c r="D735" s="229"/>
      <c r="E735" s="161"/>
      <c r="F735" s="161"/>
      <c r="G735" s="161"/>
      <c r="H735" s="171"/>
      <c r="I735" s="171"/>
      <c r="J735" s="171"/>
      <c r="K735" s="171"/>
      <c r="L735" s="171"/>
      <c r="M735" s="171"/>
      <c r="N735" s="171"/>
      <c r="O735" s="171"/>
      <c r="P735" s="171"/>
      <c r="Q735" s="171"/>
      <c r="R735" s="171"/>
      <c r="S735" s="171"/>
      <c r="T735" s="171"/>
      <c r="U735" s="171"/>
      <c r="V735" s="171"/>
      <c r="W735" s="171"/>
      <c r="X735" s="161"/>
      <c r="Y735" s="161"/>
      <c r="Z735" s="161"/>
      <c r="AA735" s="161"/>
      <c r="AB735" s="161"/>
      <c r="AC735" s="171"/>
      <c r="AD735" s="198"/>
    </row>
    <row r="736">
      <c r="A736" s="169"/>
      <c r="B736" s="169"/>
      <c r="C736" s="161"/>
      <c r="D736" s="229"/>
      <c r="E736" s="161"/>
      <c r="F736" s="161"/>
      <c r="G736" s="161"/>
      <c r="H736" s="171"/>
      <c r="I736" s="171"/>
      <c r="J736" s="171"/>
      <c r="K736" s="171"/>
      <c r="L736" s="171"/>
      <c r="M736" s="171"/>
      <c r="N736" s="171"/>
      <c r="O736" s="171"/>
      <c r="P736" s="171"/>
      <c r="Q736" s="171"/>
      <c r="R736" s="171"/>
      <c r="S736" s="171"/>
      <c r="T736" s="171"/>
      <c r="U736" s="171"/>
      <c r="V736" s="171"/>
      <c r="W736" s="171"/>
      <c r="X736" s="161"/>
      <c r="Y736" s="161"/>
      <c r="Z736" s="161"/>
      <c r="AA736" s="161"/>
      <c r="AB736" s="161"/>
      <c r="AC736" s="171"/>
      <c r="AD736" s="198"/>
    </row>
    <row r="737">
      <c r="A737" s="169"/>
      <c r="B737" s="169"/>
      <c r="C737" s="161"/>
      <c r="D737" s="229"/>
      <c r="E737" s="161"/>
      <c r="F737" s="161"/>
      <c r="G737" s="161"/>
      <c r="H737" s="171"/>
      <c r="I737" s="171"/>
      <c r="J737" s="171"/>
      <c r="K737" s="171"/>
      <c r="L737" s="171"/>
      <c r="M737" s="171"/>
      <c r="N737" s="171"/>
      <c r="O737" s="171"/>
      <c r="P737" s="171"/>
      <c r="Q737" s="171"/>
      <c r="R737" s="171"/>
      <c r="S737" s="171"/>
      <c r="T737" s="171"/>
      <c r="U737" s="171"/>
      <c r="V737" s="171"/>
      <c r="W737" s="171"/>
      <c r="X737" s="161"/>
      <c r="Y737" s="161"/>
      <c r="Z737" s="161"/>
      <c r="AA737" s="161"/>
      <c r="AB737" s="161"/>
      <c r="AC737" s="171"/>
      <c r="AD737" s="198"/>
    </row>
    <row r="738">
      <c r="A738" s="169"/>
      <c r="B738" s="169"/>
      <c r="C738" s="161"/>
      <c r="D738" s="229"/>
      <c r="E738" s="161"/>
      <c r="F738" s="161"/>
      <c r="G738" s="161"/>
      <c r="H738" s="171"/>
      <c r="I738" s="171"/>
      <c r="J738" s="171"/>
      <c r="K738" s="171"/>
      <c r="L738" s="171"/>
      <c r="M738" s="171"/>
      <c r="N738" s="171"/>
      <c r="O738" s="171"/>
      <c r="P738" s="171"/>
      <c r="Q738" s="171"/>
      <c r="R738" s="171"/>
      <c r="S738" s="171"/>
      <c r="T738" s="171"/>
      <c r="U738" s="171"/>
      <c r="V738" s="171"/>
      <c r="W738" s="171"/>
      <c r="X738" s="161"/>
      <c r="Y738" s="161"/>
      <c r="Z738" s="161"/>
      <c r="AA738" s="161"/>
      <c r="AB738" s="161"/>
      <c r="AC738" s="171"/>
      <c r="AD738" s="198"/>
    </row>
    <row r="739">
      <c r="A739" s="169"/>
      <c r="B739" s="169"/>
      <c r="C739" s="161"/>
      <c r="D739" s="229"/>
      <c r="E739" s="161"/>
      <c r="F739" s="161"/>
      <c r="G739" s="161"/>
      <c r="H739" s="171"/>
      <c r="I739" s="171"/>
      <c r="J739" s="171"/>
      <c r="K739" s="171"/>
      <c r="L739" s="171"/>
      <c r="M739" s="171"/>
      <c r="N739" s="171"/>
      <c r="O739" s="171"/>
      <c r="P739" s="171"/>
      <c r="Q739" s="171"/>
      <c r="R739" s="171"/>
      <c r="S739" s="171"/>
      <c r="T739" s="171"/>
      <c r="U739" s="171"/>
      <c r="V739" s="171"/>
      <c r="W739" s="171"/>
      <c r="X739" s="161"/>
      <c r="Y739" s="161"/>
      <c r="Z739" s="161"/>
      <c r="AA739" s="161"/>
      <c r="AB739" s="161"/>
      <c r="AC739" s="171"/>
      <c r="AD739" s="198"/>
    </row>
    <row r="740">
      <c r="A740" s="169"/>
      <c r="B740" s="169"/>
      <c r="C740" s="161"/>
      <c r="D740" s="229"/>
      <c r="E740" s="161"/>
      <c r="F740" s="161"/>
      <c r="G740" s="161"/>
      <c r="H740" s="171"/>
      <c r="I740" s="171"/>
      <c r="J740" s="171"/>
      <c r="K740" s="171"/>
      <c r="L740" s="171"/>
      <c r="M740" s="171"/>
      <c r="N740" s="171"/>
      <c r="O740" s="171"/>
      <c r="P740" s="171"/>
      <c r="Q740" s="171"/>
      <c r="R740" s="171"/>
      <c r="S740" s="171"/>
      <c r="T740" s="171"/>
      <c r="U740" s="171"/>
      <c r="V740" s="171"/>
      <c r="W740" s="171"/>
      <c r="X740" s="161"/>
      <c r="Y740" s="161"/>
      <c r="Z740" s="161"/>
      <c r="AA740" s="161"/>
      <c r="AB740" s="161"/>
      <c r="AC740" s="171"/>
      <c r="AD740" s="198"/>
    </row>
    <row r="741">
      <c r="A741" s="169"/>
      <c r="B741" s="169"/>
      <c r="C741" s="161"/>
      <c r="D741" s="229"/>
      <c r="E741" s="161"/>
      <c r="F741" s="161"/>
      <c r="G741" s="161"/>
      <c r="H741" s="171"/>
      <c r="I741" s="171"/>
      <c r="J741" s="171"/>
      <c r="K741" s="171"/>
      <c r="L741" s="171"/>
      <c r="M741" s="171"/>
      <c r="N741" s="171"/>
      <c r="O741" s="171"/>
      <c r="P741" s="171"/>
      <c r="Q741" s="171"/>
      <c r="R741" s="171"/>
      <c r="S741" s="171"/>
      <c r="T741" s="171"/>
      <c r="U741" s="171"/>
      <c r="V741" s="171"/>
      <c r="W741" s="171"/>
      <c r="X741" s="161"/>
      <c r="Y741" s="161"/>
      <c r="Z741" s="161"/>
      <c r="AA741" s="161"/>
      <c r="AB741" s="161"/>
      <c r="AC741" s="171"/>
      <c r="AD741" s="198"/>
    </row>
    <row r="742">
      <c r="A742" s="169"/>
      <c r="B742" s="169"/>
      <c r="C742" s="161"/>
      <c r="D742" s="229"/>
      <c r="E742" s="161"/>
      <c r="F742" s="161"/>
      <c r="G742" s="161"/>
      <c r="H742" s="171"/>
      <c r="I742" s="171"/>
      <c r="J742" s="171"/>
      <c r="K742" s="171"/>
      <c r="L742" s="171"/>
      <c r="M742" s="171"/>
      <c r="N742" s="171"/>
      <c r="O742" s="171"/>
      <c r="P742" s="171"/>
      <c r="Q742" s="171"/>
      <c r="R742" s="171"/>
      <c r="S742" s="171"/>
      <c r="T742" s="171"/>
      <c r="U742" s="171"/>
      <c r="V742" s="171"/>
      <c r="W742" s="171"/>
      <c r="X742" s="161"/>
      <c r="Y742" s="161"/>
      <c r="Z742" s="161"/>
      <c r="AA742" s="161"/>
      <c r="AB742" s="161"/>
      <c r="AC742" s="171"/>
      <c r="AD742" s="198"/>
    </row>
    <row r="743">
      <c r="A743" s="169"/>
      <c r="B743" s="169"/>
      <c r="C743" s="161"/>
      <c r="D743" s="229"/>
      <c r="E743" s="161"/>
      <c r="F743" s="161"/>
      <c r="G743" s="161"/>
      <c r="H743" s="171"/>
      <c r="I743" s="171"/>
      <c r="J743" s="171"/>
      <c r="K743" s="171"/>
      <c r="L743" s="171"/>
      <c r="M743" s="171"/>
      <c r="N743" s="171"/>
      <c r="O743" s="171"/>
      <c r="P743" s="171"/>
      <c r="Q743" s="171"/>
      <c r="R743" s="171"/>
      <c r="S743" s="171"/>
      <c r="T743" s="171"/>
      <c r="U743" s="171"/>
      <c r="V743" s="171"/>
      <c r="W743" s="171"/>
      <c r="X743" s="161"/>
      <c r="Y743" s="161"/>
      <c r="Z743" s="161"/>
      <c r="AA743" s="161"/>
      <c r="AB743" s="161"/>
      <c r="AC743" s="171"/>
      <c r="AD743" s="198"/>
    </row>
    <row r="744">
      <c r="A744" s="169"/>
      <c r="B744" s="169"/>
      <c r="C744" s="161"/>
      <c r="D744" s="229"/>
      <c r="E744" s="161"/>
      <c r="F744" s="161"/>
      <c r="G744" s="161"/>
      <c r="H744" s="171"/>
      <c r="I744" s="171"/>
      <c r="J744" s="171"/>
      <c r="K744" s="171"/>
      <c r="L744" s="171"/>
      <c r="M744" s="171"/>
      <c r="N744" s="171"/>
      <c r="O744" s="171"/>
      <c r="P744" s="171"/>
      <c r="Q744" s="171"/>
      <c r="R744" s="171"/>
      <c r="S744" s="171"/>
      <c r="T744" s="171"/>
      <c r="U744" s="171"/>
      <c r="V744" s="171"/>
      <c r="W744" s="171"/>
      <c r="X744" s="161"/>
      <c r="Y744" s="161"/>
      <c r="Z744" s="161"/>
      <c r="AA744" s="161"/>
      <c r="AB744" s="161"/>
      <c r="AC744" s="171"/>
      <c r="AD744" s="198"/>
    </row>
    <row r="745">
      <c r="A745" s="169"/>
      <c r="B745" s="169"/>
      <c r="C745" s="161"/>
      <c r="D745" s="229"/>
      <c r="E745" s="161"/>
      <c r="F745" s="161"/>
      <c r="G745" s="161"/>
      <c r="H745" s="171"/>
      <c r="I745" s="171"/>
      <c r="J745" s="171"/>
      <c r="K745" s="171"/>
      <c r="L745" s="171"/>
      <c r="M745" s="171"/>
      <c r="N745" s="171"/>
      <c r="O745" s="171"/>
      <c r="P745" s="171"/>
      <c r="Q745" s="171"/>
      <c r="R745" s="171"/>
      <c r="S745" s="171"/>
      <c r="T745" s="171"/>
      <c r="U745" s="171"/>
      <c r="V745" s="171"/>
      <c r="W745" s="171"/>
      <c r="X745" s="161"/>
      <c r="Y745" s="161"/>
      <c r="Z745" s="161"/>
      <c r="AA745" s="161"/>
      <c r="AB745" s="161"/>
      <c r="AC745" s="171"/>
      <c r="AD745" s="198"/>
    </row>
    <row r="746">
      <c r="A746" s="169"/>
      <c r="B746" s="169"/>
      <c r="C746" s="161"/>
      <c r="D746" s="229"/>
      <c r="E746" s="161"/>
      <c r="F746" s="161"/>
      <c r="G746" s="161"/>
      <c r="H746" s="171"/>
      <c r="I746" s="171"/>
      <c r="J746" s="171"/>
      <c r="K746" s="171"/>
      <c r="L746" s="171"/>
      <c r="M746" s="171"/>
      <c r="N746" s="171"/>
      <c r="O746" s="171"/>
      <c r="P746" s="171"/>
      <c r="Q746" s="171"/>
      <c r="R746" s="171"/>
      <c r="S746" s="171"/>
      <c r="T746" s="171"/>
      <c r="U746" s="171"/>
      <c r="V746" s="171"/>
      <c r="W746" s="171"/>
      <c r="X746" s="161"/>
      <c r="Y746" s="161"/>
      <c r="Z746" s="161"/>
      <c r="AA746" s="161"/>
      <c r="AB746" s="161"/>
      <c r="AC746" s="171"/>
      <c r="AD746" s="198"/>
    </row>
    <row r="747">
      <c r="A747" s="169"/>
      <c r="B747" s="169"/>
      <c r="C747" s="161"/>
      <c r="D747" s="229"/>
      <c r="E747" s="161"/>
      <c r="F747" s="161"/>
      <c r="G747" s="161"/>
      <c r="H747" s="171"/>
      <c r="I747" s="171"/>
      <c r="J747" s="171"/>
      <c r="K747" s="171"/>
      <c r="L747" s="171"/>
      <c r="M747" s="171"/>
      <c r="N747" s="171"/>
      <c r="O747" s="171"/>
      <c r="P747" s="171"/>
      <c r="Q747" s="171"/>
      <c r="R747" s="171"/>
      <c r="S747" s="171"/>
      <c r="T747" s="171"/>
      <c r="U747" s="171"/>
      <c r="V747" s="171"/>
      <c r="W747" s="171"/>
      <c r="X747" s="161"/>
      <c r="Y747" s="161"/>
      <c r="Z747" s="161"/>
      <c r="AA747" s="161"/>
      <c r="AB747" s="161"/>
      <c r="AC747" s="171"/>
      <c r="AD747" s="198"/>
    </row>
    <row r="748">
      <c r="A748" s="169"/>
      <c r="B748" s="169"/>
      <c r="C748" s="161"/>
      <c r="D748" s="229"/>
      <c r="E748" s="161"/>
      <c r="F748" s="161"/>
      <c r="G748" s="161"/>
      <c r="H748" s="171"/>
      <c r="I748" s="171"/>
      <c r="J748" s="171"/>
      <c r="K748" s="171"/>
      <c r="L748" s="171"/>
      <c r="M748" s="171"/>
      <c r="N748" s="171"/>
      <c r="O748" s="171"/>
      <c r="P748" s="171"/>
      <c r="Q748" s="171"/>
      <c r="R748" s="171"/>
      <c r="S748" s="171"/>
      <c r="T748" s="171"/>
      <c r="U748" s="171"/>
      <c r="V748" s="171"/>
      <c r="W748" s="171"/>
      <c r="X748" s="161"/>
      <c r="Y748" s="161"/>
      <c r="Z748" s="161"/>
      <c r="AA748" s="161"/>
      <c r="AB748" s="161"/>
      <c r="AC748" s="171"/>
      <c r="AD748" s="198"/>
    </row>
    <row r="749">
      <c r="A749" s="169"/>
      <c r="B749" s="169"/>
      <c r="C749" s="161"/>
      <c r="D749" s="229"/>
      <c r="E749" s="161"/>
      <c r="F749" s="161"/>
      <c r="G749" s="161"/>
      <c r="H749" s="171"/>
      <c r="I749" s="171"/>
      <c r="J749" s="171"/>
      <c r="K749" s="171"/>
      <c r="L749" s="171"/>
      <c r="M749" s="171"/>
      <c r="N749" s="171"/>
      <c r="O749" s="171"/>
      <c r="P749" s="171"/>
      <c r="Q749" s="171"/>
      <c r="R749" s="171"/>
      <c r="S749" s="171"/>
      <c r="T749" s="171"/>
      <c r="U749" s="171"/>
      <c r="V749" s="171"/>
      <c r="W749" s="171"/>
      <c r="X749" s="161"/>
      <c r="Y749" s="161"/>
      <c r="Z749" s="161"/>
      <c r="AA749" s="161"/>
      <c r="AB749" s="161"/>
      <c r="AC749" s="171"/>
      <c r="AD749" s="198"/>
    </row>
    <row r="750">
      <c r="A750" s="169"/>
      <c r="B750" s="169"/>
      <c r="C750" s="161"/>
      <c r="D750" s="229"/>
      <c r="E750" s="161"/>
      <c r="F750" s="161"/>
      <c r="G750" s="161"/>
      <c r="H750" s="171"/>
      <c r="I750" s="171"/>
      <c r="J750" s="171"/>
      <c r="K750" s="171"/>
      <c r="L750" s="171"/>
      <c r="M750" s="171"/>
      <c r="N750" s="171"/>
      <c r="O750" s="171"/>
      <c r="P750" s="171"/>
      <c r="Q750" s="171"/>
      <c r="R750" s="171"/>
      <c r="S750" s="171"/>
      <c r="T750" s="171"/>
      <c r="U750" s="171"/>
      <c r="V750" s="171"/>
      <c r="W750" s="171"/>
      <c r="X750" s="161"/>
      <c r="Y750" s="161"/>
      <c r="Z750" s="161"/>
      <c r="AA750" s="161"/>
      <c r="AB750" s="161"/>
      <c r="AC750" s="171"/>
      <c r="AD750" s="198"/>
    </row>
    <row r="751">
      <c r="A751" s="169"/>
      <c r="B751" s="169"/>
      <c r="C751" s="161"/>
      <c r="D751" s="229"/>
      <c r="E751" s="161"/>
      <c r="F751" s="161"/>
      <c r="G751" s="161"/>
      <c r="H751" s="171"/>
      <c r="I751" s="171"/>
      <c r="J751" s="171"/>
      <c r="K751" s="171"/>
      <c r="L751" s="171"/>
      <c r="M751" s="171"/>
      <c r="N751" s="171"/>
      <c r="O751" s="171"/>
      <c r="P751" s="171"/>
      <c r="Q751" s="171"/>
      <c r="R751" s="171"/>
      <c r="S751" s="171"/>
      <c r="T751" s="171"/>
      <c r="U751" s="171"/>
      <c r="V751" s="171"/>
      <c r="W751" s="171"/>
      <c r="X751" s="161"/>
      <c r="Y751" s="161"/>
      <c r="Z751" s="161"/>
      <c r="AA751" s="161"/>
      <c r="AB751" s="161"/>
      <c r="AC751" s="171"/>
      <c r="AD751" s="198"/>
    </row>
    <row r="752">
      <c r="A752" s="169"/>
      <c r="B752" s="169"/>
      <c r="C752" s="161"/>
      <c r="D752" s="229"/>
      <c r="E752" s="161"/>
      <c r="F752" s="161"/>
      <c r="G752" s="161"/>
      <c r="H752" s="171"/>
      <c r="I752" s="171"/>
      <c r="J752" s="171"/>
      <c r="K752" s="171"/>
      <c r="L752" s="171"/>
      <c r="M752" s="171"/>
      <c r="N752" s="171"/>
      <c r="O752" s="171"/>
      <c r="P752" s="171"/>
      <c r="Q752" s="171"/>
      <c r="R752" s="171"/>
      <c r="S752" s="171"/>
      <c r="T752" s="171"/>
      <c r="U752" s="171"/>
      <c r="V752" s="171"/>
      <c r="W752" s="171"/>
      <c r="X752" s="161"/>
      <c r="Y752" s="161"/>
      <c r="Z752" s="161"/>
      <c r="AA752" s="161"/>
      <c r="AB752" s="161"/>
      <c r="AC752" s="171"/>
      <c r="AD752" s="198"/>
    </row>
    <row r="753">
      <c r="A753" s="169"/>
      <c r="B753" s="169"/>
      <c r="C753" s="161"/>
      <c r="D753" s="229"/>
      <c r="E753" s="161"/>
      <c r="F753" s="161"/>
      <c r="G753" s="161"/>
      <c r="H753" s="171"/>
      <c r="I753" s="171"/>
      <c r="J753" s="171"/>
      <c r="K753" s="171"/>
      <c r="L753" s="171"/>
      <c r="M753" s="171"/>
      <c r="N753" s="171"/>
      <c r="O753" s="171"/>
      <c r="P753" s="171"/>
      <c r="Q753" s="171"/>
      <c r="R753" s="171"/>
      <c r="S753" s="171"/>
      <c r="T753" s="171"/>
      <c r="U753" s="171"/>
      <c r="V753" s="171"/>
      <c r="W753" s="171"/>
      <c r="X753" s="161"/>
      <c r="Y753" s="161"/>
      <c r="Z753" s="161"/>
      <c r="AA753" s="161"/>
      <c r="AB753" s="161"/>
      <c r="AC753" s="171"/>
      <c r="AD753" s="198"/>
    </row>
    <row r="754">
      <c r="A754" s="169"/>
      <c r="B754" s="169"/>
      <c r="C754" s="161"/>
      <c r="D754" s="229"/>
      <c r="E754" s="161"/>
      <c r="F754" s="161"/>
      <c r="G754" s="161"/>
      <c r="H754" s="171"/>
      <c r="I754" s="171"/>
      <c r="J754" s="171"/>
      <c r="K754" s="171"/>
      <c r="L754" s="171"/>
      <c r="M754" s="171"/>
      <c r="N754" s="171"/>
      <c r="O754" s="171"/>
      <c r="P754" s="171"/>
      <c r="Q754" s="171"/>
      <c r="R754" s="171"/>
      <c r="S754" s="171"/>
      <c r="T754" s="171"/>
      <c r="U754" s="171"/>
      <c r="V754" s="171"/>
      <c r="W754" s="171"/>
      <c r="X754" s="161"/>
      <c r="Y754" s="161"/>
      <c r="Z754" s="161"/>
      <c r="AA754" s="161"/>
      <c r="AB754" s="161"/>
      <c r="AC754" s="171"/>
      <c r="AD754" s="198"/>
    </row>
    <row r="755">
      <c r="A755" s="169"/>
      <c r="B755" s="169"/>
      <c r="C755" s="161"/>
      <c r="D755" s="229"/>
      <c r="E755" s="161"/>
      <c r="F755" s="161"/>
      <c r="G755" s="161"/>
      <c r="H755" s="171"/>
      <c r="I755" s="171"/>
      <c r="J755" s="171"/>
      <c r="K755" s="171"/>
      <c r="L755" s="171"/>
      <c r="M755" s="171"/>
      <c r="N755" s="171"/>
      <c r="O755" s="171"/>
      <c r="P755" s="171"/>
      <c r="Q755" s="171"/>
      <c r="R755" s="171"/>
      <c r="S755" s="171"/>
      <c r="T755" s="171"/>
      <c r="U755" s="171"/>
      <c r="V755" s="171"/>
      <c r="W755" s="171"/>
      <c r="X755" s="161"/>
      <c r="Y755" s="161"/>
      <c r="Z755" s="161"/>
      <c r="AA755" s="161"/>
      <c r="AB755" s="161"/>
      <c r="AC755" s="171"/>
      <c r="AD755" s="198"/>
    </row>
    <row r="756">
      <c r="A756" s="169"/>
      <c r="B756" s="169"/>
      <c r="C756" s="161"/>
      <c r="D756" s="229"/>
      <c r="E756" s="161"/>
      <c r="F756" s="161"/>
      <c r="G756" s="161"/>
      <c r="H756" s="171"/>
      <c r="I756" s="171"/>
      <c r="J756" s="171"/>
      <c r="K756" s="171"/>
      <c r="L756" s="171"/>
      <c r="M756" s="171"/>
      <c r="N756" s="171"/>
      <c r="O756" s="171"/>
      <c r="P756" s="171"/>
      <c r="Q756" s="171"/>
      <c r="R756" s="171"/>
      <c r="S756" s="171"/>
      <c r="T756" s="171"/>
      <c r="U756" s="171"/>
      <c r="V756" s="171"/>
      <c r="W756" s="171"/>
      <c r="X756" s="161"/>
      <c r="Y756" s="161"/>
      <c r="Z756" s="161"/>
      <c r="AA756" s="161"/>
      <c r="AB756" s="161"/>
      <c r="AC756" s="171"/>
      <c r="AD756" s="198"/>
    </row>
    <row r="757">
      <c r="A757" s="169"/>
      <c r="B757" s="169"/>
      <c r="C757" s="161"/>
      <c r="D757" s="229"/>
      <c r="E757" s="161"/>
      <c r="F757" s="161"/>
      <c r="G757" s="161"/>
      <c r="H757" s="171"/>
      <c r="I757" s="171"/>
      <c r="J757" s="171"/>
      <c r="K757" s="171"/>
      <c r="L757" s="171"/>
      <c r="M757" s="171"/>
      <c r="N757" s="171"/>
      <c r="O757" s="171"/>
      <c r="P757" s="171"/>
      <c r="Q757" s="171"/>
      <c r="R757" s="171"/>
      <c r="S757" s="171"/>
      <c r="T757" s="171"/>
      <c r="U757" s="171"/>
      <c r="V757" s="171"/>
      <c r="W757" s="171"/>
      <c r="X757" s="161"/>
      <c r="Y757" s="161"/>
      <c r="Z757" s="161"/>
      <c r="AA757" s="161"/>
      <c r="AB757" s="161"/>
      <c r="AC757" s="171"/>
      <c r="AD757" s="198"/>
    </row>
    <row r="758">
      <c r="A758" s="169"/>
      <c r="B758" s="169"/>
      <c r="C758" s="161"/>
      <c r="D758" s="229"/>
      <c r="E758" s="161"/>
      <c r="F758" s="161"/>
      <c r="G758" s="161"/>
      <c r="H758" s="171"/>
      <c r="I758" s="171"/>
      <c r="J758" s="171"/>
      <c r="K758" s="171"/>
      <c r="L758" s="171"/>
      <c r="M758" s="171"/>
      <c r="N758" s="171"/>
      <c r="O758" s="171"/>
      <c r="P758" s="171"/>
      <c r="Q758" s="171"/>
      <c r="R758" s="171"/>
      <c r="S758" s="171"/>
      <c r="T758" s="171"/>
      <c r="U758" s="171"/>
      <c r="V758" s="171"/>
      <c r="W758" s="171"/>
      <c r="X758" s="161"/>
      <c r="Y758" s="161"/>
      <c r="Z758" s="161"/>
      <c r="AA758" s="161"/>
      <c r="AB758" s="161"/>
      <c r="AC758" s="171"/>
      <c r="AD758" s="198"/>
    </row>
    <row r="759">
      <c r="A759" s="169"/>
      <c r="B759" s="169"/>
      <c r="C759" s="161"/>
      <c r="D759" s="229"/>
      <c r="E759" s="161"/>
      <c r="F759" s="161"/>
      <c r="G759" s="161"/>
      <c r="H759" s="171"/>
      <c r="I759" s="171"/>
      <c r="J759" s="171"/>
      <c r="K759" s="171"/>
      <c r="L759" s="171"/>
      <c r="M759" s="171"/>
      <c r="N759" s="171"/>
      <c r="O759" s="171"/>
      <c r="P759" s="171"/>
      <c r="Q759" s="171"/>
      <c r="R759" s="171"/>
      <c r="S759" s="171"/>
      <c r="T759" s="171"/>
      <c r="U759" s="171"/>
      <c r="V759" s="171"/>
      <c r="W759" s="171"/>
      <c r="X759" s="161"/>
      <c r="Y759" s="161"/>
      <c r="Z759" s="161"/>
      <c r="AA759" s="161"/>
      <c r="AB759" s="161"/>
      <c r="AC759" s="171"/>
      <c r="AD759" s="198"/>
    </row>
    <row r="760">
      <c r="A760" s="169"/>
      <c r="B760" s="169"/>
      <c r="C760" s="161"/>
      <c r="D760" s="229"/>
      <c r="E760" s="161"/>
      <c r="F760" s="161"/>
      <c r="G760" s="161"/>
      <c r="H760" s="171"/>
      <c r="I760" s="171"/>
      <c r="J760" s="171"/>
      <c r="K760" s="171"/>
      <c r="L760" s="171"/>
      <c r="M760" s="171"/>
      <c r="N760" s="171"/>
      <c r="O760" s="171"/>
      <c r="P760" s="171"/>
      <c r="Q760" s="171"/>
      <c r="R760" s="171"/>
      <c r="S760" s="171"/>
      <c r="T760" s="171"/>
      <c r="U760" s="171"/>
      <c r="V760" s="171"/>
      <c r="W760" s="171"/>
      <c r="X760" s="161"/>
      <c r="Y760" s="161"/>
      <c r="Z760" s="161"/>
      <c r="AA760" s="161"/>
      <c r="AB760" s="161"/>
      <c r="AC760" s="171"/>
      <c r="AD760" s="198"/>
    </row>
    <row r="761">
      <c r="A761" s="169"/>
      <c r="B761" s="169"/>
      <c r="C761" s="161"/>
      <c r="D761" s="229"/>
      <c r="E761" s="161"/>
      <c r="F761" s="161"/>
      <c r="G761" s="161"/>
      <c r="H761" s="171"/>
      <c r="I761" s="171"/>
      <c r="J761" s="171"/>
      <c r="K761" s="171"/>
      <c r="L761" s="171"/>
      <c r="M761" s="171"/>
      <c r="N761" s="171"/>
      <c r="O761" s="171"/>
      <c r="P761" s="171"/>
      <c r="Q761" s="171"/>
      <c r="R761" s="171"/>
      <c r="S761" s="171"/>
      <c r="T761" s="171"/>
      <c r="U761" s="171"/>
      <c r="V761" s="171"/>
      <c r="W761" s="171"/>
      <c r="X761" s="161"/>
      <c r="Y761" s="161"/>
      <c r="Z761" s="161"/>
      <c r="AA761" s="161"/>
      <c r="AB761" s="161"/>
      <c r="AC761" s="171"/>
      <c r="AD761" s="198"/>
    </row>
    <row r="762">
      <c r="A762" s="169"/>
      <c r="B762" s="169"/>
      <c r="C762" s="161"/>
      <c r="D762" s="229"/>
      <c r="E762" s="161"/>
      <c r="F762" s="161"/>
      <c r="G762" s="161"/>
      <c r="H762" s="171"/>
      <c r="I762" s="171"/>
      <c r="J762" s="171"/>
      <c r="K762" s="171"/>
      <c r="L762" s="171"/>
      <c r="M762" s="171"/>
      <c r="N762" s="171"/>
      <c r="O762" s="171"/>
      <c r="P762" s="171"/>
      <c r="Q762" s="171"/>
      <c r="R762" s="171"/>
      <c r="S762" s="171"/>
      <c r="T762" s="171"/>
      <c r="U762" s="171"/>
      <c r="V762" s="171"/>
      <c r="W762" s="171"/>
      <c r="X762" s="161"/>
      <c r="Y762" s="161"/>
      <c r="Z762" s="161"/>
      <c r="AA762" s="161"/>
      <c r="AB762" s="161"/>
      <c r="AC762" s="171"/>
      <c r="AD762" s="198"/>
    </row>
    <row r="763">
      <c r="A763" s="169"/>
      <c r="B763" s="169"/>
      <c r="C763" s="161"/>
      <c r="D763" s="229"/>
      <c r="E763" s="161"/>
      <c r="F763" s="161"/>
      <c r="G763" s="161"/>
      <c r="H763" s="171"/>
      <c r="I763" s="171"/>
      <c r="J763" s="171"/>
      <c r="K763" s="171"/>
      <c r="L763" s="171"/>
      <c r="M763" s="171"/>
      <c r="N763" s="171"/>
      <c r="O763" s="171"/>
      <c r="P763" s="171"/>
      <c r="Q763" s="171"/>
      <c r="R763" s="171"/>
      <c r="S763" s="171"/>
      <c r="T763" s="171"/>
      <c r="U763" s="171"/>
      <c r="V763" s="171"/>
      <c r="W763" s="171"/>
      <c r="X763" s="161"/>
      <c r="Y763" s="161"/>
      <c r="Z763" s="161"/>
      <c r="AA763" s="161"/>
      <c r="AB763" s="161"/>
      <c r="AC763" s="171"/>
      <c r="AD763" s="198"/>
    </row>
    <row r="764">
      <c r="A764" s="169"/>
      <c r="B764" s="169"/>
      <c r="C764" s="161"/>
      <c r="D764" s="229"/>
      <c r="E764" s="161"/>
      <c r="F764" s="161"/>
      <c r="G764" s="161"/>
      <c r="H764" s="171"/>
      <c r="I764" s="171"/>
      <c r="J764" s="171"/>
      <c r="K764" s="171"/>
      <c r="L764" s="171"/>
      <c r="M764" s="171"/>
      <c r="N764" s="171"/>
      <c r="O764" s="171"/>
      <c r="P764" s="171"/>
      <c r="Q764" s="171"/>
      <c r="R764" s="171"/>
      <c r="S764" s="171"/>
      <c r="T764" s="171"/>
      <c r="U764" s="171"/>
      <c r="V764" s="171"/>
      <c r="W764" s="171"/>
      <c r="X764" s="161"/>
      <c r="Y764" s="161"/>
      <c r="Z764" s="161"/>
      <c r="AA764" s="161"/>
      <c r="AB764" s="161"/>
      <c r="AC764" s="171"/>
      <c r="AD764" s="198"/>
    </row>
    <row r="765">
      <c r="A765" s="169"/>
      <c r="B765" s="169"/>
      <c r="C765" s="161"/>
      <c r="D765" s="229"/>
      <c r="E765" s="161"/>
      <c r="F765" s="161"/>
      <c r="G765" s="161"/>
      <c r="H765" s="171"/>
      <c r="I765" s="171"/>
      <c r="J765" s="171"/>
      <c r="K765" s="171"/>
      <c r="L765" s="171"/>
      <c r="M765" s="171"/>
      <c r="N765" s="171"/>
      <c r="O765" s="171"/>
      <c r="P765" s="171"/>
      <c r="Q765" s="171"/>
      <c r="R765" s="171"/>
      <c r="S765" s="171"/>
      <c r="T765" s="171"/>
      <c r="U765" s="171"/>
      <c r="V765" s="171"/>
      <c r="W765" s="171"/>
      <c r="X765" s="161"/>
      <c r="Y765" s="161"/>
      <c r="Z765" s="161"/>
      <c r="AA765" s="161"/>
      <c r="AB765" s="161"/>
      <c r="AC765" s="171"/>
      <c r="AD765" s="198"/>
    </row>
    <row r="766">
      <c r="A766" s="169"/>
      <c r="B766" s="169"/>
      <c r="C766" s="161"/>
      <c r="D766" s="229"/>
      <c r="E766" s="161"/>
      <c r="F766" s="161"/>
      <c r="G766" s="161"/>
      <c r="H766" s="171"/>
      <c r="I766" s="171"/>
      <c r="J766" s="171"/>
      <c r="K766" s="171"/>
      <c r="L766" s="171"/>
      <c r="M766" s="171"/>
      <c r="N766" s="171"/>
      <c r="O766" s="171"/>
      <c r="P766" s="171"/>
      <c r="Q766" s="171"/>
      <c r="R766" s="171"/>
      <c r="S766" s="171"/>
      <c r="T766" s="171"/>
      <c r="U766" s="171"/>
      <c r="V766" s="171"/>
      <c r="W766" s="171"/>
      <c r="X766" s="161"/>
      <c r="Y766" s="161"/>
      <c r="Z766" s="161"/>
      <c r="AA766" s="161"/>
      <c r="AB766" s="161"/>
      <c r="AC766" s="171"/>
      <c r="AD766" s="198"/>
    </row>
    <row r="767">
      <c r="A767" s="169"/>
      <c r="B767" s="169"/>
      <c r="C767" s="161"/>
      <c r="D767" s="229"/>
      <c r="E767" s="161"/>
      <c r="F767" s="161"/>
      <c r="G767" s="161"/>
      <c r="H767" s="171"/>
      <c r="I767" s="171"/>
      <c r="J767" s="171"/>
      <c r="K767" s="171"/>
      <c r="L767" s="171"/>
      <c r="M767" s="171"/>
      <c r="N767" s="171"/>
      <c r="O767" s="171"/>
      <c r="P767" s="171"/>
      <c r="Q767" s="171"/>
      <c r="R767" s="171"/>
      <c r="S767" s="171"/>
      <c r="T767" s="171"/>
      <c r="U767" s="171"/>
      <c r="V767" s="171"/>
      <c r="W767" s="171"/>
      <c r="X767" s="161"/>
      <c r="Y767" s="161"/>
      <c r="Z767" s="161"/>
      <c r="AA767" s="161"/>
      <c r="AB767" s="161"/>
      <c r="AC767" s="171"/>
      <c r="AD767" s="198"/>
    </row>
    <row r="768">
      <c r="A768" s="169"/>
      <c r="B768" s="169"/>
      <c r="C768" s="161"/>
      <c r="D768" s="229"/>
      <c r="E768" s="161"/>
      <c r="F768" s="161"/>
      <c r="G768" s="161"/>
      <c r="H768" s="171"/>
      <c r="I768" s="171"/>
      <c r="J768" s="171"/>
      <c r="K768" s="171"/>
      <c r="L768" s="171"/>
      <c r="M768" s="171"/>
      <c r="N768" s="171"/>
      <c r="O768" s="171"/>
      <c r="P768" s="171"/>
      <c r="Q768" s="171"/>
      <c r="R768" s="171"/>
      <c r="S768" s="171"/>
      <c r="T768" s="171"/>
      <c r="U768" s="171"/>
      <c r="V768" s="171"/>
      <c r="W768" s="171"/>
      <c r="X768" s="161"/>
      <c r="Y768" s="161"/>
      <c r="Z768" s="161"/>
      <c r="AA768" s="161"/>
      <c r="AB768" s="161"/>
      <c r="AC768" s="171"/>
      <c r="AD768" s="198"/>
    </row>
    <row r="769">
      <c r="A769" s="169"/>
      <c r="B769" s="169"/>
      <c r="C769" s="161"/>
      <c r="D769" s="229"/>
      <c r="E769" s="161"/>
      <c r="F769" s="161"/>
      <c r="G769" s="161"/>
      <c r="H769" s="171"/>
      <c r="I769" s="171"/>
      <c r="J769" s="171"/>
      <c r="K769" s="171"/>
      <c r="L769" s="171"/>
      <c r="M769" s="171"/>
      <c r="N769" s="171"/>
      <c r="O769" s="171"/>
      <c r="P769" s="171"/>
      <c r="Q769" s="171"/>
      <c r="R769" s="171"/>
      <c r="S769" s="171"/>
      <c r="T769" s="171"/>
      <c r="U769" s="171"/>
      <c r="V769" s="171"/>
      <c r="W769" s="171"/>
      <c r="X769" s="161"/>
      <c r="Y769" s="161"/>
      <c r="Z769" s="161"/>
      <c r="AA769" s="161"/>
      <c r="AB769" s="161"/>
      <c r="AC769" s="171"/>
      <c r="AD769" s="198"/>
    </row>
    <row r="770">
      <c r="A770" s="169"/>
      <c r="B770" s="169"/>
      <c r="C770" s="161"/>
      <c r="D770" s="229"/>
      <c r="E770" s="161"/>
      <c r="F770" s="161"/>
      <c r="G770" s="161"/>
      <c r="H770" s="171"/>
      <c r="I770" s="171"/>
      <c r="J770" s="171"/>
      <c r="K770" s="171"/>
      <c r="L770" s="171"/>
      <c r="M770" s="171"/>
      <c r="N770" s="171"/>
      <c r="O770" s="171"/>
      <c r="P770" s="171"/>
      <c r="Q770" s="171"/>
      <c r="R770" s="171"/>
      <c r="S770" s="171"/>
      <c r="T770" s="171"/>
      <c r="U770" s="171"/>
      <c r="V770" s="171"/>
      <c r="W770" s="171"/>
      <c r="X770" s="161"/>
      <c r="Y770" s="161"/>
      <c r="Z770" s="161"/>
      <c r="AA770" s="161"/>
      <c r="AB770" s="161"/>
      <c r="AC770" s="171"/>
      <c r="AD770" s="198"/>
    </row>
    <row r="771">
      <c r="A771" s="169"/>
      <c r="B771" s="169"/>
      <c r="C771" s="161"/>
      <c r="D771" s="229"/>
      <c r="E771" s="161"/>
      <c r="F771" s="161"/>
      <c r="G771" s="161"/>
      <c r="H771" s="171"/>
      <c r="I771" s="171"/>
      <c r="J771" s="171"/>
      <c r="K771" s="171"/>
      <c r="L771" s="171"/>
      <c r="M771" s="171"/>
      <c r="N771" s="171"/>
      <c r="O771" s="171"/>
      <c r="P771" s="171"/>
      <c r="Q771" s="171"/>
      <c r="R771" s="171"/>
      <c r="S771" s="171"/>
      <c r="T771" s="171"/>
      <c r="U771" s="171"/>
      <c r="V771" s="171"/>
      <c r="W771" s="171"/>
      <c r="X771" s="161"/>
      <c r="Y771" s="161"/>
      <c r="Z771" s="161"/>
      <c r="AA771" s="161"/>
      <c r="AB771" s="161"/>
      <c r="AC771" s="171"/>
      <c r="AD771" s="198"/>
    </row>
    <row r="772">
      <c r="A772" s="169"/>
      <c r="B772" s="169"/>
      <c r="C772" s="161"/>
      <c r="D772" s="229"/>
      <c r="E772" s="161"/>
      <c r="F772" s="161"/>
      <c r="G772" s="161"/>
      <c r="H772" s="171"/>
      <c r="I772" s="171"/>
      <c r="J772" s="171"/>
      <c r="K772" s="171"/>
      <c r="L772" s="171"/>
      <c r="M772" s="171"/>
      <c r="N772" s="171"/>
      <c r="O772" s="171"/>
      <c r="P772" s="171"/>
      <c r="Q772" s="171"/>
      <c r="R772" s="171"/>
      <c r="S772" s="171"/>
      <c r="T772" s="171"/>
      <c r="U772" s="171"/>
      <c r="V772" s="171"/>
      <c r="W772" s="171"/>
      <c r="X772" s="161"/>
      <c r="Y772" s="161"/>
      <c r="Z772" s="161"/>
      <c r="AA772" s="161"/>
      <c r="AB772" s="161"/>
      <c r="AC772" s="171"/>
      <c r="AD772" s="198"/>
    </row>
    <row r="773">
      <c r="A773" s="169"/>
      <c r="B773" s="169"/>
      <c r="C773" s="161"/>
      <c r="D773" s="229"/>
      <c r="E773" s="161"/>
      <c r="F773" s="161"/>
      <c r="G773" s="161"/>
      <c r="H773" s="171"/>
      <c r="I773" s="171"/>
      <c r="J773" s="171"/>
      <c r="K773" s="171"/>
      <c r="L773" s="171"/>
      <c r="M773" s="171"/>
      <c r="N773" s="171"/>
      <c r="O773" s="171"/>
      <c r="P773" s="171"/>
      <c r="Q773" s="171"/>
      <c r="R773" s="171"/>
      <c r="S773" s="171"/>
      <c r="T773" s="171"/>
      <c r="U773" s="171"/>
      <c r="V773" s="171"/>
      <c r="W773" s="171"/>
      <c r="X773" s="161"/>
      <c r="Y773" s="161"/>
      <c r="Z773" s="161"/>
      <c r="AA773" s="161"/>
      <c r="AB773" s="161"/>
      <c r="AC773" s="171"/>
      <c r="AD773" s="198"/>
    </row>
    <row r="774">
      <c r="A774" s="169"/>
      <c r="B774" s="169"/>
      <c r="C774" s="161"/>
      <c r="D774" s="229"/>
      <c r="E774" s="161"/>
      <c r="F774" s="161"/>
      <c r="G774" s="161"/>
      <c r="H774" s="171"/>
      <c r="I774" s="171"/>
      <c r="J774" s="171"/>
      <c r="K774" s="171"/>
      <c r="L774" s="171"/>
      <c r="M774" s="171"/>
      <c r="N774" s="171"/>
      <c r="O774" s="171"/>
      <c r="P774" s="171"/>
      <c r="Q774" s="171"/>
      <c r="R774" s="171"/>
      <c r="S774" s="171"/>
      <c r="T774" s="171"/>
      <c r="U774" s="171"/>
      <c r="V774" s="171"/>
      <c r="W774" s="171"/>
      <c r="X774" s="161"/>
      <c r="Y774" s="161"/>
      <c r="Z774" s="161"/>
      <c r="AA774" s="161"/>
      <c r="AB774" s="161"/>
      <c r="AC774" s="171"/>
      <c r="AD774" s="198"/>
    </row>
    <row r="775">
      <c r="A775" s="169"/>
      <c r="B775" s="169"/>
      <c r="C775" s="161"/>
      <c r="D775" s="229"/>
      <c r="E775" s="161"/>
      <c r="F775" s="161"/>
      <c r="G775" s="161"/>
      <c r="H775" s="171"/>
      <c r="I775" s="171"/>
      <c r="J775" s="171"/>
      <c r="K775" s="171"/>
      <c r="L775" s="171"/>
      <c r="M775" s="171"/>
      <c r="N775" s="171"/>
      <c r="O775" s="171"/>
      <c r="P775" s="171"/>
      <c r="Q775" s="171"/>
      <c r="R775" s="171"/>
      <c r="S775" s="171"/>
      <c r="T775" s="171"/>
      <c r="U775" s="171"/>
      <c r="V775" s="171"/>
      <c r="W775" s="171"/>
      <c r="X775" s="161"/>
      <c r="Y775" s="161"/>
      <c r="Z775" s="161"/>
      <c r="AA775" s="161"/>
      <c r="AB775" s="161"/>
      <c r="AC775" s="171"/>
      <c r="AD775" s="198"/>
    </row>
    <row r="776">
      <c r="A776" s="169"/>
      <c r="B776" s="169"/>
      <c r="C776" s="161"/>
      <c r="D776" s="229"/>
      <c r="E776" s="161"/>
      <c r="F776" s="161"/>
      <c r="G776" s="161"/>
      <c r="H776" s="171"/>
      <c r="I776" s="171"/>
      <c r="J776" s="171"/>
      <c r="K776" s="171"/>
      <c r="L776" s="171"/>
      <c r="M776" s="171"/>
      <c r="N776" s="171"/>
      <c r="O776" s="171"/>
      <c r="P776" s="171"/>
      <c r="Q776" s="171"/>
      <c r="R776" s="171"/>
      <c r="S776" s="171"/>
      <c r="T776" s="171"/>
      <c r="U776" s="171"/>
      <c r="V776" s="171"/>
      <c r="W776" s="171"/>
      <c r="X776" s="161"/>
      <c r="Y776" s="161"/>
      <c r="Z776" s="161"/>
      <c r="AA776" s="161"/>
      <c r="AB776" s="161"/>
      <c r="AC776" s="171"/>
      <c r="AD776" s="198"/>
    </row>
    <row r="777">
      <c r="A777" s="169"/>
      <c r="B777" s="169"/>
      <c r="C777" s="161"/>
      <c r="D777" s="229"/>
      <c r="E777" s="161"/>
      <c r="F777" s="161"/>
      <c r="G777" s="161"/>
      <c r="H777" s="171"/>
      <c r="I777" s="171"/>
      <c r="J777" s="171"/>
      <c r="K777" s="171"/>
      <c r="L777" s="171"/>
      <c r="M777" s="171"/>
      <c r="N777" s="171"/>
      <c r="O777" s="171"/>
      <c r="P777" s="171"/>
      <c r="Q777" s="171"/>
      <c r="R777" s="171"/>
      <c r="S777" s="171"/>
      <c r="T777" s="171"/>
      <c r="U777" s="171"/>
      <c r="V777" s="171"/>
      <c r="W777" s="171"/>
      <c r="X777" s="161"/>
      <c r="Y777" s="161"/>
      <c r="Z777" s="161"/>
      <c r="AA777" s="161"/>
      <c r="AB777" s="161"/>
      <c r="AC777" s="171"/>
      <c r="AD777" s="198"/>
    </row>
    <row r="778">
      <c r="A778" s="169"/>
      <c r="B778" s="169"/>
      <c r="C778" s="161"/>
      <c r="D778" s="229"/>
      <c r="E778" s="161"/>
      <c r="F778" s="161"/>
      <c r="G778" s="161"/>
      <c r="H778" s="171"/>
      <c r="I778" s="171"/>
      <c r="J778" s="171"/>
      <c r="K778" s="171"/>
      <c r="L778" s="171"/>
      <c r="M778" s="171"/>
      <c r="N778" s="171"/>
      <c r="O778" s="171"/>
      <c r="P778" s="171"/>
      <c r="Q778" s="171"/>
      <c r="R778" s="171"/>
      <c r="S778" s="171"/>
      <c r="T778" s="171"/>
      <c r="U778" s="171"/>
      <c r="V778" s="171"/>
      <c r="W778" s="171"/>
      <c r="X778" s="161"/>
      <c r="Y778" s="161"/>
      <c r="Z778" s="161"/>
      <c r="AA778" s="161"/>
      <c r="AB778" s="161"/>
      <c r="AC778" s="171"/>
      <c r="AD778" s="198"/>
    </row>
    <row r="779">
      <c r="A779" s="169"/>
      <c r="B779" s="169"/>
      <c r="C779" s="161"/>
      <c r="D779" s="229"/>
      <c r="E779" s="161"/>
      <c r="F779" s="161"/>
      <c r="G779" s="161"/>
      <c r="H779" s="171"/>
      <c r="I779" s="171"/>
      <c r="J779" s="171"/>
      <c r="K779" s="171"/>
      <c r="L779" s="171"/>
      <c r="M779" s="171"/>
      <c r="N779" s="171"/>
      <c r="O779" s="171"/>
      <c r="P779" s="171"/>
      <c r="Q779" s="171"/>
      <c r="R779" s="171"/>
      <c r="S779" s="171"/>
      <c r="T779" s="171"/>
      <c r="U779" s="171"/>
      <c r="V779" s="171"/>
      <c r="W779" s="171"/>
      <c r="X779" s="161"/>
      <c r="Y779" s="161"/>
      <c r="Z779" s="161"/>
      <c r="AA779" s="161"/>
      <c r="AB779" s="161"/>
      <c r="AC779" s="171"/>
      <c r="AD779" s="198"/>
    </row>
    <row r="780">
      <c r="A780" s="169"/>
      <c r="B780" s="169"/>
      <c r="C780" s="161"/>
      <c r="D780" s="229"/>
      <c r="E780" s="161"/>
      <c r="F780" s="161"/>
      <c r="G780" s="161"/>
      <c r="H780" s="171"/>
      <c r="I780" s="171"/>
      <c r="J780" s="171"/>
      <c r="K780" s="171"/>
      <c r="L780" s="171"/>
      <c r="M780" s="171"/>
      <c r="N780" s="171"/>
      <c r="O780" s="171"/>
      <c r="P780" s="171"/>
      <c r="Q780" s="171"/>
      <c r="R780" s="171"/>
      <c r="S780" s="171"/>
      <c r="T780" s="171"/>
      <c r="U780" s="171"/>
      <c r="V780" s="171"/>
      <c r="W780" s="171"/>
      <c r="X780" s="161"/>
      <c r="Y780" s="161"/>
      <c r="Z780" s="161"/>
      <c r="AA780" s="161"/>
      <c r="AB780" s="161"/>
      <c r="AC780" s="171"/>
      <c r="AD780" s="198"/>
    </row>
    <row r="781">
      <c r="A781" s="169"/>
      <c r="B781" s="169"/>
      <c r="C781" s="161"/>
      <c r="D781" s="229"/>
      <c r="E781" s="161"/>
      <c r="F781" s="161"/>
      <c r="G781" s="161"/>
      <c r="H781" s="171"/>
      <c r="I781" s="171"/>
      <c r="J781" s="171"/>
      <c r="K781" s="171"/>
      <c r="L781" s="171"/>
      <c r="M781" s="171"/>
      <c r="N781" s="171"/>
      <c r="O781" s="171"/>
      <c r="P781" s="171"/>
      <c r="Q781" s="171"/>
      <c r="R781" s="171"/>
      <c r="S781" s="171"/>
      <c r="T781" s="171"/>
      <c r="U781" s="171"/>
      <c r="V781" s="171"/>
      <c r="W781" s="171"/>
      <c r="X781" s="161"/>
      <c r="Y781" s="161"/>
      <c r="Z781" s="161"/>
      <c r="AA781" s="161"/>
      <c r="AB781" s="161"/>
      <c r="AC781" s="171"/>
      <c r="AD781" s="198"/>
    </row>
    <row r="782">
      <c r="A782" s="169"/>
      <c r="B782" s="169"/>
      <c r="C782" s="161"/>
      <c r="D782" s="229"/>
      <c r="E782" s="161"/>
      <c r="F782" s="161"/>
      <c r="G782" s="161"/>
      <c r="H782" s="171"/>
      <c r="I782" s="171"/>
      <c r="J782" s="171"/>
      <c r="K782" s="171"/>
      <c r="L782" s="171"/>
      <c r="M782" s="171"/>
      <c r="N782" s="171"/>
      <c r="O782" s="171"/>
      <c r="P782" s="171"/>
      <c r="Q782" s="171"/>
      <c r="R782" s="171"/>
      <c r="S782" s="171"/>
      <c r="T782" s="171"/>
      <c r="U782" s="171"/>
      <c r="V782" s="171"/>
      <c r="W782" s="171"/>
      <c r="X782" s="161"/>
      <c r="Y782" s="161"/>
      <c r="Z782" s="161"/>
      <c r="AA782" s="161"/>
      <c r="AB782" s="161"/>
      <c r="AC782" s="171"/>
      <c r="AD782" s="198"/>
    </row>
    <row r="783">
      <c r="A783" s="169"/>
      <c r="B783" s="169"/>
      <c r="C783" s="161"/>
      <c r="D783" s="229"/>
      <c r="E783" s="161"/>
      <c r="F783" s="161"/>
      <c r="G783" s="161"/>
      <c r="H783" s="171"/>
      <c r="I783" s="171"/>
      <c r="J783" s="171"/>
      <c r="K783" s="171"/>
      <c r="L783" s="171"/>
      <c r="M783" s="171"/>
      <c r="N783" s="171"/>
      <c r="O783" s="171"/>
      <c r="P783" s="171"/>
      <c r="Q783" s="171"/>
      <c r="R783" s="171"/>
      <c r="S783" s="171"/>
      <c r="T783" s="171"/>
      <c r="U783" s="171"/>
      <c r="V783" s="171"/>
      <c r="W783" s="171"/>
      <c r="X783" s="161"/>
      <c r="Y783" s="161"/>
      <c r="Z783" s="161"/>
      <c r="AA783" s="161"/>
      <c r="AB783" s="161"/>
      <c r="AC783" s="171"/>
      <c r="AD783" s="198"/>
    </row>
    <row r="784">
      <c r="A784" s="169"/>
      <c r="B784" s="169"/>
      <c r="C784" s="161"/>
      <c r="D784" s="229"/>
      <c r="E784" s="161"/>
      <c r="F784" s="161"/>
      <c r="G784" s="161"/>
      <c r="H784" s="171"/>
      <c r="I784" s="171"/>
      <c r="J784" s="171"/>
      <c r="K784" s="171"/>
      <c r="L784" s="171"/>
      <c r="M784" s="171"/>
      <c r="N784" s="171"/>
      <c r="O784" s="171"/>
      <c r="P784" s="171"/>
      <c r="Q784" s="171"/>
      <c r="R784" s="171"/>
      <c r="S784" s="171"/>
      <c r="T784" s="171"/>
      <c r="U784" s="171"/>
      <c r="V784" s="171"/>
      <c r="W784" s="171"/>
      <c r="X784" s="161"/>
      <c r="Y784" s="161"/>
      <c r="Z784" s="161"/>
      <c r="AA784" s="161"/>
      <c r="AB784" s="161"/>
      <c r="AC784" s="171"/>
      <c r="AD784" s="198"/>
    </row>
    <row r="785">
      <c r="A785" s="169"/>
      <c r="B785" s="169"/>
      <c r="C785" s="161"/>
      <c r="D785" s="229"/>
      <c r="E785" s="161"/>
      <c r="F785" s="161"/>
      <c r="G785" s="161"/>
      <c r="H785" s="171"/>
      <c r="I785" s="171"/>
      <c r="J785" s="171"/>
      <c r="K785" s="171"/>
      <c r="L785" s="171"/>
      <c r="M785" s="171"/>
      <c r="N785" s="171"/>
      <c r="O785" s="171"/>
      <c r="P785" s="171"/>
      <c r="Q785" s="171"/>
      <c r="R785" s="171"/>
      <c r="S785" s="171"/>
      <c r="T785" s="171"/>
      <c r="U785" s="171"/>
      <c r="V785" s="171"/>
      <c r="W785" s="171"/>
      <c r="X785" s="161"/>
      <c r="Y785" s="161"/>
      <c r="Z785" s="161"/>
      <c r="AA785" s="161"/>
      <c r="AB785" s="161"/>
      <c r="AC785" s="171"/>
      <c r="AD785" s="198"/>
    </row>
    <row r="786">
      <c r="A786" s="169"/>
      <c r="B786" s="169"/>
      <c r="C786" s="161"/>
      <c r="D786" s="229"/>
      <c r="E786" s="161"/>
      <c r="F786" s="161"/>
      <c r="G786" s="161"/>
      <c r="H786" s="171"/>
      <c r="I786" s="171"/>
      <c r="J786" s="171"/>
      <c r="K786" s="171"/>
      <c r="L786" s="171"/>
      <c r="M786" s="171"/>
      <c r="N786" s="171"/>
      <c r="O786" s="171"/>
      <c r="P786" s="171"/>
      <c r="Q786" s="171"/>
      <c r="R786" s="171"/>
      <c r="S786" s="171"/>
      <c r="T786" s="171"/>
      <c r="U786" s="171"/>
      <c r="V786" s="171"/>
      <c r="W786" s="171"/>
      <c r="X786" s="161"/>
      <c r="Y786" s="161"/>
      <c r="Z786" s="161"/>
      <c r="AA786" s="161"/>
      <c r="AB786" s="161"/>
      <c r="AC786" s="171"/>
      <c r="AD786" s="198"/>
    </row>
    <row r="787">
      <c r="A787" s="169"/>
      <c r="B787" s="169"/>
      <c r="C787" s="161"/>
      <c r="D787" s="229"/>
      <c r="E787" s="161"/>
      <c r="F787" s="161"/>
      <c r="G787" s="161"/>
      <c r="H787" s="171"/>
      <c r="I787" s="171"/>
      <c r="J787" s="171"/>
      <c r="K787" s="171"/>
      <c r="L787" s="171"/>
      <c r="M787" s="171"/>
      <c r="N787" s="171"/>
      <c r="O787" s="171"/>
      <c r="P787" s="171"/>
      <c r="Q787" s="171"/>
      <c r="R787" s="171"/>
      <c r="S787" s="171"/>
      <c r="T787" s="171"/>
      <c r="U787" s="171"/>
      <c r="V787" s="171"/>
      <c r="W787" s="171"/>
      <c r="X787" s="161"/>
      <c r="Y787" s="161"/>
      <c r="Z787" s="161"/>
      <c r="AA787" s="161"/>
      <c r="AB787" s="161"/>
      <c r="AC787" s="171"/>
      <c r="AD787" s="198"/>
    </row>
    <row r="788">
      <c r="A788" s="169"/>
      <c r="B788" s="169"/>
      <c r="C788" s="161"/>
      <c r="D788" s="229"/>
      <c r="E788" s="161"/>
      <c r="F788" s="161"/>
      <c r="G788" s="161"/>
      <c r="H788" s="171"/>
      <c r="I788" s="171"/>
      <c r="J788" s="171"/>
      <c r="K788" s="171"/>
      <c r="L788" s="171"/>
      <c r="M788" s="171"/>
      <c r="N788" s="171"/>
      <c r="O788" s="171"/>
      <c r="P788" s="171"/>
      <c r="Q788" s="171"/>
      <c r="R788" s="171"/>
      <c r="S788" s="171"/>
      <c r="T788" s="171"/>
      <c r="U788" s="171"/>
      <c r="V788" s="171"/>
      <c r="W788" s="171"/>
      <c r="X788" s="161"/>
      <c r="Y788" s="161"/>
      <c r="Z788" s="161"/>
      <c r="AA788" s="161"/>
      <c r="AB788" s="161"/>
      <c r="AC788" s="171"/>
      <c r="AD788" s="198"/>
    </row>
    <row r="789">
      <c r="A789" s="169"/>
      <c r="B789" s="169"/>
      <c r="C789" s="161"/>
      <c r="D789" s="229"/>
      <c r="E789" s="161"/>
      <c r="F789" s="161"/>
      <c r="G789" s="161"/>
      <c r="H789" s="171"/>
      <c r="I789" s="171"/>
      <c r="J789" s="171"/>
      <c r="K789" s="171"/>
      <c r="L789" s="171"/>
      <c r="M789" s="171"/>
      <c r="N789" s="171"/>
      <c r="O789" s="171"/>
      <c r="P789" s="171"/>
      <c r="Q789" s="171"/>
      <c r="R789" s="171"/>
      <c r="S789" s="171"/>
      <c r="T789" s="171"/>
      <c r="U789" s="171"/>
      <c r="V789" s="171"/>
      <c r="W789" s="171"/>
      <c r="X789" s="161"/>
      <c r="Y789" s="161"/>
      <c r="Z789" s="161"/>
      <c r="AA789" s="161"/>
      <c r="AB789" s="161"/>
      <c r="AC789" s="171"/>
      <c r="AD789" s="198"/>
    </row>
    <row r="790">
      <c r="A790" s="169"/>
      <c r="B790" s="169"/>
      <c r="C790" s="161"/>
      <c r="D790" s="229"/>
      <c r="E790" s="161"/>
      <c r="F790" s="161"/>
      <c r="G790" s="161"/>
      <c r="H790" s="171"/>
      <c r="I790" s="171"/>
      <c r="J790" s="171"/>
      <c r="K790" s="171"/>
      <c r="L790" s="171"/>
      <c r="M790" s="171"/>
      <c r="N790" s="171"/>
      <c r="O790" s="171"/>
      <c r="P790" s="171"/>
      <c r="Q790" s="171"/>
      <c r="R790" s="171"/>
      <c r="S790" s="171"/>
      <c r="T790" s="171"/>
      <c r="U790" s="171"/>
      <c r="V790" s="171"/>
      <c r="W790" s="171"/>
      <c r="X790" s="161"/>
      <c r="Y790" s="161"/>
      <c r="Z790" s="161"/>
      <c r="AA790" s="161"/>
      <c r="AB790" s="161"/>
      <c r="AC790" s="171"/>
      <c r="AD790" s="198"/>
    </row>
    <row r="791">
      <c r="A791" s="169"/>
      <c r="B791" s="169"/>
      <c r="C791" s="161"/>
      <c r="D791" s="229"/>
      <c r="E791" s="161"/>
      <c r="F791" s="161"/>
      <c r="G791" s="161"/>
      <c r="H791" s="171"/>
      <c r="I791" s="171"/>
      <c r="J791" s="171"/>
      <c r="K791" s="171"/>
      <c r="L791" s="171"/>
      <c r="M791" s="171"/>
      <c r="N791" s="171"/>
      <c r="O791" s="171"/>
      <c r="P791" s="171"/>
      <c r="Q791" s="171"/>
      <c r="R791" s="171"/>
      <c r="S791" s="171"/>
      <c r="T791" s="171"/>
      <c r="U791" s="171"/>
      <c r="V791" s="171"/>
      <c r="W791" s="171"/>
      <c r="X791" s="161"/>
      <c r="Y791" s="161"/>
      <c r="Z791" s="161"/>
      <c r="AA791" s="161"/>
      <c r="AB791" s="161"/>
      <c r="AC791" s="171"/>
      <c r="AD791" s="198"/>
    </row>
    <row r="792">
      <c r="A792" s="169"/>
      <c r="B792" s="169"/>
      <c r="C792" s="161"/>
      <c r="D792" s="229"/>
      <c r="E792" s="161"/>
      <c r="F792" s="161"/>
      <c r="G792" s="161"/>
      <c r="H792" s="171"/>
      <c r="I792" s="171"/>
      <c r="J792" s="171"/>
      <c r="K792" s="171"/>
      <c r="L792" s="171"/>
      <c r="M792" s="171"/>
      <c r="N792" s="171"/>
      <c r="O792" s="171"/>
      <c r="P792" s="171"/>
      <c r="Q792" s="171"/>
      <c r="R792" s="171"/>
      <c r="S792" s="171"/>
      <c r="T792" s="171"/>
      <c r="U792" s="171"/>
      <c r="V792" s="171"/>
      <c r="W792" s="171"/>
      <c r="X792" s="161"/>
      <c r="Y792" s="161"/>
      <c r="Z792" s="161"/>
      <c r="AA792" s="161"/>
      <c r="AB792" s="161"/>
      <c r="AC792" s="171"/>
      <c r="AD792" s="198"/>
    </row>
    <row r="793">
      <c r="A793" s="169"/>
      <c r="B793" s="169"/>
      <c r="C793" s="161"/>
      <c r="D793" s="229"/>
      <c r="E793" s="161"/>
      <c r="F793" s="161"/>
      <c r="G793" s="161"/>
      <c r="H793" s="171"/>
      <c r="I793" s="171"/>
      <c r="J793" s="171"/>
      <c r="K793" s="171"/>
      <c r="L793" s="171"/>
      <c r="M793" s="171"/>
      <c r="N793" s="171"/>
      <c r="O793" s="171"/>
      <c r="P793" s="171"/>
      <c r="Q793" s="171"/>
      <c r="R793" s="171"/>
      <c r="S793" s="171"/>
      <c r="T793" s="171"/>
      <c r="U793" s="171"/>
      <c r="V793" s="171"/>
      <c r="W793" s="171"/>
      <c r="X793" s="161"/>
      <c r="Y793" s="161"/>
      <c r="Z793" s="161"/>
      <c r="AA793" s="161"/>
      <c r="AB793" s="161"/>
      <c r="AC793" s="171"/>
      <c r="AD793" s="198"/>
    </row>
    <row r="794">
      <c r="A794" s="169"/>
      <c r="B794" s="169"/>
      <c r="C794" s="161"/>
      <c r="D794" s="229"/>
      <c r="E794" s="161"/>
      <c r="F794" s="161"/>
      <c r="G794" s="161"/>
      <c r="H794" s="171"/>
      <c r="I794" s="171"/>
      <c r="J794" s="171"/>
      <c r="K794" s="171"/>
      <c r="L794" s="171"/>
      <c r="M794" s="171"/>
      <c r="N794" s="171"/>
      <c r="O794" s="171"/>
      <c r="P794" s="171"/>
      <c r="Q794" s="171"/>
      <c r="R794" s="171"/>
      <c r="S794" s="171"/>
      <c r="T794" s="171"/>
      <c r="U794" s="171"/>
      <c r="V794" s="171"/>
      <c r="W794" s="171"/>
      <c r="X794" s="161"/>
      <c r="Y794" s="161"/>
      <c r="Z794" s="161"/>
      <c r="AA794" s="161"/>
      <c r="AB794" s="161"/>
      <c r="AC794" s="171"/>
      <c r="AD794" s="198"/>
    </row>
    <row r="795">
      <c r="A795" s="169"/>
      <c r="B795" s="169"/>
      <c r="C795" s="161"/>
      <c r="D795" s="229"/>
      <c r="E795" s="161"/>
      <c r="F795" s="161"/>
      <c r="G795" s="161"/>
      <c r="H795" s="171"/>
      <c r="I795" s="171"/>
      <c r="J795" s="171"/>
      <c r="K795" s="171"/>
      <c r="L795" s="171"/>
      <c r="M795" s="171"/>
      <c r="N795" s="171"/>
      <c r="O795" s="171"/>
      <c r="P795" s="171"/>
      <c r="Q795" s="171"/>
      <c r="R795" s="171"/>
      <c r="S795" s="171"/>
      <c r="T795" s="171"/>
      <c r="U795" s="171"/>
      <c r="V795" s="171"/>
      <c r="W795" s="171"/>
      <c r="X795" s="161"/>
      <c r="Y795" s="161"/>
      <c r="Z795" s="161"/>
      <c r="AA795" s="161"/>
      <c r="AB795" s="161"/>
      <c r="AC795" s="171"/>
      <c r="AD795" s="198"/>
    </row>
    <row r="796">
      <c r="A796" s="169"/>
      <c r="B796" s="169"/>
      <c r="C796" s="161"/>
      <c r="D796" s="229"/>
      <c r="E796" s="161"/>
      <c r="F796" s="161"/>
      <c r="G796" s="161"/>
      <c r="H796" s="171"/>
      <c r="I796" s="171"/>
      <c r="J796" s="171"/>
      <c r="K796" s="171"/>
      <c r="L796" s="171"/>
      <c r="M796" s="171"/>
      <c r="N796" s="171"/>
      <c r="O796" s="171"/>
      <c r="P796" s="171"/>
      <c r="Q796" s="171"/>
      <c r="R796" s="171"/>
      <c r="S796" s="171"/>
      <c r="T796" s="171"/>
      <c r="U796" s="171"/>
      <c r="V796" s="171"/>
      <c r="W796" s="171"/>
      <c r="X796" s="161"/>
      <c r="Y796" s="161"/>
      <c r="Z796" s="161"/>
      <c r="AA796" s="161"/>
      <c r="AB796" s="161"/>
      <c r="AC796" s="171"/>
      <c r="AD796" s="198"/>
    </row>
    <row r="797">
      <c r="A797" s="169"/>
      <c r="B797" s="169"/>
      <c r="C797" s="161"/>
      <c r="D797" s="229"/>
      <c r="E797" s="161"/>
      <c r="F797" s="161"/>
      <c r="G797" s="161"/>
      <c r="H797" s="171"/>
      <c r="I797" s="171"/>
      <c r="J797" s="171"/>
      <c r="K797" s="171"/>
      <c r="L797" s="171"/>
      <c r="M797" s="171"/>
      <c r="N797" s="171"/>
      <c r="O797" s="171"/>
      <c r="P797" s="171"/>
      <c r="Q797" s="171"/>
      <c r="R797" s="171"/>
      <c r="S797" s="171"/>
      <c r="T797" s="171"/>
      <c r="U797" s="171"/>
      <c r="V797" s="171"/>
      <c r="W797" s="171"/>
      <c r="X797" s="161"/>
      <c r="Y797" s="161"/>
      <c r="Z797" s="161"/>
      <c r="AA797" s="161"/>
      <c r="AB797" s="161"/>
      <c r="AC797" s="171"/>
      <c r="AD797" s="198"/>
    </row>
    <row r="798">
      <c r="A798" s="169"/>
      <c r="B798" s="169"/>
      <c r="C798" s="161"/>
      <c r="D798" s="229"/>
      <c r="E798" s="161"/>
      <c r="F798" s="161"/>
      <c r="G798" s="161"/>
      <c r="H798" s="171"/>
      <c r="I798" s="171"/>
      <c r="J798" s="171"/>
      <c r="K798" s="171"/>
      <c r="L798" s="171"/>
      <c r="M798" s="171"/>
      <c r="N798" s="171"/>
      <c r="O798" s="171"/>
      <c r="P798" s="171"/>
      <c r="Q798" s="171"/>
      <c r="R798" s="171"/>
      <c r="S798" s="171"/>
      <c r="T798" s="171"/>
      <c r="U798" s="171"/>
      <c r="V798" s="171"/>
      <c r="W798" s="171"/>
      <c r="X798" s="161"/>
      <c r="Y798" s="161"/>
      <c r="Z798" s="161"/>
      <c r="AA798" s="161"/>
      <c r="AB798" s="161"/>
      <c r="AC798" s="171"/>
      <c r="AD798" s="198"/>
    </row>
    <row r="799">
      <c r="A799" s="169"/>
      <c r="B799" s="169"/>
      <c r="C799" s="161"/>
      <c r="D799" s="229"/>
      <c r="E799" s="161"/>
      <c r="F799" s="161"/>
      <c r="G799" s="161"/>
      <c r="H799" s="171"/>
      <c r="I799" s="171"/>
      <c r="J799" s="171"/>
      <c r="K799" s="171"/>
      <c r="L799" s="171"/>
      <c r="M799" s="171"/>
      <c r="N799" s="171"/>
      <c r="O799" s="171"/>
      <c r="P799" s="171"/>
      <c r="Q799" s="171"/>
      <c r="R799" s="171"/>
      <c r="S799" s="171"/>
      <c r="T799" s="171"/>
      <c r="U799" s="171"/>
      <c r="V799" s="171"/>
      <c r="W799" s="171"/>
      <c r="X799" s="161"/>
      <c r="Y799" s="161"/>
      <c r="Z799" s="161"/>
      <c r="AA799" s="161"/>
      <c r="AB799" s="161"/>
      <c r="AC799" s="171"/>
      <c r="AD799" s="198"/>
    </row>
    <row r="800">
      <c r="A800" s="169"/>
      <c r="B800" s="169"/>
      <c r="C800" s="161"/>
      <c r="D800" s="229"/>
      <c r="E800" s="161"/>
      <c r="F800" s="161"/>
      <c r="G800" s="161"/>
      <c r="H800" s="171"/>
      <c r="I800" s="171"/>
      <c r="J800" s="171"/>
      <c r="K800" s="171"/>
      <c r="L800" s="171"/>
      <c r="M800" s="171"/>
      <c r="N800" s="171"/>
      <c r="O800" s="171"/>
      <c r="P800" s="171"/>
      <c r="Q800" s="171"/>
      <c r="R800" s="171"/>
      <c r="S800" s="171"/>
      <c r="T800" s="171"/>
      <c r="U800" s="171"/>
      <c r="V800" s="171"/>
      <c r="W800" s="171"/>
      <c r="X800" s="161"/>
      <c r="Y800" s="161"/>
      <c r="Z800" s="161"/>
      <c r="AA800" s="161"/>
      <c r="AB800" s="161"/>
      <c r="AC800" s="171"/>
      <c r="AD800" s="198"/>
    </row>
    <row r="801">
      <c r="A801" s="169"/>
      <c r="B801" s="169"/>
      <c r="C801" s="161"/>
      <c r="D801" s="229"/>
      <c r="E801" s="161"/>
      <c r="F801" s="161"/>
      <c r="G801" s="161"/>
      <c r="H801" s="171"/>
      <c r="I801" s="171"/>
      <c r="J801" s="171"/>
      <c r="K801" s="171"/>
      <c r="L801" s="171"/>
      <c r="M801" s="171"/>
      <c r="N801" s="171"/>
      <c r="O801" s="171"/>
      <c r="P801" s="171"/>
      <c r="Q801" s="171"/>
      <c r="R801" s="171"/>
      <c r="S801" s="171"/>
      <c r="T801" s="171"/>
      <c r="U801" s="171"/>
      <c r="V801" s="171"/>
      <c r="W801" s="171"/>
      <c r="X801" s="161"/>
      <c r="Y801" s="161"/>
      <c r="Z801" s="161"/>
      <c r="AA801" s="161"/>
      <c r="AB801" s="161"/>
      <c r="AC801" s="171"/>
      <c r="AD801" s="198"/>
    </row>
    <row r="802">
      <c r="A802" s="169"/>
      <c r="B802" s="169"/>
      <c r="C802" s="161"/>
      <c r="D802" s="229"/>
      <c r="E802" s="161"/>
      <c r="F802" s="161"/>
      <c r="G802" s="161"/>
      <c r="H802" s="171"/>
      <c r="I802" s="171"/>
      <c r="J802" s="171"/>
      <c r="K802" s="171"/>
      <c r="L802" s="171"/>
      <c r="M802" s="171"/>
      <c r="N802" s="171"/>
      <c r="O802" s="171"/>
      <c r="P802" s="171"/>
      <c r="Q802" s="171"/>
      <c r="R802" s="171"/>
      <c r="S802" s="171"/>
      <c r="T802" s="171"/>
      <c r="U802" s="171"/>
      <c r="V802" s="171"/>
      <c r="W802" s="171"/>
      <c r="X802" s="161"/>
      <c r="Y802" s="161"/>
      <c r="Z802" s="161"/>
      <c r="AA802" s="161"/>
      <c r="AB802" s="161"/>
      <c r="AC802" s="171"/>
      <c r="AD802" s="198"/>
    </row>
    <row r="803">
      <c r="A803" s="169"/>
      <c r="B803" s="169"/>
      <c r="C803" s="161"/>
      <c r="D803" s="229"/>
      <c r="E803" s="161"/>
      <c r="F803" s="161"/>
      <c r="G803" s="161"/>
      <c r="H803" s="171"/>
      <c r="I803" s="171"/>
      <c r="J803" s="171"/>
      <c r="K803" s="171"/>
      <c r="L803" s="171"/>
      <c r="M803" s="171"/>
      <c r="N803" s="171"/>
      <c r="O803" s="171"/>
      <c r="P803" s="171"/>
      <c r="Q803" s="171"/>
      <c r="R803" s="171"/>
      <c r="S803" s="171"/>
      <c r="T803" s="171"/>
      <c r="U803" s="171"/>
      <c r="V803" s="171"/>
      <c r="W803" s="171"/>
      <c r="X803" s="161"/>
      <c r="Y803" s="161"/>
      <c r="Z803" s="161"/>
      <c r="AA803" s="161"/>
      <c r="AB803" s="161"/>
      <c r="AC803" s="171"/>
      <c r="AD803" s="198"/>
    </row>
    <row r="804">
      <c r="A804" s="169"/>
      <c r="B804" s="169"/>
      <c r="C804" s="161"/>
      <c r="D804" s="229"/>
      <c r="E804" s="161"/>
      <c r="F804" s="161"/>
      <c r="G804" s="161"/>
      <c r="H804" s="171"/>
      <c r="I804" s="171"/>
      <c r="J804" s="171"/>
      <c r="K804" s="171"/>
      <c r="L804" s="171"/>
      <c r="M804" s="171"/>
      <c r="N804" s="171"/>
      <c r="O804" s="171"/>
      <c r="P804" s="171"/>
      <c r="Q804" s="171"/>
      <c r="R804" s="171"/>
      <c r="S804" s="171"/>
      <c r="T804" s="171"/>
      <c r="U804" s="171"/>
      <c r="V804" s="171"/>
      <c r="W804" s="171"/>
      <c r="X804" s="161"/>
      <c r="Y804" s="161"/>
      <c r="Z804" s="161"/>
      <c r="AA804" s="161"/>
      <c r="AB804" s="161"/>
      <c r="AC804" s="171"/>
      <c r="AD804" s="198"/>
    </row>
    <row r="805">
      <c r="A805" s="169"/>
      <c r="B805" s="169"/>
      <c r="C805" s="161"/>
      <c r="D805" s="229"/>
      <c r="E805" s="161"/>
      <c r="F805" s="161"/>
      <c r="G805" s="161"/>
      <c r="H805" s="171"/>
      <c r="I805" s="171"/>
      <c r="J805" s="171"/>
      <c r="K805" s="171"/>
      <c r="L805" s="171"/>
      <c r="M805" s="171"/>
      <c r="N805" s="171"/>
      <c r="O805" s="171"/>
      <c r="P805" s="171"/>
      <c r="Q805" s="171"/>
      <c r="R805" s="171"/>
      <c r="S805" s="171"/>
      <c r="T805" s="171"/>
      <c r="U805" s="171"/>
      <c r="V805" s="171"/>
      <c r="W805" s="171"/>
      <c r="X805" s="161"/>
      <c r="Y805" s="161"/>
      <c r="Z805" s="161"/>
      <c r="AA805" s="161"/>
      <c r="AB805" s="161"/>
      <c r="AC805" s="171"/>
      <c r="AD805" s="198"/>
    </row>
    <row r="806">
      <c r="A806" s="169"/>
      <c r="B806" s="169"/>
      <c r="C806" s="161"/>
      <c r="D806" s="229"/>
      <c r="E806" s="161"/>
      <c r="F806" s="161"/>
      <c r="G806" s="161"/>
      <c r="H806" s="171"/>
      <c r="I806" s="171"/>
      <c r="J806" s="171"/>
      <c r="K806" s="171"/>
      <c r="L806" s="171"/>
      <c r="M806" s="171"/>
      <c r="N806" s="171"/>
      <c r="O806" s="171"/>
      <c r="P806" s="171"/>
      <c r="Q806" s="171"/>
      <c r="R806" s="171"/>
      <c r="S806" s="171"/>
      <c r="T806" s="171"/>
      <c r="U806" s="171"/>
      <c r="V806" s="171"/>
      <c r="W806" s="171"/>
      <c r="X806" s="161"/>
      <c r="Y806" s="161"/>
      <c r="Z806" s="161"/>
      <c r="AA806" s="161"/>
      <c r="AB806" s="161"/>
      <c r="AC806" s="171"/>
      <c r="AD806" s="198"/>
    </row>
    <row r="807">
      <c r="A807" s="169"/>
      <c r="B807" s="169"/>
      <c r="C807" s="161"/>
      <c r="D807" s="229"/>
      <c r="E807" s="161"/>
      <c r="F807" s="161"/>
      <c r="G807" s="161"/>
      <c r="H807" s="171"/>
      <c r="I807" s="171"/>
      <c r="J807" s="171"/>
      <c r="K807" s="171"/>
      <c r="L807" s="171"/>
      <c r="M807" s="171"/>
      <c r="N807" s="171"/>
      <c r="O807" s="171"/>
      <c r="P807" s="171"/>
      <c r="Q807" s="171"/>
      <c r="R807" s="171"/>
      <c r="S807" s="171"/>
      <c r="T807" s="171"/>
      <c r="U807" s="171"/>
      <c r="V807" s="171"/>
      <c r="W807" s="171"/>
      <c r="X807" s="161"/>
      <c r="Y807" s="161"/>
      <c r="Z807" s="161"/>
      <c r="AA807" s="161"/>
      <c r="AB807" s="161"/>
      <c r="AC807" s="171"/>
      <c r="AD807" s="198"/>
    </row>
    <row r="808">
      <c r="A808" s="169"/>
      <c r="B808" s="169"/>
      <c r="C808" s="161"/>
      <c r="D808" s="229"/>
      <c r="E808" s="161"/>
      <c r="F808" s="161"/>
      <c r="G808" s="161"/>
      <c r="H808" s="171"/>
      <c r="I808" s="171"/>
      <c r="J808" s="171"/>
      <c r="K808" s="171"/>
      <c r="L808" s="171"/>
      <c r="M808" s="171"/>
      <c r="N808" s="171"/>
      <c r="O808" s="171"/>
      <c r="P808" s="171"/>
      <c r="Q808" s="171"/>
      <c r="R808" s="171"/>
      <c r="S808" s="171"/>
      <c r="T808" s="171"/>
      <c r="U808" s="171"/>
      <c r="V808" s="171"/>
      <c r="W808" s="171"/>
      <c r="X808" s="161"/>
      <c r="Y808" s="161"/>
      <c r="Z808" s="161"/>
      <c r="AA808" s="161"/>
      <c r="AB808" s="161"/>
      <c r="AC808" s="171"/>
      <c r="AD808" s="198"/>
    </row>
    <row r="809">
      <c r="A809" s="169"/>
      <c r="B809" s="169"/>
      <c r="C809" s="161"/>
      <c r="D809" s="229"/>
      <c r="E809" s="161"/>
      <c r="F809" s="161"/>
      <c r="G809" s="161"/>
      <c r="H809" s="171"/>
      <c r="I809" s="171"/>
      <c r="J809" s="171"/>
      <c r="K809" s="171"/>
      <c r="L809" s="171"/>
      <c r="M809" s="171"/>
      <c r="N809" s="171"/>
      <c r="O809" s="171"/>
      <c r="P809" s="171"/>
      <c r="Q809" s="171"/>
      <c r="R809" s="171"/>
      <c r="S809" s="171"/>
      <c r="T809" s="171"/>
      <c r="U809" s="171"/>
      <c r="V809" s="171"/>
      <c r="W809" s="171"/>
      <c r="X809" s="161"/>
      <c r="Y809" s="161"/>
      <c r="Z809" s="161"/>
      <c r="AA809" s="161"/>
      <c r="AB809" s="161"/>
      <c r="AC809" s="171"/>
      <c r="AD809" s="198"/>
    </row>
    <row r="810">
      <c r="A810" s="169"/>
      <c r="B810" s="169"/>
      <c r="C810" s="161"/>
      <c r="D810" s="229"/>
      <c r="E810" s="161"/>
      <c r="F810" s="161"/>
      <c r="G810" s="161"/>
      <c r="H810" s="171"/>
      <c r="I810" s="171"/>
      <c r="J810" s="171"/>
      <c r="K810" s="171"/>
      <c r="L810" s="171"/>
      <c r="M810" s="171"/>
      <c r="N810" s="171"/>
      <c r="O810" s="171"/>
      <c r="P810" s="171"/>
      <c r="Q810" s="171"/>
      <c r="R810" s="171"/>
      <c r="S810" s="171"/>
      <c r="T810" s="171"/>
      <c r="U810" s="171"/>
      <c r="V810" s="171"/>
      <c r="W810" s="171"/>
      <c r="X810" s="161"/>
      <c r="Y810" s="161"/>
      <c r="Z810" s="161"/>
      <c r="AA810" s="161"/>
      <c r="AB810" s="161"/>
      <c r="AC810" s="171"/>
      <c r="AD810" s="198"/>
    </row>
    <row r="811">
      <c r="A811" s="169"/>
      <c r="B811" s="169"/>
      <c r="C811" s="161"/>
      <c r="D811" s="229"/>
      <c r="E811" s="161"/>
      <c r="F811" s="161"/>
      <c r="G811" s="161"/>
      <c r="H811" s="171"/>
      <c r="I811" s="171"/>
      <c r="J811" s="171"/>
      <c r="K811" s="171"/>
      <c r="L811" s="171"/>
      <c r="M811" s="171"/>
      <c r="N811" s="171"/>
      <c r="O811" s="171"/>
      <c r="P811" s="171"/>
      <c r="Q811" s="171"/>
      <c r="R811" s="171"/>
      <c r="S811" s="171"/>
      <c r="T811" s="171"/>
      <c r="U811" s="171"/>
      <c r="V811" s="171"/>
      <c r="W811" s="171"/>
      <c r="X811" s="161"/>
      <c r="Y811" s="161"/>
      <c r="Z811" s="161"/>
      <c r="AA811" s="161"/>
      <c r="AB811" s="161"/>
      <c r="AC811" s="171"/>
      <c r="AD811" s="198"/>
    </row>
    <row r="812">
      <c r="A812" s="169"/>
      <c r="B812" s="169"/>
      <c r="C812" s="161"/>
      <c r="D812" s="229"/>
      <c r="E812" s="161"/>
      <c r="F812" s="161"/>
      <c r="G812" s="161"/>
      <c r="H812" s="171"/>
      <c r="I812" s="171"/>
      <c r="J812" s="171"/>
      <c r="K812" s="171"/>
      <c r="L812" s="171"/>
      <c r="M812" s="171"/>
      <c r="N812" s="171"/>
      <c r="O812" s="171"/>
      <c r="P812" s="171"/>
      <c r="Q812" s="171"/>
      <c r="R812" s="171"/>
      <c r="S812" s="171"/>
      <c r="T812" s="171"/>
      <c r="U812" s="171"/>
      <c r="V812" s="171"/>
      <c r="W812" s="171"/>
      <c r="X812" s="161"/>
      <c r="Y812" s="161"/>
      <c r="Z812" s="161"/>
      <c r="AA812" s="161"/>
      <c r="AB812" s="161"/>
      <c r="AC812" s="171"/>
      <c r="AD812" s="198"/>
    </row>
    <row r="813">
      <c r="A813" s="169"/>
      <c r="B813" s="169"/>
      <c r="C813" s="161"/>
      <c r="D813" s="229"/>
      <c r="E813" s="161"/>
      <c r="F813" s="161"/>
      <c r="G813" s="161"/>
      <c r="H813" s="171"/>
      <c r="I813" s="171"/>
      <c r="J813" s="171"/>
      <c r="K813" s="171"/>
      <c r="L813" s="171"/>
      <c r="M813" s="171"/>
      <c r="N813" s="171"/>
      <c r="O813" s="171"/>
      <c r="P813" s="171"/>
      <c r="Q813" s="171"/>
      <c r="R813" s="171"/>
      <c r="S813" s="171"/>
      <c r="T813" s="171"/>
      <c r="U813" s="171"/>
      <c r="V813" s="171"/>
      <c r="W813" s="171"/>
      <c r="X813" s="161"/>
      <c r="Y813" s="161"/>
      <c r="Z813" s="161"/>
      <c r="AA813" s="161"/>
      <c r="AB813" s="161"/>
      <c r="AC813" s="171"/>
      <c r="AD813" s="198"/>
    </row>
    <row r="814">
      <c r="A814" s="169"/>
      <c r="B814" s="169"/>
      <c r="C814" s="161"/>
      <c r="D814" s="229"/>
      <c r="E814" s="161"/>
      <c r="F814" s="161"/>
      <c r="G814" s="161"/>
      <c r="H814" s="171"/>
      <c r="I814" s="171"/>
      <c r="J814" s="171"/>
      <c r="K814" s="171"/>
      <c r="L814" s="171"/>
      <c r="M814" s="171"/>
      <c r="N814" s="171"/>
      <c r="O814" s="171"/>
      <c r="P814" s="171"/>
      <c r="Q814" s="171"/>
      <c r="R814" s="171"/>
      <c r="S814" s="171"/>
      <c r="T814" s="171"/>
      <c r="U814" s="171"/>
      <c r="V814" s="171"/>
      <c r="W814" s="171"/>
      <c r="X814" s="161"/>
      <c r="Y814" s="161"/>
      <c r="Z814" s="161"/>
      <c r="AA814" s="161"/>
      <c r="AB814" s="161"/>
      <c r="AC814" s="171"/>
      <c r="AD814" s="198"/>
    </row>
    <row r="815">
      <c r="A815" s="169"/>
      <c r="B815" s="169"/>
      <c r="C815" s="161"/>
      <c r="D815" s="229"/>
      <c r="E815" s="161"/>
      <c r="F815" s="161"/>
      <c r="G815" s="161"/>
      <c r="H815" s="171"/>
      <c r="I815" s="171"/>
      <c r="J815" s="171"/>
      <c r="K815" s="171"/>
      <c r="L815" s="171"/>
      <c r="M815" s="171"/>
      <c r="N815" s="171"/>
      <c r="O815" s="171"/>
      <c r="P815" s="171"/>
      <c r="Q815" s="171"/>
      <c r="R815" s="171"/>
      <c r="S815" s="171"/>
      <c r="T815" s="171"/>
      <c r="U815" s="171"/>
      <c r="V815" s="171"/>
      <c r="W815" s="171"/>
      <c r="X815" s="161"/>
      <c r="Y815" s="161"/>
      <c r="Z815" s="161"/>
      <c r="AA815" s="161"/>
      <c r="AB815" s="161"/>
      <c r="AC815" s="171"/>
      <c r="AD815" s="198"/>
    </row>
    <row r="816">
      <c r="A816" s="169"/>
      <c r="B816" s="169"/>
      <c r="C816" s="161"/>
      <c r="D816" s="229"/>
      <c r="E816" s="161"/>
      <c r="F816" s="161"/>
      <c r="G816" s="161"/>
      <c r="H816" s="171"/>
      <c r="I816" s="171"/>
      <c r="J816" s="171"/>
      <c r="K816" s="171"/>
      <c r="L816" s="171"/>
      <c r="M816" s="171"/>
      <c r="N816" s="171"/>
      <c r="O816" s="171"/>
      <c r="P816" s="171"/>
      <c r="Q816" s="171"/>
      <c r="R816" s="171"/>
      <c r="S816" s="171"/>
      <c r="T816" s="171"/>
      <c r="U816" s="171"/>
      <c r="V816" s="171"/>
      <c r="W816" s="171"/>
      <c r="X816" s="161"/>
      <c r="Y816" s="161"/>
      <c r="Z816" s="161"/>
      <c r="AA816" s="161"/>
      <c r="AB816" s="161"/>
      <c r="AC816" s="171"/>
      <c r="AD816" s="198"/>
    </row>
    <row r="817">
      <c r="A817" s="169"/>
      <c r="B817" s="169"/>
      <c r="C817" s="161"/>
      <c r="D817" s="229"/>
      <c r="E817" s="161"/>
      <c r="F817" s="161"/>
      <c r="G817" s="161"/>
      <c r="H817" s="171"/>
      <c r="I817" s="171"/>
      <c r="J817" s="171"/>
      <c r="K817" s="171"/>
      <c r="L817" s="171"/>
      <c r="M817" s="171"/>
      <c r="N817" s="171"/>
      <c r="O817" s="171"/>
      <c r="P817" s="171"/>
      <c r="Q817" s="171"/>
      <c r="R817" s="171"/>
      <c r="S817" s="171"/>
      <c r="T817" s="171"/>
      <c r="U817" s="171"/>
      <c r="V817" s="171"/>
      <c r="W817" s="171"/>
      <c r="X817" s="161"/>
      <c r="Y817" s="161"/>
      <c r="Z817" s="161"/>
      <c r="AA817" s="161"/>
      <c r="AB817" s="161"/>
      <c r="AC817" s="171"/>
      <c r="AD817" s="198"/>
    </row>
    <row r="818">
      <c r="A818" s="169"/>
      <c r="B818" s="169"/>
      <c r="C818" s="161"/>
      <c r="D818" s="229"/>
      <c r="E818" s="161"/>
      <c r="F818" s="161"/>
      <c r="G818" s="161"/>
      <c r="H818" s="171"/>
      <c r="I818" s="171"/>
      <c r="J818" s="171"/>
      <c r="K818" s="171"/>
      <c r="L818" s="171"/>
      <c r="M818" s="171"/>
      <c r="N818" s="171"/>
      <c r="O818" s="171"/>
      <c r="P818" s="171"/>
      <c r="Q818" s="171"/>
      <c r="R818" s="171"/>
      <c r="S818" s="171"/>
      <c r="T818" s="171"/>
      <c r="U818" s="171"/>
      <c r="V818" s="171"/>
      <c r="W818" s="171"/>
      <c r="X818" s="161"/>
      <c r="Y818" s="161"/>
      <c r="Z818" s="161"/>
      <c r="AA818" s="161"/>
      <c r="AB818" s="161"/>
      <c r="AC818" s="171"/>
      <c r="AD818" s="198"/>
    </row>
    <row r="819">
      <c r="A819" s="169"/>
      <c r="B819" s="169"/>
      <c r="C819" s="161"/>
      <c r="D819" s="229"/>
      <c r="E819" s="161"/>
      <c r="F819" s="161"/>
      <c r="G819" s="161"/>
      <c r="H819" s="171"/>
      <c r="I819" s="171"/>
      <c r="J819" s="171"/>
      <c r="K819" s="171"/>
      <c r="L819" s="171"/>
      <c r="M819" s="171"/>
      <c r="N819" s="171"/>
      <c r="O819" s="171"/>
      <c r="P819" s="171"/>
      <c r="Q819" s="171"/>
      <c r="R819" s="171"/>
      <c r="S819" s="171"/>
      <c r="T819" s="171"/>
      <c r="U819" s="171"/>
      <c r="V819" s="171"/>
      <c r="W819" s="171"/>
      <c r="X819" s="161"/>
      <c r="Y819" s="161"/>
      <c r="Z819" s="161"/>
      <c r="AA819" s="161"/>
      <c r="AB819" s="161"/>
      <c r="AC819" s="171"/>
      <c r="AD819" s="198"/>
    </row>
    <row r="820">
      <c r="A820" s="169"/>
      <c r="B820" s="169"/>
      <c r="C820" s="161"/>
      <c r="D820" s="229"/>
      <c r="E820" s="161"/>
      <c r="F820" s="161"/>
      <c r="G820" s="161"/>
      <c r="H820" s="171"/>
      <c r="I820" s="171"/>
      <c r="J820" s="171"/>
      <c r="K820" s="171"/>
      <c r="L820" s="171"/>
      <c r="M820" s="171"/>
      <c r="N820" s="171"/>
      <c r="O820" s="171"/>
      <c r="P820" s="171"/>
      <c r="Q820" s="171"/>
      <c r="R820" s="171"/>
      <c r="S820" s="171"/>
      <c r="T820" s="171"/>
      <c r="U820" s="171"/>
      <c r="V820" s="171"/>
      <c r="W820" s="171"/>
      <c r="X820" s="161"/>
      <c r="Y820" s="161"/>
      <c r="Z820" s="161"/>
      <c r="AA820" s="161"/>
      <c r="AB820" s="161"/>
      <c r="AC820" s="171"/>
      <c r="AD820" s="198"/>
    </row>
    <row r="821">
      <c r="A821" s="169"/>
      <c r="B821" s="169"/>
      <c r="C821" s="161"/>
      <c r="D821" s="229"/>
      <c r="E821" s="161"/>
      <c r="F821" s="161"/>
      <c r="G821" s="161"/>
      <c r="H821" s="171"/>
      <c r="I821" s="171"/>
      <c r="J821" s="171"/>
      <c r="K821" s="171"/>
      <c r="L821" s="171"/>
      <c r="M821" s="171"/>
      <c r="N821" s="171"/>
      <c r="O821" s="171"/>
      <c r="P821" s="171"/>
      <c r="Q821" s="171"/>
      <c r="R821" s="171"/>
      <c r="S821" s="171"/>
      <c r="T821" s="171"/>
      <c r="U821" s="171"/>
      <c r="V821" s="171"/>
      <c r="W821" s="171"/>
      <c r="X821" s="161"/>
      <c r="Y821" s="161"/>
      <c r="Z821" s="161"/>
      <c r="AA821" s="161"/>
      <c r="AB821" s="161"/>
      <c r="AC821" s="171"/>
      <c r="AD821" s="198"/>
    </row>
    <row r="822">
      <c r="A822" s="169"/>
      <c r="B822" s="169"/>
      <c r="C822" s="161"/>
      <c r="D822" s="229"/>
      <c r="E822" s="161"/>
      <c r="F822" s="161"/>
      <c r="G822" s="161"/>
      <c r="H822" s="171"/>
      <c r="I822" s="171"/>
      <c r="J822" s="171"/>
      <c r="K822" s="171"/>
      <c r="L822" s="171"/>
      <c r="M822" s="171"/>
      <c r="N822" s="171"/>
      <c r="O822" s="171"/>
      <c r="P822" s="171"/>
      <c r="Q822" s="171"/>
      <c r="R822" s="171"/>
      <c r="S822" s="171"/>
      <c r="T822" s="171"/>
      <c r="U822" s="171"/>
      <c r="V822" s="171"/>
      <c r="W822" s="171"/>
      <c r="X822" s="161"/>
      <c r="Y822" s="161"/>
      <c r="Z822" s="161"/>
      <c r="AA822" s="161"/>
      <c r="AB822" s="161"/>
      <c r="AC822" s="171"/>
      <c r="AD822" s="198"/>
    </row>
    <row r="823">
      <c r="A823" s="169"/>
      <c r="B823" s="169"/>
      <c r="C823" s="161"/>
      <c r="D823" s="229"/>
      <c r="E823" s="161"/>
      <c r="F823" s="161"/>
      <c r="G823" s="161"/>
      <c r="H823" s="171"/>
      <c r="I823" s="171"/>
      <c r="J823" s="171"/>
      <c r="K823" s="171"/>
      <c r="L823" s="171"/>
      <c r="M823" s="171"/>
      <c r="N823" s="171"/>
      <c r="O823" s="171"/>
      <c r="P823" s="171"/>
      <c r="Q823" s="171"/>
      <c r="R823" s="171"/>
      <c r="S823" s="171"/>
      <c r="T823" s="171"/>
      <c r="U823" s="171"/>
      <c r="V823" s="171"/>
      <c r="W823" s="171"/>
      <c r="X823" s="161"/>
      <c r="Y823" s="161"/>
      <c r="Z823" s="161"/>
      <c r="AA823" s="161"/>
      <c r="AB823" s="161"/>
      <c r="AC823" s="171"/>
      <c r="AD823" s="198"/>
    </row>
    <row r="824">
      <c r="A824" s="169"/>
      <c r="B824" s="169"/>
      <c r="C824" s="161"/>
      <c r="D824" s="229"/>
      <c r="E824" s="161"/>
      <c r="F824" s="161"/>
      <c r="G824" s="161"/>
      <c r="H824" s="171"/>
      <c r="I824" s="171"/>
      <c r="J824" s="171"/>
      <c r="K824" s="171"/>
      <c r="L824" s="171"/>
      <c r="M824" s="171"/>
      <c r="N824" s="171"/>
      <c r="O824" s="171"/>
      <c r="P824" s="171"/>
      <c r="Q824" s="171"/>
      <c r="R824" s="171"/>
      <c r="S824" s="171"/>
      <c r="T824" s="171"/>
      <c r="U824" s="171"/>
      <c r="V824" s="171"/>
      <c r="W824" s="171"/>
      <c r="X824" s="161"/>
      <c r="Y824" s="161"/>
      <c r="Z824" s="161"/>
      <c r="AA824" s="161"/>
      <c r="AB824" s="161"/>
      <c r="AC824" s="171"/>
      <c r="AD824" s="198"/>
    </row>
    <row r="825">
      <c r="A825" s="169"/>
      <c r="B825" s="169"/>
      <c r="C825" s="161"/>
      <c r="D825" s="229"/>
      <c r="E825" s="161"/>
      <c r="F825" s="161"/>
      <c r="G825" s="161"/>
      <c r="H825" s="171"/>
      <c r="I825" s="171"/>
      <c r="J825" s="171"/>
      <c r="K825" s="171"/>
      <c r="L825" s="171"/>
      <c r="M825" s="171"/>
      <c r="N825" s="171"/>
      <c r="O825" s="171"/>
      <c r="P825" s="171"/>
      <c r="Q825" s="171"/>
      <c r="R825" s="171"/>
      <c r="S825" s="171"/>
      <c r="T825" s="171"/>
      <c r="U825" s="171"/>
      <c r="V825" s="171"/>
      <c r="W825" s="171"/>
      <c r="X825" s="161"/>
      <c r="Y825" s="161"/>
      <c r="Z825" s="161"/>
      <c r="AA825" s="161"/>
      <c r="AB825" s="161"/>
      <c r="AC825" s="171"/>
      <c r="AD825" s="198"/>
    </row>
    <row r="826">
      <c r="A826" s="169"/>
      <c r="B826" s="169"/>
      <c r="C826" s="161"/>
      <c r="D826" s="229"/>
      <c r="E826" s="161"/>
      <c r="F826" s="161"/>
      <c r="G826" s="161"/>
      <c r="H826" s="171"/>
      <c r="I826" s="171"/>
      <c r="J826" s="171"/>
      <c r="K826" s="171"/>
      <c r="L826" s="171"/>
      <c r="M826" s="171"/>
      <c r="N826" s="171"/>
      <c r="O826" s="171"/>
      <c r="P826" s="171"/>
      <c r="Q826" s="171"/>
      <c r="R826" s="171"/>
      <c r="S826" s="171"/>
      <c r="T826" s="171"/>
      <c r="U826" s="171"/>
      <c r="V826" s="171"/>
      <c r="W826" s="171"/>
      <c r="X826" s="161"/>
      <c r="Y826" s="161"/>
      <c r="Z826" s="161"/>
      <c r="AA826" s="161"/>
      <c r="AB826" s="161"/>
      <c r="AC826" s="171"/>
      <c r="AD826" s="198"/>
    </row>
    <row r="827">
      <c r="A827" s="169"/>
      <c r="B827" s="169"/>
      <c r="C827" s="161"/>
      <c r="D827" s="229"/>
      <c r="E827" s="161"/>
      <c r="F827" s="161"/>
      <c r="G827" s="161"/>
      <c r="H827" s="171"/>
      <c r="I827" s="171"/>
      <c r="J827" s="171"/>
      <c r="K827" s="171"/>
      <c r="L827" s="171"/>
      <c r="M827" s="171"/>
      <c r="N827" s="171"/>
      <c r="O827" s="171"/>
      <c r="P827" s="171"/>
      <c r="Q827" s="171"/>
      <c r="R827" s="171"/>
      <c r="S827" s="171"/>
      <c r="T827" s="171"/>
      <c r="U827" s="171"/>
      <c r="V827" s="171"/>
      <c r="W827" s="171"/>
      <c r="X827" s="161"/>
      <c r="Y827" s="161"/>
      <c r="Z827" s="161"/>
      <c r="AA827" s="161"/>
      <c r="AB827" s="161"/>
      <c r="AC827" s="171"/>
      <c r="AD827" s="198"/>
    </row>
    <row r="828">
      <c r="A828" s="169"/>
      <c r="B828" s="169"/>
      <c r="C828" s="161"/>
      <c r="D828" s="229"/>
      <c r="E828" s="161"/>
      <c r="F828" s="161"/>
      <c r="G828" s="161"/>
      <c r="H828" s="171"/>
      <c r="I828" s="171"/>
      <c r="J828" s="171"/>
      <c r="K828" s="171"/>
      <c r="L828" s="171"/>
      <c r="M828" s="171"/>
      <c r="N828" s="171"/>
      <c r="O828" s="171"/>
      <c r="P828" s="171"/>
      <c r="Q828" s="171"/>
      <c r="R828" s="171"/>
      <c r="S828" s="171"/>
      <c r="T828" s="171"/>
      <c r="U828" s="171"/>
      <c r="V828" s="171"/>
      <c r="W828" s="171"/>
      <c r="X828" s="161"/>
      <c r="Y828" s="161"/>
      <c r="Z828" s="161"/>
      <c r="AA828" s="161"/>
      <c r="AB828" s="161"/>
      <c r="AC828" s="171"/>
      <c r="AD828" s="198"/>
    </row>
    <row r="829">
      <c r="A829" s="169"/>
      <c r="B829" s="169"/>
      <c r="C829" s="161"/>
      <c r="D829" s="229"/>
      <c r="E829" s="161"/>
      <c r="F829" s="161"/>
      <c r="G829" s="161"/>
      <c r="H829" s="171"/>
      <c r="I829" s="171"/>
      <c r="J829" s="171"/>
      <c r="K829" s="171"/>
      <c r="L829" s="171"/>
      <c r="M829" s="171"/>
      <c r="N829" s="171"/>
      <c r="O829" s="171"/>
      <c r="P829" s="171"/>
      <c r="Q829" s="171"/>
      <c r="R829" s="171"/>
      <c r="S829" s="171"/>
      <c r="T829" s="171"/>
      <c r="U829" s="171"/>
      <c r="V829" s="171"/>
      <c r="W829" s="171"/>
      <c r="X829" s="161"/>
      <c r="Y829" s="161"/>
      <c r="Z829" s="161"/>
      <c r="AA829" s="161"/>
      <c r="AB829" s="161"/>
      <c r="AC829" s="171"/>
      <c r="AD829" s="198"/>
    </row>
    <row r="830">
      <c r="A830" s="169"/>
      <c r="B830" s="169"/>
      <c r="C830" s="161"/>
      <c r="D830" s="229"/>
      <c r="E830" s="161"/>
      <c r="F830" s="161"/>
      <c r="G830" s="161"/>
      <c r="H830" s="171"/>
      <c r="I830" s="171"/>
      <c r="J830" s="171"/>
      <c r="K830" s="171"/>
      <c r="L830" s="171"/>
      <c r="M830" s="171"/>
      <c r="N830" s="171"/>
      <c r="O830" s="171"/>
      <c r="P830" s="171"/>
      <c r="Q830" s="171"/>
      <c r="R830" s="171"/>
      <c r="S830" s="171"/>
      <c r="T830" s="171"/>
      <c r="U830" s="171"/>
      <c r="V830" s="171"/>
      <c r="W830" s="171"/>
      <c r="X830" s="161"/>
      <c r="Y830" s="161"/>
      <c r="Z830" s="161"/>
      <c r="AA830" s="161"/>
      <c r="AB830" s="161"/>
      <c r="AC830" s="171"/>
      <c r="AD830" s="198"/>
    </row>
    <row r="831">
      <c r="A831" s="169"/>
      <c r="B831" s="169"/>
      <c r="C831" s="161"/>
      <c r="D831" s="229"/>
      <c r="E831" s="161"/>
      <c r="F831" s="161"/>
      <c r="G831" s="161"/>
      <c r="H831" s="171"/>
      <c r="I831" s="171"/>
      <c r="J831" s="171"/>
      <c r="K831" s="171"/>
      <c r="L831" s="171"/>
      <c r="M831" s="171"/>
      <c r="N831" s="171"/>
      <c r="O831" s="171"/>
      <c r="P831" s="171"/>
      <c r="Q831" s="171"/>
      <c r="R831" s="171"/>
      <c r="S831" s="171"/>
      <c r="T831" s="171"/>
      <c r="U831" s="171"/>
      <c r="V831" s="171"/>
      <c r="W831" s="171"/>
      <c r="X831" s="161"/>
      <c r="Y831" s="161"/>
      <c r="Z831" s="161"/>
      <c r="AA831" s="161"/>
      <c r="AB831" s="161"/>
      <c r="AC831" s="171"/>
      <c r="AD831" s="198"/>
    </row>
    <row r="832">
      <c r="A832" s="169"/>
      <c r="B832" s="169"/>
      <c r="C832" s="161"/>
      <c r="D832" s="229"/>
      <c r="E832" s="161"/>
      <c r="F832" s="161"/>
      <c r="G832" s="161"/>
      <c r="H832" s="171"/>
      <c r="I832" s="171"/>
      <c r="J832" s="171"/>
      <c r="K832" s="171"/>
      <c r="L832" s="171"/>
      <c r="M832" s="171"/>
      <c r="N832" s="171"/>
      <c r="O832" s="171"/>
      <c r="P832" s="171"/>
      <c r="Q832" s="171"/>
      <c r="R832" s="171"/>
      <c r="S832" s="171"/>
      <c r="T832" s="171"/>
      <c r="U832" s="171"/>
      <c r="V832" s="171"/>
      <c r="W832" s="171"/>
      <c r="X832" s="161"/>
      <c r="Y832" s="161"/>
      <c r="Z832" s="161"/>
      <c r="AA832" s="161"/>
      <c r="AB832" s="161"/>
      <c r="AC832" s="171"/>
      <c r="AD832" s="198"/>
    </row>
    <row r="833">
      <c r="A833" s="169"/>
      <c r="B833" s="169"/>
      <c r="C833" s="161"/>
      <c r="D833" s="229"/>
      <c r="E833" s="161"/>
      <c r="F833" s="161"/>
      <c r="G833" s="161"/>
      <c r="H833" s="171"/>
      <c r="I833" s="171"/>
      <c r="J833" s="171"/>
      <c r="K833" s="171"/>
      <c r="L833" s="171"/>
      <c r="M833" s="171"/>
      <c r="N833" s="171"/>
      <c r="O833" s="171"/>
      <c r="P833" s="171"/>
      <c r="Q833" s="171"/>
      <c r="R833" s="171"/>
      <c r="S833" s="171"/>
      <c r="T833" s="171"/>
      <c r="U833" s="171"/>
      <c r="V833" s="171"/>
      <c r="W833" s="171"/>
      <c r="X833" s="161"/>
      <c r="Y833" s="161"/>
      <c r="Z833" s="161"/>
      <c r="AA833" s="161"/>
      <c r="AB833" s="161"/>
      <c r="AC833" s="171"/>
      <c r="AD833" s="198"/>
    </row>
    <row r="834">
      <c r="A834" s="169"/>
      <c r="B834" s="169"/>
      <c r="C834" s="161"/>
      <c r="D834" s="229"/>
      <c r="E834" s="161"/>
      <c r="F834" s="161"/>
      <c r="G834" s="161"/>
      <c r="H834" s="171"/>
      <c r="I834" s="171"/>
      <c r="J834" s="171"/>
      <c r="K834" s="171"/>
      <c r="L834" s="171"/>
      <c r="M834" s="171"/>
      <c r="N834" s="171"/>
      <c r="O834" s="171"/>
      <c r="P834" s="171"/>
      <c r="Q834" s="171"/>
      <c r="R834" s="171"/>
      <c r="S834" s="171"/>
      <c r="T834" s="171"/>
      <c r="U834" s="171"/>
      <c r="V834" s="171"/>
      <c r="W834" s="171"/>
      <c r="X834" s="161"/>
      <c r="Y834" s="161"/>
      <c r="Z834" s="161"/>
      <c r="AA834" s="161"/>
      <c r="AB834" s="161"/>
      <c r="AC834" s="171"/>
      <c r="AD834" s="198"/>
    </row>
    <row r="835">
      <c r="A835" s="169"/>
      <c r="B835" s="169"/>
      <c r="C835" s="161"/>
      <c r="D835" s="229"/>
      <c r="E835" s="161"/>
      <c r="F835" s="161"/>
      <c r="G835" s="161"/>
      <c r="H835" s="171"/>
      <c r="I835" s="171"/>
      <c r="J835" s="171"/>
      <c r="K835" s="171"/>
      <c r="L835" s="171"/>
      <c r="M835" s="171"/>
      <c r="N835" s="171"/>
      <c r="O835" s="171"/>
      <c r="P835" s="171"/>
      <c r="Q835" s="171"/>
      <c r="R835" s="171"/>
      <c r="S835" s="171"/>
      <c r="T835" s="171"/>
      <c r="U835" s="171"/>
      <c r="V835" s="171"/>
      <c r="W835" s="171"/>
      <c r="X835" s="161"/>
      <c r="Y835" s="161"/>
      <c r="Z835" s="161"/>
      <c r="AA835" s="161"/>
      <c r="AB835" s="161"/>
      <c r="AC835" s="171"/>
      <c r="AD835" s="198"/>
    </row>
    <row r="836">
      <c r="A836" s="169"/>
      <c r="B836" s="169"/>
      <c r="C836" s="161"/>
      <c r="D836" s="229"/>
      <c r="E836" s="161"/>
      <c r="F836" s="161"/>
      <c r="G836" s="161"/>
      <c r="H836" s="171"/>
      <c r="I836" s="171"/>
      <c r="J836" s="171"/>
      <c r="K836" s="171"/>
      <c r="L836" s="171"/>
      <c r="M836" s="171"/>
      <c r="N836" s="171"/>
      <c r="O836" s="171"/>
      <c r="P836" s="171"/>
      <c r="Q836" s="171"/>
      <c r="R836" s="171"/>
      <c r="S836" s="171"/>
      <c r="T836" s="171"/>
      <c r="U836" s="171"/>
      <c r="V836" s="171"/>
      <c r="W836" s="171"/>
      <c r="X836" s="161"/>
      <c r="Y836" s="161"/>
      <c r="Z836" s="161"/>
      <c r="AA836" s="161"/>
      <c r="AB836" s="161"/>
      <c r="AC836" s="171"/>
      <c r="AD836" s="198"/>
    </row>
    <row r="837">
      <c r="A837" s="169"/>
      <c r="B837" s="169"/>
      <c r="C837" s="161"/>
      <c r="D837" s="229"/>
      <c r="E837" s="161"/>
      <c r="F837" s="161"/>
      <c r="G837" s="161"/>
      <c r="H837" s="171"/>
      <c r="I837" s="171"/>
      <c r="J837" s="171"/>
      <c r="K837" s="171"/>
      <c r="L837" s="171"/>
      <c r="M837" s="171"/>
      <c r="N837" s="171"/>
      <c r="O837" s="171"/>
      <c r="P837" s="171"/>
      <c r="Q837" s="171"/>
      <c r="R837" s="171"/>
      <c r="S837" s="171"/>
      <c r="T837" s="171"/>
      <c r="U837" s="171"/>
      <c r="V837" s="171"/>
      <c r="W837" s="171"/>
      <c r="X837" s="161"/>
      <c r="Y837" s="161"/>
      <c r="Z837" s="161"/>
      <c r="AA837" s="161"/>
      <c r="AB837" s="161"/>
      <c r="AC837" s="171"/>
      <c r="AD837" s="198"/>
    </row>
    <row r="838">
      <c r="A838" s="169"/>
      <c r="B838" s="169"/>
      <c r="C838" s="161"/>
      <c r="D838" s="229"/>
      <c r="E838" s="161"/>
      <c r="F838" s="161"/>
      <c r="G838" s="161"/>
      <c r="H838" s="171"/>
      <c r="I838" s="171"/>
      <c r="J838" s="171"/>
      <c r="K838" s="171"/>
      <c r="L838" s="171"/>
      <c r="M838" s="171"/>
      <c r="N838" s="171"/>
      <c r="O838" s="171"/>
      <c r="P838" s="171"/>
      <c r="Q838" s="171"/>
      <c r="R838" s="171"/>
      <c r="S838" s="171"/>
      <c r="T838" s="171"/>
      <c r="U838" s="171"/>
      <c r="V838" s="171"/>
      <c r="W838" s="171"/>
      <c r="X838" s="161"/>
      <c r="Y838" s="161"/>
      <c r="Z838" s="161"/>
      <c r="AA838" s="161"/>
      <c r="AB838" s="161"/>
      <c r="AC838" s="171"/>
      <c r="AD838" s="198"/>
    </row>
    <row r="839">
      <c r="A839" s="169"/>
      <c r="B839" s="169"/>
      <c r="C839" s="161"/>
      <c r="D839" s="229"/>
      <c r="E839" s="161"/>
      <c r="F839" s="161"/>
      <c r="G839" s="161"/>
      <c r="H839" s="171"/>
      <c r="I839" s="171"/>
      <c r="J839" s="171"/>
      <c r="K839" s="171"/>
      <c r="L839" s="171"/>
      <c r="M839" s="171"/>
      <c r="N839" s="171"/>
      <c r="O839" s="171"/>
      <c r="P839" s="171"/>
      <c r="Q839" s="171"/>
      <c r="R839" s="171"/>
      <c r="S839" s="171"/>
      <c r="T839" s="171"/>
      <c r="U839" s="171"/>
      <c r="V839" s="171"/>
      <c r="W839" s="171"/>
      <c r="X839" s="161"/>
      <c r="Y839" s="161"/>
      <c r="Z839" s="161"/>
      <c r="AA839" s="161"/>
      <c r="AB839" s="161"/>
      <c r="AC839" s="171"/>
      <c r="AD839" s="198"/>
    </row>
    <row r="840">
      <c r="A840" s="169"/>
      <c r="B840" s="169"/>
      <c r="C840" s="161"/>
      <c r="D840" s="229"/>
      <c r="E840" s="161"/>
      <c r="F840" s="161"/>
      <c r="G840" s="161"/>
      <c r="H840" s="171"/>
      <c r="I840" s="171"/>
      <c r="J840" s="171"/>
      <c r="K840" s="171"/>
      <c r="L840" s="171"/>
      <c r="M840" s="171"/>
      <c r="N840" s="171"/>
      <c r="O840" s="171"/>
      <c r="P840" s="171"/>
      <c r="Q840" s="171"/>
      <c r="R840" s="171"/>
      <c r="S840" s="171"/>
      <c r="T840" s="171"/>
      <c r="U840" s="171"/>
      <c r="V840" s="171"/>
      <c r="W840" s="171"/>
      <c r="X840" s="161"/>
      <c r="Y840" s="161"/>
      <c r="Z840" s="161"/>
      <c r="AA840" s="161"/>
      <c r="AB840" s="161"/>
      <c r="AC840" s="171"/>
      <c r="AD840" s="198"/>
    </row>
    <row r="841">
      <c r="A841" s="169"/>
      <c r="B841" s="169"/>
      <c r="C841" s="161"/>
      <c r="D841" s="229"/>
      <c r="E841" s="161"/>
      <c r="F841" s="161"/>
      <c r="G841" s="161"/>
      <c r="H841" s="171"/>
      <c r="I841" s="171"/>
      <c r="J841" s="171"/>
      <c r="K841" s="171"/>
      <c r="L841" s="171"/>
      <c r="M841" s="171"/>
      <c r="N841" s="171"/>
      <c r="O841" s="171"/>
      <c r="P841" s="171"/>
      <c r="Q841" s="171"/>
      <c r="R841" s="171"/>
      <c r="S841" s="171"/>
      <c r="T841" s="171"/>
      <c r="U841" s="171"/>
      <c r="V841" s="171"/>
      <c r="W841" s="171"/>
      <c r="X841" s="161"/>
      <c r="Y841" s="161"/>
      <c r="Z841" s="161"/>
      <c r="AA841" s="161"/>
      <c r="AB841" s="161"/>
      <c r="AC841" s="171"/>
      <c r="AD841" s="198"/>
    </row>
    <row r="842">
      <c r="A842" s="169"/>
      <c r="B842" s="169"/>
      <c r="C842" s="161"/>
      <c r="D842" s="229"/>
      <c r="E842" s="161"/>
      <c r="F842" s="161"/>
      <c r="G842" s="161"/>
      <c r="H842" s="171"/>
      <c r="I842" s="171"/>
      <c r="J842" s="171"/>
      <c r="K842" s="171"/>
      <c r="L842" s="171"/>
      <c r="M842" s="171"/>
      <c r="N842" s="171"/>
      <c r="O842" s="171"/>
      <c r="P842" s="171"/>
      <c r="Q842" s="171"/>
      <c r="R842" s="171"/>
      <c r="S842" s="171"/>
      <c r="T842" s="171"/>
      <c r="U842" s="171"/>
      <c r="V842" s="171"/>
      <c r="W842" s="171"/>
      <c r="X842" s="161"/>
      <c r="Y842" s="161"/>
      <c r="Z842" s="161"/>
      <c r="AA842" s="161"/>
      <c r="AB842" s="161"/>
      <c r="AC842" s="171"/>
      <c r="AD842" s="198"/>
    </row>
    <row r="843">
      <c r="A843" s="169"/>
      <c r="B843" s="169"/>
      <c r="C843" s="161"/>
      <c r="D843" s="229"/>
      <c r="E843" s="161"/>
      <c r="F843" s="161"/>
      <c r="G843" s="161"/>
      <c r="H843" s="171"/>
      <c r="I843" s="171"/>
      <c r="J843" s="171"/>
      <c r="K843" s="171"/>
      <c r="L843" s="171"/>
      <c r="M843" s="171"/>
      <c r="N843" s="171"/>
      <c r="O843" s="171"/>
      <c r="P843" s="171"/>
      <c r="Q843" s="171"/>
      <c r="R843" s="171"/>
      <c r="S843" s="171"/>
      <c r="T843" s="171"/>
      <c r="U843" s="171"/>
      <c r="V843" s="171"/>
      <c r="W843" s="171"/>
      <c r="X843" s="161"/>
      <c r="Y843" s="161"/>
      <c r="Z843" s="161"/>
      <c r="AA843" s="161"/>
      <c r="AB843" s="161"/>
      <c r="AC843" s="171"/>
      <c r="AD843" s="198"/>
    </row>
    <row r="844">
      <c r="A844" s="169"/>
      <c r="B844" s="169"/>
      <c r="C844" s="161"/>
      <c r="D844" s="229"/>
      <c r="E844" s="161"/>
      <c r="F844" s="161"/>
      <c r="G844" s="161"/>
      <c r="H844" s="171"/>
      <c r="I844" s="171"/>
      <c r="J844" s="171"/>
      <c r="K844" s="171"/>
      <c r="L844" s="171"/>
      <c r="M844" s="171"/>
      <c r="N844" s="171"/>
      <c r="O844" s="171"/>
      <c r="P844" s="171"/>
      <c r="Q844" s="171"/>
      <c r="R844" s="171"/>
      <c r="S844" s="171"/>
      <c r="T844" s="171"/>
      <c r="U844" s="171"/>
      <c r="V844" s="171"/>
      <c r="W844" s="171"/>
      <c r="X844" s="161"/>
      <c r="Y844" s="161"/>
      <c r="Z844" s="161"/>
      <c r="AA844" s="161"/>
      <c r="AB844" s="161"/>
      <c r="AC844" s="171"/>
      <c r="AD844" s="198"/>
    </row>
    <row r="845">
      <c r="A845" s="169"/>
      <c r="B845" s="169"/>
      <c r="C845" s="161"/>
      <c r="D845" s="229"/>
      <c r="E845" s="161"/>
      <c r="F845" s="161"/>
      <c r="G845" s="161"/>
      <c r="H845" s="171"/>
      <c r="I845" s="171"/>
      <c r="J845" s="171"/>
      <c r="K845" s="171"/>
      <c r="L845" s="171"/>
      <c r="M845" s="171"/>
      <c r="N845" s="171"/>
      <c r="O845" s="171"/>
      <c r="P845" s="171"/>
      <c r="Q845" s="171"/>
      <c r="R845" s="171"/>
      <c r="S845" s="171"/>
      <c r="T845" s="171"/>
      <c r="U845" s="171"/>
      <c r="V845" s="171"/>
      <c r="W845" s="171"/>
      <c r="X845" s="161"/>
      <c r="Y845" s="161"/>
      <c r="Z845" s="161"/>
      <c r="AA845" s="161"/>
      <c r="AB845" s="161"/>
      <c r="AC845" s="171"/>
      <c r="AD845" s="198"/>
    </row>
    <row r="846">
      <c r="A846" s="169"/>
      <c r="B846" s="169"/>
      <c r="C846" s="161"/>
      <c r="D846" s="229"/>
      <c r="E846" s="161"/>
      <c r="F846" s="161"/>
      <c r="G846" s="161"/>
      <c r="H846" s="171"/>
      <c r="I846" s="171"/>
      <c r="J846" s="171"/>
      <c r="K846" s="171"/>
      <c r="L846" s="171"/>
      <c r="M846" s="171"/>
      <c r="N846" s="171"/>
      <c r="O846" s="171"/>
      <c r="P846" s="171"/>
      <c r="Q846" s="171"/>
      <c r="R846" s="171"/>
      <c r="S846" s="171"/>
      <c r="T846" s="171"/>
      <c r="U846" s="171"/>
      <c r="V846" s="171"/>
      <c r="W846" s="171"/>
      <c r="X846" s="161"/>
      <c r="Y846" s="161"/>
      <c r="Z846" s="161"/>
      <c r="AA846" s="161"/>
      <c r="AB846" s="161"/>
      <c r="AC846" s="171"/>
      <c r="AD846" s="198"/>
    </row>
    <row r="847">
      <c r="A847" s="169"/>
      <c r="B847" s="169"/>
      <c r="C847" s="161"/>
      <c r="D847" s="229"/>
      <c r="E847" s="161"/>
      <c r="F847" s="161"/>
      <c r="G847" s="161"/>
      <c r="H847" s="171"/>
      <c r="I847" s="171"/>
      <c r="J847" s="171"/>
      <c r="K847" s="171"/>
      <c r="L847" s="171"/>
      <c r="M847" s="171"/>
      <c r="N847" s="171"/>
      <c r="O847" s="171"/>
      <c r="P847" s="171"/>
      <c r="Q847" s="171"/>
      <c r="R847" s="171"/>
      <c r="S847" s="171"/>
      <c r="T847" s="171"/>
      <c r="U847" s="171"/>
      <c r="V847" s="171"/>
      <c r="W847" s="171"/>
      <c r="X847" s="161"/>
      <c r="Y847" s="161"/>
      <c r="Z847" s="161"/>
      <c r="AA847" s="161"/>
      <c r="AB847" s="161"/>
      <c r="AC847" s="171"/>
      <c r="AD847" s="198"/>
    </row>
    <row r="848">
      <c r="A848" s="169"/>
      <c r="B848" s="169"/>
      <c r="C848" s="161"/>
      <c r="D848" s="229"/>
      <c r="E848" s="161"/>
      <c r="F848" s="161"/>
      <c r="G848" s="161"/>
      <c r="H848" s="171"/>
      <c r="I848" s="171"/>
      <c r="J848" s="171"/>
      <c r="K848" s="171"/>
      <c r="L848" s="171"/>
      <c r="M848" s="171"/>
      <c r="N848" s="171"/>
      <c r="O848" s="171"/>
      <c r="P848" s="171"/>
      <c r="Q848" s="171"/>
      <c r="R848" s="171"/>
      <c r="S848" s="171"/>
      <c r="T848" s="171"/>
      <c r="U848" s="171"/>
      <c r="V848" s="171"/>
      <c r="W848" s="171"/>
      <c r="X848" s="161"/>
      <c r="Y848" s="161"/>
      <c r="Z848" s="161"/>
      <c r="AA848" s="161"/>
      <c r="AB848" s="161"/>
      <c r="AC848" s="171"/>
      <c r="AD848" s="198"/>
    </row>
    <row r="849">
      <c r="A849" s="169"/>
      <c r="B849" s="169"/>
      <c r="C849" s="161"/>
      <c r="D849" s="229"/>
      <c r="E849" s="161"/>
      <c r="F849" s="161"/>
      <c r="G849" s="161"/>
      <c r="H849" s="171"/>
      <c r="I849" s="171"/>
      <c r="J849" s="171"/>
      <c r="K849" s="171"/>
      <c r="L849" s="171"/>
      <c r="M849" s="171"/>
      <c r="N849" s="171"/>
      <c r="O849" s="171"/>
      <c r="P849" s="171"/>
      <c r="Q849" s="171"/>
      <c r="R849" s="171"/>
      <c r="S849" s="171"/>
      <c r="T849" s="171"/>
      <c r="U849" s="171"/>
      <c r="V849" s="171"/>
      <c r="W849" s="171"/>
      <c r="X849" s="161"/>
      <c r="Y849" s="161"/>
      <c r="Z849" s="161"/>
      <c r="AA849" s="161"/>
      <c r="AB849" s="161"/>
      <c r="AC849" s="171"/>
      <c r="AD849" s="198"/>
    </row>
    <row r="850">
      <c r="A850" s="169"/>
      <c r="B850" s="169"/>
      <c r="C850" s="161"/>
      <c r="D850" s="229"/>
      <c r="E850" s="161"/>
      <c r="F850" s="161"/>
      <c r="G850" s="161"/>
      <c r="H850" s="171"/>
      <c r="I850" s="171"/>
      <c r="J850" s="171"/>
      <c r="K850" s="171"/>
      <c r="L850" s="171"/>
      <c r="M850" s="171"/>
      <c r="N850" s="171"/>
      <c r="O850" s="171"/>
      <c r="P850" s="171"/>
      <c r="Q850" s="171"/>
      <c r="R850" s="171"/>
      <c r="S850" s="171"/>
      <c r="T850" s="171"/>
      <c r="U850" s="171"/>
      <c r="V850" s="171"/>
      <c r="W850" s="171"/>
      <c r="X850" s="161"/>
      <c r="Y850" s="161"/>
      <c r="Z850" s="161"/>
      <c r="AA850" s="161"/>
      <c r="AB850" s="161"/>
      <c r="AC850" s="171"/>
      <c r="AD850" s="198"/>
    </row>
    <row r="851">
      <c r="A851" s="169"/>
      <c r="B851" s="169"/>
      <c r="C851" s="161"/>
      <c r="D851" s="229"/>
      <c r="E851" s="161"/>
      <c r="F851" s="161"/>
      <c r="G851" s="161"/>
      <c r="H851" s="171"/>
      <c r="I851" s="171"/>
      <c r="J851" s="171"/>
      <c r="K851" s="171"/>
      <c r="L851" s="171"/>
      <c r="M851" s="171"/>
      <c r="N851" s="171"/>
      <c r="O851" s="171"/>
      <c r="P851" s="171"/>
      <c r="Q851" s="171"/>
      <c r="R851" s="171"/>
      <c r="S851" s="171"/>
      <c r="T851" s="171"/>
      <c r="U851" s="171"/>
      <c r="V851" s="171"/>
      <c r="W851" s="171"/>
      <c r="X851" s="161"/>
      <c r="Y851" s="161"/>
      <c r="Z851" s="161"/>
      <c r="AA851" s="161"/>
      <c r="AB851" s="161"/>
      <c r="AC851" s="171"/>
      <c r="AD851" s="198"/>
    </row>
    <row r="852">
      <c r="A852" s="169"/>
      <c r="B852" s="169"/>
      <c r="C852" s="161"/>
      <c r="D852" s="229"/>
      <c r="E852" s="161"/>
      <c r="F852" s="161"/>
      <c r="G852" s="161"/>
      <c r="H852" s="171"/>
      <c r="I852" s="171"/>
      <c r="J852" s="171"/>
      <c r="K852" s="171"/>
      <c r="L852" s="171"/>
      <c r="M852" s="171"/>
      <c r="N852" s="171"/>
      <c r="O852" s="171"/>
      <c r="P852" s="171"/>
      <c r="Q852" s="171"/>
      <c r="R852" s="171"/>
      <c r="S852" s="171"/>
      <c r="T852" s="171"/>
      <c r="U852" s="171"/>
      <c r="V852" s="171"/>
      <c r="W852" s="171"/>
      <c r="X852" s="161"/>
      <c r="Y852" s="161"/>
      <c r="Z852" s="161"/>
      <c r="AA852" s="161"/>
      <c r="AB852" s="161"/>
      <c r="AC852" s="171"/>
      <c r="AD852" s="198"/>
    </row>
    <row r="853">
      <c r="A853" s="169"/>
      <c r="B853" s="169"/>
      <c r="C853" s="161"/>
      <c r="D853" s="229"/>
      <c r="E853" s="161"/>
      <c r="F853" s="161"/>
      <c r="G853" s="161"/>
      <c r="H853" s="171"/>
      <c r="I853" s="171"/>
      <c r="J853" s="171"/>
      <c r="K853" s="171"/>
      <c r="L853" s="171"/>
      <c r="M853" s="171"/>
      <c r="N853" s="171"/>
      <c r="O853" s="171"/>
      <c r="P853" s="171"/>
      <c r="Q853" s="171"/>
      <c r="R853" s="171"/>
      <c r="S853" s="171"/>
      <c r="T853" s="171"/>
      <c r="U853" s="171"/>
      <c r="V853" s="171"/>
      <c r="W853" s="171"/>
      <c r="X853" s="161"/>
      <c r="Y853" s="161"/>
      <c r="Z853" s="161"/>
      <c r="AA853" s="161"/>
      <c r="AB853" s="161"/>
      <c r="AC853" s="171"/>
      <c r="AD853" s="198"/>
    </row>
    <row r="854">
      <c r="A854" s="169"/>
      <c r="B854" s="169"/>
      <c r="C854" s="161"/>
      <c r="D854" s="229"/>
      <c r="E854" s="161"/>
      <c r="F854" s="161"/>
      <c r="G854" s="161"/>
      <c r="H854" s="171"/>
      <c r="I854" s="171"/>
      <c r="J854" s="171"/>
      <c r="K854" s="171"/>
      <c r="L854" s="171"/>
      <c r="M854" s="171"/>
      <c r="N854" s="171"/>
      <c r="O854" s="171"/>
      <c r="P854" s="171"/>
      <c r="Q854" s="171"/>
      <c r="R854" s="171"/>
      <c r="S854" s="171"/>
      <c r="T854" s="171"/>
      <c r="U854" s="171"/>
      <c r="V854" s="171"/>
      <c r="W854" s="171"/>
      <c r="X854" s="161"/>
      <c r="Y854" s="161"/>
      <c r="Z854" s="161"/>
      <c r="AA854" s="161"/>
      <c r="AB854" s="161"/>
      <c r="AC854" s="171"/>
      <c r="AD854" s="198"/>
    </row>
    <row r="855">
      <c r="A855" s="169"/>
      <c r="B855" s="169"/>
      <c r="C855" s="161"/>
      <c r="D855" s="229"/>
      <c r="E855" s="161"/>
      <c r="F855" s="161"/>
      <c r="G855" s="161"/>
      <c r="H855" s="171"/>
      <c r="I855" s="171"/>
      <c r="J855" s="171"/>
      <c r="K855" s="171"/>
      <c r="L855" s="171"/>
      <c r="M855" s="171"/>
      <c r="N855" s="171"/>
      <c r="O855" s="171"/>
      <c r="P855" s="171"/>
      <c r="Q855" s="171"/>
      <c r="R855" s="171"/>
      <c r="S855" s="171"/>
      <c r="T855" s="171"/>
      <c r="U855" s="171"/>
      <c r="V855" s="171"/>
      <c r="W855" s="171"/>
      <c r="X855" s="161"/>
      <c r="Y855" s="161"/>
      <c r="Z855" s="161"/>
      <c r="AA855" s="161"/>
      <c r="AB855" s="161"/>
      <c r="AC855" s="171"/>
      <c r="AD855" s="198"/>
    </row>
    <row r="856">
      <c r="A856" s="169"/>
      <c r="B856" s="169"/>
      <c r="C856" s="161"/>
      <c r="D856" s="229"/>
      <c r="E856" s="161"/>
      <c r="F856" s="161"/>
      <c r="G856" s="161"/>
      <c r="H856" s="171"/>
      <c r="I856" s="171"/>
      <c r="J856" s="171"/>
      <c r="K856" s="171"/>
      <c r="L856" s="171"/>
      <c r="M856" s="171"/>
      <c r="N856" s="171"/>
      <c r="O856" s="171"/>
      <c r="P856" s="171"/>
      <c r="Q856" s="171"/>
      <c r="R856" s="171"/>
      <c r="S856" s="171"/>
      <c r="T856" s="171"/>
      <c r="U856" s="171"/>
      <c r="V856" s="171"/>
      <c r="W856" s="171"/>
      <c r="X856" s="161"/>
      <c r="Y856" s="161"/>
      <c r="Z856" s="161"/>
      <c r="AA856" s="161"/>
      <c r="AB856" s="161"/>
      <c r="AC856" s="171"/>
      <c r="AD856" s="198"/>
    </row>
    <row r="857">
      <c r="A857" s="169"/>
      <c r="B857" s="169"/>
      <c r="C857" s="161"/>
      <c r="D857" s="229"/>
      <c r="E857" s="161"/>
      <c r="F857" s="161"/>
      <c r="G857" s="161"/>
      <c r="H857" s="171"/>
      <c r="I857" s="171"/>
      <c r="J857" s="171"/>
      <c r="K857" s="171"/>
      <c r="L857" s="171"/>
      <c r="M857" s="171"/>
      <c r="N857" s="171"/>
      <c r="O857" s="171"/>
      <c r="P857" s="171"/>
      <c r="Q857" s="171"/>
      <c r="R857" s="171"/>
      <c r="S857" s="171"/>
      <c r="T857" s="171"/>
      <c r="U857" s="171"/>
      <c r="V857" s="171"/>
      <c r="W857" s="171"/>
      <c r="X857" s="161"/>
      <c r="Y857" s="161"/>
      <c r="Z857" s="161"/>
      <c r="AA857" s="161"/>
      <c r="AB857" s="161"/>
      <c r="AC857" s="171"/>
      <c r="AD857" s="198"/>
    </row>
    <row r="858">
      <c r="A858" s="169"/>
      <c r="B858" s="169"/>
      <c r="C858" s="161"/>
      <c r="D858" s="229"/>
      <c r="E858" s="161"/>
      <c r="F858" s="161"/>
      <c r="G858" s="161"/>
      <c r="H858" s="171"/>
      <c r="I858" s="171"/>
      <c r="J858" s="171"/>
      <c r="K858" s="171"/>
      <c r="L858" s="171"/>
      <c r="M858" s="171"/>
      <c r="N858" s="171"/>
      <c r="O858" s="171"/>
      <c r="P858" s="171"/>
      <c r="Q858" s="171"/>
      <c r="R858" s="171"/>
      <c r="S858" s="171"/>
      <c r="T858" s="171"/>
      <c r="U858" s="171"/>
      <c r="V858" s="171"/>
      <c r="W858" s="171"/>
      <c r="X858" s="161"/>
      <c r="Y858" s="161"/>
      <c r="Z858" s="161"/>
      <c r="AA858" s="161"/>
      <c r="AB858" s="161"/>
      <c r="AC858" s="171"/>
      <c r="AD858" s="198"/>
    </row>
    <row r="859">
      <c r="A859" s="169"/>
      <c r="B859" s="169"/>
      <c r="C859" s="161"/>
      <c r="D859" s="229"/>
      <c r="E859" s="161"/>
      <c r="F859" s="161"/>
      <c r="G859" s="161"/>
      <c r="H859" s="171"/>
      <c r="I859" s="171"/>
      <c r="J859" s="171"/>
      <c r="K859" s="171"/>
      <c r="L859" s="171"/>
      <c r="M859" s="171"/>
      <c r="N859" s="171"/>
      <c r="O859" s="171"/>
      <c r="P859" s="171"/>
      <c r="Q859" s="171"/>
      <c r="R859" s="171"/>
      <c r="S859" s="171"/>
      <c r="T859" s="171"/>
      <c r="U859" s="171"/>
      <c r="V859" s="171"/>
      <c r="W859" s="171"/>
      <c r="X859" s="161"/>
      <c r="Y859" s="161"/>
      <c r="Z859" s="161"/>
      <c r="AA859" s="161"/>
      <c r="AB859" s="161"/>
      <c r="AC859" s="171"/>
      <c r="AD859" s="198"/>
    </row>
    <row r="860">
      <c r="A860" s="169"/>
      <c r="B860" s="169"/>
      <c r="C860" s="161"/>
      <c r="D860" s="229"/>
      <c r="E860" s="161"/>
      <c r="F860" s="161"/>
      <c r="G860" s="161"/>
      <c r="H860" s="171"/>
      <c r="I860" s="171"/>
      <c r="J860" s="171"/>
      <c r="K860" s="171"/>
      <c r="L860" s="171"/>
      <c r="M860" s="171"/>
      <c r="N860" s="171"/>
      <c r="O860" s="171"/>
      <c r="P860" s="171"/>
      <c r="Q860" s="171"/>
      <c r="R860" s="171"/>
      <c r="S860" s="171"/>
      <c r="T860" s="171"/>
      <c r="U860" s="171"/>
      <c r="V860" s="171"/>
      <c r="W860" s="171"/>
      <c r="X860" s="161"/>
      <c r="Y860" s="161"/>
      <c r="Z860" s="161"/>
      <c r="AA860" s="161"/>
      <c r="AB860" s="161"/>
      <c r="AC860" s="171"/>
      <c r="AD860" s="198"/>
    </row>
    <row r="861">
      <c r="A861" s="169"/>
      <c r="B861" s="169"/>
      <c r="C861" s="161"/>
      <c r="D861" s="229"/>
      <c r="E861" s="161"/>
      <c r="F861" s="161"/>
      <c r="G861" s="161"/>
      <c r="H861" s="171"/>
      <c r="I861" s="171"/>
      <c r="J861" s="171"/>
      <c r="K861" s="171"/>
      <c r="L861" s="171"/>
      <c r="M861" s="171"/>
      <c r="N861" s="171"/>
      <c r="O861" s="171"/>
      <c r="P861" s="171"/>
      <c r="Q861" s="171"/>
      <c r="R861" s="171"/>
      <c r="S861" s="171"/>
      <c r="T861" s="171"/>
      <c r="U861" s="171"/>
      <c r="V861" s="171"/>
      <c r="W861" s="171"/>
      <c r="X861" s="161"/>
      <c r="Y861" s="161"/>
      <c r="Z861" s="161"/>
      <c r="AA861" s="161"/>
      <c r="AB861" s="161"/>
      <c r="AC861" s="171"/>
      <c r="AD861" s="198"/>
    </row>
    <row r="862">
      <c r="A862" s="169"/>
      <c r="B862" s="169"/>
      <c r="C862" s="161"/>
      <c r="D862" s="229"/>
      <c r="E862" s="161"/>
      <c r="F862" s="161"/>
      <c r="G862" s="161"/>
      <c r="H862" s="171"/>
      <c r="I862" s="171"/>
      <c r="J862" s="171"/>
      <c r="K862" s="171"/>
      <c r="L862" s="171"/>
      <c r="M862" s="171"/>
      <c r="N862" s="171"/>
      <c r="O862" s="171"/>
      <c r="P862" s="171"/>
      <c r="Q862" s="171"/>
      <c r="R862" s="171"/>
      <c r="S862" s="171"/>
      <c r="T862" s="171"/>
      <c r="U862" s="171"/>
      <c r="V862" s="171"/>
      <c r="W862" s="171"/>
      <c r="X862" s="161"/>
      <c r="Y862" s="161"/>
      <c r="Z862" s="161"/>
      <c r="AA862" s="161"/>
      <c r="AB862" s="161"/>
      <c r="AC862" s="171"/>
      <c r="AD862" s="198"/>
    </row>
    <row r="863">
      <c r="A863" s="169"/>
      <c r="B863" s="169"/>
      <c r="C863" s="161"/>
      <c r="D863" s="229"/>
      <c r="E863" s="161"/>
      <c r="F863" s="161"/>
      <c r="G863" s="161"/>
      <c r="H863" s="171"/>
      <c r="I863" s="171"/>
      <c r="J863" s="171"/>
      <c r="K863" s="171"/>
      <c r="L863" s="171"/>
      <c r="M863" s="171"/>
      <c r="N863" s="171"/>
      <c r="O863" s="171"/>
      <c r="P863" s="171"/>
      <c r="Q863" s="171"/>
      <c r="R863" s="171"/>
      <c r="S863" s="171"/>
      <c r="T863" s="171"/>
      <c r="U863" s="171"/>
      <c r="V863" s="171"/>
      <c r="W863" s="171"/>
      <c r="X863" s="161"/>
      <c r="Y863" s="161"/>
      <c r="Z863" s="161"/>
      <c r="AA863" s="161"/>
      <c r="AB863" s="161"/>
      <c r="AC863" s="171"/>
      <c r="AD863" s="198"/>
    </row>
    <row r="864">
      <c r="A864" s="169"/>
      <c r="B864" s="169"/>
      <c r="C864" s="161"/>
      <c r="D864" s="229"/>
      <c r="E864" s="161"/>
      <c r="F864" s="161"/>
      <c r="G864" s="161"/>
      <c r="H864" s="171"/>
      <c r="I864" s="171"/>
      <c r="J864" s="171"/>
      <c r="K864" s="171"/>
      <c r="L864" s="171"/>
      <c r="M864" s="171"/>
      <c r="N864" s="171"/>
      <c r="O864" s="171"/>
      <c r="P864" s="171"/>
      <c r="Q864" s="171"/>
      <c r="R864" s="171"/>
      <c r="S864" s="171"/>
      <c r="T864" s="171"/>
      <c r="U864" s="171"/>
      <c r="V864" s="171"/>
      <c r="W864" s="171"/>
      <c r="X864" s="161"/>
      <c r="Y864" s="161"/>
      <c r="Z864" s="161"/>
      <c r="AA864" s="161"/>
      <c r="AB864" s="161"/>
      <c r="AC864" s="171"/>
      <c r="AD864" s="198"/>
    </row>
    <row r="865">
      <c r="A865" s="169"/>
      <c r="B865" s="169"/>
      <c r="C865" s="161"/>
      <c r="D865" s="229"/>
      <c r="E865" s="161"/>
      <c r="F865" s="161"/>
      <c r="G865" s="161"/>
      <c r="H865" s="171"/>
      <c r="I865" s="171"/>
      <c r="J865" s="171"/>
      <c r="K865" s="171"/>
      <c r="L865" s="171"/>
      <c r="M865" s="171"/>
      <c r="N865" s="171"/>
      <c r="O865" s="171"/>
      <c r="P865" s="171"/>
      <c r="Q865" s="171"/>
      <c r="R865" s="171"/>
      <c r="S865" s="171"/>
      <c r="T865" s="171"/>
      <c r="U865" s="171"/>
      <c r="V865" s="171"/>
      <c r="W865" s="171"/>
      <c r="X865" s="161"/>
      <c r="Y865" s="161"/>
      <c r="Z865" s="161"/>
      <c r="AA865" s="161"/>
      <c r="AB865" s="161"/>
      <c r="AC865" s="171"/>
      <c r="AD865" s="198"/>
    </row>
    <row r="866">
      <c r="A866" s="169"/>
      <c r="B866" s="169"/>
      <c r="C866" s="161"/>
      <c r="D866" s="229"/>
      <c r="E866" s="161"/>
      <c r="F866" s="161"/>
      <c r="G866" s="161"/>
      <c r="H866" s="171"/>
      <c r="I866" s="171"/>
      <c r="J866" s="171"/>
      <c r="K866" s="171"/>
      <c r="L866" s="171"/>
      <c r="M866" s="171"/>
      <c r="N866" s="171"/>
      <c r="O866" s="171"/>
      <c r="P866" s="171"/>
      <c r="Q866" s="171"/>
      <c r="R866" s="171"/>
      <c r="S866" s="171"/>
      <c r="T866" s="171"/>
      <c r="U866" s="171"/>
      <c r="V866" s="171"/>
      <c r="W866" s="171"/>
      <c r="X866" s="161"/>
      <c r="Y866" s="161"/>
      <c r="Z866" s="161"/>
      <c r="AA866" s="161"/>
      <c r="AB866" s="161"/>
      <c r="AC866" s="171"/>
      <c r="AD866" s="198"/>
    </row>
    <row r="867">
      <c r="A867" s="169"/>
      <c r="B867" s="169"/>
      <c r="C867" s="161"/>
      <c r="D867" s="229"/>
      <c r="E867" s="161"/>
      <c r="F867" s="161"/>
      <c r="G867" s="161"/>
      <c r="H867" s="171"/>
      <c r="I867" s="171"/>
      <c r="J867" s="171"/>
      <c r="K867" s="171"/>
      <c r="L867" s="171"/>
      <c r="M867" s="171"/>
      <c r="N867" s="171"/>
      <c r="O867" s="171"/>
      <c r="P867" s="171"/>
      <c r="Q867" s="171"/>
      <c r="R867" s="171"/>
      <c r="S867" s="171"/>
      <c r="T867" s="171"/>
      <c r="U867" s="171"/>
      <c r="V867" s="171"/>
      <c r="W867" s="171"/>
      <c r="X867" s="161"/>
      <c r="Y867" s="161"/>
      <c r="Z867" s="161"/>
      <c r="AA867" s="161"/>
      <c r="AB867" s="161"/>
      <c r="AC867" s="171"/>
      <c r="AD867" s="198"/>
    </row>
    <row r="868">
      <c r="A868" s="169"/>
      <c r="B868" s="169"/>
      <c r="C868" s="161"/>
      <c r="D868" s="229"/>
      <c r="E868" s="161"/>
      <c r="F868" s="161"/>
      <c r="G868" s="161"/>
      <c r="H868" s="171"/>
      <c r="I868" s="171"/>
      <c r="J868" s="171"/>
      <c r="K868" s="171"/>
      <c r="L868" s="171"/>
      <c r="M868" s="171"/>
      <c r="N868" s="171"/>
      <c r="O868" s="171"/>
      <c r="P868" s="171"/>
      <c r="Q868" s="171"/>
      <c r="R868" s="171"/>
      <c r="S868" s="171"/>
      <c r="T868" s="171"/>
      <c r="U868" s="171"/>
      <c r="V868" s="171"/>
      <c r="W868" s="171"/>
      <c r="X868" s="161"/>
      <c r="Y868" s="161"/>
      <c r="Z868" s="161"/>
      <c r="AA868" s="161"/>
      <c r="AB868" s="161"/>
      <c r="AC868" s="171"/>
      <c r="AD868" s="198"/>
    </row>
    <row r="869">
      <c r="A869" s="169"/>
      <c r="B869" s="169"/>
      <c r="C869" s="161"/>
      <c r="D869" s="229"/>
      <c r="E869" s="161"/>
      <c r="F869" s="161"/>
      <c r="G869" s="161"/>
      <c r="H869" s="171"/>
      <c r="I869" s="171"/>
      <c r="J869" s="171"/>
      <c r="K869" s="171"/>
      <c r="L869" s="171"/>
      <c r="M869" s="171"/>
      <c r="N869" s="171"/>
      <c r="O869" s="171"/>
      <c r="P869" s="171"/>
      <c r="Q869" s="171"/>
      <c r="R869" s="171"/>
      <c r="S869" s="171"/>
      <c r="T869" s="171"/>
      <c r="U869" s="171"/>
      <c r="V869" s="171"/>
      <c r="W869" s="171"/>
      <c r="X869" s="161"/>
      <c r="Y869" s="161"/>
      <c r="Z869" s="161"/>
      <c r="AA869" s="161"/>
      <c r="AB869" s="161"/>
      <c r="AC869" s="171"/>
      <c r="AD869" s="198"/>
    </row>
    <row r="870">
      <c r="A870" s="169"/>
      <c r="B870" s="169"/>
      <c r="C870" s="161"/>
      <c r="D870" s="229"/>
      <c r="E870" s="161"/>
      <c r="F870" s="161"/>
      <c r="G870" s="161"/>
      <c r="H870" s="171"/>
      <c r="I870" s="171"/>
      <c r="J870" s="171"/>
      <c r="K870" s="171"/>
      <c r="L870" s="171"/>
      <c r="M870" s="171"/>
      <c r="N870" s="171"/>
      <c r="O870" s="171"/>
      <c r="P870" s="171"/>
      <c r="Q870" s="171"/>
      <c r="R870" s="171"/>
      <c r="S870" s="171"/>
      <c r="T870" s="171"/>
      <c r="U870" s="171"/>
      <c r="V870" s="171"/>
      <c r="W870" s="171"/>
      <c r="X870" s="161"/>
      <c r="Y870" s="161"/>
      <c r="Z870" s="161"/>
      <c r="AA870" s="161"/>
      <c r="AB870" s="161"/>
      <c r="AC870" s="171"/>
      <c r="AD870" s="198"/>
    </row>
    <row r="871">
      <c r="A871" s="169"/>
      <c r="B871" s="169"/>
      <c r="C871" s="161"/>
      <c r="D871" s="229"/>
      <c r="E871" s="161"/>
      <c r="F871" s="161"/>
      <c r="G871" s="161"/>
      <c r="H871" s="171"/>
      <c r="I871" s="171"/>
      <c r="J871" s="171"/>
      <c r="K871" s="171"/>
      <c r="L871" s="171"/>
      <c r="M871" s="171"/>
      <c r="N871" s="171"/>
      <c r="O871" s="171"/>
      <c r="P871" s="171"/>
      <c r="Q871" s="171"/>
      <c r="R871" s="171"/>
      <c r="S871" s="171"/>
      <c r="T871" s="171"/>
      <c r="U871" s="171"/>
      <c r="V871" s="171"/>
      <c r="W871" s="171"/>
      <c r="X871" s="161"/>
      <c r="Y871" s="161"/>
      <c r="Z871" s="161"/>
      <c r="AA871" s="161"/>
      <c r="AB871" s="161"/>
      <c r="AC871" s="171"/>
      <c r="AD871" s="198"/>
    </row>
    <row r="872">
      <c r="A872" s="169"/>
      <c r="B872" s="169"/>
      <c r="C872" s="161"/>
      <c r="D872" s="229"/>
      <c r="E872" s="161"/>
      <c r="F872" s="161"/>
      <c r="G872" s="161"/>
      <c r="H872" s="171"/>
      <c r="I872" s="171"/>
      <c r="J872" s="171"/>
      <c r="K872" s="171"/>
      <c r="L872" s="171"/>
      <c r="M872" s="171"/>
      <c r="N872" s="171"/>
      <c r="O872" s="171"/>
      <c r="P872" s="171"/>
      <c r="Q872" s="171"/>
      <c r="R872" s="171"/>
      <c r="S872" s="171"/>
      <c r="T872" s="171"/>
      <c r="U872" s="171"/>
      <c r="V872" s="171"/>
      <c r="W872" s="171"/>
      <c r="X872" s="161"/>
      <c r="Y872" s="161"/>
      <c r="Z872" s="161"/>
      <c r="AA872" s="161"/>
      <c r="AB872" s="161"/>
      <c r="AC872" s="171"/>
      <c r="AD872" s="198"/>
    </row>
    <row r="873">
      <c r="A873" s="169"/>
      <c r="B873" s="169"/>
      <c r="C873" s="161"/>
      <c r="D873" s="229"/>
      <c r="E873" s="161"/>
      <c r="F873" s="161"/>
      <c r="G873" s="161"/>
      <c r="H873" s="171"/>
      <c r="I873" s="171"/>
      <c r="J873" s="171"/>
      <c r="K873" s="171"/>
      <c r="L873" s="171"/>
      <c r="M873" s="171"/>
      <c r="N873" s="171"/>
      <c r="O873" s="171"/>
      <c r="P873" s="171"/>
      <c r="Q873" s="171"/>
      <c r="R873" s="171"/>
      <c r="S873" s="171"/>
      <c r="T873" s="171"/>
      <c r="U873" s="171"/>
      <c r="V873" s="171"/>
      <c r="W873" s="171"/>
      <c r="X873" s="161"/>
      <c r="Y873" s="161"/>
      <c r="Z873" s="161"/>
      <c r="AA873" s="161"/>
      <c r="AB873" s="161"/>
      <c r="AC873" s="171"/>
      <c r="AD873" s="198"/>
    </row>
    <row r="874">
      <c r="A874" s="169"/>
      <c r="B874" s="169"/>
      <c r="C874" s="161"/>
      <c r="D874" s="229"/>
      <c r="E874" s="161"/>
      <c r="F874" s="161"/>
      <c r="G874" s="161"/>
      <c r="H874" s="171"/>
      <c r="I874" s="171"/>
      <c r="J874" s="171"/>
      <c r="K874" s="171"/>
      <c r="L874" s="171"/>
      <c r="M874" s="171"/>
      <c r="N874" s="171"/>
      <c r="O874" s="171"/>
      <c r="P874" s="171"/>
      <c r="Q874" s="171"/>
      <c r="R874" s="171"/>
      <c r="S874" s="171"/>
      <c r="T874" s="171"/>
      <c r="U874" s="171"/>
      <c r="V874" s="171"/>
      <c r="W874" s="171"/>
      <c r="X874" s="161"/>
      <c r="Y874" s="161"/>
      <c r="Z874" s="161"/>
      <c r="AA874" s="161"/>
      <c r="AB874" s="161"/>
      <c r="AC874" s="171"/>
      <c r="AD874" s="198"/>
    </row>
    <row r="875">
      <c r="A875" s="169"/>
      <c r="B875" s="169"/>
      <c r="C875" s="161"/>
      <c r="D875" s="229"/>
      <c r="E875" s="161"/>
      <c r="F875" s="161"/>
      <c r="G875" s="161"/>
      <c r="H875" s="171"/>
      <c r="I875" s="171"/>
      <c r="J875" s="171"/>
      <c r="K875" s="171"/>
      <c r="L875" s="171"/>
      <c r="M875" s="171"/>
      <c r="N875" s="171"/>
      <c r="O875" s="171"/>
      <c r="P875" s="171"/>
      <c r="Q875" s="171"/>
      <c r="R875" s="171"/>
      <c r="S875" s="171"/>
      <c r="T875" s="171"/>
      <c r="U875" s="171"/>
      <c r="V875" s="171"/>
      <c r="W875" s="171"/>
      <c r="X875" s="161"/>
      <c r="Y875" s="161"/>
      <c r="Z875" s="161"/>
      <c r="AA875" s="161"/>
      <c r="AB875" s="161"/>
      <c r="AC875" s="171"/>
      <c r="AD875" s="198"/>
    </row>
    <row r="876">
      <c r="A876" s="169"/>
      <c r="B876" s="169"/>
      <c r="C876" s="161"/>
      <c r="D876" s="229"/>
      <c r="E876" s="161"/>
      <c r="F876" s="161"/>
      <c r="G876" s="161"/>
      <c r="H876" s="171"/>
      <c r="I876" s="171"/>
      <c r="J876" s="171"/>
      <c r="K876" s="171"/>
      <c r="L876" s="171"/>
      <c r="M876" s="171"/>
      <c r="N876" s="171"/>
      <c r="O876" s="171"/>
      <c r="P876" s="171"/>
      <c r="Q876" s="171"/>
      <c r="R876" s="171"/>
      <c r="S876" s="171"/>
      <c r="T876" s="171"/>
      <c r="U876" s="171"/>
      <c r="V876" s="171"/>
      <c r="W876" s="171"/>
      <c r="X876" s="161"/>
      <c r="Y876" s="161"/>
      <c r="Z876" s="161"/>
      <c r="AA876" s="161"/>
      <c r="AB876" s="161"/>
      <c r="AC876" s="171"/>
      <c r="AD876" s="198"/>
    </row>
    <row r="877">
      <c r="A877" s="169"/>
      <c r="B877" s="169"/>
      <c r="C877" s="161"/>
      <c r="D877" s="229"/>
      <c r="E877" s="161"/>
      <c r="F877" s="161"/>
      <c r="G877" s="161"/>
      <c r="H877" s="171"/>
      <c r="I877" s="171"/>
      <c r="J877" s="171"/>
      <c r="K877" s="171"/>
      <c r="L877" s="171"/>
      <c r="M877" s="171"/>
      <c r="N877" s="171"/>
      <c r="O877" s="171"/>
      <c r="P877" s="171"/>
      <c r="Q877" s="171"/>
      <c r="R877" s="171"/>
      <c r="S877" s="171"/>
      <c r="T877" s="171"/>
      <c r="U877" s="171"/>
      <c r="V877" s="171"/>
      <c r="W877" s="171"/>
      <c r="X877" s="161"/>
      <c r="Y877" s="161"/>
      <c r="Z877" s="161"/>
      <c r="AA877" s="161"/>
      <c r="AB877" s="161"/>
      <c r="AC877" s="171"/>
      <c r="AD877" s="198"/>
    </row>
    <row r="878">
      <c r="A878" s="169"/>
      <c r="B878" s="169"/>
      <c r="C878" s="161"/>
      <c r="D878" s="229"/>
      <c r="E878" s="161"/>
      <c r="F878" s="161"/>
      <c r="G878" s="161"/>
      <c r="H878" s="171"/>
      <c r="I878" s="171"/>
      <c r="J878" s="171"/>
      <c r="K878" s="171"/>
      <c r="L878" s="171"/>
      <c r="M878" s="171"/>
      <c r="N878" s="171"/>
      <c r="O878" s="171"/>
      <c r="P878" s="171"/>
      <c r="Q878" s="171"/>
      <c r="R878" s="171"/>
      <c r="S878" s="171"/>
      <c r="T878" s="171"/>
      <c r="U878" s="171"/>
      <c r="V878" s="171"/>
      <c r="W878" s="171"/>
      <c r="X878" s="161"/>
      <c r="Y878" s="161"/>
      <c r="Z878" s="161"/>
      <c r="AA878" s="161"/>
      <c r="AB878" s="161"/>
      <c r="AC878" s="171"/>
      <c r="AD878" s="198"/>
    </row>
    <row r="879">
      <c r="A879" s="169"/>
      <c r="B879" s="169"/>
      <c r="C879" s="161"/>
      <c r="D879" s="229"/>
      <c r="E879" s="161"/>
      <c r="F879" s="161"/>
      <c r="G879" s="161"/>
      <c r="H879" s="171"/>
      <c r="I879" s="171"/>
      <c r="J879" s="171"/>
      <c r="K879" s="171"/>
      <c r="L879" s="171"/>
      <c r="M879" s="171"/>
      <c r="N879" s="171"/>
      <c r="O879" s="171"/>
      <c r="P879" s="171"/>
      <c r="Q879" s="171"/>
      <c r="R879" s="171"/>
      <c r="S879" s="171"/>
      <c r="T879" s="171"/>
      <c r="U879" s="171"/>
      <c r="V879" s="171"/>
      <c r="W879" s="171"/>
      <c r="X879" s="161"/>
      <c r="Y879" s="161"/>
      <c r="Z879" s="161"/>
      <c r="AA879" s="161"/>
      <c r="AB879" s="161"/>
      <c r="AC879" s="171"/>
      <c r="AD879" s="198"/>
    </row>
    <row r="880">
      <c r="A880" s="169"/>
      <c r="B880" s="169"/>
      <c r="C880" s="161"/>
      <c r="D880" s="229"/>
      <c r="E880" s="161"/>
      <c r="F880" s="161"/>
      <c r="G880" s="161"/>
      <c r="H880" s="171"/>
      <c r="I880" s="171"/>
      <c r="J880" s="171"/>
      <c r="K880" s="171"/>
      <c r="L880" s="171"/>
      <c r="M880" s="171"/>
      <c r="N880" s="171"/>
      <c r="O880" s="171"/>
      <c r="P880" s="171"/>
      <c r="Q880" s="171"/>
      <c r="R880" s="171"/>
      <c r="S880" s="171"/>
      <c r="T880" s="171"/>
      <c r="U880" s="171"/>
      <c r="V880" s="171"/>
      <c r="W880" s="171"/>
      <c r="X880" s="161"/>
      <c r="Y880" s="161"/>
      <c r="Z880" s="161"/>
      <c r="AA880" s="161"/>
      <c r="AB880" s="161"/>
      <c r="AC880" s="171"/>
      <c r="AD880" s="198"/>
    </row>
    <row r="881">
      <c r="A881" s="169"/>
      <c r="B881" s="169"/>
      <c r="C881" s="161"/>
      <c r="D881" s="229"/>
      <c r="E881" s="161"/>
      <c r="F881" s="161"/>
      <c r="G881" s="161"/>
      <c r="H881" s="171"/>
      <c r="I881" s="171"/>
      <c r="J881" s="171"/>
      <c r="K881" s="171"/>
      <c r="L881" s="171"/>
      <c r="M881" s="171"/>
      <c r="N881" s="171"/>
      <c r="O881" s="171"/>
      <c r="P881" s="171"/>
      <c r="Q881" s="171"/>
      <c r="R881" s="171"/>
      <c r="S881" s="171"/>
      <c r="T881" s="171"/>
      <c r="U881" s="171"/>
      <c r="V881" s="171"/>
      <c r="W881" s="171"/>
      <c r="X881" s="161"/>
      <c r="Y881" s="161"/>
      <c r="Z881" s="161"/>
      <c r="AA881" s="161"/>
      <c r="AB881" s="161"/>
      <c r="AC881" s="171"/>
      <c r="AD881" s="198"/>
    </row>
    <row r="882">
      <c r="A882" s="169"/>
      <c r="B882" s="169"/>
      <c r="C882" s="161"/>
      <c r="D882" s="229"/>
      <c r="E882" s="161"/>
      <c r="F882" s="161"/>
      <c r="G882" s="161"/>
      <c r="H882" s="171"/>
      <c r="I882" s="171"/>
      <c r="J882" s="171"/>
      <c r="K882" s="171"/>
      <c r="L882" s="171"/>
      <c r="M882" s="171"/>
      <c r="N882" s="171"/>
      <c r="O882" s="171"/>
      <c r="P882" s="171"/>
      <c r="Q882" s="171"/>
      <c r="R882" s="171"/>
      <c r="S882" s="171"/>
      <c r="T882" s="171"/>
      <c r="U882" s="171"/>
      <c r="V882" s="171"/>
      <c r="W882" s="171"/>
      <c r="X882" s="161"/>
      <c r="Y882" s="161"/>
      <c r="Z882" s="161"/>
      <c r="AA882" s="161"/>
      <c r="AB882" s="161"/>
      <c r="AC882" s="171"/>
      <c r="AD882" s="198"/>
    </row>
    <row r="883">
      <c r="A883" s="169"/>
      <c r="B883" s="169"/>
      <c r="C883" s="161"/>
      <c r="D883" s="229"/>
      <c r="E883" s="161"/>
      <c r="F883" s="161"/>
      <c r="G883" s="161"/>
      <c r="H883" s="171"/>
      <c r="I883" s="171"/>
      <c r="J883" s="171"/>
      <c r="K883" s="171"/>
      <c r="L883" s="171"/>
      <c r="M883" s="171"/>
      <c r="N883" s="171"/>
      <c r="O883" s="171"/>
      <c r="P883" s="171"/>
      <c r="Q883" s="171"/>
      <c r="R883" s="171"/>
      <c r="S883" s="171"/>
      <c r="T883" s="171"/>
      <c r="U883" s="171"/>
      <c r="V883" s="171"/>
      <c r="W883" s="171"/>
      <c r="X883" s="161"/>
      <c r="Y883" s="161"/>
      <c r="Z883" s="161"/>
      <c r="AA883" s="161"/>
      <c r="AB883" s="161"/>
      <c r="AC883" s="171"/>
      <c r="AD883" s="198"/>
    </row>
    <row r="884">
      <c r="A884" s="169"/>
      <c r="B884" s="169"/>
      <c r="C884" s="161"/>
      <c r="D884" s="229"/>
      <c r="E884" s="161"/>
      <c r="F884" s="161"/>
      <c r="G884" s="161"/>
      <c r="H884" s="171"/>
      <c r="I884" s="171"/>
      <c r="J884" s="171"/>
      <c r="K884" s="171"/>
      <c r="L884" s="171"/>
      <c r="M884" s="171"/>
      <c r="N884" s="171"/>
      <c r="O884" s="171"/>
      <c r="P884" s="171"/>
      <c r="Q884" s="171"/>
      <c r="R884" s="171"/>
      <c r="S884" s="171"/>
      <c r="T884" s="171"/>
      <c r="U884" s="171"/>
      <c r="V884" s="171"/>
      <c r="W884" s="171"/>
      <c r="X884" s="161"/>
      <c r="Y884" s="161"/>
      <c r="Z884" s="161"/>
      <c r="AA884" s="161"/>
      <c r="AB884" s="161"/>
      <c r="AC884" s="171"/>
      <c r="AD884" s="198"/>
    </row>
    <row r="885">
      <c r="A885" s="169"/>
      <c r="B885" s="169"/>
      <c r="C885" s="161"/>
      <c r="D885" s="229"/>
      <c r="E885" s="161"/>
      <c r="F885" s="161"/>
      <c r="G885" s="161"/>
      <c r="H885" s="171"/>
      <c r="I885" s="171"/>
      <c r="J885" s="171"/>
      <c r="K885" s="171"/>
      <c r="L885" s="171"/>
      <c r="M885" s="171"/>
      <c r="N885" s="171"/>
      <c r="O885" s="171"/>
      <c r="P885" s="171"/>
      <c r="Q885" s="171"/>
      <c r="R885" s="171"/>
      <c r="S885" s="171"/>
      <c r="T885" s="171"/>
      <c r="U885" s="171"/>
      <c r="V885" s="171"/>
      <c r="W885" s="171"/>
      <c r="X885" s="161"/>
      <c r="Y885" s="161"/>
      <c r="Z885" s="161"/>
      <c r="AA885" s="161"/>
      <c r="AB885" s="161"/>
      <c r="AC885" s="171"/>
      <c r="AD885" s="198"/>
    </row>
    <row r="886">
      <c r="A886" s="169"/>
      <c r="B886" s="169"/>
      <c r="C886" s="161"/>
      <c r="D886" s="229"/>
      <c r="E886" s="161"/>
      <c r="F886" s="161"/>
      <c r="G886" s="161"/>
      <c r="H886" s="171"/>
      <c r="I886" s="171"/>
      <c r="J886" s="171"/>
      <c r="K886" s="171"/>
      <c r="L886" s="171"/>
      <c r="M886" s="171"/>
      <c r="N886" s="171"/>
      <c r="O886" s="171"/>
      <c r="P886" s="171"/>
      <c r="Q886" s="171"/>
      <c r="R886" s="171"/>
      <c r="S886" s="171"/>
      <c r="T886" s="171"/>
      <c r="U886" s="171"/>
      <c r="V886" s="171"/>
      <c r="W886" s="171"/>
      <c r="X886" s="161"/>
      <c r="Y886" s="161"/>
      <c r="Z886" s="161"/>
      <c r="AA886" s="161"/>
      <c r="AB886" s="161"/>
      <c r="AC886" s="171"/>
      <c r="AD886" s="198"/>
    </row>
    <row r="887">
      <c r="A887" s="169"/>
      <c r="B887" s="169"/>
      <c r="C887" s="161"/>
      <c r="D887" s="229"/>
      <c r="E887" s="161"/>
      <c r="F887" s="161"/>
      <c r="G887" s="161"/>
      <c r="H887" s="171"/>
      <c r="I887" s="171"/>
      <c r="J887" s="171"/>
      <c r="K887" s="171"/>
      <c r="L887" s="171"/>
      <c r="M887" s="171"/>
      <c r="N887" s="171"/>
      <c r="O887" s="171"/>
      <c r="P887" s="171"/>
      <c r="Q887" s="171"/>
      <c r="R887" s="171"/>
      <c r="S887" s="171"/>
      <c r="T887" s="171"/>
      <c r="U887" s="171"/>
      <c r="V887" s="171"/>
      <c r="W887" s="171"/>
      <c r="X887" s="161"/>
      <c r="Y887" s="161"/>
      <c r="Z887" s="161"/>
      <c r="AA887" s="161"/>
      <c r="AB887" s="161"/>
      <c r="AC887" s="171"/>
      <c r="AD887" s="198"/>
    </row>
    <row r="888">
      <c r="A888" s="169"/>
      <c r="B888" s="169"/>
      <c r="C888" s="161"/>
      <c r="D888" s="229"/>
      <c r="E888" s="161"/>
      <c r="F888" s="161"/>
      <c r="G888" s="161"/>
      <c r="H888" s="171"/>
      <c r="I888" s="171"/>
      <c r="J888" s="171"/>
      <c r="K888" s="171"/>
      <c r="L888" s="171"/>
      <c r="M888" s="171"/>
      <c r="N888" s="171"/>
      <c r="O888" s="171"/>
      <c r="P888" s="171"/>
      <c r="Q888" s="171"/>
      <c r="R888" s="171"/>
      <c r="S888" s="171"/>
      <c r="T888" s="171"/>
      <c r="U888" s="171"/>
      <c r="V888" s="171"/>
      <c r="W888" s="171"/>
      <c r="X888" s="161"/>
      <c r="Y888" s="161"/>
      <c r="Z888" s="161"/>
      <c r="AA888" s="161"/>
      <c r="AB888" s="161"/>
      <c r="AC888" s="171"/>
      <c r="AD888" s="198"/>
    </row>
    <row r="889">
      <c r="A889" s="169"/>
      <c r="B889" s="169"/>
      <c r="C889" s="161"/>
      <c r="D889" s="229"/>
      <c r="E889" s="161"/>
      <c r="F889" s="161"/>
      <c r="G889" s="161"/>
      <c r="H889" s="171"/>
      <c r="I889" s="171"/>
      <c r="J889" s="171"/>
      <c r="K889" s="171"/>
      <c r="L889" s="171"/>
      <c r="M889" s="171"/>
      <c r="N889" s="171"/>
      <c r="O889" s="171"/>
      <c r="P889" s="171"/>
      <c r="Q889" s="171"/>
      <c r="R889" s="171"/>
      <c r="S889" s="171"/>
      <c r="T889" s="171"/>
      <c r="U889" s="171"/>
      <c r="V889" s="171"/>
      <c r="W889" s="171"/>
      <c r="X889" s="161"/>
      <c r="Y889" s="161"/>
      <c r="Z889" s="161"/>
      <c r="AA889" s="161"/>
      <c r="AB889" s="161"/>
      <c r="AC889" s="171"/>
      <c r="AD889" s="198"/>
    </row>
    <row r="890">
      <c r="A890" s="169"/>
      <c r="B890" s="169"/>
      <c r="C890" s="161"/>
      <c r="D890" s="229"/>
      <c r="E890" s="161"/>
      <c r="F890" s="161"/>
      <c r="G890" s="161"/>
      <c r="H890" s="171"/>
      <c r="I890" s="171"/>
      <c r="J890" s="171"/>
      <c r="K890" s="171"/>
      <c r="L890" s="171"/>
      <c r="M890" s="171"/>
      <c r="N890" s="171"/>
      <c r="O890" s="171"/>
      <c r="P890" s="171"/>
      <c r="Q890" s="171"/>
      <c r="R890" s="171"/>
      <c r="S890" s="171"/>
      <c r="T890" s="171"/>
      <c r="U890" s="171"/>
      <c r="V890" s="171"/>
      <c r="W890" s="171"/>
      <c r="X890" s="161"/>
      <c r="Y890" s="161"/>
      <c r="Z890" s="161"/>
      <c r="AA890" s="161"/>
      <c r="AB890" s="161"/>
      <c r="AC890" s="171"/>
      <c r="AD890" s="198"/>
    </row>
    <row r="891">
      <c r="A891" s="169"/>
      <c r="B891" s="169"/>
      <c r="C891" s="161"/>
      <c r="D891" s="229"/>
      <c r="E891" s="161"/>
      <c r="F891" s="161"/>
      <c r="G891" s="161"/>
      <c r="H891" s="171"/>
      <c r="I891" s="171"/>
      <c r="J891" s="171"/>
      <c r="K891" s="171"/>
      <c r="L891" s="171"/>
      <c r="M891" s="171"/>
      <c r="N891" s="171"/>
      <c r="O891" s="171"/>
      <c r="P891" s="171"/>
      <c r="Q891" s="171"/>
      <c r="R891" s="171"/>
      <c r="S891" s="171"/>
      <c r="T891" s="171"/>
      <c r="U891" s="171"/>
      <c r="V891" s="171"/>
      <c r="W891" s="171"/>
      <c r="X891" s="161"/>
      <c r="Y891" s="161"/>
      <c r="Z891" s="161"/>
      <c r="AA891" s="161"/>
      <c r="AB891" s="161"/>
      <c r="AC891" s="171"/>
      <c r="AD891" s="198"/>
    </row>
    <row r="892">
      <c r="A892" s="169"/>
      <c r="B892" s="169"/>
      <c r="C892" s="161"/>
      <c r="D892" s="229"/>
      <c r="E892" s="161"/>
      <c r="F892" s="161"/>
      <c r="G892" s="161"/>
      <c r="H892" s="171"/>
      <c r="I892" s="171"/>
      <c r="J892" s="171"/>
      <c r="K892" s="171"/>
      <c r="L892" s="171"/>
      <c r="M892" s="171"/>
      <c r="N892" s="171"/>
      <c r="O892" s="171"/>
      <c r="P892" s="171"/>
      <c r="Q892" s="171"/>
      <c r="R892" s="171"/>
      <c r="S892" s="171"/>
      <c r="T892" s="171"/>
      <c r="U892" s="171"/>
      <c r="V892" s="171"/>
      <c r="W892" s="171"/>
      <c r="X892" s="161"/>
      <c r="Y892" s="161"/>
      <c r="Z892" s="161"/>
      <c r="AA892" s="161"/>
      <c r="AB892" s="161"/>
      <c r="AC892" s="171"/>
      <c r="AD892" s="198"/>
    </row>
    <row r="893">
      <c r="A893" s="169"/>
      <c r="B893" s="169"/>
      <c r="C893" s="161"/>
      <c r="D893" s="229"/>
      <c r="E893" s="161"/>
      <c r="F893" s="161"/>
      <c r="G893" s="161"/>
      <c r="H893" s="171"/>
      <c r="I893" s="171"/>
      <c r="J893" s="171"/>
      <c r="K893" s="171"/>
      <c r="L893" s="171"/>
      <c r="M893" s="171"/>
      <c r="N893" s="171"/>
      <c r="O893" s="171"/>
      <c r="P893" s="171"/>
      <c r="Q893" s="171"/>
      <c r="R893" s="171"/>
      <c r="S893" s="171"/>
      <c r="T893" s="171"/>
      <c r="U893" s="171"/>
      <c r="V893" s="171"/>
      <c r="W893" s="171"/>
      <c r="X893" s="161"/>
      <c r="Y893" s="161"/>
      <c r="Z893" s="161"/>
      <c r="AA893" s="161"/>
      <c r="AB893" s="161"/>
      <c r="AC893" s="171"/>
      <c r="AD893" s="198"/>
    </row>
    <row r="894">
      <c r="A894" s="169"/>
      <c r="B894" s="169"/>
      <c r="C894" s="161"/>
      <c r="D894" s="229"/>
      <c r="E894" s="161"/>
      <c r="F894" s="161"/>
      <c r="G894" s="161"/>
      <c r="H894" s="171"/>
      <c r="I894" s="171"/>
      <c r="J894" s="171"/>
      <c r="K894" s="171"/>
      <c r="L894" s="171"/>
      <c r="M894" s="171"/>
      <c r="N894" s="171"/>
      <c r="O894" s="171"/>
      <c r="P894" s="171"/>
      <c r="Q894" s="171"/>
      <c r="R894" s="171"/>
      <c r="S894" s="171"/>
      <c r="T894" s="171"/>
      <c r="U894" s="171"/>
      <c r="V894" s="171"/>
      <c r="W894" s="171"/>
      <c r="X894" s="161"/>
      <c r="Y894" s="161"/>
      <c r="Z894" s="161"/>
      <c r="AA894" s="161"/>
      <c r="AB894" s="161"/>
      <c r="AC894" s="171"/>
      <c r="AD894" s="198"/>
    </row>
    <row r="895">
      <c r="A895" s="169"/>
      <c r="B895" s="169"/>
      <c r="C895" s="161"/>
      <c r="D895" s="229"/>
      <c r="E895" s="161"/>
      <c r="F895" s="161"/>
      <c r="G895" s="161"/>
      <c r="H895" s="171"/>
      <c r="I895" s="171"/>
      <c r="J895" s="171"/>
      <c r="K895" s="171"/>
      <c r="L895" s="171"/>
      <c r="M895" s="171"/>
      <c r="N895" s="171"/>
      <c r="O895" s="171"/>
      <c r="P895" s="171"/>
      <c r="Q895" s="171"/>
      <c r="R895" s="171"/>
      <c r="S895" s="171"/>
      <c r="T895" s="171"/>
      <c r="U895" s="171"/>
      <c r="V895" s="171"/>
      <c r="W895" s="171"/>
      <c r="X895" s="161"/>
      <c r="Y895" s="161"/>
      <c r="Z895" s="161"/>
      <c r="AA895" s="161"/>
      <c r="AB895" s="161"/>
      <c r="AC895" s="171"/>
      <c r="AD895" s="198"/>
    </row>
    <row r="896">
      <c r="A896" s="169"/>
      <c r="B896" s="169"/>
      <c r="C896" s="161"/>
      <c r="D896" s="229"/>
      <c r="E896" s="161"/>
      <c r="F896" s="161"/>
      <c r="G896" s="161"/>
      <c r="H896" s="171"/>
      <c r="I896" s="171"/>
      <c r="J896" s="171"/>
      <c r="K896" s="171"/>
      <c r="L896" s="171"/>
      <c r="M896" s="171"/>
      <c r="N896" s="171"/>
      <c r="O896" s="171"/>
      <c r="P896" s="171"/>
      <c r="Q896" s="171"/>
      <c r="R896" s="171"/>
      <c r="S896" s="171"/>
      <c r="T896" s="171"/>
      <c r="U896" s="171"/>
      <c r="V896" s="171"/>
      <c r="W896" s="171"/>
      <c r="X896" s="161"/>
      <c r="Y896" s="161"/>
      <c r="Z896" s="161"/>
      <c r="AA896" s="161"/>
      <c r="AB896" s="161"/>
      <c r="AC896" s="171"/>
      <c r="AD896" s="198"/>
    </row>
    <row r="897">
      <c r="A897" s="169"/>
      <c r="B897" s="169"/>
      <c r="C897" s="161"/>
      <c r="D897" s="229"/>
      <c r="E897" s="161"/>
      <c r="F897" s="161"/>
      <c r="G897" s="161"/>
      <c r="H897" s="171"/>
      <c r="I897" s="171"/>
      <c r="J897" s="171"/>
      <c r="K897" s="171"/>
      <c r="L897" s="171"/>
      <c r="M897" s="171"/>
      <c r="N897" s="171"/>
      <c r="O897" s="171"/>
      <c r="P897" s="171"/>
      <c r="Q897" s="171"/>
      <c r="R897" s="171"/>
      <c r="S897" s="171"/>
      <c r="T897" s="171"/>
      <c r="U897" s="171"/>
      <c r="V897" s="171"/>
      <c r="W897" s="171"/>
      <c r="X897" s="161"/>
      <c r="Y897" s="161"/>
      <c r="Z897" s="161"/>
      <c r="AA897" s="161"/>
      <c r="AB897" s="161"/>
      <c r="AC897" s="171"/>
      <c r="AD897" s="198"/>
    </row>
    <row r="898">
      <c r="A898" s="169"/>
      <c r="B898" s="169"/>
      <c r="C898" s="161"/>
      <c r="D898" s="229"/>
      <c r="E898" s="161"/>
      <c r="F898" s="161"/>
      <c r="G898" s="161"/>
      <c r="H898" s="171"/>
      <c r="I898" s="171"/>
      <c r="J898" s="171"/>
      <c r="K898" s="171"/>
      <c r="L898" s="171"/>
      <c r="M898" s="171"/>
      <c r="N898" s="171"/>
      <c r="O898" s="171"/>
      <c r="P898" s="171"/>
      <c r="Q898" s="171"/>
      <c r="R898" s="171"/>
      <c r="S898" s="171"/>
      <c r="T898" s="171"/>
      <c r="U898" s="171"/>
      <c r="V898" s="171"/>
      <c r="W898" s="171"/>
      <c r="X898" s="161"/>
      <c r="Y898" s="161"/>
      <c r="Z898" s="161"/>
      <c r="AA898" s="161"/>
      <c r="AB898" s="161"/>
      <c r="AC898" s="171"/>
      <c r="AD898" s="198"/>
    </row>
    <row r="899">
      <c r="A899" s="169"/>
      <c r="B899" s="169"/>
      <c r="C899" s="161"/>
      <c r="D899" s="229"/>
      <c r="E899" s="161"/>
      <c r="F899" s="161"/>
      <c r="G899" s="161"/>
      <c r="H899" s="171"/>
      <c r="I899" s="171"/>
      <c r="J899" s="171"/>
      <c r="K899" s="171"/>
      <c r="L899" s="171"/>
      <c r="M899" s="171"/>
      <c r="N899" s="171"/>
      <c r="O899" s="171"/>
      <c r="P899" s="171"/>
      <c r="Q899" s="171"/>
      <c r="R899" s="171"/>
      <c r="S899" s="171"/>
      <c r="T899" s="171"/>
      <c r="U899" s="171"/>
      <c r="V899" s="171"/>
      <c r="W899" s="171"/>
      <c r="X899" s="161"/>
      <c r="Y899" s="161"/>
      <c r="Z899" s="161"/>
      <c r="AA899" s="161"/>
      <c r="AB899" s="161"/>
      <c r="AC899" s="171"/>
      <c r="AD899" s="198"/>
    </row>
    <row r="900">
      <c r="A900" s="169"/>
      <c r="B900" s="169"/>
      <c r="C900" s="161"/>
      <c r="D900" s="229"/>
      <c r="E900" s="161"/>
      <c r="F900" s="161"/>
      <c r="G900" s="161"/>
      <c r="H900" s="171"/>
      <c r="I900" s="171"/>
      <c r="J900" s="171"/>
      <c r="K900" s="171"/>
      <c r="L900" s="171"/>
      <c r="M900" s="171"/>
      <c r="N900" s="171"/>
      <c r="O900" s="171"/>
      <c r="P900" s="171"/>
      <c r="Q900" s="171"/>
      <c r="R900" s="171"/>
      <c r="S900" s="171"/>
      <c r="T900" s="171"/>
      <c r="U900" s="171"/>
      <c r="V900" s="171"/>
      <c r="W900" s="171"/>
      <c r="X900" s="161"/>
      <c r="Y900" s="161"/>
      <c r="Z900" s="161"/>
      <c r="AA900" s="161"/>
      <c r="AB900" s="161"/>
      <c r="AC900" s="171"/>
      <c r="AD900" s="198"/>
    </row>
    <row r="901">
      <c r="A901" s="169"/>
      <c r="B901" s="169"/>
      <c r="C901" s="161"/>
      <c r="D901" s="229"/>
      <c r="E901" s="161"/>
      <c r="F901" s="161"/>
      <c r="G901" s="161"/>
      <c r="H901" s="171"/>
      <c r="I901" s="171"/>
      <c r="J901" s="171"/>
      <c r="K901" s="171"/>
      <c r="L901" s="171"/>
      <c r="M901" s="171"/>
      <c r="N901" s="171"/>
      <c r="O901" s="171"/>
      <c r="P901" s="171"/>
      <c r="Q901" s="171"/>
      <c r="R901" s="171"/>
      <c r="S901" s="171"/>
      <c r="T901" s="171"/>
      <c r="U901" s="171"/>
      <c r="V901" s="171"/>
      <c r="W901" s="171"/>
      <c r="X901" s="161"/>
      <c r="Y901" s="161"/>
      <c r="Z901" s="161"/>
      <c r="AA901" s="161"/>
      <c r="AB901" s="161"/>
      <c r="AC901" s="171"/>
      <c r="AD901" s="198"/>
    </row>
    <row r="902">
      <c r="A902" s="169"/>
      <c r="B902" s="169"/>
      <c r="C902" s="161"/>
      <c r="D902" s="229"/>
      <c r="E902" s="161"/>
      <c r="F902" s="161"/>
      <c r="G902" s="161"/>
      <c r="H902" s="171"/>
      <c r="I902" s="171"/>
      <c r="J902" s="171"/>
      <c r="K902" s="171"/>
      <c r="L902" s="171"/>
      <c r="M902" s="171"/>
      <c r="N902" s="171"/>
      <c r="O902" s="171"/>
      <c r="P902" s="171"/>
      <c r="Q902" s="171"/>
      <c r="R902" s="171"/>
      <c r="S902" s="171"/>
      <c r="T902" s="171"/>
      <c r="U902" s="171"/>
      <c r="V902" s="171"/>
      <c r="W902" s="171"/>
      <c r="X902" s="161"/>
      <c r="Y902" s="161"/>
      <c r="Z902" s="161"/>
      <c r="AA902" s="161"/>
      <c r="AB902" s="161"/>
      <c r="AC902" s="171"/>
      <c r="AD902" s="198"/>
    </row>
    <row r="903">
      <c r="A903" s="169"/>
      <c r="B903" s="169"/>
      <c r="C903" s="161"/>
      <c r="D903" s="229"/>
      <c r="E903" s="161"/>
      <c r="F903" s="161"/>
      <c r="G903" s="161"/>
      <c r="H903" s="171"/>
      <c r="I903" s="171"/>
      <c r="J903" s="171"/>
      <c r="K903" s="171"/>
      <c r="L903" s="171"/>
      <c r="M903" s="171"/>
      <c r="N903" s="171"/>
      <c r="O903" s="171"/>
      <c r="P903" s="171"/>
      <c r="Q903" s="171"/>
      <c r="R903" s="171"/>
      <c r="S903" s="171"/>
      <c r="T903" s="171"/>
      <c r="U903" s="171"/>
      <c r="V903" s="171"/>
      <c r="W903" s="171"/>
      <c r="X903" s="161"/>
      <c r="Y903" s="161"/>
      <c r="Z903" s="161"/>
      <c r="AA903" s="161"/>
      <c r="AB903" s="161"/>
      <c r="AC903" s="171"/>
      <c r="AD903" s="198"/>
    </row>
    <row r="904">
      <c r="A904" s="169"/>
      <c r="B904" s="169"/>
      <c r="C904" s="161"/>
      <c r="D904" s="229"/>
      <c r="E904" s="161"/>
      <c r="F904" s="161"/>
      <c r="G904" s="161"/>
      <c r="H904" s="171"/>
      <c r="I904" s="171"/>
      <c r="J904" s="171"/>
      <c r="K904" s="171"/>
      <c r="L904" s="171"/>
      <c r="M904" s="171"/>
      <c r="N904" s="171"/>
      <c r="O904" s="171"/>
      <c r="P904" s="171"/>
      <c r="Q904" s="171"/>
      <c r="R904" s="171"/>
      <c r="S904" s="171"/>
      <c r="T904" s="171"/>
      <c r="U904" s="171"/>
      <c r="V904" s="171"/>
      <c r="W904" s="171"/>
      <c r="X904" s="161"/>
      <c r="Y904" s="161"/>
      <c r="Z904" s="161"/>
      <c r="AA904" s="161"/>
      <c r="AB904" s="161"/>
      <c r="AC904" s="171"/>
      <c r="AD904" s="198"/>
    </row>
    <row r="905">
      <c r="A905" s="169"/>
      <c r="B905" s="169"/>
      <c r="C905" s="161"/>
      <c r="D905" s="229"/>
      <c r="E905" s="161"/>
      <c r="F905" s="161"/>
      <c r="G905" s="161"/>
      <c r="H905" s="171"/>
      <c r="I905" s="171"/>
      <c r="J905" s="171"/>
      <c r="K905" s="171"/>
      <c r="L905" s="171"/>
      <c r="M905" s="171"/>
      <c r="N905" s="171"/>
      <c r="O905" s="171"/>
      <c r="P905" s="171"/>
      <c r="Q905" s="171"/>
      <c r="R905" s="171"/>
      <c r="S905" s="171"/>
      <c r="T905" s="171"/>
      <c r="U905" s="171"/>
      <c r="V905" s="171"/>
      <c r="W905" s="171"/>
      <c r="X905" s="161"/>
      <c r="Y905" s="161"/>
      <c r="Z905" s="161"/>
      <c r="AA905" s="161"/>
      <c r="AB905" s="161"/>
      <c r="AC905" s="171"/>
      <c r="AD905" s="198"/>
    </row>
    <row r="906">
      <c r="A906" s="169"/>
      <c r="B906" s="169"/>
      <c r="C906" s="161"/>
      <c r="D906" s="229"/>
      <c r="E906" s="161"/>
      <c r="F906" s="161"/>
      <c r="G906" s="161"/>
      <c r="H906" s="171"/>
      <c r="I906" s="171"/>
      <c r="J906" s="171"/>
      <c r="K906" s="171"/>
      <c r="L906" s="171"/>
      <c r="M906" s="171"/>
      <c r="N906" s="171"/>
      <c r="O906" s="171"/>
      <c r="P906" s="171"/>
      <c r="Q906" s="171"/>
      <c r="R906" s="171"/>
      <c r="S906" s="171"/>
      <c r="T906" s="171"/>
      <c r="U906" s="171"/>
      <c r="V906" s="171"/>
      <c r="W906" s="171"/>
      <c r="X906" s="161"/>
      <c r="Y906" s="161"/>
      <c r="Z906" s="161"/>
      <c r="AA906" s="161"/>
      <c r="AB906" s="161"/>
      <c r="AC906" s="171"/>
      <c r="AD906" s="198"/>
    </row>
    <row r="907">
      <c r="A907" s="169"/>
      <c r="B907" s="169"/>
      <c r="C907" s="161"/>
      <c r="D907" s="229"/>
      <c r="E907" s="161"/>
      <c r="F907" s="161"/>
      <c r="G907" s="161"/>
      <c r="H907" s="171"/>
      <c r="I907" s="171"/>
      <c r="J907" s="171"/>
      <c r="K907" s="171"/>
      <c r="L907" s="171"/>
      <c r="M907" s="171"/>
      <c r="N907" s="171"/>
      <c r="O907" s="171"/>
      <c r="P907" s="171"/>
      <c r="Q907" s="171"/>
      <c r="R907" s="171"/>
      <c r="S907" s="171"/>
      <c r="T907" s="171"/>
      <c r="U907" s="171"/>
      <c r="V907" s="171"/>
      <c r="W907" s="171"/>
      <c r="X907" s="161"/>
      <c r="Y907" s="161"/>
      <c r="Z907" s="161"/>
      <c r="AA907" s="161"/>
      <c r="AB907" s="161"/>
      <c r="AC907" s="171"/>
      <c r="AD907" s="198"/>
    </row>
    <row r="908">
      <c r="A908" s="169"/>
      <c r="B908" s="169"/>
      <c r="C908" s="161"/>
      <c r="D908" s="229"/>
      <c r="E908" s="161"/>
      <c r="F908" s="161"/>
      <c r="G908" s="161"/>
      <c r="H908" s="171"/>
      <c r="I908" s="171"/>
      <c r="J908" s="171"/>
      <c r="K908" s="171"/>
      <c r="L908" s="171"/>
      <c r="M908" s="171"/>
      <c r="N908" s="171"/>
      <c r="O908" s="171"/>
      <c r="P908" s="171"/>
      <c r="Q908" s="171"/>
      <c r="R908" s="171"/>
      <c r="S908" s="171"/>
      <c r="T908" s="171"/>
      <c r="U908" s="171"/>
      <c r="V908" s="171"/>
      <c r="W908" s="171"/>
      <c r="X908" s="161"/>
      <c r="Y908" s="161"/>
      <c r="Z908" s="161"/>
      <c r="AA908" s="161"/>
      <c r="AB908" s="161"/>
      <c r="AC908" s="171"/>
      <c r="AD908" s="198"/>
    </row>
    <row r="909">
      <c r="A909" s="169"/>
      <c r="B909" s="169"/>
      <c r="C909" s="161"/>
      <c r="D909" s="229"/>
      <c r="E909" s="161"/>
      <c r="F909" s="161"/>
      <c r="G909" s="161"/>
      <c r="H909" s="171"/>
      <c r="I909" s="171"/>
      <c r="J909" s="171"/>
      <c r="K909" s="171"/>
      <c r="L909" s="171"/>
      <c r="M909" s="171"/>
      <c r="N909" s="171"/>
      <c r="O909" s="171"/>
      <c r="P909" s="171"/>
      <c r="Q909" s="171"/>
      <c r="R909" s="171"/>
      <c r="S909" s="171"/>
      <c r="T909" s="171"/>
      <c r="U909" s="171"/>
      <c r="V909" s="171"/>
      <c r="W909" s="171"/>
      <c r="X909" s="161"/>
      <c r="Y909" s="161"/>
      <c r="Z909" s="161"/>
      <c r="AA909" s="161"/>
      <c r="AB909" s="161"/>
      <c r="AC909" s="171"/>
      <c r="AD909" s="198"/>
    </row>
    <row r="910">
      <c r="A910" s="169"/>
      <c r="B910" s="169"/>
      <c r="C910" s="161"/>
      <c r="D910" s="229"/>
      <c r="E910" s="161"/>
      <c r="F910" s="161"/>
      <c r="G910" s="161"/>
      <c r="H910" s="171"/>
      <c r="I910" s="171"/>
      <c r="J910" s="171"/>
      <c r="K910" s="171"/>
      <c r="L910" s="171"/>
      <c r="M910" s="171"/>
      <c r="N910" s="171"/>
      <c r="O910" s="171"/>
      <c r="P910" s="171"/>
      <c r="Q910" s="171"/>
      <c r="R910" s="171"/>
      <c r="S910" s="171"/>
      <c r="T910" s="171"/>
      <c r="U910" s="171"/>
      <c r="V910" s="171"/>
      <c r="W910" s="171"/>
      <c r="X910" s="161"/>
      <c r="Y910" s="161"/>
      <c r="Z910" s="161"/>
      <c r="AA910" s="161"/>
      <c r="AB910" s="161"/>
      <c r="AC910" s="171"/>
      <c r="AD910" s="198"/>
    </row>
    <row r="911">
      <c r="A911" s="169"/>
      <c r="B911" s="169"/>
      <c r="C911" s="161"/>
      <c r="D911" s="229"/>
      <c r="E911" s="161"/>
      <c r="F911" s="161"/>
      <c r="G911" s="161"/>
      <c r="H911" s="171"/>
      <c r="I911" s="171"/>
      <c r="J911" s="171"/>
      <c r="K911" s="171"/>
      <c r="L911" s="171"/>
      <c r="M911" s="171"/>
      <c r="N911" s="171"/>
      <c r="O911" s="171"/>
      <c r="P911" s="171"/>
      <c r="Q911" s="171"/>
      <c r="R911" s="171"/>
      <c r="S911" s="171"/>
      <c r="T911" s="171"/>
      <c r="U911" s="171"/>
      <c r="V911" s="171"/>
      <c r="W911" s="171"/>
      <c r="X911" s="161"/>
      <c r="Y911" s="161"/>
      <c r="Z911" s="161"/>
      <c r="AA911" s="161"/>
      <c r="AB911" s="161"/>
      <c r="AC911" s="171"/>
      <c r="AD911" s="198"/>
    </row>
    <row r="912">
      <c r="A912" s="169"/>
      <c r="B912" s="169"/>
      <c r="C912" s="161"/>
      <c r="D912" s="229"/>
      <c r="E912" s="161"/>
      <c r="F912" s="161"/>
      <c r="G912" s="161"/>
      <c r="H912" s="171"/>
      <c r="I912" s="171"/>
      <c r="J912" s="171"/>
      <c r="K912" s="171"/>
      <c r="L912" s="171"/>
      <c r="M912" s="171"/>
      <c r="N912" s="171"/>
      <c r="O912" s="171"/>
      <c r="P912" s="171"/>
      <c r="Q912" s="171"/>
      <c r="R912" s="171"/>
      <c r="S912" s="171"/>
      <c r="T912" s="171"/>
      <c r="U912" s="171"/>
      <c r="V912" s="171"/>
      <c r="W912" s="171"/>
      <c r="X912" s="161"/>
      <c r="Y912" s="161"/>
      <c r="Z912" s="161"/>
      <c r="AA912" s="161"/>
      <c r="AB912" s="161"/>
      <c r="AC912" s="171"/>
      <c r="AD912" s="198"/>
    </row>
    <row r="913">
      <c r="A913" s="169"/>
      <c r="B913" s="169"/>
      <c r="C913" s="161"/>
      <c r="D913" s="229"/>
      <c r="E913" s="161"/>
      <c r="F913" s="161"/>
      <c r="G913" s="161"/>
      <c r="H913" s="171"/>
      <c r="I913" s="171"/>
      <c r="J913" s="171"/>
      <c r="K913" s="171"/>
      <c r="L913" s="171"/>
      <c r="M913" s="171"/>
      <c r="N913" s="171"/>
      <c r="O913" s="171"/>
      <c r="P913" s="171"/>
      <c r="Q913" s="171"/>
      <c r="R913" s="171"/>
      <c r="S913" s="171"/>
      <c r="T913" s="171"/>
      <c r="U913" s="171"/>
      <c r="V913" s="171"/>
      <c r="W913" s="171"/>
      <c r="X913" s="161"/>
      <c r="Y913" s="161"/>
      <c r="Z913" s="161"/>
      <c r="AA913" s="161"/>
      <c r="AB913" s="161"/>
      <c r="AC913" s="171"/>
      <c r="AD913" s="198"/>
    </row>
    <row r="914">
      <c r="A914" s="169"/>
      <c r="B914" s="169"/>
      <c r="C914" s="161"/>
      <c r="D914" s="229"/>
      <c r="E914" s="161"/>
      <c r="F914" s="161"/>
      <c r="G914" s="161"/>
      <c r="H914" s="171"/>
      <c r="I914" s="171"/>
      <c r="J914" s="171"/>
      <c r="K914" s="171"/>
      <c r="L914" s="171"/>
      <c r="M914" s="171"/>
      <c r="N914" s="171"/>
      <c r="O914" s="171"/>
      <c r="P914" s="171"/>
      <c r="Q914" s="171"/>
      <c r="R914" s="171"/>
      <c r="S914" s="171"/>
      <c r="T914" s="171"/>
      <c r="U914" s="171"/>
      <c r="V914" s="171"/>
      <c r="W914" s="171"/>
      <c r="X914" s="161"/>
      <c r="Y914" s="161"/>
      <c r="Z914" s="161"/>
      <c r="AA914" s="161"/>
      <c r="AB914" s="161"/>
      <c r="AC914" s="171"/>
      <c r="AD914" s="198"/>
    </row>
    <row r="915">
      <c r="A915" s="169"/>
      <c r="B915" s="169"/>
      <c r="C915" s="161"/>
      <c r="D915" s="229"/>
      <c r="E915" s="161"/>
      <c r="F915" s="161"/>
      <c r="G915" s="161"/>
      <c r="H915" s="171"/>
      <c r="I915" s="171"/>
      <c r="J915" s="171"/>
      <c r="K915" s="171"/>
      <c r="L915" s="171"/>
      <c r="M915" s="171"/>
      <c r="N915" s="171"/>
      <c r="O915" s="171"/>
      <c r="P915" s="171"/>
      <c r="Q915" s="171"/>
      <c r="R915" s="171"/>
      <c r="S915" s="171"/>
      <c r="T915" s="171"/>
      <c r="U915" s="171"/>
      <c r="V915" s="171"/>
      <c r="W915" s="171"/>
      <c r="X915" s="161"/>
      <c r="Y915" s="161"/>
      <c r="Z915" s="161"/>
      <c r="AA915" s="161"/>
      <c r="AB915" s="161"/>
      <c r="AC915" s="171"/>
      <c r="AD915" s="198"/>
    </row>
    <row r="916">
      <c r="A916" s="169"/>
      <c r="B916" s="169"/>
      <c r="C916" s="161"/>
      <c r="D916" s="229"/>
      <c r="E916" s="161"/>
      <c r="F916" s="161"/>
      <c r="G916" s="161"/>
      <c r="H916" s="171"/>
      <c r="I916" s="171"/>
      <c r="J916" s="171"/>
      <c r="K916" s="171"/>
      <c r="L916" s="171"/>
      <c r="M916" s="171"/>
      <c r="N916" s="171"/>
      <c r="O916" s="171"/>
      <c r="P916" s="171"/>
      <c r="Q916" s="171"/>
      <c r="R916" s="171"/>
      <c r="S916" s="171"/>
      <c r="T916" s="171"/>
      <c r="U916" s="171"/>
      <c r="V916" s="171"/>
      <c r="W916" s="171"/>
      <c r="X916" s="161"/>
      <c r="Y916" s="161"/>
      <c r="Z916" s="161"/>
      <c r="AA916" s="161"/>
      <c r="AB916" s="161"/>
      <c r="AC916" s="171"/>
      <c r="AD916" s="198"/>
    </row>
    <row r="917">
      <c r="A917" s="169"/>
      <c r="B917" s="169"/>
      <c r="C917" s="161"/>
      <c r="D917" s="229"/>
      <c r="E917" s="161"/>
      <c r="F917" s="161"/>
      <c r="G917" s="161"/>
      <c r="H917" s="171"/>
      <c r="I917" s="171"/>
      <c r="J917" s="171"/>
      <c r="K917" s="171"/>
      <c r="L917" s="171"/>
      <c r="M917" s="171"/>
      <c r="N917" s="171"/>
      <c r="O917" s="171"/>
      <c r="P917" s="171"/>
      <c r="Q917" s="171"/>
      <c r="R917" s="171"/>
      <c r="S917" s="171"/>
      <c r="T917" s="171"/>
      <c r="U917" s="171"/>
      <c r="V917" s="171"/>
      <c r="W917" s="171"/>
      <c r="X917" s="161"/>
      <c r="Y917" s="161"/>
      <c r="Z917" s="161"/>
      <c r="AA917" s="161"/>
      <c r="AB917" s="161"/>
      <c r="AC917" s="171"/>
      <c r="AD917" s="198"/>
    </row>
    <row r="918">
      <c r="A918" s="169"/>
      <c r="B918" s="169"/>
      <c r="C918" s="161"/>
      <c r="D918" s="229"/>
      <c r="E918" s="161"/>
      <c r="F918" s="161"/>
      <c r="G918" s="161"/>
      <c r="H918" s="171"/>
      <c r="I918" s="171"/>
      <c r="J918" s="171"/>
      <c r="K918" s="171"/>
      <c r="L918" s="171"/>
      <c r="M918" s="171"/>
      <c r="N918" s="171"/>
      <c r="O918" s="171"/>
      <c r="P918" s="171"/>
      <c r="Q918" s="171"/>
      <c r="R918" s="171"/>
      <c r="S918" s="171"/>
      <c r="T918" s="171"/>
      <c r="U918" s="171"/>
      <c r="V918" s="171"/>
      <c r="W918" s="171"/>
      <c r="X918" s="161"/>
      <c r="Y918" s="161"/>
      <c r="Z918" s="161"/>
      <c r="AA918" s="161"/>
      <c r="AB918" s="161"/>
      <c r="AC918" s="171"/>
      <c r="AD918" s="198"/>
    </row>
    <row r="919">
      <c r="A919" s="169"/>
      <c r="B919" s="169"/>
      <c r="C919" s="161"/>
      <c r="D919" s="229"/>
      <c r="E919" s="161"/>
      <c r="F919" s="161"/>
      <c r="G919" s="161"/>
      <c r="H919" s="171"/>
      <c r="I919" s="171"/>
      <c r="J919" s="171"/>
      <c r="K919" s="171"/>
      <c r="L919" s="171"/>
      <c r="M919" s="171"/>
      <c r="N919" s="171"/>
      <c r="O919" s="171"/>
      <c r="P919" s="171"/>
      <c r="Q919" s="171"/>
      <c r="R919" s="171"/>
      <c r="S919" s="171"/>
      <c r="T919" s="171"/>
      <c r="U919" s="171"/>
      <c r="V919" s="171"/>
      <c r="W919" s="171"/>
      <c r="X919" s="161"/>
      <c r="Y919" s="161"/>
      <c r="Z919" s="161"/>
      <c r="AA919" s="161"/>
      <c r="AB919" s="161"/>
      <c r="AC919" s="171"/>
      <c r="AD919" s="198"/>
    </row>
    <row r="920">
      <c r="A920" s="169"/>
      <c r="B920" s="169"/>
      <c r="C920" s="161"/>
      <c r="D920" s="229"/>
      <c r="E920" s="161"/>
      <c r="F920" s="161"/>
      <c r="G920" s="161"/>
      <c r="H920" s="171"/>
      <c r="I920" s="171"/>
      <c r="J920" s="171"/>
      <c r="K920" s="171"/>
      <c r="L920" s="171"/>
      <c r="M920" s="171"/>
      <c r="N920" s="171"/>
      <c r="O920" s="171"/>
      <c r="P920" s="171"/>
      <c r="Q920" s="171"/>
      <c r="R920" s="171"/>
      <c r="S920" s="171"/>
      <c r="T920" s="171"/>
      <c r="U920" s="171"/>
      <c r="V920" s="171"/>
      <c r="W920" s="171"/>
      <c r="X920" s="161"/>
      <c r="Y920" s="161"/>
      <c r="Z920" s="161"/>
      <c r="AA920" s="161"/>
      <c r="AB920" s="161"/>
      <c r="AC920" s="171"/>
      <c r="AD920" s="198"/>
    </row>
    <row r="921">
      <c r="A921" s="169"/>
      <c r="B921" s="169"/>
      <c r="C921" s="161"/>
      <c r="D921" s="229"/>
      <c r="E921" s="161"/>
      <c r="F921" s="161"/>
      <c r="G921" s="161"/>
      <c r="H921" s="171"/>
      <c r="I921" s="171"/>
      <c r="J921" s="171"/>
      <c r="K921" s="171"/>
      <c r="L921" s="171"/>
      <c r="M921" s="171"/>
      <c r="N921" s="171"/>
      <c r="O921" s="171"/>
      <c r="P921" s="171"/>
      <c r="Q921" s="171"/>
      <c r="R921" s="171"/>
      <c r="S921" s="171"/>
      <c r="T921" s="171"/>
      <c r="U921" s="171"/>
      <c r="V921" s="171"/>
      <c r="W921" s="171"/>
      <c r="X921" s="161"/>
      <c r="Y921" s="161"/>
      <c r="Z921" s="161"/>
      <c r="AA921" s="161"/>
      <c r="AB921" s="161"/>
      <c r="AC921" s="171"/>
      <c r="AD921" s="198"/>
    </row>
    <row r="922">
      <c r="A922" s="169"/>
      <c r="B922" s="169"/>
      <c r="C922" s="161"/>
      <c r="D922" s="229"/>
      <c r="E922" s="161"/>
      <c r="F922" s="161"/>
      <c r="G922" s="161"/>
      <c r="H922" s="171"/>
      <c r="I922" s="171"/>
      <c r="J922" s="171"/>
      <c r="K922" s="171"/>
      <c r="L922" s="171"/>
      <c r="M922" s="171"/>
      <c r="N922" s="171"/>
      <c r="O922" s="171"/>
      <c r="P922" s="171"/>
      <c r="Q922" s="171"/>
      <c r="R922" s="171"/>
      <c r="S922" s="171"/>
      <c r="T922" s="171"/>
      <c r="U922" s="171"/>
      <c r="V922" s="171"/>
      <c r="W922" s="171"/>
      <c r="X922" s="161"/>
      <c r="Y922" s="161"/>
      <c r="Z922" s="161"/>
      <c r="AA922" s="161"/>
      <c r="AB922" s="161"/>
      <c r="AC922" s="171"/>
      <c r="AD922" s="198"/>
    </row>
    <row r="923">
      <c r="A923" s="169"/>
      <c r="B923" s="169"/>
      <c r="C923" s="161"/>
      <c r="D923" s="229"/>
      <c r="E923" s="161"/>
      <c r="F923" s="161"/>
      <c r="G923" s="161"/>
      <c r="H923" s="171"/>
      <c r="I923" s="171"/>
      <c r="J923" s="171"/>
      <c r="K923" s="171"/>
      <c r="L923" s="171"/>
      <c r="M923" s="171"/>
      <c r="N923" s="171"/>
      <c r="O923" s="171"/>
      <c r="P923" s="171"/>
      <c r="Q923" s="171"/>
      <c r="R923" s="171"/>
      <c r="S923" s="171"/>
      <c r="T923" s="171"/>
      <c r="U923" s="171"/>
      <c r="V923" s="171"/>
      <c r="W923" s="171"/>
      <c r="X923" s="161"/>
      <c r="Y923" s="161"/>
      <c r="Z923" s="161"/>
      <c r="AA923" s="161"/>
      <c r="AB923" s="161"/>
      <c r="AC923" s="171"/>
      <c r="AD923" s="198"/>
    </row>
    <row r="924">
      <c r="A924" s="169"/>
      <c r="B924" s="169"/>
      <c r="C924" s="161"/>
      <c r="D924" s="229"/>
      <c r="E924" s="161"/>
      <c r="F924" s="161"/>
      <c r="G924" s="161"/>
      <c r="H924" s="171"/>
      <c r="I924" s="171"/>
      <c r="J924" s="171"/>
      <c r="K924" s="171"/>
      <c r="L924" s="171"/>
      <c r="M924" s="171"/>
      <c r="N924" s="171"/>
      <c r="O924" s="171"/>
      <c r="P924" s="171"/>
      <c r="Q924" s="171"/>
      <c r="R924" s="171"/>
      <c r="S924" s="171"/>
      <c r="T924" s="171"/>
      <c r="U924" s="171"/>
      <c r="V924" s="171"/>
      <c r="W924" s="171"/>
      <c r="X924" s="161"/>
      <c r="Y924" s="161"/>
      <c r="Z924" s="161"/>
      <c r="AA924" s="161"/>
      <c r="AB924" s="161"/>
      <c r="AC924" s="171"/>
      <c r="AD924" s="198"/>
    </row>
    <row r="925">
      <c r="A925" s="169"/>
      <c r="B925" s="169"/>
      <c r="C925" s="161"/>
      <c r="D925" s="229"/>
      <c r="E925" s="161"/>
      <c r="F925" s="161"/>
      <c r="G925" s="161"/>
      <c r="H925" s="171"/>
      <c r="I925" s="171"/>
      <c r="J925" s="171"/>
      <c r="K925" s="171"/>
      <c r="L925" s="171"/>
      <c r="M925" s="171"/>
      <c r="N925" s="171"/>
      <c r="O925" s="171"/>
      <c r="P925" s="171"/>
      <c r="Q925" s="171"/>
      <c r="R925" s="171"/>
      <c r="S925" s="171"/>
      <c r="T925" s="171"/>
      <c r="U925" s="171"/>
      <c r="V925" s="171"/>
      <c r="W925" s="171"/>
      <c r="X925" s="161"/>
      <c r="Y925" s="161"/>
      <c r="Z925" s="161"/>
      <c r="AA925" s="161"/>
      <c r="AB925" s="161"/>
      <c r="AC925" s="171"/>
      <c r="AD925" s="198"/>
    </row>
    <row r="926">
      <c r="A926" s="169"/>
      <c r="B926" s="169"/>
      <c r="C926" s="161"/>
      <c r="D926" s="229"/>
      <c r="E926" s="161"/>
      <c r="F926" s="161"/>
      <c r="G926" s="161"/>
      <c r="H926" s="171"/>
      <c r="I926" s="171"/>
      <c r="J926" s="171"/>
      <c r="K926" s="171"/>
      <c r="L926" s="171"/>
      <c r="M926" s="171"/>
      <c r="N926" s="171"/>
      <c r="O926" s="171"/>
      <c r="P926" s="171"/>
      <c r="Q926" s="171"/>
      <c r="R926" s="171"/>
      <c r="S926" s="171"/>
      <c r="T926" s="171"/>
      <c r="U926" s="171"/>
      <c r="V926" s="171"/>
      <c r="W926" s="171"/>
      <c r="X926" s="161"/>
      <c r="Y926" s="161"/>
      <c r="Z926" s="161"/>
      <c r="AA926" s="161"/>
      <c r="AB926" s="161"/>
      <c r="AC926" s="171"/>
      <c r="AD926" s="198"/>
    </row>
    <row r="927">
      <c r="A927" s="169"/>
      <c r="B927" s="169"/>
      <c r="C927" s="161"/>
      <c r="D927" s="229"/>
      <c r="E927" s="161"/>
      <c r="F927" s="161"/>
      <c r="G927" s="161"/>
      <c r="H927" s="171"/>
      <c r="I927" s="171"/>
      <c r="J927" s="171"/>
      <c r="K927" s="171"/>
      <c r="L927" s="171"/>
      <c r="M927" s="171"/>
      <c r="N927" s="171"/>
      <c r="O927" s="171"/>
      <c r="P927" s="171"/>
      <c r="Q927" s="171"/>
      <c r="R927" s="171"/>
      <c r="S927" s="171"/>
      <c r="T927" s="171"/>
      <c r="U927" s="171"/>
      <c r="V927" s="171"/>
      <c r="W927" s="171"/>
      <c r="X927" s="161"/>
      <c r="Y927" s="161"/>
      <c r="Z927" s="161"/>
      <c r="AA927" s="161"/>
      <c r="AB927" s="161"/>
      <c r="AC927" s="171"/>
      <c r="AD927" s="198"/>
    </row>
    <row r="928">
      <c r="A928" s="169"/>
      <c r="B928" s="169"/>
      <c r="C928" s="161"/>
      <c r="D928" s="229"/>
      <c r="E928" s="161"/>
      <c r="F928" s="161"/>
      <c r="G928" s="161"/>
      <c r="H928" s="171"/>
      <c r="I928" s="171"/>
      <c r="J928" s="171"/>
      <c r="K928" s="171"/>
      <c r="L928" s="171"/>
      <c r="M928" s="171"/>
      <c r="N928" s="171"/>
      <c r="O928" s="171"/>
      <c r="P928" s="171"/>
      <c r="Q928" s="171"/>
      <c r="R928" s="171"/>
      <c r="S928" s="171"/>
      <c r="T928" s="171"/>
      <c r="U928" s="171"/>
      <c r="V928" s="171"/>
      <c r="W928" s="171"/>
      <c r="X928" s="161"/>
      <c r="Y928" s="161"/>
      <c r="Z928" s="161"/>
      <c r="AA928" s="161"/>
      <c r="AB928" s="161"/>
      <c r="AC928" s="171"/>
      <c r="AD928" s="198"/>
    </row>
    <row r="929">
      <c r="A929" s="169"/>
      <c r="B929" s="169"/>
      <c r="C929" s="161"/>
      <c r="D929" s="229"/>
      <c r="E929" s="161"/>
      <c r="F929" s="161"/>
      <c r="G929" s="161"/>
      <c r="H929" s="171"/>
      <c r="I929" s="171"/>
      <c r="J929" s="171"/>
      <c r="K929" s="171"/>
      <c r="L929" s="171"/>
      <c r="M929" s="171"/>
      <c r="N929" s="171"/>
      <c r="O929" s="171"/>
      <c r="P929" s="171"/>
      <c r="Q929" s="171"/>
      <c r="R929" s="171"/>
      <c r="S929" s="171"/>
      <c r="T929" s="171"/>
      <c r="U929" s="171"/>
      <c r="V929" s="171"/>
      <c r="W929" s="171"/>
      <c r="X929" s="161"/>
      <c r="Y929" s="161"/>
      <c r="Z929" s="161"/>
      <c r="AA929" s="161"/>
      <c r="AB929" s="161"/>
      <c r="AC929" s="171"/>
      <c r="AD929" s="198"/>
    </row>
    <row r="930">
      <c r="A930" s="169"/>
      <c r="B930" s="169"/>
      <c r="C930" s="161"/>
      <c r="D930" s="229"/>
      <c r="E930" s="161"/>
      <c r="F930" s="161"/>
      <c r="G930" s="161"/>
      <c r="H930" s="171"/>
      <c r="I930" s="171"/>
      <c r="J930" s="171"/>
      <c r="K930" s="171"/>
      <c r="L930" s="171"/>
      <c r="M930" s="171"/>
      <c r="N930" s="171"/>
      <c r="O930" s="171"/>
      <c r="P930" s="171"/>
      <c r="Q930" s="171"/>
      <c r="R930" s="171"/>
      <c r="S930" s="171"/>
      <c r="T930" s="171"/>
      <c r="U930" s="171"/>
      <c r="V930" s="171"/>
      <c r="W930" s="171"/>
      <c r="X930" s="161"/>
      <c r="Y930" s="161"/>
      <c r="Z930" s="161"/>
      <c r="AA930" s="161"/>
      <c r="AB930" s="161"/>
      <c r="AC930" s="171"/>
      <c r="AD930" s="198"/>
    </row>
    <row r="931">
      <c r="A931" s="169"/>
      <c r="B931" s="169"/>
      <c r="C931" s="161"/>
      <c r="D931" s="229"/>
      <c r="E931" s="161"/>
      <c r="F931" s="161"/>
      <c r="G931" s="161"/>
      <c r="H931" s="171"/>
      <c r="I931" s="171"/>
      <c r="J931" s="171"/>
      <c r="K931" s="171"/>
      <c r="L931" s="171"/>
      <c r="M931" s="171"/>
      <c r="N931" s="171"/>
      <c r="O931" s="171"/>
      <c r="P931" s="171"/>
      <c r="Q931" s="171"/>
      <c r="R931" s="171"/>
      <c r="S931" s="171"/>
      <c r="T931" s="171"/>
      <c r="U931" s="171"/>
      <c r="V931" s="171"/>
      <c r="W931" s="171"/>
      <c r="X931" s="161"/>
      <c r="Y931" s="161"/>
      <c r="Z931" s="161"/>
      <c r="AA931" s="161"/>
      <c r="AB931" s="161"/>
      <c r="AC931" s="171"/>
      <c r="AD931" s="198"/>
    </row>
    <row r="932">
      <c r="A932" s="169"/>
      <c r="B932" s="169"/>
      <c r="C932" s="161"/>
      <c r="D932" s="229"/>
      <c r="E932" s="161"/>
      <c r="F932" s="161"/>
      <c r="G932" s="161"/>
      <c r="H932" s="171"/>
      <c r="I932" s="171"/>
      <c r="J932" s="171"/>
      <c r="K932" s="171"/>
      <c r="L932" s="171"/>
      <c r="M932" s="171"/>
      <c r="N932" s="171"/>
      <c r="O932" s="171"/>
      <c r="P932" s="171"/>
      <c r="Q932" s="171"/>
      <c r="R932" s="171"/>
      <c r="S932" s="171"/>
      <c r="T932" s="171"/>
      <c r="U932" s="171"/>
      <c r="V932" s="171"/>
      <c r="W932" s="171"/>
      <c r="X932" s="161"/>
      <c r="Y932" s="161"/>
      <c r="Z932" s="161"/>
      <c r="AA932" s="161"/>
      <c r="AB932" s="161"/>
      <c r="AC932" s="171"/>
      <c r="AD932" s="198"/>
    </row>
    <row r="933">
      <c r="A933" s="169"/>
      <c r="B933" s="169"/>
      <c r="C933" s="161"/>
      <c r="D933" s="229"/>
      <c r="E933" s="161"/>
      <c r="F933" s="161"/>
      <c r="G933" s="161"/>
      <c r="H933" s="171"/>
      <c r="I933" s="171"/>
      <c r="J933" s="171"/>
      <c r="K933" s="171"/>
      <c r="L933" s="171"/>
      <c r="M933" s="171"/>
      <c r="N933" s="171"/>
      <c r="O933" s="171"/>
      <c r="P933" s="171"/>
      <c r="Q933" s="171"/>
      <c r="R933" s="171"/>
      <c r="S933" s="171"/>
      <c r="T933" s="171"/>
      <c r="U933" s="171"/>
      <c r="V933" s="171"/>
      <c r="W933" s="171"/>
      <c r="X933" s="161"/>
      <c r="Y933" s="161"/>
      <c r="Z933" s="161"/>
      <c r="AA933" s="161"/>
      <c r="AB933" s="161"/>
      <c r="AC933" s="171"/>
      <c r="AD933" s="198"/>
    </row>
    <row r="934">
      <c r="A934" s="169"/>
      <c r="B934" s="169"/>
      <c r="C934" s="161"/>
      <c r="D934" s="229"/>
      <c r="E934" s="161"/>
      <c r="F934" s="161"/>
      <c r="G934" s="161"/>
      <c r="H934" s="171"/>
      <c r="I934" s="171"/>
      <c r="J934" s="171"/>
      <c r="K934" s="171"/>
      <c r="L934" s="171"/>
      <c r="M934" s="171"/>
      <c r="N934" s="171"/>
      <c r="O934" s="171"/>
      <c r="P934" s="171"/>
      <c r="Q934" s="171"/>
      <c r="R934" s="171"/>
      <c r="S934" s="171"/>
      <c r="T934" s="171"/>
      <c r="U934" s="171"/>
      <c r="V934" s="171"/>
      <c r="W934" s="171"/>
      <c r="X934" s="161"/>
      <c r="Y934" s="161"/>
      <c r="Z934" s="161"/>
      <c r="AA934" s="161"/>
      <c r="AB934" s="161"/>
      <c r="AC934" s="171"/>
      <c r="AD934" s="198"/>
    </row>
    <row r="935">
      <c r="A935" s="169"/>
      <c r="B935" s="169"/>
      <c r="C935" s="161"/>
      <c r="D935" s="229"/>
      <c r="E935" s="161"/>
      <c r="F935" s="161"/>
      <c r="G935" s="161"/>
      <c r="H935" s="171"/>
      <c r="I935" s="171"/>
      <c r="J935" s="171"/>
      <c r="K935" s="171"/>
      <c r="L935" s="171"/>
      <c r="M935" s="171"/>
      <c r="N935" s="171"/>
      <c r="O935" s="171"/>
      <c r="P935" s="171"/>
      <c r="Q935" s="171"/>
      <c r="R935" s="171"/>
      <c r="S935" s="171"/>
      <c r="T935" s="171"/>
      <c r="U935" s="171"/>
      <c r="V935" s="171"/>
      <c r="W935" s="171"/>
      <c r="X935" s="161"/>
      <c r="Y935" s="161"/>
      <c r="Z935" s="161"/>
      <c r="AA935" s="161"/>
      <c r="AB935" s="161"/>
      <c r="AC935" s="171"/>
      <c r="AD935" s="198"/>
    </row>
    <row r="936">
      <c r="A936" s="169"/>
      <c r="B936" s="169"/>
      <c r="C936" s="161"/>
      <c r="D936" s="229"/>
      <c r="E936" s="161"/>
      <c r="F936" s="161"/>
      <c r="G936" s="161"/>
      <c r="H936" s="171"/>
      <c r="I936" s="171"/>
      <c r="J936" s="171"/>
      <c r="K936" s="171"/>
      <c r="L936" s="171"/>
      <c r="M936" s="171"/>
      <c r="N936" s="171"/>
      <c r="O936" s="171"/>
      <c r="P936" s="171"/>
      <c r="Q936" s="171"/>
      <c r="R936" s="171"/>
      <c r="S936" s="171"/>
      <c r="T936" s="171"/>
      <c r="U936" s="171"/>
      <c r="V936" s="171"/>
      <c r="W936" s="171"/>
      <c r="X936" s="161"/>
      <c r="Y936" s="161"/>
      <c r="Z936" s="161"/>
      <c r="AA936" s="161"/>
      <c r="AB936" s="161"/>
      <c r="AC936" s="171"/>
      <c r="AD936" s="198"/>
    </row>
    <row r="937">
      <c r="A937" s="169"/>
      <c r="B937" s="169"/>
      <c r="C937" s="161"/>
      <c r="D937" s="229"/>
      <c r="E937" s="161"/>
      <c r="F937" s="161"/>
      <c r="G937" s="161"/>
      <c r="H937" s="171"/>
      <c r="I937" s="171"/>
      <c r="J937" s="171"/>
      <c r="K937" s="171"/>
      <c r="L937" s="171"/>
      <c r="M937" s="171"/>
      <c r="N937" s="171"/>
      <c r="O937" s="171"/>
      <c r="P937" s="171"/>
      <c r="Q937" s="171"/>
      <c r="R937" s="171"/>
      <c r="S937" s="171"/>
      <c r="T937" s="171"/>
      <c r="U937" s="171"/>
      <c r="V937" s="171"/>
      <c r="W937" s="171"/>
      <c r="X937" s="161"/>
      <c r="Y937" s="161"/>
      <c r="Z937" s="161"/>
      <c r="AA937" s="161"/>
      <c r="AB937" s="161"/>
      <c r="AC937" s="171"/>
      <c r="AD937" s="198"/>
    </row>
    <row r="938">
      <c r="A938" s="169"/>
      <c r="B938" s="169"/>
      <c r="C938" s="161"/>
      <c r="D938" s="229"/>
      <c r="E938" s="161"/>
      <c r="F938" s="161"/>
      <c r="G938" s="161"/>
      <c r="H938" s="171"/>
      <c r="I938" s="171"/>
      <c r="J938" s="171"/>
      <c r="K938" s="171"/>
      <c r="L938" s="171"/>
      <c r="M938" s="171"/>
      <c r="N938" s="171"/>
      <c r="O938" s="171"/>
      <c r="P938" s="171"/>
      <c r="Q938" s="171"/>
      <c r="R938" s="171"/>
      <c r="S938" s="171"/>
      <c r="T938" s="171"/>
      <c r="U938" s="171"/>
      <c r="V938" s="171"/>
      <c r="W938" s="171"/>
      <c r="X938" s="161"/>
      <c r="Y938" s="161"/>
      <c r="Z938" s="161"/>
      <c r="AA938" s="161"/>
      <c r="AB938" s="161"/>
      <c r="AC938" s="171"/>
      <c r="AD938" s="198"/>
    </row>
    <row r="939">
      <c r="A939" s="169"/>
      <c r="B939" s="169"/>
      <c r="C939" s="161"/>
      <c r="D939" s="229"/>
      <c r="E939" s="161"/>
      <c r="F939" s="161"/>
      <c r="G939" s="161"/>
      <c r="H939" s="171"/>
      <c r="I939" s="171"/>
      <c r="J939" s="171"/>
      <c r="K939" s="171"/>
      <c r="L939" s="171"/>
      <c r="M939" s="171"/>
      <c r="N939" s="171"/>
      <c r="O939" s="171"/>
      <c r="P939" s="171"/>
      <c r="Q939" s="171"/>
      <c r="R939" s="171"/>
      <c r="S939" s="171"/>
      <c r="T939" s="171"/>
      <c r="U939" s="171"/>
      <c r="V939" s="171"/>
      <c r="W939" s="171"/>
      <c r="X939" s="161"/>
      <c r="Y939" s="161"/>
      <c r="Z939" s="161"/>
      <c r="AA939" s="161"/>
      <c r="AB939" s="161"/>
      <c r="AC939" s="171"/>
      <c r="AD939" s="198"/>
    </row>
    <row r="940">
      <c r="A940" s="169"/>
      <c r="B940" s="169"/>
      <c r="C940" s="161"/>
      <c r="D940" s="229"/>
      <c r="E940" s="161"/>
      <c r="F940" s="161"/>
      <c r="G940" s="161"/>
      <c r="H940" s="171"/>
      <c r="I940" s="171"/>
      <c r="J940" s="171"/>
      <c r="K940" s="171"/>
      <c r="L940" s="171"/>
      <c r="M940" s="171"/>
      <c r="N940" s="171"/>
      <c r="O940" s="171"/>
      <c r="P940" s="171"/>
      <c r="Q940" s="171"/>
      <c r="R940" s="171"/>
      <c r="S940" s="171"/>
      <c r="T940" s="171"/>
      <c r="U940" s="171"/>
      <c r="V940" s="171"/>
      <c r="W940" s="171"/>
      <c r="X940" s="161"/>
      <c r="Y940" s="161"/>
      <c r="Z940" s="161"/>
      <c r="AA940" s="161"/>
      <c r="AB940" s="161"/>
      <c r="AC940" s="171"/>
      <c r="AD940" s="198"/>
    </row>
    <row r="941">
      <c r="A941" s="169"/>
      <c r="B941" s="169"/>
      <c r="C941" s="161"/>
      <c r="D941" s="229"/>
      <c r="E941" s="161"/>
      <c r="F941" s="161"/>
      <c r="G941" s="161"/>
      <c r="H941" s="171"/>
      <c r="I941" s="171"/>
      <c r="J941" s="171"/>
      <c r="K941" s="171"/>
      <c r="L941" s="171"/>
      <c r="M941" s="171"/>
      <c r="N941" s="171"/>
      <c r="O941" s="171"/>
      <c r="P941" s="171"/>
      <c r="Q941" s="171"/>
      <c r="R941" s="171"/>
      <c r="S941" s="171"/>
      <c r="T941" s="171"/>
      <c r="U941" s="171"/>
      <c r="V941" s="171"/>
      <c r="W941" s="171"/>
      <c r="X941" s="161"/>
      <c r="Y941" s="161"/>
      <c r="Z941" s="161"/>
      <c r="AA941" s="161"/>
      <c r="AB941" s="161"/>
      <c r="AC941" s="171"/>
      <c r="AD941" s="198"/>
    </row>
    <row r="942">
      <c r="A942" s="169"/>
      <c r="B942" s="169"/>
      <c r="C942" s="161"/>
      <c r="D942" s="229"/>
      <c r="E942" s="161"/>
      <c r="F942" s="161"/>
      <c r="G942" s="161"/>
      <c r="H942" s="171"/>
      <c r="I942" s="171"/>
      <c r="J942" s="171"/>
      <c r="K942" s="171"/>
      <c r="L942" s="171"/>
      <c r="M942" s="171"/>
      <c r="N942" s="171"/>
      <c r="O942" s="171"/>
      <c r="P942" s="171"/>
      <c r="Q942" s="171"/>
      <c r="R942" s="171"/>
      <c r="S942" s="171"/>
      <c r="T942" s="171"/>
      <c r="U942" s="171"/>
      <c r="V942" s="171"/>
      <c r="W942" s="171"/>
      <c r="X942" s="161"/>
      <c r="Y942" s="161"/>
      <c r="Z942" s="161"/>
      <c r="AA942" s="161"/>
      <c r="AB942" s="161"/>
      <c r="AC942" s="171"/>
      <c r="AD942" s="198"/>
    </row>
    <row r="943">
      <c r="A943" s="169"/>
      <c r="B943" s="169"/>
      <c r="C943" s="161"/>
      <c r="D943" s="229"/>
      <c r="E943" s="161"/>
      <c r="F943" s="161"/>
      <c r="G943" s="161"/>
      <c r="H943" s="171"/>
      <c r="I943" s="171"/>
      <c r="J943" s="171"/>
      <c r="K943" s="171"/>
      <c r="L943" s="171"/>
      <c r="M943" s="171"/>
      <c r="N943" s="171"/>
      <c r="O943" s="171"/>
      <c r="P943" s="171"/>
      <c r="Q943" s="171"/>
      <c r="R943" s="171"/>
      <c r="S943" s="171"/>
      <c r="T943" s="171"/>
      <c r="U943" s="171"/>
      <c r="V943" s="171"/>
      <c r="W943" s="171"/>
      <c r="X943" s="161"/>
      <c r="Y943" s="161"/>
      <c r="Z943" s="161"/>
      <c r="AA943" s="161"/>
      <c r="AB943" s="161"/>
      <c r="AC943" s="171"/>
      <c r="AD943" s="198"/>
    </row>
    <row r="944">
      <c r="A944" s="169"/>
      <c r="B944" s="169"/>
      <c r="C944" s="161"/>
      <c r="D944" s="229"/>
      <c r="E944" s="161"/>
      <c r="F944" s="161"/>
      <c r="G944" s="161"/>
      <c r="H944" s="171"/>
      <c r="I944" s="171"/>
      <c r="J944" s="171"/>
      <c r="K944" s="171"/>
      <c r="L944" s="171"/>
      <c r="M944" s="171"/>
      <c r="N944" s="171"/>
      <c r="O944" s="171"/>
      <c r="P944" s="171"/>
      <c r="Q944" s="171"/>
      <c r="R944" s="171"/>
      <c r="S944" s="171"/>
      <c r="T944" s="171"/>
      <c r="U944" s="171"/>
      <c r="V944" s="171"/>
      <c r="W944" s="171"/>
      <c r="X944" s="161"/>
      <c r="Y944" s="161"/>
      <c r="Z944" s="161"/>
      <c r="AA944" s="161"/>
      <c r="AB944" s="161"/>
      <c r="AC944" s="171"/>
      <c r="AD944" s="198"/>
    </row>
    <row r="945">
      <c r="A945" s="169"/>
      <c r="B945" s="169"/>
      <c r="C945" s="161"/>
      <c r="D945" s="229"/>
      <c r="E945" s="161"/>
      <c r="F945" s="161"/>
      <c r="G945" s="161"/>
      <c r="H945" s="171"/>
      <c r="I945" s="171"/>
      <c r="J945" s="171"/>
      <c r="K945" s="171"/>
      <c r="L945" s="171"/>
      <c r="M945" s="171"/>
      <c r="N945" s="171"/>
      <c r="O945" s="171"/>
      <c r="P945" s="171"/>
      <c r="Q945" s="171"/>
      <c r="R945" s="171"/>
      <c r="S945" s="171"/>
      <c r="T945" s="171"/>
      <c r="U945" s="171"/>
      <c r="V945" s="171"/>
      <c r="W945" s="171"/>
      <c r="X945" s="161"/>
      <c r="Y945" s="161"/>
      <c r="Z945" s="161"/>
      <c r="AA945" s="161"/>
      <c r="AB945" s="161"/>
      <c r="AC945" s="171"/>
      <c r="AD945" s="198"/>
    </row>
    <row r="946">
      <c r="A946" s="169"/>
      <c r="B946" s="169"/>
      <c r="C946" s="161"/>
      <c r="D946" s="229"/>
      <c r="E946" s="161"/>
      <c r="F946" s="161"/>
      <c r="G946" s="161"/>
      <c r="H946" s="171"/>
      <c r="I946" s="171"/>
      <c r="J946" s="171"/>
      <c r="K946" s="171"/>
      <c r="L946" s="171"/>
      <c r="M946" s="171"/>
      <c r="N946" s="171"/>
      <c r="O946" s="171"/>
      <c r="P946" s="171"/>
      <c r="Q946" s="171"/>
      <c r="R946" s="171"/>
      <c r="S946" s="171"/>
      <c r="T946" s="171"/>
      <c r="U946" s="171"/>
      <c r="V946" s="171"/>
      <c r="W946" s="171"/>
      <c r="X946" s="161"/>
      <c r="Y946" s="161"/>
      <c r="Z946" s="161"/>
      <c r="AA946" s="161"/>
      <c r="AB946" s="161"/>
      <c r="AC946" s="171"/>
      <c r="AD946" s="198"/>
    </row>
    <row r="947">
      <c r="A947" s="169"/>
      <c r="B947" s="169"/>
      <c r="C947" s="161"/>
      <c r="D947" s="229"/>
      <c r="E947" s="161"/>
      <c r="F947" s="161"/>
      <c r="G947" s="161"/>
      <c r="H947" s="171"/>
      <c r="I947" s="171"/>
      <c r="J947" s="171"/>
      <c r="K947" s="171"/>
      <c r="L947" s="171"/>
      <c r="M947" s="171"/>
      <c r="N947" s="171"/>
      <c r="O947" s="171"/>
      <c r="P947" s="171"/>
      <c r="Q947" s="171"/>
      <c r="R947" s="171"/>
      <c r="S947" s="171"/>
      <c r="T947" s="171"/>
      <c r="U947" s="171"/>
      <c r="V947" s="171"/>
      <c r="W947" s="171"/>
      <c r="X947" s="161"/>
      <c r="Y947" s="161"/>
      <c r="Z947" s="161"/>
      <c r="AA947" s="161"/>
      <c r="AB947" s="161"/>
      <c r="AC947" s="171"/>
      <c r="AD947" s="198"/>
    </row>
    <row r="948">
      <c r="A948" s="169"/>
      <c r="B948" s="169"/>
      <c r="C948" s="161"/>
      <c r="D948" s="229"/>
      <c r="E948" s="161"/>
      <c r="F948" s="161"/>
      <c r="G948" s="161"/>
      <c r="H948" s="171"/>
      <c r="I948" s="171"/>
      <c r="J948" s="171"/>
      <c r="K948" s="171"/>
      <c r="L948" s="171"/>
      <c r="M948" s="171"/>
      <c r="N948" s="171"/>
      <c r="O948" s="171"/>
      <c r="P948" s="171"/>
      <c r="Q948" s="171"/>
      <c r="R948" s="171"/>
      <c r="S948" s="171"/>
      <c r="T948" s="171"/>
      <c r="U948" s="171"/>
      <c r="V948" s="171"/>
      <c r="W948" s="171"/>
      <c r="X948" s="161"/>
      <c r="Y948" s="161"/>
      <c r="Z948" s="161"/>
      <c r="AA948" s="161"/>
      <c r="AB948" s="161"/>
      <c r="AC948" s="171"/>
      <c r="AD948" s="198"/>
    </row>
    <row r="949">
      <c r="A949" s="169"/>
      <c r="B949" s="169"/>
      <c r="C949" s="161"/>
      <c r="D949" s="229"/>
      <c r="E949" s="161"/>
      <c r="F949" s="161"/>
      <c r="G949" s="161"/>
      <c r="H949" s="171"/>
      <c r="I949" s="171"/>
      <c r="J949" s="171"/>
      <c r="K949" s="171"/>
      <c r="L949" s="171"/>
      <c r="M949" s="171"/>
      <c r="N949" s="171"/>
      <c r="O949" s="171"/>
      <c r="P949" s="171"/>
      <c r="Q949" s="171"/>
      <c r="R949" s="171"/>
      <c r="S949" s="171"/>
      <c r="T949" s="171"/>
      <c r="U949" s="171"/>
      <c r="V949" s="171"/>
      <c r="W949" s="171"/>
      <c r="X949" s="161"/>
      <c r="Y949" s="161"/>
      <c r="Z949" s="161"/>
      <c r="AA949" s="161"/>
      <c r="AB949" s="161"/>
      <c r="AC949" s="171"/>
      <c r="AD949" s="198"/>
    </row>
    <row r="950">
      <c r="A950" s="169"/>
      <c r="B950" s="169"/>
      <c r="C950" s="161"/>
      <c r="D950" s="229"/>
      <c r="E950" s="161"/>
      <c r="F950" s="161"/>
      <c r="G950" s="161"/>
      <c r="H950" s="171"/>
      <c r="I950" s="171"/>
      <c r="J950" s="171"/>
      <c r="K950" s="171"/>
      <c r="L950" s="171"/>
      <c r="M950" s="171"/>
      <c r="N950" s="171"/>
      <c r="O950" s="171"/>
      <c r="P950" s="171"/>
      <c r="Q950" s="171"/>
      <c r="R950" s="171"/>
      <c r="S950" s="171"/>
      <c r="T950" s="171"/>
      <c r="U950" s="171"/>
      <c r="V950" s="171"/>
      <c r="W950" s="171"/>
      <c r="X950" s="161"/>
      <c r="Y950" s="161"/>
      <c r="Z950" s="161"/>
      <c r="AA950" s="161"/>
      <c r="AB950" s="161"/>
      <c r="AC950" s="171"/>
      <c r="AD950" s="198"/>
    </row>
    <row r="951">
      <c r="A951" s="169"/>
      <c r="B951" s="169"/>
      <c r="C951" s="161"/>
      <c r="D951" s="229"/>
      <c r="E951" s="161"/>
      <c r="F951" s="161"/>
      <c r="G951" s="161"/>
      <c r="H951" s="171"/>
      <c r="I951" s="171"/>
      <c r="J951" s="171"/>
      <c r="K951" s="171"/>
      <c r="L951" s="171"/>
      <c r="M951" s="171"/>
      <c r="N951" s="171"/>
      <c r="O951" s="171"/>
      <c r="P951" s="171"/>
      <c r="Q951" s="171"/>
      <c r="R951" s="171"/>
      <c r="S951" s="171"/>
      <c r="T951" s="171"/>
      <c r="U951" s="171"/>
      <c r="V951" s="171"/>
      <c r="W951" s="171"/>
      <c r="X951" s="161"/>
      <c r="Y951" s="161"/>
      <c r="Z951" s="161"/>
      <c r="AA951" s="161"/>
      <c r="AB951" s="161"/>
      <c r="AC951" s="171"/>
      <c r="AD951" s="198"/>
    </row>
    <row r="952">
      <c r="A952" s="169"/>
      <c r="B952" s="169"/>
      <c r="C952" s="161"/>
      <c r="D952" s="229"/>
      <c r="E952" s="161"/>
      <c r="F952" s="161"/>
      <c r="G952" s="161"/>
      <c r="H952" s="171"/>
      <c r="I952" s="171"/>
      <c r="J952" s="171"/>
      <c r="K952" s="171"/>
      <c r="L952" s="171"/>
      <c r="M952" s="171"/>
      <c r="N952" s="171"/>
      <c r="O952" s="171"/>
      <c r="P952" s="171"/>
      <c r="Q952" s="171"/>
      <c r="R952" s="171"/>
      <c r="S952" s="171"/>
      <c r="T952" s="171"/>
      <c r="U952" s="171"/>
      <c r="V952" s="171"/>
      <c r="W952" s="171"/>
      <c r="X952" s="161"/>
      <c r="Y952" s="161"/>
      <c r="Z952" s="161"/>
      <c r="AA952" s="161"/>
      <c r="AB952" s="161"/>
      <c r="AC952" s="171"/>
      <c r="AD952" s="198"/>
    </row>
    <row r="953">
      <c r="A953" s="169"/>
      <c r="B953" s="169"/>
      <c r="C953" s="161"/>
      <c r="D953" s="229"/>
      <c r="E953" s="161"/>
      <c r="F953" s="161"/>
      <c r="G953" s="161"/>
      <c r="H953" s="171"/>
      <c r="I953" s="171"/>
      <c r="J953" s="171"/>
      <c r="K953" s="171"/>
      <c r="L953" s="171"/>
      <c r="M953" s="171"/>
      <c r="N953" s="171"/>
      <c r="O953" s="171"/>
      <c r="P953" s="171"/>
      <c r="Q953" s="171"/>
      <c r="R953" s="171"/>
      <c r="S953" s="171"/>
      <c r="T953" s="171"/>
      <c r="U953" s="171"/>
      <c r="V953" s="171"/>
      <c r="W953" s="171"/>
      <c r="X953" s="161"/>
      <c r="Y953" s="161"/>
      <c r="Z953" s="161"/>
      <c r="AA953" s="161"/>
      <c r="AB953" s="161"/>
      <c r="AC953" s="171"/>
      <c r="AD953" s="198"/>
    </row>
    <row r="954">
      <c r="A954" s="169"/>
      <c r="B954" s="169"/>
      <c r="C954" s="161"/>
      <c r="D954" s="229"/>
      <c r="E954" s="161"/>
      <c r="F954" s="161"/>
      <c r="G954" s="161"/>
      <c r="H954" s="171"/>
      <c r="I954" s="171"/>
      <c r="J954" s="171"/>
      <c r="K954" s="171"/>
      <c r="L954" s="171"/>
      <c r="M954" s="171"/>
      <c r="N954" s="171"/>
      <c r="O954" s="171"/>
      <c r="P954" s="171"/>
      <c r="Q954" s="171"/>
      <c r="R954" s="171"/>
      <c r="S954" s="171"/>
      <c r="T954" s="171"/>
      <c r="U954" s="171"/>
      <c r="V954" s="171"/>
      <c r="W954" s="171"/>
      <c r="X954" s="161"/>
      <c r="Y954" s="161"/>
      <c r="Z954" s="161"/>
      <c r="AA954" s="161"/>
      <c r="AB954" s="161"/>
      <c r="AC954" s="171"/>
      <c r="AD954" s="198"/>
    </row>
    <row r="955">
      <c r="A955" s="169"/>
      <c r="B955" s="169"/>
      <c r="C955" s="161"/>
      <c r="D955" s="229"/>
      <c r="E955" s="161"/>
      <c r="F955" s="161"/>
      <c r="G955" s="161"/>
      <c r="H955" s="171"/>
      <c r="I955" s="171"/>
      <c r="J955" s="171"/>
      <c r="K955" s="171"/>
      <c r="L955" s="171"/>
      <c r="M955" s="171"/>
      <c r="N955" s="171"/>
      <c r="O955" s="171"/>
      <c r="P955" s="171"/>
      <c r="Q955" s="171"/>
      <c r="R955" s="171"/>
      <c r="S955" s="171"/>
      <c r="T955" s="171"/>
      <c r="U955" s="171"/>
      <c r="V955" s="171"/>
      <c r="W955" s="171"/>
      <c r="X955" s="161"/>
      <c r="Y955" s="161"/>
      <c r="Z955" s="161"/>
      <c r="AA955" s="161"/>
      <c r="AB955" s="161"/>
      <c r="AC955" s="171"/>
      <c r="AD955" s="198"/>
    </row>
    <row r="956">
      <c r="A956" s="169"/>
      <c r="B956" s="169"/>
      <c r="C956" s="161"/>
      <c r="D956" s="229"/>
      <c r="E956" s="161"/>
      <c r="F956" s="161"/>
      <c r="G956" s="161"/>
      <c r="H956" s="171"/>
      <c r="I956" s="171"/>
      <c r="J956" s="171"/>
      <c r="K956" s="171"/>
      <c r="L956" s="171"/>
      <c r="M956" s="171"/>
      <c r="N956" s="171"/>
      <c r="O956" s="171"/>
      <c r="P956" s="171"/>
      <c r="Q956" s="171"/>
      <c r="R956" s="171"/>
      <c r="S956" s="171"/>
      <c r="T956" s="171"/>
      <c r="U956" s="171"/>
      <c r="V956" s="171"/>
      <c r="W956" s="171"/>
      <c r="X956" s="161"/>
      <c r="Y956" s="161"/>
      <c r="Z956" s="161"/>
      <c r="AA956" s="161"/>
      <c r="AB956" s="161"/>
      <c r="AC956" s="171"/>
      <c r="AD956" s="198"/>
    </row>
    <row r="957">
      <c r="A957" s="169"/>
      <c r="B957" s="169"/>
      <c r="C957" s="161"/>
      <c r="D957" s="229"/>
      <c r="E957" s="161"/>
      <c r="F957" s="161"/>
      <c r="G957" s="161"/>
      <c r="H957" s="171"/>
      <c r="I957" s="171"/>
      <c r="J957" s="171"/>
      <c r="K957" s="171"/>
      <c r="L957" s="171"/>
      <c r="M957" s="171"/>
      <c r="N957" s="171"/>
      <c r="O957" s="171"/>
      <c r="P957" s="171"/>
      <c r="Q957" s="171"/>
      <c r="R957" s="171"/>
      <c r="S957" s="171"/>
      <c r="T957" s="171"/>
      <c r="U957" s="171"/>
      <c r="V957" s="171"/>
      <c r="W957" s="171"/>
      <c r="X957" s="161"/>
      <c r="Y957" s="161"/>
      <c r="Z957" s="161"/>
      <c r="AA957" s="161"/>
      <c r="AB957" s="161"/>
      <c r="AC957" s="171"/>
      <c r="AD957" s="198"/>
    </row>
    <row r="958">
      <c r="A958" s="169"/>
      <c r="B958" s="169"/>
      <c r="C958" s="161"/>
      <c r="D958" s="229"/>
      <c r="E958" s="161"/>
      <c r="F958" s="161"/>
      <c r="G958" s="161"/>
      <c r="H958" s="171"/>
      <c r="I958" s="171"/>
      <c r="J958" s="171"/>
      <c r="K958" s="171"/>
      <c r="L958" s="171"/>
      <c r="M958" s="171"/>
      <c r="N958" s="171"/>
      <c r="O958" s="171"/>
      <c r="P958" s="171"/>
      <c r="Q958" s="171"/>
      <c r="R958" s="171"/>
      <c r="S958" s="171"/>
      <c r="T958" s="171"/>
      <c r="U958" s="171"/>
      <c r="V958" s="171"/>
      <c r="W958" s="171"/>
      <c r="X958" s="161"/>
      <c r="Y958" s="161"/>
      <c r="Z958" s="161"/>
      <c r="AA958" s="161"/>
      <c r="AB958" s="161"/>
      <c r="AC958" s="171"/>
      <c r="AD958" s="198"/>
    </row>
    <row r="959">
      <c r="A959" s="169"/>
      <c r="B959" s="169"/>
      <c r="C959" s="161"/>
      <c r="D959" s="229"/>
      <c r="E959" s="161"/>
      <c r="F959" s="161"/>
      <c r="G959" s="161"/>
      <c r="H959" s="171"/>
      <c r="I959" s="171"/>
      <c r="J959" s="171"/>
      <c r="K959" s="171"/>
      <c r="L959" s="171"/>
      <c r="M959" s="171"/>
      <c r="N959" s="171"/>
      <c r="O959" s="171"/>
      <c r="P959" s="171"/>
      <c r="Q959" s="171"/>
      <c r="R959" s="171"/>
      <c r="S959" s="171"/>
      <c r="T959" s="171"/>
      <c r="U959" s="171"/>
      <c r="V959" s="171"/>
      <c r="W959" s="171"/>
      <c r="X959" s="161"/>
      <c r="Y959" s="161"/>
      <c r="Z959" s="161"/>
      <c r="AA959" s="161"/>
      <c r="AB959" s="161"/>
      <c r="AC959" s="171"/>
      <c r="AD959" s="198"/>
    </row>
    <row r="960">
      <c r="A960" s="169"/>
      <c r="B960" s="169"/>
      <c r="C960" s="161"/>
      <c r="D960" s="229"/>
      <c r="E960" s="161"/>
      <c r="F960" s="161"/>
      <c r="G960" s="161"/>
      <c r="H960" s="171"/>
      <c r="I960" s="171"/>
      <c r="J960" s="171"/>
      <c r="K960" s="171"/>
      <c r="L960" s="171"/>
      <c r="M960" s="171"/>
      <c r="N960" s="171"/>
      <c r="O960" s="171"/>
      <c r="P960" s="171"/>
      <c r="Q960" s="171"/>
      <c r="R960" s="171"/>
      <c r="S960" s="171"/>
      <c r="T960" s="171"/>
      <c r="U960" s="171"/>
      <c r="V960" s="171"/>
      <c r="W960" s="171"/>
      <c r="X960" s="161"/>
      <c r="Y960" s="161"/>
      <c r="Z960" s="161"/>
      <c r="AA960" s="161"/>
      <c r="AB960" s="161"/>
      <c r="AC960" s="171"/>
      <c r="AD960" s="198"/>
    </row>
    <row r="961">
      <c r="A961" s="169"/>
      <c r="B961" s="169"/>
      <c r="C961" s="161"/>
      <c r="D961" s="229"/>
      <c r="E961" s="161"/>
      <c r="F961" s="161"/>
      <c r="G961" s="161"/>
      <c r="H961" s="171"/>
      <c r="I961" s="171"/>
      <c r="J961" s="171"/>
      <c r="K961" s="171"/>
      <c r="L961" s="171"/>
      <c r="M961" s="171"/>
      <c r="N961" s="171"/>
      <c r="O961" s="171"/>
      <c r="P961" s="171"/>
      <c r="Q961" s="171"/>
      <c r="R961" s="171"/>
      <c r="S961" s="171"/>
      <c r="T961" s="171"/>
      <c r="U961" s="171"/>
      <c r="V961" s="171"/>
      <c r="W961" s="171"/>
      <c r="X961" s="161"/>
      <c r="Y961" s="161"/>
      <c r="Z961" s="161"/>
      <c r="AA961" s="161"/>
      <c r="AB961" s="161"/>
      <c r="AC961" s="171"/>
      <c r="AD961" s="198"/>
    </row>
    <row r="962">
      <c r="A962" s="169"/>
      <c r="B962" s="169"/>
      <c r="C962" s="161"/>
      <c r="D962" s="229"/>
      <c r="E962" s="161"/>
      <c r="F962" s="161"/>
      <c r="G962" s="161"/>
      <c r="H962" s="171"/>
      <c r="I962" s="171"/>
      <c r="J962" s="171"/>
      <c r="K962" s="171"/>
      <c r="L962" s="171"/>
      <c r="M962" s="171"/>
      <c r="N962" s="171"/>
      <c r="O962" s="171"/>
      <c r="P962" s="171"/>
      <c r="Q962" s="171"/>
      <c r="R962" s="171"/>
      <c r="S962" s="171"/>
      <c r="T962" s="171"/>
      <c r="U962" s="171"/>
      <c r="V962" s="171"/>
      <c r="W962" s="171"/>
      <c r="X962" s="161"/>
      <c r="Y962" s="161"/>
      <c r="Z962" s="161"/>
      <c r="AA962" s="161"/>
      <c r="AB962" s="161"/>
      <c r="AC962" s="171"/>
      <c r="AD962" s="198"/>
    </row>
    <row r="963">
      <c r="A963" s="169"/>
      <c r="B963" s="169"/>
      <c r="C963" s="161"/>
      <c r="D963" s="229"/>
      <c r="E963" s="161"/>
      <c r="F963" s="161"/>
      <c r="G963" s="161"/>
      <c r="H963" s="171"/>
      <c r="I963" s="171"/>
      <c r="J963" s="171"/>
      <c r="K963" s="171"/>
      <c r="L963" s="171"/>
      <c r="M963" s="171"/>
      <c r="N963" s="171"/>
      <c r="O963" s="171"/>
      <c r="P963" s="171"/>
      <c r="Q963" s="171"/>
      <c r="R963" s="171"/>
      <c r="S963" s="171"/>
      <c r="T963" s="171"/>
      <c r="U963" s="171"/>
      <c r="V963" s="171"/>
      <c r="W963" s="171"/>
      <c r="X963" s="161"/>
      <c r="Y963" s="161"/>
      <c r="Z963" s="161"/>
      <c r="AA963" s="161"/>
      <c r="AB963" s="161"/>
      <c r="AC963" s="171"/>
      <c r="AD963" s="198"/>
    </row>
    <row r="964">
      <c r="A964" s="169"/>
      <c r="B964" s="169"/>
      <c r="C964" s="161"/>
      <c r="D964" s="229"/>
      <c r="E964" s="161"/>
      <c r="F964" s="161"/>
      <c r="G964" s="161"/>
      <c r="H964" s="171"/>
      <c r="I964" s="171"/>
      <c r="J964" s="171"/>
      <c r="K964" s="171"/>
      <c r="L964" s="171"/>
      <c r="M964" s="171"/>
      <c r="N964" s="171"/>
      <c r="O964" s="171"/>
      <c r="P964" s="171"/>
      <c r="Q964" s="171"/>
      <c r="R964" s="171"/>
      <c r="S964" s="171"/>
      <c r="T964" s="171"/>
      <c r="U964" s="171"/>
      <c r="V964" s="171"/>
      <c r="W964" s="171"/>
      <c r="X964" s="161"/>
      <c r="Y964" s="161"/>
      <c r="Z964" s="161"/>
      <c r="AA964" s="161"/>
      <c r="AB964" s="161"/>
      <c r="AC964" s="171"/>
      <c r="AD964" s="198"/>
    </row>
    <row r="965">
      <c r="A965" s="169"/>
      <c r="B965" s="169"/>
      <c r="C965" s="161"/>
      <c r="D965" s="229"/>
      <c r="E965" s="161"/>
      <c r="F965" s="161"/>
      <c r="G965" s="161"/>
      <c r="H965" s="171"/>
      <c r="I965" s="171"/>
      <c r="J965" s="171"/>
      <c r="K965" s="171"/>
      <c r="L965" s="171"/>
      <c r="M965" s="171"/>
      <c r="N965" s="171"/>
      <c r="O965" s="171"/>
      <c r="P965" s="171"/>
      <c r="Q965" s="171"/>
      <c r="R965" s="171"/>
      <c r="S965" s="171"/>
      <c r="T965" s="171"/>
      <c r="U965" s="171"/>
      <c r="V965" s="171"/>
      <c r="W965" s="171"/>
      <c r="X965" s="161"/>
      <c r="Y965" s="161"/>
      <c r="Z965" s="161"/>
      <c r="AA965" s="161"/>
      <c r="AB965" s="161"/>
      <c r="AC965" s="171"/>
      <c r="AD965" s="198"/>
    </row>
    <row r="966">
      <c r="A966" s="169"/>
      <c r="B966" s="169"/>
      <c r="C966" s="161"/>
      <c r="D966" s="229"/>
      <c r="E966" s="161"/>
      <c r="F966" s="161"/>
      <c r="G966" s="161"/>
      <c r="H966" s="171"/>
      <c r="I966" s="171"/>
      <c r="J966" s="171"/>
      <c r="K966" s="171"/>
      <c r="L966" s="171"/>
      <c r="M966" s="171"/>
      <c r="N966" s="171"/>
      <c r="O966" s="171"/>
      <c r="P966" s="171"/>
      <c r="Q966" s="171"/>
      <c r="R966" s="171"/>
      <c r="S966" s="171"/>
      <c r="T966" s="171"/>
      <c r="U966" s="171"/>
      <c r="V966" s="171"/>
      <c r="W966" s="171"/>
      <c r="X966" s="161"/>
      <c r="Y966" s="161"/>
      <c r="Z966" s="161"/>
      <c r="AA966" s="161"/>
      <c r="AB966" s="161"/>
      <c r="AC966" s="171"/>
      <c r="AD966" s="198"/>
    </row>
    <row r="967">
      <c r="A967" s="169"/>
      <c r="B967" s="169"/>
      <c r="C967" s="161"/>
      <c r="D967" s="229"/>
      <c r="E967" s="161"/>
      <c r="F967" s="161"/>
      <c r="G967" s="161"/>
      <c r="H967" s="171"/>
      <c r="I967" s="171"/>
      <c r="J967" s="171"/>
      <c r="K967" s="171"/>
      <c r="L967" s="171"/>
      <c r="M967" s="171"/>
      <c r="N967" s="171"/>
      <c r="O967" s="171"/>
      <c r="P967" s="171"/>
      <c r="Q967" s="171"/>
      <c r="R967" s="171"/>
      <c r="S967" s="171"/>
      <c r="T967" s="171"/>
      <c r="U967" s="171"/>
      <c r="V967" s="171"/>
      <c r="W967" s="171"/>
      <c r="X967" s="161"/>
      <c r="Y967" s="161"/>
      <c r="Z967" s="161"/>
      <c r="AA967" s="161"/>
      <c r="AB967" s="161"/>
      <c r="AC967" s="171"/>
      <c r="AD967" s="198"/>
    </row>
    <row r="968">
      <c r="A968" s="169"/>
      <c r="B968" s="169"/>
      <c r="C968" s="161"/>
      <c r="D968" s="229"/>
      <c r="E968" s="161"/>
      <c r="F968" s="161"/>
      <c r="G968" s="161"/>
      <c r="H968" s="171"/>
      <c r="I968" s="171"/>
      <c r="J968" s="171"/>
      <c r="K968" s="171"/>
      <c r="L968" s="171"/>
      <c r="M968" s="171"/>
      <c r="N968" s="171"/>
      <c r="O968" s="171"/>
      <c r="P968" s="171"/>
      <c r="Q968" s="171"/>
      <c r="R968" s="171"/>
      <c r="S968" s="171"/>
      <c r="T968" s="171"/>
      <c r="U968" s="171"/>
      <c r="V968" s="171"/>
      <c r="W968" s="171"/>
      <c r="X968" s="161"/>
      <c r="Y968" s="161"/>
      <c r="Z968" s="161"/>
      <c r="AA968" s="161"/>
      <c r="AB968" s="161"/>
      <c r="AC968" s="171"/>
      <c r="AD968" s="198"/>
    </row>
    <row r="969">
      <c r="A969" s="169"/>
      <c r="B969" s="169"/>
      <c r="C969" s="161"/>
      <c r="D969" s="229"/>
      <c r="E969" s="161"/>
      <c r="F969" s="161"/>
      <c r="G969" s="161"/>
      <c r="H969" s="171"/>
      <c r="I969" s="171"/>
      <c r="J969" s="171"/>
      <c r="K969" s="171"/>
      <c r="L969" s="171"/>
      <c r="M969" s="171"/>
      <c r="N969" s="171"/>
      <c r="O969" s="171"/>
      <c r="P969" s="171"/>
      <c r="Q969" s="171"/>
      <c r="R969" s="171"/>
      <c r="S969" s="171"/>
      <c r="T969" s="171"/>
      <c r="U969" s="171"/>
      <c r="V969" s="171"/>
      <c r="W969" s="171"/>
      <c r="X969" s="161"/>
      <c r="Y969" s="161"/>
      <c r="Z969" s="161"/>
      <c r="AA969" s="161"/>
      <c r="AB969" s="161"/>
      <c r="AC969" s="171"/>
      <c r="AD969" s="198"/>
    </row>
    <row r="970">
      <c r="A970" s="169"/>
      <c r="B970" s="169"/>
      <c r="C970" s="161"/>
      <c r="D970" s="229"/>
      <c r="E970" s="161"/>
      <c r="F970" s="161"/>
      <c r="G970" s="161"/>
      <c r="H970" s="171"/>
      <c r="I970" s="171"/>
      <c r="J970" s="171"/>
      <c r="K970" s="171"/>
      <c r="L970" s="171"/>
      <c r="M970" s="171"/>
      <c r="N970" s="171"/>
      <c r="O970" s="171"/>
      <c r="P970" s="171"/>
      <c r="Q970" s="171"/>
      <c r="R970" s="171"/>
      <c r="S970" s="171"/>
      <c r="T970" s="171"/>
      <c r="U970" s="171"/>
      <c r="V970" s="171"/>
      <c r="W970" s="171"/>
      <c r="X970" s="161"/>
      <c r="Y970" s="161"/>
      <c r="Z970" s="161"/>
      <c r="AA970" s="161"/>
      <c r="AB970" s="161"/>
      <c r="AC970" s="171"/>
      <c r="AD970" s="198"/>
    </row>
    <row r="971">
      <c r="A971" s="169"/>
      <c r="B971" s="169"/>
      <c r="C971" s="161"/>
      <c r="D971" s="229"/>
      <c r="E971" s="161"/>
      <c r="F971" s="161"/>
      <c r="G971" s="161"/>
      <c r="H971" s="171"/>
      <c r="I971" s="171"/>
      <c r="J971" s="171"/>
      <c r="K971" s="171"/>
      <c r="L971" s="171"/>
      <c r="M971" s="171"/>
      <c r="N971" s="171"/>
      <c r="O971" s="171"/>
      <c r="P971" s="171"/>
      <c r="Q971" s="171"/>
      <c r="R971" s="171"/>
      <c r="S971" s="171"/>
      <c r="T971" s="171"/>
      <c r="U971" s="171"/>
      <c r="V971" s="171"/>
      <c r="W971" s="171"/>
      <c r="X971" s="161"/>
      <c r="Y971" s="161"/>
      <c r="Z971" s="161"/>
      <c r="AA971" s="161"/>
      <c r="AB971" s="161"/>
      <c r="AC971" s="171"/>
      <c r="AD971" s="198"/>
    </row>
    <row r="972">
      <c r="A972" s="169"/>
      <c r="B972" s="169"/>
      <c r="C972" s="161"/>
      <c r="D972" s="229"/>
      <c r="E972" s="161"/>
      <c r="F972" s="161"/>
      <c r="G972" s="161"/>
      <c r="H972" s="171"/>
      <c r="I972" s="171"/>
      <c r="J972" s="171"/>
      <c r="K972" s="171"/>
      <c r="L972" s="171"/>
      <c r="M972" s="171"/>
      <c r="N972" s="171"/>
      <c r="O972" s="171"/>
      <c r="P972" s="171"/>
      <c r="Q972" s="171"/>
      <c r="R972" s="171"/>
      <c r="S972" s="171"/>
      <c r="T972" s="171"/>
      <c r="U972" s="171"/>
      <c r="V972" s="171"/>
      <c r="W972" s="171"/>
      <c r="X972" s="161"/>
      <c r="Y972" s="161"/>
      <c r="Z972" s="161"/>
      <c r="AA972" s="161"/>
      <c r="AB972" s="161"/>
      <c r="AC972" s="171"/>
      <c r="AD972" s="198"/>
    </row>
    <row r="973">
      <c r="A973" s="169"/>
      <c r="B973" s="169"/>
      <c r="C973" s="161"/>
      <c r="D973" s="229"/>
      <c r="E973" s="161"/>
      <c r="F973" s="161"/>
      <c r="G973" s="161"/>
      <c r="H973" s="171"/>
      <c r="I973" s="171"/>
      <c r="J973" s="171"/>
      <c r="K973" s="171"/>
      <c r="L973" s="171"/>
      <c r="M973" s="171"/>
      <c r="N973" s="171"/>
      <c r="O973" s="171"/>
      <c r="P973" s="171"/>
      <c r="Q973" s="171"/>
      <c r="R973" s="171"/>
      <c r="S973" s="171"/>
      <c r="T973" s="171"/>
      <c r="U973" s="171"/>
      <c r="V973" s="171"/>
      <c r="W973" s="171"/>
      <c r="X973" s="161"/>
      <c r="Y973" s="161"/>
      <c r="Z973" s="161"/>
      <c r="AA973" s="161"/>
      <c r="AB973" s="161"/>
      <c r="AC973" s="171"/>
      <c r="AD973" s="198"/>
    </row>
    <row r="974">
      <c r="A974" s="169"/>
      <c r="B974" s="169"/>
      <c r="C974" s="161"/>
      <c r="D974" s="229"/>
      <c r="E974" s="161"/>
      <c r="F974" s="161"/>
      <c r="G974" s="161"/>
      <c r="H974" s="171"/>
      <c r="I974" s="171"/>
      <c r="J974" s="171"/>
      <c r="K974" s="171"/>
      <c r="L974" s="171"/>
      <c r="M974" s="171"/>
      <c r="N974" s="171"/>
      <c r="O974" s="171"/>
      <c r="P974" s="171"/>
      <c r="Q974" s="171"/>
      <c r="R974" s="171"/>
      <c r="S974" s="171"/>
      <c r="T974" s="171"/>
      <c r="U974" s="171"/>
      <c r="V974" s="171"/>
      <c r="W974" s="171"/>
      <c r="X974" s="161"/>
      <c r="Y974" s="161"/>
      <c r="Z974" s="161"/>
      <c r="AA974" s="161"/>
      <c r="AB974" s="161"/>
      <c r="AC974" s="171"/>
      <c r="AD974" s="198"/>
    </row>
    <row r="975">
      <c r="A975" s="169"/>
      <c r="B975" s="169"/>
      <c r="C975" s="161"/>
      <c r="D975" s="229"/>
      <c r="E975" s="161"/>
      <c r="F975" s="161"/>
      <c r="G975" s="161"/>
      <c r="H975" s="171"/>
      <c r="I975" s="171"/>
      <c r="J975" s="171"/>
      <c r="K975" s="171"/>
      <c r="L975" s="171"/>
      <c r="M975" s="171"/>
      <c r="N975" s="171"/>
      <c r="O975" s="171"/>
      <c r="P975" s="171"/>
      <c r="Q975" s="171"/>
      <c r="R975" s="171"/>
      <c r="S975" s="171"/>
      <c r="T975" s="171"/>
      <c r="U975" s="171"/>
      <c r="V975" s="171"/>
      <c r="W975" s="171"/>
      <c r="X975" s="161"/>
      <c r="Y975" s="161"/>
      <c r="Z975" s="161"/>
      <c r="AA975" s="161"/>
      <c r="AB975" s="161"/>
      <c r="AC975" s="171"/>
      <c r="AD975" s="198"/>
    </row>
    <row r="976">
      <c r="A976" s="169"/>
      <c r="B976" s="169"/>
      <c r="C976" s="161"/>
      <c r="D976" s="229"/>
      <c r="E976" s="161"/>
      <c r="F976" s="161"/>
      <c r="G976" s="161"/>
      <c r="H976" s="171"/>
      <c r="I976" s="171"/>
      <c r="J976" s="171"/>
      <c r="K976" s="171"/>
      <c r="L976" s="171"/>
      <c r="M976" s="171"/>
      <c r="N976" s="171"/>
      <c r="O976" s="171"/>
      <c r="P976" s="171"/>
      <c r="Q976" s="171"/>
      <c r="R976" s="171"/>
      <c r="S976" s="171"/>
      <c r="T976" s="171"/>
      <c r="U976" s="171"/>
      <c r="V976" s="171"/>
      <c r="W976" s="171"/>
      <c r="X976" s="161"/>
      <c r="Y976" s="161"/>
      <c r="Z976" s="161"/>
      <c r="AA976" s="161"/>
      <c r="AB976" s="161"/>
      <c r="AC976" s="171"/>
      <c r="AD976" s="198"/>
    </row>
    <row r="977">
      <c r="A977" s="169"/>
      <c r="B977" s="169"/>
      <c r="C977" s="161"/>
      <c r="D977" s="229"/>
      <c r="E977" s="161"/>
      <c r="F977" s="161"/>
      <c r="G977" s="161"/>
      <c r="H977" s="171"/>
      <c r="I977" s="171"/>
      <c r="J977" s="171"/>
      <c r="K977" s="171"/>
      <c r="L977" s="171"/>
      <c r="M977" s="171"/>
      <c r="N977" s="171"/>
      <c r="O977" s="171"/>
      <c r="P977" s="171"/>
      <c r="Q977" s="171"/>
      <c r="R977" s="171"/>
      <c r="S977" s="171"/>
      <c r="T977" s="171"/>
      <c r="U977" s="171"/>
      <c r="V977" s="171"/>
      <c r="W977" s="171"/>
      <c r="X977" s="161"/>
      <c r="Y977" s="161"/>
      <c r="Z977" s="161"/>
      <c r="AA977" s="161"/>
      <c r="AB977" s="161"/>
      <c r="AC977" s="171"/>
      <c r="AD977" s="198"/>
    </row>
    <row r="978">
      <c r="A978" s="169"/>
      <c r="B978" s="169"/>
      <c r="C978" s="161"/>
      <c r="D978" s="229"/>
      <c r="E978" s="161"/>
      <c r="F978" s="161"/>
      <c r="G978" s="161"/>
      <c r="H978" s="171"/>
      <c r="I978" s="171"/>
      <c r="J978" s="171"/>
      <c r="K978" s="171"/>
      <c r="L978" s="171"/>
      <c r="M978" s="171"/>
      <c r="N978" s="171"/>
      <c r="O978" s="171"/>
      <c r="P978" s="171"/>
      <c r="Q978" s="171"/>
      <c r="R978" s="171"/>
      <c r="S978" s="171"/>
      <c r="T978" s="171"/>
      <c r="U978" s="171"/>
      <c r="V978" s="171"/>
      <c r="W978" s="171"/>
      <c r="X978" s="161"/>
      <c r="Y978" s="161"/>
      <c r="Z978" s="161"/>
      <c r="AA978" s="161"/>
      <c r="AB978" s="161"/>
      <c r="AC978" s="171"/>
      <c r="AD978" s="198"/>
    </row>
    <row r="979">
      <c r="A979" s="169"/>
      <c r="B979" s="169"/>
      <c r="C979" s="161"/>
      <c r="D979" s="229"/>
      <c r="E979" s="161"/>
      <c r="F979" s="161"/>
      <c r="G979" s="161"/>
      <c r="H979" s="171"/>
      <c r="I979" s="171"/>
      <c r="J979" s="171"/>
      <c r="K979" s="171"/>
      <c r="L979" s="171"/>
      <c r="M979" s="171"/>
      <c r="N979" s="171"/>
      <c r="O979" s="171"/>
      <c r="P979" s="171"/>
      <c r="Q979" s="171"/>
      <c r="R979" s="171"/>
      <c r="S979" s="171"/>
      <c r="T979" s="171"/>
      <c r="U979" s="171"/>
      <c r="V979" s="171"/>
      <c r="W979" s="171"/>
      <c r="X979" s="161"/>
      <c r="Y979" s="161"/>
      <c r="Z979" s="161"/>
      <c r="AA979" s="161"/>
      <c r="AB979" s="161"/>
      <c r="AC979" s="171"/>
      <c r="AD979" s="198"/>
    </row>
    <row r="980">
      <c r="A980" s="169"/>
      <c r="B980" s="169"/>
      <c r="C980" s="161"/>
      <c r="D980" s="229"/>
      <c r="E980" s="161"/>
      <c r="F980" s="161"/>
      <c r="G980" s="161"/>
      <c r="H980" s="171"/>
      <c r="I980" s="171"/>
      <c r="J980" s="171"/>
      <c r="K980" s="171"/>
      <c r="L980" s="171"/>
      <c r="M980" s="171"/>
      <c r="N980" s="171"/>
      <c r="O980" s="171"/>
      <c r="P980" s="171"/>
      <c r="Q980" s="171"/>
      <c r="R980" s="171"/>
      <c r="S980" s="171"/>
      <c r="T980" s="171"/>
      <c r="U980" s="171"/>
      <c r="V980" s="171"/>
      <c r="W980" s="171"/>
      <c r="X980" s="161"/>
      <c r="Y980" s="161"/>
      <c r="Z980" s="161"/>
      <c r="AA980" s="161"/>
      <c r="AB980" s="161"/>
      <c r="AC980" s="171"/>
      <c r="AD980" s="198"/>
    </row>
    <row r="981">
      <c r="A981" s="169"/>
      <c r="B981" s="169"/>
      <c r="C981" s="161"/>
      <c r="D981" s="229"/>
      <c r="E981" s="161"/>
      <c r="F981" s="161"/>
      <c r="G981" s="161"/>
      <c r="H981" s="171"/>
      <c r="I981" s="171"/>
      <c r="J981" s="171"/>
      <c r="K981" s="171"/>
      <c r="L981" s="171"/>
      <c r="M981" s="171"/>
      <c r="N981" s="171"/>
      <c r="O981" s="171"/>
      <c r="P981" s="171"/>
      <c r="Q981" s="171"/>
      <c r="R981" s="171"/>
      <c r="S981" s="171"/>
      <c r="T981" s="171"/>
      <c r="U981" s="171"/>
      <c r="V981" s="171"/>
      <c r="W981" s="171"/>
      <c r="X981" s="161"/>
      <c r="Y981" s="161"/>
      <c r="Z981" s="161"/>
      <c r="AA981" s="161"/>
      <c r="AB981" s="161"/>
      <c r="AC981" s="171"/>
      <c r="AD981" s="198"/>
    </row>
    <row r="982">
      <c r="A982" s="169"/>
      <c r="B982" s="169"/>
      <c r="C982" s="161"/>
      <c r="D982" s="229"/>
      <c r="E982" s="161"/>
      <c r="F982" s="161"/>
      <c r="G982" s="161"/>
      <c r="H982" s="171"/>
      <c r="I982" s="171"/>
      <c r="J982" s="171"/>
      <c r="K982" s="171"/>
      <c r="L982" s="171"/>
      <c r="M982" s="171"/>
      <c r="N982" s="171"/>
      <c r="O982" s="171"/>
      <c r="P982" s="171"/>
      <c r="Q982" s="171"/>
      <c r="R982" s="171"/>
      <c r="S982" s="171"/>
      <c r="T982" s="171"/>
      <c r="U982" s="171"/>
      <c r="V982" s="171"/>
      <c r="W982" s="171"/>
      <c r="X982" s="161"/>
      <c r="Y982" s="161"/>
      <c r="Z982" s="161"/>
      <c r="AA982" s="161"/>
      <c r="AB982" s="161"/>
      <c r="AC982" s="171"/>
      <c r="AD982" s="198"/>
    </row>
    <row r="983">
      <c r="A983" s="169"/>
      <c r="B983" s="169"/>
      <c r="C983" s="161"/>
      <c r="D983" s="229"/>
      <c r="E983" s="161"/>
      <c r="F983" s="161"/>
      <c r="G983" s="161"/>
      <c r="H983" s="171"/>
      <c r="I983" s="171"/>
      <c r="J983" s="171"/>
      <c r="K983" s="171"/>
      <c r="L983" s="171"/>
      <c r="M983" s="171"/>
      <c r="N983" s="171"/>
      <c r="O983" s="171"/>
      <c r="P983" s="171"/>
      <c r="Q983" s="171"/>
      <c r="R983" s="171"/>
      <c r="S983" s="171"/>
      <c r="T983" s="171"/>
      <c r="U983" s="171"/>
      <c r="V983" s="171"/>
      <c r="W983" s="171"/>
      <c r="X983" s="161"/>
      <c r="Y983" s="161"/>
      <c r="Z983" s="161"/>
      <c r="AA983" s="161"/>
      <c r="AB983" s="161"/>
      <c r="AC983" s="171"/>
      <c r="AD983" s="198"/>
    </row>
    <row r="984">
      <c r="A984" s="169"/>
      <c r="B984" s="169"/>
      <c r="C984" s="161"/>
      <c r="D984" s="229"/>
      <c r="E984" s="161"/>
      <c r="F984" s="161"/>
      <c r="G984" s="161"/>
      <c r="H984" s="171"/>
      <c r="I984" s="171"/>
      <c r="J984" s="171"/>
      <c r="K984" s="171"/>
      <c r="L984" s="171"/>
      <c r="M984" s="171"/>
      <c r="N984" s="171"/>
      <c r="O984" s="171"/>
      <c r="P984" s="171"/>
      <c r="Q984" s="171"/>
      <c r="R984" s="171"/>
      <c r="S984" s="171"/>
      <c r="T984" s="171"/>
      <c r="U984" s="171"/>
      <c r="V984" s="171"/>
      <c r="W984" s="171"/>
      <c r="X984" s="161"/>
      <c r="Y984" s="161"/>
      <c r="Z984" s="161"/>
      <c r="AA984" s="161"/>
      <c r="AB984" s="161"/>
      <c r="AC984" s="171"/>
      <c r="AD984" s="198"/>
    </row>
    <row r="985">
      <c r="A985" s="169"/>
      <c r="B985" s="169"/>
      <c r="C985" s="161"/>
      <c r="D985" s="229"/>
      <c r="E985" s="161"/>
      <c r="F985" s="161"/>
      <c r="G985" s="161"/>
      <c r="H985" s="171"/>
      <c r="I985" s="171"/>
      <c r="J985" s="171"/>
      <c r="K985" s="171"/>
      <c r="L985" s="171"/>
      <c r="M985" s="171"/>
      <c r="N985" s="171"/>
      <c r="O985" s="171"/>
      <c r="P985" s="171"/>
      <c r="Q985" s="171"/>
      <c r="R985" s="171"/>
      <c r="S985" s="171"/>
      <c r="T985" s="171"/>
      <c r="U985" s="171"/>
      <c r="V985" s="171"/>
      <c r="W985" s="171"/>
      <c r="X985" s="161"/>
      <c r="Y985" s="161"/>
      <c r="Z985" s="161"/>
      <c r="AA985" s="161"/>
      <c r="AB985" s="161"/>
      <c r="AC985" s="171"/>
      <c r="AD985" s="198"/>
    </row>
    <row r="986">
      <c r="A986" s="169"/>
      <c r="B986" s="169"/>
      <c r="C986" s="161"/>
      <c r="D986" s="229"/>
      <c r="E986" s="161"/>
      <c r="F986" s="161"/>
      <c r="G986" s="161"/>
      <c r="H986" s="171"/>
      <c r="I986" s="171"/>
      <c r="J986" s="171"/>
      <c r="K986" s="171"/>
      <c r="L986" s="171"/>
      <c r="M986" s="171"/>
      <c r="N986" s="171"/>
      <c r="O986" s="171"/>
      <c r="P986" s="171"/>
      <c r="Q986" s="171"/>
      <c r="R986" s="171"/>
      <c r="S986" s="171"/>
      <c r="T986" s="171"/>
      <c r="U986" s="171"/>
      <c r="V986" s="171"/>
      <c r="W986" s="171"/>
      <c r="X986" s="161"/>
      <c r="Y986" s="161"/>
      <c r="Z986" s="161"/>
      <c r="AA986" s="161"/>
      <c r="AB986" s="161"/>
      <c r="AC986" s="171"/>
      <c r="AD986" s="198"/>
    </row>
    <row r="987">
      <c r="A987" s="169"/>
      <c r="B987" s="169"/>
      <c r="C987" s="161"/>
      <c r="D987" s="229"/>
      <c r="E987" s="161"/>
      <c r="F987" s="161"/>
      <c r="G987" s="161"/>
      <c r="H987" s="171"/>
      <c r="I987" s="171"/>
      <c r="J987" s="171"/>
      <c r="K987" s="171"/>
      <c r="L987" s="171"/>
      <c r="M987" s="171"/>
      <c r="N987" s="171"/>
      <c r="O987" s="171"/>
      <c r="P987" s="171"/>
      <c r="Q987" s="171"/>
      <c r="R987" s="171"/>
      <c r="S987" s="171"/>
      <c r="T987" s="171"/>
      <c r="U987" s="171"/>
      <c r="V987" s="171"/>
      <c r="W987" s="171"/>
      <c r="X987" s="161"/>
      <c r="Y987" s="161"/>
      <c r="Z987" s="161"/>
      <c r="AA987" s="161"/>
      <c r="AB987" s="161"/>
      <c r="AC987" s="171"/>
      <c r="AD987" s="198"/>
    </row>
    <row r="988">
      <c r="A988" s="169"/>
      <c r="B988" s="169"/>
      <c r="C988" s="161"/>
      <c r="D988" s="229"/>
      <c r="E988" s="161"/>
      <c r="F988" s="161"/>
      <c r="G988" s="161"/>
      <c r="H988" s="171"/>
      <c r="I988" s="171"/>
      <c r="J988" s="171"/>
      <c r="K988" s="171"/>
      <c r="L988" s="171"/>
      <c r="M988" s="171"/>
      <c r="N988" s="171"/>
      <c r="O988" s="171"/>
      <c r="P988" s="171"/>
      <c r="Q988" s="171"/>
      <c r="R988" s="171"/>
      <c r="S988" s="171"/>
      <c r="T988" s="171"/>
      <c r="U988" s="171"/>
      <c r="V988" s="171"/>
      <c r="W988" s="171"/>
      <c r="X988" s="161"/>
      <c r="Y988" s="161"/>
      <c r="Z988" s="161"/>
      <c r="AA988" s="161"/>
      <c r="AB988" s="161"/>
      <c r="AC988" s="171"/>
      <c r="AD988" s="198"/>
    </row>
    <row r="989">
      <c r="A989" s="169"/>
      <c r="B989" s="169"/>
      <c r="C989" s="161"/>
      <c r="D989" s="229"/>
      <c r="E989" s="161"/>
      <c r="F989" s="161"/>
      <c r="G989" s="161"/>
      <c r="H989" s="171"/>
      <c r="I989" s="171"/>
      <c r="J989" s="171"/>
      <c r="K989" s="171"/>
      <c r="L989" s="171"/>
      <c r="M989" s="171"/>
      <c r="N989" s="171"/>
      <c r="O989" s="171"/>
      <c r="P989" s="171"/>
      <c r="Q989" s="171"/>
      <c r="R989" s="171"/>
      <c r="S989" s="171"/>
      <c r="T989" s="171"/>
      <c r="U989" s="171"/>
      <c r="V989" s="171"/>
      <c r="W989" s="171"/>
      <c r="X989" s="161"/>
      <c r="Y989" s="161"/>
      <c r="Z989" s="161"/>
      <c r="AA989" s="161"/>
      <c r="AB989" s="161"/>
      <c r="AC989" s="171"/>
      <c r="AD989" s="198"/>
    </row>
    <row r="990">
      <c r="A990" s="169"/>
      <c r="B990" s="169"/>
      <c r="C990" s="161"/>
      <c r="D990" s="229"/>
      <c r="E990" s="161"/>
      <c r="F990" s="161"/>
      <c r="G990" s="161"/>
      <c r="H990" s="171"/>
      <c r="I990" s="171"/>
      <c r="J990" s="171"/>
      <c r="K990" s="171"/>
      <c r="L990" s="171"/>
      <c r="M990" s="171"/>
      <c r="N990" s="171"/>
      <c r="O990" s="171"/>
      <c r="P990" s="171"/>
      <c r="Q990" s="171"/>
      <c r="R990" s="171"/>
      <c r="S990" s="171"/>
      <c r="T990" s="171"/>
      <c r="U990" s="171"/>
      <c r="V990" s="171"/>
      <c r="W990" s="171"/>
      <c r="X990" s="161"/>
      <c r="Y990" s="161"/>
      <c r="Z990" s="161"/>
      <c r="AA990" s="161"/>
      <c r="AB990" s="161"/>
      <c r="AC990" s="171"/>
      <c r="AD990" s="198"/>
    </row>
    <row r="991">
      <c r="A991" s="169"/>
      <c r="B991" s="169"/>
      <c r="C991" s="161"/>
      <c r="D991" s="229"/>
      <c r="E991" s="161"/>
      <c r="F991" s="161"/>
      <c r="G991" s="161"/>
      <c r="H991" s="171"/>
      <c r="I991" s="171"/>
      <c r="J991" s="171"/>
      <c r="K991" s="171"/>
      <c r="L991" s="171"/>
      <c r="M991" s="171"/>
      <c r="N991" s="171"/>
      <c r="O991" s="171"/>
      <c r="P991" s="171"/>
      <c r="Q991" s="171"/>
      <c r="R991" s="171"/>
      <c r="S991" s="171"/>
      <c r="T991" s="171"/>
      <c r="U991" s="171"/>
      <c r="V991" s="171"/>
      <c r="W991" s="171"/>
      <c r="X991" s="161"/>
      <c r="Y991" s="161"/>
      <c r="Z991" s="161"/>
      <c r="AA991" s="161"/>
      <c r="AB991" s="161"/>
      <c r="AC991" s="171"/>
      <c r="AD991" s="198"/>
    </row>
    <row r="992">
      <c r="A992" s="169"/>
      <c r="B992" s="169"/>
      <c r="C992" s="161"/>
      <c r="D992" s="229"/>
      <c r="E992" s="161"/>
      <c r="F992" s="161"/>
      <c r="G992" s="161"/>
      <c r="H992" s="171"/>
      <c r="I992" s="171"/>
      <c r="J992" s="171"/>
      <c r="K992" s="171"/>
      <c r="L992" s="171"/>
      <c r="M992" s="171"/>
      <c r="N992" s="171"/>
      <c r="O992" s="171"/>
      <c r="P992" s="171"/>
      <c r="Q992" s="171"/>
      <c r="R992" s="171"/>
      <c r="S992" s="171"/>
      <c r="T992" s="171"/>
      <c r="U992" s="171"/>
      <c r="V992" s="171"/>
      <c r="W992" s="171"/>
      <c r="X992" s="161"/>
      <c r="Y992" s="161"/>
      <c r="Z992" s="161"/>
      <c r="AA992" s="161"/>
      <c r="AB992" s="161"/>
      <c r="AC992" s="171"/>
      <c r="AD992" s="198"/>
    </row>
    <row r="993">
      <c r="A993" s="169"/>
      <c r="B993" s="169"/>
      <c r="C993" s="161"/>
      <c r="D993" s="229"/>
      <c r="E993" s="161"/>
      <c r="F993" s="161"/>
      <c r="G993" s="161"/>
      <c r="H993" s="171"/>
      <c r="I993" s="171"/>
      <c r="J993" s="171"/>
      <c r="K993" s="171"/>
      <c r="L993" s="171"/>
      <c r="M993" s="171"/>
      <c r="N993" s="171"/>
      <c r="O993" s="171"/>
      <c r="P993" s="171"/>
      <c r="Q993" s="171"/>
      <c r="R993" s="171"/>
      <c r="S993" s="171"/>
      <c r="T993" s="171"/>
      <c r="U993" s="171"/>
      <c r="V993" s="171"/>
      <c r="W993" s="171"/>
      <c r="X993" s="161"/>
      <c r="Y993" s="161"/>
      <c r="Z993" s="161"/>
      <c r="AA993" s="161"/>
      <c r="AB993" s="161"/>
      <c r="AC993" s="171"/>
      <c r="AD993" s="198"/>
    </row>
    <row r="994">
      <c r="A994" s="169"/>
      <c r="B994" s="169"/>
      <c r="C994" s="161"/>
      <c r="D994" s="229"/>
      <c r="E994" s="161"/>
      <c r="F994" s="161"/>
      <c r="G994" s="161"/>
      <c r="H994" s="171"/>
      <c r="I994" s="171"/>
      <c r="J994" s="171"/>
      <c r="K994" s="171"/>
      <c r="L994" s="171"/>
      <c r="M994" s="171"/>
      <c r="N994" s="171"/>
      <c r="O994" s="171"/>
      <c r="P994" s="171"/>
      <c r="Q994" s="171"/>
      <c r="R994" s="171"/>
      <c r="S994" s="171"/>
      <c r="T994" s="171"/>
      <c r="U994" s="171"/>
      <c r="V994" s="171"/>
      <c r="W994" s="171"/>
      <c r="X994" s="161"/>
      <c r="Y994" s="161"/>
      <c r="Z994" s="161"/>
      <c r="AA994" s="161"/>
      <c r="AB994" s="161"/>
      <c r="AC994" s="171"/>
      <c r="AD994" s="198"/>
    </row>
    <row r="995">
      <c r="A995" s="169"/>
      <c r="B995" s="169"/>
      <c r="C995" s="161"/>
      <c r="D995" s="229"/>
      <c r="E995" s="161"/>
      <c r="F995" s="161"/>
      <c r="G995" s="161"/>
      <c r="H995" s="171"/>
      <c r="I995" s="171"/>
      <c r="J995" s="171"/>
      <c r="K995" s="171"/>
      <c r="L995" s="171"/>
      <c r="M995" s="171"/>
      <c r="N995" s="171"/>
      <c r="O995" s="171"/>
      <c r="P995" s="171"/>
      <c r="Q995" s="171"/>
      <c r="R995" s="171"/>
      <c r="S995" s="171"/>
      <c r="T995" s="171"/>
      <c r="U995" s="171"/>
      <c r="V995" s="171"/>
      <c r="W995" s="171"/>
      <c r="X995" s="161"/>
      <c r="Y995" s="161"/>
      <c r="Z995" s="161"/>
      <c r="AA995" s="161"/>
      <c r="AB995" s="161"/>
      <c r="AC995" s="171"/>
      <c r="AD995" s="198"/>
    </row>
    <row r="996">
      <c r="A996" s="169"/>
      <c r="B996" s="169"/>
      <c r="C996" s="161"/>
      <c r="D996" s="229"/>
      <c r="E996" s="161"/>
      <c r="F996" s="161"/>
      <c r="G996" s="161"/>
      <c r="H996" s="171"/>
      <c r="I996" s="171"/>
      <c r="J996" s="171"/>
      <c r="K996" s="171"/>
      <c r="L996" s="171"/>
      <c r="M996" s="171"/>
      <c r="N996" s="171"/>
      <c r="O996" s="171"/>
      <c r="P996" s="171"/>
      <c r="Q996" s="171"/>
      <c r="R996" s="171"/>
      <c r="S996" s="171"/>
      <c r="T996" s="171"/>
      <c r="U996" s="171"/>
      <c r="V996" s="171"/>
      <c r="W996" s="171"/>
      <c r="X996" s="161"/>
      <c r="Y996" s="161"/>
      <c r="Z996" s="161"/>
      <c r="AA996" s="161"/>
      <c r="AB996" s="161"/>
      <c r="AC996" s="171"/>
      <c r="AD996" s="198"/>
    </row>
    <row r="997">
      <c r="A997" s="169"/>
      <c r="B997" s="169"/>
      <c r="C997" s="161"/>
      <c r="D997" s="229"/>
      <c r="E997" s="161"/>
      <c r="F997" s="161"/>
      <c r="G997" s="161"/>
      <c r="H997" s="171"/>
      <c r="I997" s="171"/>
      <c r="J997" s="171"/>
      <c r="K997" s="171"/>
      <c r="L997" s="171"/>
      <c r="M997" s="171"/>
      <c r="N997" s="171"/>
      <c r="O997" s="171"/>
      <c r="P997" s="171"/>
      <c r="Q997" s="171"/>
      <c r="R997" s="171"/>
      <c r="S997" s="171"/>
      <c r="T997" s="171"/>
      <c r="U997" s="171"/>
      <c r="V997" s="171"/>
      <c r="W997" s="171"/>
      <c r="X997" s="161"/>
      <c r="Y997" s="161"/>
      <c r="Z997" s="161"/>
      <c r="AA997" s="161"/>
      <c r="AB997" s="161"/>
      <c r="AC997" s="171"/>
      <c r="AD997" s="198"/>
    </row>
    <row r="998">
      <c r="A998" s="169"/>
      <c r="B998" s="169"/>
      <c r="C998" s="161"/>
      <c r="D998" s="229"/>
      <c r="E998" s="161"/>
      <c r="F998" s="161"/>
      <c r="G998" s="161"/>
      <c r="H998" s="171"/>
      <c r="I998" s="171"/>
      <c r="J998" s="171"/>
      <c r="K998" s="171"/>
      <c r="L998" s="171"/>
      <c r="M998" s="171"/>
      <c r="N998" s="171"/>
      <c r="O998" s="171"/>
      <c r="P998" s="171"/>
      <c r="Q998" s="171"/>
      <c r="R998" s="171"/>
      <c r="S998" s="171"/>
      <c r="T998" s="171"/>
      <c r="U998" s="171"/>
      <c r="V998" s="171"/>
      <c r="W998" s="171"/>
      <c r="X998" s="161"/>
      <c r="Y998" s="161"/>
      <c r="Z998" s="161"/>
      <c r="AA998" s="161"/>
      <c r="AB998" s="161"/>
      <c r="AC998" s="171"/>
      <c r="AD998" s="198"/>
    </row>
    <row r="999">
      <c r="A999" s="169"/>
      <c r="B999" s="169"/>
      <c r="C999" s="161"/>
      <c r="D999" s="229"/>
      <c r="E999" s="161"/>
      <c r="F999" s="161"/>
      <c r="G999" s="161"/>
      <c r="H999" s="171"/>
      <c r="I999" s="171"/>
      <c r="J999" s="171"/>
      <c r="K999" s="171"/>
      <c r="L999" s="171"/>
      <c r="M999" s="171"/>
      <c r="N999" s="171"/>
      <c r="O999" s="171"/>
      <c r="P999" s="171"/>
      <c r="Q999" s="171"/>
      <c r="R999" s="171"/>
      <c r="S999" s="171"/>
      <c r="T999" s="171"/>
      <c r="U999" s="171"/>
      <c r="V999" s="171"/>
      <c r="W999" s="171"/>
      <c r="X999" s="161"/>
      <c r="Y999" s="161"/>
      <c r="Z999" s="161"/>
      <c r="AA999" s="161"/>
      <c r="AB999" s="161"/>
      <c r="AC999" s="171"/>
      <c r="AD999" s="198"/>
    </row>
  </sheetData>
  <mergeCells count="15">
    <mergeCell ref="H1:L1"/>
    <mergeCell ref="M1:M2"/>
    <mergeCell ref="N1:Q1"/>
    <mergeCell ref="R1:R2"/>
    <mergeCell ref="S1:V1"/>
    <mergeCell ref="W1:W2"/>
    <mergeCell ref="X1:AB1"/>
    <mergeCell ref="AC1:AC2"/>
    <mergeCell ref="A1:A2"/>
    <mergeCell ref="B1:B2"/>
    <mergeCell ref="C1:C2"/>
    <mergeCell ref="D1:D2"/>
    <mergeCell ref="E1:E2"/>
    <mergeCell ref="F1:F2"/>
    <mergeCell ref="G1:G2"/>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8" max="8" width="5.13"/>
    <col customWidth="1" min="9" max="9" width="5.75"/>
    <col customWidth="1" min="10" max="10" width="5.88"/>
    <col customWidth="1" min="11" max="12" width="5.63"/>
    <col customWidth="1" min="13" max="13" width="9.5"/>
    <col customWidth="1" min="14" max="14" width="5.38"/>
    <col customWidth="1" min="15" max="15" width="5.63"/>
    <col customWidth="1" min="16" max="16" width="5.13"/>
    <col customWidth="1" min="17" max="17" width="6.13"/>
    <col customWidth="1" min="19" max="22" width="5.88"/>
    <col customWidth="1" min="24" max="28" width="19.63"/>
    <col customWidth="1" min="30" max="30" width="28.0"/>
  </cols>
  <sheetData>
    <row r="1">
      <c r="A1" s="143" t="s">
        <v>186</v>
      </c>
      <c r="B1" s="143" t="s">
        <v>187</v>
      </c>
      <c r="C1" s="143" t="s">
        <v>188</v>
      </c>
      <c r="D1" s="143" t="s">
        <v>189</v>
      </c>
      <c r="E1" s="143" t="s">
        <v>10</v>
      </c>
      <c r="F1" s="214" t="s">
        <v>192</v>
      </c>
      <c r="G1" s="143" t="s">
        <v>191</v>
      </c>
      <c r="H1" s="358" t="s">
        <v>195</v>
      </c>
      <c r="I1" s="110"/>
      <c r="J1" s="110"/>
      <c r="K1" s="110"/>
      <c r="L1" s="54"/>
      <c r="M1" s="214" t="s">
        <v>196</v>
      </c>
      <c r="N1" s="358" t="s">
        <v>197</v>
      </c>
      <c r="O1" s="110"/>
      <c r="P1" s="110"/>
      <c r="Q1" s="54"/>
      <c r="R1" s="214" t="s">
        <v>42</v>
      </c>
      <c r="S1" s="265" t="s">
        <v>39</v>
      </c>
      <c r="T1" s="110"/>
      <c r="U1" s="110"/>
      <c r="V1" s="54"/>
      <c r="W1" s="214" t="s">
        <v>42</v>
      </c>
      <c r="X1" s="265" t="s">
        <v>200</v>
      </c>
      <c r="Y1" s="110"/>
      <c r="Z1" s="110"/>
      <c r="AA1" s="110"/>
      <c r="AB1" s="54"/>
      <c r="AC1" s="214" t="s">
        <v>52</v>
      </c>
      <c r="AD1" s="214" t="s">
        <v>6595</v>
      </c>
    </row>
    <row r="2">
      <c r="A2" s="150"/>
      <c r="B2" s="150"/>
      <c r="C2" s="150"/>
      <c r="D2" s="150"/>
      <c r="E2" s="150"/>
      <c r="F2" s="150"/>
      <c r="G2" s="150"/>
      <c r="H2" s="267" t="s">
        <v>204</v>
      </c>
      <c r="I2" s="267" t="s">
        <v>205</v>
      </c>
      <c r="J2" s="267" t="s">
        <v>206</v>
      </c>
      <c r="K2" s="267" t="s">
        <v>207</v>
      </c>
      <c r="L2" s="267" t="s">
        <v>208</v>
      </c>
      <c r="M2" s="150"/>
      <c r="N2" s="267" t="s">
        <v>204</v>
      </c>
      <c r="O2" s="267" t="s">
        <v>205</v>
      </c>
      <c r="P2" s="267" t="s">
        <v>206</v>
      </c>
      <c r="Q2" s="267" t="s">
        <v>207</v>
      </c>
      <c r="R2" s="150"/>
      <c r="S2" s="267" t="s">
        <v>204</v>
      </c>
      <c r="T2" s="267" t="s">
        <v>205</v>
      </c>
      <c r="U2" s="267" t="s">
        <v>206</v>
      </c>
      <c r="V2" s="267" t="s">
        <v>207</v>
      </c>
      <c r="W2" s="150"/>
      <c r="X2" s="320" t="s">
        <v>204</v>
      </c>
      <c r="Y2" s="320" t="s">
        <v>205</v>
      </c>
      <c r="Z2" s="320" t="s">
        <v>206</v>
      </c>
      <c r="AA2" s="320" t="s">
        <v>207</v>
      </c>
      <c r="AB2" s="320" t="s">
        <v>208</v>
      </c>
      <c r="AC2" s="150"/>
      <c r="AD2" s="150"/>
      <c r="AE2" s="383"/>
    </row>
    <row r="3">
      <c r="D3" s="384"/>
      <c r="H3" s="385"/>
      <c r="I3" s="385"/>
      <c r="J3" s="385"/>
      <c r="K3" s="385"/>
      <c r="L3" s="385"/>
      <c r="M3" s="385"/>
      <c r="N3" s="385"/>
      <c r="O3" s="385"/>
      <c r="P3" s="385"/>
      <c r="Q3" s="385"/>
      <c r="R3" s="385"/>
      <c r="S3" s="385"/>
      <c r="T3" s="385"/>
      <c r="U3" s="385"/>
      <c r="V3" s="385"/>
      <c r="W3" s="385"/>
      <c r="X3" s="385"/>
      <c r="Y3" s="385"/>
      <c r="Z3" s="385"/>
      <c r="AA3" s="385"/>
      <c r="AB3" s="385"/>
      <c r="AC3" s="385"/>
    </row>
    <row r="4">
      <c r="D4" s="384"/>
      <c r="H4" s="385"/>
      <c r="I4" s="385"/>
      <c r="J4" s="385"/>
      <c r="K4" s="385"/>
      <c r="L4" s="385"/>
      <c r="M4" s="385"/>
      <c r="N4" s="385"/>
      <c r="O4" s="385"/>
      <c r="P4" s="385"/>
      <c r="Q4" s="385"/>
      <c r="R4" s="385"/>
      <c r="S4" s="385"/>
      <c r="T4" s="385"/>
      <c r="U4" s="385"/>
      <c r="V4" s="385"/>
      <c r="W4" s="385"/>
      <c r="X4" s="385"/>
      <c r="Y4" s="385"/>
      <c r="Z4" s="385"/>
      <c r="AA4" s="385"/>
      <c r="AB4" s="385"/>
      <c r="AC4" s="385"/>
    </row>
    <row r="5">
      <c r="H5" s="386"/>
      <c r="I5" s="386"/>
      <c r="J5" s="386"/>
      <c r="K5" s="386"/>
      <c r="L5" s="386"/>
      <c r="M5" s="386"/>
      <c r="N5" s="386"/>
      <c r="O5" s="386"/>
      <c r="P5" s="386"/>
      <c r="Q5" s="386"/>
      <c r="R5" s="386"/>
      <c r="S5" s="386"/>
      <c r="T5" s="386"/>
      <c r="U5" s="386"/>
      <c r="V5" s="386"/>
      <c r="W5" s="386"/>
      <c r="X5" s="250"/>
      <c r="Y5" s="250"/>
      <c r="Z5" s="250"/>
      <c r="AA5" s="250"/>
      <c r="AB5" s="250"/>
      <c r="AC5" s="250"/>
    </row>
    <row r="6">
      <c r="H6" s="386"/>
      <c r="I6" s="386"/>
      <c r="J6" s="386"/>
      <c r="K6" s="386"/>
      <c r="L6" s="386"/>
      <c r="M6" s="386"/>
      <c r="N6" s="386"/>
      <c r="O6" s="386"/>
      <c r="P6" s="386"/>
      <c r="Q6" s="386"/>
      <c r="R6" s="386"/>
      <c r="S6" s="386"/>
      <c r="T6" s="386"/>
      <c r="U6" s="386"/>
      <c r="V6" s="386"/>
      <c r="W6" s="386"/>
      <c r="X6" s="250"/>
      <c r="Y6" s="250"/>
      <c r="Z6" s="250"/>
      <c r="AA6" s="250"/>
      <c r="AB6" s="250"/>
      <c r="AC6" s="250"/>
    </row>
    <row r="7">
      <c r="H7" s="386"/>
      <c r="I7" s="386"/>
      <c r="J7" s="386"/>
      <c r="K7" s="386"/>
      <c r="L7" s="386"/>
      <c r="M7" s="386"/>
      <c r="N7" s="386"/>
      <c r="O7" s="386"/>
      <c r="P7" s="386"/>
      <c r="Q7" s="386"/>
      <c r="R7" s="386"/>
      <c r="S7" s="386"/>
      <c r="T7" s="386"/>
      <c r="U7" s="386"/>
      <c r="V7" s="386"/>
      <c r="W7" s="386"/>
      <c r="X7" s="250"/>
      <c r="Y7" s="250"/>
      <c r="Z7" s="250"/>
      <c r="AA7" s="250"/>
      <c r="AB7" s="250"/>
      <c r="AC7" s="250"/>
    </row>
    <row r="8">
      <c r="H8" s="386"/>
      <c r="I8" s="386"/>
      <c r="J8" s="386"/>
      <c r="K8" s="386"/>
      <c r="L8" s="386"/>
      <c r="M8" s="386"/>
      <c r="N8" s="386"/>
      <c r="O8" s="386"/>
      <c r="P8" s="386"/>
      <c r="Q8" s="386"/>
      <c r="R8" s="386"/>
      <c r="S8" s="386"/>
      <c r="T8" s="386"/>
      <c r="U8" s="386"/>
      <c r="V8" s="386"/>
      <c r="W8" s="386"/>
      <c r="X8" s="386"/>
      <c r="Y8" s="386"/>
      <c r="Z8" s="386"/>
      <c r="AA8" s="386"/>
      <c r="AB8" s="386"/>
      <c r="AC8" s="386"/>
    </row>
    <row r="9">
      <c r="H9" s="386"/>
      <c r="I9" s="386"/>
      <c r="J9" s="386"/>
      <c r="K9" s="386"/>
      <c r="L9" s="386"/>
      <c r="M9" s="386"/>
      <c r="N9" s="386"/>
      <c r="O9" s="386"/>
      <c r="P9" s="386"/>
      <c r="Q9" s="386"/>
      <c r="R9" s="386"/>
      <c r="S9" s="386"/>
      <c r="T9" s="386"/>
      <c r="U9" s="386"/>
      <c r="V9" s="386"/>
      <c r="W9" s="386"/>
      <c r="X9" s="386"/>
      <c r="Y9" s="386"/>
      <c r="Z9" s="386"/>
      <c r="AA9" s="386"/>
      <c r="AB9" s="386"/>
      <c r="AC9" s="386"/>
    </row>
    <row r="10">
      <c r="H10" s="386"/>
      <c r="I10" s="386"/>
      <c r="J10" s="386"/>
      <c r="K10" s="386"/>
      <c r="L10" s="386"/>
      <c r="M10" s="386"/>
      <c r="N10" s="386"/>
      <c r="O10" s="386"/>
      <c r="P10" s="386"/>
      <c r="Q10" s="386"/>
      <c r="R10" s="386"/>
      <c r="S10" s="386"/>
      <c r="T10" s="386"/>
      <c r="U10" s="386"/>
      <c r="V10" s="386"/>
      <c r="W10" s="386"/>
      <c r="X10" s="386"/>
      <c r="Y10" s="386"/>
      <c r="Z10" s="386"/>
      <c r="AA10" s="386"/>
      <c r="AB10" s="386"/>
      <c r="AC10" s="386"/>
    </row>
    <row r="11">
      <c r="H11" s="386"/>
      <c r="I11" s="386"/>
      <c r="J11" s="386"/>
      <c r="K11" s="386"/>
      <c r="L11" s="386"/>
      <c r="M11" s="386"/>
      <c r="N11" s="386"/>
      <c r="O11" s="386"/>
      <c r="P11" s="386"/>
      <c r="Q11" s="386"/>
      <c r="R11" s="386"/>
      <c r="S11" s="386"/>
      <c r="T11" s="386"/>
      <c r="U11" s="386"/>
      <c r="V11" s="386"/>
      <c r="W11" s="386"/>
      <c r="X11" s="386"/>
      <c r="Y11" s="386"/>
      <c r="Z11" s="386"/>
      <c r="AA11" s="386"/>
      <c r="AB11" s="386"/>
      <c r="AC11" s="386"/>
    </row>
    <row r="12">
      <c r="H12" s="386"/>
      <c r="I12" s="386"/>
      <c r="J12" s="386"/>
      <c r="K12" s="386"/>
      <c r="L12" s="386"/>
      <c r="M12" s="386"/>
      <c r="N12" s="386"/>
      <c r="O12" s="386"/>
      <c r="P12" s="386"/>
      <c r="Q12" s="386"/>
      <c r="R12" s="386"/>
      <c r="S12" s="386"/>
      <c r="T12" s="386"/>
      <c r="U12" s="386"/>
      <c r="V12" s="386"/>
      <c r="W12" s="386"/>
      <c r="X12" s="386"/>
      <c r="Y12" s="386"/>
      <c r="Z12" s="386"/>
      <c r="AA12" s="386"/>
      <c r="AB12" s="386"/>
      <c r="AC12" s="386"/>
    </row>
    <row r="13">
      <c r="H13" s="386"/>
      <c r="I13" s="386"/>
      <c r="J13" s="386"/>
      <c r="K13" s="386"/>
      <c r="L13" s="386"/>
      <c r="M13" s="386"/>
      <c r="N13" s="386"/>
      <c r="O13" s="386"/>
      <c r="P13" s="386"/>
      <c r="Q13" s="386"/>
      <c r="R13" s="386"/>
      <c r="S13" s="386"/>
      <c r="T13" s="386"/>
      <c r="U13" s="386"/>
      <c r="V13" s="386"/>
      <c r="W13" s="386"/>
      <c r="X13" s="386"/>
      <c r="Y13" s="386"/>
      <c r="Z13" s="386"/>
      <c r="AA13" s="386"/>
      <c r="AB13" s="386"/>
      <c r="AC13" s="386"/>
    </row>
    <row r="14">
      <c r="H14" s="386"/>
      <c r="I14" s="386"/>
      <c r="J14" s="386"/>
      <c r="K14" s="386"/>
      <c r="L14" s="386"/>
      <c r="M14" s="386"/>
      <c r="N14" s="386"/>
      <c r="O14" s="386"/>
      <c r="P14" s="386"/>
      <c r="Q14" s="386"/>
      <c r="R14" s="386"/>
      <c r="S14" s="386"/>
      <c r="T14" s="386"/>
      <c r="U14" s="386"/>
      <c r="V14" s="386"/>
      <c r="W14" s="386"/>
      <c r="X14" s="386"/>
      <c r="Y14" s="386"/>
      <c r="Z14" s="386"/>
      <c r="AA14" s="386"/>
      <c r="AB14" s="386"/>
      <c r="AC14" s="386"/>
    </row>
    <row r="15">
      <c r="H15" s="386"/>
      <c r="I15" s="386"/>
      <c r="J15" s="386"/>
      <c r="K15" s="386"/>
      <c r="L15" s="386"/>
      <c r="M15" s="386"/>
      <c r="N15" s="386"/>
      <c r="O15" s="386"/>
      <c r="P15" s="386"/>
      <c r="Q15" s="386"/>
      <c r="R15" s="386"/>
      <c r="S15" s="386"/>
      <c r="T15" s="386"/>
      <c r="U15" s="386"/>
      <c r="V15" s="386"/>
      <c r="W15" s="386"/>
      <c r="X15" s="386"/>
      <c r="Y15" s="386"/>
      <c r="Z15" s="386"/>
      <c r="AA15" s="386"/>
      <c r="AB15" s="386"/>
      <c r="AC15" s="386"/>
    </row>
    <row r="16">
      <c r="H16" s="386"/>
      <c r="I16" s="386"/>
      <c r="J16" s="386"/>
      <c r="K16" s="386"/>
      <c r="L16" s="386"/>
      <c r="M16" s="386"/>
      <c r="N16" s="386"/>
      <c r="O16" s="386"/>
      <c r="P16" s="386"/>
      <c r="Q16" s="386"/>
      <c r="R16" s="386"/>
      <c r="S16" s="386"/>
      <c r="T16" s="386"/>
      <c r="U16" s="386"/>
      <c r="V16" s="386"/>
      <c r="W16" s="386"/>
      <c r="X16" s="386"/>
      <c r="Y16" s="386"/>
      <c r="Z16" s="386"/>
      <c r="AA16" s="386"/>
      <c r="AB16" s="386"/>
      <c r="AC16" s="386"/>
    </row>
    <row r="17">
      <c r="H17" s="386"/>
      <c r="I17" s="386"/>
      <c r="J17" s="386"/>
      <c r="K17" s="386"/>
      <c r="L17" s="386"/>
      <c r="M17" s="386"/>
      <c r="N17" s="386"/>
      <c r="O17" s="386"/>
      <c r="P17" s="386"/>
      <c r="Q17" s="386"/>
      <c r="R17" s="386"/>
      <c r="S17" s="386"/>
      <c r="T17" s="386"/>
      <c r="U17" s="386"/>
      <c r="V17" s="386"/>
      <c r="W17" s="386"/>
      <c r="X17" s="386"/>
      <c r="Y17" s="386"/>
      <c r="Z17" s="386"/>
      <c r="AA17" s="386"/>
      <c r="AB17" s="386"/>
      <c r="AC17" s="386"/>
    </row>
    <row r="18">
      <c r="H18" s="386"/>
      <c r="I18" s="386"/>
      <c r="J18" s="386"/>
      <c r="K18" s="386"/>
      <c r="L18" s="386"/>
      <c r="M18" s="386"/>
      <c r="N18" s="386"/>
      <c r="O18" s="386"/>
      <c r="P18" s="386"/>
      <c r="Q18" s="386"/>
      <c r="R18" s="386"/>
      <c r="S18" s="386"/>
      <c r="T18" s="386"/>
      <c r="U18" s="386"/>
      <c r="V18" s="386"/>
      <c r="W18" s="386"/>
      <c r="X18" s="386"/>
      <c r="Y18" s="386"/>
      <c r="Z18" s="386"/>
      <c r="AA18" s="386"/>
      <c r="AB18" s="386"/>
      <c r="AC18" s="386"/>
    </row>
    <row r="19">
      <c r="H19" s="386"/>
      <c r="I19" s="386"/>
      <c r="J19" s="386"/>
      <c r="K19" s="386"/>
      <c r="L19" s="386"/>
      <c r="M19" s="386"/>
      <c r="N19" s="386"/>
      <c r="O19" s="386"/>
      <c r="P19" s="386"/>
      <c r="Q19" s="386"/>
      <c r="R19" s="386"/>
      <c r="S19" s="386"/>
      <c r="T19" s="386"/>
      <c r="U19" s="386"/>
      <c r="V19" s="386"/>
      <c r="W19" s="386"/>
      <c r="X19" s="386"/>
      <c r="Y19" s="386"/>
      <c r="Z19" s="386"/>
      <c r="AA19" s="386"/>
      <c r="AB19" s="386"/>
      <c r="AC19" s="386"/>
    </row>
    <row r="20">
      <c r="H20" s="386"/>
      <c r="I20" s="386"/>
      <c r="J20" s="386"/>
      <c r="K20" s="386"/>
      <c r="L20" s="386"/>
      <c r="M20" s="386"/>
      <c r="N20" s="386"/>
      <c r="O20" s="386"/>
      <c r="P20" s="386"/>
      <c r="Q20" s="386"/>
      <c r="R20" s="386"/>
      <c r="S20" s="386"/>
      <c r="T20" s="386"/>
      <c r="U20" s="386"/>
      <c r="V20" s="386"/>
      <c r="W20" s="386"/>
      <c r="X20" s="386"/>
      <c r="Y20" s="386"/>
      <c r="Z20" s="386"/>
      <c r="AA20" s="386"/>
      <c r="AB20" s="386"/>
      <c r="AC20" s="386"/>
    </row>
    <row r="21">
      <c r="H21" s="386"/>
      <c r="I21" s="386"/>
      <c r="J21" s="386"/>
      <c r="K21" s="386"/>
      <c r="L21" s="386"/>
      <c r="M21" s="386"/>
      <c r="N21" s="386"/>
      <c r="O21" s="386"/>
      <c r="P21" s="386"/>
      <c r="Q21" s="386"/>
      <c r="R21" s="386"/>
      <c r="S21" s="386"/>
      <c r="T21" s="386"/>
      <c r="U21" s="386"/>
      <c r="V21" s="386"/>
      <c r="W21" s="386"/>
      <c r="X21" s="386"/>
      <c r="Y21" s="386"/>
      <c r="Z21" s="386"/>
      <c r="AA21" s="386"/>
      <c r="AB21" s="386"/>
      <c r="AC21" s="386"/>
    </row>
    <row r="22">
      <c r="H22" s="386"/>
      <c r="I22" s="386"/>
      <c r="J22" s="386"/>
      <c r="K22" s="386"/>
      <c r="L22" s="386"/>
      <c r="M22" s="386"/>
      <c r="N22" s="386"/>
      <c r="O22" s="386"/>
      <c r="P22" s="386"/>
      <c r="Q22" s="386"/>
      <c r="R22" s="386"/>
      <c r="S22" s="386"/>
      <c r="T22" s="386"/>
      <c r="U22" s="386"/>
      <c r="V22" s="386"/>
      <c r="W22" s="386"/>
      <c r="X22" s="386"/>
      <c r="Y22" s="386"/>
      <c r="Z22" s="386"/>
      <c r="AA22" s="386"/>
      <c r="AB22" s="386"/>
      <c r="AC22" s="386"/>
    </row>
    <row r="23">
      <c r="H23" s="386"/>
      <c r="I23" s="386"/>
      <c r="J23" s="386"/>
      <c r="K23" s="386"/>
      <c r="L23" s="386"/>
      <c r="M23" s="386"/>
      <c r="N23" s="386"/>
      <c r="O23" s="386"/>
      <c r="P23" s="386"/>
      <c r="Q23" s="386"/>
      <c r="R23" s="386"/>
      <c r="S23" s="386"/>
      <c r="T23" s="386"/>
      <c r="U23" s="386"/>
      <c r="V23" s="386"/>
      <c r="W23" s="386"/>
      <c r="X23" s="386"/>
      <c r="Y23" s="386"/>
      <c r="Z23" s="386"/>
      <c r="AA23" s="386"/>
      <c r="AB23" s="386"/>
      <c r="AC23" s="386"/>
    </row>
    <row r="24">
      <c r="H24" s="386"/>
      <c r="I24" s="386"/>
      <c r="J24" s="386"/>
      <c r="K24" s="386"/>
      <c r="L24" s="386"/>
      <c r="M24" s="386"/>
      <c r="N24" s="386"/>
      <c r="O24" s="386"/>
      <c r="P24" s="386"/>
      <c r="Q24" s="386"/>
      <c r="R24" s="386"/>
      <c r="S24" s="386"/>
      <c r="T24" s="386"/>
      <c r="U24" s="386"/>
      <c r="V24" s="386"/>
      <c r="W24" s="386"/>
      <c r="X24" s="386"/>
      <c r="Y24" s="386"/>
      <c r="Z24" s="386"/>
      <c r="AA24" s="386"/>
      <c r="AB24" s="386"/>
      <c r="AC24" s="386"/>
    </row>
    <row r="25">
      <c r="H25" s="386"/>
      <c r="I25" s="386"/>
      <c r="J25" s="386"/>
      <c r="K25" s="386"/>
      <c r="L25" s="386"/>
      <c r="M25" s="386"/>
      <c r="N25" s="386"/>
      <c r="O25" s="386"/>
      <c r="P25" s="386"/>
      <c r="Q25" s="386"/>
      <c r="R25" s="386"/>
      <c r="S25" s="386"/>
      <c r="T25" s="386"/>
      <c r="U25" s="386"/>
      <c r="V25" s="386"/>
      <c r="W25" s="386"/>
      <c r="X25" s="386"/>
      <c r="Y25" s="386"/>
      <c r="Z25" s="386"/>
      <c r="AA25" s="386"/>
      <c r="AB25" s="386"/>
      <c r="AC25" s="386"/>
    </row>
    <row r="26">
      <c r="H26" s="386"/>
      <c r="I26" s="386"/>
      <c r="J26" s="386"/>
      <c r="K26" s="386"/>
      <c r="L26" s="386"/>
      <c r="M26" s="386"/>
      <c r="N26" s="386"/>
      <c r="O26" s="386"/>
      <c r="P26" s="386"/>
      <c r="Q26" s="386"/>
      <c r="R26" s="386"/>
      <c r="S26" s="386"/>
      <c r="T26" s="386"/>
      <c r="U26" s="386"/>
      <c r="V26" s="386"/>
      <c r="W26" s="386"/>
      <c r="X26" s="386"/>
      <c r="Y26" s="386"/>
      <c r="Z26" s="386"/>
      <c r="AA26" s="386"/>
      <c r="AB26" s="386"/>
      <c r="AC26" s="386"/>
    </row>
    <row r="27">
      <c r="H27" s="386"/>
      <c r="I27" s="386"/>
      <c r="J27" s="386"/>
      <c r="K27" s="386"/>
      <c r="L27" s="386"/>
      <c r="M27" s="386"/>
      <c r="N27" s="386"/>
      <c r="O27" s="386"/>
      <c r="P27" s="386"/>
      <c r="Q27" s="386"/>
      <c r="R27" s="386"/>
      <c r="S27" s="386"/>
      <c r="T27" s="386"/>
      <c r="U27" s="386"/>
      <c r="V27" s="386"/>
      <c r="W27" s="386"/>
      <c r="X27" s="386"/>
      <c r="Y27" s="386"/>
      <c r="Z27" s="386"/>
      <c r="AA27" s="386"/>
      <c r="AB27" s="386"/>
      <c r="AC27" s="386"/>
    </row>
    <row r="28">
      <c r="H28" s="386"/>
      <c r="I28" s="386"/>
      <c r="J28" s="386"/>
      <c r="K28" s="386"/>
      <c r="L28" s="386"/>
      <c r="M28" s="386"/>
      <c r="N28" s="386"/>
      <c r="O28" s="386"/>
      <c r="P28" s="386"/>
      <c r="Q28" s="386"/>
      <c r="R28" s="386"/>
      <c r="S28" s="386"/>
      <c r="T28" s="386"/>
      <c r="U28" s="386"/>
      <c r="V28" s="386"/>
      <c r="W28" s="386"/>
      <c r="X28" s="386"/>
      <c r="Y28" s="386"/>
      <c r="Z28" s="386"/>
      <c r="AA28" s="386"/>
      <c r="AB28" s="386"/>
      <c r="AC28" s="386"/>
    </row>
    <row r="29">
      <c r="H29" s="386"/>
      <c r="I29" s="386"/>
      <c r="J29" s="386"/>
      <c r="K29" s="386"/>
      <c r="L29" s="386"/>
      <c r="M29" s="386"/>
      <c r="N29" s="386"/>
      <c r="O29" s="386"/>
      <c r="P29" s="386"/>
      <c r="Q29" s="386"/>
      <c r="R29" s="386"/>
      <c r="S29" s="386"/>
      <c r="T29" s="386"/>
      <c r="U29" s="386"/>
      <c r="V29" s="386"/>
      <c r="W29" s="386"/>
      <c r="X29" s="386"/>
      <c r="Y29" s="386"/>
      <c r="Z29" s="386"/>
      <c r="AA29" s="386"/>
      <c r="AB29" s="386"/>
      <c r="AC29" s="386"/>
    </row>
    <row r="30">
      <c r="H30" s="386"/>
      <c r="I30" s="386"/>
      <c r="J30" s="386"/>
      <c r="K30" s="386"/>
      <c r="L30" s="386"/>
      <c r="M30" s="386"/>
      <c r="N30" s="386"/>
      <c r="O30" s="386"/>
      <c r="P30" s="386"/>
      <c r="Q30" s="386"/>
      <c r="R30" s="386"/>
      <c r="S30" s="386"/>
      <c r="T30" s="386"/>
      <c r="U30" s="386"/>
      <c r="V30" s="386"/>
      <c r="W30" s="386"/>
      <c r="X30" s="386"/>
      <c r="Y30" s="386"/>
      <c r="Z30" s="386"/>
      <c r="AA30" s="386"/>
      <c r="AB30" s="386"/>
      <c r="AC30" s="386"/>
    </row>
    <row r="31">
      <c r="H31" s="386"/>
      <c r="I31" s="386"/>
      <c r="J31" s="386"/>
      <c r="K31" s="386"/>
      <c r="L31" s="386"/>
      <c r="M31" s="386"/>
      <c r="N31" s="386"/>
      <c r="O31" s="386"/>
      <c r="P31" s="386"/>
      <c r="Q31" s="386"/>
      <c r="R31" s="386"/>
      <c r="S31" s="386"/>
      <c r="T31" s="386"/>
      <c r="U31" s="386"/>
      <c r="V31" s="386"/>
      <c r="W31" s="386"/>
      <c r="X31" s="386"/>
      <c r="Y31" s="386"/>
      <c r="Z31" s="386"/>
      <c r="AA31" s="386"/>
      <c r="AB31" s="386"/>
      <c r="AC31" s="386"/>
    </row>
    <row r="32">
      <c r="H32" s="386"/>
      <c r="I32" s="386"/>
      <c r="J32" s="386"/>
      <c r="K32" s="386"/>
      <c r="L32" s="386"/>
      <c r="M32" s="386"/>
      <c r="N32" s="386"/>
      <c r="O32" s="386"/>
      <c r="P32" s="386"/>
      <c r="Q32" s="386"/>
      <c r="R32" s="386"/>
      <c r="S32" s="386"/>
      <c r="T32" s="386"/>
      <c r="U32" s="386"/>
      <c r="V32" s="386"/>
      <c r="W32" s="386"/>
      <c r="X32" s="386"/>
      <c r="Y32" s="386"/>
      <c r="Z32" s="386"/>
      <c r="AA32" s="386"/>
      <c r="AB32" s="386"/>
      <c r="AC32" s="386"/>
    </row>
    <row r="33">
      <c r="H33" s="386"/>
      <c r="I33" s="386"/>
      <c r="J33" s="386"/>
      <c r="K33" s="386"/>
      <c r="L33" s="386"/>
      <c r="M33" s="386"/>
      <c r="N33" s="386"/>
      <c r="O33" s="386"/>
      <c r="P33" s="386"/>
      <c r="Q33" s="386"/>
      <c r="R33" s="386"/>
      <c r="S33" s="386"/>
      <c r="T33" s="386"/>
      <c r="U33" s="386"/>
      <c r="V33" s="386"/>
      <c r="W33" s="386"/>
      <c r="X33" s="386"/>
      <c r="Y33" s="386"/>
      <c r="Z33" s="386"/>
      <c r="AA33" s="386"/>
      <c r="AB33" s="386"/>
      <c r="AC33" s="386"/>
    </row>
    <row r="34">
      <c r="H34" s="386"/>
      <c r="I34" s="386"/>
      <c r="J34" s="386"/>
      <c r="K34" s="386"/>
      <c r="L34" s="386"/>
      <c r="M34" s="386"/>
      <c r="N34" s="386"/>
      <c r="O34" s="386"/>
      <c r="P34" s="386"/>
      <c r="Q34" s="386"/>
      <c r="R34" s="386"/>
      <c r="S34" s="386"/>
      <c r="T34" s="386"/>
      <c r="U34" s="386"/>
      <c r="V34" s="386"/>
      <c r="W34" s="386"/>
      <c r="X34" s="386"/>
      <c r="Y34" s="386"/>
      <c r="Z34" s="386"/>
      <c r="AA34" s="386"/>
      <c r="AB34" s="386"/>
      <c r="AC34" s="386"/>
    </row>
    <row r="35">
      <c r="H35" s="386"/>
      <c r="I35" s="386"/>
      <c r="J35" s="386"/>
      <c r="K35" s="386"/>
      <c r="L35" s="386"/>
      <c r="M35" s="386"/>
      <c r="N35" s="386"/>
      <c r="O35" s="386"/>
      <c r="P35" s="386"/>
      <c r="Q35" s="386"/>
      <c r="R35" s="386"/>
      <c r="S35" s="386"/>
      <c r="T35" s="386"/>
      <c r="U35" s="386"/>
      <c r="V35" s="386"/>
      <c r="W35" s="386"/>
      <c r="X35" s="386"/>
      <c r="Y35" s="386"/>
      <c r="Z35" s="386"/>
      <c r="AA35" s="386"/>
      <c r="AB35" s="386"/>
      <c r="AC35" s="386"/>
    </row>
    <row r="36">
      <c r="H36" s="386"/>
      <c r="I36" s="386"/>
      <c r="J36" s="386"/>
      <c r="K36" s="386"/>
      <c r="L36" s="386"/>
      <c r="M36" s="386"/>
      <c r="N36" s="386"/>
      <c r="O36" s="386"/>
      <c r="P36" s="386"/>
      <c r="Q36" s="386"/>
      <c r="R36" s="386"/>
      <c r="S36" s="386"/>
      <c r="T36" s="386"/>
      <c r="U36" s="386"/>
      <c r="V36" s="386"/>
      <c r="W36" s="386"/>
      <c r="X36" s="386"/>
      <c r="Y36" s="386"/>
      <c r="Z36" s="386"/>
      <c r="AA36" s="386"/>
      <c r="AB36" s="386"/>
      <c r="AC36" s="386"/>
    </row>
    <row r="37">
      <c r="H37" s="386"/>
      <c r="I37" s="386"/>
      <c r="J37" s="386"/>
      <c r="K37" s="386"/>
      <c r="L37" s="386"/>
      <c r="M37" s="386"/>
      <c r="N37" s="386"/>
      <c r="O37" s="386"/>
      <c r="P37" s="386"/>
      <c r="Q37" s="386"/>
      <c r="R37" s="386"/>
      <c r="S37" s="386"/>
      <c r="T37" s="386"/>
      <c r="U37" s="386"/>
      <c r="V37" s="386"/>
      <c r="W37" s="386"/>
      <c r="X37" s="386"/>
      <c r="Y37" s="386"/>
      <c r="Z37" s="386"/>
      <c r="AA37" s="386"/>
      <c r="AB37" s="386"/>
      <c r="AC37" s="386"/>
    </row>
    <row r="38">
      <c r="H38" s="386"/>
      <c r="I38" s="386"/>
      <c r="J38" s="386"/>
      <c r="K38" s="386"/>
      <c r="L38" s="386"/>
      <c r="M38" s="386"/>
      <c r="N38" s="386"/>
      <c r="O38" s="386"/>
      <c r="P38" s="386"/>
      <c r="Q38" s="386"/>
      <c r="R38" s="386"/>
      <c r="S38" s="386"/>
      <c r="T38" s="386"/>
      <c r="U38" s="386"/>
      <c r="V38" s="386"/>
      <c r="W38" s="386"/>
      <c r="X38" s="386"/>
      <c r="Y38" s="386"/>
      <c r="Z38" s="386"/>
      <c r="AA38" s="386"/>
      <c r="AB38" s="386"/>
      <c r="AC38" s="386"/>
    </row>
    <row r="39">
      <c r="H39" s="386"/>
      <c r="I39" s="386"/>
      <c r="J39" s="386"/>
      <c r="K39" s="386"/>
      <c r="L39" s="386"/>
      <c r="M39" s="386"/>
      <c r="N39" s="386"/>
      <c r="O39" s="386"/>
      <c r="P39" s="386"/>
      <c r="Q39" s="386"/>
      <c r="R39" s="386"/>
      <c r="S39" s="386"/>
      <c r="T39" s="386"/>
      <c r="U39" s="386"/>
      <c r="V39" s="386"/>
      <c r="W39" s="386"/>
      <c r="X39" s="386"/>
      <c r="Y39" s="386"/>
      <c r="Z39" s="386"/>
      <c r="AA39" s="386"/>
      <c r="AB39" s="386"/>
      <c r="AC39" s="386"/>
    </row>
    <row r="40">
      <c r="H40" s="386"/>
      <c r="I40" s="386"/>
      <c r="J40" s="386"/>
      <c r="K40" s="386"/>
      <c r="L40" s="386"/>
      <c r="M40" s="386"/>
      <c r="N40" s="386"/>
      <c r="O40" s="386"/>
      <c r="P40" s="386"/>
      <c r="Q40" s="386"/>
      <c r="R40" s="386"/>
      <c r="S40" s="386"/>
      <c r="T40" s="386"/>
      <c r="U40" s="386"/>
      <c r="V40" s="386"/>
      <c r="W40" s="386"/>
      <c r="X40" s="386"/>
      <c r="Y40" s="386"/>
      <c r="Z40" s="386"/>
      <c r="AA40" s="386"/>
      <c r="AB40" s="386"/>
      <c r="AC40" s="386"/>
    </row>
    <row r="41">
      <c r="H41" s="386"/>
      <c r="I41" s="386"/>
      <c r="J41" s="386"/>
      <c r="K41" s="386"/>
      <c r="L41" s="386"/>
      <c r="M41" s="386"/>
      <c r="N41" s="386"/>
      <c r="O41" s="386"/>
      <c r="P41" s="386"/>
      <c r="Q41" s="386"/>
      <c r="R41" s="386"/>
      <c r="S41" s="386"/>
      <c r="T41" s="386"/>
      <c r="U41" s="386"/>
      <c r="V41" s="386"/>
      <c r="W41" s="386"/>
      <c r="X41" s="386"/>
      <c r="Y41" s="386"/>
      <c r="Z41" s="386"/>
      <c r="AA41" s="386"/>
      <c r="AB41" s="386"/>
      <c r="AC41" s="386"/>
    </row>
    <row r="42">
      <c r="H42" s="386"/>
      <c r="I42" s="386"/>
      <c r="J42" s="386"/>
      <c r="K42" s="386"/>
      <c r="L42" s="386"/>
      <c r="M42" s="386"/>
      <c r="N42" s="386"/>
      <c r="O42" s="386"/>
      <c r="P42" s="386"/>
      <c r="Q42" s="386"/>
      <c r="R42" s="386"/>
      <c r="S42" s="386"/>
      <c r="T42" s="386"/>
      <c r="U42" s="386"/>
      <c r="V42" s="386"/>
      <c r="W42" s="386"/>
      <c r="X42" s="386"/>
      <c r="Y42" s="386"/>
      <c r="Z42" s="386"/>
      <c r="AA42" s="386"/>
      <c r="AB42" s="386"/>
      <c r="AC42" s="386"/>
    </row>
    <row r="43">
      <c r="H43" s="386"/>
      <c r="I43" s="386"/>
      <c r="J43" s="386"/>
      <c r="K43" s="386"/>
      <c r="L43" s="386"/>
      <c r="M43" s="386"/>
      <c r="N43" s="386"/>
      <c r="O43" s="386"/>
      <c r="P43" s="386"/>
      <c r="Q43" s="386"/>
      <c r="R43" s="386"/>
      <c r="S43" s="386"/>
      <c r="T43" s="386"/>
      <c r="U43" s="386"/>
      <c r="V43" s="386"/>
      <c r="W43" s="386"/>
      <c r="X43" s="386"/>
      <c r="Y43" s="386"/>
      <c r="Z43" s="386"/>
      <c r="AA43" s="386"/>
      <c r="AB43" s="386"/>
      <c r="AC43" s="386"/>
    </row>
    <row r="44">
      <c r="H44" s="386"/>
      <c r="I44" s="386"/>
      <c r="J44" s="386"/>
      <c r="K44" s="386"/>
      <c r="L44" s="386"/>
      <c r="M44" s="386"/>
      <c r="N44" s="386"/>
      <c r="O44" s="386"/>
      <c r="P44" s="386"/>
      <c r="Q44" s="386"/>
      <c r="R44" s="386"/>
      <c r="S44" s="386"/>
      <c r="T44" s="386"/>
      <c r="U44" s="386"/>
      <c r="V44" s="386"/>
      <c r="W44" s="386"/>
      <c r="X44" s="386"/>
      <c r="Y44" s="386"/>
      <c r="Z44" s="386"/>
      <c r="AA44" s="386"/>
      <c r="AB44" s="386"/>
      <c r="AC44" s="386"/>
    </row>
    <row r="45">
      <c r="H45" s="386"/>
      <c r="I45" s="386"/>
      <c r="J45" s="386"/>
      <c r="K45" s="386"/>
      <c r="L45" s="386"/>
      <c r="M45" s="386"/>
      <c r="N45" s="386"/>
      <c r="O45" s="386"/>
      <c r="P45" s="386"/>
      <c r="Q45" s="386"/>
      <c r="R45" s="386"/>
      <c r="S45" s="386"/>
      <c r="T45" s="386"/>
      <c r="U45" s="386"/>
      <c r="V45" s="386"/>
      <c r="W45" s="386"/>
      <c r="X45" s="386"/>
      <c r="Y45" s="386"/>
      <c r="Z45" s="386"/>
      <c r="AA45" s="386"/>
      <c r="AB45" s="386"/>
      <c r="AC45" s="386"/>
    </row>
    <row r="46">
      <c r="H46" s="386"/>
      <c r="I46" s="386"/>
      <c r="J46" s="386"/>
      <c r="K46" s="386"/>
      <c r="L46" s="386"/>
      <c r="M46" s="386"/>
      <c r="N46" s="386"/>
      <c r="O46" s="386"/>
      <c r="P46" s="386"/>
      <c r="Q46" s="386"/>
      <c r="R46" s="386"/>
      <c r="S46" s="386"/>
      <c r="T46" s="386"/>
      <c r="U46" s="386"/>
      <c r="V46" s="386"/>
      <c r="W46" s="386"/>
      <c r="X46" s="386"/>
      <c r="Y46" s="386"/>
      <c r="Z46" s="386"/>
      <c r="AA46" s="386"/>
      <c r="AB46" s="386"/>
      <c r="AC46" s="386"/>
    </row>
    <row r="47">
      <c r="H47" s="386"/>
      <c r="I47" s="386"/>
      <c r="J47" s="386"/>
      <c r="K47" s="386"/>
      <c r="L47" s="386"/>
      <c r="M47" s="386"/>
      <c r="N47" s="386"/>
      <c r="O47" s="386"/>
      <c r="P47" s="386"/>
      <c r="Q47" s="386"/>
      <c r="R47" s="386"/>
      <c r="S47" s="386"/>
      <c r="T47" s="386"/>
      <c r="U47" s="386"/>
      <c r="V47" s="386"/>
      <c r="W47" s="386"/>
      <c r="X47" s="386"/>
      <c r="Y47" s="386"/>
      <c r="Z47" s="386"/>
      <c r="AA47" s="386"/>
      <c r="AB47" s="386"/>
      <c r="AC47" s="386"/>
    </row>
    <row r="48">
      <c r="H48" s="386"/>
      <c r="I48" s="386"/>
      <c r="J48" s="386"/>
      <c r="K48" s="386"/>
      <c r="L48" s="386"/>
      <c r="M48" s="386"/>
      <c r="N48" s="386"/>
      <c r="O48" s="386"/>
      <c r="P48" s="386"/>
      <c r="Q48" s="386"/>
      <c r="R48" s="386"/>
      <c r="S48" s="386"/>
      <c r="T48" s="386"/>
      <c r="U48" s="386"/>
      <c r="V48" s="386"/>
      <c r="W48" s="386"/>
      <c r="X48" s="386"/>
      <c r="Y48" s="386"/>
      <c r="Z48" s="386"/>
      <c r="AA48" s="386"/>
      <c r="AB48" s="386"/>
      <c r="AC48" s="386"/>
    </row>
    <row r="49">
      <c r="H49" s="386"/>
      <c r="I49" s="386"/>
      <c r="J49" s="386"/>
      <c r="K49" s="386"/>
      <c r="L49" s="386"/>
      <c r="M49" s="386"/>
      <c r="N49" s="386"/>
      <c r="O49" s="386"/>
      <c r="P49" s="386"/>
      <c r="Q49" s="386"/>
      <c r="R49" s="386"/>
      <c r="S49" s="386"/>
      <c r="T49" s="386"/>
      <c r="U49" s="386"/>
      <c r="V49" s="386"/>
      <c r="W49" s="386"/>
      <c r="X49" s="386"/>
      <c r="Y49" s="386"/>
      <c r="Z49" s="386"/>
      <c r="AA49" s="386"/>
      <c r="AB49" s="386"/>
      <c r="AC49" s="386"/>
    </row>
    <row r="50">
      <c r="H50" s="386"/>
      <c r="I50" s="386"/>
      <c r="J50" s="386"/>
      <c r="K50" s="386"/>
      <c r="L50" s="386"/>
      <c r="M50" s="386"/>
      <c r="N50" s="386"/>
      <c r="O50" s="386"/>
      <c r="P50" s="386"/>
      <c r="Q50" s="386"/>
      <c r="R50" s="386"/>
      <c r="S50" s="386"/>
      <c r="T50" s="386"/>
      <c r="U50" s="386"/>
      <c r="V50" s="386"/>
      <c r="W50" s="386"/>
      <c r="X50" s="386"/>
      <c r="Y50" s="386"/>
      <c r="Z50" s="386"/>
      <c r="AA50" s="386"/>
      <c r="AB50" s="386"/>
      <c r="AC50" s="386"/>
    </row>
    <row r="51">
      <c r="H51" s="386"/>
      <c r="I51" s="386"/>
      <c r="J51" s="386"/>
      <c r="K51" s="386"/>
      <c r="L51" s="386"/>
      <c r="M51" s="386"/>
      <c r="N51" s="386"/>
      <c r="O51" s="386"/>
      <c r="P51" s="386"/>
      <c r="Q51" s="386"/>
      <c r="R51" s="386"/>
      <c r="S51" s="386"/>
      <c r="T51" s="386"/>
      <c r="U51" s="386"/>
      <c r="V51" s="386"/>
      <c r="W51" s="386"/>
      <c r="X51" s="386"/>
      <c r="Y51" s="386"/>
      <c r="Z51" s="386"/>
      <c r="AA51" s="386"/>
      <c r="AB51" s="386"/>
      <c r="AC51" s="386"/>
    </row>
    <row r="52">
      <c r="H52" s="386"/>
      <c r="I52" s="386"/>
      <c r="J52" s="386"/>
      <c r="K52" s="386"/>
      <c r="L52" s="386"/>
      <c r="M52" s="386"/>
      <c r="N52" s="386"/>
      <c r="O52" s="386"/>
      <c r="P52" s="386"/>
      <c r="Q52" s="386"/>
      <c r="R52" s="386"/>
      <c r="S52" s="386"/>
      <c r="T52" s="386"/>
      <c r="U52" s="386"/>
      <c r="V52" s="386"/>
      <c r="W52" s="386"/>
      <c r="X52" s="386"/>
      <c r="Y52" s="386"/>
      <c r="Z52" s="386"/>
      <c r="AA52" s="386"/>
      <c r="AB52" s="386"/>
      <c r="AC52" s="386"/>
    </row>
    <row r="53">
      <c r="H53" s="386"/>
      <c r="I53" s="386"/>
      <c r="J53" s="386"/>
      <c r="K53" s="386"/>
      <c r="L53" s="386"/>
      <c r="M53" s="386"/>
      <c r="N53" s="386"/>
      <c r="O53" s="386"/>
      <c r="P53" s="386"/>
      <c r="Q53" s="386"/>
      <c r="R53" s="386"/>
      <c r="S53" s="386"/>
      <c r="T53" s="386"/>
      <c r="U53" s="386"/>
      <c r="V53" s="386"/>
      <c r="W53" s="386"/>
      <c r="X53" s="386"/>
      <c r="Y53" s="386"/>
      <c r="Z53" s="386"/>
      <c r="AA53" s="386"/>
      <c r="AB53" s="386"/>
      <c r="AC53" s="386"/>
    </row>
    <row r="54">
      <c r="H54" s="386"/>
      <c r="I54" s="386"/>
      <c r="J54" s="386"/>
      <c r="K54" s="386"/>
      <c r="L54" s="386"/>
      <c r="M54" s="386"/>
      <c r="N54" s="386"/>
      <c r="O54" s="386"/>
      <c r="P54" s="386"/>
      <c r="Q54" s="386"/>
      <c r="R54" s="386"/>
      <c r="S54" s="386"/>
      <c r="T54" s="386"/>
      <c r="U54" s="386"/>
      <c r="V54" s="386"/>
      <c r="W54" s="386"/>
      <c r="X54" s="386"/>
      <c r="Y54" s="386"/>
      <c r="Z54" s="386"/>
      <c r="AA54" s="386"/>
      <c r="AB54" s="386"/>
      <c r="AC54" s="386"/>
    </row>
    <row r="55">
      <c r="H55" s="386"/>
      <c r="I55" s="386"/>
      <c r="J55" s="386"/>
      <c r="K55" s="386"/>
      <c r="L55" s="386"/>
      <c r="M55" s="386"/>
      <c r="N55" s="386"/>
      <c r="O55" s="386"/>
      <c r="P55" s="386"/>
      <c r="Q55" s="386"/>
      <c r="R55" s="386"/>
      <c r="S55" s="386"/>
      <c r="T55" s="386"/>
      <c r="U55" s="386"/>
      <c r="V55" s="386"/>
      <c r="W55" s="386"/>
      <c r="X55" s="386"/>
      <c r="Y55" s="386"/>
      <c r="Z55" s="386"/>
      <c r="AA55" s="386"/>
      <c r="AB55" s="386"/>
      <c r="AC55" s="386"/>
    </row>
    <row r="56">
      <c r="H56" s="386"/>
      <c r="I56" s="386"/>
      <c r="J56" s="386"/>
      <c r="K56" s="386"/>
      <c r="L56" s="386"/>
      <c r="M56" s="386"/>
      <c r="N56" s="386"/>
      <c r="O56" s="386"/>
      <c r="P56" s="386"/>
      <c r="Q56" s="386"/>
      <c r="R56" s="386"/>
      <c r="S56" s="386"/>
      <c r="T56" s="386"/>
      <c r="U56" s="386"/>
      <c r="V56" s="386"/>
      <c r="W56" s="386"/>
      <c r="X56" s="386"/>
      <c r="Y56" s="386"/>
      <c r="Z56" s="386"/>
      <c r="AA56" s="386"/>
      <c r="AB56" s="386"/>
      <c r="AC56" s="386"/>
    </row>
    <row r="57">
      <c r="H57" s="386"/>
      <c r="I57" s="386"/>
      <c r="J57" s="386"/>
      <c r="K57" s="386"/>
      <c r="L57" s="386"/>
      <c r="M57" s="386"/>
      <c r="N57" s="386"/>
      <c r="O57" s="386"/>
      <c r="P57" s="386"/>
      <c r="Q57" s="386"/>
      <c r="R57" s="386"/>
      <c r="S57" s="386"/>
      <c r="T57" s="386"/>
      <c r="U57" s="386"/>
      <c r="V57" s="386"/>
      <c r="W57" s="386"/>
      <c r="X57" s="386"/>
      <c r="Y57" s="386"/>
      <c r="Z57" s="386"/>
      <c r="AA57" s="386"/>
      <c r="AB57" s="386"/>
      <c r="AC57" s="386"/>
    </row>
    <row r="58">
      <c r="H58" s="386"/>
      <c r="I58" s="386"/>
      <c r="J58" s="386"/>
      <c r="K58" s="386"/>
      <c r="L58" s="386"/>
      <c r="M58" s="386"/>
      <c r="N58" s="386"/>
      <c r="O58" s="386"/>
      <c r="P58" s="386"/>
      <c r="Q58" s="386"/>
      <c r="R58" s="386"/>
      <c r="S58" s="386"/>
      <c r="T58" s="386"/>
      <c r="U58" s="386"/>
      <c r="V58" s="386"/>
      <c r="W58" s="386"/>
      <c r="X58" s="386"/>
      <c r="Y58" s="386"/>
      <c r="Z58" s="386"/>
      <c r="AA58" s="386"/>
      <c r="AB58" s="386"/>
      <c r="AC58" s="386"/>
    </row>
    <row r="59">
      <c r="H59" s="386"/>
      <c r="I59" s="386"/>
      <c r="J59" s="386"/>
      <c r="K59" s="386"/>
      <c r="L59" s="386"/>
      <c r="M59" s="386"/>
      <c r="N59" s="386"/>
      <c r="O59" s="386"/>
      <c r="P59" s="386"/>
      <c r="Q59" s="386"/>
      <c r="R59" s="386"/>
      <c r="S59" s="386"/>
      <c r="T59" s="386"/>
      <c r="U59" s="386"/>
      <c r="V59" s="386"/>
      <c r="W59" s="386"/>
      <c r="X59" s="386"/>
      <c r="Y59" s="386"/>
      <c r="Z59" s="386"/>
      <c r="AA59" s="386"/>
      <c r="AB59" s="386"/>
      <c r="AC59" s="386"/>
    </row>
    <row r="60">
      <c r="H60" s="386"/>
      <c r="I60" s="386"/>
      <c r="J60" s="386"/>
      <c r="K60" s="386"/>
      <c r="L60" s="386"/>
      <c r="M60" s="386"/>
      <c r="N60" s="386"/>
      <c r="O60" s="386"/>
      <c r="P60" s="386"/>
      <c r="Q60" s="386"/>
      <c r="R60" s="386"/>
      <c r="S60" s="386"/>
      <c r="T60" s="386"/>
      <c r="U60" s="386"/>
      <c r="V60" s="386"/>
      <c r="W60" s="386"/>
      <c r="X60" s="386"/>
      <c r="Y60" s="386"/>
      <c r="Z60" s="386"/>
      <c r="AA60" s="386"/>
      <c r="AB60" s="386"/>
      <c r="AC60" s="386"/>
    </row>
    <row r="61">
      <c r="H61" s="386"/>
      <c r="I61" s="386"/>
      <c r="J61" s="386"/>
      <c r="K61" s="386"/>
      <c r="L61" s="386"/>
      <c r="M61" s="386"/>
      <c r="N61" s="386"/>
      <c r="O61" s="386"/>
      <c r="P61" s="386"/>
      <c r="Q61" s="386"/>
      <c r="R61" s="386"/>
      <c r="S61" s="386"/>
      <c r="T61" s="386"/>
      <c r="U61" s="386"/>
      <c r="V61" s="386"/>
      <c r="W61" s="386"/>
      <c r="X61" s="386"/>
      <c r="Y61" s="386"/>
      <c r="Z61" s="386"/>
      <c r="AA61" s="386"/>
      <c r="AB61" s="386"/>
      <c r="AC61" s="386"/>
    </row>
    <row r="62">
      <c r="H62" s="386"/>
      <c r="I62" s="386"/>
      <c r="J62" s="386"/>
      <c r="K62" s="386"/>
      <c r="L62" s="386"/>
      <c r="M62" s="386"/>
      <c r="N62" s="386"/>
      <c r="O62" s="386"/>
      <c r="P62" s="386"/>
      <c r="Q62" s="386"/>
      <c r="R62" s="386"/>
      <c r="S62" s="386"/>
      <c r="T62" s="386"/>
      <c r="U62" s="386"/>
      <c r="V62" s="386"/>
      <c r="W62" s="386"/>
      <c r="X62" s="386"/>
      <c r="Y62" s="386"/>
      <c r="Z62" s="386"/>
      <c r="AA62" s="386"/>
      <c r="AB62" s="386"/>
      <c r="AC62" s="386"/>
    </row>
    <row r="63">
      <c r="H63" s="386"/>
      <c r="I63" s="386"/>
      <c r="J63" s="386"/>
      <c r="K63" s="386"/>
      <c r="L63" s="386"/>
      <c r="M63" s="386"/>
      <c r="N63" s="386"/>
      <c r="O63" s="386"/>
      <c r="P63" s="386"/>
      <c r="Q63" s="386"/>
      <c r="R63" s="386"/>
      <c r="S63" s="386"/>
      <c r="T63" s="386"/>
      <c r="U63" s="386"/>
      <c r="V63" s="386"/>
      <c r="W63" s="386"/>
      <c r="X63" s="386"/>
      <c r="Y63" s="386"/>
      <c r="Z63" s="386"/>
      <c r="AA63" s="386"/>
      <c r="AB63" s="386"/>
      <c r="AC63" s="386"/>
    </row>
    <row r="64">
      <c r="H64" s="386"/>
      <c r="I64" s="386"/>
      <c r="J64" s="386"/>
      <c r="K64" s="386"/>
      <c r="L64" s="386"/>
      <c r="M64" s="386"/>
      <c r="N64" s="386"/>
      <c r="O64" s="386"/>
      <c r="P64" s="386"/>
      <c r="Q64" s="386"/>
      <c r="R64" s="386"/>
      <c r="S64" s="386"/>
      <c r="T64" s="386"/>
      <c r="U64" s="386"/>
      <c r="V64" s="386"/>
      <c r="W64" s="386"/>
      <c r="X64" s="386"/>
      <c r="Y64" s="386"/>
      <c r="Z64" s="386"/>
      <c r="AA64" s="386"/>
      <c r="AB64" s="386"/>
      <c r="AC64" s="386"/>
    </row>
    <row r="65">
      <c r="H65" s="386"/>
      <c r="I65" s="386"/>
      <c r="J65" s="386"/>
      <c r="K65" s="386"/>
      <c r="L65" s="386"/>
      <c r="M65" s="386"/>
      <c r="N65" s="386"/>
      <c r="O65" s="386"/>
      <c r="P65" s="386"/>
      <c r="Q65" s="386"/>
      <c r="R65" s="386"/>
      <c r="S65" s="386"/>
      <c r="T65" s="386"/>
      <c r="U65" s="386"/>
      <c r="V65" s="386"/>
      <c r="W65" s="386"/>
      <c r="X65" s="386"/>
      <c r="Y65" s="386"/>
      <c r="Z65" s="386"/>
      <c r="AA65" s="386"/>
      <c r="AB65" s="386"/>
      <c r="AC65" s="386"/>
    </row>
    <row r="66">
      <c r="H66" s="386"/>
      <c r="I66" s="386"/>
      <c r="J66" s="386"/>
      <c r="K66" s="386"/>
      <c r="L66" s="386"/>
      <c r="M66" s="386"/>
      <c r="N66" s="386"/>
      <c r="O66" s="386"/>
      <c r="P66" s="386"/>
      <c r="Q66" s="386"/>
      <c r="R66" s="386"/>
      <c r="S66" s="386"/>
      <c r="T66" s="386"/>
      <c r="U66" s="386"/>
      <c r="V66" s="386"/>
      <c r="W66" s="386"/>
      <c r="X66" s="386"/>
      <c r="Y66" s="386"/>
      <c r="Z66" s="386"/>
      <c r="AA66" s="386"/>
      <c r="AB66" s="386"/>
      <c r="AC66" s="386"/>
    </row>
    <row r="67">
      <c r="H67" s="386"/>
      <c r="I67" s="386"/>
      <c r="J67" s="386"/>
      <c r="K67" s="386"/>
      <c r="L67" s="386"/>
      <c r="M67" s="386"/>
      <c r="N67" s="386"/>
      <c r="O67" s="386"/>
      <c r="P67" s="386"/>
      <c r="Q67" s="386"/>
      <c r="R67" s="386"/>
      <c r="S67" s="386"/>
      <c r="T67" s="386"/>
      <c r="U67" s="386"/>
      <c r="V67" s="386"/>
      <c r="W67" s="386"/>
      <c r="X67" s="386"/>
      <c r="Y67" s="386"/>
      <c r="Z67" s="386"/>
      <c r="AA67" s="386"/>
      <c r="AB67" s="386"/>
      <c r="AC67" s="386"/>
    </row>
    <row r="68">
      <c r="H68" s="386"/>
      <c r="I68" s="386"/>
      <c r="J68" s="386"/>
      <c r="K68" s="386"/>
      <c r="L68" s="386"/>
      <c r="M68" s="386"/>
      <c r="N68" s="386"/>
      <c r="O68" s="386"/>
      <c r="P68" s="386"/>
      <c r="Q68" s="386"/>
      <c r="R68" s="386"/>
      <c r="S68" s="386"/>
      <c r="T68" s="386"/>
      <c r="U68" s="386"/>
      <c r="V68" s="386"/>
      <c r="W68" s="386"/>
      <c r="X68" s="386"/>
      <c r="Y68" s="386"/>
      <c r="Z68" s="386"/>
      <c r="AA68" s="386"/>
      <c r="AB68" s="386"/>
      <c r="AC68" s="386"/>
    </row>
    <row r="69">
      <c r="H69" s="386"/>
      <c r="I69" s="386"/>
      <c r="J69" s="386"/>
      <c r="K69" s="386"/>
      <c r="L69" s="386"/>
      <c r="M69" s="386"/>
      <c r="N69" s="386"/>
      <c r="O69" s="386"/>
      <c r="P69" s="386"/>
      <c r="Q69" s="386"/>
      <c r="R69" s="386"/>
      <c r="S69" s="386"/>
      <c r="T69" s="386"/>
      <c r="U69" s="386"/>
      <c r="V69" s="386"/>
      <c r="W69" s="386"/>
      <c r="X69" s="386"/>
      <c r="Y69" s="386"/>
      <c r="Z69" s="386"/>
      <c r="AA69" s="386"/>
      <c r="AB69" s="386"/>
      <c r="AC69" s="386"/>
    </row>
    <row r="70">
      <c r="H70" s="386"/>
      <c r="I70" s="386"/>
      <c r="J70" s="386"/>
      <c r="K70" s="386"/>
      <c r="L70" s="386"/>
      <c r="M70" s="386"/>
      <c r="N70" s="386"/>
      <c r="O70" s="386"/>
      <c r="P70" s="386"/>
      <c r="Q70" s="386"/>
      <c r="R70" s="386"/>
      <c r="S70" s="386"/>
      <c r="T70" s="386"/>
      <c r="U70" s="386"/>
      <c r="V70" s="386"/>
      <c r="W70" s="386"/>
      <c r="X70" s="386"/>
      <c r="Y70" s="386"/>
      <c r="Z70" s="386"/>
      <c r="AA70" s="386"/>
      <c r="AB70" s="386"/>
      <c r="AC70" s="386"/>
    </row>
    <row r="71">
      <c r="H71" s="386"/>
      <c r="I71" s="386"/>
      <c r="J71" s="386"/>
      <c r="K71" s="386"/>
      <c r="L71" s="386"/>
      <c r="M71" s="386"/>
      <c r="N71" s="386"/>
      <c r="O71" s="386"/>
      <c r="P71" s="386"/>
      <c r="Q71" s="386"/>
      <c r="R71" s="386"/>
      <c r="S71" s="386"/>
      <c r="T71" s="386"/>
      <c r="U71" s="386"/>
      <c r="V71" s="386"/>
      <c r="W71" s="386"/>
      <c r="X71" s="386"/>
      <c r="Y71" s="386"/>
      <c r="Z71" s="386"/>
      <c r="AA71" s="386"/>
      <c r="AB71" s="386"/>
      <c r="AC71" s="386"/>
    </row>
    <row r="72">
      <c r="H72" s="386"/>
      <c r="I72" s="386"/>
      <c r="J72" s="386"/>
      <c r="K72" s="386"/>
      <c r="L72" s="386"/>
      <c r="M72" s="386"/>
      <c r="N72" s="386"/>
      <c r="O72" s="386"/>
      <c r="P72" s="386"/>
      <c r="Q72" s="386"/>
      <c r="R72" s="386"/>
      <c r="S72" s="386"/>
      <c r="T72" s="386"/>
      <c r="U72" s="386"/>
      <c r="V72" s="386"/>
      <c r="W72" s="386"/>
      <c r="X72" s="386"/>
      <c r="Y72" s="386"/>
      <c r="Z72" s="386"/>
      <c r="AA72" s="386"/>
      <c r="AB72" s="386"/>
      <c r="AC72" s="386"/>
    </row>
    <row r="73">
      <c r="H73" s="386"/>
      <c r="I73" s="386"/>
      <c r="J73" s="386"/>
      <c r="K73" s="386"/>
      <c r="L73" s="386"/>
      <c r="M73" s="386"/>
      <c r="N73" s="386"/>
      <c r="O73" s="386"/>
      <c r="P73" s="386"/>
      <c r="Q73" s="386"/>
      <c r="R73" s="386"/>
      <c r="S73" s="386"/>
      <c r="T73" s="386"/>
      <c r="U73" s="386"/>
      <c r="V73" s="386"/>
      <c r="W73" s="386"/>
      <c r="X73" s="386"/>
      <c r="Y73" s="386"/>
      <c r="Z73" s="386"/>
      <c r="AA73" s="386"/>
      <c r="AB73" s="386"/>
      <c r="AC73" s="386"/>
    </row>
    <row r="74">
      <c r="H74" s="386"/>
      <c r="I74" s="386"/>
      <c r="J74" s="386"/>
      <c r="K74" s="386"/>
      <c r="L74" s="386"/>
      <c r="M74" s="386"/>
      <c r="N74" s="386"/>
      <c r="O74" s="386"/>
      <c r="P74" s="386"/>
      <c r="Q74" s="386"/>
      <c r="R74" s="386"/>
      <c r="S74" s="386"/>
      <c r="T74" s="386"/>
      <c r="U74" s="386"/>
      <c r="V74" s="386"/>
      <c r="W74" s="386"/>
      <c r="X74" s="386"/>
      <c r="Y74" s="386"/>
      <c r="Z74" s="386"/>
      <c r="AA74" s="386"/>
      <c r="AB74" s="386"/>
      <c r="AC74" s="386"/>
    </row>
    <row r="75">
      <c r="H75" s="386"/>
      <c r="I75" s="386"/>
      <c r="J75" s="386"/>
      <c r="K75" s="386"/>
      <c r="L75" s="386"/>
      <c r="M75" s="386"/>
      <c r="N75" s="386"/>
      <c r="O75" s="386"/>
      <c r="P75" s="386"/>
      <c r="Q75" s="386"/>
      <c r="R75" s="386"/>
      <c r="S75" s="386"/>
      <c r="T75" s="386"/>
      <c r="U75" s="386"/>
      <c r="V75" s="386"/>
      <c r="W75" s="386"/>
      <c r="X75" s="386"/>
      <c r="Y75" s="386"/>
      <c r="Z75" s="386"/>
      <c r="AA75" s="386"/>
      <c r="AB75" s="386"/>
      <c r="AC75" s="386"/>
    </row>
    <row r="76">
      <c r="H76" s="386"/>
      <c r="I76" s="386"/>
      <c r="J76" s="386"/>
      <c r="K76" s="386"/>
      <c r="L76" s="386"/>
      <c r="M76" s="386"/>
      <c r="N76" s="386"/>
      <c r="O76" s="386"/>
      <c r="P76" s="386"/>
      <c r="Q76" s="386"/>
      <c r="R76" s="386"/>
      <c r="S76" s="386"/>
      <c r="T76" s="386"/>
      <c r="U76" s="386"/>
      <c r="V76" s="386"/>
      <c r="W76" s="386"/>
      <c r="X76" s="386"/>
      <c r="Y76" s="386"/>
      <c r="Z76" s="386"/>
      <c r="AA76" s="386"/>
      <c r="AB76" s="386"/>
      <c r="AC76" s="386"/>
    </row>
    <row r="77">
      <c r="H77" s="386"/>
      <c r="I77" s="386"/>
      <c r="J77" s="386"/>
      <c r="K77" s="386"/>
      <c r="L77" s="386"/>
      <c r="M77" s="386"/>
      <c r="N77" s="386"/>
      <c r="O77" s="386"/>
      <c r="P77" s="386"/>
      <c r="Q77" s="386"/>
      <c r="R77" s="386"/>
      <c r="S77" s="386"/>
      <c r="T77" s="386"/>
      <c r="U77" s="386"/>
      <c r="V77" s="386"/>
      <c r="W77" s="386"/>
      <c r="X77" s="386"/>
      <c r="Y77" s="386"/>
      <c r="Z77" s="386"/>
      <c r="AA77" s="386"/>
      <c r="AB77" s="386"/>
      <c r="AC77" s="386"/>
    </row>
    <row r="78">
      <c r="H78" s="386"/>
      <c r="I78" s="386"/>
      <c r="J78" s="386"/>
      <c r="K78" s="386"/>
      <c r="L78" s="386"/>
      <c r="M78" s="386"/>
      <c r="N78" s="386"/>
      <c r="O78" s="386"/>
      <c r="P78" s="386"/>
      <c r="Q78" s="386"/>
      <c r="R78" s="386"/>
      <c r="S78" s="386"/>
      <c r="T78" s="386"/>
      <c r="U78" s="386"/>
      <c r="V78" s="386"/>
      <c r="W78" s="386"/>
      <c r="X78" s="386"/>
      <c r="Y78" s="386"/>
      <c r="Z78" s="386"/>
      <c r="AA78" s="386"/>
      <c r="AB78" s="386"/>
      <c r="AC78" s="386"/>
    </row>
    <row r="79">
      <c r="H79" s="386"/>
      <c r="I79" s="386"/>
      <c r="J79" s="386"/>
      <c r="K79" s="386"/>
      <c r="L79" s="386"/>
      <c r="M79" s="386"/>
      <c r="N79" s="386"/>
      <c r="O79" s="386"/>
      <c r="P79" s="386"/>
      <c r="Q79" s="386"/>
      <c r="R79" s="386"/>
      <c r="S79" s="386"/>
      <c r="T79" s="386"/>
      <c r="U79" s="386"/>
      <c r="V79" s="386"/>
      <c r="W79" s="386"/>
      <c r="X79" s="386"/>
      <c r="Y79" s="386"/>
      <c r="Z79" s="386"/>
      <c r="AA79" s="386"/>
      <c r="AB79" s="386"/>
      <c r="AC79" s="386"/>
    </row>
    <row r="80">
      <c r="H80" s="386"/>
      <c r="I80" s="386"/>
      <c r="J80" s="386"/>
      <c r="K80" s="386"/>
      <c r="L80" s="386"/>
      <c r="M80" s="386"/>
      <c r="N80" s="386"/>
      <c r="O80" s="386"/>
      <c r="P80" s="386"/>
      <c r="Q80" s="386"/>
      <c r="R80" s="386"/>
      <c r="S80" s="386"/>
      <c r="T80" s="386"/>
      <c r="U80" s="386"/>
      <c r="V80" s="386"/>
      <c r="W80" s="386"/>
      <c r="X80" s="386"/>
      <c r="Y80" s="386"/>
      <c r="Z80" s="386"/>
      <c r="AA80" s="386"/>
      <c r="AB80" s="386"/>
      <c r="AC80" s="386"/>
    </row>
    <row r="81">
      <c r="H81" s="386"/>
      <c r="I81" s="386"/>
      <c r="J81" s="386"/>
      <c r="K81" s="386"/>
      <c r="L81" s="386"/>
      <c r="M81" s="386"/>
      <c r="N81" s="386"/>
      <c r="O81" s="386"/>
      <c r="P81" s="386"/>
      <c r="Q81" s="386"/>
      <c r="R81" s="386"/>
      <c r="S81" s="386"/>
      <c r="T81" s="386"/>
      <c r="U81" s="386"/>
      <c r="V81" s="386"/>
      <c r="W81" s="386"/>
      <c r="X81" s="386"/>
      <c r="Y81" s="386"/>
      <c r="Z81" s="386"/>
      <c r="AA81" s="386"/>
      <c r="AB81" s="386"/>
      <c r="AC81" s="386"/>
    </row>
    <row r="82">
      <c r="H82" s="386"/>
      <c r="I82" s="386"/>
      <c r="J82" s="386"/>
      <c r="K82" s="386"/>
      <c r="L82" s="386"/>
      <c r="M82" s="386"/>
      <c r="N82" s="386"/>
      <c r="O82" s="386"/>
      <c r="P82" s="386"/>
      <c r="Q82" s="386"/>
      <c r="R82" s="386"/>
      <c r="S82" s="386"/>
      <c r="T82" s="386"/>
      <c r="U82" s="386"/>
      <c r="V82" s="386"/>
      <c r="W82" s="386"/>
      <c r="X82" s="386"/>
      <c r="Y82" s="386"/>
      <c r="Z82" s="386"/>
      <c r="AA82" s="386"/>
      <c r="AB82" s="386"/>
      <c r="AC82" s="386"/>
    </row>
    <row r="83">
      <c r="H83" s="386"/>
      <c r="I83" s="386"/>
      <c r="J83" s="386"/>
      <c r="K83" s="386"/>
      <c r="L83" s="386"/>
      <c r="M83" s="386"/>
      <c r="N83" s="386"/>
      <c r="O83" s="386"/>
      <c r="P83" s="386"/>
      <c r="Q83" s="386"/>
      <c r="R83" s="386"/>
      <c r="S83" s="386"/>
      <c r="T83" s="386"/>
      <c r="U83" s="386"/>
      <c r="V83" s="386"/>
      <c r="W83" s="386"/>
      <c r="X83" s="386"/>
      <c r="Y83" s="386"/>
      <c r="Z83" s="386"/>
      <c r="AA83" s="386"/>
      <c r="AB83" s="386"/>
      <c r="AC83" s="386"/>
    </row>
    <row r="84">
      <c r="H84" s="386"/>
      <c r="I84" s="386"/>
      <c r="J84" s="386"/>
      <c r="K84" s="386"/>
      <c r="L84" s="386"/>
      <c r="M84" s="386"/>
      <c r="N84" s="386"/>
      <c r="O84" s="386"/>
      <c r="P84" s="386"/>
      <c r="Q84" s="386"/>
      <c r="R84" s="386"/>
      <c r="S84" s="386"/>
      <c r="T84" s="386"/>
      <c r="U84" s="386"/>
      <c r="V84" s="386"/>
      <c r="W84" s="386"/>
      <c r="X84" s="386"/>
      <c r="Y84" s="386"/>
      <c r="Z84" s="386"/>
      <c r="AA84" s="386"/>
      <c r="AB84" s="386"/>
      <c r="AC84" s="386"/>
    </row>
    <row r="85">
      <c r="H85" s="386"/>
      <c r="I85" s="386"/>
      <c r="J85" s="386"/>
      <c r="K85" s="386"/>
      <c r="L85" s="386"/>
      <c r="M85" s="386"/>
      <c r="N85" s="386"/>
      <c r="O85" s="386"/>
      <c r="P85" s="386"/>
      <c r="Q85" s="386"/>
      <c r="R85" s="386"/>
      <c r="S85" s="386"/>
      <c r="T85" s="386"/>
      <c r="U85" s="386"/>
      <c r="V85" s="386"/>
      <c r="W85" s="386"/>
      <c r="X85" s="386"/>
      <c r="Y85" s="386"/>
      <c r="Z85" s="386"/>
      <c r="AA85" s="386"/>
      <c r="AB85" s="386"/>
      <c r="AC85" s="386"/>
    </row>
    <row r="86">
      <c r="H86" s="386"/>
      <c r="I86" s="386"/>
      <c r="J86" s="386"/>
      <c r="K86" s="386"/>
      <c r="L86" s="386"/>
      <c r="M86" s="386"/>
      <c r="N86" s="386"/>
      <c r="O86" s="386"/>
      <c r="P86" s="386"/>
      <c r="Q86" s="386"/>
      <c r="R86" s="386"/>
      <c r="S86" s="386"/>
      <c r="T86" s="386"/>
      <c r="U86" s="386"/>
      <c r="V86" s="386"/>
      <c r="W86" s="386"/>
      <c r="X86" s="386"/>
      <c r="Y86" s="386"/>
      <c r="Z86" s="386"/>
      <c r="AA86" s="386"/>
      <c r="AB86" s="386"/>
      <c r="AC86" s="386"/>
    </row>
    <row r="87">
      <c r="H87" s="386"/>
      <c r="I87" s="386"/>
      <c r="J87" s="386"/>
      <c r="K87" s="386"/>
      <c r="L87" s="386"/>
      <c r="M87" s="386"/>
      <c r="N87" s="386"/>
      <c r="O87" s="386"/>
      <c r="P87" s="386"/>
      <c r="Q87" s="386"/>
      <c r="R87" s="386"/>
      <c r="S87" s="386"/>
      <c r="T87" s="386"/>
      <c r="U87" s="386"/>
      <c r="V87" s="386"/>
      <c r="W87" s="386"/>
      <c r="X87" s="386"/>
      <c r="Y87" s="386"/>
      <c r="Z87" s="386"/>
      <c r="AA87" s="386"/>
      <c r="AB87" s="386"/>
      <c r="AC87" s="386"/>
    </row>
    <row r="88">
      <c r="H88" s="386"/>
      <c r="I88" s="386"/>
      <c r="J88" s="386"/>
      <c r="K88" s="386"/>
      <c r="L88" s="386"/>
      <c r="M88" s="386"/>
      <c r="N88" s="386"/>
      <c r="O88" s="386"/>
      <c r="P88" s="386"/>
      <c r="Q88" s="386"/>
      <c r="R88" s="386"/>
      <c r="S88" s="386"/>
      <c r="T88" s="386"/>
      <c r="U88" s="386"/>
      <c r="V88" s="386"/>
      <c r="W88" s="386"/>
      <c r="X88" s="386"/>
      <c r="Y88" s="386"/>
      <c r="Z88" s="386"/>
      <c r="AA88" s="386"/>
      <c r="AB88" s="386"/>
      <c r="AC88" s="386"/>
    </row>
    <row r="89">
      <c r="H89" s="386"/>
      <c r="I89" s="386"/>
      <c r="J89" s="386"/>
      <c r="K89" s="386"/>
      <c r="L89" s="386"/>
      <c r="M89" s="386"/>
      <c r="N89" s="386"/>
      <c r="O89" s="386"/>
      <c r="P89" s="386"/>
      <c r="Q89" s="386"/>
      <c r="R89" s="386"/>
      <c r="S89" s="386"/>
      <c r="T89" s="386"/>
      <c r="U89" s="386"/>
      <c r="V89" s="386"/>
      <c r="W89" s="386"/>
      <c r="X89" s="386"/>
      <c r="Y89" s="386"/>
      <c r="Z89" s="386"/>
      <c r="AA89" s="386"/>
      <c r="AB89" s="386"/>
      <c r="AC89" s="386"/>
    </row>
    <row r="90">
      <c r="H90" s="386"/>
      <c r="I90" s="386"/>
      <c r="J90" s="386"/>
      <c r="K90" s="386"/>
      <c r="L90" s="386"/>
      <c r="M90" s="386"/>
      <c r="N90" s="386"/>
      <c r="O90" s="386"/>
      <c r="P90" s="386"/>
      <c r="Q90" s="386"/>
      <c r="R90" s="386"/>
      <c r="S90" s="386"/>
      <c r="T90" s="386"/>
      <c r="U90" s="386"/>
      <c r="V90" s="386"/>
      <c r="W90" s="386"/>
      <c r="X90" s="386"/>
      <c r="Y90" s="386"/>
      <c r="Z90" s="386"/>
      <c r="AA90" s="386"/>
      <c r="AB90" s="386"/>
      <c r="AC90" s="386"/>
    </row>
    <row r="91">
      <c r="H91" s="386"/>
      <c r="I91" s="386"/>
      <c r="J91" s="386"/>
      <c r="K91" s="386"/>
      <c r="L91" s="386"/>
      <c r="M91" s="386"/>
      <c r="N91" s="386"/>
      <c r="O91" s="386"/>
      <c r="P91" s="386"/>
      <c r="Q91" s="386"/>
      <c r="R91" s="386"/>
      <c r="S91" s="386"/>
      <c r="T91" s="386"/>
      <c r="U91" s="386"/>
      <c r="V91" s="386"/>
      <c r="W91" s="386"/>
      <c r="X91" s="386"/>
      <c r="Y91" s="386"/>
      <c r="Z91" s="386"/>
      <c r="AA91" s="386"/>
      <c r="AB91" s="386"/>
      <c r="AC91" s="386"/>
    </row>
    <row r="92">
      <c r="H92" s="386"/>
      <c r="I92" s="386"/>
      <c r="J92" s="386"/>
      <c r="K92" s="386"/>
      <c r="L92" s="386"/>
      <c r="M92" s="386"/>
      <c r="N92" s="386"/>
      <c r="O92" s="386"/>
      <c r="P92" s="386"/>
      <c r="Q92" s="386"/>
      <c r="R92" s="386"/>
      <c r="S92" s="386"/>
      <c r="T92" s="386"/>
      <c r="U92" s="386"/>
      <c r="V92" s="386"/>
      <c r="W92" s="386"/>
      <c r="X92" s="386"/>
      <c r="Y92" s="386"/>
      <c r="Z92" s="386"/>
      <c r="AA92" s="386"/>
      <c r="AB92" s="386"/>
      <c r="AC92" s="386"/>
    </row>
    <row r="93">
      <c r="H93" s="386"/>
      <c r="I93" s="386"/>
      <c r="J93" s="386"/>
      <c r="K93" s="386"/>
      <c r="L93" s="386"/>
      <c r="M93" s="386"/>
      <c r="N93" s="386"/>
      <c r="O93" s="386"/>
      <c r="P93" s="386"/>
      <c r="Q93" s="386"/>
      <c r="R93" s="386"/>
      <c r="S93" s="386"/>
      <c r="T93" s="386"/>
      <c r="U93" s="386"/>
      <c r="V93" s="386"/>
      <c r="W93" s="386"/>
      <c r="X93" s="386"/>
      <c r="Y93" s="386"/>
      <c r="Z93" s="386"/>
      <c r="AA93" s="386"/>
      <c r="AB93" s="386"/>
      <c r="AC93" s="386"/>
    </row>
    <row r="94">
      <c r="H94" s="386"/>
      <c r="I94" s="386"/>
      <c r="J94" s="386"/>
      <c r="K94" s="386"/>
      <c r="L94" s="386"/>
      <c r="M94" s="386"/>
      <c r="N94" s="386"/>
      <c r="O94" s="386"/>
      <c r="P94" s="386"/>
      <c r="Q94" s="386"/>
      <c r="R94" s="386"/>
      <c r="S94" s="386"/>
      <c r="T94" s="386"/>
      <c r="U94" s="386"/>
      <c r="V94" s="386"/>
      <c r="W94" s="386"/>
      <c r="X94" s="386"/>
      <c r="Y94" s="386"/>
      <c r="Z94" s="386"/>
      <c r="AA94" s="386"/>
      <c r="AB94" s="386"/>
      <c r="AC94" s="386"/>
    </row>
    <row r="95">
      <c r="H95" s="386"/>
      <c r="I95" s="386"/>
      <c r="J95" s="386"/>
      <c r="K95" s="386"/>
      <c r="L95" s="386"/>
      <c r="M95" s="386"/>
      <c r="N95" s="386"/>
      <c r="O95" s="386"/>
      <c r="P95" s="386"/>
      <c r="Q95" s="386"/>
      <c r="R95" s="386"/>
      <c r="S95" s="386"/>
      <c r="T95" s="386"/>
      <c r="U95" s="386"/>
      <c r="V95" s="386"/>
      <c r="W95" s="386"/>
      <c r="X95" s="386"/>
      <c r="Y95" s="386"/>
      <c r="Z95" s="386"/>
      <c r="AA95" s="386"/>
      <c r="AB95" s="386"/>
      <c r="AC95" s="386"/>
    </row>
    <row r="96">
      <c r="H96" s="386"/>
      <c r="I96" s="386"/>
      <c r="J96" s="386"/>
      <c r="K96" s="386"/>
      <c r="L96" s="386"/>
      <c r="M96" s="386"/>
      <c r="N96" s="386"/>
      <c r="O96" s="386"/>
      <c r="P96" s="386"/>
      <c r="Q96" s="386"/>
      <c r="R96" s="386"/>
      <c r="S96" s="386"/>
      <c r="T96" s="386"/>
      <c r="U96" s="386"/>
      <c r="V96" s="386"/>
      <c r="W96" s="386"/>
      <c r="X96" s="386"/>
      <c r="Y96" s="386"/>
      <c r="Z96" s="386"/>
      <c r="AA96" s="386"/>
      <c r="AB96" s="386"/>
      <c r="AC96" s="386"/>
    </row>
    <row r="97">
      <c r="H97" s="386"/>
      <c r="I97" s="386"/>
      <c r="J97" s="386"/>
      <c r="K97" s="386"/>
      <c r="L97" s="386"/>
      <c r="M97" s="386"/>
      <c r="N97" s="386"/>
      <c r="O97" s="386"/>
      <c r="P97" s="386"/>
      <c r="Q97" s="386"/>
      <c r="R97" s="386"/>
      <c r="S97" s="386"/>
      <c r="T97" s="386"/>
      <c r="U97" s="386"/>
      <c r="V97" s="386"/>
      <c r="W97" s="386"/>
      <c r="X97" s="386"/>
      <c r="Y97" s="386"/>
      <c r="Z97" s="386"/>
      <c r="AA97" s="386"/>
      <c r="AB97" s="386"/>
      <c r="AC97" s="386"/>
    </row>
    <row r="98">
      <c r="H98" s="386"/>
      <c r="I98" s="386"/>
      <c r="J98" s="386"/>
      <c r="K98" s="386"/>
      <c r="L98" s="386"/>
      <c r="M98" s="386"/>
      <c r="N98" s="386"/>
      <c r="O98" s="386"/>
      <c r="P98" s="386"/>
      <c r="Q98" s="386"/>
      <c r="R98" s="386"/>
      <c r="S98" s="386"/>
      <c r="T98" s="386"/>
      <c r="U98" s="386"/>
      <c r="V98" s="386"/>
      <c r="W98" s="386"/>
      <c r="X98" s="386"/>
      <c r="Y98" s="386"/>
      <c r="Z98" s="386"/>
      <c r="AA98" s="386"/>
      <c r="AB98" s="386"/>
      <c r="AC98" s="386"/>
    </row>
    <row r="99">
      <c r="H99" s="386"/>
      <c r="I99" s="386"/>
      <c r="J99" s="386"/>
      <c r="K99" s="386"/>
      <c r="L99" s="386"/>
      <c r="M99" s="386"/>
      <c r="N99" s="386"/>
      <c r="O99" s="386"/>
      <c r="P99" s="386"/>
      <c r="Q99" s="386"/>
      <c r="R99" s="386"/>
      <c r="S99" s="386"/>
      <c r="T99" s="386"/>
      <c r="U99" s="386"/>
      <c r="V99" s="386"/>
      <c r="W99" s="386"/>
      <c r="X99" s="386"/>
      <c r="Y99" s="386"/>
      <c r="Z99" s="386"/>
      <c r="AA99" s="386"/>
      <c r="AB99" s="386"/>
      <c r="AC99" s="386"/>
    </row>
    <row r="100">
      <c r="H100" s="386"/>
      <c r="I100" s="386"/>
      <c r="J100" s="386"/>
      <c r="K100" s="386"/>
      <c r="L100" s="386"/>
      <c r="M100" s="386"/>
      <c r="N100" s="386"/>
      <c r="O100" s="386"/>
      <c r="P100" s="386"/>
      <c r="Q100" s="386"/>
      <c r="R100" s="386"/>
      <c r="S100" s="386"/>
      <c r="T100" s="386"/>
      <c r="U100" s="386"/>
      <c r="V100" s="386"/>
      <c r="W100" s="386"/>
      <c r="X100" s="386"/>
      <c r="Y100" s="386"/>
      <c r="Z100" s="386"/>
      <c r="AA100" s="386"/>
      <c r="AB100" s="386"/>
      <c r="AC100" s="386"/>
    </row>
    <row r="101">
      <c r="H101" s="386"/>
      <c r="I101" s="386"/>
      <c r="J101" s="386"/>
      <c r="K101" s="386"/>
      <c r="L101" s="386"/>
      <c r="M101" s="386"/>
      <c r="N101" s="386"/>
      <c r="O101" s="386"/>
      <c r="P101" s="386"/>
      <c r="Q101" s="386"/>
      <c r="R101" s="386"/>
      <c r="S101" s="386"/>
      <c r="T101" s="386"/>
      <c r="U101" s="386"/>
      <c r="V101" s="386"/>
      <c r="W101" s="386"/>
      <c r="X101" s="386"/>
      <c r="Y101" s="386"/>
      <c r="Z101" s="386"/>
      <c r="AA101" s="386"/>
      <c r="AB101" s="386"/>
      <c r="AC101" s="386"/>
    </row>
    <row r="102">
      <c r="H102" s="386"/>
      <c r="I102" s="386"/>
      <c r="J102" s="386"/>
      <c r="K102" s="386"/>
      <c r="L102" s="386"/>
      <c r="M102" s="386"/>
      <c r="N102" s="386"/>
      <c r="O102" s="386"/>
      <c r="P102" s="386"/>
      <c r="Q102" s="386"/>
      <c r="R102" s="386"/>
      <c r="S102" s="386"/>
      <c r="T102" s="386"/>
      <c r="U102" s="386"/>
      <c r="V102" s="386"/>
      <c r="W102" s="386"/>
      <c r="X102" s="386"/>
      <c r="Y102" s="386"/>
      <c r="Z102" s="386"/>
      <c r="AA102" s="386"/>
      <c r="AB102" s="386"/>
      <c r="AC102" s="386"/>
    </row>
    <row r="103">
      <c r="H103" s="386"/>
      <c r="I103" s="386"/>
      <c r="J103" s="386"/>
      <c r="K103" s="386"/>
      <c r="L103" s="386"/>
      <c r="M103" s="386"/>
      <c r="N103" s="386"/>
      <c r="O103" s="386"/>
      <c r="P103" s="386"/>
      <c r="Q103" s="386"/>
      <c r="R103" s="386"/>
      <c r="S103" s="386"/>
      <c r="T103" s="386"/>
      <c r="U103" s="386"/>
      <c r="V103" s="386"/>
      <c r="W103" s="386"/>
      <c r="X103" s="386"/>
      <c r="Y103" s="386"/>
      <c r="Z103" s="386"/>
      <c r="AA103" s="386"/>
      <c r="AB103" s="386"/>
      <c r="AC103" s="386"/>
    </row>
    <row r="104">
      <c r="H104" s="386"/>
      <c r="I104" s="386"/>
      <c r="J104" s="386"/>
      <c r="K104" s="386"/>
      <c r="L104" s="386"/>
      <c r="M104" s="386"/>
      <c r="N104" s="386"/>
      <c r="O104" s="386"/>
      <c r="P104" s="386"/>
      <c r="Q104" s="386"/>
      <c r="R104" s="386"/>
      <c r="S104" s="386"/>
      <c r="T104" s="386"/>
      <c r="U104" s="386"/>
      <c r="V104" s="386"/>
      <c r="W104" s="386"/>
      <c r="X104" s="386"/>
      <c r="Y104" s="386"/>
      <c r="Z104" s="386"/>
      <c r="AA104" s="386"/>
      <c r="AB104" s="386"/>
      <c r="AC104" s="386"/>
    </row>
    <row r="105">
      <c r="H105" s="386"/>
      <c r="I105" s="386"/>
      <c r="J105" s="386"/>
      <c r="K105" s="386"/>
      <c r="L105" s="386"/>
      <c r="M105" s="386"/>
      <c r="N105" s="386"/>
      <c r="O105" s="386"/>
      <c r="P105" s="386"/>
      <c r="Q105" s="386"/>
      <c r="R105" s="386"/>
      <c r="S105" s="386"/>
      <c r="T105" s="386"/>
      <c r="U105" s="386"/>
      <c r="V105" s="386"/>
      <c r="W105" s="386"/>
      <c r="X105" s="386"/>
      <c r="Y105" s="386"/>
      <c r="Z105" s="386"/>
      <c r="AA105" s="386"/>
      <c r="AB105" s="386"/>
      <c r="AC105" s="386"/>
    </row>
    <row r="106">
      <c r="H106" s="386"/>
      <c r="I106" s="386"/>
      <c r="J106" s="386"/>
      <c r="K106" s="386"/>
      <c r="L106" s="386"/>
      <c r="M106" s="386"/>
      <c r="N106" s="386"/>
      <c r="O106" s="386"/>
      <c r="P106" s="386"/>
      <c r="Q106" s="386"/>
      <c r="R106" s="386"/>
      <c r="S106" s="386"/>
      <c r="T106" s="386"/>
      <c r="U106" s="386"/>
      <c r="V106" s="386"/>
      <c r="W106" s="386"/>
      <c r="X106" s="386"/>
      <c r="Y106" s="386"/>
      <c r="Z106" s="386"/>
      <c r="AA106" s="386"/>
      <c r="AB106" s="386"/>
      <c r="AC106" s="386"/>
    </row>
    <row r="107">
      <c r="H107" s="386"/>
      <c r="I107" s="386"/>
      <c r="J107" s="386"/>
      <c r="K107" s="386"/>
      <c r="L107" s="386"/>
      <c r="M107" s="386"/>
      <c r="N107" s="386"/>
      <c r="O107" s="386"/>
      <c r="P107" s="386"/>
      <c r="Q107" s="386"/>
      <c r="R107" s="386"/>
      <c r="S107" s="386"/>
      <c r="T107" s="386"/>
      <c r="U107" s="386"/>
      <c r="V107" s="386"/>
      <c r="W107" s="386"/>
      <c r="X107" s="386"/>
      <c r="Y107" s="386"/>
      <c r="Z107" s="386"/>
      <c r="AA107" s="386"/>
      <c r="AB107" s="386"/>
      <c r="AC107" s="386"/>
    </row>
    <row r="108">
      <c r="H108" s="386"/>
      <c r="I108" s="386"/>
      <c r="J108" s="386"/>
      <c r="K108" s="386"/>
      <c r="L108" s="386"/>
      <c r="M108" s="386"/>
      <c r="N108" s="386"/>
      <c r="O108" s="386"/>
      <c r="P108" s="386"/>
      <c r="Q108" s="386"/>
      <c r="R108" s="386"/>
      <c r="S108" s="386"/>
      <c r="T108" s="386"/>
      <c r="U108" s="386"/>
      <c r="V108" s="386"/>
      <c r="W108" s="386"/>
      <c r="X108" s="386"/>
      <c r="Y108" s="386"/>
      <c r="Z108" s="386"/>
      <c r="AA108" s="386"/>
      <c r="AB108" s="386"/>
      <c r="AC108" s="386"/>
    </row>
    <row r="109">
      <c r="H109" s="386"/>
      <c r="I109" s="386"/>
      <c r="J109" s="386"/>
      <c r="K109" s="386"/>
      <c r="L109" s="386"/>
      <c r="M109" s="386"/>
      <c r="N109" s="386"/>
      <c r="O109" s="386"/>
      <c r="P109" s="386"/>
      <c r="Q109" s="386"/>
      <c r="R109" s="386"/>
      <c r="S109" s="386"/>
      <c r="T109" s="386"/>
      <c r="U109" s="386"/>
      <c r="V109" s="386"/>
      <c r="W109" s="386"/>
      <c r="X109" s="386"/>
      <c r="Y109" s="386"/>
      <c r="Z109" s="386"/>
      <c r="AA109" s="386"/>
      <c r="AB109" s="386"/>
      <c r="AC109" s="386"/>
    </row>
    <row r="110">
      <c r="H110" s="386"/>
      <c r="I110" s="386"/>
      <c r="J110" s="386"/>
      <c r="K110" s="386"/>
      <c r="L110" s="386"/>
      <c r="M110" s="386"/>
      <c r="N110" s="386"/>
      <c r="O110" s="386"/>
      <c r="P110" s="386"/>
      <c r="Q110" s="386"/>
      <c r="R110" s="386"/>
      <c r="S110" s="386"/>
      <c r="T110" s="386"/>
      <c r="U110" s="386"/>
      <c r="V110" s="386"/>
      <c r="W110" s="386"/>
      <c r="X110" s="386"/>
      <c r="Y110" s="386"/>
      <c r="Z110" s="386"/>
      <c r="AA110" s="386"/>
      <c r="AB110" s="386"/>
      <c r="AC110" s="386"/>
    </row>
    <row r="111">
      <c r="H111" s="386"/>
      <c r="I111" s="386"/>
      <c r="J111" s="386"/>
      <c r="K111" s="386"/>
      <c r="L111" s="386"/>
      <c r="M111" s="386"/>
      <c r="N111" s="386"/>
      <c r="O111" s="386"/>
      <c r="P111" s="386"/>
      <c r="Q111" s="386"/>
      <c r="R111" s="386"/>
      <c r="S111" s="386"/>
      <c r="T111" s="386"/>
      <c r="U111" s="386"/>
      <c r="V111" s="386"/>
      <c r="W111" s="386"/>
      <c r="X111" s="386"/>
      <c r="Y111" s="386"/>
      <c r="Z111" s="386"/>
      <c r="AA111" s="386"/>
      <c r="AB111" s="386"/>
      <c r="AC111" s="386"/>
    </row>
    <row r="112">
      <c r="H112" s="386"/>
      <c r="I112" s="386"/>
      <c r="J112" s="386"/>
      <c r="K112" s="386"/>
      <c r="L112" s="386"/>
      <c r="M112" s="386"/>
      <c r="N112" s="386"/>
      <c r="O112" s="386"/>
      <c r="P112" s="386"/>
      <c r="Q112" s="386"/>
      <c r="R112" s="386"/>
      <c r="S112" s="386"/>
      <c r="T112" s="386"/>
      <c r="U112" s="386"/>
      <c r="V112" s="386"/>
      <c r="W112" s="386"/>
      <c r="X112" s="386"/>
      <c r="Y112" s="386"/>
      <c r="Z112" s="386"/>
      <c r="AA112" s="386"/>
      <c r="AB112" s="386"/>
      <c r="AC112" s="386"/>
    </row>
    <row r="113">
      <c r="H113" s="386"/>
      <c r="I113" s="386"/>
      <c r="J113" s="386"/>
      <c r="K113" s="386"/>
      <c r="L113" s="386"/>
      <c r="M113" s="386"/>
      <c r="N113" s="386"/>
      <c r="O113" s="386"/>
      <c r="P113" s="386"/>
      <c r="Q113" s="386"/>
      <c r="R113" s="386"/>
      <c r="S113" s="386"/>
      <c r="T113" s="386"/>
      <c r="U113" s="386"/>
      <c r="V113" s="386"/>
      <c r="W113" s="386"/>
      <c r="X113" s="386"/>
      <c r="Y113" s="386"/>
      <c r="Z113" s="386"/>
      <c r="AA113" s="386"/>
      <c r="AB113" s="386"/>
      <c r="AC113" s="386"/>
    </row>
    <row r="114">
      <c r="H114" s="386"/>
      <c r="I114" s="386"/>
      <c r="J114" s="386"/>
      <c r="K114" s="386"/>
      <c r="L114" s="386"/>
      <c r="M114" s="386"/>
      <c r="N114" s="386"/>
      <c r="O114" s="386"/>
      <c r="P114" s="386"/>
      <c r="Q114" s="386"/>
      <c r="R114" s="386"/>
      <c r="S114" s="386"/>
      <c r="T114" s="386"/>
      <c r="U114" s="386"/>
      <c r="V114" s="386"/>
      <c r="W114" s="386"/>
      <c r="X114" s="386"/>
      <c r="Y114" s="386"/>
      <c r="Z114" s="386"/>
      <c r="AA114" s="386"/>
      <c r="AB114" s="386"/>
      <c r="AC114" s="386"/>
    </row>
    <row r="115">
      <c r="H115" s="386"/>
      <c r="I115" s="386"/>
      <c r="J115" s="386"/>
      <c r="K115" s="386"/>
      <c r="L115" s="386"/>
      <c r="M115" s="386"/>
      <c r="N115" s="386"/>
      <c r="O115" s="386"/>
      <c r="P115" s="386"/>
      <c r="Q115" s="386"/>
      <c r="R115" s="386"/>
      <c r="S115" s="386"/>
      <c r="T115" s="386"/>
      <c r="U115" s="386"/>
      <c r="V115" s="386"/>
      <c r="W115" s="386"/>
      <c r="X115" s="386"/>
      <c r="Y115" s="386"/>
      <c r="Z115" s="386"/>
      <c r="AA115" s="386"/>
      <c r="AB115" s="386"/>
      <c r="AC115" s="386"/>
    </row>
    <row r="116">
      <c r="H116" s="386"/>
      <c r="I116" s="386"/>
      <c r="J116" s="386"/>
      <c r="K116" s="386"/>
      <c r="L116" s="386"/>
      <c r="M116" s="386"/>
      <c r="N116" s="386"/>
      <c r="O116" s="386"/>
      <c r="P116" s="386"/>
      <c r="Q116" s="386"/>
      <c r="R116" s="386"/>
      <c r="S116" s="386"/>
      <c r="T116" s="386"/>
      <c r="U116" s="386"/>
      <c r="V116" s="386"/>
      <c r="W116" s="386"/>
      <c r="X116" s="386"/>
      <c r="Y116" s="386"/>
      <c r="Z116" s="386"/>
      <c r="AA116" s="386"/>
      <c r="AB116" s="386"/>
      <c r="AC116" s="386"/>
    </row>
    <row r="117">
      <c r="H117" s="386"/>
      <c r="I117" s="386"/>
      <c r="J117" s="386"/>
      <c r="K117" s="386"/>
      <c r="L117" s="386"/>
      <c r="M117" s="386"/>
      <c r="N117" s="386"/>
      <c r="O117" s="386"/>
      <c r="P117" s="386"/>
      <c r="Q117" s="386"/>
      <c r="R117" s="386"/>
      <c r="S117" s="386"/>
      <c r="T117" s="386"/>
      <c r="U117" s="386"/>
      <c r="V117" s="386"/>
      <c r="W117" s="386"/>
      <c r="X117" s="386"/>
      <c r="Y117" s="386"/>
      <c r="Z117" s="386"/>
      <c r="AA117" s="386"/>
      <c r="AB117" s="386"/>
      <c r="AC117" s="386"/>
    </row>
    <row r="118">
      <c r="H118" s="386"/>
      <c r="I118" s="386"/>
      <c r="J118" s="386"/>
      <c r="K118" s="386"/>
      <c r="L118" s="386"/>
      <c r="M118" s="386"/>
      <c r="N118" s="386"/>
      <c r="O118" s="386"/>
      <c r="P118" s="386"/>
      <c r="Q118" s="386"/>
      <c r="R118" s="386"/>
      <c r="S118" s="386"/>
      <c r="T118" s="386"/>
      <c r="U118" s="386"/>
      <c r="V118" s="386"/>
      <c r="W118" s="386"/>
      <c r="X118" s="386"/>
      <c r="Y118" s="386"/>
      <c r="Z118" s="386"/>
      <c r="AA118" s="386"/>
      <c r="AB118" s="386"/>
      <c r="AC118" s="386"/>
    </row>
    <row r="119">
      <c r="H119" s="386"/>
      <c r="I119" s="386"/>
      <c r="J119" s="386"/>
      <c r="K119" s="386"/>
      <c r="L119" s="386"/>
      <c r="M119" s="386"/>
      <c r="N119" s="386"/>
      <c r="O119" s="386"/>
      <c r="P119" s="386"/>
      <c r="Q119" s="386"/>
      <c r="R119" s="386"/>
      <c r="S119" s="386"/>
      <c r="T119" s="386"/>
      <c r="U119" s="386"/>
      <c r="V119" s="386"/>
      <c r="W119" s="386"/>
      <c r="X119" s="386"/>
      <c r="Y119" s="386"/>
      <c r="Z119" s="386"/>
      <c r="AA119" s="386"/>
      <c r="AB119" s="386"/>
      <c r="AC119" s="386"/>
    </row>
    <row r="120">
      <c r="H120" s="386"/>
      <c r="I120" s="386"/>
      <c r="J120" s="386"/>
      <c r="K120" s="386"/>
      <c r="L120" s="386"/>
      <c r="M120" s="386"/>
      <c r="N120" s="386"/>
      <c r="O120" s="386"/>
      <c r="P120" s="386"/>
      <c r="Q120" s="386"/>
      <c r="R120" s="386"/>
      <c r="S120" s="386"/>
      <c r="T120" s="386"/>
      <c r="U120" s="386"/>
      <c r="V120" s="386"/>
      <c r="W120" s="386"/>
      <c r="X120" s="386"/>
      <c r="Y120" s="386"/>
      <c r="Z120" s="386"/>
      <c r="AA120" s="386"/>
      <c r="AB120" s="386"/>
      <c r="AC120" s="386"/>
    </row>
    <row r="121">
      <c r="H121" s="386"/>
      <c r="I121" s="386"/>
      <c r="J121" s="386"/>
      <c r="K121" s="386"/>
      <c r="L121" s="386"/>
      <c r="M121" s="386"/>
      <c r="N121" s="386"/>
      <c r="O121" s="386"/>
      <c r="P121" s="386"/>
      <c r="Q121" s="386"/>
      <c r="R121" s="386"/>
      <c r="S121" s="386"/>
      <c r="T121" s="386"/>
      <c r="U121" s="386"/>
      <c r="V121" s="386"/>
      <c r="W121" s="386"/>
      <c r="X121" s="386"/>
      <c r="Y121" s="386"/>
      <c r="Z121" s="386"/>
      <c r="AA121" s="386"/>
      <c r="AB121" s="386"/>
      <c r="AC121" s="386"/>
    </row>
    <row r="122">
      <c r="H122" s="386"/>
      <c r="I122" s="386"/>
      <c r="J122" s="386"/>
      <c r="K122" s="386"/>
      <c r="L122" s="386"/>
      <c r="M122" s="386"/>
      <c r="N122" s="386"/>
      <c r="O122" s="386"/>
      <c r="P122" s="386"/>
      <c r="Q122" s="386"/>
      <c r="R122" s="386"/>
      <c r="S122" s="386"/>
      <c r="T122" s="386"/>
      <c r="U122" s="386"/>
      <c r="V122" s="386"/>
      <c r="W122" s="386"/>
      <c r="X122" s="386"/>
      <c r="Y122" s="386"/>
      <c r="Z122" s="386"/>
      <c r="AA122" s="386"/>
      <c r="AB122" s="386"/>
      <c r="AC122" s="386"/>
    </row>
    <row r="123">
      <c r="H123" s="386"/>
      <c r="I123" s="386"/>
      <c r="J123" s="386"/>
      <c r="K123" s="386"/>
      <c r="L123" s="386"/>
      <c r="M123" s="386"/>
      <c r="N123" s="386"/>
      <c r="O123" s="386"/>
      <c r="P123" s="386"/>
      <c r="Q123" s="386"/>
      <c r="R123" s="386"/>
      <c r="S123" s="386"/>
      <c r="T123" s="386"/>
      <c r="U123" s="386"/>
      <c r="V123" s="386"/>
      <c r="W123" s="386"/>
      <c r="X123" s="386"/>
      <c r="Y123" s="386"/>
      <c r="Z123" s="386"/>
      <c r="AA123" s="386"/>
      <c r="AB123" s="386"/>
      <c r="AC123" s="386"/>
    </row>
    <row r="124">
      <c r="H124" s="386"/>
      <c r="I124" s="386"/>
      <c r="J124" s="386"/>
      <c r="K124" s="386"/>
      <c r="L124" s="386"/>
      <c r="M124" s="386"/>
      <c r="N124" s="386"/>
      <c r="O124" s="386"/>
      <c r="P124" s="386"/>
      <c r="Q124" s="386"/>
      <c r="R124" s="386"/>
      <c r="S124" s="386"/>
      <c r="T124" s="386"/>
      <c r="U124" s="386"/>
      <c r="V124" s="386"/>
      <c r="W124" s="386"/>
      <c r="X124" s="386"/>
      <c r="Y124" s="386"/>
      <c r="Z124" s="386"/>
      <c r="AA124" s="386"/>
      <c r="AB124" s="386"/>
      <c r="AC124" s="386"/>
    </row>
    <row r="125">
      <c r="H125" s="386"/>
      <c r="I125" s="386"/>
      <c r="J125" s="386"/>
      <c r="K125" s="386"/>
      <c r="L125" s="386"/>
      <c r="M125" s="386"/>
      <c r="N125" s="386"/>
      <c r="O125" s="386"/>
      <c r="P125" s="386"/>
      <c r="Q125" s="386"/>
      <c r="R125" s="386"/>
      <c r="S125" s="386"/>
      <c r="T125" s="386"/>
      <c r="U125" s="386"/>
      <c r="V125" s="386"/>
      <c r="W125" s="386"/>
      <c r="X125" s="386"/>
      <c r="Y125" s="386"/>
      <c r="Z125" s="386"/>
      <c r="AA125" s="386"/>
      <c r="AB125" s="386"/>
      <c r="AC125" s="386"/>
    </row>
    <row r="126">
      <c r="H126" s="386"/>
      <c r="I126" s="386"/>
      <c r="J126" s="386"/>
      <c r="K126" s="386"/>
      <c r="L126" s="386"/>
      <c r="M126" s="386"/>
      <c r="N126" s="386"/>
      <c r="O126" s="386"/>
      <c r="P126" s="386"/>
      <c r="Q126" s="386"/>
      <c r="R126" s="386"/>
      <c r="S126" s="386"/>
      <c r="T126" s="386"/>
      <c r="U126" s="386"/>
      <c r="V126" s="386"/>
      <c r="W126" s="386"/>
      <c r="X126" s="386"/>
      <c r="Y126" s="386"/>
      <c r="Z126" s="386"/>
      <c r="AA126" s="386"/>
      <c r="AB126" s="386"/>
      <c r="AC126" s="386"/>
    </row>
    <row r="127">
      <c r="H127" s="386"/>
      <c r="I127" s="386"/>
      <c r="J127" s="386"/>
      <c r="K127" s="386"/>
      <c r="L127" s="386"/>
      <c r="M127" s="386"/>
      <c r="N127" s="386"/>
      <c r="O127" s="386"/>
      <c r="P127" s="386"/>
      <c r="Q127" s="386"/>
      <c r="R127" s="386"/>
      <c r="S127" s="386"/>
      <c r="T127" s="386"/>
      <c r="U127" s="386"/>
      <c r="V127" s="386"/>
      <c r="W127" s="386"/>
      <c r="X127" s="386"/>
      <c r="Y127" s="386"/>
      <c r="Z127" s="386"/>
      <c r="AA127" s="386"/>
      <c r="AB127" s="386"/>
      <c r="AC127" s="386"/>
    </row>
    <row r="128">
      <c r="H128" s="386"/>
      <c r="I128" s="386"/>
      <c r="J128" s="386"/>
      <c r="K128" s="386"/>
      <c r="L128" s="386"/>
      <c r="M128" s="386"/>
      <c r="N128" s="386"/>
      <c r="O128" s="386"/>
      <c r="P128" s="386"/>
      <c r="Q128" s="386"/>
      <c r="R128" s="386"/>
      <c r="S128" s="386"/>
      <c r="T128" s="386"/>
      <c r="U128" s="386"/>
      <c r="V128" s="386"/>
      <c r="W128" s="386"/>
      <c r="X128" s="386"/>
      <c r="Y128" s="386"/>
      <c r="Z128" s="386"/>
      <c r="AA128" s="386"/>
      <c r="AB128" s="386"/>
      <c r="AC128" s="386"/>
    </row>
    <row r="129">
      <c r="H129" s="386"/>
      <c r="I129" s="386"/>
      <c r="J129" s="386"/>
      <c r="K129" s="386"/>
      <c r="L129" s="386"/>
      <c r="M129" s="386"/>
      <c r="N129" s="386"/>
      <c r="O129" s="386"/>
      <c r="P129" s="386"/>
      <c r="Q129" s="386"/>
      <c r="R129" s="386"/>
      <c r="S129" s="386"/>
      <c r="T129" s="386"/>
      <c r="U129" s="386"/>
      <c r="V129" s="386"/>
      <c r="W129" s="386"/>
      <c r="X129" s="386"/>
      <c r="Y129" s="386"/>
      <c r="Z129" s="386"/>
      <c r="AA129" s="386"/>
      <c r="AB129" s="386"/>
      <c r="AC129" s="386"/>
    </row>
    <row r="130">
      <c r="H130" s="386"/>
      <c r="I130" s="386"/>
      <c r="J130" s="386"/>
      <c r="K130" s="386"/>
      <c r="L130" s="386"/>
      <c r="M130" s="386"/>
      <c r="N130" s="386"/>
      <c r="O130" s="386"/>
      <c r="P130" s="386"/>
      <c r="Q130" s="386"/>
      <c r="R130" s="386"/>
      <c r="S130" s="386"/>
      <c r="T130" s="386"/>
      <c r="U130" s="386"/>
      <c r="V130" s="386"/>
      <c r="W130" s="386"/>
      <c r="X130" s="386"/>
      <c r="Y130" s="386"/>
      <c r="Z130" s="386"/>
      <c r="AA130" s="386"/>
      <c r="AB130" s="386"/>
      <c r="AC130" s="386"/>
    </row>
    <row r="131">
      <c r="H131" s="386"/>
      <c r="I131" s="386"/>
      <c r="J131" s="386"/>
      <c r="K131" s="386"/>
      <c r="L131" s="386"/>
      <c r="M131" s="386"/>
      <c r="N131" s="386"/>
      <c r="O131" s="386"/>
      <c r="P131" s="386"/>
      <c r="Q131" s="386"/>
      <c r="R131" s="386"/>
      <c r="S131" s="386"/>
      <c r="T131" s="386"/>
      <c r="U131" s="386"/>
      <c r="V131" s="386"/>
      <c r="W131" s="386"/>
      <c r="X131" s="386"/>
      <c r="Y131" s="386"/>
      <c r="Z131" s="386"/>
      <c r="AA131" s="386"/>
      <c r="AB131" s="386"/>
      <c r="AC131" s="386"/>
    </row>
    <row r="132">
      <c r="H132" s="386"/>
      <c r="I132" s="386"/>
      <c r="J132" s="386"/>
      <c r="K132" s="386"/>
      <c r="L132" s="386"/>
      <c r="M132" s="386"/>
      <c r="N132" s="386"/>
      <c r="O132" s="386"/>
      <c r="P132" s="386"/>
      <c r="Q132" s="386"/>
      <c r="R132" s="386"/>
      <c r="S132" s="386"/>
      <c r="T132" s="386"/>
      <c r="U132" s="386"/>
      <c r="V132" s="386"/>
      <c r="W132" s="386"/>
      <c r="X132" s="386"/>
      <c r="Y132" s="386"/>
      <c r="Z132" s="386"/>
      <c r="AA132" s="386"/>
      <c r="AB132" s="386"/>
      <c r="AC132" s="386"/>
    </row>
    <row r="133">
      <c r="H133" s="386"/>
      <c r="I133" s="386"/>
      <c r="J133" s="386"/>
      <c r="K133" s="386"/>
      <c r="L133" s="386"/>
      <c r="M133" s="386"/>
      <c r="N133" s="386"/>
      <c r="O133" s="386"/>
      <c r="P133" s="386"/>
      <c r="Q133" s="386"/>
      <c r="R133" s="386"/>
      <c r="S133" s="386"/>
      <c r="T133" s="386"/>
      <c r="U133" s="386"/>
      <c r="V133" s="386"/>
      <c r="W133" s="386"/>
      <c r="X133" s="386"/>
      <c r="Y133" s="386"/>
      <c r="Z133" s="386"/>
      <c r="AA133" s="386"/>
      <c r="AB133" s="386"/>
      <c r="AC133" s="386"/>
    </row>
    <row r="134">
      <c r="H134" s="386"/>
      <c r="I134" s="386"/>
      <c r="J134" s="386"/>
      <c r="K134" s="386"/>
      <c r="L134" s="386"/>
      <c r="M134" s="386"/>
      <c r="N134" s="386"/>
      <c r="O134" s="386"/>
      <c r="P134" s="386"/>
      <c r="Q134" s="386"/>
      <c r="R134" s="386"/>
      <c r="S134" s="386"/>
      <c r="T134" s="386"/>
      <c r="U134" s="386"/>
      <c r="V134" s="386"/>
      <c r="W134" s="386"/>
      <c r="X134" s="386"/>
      <c r="Y134" s="386"/>
      <c r="Z134" s="386"/>
      <c r="AA134" s="386"/>
      <c r="AB134" s="386"/>
      <c r="AC134" s="386"/>
    </row>
    <row r="135">
      <c r="H135" s="386"/>
      <c r="I135" s="386"/>
      <c r="J135" s="386"/>
      <c r="K135" s="386"/>
      <c r="L135" s="386"/>
      <c r="M135" s="386"/>
      <c r="N135" s="386"/>
      <c r="O135" s="386"/>
      <c r="P135" s="386"/>
      <c r="Q135" s="386"/>
      <c r="R135" s="386"/>
      <c r="S135" s="386"/>
      <c r="T135" s="386"/>
      <c r="U135" s="386"/>
      <c r="V135" s="386"/>
      <c r="W135" s="386"/>
      <c r="X135" s="386"/>
      <c r="Y135" s="386"/>
      <c r="Z135" s="386"/>
      <c r="AA135" s="386"/>
      <c r="AB135" s="386"/>
      <c r="AC135" s="386"/>
    </row>
    <row r="136">
      <c r="H136" s="386"/>
      <c r="I136" s="386"/>
      <c r="J136" s="386"/>
      <c r="K136" s="386"/>
      <c r="L136" s="386"/>
      <c r="M136" s="386"/>
      <c r="N136" s="386"/>
      <c r="O136" s="386"/>
      <c r="P136" s="386"/>
      <c r="Q136" s="386"/>
      <c r="R136" s="386"/>
      <c r="S136" s="386"/>
      <c r="T136" s="386"/>
      <c r="U136" s="386"/>
      <c r="V136" s="386"/>
      <c r="W136" s="386"/>
      <c r="X136" s="386"/>
      <c r="Y136" s="386"/>
      <c r="Z136" s="386"/>
      <c r="AA136" s="386"/>
      <c r="AB136" s="386"/>
      <c r="AC136" s="386"/>
    </row>
    <row r="137">
      <c r="H137" s="386"/>
      <c r="I137" s="386"/>
      <c r="J137" s="386"/>
      <c r="K137" s="386"/>
      <c r="L137" s="386"/>
      <c r="M137" s="386"/>
      <c r="N137" s="386"/>
      <c r="O137" s="386"/>
      <c r="P137" s="386"/>
      <c r="Q137" s="386"/>
      <c r="R137" s="386"/>
      <c r="S137" s="386"/>
      <c r="T137" s="386"/>
      <c r="U137" s="386"/>
      <c r="V137" s="386"/>
      <c r="W137" s="386"/>
      <c r="X137" s="386"/>
      <c r="Y137" s="386"/>
      <c r="Z137" s="386"/>
      <c r="AA137" s="386"/>
      <c r="AB137" s="386"/>
      <c r="AC137" s="386"/>
    </row>
    <row r="138">
      <c r="H138" s="386"/>
      <c r="I138" s="386"/>
      <c r="J138" s="386"/>
      <c r="K138" s="386"/>
      <c r="L138" s="386"/>
      <c r="M138" s="386"/>
      <c r="N138" s="386"/>
      <c r="O138" s="386"/>
      <c r="P138" s="386"/>
      <c r="Q138" s="386"/>
      <c r="R138" s="386"/>
      <c r="S138" s="386"/>
      <c r="T138" s="386"/>
      <c r="U138" s="386"/>
      <c r="V138" s="386"/>
      <c r="W138" s="386"/>
      <c r="X138" s="386"/>
      <c r="Y138" s="386"/>
      <c r="Z138" s="386"/>
      <c r="AA138" s="386"/>
      <c r="AB138" s="386"/>
      <c r="AC138" s="386"/>
    </row>
    <row r="139">
      <c r="H139" s="386"/>
      <c r="I139" s="386"/>
      <c r="J139" s="386"/>
      <c r="K139" s="386"/>
      <c r="L139" s="386"/>
      <c r="M139" s="386"/>
      <c r="N139" s="386"/>
      <c r="O139" s="386"/>
      <c r="P139" s="386"/>
      <c r="Q139" s="386"/>
      <c r="R139" s="386"/>
      <c r="S139" s="386"/>
      <c r="T139" s="386"/>
      <c r="U139" s="386"/>
      <c r="V139" s="386"/>
      <c r="W139" s="386"/>
      <c r="X139" s="386"/>
      <c r="Y139" s="386"/>
      <c r="Z139" s="386"/>
      <c r="AA139" s="386"/>
      <c r="AB139" s="386"/>
      <c r="AC139" s="386"/>
    </row>
    <row r="140">
      <c r="H140" s="386"/>
      <c r="I140" s="386"/>
      <c r="J140" s="386"/>
      <c r="K140" s="386"/>
      <c r="L140" s="386"/>
      <c r="M140" s="386"/>
      <c r="N140" s="386"/>
      <c r="O140" s="386"/>
      <c r="P140" s="386"/>
      <c r="Q140" s="386"/>
      <c r="R140" s="386"/>
      <c r="S140" s="386"/>
      <c r="T140" s="386"/>
      <c r="U140" s="386"/>
      <c r="V140" s="386"/>
      <c r="W140" s="386"/>
      <c r="X140" s="386"/>
      <c r="Y140" s="386"/>
      <c r="Z140" s="386"/>
      <c r="AA140" s="386"/>
      <c r="AB140" s="386"/>
      <c r="AC140" s="386"/>
    </row>
    <row r="141">
      <c r="H141" s="386"/>
      <c r="I141" s="386"/>
      <c r="J141" s="386"/>
      <c r="K141" s="386"/>
      <c r="L141" s="386"/>
      <c r="M141" s="386"/>
      <c r="N141" s="386"/>
      <c r="O141" s="386"/>
      <c r="P141" s="386"/>
      <c r="Q141" s="386"/>
      <c r="R141" s="386"/>
      <c r="S141" s="386"/>
      <c r="T141" s="386"/>
      <c r="U141" s="386"/>
      <c r="V141" s="386"/>
      <c r="W141" s="386"/>
      <c r="X141" s="386"/>
      <c r="Y141" s="386"/>
      <c r="Z141" s="386"/>
      <c r="AA141" s="386"/>
      <c r="AB141" s="386"/>
      <c r="AC141" s="386"/>
    </row>
    <row r="142">
      <c r="H142" s="386"/>
      <c r="I142" s="386"/>
      <c r="J142" s="386"/>
      <c r="K142" s="386"/>
      <c r="L142" s="386"/>
      <c r="M142" s="386"/>
      <c r="N142" s="386"/>
      <c r="O142" s="386"/>
      <c r="P142" s="386"/>
      <c r="Q142" s="386"/>
      <c r="R142" s="386"/>
      <c r="S142" s="386"/>
      <c r="T142" s="386"/>
      <c r="U142" s="386"/>
      <c r="V142" s="386"/>
      <c r="W142" s="386"/>
      <c r="X142" s="386"/>
      <c r="Y142" s="386"/>
      <c r="Z142" s="386"/>
      <c r="AA142" s="386"/>
      <c r="AB142" s="386"/>
      <c r="AC142" s="386"/>
    </row>
    <row r="143">
      <c r="H143" s="386"/>
      <c r="I143" s="386"/>
      <c r="J143" s="386"/>
      <c r="K143" s="386"/>
      <c r="L143" s="386"/>
      <c r="M143" s="386"/>
      <c r="N143" s="386"/>
      <c r="O143" s="386"/>
      <c r="P143" s="386"/>
      <c r="Q143" s="386"/>
      <c r="R143" s="386"/>
      <c r="S143" s="386"/>
      <c r="T143" s="386"/>
      <c r="U143" s="386"/>
      <c r="V143" s="386"/>
      <c r="W143" s="386"/>
      <c r="X143" s="386"/>
      <c r="Y143" s="386"/>
      <c r="Z143" s="386"/>
      <c r="AA143" s="386"/>
      <c r="AB143" s="386"/>
      <c r="AC143" s="386"/>
    </row>
    <row r="144">
      <c r="H144" s="386"/>
      <c r="I144" s="386"/>
      <c r="J144" s="386"/>
      <c r="K144" s="386"/>
      <c r="L144" s="386"/>
      <c r="M144" s="386"/>
      <c r="N144" s="386"/>
      <c r="O144" s="386"/>
      <c r="P144" s="386"/>
      <c r="Q144" s="386"/>
      <c r="R144" s="386"/>
      <c r="S144" s="386"/>
      <c r="T144" s="386"/>
      <c r="U144" s="386"/>
      <c r="V144" s="386"/>
      <c r="W144" s="386"/>
      <c r="X144" s="386"/>
      <c r="Y144" s="386"/>
      <c r="Z144" s="386"/>
      <c r="AA144" s="386"/>
      <c r="AB144" s="386"/>
      <c r="AC144" s="386"/>
    </row>
    <row r="145">
      <c r="H145" s="386"/>
      <c r="I145" s="386"/>
      <c r="J145" s="386"/>
      <c r="K145" s="386"/>
      <c r="L145" s="386"/>
      <c r="M145" s="386"/>
      <c r="N145" s="386"/>
      <c r="O145" s="386"/>
      <c r="P145" s="386"/>
      <c r="Q145" s="386"/>
      <c r="R145" s="386"/>
      <c r="S145" s="386"/>
      <c r="T145" s="386"/>
      <c r="U145" s="386"/>
      <c r="V145" s="386"/>
      <c r="W145" s="386"/>
      <c r="X145" s="386"/>
      <c r="Y145" s="386"/>
      <c r="Z145" s="386"/>
      <c r="AA145" s="386"/>
      <c r="AB145" s="386"/>
      <c r="AC145" s="386"/>
    </row>
    <row r="146">
      <c r="H146" s="386"/>
      <c r="I146" s="386"/>
      <c r="J146" s="386"/>
      <c r="K146" s="386"/>
      <c r="L146" s="386"/>
      <c r="M146" s="386"/>
      <c r="N146" s="386"/>
      <c r="O146" s="386"/>
      <c r="P146" s="386"/>
      <c r="Q146" s="386"/>
      <c r="R146" s="386"/>
      <c r="S146" s="386"/>
      <c r="T146" s="386"/>
      <c r="U146" s="386"/>
      <c r="V146" s="386"/>
      <c r="W146" s="386"/>
      <c r="X146" s="386"/>
      <c r="Y146" s="386"/>
      <c r="Z146" s="386"/>
      <c r="AA146" s="386"/>
      <c r="AB146" s="386"/>
      <c r="AC146" s="386"/>
    </row>
    <row r="147">
      <c r="H147" s="386"/>
      <c r="I147" s="386"/>
      <c r="J147" s="386"/>
      <c r="K147" s="386"/>
      <c r="L147" s="386"/>
      <c r="M147" s="386"/>
      <c r="N147" s="386"/>
      <c r="O147" s="386"/>
      <c r="P147" s="386"/>
      <c r="Q147" s="386"/>
      <c r="R147" s="386"/>
      <c r="S147" s="386"/>
      <c r="T147" s="386"/>
      <c r="U147" s="386"/>
      <c r="V147" s="386"/>
      <c r="W147" s="386"/>
      <c r="X147" s="386"/>
      <c r="Y147" s="386"/>
      <c r="Z147" s="386"/>
      <c r="AA147" s="386"/>
      <c r="AB147" s="386"/>
      <c r="AC147" s="386"/>
    </row>
    <row r="148">
      <c r="H148" s="386"/>
      <c r="I148" s="386"/>
      <c r="J148" s="386"/>
      <c r="K148" s="386"/>
      <c r="L148" s="386"/>
      <c r="M148" s="386"/>
      <c r="N148" s="386"/>
      <c r="O148" s="386"/>
      <c r="P148" s="386"/>
      <c r="Q148" s="386"/>
      <c r="R148" s="386"/>
      <c r="S148" s="386"/>
      <c r="T148" s="386"/>
      <c r="U148" s="386"/>
      <c r="V148" s="386"/>
      <c r="W148" s="386"/>
      <c r="X148" s="386"/>
      <c r="Y148" s="386"/>
      <c r="Z148" s="386"/>
      <c r="AA148" s="386"/>
      <c r="AB148" s="386"/>
      <c r="AC148" s="386"/>
    </row>
    <row r="149">
      <c r="H149" s="386"/>
      <c r="I149" s="386"/>
      <c r="J149" s="386"/>
      <c r="K149" s="386"/>
      <c r="L149" s="386"/>
      <c r="M149" s="386"/>
      <c r="N149" s="386"/>
      <c r="O149" s="386"/>
      <c r="P149" s="386"/>
      <c r="Q149" s="386"/>
      <c r="R149" s="386"/>
      <c r="S149" s="386"/>
      <c r="T149" s="386"/>
      <c r="U149" s="386"/>
      <c r="V149" s="386"/>
      <c r="W149" s="386"/>
      <c r="X149" s="386"/>
      <c r="Y149" s="386"/>
      <c r="Z149" s="386"/>
      <c r="AA149" s="386"/>
      <c r="AB149" s="386"/>
      <c r="AC149" s="386"/>
    </row>
    <row r="150">
      <c r="H150" s="386"/>
      <c r="I150" s="386"/>
      <c r="J150" s="386"/>
      <c r="K150" s="386"/>
      <c r="L150" s="386"/>
      <c r="M150" s="386"/>
      <c r="N150" s="386"/>
      <c r="O150" s="386"/>
      <c r="P150" s="386"/>
      <c r="Q150" s="386"/>
      <c r="R150" s="386"/>
      <c r="S150" s="386"/>
      <c r="T150" s="386"/>
      <c r="U150" s="386"/>
      <c r="V150" s="386"/>
      <c r="W150" s="386"/>
      <c r="X150" s="386"/>
      <c r="Y150" s="386"/>
      <c r="Z150" s="386"/>
      <c r="AA150" s="386"/>
      <c r="AB150" s="386"/>
      <c r="AC150" s="386"/>
    </row>
    <row r="151">
      <c r="H151" s="386"/>
      <c r="I151" s="386"/>
      <c r="J151" s="386"/>
      <c r="K151" s="386"/>
      <c r="L151" s="386"/>
      <c r="M151" s="386"/>
      <c r="N151" s="386"/>
      <c r="O151" s="386"/>
      <c r="P151" s="386"/>
      <c r="Q151" s="386"/>
      <c r="R151" s="386"/>
      <c r="S151" s="386"/>
      <c r="T151" s="386"/>
      <c r="U151" s="386"/>
      <c r="V151" s="386"/>
      <c r="W151" s="386"/>
      <c r="X151" s="386"/>
      <c r="Y151" s="386"/>
      <c r="Z151" s="386"/>
      <c r="AA151" s="386"/>
      <c r="AB151" s="386"/>
      <c r="AC151" s="386"/>
    </row>
    <row r="152">
      <c r="H152" s="386"/>
      <c r="I152" s="386"/>
      <c r="J152" s="386"/>
      <c r="K152" s="386"/>
      <c r="L152" s="386"/>
      <c r="M152" s="386"/>
      <c r="N152" s="386"/>
      <c r="O152" s="386"/>
      <c r="P152" s="386"/>
      <c r="Q152" s="386"/>
      <c r="R152" s="386"/>
      <c r="S152" s="386"/>
      <c r="T152" s="386"/>
      <c r="U152" s="386"/>
      <c r="V152" s="386"/>
      <c r="W152" s="386"/>
      <c r="X152" s="386"/>
      <c r="Y152" s="386"/>
      <c r="Z152" s="386"/>
      <c r="AA152" s="386"/>
      <c r="AB152" s="386"/>
      <c r="AC152" s="386"/>
    </row>
    <row r="153">
      <c r="H153" s="386"/>
      <c r="I153" s="386"/>
      <c r="J153" s="386"/>
      <c r="K153" s="386"/>
      <c r="L153" s="386"/>
      <c r="M153" s="386"/>
      <c r="N153" s="386"/>
      <c r="O153" s="386"/>
      <c r="P153" s="386"/>
      <c r="Q153" s="386"/>
      <c r="R153" s="386"/>
      <c r="S153" s="386"/>
      <c r="T153" s="386"/>
      <c r="U153" s="386"/>
      <c r="V153" s="386"/>
      <c r="W153" s="386"/>
      <c r="X153" s="386"/>
      <c r="Y153" s="386"/>
      <c r="Z153" s="386"/>
      <c r="AA153" s="386"/>
      <c r="AB153" s="386"/>
      <c r="AC153" s="386"/>
    </row>
    <row r="154">
      <c r="H154" s="386"/>
      <c r="I154" s="386"/>
      <c r="J154" s="386"/>
      <c r="K154" s="386"/>
      <c r="L154" s="386"/>
      <c r="M154" s="386"/>
      <c r="N154" s="386"/>
      <c r="O154" s="386"/>
      <c r="P154" s="386"/>
      <c r="Q154" s="386"/>
      <c r="R154" s="386"/>
      <c r="S154" s="386"/>
      <c r="T154" s="386"/>
      <c r="U154" s="386"/>
      <c r="V154" s="386"/>
      <c r="W154" s="386"/>
      <c r="X154" s="386"/>
      <c r="Y154" s="386"/>
      <c r="Z154" s="386"/>
      <c r="AA154" s="386"/>
      <c r="AB154" s="386"/>
      <c r="AC154" s="386"/>
    </row>
    <row r="155">
      <c r="H155" s="386"/>
      <c r="I155" s="386"/>
      <c r="J155" s="386"/>
      <c r="K155" s="386"/>
      <c r="L155" s="386"/>
      <c r="M155" s="386"/>
      <c r="N155" s="386"/>
      <c r="O155" s="386"/>
      <c r="P155" s="386"/>
      <c r="Q155" s="386"/>
      <c r="R155" s="386"/>
      <c r="S155" s="386"/>
      <c r="T155" s="386"/>
      <c r="U155" s="386"/>
      <c r="V155" s="386"/>
      <c r="W155" s="386"/>
      <c r="X155" s="386"/>
      <c r="Y155" s="386"/>
      <c r="Z155" s="386"/>
      <c r="AA155" s="386"/>
      <c r="AB155" s="386"/>
      <c r="AC155" s="386"/>
    </row>
    <row r="156">
      <c r="H156" s="386"/>
      <c r="I156" s="386"/>
      <c r="J156" s="386"/>
      <c r="K156" s="386"/>
      <c r="L156" s="386"/>
      <c r="M156" s="386"/>
      <c r="N156" s="386"/>
      <c r="O156" s="386"/>
      <c r="P156" s="386"/>
      <c r="Q156" s="386"/>
      <c r="R156" s="386"/>
      <c r="S156" s="386"/>
      <c r="T156" s="386"/>
      <c r="U156" s="386"/>
      <c r="V156" s="386"/>
      <c r="W156" s="386"/>
      <c r="X156" s="386"/>
      <c r="Y156" s="386"/>
      <c r="Z156" s="386"/>
      <c r="AA156" s="386"/>
      <c r="AB156" s="386"/>
      <c r="AC156" s="386"/>
    </row>
    <row r="157">
      <c r="H157" s="386"/>
      <c r="I157" s="386"/>
      <c r="J157" s="386"/>
      <c r="K157" s="386"/>
      <c r="L157" s="386"/>
      <c r="M157" s="386"/>
      <c r="N157" s="386"/>
      <c r="O157" s="386"/>
      <c r="P157" s="386"/>
      <c r="Q157" s="386"/>
      <c r="R157" s="386"/>
      <c r="S157" s="386"/>
      <c r="T157" s="386"/>
      <c r="U157" s="386"/>
      <c r="V157" s="386"/>
      <c r="W157" s="386"/>
      <c r="X157" s="386"/>
      <c r="Y157" s="386"/>
      <c r="Z157" s="386"/>
      <c r="AA157" s="386"/>
      <c r="AB157" s="386"/>
      <c r="AC157" s="386"/>
    </row>
    <row r="158">
      <c r="H158" s="386"/>
      <c r="I158" s="386"/>
      <c r="J158" s="386"/>
      <c r="K158" s="386"/>
      <c r="L158" s="386"/>
      <c r="M158" s="386"/>
      <c r="N158" s="386"/>
      <c r="O158" s="386"/>
      <c r="P158" s="386"/>
      <c r="Q158" s="386"/>
      <c r="R158" s="386"/>
      <c r="S158" s="386"/>
      <c r="T158" s="386"/>
      <c r="U158" s="386"/>
      <c r="V158" s="386"/>
      <c r="W158" s="386"/>
      <c r="X158" s="386"/>
      <c r="Y158" s="386"/>
      <c r="Z158" s="386"/>
      <c r="AA158" s="386"/>
      <c r="AB158" s="386"/>
      <c r="AC158" s="386"/>
    </row>
    <row r="159">
      <c r="H159" s="386"/>
      <c r="I159" s="386"/>
      <c r="J159" s="386"/>
      <c r="K159" s="386"/>
      <c r="L159" s="386"/>
      <c r="M159" s="386"/>
      <c r="N159" s="386"/>
      <c r="O159" s="386"/>
      <c r="P159" s="386"/>
      <c r="Q159" s="386"/>
      <c r="R159" s="386"/>
      <c r="S159" s="386"/>
      <c r="T159" s="386"/>
      <c r="U159" s="386"/>
      <c r="V159" s="386"/>
      <c r="W159" s="386"/>
      <c r="X159" s="386"/>
      <c r="Y159" s="386"/>
      <c r="Z159" s="386"/>
      <c r="AA159" s="386"/>
      <c r="AB159" s="386"/>
      <c r="AC159" s="386"/>
    </row>
    <row r="160">
      <c r="H160" s="386"/>
      <c r="I160" s="386"/>
      <c r="J160" s="386"/>
      <c r="K160" s="386"/>
      <c r="L160" s="386"/>
      <c r="M160" s="386"/>
      <c r="N160" s="386"/>
      <c r="O160" s="386"/>
      <c r="P160" s="386"/>
      <c r="Q160" s="386"/>
      <c r="R160" s="386"/>
      <c r="S160" s="386"/>
      <c r="T160" s="386"/>
      <c r="U160" s="386"/>
      <c r="V160" s="386"/>
      <c r="W160" s="386"/>
      <c r="X160" s="386"/>
      <c r="Y160" s="386"/>
      <c r="Z160" s="386"/>
      <c r="AA160" s="386"/>
      <c r="AB160" s="386"/>
      <c r="AC160" s="386"/>
    </row>
    <row r="161">
      <c r="H161" s="386"/>
      <c r="I161" s="386"/>
      <c r="J161" s="386"/>
      <c r="K161" s="386"/>
      <c r="L161" s="386"/>
      <c r="M161" s="386"/>
      <c r="N161" s="386"/>
      <c r="O161" s="386"/>
      <c r="P161" s="386"/>
      <c r="Q161" s="386"/>
      <c r="R161" s="386"/>
      <c r="S161" s="386"/>
      <c r="T161" s="386"/>
      <c r="U161" s="386"/>
      <c r="V161" s="386"/>
      <c r="W161" s="386"/>
      <c r="X161" s="386"/>
      <c r="Y161" s="386"/>
      <c r="Z161" s="386"/>
      <c r="AA161" s="386"/>
      <c r="AB161" s="386"/>
      <c r="AC161" s="386"/>
    </row>
    <row r="162">
      <c r="H162" s="386"/>
      <c r="I162" s="386"/>
      <c r="J162" s="386"/>
      <c r="K162" s="386"/>
      <c r="L162" s="386"/>
      <c r="M162" s="386"/>
      <c r="N162" s="386"/>
      <c r="O162" s="386"/>
      <c r="P162" s="386"/>
      <c r="Q162" s="386"/>
      <c r="R162" s="386"/>
      <c r="S162" s="386"/>
      <c r="T162" s="386"/>
      <c r="U162" s="386"/>
      <c r="V162" s="386"/>
      <c r="W162" s="386"/>
      <c r="X162" s="386"/>
      <c r="Y162" s="386"/>
      <c r="Z162" s="386"/>
      <c r="AA162" s="386"/>
      <c r="AB162" s="386"/>
      <c r="AC162" s="386"/>
    </row>
    <row r="163">
      <c r="H163" s="386"/>
      <c r="I163" s="386"/>
      <c r="J163" s="386"/>
      <c r="K163" s="386"/>
      <c r="L163" s="386"/>
      <c r="M163" s="386"/>
      <c r="N163" s="386"/>
      <c r="O163" s="386"/>
      <c r="P163" s="386"/>
      <c r="Q163" s="386"/>
      <c r="R163" s="386"/>
      <c r="S163" s="386"/>
      <c r="T163" s="386"/>
      <c r="U163" s="386"/>
      <c r="V163" s="386"/>
      <c r="W163" s="386"/>
      <c r="X163" s="386"/>
      <c r="Y163" s="386"/>
      <c r="Z163" s="386"/>
      <c r="AA163" s="386"/>
      <c r="AB163" s="386"/>
      <c r="AC163" s="386"/>
    </row>
    <row r="164">
      <c r="H164" s="386"/>
      <c r="I164" s="386"/>
      <c r="J164" s="386"/>
      <c r="K164" s="386"/>
      <c r="L164" s="386"/>
      <c r="M164" s="386"/>
      <c r="N164" s="386"/>
      <c r="O164" s="386"/>
      <c r="P164" s="386"/>
      <c r="Q164" s="386"/>
      <c r="R164" s="386"/>
      <c r="S164" s="386"/>
      <c r="T164" s="386"/>
      <c r="U164" s="386"/>
      <c r="V164" s="386"/>
      <c r="W164" s="386"/>
      <c r="X164" s="386"/>
      <c r="Y164" s="386"/>
      <c r="Z164" s="386"/>
      <c r="AA164" s="386"/>
      <c r="AB164" s="386"/>
      <c r="AC164" s="386"/>
    </row>
    <row r="165">
      <c r="H165" s="386"/>
      <c r="I165" s="386"/>
      <c r="J165" s="386"/>
      <c r="K165" s="386"/>
      <c r="L165" s="386"/>
      <c r="M165" s="386"/>
      <c r="N165" s="386"/>
      <c r="O165" s="386"/>
      <c r="P165" s="386"/>
      <c r="Q165" s="386"/>
      <c r="R165" s="386"/>
      <c r="S165" s="386"/>
      <c r="T165" s="386"/>
      <c r="U165" s="386"/>
      <c r="V165" s="386"/>
      <c r="W165" s="386"/>
      <c r="X165" s="386"/>
      <c r="Y165" s="386"/>
      <c r="Z165" s="386"/>
      <c r="AA165" s="386"/>
      <c r="AB165" s="386"/>
      <c r="AC165" s="386"/>
    </row>
    <row r="166">
      <c r="H166" s="386"/>
      <c r="I166" s="386"/>
      <c r="J166" s="386"/>
      <c r="K166" s="386"/>
      <c r="L166" s="386"/>
      <c r="M166" s="386"/>
      <c r="N166" s="386"/>
      <c r="O166" s="386"/>
      <c r="P166" s="386"/>
      <c r="Q166" s="386"/>
      <c r="R166" s="386"/>
      <c r="S166" s="386"/>
      <c r="T166" s="386"/>
      <c r="U166" s="386"/>
      <c r="V166" s="386"/>
      <c r="W166" s="386"/>
      <c r="X166" s="386"/>
      <c r="Y166" s="386"/>
      <c r="Z166" s="386"/>
      <c r="AA166" s="386"/>
      <c r="AB166" s="386"/>
      <c r="AC166" s="386"/>
    </row>
    <row r="167">
      <c r="H167" s="386"/>
      <c r="I167" s="386"/>
      <c r="J167" s="386"/>
      <c r="K167" s="386"/>
      <c r="L167" s="386"/>
      <c r="M167" s="386"/>
      <c r="N167" s="386"/>
      <c r="O167" s="386"/>
      <c r="P167" s="386"/>
      <c r="Q167" s="386"/>
      <c r="R167" s="386"/>
      <c r="S167" s="386"/>
      <c r="T167" s="386"/>
      <c r="U167" s="386"/>
      <c r="V167" s="386"/>
      <c r="W167" s="386"/>
      <c r="X167" s="386"/>
      <c r="Y167" s="386"/>
      <c r="Z167" s="386"/>
      <c r="AA167" s="386"/>
      <c r="AB167" s="386"/>
      <c r="AC167" s="386"/>
    </row>
    <row r="168">
      <c r="H168" s="386"/>
      <c r="I168" s="386"/>
      <c r="J168" s="386"/>
      <c r="K168" s="386"/>
      <c r="L168" s="386"/>
      <c r="M168" s="386"/>
      <c r="N168" s="386"/>
      <c r="O168" s="386"/>
      <c r="P168" s="386"/>
      <c r="Q168" s="386"/>
      <c r="R168" s="386"/>
      <c r="S168" s="386"/>
      <c r="T168" s="386"/>
      <c r="U168" s="386"/>
      <c r="V168" s="386"/>
      <c r="W168" s="386"/>
      <c r="X168" s="386"/>
      <c r="Y168" s="386"/>
      <c r="Z168" s="386"/>
      <c r="AA168" s="386"/>
      <c r="AB168" s="386"/>
      <c r="AC168" s="386"/>
    </row>
    <row r="169">
      <c r="H169" s="386"/>
      <c r="I169" s="386"/>
      <c r="J169" s="386"/>
      <c r="K169" s="386"/>
      <c r="L169" s="386"/>
      <c r="M169" s="386"/>
      <c r="N169" s="386"/>
      <c r="O169" s="386"/>
      <c r="P169" s="386"/>
      <c r="Q169" s="386"/>
      <c r="R169" s="386"/>
      <c r="S169" s="386"/>
      <c r="T169" s="386"/>
      <c r="U169" s="386"/>
      <c r="V169" s="386"/>
      <c r="W169" s="386"/>
      <c r="X169" s="386"/>
      <c r="Y169" s="386"/>
      <c r="Z169" s="386"/>
      <c r="AA169" s="386"/>
      <c r="AB169" s="386"/>
      <c r="AC169" s="386"/>
    </row>
    <row r="170">
      <c r="H170" s="386"/>
      <c r="I170" s="386"/>
      <c r="J170" s="386"/>
      <c r="K170" s="386"/>
      <c r="L170" s="386"/>
      <c r="M170" s="386"/>
      <c r="N170" s="386"/>
      <c r="O170" s="386"/>
      <c r="P170" s="386"/>
      <c r="Q170" s="386"/>
      <c r="R170" s="386"/>
      <c r="S170" s="386"/>
      <c r="T170" s="386"/>
      <c r="U170" s="386"/>
      <c r="V170" s="386"/>
      <c r="W170" s="386"/>
      <c r="X170" s="386"/>
      <c r="Y170" s="386"/>
      <c r="Z170" s="386"/>
      <c r="AA170" s="386"/>
      <c r="AB170" s="386"/>
      <c r="AC170" s="386"/>
    </row>
    <row r="171">
      <c r="H171" s="386"/>
      <c r="I171" s="386"/>
      <c r="J171" s="386"/>
      <c r="K171" s="386"/>
      <c r="L171" s="386"/>
      <c r="M171" s="386"/>
      <c r="N171" s="386"/>
      <c r="O171" s="386"/>
      <c r="P171" s="386"/>
      <c r="Q171" s="386"/>
      <c r="R171" s="386"/>
      <c r="S171" s="386"/>
      <c r="T171" s="386"/>
      <c r="U171" s="386"/>
      <c r="V171" s="386"/>
      <c r="W171" s="386"/>
      <c r="X171" s="386"/>
      <c r="Y171" s="386"/>
      <c r="Z171" s="386"/>
      <c r="AA171" s="386"/>
      <c r="AB171" s="386"/>
      <c r="AC171" s="386"/>
    </row>
    <row r="172">
      <c r="H172" s="386"/>
      <c r="I172" s="386"/>
      <c r="J172" s="386"/>
      <c r="K172" s="386"/>
      <c r="L172" s="386"/>
      <c r="M172" s="386"/>
      <c r="N172" s="386"/>
      <c r="O172" s="386"/>
      <c r="P172" s="386"/>
      <c r="Q172" s="386"/>
      <c r="R172" s="386"/>
      <c r="S172" s="386"/>
      <c r="T172" s="386"/>
      <c r="U172" s="386"/>
      <c r="V172" s="386"/>
      <c r="W172" s="386"/>
      <c r="X172" s="386"/>
      <c r="Y172" s="386"/>
      <c r="Z172" s="386"/>
      <c r="AA172" s="386"/>
      <c r="AB172" s="386"/>
      <c r="AC172" s="386"/>
    </row>
    <row r="173">
      <c r="H173" s="386"/>
      <c r="I173" s="386"/>
      <c r="J173" s="386"/>
      <c r="K173" s="386"/>
      <c r="L173" s="386"/>
      <c r="M173" s="386"/>
      <c r="N173" s="386"/>
      <c r="O173" s="386"/>
      <c r="P173" s="386"/>
      <c r="Q173" s="386"/>
      <c r="R173" s="386"/>
      <c r="S173" s="386"/>
      <c r="T173" s="386"/>
      <c r="U173" s="386"/>
      <c r="V173" s="386"/>
      <c r="W173" s="386"/>
      <c r="X173" s="386"/>
      <c r="Y173" s="386"/>
      <c r="Z173" s="386"/>
      <c r="AA173" s="386"/>
      <c r="AB173" s="386"/>
      <c r="AC173" s="386"/>
    </row>
    <row r="174">
      <c r="H174" s="386"/>
      <c r="I174" s="386"/>
      <c r="J174" s="386"/>
      <c r="K174" s="386"/>
      <c r="L174" s="386"/>
      <c r="M174" s="386"/>
      <c r="N174" s="386"/>
      <c r="O174" s="386"/>
      <c r="P174" s="386"/>
      <c r="Q174" s="386"/>
      <c r="R174" s="386"/>
      <c r="S174" s="386"/>
      <c r="T174" s="386"/>
      <c r="U174" s="386"/>
      <c r="V174" s="386"/>
      <c r="W174" s="386"/>
      <c r="X174" s="386"/>
      <c r="Y174" s="386"/>
      <c r="Z174" s="386"/>
      <c r="AA174" s="386"/>
      <c r="AB174" s="386"/>
      <c r="AC174" s="386"/>
    </row>
    <row r="175">
      <c r="H175" s="386"/>
      <c r="I175" s="386"/>
      <c r="J175" s="386"/>
      <c r="K175" s="386"/>
      <c r="L175" s="386"/>
      <c r="M175" s="386"/>
      <c r="N175" s="386"/>
      <c r="O175" s="386"/>
      <c r="P175" s="386"/>
      <c r="Q175" s="386"/>
      <c r="R175" s="386"/>
      <c r="S175" s="386"/>
      <c r="T175" s="386"/>
      <c r="U175" s="386"/>
      <c r="V175" s="386"/>
      <c r="W175" s="386"/>
      <c r="X175" s="386"/>
      <c r="Y175" s="386"/>
      <c r="Z175" s="386"/>
      <c r="AA175" s="386"/>
      <c r="AB175" s="386"/>
      <c r="AC175" s="386"/>
    </row>
    <row r="176">
      <c r="H176" s="386"/>
      <c r="I176" s="386"/>
      <c r="J176" s="386"/>
      <c r="K176" s="386"/>
      <c r="L176" s="386"/>
      <c r="M176" s="386"/>
      <c r="N176" s="386"/>
      <c r="O176" s="386"/>
      <c r="P176" s="386"/>
      <c r="Q176" s="386"/>
      <c r="R176" s="386"/>
      <c r="S176" s="386"/>
      <c r="T176" s="386"/>
      <c r="U176" s="386"/>
      <c r="V176" s="386"/>
      <c r="W176" s="386"/>
      <c r="X176" s="386"/>
      <c r="Y176" s="386"/>
      <c r="Z176" s="386"/>
      <c r="AA176" s="386"/>
      <c r="AB176" s="386"/>
      <c r="AC176" s="386"/>
    </row>
    <row r="177">
      <c r="H177" s="386"/>
      <c r="I177" s="386"/>
      <c r="J177" s="386"/>
      <c r="K177" s="386"/>
      <c r="L177" s="386"/>
      <c r="M177" s="386"/>
      <c r="N177" s="386"/>
      <c r="O177" s="386"/>
      <c r="P177" s="386"/>
      <c r="Q177" s="386"/>
      <c r="R177" s="386"/>
      <c r="S177" s="386"/>
      <c r="T177" s="386"/>
      <c r="U177" s="386"/>
      <c r="V177" s="386"/>
      <c r="W177" s="386"/>
      <c r="X177" s="386"/>
      <c r="Y177" s="386"/>
      <c r="Z177" s="386"/>
      <c r="AA177" s="386"/>
      <c r="AB177" s="386"/>
      <c r="AC177" s="386"/>
    </row>
    <row r="178">
      <c r="H178" s="386"/>
      <c r="I178" s="386"/>
      <c r="J178" s="386"/>
      <c r="K178" s="386"/>
      <c r="L178" s="386"/>
      <c r="M178" s="386"/>
      <c r="N178" s="386"/>
      <c r="O178" s="386"/>
      <c r="P178" s="386"/>
      <c r="Q178" s="386"/>
      <c r="R178" s="386"/>
      <c r="S178" s="386"/>
      <c r="T178" s="386"/>
      <c r="U178" s="386"/>
      <c r="V178" s="386"/>
      <c r="W178" s="386"/>
      <c r="X178" s="386"/>
      <c r="Y178" s="386"/>
      <c r="Z178" s="386"/>
      <c r="AA178" s="386"/>
      <c r="AB178" s="386"/>
      <c r="AC178" s="386"/>
    </row>
    <row r="179">
      <c r="H179" s="386"/>
      <c r="I179" s="386"/>
      <c r="J179" s="386"/>
      <c r="K179" s="386"/>
      <c r="L179" s="386"/>
      <c r="M179" s="386"/>
      <c r="N179" s="386"/>
      <c r="O179" s="386"/>
      <c r="P179" s="386"/>
      <c r="Q179" s="386"/>
      <c r="R179" s="386"/>
      <c r="S179" s="386"/>
      <c r="T179" s="386"/>
      <c r="U179" s="386"/>
      <c r="V179" s="386"/>
      <c r="W179" s="386"/>
      <c r="X179" s="386"/>
      <c r="Y179" s="386"/>
      <c r="Z179" s="386"/>
      <c r="AA179" s="386"/>
      <c r="AB179" s="386"/>
      <c r="AC179" s="386"/>
    </row>
    <row r="180">
      <c r="H180" s="386"/>
      <c r="I180" s="386"/>
      <c r="J180" s="386"/>
      <c r="K180" s="386"/>
      <c r="L180" s="386"/>
      <c r="M180" s="386"/>
      <c r="N180" s="386"/>
      <c r="O180" s="386"/>
      <c r="P180" s="386"/>
      <c r="Q180" s="386"/>
      <c r="R180" s="386"/>
      <c r="S180" s="386"/>
      <c r="T180" s="386"/>
      <c r="U180" s="386"/>
      <c r="V180" s="386"/>
      <c r="W180" s="386"/>
      <c r="X180" s="386"/>
      <c r="Y180" s="386"/>
      <c r="Z180" s="386"/>
      <c r="AA180" s="386"/>
      <c r="AB180" s="386"/>
      <c r="AC180" s="386"/>
    </row>
    <row r="181">
      <c r="H181" s="386"/>
      <c r="I181" s="386"/>
      <c r="J181" s="386"/>
      <c r="K181" s="386"/>
      <c r="L181" s="386"/>
      <c r="M181" s="386"/>
      <c r="N181" s="386"/>
      <c r="O181" s="386"/>
      <c r="P181" s="386"/>
      <c r="Q181" s="386"/>
      <c r="R181" s="386"/>
      <c r="S181" s="386"/>
      <c r="T181" s="386"/>
      <c r="U181" s="386"/>
      <c r="V181" s="386"/>
      <c r="W181" s="386"/>
      <c r="X181" s="386"/>
      <c r="Y181" s="386"/>
      <c r="Z181" s="386"/>
      <c r="AA181" s="386"/>
      <c r="AB181" s="386"/>
      <c r="AC181" s="386"/>
    </row>
    <row r="182">
      <c r="H182" s="386"/>
      <c r="I182" s="386"/>
      <c r="J182" s="386"/>
      <c r="K182" s="386"/>
      <c r="L182" s="386"/>
      <c r="M182" s="386"/>
      <c r="N182" s="386"/>
      <c r="O182" s="386"/>
      <c r="P182" s="386"/>
      <c r="Q182" s="386"/>
      <c r="R182" s="386"/>
      <c r="S182" s="386"/>
      <c r="T182" s="386"/>
      <c r="U182" s="386"/>
      <c r="V182" s="386"/>
      <c r="W182" s="386"/>
      <c r="X182" s="386"/>
      <c r="Y182" s="386"/>
      <c r="Z182" s="386"/>
      <c r="AA182" s="386"/>
      <c r="AB182" s="386"/>
      <c r="AC182" s="386"/>
    </row>
    <row r="183">
      <c r="H183" s="386"/>
      <c r="I183" s="386"/>
      <c r="J183" s="386"/>
      <c r="K183" s="386"/>
      <c r="L183" s="386"/>
      <c r="M183" s="386"/>
      <c r="N183" s="386"/>
      <c r="O183" s="386"/>
      <c r="P183" s="386"/>
      <c r="Q183" s="386"/>
      <c r="R183" s="386"/>
      <c r="S183" s="386"/>
      <c r="T183" s="386"/>
      <c r="U183" s="386"/>
      <c r="V183" s="386"/>
      <c r="W183" s="386"/>
      <c r="X183" s="386"/>
      <c r="Y183" s="386"/>
      <c r="Z183" s="386"/>
      <c r="AA183" s="386"/>
      <c r="AB183" s="386"/>
      <c r="AC183" s="386"/>
    </row>
    <row r="184">
      <c r="H184" s="386"/>
      <c r="I184" s="386"/>
      <c r="J184" s="386"/>
      <c r="K184" s="386"/>
      <c r="L184" s="386"/>
      <c r="M184" s="386"/>
      <c r="N184" s="386"/>
      <c r="O184" s="386"/>
      <c r="P184" s="386"/>
      <c r="Q184" s="386"/>
      <c r="R184" s="386"/>
      <c r="S184" s="386"/>
      <c r="T184" s="386"/>
      <c r="U184" s="386"/>
      <c r="V184" s="386"/>
      <c r="W184" s="386"/>
      <c r="X184" s="386"/>
      <c r="Y184" s="386"/>
      <c r="Z184" s="386"/>
      <c r="AA184" s="386"/>
      <c r="AB184" s="386"/>
      <c r="AC184" s="386"/>
    </row>
    <row r="185">
      <c r="H185" s="386"/>
      <c r="I185" s="386"/>
      <c r="J185" s="386"/>
      <c r="K185" s="386"/>
      <c r="L185" s="386"/>
      <c r="M185" s="386"/>
      <c r="N185" s="386"/>
      <c r="O185" s="386"/>
      <c r="P185" s="386"/>
      <c r="Q185" s="386"/>
      <c r="R185" s="386"/>
      <c r="S185" s="386"/>
      <c r="T185" s="386"/>
      <c r="U185" s="386"/>
      <c r="V185" s="386"/>
      <c r="W185" s="386"/>
      <c r="X185" s="386"/>
      <c r="Y185" s="386"/>
      <c r="Z185" s="386"/>
      <c r="AA185" s="386"/>
      <c r="AB185" s="386"/>
      <c r="AC185" s="386"/>
    </row>
    <row r="186">
      <c r="H186" s="386"/>
      <c r="I186" s="386"/>
      <c r="J186" s="386"/>
      <c r="K186" s="386"/>
      <c r="L186" s="386"/>
      <c r="M186" s="386"/>
      <c r="N186" s="386"/>
      <c r="O186" s="386"/>
      <c r="P186" s="386"/>
      <c r="Q186" s="386"/>
      <c r="R186" s="386"/>
      <c r="S186" s="386"/>
      <c r="T186" s="386"/>
      <c r="U186" s="386"/>
      <c r="V186" s="386"/>
      <c r="W186" s="386"/>
      <c r="X186" s="386"/>
      <c r="Y186" s="386"/>
      <c r="Z186" s="386"/>
      <c r="AA186" s="386"/>
      <c r="AB186" s="386"/>
      <c r="AC186" s="386"/>
    </row>
    <row r="187">
      <c r="H187" s="386"/>
      <c r="I187" s="386"/>
      <c r="J187" s="386"/>
      <c r="K187" s="386"/>
      <c r="L187" s="386"/>
      <c r="M187" s="386"/>
      <c r="N187" s="386"/>
      <c r="O187" s="386"/>
      <c r="P187" s="386"/>
      <c r="Q187" s="386"/>
      <c r="R187" s="386"/>
      <c r="S187" s="386"/>
      <c r="T187" s="386"/>
      <c r="U187" s="386"/>
      <c r="V187" s="386"/>
      <c r="W187" s="386"/>
      <c r="X187" s="386"/>
      <c r="Y187" s="386"/>
      <c r="Z187" s="386"/>
      <c r="AA187" s="386"/>
      <c r="AB187" s="386"/>
      <c r="AC187" s="386"/>
    </row>
    <row r="188">
      <c r="H188" s="386"/>
      <c r="I188" s="386"/>
      <c r="J188" s="386"/>
      <c r="K188" s="386"/>
      <c r="L188" s="386"/>
      <c r="M188" s="386"/>
      <c r="N188" s="386"/>
      <c r="O188" s="386"/>
      <c r="P188" s="386"/>
      <c r="Q188" s="386"/>
      <c r="R188" s="386"/>
      <c r="S188" s="386"/>
      <c r="T188" s="386"/>
      <c r="U188" s="386"/>
      <c r="V188" s="386"/>
      <c r="W188" s="386"/>
      <c r="X188" s="386"/>
      <c r="Y188" s="386"/>
      <c r="Z188" s="386"/>
      <c r="AA188" s="386"/>
      <c r="AB188" s="386"/>
      <c r="AC188" s="386"/>
    </row>
    <row r="189">
      <c r="H189" s="386"/>
      <c r="I189" s="386"/>
      <c r="J189" s="386"/>
      <c r="K189" s="386"/>
      <c r="L189" s="386"/>
      <c r="M189" s="386"/>
      <c r="N189" s="386"/>
      <c r="O189" s="386"/>
      <c r="P189" s="386"/>
      <c r="Q189" s="386"/>
      <c r="R189" s="386"/>
      <c r="S189" s="386"/>
      <c r="T189" s="386"/>
      <c r="U189" s="386"/>
      <c r="V189" s="386"/>
      <c r="W189" s="386"/>
      <c r="X189" s="386"/>
      <c r="Y189" s="386"/>
      <c r="Z189" s="386"/>
      <c r="AA189" s="386"/>
      <c r="AB189" s="386"/>
      <c r="AC189" s="386"/>
    </row>
    <row r="190">
      <c r="H190" s="386"/>
      <c r="I190" s="386"/>
      <c r="J190" s="386"/>
      <c r="K190" s="386"/>
      <c r="L190" s="386"/>
      <c r="M190" s="386"/>
      <c r="N190" s="386"/>
      <c r="O190" s="386"/>
      <c r="P190" s="386"/>
      <c r="Q190" s="386"/>
      <c r="R190" s="386"/>
      <c r="S190" s="386"/>
      <c r="T190" s="386"/>
      <c r="U190" s="386"/>
      <c r="V190" s="386"/>
      <c r="W190" s="386"/>
      <c r="X190" s="386"/>
      <c r="Y190" s="386"/>
      <c r="Z190" s="386"/>
      <c r="AA190" s="386"/>
      <c r="AB190" s="386"/>
      <c r="AC190" s="386"/>
    </row>
    <row r="191">
      <c r="H191" s="386"/>
      <c r="I191" s="386"/>
      <c r="J191" s="386"/>
      <c r="K191" s="386"/>
      <c r="L191" s="386"/>
      <c r="M191" s="386"/>
      <c r="N191" s="386"/>
      <c r="O191" s="386"/>
      <c r="P191" s="386"/>
      <c r="Q191" s="386"/>
      <c r="R191" s="386"/>
      <c r="S191" s="386"/>
      <c r="T191" s="386"/>
      <c r="U191" s="386"/>
      <c r="V191" s="386"/>
      <c r="W191" s="386"/>
      <c r="X191" s="386"/>
      <c r="Y191" s="386"/>
      <c r="Z191" s="386"/>
      <c r="AA191" s="386"/>
      <c r="AB191" s="386"/>
      <c r="AC191" s="386"/>
    </row>
    <row r="192">
      <c r="H192" s="386"/>
      <c r="I192" s="386"/>
      <c r="J192" s="386"/>
      <c r="K192" s="386"/>
      <c r="L192" s="386"/>
      <c r="M192" s="386"/>
      <c r="N192" s="386"/>
      <c r="O192" s="386"/>
      <c r="P192" s="386"/>
      <c r="Q192" s="386"/>
      <c r="R192" s="386"/>
      <c r="S192" s="386"/>
      <c r="T192" s="386"/>
      <c r="U192" s="386"/>
      <c r="V192" s="386"/>
      <c r="W192" s="386"/>
      <c r="X192" s="386"/>
      <c r="Y192" s="386"/>
      <c r="Z192" s="386"/>
      <c r="AA192" s="386"/>
      <c r="AB192" s="386"/>
      <c r="AC192" s="386"/>
    </row>
    <row r="193">
      <c r="H193" s="386"/>
      <c r="I193" s="386"/>
      <c r="J193" s="386"/>
      <c r="K193" s="386"/>
      <c r="L193" s="386"/>
      <c r="M193" s="386"/>
      <c r="N193" s="386"/>
      <c r="O193" s="386"/>
      <c r="P193" s="386"/>
      <c r="Q193" s="386"/>
      <c r="R193" s="386"/>
      <c r="S193" s="386"/>
      <c r="T193" s="386"/>
      <c r="U193" s="386"/>
      <c r="V193" s="386"/>
      <c r="W193" s="386"/>
      <c r="X193" s="386"/>
      <c r="Y193" s="386"/>
      <c r="Z193" s="386"/>
      <c r="AA193" s="386"/>
      <c r="AB193" s="386"/>
      <c r="AC193" s="386"/>
    </row>
    <row r="194">
      <c r="H194" s="386"/>
      <c r="I194" s="386"/>
      <c r="J194" s="386"/>
      <c r="K194" s="386"/>
      <c r="L194" s="386"/>
      <c r="M194" s="386"/>
      <c r="N194" s="386"/>
      <c r="O194" s="386"/>
      <c r="P194" s="386"/>
      <c r="Q194" s="386"/>
      <c r="R194" s="386"/>
      <c r="S194" s="386"/>
      <c r="T194" s="386"/>
      <c r="U194" s="386"/>
      <c r="V194" s="386"/>
      <c r="W194" s="386"/>
      <c r="X194" s="386"/>
      <c r="Y194" s="386"/>
      <c r="Z194" s="386"/>
      <c r="AA194" s="386"/>
      <c r="AB194" s="386"/>
      <c r="AC194" s="386"/>
    </row>
    <row r="195">
      <c r="H195" s="386"/>
      <c r="I195" s="386"/>
      <c r="J195" s="386"/>
      <c r="K195" s="386"/>
      <c r="L195" s="386"/>
      <c r="M195" s="386"/>
      <c r="N195" s="386"/>
      <c r="O195" s="386"/>
      <c r="P195" s="386"/>
      <c r="Q195" s="386"/>
      <c r="R195" s="386"/>
      <c r="S195" s="386"/>
      <c r="T195" s="386"/>
      <c r="U195" s="386"/>
      <c r="V195" s="386"/>
      <c r="W195" s="386"/>
      <c r="X195" s="386"/>
      <c r="Y195" s="386"/>
      <c r="Z195" s="386"/>
      <c r="AA195" s="386"/>
      <c r="AB195" s="386"/>
      <c r="AC195" s="386"/>
    </row>
    <row r="196">
      <c r="H196" s="386"/>
      <c r="I196" s="386"/>
      <c r="J196" s="386"/>
      <c r="K196" s="386"/>
      <c r="L196" s="386"/>
      <c r="M196" s="386"/>
      <c r="N196" s="386"/>
      <c r="O196" s="386"/>
      <c r="P196" s="386"/>
      <c r="Q196" s="386"/>
      <c r="R196" s="386"/>
      <c r="S196" s="386"/>
      <c r="T196" s="386"/>
      <c r="U196" s="386"/>
      <c r="V196" s="386"/>
      <c r="W196" s="386"/>
      <c r="X196" s="386"/>
      <c r="Y196" s="386"/>
      <c r="Z196" s="386"/>
      <c r="AA196" s="386"/>
      <c r="AB196" s="386"/>
      <c r="AC196" s="386"/>
    </row>
    <row r="197">
      <c r="H197" s="386"/>
      <c r="I197" s="386"/>
      <c r="J197" s="386"/>
      <c r="K197" s="386"/>
      <c r="L197" s="386"/>
      <c r="M197" s="386"/>
      <c r="N197" s="386"/>
      <c r="O197" s="386"/>
      <c r="P197" s="386"/>
      <c r="Q197" s="386"/>
      <c r="R197" s="386"/>
      <c r="S197" s="386"/>
      <c r="T197" s="386"/>
      <c r="U197" s="386"/>
      <c r="V197" s="386"/>
      <c r="W197" s="386"/>
      <c r="X197" s="386"/>
      <c r="Y197" s="386"/>
      <c r="Z197" s="386"/>
      <c r="AA197" s="386"/>
      <c r="AB197" s="386"/>
      <c r="AC197" s="386"/>
    </row>
    <row r="198">
      <c r="H198" s="386"/>
      <c r="I198" s="386"/>
      <c r="J198" s="386"/>
      <c r="K198" s="386"/>
      <c r="L198" s="386"/>
      <c r="M198" s="386"/>
      <c r="N198" s="386"/>
      <c r="O198" s="386"/>
      <c r="P198" s="386"/>
      <c r="Q198" s="386"/>
      <c r="R198" s="386"/>
      <c r="S198" s="386"/>
      <c r="T198" s="386"/>
      <c r="U198" s="386"/>
      <c r="V198" s="386"/>
      <c r="W198" s="386"/>
      <c r="X198" s="386"/>
      <c r="Y198" s="386"/>
      <c r="Z198" s="386"/>
      <c r="AA198" s="386"/>
      <c r="AB198" s="386"/>
      <c r="AC198" s="386"/>
    </row>
    <row r="199">
      <c r="H199" s="386"/>
      <c r="I199" s="386"/>
      <c r="J199" s="386"/>
      <c r="K199" s="386"/>
      <c r="L199" s="386"/>
      <c r="M199" s="386"/>
      <c r="N199" s="386"/>
      <c r="O199" s="386"/>
      <c r="P199" s="386"/>
      <c r="Q199" s="386"/>
      <c r="R199" s="386"/>
      <c r="S199" s="386"/>
      <c r="T199" s="386"/>
      <c r="U199" s="386"/>
      <c r="V199" s="386"/>
      <c r="W199" s="386"/>
      <c r="X199" s="386"/>
      <c r="Y199" s="386"/>
      <c r="Z199" s="386"/>
      <c r="AA199" s="386"/>
      <c r="AB199" s="386"/>
      <c r="AC199" s="386"/>
    </row>
    <row r="200">
      <c r="H200" s="386"/>
      <c r="I200" s="386"/>
      <c r="J200" s="386"/>
      <c r="K200" s="386"/>
      <c r="L200" s="386"/>
      <c r="M200" s="386"/>
      <c r="N200" s="386"/>
      <c r="O200" s="386"/>
      <c r="P200" s="386"/>
      <c r="Q200" s="386"/>
      <c r="R200" s="386"/>
      <c r="S200" s="386"/>
      <c r="T200" s="386"/>
      <c r="U200" s="386"/>
      <c r="V200" s="386"/>
      <c r="W200" s="386"/>
      <c r="X200" s="386"/>
      <c r="Y200" s="386"/>
      <c r="Z200" s="386"/>
      <c r="AA200" s="386"/>
      <c r="AB200" s="386"/>
      <c r="AC200" s="386"/>
    </row>
    <row r="201">
      <c r="H201" s="386"/>
      <c r="I201" s="386"/>
      <c r="J201" s="386"/>
      <c r="K201" s="386"/>
      <c r="L201" s="386"/>
      <c r="M201" s="386"/>
      <c r="N201" s="386"/>
      <c r="O201" s="386"/>
      <c r="P201" s="386"/>
      <c r="Q201" s="386"/>
      <c r="R201" s="386"/>
      <c r="S201" s="386"/>
      <c r="T201" s="386"/>
      <c r="U201" s="386"/>
      <c r="V201" s="386"/>
      <c r="W201" s="386"/>
      <c r="X201" s="386"/>
      <c r="Y201" s="386"/>
      <c r="Z201" s="386"/>
      <c r="AA201" s="386"/>
      <c r="AB201" s="386"/>
      <c r="AC201" s="386"/>
    </row>
    <row r="202">
      <c r="H202" s="386"/>
      <c r="I202" s="386"/>
      <c r="J202" s="386"/>
      <c r="K202" s="386"/>
      <c r="L202" s="386"/>
      <c r="M202" s="386"/>
      <c r="N202" s="386"/>
      <c r="O202" s="386"/>
      <c r="P202" s="386"/>
      <c r="Q202" s="386"/>
      <c r="R202" s="386"/>
      <c r="S202" s="386"/>
      <c r="T202" s="386"/>
      <c r="U202" s="386"/>
      <c r="V202" s="386"/>
      <c r="W202" s="386"/>
      <c r="X202" s="386"/>
      <c r="Y202" s="386"/>
      <c r="Z202" s="386"/>
      <c r="AA202" s="386"/>
      <c r="AB202" s="386"/>
      <c r="AC202" s="386"/>
    </row>
    <row r="203">
      <c r="H203" s="386"/>
      <c r="I203" s="386"/>
      <c r="J203" s="386"/>
      <c r="K203" s="386"/>
      <c r="L203" s="386"/>
      <c r="M203" s="386"/>
      <c r="N203" s="386"/>
      <c r="O203" s="386"/>
      <c r="P203" s="386"/>
      <c r="Q203" s="386"/>
      <c r="R203" s="386"/>
      <c r="S203" s="386"/>
      <c r="T203" s="386"/>
      <c r="U203" s="386"/>
      <c r="V203" s="386"/>
      <c r="W203" s="386"/>
      <c r="X203" s="386"/>
      <c r="Y203" s="386"/>
      <c r="Z203" s="386"/>
      <c r="AA203" s="386"/>
      <c r="AB203" s="386"/>
      <c r="AC203" s="386"/>
    </row>
    <row r="204">
      <c r="H204" s="386"/>
      <c r="I204" s="386"/>
      <c r="J204" s="386"/>
      <c r="K204" s="386"/>
      <c r="L204" s="386"/>
      <c r="M204" s="386"/>
      <c r="N204" s="386"/>
      <c r="O204" s="386"/>
      <c r="P204" s="386"/>
      <c r="Q204" s="386"/>
      <c r="R204" s="386"/>
      <c r="S204" s="386"/>
      <c r="T204" s="386"/>
      <c r="U204" s="386"/>
      <c r="V204" s="386"/>
      <c r="W204" s="386"/>
      <c r="X204" s="386"/>
      <c r="Y204" s="386"/>
      <c r="Z204" s="386"/>
      <c r="AA204" s="386"/>
      <c r="AB204" s="386"/>
      <c r="AC204" s="386"/>
    </row>
    <row r="205">
      <c r="H205" s="386"/>
      <c r="I205" s="386"/>
      <c r="J205" s="386"/>
      <c r="K205" s="386"/>
      <c r="L205" s="386"/>
      <c r="M205" s="386"/>
      <c r="N205" s="386"/>
      <c r="O205" s="386"/>
      <c r="P205" s="386"/>
      <c r="Q205" s="386"/>
      <c r="R205" s="386"/>
      <c r="S205" s="386"/>
      <c r="T205" s="386"/>
      <c r="U205" s="386"/>
      <c r="V205" s="386"/>
      <c r="W205" s="386"/>
      <c r="X205" s="386"/>
      <c r="Y205" s="386"/>
      <c r="Z205" s="386"/>
      <c r="AA205" s="386"/>
      <c r="AB205" s="386"/>
      <c r="AC205" s="386"/>
    </row>
    <row r="206">
      <c r="H206" s="386"/>
      <c r="I206" s="386"/>
      <c r="J206" s="386"/>
      <c r="K206" s="386"/>
      <c r="L206" s="386"/>
      <c r="M206" s="386"/>
      <c r="N206" s="386"/>
      <c r="O206" s="386"/>
      <c r="P206" s="386"/>
      <c r="Q206" s="386"/>
      <c r="R206" s="386"/>
      <c r="S206" s="386"/>
      <c r="T206" s="386"/>
      <c r="U206" s="386"/>
      <c r="V206" s="386"/>
      <c r="W206" s="386"/>
      <c r="X206" s="386"/>
      <c r="Y206" s="386"/>
      <c r="Z206" s="386"/>
      <c r="AA206" s="386"/>
      <c r="AB206" s="386"/>
      <c r="AC206" s="386"/>
    </row>
    <row r="207">
      <c r="H207" s="386"/>
      <c r="I207" s="386"/>
      <c r="J207" s="386"/>
      <c r="K207" s="386"/>
      <c r="L207" s="386"/>
      <c r="M207" s="386"/>
      <c r="N207" s="386"/>
      <c r="O207" s="386"/>
      <c r="P207" s="386"/>
      <c r="Q207" s="386"/>
      <c r="R207" s="386"/>
      <c r="S207" s="386"/>
      <c r="T207" s="386"/>
      <c r="U207" s="386"/>
      <c r="V207" s="386"/>
      <c r="W207" s="386"/>
      <c r="X207" s="386"/>
      <c r="Y207" s="386"/>
      <c r="Z207" s="386"/>
      <c r="AA207" s="386"/>
      <c r="AB207" s="386"/>
      <c r="AC207" s="386"/>
    </row>
    <row r="208">
      <c r="H208" s="386"/>
      <c r="I208" s="386"/>
      <c r="J208" s="386"/>
      <c r="K208" s="386"/>
      <c r="L208" s="386"/>
      <c r="M208" s="386"/>
      <c r="N208" s="386"/>
      <c r="O208" s="386"/>
      <c r="P208" s="386"/>
      <c r="Q208" s="386"/>
      <c r="R208" s="386"/>
      <c r="S208" s="386"/>
      <c r="T208" s="386"/>
      <c r="U208" s="386"/>
      <c r="V208" s="386"/>
      <c r="W208" s="386"/>
      <c r="X208" s="386"/>
      <c r="Y208" s="386"/>
      <c r="Z208" s="386"/>
      <c r="AA208" s="386"/>
      <c r="AB208" s="386"/>
      <c r="AC208" s="386"/>
    </row>
    <row r="209">
      <c r="H209" s="386"/>
      <c r="I209" s="386"/>
      <c r="J209" s="386"/>
      <c r="K209" s="386"/>
      <c r="L209" s="386"/>
      <c r="M209" s="386"/>
      <c r="N209" s="386"/>
      <c r="O209" s="386"/>
      <c r="P209" s="386"/>
      <c r="Q209" s="386"/>
      <c r="R209" s="386"/>
      <c r="S209" s="386"/>
      <c r="T209" s="386"/>
      <c r="U209" s="386"/>
      <c r="V209" s="386"/>
      <c r="W209" s="386"/>
      <c r="X209" s="386"/>
      <c r="Y209" s="386"/>
      <c r="Z209" s="386"/>
      <c r="AA209" s="386"/>
      <c r="AB209" s="386"/>
      <c r="AC209" s="386"/>
    </row>
    <row r="210">
      <c r="H210" s="386"/>
      <c r="I210" s="386"/>
      <c r="J210" s="386"/>
      <c r="K210" s="386"/>
      <c r="L210" s="386"/>
      <c r="M210" s="386"/>
      <c r="N210" s="386"/>
      <c r="O210" s="386"/>
      <c r="P210" s="386"/>
      <c r="Q210" s="386"/>
      <c r="R210" s="386"/>
      <c r="S210" s="386"/>
      <c r="T210" s="386"/>
      <c r="U210" s="386"/>
      <c r="V210" s="386"/>
      <c r="W210" s="386"/>
      <c r="X210" s="386"/>
      <c r="Y210" s="386"/>
      <c r="Z210" s="386"/>
      <c r="AA210" s="386"/>
      <c r="AB210" s="386"/>
      <c r="AC210" s="386"/>
    </row>
    <row r="211">
      <c r="H211" s="386"/>
      <c r="I211" s="386"/>
      <c r="J211" s="386"/>
      <c r="K211" s="386"/>
      <c r="L211" s="386"/>
      <c r="M211" s="386"/>
      <c r="N211" s="386"/>
      <c r="O211" s="386"/>
      <c r="P211" s="386"/>
      <c r="Q211" s="386"/>
      <c r="R211" s="386"/>
      <c r="S211" s="386"/>
      <c r="T211" s="386"/>
      <c r="U211" s="386"/>
      <c r="V211" s="386"/>
      <c r="W211" s="386"/>
      <c r="X211" s="386"/>
      <c r="Y211" s="386"/>
      <c r="Z211" s="386"/>
      <c r="AA211" s="386"/>
      <c r="AB211" s="386"/>
      <c r="AC211" s="386"/>
    </row>
    <row r="212">
      <c r="H212" s="386"/>
      <c r="I212" s="386"/>
      <c r="J212" s="386"/>
      <c r="K212" s="386"/>
      <c r="L212" s="386"/>
      <c r="M212" s="386"/>
      <c r="N212" s="386"/>
      <c r="O212" s="386"/>
      <c r="P212" s="386"/>
      <c r="Q212" s="386"/>
      <c r="R212" s="386"/>
      <c r="S212" s="386"/>
      <c r="T212" s="386"/>
      <c r="U212" s="386"/>
      <c r="V212" s="386"/>
      <c r="W212" s="386"/>
      <c r="X212" s="386"/>
      <c r="Y212" s="386"/>
      <c r="Z212" s="386"/>
      <c r="AA212" s="386"/>
      <c r="AB212" s="386"/>
      <c r="AC212" s="386"/>
    </row>
    <row r="213">
      <c r="H213" s="386"/>
      <c r="I213" s="386"/>
      <c r="J213" s="386"/>
      <c r="K213" s="386"/>
      <c r="L213" s="386"/>
      <c r="M213" s="386"/>
      <c r="N213" s="386"/>
      <c r="O213" s="386"/>
      <c r="P213" s="386"/>
      <c r="Q213" s="386"/>
      <c r="R213" s="386"/>
      <c r="S213" s="386"/>
      <c r="T213" s="386"/>
      <c r="U213" s="386"/>
      <c r="V213" s="386"/>
      <c r="W213" s="386"/>
      <c r="X213" s="386"/>
      <c r="Y213" s="386"/>
      <c r="Z213" s="386"/>
      <c r="AA213" s="386"/>
      <c r="AB213" s="386"/>
      <c r="AC213" s="386"/>
    </row>
    <row r="214">
      <c r="H214" s="386"/>
      <c r="I214" s="386"/>
      <c r="J214" s="386"/>
      <c r="K214" s="386"/>
      <c r="L214" s="386"/>
      <c r="M214" s="386"/>
      <c r="N214" s="386"/>
      <c r="O214" s="386"/>
      <c r="P214" s="386"/>
      <c r="Q214" s="386"/>
      <c r="R214" s="386"/>
      <c r="S214" s="386"/>
      <c r="T214" s="386"/>
      <c r="U214" s="386"/>
      <c r="V214" s="386"/>
      <c r="W214" s="386"/>
      <c r="X214" s="386"/>
      <c r="Y214" s="386"/>
      <c r="Z214" s="386"/>
      <c r="AA214" s="386"/>
      <c r="AB214" s="386"/>
      <c r="AC214" s="386"/>
    </row>
    <row r="215">
      <c r="H215" s="386"/>
      <c r="I215" s="386"/>
      <c r="J215" s="386"/>
      <c r="K215" s="386"/>
      <c r="L215" s="386"/>
      <c r="M215" s="386"/>
      <c r="N215" s="386"/>
      <c r="O215" s="386"/>
      <c r="P215" s="386"/>
      <c r="Q215" s="386"/>
      <c r="R215" s="386"/>
      <c r="S215" s="386"/>
      <c r="T215" s="386"/>
      <c r="U215" s="386"/>
      <c r="V215" s="386"/>
      <c r="W215" s="386"/>
      <c r="X215" s="386"/>
      <c r="Y215" s="386"/>
      <c r="Z215" s="386"/>
      <c r="AA215" s="386"/>
      <c r="AB215" s="386"/>
      <c r="AC215" s="386"/>
    </row>
    <row r="216">
      <c r="H216" s="386"/>
      <c r="I216" s="386"/>
      <c r="J216" s="386"/>
      <c r="K216" s="386"/>
      <c r="L216" s="386"/>
      <c r="M216" s="386"/>
      <c r="N216" s="386"/>
      <c r="O216" s="386"/>
      <c r="P216" s="386"/>
      <c r="Q216" s="386"/>
      <c r="R216" s="386"/>
      <c r="S216" s="386"/>
      <c r="T216" s="386"/>
      <c r="U216" s="386"/>
      <c r="V216" s="386"/>
      <c r="W216" s="386"/>
      <c r="X216" s="386"/>
      <c r="Y216" s="386"/>
      <c r="Z216" s="386"/>
      <c r="AA216" s="386"/>
      <c r="AB216" s="386"/>
      <c r="AC216" s="386"/>
    </row>
    <row r="217">
      <c r="H217" s="386"/>
      <c r="I217" s="386"/>
      <c r="J217" s="386"/>
      <c r="K217" s="386"/>
      <c r="L217" s="386"/>
      <c r="M217" s="386"/>
      <c r="N217" s="386"/>
      <c r="O217" s="386"/>
      <c r="P217" s="386"/>
      <c r="Q217" s="386"/>
      <c r="R217" s="386"/>
      <c r="S217" s="386"/>
      <c r="T217" s="386"/>
      <c r="U217" s="386"/>
      <c r="V217" s="386"/>
      <c r="W217" s="386"/>
      <c r="X217" s="386"/>
      <c r="Y217" s="386"/>
      <c r="Z217" s="386"/>
      <c r="AA217" s="386"/>
      <c r="AB217" s="386"/>
      <c r="AC217" s="386"/>
    </row>
    <row r="218">
      <c r="H218" s="386"/>
      <c r="I218" s="386"/>
      <c r="J218" s="386"/>
      <c r="K218" s="386"/>
      <c r="L218" s="386"/>
      <c r="M218" s="386"/>
      <c r="N218" s="386"/>
      <c r="O218" s="386"/>
      <c r="P218" s="386"/>
      <c r="Q218" s="386"/>
      <c r="R218" s="386"/>
      <c r="S218" s="386"/>
      <c r="T218" s="386"/>
      <c r="U218" s="386"/>
      <c r="V218" s="386"/>
      <c r="W218" s="386"/>
      <c r="X218" s="386"/>
      <c r="Y218" s="386"/>
      <c r="Z218" s="386"/>
      <c r="AA218" s="386"/>
      <c r="AB218" s="386"/>
      <c r="AC218" s="386"/>
    </row>
    <row r="219">
      <c r="H219" s="386"/>
      <c r="I219" s="386"/>
      <c r="J219" s="386"/>
      <c r="K219" s="386"/>
      <c r="L219" s="386"/>
      <c r="M219" s="386"/>
      <c r="N219" s="386"/>
      <c r="O219" s="386"/>
      <c r="P219" s="386"/>
      <c r="Q219" s="386"/>
      <c r="R219" s="386"/>
      <c r="S219" s="386"/>
      <c r="T219" s="386"/>
      <c r="U219" s="386"/>
      <c r="V219" s="386"/>
      <c r="W219" s="386"/>
      <c r="X219" s="386"/>
      <c r="Y219" s="386"/>
      <c r="Z219" s="386"/>
      <c r="AA219" s="386"/>
      <c r="AB219" s="386"/>
      <c r="AC219" s="386"/>
    </row>
    <row r="220">
      <c r="H220" s="386"/>
      <c r="I220" s="386"/>
      <c r="J220" s="386"/>
      <c r="K220" s="386"/>
      <c r="L220" s="386"/>
      <c r="M220" s="386"/>
      <c r="N220" s="386"/>
      <c r="O220" s="386"/>
      <c r="P220" s="386"/>
      <c r="Q220" s="386"/>
      <c r="R220" s="386"/>
      <c r="S220" s="386"/>
      <c r="T220" s="386"/>
      <c r="U220" s="386"/>
      <c r="V220" s="386"/>
      <c r="W220" s="386"/>
      <c r="X220" s="386"/>
      <c r="Y220" s="386"/>
      <c r="Z220" s="386"/>
      <c r="AA220" s="386"/>
      <c r="AB220" s="386"/>
      <c r="AC220" s="386"/>
    </row>
    <row r="221">
      <c r="H221" s="386"/>
      <c r="I221" s="386"/>
      <c r="J221" s="386"/>
      <c r="K221" s="386"/>
      <c r="L221" s="386"/>
      <c r="M221" s="386"/>
      <c r="N221" s="386"/>
      <c r="O221" s="386"/>
      <c r="P221" s="386"/>
      <c r="Q221" s="386"/>
      <c r="R221" s="386"/>
      <c r="S221" s="386"/>
      <c r="T221" s="386"/>
      <c r="U221" s="386"/>
      <c r="V221" s="386"/>
      <c r="W221" s="386"/>
      <c r="X221" s="386"/>
      <c r="Y221" s="386"/>
      <c r="Z221" s="386"/>
      <c r="AA221" s="386"/>
      <c r="AB221" s="386"/>
      <c r="AC221" s="386"/>
    </row>
    <row r="222">
      <c r="H222" s="386"/>
      <c r="I222" s="386"/>
      <c r="J222" s="386"/>
      <c r="K222" s="386"/>
      <c r="L222" s="386"/>
      <c r="M222" s="386"/>
      <c r="N222" s="386"/>
      <c r="O222" s="386"/>
      <c r="P222" s="386"/>
      <c r="Q222" s="386"/>
      <c r="R222" s="386"/>
      <c r="S222" s="386"/>
      <c r="T222" s="386"/>
      <c r="U222" s="386"/>
      <c r="V222" s="386"/>
      <c r="W222" s="386"/>
      <c r="X222" s="386"/>
      <c r="Y222" s="386"/>
      <c r="Z222" s="386"/>
      <c r="AA222" s="386"/>
      <c r="AB222" s="386"/>
      <c r="AC222" s="386"/>
    </row>
    <row r="223">
      <c r="H223" s="386"/>
      <c r="I223" s="386"/>
      <c r="J223" s="386"/>
      <c r="K223" s="386"/>
      <c r="L223" s="386"/>
      <c r="M223" s="386"/>
      <c r="N223" s="386"/>
      <c r="O223" s="386"/>
      <c r="P223" s="386"/>
      <c r="Q223" s="386"/>
      <c r="R223" s="386"/>
      <c r="S223" s="386"/>
      <c r="T223" s="386"/>
      <c r="U223" s="386"/>
      <c r="V223" s="386"/>
      <c r="W223" s="386"/>
      <c r="X223" s="386"/>
      <c r="Y223" s="386"/>
      <c r="Z223" s="386"/>
      <c r="AA223" s="386"/>
      <c r="AB223" s="386"/>
      <c r="AC223" s="386"/>
    </row>
    <row r="224">
      <c r="H224" s="386"/>
      <c r="I224" s="386"/>
      <c r="J224" s="386"/>
      <c r="K224" s="386"/>
      <c r="L224" s="386"/>
      <c r="M224" s="386"/>
      <c r="N224" s="386"/>
      <c r="O224" s="386"/>
      <c r="P224" s="386"/>
      <c r="Q224" s="386"/>
      <c r="R224" s="386"/>
      <c r="S224" s="386"/>
      <c r="T224" s="386"/>
      <c r="U224" s="386"/>
      <c r="V224" s="386"/>
      <c r="W224" s="386"/>
      <c r="X224" s="386"/>
      <c r="Y224" s="386"/>
      <c r="Z224" s="386"/>
      <c r="AA224" s="386"/>
      <c r="AB224" s="386"/>
      <c r="AC224" s="386"/>
    </row>
    <row r="225">
      <c r="H225" s="386"/>
      <c r="I225" s="386"/>
      <c r="J225" s="386"/>
      <c r="K225" s="386"/>
      <c r="L225" s="386"/>
      <c r="M225" s="386"/>
      <c r="N225" s="386"/>
      <c r="O225" s="386"/>
      <c r="P225" s="386"/>
      <c r="Q225" s="386"/>
      <c r="R225" s="386"/>
      <c r="S225" s="386"/>
      <c r="T225" s="386"/>
      <c r="U225" s="386"/>
      <c r="V225" s="386"/>
      <c r="W225" s="386"/>
      <c r="X225" s="386"/>
      <c r="Y225" s="386"/>
      <c r="Z225" s="386"/>
      <c r="AA225" s="386"/>
      <c r="AB225" s="386"/>
      <c r="AC225" s="386"/>
    </row>
    <row r="226">
      <c r="H226" s="386"/>
      <c r="I226" s="386"/>
      <c r="J226" s="386"/>
      <c r="K226" s="386"/>
      <c r="L226" s="386"/>
      <c r="M226" s="386"/>
      <c r="N226" s="386"/>
      <c r="O226" s="386"/>
      <c r="P226" s="386"/>
      <c r="Q226" s="386"/>
      <c r="R226" s="386"/>
      <c r="S226" s="386"/>
      <c r="T226" s="386"/>
      <c r="U226" s="386"/>
      <c r="V226" s="386"/>
      <c r="W226" s="386"/>
      <c r="X226" s="386"/>
      <c r="Y226" s="386"/>
      <c r="Z226" s="386"/>
      <c r="AA226" s="386"/>
      <c r="AB226" s="386"/>
      <c r="AC226" s="386"/>
    </row>
    <row r="227">
      <c r="H227" s="386"/>
      <c r="I227" s="386"/>
      <c r="J227" s="386"/>
      <c r="K227" s="386"/>
      <c r="L227" s="386"/>
      <c r="M227" s="386"/>
      <c r="N227" s="386"/>
      <c r="O227" s="386"/>
      <c r="P227" s="386"/>
      <c r="Q227" s="386"/>
      <c r="R227" s="386"/>
      <c r="S227" s="386"/>
      <c r="T227" s="386"/>
      <c r="U227" s="386"/>
      <c r="V227" s="386"/>
      <c r="W227" s="386"/>
      <c r="X227" s="386"/>
      <c r="Y227" s="386"/>
      <c r="Z227" s="386"/>
      <c r="AA227" s="386"/>
      <c r="AB227" s="386"/>
      <c r="AC227" s="386"/>
    </row>
    <row r="228">
      <c r="H228" s="386"/>
      <c r="I228" s="386"/>
      <c r="J228" s="386"/>
      <c r="K228" s="386"/>
      <c r="L228" s="386"/>
      <c r="M228" s="386"/>
      <c r="N228" s="386"/>
      <c r="O228" s="386"/>
      <c r="P228" s="386"/>
      <c r="Q228" s="386"/>
      <c r="R228" s="386"/>
      <c r="S228" s="386"/>
      <c r="T228" s="386"/>
      <c r="U228" s="386"/>
      <c r="V228" s="386"/>
      <c r="W228" s="386"/>
      <c r="X228" s="386"/>
      <c r="Y228" s="386"/>
      <c r="Z228" s="386"/>
      <c r="AA228" s="386"/>
      <c r="AB228" s="386"/>
      <c r="AC228" s="386"/>
    </row>
    <row r="229">
      <c r="H229" s="386"/>
      <c r="I229" s="386"/>
      <c r="J229" s="386"/>
      <c r="K229" s="386"/>
      <c r="L229" s="386"/>
      <c r="M229" s="386"/>
      <c r="N229" s="386"/>
      <c r="O229" s="386"/>
      <c r="P229" s="386"/>
      <c r="Q229" s="386"/>
      <c r="R229" s="386"/>
      <c r="S229" s="386"/>
      <c r="T229" s="386"/>
      <c r="U229" s="386"/>
      <c r="V229" s="386"/>
      <c r="W229" s="386"/>
      <c r="X229" s="386"/>
      <c r="Y229" s="386"/>
      <c r="Z229" s="386"/>
      <c r="AA229" s="386"/>
      <c r="AB229" s="386"/>
      <c r="AC229" s="386"/>
    </row>
    <row r="230">
      <c r="H230" s="386"/>
      <c r="I230" s="386"/>
      <c r="J230" s="386"/>
      <c r="K230" s="386"/>
      <c r="L230" s="386"/>
      <c r="M230" s="386"/>
      <c r="N230" s="386"/>
      <c r="O230" s="386"/>
      <c r="P230" s="386"/>
      <c r="Q230" s="386"/>
      <c r="R230" s="386"/>
      <c r="S230" s="386"/>
      <c r="T230" s="386"/>
      <c r="U230" s="386"/>
      <c r="V230" s="386"/>
      <c r="W230" s="386"/>
      <c r="X230" s="386"/>
      <c r="Y230" s="386"/>
      <c r="Z230" s="386"/>
      <c r="AA230" s="386"/>
      <c r="AB230" s="386"/>
      <c r="AC230" s="386"/>
    </row>
    <row r="231">
      <c r="H231" s="386"/>
      <c r="I231" s="386"/>
      <c r="J231" s="386"/>
      <c r="K231" s="386"/>
      <c r="L231" s="386"/>
      <c r="M231" s="386"/>
      <c r="N231" s="386"/>
      <c r="O231" s="386"/>
      <c r="P231" s="386"/>
      <c r="Q231" s="386"/>
      <c r="R231" s="386"/>
      <c r="S231" s="386"/>
      <c r="T231" s="386"/>
      <c r="U231" s="386"/>
      <c r="V231" s="386"/>
      <c r="W231" s="386"/>
      <c r="X231" s="386"/>
      <c r="Y231" s="386"/>
      <c r="Z231" s="386"/>
      <c r="AA231" s="386"/>
      <c r="AB231" s="386"/>
      <c r="AC231" s="386"/>
    </row>
    <row r="232">
      <c r="H232" s="386"/>
      <c r="I232" s="386"/>
      <c r="J232" s="386"/>
      <c r="K232" s="386"/>
      <c r="L232" s="386"/>
      <c r="M232" s="386"/>
      <c r="N232" s="386"/>
      <c r="O232" s="386"/>
      <c r="P232" s="386"/>
      <c r="Q232" s="386"/>
      <c r="R232" s="386"/>
      <c r="S232" s="386"/>
      <c r="T232" s="386"/>
      <c r="U232" s="386"/>
      <c r="V232" s="386"/>
      <c r="W232" s="386"/>
      <c r="X232" s="386"/>
      <c r="Y232" s="386"/>
      <c r="Z232" s="386"/>
      <c r="AA232" s="386"/>
      <c r="AB232" s="386"/>
      <c r="AC232" s="386"/>
    </row>
    <row r="233">
      <c r="H233" s="386"/>
      <c r="I233" s="386"/>
      <c r="J233" s="386"/>
      <c r="K233" s="386"/>
      <c r="L233" s="386"/>
      <c r="M233" s="386"/>
      <c r="N233" s="386"/>
      <c r="O233" s="386"/>
      <c r="P233" s="386"/>
      <c r="Q233" s="386"/>
      <c r="R233" s="386"/>
      <c r="S233" s="386"/>
      <c r="T233" s="386"/>
      <c r="U233" s="386"/>
      <c r="V233" s="386"/>
      <c r="W233" s="386"/>
      <c r="X233" s="386"/>
      <c r="Y233" s="386"/>
      <c r="Z233" s="386"/>
      <c r="AA233" s="386"/>
      <c r="AB233" s="386"/>
      <c r="AC233" s="386"/>
    </row>
    <row r="234">
      <c r="H234" s="386"/>
      <c r="I234" s="386"/>
      <c r="J234" s="386"/>
      <c r="K234" s="386"/>
      <c r="L234" s="386"/>
      <c r="M234" s="386"/>
      <c r="N234" s="386"/>
      <c r="O234" s="386"/>
      <c r="P234" s="386"/>
      <c r="Q234" s="386"/>
      <c r="R234" s="386"/>
      <c r="S234" s="386"/>
      <c r="T234" s="386"/>
      <c r="U234" s="386"/>
      <c r="V234" s="386"/>
      <c r="W234" s="386"/>
      <c r="X234" s="386"/>
      <c r="Y234" s="386"/>
      <c r="Z234" s="386"/>
      <c r="AA234" s="386"/>
      <c r="AB234" s="386"/>
      <c r="AC234" s="386"/>
    </row>
    <row r="235">
      <c r="H235" s="386"/>
      <c r="I235" s="386"/>
      <c r="J235" s="386"/>
      <c r="K235" s="386"/>
      <c r="L235" s="386"/>
      <c r="M235" s="386"/>
      <c r="N235" s="386"/>
      <c r="O235" s="386"/>
      <c r="P235" s="386"/>
      <c r="Q235" s="386"/>
      <c r="R235" s="386"/>
      <c r="S235" s="386"/>
      <c r="T235" s="386"/>
      <c r="U235" s="386"/>
      <c r="V235" s="386"/>
      <c r="W235" s="386"/>
      <c r="X235" s="386"/>
      <c r="Y235" s="386"/>
      <c r="Z235" s="386"/>
      <c r="AA235" s="386"/>
      <c r="AB235" s="386"/>
      <c r="AC235" s="386"/>
    </row>
    <row r="236">
      <c r="H236" s="386"/>
      <c r="I236" s="386"/>
      <c r="J236" s="386"/>
      <c r="K236" s="386"/>
      <c r="L236" s="386"/>
      <c r="M236" s="386"/>
      <c r="N236" s="386"/>
      <c r="O236" s="386"/>
      <c r="P236" s="386"/>
      <c r="Q236" s="386"/>
      <c r="R236" s="386"/>
      <c r="S236" s="386"/>
      <c r="T236" s="386"/>
      <c r="U236" s="386"/>
      <c r="V236" s="386"/>
      <c r="W236" s="386"/>
      <c r="X236" s="386"/>
      <c r="Y236" s="386"/>
      <c r="Z236" s="386"/>
      <c r="AA236" s="386"/>
      <c r="AB236" s="386"/>
      <c r="AC236" s="386"/>
    </row>
    <row r="237">
      <c r="H237" s="386"/>
      <c r="I237" s="386"/>
      <c r="J237" s="386"/>
      <c r="K237" s="386"/>
      <c r="L237" s="386"/>
      <c r="M237" s="386"/>
      <c r="N237" s="386"/>
      <c r="O237" s="386"/>
      <c r="P237" s="386"/>
      <c r="Q237" s="386"/>
      <c r="R237" s="386"/>
      <c r="S237" s="386"/>
      <c r="T237" s="386"/>
      <c r="U237" s="386"/>
      <c r="V237" s="386"/>
      <c r="W237" s="386"/>
      <c r="X237" s="386"/>
      <c r="Y237" s="386"/>
      <c r="Z237" s="386"/>
      <c r="AA237" s="386"/>
      <c r="AB237" s="386"/>
      <c r="AC237" s="386"/>
    </row>
    <row r="238">
      <c r="H238" s="386"/>
      <c r="I238" s="386"/>
      <c r="J238" s="386"/>
      <c r="K238" s="386"/>
      <c r="L238" s="386"/>
      <c r="M238" s="386"/>
      <c r="N238" s="386"/>
      <c r="O238" s="386"/>
      <c r="P238" s="386"/>
      <c r="Q238" s="386"/>
      <c r="R238" s="386"/>
      <c r="S238" s="386"/>
      <c r="T238" s="386"/>
      <c r="U238" s="386"/>
      <c r="V238" s="386"/>
      <c r="W238" s="386"/>
      <c r="X238" s="386"/>
      <c r="Y238" s="386"/>
      <c r="Z238" s="386"/>
      <c r="AA238" s="386"/>
      <c r="AB238" s="386"/>
      <c r="AC238" s="386"/>
    </row>
    <row r="239">
      <c r="H239" s="386"/>
      <c r="I239" s="386"/>
      <c r="J239" s="386"/>
      <c r="K239" s="386"/>
      <c r="L239" s="386"/>
      <c r="M239" s="386"/>
      <c r="N239" s="386"/>
      <c r="O239" s="386"/>
      <c r="P239" s="386"/>
      <c r="Q239" s="386"/>
      <c r="R239" s="386"/>
      <c r="S239" s="386"/>
      <c r="T239" s="386"/>
      <c r="U239" s="386"/>
      <c r="V239" s="386"/>
      <c r="W239" s="386"/>
      <c r="X239" s="386"/>
      <c r="Y239" s="386"/>
      <c r="Z239" s="386"/>
      <c r="AA239" s="386"/>
      <c r="AB239" s="386"/>
      <c r="AC239" s="386"/>
    </row>
    <row r="240">
      <c r="H240" s="386"/>
      <c r="I240" s="386"/>
      <c r="J240" s="386"/>
      <c r="K240" s="386"/>
      <c r="L240" s="386"/>
      <c r="M240" s="386"/>
      <c r="N240" s="386"/>
      <c r="O240" s="386"/>
      <c r="P240" s="386"/>
      <c r="Q240" s="386"/>
      <c r="R240" s="386"/>
      <c r="S240" s="386"/>
      <c r="T240" s="386"/>
      <c r="U240" s="386"/>
      <c r="V240" s="386"/>
      <c r="W240" s="386"/>
      <c r="X240" s="386"/>
      <c r="Y240" s="386"/>
      <c r="Z240" s="386"/>
      <c r="AA240" s="386"/>
      <c r="AB240" s="386"/>
      <c r="AC240" s="386"/>
    </row>
    <row r="241">
      <c r="H241" s="386"/>
      <c r="I241" s="386"/>
      <c r="J241" s="386"/>
      <c r="K241" s="386"/>
      <c r="L241" s="386"/>
      <c r="M241" s="386"/>
      <c r="N241" s="386"/>
      <c r="O241" s="386"/>
      <c r="P241" s="386"/>
      <c r="Q241" s="386"/>
      <c r="R241" s="386"/>
      <c r="S241" s="386"/>
      <c r="T241" s="386"/>
      <c r="U241" s="386"/>
      <c r="V241" s="386"/>
      <c r="W241" s="386"/>
      <c r="X241" s="386"/>
      <c r="Y241" s="386"/>
      <c r="Z241" s="386"/>
      <c r="AA241" s="386"/>
      <c r="AB241" s="386"/>
      <c r="AC241" s="386"/>
    </row>
    <row r="242">
      <c r="H242" s="386"/>
      <c r="I242" s="386"/>
      <c r="J242" s="386"/>
      <c r="K242" s="386"/>
      <c r="L242" s="386"/>
      <c r="M242" s="386"/>
      <c r="N242" s="386"/>
      <c r="O242" s="386"/>
      <c r="P242" s="386"/>
      <c r="Q242" s="386"/>
      <c r="R242" s="386"/>
      <c r="S242" s="386"/>
      <c r="T242" s="386"/>
      <c r="U242" s="386"/>
      <c r="V242" s="386"/>
      <c r="W242" s="386"/>
      <c r="X242" s="386"/>
      <c r="Y242" s="386"/>
      <c r="Z242" s="386"/>
      <c r="AA242" s="386"/>
      <c r="AB242" s="386"/>
      <c r="AC242" s="386"/>
    </row>
    <row r="243">
      <c r="H243" s="386"/>
      <c r="I243" s="386"/>
      <c r="J243" s="386"/>
      <c r="K243" s="386"/>
      <c r="L243" s="386"/>
      <c r="M243" s="386"/>
      <c r="N243" s="386"/>
      <c r="O243" s="386"/>
      <c r="P243" s="386"/>
      <c r="Q243" s="386"/>
      <c r="R243" s="386"/>
      <c r="S243" s="386"/>
      <c r="T243" s="386"/>
      <c r="U243" s="386"/>
      <c r="V243" s="386"/>
      <c r="W243" s="386"/>
      <c r="X243" s="386"/>
      <c r="Y243" s="386"/>
      <c r="Z243" s="386"/>
      <c r="AA243" s="386"/>
      <c r="AB243" s="386"/>
      <c r="AC243" s="386"/>
    </row>
    <row r="244">
      <c r="H244" s="386"/>
      <c r="I244" s="386"/>
      <c r="J244" s="386"/>
      <c r="K244" s="386"/>
      <c r="L244" s="386"/>
      <c r="M244" s="386"/>
      <c r="N244" s="386"/>
      <c r="O244" s="386"/>
      <c r="P244" s="386"/>
      <c r="Q244" s="386"/>
      <c r="R244" s="386"/>
      <c r="S244" s="386"/>
      <c r="T244" s="386"/>
      <c r="U244" s="386"/>
      <c r="V244" s="386"/>
      <c r="W244" s="386"/>
      <c r="X244" s="386"/>
      <c r="Y244" s="386"/>
      <c r="Z244" s="386"/>
      <c r="AA244" s="386"/>
      <c r="AB244" s="386"/>
      <c r="AC244" s="386"/>
    </row>
    <row r="245">
      <c r="H245" s="386"/>
      <c r="I245" s="386"/>
      <c r="J245" s="386"/>
      <c r="K245" s="386"/>
      <c r="L245" s="386"/>
      <c r="M245" s="386"/>
      <c r="N245" s="386"/>
      <c r="O245" s="386"/>
      <c r="P245" s="386"/>
      <c r="Q245" s="386"/>
      <c r="R245" s="386"/>
      <c r="S245" s="386"/>
      <c r="T245" s="386"/>
      <c r="U245" s="386"/>
      <c r="V245" s="386"/>
      <c r="W245" s="386"/>
      <c r="X245" s="386"/>
      <c r="Y245" s="386"/>
      <c r="Z245" s="386"/>
      <c r="AA245" s="386"/>
      <c r="AB245" s="386"/>
      <c r="AC245" s="386"/>
    </row>
    <row r="246">
      <c r="H246" s="386"/>
      <c r="I246" s="386"/>
      <c r="J246" s="386"/>
      <c r="K246" s="386"/>
      <c r="L246" s="386"/>
      <c r="M246" s="386"/>
      <c r="N246" s="386"/>
      <c r="O246" s="386"/>
      <c r="P246" s="386"/>
      <c r="Q246" s="386"/>
      <c r="R246" s="386"/>
      <c r="S246" s="386"/>
      <c r="T246" s="386"/>
      <c r="U246" s="386"/>
      <c r="V246" s="386"/>
      <c r="W246" s="386"/>
      <c r="X246" s="386"/>
      <c r="Y246" s="386"/>
      <c r="Z246" s="386"/>
      <c r="AA246" s="386"/>
      <c r="AB246" s="386"/>
      <c r="AC246" s="386"/>
    </row>
    <row r="247">
      <c r="H247" s="386"/>
      <c r="I247" s="386"/>
      <c r="J247" s="386"/>
      <c r="K247" s="386"/>
      <c r="L247" s="386"/>
      <c r="M247" s="386"/>
      <c r="N247" s="386"/>
      <c r="O247" s="386"/>
      <c r="P247" s="386"/>
      <c r="Q247" s="386"/>
      <c r="R247" s="386"/>
      <c r="S247" s="386"/>
      <c r="T247" s="386"/>
      <c r="U247" s="386"/>
      <c r="V247" s="386"/>
      <c r="W247" s="386"/>
      <c r="X247" s="386"/>
      <c r="Y247" s="386"/>
      <c r="Z247" s="386"/>
      <c r="AA247" s="386"/>
      <c r="AB247" s="386"/>
      <c r="AC247" s="386"/>
    </row>
    <row r="248">
      <c r="H248" s="386"/>
      <c r="I248" s="386"/>
      <c r="J248" s="386"/>
      <c r="K248" s="386"/>
      <c r="L248" s="386"/>
      <c r="M248" s="386"/>
      <c r="N248" s="386"/>
      <c r="O248" s="386"/>
      <c r="P248" s="386"/>
      <c r="Q248" s="386"/>
      <c r="R248" s="386"/>
      <c r="S248" s="386"/>
      <c r="T248" s="386"/>
      <c r="U248" s="386"/>
      <c r="V248" s="386"/>
      <c r="W248" s="386"/>
      <c r="X248" s="386"/>
      <c r="Y248" s="386"/>
      <c r="Z248" s="386"/>
      <c r="AA248" s="386"/>
      <c r="AB248" s="386"/>
      <c r="AC248" s="386"/>
    </row>
    <row r="249">
      <c r="H249" s="386"/>
      <c r="I249" s="386"/>
      <c r="J249" s="386"/>
      <c r="K249" s="386"/>
      <c r="L249" s="386"/>
      <c r="M249" s="386"/>
      <c r="N249" s="386"/>
      <c r="O249" s="386"/>
      <c r="P249" s="386"/>
      <c r="Q249" s="386"/>
      <c r="R249" s="386"/>
      <c r="S249" s="386"/>
      <c r="T249" s="386"/>
      <c r="U249" s="386"/>
      <c r="V249" s="386"/>
      <c r="W249" s="386"/>
      <c r="X249" s="386"/>
      <c r="Y249" s="386"/>
      <c r="Z249" s="386"/>
      <c r="AA249" s="386"/>
      <c r="AB249" s="386"/>
      <c r="AC249" s="386"/>
    </row>
    <row r="250">
      <c r="H250" s="386"/>
      <c r="I250" s="386"/>
      <c r="J250" s="386"/>
      <c r="K250" s="386"/>
      <c r="L250" s="386"/>
      <c r="M250" s="386"/>
      <c r="N250" s="386"/>
      <c r="O250" s="386"/>
      <c r="P250" s="386"/>
      <c r="Q250" s="386"/>
      <c r="R250" s="386"/>
      <c r="S250" s="386"/>
      <c r="T250" s="386"/>
      <c r="U250" s="386"/>
      <c r="V250" s="386"/>
      <c r="W250" s="386"/>
      <c r="X250" s="386"/>
      <c r="Y250" s="386"/>
      <c r="Z250" s="386"/>
      <c r="AA250" s="386"/>
      <c r="AB250" s="386"/>
      <c r="AC250" s="386"/>
    </row>
    <row r="251">
      <c r="H251" s="386"/>
      <c r="I251" s="386"/>
      <c r="J251" s="386"/>
      <c r="K251" s="386"/>
      <c r="L251" s="386"/>
      <c r="M251" s="386"/>
      <c r="N251" s="386"/>
      <c r="O251" s="386"/>
      <c r="P251" s="386"/>
      <c r="Q251" s="386"/>
      <c r="R251" s="386"/>
      <c r="S251" s="386"/>
      <c r="T251" s="386"/>
      <c r="U251" s="386"/>
      <c r="V251" s="386"/>
      <c r="W251" s="386"/>
      <c r="X251" s="386"/>
      <c r="Y251" s="386"/>
      <c r="Z251" s="386"/>
      <c r="AA251" s="386"/>
      <c r="AB251" s="386"/>
      <c r="AC251" s="386"/>
    </row>
    <row r="252">
      <c r="H252" s="386"/>
      <c r="I252" s="386"/>
      <c r="J252" s="386"/>
      <c r="K252" s="386"/>
      <c r="L252" s="386"/>
      <c r="M252" s="386"/>
      <c r="N252" s="386"/>
      <c r="O252" s="386"/>
      <c r="P252" s="386"/>
      <c r="Q252" s="386"/>
      <c r="R252" s="386"/>
      <c r="S252" s="386"/>
      <c r="T252" s="386"/>
      <c r="U252" s="386"/>
      <c r="V252" s="386"/>
      <c r="W252" s="386"/>
      <c r="X252" s="386"/>
      <c r="Y252" s="386"/>
      <c r="Z252" s="386"/>
      <c r="AA252" s="386"/>
      <c r="AB252" s="386"/>
      <c r="AC252" s="386"/>
    </row>
    <row r="253">
      <c r="H253" s="386"/>
      <c r="I253" s="386"/>
      <c r="J253" s="386"/>
      <c r="K253" s="386"/>
      <c r="L253" s="386"/>
      <c r="M253" s="386"/>
      <c r="N253" s="386"/>
      <c r="O253" s="386"/>
      <c r="P253" s="386"/>
      <c r="Q253" s="386"/>
      <c r="R253" s="386"/>
      <c r="S253" s="386"/>
      <c r="T253" s="386"/>
      <c r="U253" s="386"/>
      <c r="V253" s="386"/>
      <c r="W253" s="386"/>
      <c r="X253" s="386"/>
      <c r="Y253" s="386"/>
      <c r="Z253" s="386"/>
      <c r="AA253" s="386"/>
      <c r="AB253" s="386"/>
      <c r="AC253" s="386"/>
    </row>
    <row r="254">
      <c r="H254" s="386"/>
      <c r="I254" s="386"/>
      <c r="J254" s="386"/>
      <c r="K254" s="386"/>
      <c r="L254" s="386"/>
      <c r="M254" s="386"/>
      <c r="N254" s="386"/>
      <c r="O254" s="386"/>
      <c r="P254" s="386"/>
      <c r="Q254" s="386"/>
      <c r="R254" s="386"/>
      <c r="S254" s="386"/>
      <c r="T254" s="386"/>
      <c r="U254" s="386"/>
      <c r="V254" s="386"/>
      <c r="W254" s="386"/>
      <c r="X254" s="386"/>
      <c r="Y254" s="386"/>
      <c r="Z254" s="386"/>
      <c r="AA254" s="386"/>
      <c r="AB254" s="386"/>
      <c r="AC254" s="386"/>
    </row>
    <row r="255">
      <c r="H255" s="386"/>
      <c r="I255" s="386"/>
      <c r="J255" s="386"/>
      <c r="K255" s="386"/>
      <c r="L255" s="386"/>
      <c r="M255" s="386"/>
      <c r="N255" s="386"/>
      <c r="O255" s="386"/>
      <c r="P255" s="386"/>
      <c r="Q255" s="386"/>
      <c r="R255" s="386"/>
      <c r="S255" s="386"/>
      <c r="T255" s="386"/>
      <c r="U255" s="386"/>
      <c r="V255" s="386"/>
      <c r="W255" s="386"/>
      <c r="X255" s="386"/>
      <c r="Y255" s="386"/>
      <c r="Z255" s="386"/>
      <c r="AA255" s="386"/>
      <c r="AB255" s="386"/>
      <c r="AC255" s="386"/>
    </row>
    <row r="256">
      <c r="H256" s="386"/>
      <c r="I256" s="386"/>
      <c r="J256" s="386"/>
      <c r="K256" s="386"/>
      <c r="L256" s="386"/>
      <c r="M256" s="386"/>
      <c r="N256" s="386"/>
      <c r="O256" s="386"/>
      <c r="P256" s="386"/>
      <c r="Q256" s="386"/>
      <c r="R256" s="386"/>
      <c r="S256" s="386"/>
      <c r="T256" s="386"/>
      <c r="U256" s="386"/>
      <c r="V256" s="386"/>
      <c r="W256" s="386"/>
      <c r="X256" s="386"/>
      <c r="Y256" s="386"/>
      <c r="Z256" s="386"/>
      <c r="AA256" s="386"/>
      <c r="AB256" s="386"/>
      <c r="AC256" s="386"/>
    </row>
    <row r="257">
      <c r="H257" s="386"/>
      <c r="I257" s="386"/>
      <c r="J257" s="386"/>
      <c r="K257" s="386"/>
      <c r="L257" s="386"/>
      <c r="M257" s="386"/>
      <c r="N257" s="386"/>
      <c r="O257" s="386"/>
      <c r="P257" s="386"/>
      <c r="Q257" s="386"/>
      <c r="R257" s="386"/>
      <c r="S257" s="386"/>
      <c r="T257" s="386"/>
      <c r="U257" s="386"/>
      <c r="V257" s="386"/>
      <c r="W257" s="386"/>
      <c r="X257" s="386"/>
      <c r="Y257" s="386"/>
      <c r="Z257" s="386"/>
      <c r="AA257" s="386"/>
      <c r="AB257" s="386"/>
      <c r="AC257" s="386"/>
    </row>
    <row r="258">
      <c r="H258" s="386"/>
      <c r="I258" s="386"/>
      <c r="J258" s="386"/>
      <c r="K258" s="386"/>
      <c r="L258" s="386"/>
      <c r="M258" s="386"/>
      <c r="N258" s="386"/>
      <c r="O258" s="386"/>
      <c r="P258" s="386"/>
      <c r="Q258" s="386"/>
      <c r="R258" s="386"/>
      <c r="S258" s="386"/>
      <c r="T258" s="386"/>
      <c r="U258" s="386"/>
      <c r="V258" s="386"/>
      <c r="W258" s="386"/>
      <c r="X258" s="386"/>
      <c r="Y258" s="386"/>
      <c r="Z258" s="386"/>
      <c r="AA258" s="386"/>
      <c r="AB258" s="386"/>
      <c r="AC258" s="386"/>
    </row>
    <row r="259">
      <c r="H259" s="386"/>
      <c r="I259" s="386"/>
      <c r="J259" s="386"/>
      <c r="K259" s="386"/>
      <c r="L259" s="386"/>
      <c r="M259" s="386"/>
      <c r="N259" s="386"/>
      <c r="O259" s="386"/>
      <c r="P259" s="386"/>
      <c r="Q259" s="386"/>
      <c r="R259" s="386"/>
      <c r="S259" s="386"/>
      <c r="T259" s="386"/>
      <c r="U259" s="386"/>
      <c r="V259" s="386"/>
      <c r="W259" s="386"/>
      <c r="X259" s="386"/>
      <c r="Y259" s="386"/>
      <c r="Z259" s="386"/>
      <c r="AA259" s="386"/>
      <c r="AB259" s="386"/>
      <c r="AC259" s="386"/>
    </row>
    <row r="260">
      <c r="H260" s="386"/>
      <c r="I260" s="386"/>
      <c r="J260" s="386"/>
      <c r="K260" s="386"/>
      <c r="L260" s="386"/>
      <c r="M260" s="386"/>
      <c r="N260" s="386"/>
      <c r="O260" s="386"/>
      <c r="P260" s="386"/>
      <c r="Q260" s="386"/>
      <c r="R260" s="386"/>
      <c r="S260" s="386"/>
      <c r="T260" s="386"/>
      <c r="U260" s="386"/>
      <c r="V260" s="386"/>
      <c r="W260" s="386"/>
      <c r="X260" s="386"/>
      <c r="Y260" s="386"/>
      <c r="Z260" s="386"/>
      <c r="AA260" s="386"/>
      <c r="AB260" s="386"/>
      <c r="AC260" s="386"/>
    </row>
    <row r="261">
      <c r="H261" s="386"/>
      <c r="I261" s="386"/>
      <c r="J261" s="386"/>
      <c r="K261" s="386"/>
      <c r="L261" s="386"/>
      <c r="M261" s="386"/>
      <c r="N261" s="386"/>
      <c r="O261" s="386"/>
      <c r="P261" s="386"/>
      <c r="Q261" s="386"/>
      <c r="R261" s="386"/>
      <c r="S261" s="386"/>
      <c r="T261" s="386"/>
      <c r="U261" s="386"/>
      <c r="V261" s="386"/>
      <c r="W261" s="386"/>
      <c r="X261" s="386"/>
      <c r="Y261" s="386"/>
      <c r="Z261" s="386"/>
      <c r="AA261" s="386"/>
      <c r="AB261" s="386"/>
      <c r="AC261" s="386"/>
    </row>
    <row r="262">
      <c r="H262" s="386"/>
      <c r="I262" s="386"/>
      <c r="J262" s="386"/>
      <c r="K262" s="386"/>
      <c r="L262" s="386"/>
      <c r="M262" s="386"/>
      <c r="N262" s="386"/>
      <c r="O262" s="386"/>
      <c r="P262" s="386"/>
      <c r="Q262" s="386"/>
      <c r="R262" s="386"/>
      <c r="S262" s="386"/>
      <c r="T262" s="386"/>
      <c r="U262" s="386"/>
      <c r="V262" s="386"/>
      <c r="W262" s="386"/>
      <c r="X262" s="386"/>
      <c r="Y262" s="386"/>
      <c r="Z262" s="386"/>
      <c r="AA262" s="386"/>
      <c r="AB262" s="386"/>
      <c r="AC262" s="386"/>
    </row>
    <row r="263">
      <c r="H263" s="386"/>
      <c r="I263" s="386"/>
      <c r="J263" s="386"/>
      <c r="K263" s="386"/>
      <c r="L263" s="386"/>
      <c r="M263" s="386"/>
      <c r="N263" s="386"/>
      <c r="O263" s="386"/>
      <c r="P263" s="386"/>
      <c r="Q263" s="386"/>
      <c r="R263" s="386"/>
      <c r="S263" s="386"/>
      <c r="T263" s="386"/>
      <c r="U263" s="386"/>
      <c r="V263" s="386"/>
      <c r="W263" s="386"/>
      <c r="X263" s="386"/>
      <c r="Y263" s="386"/>
      <c r="Z263" s="386"/>
      <c r="AA263" s="386"/>
      <c r="AB263" s="386"/>
      <c r="AC263" s="386"/>
    </row>
    <row r="264">
      <c r="H264" s="386"/>
      <c r="I264" s="386"/>
      <c r="J264" s="386"/>
      <c r="K264" s="386"/>
      <c r="L264" s="386"/>
      <c r="M264" s="386"/>
      <c r="N264" s="386"/>
      <c r="O264" s="386"/>
      <c r="P264" s="386"/>
      <c r="Q264" s="386"/>
      <c r="R264" s="386"/>
      <c r="S264" s="386"/>
      <c r="T264" s="386"/>
      <c r="U264" s="386"/>
      <c r="V264" s="386"/>
      <c r="W264" s="386"/>
      <c r="X264" s="386"/>
      <c r="Y264" s="386"/>
      <c r="Z264" s="386"/>
      <c r="AA264" s="386"/>
      <c r="AB264" s="386"/>
      <c r="AC264" s="386"/>
    </row>
    <row r="265">
      <c r="H265" s="386"/>
      <c r="I265" s="386"/>
      <c r="J265" s="386"/>
      <c r="K265" s="386"/>
      <c r="L265" s="386"/>
      <c r="M265" s="386"/>
      <c r="N265" s="386"/>
      <c r="O265" s="386"/>
      <c r="P265" s="386"/>
      <c r="Q265" s="386"/>
      <c r="R265" s="386"/>
      <c r="S265" s="386"/>
      <c r="T265" s="386"/>
      <c r="U265" s="386"/>
      <c r="V265" s="386"/>
      <c r="W265" s="386"/>
      <c r="X265" s="386"/>
      <c r="Y265" s="386"/>
      <c r="Z265" s="386"/>
      <c r="AA265" s="386"/>
      <c r="AB265" s="386"/>
      <c r="AC265" s="386"/>
    </row>
    <row r="266">
      <c r="H266" s="386"/>
      <c r="I266" s="386"/>
      <c r="J266" s="386"/>
      <c r="K266" s="386"/>
      <c r="L266" s="386"/>
      <c r="M266" s="386"/>
      <c r="N266" s="386"/>
      <c r="O266" s="386"/>
      <c r="P266" s="386"/>
      <c r="Q266" s="386"/>
      <c r="R266" s="386"/>
      <c r="S266" s="386"/>
      <c r="T266" s="386"/>
      <c r="U266" s="386"/>
      <c r="V266" s="386"/>
      <c r="W266" s="386"/>
      <c r="X266" s="386"/>
      <c r="Y266" s="386"/>
      <c r="Z266" s="386"/>
      <c r="AA266" s="386"/>
      <c r="AB266" s="386"/>
      <c r="AC266" s="386"/>
    </row>
    <row r="267">
      <c r="H267" s="386"/>
      <c r="I267" s="386"/>
      <c r="J267" s="386"/>
      <c r="K267" s="386"/>
      <c r="L267" s="386"/>
      <c r="M267" s="386"/>
      <c r="N267" s="386"/>
      <c r="O267" s="386"/>
      <c r="P267" s="386"/>
      <c r="Q267" s="386"/>
      <c r="R267" s="386"/>
      <c r="S267" s="386"/>
      <c r="T267" s="386"/>
      <c r="U267" s="386"/>
      <c r="V267" s="386"/>
      <c r="W267" s="386"/>
      <c r="X267" s="386"/>
      <c r="Y267" s="386"/>
      <c r="Z267" s="386"/>
      <c r="AA267" s="386"/>
      <c r="AB267" s="386"/>
      <c r="AC267" s="386"/>
    </row>
    <row r="268">
      <c r="H268" s="386"/>
      <c r="I268" s="386"/>
      <c r="J268" s="386"/>
      <c r="K268" s="386"/>
      <c r="L268" s="386"/>
      <c r="M268" s="386"/>
      <c r="N268" s="386"/>
      <c r="O268" s="386"/>
      <c r="P268" s="386"/>
      <c r="Q268" s="386"/>
      <c r="R268" s="386"/>
      <c r="S268" s="386"/>
      <c r="T268" s="386"/>
      <c r="U268" s="386"/>
      <c r="V268" s="386"/>
      <c r="W268" s="386"/>
      <c r="X268" s="386"/>
      <c r="Y268" s="386"/>
      <c r="Z268" s="386"/>
      <c r="AA268" s="386"/>
      <c r="AB268" s="386"/>
      <c r="AC268" s="386"/>
    </row>
    <row r="269">
      <c r="H269" s="386"/>
      <c r="I269" s="386"/>
      <c r="J269" s="386"/>
      <c r="K269" s="386"/>
      <c r="L269" s="386"/>
      <c r="M269" s="386"/>
      <c r="N269" s="386"/>
      <c r="O269" s="386"/>
      <c r="P269" s="386"/>
      <c r="Q269" s="386"/>
      <c r="R269" s="386"/>
      <c r="S269" s="386"/>
      <c r="T269" s="386"/>
      <c r="U269" s="386"/>
      <c r="V269" s="386"/>
      <c r="W269" s="386"/>
      <c r="X269" s="386"/>
      <c r="Y269" s="386"/>
      <c r="Z269" s="386"/>
      <c r="AA269" s="386"/>
      <c r="AB269" s="386"/>
      <c r="AC269" s="386"/>
    </row>
    <row r="270">
      <c r="H270" s="386"/>
      <c r="I270" s="386"/>
      <c r="J270" s="386"/>
      <c r="K270" s="386"/>
      <c r="L270" s="386"/>
      <c r="M270" s="386"/>
      <c r="N270" s="386"/>
      <c r="O270" s="386"/>
      <c r="P270" s="386"/>
      <c r="Q270" s="386"/>
      <c r="R270" s="386"/>
      <c r="S270" s="386"/>
      <c r="T270" s="386"/>
      <c r="U270" s="386"/>
      <c r="V270" s="386"/>
      <c r="W270" s="386"/>
      <c r="X270" s="386"/>
      <c r="Y270" s="386"/>
      <c r="Z270" s="386"/>
      <c r="AA270" s="386"/>
      <c r="AB270" s="386"/>
      <c r="AC270" s="386"/>
    </row>
    <row r="271">
      <c r="H271" s="386"/>
      <c r="I271" s="386"/>
      <c r="J271" s="386"/>
      <c r="K271" s="386"/>
      <c r="L271" s="386"/>
      <c r="M271" s="386"/>
      <c r="N271" s="386"/>
      <c r="O271" s="386"/>
      <c r="P271" s="386"/>
      <c r="Q271" s="386"/>
      <c r="R271" s="386"/>
      <c r="S271" s="386"/>
      <c r="T271" s="386"/>
      <c r="U271" s="386"/>
      <c r="V271" s="386"/>
      <c r="W271" s="386"/>
      <c r="X271" s="386"/>
      <c r="Y271" s="386"/>
      <c r="Z271" s="386"/>
      <c r="AA271" s="386"/>
      <c r="AB271" s="386"/>
      <c r="AC271" s="386"/>
    </row>
    <row r="272">
      <c r="H272" s="386"/>
      <c r="I272" s="386"/>
      <c r="J272" s="386"/>
      <c r="K272" s="386"/>
      <c r="L272" s="386"/>
      <c r="M272" s="386"/>
      <c r="N272" s="386"/>
      <c r="O272" s="386"/>
      <c r="P272" s="386"/>
      <c r="Q272" s="386"/>
      <c r="R272" s="386"/>
      <c r="S272" s="386"/>
      <c r="T272" s="386"/>
      <c r="U272" s="386"/>
      <c r="V272" s="386"/>
      <c r="W272" s="386"/>
      <c r="X272" s="386"/>
      <c r="Y272" s="386"/>
      <c r="Z272" s="386"/>
      <c r="AA272" s="386"/>
      <c r="AB272" s="386"/>
      <c r="AC272" s="386"/>
    </row>
    <row r="273">
      <c r="H273" s="386"/>
      <c r="I273" s="386"/>
      <c r="J273" s="386"/>
      <c r="K273" s="386"/>
      <c r="L273" s="386"/>
      <c r="M273" s="386"/>
      <c r="N273" s="386"/>
      <c r="O273" s="386"/>
      <c r="P273" s="386"/>
      <c r="Q273" s="386"/>
      <c r="R273" s="386"/>
      <c r="S273" s="386"/>
      <c r="T273" s="386"/>
      <c r="U273" s="386"/>
      <c r="V273" s="386"/>
      <c r="W273" s="386"/>
      <c r="X273" s="386"/>
      <c r="Y273" s="386"/>
      <c r="Z273" s="386"/>
      <c r="AA273" s="386"/>
      <c r="AB273" s="386"/>
      <c r="AC273" s="386"/>
    </row>
    <row r="274">
      <c r="H274" s="386"/>
      <c r="I274" s="386"/>
      <c r="J274" s="386"/>
      <c r="K274" s="386"/>
      <c r="L274" s="386"/>
      <c r="M274" s="386"/>
      <c r="N274" s="386"/>
      <c r="O274" s="386"/>
      <c r="P274" s="386"/>
      <c r="Q274" s="386"/>
      <c r="R274" s="386"/>
      <c r="S274" s="386"/>
      <c r="T274" s="386"/>
      <c r="U274" s="386"/>
      <c r="V274" s="386"/>
      <c r="W274" s="386"/>
      <c r="X274" s="386"/>
      <c r="Y274" s="386"/>
      <c r="Z274" s="386"/>
      <c r="AA274" s="386"/>
      <c r="AB274" s="386"/>
      <c r="AC274" s="386"/>
    </row>
    <row r="275">
      <c r="H275" s="386"/>
      <c r="I275" s="386"/>
      <c r="J275" s="386"/>
      <c r="K275" s="386"/>
      <c r="L275" s="386"/>
      <c r="M275" s="386"/>
      <c r="N275" s="386"/>
      <c r="O275" s="386"/>
      <c r="P275" s="386"/>
      <c r="Q275" s="386"/>
      <c r="R275" s="386"/>
      <c r="S275" s="386"/>
      <c r="T275" s="386"/>
      <c r="U275" s="386"/>
      <c r="V275" s="386"/>
      <c r="W275" s="386"/>
      <c r="X275" s="386"/>
      <c r="Y275" s="386"/>
      <c r="Z275" s="386"/>
      <c r="AA275" s="386"/>
      <c r="AB275" s="386"/>
      <c r="AC275" s="386"/>
    </row>
    <row r="276">
      <c r="H276" s="386"/>
      <c r="I276" s="386"/>
      <c r="J276" s="386"/>
      <c r="K276" s="386"/>
      <c r="L276" s="386"/>
      <c r="M276" s="386"/>
      <c r="N276" s="386"/>
      <c r="O276" s="386"/>
      <c r="P276" s="386"/>
      <c r="Q276" s="386"/>
      <c r="R276" s="386"/>
      <c r="S276" s="386"/>
      <c r="T276" s="386"/>
      <c r="U276" s="386"/>
      <c r="V276" s="386"/>
      <c r="W276" s="386"/>
      <c r="X276" s="386"/>
      <c r="Y276" s="386"/>
      <c r="Z276" s="386"/>
      <c r="AA276" s="386"/>
      <c r="AB276" s="386"/>
      <c r="AC276" s="386"/>
    </row>
    <row r="277">
      <c r="H277" s="386"/>
      <c r="I277" s="386"/>
      <c r="J277" s="386"/>
      <c r="K277" s="386"/>
      <c r="L277" s="386"/>
      <c r="M277" s="386"/>
      <c r="N277" s="386"/>
      <c r="O277" s="386"/>
      <c r="P277" s="386"/>
      <c r="Q277" s="386"/>
      <c r="R277" s="386"/>
      <c r="S277" s="386"/>
      <c r="T277" s="386"/>
      <c r="U277" s="386"/>
      <c r="V277" s="386"/>
      <c r="W277" s="386"/>
      <c r="X277" s="386"/>
      <c r="Y277" s="386"/>
      <c r="Z277" s="386"/>
      <c r="AA277" s="386"/>
      <c r="AB277" s="386"/>
      <c r="AC277" s="386"/>
    </row>
    <row r="278">
      <c r="H278" s="386"/>
      <c r="I278" s="386"/>
      <c r="J278" s="386"/>
      <c r="K278" s="386"/>
      <c r="L278" s="386"/>
      <c r="M278" s="386"/>
      <c r="N278" s="386"/>
      <c r="O278" s="386"/>
      <c r="P278" s="386"/>
      <c r="Q278" s="386"/>
      <c r="R278" s="386"/>
      <c r="S278" s="386"/>
      <c r="T278" s="386"/>
      <c r="U278" s="386"/>
      <c r="V278" s="386"/>
      <c r="W278" s="386"/>
      <c r="X278" s="386"/>
      <c r="Y278" s="386"/>
      <c r="Z278" s="386"/>
      <c r="AA278" s="386"/>
      <c r="AB278" s="386"/>
      <c r="AC278" s="386"/>
    </row>
    <row r="279">
      <c r="H279" s="386"/>
      <c r="I279" s="386"/>
      <c r="J279" s="386"/>
      <c r="K279" s="386"/>
      <c r="L279" s="386"/>
      <c r="M279" s="386"/>
      <c r="N279" s="386"/>
      <c r="O279" s="386"/>
      <c r="P279" s="386"/>
      <c r="Q279" s="386"/>
      <c r="R279" s="386"/>
      <c r="S279" s="386"/>
      <c r="T279" s="386"/>
      <c r="U279" s="386"/>
      <c r="V279" s="386"/>
      <c r="W279" s="386"/>
      <c r="X279" s="386"/>
      <c r="Y279" s="386"/>
      <c r="Z279" s="386"/>
      <c r="AA279" s="386"/>
      <c r="AB279" s="386"/>
      <c r="AC279" s="386"/>
    </row>
    <row r="280">
      <c r="H280" s="386"/>
      <c r="I280" s="386"/>
      <c r="J280" s="386"/>
      <c r="K280" s="386"/>
      <c r="L280" s="386"/>
      <c r="M280" s="386"/>
      <c r="N280" s="386"/>
      <c r="O280" s="386"/>
      <c r="P280" s="386"/>
      <c r="Q280" s="386"/>
      <c r="R280" s="386"/>
      <c r="S280" s="386"/>
      <c r="T280" s="386"/>
      <c r="U280" s="386"/>
      <c r="V280" s="386"/>
      <c r="W280" s="386"/>
      <c r="X280" s="386"/>
      <c r="Y280" s="386"/>
      <c r="Z280" s="386"/>
      <c r="AA280" s="386"/>
      <c r="AB280" s="386"/>
      <c r="AC280" s="386"/>
    </row>
    <row r="281">
      <c r="H281" s="386"/>
      <c r="I281" s="386"/>
      <c r="J281" s="386"/>
      <c r="K281" s="386"/>
      <c r="L281" s="386"/>
      <c r="M281" s="386"/>
      <c r="N281" s="386"/>
      <c r="O281" s="386"/>
      <c r="P281" s="386"/>
      <c r="Q281" s="386"/>
      <c r="R281" s="386"/>
      <c r="S281" s="386"/>
      <c r="T281" s="386"/>
      <c r="U281" s="386"/>
      <c r="V281" s="386"/>
      <c r="W281" s="386"/>
      <c r="X281" s="386"/>
      <c r="Y281" s="386"/>
      <c r="Z281" s="386"/>
      <c r="AA281" s="386"/>
      <c r="AB281" s="386"/>
      <c r="AC281" s="386"/>
    </row>
    <row r="282">
      <c r="H282" s="386"/>
      <c r="I282" s="386"/>
      <c r="J282" s="386"/>
      <c r="K282" s="386"/>
      <c r="L282" s="386"/>
      <c r="M282" s="386"/>
      <c r="N282" s="386"/>
      <c r="O282" s="386"/>
      <c r="P282" s="386"/>
      <c r="Q282" s="386"/>
      <c r="R282" s="386"/>
      <c r="S282" s="386"/>
      <c r="T282" s="386"/>
      <c r="U282" s="386"/>
      <c r="V282" s="386"/>
      <c r="W282" s="386"/>
      <c r="X282" s="386"/>
      <c r="Y282" s="386"/>
      <c r="Z282" s="386"/>
      <c r="AA282" s="386"/>
      <c r="AB282" s="386"/>
      <c r="AC282" s="386"/>
    </row>
    <row r="283">
      <c r="H283" s="386"/>
      <c r="I283" s="386"/>
      <c r="J283" s="386"/>
      <c r="K283" s="386"/>
      <c r="L283" s="386"/>
      <c r="M283" s="386"/>
      <c r="N283" s="386"/>
      <c r="O283" s="386"/>
      <c r="P283" s="386"/>
      <c r="Q283" s="386"/>
      <c r="R283" s="386"/>
      <c r="S283" s="386"/>
      <c r="T283" s="386"/>
      <c r="U283" s="386"/>
      <c r="V283" s="386"/>
      <c r="W283" s="386"/>
      <c r="X283" s="386"/>
      <c r="Y283" s="386"/>
      <c r="Z283" s="386"/>
      <c r="AA283" s="386"/>
      <c r="AB283" s="386"/>
      <c r="AC283" s="386"/>
    </row>
    <row r="284">
      <c r="H284" s="386"/>
      <c r="I284" s="386"/>
      <c r="J284" s="386"/>
      <c r="K284" s="386"/>
      <c r="L284" s="386"/>
      <c r="M284" s="386"/>
      <c r="N284" s="386"/>
      <c r="O284" s="386"/>
      <c r="P284" s="386"/>
      <c r="Q284" s="386"/>
      <c r="R284" s="386"/>
      <c r="S284" s="386"/>
      <c r="T284" s="386"/>
      <c r="U284" s="386"/>
      <c r="V284" s="386"/>
      <c r="W284" s="386"/>
      <c r="X284" s="386"/>
      <c r="Y284" s="386"/>
      <c r="Z284" s="386"/>
      <c r="AA284" s="386"/>
      <c r="AB284" s="386"/>
      <c r="AC284" s="386"/>
    </row>
    <row r="285">
      <c r="H285" s="386"/>
      <c r="I285" s="386"/>
      <c r="J285" s="386"/>
      <c r="K285" s="386"/>
      <c r="L285" s="386"/>
      <c r="M285" s="386"/>
      <c r="N285" s="386"/>
      <c r="O285" s="386"/>
      <c r="P285" s="386"/>
      <c r="Q285" s="386"/>
      <c r="R285" s="386"/>
      <c r="S285" s="386"/>
      <c r="T285" s="386"/>
      <c r="U285" s="386"/>
      <c r="V285" s="386"/>
      <c r="W285" s="386"/>
      <c r="X285" s="386"/>
      <c r="Y285" s="386"/>
      <c r="Z285" s="386"/>
      <c r="AA285" s="386"/>
      <c r="AB285" s="386"/>
      <c r="AC285" s="386"/>
    </row>
    <row r="286">
      <c r="H286" s="386"/>
      <c r="I286" s="386"/>
      <c r="J286" s="386"/>
      <c r="K286" s="386"/>
      <c r="L286" s="386"/>
      <c r="M286" s="386"/>
      <c r="N286" s="386"/>
      <c r="O286" s="386"/>
      <c r="P286" s="386"/>
      <c r="Q286" s="386"/>
      <c r="R286" s="386"/>
      <c r="S286" s="386"/>
      <c r="T286" s="386"/>
      <c r="U286" s="386"/>
      <c r="V286" s="386"/>
      <c r="W286" s="386"/>
      <c r="X286" s="386"/>
      <c r="Y286" s="386"/>
      <c r="Z286" s="386"/>
      <c r="AA286" s="386"/>
      <c r="AB286" s="386"/>
      <c r="AC286" s="386"/>
    </row>
    <row r="287">
      <c r="H287" s="386"/>
      <c r="I287" s="386"/>
      <c r="J287" s="386"/>
      <c r="K287" s="386"/>
      <c r="L287" s="386"/>
      <c r="M287" s="386"/>
      <c r="N287" s="386"/>
      <c r="O287" s="386"/>
      <c r="P287" s="386"/>
      <c r="Q287" s="386"/>
      <c r="R287" s="386"/>
      <c r="S287" s="386"/>
      <c r="T287" s="386"/>
      <c r="U287" s="386"/>
      <c r="V287" s="386"/>
      <c r="W287" s="386"/>
      <c r="X287" s="386"/>
      <c r="Y287" s="386"/>
      <c r="Z287" s="386"/>
      <c r="AA287" s="386"/>
      <c r="AB287" s="386"/>
      <c r="AC287" s="386"/>
    </row>
    <row r="288">
      <c r="H288" s="386"/>
      <c r="I288" s="386"/>
      <c r="J288" s="386"/>
      <c r="K288" s="386"/>
      <c r="L288" s="386"/>
      <c r="M288" s="386"/>
      <c r="N288" s="386"/>
      <c r="O288" s="386"/>
      <c r="P288" s="386"/>
      <c r="Q288" s="386"/>
      <c r="R288" s="386"/>
      <c r="S288" s="386"/>
      <c r="T288" s="386"/>
      <c r="U288" s="386"/>
      <c r="V288" s="386"/>
      <c r="W288" s="386"/>
      <c r="X288" s="386"/>
      <c r="Y288" s="386"/>
      <c r="Z288" s="386"/>
      <c r="AA288" s="386"/>
      <c r="AB288" s="386"/>
      <c r="AC288" s="386"/>
    </row>
    <row r="289">
      <c r="H289" s="386"/>
      <c r="I289" s="386"/>
      <c r="J289" s="386"/>
      <c r="K289" s="386"/>
      <c r="L289" s="386"/>
      <c r="M289" s="386"/>
      <c r="N289" s="386"/>
      <c r="O289" s="386"/>
      <c r="P289" s="386"/>
      <c r="Q289" s="386"/>
      <c r="R289" s="386"/>
      <c r="S289" s="386"/>
      <c r="T289" s="386"/>
      <c r="U289" s="386"/>
      <c r="V289" s="386"/>
      <c r="W289" s="386"/>
      <c r="X289" s="386"/>
      <c r="Y289" s="386"/>
      <c r="Z289" s="386"/>
      <c r="AA289" s="386"/>
      <c r="AB289" s="386"/>
      <c r="AC289" s="386"/>
    </row>
    <row r="290">
      <c r="H290" s="386"/>
      <c r="I290" s="386"/>
      <c r="J290" s="386"/>
      <c r="K290" s="386"/>
      <c r="L290" s="386"/>
      <c r="M290" s="386"/>
      <c r="N290" s="386"/>
      <c r="O290" s="386"/>
      <c r="P290" s="386"/>
      <c r="Q290" s="386"/>
      <c r="R290" s="386"/>
      <c r="S290" s="386"/>
      <c r="T290" s="386"/>
      <c r="U290" s="386"/>
      <c r="V290" s="386"/>
      <c r="W290" s="386"/>
      <c r="X290" s="386"/>
      <c r="Y290" s="386"/>
      <c r="Z290" s="386"/>
      <c r="AA290" s="386"/>
      <c r="AB290" s="386"/>
      <c r="AC290" s="386"/>
    </row>
    <row r="291">
      <c r="H291" s="386"/>
      <c r="I291" s="386"/>
      <c r="J291" s="386"/>
      <c r="K291" s="386"/>
      <c r="L291" s="386"/>
      <c r="M291" s="386"/>
      <c r="N291" s="386"/>
      <c r="O291" s="386"/>
      <c r="P291" s="386"/>
      <c r="Q291" s="386"/>
      <c r="R291" s="386"/>
      <c r="S291" s="386"/>
      <c r="T291" s="386"/>
      <c r="U291" s="386"/>
      <c r="V291" s="386"/>
      <c r="W291" s="386"/>
      <c r="X291" s="386"/>
      <c r="Y291" s="386"/>
      <c r="Z291" s="386"/>
      <c r="AA291" s="386"/>
      <c r="AB291" s="386"/>
      <c r="AC291" s="386"/>
    </row>
    <row r="292">
      <c r="H292" s="386"/>
      <c r="I292" s="386"/>
      <c r="J292" s="386"/>
      <c r="K292" s="386"/>
      <c r="L292" s="386"/>
      <c r="M292" s="386"/>
      <c r="N292" s="386"/>
      <c r="O292" s="386"/>
      <c r="P292" s="386"/>
      <c r="Q292" s="386"/>
      <c r="R292" s="386"/>
      <c r="S292" s="386"/>
      <c r="T292" s="386"/>
      <c r="U292" s="386"/>
      <c r="V292" s="386"/>
      <c r="W292" s="386"/>
      <c r="X292" s="386"/>
      <c r="Y292" s="386"/>
      <c r="Z292" s="386"/>
      <c r="AA292" s="386"/>
      <c r="AB292" s="386"/>
      <c r="AC292" s="386"/>
    </row>
    <row r="293">
      <c r="H293" s="386"/>
      <c r="I293" s="386"/>
      <c r="J293" s="386"/>
      <c r="K293" s="386"/>
      <c r="L293" s="386"/>
      <c r="M293" s="386"/>
      <c r="N293" s="386"/>
      <c r="O293" s="386"/>
      <c r="P293" s="386"/>
      <c r="Q293" s="386"/>
      <c r="R293" s="386"/>
      <c r="S293" s="386"/>
      <c r="T293" s="386"/>
      <c r="U293" s="386"/>
      <c r="V293" s="386"/>
      <c r="W293" s="386"/>
      <c r="X293" s="386"/>
      <c r="Y293" s="386"/>
      <c r="Z293" s="386"/>
      <c r="AA293" s="386"/>
      <c r="AB293" s="386"/>
      <c r="AC293" s="386"/>
    </row>
    <row r="294">
      <c r="H294" s="386"/>
      <c r="I294" s="386"/>
      <c r="J294" s="386"/>
      <c r="K294" s="386"/>
      <c r="L294" s="386"/>
      <c r="M294" s="386"/>
      <c r="N294" s="386"/>
      <c r="O294" s="386"/>
      <c r="P294" s="386"/>
      <c r="Q294" s="386"/>
      <c r="R294" s="386"/>
      <c r="S294" s="386"/>
      <c r="T294" s="386"/>
      <c r="U294" s="386"/>
      <c r="V294" s="386"/>
      <c r="W294" s="386"/>
      <c r="X294" s="386"/>
      <c r="Y294" s="386"/>
      <c r="Z294" s="386"/>
      <c r="AA294" s="386"/>
      <c r="AB294" s="386"/>
      <c r="AC294" s="386"/>
    </row>
    <row r="295">
      <c r="H295" s="386"/>
      <c r="I295" s="386"/>
      <c r="J295" s="386"/>
      <c r="K295" s="386"/>
      <c r="L295" s="386"/>
      <c r="M295" s="386"/>
      <c r="N295" s="386"/>
      <c r="O295" s="386"/>
      <c r="P295" s="386"/>
      <c r="Q295" s="386"/>
      <c r="R295" s="386"/>
      <c r="S295" s="386"/>
      <c r="T295" s="386"/>
      <c r="U295" s="386"/>
      <c r="V295" s="386"/>
      <c r="W295" s="386"/>
      <c r="X295" s="386"/>
      <c r="Y295" s="386"/>
      <c r="Z295" s="386"/>
      <c r="AA295" s="386"/>
      <c r="AB295" s="386"/>
      <c r="AC295" s="386"/>
    </row>
    <row r="296">
      <c r="H296" s="386"/>
      <c r="I296" s="386"/>
      <c r="J296" s="386"/>
      <c r="K296" s="386"/>
      <c r="L296" s="386"/>
      <c r="M296" s="386"/>
      <c r="N296" s="386"/>
      <c r="O296" s="386"/>
      <c r="P296" s="386"/>
      <c r="Q296" s="386"/>
      <c r="R296" s="386"/>
      <c r="S296" s="386"/>
      <c r="T296" s="386"/>
      <c r="U296" s="386"/>
      <c r="V296" s="386"/>
      <c r="W296" s="386"/>
      <c r="X296" s="386"/>
      <c r="Y296" s="386"/>
      <c r="Z296" s="386"/>
      <c r="AA296" s="386"/>
      <c r="AB296" s="386"/>
      <c r="AC296" s="386"/>
    </row>
    <row r="297">
      <c r="H297" s="386"/>
      <c r="I297" s="386"/>
      <c r="J297" s="386"/>
      <c r="K297" s="386"/>
      <c r="L297" s="386"/>
      <c r="M297" s="386"/>
      <c r="N297" s="386"/>
      <c r="O297" s="386"/>
      <c r="P297" s="386"/>
      <c r="Q297" s="386"/>
      <c r="R297" s="386"/>
      <c r="S297" s="386"/>
      <c r="T297" s="386"/>
      <c r="U297" s="386"/>
      <c r="V297" s="386"/>
      <c r="W297" s="386"/>
      <c r="X297" s="386"/>
      <c r="Y297" s="386"/>
      <c r="Z297" s="386"/>
      <c r="AA297" s="386"/>
      <c r="AB297" s="386"/>
      <c r="AC297" s="386"/>
    </row>
    <row r="298">
      <c r="H298" s="386"/>
      <c r="I298" s="386"/>
      <c r="J298" s="386"/>
      <c r="K298" s="386"/>
      <c r="L298" s="386"/>
      <c r="M298" s="386"/>
      <c r="N298" s="386"/>
      <c r="O298" s="386"/>
      <c r="P298" s="386"/>
      <c r="Q298" s="386"/>
      <c r="R298" s="386"/>
      <c r="S298" s="386"/>
      <c r="T298" s="386"/>
      <c r="U298" s="386"/>
      <c r="V298" s="386"/>
      <c r="W298" s="386"/>
      <c r="X298" s="386"/>
      <c r="Y298" s="386"/>
      <c r="Z298" s="386"/>
      <c r="AA298" s="386"/>
      <c r="AB298" s="386"/>
      <c r="AC298" s="386"/>
    </row>
    <row r="299">
      <c r="H299" s="386"/>
      <c r="I299" s="386"/>
      <c r="J299" s="386"/>
      <c r="K299" s="386"/>
      <c r="L299" s="386"/>
      <c r="M299" s="386"/>
      <c r="N299" s="386"/>
      <c r="O299" s="386"/>
      <c r="P299" s="386"/>
      <c r="Q299" s="386"/>
      <c r="R299" s="386"/>
      <c r="S299" s="386"/>
      <c r="T299" s="386"/>
      <c r="U299" s="386"/>
      <c r="V299" s="386"/>
      <c r="W299" s="386"/>
      <c r="X299" s="386"/>
      <c r="Y299" s="386"/>
      <c r="Z299" s="386"/>
      <c r="AA299" s="386"/>
      <c r="AB299" s="386"/>
      <c r="AC299" s="386"/>
    </row>
    <row r="300">
      <c r="H300" s="386"/>
      <c r="I300" s="386"/>
      <c r="J300" s="386"/>
      <c r="K300" s="386"/>
      <c r="L300" s="386"/>
      <c r="M300" s="386"/>
      <c r="N300" s="386"/>
      <c r="O300" s="386"/>
      <c r="P300" s="386"/>
      <c r="Q300" s="386"/>
      <c r="R300" s="386"/>
      <c r="S300" s="386"/>
      <c r="T300" s="386"/>
      <c r="U300" s="386"/>
      <c r="V300" s="386"/>
      <c r="W300" s="386"/>
      <c r="X300" s="386"/>
      <c r="Y300" s="386"/>
      <c r="Z300" s="386"/>
      <c r="AA300" s="386"/>
      <c r="AB300" s="386"/>
      <c r="AC300" s="386"/>
    </row>
    <row r="301">
      <c r="H301" s="386"/>
      <c r="I301" s="386"/>
      <c r="J301" s="386"/>
      <c r="K301" s="386"/>
      <c r="L301" s="386"/>
      <c r="M301" s="386"/>
      <c r="N301" s="386"/>
      <c r="O301" s="386"/>
      <c r="P301" s="386"/>
      <c r="Q301" s="386"/>
      <c r="R301" s="386"/>
      <c r="S301" s="386"/>
      <c r="T301" s="386"/>
      <c r="U301" s="386"/>
      <c r="V301" s="386"/>
      <c r="W301" s="386"/>
      <c r="X301" s="386"/>
      <c r="Y301" s="386"/>
      <c r="Z301" s="386"/>
      <c r="AA301" s="386"/>
      <c r="AB301" s="386"/>
      <c r="AC301" s="386"/>
    </row>
    <row r="302">
      <c r="H302" s="386"/>
      <c r="I302" s="386"/>
      <c r="J302" s="386"/>
      <c r="K302" s="386"/>
      <c r="L302" s="386"/>
      <c r="M302" s="386"/>
      <c r="N302" s="386"/>
      <c r="O302" s="386"/>
      <c r="P302" s="386"/>
      <c r="Q302" s="386"/>
      <c r="R302" s="386"/>
      <c r="S302" s="386"/>
      <c r="T302" s="386"/>
      <c r="U302" s="386"/>
      <c r="V302" s="386"/>
      <c r="W302" s="386"/>
      <c r="X302" s="386"/>
      <c r="Y302" s="386"/>
      <c r="Z302" s="386"/>
      <c r="AA302" s="386"/>
      <c r="AB302" s="386"/>
      <c r="AC302" s="386"/>
    </row>
    <row r="303">
      <c r="H303" s="386"/>
      <c r="I303" s="386"/>
      <c r="J303" s="386"/>
      <c r="K303" s="386"/>
      <c r="L303" s="386"/>
      <c r="M303" s="386"/>
      <c r="N303" s="386"/>
      <c r="O303" s="386"/>
      <c r="P303" s="386"/>
      <c r="Q303" s="386"/>
      <c r="R303" s="386"/>
      <c r="S303" s="386"/>
      <c r="T303" s="386"/>
      <c r="U303" s="386"/>
      <c r="V303" s="386"/>
      <c r="W303" s="386"/>
      <c r="X303" s="386"/>
      <c r="Y303" s="386"/>
      <c r="Z303" s="386"/>
      <c r="AA303" s="386"/>
      <c r="AB303" s="386"/>
      <c r="AC303" s="386"/>
    </row>
    <row r="304">
      <c r="H304" s="386"/>
      <c r="I304" s="386"/>
      <c r="J304" s="386"/>
      <c r="K304" s="386"/>
      <c r="L304" s="386"/>
      <c r="M304" s="386"/>
      <c r="N304" s="386"/>
      <c r="O304" s="386"/>
      <c r="P304" s="386"/>
      <c r="Q304" s="386"/>
      <c r="R304" s="386"/>
      <c r="S304" s="386"/>
      <c r="T304" s="386"/>
      <c r="U304" s="386"/>
      <c r="V304" s="386"/>
      <c r="W304" s="386"/>
      <c r="X304" s="386"/>
      <c r="Y304" s="386"/>
      <c r="Z304" s="386"/>
      <c r="AA304" s="386"/>
      <c r="AB304" s="386"/>
      <c r="AC304" s="386"/>
    </row>
    <row r="305">
      <c r="H305" s="386"/>
      <c r="I305" s="386"/>
      <c r="J305" s="386"/>
      <c r="K305" s="386"/>
      <c r="L305" s="386"/>
      <c r="M305" s="386"/>
      <c r="N305" s="386"/>
      <c r="O305" s="386"/>
      <c r="P305" s="386"/>
      <c r="Q305" s="386"/>
      <c r="R305" s="386"/>
      <c r="S305" s="386"/>
      <c r="T305" s="386"/>
      <c r="U305" s="386"/>
      <c r="V305" s="386"/>
      <c r="W305" s="386"/>
      <c r="X305" s="386"/>
      <c r="Y305" s="386"/>
      <c r="Z305" s="386"/>
      <c r="AA305" s="386"/>
      <c r="AB305" s="386"/>
      <c r="AC305" s="386"/>
    </row>
    <row r="306">
      <c r="H306" s="386"/>
      <c r="I306" s="386"/>
      <c r="J306" s="386"/>
      <c r="K306" s="386"/>
      <c r="L306" s="386"/>
      <c r="M306" s="386"/>
      <c r="N306" s="386"/>
      <c r="O306" s="386"/>
      <c r="P306" s="386"/>
      <c r="Q306" s="386"/>
      <c r="R306" s="386"/>
      <c r="S306" s="386"/>
      <c r="T306" s="386"/>
      <c r="U306" s="386"/>
      <c r="V306" s="386"/>
      <c r="W306" s="386"/>
      <c r="X306" s="386"/>
      <c r="Y306" s="386"/>
      <c r="Z306" s="386"/>
      <c r="AA306" s="386"/>
      <c r="AB306" s="386"/>
      <c r="AC306" s="386"/>
    </row>
    <row r="307">
      <c r="H307" s="386"/>
      <c r="I307" s="386"/>
      <c r="J307" s="386"/>
      <c r="K307" s="386"/>
      <c r="L307" s="386"/>
      <c r="M307" s="386"/>
      <c r="N307" s="386"/>
      <c r="O307" s="386"/>
      <c r="P307" s="386"/>
      <c r="Q307" s="386"/>
      <c r="R307" s="386"/>
      <c r="S307" s="386"/>
      <c r="T307" s="386"/>
      <c r="U307" s="386"/>
      <c r="V307" s="386"/>
      <c r="W307" s="386"/>
      <c r="X307" s="386"/>
      <c r="Y307" s="386"/>
      <c r="Z307" s="386"/>
      <c r="AA307" s="386"/>
      <c r="AB307" s="386"/>
      <c r="AC307" s="386"/>
    </row>
    <row r="308">
      <c r="H308" s="386"/>
      <c r="I308" s="386"/>
      <c r="J308" s="386"/>
      <c r="K308" s="386"/>
      <c r="L308" s="386"/>
      <c r="M308" s="386"/>
      <c r="N308" s="386"/>
      <c r="O308" s="386"/>
      <c r="P308" s="386"/>
      <c r="Q308" s="386"/>
      <c r="R308" s="386"/>
      <c r="S308" s="386"/>
      <c r="T308" s="386"/>
      <c r="U308" s="386"/>
      <c r="V308" s="386"/>
      <c r="W308" s="386"/>
      <c r="X308" s="386"/>
      <c r="Y308" s="386"/>
      <c r="Z308" s="386"/>
      <c r="AA308" s="386"/>
      <c r="AB308" s="386"/>
      <c r="AC308" s="386"/>
    </row>
    <row r="309">
      <c r="H309" s="386"/>
      <c r="I309" s="386"/>
      <c r="J309" s="386"/>
      <c r="K309" s="386"/>
      <c r="L309" s="386"/>
      <c r="M309" s="386"/>
      <c r="N309" s="386"/>
      <c r="O309" s="386"/>
      <c r="P309" s="386"/>
      <c r="Q309" s="386"/>
      <c r="R309" s="386"/>
      <c r="S309" s="386"/>
      <c r="T309" s="386"/>
      <c r="U309" s="386"/>
      <c r="V309" s="386"/>
      <c r="W309" s="386"/>
      <c r="X309" s="386"/>
      <c r="Y309" s="386"/>
      <c r="Z309" s="386"/>
      <c r="AA309" s="386"/>
      <c r="AB309" s="386"/>
      <c r="AC309" s="386"/>
    </row>
    <row r="310">
      <c r="H310" s="386"/>
      <c r="I310" s="386"/>
      <c r="J310" s="386"/>
      <c r="K310" s="386"/>
      <c r="L310" s="386"/>
      <c r="M310" s="386"/>
      <c r="N310" s="386"/>
      <c r="O310" s="386"/>
      <c r="P310" s="386"/>
      <c r="Q310" s="386"/>
      <c r="R310" s="386"/>
      <c r="S310" s="386"/>
      <c r="T310" s="386"/>
      <c r="U310" s="386"/>
      <c r="V310" s="386"/>
      <c r="W310" s="386"/>
      <c r="X310" s="386"/>
      <c r="Y310" s="386"/>
      <c r="Z310" s="386"/>
      <c r="AA310" s="386"/>
      <c r="AB310" s="386"/>
      <c r="AC310" s="386"/>
    </row>
    <row r="311">
      <c r="H311" s="386"/>
      <c r="I311" s="386"/>
      <c r="J311" s="386"/>
      <c r="K311" s="386"/>
      <c r="L311" s="386"/>
      <c r="M311" s="386"/>
      <c r="N311" s="386"/>
      <c r="O311" s="386"/>
      <c r="P311" s="386"/>
      <c r="Q311" s="386"/>
      <c r="R311" s="386"/>
      <c r="S311" s="386"/>
      <c r="T311" s="386"/>
      <c r="U311" s="386"/>
      <c r="V311" s="386"/>
      <c r="W311" s="386"/>
      <c r="X311" s="386"/>
      <c r="Y311" s="386"/>
      <c r="Z311" s="386"/>
      <c r="AA311" s="386"/>
      <c r="AB311" s="386"/>
      <c r="AC311" s="386"/>
    </row>
    <row r="312">
      <c r="H312" s="386"/>
      <c r="I312" s="386"/>
      <c r="J312" s="386"/>
      <c r="K312" s="386"/>
      <c r="L312" s="386"/>
      <c r="M312" s="386"/>
      <c r="N312" s="386"/>
      <c r="O312" s="386"/>
      <c r="P312" s="386"/>
      <c r="Q312" s="386"/>
      <c r="R312" s="386"/>
      <c r="S312" s="386"/>
      <c r="T312" s="386"/>
      <c r="U312" s="386"/>
      <c r="V312" s="386"/>
      <c r="W312" s="386"/>
      <c r="X312" s="386"/>
      <c r="Y312" s="386"/>
      <c r="Z312" s="386"/>
      <c r="AA312" s="386"/>
      <c r="AB312" s="386"/>
      <c r="AC312" s="386"/>
    </row>
    <row r="313">
      <c r="H313" s="386"/>
      <c r="I313" s="386"/>
      <c r="J313" s="386"/>
      <c r="K313" s="386"/>
      <c r="L313" s="386"/>
      <c r="M313" s="386"/>
      <c r="N313" s="386"/>
      <c r="O313" s="386"/>
      <c r="P313" s="386"/>
      <c r="Q313" s="386"/>
      <c r="R313" s="386"/>
      <c r="S313" s="386"/>
      <c r="T313" s="386"/>
      <c r="U313" s="386"/>
      <c r="V313" s="386"/>
      <c r="W313" s="386"/>
      <c r="X313" s="386"/>
      <c r="Y313" s="386"/>
      <c r="Z313" s="386"/>
      <c r="AA313" s="386"/>
      <c r="AB313" s="386"/>
      <c r="AC313" s="386"/>
    </row>
    <row r="314">
      <c r="H314" s="386"/>
      <c r="I314" s="386"/>
      <c r="J314" s="386"/>
      <c r="K314" s="386"/>
      <c r="L314" s="386"/>
      <c r="M314" s="386"/>
      <c r="N314" s="386"/>
      <c r="O314" s="386"/>
      <c r="P314" s="386"/>
      <c r="Q314" s="386"/>
      <c r="R314" s="386"/>
      <c r="S314" s="386"/>
      <c r="T314" s="386"/>
      <c r="U314" s="386"/>
      <c r="V314" s="386"/>
      <c r="W314" s="386"/>
      <c r="X314" s="386"/>
      <c r="Y314" s="386"/>
      <c r="Z314" s="386"/>
      <c r="AA314" s="386"/>
      <c r="AB314" s="386"/>
      <c r="AC314" s="386"/>
    </row>
    <row r="315">
      <c r="H315" s="386"/>
      <c r="I315" s="386"/>
      <c r="J315" s="386"/>
      <c r="K315" s="386"/>
      <c r="L315" s="386"/>
      <c r="M315" s="386"/>
      <c r="N315" s="386"/>
      <c r="O315" s="386"/>
      <c r="P315" s="386"/>
      <c r="Q315" s="386"/>
      <c r="R315" s="386"/>
      <c r="S315" s="386"/>
      <c r="T315" s="386"/>
      <c r="U315" s="386"/>
      <c r="V315" s="386"/>
      <c r="W315" s="386"/>
      <c r="X315" s="386"/>
      <c r="Y315" s="386"/>
      <c r="Z315" s="386"/>
      <c r="AA315" s="386"/>
      <c r="AB315" s="386"/>
      <c r="AC315" s="386"/>
    </row>
    <row r="316">
      <c r="H316" s="386"/>
      <c r="I316" s="386"/>
      <c r="J316" s="386"/>
      <c r="K316" s="386"/>
      <c r="L316" s="386"/>
      <c r="M316" s="386"/>
      <c r="N316" s="386"/>
      <c r="O316" s="386"/>
      <c r="P316" s="386"/>
      <c r="Q316" s="386"/>
      <c r="R316" s="386"/>
      <c r="S316" s="386"/>
      <c r="T316" s="386"/>
      <c r="U316" s="386"/>
      <c r="V316" s="386"/>
      <c r="W316" s="386"/>
      <c r="X316" s="386"/>
      <c r="Y316" s="386"/>
      <c r="Z316" s="386"/>
      <c r="AA316" s="386"/>
      <c r="AB316" s="386"/>
      <c r="AC316" s="386"/>
    </row>
    <row r="317">
      <c r="H317" s="386"/>
      <c r="I317" s="386"/>
      <c r="J317" s="386"/>
      <c r="K317" s="386"/>
      <c r="L317" s="386"/>
      <c r="M317" s="386"/>
      <c r="N317" s="386"/>
      <c r="O317" s="386"/>
      <c r="P317" s="386"/>
      <c r="Q317" s="386"/>
      <c r="R317" s="386"/>
      <c r="S317" s="386"/>
      <c r="T317" s="386"/>
      <c r="U317" s="386"/>
      <c r="V317" s="386"/>
      <c r="W317" s="386"/>
      <c r="X317" s="386"/>
      <c r="Y317" s="386"/>
      <c r="Z317" s="386"/>
      <c r="AA317" s="386"/>
      <c r="AB317" s="386"/>
      <c r="AC317" s="386"/>
    </row>
    <row r="318">
      <c r="H318" s="386"/>
      <c r="I318" s="386"/>
      <c r="J318" s="386"/>
      <c r="K318" s="386"/>
      <c r="L318" s="386"/>
      <c r="M318" s="386"/>
      <c r="N318" s="386"/>
      <c r="O318" s="386"/>
      <c r="P318" s="386"/>
      <c r="Q318" s="386"/>
      <c r="R318" s="386"/>
      <c r="S318" s="386"/>
      <c r="T318" s="386"/>
      <c r="U318" s="386"/>
      <c r="V318" s="386"/>
      <c r="W318" s="386"/>
      <c r="X318" s="386"/>
      <c r="Y318" s="386"/>
      <c r="Z318" s="386"/>
      <c r="AA318" s="386"/>
      <c r="AB318" s="386"/>
      <c r="AC318" s="386"/>
    </row>
    <row r="319">
      <c r="H319" s="386"/>
      <c r="I319" s="386"/>
      <c r="J319" s="386"/>
      <c r="K319" s="386"/>
      <c r="L319" s="386"/>
      <c r="M319" s="386"/>
      <c r="N319" s="386"/>
      <c r="O319" s="386"/>
      <c r="P319" s="386"/>
      <c r="Q319" s="386"/>
      <c r="R319" s="386"/>
      <c r="S319" s="386"/>
      <c r="T319" s="386"/>
      <c r="U319" s="386"/>
      <c r="V319" s="386"/>
      <c r="W319" s="386"/>
      <c r="X319" s="386"/>
      <c r="Y319" s="386"/>
      <c r="Z319" s="386"/>
      <c r="AA319" s="386"/>
      <c r="AB319" s="386"/>
      <c r="AC319" s="386"/>
    </row>
    <row r="320">
      <c r="H320" s="386"/>
      <c r="I320" s="386"/>
      <c r="J320" s="386"/>
      <c r="K320" s="386"/>
      <c r="L320" s="386"/>
      <c r="M320" s="386"/>
      <c r="N320" s="386"/>
      <c r="O320" s="386"/>
      <c r="P320" s="386"/>
      <c r="Q320" s="386"/>
      <c r="R320" s="386"/>
      <c r="S320" s="386"/>
      <c r="T320" s="386"/>
      <c r="U320" s="386"/>
      <c r="V320" s="386"/>
      <c r="W320" s="386"/>
      <c r="X320" s="386"/>
      <c r="Y320" s="386"/>
      <c r="Z320" s="386"/>
      <c r="AA320" s="386"/>
      <c r="AB320" s="386"/>
      <c r="AC320" s="386"/>
    </row>
    <row r="321">
      <c r="H321" s="386"/>
      <c r="I321" s="386"/>
      <c r="J321" s="386"/>
      <c r="K321" s="386"/>
      <c r="L321" s="386"/>
      <c r="M321" s="386"/>
      <c r="N321" s="386"/>
      <c r="O321" s="386"/>
      <c r="P321" s="386"/>
      <c r="Q321" s="386"/>
      <c r="R321" s="386"/>
      <c r="S321" s="386"/>
      <c r="T321" s="386"/>
      <c r="U321" s="386"/>
      <c r="V321" s="386"/>
      <c r="W321" s="386"/>
      <c r="X321" s="386"/>
      <c r="Y321" s="386"/>
      <c r="Z321" s="386"/>
      <c r="AA321" s="386"/>
      <c r="AB321" s="386"/>
      <c r="AC321" s="386"/>
    </row>
    <row r="322">
      <c r="H322" s="386"/>
      <c r="I322" s="386"/>
      <c r="J322" s="386"/>
      <c r="K322" s="386"/>
      <c r="L322" s="386"/>
      <c r="M322" s="386"/>
      <c r="N322" s="386"/>
      <c r="O322" s="386"/>
      <c r="P322" s="386"/>
      <c r="Q322" s="386"/>
      <c r="R322" s="386"/>
      <c r="S322" s="386"/>
      <c r="T322" s="386"/>
      <c r="U322" s="386"/>
      <c r="V322" s="386"/>
      <c r="W322" s="386"/>
      <c r="X322" s="386"/>
      <c r="Y322" s="386"/>
      <c r="Z322" s="386"/>
      <c r="AA322" s="386"/>
      <c r="AB322" s="386"/>
      <c r="AC322" s="386"/>
    </row>
    <row r="323">
      <c r="H323" s="386"/>
      <c r="I323" s="386"/>
      <c r="J323" s="386"/>
      <c r="K323" s="386"/>
      <c r="L323" s="386"/>
      <c r="M323" s="386"/>
      <c r="N323" s="386"/>
      <c r="O323" s="386"/>
      <c r="P323" s="386"/>
      <c r="Q323" s="386"/>
      <c r="R323" s="386"/>
      <c r="S323" s="386"/>
      <c r="T323" s="386"/>
      <c r="U323" s="386"/>
      <c r="V323" s="386"/>
      <c r="W323" s="386"/>
      <c r="X323" s="386"/>
      <c r="Y323" s="386"/>
      <c r="Z323" s="386"/>
      <c r="AA323" s="386"/>
      <c r="AB323" s="386"/>
      <c r="AC323" s="386"/>
    </row>
    <row r="324">
      <c r="H324" s="386"/>
      <c r="I324" s="386"/>
      <c r="J324" s="386"/>
      <c r="K324" s="386"/>
      <c r="L324" s="386"/>
      <c r="M324" s="386"/>
      <c r="N324" s="386"/>
      <c r="O324" s="386"/>
      <c r="P324" s="386"/>
      <c r="Q324" s="386"/>
      <c r="R324" s="386"/>
      <c r="S324" s="386"/>
      <c r="T324" s="386"/>
      <c r="U324" s="386"/>
      <c r="V324" s="386"/>
      <c r="W324" s="386"/>
      <c r="X324" s="386"/>
      <c r="Y324" s="386"/>
      <c r="Z324" s="386"/>
      <c r="AA324" s="386"/>
      <c r="AB324" s="386"/>
      <c r="AC324" s="386"/>
    </row>
    <row r="325">
      <c r="H325" s="386"/>
      <c r="I325" s="386"/>
      <c r="J325" s="386"/>
      <c r="K325" s="386"/>
      <c r="L325" s="386"/>
      <c r="M325" s="386"/>
      <c r="N325" s="386"/>
      <c r="O325" s="386"/>
      <c r="P325" s="386"/>
      <c r="Q325" s="386"/>
      <c r="R325" s="386"/>
      <c r="S325" s="386"/>
      <c r="T325" s="386"/>
      <c r="U325" s="386"/>
      <c r="V325" s="386"/>
      <c r="W325" s="386"/>
      <c r="X325" s="386"/>
      <c r="Y325" s="386"/>
      <c r="Z325" s="386"/>
      <c r="AA325" s="386"/>
      <c r="AB325" s="386"/>
      <c r="AC325" s="386"/>
    </row>
    <row r="326">
      <c r="H326" s="386"/>
      <c r="I326" s="386"/>
      <c r="J326" s="386"/>
      <c r="K326" s="386"/>
      <c r="L326" s="386"/>
      <c r="M326" s="386"/>
      <c r="N326" s="386"/>
      <c r="O326" s="386"/>
      <c r="P326" s="386"/>
      <c r="Q326" s="386"/>
      <c r="R326" s="386"/>
      <c r="S326" s="386"/>
      <c r="T326" s="386"/>
      <c r="U326" s="386"/>
      <c r="V326" s="386"/>
      <c r="W326" s="386"/>
      <c r="X326" s="386"/>
      <c r="Y326" s="386"/>
      <c r="Z326" s="386"/>
      <c r="AA326" s="386"/>
      <c r="AB326" s="386"/>
      <c r="AC326" s="386"/>
    </row>
    <row r="327">
      <c r="H327" s="386"/>
      <c r="I327" s="386"/>
      <c r="J327" s="386"/>
      <c r="K327" s="386"/>
      <c r="L327" s="386"/>
      <c r="M327" s="386"/>
      <c r="N327" s="386"/>
      <c r="O327" s="386"/>
      <c r="P327" s="386"/>
      <c r="Q327" s="386"/>
      <c r="R327" s="386"/>
      <c r="S327" s="386"/>
      <c r="T327" s="386"/>
      <c r="U327" s="386"/>
      <c r="V327" s="386"/>
      <c r="W327" s="386"/>
      <c r="X327" s="386"/>
      <c r="Y327" s="386"/>
      <c r="Z327" s="386"/>
      <c r="AA327" s="386"/>
      <c r="AB327" s="386"/>
      <c r="AC327" s="386"/>
    </row>
    <row r="328">
      <c r="H328" s="386"/>
      <c r="I328" s="386"/>
      <c r="J328" s="386"/>
      <c r="K328" s="386"/>
      <c r="L328" s="386"/>
      <c r="M328" s="386"/>
      <c r="N328" s="386"/>
      <c r="O328" s="386"/>
      <c r="P328" s="386"/>
      <c r="Q328" s="386"/>
      <c r="R328" s="386"/>
      <c r="S328" s="386"/>
      <c r="T328" s="386"/>
      <c r="U328" s="386"/>
      <c r="V328" s="386"/>
      <c r="W328" s="386"/>
      <c r="X328" s="386"/>
      <c r="Y328" s="386"/>
      <c r="Z328" s="386"/>
      <c r="AA328" s="386"/>
      <c r="AB328" s="386"/>
      <c r="AC328" s="386"/>
    </row>
    <row r="329">
      <c r="H329" s="386"/>
      <c r="I329" s="386"/>
      <c r="J329" s="386"/>
      <c r="K329" s="386"/>
      <c r="L329" s="386"/>
      <c r="M329" s="386"/>
      <c r="N329" s="386"/>
      <c r="O329" s="386"/>
      <c r="P329" s="386"/>
      <c r="Q329" s="386"/>
      <c r="R329" s="386"/>
      <c r="S329" s="386"/>
      <c r="T329" s="386"/>
      <c r="U329" s="386"/>
      <c r="V329" s="386"/>
      <c r="W329" s="386"/>
      <c r="X329" s="386"/>
      <c r="Y329" s="386"/>
      <c r="Z329" s="386"/>
      <c r="AA329" s="386"/>
      <c r="AB329" s="386"/>
      <c r="AC329" s="386"/>
    </row>
    <row r="330">
      <c r="H330" s="386"/>
      <c r="I330" s="386"/>
      <c r="J330" s="386"/>
      <c r="K330" s="386"/>
      <c r="L330" s="386"/>
      <c r="M330" s="386"/>
      <c r="N330" s="386"/>
      <c r="O330" s="386"/>
      <c r="P330" s="386"/>
      <c r="Q330" s="386"/>
      <c r="R330" s="386"/>
      <c r="S330" s="386"/>
      <c r="T330" s="386"/>
      <c r="U330" s="386"/>
      <c r="V330" s="386"/>
      <c r="W330" s="386"/>
      <c r="X330" s="386"/>
      <c r="Y330" s="386"/>
      <c r="Z330" s="386"/>
      <c r="AA330" s="386"/>
      <c r="AB330" s="386"/>
      <c r="AC330" s="386"/>
    </row>
    <row r="331">
      <c r="H331" s="386"/>
      <c r="I331" s="386"/>
      <c r="J331" s="386"/>
      <c r="K331" s="386"/>
      <c r="L331" s="386"/>
      <c r="M331" s="386"/>
      <c r="N331" s="386"/>
      <c r="O331" s="386"/>
      <c r="P331" s="386"/>
      <c r="Q331" s="386"/>
      <c r="R331" s="386"/>
      <c r="S331" s="386"/>
      <c r="T331" s="386"/>
      <c r="U331" s="386"/>
      <c r="V331" s="386"/>
      <c r="W331" s="386"/>
      <c r="X331" s="386"/>
      <c r="Y331" s="386"/>
      <c r="Z331" s="386"/>
      <c r="AA331" s="386"/>
      <c r="AB331" s="386"/>
      <c r="AC331" s="386"/>
    </row>
    <row r="332">
      <c r="H332" s="386"/>
      <c r="I332" s="386"/>
      <c r="J332" s="386"/>
      <c r="K332" s="386"/>
      <c r="L332" s="386"/>
      <c r="M332" s="386"/>
      <c r="N332" s="386"/>
      <c r="O332" s="386"/>
      <c r="P332" s="386"/>
      <c r="Q332" s="386"/>
      <c r="R332" s="386"/>
      <c r="S332" s="386"/>
      <c r="T332" s="386"/>
      <c r="U332" s="386"/>
      <c r="V332" s="386"/>
      <c r="W332" s="386"/>
      <c r="X332" s="386"/>
      <c r="Y332" s="386"/>
      <c r="Z332" s="386"/>
      <c r="AA332" s="386"/>
      <c r="AB332" s="386"/>
      <c r="AC332" s="386"/>
    </row>
    <row r="333">
      <c r="H333" s="386"/>
      <c r="I333" s="386"/>
      <c r="J333" s="386"/>
      <c r="K333" s="386"/>
      <c r="L333" s="386"/>
      <c r="M333" s="386"/>
      <c r="N333" s="386"/>
      <c r="O333" s="386"/>
      <c r="P333" s="386"/>
      <c r="Q333" s="386"/>
      <c r="R333" s="386"/>
      <c r="S333" s="386"/>
      <c r="T333" s="386"/>
      <c r="U333" s="386"/>
      <c r="V333" s="386"/>
      <c r="W333" s="386"/>
      <c r="X333" s="386"/>
      <c r="Y333" s="386"/>
      <c r="Z333" s="386"/>
      <c r="AA333" s="386"/>
      <c r="AB333" s="386"/>
      <c r="AC333" s="386"/>
    </row>
    <row r="334">
      <c r="H334" s="386"/>
      <c r="I334" s="386"/>
      <c r="J334" s="386"/>
      <c r="K334" s="386"/>
      <c r="L334" s="386"/>
      <c r="M334" s="386"/>
      <c r="N334" s="386"/>
      <c r="O334" s="386"/>
      <c r="P334" s="386"/>
      <c r="Q334" s="386"/>
      <c r="R334" s="386"/>
      <c r="S334" s="386"/>
      <c r="T334" s="386"/>
      <c r="U334" s="386"/>
      <c r="V334" s="386"/>
      <c r="W334" s="386"/>
      <c r="X334" s="386"/>
      <c r="Y334" s="386"/>
      <c r="Z334" s="386"/>
      <c r="AA334" s="386"/>
      <c r="AB334" s="386"/>
      <c r="AC334" s="386"/>
    </row>
    <row r="335">
      <c r="H335" s="386"/>
      <c r="I335" s="386"/>
      <c r="J335" s="386"/>
      <c r="K335" s="386"/>
      <c r="L335" s="386"/>
      <c r="M335" s="386"/>
      <c r="N335" s="386"/>
      <c r="O335" s="386"/>
      <c r="P335" s="386"/>
      <c r="Q335" s="386"/>
      <c r="R335" s="386"/>
      <c r="S335" s="386"/>
      <c r="T335" s="386"/>
      <c r="U335" s="386"/>
      <c r="V335" s="386"/>
      <c r="W335" s="386"/>
      <c r="X335" s="386"/>
      <c r="Y335" s="386"/>
      <c r="Z335" s="386"/>
      <c r="AA335" s="386"/>
      <c r="AB335" s="386"/>
      <c r="AC335" s="386"/>
    </row>
    <row r="336">
      <c r="H336" s="386"/>
      <c r="I336" s="386"/>
      <c r="J336" s="386"/>
      <c r="K336" s="386"/>
      <c r="L336" s="386"/>
      <c r="M336" s="386"/>
      <c r="N336" s="386"/>
      <c r="O336" s="386"/>
      <c r="P336" s="386"/>
      <c r="Q336" s="386"/>
      <c r="R336" s="386"/>
      <c r="S336" s="386"/>
      <c r="T336" s="386"/>
      <c r="U336" s="386"/>
      <c r="V336" s="386"/>
      <c r="W336" s="386"/>
      <c r="X336" s="386"/>
      <c r="Y336" s="386"/>
      <c r="Z336" s="386"/>
      <c r="AA336" s="386"/>
      <c r="AB336" s="386"/>
      <c r="AC336" s="386"/>
    </row>
    <row r="337">
      <c r="H337" s="386"/>
      <c r="I337" s="386"/>
      <c r="J337" s="386"/>
      <c r="K337" s="386"/>
      <c r="L337" s="386"/>
      <c r="M337" s="386"/>
      <c r="N337" s="386"/>
      <c r="O337" s="386"/>
      <c r="P337" s="386"/>
      <c r="Q337" s="386"/>
      <c r="R337" s="386"/>
      <c r="S337" s="386"/>
      <c r="T337" s="386"/>
      <c r="U337" s="386"/>
      <c r="V337" s="386"/>
      <c r="W337" s="386"/>
      <c r="X337" s="386"/>
      <c r="Y337" s="386"/>
      <c r="Z337" s="386"/>
      <c r="AA337" s="386"/>
      <c r="AB337" s="386"/>
      <c r="AC337" s="386"/>
    </row>
    <row r="338">
      <c r="H338" s="386"/>
      <c r="I338" s="386"/>
      <c r="J338" s="386"/>
      <c r="K338" s="386"/>
      <c r="L338" s="386"/>
      <c r="M338" s="386"/>
      <c r="N338" s="386"/>
      <c r="O338" s="386"/>
      <c r="P338" s="386"/>
      <c r="Q338" s="386"/>
      <c r="R338" s="386"/>
      <c r="S338" s="386"/>
      <c r="T338" s="386"/>
      <c r="U338" s="386"/>
      <c r="V338" s="386"/>
      <c r="W338" s="386"/>
      <c r="X338" s="386"/>
      <c r="Y338" s="386"/>
      <c r="Z338" s="386"/>
      <c r="AA338" s="386"/>
      <c r="AB338" s="386"/>
      <c r="AC338" s="386"/>
    </row>
    <row r="339">
      <c r="H339" s="386"/>
      <c r="I339" s="386"/>
      <c r="J339" s="386"/>
      <c r="K339" s="386"/>
      <c r="L339" s="386"/>
      <c r="M339" s="386"/>
      <c r="N339" s="386"/>
      <c r="O339" s="386"/>
      <c r="P339" s="386"/>
      <c r="Q339" s="386"/>
      <c r="R339" s="386"/>
      <c r="S339" s="386"/>
      <c r="T339" s="386"/>
      <c r="U339" s="386"/>
      <c r="V339" s="386"/>
      <c r="W339" s="386"/>
      <c r="X339" s="386"/>
      <c r="Y339" s="386"/>
      <c r="Z339" s="386"/>
      <c r="AA339" s="386"/>
      <c r="AB339" s="386"/>
      <c r="AC339" s="386"/>
    </row>
    <row r="340">
      <c r="H340" s="386"/>
      <c r="I340" s="386"/>
      <c r="J340" s="386"/>
      <c r="K340" s="386"/>
      <c r="L340" s="386"/>
      <c r="M340" s="386"/>
      <c r="N340" s="386"/>
      <c r="O340" s="386"/>
      <c r="P340" s="386"/>
      <c r="Q340" s="386"/>
      <c r="R340" s="386"/>
      <c r="S340" s="386"/>
      <c r="T340" s="386"/>
      <c r="U340" s="386"/>
      <c r="V340" s="386"/>
      <c r="W340" s="386"/>
      <c r="X340" s="386"/>
      <c r="Y340" s="386"/>
      <c r="Z340" s="386"/>
      <c r="AA340" s="386"/>
      <c r="AB340" s="386"/>
      <c r="AC340" s="386"/>
    </row>
    <row r="341">
      <c r="H341" s="386"/>
      <c r="I341" s="386"/>
      <c r="J341" s="386"/>
      <c r="K341" s="386"/>
      <c r="L341" s="386"/>
      <c r="M341" s="386"/>
      <c r="N341" s="386"/>
      <c r="O341" s="386"/>
      <c r="P341" s="386"/>
      <c r="Q341" s="386"/>
      <c r="R341" s="386"/>
      <c r="S341" s="386"/>
      <c r="T341" s="386"/>
      <c r="U341" s="386"/>
      <c r="V341" s="386"/>
      <c r="W341" s="386"/>
      <c r="X341" s="386"/>
      <c r="Y341" s="386"/>
      <c r="Z341" s="386"/>
      <c r="AA341" s="386"/>
      <c r="AB341" s="386"/>
      <c r="AC341" s="386"/>
    </row>
    <row r="342">
      <c r="H342" s="386"/>
      <c r="I342" s="386"/>
      <c r="J342" s="386"/>
      <c r="K342" s="386"/>
      <c r="L342" s="386"/>
      <c r="M342" s="386"/>
      <c r="N342" s="386"/>
      <c r="O342" s="386"/>
      <c r="P342" s="386"/>
      <c r="Q342" s="386"/>
      <c r="R342" s="386"/>
      <c r="S342" s="386"/>
      <c r="T342" s="386"/>
      <c r="U342" s="386"/>
      <c r="V342" s="386"/>
      <c r="W342" s="386"/>
      <c r="X342" s="386"/>
      <c r="Y342" s="386"/>
      <c r="Z342" s="386"/>
      <c r="AA342" s="386"/>
      <c r="AB342" s="386"/>
      <c r="AC342" s="386"/>
    </row>
    <row r="343">
      <c r="H343" s="386"/>
      <c r="I343" s="386"/>
      <c r="J343" s="386"/>
      <c r="K343" s="386"/>
      <c r="L343" s="386"/>
      <c r="M343" s="386"/>
      <c r="N343" s="386"/>
      <c r="O343" s="386"/>
      <c r="P343" s="386"/>
      <c r="Q343" s="386"/>
      <c r="R343" s="386"/>
      <c r="S343" s="386"/>
      <c r="T343" s="386"/>
      <c r="U343" s="386"/>
      <c r="V343" s="386"/>
      <c r="W343" s="386"/>
      <c r="X343" s="386"/>
      <c r="Y343" s="386"/>
      <c r="Z343" s="386"/>
      <c r="AA343" s="386"/>
      <c r="AB343" s="386"/>
      <c r="AC343" s="386"/>
    </row>
    <row r="344">
      <c r="H344" s="386"/>
      <c r="I344" s="386"/>
      <c r="J344" s="386"/>
      <c r="K344" s="386"/>
      <c r="L344" s="386"/>
      <c r="M344" s="386"/>
      <c r="N344" s="386"/>
      <c r="O344" s="386"/>
      <c r="P344" s="386"/>
      <c r="Q344" s="386"/>
      <c r="R344" s="386"/>
      <c r="S344" s="386"/>
      <c r="T344" s="386"/>
      <c r="U344" s="386"/>
      <c r="V344" s="386"/>
      <c r="W344" s="386"/>
      <c r="X344" s="386"/>
      <c r="Y344" s="386"/>
      <c r="Z344" s="386"/>
      <c r="AA344" s="386"/>
      <c r="AB344" s="386"/>
      <c r="AC344" s="386"/>
    </row>
    <row r="345">
      <c r="H345" s="386"/>
      <c r="I345" s="386"/>
      <c r="J345" s="386"/>
      <c r="K345" s="386"/>
      <c r="L345" s="386"/>
      <c r="M345" s="386"/>
      <c r="N345" s="386"/>
      <c r="O345" s="386"/>
      <c r="P345" s="386"/>
      <c r="Q345" s="386"/>
      <c r="R345" s="386"/>
      <c r="S345" s="386"/>
      <c r="T345" s="386"/>
      <c r="U345" s="386"/>
      <c r="V345" s="386"/>
      <c r="W345" s="386"/>
      <c r="X345" s="386"/>
      <c r="Y345" s="386"/>
      <c r="Z345" s="386"/>
      <c r="AA345" s="386"/>
      <c r="AB345" s="386"/>
      <c r="AC345" s="386"/>
    </row>
    <row r="346">
      <c r="H346" s="386"/>
      <c r="I346" s="386"/>
      <c r="J346" s="386"/>
      <c r="K346" s="386"/>
      <c r="L346" s="386"/>
      <c r="M346" s="386"/>
      <c r="N346" s="386"/>
      <c r="O346" s="386"/>
      <c r="P346" s="386"/>
      <c r="Q346" s="386"/>
      <c r="R346" s="386"/>
      <c r="S346" s="386"/>
      <c r="T346" s="386"/>
      <c r="U346" s="386"/>
      <c r="V346" s="386"/>
      <c r="W346" s="386"/>
      <c r="X346" s="386"/>
      <c r="Y346" s="386"/>
      <c r="Z346" s="386"/>
      <c r="AA346" s="386"/>
      <c r="AB346" s="386"/>
      <c r="AC346" s="386"/>
    </row>
    <row r="347">
      <c r="H347" s="386"/>
      <c r="I347" s="386"/>
      <c r="J347" s="386"/>
      <c r="K347" s="386"/>
      <c r="L347" s="386"/>
      <c r="M347" s="386"/>
      <c r="N347" s="386"/>
      <c r="O347" s="386"/>
      <c r="P347" s="386"/>
      <c r="Q347" s="386"/>
      <c r="R347" s="386"/>
      <c r="S347" s="386"/>
      <c r="T347" s="386"/>
      <c r="U347" s="386"/>
      <c r="V347" s="386"/>
      <c r="W347" s="386"/>
      <c r="X347" s="386"/>
      <c r="Y347" s="386"/>
      <c r="Z347" s="386"/>
      <c r="AA347" s="386"/>
      <c r="AB347" s="386"/>
      <c r="AC347" s="386"/>
    </row>
    <row r="348">
      <c r="H348" s="386"/>
      <c r="I348" s="386"/>
      <c r="J348" s="386"/>
      <c r="K348" s="386"/>
      <c r="L348" s="386"/>
      <c r="M348" s="386"/>
      <c r="N348" s="386"/>
      <c r="O348" s="386"/>
      <c r="P348" s="386"/>
      <c r="Q348" s="386"/>
      <c r="R348" s="386"/>
      <c r="S348" s="386"/>
      <c r="T348" s="386"/>
      <c r="U348" s="386"/>
      <c r="V348" s="386"/>
      <c r="W348" s="386"/>
      <c r="X348" s="386"/>
      <c r="Y348" s="386"/>
      <c r="Z348" s="386"/>
      <c r="AA348" s="386"/>
      <c r="AB348" s="386"/>
      <c r="AC348" s="386"/>
    </row>
    <row r="349">
      <c r="H349" s="386"/>
      <c r="I349" s="386"/>
      <c r="J349" s="386"/>
      <c r="K349" s="386"/>
      <c r="L349" s="386"/>
      <c r="M349" s="386"/>
      <c r="N349" s="386"/>
      <c r="O349" s="386"/>
      <c r="P349" s="386"/>
      <c r="Q349" s="386"/>
      <c r="R349" s="386"/>
      <c r="S349" s="386"/>
      <c r="T349" s="386"/>
      <c r="U349" s="386"/>
      <c r="V349" s="386"/>
      <c r="W349" s="386"/>
      <c r="X349" s="386"/>
      <c r="Y349" s="386"/>
      <c r="Z349" s="386"/>
      <c r="AA349" s="386"/>
      <c r="AB349" s="386"/>
      <c r="AC349" s="386"/>
    </row>
    <row r="350">
      <c r="H350" s="386"/>
      <c r="I350" s="386"/>
      <c r="J350" s="386"/>
      <c r="K350" s="386"/>
      <c r="L350" s="386"/>
      <c r="M350" s="386"/>
      <c r="N350" s="386"/>
      <c r="O350" s="386"/>
      <c r="P350" s="386"/>
      <c r="Q350" s="386"/>
      <c r="R350" s="386"/>
      <c r="S350" s="386"/>
      <c r="T350" s="386"/>
      <c r="U350" s="386"/>
      <c r="V350" s="386"/>
      <c r="W350" s="386"/>
      <c r="X350" s="386"/>
      <c r="Y350" s="386"/>
      <c r="Z350" s="386"/>
      <c r="AA350" s="386"/>
      <c r="AB350" s="386"/>
      <c r="AC350" s="386"/>
    </row>
    <row r="351">
      <c r="H351" s="386"/>
      <c r="I351" s="386"/>
      <c r="J351" s="386"/>
      <c r="K351" s="386"/>
      <c r="L351" s="386"/>
      <c r="M351" s="386"/>
      <c r="N351" s="386"/>
      <c r="O351" s="386"/>
      <c r="P351" s="386"/>
      <c r="Q351" s="386"/>
      <c r="R351" s="386"/>
      <c r="S351" s="386"/>
      <c r="T351" s="386"/>
      <c r="U351" s="386"/>
      <c r="V351" s="386"/>
      <c r="W351" s="386"/>
      <c r="X351" s="386"/>
      <c r="Y351" s="386"/>
      <c r="Z351" s="386"/>
      <c r="AA351" s="386"/>
      <c r="AB351" s="386"/>
      <c r="AC351" s="386"/>
    </row>
    <row r="352">
      <c r="H352" s="386"/>
      <c r="I352" s="386"/>
      <c r="J352" s="386"/>
      <c r="K352" s="386"/>
      <c r="L352" s="386"/>
      <c r="M352" s="386"/>
      <c r="N352" s="386"/>
      <c r="O352" s="386"/>
      <c r="P352" s="386"/>
      <c r="Q352" s="386"/>
      <c r="R352" s="386"/>
      <c r="S352" s="386"/>
      <c r="T352" s="386"/>
      <c r="U352" s="386"/>
      <c r="V352" s="386"/>
      <c r="W352" s="386"/>
      <c r="X352" s="386"/>
      <c r="Y352" s="386"/>
      <c r="Z352" s="386"/>
      <c r="AA352" s="386"/>
      <c r="AB352" s="386"/>
      <c r="AC352" s="386"/>
    </row>
    <row r="353">
      <c r="H353" s="386"/>
      <c r="I353" s="386"/>
      <c r="J353" s="386"/>
      <c r="K353" s="386"/>
      <c r="L353" s="386"/>
      <c r="M353" s="386"/>
      <c r="N353" s="386"/>
      <c r="O353" s="386"/>
      <c r="P353" s="386"/>
      <c r="Q353" s="386"/>
      <c r="R353" s="386"/>
      <c r="S353" s="386"/>
      <c r="T353" s="386"/>
      <c r="U353" s="386"/>
      <c r="V353" s="386"/>
      <c r="W353" s="386"/>
      <c r="X353" s="386"/>
      <c r="Y353" s="386"/>
      <c r="Z353" s="386"/>
      <c r="AA353" s="386"/>
      <c r="AB353" s="386"/>
      <c r="AC353" s="386"/>
    </row>
    <row r="354">
      <c r="H354" s="386"/>
      <c r="I354" s="386"/>
      <c r="J354" s="386"/>
      <c r="K354" s="386"/>
      <c r="L354" s="386"/>
      <c r="M354" s="386"/>
      <c r="N354" s="386"/>
      <c r="O354" s="386"/>
      <c r="P354" s="386"/>
      <c r="Q354" s="386"/>
      <c r="R354" s="386"/>
      <c r="S354" s="386"/>
      <c r="T354" s="386"/>
      <c r="U354" s="386"/>
      <c r="V354" s="386"/>
      <c r="W354" s="386"/>
      <c r="X354" s="386"/>
      <c r="Y354" s="386"/>
      <c r="Z354" s="386"/>
      <c r="AA354" s="386"/>
      <c r="AB354" s="386"/>
      <c r="AC354" s="386"/>
    </row>
    <row r="355">
      <c r="H355" s="386"/>
      <c r="I355" s="386"/>
      <c r="J355" s="386"/>
      <c r="K355" s="386"/>
      <c r="L355" s="386"/>
      <c r="M355" s="386"/>
      <c r="N355" s="386"/>
      <c r="O355" s="386"/>
      <c r="P355" s="386"/>
      <c r="Q355" s="386"/>
      <c r="R355" s="386"/>
      <c r="S355" s="386"/>
      <c r="T355" s="386"/>
      <c r="U355" s="386"/>
      <c r="V355" s="386"/>
      <c r="W355" s="386"/>
      <c r="X355" s="386"/>
      <c r="Y355" s="386"/>
      <c r="Z355" s="386"/>
      <c r="AA355" s="386"/>
      <c r="AB355" s="386"/>
      <c r="AC355" s="386"/>
    </row>
    <row r="356">
      <c r="H356" s="386"/>
      <c r="I356" s="386"/>
      <c r="J356" s="386"/>
      <c r="K356" s="386"/>
      <c r="L356" s="386"/>
      <c r="M356" s="386"/>
      <c r="N356" s="386"/>
      <c r="O356" s="386"/>
      <c r="P356" s="386"/>
      <c r="Q356" s="386"/>
      <c r="R356" s="386"/>
      <c r="S356" s="386"/>
      <c r="T356" s="386"/>
      <c r="U356" s="386"/>
      <c r="V356" s="386"/>
      <c r="W356" s="386"/>
      <c r="X356" s="386"/>
      <c r="Y356" s="386"/>
      <c r="Z356" s="386"/>
      <c r="AA356" s="386"/>
      <c r="AB356" s="386"/>
      <c r="AC356" s="386"/>
    </row>
    <row r="357">
      <c r="H357" s="386"/>
      <c r="I357" s="386"/>
      <c r="J357" s="386"/>
      <c r="K357" s="386"/>
      <c r="L357" s="386"/>
      <c r="M357" s="386"/>
      <c r="N357" s="386"/>
      <c r="O357" s="386"/>
      <c r="P357" s="386"/>
      <c r="Q357" s="386"/>
      <c r="R357" s="386"/>
      <c r="S357" s="386"/>
      <c r="T357" s="386"/>
      <c r="U357" s="386"/>
      <c r="V357" s="386"/>
      <c r="W357" s="386"/>
      <c r="X357" s="386"/>
      <c r="Y357" s="386"/>
      <c r="Z357" s="386"/>
      <c r="AA357" s="386"/>
      <c r="AB357" s="386"/>
      <c r="AC357" s="386"/>
    </row>
    <row r="358">
      <c r="H358" s="386"/>
      <c r="I358" s="386"/>
      <c r="J358" s="386"/>
      <c r="K358" s="386"/>
      <c r="L358" s="386"/>
      <c r="M358" s="386"/>
      <c r="N358" s="386"/>
      <c r="O358" s="386"/>
      <c r="P358" s="386"/>
      <c r="Q358" s="386"/>
      <c r="R358" s="386"/>
      <c r="S358" s="386"/>
      <c r="T358" s="386"/>
      <c r="U358" s="386"/>
      <c r="V358" s="386"/>
      <c r="W358" s="386"/>
      <c r="X358" s="386"/>
      <c r="Y358" s="386"/>
      <c r="Z358" s="386"/>
      <c r="AA358" s="386"/>
      <c r="AB358" s="386"/>
      <c r="AC358" s="386"/>
    </row>
    <row r="359">
      <c r="H359" s="386"/>
      <c r="I359" s="386"/>
      <c r="J359" s="386"/>
      <c r="K359" s="386"/>
      <c r="L359" s="386"/>
      <c r="M359" s="386"/>
      <c r="N359" s="386"/>
      <c r="O359" s="386"/>
      <c r="P359" s="386"/>
      <c r="Q359" s="386"/>
      <c r="R359" s="386"/>
      <c r="S359" s="386"/>
      <c r="T359" s="386"/>
      <c r="U359" s="386"/>
      <c r="V359" s="386"/>
      <c r="W359" s="386"/>
      <c r="X359" s="386"/>
      <c r="Y359" s="386"/>
      <c r="Z359" s="386"/>
      <c r="AA359" s="386"/>
      <c r="AB359" s="386"/>
      <c r="AC359" s="386"/>
    </row>
    <row r="360">
      <c r="H360" s="386"/>
      <c r="I360" s="386"/>
      <c r="J360" s="386"/>
      <c r="K360" s="386"/>
      <c r="L360" s="386"/>
      <c r="M360" s="386"/>
      <c r="N360" s="386"/>
      <c r="O360" s="386"/>
      <c r="P360" s="386"/>
      <c r="Q360" s="386"/>
      <c r="R360" s="386"/>
      <c r="S360" s="386"/>
      <c r="T360" s="386"/>
      <c r="U360" s="386"/>
      <c r="V360" s="386"/>
      <c r="W360" s="386"/>
      <c r="X360" s="386"/>
      <c r="Y360" s="386"/>
      <c r="Z360" s="386"/>
      <c r="AA360" s="386"/>
      <c r="AB360" s="386"/>
      <c r="AC360" s="386"/>
    </row>
    <row r="361">
      <c r="H361" s="386"/>
      <c r="I361" s="386"/>
      <c r="J361" s="386"/>
      <c r="K361" s="386"/>
      <c r="L361" s="386"/>
      <c r="M361" s="386"/>
      <c r="N361" s="386"/>
      <c r="O361" s="386"/>
      <c r="P361" s="386"/>
      <c r="Q361" s="386"/>
      <c r="R361" s="386"/>
      <c r="S361" s="386"/>
      <c r="T361" s="386"/>
      <c r="U361" s="386"/>
      <c r="V361" s="386"/>
      <c r="W361" s="386"/>
      <c r="X361" s="386"/>
      <c r="Y361" s="386"/>
      <c r="Z361" s="386"/>
      <c r="AA361" s="386"/>
      <c r="AB361" s="386"/>
      <c r="AC361" s="386"/>
    </row>
    <row r="362">
      <c r="H362" s="386"/>
      <c r="I362" s="386"/>
      <c r="J362" s="386"/>
      <c r="K362" s="386"/>
      <c r="L362" s="386"/>
      <c r="M362" s="386"/>
      <c r="N362" s="386"/>
      <c r="O362" s="386"/>
      <c r="P362" s="386"/>
      <c r="Q362" s="386"/>
      <c r="R362" s="386"/>
      <c r="S362" s="386"/>
      <c r="T362" s="386"/>
      <c r="U362" s="386"/>
      <c r="V362" s="386"/>
      <c r="W362" s="386"/>
      <c r="X362" s="386"/>
      <c r="Y362" s="386"/>
      <c r="Z362" s="386"/>
      <c r="AA362" s="386"/>
      <c r="AB362" s="386"/>
      <c r="AC362" s="386"/>
    </row>
    <row r="363">
      <c r="H363" s="386"/>
      <c r="I363" s="386"/>
      <c r="J363" s="386"/>
      <c r="K363" s="386"/>
      <c r="L363" s="386"/>
      <c r="M363" s="386"/>
      <c r="N363" s="386"/>
      <c r="O363" s="386"/>
      <c r="P363" s="386"/>
      <c r="Q363" s="386"/>
      <c r="R363" s="386"/>
      <c r="S363" s="386"/>
      <c r="T363" s="386"/>
      <c r="U363" s="386"/>
      <c r="V363" s="386"/>
      <c r="W363" s="386"/>
      <c r="X363" s="386"/>
      <c r="Y363" s="386"/>
      <c r="Z363" s="386"/>
      <c r="AA363" s="386"/>
      <c r="AB363" s="386"/>
      <c r="AC363" s="386"/>
    </row>
    <row r="364">
      <c r="H364" s="386"/>
      <c r="I364" s="386"/>
      <c r="J364" s="386"/>
      <c r="K364" s="386"/>
      <c r="L364" s="386"/>
      <c r="M364" s="386"/>
      <c r="N364" s="386"/>
      <c r="O364" s="386"/>
      <c r="P364" s="386"/>
      <c r="Q364" s="386"/>
      <c r="R364" s="386"/>
      <c r="S364" s="386"/>
      <c r="T364" s="386"/>
      <c r="U364" s="386"/>
      <c r="V364" s="386"/>
      <c r="W364" s="386"/>
      <c r="X364" s="386"/>
      <c r="Y364" s="386"/>
      <c r="Z364" s="386"/>
      <c r="AA364" s="386"/>
      <c r="AB364" s="386"/>
      <c r="AC364" s="386"/>
    </row>
    <row r="365">
      <c r="H365" s="386"/>
      <c r="I365" s="386"/>
      <c r="J365" s="386"/>
      <c r="K365" s="386"/>
      <c r="L365" s="386"/>
      <c r="M365" s="386"/>
      <c r="N365" s="386"/>
      <c r="O365" s="386"/>
      <c r="P365" s="386"/>
      <c r="Q365" s="386"/>
      <c r="R365" s="386"/>
      <c r="S365" s="386"/>
      <c r="T365" s="386"/>
      <c r="U365" s="386"/>
      <c r="V365" s="386"/>
      <c r="W365" s="386"/>
      <c r="X365" s="386"/>
      <c r="Y365" s="386"/>
      <c r="Z365" s="386"/>
      <c r="AA365" s="386"/>
      <c r="AB365" s="386"/>
      <c r="AC365" s="386"/>
    </row>
    <row r="366">
      <c r="H366" s="386"/>
      <c r="I366" s="386"/>
      <c r="J366" s="386"/>
      <c r="K366" s="386"/>
      <c r="L366" s="386"/>
      <c r="M366" s="386"/>
      <c r="N366" s="386"/>
      <c r="O366" s="386"/>
      <c r="P366" s="386"/>
      <c r="Q366" s="386"/>
      <c r="R366" s="386"/>
      <c r="S366" s="386"/>
      <c r="T366" s="386"/>
      <c r="U366" s="386"/>
      <c r="V366" s="386"/>
      <c r="W366" s="386"/>
      <c r="X366" s="386"/>
      <c r="Y366" s="386"/>
      <c r="Z366" s="386"/>
      <c r="AA366" s="386"/>
      <c r="AB366" s="386"/>
      <c r="AC366" s="386"/>
    </row>
    <row r="367">
      <c r="H367" s="386"/>
      <c r="I367" s="386"/>
      <c r="J367" s="386"/>
      <c r="K367" s="386"/>
      <c r="L367" s="386"/>
      <c r="M367" s="386"/>
      <c r="N367" s="386"/>
      <c r="O367" s="386"/>
      <c r="P367" s="386"/>
      <c r="Q367" s="386"/>
      <c r="R367" s="386"/>
      <c r="S367" s="386"/>
      <c r="T367" s="386"/>
      <c r="U367" s="386"/>
      <c r="V367" s="386"/>
      <c r="W367" s="386"/>
      <c r="X367" s="386"/>
      <c r="Y367" s="386"/>
      <c r="Z367" s="386"/>
      <c r="AA367" s="386"/>
      <c r="AB367" s="386"/>
      <c r="AC367" s="386"/>
    </row>
    <row r="368">
      <c r="H368" s="386"/>
      <c r="I368" s="386"/>
      <c r="J368" s="386"/>
      <c r="K368" s="386"/>
      <c r="L368" s="386"/>
      <c r="M368" s="386"/>
      <c r="N368" s="386"/>
      <c r="O368" s="386"/>
      <c r="P368" s="386"/>
      <c r="Q368" s="386"/>
      <c r="R368" s="386"/>
      <c r="S368" s="386"/>
      <c r="T368" s="386"/>
      <c r="U368" s="386"/>
      <c r="V368" s="386"/>
      <c r="W368" s="386"/>
      <c r="X368" s="386"/>
      <c r="Y368" s="386"/>
      <c r="Z368" s="386"/>
      <c r="AA368" s="386"/>
      <c r="AB368" s="386"/>
      <c r="AC368" s="386"/>
    </row>
    <row r="369">
      <c r="H369" s="386"/>
      <c r="I369" s="386"/>
      <c r="J369" s="386"/>
      <c r="K369" s="386"/>
      <c r="L369" s="386"/>
      <c r="M369" s="386"/>
      <c r="N369" s="386"/>
      <c r="O369" s="386"/>
      <c r="P369" s="386"/>
      <c r="Q369" s="386"/>
      <c r="R369" s="386"/>
      <c r="S369" s="386"/>
      <c r="T369" s="386"/>
      <c r="U369" s="386"/>
      <c r="V369" s="386"/>
      <c r="W369" s="386"/>
      <c r="X369" s="386"/>
      <c r="Y369" s="386"/>
      <c r="Z369" s="386"/>
      <c r="AA369" s="386"/>
      <c r="AB369" s="386"/>
      <c r="AC369" s="386"/>
    </row>
    <row r="370">
      <c r="H370" s="386"/>
      <c r="I370" s="386"/>
      <c r="J370" s="386"/>
      <c r="K370" s="386"/>
      <c r="L370" s="386"/>
      <c r="M370" s="386"/>
      <c r="N370" s="386"/>
      <c r="O370" s="386"/>
      <c r="P370" s="386"/>
      <c r="Q370" s="386"/>
      <c r="R370" s="386"/>
      <c r="S370" s="386"/>
      <c r="T370" s="386"/>
      <c r="U370" s="386"/>
      <c r="V370" s="386"/>
      <c r="W370" s="386"/>
      <c r="X370" s="386"/>
      <c r="Y370" s="386"/>
      <c r="Z370" s="386"/>
      <c r="AA370" s="386"/>
      <c r="AB370" s="386"/>
      <c r="AC370" s="386"/>
    </row>
    <row r="371">
      <c r="H371" s="386"/>
      <c r="I371" s="386"/>
      <c r="J371" s="386"/>
      <c r="K371" s="386"/>
      <c r="L371" s="386"/>
      <c r="M371" s="386"/>
      <c r="N371" s="386"/>
      <c r="O371" s="386"/>
      <c r="P371" s="386"/>
      <c r="Q371" s="386"/>
      <c r="R371" s="386"/>
      <c r="S371" s="386"/>
      <c r="T371" s="386"/>
      <c r="U371" s="386"/>
      <c r="V371" s="386"/>
      <c r="W371" s="386"/>
      <c r="X371" s="386"/>
      <c r="Y371" s="386"/>
      <c r="Z371" s="386"/>
      <c r="AA371" s="386"/>
      <c r="AB371" s="386"/>
      <c r="AC371" s="386"/>
    </row>
    <row r="372">
      <c r="H372" s="386"/>
      <c r="I372" s="386"/>
      <c r="J372" s="386"/>
      <c r="K372" s="386"/>
      <c r="L372" s="386"/>
      <c r="M372" s="386"/>
      <c r="N372" s="386"/>
      <c r="O372" s="386"/>
      <c r="P372" s="386"/>
      <c r="Q372" s="386"/>
      <c r="R372" s="386"/>
      <c r="S372" s="386"/>
      <c r="T372" s="386"/>
      <c r="U372" s="386"/>
      <c r="V372" s="386"/>
      <c r="W372" s="386"/>
      <c r="X372" s="386"/>
      <c r="Y372" s="386"/>
      <c r="Z372" s="386"/>
      <c r="AA372" s="386"/>
      <c r="AB372" s="386"/>
      <c r="AC372" s="386"/>
    </row>
    <row r="373">
      <c r="H373" s="386"/>
      <c r="I373" s="386"/>
      <c r="J373" s="386"/>
      <c r="K373" s="386"/>
      <c r="L373" s="386"/>
      <c r="M373" s="386"/>
      <c r="N373" s="386"/>
      <c r="O373" s="386"/>
      <c r="P373" s="386"/>
      <c r="Q373" s="386"/>
      <c r="R373" s="386"/>
      <c r="S373" s="386"/>
      <c r="T373" s="386"/>
      <c r="U373" s="386"/>
      <c r="V373" s="386"/>
      <c r="W373" s="386"/>
      <c r="X373" s="386"/>
      <c r="Y373" s="386"/>
      <c r="Z373" s="386"/>
      <c r="AA373" s="386"/>
      <c r="AB373" s="386"/>
      <c r="AC373" s="386"/>
    </row>
    <row r="374">
      <c r="H374" s="386"/>
      <c r="I374" s="386"/>
      <c r="J374" s="386"/>
      <c r="K374" s="386"/>
      <c r="L374" s="386"/>
      <c r="M374" s="386"/>
      <c r="N374" s="386"/>
      <c r="O374" s="386"/>
      <c r="P374" s="386"/>
      <c r="Q374" s="386"/>
      <c r="R374" s="386"/>
      <c r="S374" s="386"/>
      <c r="T374" s="386"/>
      <c r="U374" s="386"/>
      <c r="V374" s="386"/>
      <c r="W374" s="386"/>
      <c r="X374" s="386"/>
      <c r="Y374" s="386"/>
      <c r="Z374" s="386"/>
      <c r="AA374" s="386"/>
      <c r="AB374" s="386"/>
      <c r="AC374" s="386"/>
    </row>
    <row r="375">
      <c r="H375" s="386"/>
      <c r="I375" s="386"/>
      <c r="J375" s="386"/>
      <c r="K375" s="386"/>
      <c r="L375" s="386"/>
      <c r="M375" s="386"/>
      <c r="N375" s="386"/>
      <c r="O375" s="386"/>
      <c r="P375" s="386"/>
      <c r="Q375" s="386"/>
      <c r="R375" s="386"/>
      <c r="S375" s="386"/>
      <c r="T375" s="386"/>
      <c r="U375" s="386"/>
      <c r="V375" s="386"/>
      <c r="W375" s="386"/>
      <c r="X375" s="386"/>
      <c r="Y375" s="386"/>
      <c r="Z375" s="386"/>
      <c r="AA375" s="386"/>
      <c r="AB375" s="386"/>
      <c r="AC375" s="386"/>
    </row>
    <row r="376">
      <c r="H376" s="386"/>
      <c r="I376" s="386"/>
      <c r="J376" s="386"/>
      <c r="K376" s="386"/>
      <c r="L376" s="386"/>
      <c r="M376" s="386"/>
      <c r="N376" s="386"/>
      <c r="O376" s="386"/>
      <c r="P376" s="386"/>
      <c r="Q376" s="386"/>
      <c r="R376" s="386"/>
      <c r="S376" s="386"/>
      <c r="T376" s="386"/>
      <c r="U376" s="386"/>
      <c r="V376" s="386"/>
      <c r="W376" s="386"/>
      <c r="X376" s="386"/>
      <c r="Y376" s="386"/>
      <c r="Z376" s="386"/>
      <c r="AA376" s="386"/>
      <c r="AB376" s="386"/>
      <c r="AC376" s="386"/>
    </row>
    <row r="377">
      <c r="H377" s="386"/>
      <c r="I377" s="386"/>
      <c r="J377" s="386"/>
      <c r="K377" s="386"/>
      <c r="L377" s="386"/>
      <c r="M377" s="386"/>
      <c r="N377" s="386"/>
      <c r="O377" s="386"/>
      <c r="P377" s="386"/>
      <c r="Q377" s="386"/>
      <c r="R377" s="386"/>
      <c r="S377" s="386"/>
      <c r="T377" s="386"/>
      <c r="U377" s="386"/>
      <c r="V377" s="386"/>
      <c r="W377" s="386"/>
      <c r="X377" s="386"/>
      <c r="Y377" s="386"/>
      <c r="Z377" s="386"/>
      <c r="AA377" s="386"/>
      <c r="AB377" s="386"/>
      <c r="AC377" s="386"/>
    </row>
    <row r="378">
      <c r="H378" s="386"/>
      <c r="I378" s="386"/>
      <c r="J378" s="386"/>
      <c r="K378" s="386"/>
      <c r="L378" s="386"/>
      <c r="M378" s="386"/>
      <c r="N378" s="386"/>
      <c r="O378" s="386"/>
      <c r="P378" s="386"/>
      <c r="Q378" s="386"/>
      <c r="R378" s="386"/>
      <c r="S378" s="386"/>
      <c r="T378" s="386"/>
      <c r="U378" s="386"/>
      <c r="V378" s="386"/>
      <c r="W378" s="386"/>
      <c r="X378" s="386"/>
      <c r="Y378" s="386"/>
      <c r="Z378" s="386"/>
      <c r="AA378" s="386"/>
      <c r="AB378" s="386"/>
      <c r="AC378" s="386"/>
    </row>
    <row r="379">
      <c r="H379" s="386"/>
      <c r="I379" s="386"/>
      <c r="J379" s="386"/>
      <c r="K379" s="386"/>
      <c r="L379" s="386"/>
      <c r="M379" s="386"/>
      <c r="N379" s="386"/>
      <c r="O379" s="386"/>
      <c r="P379" s="386"/>
      <c r="Q379" s="386"/>
      <c r="R379" s="386"/>
      <c r="S379" s="386"/>
      <c r="T379" s="386"/>
      <c r="U379" s="386"/>
      <c r="V379" s="386"/>
      <c r="W379" s="386"/>
      <c r="X379" s="386"/>
      <c r="Y379" s="386"/>
      <c r="Z379" s="386"/>
      <c r="AA379" s="386"/>
      <c r="AB379" s="386"/>
      <c r="AC379" s="386"/>
    </row>
    <row r="380">
      <c r="H380" s="386"/>
      <c r="I380" s="386"/>
      <c r="J380" s="386"/>
      <c r="K380" s="386"/>
      <c r="L380" s="386"/>
      <c r="M380" s="386"/>
      <c r="N380" s="386"/>
      <c r="O380" s="386"/>
      <c r="P380" s="386"/>
      <c r="Q380" s="386"/>
      <c r="R380" s="386"/>
      <c r="S380" s="386"/>
      <c r="T380" s="386"/>
      <c r="U380" s="386"/>
      <c r="V380" s="386"/>
      <c r="W380" s="386"/>
      <c r="X380" s="386"/>
      <c r="Y380" s="386"/>
      <c r="Z380" s="386"/>
      <c r="AA380" s="386"/>
      <c r="AB380" s="386"/>
      <c r="AC380" s="386"/>
    </row>
    <row r="381">
      <c r="H381" s="386"/>
      <c r="I381" s="386"/>
      <c r="J381" s="386"/>
      <c r="K381" s="386"/>
      <c r="L381" s="386"/>
      <c r="M381" s="386"/>
      <c r="N381" s="386"/>
      <c r="O381" s="386"/>
      <c r="P381" s="386"/>
      <c r="Q381" s="386"/>
      <c r="R381" s="386"/>
      <c r="S381" s="386"/>
      <c r="T381" s="386"/>
      <c r="U381" s="386"/>
      <c r="V381" s="386"/>
      <c r="W381" s="386"/>
      <c r="X381" s="386"/>
      <c r="Y381" s="386"/>
      <c r="Z381" s="386"/>
      <c r="AA381" s="386"/>
      <c r="AB381" s="386"/>
      <c r="AC381" s="386"/>
    </row>
    <row r="382">
      <c r="H382" s="386"/>
      <c r="I382" s="386"/>
      <c r="J382" s="386"/>
      <c r="K382" s="386"/>
      <c r="L382" s="386"/>
      <c r="M382" s="386"/>
      <c r="N382" s="386"/>
      <c r="O382" s="386"/>
      <c r="P382" s="386"/>
      <c r="Q382" s="386"/>
      <c r="R382" s="386"/>
      <c r="S382" s="386"/>
      <c r="T382" s="386"/>
      <c r="U382" s="386"/>
      <c r="V382" s="386"/>
      <c r="W382" s="386"/>
      <c r="X382" s="386"/>
      <c r="Y382" s="386"/>
      <c r="Z382" s="386"/>
      <c r="AA382" s="386"/>
      <c r="AB382" s="386"/>
      <c r="AC382" s="386"/>
    </row>
    <row r="383">
      <c r="H383" s="386"/>
      <c r="I383" s="386"/>
      <c r="J383" s="386"/>
      <c r="K383" s="386"/>
      <c r="L383" s="386"/>
      <c r="M383" s="386"/>
      <c r="N383" s="386"/>
      <c r="O383" s="386"/>
      <c r="P383" s="386"/>
      <c r="Q383" s="386"/>
      <c r="R383" s="386"/>
      <c r="S383" s="386"/>
      <c r="T383" s="386"/>
      <c r="U383" s="386"/>
      <c r="V383" s="386"/>
      <c r="W383" s="386"/>
      <c r="X383" s="386"/>
      <c r="Y383" s="386"/>
      <c r="Z383" s="386"/>
      <c r="AA383" s="386"/>
      <c r="AB383" s="386"/>
      <c r="AC383" s="386"/>
    </row>
    <row r="384">
      <c r="H384" s="386"/>
      <c r="I384" s="386"/>
      <c r="J384" s="386"/>
      <c r="K384" s="386"/>
      <c r="L384" s="386"/>
      <c r="M384" s="386"/>
      <c r="N384" s="386"/>
      <c r="O384" s="386"/>
      <c r="P384" s="386"/>
      <c r="Q384" s="386"/>
      <c r="R384" s="386"/>
      <c r="S384" s="386"/>
      <c r="T384" s="386"/>
      <c r="U384" s="386"/>
      <c r="V384" s="386"/>
      <c r="W384" s="386"/>
      <c r="X384" s="386"/>
      <c r="Y384" s="386"/>
      <c r="Z384" s="386"/>
      <c r="AA384" s="386"/>
      <c r="AB384" s="386"/>
      <c r="AC384" s="386"/>
    </row>
    <row r="385">
      <c r="H385" s="386"/>
      <c r="I385" s="386"/>
      <c r="J385" s="386"/>
      <c r="K385" s="386"/>
      <c r="L385" s="386"/>
      <c r="M385" s="386"/>
      <c r="N385" s="386"/>
      <c r="O385" s="386"/>
      <c r="P385" s="386"/>
      <c r="Q385" s="386"/>
      <c r="R385" s="386"/>
      <c r="S385" s="386"/>
      <c r="T385" s="386"/>
      <c r="U385" s="386"/>
      <c r="V385" s="386"/>
      <c r="W385" s="386"/>
      <c r="X385" s="386"/>
      <c r="Y385" s="386"/>
      <c r="Z385" s="386"/>
      <c r="AA385" s="386"/>
      <c r="AB385" s="386"/>
      <c r="AC385" s="386"/>
    </row>
    <row r="386">
      <c r="H386" s="386"/>
      <c r="I386" s="386"/>
      <c r="J386" s="386"/>
      <c r="K386" s="386"/>
      <c r="L386" s="386"/>
      <c r="M386" s="386"/>
      <c r="N386" s="386"/>
      <c r="O386" s="386"/>
      <c r="P386" s="386"/>
      <c r="Q386" s="386"/>
      <c r="R386" s="386"/>
      <c r="S386" s="386"/>
      <c r="T386" s="386"/>
      <c r="U386" s="386"/>
      <c r="V386" s="386"/>
      <c r="W386" s="386"/>
      <c r="X386" s="386"/>
      <c r="Y386" s="386"/>
      <c r="Z386" s="386"/>
      <c r="AA386" s="386"/>
      <c r="AB386" s="386"/>
      <c r="AC386" s="386"/>
    </row>
    <row r="387">
      <c r="H387" s="386"/>
      <c r="I387" s="386"/>
      <c r="J387" s="386"/>
      <c r="K387" s="386"/>
      <c r="L387" s="386"/>
      <c r="M387" s="386"/>
      <c r="N387" s="386"/>
      <c r="O387" s="386"/>
      <c r="P387" s="386"/>
      <c r="Q387" s="386"/>
      <c r="R387" s="386"/>
      <c r="S387" s="386"/>
      <c r="T387" s="386"/>
      <c r="U387" s="386"/>
      <c r="V387" s="386"/>
      <c r="W387" s="386"/>
      <c r="X387" s="386"/>
      <c r="Y387" s="386"/>
      <c r="Z387" s="386"/>
      <c r="AA387" s="386"/>
      <c r="AB387" s="386"/>
      <c r="AC387" s="386"/>
    </row>
    <row r="388">
      <c r="H388" s="386"/>
      <c r="I388" s="386"/>
      <c r="J388" s="386"/>
      <c r="K388" s="386"/>
      <c r="L388" s="386"/>
      <c r="M388" s="386"/>
      <c r="N388" s="386"/>
      <c r="O388" s="386"/>
      <c r="P388" s="386"/>
      <c r="Q388" s="386"/>
      <c r="R388" s="386"/>
      <c r="S388" s="386"/>
      <c r="T388" s="386"/>
      <c r="U388" s="386"/>
      <c r="V388" s="386"/>
      <c r="W388" s="386"/>
      <c r="X388" s="386"/>
      <c r="Y388" s="386"/>
      <c r="Z388" s="386"/>
      <c r="AA388" s="386"/>
      <c r="AB388" s="386"/>
      <c r="AC388" s="386"/>
    </row>
    <row r="389">
      <c r="H389" s="386"/>
      <c r="I389" s="386"/>
      <c r="J389" s="386"/>
      <c r="K389" s="386"/>
      <c r="L389" s="386"/>
      <c r="M389" s="386"/>
      <c r="N389" s="386"/>
      <c r="O389" s="386"/>
      <c r="P389" s="386"/>
      <c r="Q389" s="386"/>
      <c r="R389" s="386"/>
      <c r="S389" s="386"/>
      <c r="T389" s="386"/>
      <c r="U389" s="386"/>
      <c r="V389" s="386"/>
      <c r="W389" s="386"/>
      <c r="X389" s="386"/>
      <c r="Y389" s="386"/>
      <c r="Z389" s="386"/>
      <c r="AA389" s="386"/>
      <c r="AB389" s="386"/>
      <c r="AC389" s="386"/>
    </row>
    <row r="390">
      <c r="H390" s="386"/>
      <c r="I390" s="386"/>
      <c r="J390" s="386"/>
      <c r="K390" s="386"/>
      <c r="L390" s="386"/>
      <c r="M390" s="386"/>
      <c r="N390" s="386"/>
      <c r="O390" s="386"/>
      <c r="P390" s="386"/>
      <c r="Q390" s="386"/>
      <c r="R390" s="386"/>
      <c r="S390" s="386"/>
      <c r="T390" s="386"/>
      <c r="U390" s="386"/>
      <c r="V390" s="386"/>
      <c r="W390" s="386"/>
      <c r="X390" s="386"/>
      <c r="Y390" s="386"/>
      <c r="Z390" s="386"/>
      <c r="AA390" s="386"/>
      <c r="AB390" s="386"/>
      <c r="AC390" s="386"/>
    </row>
    <row r="391">
      <c r="H391" s="386"/>
      <c r="I391" s="386"/>
      <c r="J391" s="386"/>
      <c r="K391" s="386"/>
      <c r="L391" s="386"/>
      <c r="M391" s="386"/>
      <c r="N391" s="386"/>
      <c r="O391" s="386"/>
      <c r="P391" s="386"/>
      <c r="Q391" s="386"/>
      <c r="R391" s="386"/>
      <c r="S391" s="386"/>
      <c r="T391" s="386"/>
      <c r="U391" s="386"/>
      <c r="V391" s="386"/>
      <c r="W391" s="386"/>
      <c r="X391" s="386"/>
      <c r="Y391" s="386"/>
      <c r="Z391" s="386"/>
      <c r="AA391" s="386"/>
      <c r="AB391" s="386"/>
      <c r="AC391" s="386"/>
    </row>
    <row r="392">
      <c r="H392" s="386"/>
      <c r="I392" s="386"/>
      <c r="J392" s="386"/>
      <c r="K392" s="386"/>
      <c r="L392" s="386"/>
      <c r="M392" s="386"/>
      <c r="N392" s="386"/>
      <c r="O392" s="386"/>
      <c r="P392" s="386"/>
      <c r="Q392" s="386"/>
      <c r="R392" s="386"/>
      <c r="S392" s="386"/>
      <c r="T392" s="386"/>
      <c r="U392" s="386"/>
      <c r="V392" s="386"/>
      <c r="W392" s="386"/>
      <c r="X392" s="386"/>
      <c r="Y392" s="386"/>
      <c r="Z392" s="386"/>
      <c r="AA392" s="386"/>
      <c r="AB392" s="386"/>
      <c r="AC392" s="386"/>
    </row>
    <row r="393">
      <c r="H393" s="386"/>
      <c r="I393" s="386"/>
      <c r="J393" s="386"/>
      <c r="K393" s="386"/>
      <c r="L393" s="386"/>
      <c r="M393" s="386"/>
      <c r="N393" s="386"/>
      <c r="O393" s="386"/>
      <c r="P393" s="386"/>
      <c r="Q393" s="386"/>
      <c r="R393" s="386"/>
      <c r="S393" s="386"/>
      <c r="T393" s="386"/>
      <c r="U393" s="386"/>
      <c r="V393" s="386"/>
      <c r="W393" s="386"/>
      <c r="X393" s="386"/>
      <c r="Y393" s="386"/>
      <c r="Z393" s="386"/>
      <c r="AA393" s="386"/>
      <c r="AB393" s="386"/>
      <c r="AC393" s="386"/>
    </row>
    <row r="394">
      <c r="H394" s="386"/>
      <c r="I394" s="386"/>
      <c r="J394" s="386"/>
      <c r="K394" s="386"/>
      <c r="L394" s="386"/>
      <c r="M394" s="386"/>
      <c r="N394" s="386"/>
      <c r="O394" s="386"/>
      <c r="P394" s="386"/>
      <c r="Q394" s="386"/>
      <c r="R394" s="386"/>
      <c r="S394" s="386"/>
      <c r="T394" s="386"/>
      <c r="U394" s="386"/>
      <c r="V394" s="386"/>
      <c r="W394" s="386"/>
      <c r="X394" s="386"/>
      <c r="Y394" s="386"/>
      <c r="Z394" s="386"/>
      <c r="AA394" s="386"/>
      <c r="AB394" s="386"/>
      <c r="AC394" s="386"/>
    </row>
    <row r="395">
      <c r="H395" s="386"/>
      <c r="I395" s="386"/>
      <c r="J395" s="386"/>
      <c r="K395" s="386"/>
      <c r="L395" s="386"/>
      <c r="M395" s="386"/>
      <c r="N395" s="386"/>
      <c r="O395" s="386"/>
      <c r="P395" s="386"/>
      <c r="Q395" s="386"/>
      <c r="R395" s="386"/>
      <c r="S395" s="386"/>
      <c r="T395" s="386"/>
      <c r="U395" s="386"/>
      <c r="V395" s="386"/>
      <c r="W395" s="386"/>
      <c r="X395" s="386"/>
      <c r="Y395" s="386"/>
      <c r="Z395" s="386"/>
      <c r="AA395" s="386"/>
      <c r="AB395" s="386"/>
      <c r="AC395" s="386"/>
    </row>
    <row r="396">
      <c r="H396" s="386"/>
      <c r="I396" s="386"/>
      <c r="J396" s="386"/>
      <c r="K396" s="386"/>
      <c r="L396" s="386"/>
      <c r="M396" s="386"/>
      <c r="N396" s="386"/>
      <c r="O396" s="386"/>
      <c r="P396" s="386"/>
      <c r="Q396" s="386"/>
      <c r="R396" s="386"/>
      <c r="S396" s="386"/>
      <c r="T396" s="386"/>
      <c r="U396" s="386"/>
      <c r="V396" s="386"/>
      <c r="W396" s="386"/>
      <c r="X396" s="386"/>
      <c r="Y396" s="386"/>
      <c r="Z396" s="386"/>
      <c r="AA396" s="386"/>
      <c r="AB396" s="386"/>
      <c r="AC396" s="386"/>
    </row>
    <row r="397">
      <c r="H397" s="386"/>
      <c r="I397" s="386"/>
      <c r="J397" s="386"/>
      <c r="K397" s="386"/>
      <c r="L397" s="386"/>
      <c r="M397" s="386"/>
      <c r="N397" s="386"/>
      <c r="O397" s="386"/>
      <c r="P397" s="386"/>
      <c r="Q397" s="386"/>
      <c r="R397" s="386"/>
      <c r="S397" s="386"/>
      <c r="T397" s="386"/>
      <c r="U397" s="386"/>
      <c r="V397" s="386"/>
      <c r="W397" s="386"/>
      <c r="X397" s="386"/>
      <c r="Y397" s="386"/>
      <c r="Z397" s="386"/>
      <c r="AA397" s="386"/>
      <c r="AB397" s="386"/>
      <c r="AC397" s="386"/>
    </row>
    <row r="398">
      <c r="H398" s="386"/>
      <c r="I398" s="386"/>
      <c r="J398" s="386"/>
      <c r="K398" s="386"/>
      <c r="L398" s="386"/>
      <c r="M398" s="386"/>
      <c r="N398" s="386"/>
      <c r="O398" s="386"/>
      <c r="P398" s="386"/>
      <c r="Q398" s="386"/>
      <c r="R398" s="386"/>
      <c r="S398" s="386"/>
      <c r="T398" s="386"/>
      <c r="U398" s="386"/>
      <c r="V398" s="386"/>
      <c r="W398" s="386"/>
      <c r="X398" s="386"/>
      <c r="Y398" s="386"/>
      <c r="Z398" s="386"/>
      <c r="AA398" s="386"/>
      <c r="AB398" s="386"/>
      <c r="AC398" s="386"/>
    </row>
    <row r="399">
      <c r="H399" s="386"/>
      <c r="I399" s="386"/>
      <c r="J399" s="386"/>
      <c r="K399" s="386"/>
      <c r="L399" s="386"/>
      <c r="M399" s="386"/>
      <c r="N399" s="386"/>
      <c r="O399" s="386"/>
      <c r="P399" s="386"/>
      <c r="Q399" s="386"/>
      <c r="R399" s="386"/>
      <c r="S399" s="386"/>
      <c r="T399" s="386"/>
      <c r="U399" s="386"/>
      <c r="V399" s="386"/>
      <c r="W399" s="386"/>
      <c r="X399" s="386"/>
      <c r="Y399" s="386"/>
      <c r="Z399" s="386"/>
      <c r="AA399" s="386"/>
      <c r="AB399" s="386"/>
      <c r="AC399" s="386"/>
    </row>
    <row r="400">
      <c r="H400" s="386"/>
      <c r="I400" s="386"/>
      <c r="J400" s="386"/>
      <c r="K400" s="386"/>
      <c r="L400" s="386"/>
      <c r="M400" s="386"/>
      <c r="N400" s="386"/>
      <c r="O400" s="386"/>
      <c r="P400" s="386"/>
      <c r="Q400" s="386"/>
      <c r="R400" s="386"/>
      <c r="S400" s="386"/>
      <c r="T400" s="386"/>
      <c r="U400" s="386"/>
      <c r="V400" s="386"/>
      <c r="W400" s="386"/>
      <c r="X400" s="386"/>
      <c r="Y400" s="386"/>
      <c r="Z400" s="386"/>
      <c r="AA400" s="386"/>
      <c r="AB400" s="386"/>
      <c r="AC400" s="386"/>
    </row>
    <row r="401">
      <c r="H401" s="386"/>
      <c r="I401" s="386"/>
      <c r="J401" s="386"/>
      <c r="K401" s="386"/>
      <c r="L401" s="386"/>
      <c r="M401" s="386"/>
      <c r="N401" s="386"/>
      <c r="O401" s="386"/>
      <c r="P401" s="386"/>
      <c r="Q401" s="386"/>
      <c r="R401" s="386"/>
      <c r="S401" s="386"/>
      <c r="T401" s="386"/>
      <c r="U401" s="386"/>
      <c r="V401" s="386"/>
      <c r="W401" s="386"/>
      <c r="X401" s="386"/>
      <c r="Y401" s="386"/>
      <c r="Z401" s="386"/>
      <c r="AA401" s="386"/>
      <c r="AB401" s="386"/>
      <c r="AC401" s="386"/>
    </row>
    <row r="402">
      <c r="H402" s="386"/>
      <c r="I402" s="386"/>
      <c r="J402" s="386"/>
      <c r="K402" s="386"/>
      <c r="L402" s="386"/>
      <c r="M402" s="386"/>
      <c r="N402" s="386"/>
      <c r="O402" s="386"/>
      <c r="P402" s="386"/>
      <c r="Q402" s="386"/>
      <c r="R402" s="386"/>
      <c r="S402" s="386"/>
      <c r="T402" s="386"/>
      <c r="U402" s="386"/>
      <c r="V402" s="386"/>
      <c r="W402" s="386"/>
      <c r="X402" s="386"/>
      <c r="Y402" s="386"/>
      <c r="Z402" s="386"/>
      <c r="AA402" s="386"/>
      <c r="AB402" s="386"/>
      <c r="AC402" s="386"/>
    </row>
    <row r="403">
      <c r="H403" s="386"/>
      <c r="I403" s="386"/>
      <c r="J403" s="386"/>
      <c r="K403" s="386"/>
      <c r="L403" s="386"/>
      <c r="M403" s="386"/>
      <c r="N403" s="386"/>
      <c r="O403" s="386"/>
      <c r="P403" s="386"/>
      <c r="Q403" s="386"/>
      <c r="R403" s="386"/>
      <c r="S403" s="386"/>
      <c r="T403" s="386"/>
      <c r="U403" s="386"/>
      <c r="V403" s="386"/>
      <c r="W403" s="386"/>
      <c r="X403" s="386"/>
      <c r="Y403" s="386"/>
      <c r="Z403" s="386"/>
      <c r="AA403" s="386"/>
      <c r="AB403" s="386"/>
      <c r="AC403" s="386"/>
    </row>
    <row r="404">
      <c r="H404" s="386"/>
      <c r="I404" s="386"/>
      <c r="J404" s="386"/>
      <c r="K404" s="386"/>
      <c r="L404" s="386"/>
      <c r="M404" s="386"/>
      <c r="N404" s="386"/>
      <c r="O404" s="386"/>
      <c r="P404" s="386"/>
      <c r="Q404" s="386"/>
      <c r="R404" s="386"/>
      <c r="S404" s="386"/>
      <c r="T404" s="386"/>
      <c r="U404" s="386"/>
      <c r="V404" s="386"/>
      <c r="W404" s="386"/>
      <c r="X404" s="386"/>
      <c r="Y404" s="386"/>
      <c r="Z404" s="386"/>
      <c r="AA404" s="386"/>
      <c r="AB404" s="386"/>
      <c r="AC404" s="386"/>
    </row>
    <row r="405">
      <c r="H405" s="386"/>
      <c r="I405" s="386"/>
      <c r="J405" s="386"/>
      <c r="K405" s="386"/>
      <c r="L405" s="386"/>
      <c r="M405" s="386"/>
      <c r="N405" s="386"/>
      <c r="O405" s="386"/>
      <c r="P405" s="386"/>
      <c r="Q405" s="386"/>
      <c r="R405" s="386"/>
      <c r="S405" s="386"/>
      <c r="T405" s="386"/>
      <c r="U405" s="386"/>
      <c r="V405" s="386"/>
      <c r="W405" s="386"/>
      <c r="X405" s="386"/>
      <c r="Y405" s="386"/>
      <c r="Z405" s="386"/>
      <c r="AA405" s="386"/>
      <c r="AB405" s="386"/>
      <c r="AC405" s="386"/>
    </row>
    <row r="406">
      <c r="H406" s="386"/>
      <c r="I406" s="386"/>
      <c r="J406" s="386"/>
      <c r="K406" s="386"/>
      <c r="L406" s="386"/>
      <c r="M406" s="386"/>
      <c r="N406" s="386"/>
      <c r="O406" s="386"/>
      <c r="P406" s="386"/>
      <c r="Q406" s="386"/>
      <c r="R406" s="386"/>
      <c r="S406" s="386"/>
      <c r="T406" s="386"/>
      <c r="U406" s="386"/>
      <c r="V406" s="386"/>
      <c r="W406" s="386"/>
      <c r="X406" s="386"/>
      <c r="Y406" s="386"/>
      <c r="Z406" s="386"/>
      <c r="AA406" s="386"/>
      <c r="AB406" s="386"/>
      <c r="AC406" s="386"/>
    </row>
    <row r="407">
      <c r="H407" s="386"/>
      <c r="I407" s="386"/>
      <c r="J407" s="386"/>
      <c r="K407" s="386"/>
      <c r="L407" s="386"/>
      <c r="M407" s="386"/>
      <c r="N407" s="386"/>
      <c r="O407" s="386"/>
      <c r="P407" s="386"/>
      <c r="Q407" s="386"/>
      <c r="R407" s="386"/>
      <c r="S407" s="386"/>
      <c r="T407" s="386"/>
      <c r="U407" s="386"/>
      <c r="V407" s="386"/>
      <c r="W407" s="386"/>
      <c r="X407" s="386"/>
      <c r="Y407" s="386"/>
      <c r="Z407" s="386"/>
      <c r="AA407" s="386"/>
      <c r="AB407" s="386"/>
      <c r="AC407" s="386"/>
    </row>
    <row r="408">
      <c r="H408" s="386"/>
      <c r="I408" s="386"/>
      <c r="J408" s="386"/>
      <c r="K408" s="386"/>
      <c r="L408" s="386"/>
      <c r="M408" s="386"/>
      <c r="N408" s="386"/>
      <c r="O408" s="386"/>
      <c r="P408" s="386"/>
      <c r="Q408" s="386"/>
      <c r="R408" s="386"/>
      <c r="S408" s="386"/>
      <c r="T408" s="386"/>
      <c r="U408" s="386"/>
      <c r="V408" s="386"/>
      <c r="W408" s="386"/>
      <c r="X408" s="386"/>
      <c r="Y408" s="386"/>
      <c r="Z408" s="386"/>
      <c r="AA408" s="386"/>
      <c r="AB408" s="386"/>
      <c r="AC408" s="386"/>
    </row>
    <row r="409">
      <c r="H409" s="386"/>
      <c r="I409" s="386"/>
      <c r="J409" s="386"/>
      <c r="K409" s="386"/>
      <c r="L409" s="386"/>
      <c r="M409" s="386"/>
      <c r="N409" s="386"/>
      <c r="O409" s="386"/>
      <c r="P409" s="386"/>
      <c r="Q409" s="386"/>
      <c r="R409" s="386"/>
      <c r="S409" s="386"/>
      <c r="T409" s="386"/>
      <c r="U409" s="386"/>
      <c r="V409" s="386"/>
      <c r="W409" s="386"/>
      <c r="X409" s="386"/>
      <c r="Y409" s="386"/>
      <c r="Z409" s="386"/>
      <c r="AA409" s="386"/>
      <c r="AB409" s="386"/>
      <c r="AC409" s="386"/>
    </row>
    <row r="410">
      <c r="H410" s="386"/>
      <c r="I410" s="386"/>
      <c r="J410" s="386"/>
      <c r="K410" s="386"/>
      <c r="L410" s="386"/>
      <c r="M410" s="386"/>
      <c r="N410" s="386"/>
      <c r="O410" s="386"/>
      <c r="P410" s="386"/>
      <c r="Q410" s="386"/>
      <c r="R410" s="386"/>
      <c r="S410" s="386"/>
      <c r="T410" s="386"/>
      <c r="U410" s="386"/>
      <c r="V410" s="386"/>
      <c r="W410" s="386"/>
      <c r="X410" s="386"/>
      <c r="Y410" s="386"/>
      <c r="Z410" s="386"/>
      <c r="AA410" s="386"/>
      <c r="AB410" s="386"/>
      <c r="AC410" s="386"/>
    </row>
    <row r="411">
      <c r="H411" s="386"/>
      <c r="I411" s="386"/>
      <c r="J411" s="386"/>
      <c r="K411" s="386"/>
      <c r="L411" s="386"/>
      <c r="M411" s="386"/>
      <c r="N411" s="386"/>
      <c r="O411" s="386"/>
      <c r="P411" s="386"/>
      <c r="Q411" s="386"/>
      <c r="R411" s="386"/>
      <c r="S411" s="386"/>
      <c r="T411" s="386"/>
      <c r="U411" s="386"/>
      <c r="V411" s="386"/>
      <c r="W411" s="386"/>
      <c r="X411" s="386"/>
      <c r="Y411" s="386"/>
      <c r="Z411" s="386"/>
      <c r="AA411" s="386"/>
      <c r="AB411" s="386"/>
      <c r="AC411" s="386"/>
    </row>
    <row r="412">
      <c r="H412" s="386"/>
      <c r="I412" s="386"/>
      <c r="J412" s="386"/>
      <c r="K412" s="386"/>
      <c r="L412" s="386"/>
      <c r="M412" s="386"/>
      <c r="N412" s="386"/>
      <c r="O412" s="386"/>
      <c r="P412" s="386"/>
      <c r="Q412" s="386"/>
      <c r="R412" s="386"/>
      <c r="S412" s="386"/>
      <c r="T412" s="386"/>
      <c r="U412" s="386"/>
      <c r="V412" s="386"/>
      <c r="W412" s="386"/>
      <c r="X412" s="386"/>
      <c r="Y412" s="386"/>
      <c r="Z412" s="386"/>
      <c r="AA412" s="386"/>
      <c r="AB412" s="386"/>
      <c r="AC412" s="386"/>
    </row>
    <row r="413">
      <c r="H413" s="386"/>
      <c r="I413" s="386"/>
      <c r="J413" s="386"/>
      <c r="K413" s="386"/>
      <c r="L413" s="386"/>
      <c r="M413" s="386"/>
      <c r="N413" s="386"/>
      <c r="O413" s="386"/>
      <c r="P413" s="386"/>
      <c r="Q413" s="386"/>
      <c r="R413" s="386"/>
      <c r="S413" s="386"/>
      <c r="T413" s="386"/>
      <c r="U413" s="386"/>
      <c r="V413" s="386"/>
      <c r="W413" s="386"/>
      <c r="X413" s="386"/>
      <c r="Y413" s="386"/>
      <c r="Z413" s="386"/>
      <c r="AA413" s="386"/>
      <c r="AB413" s="386"/>
      <c r="AC413" s="386"/>
    </row>
    <row r="414">
      <c r="H414" s="386"/>
      <c r="I414" s="386"/>
      <c r="J414" s="386"/>
      <c r="K414" s="386"/>
      <c r="L414" s="386"/>
      <c r="M414" s="386"/>
      <c r="N414" s="386"/>
      <c r="O414" s="386"/>
      <c r="P414" s="386"/>
      <c r="Q414" s="386"/>
      <c r="R414" s="386"/>
      <c r="S414" s="386"/>
      <c r="T414" s="386"/>
      <c r="U414" s="386"/>
      <c r="V414" s="386"/>
      <c r="W414" s="386"/>
      <c r="X414" s="386"/>
      <c r="Y414" s="386"/>
      <c r="Z414" s="386"/>
      <c r="AA414" s="386"/>
      <c r="AB414" s="386"/>
      <c r="AC414" s="386"/>
    </row>
    <row r="415">
      <c r="H415" s="386"/>
      <c r="I415" s="386"/>
      <c r="J415" s="386"/>
      <c r="K415" s="386"/>
      <c r="L415" s="386"/>
      <c r="M415" s="386"/>
      <c r="N415" s="386"/>
      <c r="O415" s="386"/>
      <c r="P415" s="386"/>
      <c r="Q415" s="386"/>
      <c r="R415" s="386"/>
      <c r="S415" s="386"/>
      <c r="T415" s="386"/>
      <c r="U415" s="386"/>
      <c r="V415" s="386"/>
      <c r="W415" s="386"/>
      <c r="X415" s="386"/>
      <c r="Y415" s="386"/>
      <c r="Z415" s="386"/>
      <c r="AA415" s="386"/>
      <c r="AB415" s="386"/>
      <c r="AC415" s="386"/>
    </row>
    <row r="416">
      <c r="H416" s="386"/>
      <c r="I416" s="386"/>
      <c r="J416" s="386"/>
      <c r="K416" s="386"/>
      <c r="L416" s="386"/>
      <c r="M416" s="386"/>
      <c r="N416" s="386"/>
      <c r="O416" s="386"/>
      <c r="P416" s="386"/>
      <c r="Q416" s="386"/>
      <c r="R416" s="386"/>
      <c r="S416" s="386"/>
      <c r="T416" s="386"/>
      <c r="U416" s="386"/>
      <c r="V416" s="386"/>
      <c r="W416" s="386"/>
      <c r="X416" s="386"/>
      <c r="Y416" s="386"/>
      <c r="Z416" s="386"/>
      <c r="AA416" s="386"/>
      <c r="AB416" s="386"/>
      <c r="AC416" s="386"/>
    </row>
    <row r="417">
      <c r="H417" s="386"/>
      <c r="I417" s="386"/>
      <c r="J417" s="386"/>
      <c r="K417" s="386"/>
      <c r="L417" s="386"/>
      <c r="M417" s="386"/>
      <c r="N417" s="386"/>
      <c r="O417" s="386"/>
      <c r="P417" s="386"/>
      <c r="Q417" s="386"/>
      <c r="R417" s="386"/>
      <c r="S417" s="386"/>
      <c r="T417" s="386"/>
      <c r="U417" s="386"/>
      <c r="V417" s="386"/>
      <c r="W417" s="386"/>
      <c r="X417" s="386"/>
      <c r="Y417" s="386"/>
      <c r="Z417" s="386"/>
      <c r="AA417" s="386"/>
      <c r="AB417" s="386"/>
      <c r="AC417" s="386"/>
    </row>
    <row r="418">
      <c r="H418" s="386"/>
      <c r="I418" s="386"/>
      <c r="J418" s="386"/>
      <c r="K418" s="386"/>
      <c r="L418" s="386"/>
      <c r="M418" s="386"/>
      <c r="N418" s="386"/>
      <c r="O418" s="386"/>
      <c r="P418" s="386"/>
      <c r="Q418" s="386"/>
      <c r="R418" s="386"/>
      <c r="S418" s="386"/>
      <c r="T418" s="386"/>
      <c r="U418" s="386"/>
      <c r="V418" s="386"/>
      <c r="W418" s="386"/>
      <c r="X418" s="386"/>
      <c r="Y418" s="386"/>
      <c r="Z418" s="386"/>
      <c r="AA418" s="386"/>
      <c r="AB418" s="386"/>
      <c r="AC418" s="386"/>
    </row>
    <row r="419">
      <c r="H419" s="386"/>
      <c r="I419" s="386"/>
      <c r="J419" s="386"/>
      <c r="K419" s="386"/>
      <c r="L419" s="386"/>
      <c r="M419" s="386"/>
      <c r="N419" s="386"/>
      <c r="O419" s="386"/>
      <c r="P419" s="386"/>
      <c r="Q419" s="386"/>
      <c r="R419" s="386"/>
      <c r="S419" s="386"/>
      <c r="T419" s="386"/>
      <c r="U419" s="386"/>
      <c r="V419" s="386"/>
      <c r="W419" s="386"/>
      <c r="X419" s="386"/>
      <c r="Y419" s="386"/>
      <c r="Z419" s="386"/>
      <c r="AA419" s="386"/>
      <c r="AB419" s="386"/>
      <c r="AC419" s="386"/>
    </row>
    <row r="420">
      <c r="H420" s="386"/>
      <c r="I420" s="386"/>
      <c r="J420" s="386"/>
      <c r="K420" s="386"/>
      <c r="L420" s="386"/>
      <c r="M420" s="386"/>
      <c r="N420" s="386"/>
      <c r="O420" s="386"/>
      <c r="P420" s="386"/>
      <c r="Q420" s="386"/>
      <c r="R420" s="386"/>
      <c r="S420" s="386"/>
      <c r="T420" s="386"/>
      <c r="U420" s="386"/>
      <c r="V420" s="386"/>
      <c r="W420" s="386"/>
      <c r="X420" s="386"/>
      <c r="Y420" s="386"/>
      <c r="Z420" s="386"/>
      <c r="AA420" s="386"/>
      <c r="AB420" s="386"/>
      <c r="AC420" s="386"/>
    </row>
    <row r="421">
      <c r="H421" s="386"/>
      <c r="I421" s="386"/>
      <c r="J421" s="386"/>
      <c r="K421" s="386"/>
      <c r="L421" s="386"/>
      <c r="M421" s="386"/>
      <c r="N421" s="386"/>
      <c r="O421" s="386"/>
      <c r="P421" s="386"/>
      <c r="Q421" s="386"/>
      <c r="R421" s="386"/>
      <c r="S421" s="386"/>
      <c r="T421" s="386"/>
      <c r="U421" s="386"/>
      <c r="V421" s="386"/>
      <c r="W421" s="386"/>
      <c r="X421" s="386"/>
      <c r="Y421" s="386"/>
      <c r="Z421" s="386"/>
      <c r="AA421" s="386"/>
      <c r="AB421" s="386"/>
      <c r="AC421" s="386"/>
    </row>
    <row r="422">
      <c r="H422" s="386"/>
      <c r="I422" s="386"/>
      <c r="J422" s="386"/>
      <c r="K422" s="386"/>
      <c r="L422" s="386"/>
      <c r="M422" s="386"/>
      <c r="N422" s="386"/>
      <c r="O422" s="386"/>
      <c r="P422" s="386"/>
      <c r="Q422" s="386"/>
      <c r="R422" s="386"/>
      <c r="S422" s="386"/>
      <c r="T422" s="386"/>
      <c r="U422" s="386"/>
      <c r="V422" s="386"/>
      <c r="W422" s="386"/>
      <c r="X422" s="386"/>
      <c r="Y422" s="386"/>
      <c r="Z422" s="386"/>
      <c r="AA422" s="386"/>
      <c r="AB422" s="386"/>
      <c r="AC422" s="386"/>
    </row>
    <row r="423">
      <c r="H423" s="386"/>
      <c r="I423" s="386"/>
      <c r="J423" s="386"/>
      <c r="K423" s="386"/>
      <c r="L423" s="386"/>
      <c r="M423" s="386"/>
      <c r="N423" s="386"/>
      <c r="O423" s="386"/>
      <c r="P423" s="386"/>
      <c r="Q423" s="386"/>
      <c r="R423" s="386"/>
      <c r="S423" s="386"/>
      <c r="T423" s="386"/>
      <c r="U423" s="386"/>
      <c r="V423" s="386"/>
      <c r="W423" s="386"/>
      <c r="X423" s="386"/>
      <c r="Y423" s="386"/>
      <c r="Z423" s="386"/>
      <c r="AA423" s="386"/>
      <c r="AB423" s="386"/>
      <c r="AC423" s="386"/>
    </row>
    <row r="424">
      <c r="H424" s="386"/>
      <c r="I424" s="386"/>
      <c r="J424" s="386"/>
      <c r="K424" s="386"/>
      <c r="L424" s="386"/>
      <c r="M424" s="386"/>
      <c r="N424" s="386"/>
      <c r="O424" s="386"/>
      <c r="P424" s="386"/>
      <c r="Q424" s="386"/>
      <c r="R424" s="386"/>
      <c r="S424" s="386"/>
      <c r="T424" s="386"/>
      <c r="U424" s="386"/>
      <c r="V424" s="386"/>
      <c r="W424" s="386"/>
      <c r="X424" s="386"/>
      <c r="Y424" s="386"/>
      <c r="Z424" s="386"/>
      <c r="AA424" s="386"/>
      <c r="AB424" s="386"/>
      <c r="AC424" s="386"/>
    </row>
    <row r="425">
      <c r="H425" s="386"/>
      <c r="I425" s="386"/>
      <c r="J425" s="386"/>
      <c r="K425" s="386"/>
      <c r="L425" s="386"/>
      <c r="M425" s="386"/>
      <c r="N425" s="386"/>
      <c r="O425" s="386"/>
      <c r="P425" s="386"/>
      <c r="Q425" s="386"/>
      <c r="R425" s="386"/>
      <c r="S425" s="386"/>
      <c r="T425" s="386"/>
      <c r="U425" s="386"/>
      <c r="V425" s="386"/>
      <c r="W425" s="386"/>
      <c r="X425" s="386"/>
      <c r="Y425" s="386"/>
      <c r="Z425" s="386"/>
      <c r="AA425" s="386"/>
      <c r="AB425" s="386"/>
      <c r="AC425" s="386"/>
    </row>
    <row r="426">
      <c r="H426" s="386"/>
      <c r="I426" s="386"/>
      <c r="J426" s="386"/>
      <c r="K426" s="386"/>
      <c r="L426" s="386"/>
      <c r="M426" s="386"/>
      <c r="N426" s="386"/>
      <c r="O426" s="386"/>
      <c r="P426" s="386"/>
      <c r="Q426" s="386"/>
      <c r="R426" s="386"/>
      <c r="S426" s="386"/>
      <c r="T426" s="386"/>
      <c r="U426" s="386"/>
      <c r="V426" s="386"/>
      <c r="W426" s="386"/>
      <c r="X426" s="386"/>
      <c r="Y426" s="386"/>
      <c r="Z426" s="386"/>
      <c r="AA426" s="386"/>
      <c r="AB426" s="386"/>
      <c r="AC426" s="386"/>
    </row>
    <row r="427">
      <c r="H427" s="386"/>
      <c r="I427" s="386"/>
      <c r="J427" s="386"/>
      <c r="K427" s="386"/>
      <c r="L427" s="386"/>
      <c r="M427" s="386"/>
      <c r="N427" s="386"/>
      <c r="O427" s="386"/>
      <c r="P427" s="386"/>
      <c r="Q427" s="386"/>
      <c r="R427" s="386"/>
      <c r="S427" s="386"/>
      <c r="T427" s="386"/>
      <c r="U427" s="386"/>
      <c r="V427" s="386"/>
      <c r="W427" s="386"/>
      <c r="X427" s="386"/>
      <c r="Y427" s="386"/>
      <c r="Z427" s="386"/>
      <c r="AA427" s="386"/>
      <c r="AB427" s="386"/>
      <c r="AC427" s="386"/>
    </row>
    <row r="428">
      <c r="H428" s="386"/>
      <c r="I428" s="386"/>
      <c r="J428" s="386"/>
      <c r="K428" s="386"/>
      <c r="L428" s="386"/>
      <c r="M428" s="386"/>
      <c r="N428" s="386"/>
      <c r="O428" s="386"/>
      <c r="P428" s="386"/>
      <c r="Q428" s="386"/>
      <c r="R428" s="386"/>
      <c r="S428" s="386"/>
      <c r="T428" s="386"/>
      <c r="U428" s="386"/>
      <c r="V428" s="386"/>
      <c r="W428" s="386"/>
      <c r="X428" s="386"/>
      <c r="Y428" s="386"/>
      <c r="Z428" s="386"/>
      <c r="AA428" s="386"/>
      <c r="AB428" s="386"/>
      <c r="AC428" s="386"/>
    </row>
    <row r="429">
      <c r="H429" s="386"/>
      <c r="I429" s="386"/>
      <c r="J429" s="386"/>
      <c r="K429" s="386"/>
      <c r="L429" s="386"/>
      <c r="M429" s="386"/>
      <c r="N429" s="386"/>
      <c r="O429" s="386"/>
      <c r="P429" s="386"/>
      <c r="Q429" s="386"/>
      <c r="R429" s="386"/>
      <c r="S429" s="386"/>
      <c r="T429" s="386"/>
      <c r="U429" s="386"/>
      <c r="V429" s="386"/>
      <c r="W429" s="386"/>
      <c r="X429" s="386"/>
      <c r="Y429" s="386"/>
      <c r="Z429" s="386"/>
      <c r="AA429" s="386"/>
      <c r="AB429" s="386"/>
      <c r="AC429" s="386"/>
    </row>
    <row r="430">
      <c r="H430" s="386"/>
      <c r="I430" s="386"/>
      <c r="J430" s="386"/>
      <c r="K430" s="386"/>
      <c r="L430" s="386"/>
      <c r="M430" s="386"/>
      <c r="N430" s="386"/>
      <c r="O430" s="386"/>
      <c r="P430" s="386"/>
      <c r="Q430" s="386"/>
      <c r="R430" s="386"/>
      <c r="S430" s="386"/>
      <c r="T430" s="386"/>
      <c r="U430" s="386"/>
      <c r="V430" s="386"/>
      <c r="W430" s="386"/>
      <c r="X430" s="386"/>
      <c r="Y430" s="386"/>
      <c r="Z430" s="386"/>
      <c r="AA430" s="386"/>
      <c r="AB430" s="386"/>
      <c r="AC430" s="386"/>
    </row>
    <row r="431">
      <c r="H431" s="386"/>
      <c r="I431" s="386"/>
      <c r="J431" s="386"/>
      <c r="K431" s="386"/>
      <c r="L431" s="386"/>
      <c r="M431" s="386"/>
      <c r="N431" s="386"/>
      <c r="O431" s="386"/>
      <c r="P431" s="386"/>
      <c r="Q431" s="386"/>
      <c r="R431" s="386"/>
      <c r="S431" s="386"/>
      <c r="T431" s="386"/>
      <c r="U431" s="386"/>
      <c r="V431" s="386"/>
      <c r="W431" s="386"/>
      <c r="X431" s="386"/>
      <c r="Y431" s="386"/>
      <c r="Z431" s="386"/>
      <c r="AA431" s="386"/>
      <c r="AB431" s="386"/>
      <c r="AC431" s="386"/>
    </row>
    <row r="432">
      <c r="H432" s="386"/>
      <c r="I432" s="386"/>
      <c r="J432" s="386"/>
      <c r="K432" s="386"/>
      <c r="L432" s="386"/>
      <c r="M432" s="386"/>
      <c r="N432" s="386"/>
      <c r="O432" s="386"/>
      <c r="P432" s="386"/>
      <c r="Q432" s="386"/>
      <c r="R432" s="386"/>
      <c r="S432" s="386"/>
      <c r="T432" s="386"/>
      <c r="U432" s="386"/>
      <c r="V432" s="386"/>
      <c r="W432" s="386"/>
      <c r="X432" s="386"/>
      <c r="Y432" s="386"/>
      <c r="Z432" s="386"/>
      <c r="AA432" s="386"/>
      <c r="AB432" s="386"/>
      <c r="AC432" s="386"/>
    </row>
    <row r="433">
      <c r="H433" s="386"/>
      <c r="I433" s="386"/>
      <c r="J433" s="386"/>
      <c r="K433" s="386"/>
      <c r="L433" s="386"/>
      <c r="M433" s="386"/>
      <c r="N433" s="386"/>
      <c r="O433" s="386"/>
      <c r="P433" s="386"/>
      <c r="Q433" s="386"/>
      <c r="R433" s="386"/>
      <c r="S433" s="386"/>
      <c r="T433" s="386"/>
      <c r="U433" s="386"/>
      <c r="V433" s="386"/>
      <c r="W433" s="386"/>
      <c r="X433" s="386"/>
      <c r="Y433" s="386"/>
      <c r="Z433" s="386"/>
      <c r="AA433" s="386"/>
      <c r="AB433" s="386"/>
      <c r="AC433" s="386"/>
    </row>
    <row r="434">
      <c r="H434" s="386"/>
      <c r="I434" s="386"/>
      <c r="J434" s="386"/>
      <c r="K434" s="386"/>
      <c r="L434" s="386"/>
      <c r="M434" s="386"/>
      <c r="N434" s="386"/>
      <c r="O434" s="386"/>
      <c r="P434" s="386"/>
      <c r="Q434" s="386"/>
      <c r="R434" s="386"/>
      <c r="S434" s="386"/>
      <c r="T434" s="386"/>
      <c r="U434" s="386"/>
      <c r="V434" s="386"/>
      <c r="W434" s="386"/>
      <c r="X434" s="386"/>
      <c r="Y434" s="386"/>
      <c r="Z434" s="386"/>
      <c r="AA434" s="386"/>
      <c r="AB434" s="386"/>
      <c r="AC434" s="386"/>
    </row>
    <row r="435">
      <c r="H435" s="386"/>
      <c r="I435" s="386"/>
      <c r="J435" s="386"/>
      <c r="K435" s="386"/>
      <c r="L435" s="386"/>
      <c r="M435" s="386"/>
      <c r="N435" s="386"/>
      <c r="O435" s="386"/>
      <c r="P435" s="386"/>
      <c r="Q435" s="386"/>
      <c r="R435" s="386"/>
      <c r="S435" s="386"/>
      <c r="T435" s="386"/>
      <c r="U435" s="386"/>
      <c r="V435" s="386"/>
      <c r="W435" s="386"/>
      <c r="X435" s="386"/>
      <c r="Y435" s="386"/>
      <c r="Z435" s="386"/>
      <c r="AA435" s="386"/>
      <c r="AB435" s="386"/>
      <c r="AC435" s="386"/>
    </row>
    <row r="436">
      <c r="H436" s="386"/>
      <c r="I436" s="386"/>
      <c r="J436" s="386"/>
      <c r="K436" s="386"/>
      <c r="L436" s="386"/>
      <c r="M436" s="386"/>
      <c r="N436" s="386"/>
      <c r="O436" s="386"/>
      <c r="P436" s="386"/>
      <c r="Q436" s="386"/>
      <c r="R436" s="386"/>
      <c r="S436" s="386"/>
      <c r="T436" s="386"/>
      <c r="U436" s="386"/>
      <c r="V436" s="386"/>
      <c r="W436" s="386"/>
      <c r="X436" s="386"/>
      <c r="Y436" s="386"/>
      <c r="Z436" s="386"/>
      <c r="AA436" s="386"/>
      <c r="AB436" s="386"/>
      <c r="AC436" s="386"/>
    </row>
    <row r="437">
      <c r="H437" s="386"/>
      <c r="I437" s="386"/>
      <c r="J437" s="386"/>
      <c r="K437" s="386"/>
      <c r="L437" s="386"/>
      <c r="M437" s="386"/>
      <c r="N437" s="386"/>
      <c r="O437" s="386"/>
      <c r="P437" s="386"/>
      <c r="Q437" s="386"/>
      <c r="R437" s="386"/>
      <c r="S437" s="386"/>
      <c r="T437" s="386"/>
      <c r="U437" s="386"/>
      <c r="V437" s="386"/>
      <c r="W437" s="386"/>
      <c r="X437" s="386"/>
      <c r="Y437" s="386"/>
      <c r="Z437" s="386"/>
      <c r="AA437" s="386"/>
      <c r="AB437" s="386"/>
      <c r="AC437" s="386"/>
    </row>
    <row r="438">
      <c r="H438" s="386"/>
      <c r="I438" s="386"/>
      <c r="J438" s="386"/>
      <c r="K438" s="386"/>
      <c r="L438" s="386"/>
      <c r="M438" s="386"/>
      <c r="N438" s="386"/>
      <c r="O438" s="386"/>
      <c r="P438" s="386"/>
      <c r="Q438" s="386"/>
      <c r="R438" s="386"/>
      <c r="S438" s="386"/>
      <c r="T438" s="386"/>
      <c r="U438" s="386"/>
      <c r="V438" s="386"/>
      <c r="W438" s="386"/>
      <c r="X438" s="386"/>
      <c r="Y438" s="386"/>
      <c r="Z438" s="386"/>
      <c r="AA438" s="386"/>
      <c r="AB438" s="386"/>
      <c r="AC438" s="386"/>
    </row>
    <row r="439">
      <c r="H439" s="386"/>
      <c r="I439" s="386"/>
      <c r="J439" s="386"/>
      <c r="K439" s="386"/>
      <c r="L439" s="386"/>
      <c r="M439" s="386"/>
      <c r="N439" s="386"/>
      <c r="O439" s="386"/>
      <c r="P439" s="386"/>
      <c r="Q439" s="386"/>
      <c r="R439" s="386"/>
      <c r="S439" s="386"/>
      <c r="T439" s="386"/>
      <c r="U439" s="386"/>
      <c r="V439" s="386"/>
      <c r="W439" s="386"/>
      <c r="X439" s="386"/>
      <c r="Y439" s="386"/>
      <c r="Z439" s="386"/>
      <c r="AA439" s="386"/>
      <c r="AB439" s="386"/>
      <c r="AC439" s="386"/>
    </row>
    <row r="440">
      <c r="H440" s="386"/>
      <c r="I440" s="386"/>
      <c r="J440" s="386"/>
      <c r="K440" s="386"/>
      <c r="L440" s="386"/>
      <c r="M440" s="386"/>
      <c r="N440" s="386"/>
      <c r="O440" s="386"/>
      <c r="P440" s="386"/>
      <c r="Q440" s="386"/>
      <c r="R440" s="386"/>
      <c r="S440" s="386"/>
      <c r="T440" s="386"/>
      <c r="U440" s="386"/>
      <c r="V440" s="386"/>
      <c r="W440" s="386"/>
      <c r="X440" s="386"/>
      <c r="Y440" s="386"/>
      <c r="Z440" s="386"/>
      <c r="AA440" s="386"/>
      <c r="AB440" s="386"/>
      <c r="AC440" s="386"/>
    </row>
    <row r="441">
      <c r="H441" s="386"/>
      <c r="I441" s="386"/>
      <c r="J441" s="386"/>
      <c r="K441" s="386"/>
      <c r="L441" s="386"/>
      <c r="M441" s="386"/>
      <c r="N441" s="386"/>
      <c r="O441" s="386"/>
      <c r="P441" s="386"/>
      <c r="Q441" s="386"/>
      <c r="R441" s="386"/>
      <c r="S441" s="386"/>
      <c r="T441" s="386"/>
      <c r="U441" s="386"/>
      <c r="V441" s="386"/>
      <c r="W441" s="386"/>
      <c r="X441" s="386"/>
      <c r="Y441" s="386"/>
      <c r="Z441" s="386"/>
      <c r="AA441" s="386"/>
      <c r="AB441" s="386"/>
      <c r="AC441" s="386"/>
    </row>
    <row r="442">
      <c r="H442" s="386"/>
      <c r="I442" s="386"/>
      <c r="J442" s="386"/>
      <c r="K442" s="386"/>
      <c r="L442" s="386"/>
      <c r="M442" s="386"/>
      <c r="N442" s="386"/>
      <c r="O442" s="386"/>
      <c r="P442" s="386"/>
      <c r="Q442" s="386"/>
      <c r="R442" s="386"/>
      <c r="S442" s="386"/>
      <c r="T442" s="386"/>
      <c r="U442" s="386"/>
      <c r="V442" s="386"/>
      <c r="W442" s="386"/>
      <c r="X442" s="386"/>
      <c r="Y442" s="386"/>
      <c r="Z442" s="386"/>
      <c r="AA442" s="386"/>
      <c r="AB442" s="386"/>
      <c r="AC442" s="386"/>
    </row>
    <row r="443">
      <c r="H443" s="386"/>
      <c r="I443" s="386"/>
      <c r="J443" s="386"/>
      <c r="K443" s="386"/>
      <c r="L443" s="386"/>
      <c r="M443" s="386"/>
      <c r="N443" s="386"/>
      <c r="O443" s="386"/>
      <c r="P443" s="386"/>
      <c r="Q443" s="386"/>
      <c r="R443" s="386"/>
      <c r="S443" s="386"/>
      <c r="T443" s="386"/>
      <c r="U443" s="386"/>
      <c r="V443" s="386"/>
      <c r="W443" s="386"/>
      <c r="X443" s="386"/>
      <c r="Y443" s="386"/>
      <c r="Z443" s="386"/>
      <c r="AA443" s="386"/>
      <c r="AB443" s="386"/>
      <c r="AC443" s="386"/>
    </row>
    <row r="444">
      <c r="H444" s="386"/>
      <c r="I444" s="386"/>
      <c r="J444" s="386"/>
      <c r="K444" s="386"/>
      <c r="L444" s="386"/>
      <c r="M444" s="386"/>
      <c r="N444" s="386"/>
      <c r="O444" s="386"/>
      <c r="P444" s="386"/>
      <c r="Q444" s="386"/>
      <c r="R444" s="386"/>
      <c r="S444" s="386"/>
      <c r="T444" s="386"/>
      <c r="U444" s="386"/>
      <c r="V444" s="386"/>
      <c r="W444" s="386"/>
      <c r="X444" s="386"/>
      <c r="Y444" s="386"/>
      <c r="Z444" s="386"/>
      <c r="AA444" s="386"/>
      <c r="AB444" s="386"/>
      <c r="AC444" s="386"/>
    </row>
    <row r="445">
      <c r="H445" s="386"/>
      <c r="I445" s="386"/>
      <c r="J445" s="386"/>
      <c r="K445" s="386"/>
      <c r="L445" s="386"/>
      <c r="M445" s="386"/>
      <c r="N445" s="386"/>
      <c r="O445" s="386"/>
      <c r="P445" s="386"/>
      <c r="Q445" s="386"/>
      <c r="R445" s="386"/>
      <c r="S445" s="386"/>
      <c r="T445" s="386"/>
      <c r="U445" s="386"/>
      <c r="V445" s="386"/>
      <c r="W445" s="386"/>
      <c r="X445" s="386"/>
      <c r="Y445" s="386"/>
      <c r="Z445" s="386"/>
      <c r="AA445" s="386"/>
      <c r="AB445" s="386"/>
      <c r="AC445" s="386"/>
    </row>
    <row r="446">
      <c r="H446" s="386"/>
      <c r="I446" s="386"/>
      <c r="J446" s="386"/>
      <c r="K446" s="386"/>
      <c r="L446" s="386"/>
      <c r="M446" s="386"/>
      <c r="N446" s="386"/>
      <c r="O446" s="386"/>
      <c r="P446" s="386"/>
      <c r="Q446" s="386"/>
      <c r="R446" s="386"/>
      <c r="S446" s="386"/>
      <c r="T446" s="386"/>
      <c r="U446" s="386"/>
      <c r="V446" s="386"/>
      <c r="W446" s="386"/>
      <c r="X446" s="386"/>
      <c r="Y446" s="386"/>
      <c r="Z446" s="386"/>
      <c r="AA446" s="386"/>
      <c r="AB446" s="386"/>
      <c r="AC446" s="386"/>
    </row>
    <row r="447">
      <c r="H447" s="386"/>
      <c r="I447" s="386"/>
      <c r="J447" s="386"/>
      <c r="K447" s="386"/>
      <c r="L447" s="386"/>
      <c r="M447" s="386"/>
      <c r="N447" s="386"/>
      <c r="O447" s="386"/>
      <c r="P447" s="386"/>
      <c r="Q447" s="386"/>
      <c r="R447" s="386"/>
      <c r="S447" s="386"/>
      <c r="T447" s="386"/>
      <c r="U447" s="386"/>
      <c r="V447" s="386"/>
      <c r="W447" s="386"/>
      <c r="X447" s="386"/>
      <c r="Y447" s="386"/>
      <c r="Z447" s="386"/>
      <c r="AA447" s="386"/>
      <c r="AB447" s="386"/>
      <c r="AC447" s="386"/>
    </row>
    <row r="448">
      <c r="H448" s="386"/>
      <c r="I448" s="386"/>
      <c r="J448" s="386"/>
      <c r="K448" s="386"/>
      <c r="L448" s="386"/>
      <c r="M448" s="386"/>
      <c r="N448" s="386"/>
      <c r="O448" s="386"/>
      <c r="P448" s="386"/>
      <c r="Q448" s="386"/>
      <c r="R448" s="386"/>
      <c r="S448" s="386"/>
      <c r="T448" s="386"/>
      <c r="U448" s="386"/>
      <c r="V448" s="386"/>
      <c r="W448" s="386"/>
      <c r="X448" s="386"/>
      <c r="Y448" s="386"/>
      <c r="Z448" s="386"/>
      <c r="AA448" s="386"/>
      <c r="AB448" s="386"/>
      <c r="AC448" s="386"/>
    </row>
    <row r="449">
      <c r="H449" s="386"/>
      <c r="I449" s="386"/>
      <c r="J449" s="386"/>
      <c r="K449" s="386"/>
      <c r="L449" s="386"/>
      <c r="M449" s="386"/>
      <c r="N449" s="386"/>
      <c r="O449" s="386"/>
      <c r="P449" s="386"/>
      <c r="Q449" s="386"/>
      <c r="R449" s="386"/>
      <c r="S449" s="386"/>
      <c r="T449" s="386"/>
      <c r="U449" s="386"/>
      <c r="V449" s="386"/>
      <c r="W449" s="386"/>
      <c r="X449" s="386"/>
      <c r="Y449" s="386"/>
      <c r="Z449" s="386"/>
      <c r="AA449" s="386"/>
      <c r="AB449" s="386"/>
      <c r="AC449" s="386"/>
    </row>
    <row r="450">
      <c r="H450" s="386"/>
      <c r="I450" s="386"/>
      <c r="J450" s="386"/>
      <c r="K450" s="386"/>
      <c r="L450" s="386"/>
      <c r="M450" s="386"/>
      <c r="N450" s="386"/>
      <c r="O450" s="386"/>
      <c r="P450" s="386"/>
      <c r="Q450" s="386"/>
      <c r="R450" s="386"/>
      <c r="S450" s="386"/>
      <c r="T450" s="386"/>
      <c r="U450" s="386"/>
      <c r="V450" s="386"/>
      <c r="W450" s="386"/>
      <c r="X450" s="386"/>
      <c r="Y450" s="386"/>
      <c r="Z450" s="386"/>
      <c r="AA450" s="386"/>
      <c r="AB450" s="386"/>
      <c r="AC450" s="386"/>
    </row>
    <row r="451">
      <c r="H451" s="386"/>
      <c r="I451" s="386"/>
      <c r="J451" s="386"/>
      <c r="K451" s="386"/>
      <c r="L451" s="386"/>
      <c r="M451" s="386"/>
      <c r="N451" s="386"/>
      <c r="O451" s="386"/>
      <c r="P451" s="386"/>
      <c r="Q451" s="386"/>
      <c r="R451" s="386"/>
      <c r="S451" s="386"/>
      <c r="T451" s="386"/>
      <c r="U451" s="386"/>
      <c r="V451" s="386"/>
      <c r="W451" s="386"/>
      <c r="X451" s="386"/>
      <c r="Y451" s="386"/>
      <c r="Z451" s="386"/>
      <c r="AA451" s="386"/>
      <c r="AB451" s="386"/>
      <c r="AC451" s="386"/>
    </row>
    <row r="452">
      <c r="H452" s="386"/>
      <c r="I452" s="386"/>
      <c r="J452" s="386"/>
      <c r="K452" s="386"/>
      <c r="L452" s="386"/>
      <c r="M452" s="386"/>
      <c r="N452" s="386"/>
      <c r="O452" s="386"/>
      <c r="P452" s="386"/>
      <c r="Q452" s="386"/>
      <c r="R452" s="386"/>
      <c r="S452" s="386"/>
      <c r="T452" s="386"/>
      <c r="U452" s="386"/>
      <c r="V452" s="386"/>
      <c r="W452" s="386"/>
      <c r="X452" s="386"/>
      <c r="Y452" s="386"/>
      <c r="Z452" s="386"/>
      <c r="AA452" s="386"/>
      <c r="AB452" s="386"/>
      <c r="AC452" s="386"/>
    </row>
    <row r="453">
      <c r="H453" s="386"/>
      <c r="I453" s="386"/>
      <c r="J453" s="386"/>
      <c r="K453" s="386"/>
      <c r="L453" s="386"/>
      <c r="M453" s="386"/>
      <c r="N453" s="386"/>
      <c r="O453" s="386"/>
      <c r="P453" s="386"/>
      <c r="Q453" s="386"/>
      <c r="R453" s="386"/>
      <c r="S453" s="386"/>
      <c r="T453" s="386"/>
      <c r="U453" s="386"/>
      <c r="V453" s="386"/>
      <c r="W453" s="386"/>
      <c r="X453" s="386"/>
      <c r="Y453" s="386"/>
      <c r="Z453" s="386"/>
      <c r="AA453" s="386"/>
      <c r="AB453" s="386"/>
      <c r="AC453" s="386"/>
    </row>
    <row r="454">
      <c r="H454" s="386"/>
      <c r="I454" s="386"/>
      <c r="J454" s="386"/>
      <c r="K454" s="386"/>
      <c r="L454" s="386"/>
      <c r="M454" s="386"/>
      <c r="N454" s="386"/>
      <c r="O454" s="386"/>
      <c r="P454" s="386"/>
      <c r="Q454" s="386"/>
      <c r="R454" s="386"/>
      <c r="S454" s="386"/>
      <c r="T454" s="386"/>
      <c r="U454" s="386"/>
      <c r="V454" s="386"/>
      <c r="W454" s="386"/>
      <c r="X454" s="386"/>
      <c r="Y454" s="386"/>
      <c r="Z454" s="386"/>
      <c r="AA454" s="386"/>
      <c r="AB454" s="386"/>
      <c r="AC454" s="386"/>
    </row>
    <row r="455">
      <c r="H455" s="386"/>
      <c r="I455" s="386"/>
      <c r="J455" s="386"/>
      <c r="K455" s="386"/>
      <c r="L455" s="386"/>
      <c r="M455" s="386"/>
      <c r="N455" s="386"/>
      <c r="O455" s="386"/>
      <c r="P455" s="386"/>
      <c r="Q455" s="386"/>
      <c r="R455" s="386"/>
      <c r="S455" s="386"/>
      <c r="T455" s="386"/>
      <c r="U455" s="386"/>
      <c r="V455" s="386"/>
      <c r="W455" s="386"/>
      <c r="X455" s="386"/>
      <c r="Y455" s="386"/>
      <c r="Z455" s="386"/>
      <c r="AA455" s="386"/>
      <c r="AB455" s="386"/>
      <c r="AC455" s="386"/>
    </row>
    <row r="456">
      <c r="H456" s="386"/>
      <c r="I456" s="386"/>
      <c r="J456" s="386"/>
      <c r="K456" s="386"/>
      <c r="L456" s="386"/>
      <c r="M456" s="386"/>
      <c r="N456" s="386"/>
      <c r="O456" s="386"/>
      <c r="P456" s="386"/>
      <c r="Q456" s="386"/>
      <c r="R456" s="386"/>
      <c r="S456" s="386"/>
      <c r="T456" s="386"/>
      <c r="U456" s="386"/>
      <c r="V456" s="386"/>
      <c r="W456" s="386"/>
      <c r="X456" s="386"/>
      <c r="Y456" s="386"/>
      <c r="Z456" s="386"/>
      <c r="AA456" s="386"/>
      <c r="AB456" s="386"/>
      <c r="AC456" s="386"/>
    </row>
    <row r="457">
      <c r="H457" s="386"/>
      <c r="I457" s="386"/>
      <c r="J457" s="386"/>
      <c r="K457" s="386"/>
      <c r="L457" s="386"/>
      <c r="M457" s="386"/>
      <c r="N457" s="386"/>
      <c r="O457" s="386"/>
      <c r="P457" s="386"/>
      <c r="Q457" s="386"/>
      <c r="R457" s="386"/>
      <c r="S457" s="386"/>
      <c r="T457" s="386"/>
      <c r="U457" s="386"/>
      <c r="V457" s="386"/>
      <c r="W457" s="386"/>
      <c r="X457" s="386"/>
      <c r="Y457" s="386"/>
      <c r="Z457" s="386"/>
      <c r="AA457" s="386"/>
      <c r="AB457" s="386"/>
      <c r="AC457" s="386"/>
    </row>
    <row r="458">
      <c r="H458" s="386"/>
      <c r="I458" s="386"/>
      <c r="J458" s="386"/>
      <c r="K458" s="386"/>
      <c r="L458" s="386"/>
      <c r="M458" s="386"/>
      <c r="N458" s="386"/>
      <c r="O458" s="386"/>
      <c r="P458" s="386"/>
      <c r="Q458" s="386"/>
      <c r="R458" s="386"/>
      <c r="S458" s="386"/>
      <c r="T458" s="386"/>
      <c r="U458" s="386"/>
      <c r="V458" s="386"/>
      <c r="W458" s="386"/>
      <c r="X458" s="386"/>
      <c r="Y458" s="386"/>
      <c r="Z458" s="386"/>
      <c r="AA458" s="386"/>
      <c r="AB458" s="386"/>
      <c r="AC458" s="386"/>
    </row>
    <row r="459">
      <c r="H459" s="386"/>
      <c r="I459" s="386"/>
      <c r="J459" s="386"/>
      <c r="K459" s="386"/>
      <c r="L459" s="386"/>
      <c r="M459" s="386"/>
      <c r="N459" s="386"/>
      <c r="O459" s="386"/>
      <c r="P459" s="386"/>
      <c r="Q459" s="386"/>
      <c r="R459" s="386"/>
      <c r="S459" s="386"/>
      <c r="T459" s="386"/>
      <c r="U459" s="386"/>
      <c r="V459" s="386"/>
      <c r="W459" s="386"/>
      <c r="X459" s="386"/>
      <c r="Y459" s="386"/>
      <c r="Z459" s="386"/>
      <c r="AA459" s="386"/>
      <c r="AB459" s="386"/>
      <c r="AC459" s="386"/>
    </row>
    <row r="460">
      <c r="H460" s="386"/>
      <c r="I460" s="386"/>
      <c r="J460" s="386"/>
      <c r="K460" s="386"/>
      <c r="L460" s="386"/>
      <c r="M460" s="386"/>
      <c r="N460" s="386"/>
      <c r="O460" s="386"/>
      <c r="P460" s="386"/>
      <c r="Q460" s="386"/>
      <c r="R460" s="386"/>
      <c r="S460" s="386"/>
      <c r="T460" s="386"/>
      <c r="U460" s="386"/>
      <c r="V460" s="386"/>
      <c r="W460" s="386"/>
      <c r="X460" s="386"/>
      <c r="Y460" s="386"/>
      <c r="Z460" s="386"/>
      <c r="AA460" s="386"/>
      <c r="AB460" s="386"/>
      <c r="AC460" s="386"/>
    </row>
    <row r="461">
      <c r="H461" s="386"/>
      <c r="I461" s="386"/>
      <c r="J461" s="386"/>
      <c r="K461" s="386"/>
      <c r="L461" s="386"/>
      <c r="M461" s="386"/>
      <c r="N461" s="386"/>
      <c r="O461" s="386"/>
      <c r="P461" s="386"/>
      <c r="Q461" s="386"/>
      <c r="R461" s="386"/>
      <c r="S461" s="386"/>
      <c r="T461" s="386"/>
      <c r="U461" s="386"/>
      <c r="V461" s="386"/>
      <c r="W461" s="386"/>
      <c r="X461" s="386"/>
      <c r="Y461" s="386"/>
      <c r="Z461" s="386"/>
      <c r="AA461" s="386"/>
      <c r="AB461" s="386"/>
      <c r="AC461" s="386"/>
    </row>
    <row r="462">
      <c r="H462" s="386"/>
      <c r="I462" s="386"/>
      <c r="J462" s="386"/>
      <c r="K462" s="386"/>
      <c r="L462" s="386"/>
      <c r="M462" s="386"/>
      <c r="N462" s="386"/>
      <c r="O462" s="386"/>
      <c r="P462" s="386"/>
      <c r="Q462" s="386"/>
      <c r="R462" s="386"/>
      <c r="S462" s="386"/>
      <c r="T462" s="386"/>
      <c r="U462" s="386"/>
      <c r="V462" s="386"/>
      <c r="W462" s="386"/>
      <c r="X462" s="386"/>
      <c r="Y462" s="386"/>
      <c r="Z462" s="386"/>
      <c r="AA462" s="386"/>
      <c r="AB462" s="386"/>
      <c r="AC462" s="386"/>
    </row>
    <row r="463">
      <c r="H463" s="386"/>
      <c r="I463" s="386"/>
      <c r="J463" s="386"/>
      <c r="K463" s="386"/>
      <c r="L463" s="386"/>
      <c r="M463" s="386"/>
      <c r="N463" s="386"/>
      <c r="O463" s="386"/>
      <c r="P463" s="386"/>
      <c r="Q463" s="386"/>
      <c r="R463" s="386"/>
      <c r="S463" s="386"/>
      <c r="T463" s="386"/>
      <c r="U463" s="386"/>
      <c r="V463" s="386"/>
      <c r="W463" s="386"/>
      <c r="X463" s="386"/>
      <c r="Y463" s="386"/>
      <c r="Z463" s="386"/>
      <c r="AA463" s="386"/>
      <c r="AB463" s="386"/>
      <c r="AC463" s="386"/>
    </row>
    <row r="464">
      <c r="H464" s="386"/>
      <c r="I464" s="386"/>
      <c r="J464" s="386"/>
      <c r="K464" s="386"/>
      <c r="L464" s="386"/>
      <c r="M464" s="386"/>
      <c r="N464" s="386"/>
      <c r="O464" s="386"/>
      <c r="P464" s="386"/>
      <c r="Q464" s="386"/>
      <c r="R464" s="386"/>
      <c r="S464" s="386"/>
      <c r="T464" s="386"/>
      <c r="U464" s="386"/>
      <c r="V464" s="386"/>
      <c r="W464" s="386"/>
      <c r="X464" s="386"/>
      <c r="Y464" s="386"/>
      <c r="Z464" s="386"/>
      <c r="AA464" s="386"/>
      <c r="AB464" s="386"/>
      <c r="AC464" s="386"/>
    </row>
    <row r="465">
      <c r="H465" s="386"/>
      <c r="I465" s="386"/>
      <c r="J465" s="386"/>
      <c r="K465" s="386"/>
      <c r="L465" s="386"/>
      <c r="M465" s="386"/>
      <c r="N465" s="386"/>
      <c r="O465" s="386"/>
      <c r="P465" s="386"/>
      <c r="Q465" s="386"/>
      <c r="R465" s="386"/>
      <c r="S465" s="386"/>
      <c r="T465" s="386"/>
      <c r="U465" s="386"/>
      <c r="V465" s="386"/>
      <c r="W465" s="386"/>
      <c r="X465" s="386"/>
      <c r="Y465" s="386"/>
      <c r="Z465" s="386"/>
      <c r="AA465" s="386"/>
      <c r="AB465" s="386"/>
      <c r="AC465" s="386"/>
    </row>
    <row r="466">
      <c r="H466" s="386"/>
      <c r="I466" s="386"/>
      <c r="J466" s="386"/>
      <c r="K466" s="386"/>
      <c r="L466" s="386"/>
      <c r="M466" s="386"/>
      <c r="N466" s="386"/>
      <c r="O466" s="386"/>
      <c r="P466" s="386"/>
      <c r="Q466" s="386"/>
      <c r="R466" s="386"/>
      <c r="S466" s="386"/>
      <c r="T466" s="386"/>
      <c r="U466" s="386"/>
      <c r="V466" s="386"/>
      <c r="W466" s="386"/>
      <c r="X466" s="386"/>
      <c r="Y466" s="386"/>
      <c r="Z466" s="386"/>
      <c r="AA466" s="386"/>
      <c r="AB466" s="386"/>
      <c r="AC466" s="386"/>
    </row>
    <row r="467">
      <c r="H467" s="386"/>
      <c r="I467" s="386"/>
      <c r="J467" s="386"/>
      <c r="K467" s="386"/>
      <c r="L467" s="386"/>
      <c r="M467" s="386"/>
      <c r="N467" s="386"/>
      <c r="O467" s="386"/>
      <c r="P467" s="386"/>
      <c r="Q467" s="386"/>
      <c r="R467" s="386"/>
      <c r="S467" s="386"/>
      <c r="T467" s="386"/>
      <c r="U467" s="386"/>
      <c r="V467" s="386"/>
      <c r="W467" s="386"/>
      <c r="X467" s="386"/>
      <c r="Y467" s="386"/>
      <c r="Z467" s="386"/>
      <c r="AA467" s="386"/>
      <c r="AB467" s="386"/>
      <c r="AC467" s="386"/>
    </row>
    <row r="468">
      <c r="H468" s="386"/>
      <c r="I468" s="386"/>
      <c r="J468" s="386"/>
      <c r="K468" s="386"/>
      <c r="L468" s="386"/>
      <c r="M468" s="386"/>
      <c r="N468" s="386"/>
      <c r="O468" s="386"/>
      <c r="P468" s="386"/>
      <c r="Q468" s="386"/>
      <c r="R468" s="386"/>
      <c r="S468" s="386"/>
      <c r="T468" s="386"/>
      <c r="U468" s="386"/>
      <c r="V468" s="386"/>
      <c r="W468" s="386"/>
      <c r="X468" s="386"/>
      <c r="Y468" s="386"/>
      <c r="Z468" s="386"/>
      <c r="AA468" s="386"/>
      <c r="AB468" s="386"/>
      <c r="AC468" s="386"/>
    </row>
    <row r="469">
      <c r="H469" s="386"/>
      <c r="I469" s="386"/>
      <c r="J469" s="386"/>
      <c r="K469" s="386"/>
      <c r="L469" s="386"/>
      <c r="M469" s="386"/>
      <c r="N469" s="386"/>
      <c r="O469" s="386"/>
      <c r="P469" s="386"/>
      <c r="Q469" s="386"/>
      <c r="R469" s="386"/>
      <c r="S469" s="386"/>
      <c r="T469" s="386"/>
      <c r="U469" s="386"/>
      <c r="V469" s="386"/>
      <c r="W469" s="386"/>
      <c r="X469" s="386"/>
      <c r="Y469" s="386"/>
      <c r="Z469" s="386"/>
      <c r="AA469" s="386"/>
      <c r="AB469" s="386"/>
      <c r="AC469" s="386"/>
    </row>
    <row r="470">
      <c r="H470" s="386"/>
      <c r="I470" s="386"/>
      <c r="J470" s="386"/>
      <c r="K470" s="386"/>
      <c r="L470" s="386"/>
      <c r="M470" s="386"/>
      <c r="N470" s="386"/>
      <c r="O470" s="386"/>
      <c r="P470" s="386"/>
      <c r="Q470" s="386"/>
      <c r="R470" s="386"/>
      <c r="S470" s="386"/>
      <c r="T470" s="386"/>
      <c r="U470" s="386"/>
      <c r="V470" s="386"/>
      <c r="W470" s="386"/>
      <c r="X470" s="386"/>
      <c r="Y470" s="386"/>
      <c r="Z470" s="386"/>
      <c r="AA470" s="386"/>
      <c r="AB470" s="386"/>
      <c r="AC470" s="386"/>
    </row>
    <row r="471">
      <c r="H471" s="386"/>
      <c r="I471" s="386"/>
      <c r="J471" s="386"/>
      <c r="K471" s="386"/>
      <c r="L471" s="386"/>
      <c r="M471" s="386"/>
      <c r="N471" s="386"/>
      <c r="O471" s="386"/>
      <c r="P471" s="386"/>
      <c r="Q471" s="386"/>
      <c r="R471" s="386"/>
      <c r="S471" s="386"/>
      <c r="T471" s="386"/>
      <c r="U471" s="386"/>
      <c r="V471" s="386"/>
      <c r="W471" s="386"/>
      <c r="X471" s="386"/>
      <c r="Y471" s="386"/>
      <c r="Z471" s="386"/>
      <c r="AA471" s="386"/>
      <c r="AB471" s="386"/>
      <c r="AC471" s="386"/>
    </row>
    <row r="472">
      <c r="H472" s="386"/>
      <c r="I472" s="386"/>
      <c r="J472" s="386"/>
      <c r="K472" s="386"/>
      <c r="L472" s="386"/>
      <c r="M472" s="386"/>
      <c r="N472" s="386"/>
      <c r="O472" s="386"/>
      <c r="P472" s="386"/>
      <c r="Q472" s="386"/>
      <c r="R472" s="386"/>
      <c r="S472" s="386"/>
      <c r="T472" s="386"/>
      <c r="U472" s="386"/>
      <c r="V472" s="386"/>
      <c r="W472" s="386"/>
      <c r="X472" s="386"/>
      <c r="Y472" s="386"/>
      <c r="Z472" s="386"/>
      <c r="AA472" s="386"/>
      <c r="AB472" s="386"/>
      <c r="AC472" s="386"/>
    </row>
    <row r="473">
      <c r="H473" s="386"/>
      <c r="I473" s="386"/>
      <c r="J473" s="386"/>
      <c r="K473" s="386"/>
      <c r="L473" s="386"/>
      <c r="M473" s="386"/>
      <c r="N473" s="386"/>
      <c r="O473" s="386"/>
      <c r="P473" s="386"/>
      <c r="Q473" s="386"/>
      <c r="R473" s="386"/>
      <c r="S473" s="386"/>
      <c r="T473" s="386"/>
      <c r="U473" s="386"/>
      <c r="V473" s="386"/>
      <c r="W473" s="386"/>
      <c r="X473" s="386"/>
      <c r="Y473" s="386"/>
      <c r="Z473" s="386"/>
      <c r="AA473" s="386"/>
      <c r="AB473" s="386"/>
      <c r="AC473" s="386"/>
    </row>
    <row r="474">
      <c r="H474" s="386"/>
      <c r="I474" s="386"/>
      <c r="J474" s="386"/>
      <c r="K474" s="386"/>
      <c r="L474" s="386"/>
      <c r="M474" s="386"/>
      <c r="N474" s="386"/>
      <c r="O474" s="386"/>
      <c r="P474" s="386"/>
      <c r="Q474" s="386"/>
      <c r="R474" s="386"/>
      <c r="S474" s="386"/>
      <c r="T474" s="386"/>
      <c r="U474" s="386"/>
      <c r="V474" s="386"/>
      <c r="W474" s="386"/>
      <c r="X474" s="386"/>
      <c r="Y474" s="386"/>
      <c r="Z474" s="386"/>
      <c r="AA474" s="386"/>
      <c r="AB474" s="386"/>
      <c r="AC474" s="386"/>
    </row>
    <row r="475">
      <c r="H475" s="386"/>
      <c r="I475" s="386"/>
      <c r="J475" s="386"/>
      <c r="K475" s="386"/>
      <c r="L475" s="386"/>
      <c r="M475" s="386"/>
      <c r="N475" s="386"/>
      <c r="O475" s="386"/>
      <c r="P475" s="386"/>
      <c r="Q475" s="386"/>
      <c r="R475" s="386"/>
      <c r="S475" s="386"/>
      <c r="T475" s="386"/>
      <c r="U475" s="386"/>
      <c r="V475" s="386"/>
      <c r="W475" s="386"/>
      <c r="X475" s="386"/>
      <c r="Y475" s="386"/>
      <c r="Z475" s="386"/>
      <c r="AA475" s="386"/>
      <c r="AB475" s="386"/>
      <c r="AC475" s="386"/>
    </row>
    <row r="476">
      <c r="H476" s="386"/>
      <c r="I476" s="386"/>
      <c r="J476" s="386"/>
      <c r="K476" s="386"/>
      <c r="L476" s="386"/>
      <c r="M476" s="386"/>
      <c r="N476" s="386"/>
      <c r="O476" s="386"/>
      <c r="P476" s="386"/>
      <c r="Q476" s="386"/>
      <c r="R476" s="386"/>
      <c r="S476" s="386"/>
      <c r="T476" s="386"/>
      <c r="U476" s="386"/>
      <c r="V476" s="386"/>
      <c r="W476" s="386"/>
      <c r="X476" s="386"/>
      <c r="Y476" s="386"/>
      <c r="Z476" s="386"/>
      <c r="AA476" s="386"/>
      <c r="AB476" s="386"/>
      <c r="AC476" s="386"/>
    </row>
    <row r="477">
      <c r="H477" s="386"/>
      <c r="I477" s="386"/>
      <c r="J477" s="386"/>
      <c r="K477" s="386"/>
      <c r="L477" s="386"/>
      <c r="M477" s="386"/>
      <c r="N477" s="386"/>
      <c r="O477" s="386"/>
      <c r="P477" s="386"/>
      <c r="Q477" s="386"/>
      <c r="R477" s="386"/>
      <c r="S477" s="386"/>
      <c r="T477" s="386"/>
      <c r="U477" s="386"/>
      <c r="V477" s="386"/>
      <c r="W477" s="386"/>
      <c r="X477" s="386"/>
      <c r="Y477" s="386"/>
      <c r="Z477" s="386"/>
      <c r="AA477" s="386"/>
      <c r="AB477" s="386"/>
      <c r="AC477" s="386"/>
    </row>
    <row r="478">
      <c r="H478" s="386"/>
      <c r="I478" s="386"/>
      <c r="J478" s="386"/>
      <c r="K478" s="386"/>
      <c r="L478" s="386"/>
      <c r="M478" s="386"/>
      <c r="N478" s="386"/>
      <c r="O478" s="386"/>
      <c r="P478" s="386"/>
      <c r="Q478" s="386"/>
      <c r="R478" s="386"/>
      <c r="S478" s="386"/>
      <c r="T478" s="386"/>
      <c r="U478" s="386"/>
      <c r="V478" s="386"/>
      <c r="W478" s="386"/>
      <c r="X478" s="386"/>
      <c r="Y478" s="386"/>
      <c r="Z478" s="386"/>
      <c r="AA478" s="386"/>
      <c r="AB478" s="386"/>
      <c r="AC478" s="386"/>
    </row>
    <row r="479">
      <c r="H479" s="386"/>
      <c r="I479" s="386"/>
      <c r="J479" s="386"/>
      <c r="K479" s="386"/>
      <c r="L479" s="386"/>
      <c r="M479" s="386"/>
      <c r="N479" s="386"/>
      <c r="O479" s="386"/>
      <c r="P479" s="386"/>
      <c r="Q479" s="386"/>
      <c r="R479" s="386"/>
      <c r="S479" s="386"/>
      <c r="T479" s="386"/>
      <c r="U479" s="386"/>
      <c r="V479" s="386"/>
      <c r="W479" s="386"/>
      <c r="X479" s="386"/>
      <c r="Y479" s="386"/>
      <c r="Z479" s="386"/>
      <c r="AA479" s="386"/>
      <c r="AB479" s="386"/>
      <c r="AC479" s="386"/>
    </row>
    <row r="480">
      <c r="H480" s="386"/>
      <c r="I480" s="386"/>
      <c r="J480" s="386"/>
      <c r="K480" s="386"/>
      <c r="L480" s="386"/>
      <c r="M480" s="386"/>
      <c r="N480" s="386"/>
      <c r="O480" s="386"/>
      <c r="P480" s="386"/>
      <c r="Q480" s="386"/>
      <c r="R480" s="386"/>
      <c r="S480" s="386"/>
      <c r="T480" s="386"/>
      <c r="U480" s="386"/>
      <c r="V480" s="386"/>
      <c r="W480" s="386"/>
      <c r="X480" s="386"/>
      <c r="Y480" s="386"/>
      <c r="Z480" s="386"/>
      <c r="AA480" s="386"/>
      <c r="AB480" s="386"/>
      <c r="AC480" s="386"/>
    </row>
    <row r="481">
      <c r="H481" s="386"/>
      <c r="I481" s="386"/>
      <c r="J481" s="386"/>
      <c r="K481" s="386"/>
      <c r="L481" s="386"/>
      <c r="M481" s="386"/>
      <c r="N481" s="386"/>
      <c r="O481" s="386"/>
      <c r="P481" s="386"/>
      <c r="Q481" s="386"/>
      <c r="R481" s="386"/>
      <c r="S481" s="386"/>
      <c r="T481" s="386"/>
      <c r="U481" s="386"/>
      <c r="V481" s="386"/>
      <c r="W481" s="386"/>
      <c r="X481" s="386"/>
      <c r="Y481" s="386"/>
      <c r="Z481" s="386"/>
      <c r="AA481" s="386"/>
      <c r="AB481" s="386"/>
      <c r="AC481" s="386"/>
    </row>
    <row r="482">
      <c r="H482" s="386"/>
      <c r="I482" s="386"/>
      <c r="J482" s="386"/>
      <c r="K482" s="386"/>
      <c r="L482" s="386"/>
      <c r="M482" s="386"/>
      <c r="N482" s="386"/>
      <c r="O482" s="386"/>
      <c r="P482" s="386"/>
      <c r="Q482" s="386"/>
      <c r="R482" s="386"/>
      <c r="S482" s="386"/>
      <c r="T482" s="386"/>
      <c r="U482" s="386"/>
      <c r="V482" s="386"/>
      <c r="W482" s="386"/>
      <c r="X482" s="386"/>
      <c r="Y482" s="386"/>
      <c r="Z482" s="386"/>
      <c r="AA482" s="386"/>
      <c r="AB482" s="386"/>
      <c r="AC482" s="386"/>
    </row>
    <row r="483">
      <c r="H483" s="386"/>
      <c r="I483" s="386"/>
      <c r="J483" s="386"/>
      <c r="K483" s="386"/>
      <c r="L483" s="386"/>
      <c r="M483" s="386"/>
      <c r="N483" s="386"/>
      <c r="O483" s="386"/>
      <c r="P483" s="386"/>
      <c r="Q483" s="386"/>
      <c r="R483" s="386"/>
      <c r="S483" s="386"/>
      <c r="T483" s="386"/>
      <c r="U483" s="386"/>
      <c r="V483" s="386"/>
      <c r="W483" s="386"/>
      <c r="X483" s="386"/>
      <c r="Y483" s="386"/>
      <c r="Z483" s="386"/>
      <c r="AA483" s="386"/>
      <c r="AB483" s="386"/>
      <c r="AC483" s="386"/>
    </row>
    <row r="484">
      <c r="H484" s="386"/>
      <c r="I484" s="386"/>
      <c r="J484" s="386"/>
      <c r="K484" s="386"/>
      <c r="L484" s="386"/>
      <c r="M484" s="386"/>
      <c r="N484" s="386"/>
      <c r="O484" s="386"/>
      <c r="P484" s="386"/>
      <c r="Q484" s="386"/>
      <c r="R484" s="386"/>
      <c r="S484" s="386"/>
      <c r="T484" s="386"/>
      <c r="U484" s="386"/>
      <c r="V484" s="386"/>
      <c r="W484" s="386"/>
      <c r="X484" s="386"/>
      <c r="Y484" s="386"/>
      <c r="Z484" s="386"/>
      <c r="AA484" s="386"/>
      <c r="AB484" s="386"/>
      <c r="AC484" s="386"/>
    </row>
    <row r="485">
      <c r="H485" s="386"/>
      <c r="I485" s="386"/>
      <c r="J485" s="386"/>
      <c r="K485" s="386"/>
      <c r="L485" s="386"/>
      <c r="M485" s="386"/>
      <c r="N485" s="386"/>
      <c r="O485" s="386"/>
      <c r="P485" s="386"/>
      <c r="Q485" s="386"/>
      <c r="R485" s="386"/>
      <c r="S485" s="386"/>
      <c r="T485" s="386"/>
      <c r="U485" s="386"/>
      <c r="V485" s="386"/>
      <c r="W485" s="386"/>
      <c r="X485" s="386"/>
      <c r="Y485" s="386"/>
      <c r="Z485" s="386"/>
      <c r="AA485" s="386"/>
      <c r="AB485" s="386"/>
      <c r="AC485" s="386"/>
    </row>
    <row r="486">
      <c r="H486" s="386"/>
      <c r="I486" s="386"/>
      <c r="J486" s="386"/>
      <c r="K486" s="386"/>
      <c r="L486" s="386"/>
      <c r="M486" s="386"/>
      <c r="N486" s="386"/>
      <c r="O486" s="386"/>
      <c r="P486" s="386"/>
      <c r="Q486" s="386"/>
      <c r="R486" s="386"/>
      <c r="S486" s="386"/>
      <c r="T486" s="386"/>
      <c r="U486" s="386"/>
      <c r="V486" s="386"/>
      <c r="W486" s="386"/>
      <c r="X486" s="386"/>
      <c r="Y486" s="386"/>
      <c r="Z486" s="386"/>
      <c r="AA486" s="386"/>
      <c r="AB486" s="386"/>
      <c r="AC486" s="386"/>
    </row>
    <row r="487">
      <c r="H487" s="386"/>
      <c r="I487" s="386"/>
      <c r="J487" s="386"/>
      <c r="K487" s="386"/>
      <c r="L487" s="386"/>
      <c r="M487" s="386"/>
      <c r="N487" s="386"/>
      <c r="O487" s="386"/>
      <c r="P487" s="386"/>
      <c r="Q487" s="386"/>
      <c r="R487" s="386"/>
      <c r="S487" s="386"/>
      <c r="T487" s="386"/>
      <c r="U487" s="386"/>
      <c r="V487" s="386"/>
      <c r="W487" s="386"/>
      <c r="X487" s="386"/>
      <c r="Y487" s="386"/>
      <c r="Z487" s="386"/>
      <c r="AA487" s="386"/>
      <c r="AB487" s="386"/>
      <c r="AC487" s="386"/>
    </row>
    <row r="488">
      <c r="H488" s="386"/>
      <c r="I488" s="386"/>
      <c r="J488" s="386"/>
      <c r="K488" s="386"/>
      <c r="L488" s="386"/>
      <c r="M488" s="386"/>
      <c r="N488" s="386"/>
      <c r="O488" s="386"/>
      <c r="P488" s="386"/>
      <c r="Q488" s="386"/>
      <c r="R488" s="386"/>
      <c r="S488" s="386"/>
      <c r="T488" s="386"/>
      <c r="U488" s="386"/>
      <c r="V488" s="386"/>
      <c r="W488" s="386"/>
      <c r="X488" s="386"/>
      <c r="Y488" s="386"/>
      <c r="Z488" s="386"/>
      <c r="AA488" s="386"/>
      <c r="AB488" s="386"/>
      <c r="AC488" s="386"/>
    </row>
    <row r="489">
      <c r="H489" s="386"/>
      <c r="I489" s="386"/>
      <c r="J489" s="386"/>
      <c r="K489" s="386"/>
      <c r="L489" s="386"/>
      <c r="M489" s="386"/>
      <c r="N489" s="386"/>
      <c r="O489" s="386"/>
      <c r="P489" s="386"/>
      <c r="Q489" s="386"/>
      <c r="R489" s="386"/>
      <c r="S489" s="386"/>
      <c r="T489" s="386"/>
      <c r="U489" s="386"/>
      <c r="V489" s="386"/>
      <c r="W489" s="386"/>
      <c r="X489" s="386"/>
      <c r="Y489" s="386"/>
      <c r="Z489" s="386"/>
      <c r="AA489" s="386"/>
      <c r="AB489" s="386"/>
      <c r="AC489" s="386"/>
    </row>
    <row r="490">
      <c r="H490" s="386"/>
      <c r="I490" s="386"/>
      <c r="J490" s="386"/>
      <c r="K490" s="386"/>
      <c r="L490" s="386"/>
      <c r="M490" s="386"/>
      <c r="N490" s="386"/>
      <c r="O490" s="386"/>
      <c r="P490" s="386"/>
      <c r="Q490" s="386"/>
      <c r="R490" s="386"/>
      <c r="S490" s="386"/>
      <c r="T490" s="386"/>
      <c r="U490" s="386"/>
      <c r="V490" s="386"/>
      <c r="W490" s="386"/>
      <c r="X490" s="386"/>
      <c r="Y490" s="386"/>
      <c r="Z490" s="386"/>
      <c r="AA490" s="386"/>
      <c r="AB490" s="386"/>
      <c r="AC490" s="386"/>
    </row>
    <row r="491">
      <c r="H491" s="386"/>
      <c r="I491" s="386"/>
      <c r="J491" s="386"/>
      <c r="K491" s="386"/>
      <c r="L491" s="386"/>
      <c r="M491" s="386"/>
      <c r="N491" s="386"/>
      <c r="O491" s="386"/>
      <c r="P491" s="386"/>
      <c r="Q491" s="386"/>
      <c r="R491" s="386"/>
      <c r="S491" s="386"/>
      <c r="T491" s="386"/>
      <c r="U491" s="386"/>
      <c r="V491" s="386"/>
      <c r="W491" s="386"/>
      <c r="X491" s="386"/>
      <c r="Y491" s="386"/>
      <c r="Z491" s="386"/>
      <c r="AA491" s="386"/>
      <c r="AB491" s="386"/>
      <c r="AC491" s="386"/>
    </row>
    <row r="492">
      <c r="H492" s="386"/>
      <c r="I492" s="386"/>
      <c r="J492" s="386"/>
      <c r="K492" s="386"/>
      <c r="L492" s="386"/>
      <c r="M492" s="386"/>
      <c r="N492" s="386"/>
      <c r="O492" s="386"/>
      <c r="P492" s="386"/>
      <c r="Q492" s="386"/>
      <c r="R492" s="386"/>
      <c r="S492" s="386"/>
      <c r="T492" s="386"/>
      <c r="U492" s="386"/>
      <c r="V492" s="386"/>
      <c r="W492" s="386"/>
      <c r="X492" s="386"/>
      <c r="Y492" s="386"/>
      <c r="Z492" s="386"/>
      <c r="AA492" s="386"/>
      <c r="AB492" s="386"/>
      <c r="AC492" s="386"/>
    </row>
    <row r="493">
      <c r="H493" s="386"/>
      <c r="I493" s="386"/>
      <c r="J493" s="386"/>
      <c r="K493" s="386"/>
      <c r="L493" s="386"/>
      <c r="M493" s="386"/>
      <c r="N493" s="386"/>
      <c r="O493" s="386"/>
      <c r="P493" s="386"/>
      <c r="Q493" s="386"/>
      <c r="R493" s="386"/>
      <c r="S493" s="386"/>
      <c r="T493" s="386"/>
      <c r="U493" s="386"/>
      <c r="V493" s="386"/>
      <c r="W493" s="386"/>
      <c r="X493" s="386"/>
      <c r="Y493" s="386"/>
      <c r="Z493" s="386"/>
      <c r="AA493" s="386"/>
      <c r="AB493" s="386"/>
      <c r="AC493" s="386"/>
    </row>
    <row r="494">
      <c r="H494" s="386"/>
      <c r="I494" s="386"/>
      <c r="J494" s="386"/>
      <c r="K494" s="386"/>
      <c r="L494" s="386"/>
      <c r="M494" s="386"/>
      <c r="N494" s="386"/>
      <c r="O494" s="386"/>
      <c r="P494" s="386"/>
      <c r="Q494" s="386"/>
      <c r="R494" s="386"/>
      <c r="S494" s="386"/>
      <c r="T494" s="386"/>
      <c r="U494" s="386"/>
      <c r="V494" s="386"/>
      <c r="W494" s="386"/>
      <c r="X494" s="386"/>
      <c r="Y494" s="386"/>
      <c r="Z494" s="386"/>
      <c r="AA494" s="386"/>
      <c r="AB494" s="386"/>
      <c r="AC494" s="386"/>
    </row>
    <row r="495">
      <c r="H495" s="386"/>
      <c r="I495" s="386"/>
      <c r="J495" s="386"/>
      <c r="K495" s="386"/>
      <c r="L495" s="386"/>
      <c r="M495" s="386"/>
      <c r="N495" s="386"/>
      <c r="O495" s="386"/>
      <c r="P495" s="386"/>
      <c r="Q495" s="386"/>
      <c r="R495" s="386"/>
      <c r="S495" s="386"/>
      <c r="T495" s="386"/>
      <c r="U495" s="386"/>
      <c r="V495" s="386"/>
      <c r="W495" s="386"/>
      <c r="X495" s="386"/>
      <c r="Y495" s="386"/>
      <c r="Z495" s="386"/>
      <c r="AA495" s="386"/>
      <c r="AB495" s="386"/>
      <c r="AC495" s="386"/>
    </row>
    <row r="496">
      <c r="H496" s="386"/>
      <c r="I496" s="386"/>
      <c r="J496" s="386"/>
      <c r="K496" s="386"/>
      <c r="L496" s="386"/>
      <c r="M496" s="386"/>
      <c r="N496" s="386"/>
      <c r="O496" s="386"/>
      <c r="P496" s="386"/>
      <c r="Q496" s="386"/>
      <c r="R496" s="386"/>
      <c r="S496" s="386"/>
      <c r="T496" s="386"/>
      <c r="U496" s="386"/>
      <c r="V496" s="386"/>
      <c r="W496" s="386"/>
      <c r="X496" s="386"/>
      <c r="Y496" s="386"/>
      <c r="Z496" s="386"/>
      <c r="AA496" s="386"/>
      <c r="AB496" s="386"/>
      <c r="AC496" s="386"/>
    </row>
    <row r="497">
      <c r="H497" s="386"/>
      <c r="I497" s="386"/>
      <c r="J497" s="386"/>
      <c r="K497" s="386"/>
      <c r="L497" s="386"/>
      <c r="M497" s="386"/>
      <c r="N497" s="386"/>
      <c r="O497" s="386"/>
      <c r="P497" s="386"/>
      <c r="Q497" s="386"/>
      <c r="R497" s="386"/>
      <c r="S497" s="386"/>
      <c r="T497" s="386"/>
      <c r="U497" s="386"/>
      <c r="V497" s="386"/>
      <c r="W497" s="386"/>
      <c r="X497" s="386"/>
      <c r="Y497" s="386"/>
      <c r="Z497" s="386"/>
      <c r="AA497" s="386"/>
      <c r="AB497" s="386"/>
      <c r="AC497" s="386"/>
    </row>
    <row r="498">
      <c r="H498" s="386"/>
      <c r="I498" s="386"/>
      <c r="J498" s="386"/>
      <c r="K498" s="386"/>
      <c r="L498" s="386"/>
      <c r="M498" s="386"/>
      <c r="N498" s="386"/>
      <c r="O498" s="386"/>
      <c r="P498" s="386"/>
      <c r="Q498" s="386"/>
      <c r="R498" s="386"/>
      <c r="S498" s="386"/>
      <c r="T498" s="386"/>
      <c r="U498" s="386"/>
      <c r="V498" s="386"/>
      <c r="W498" s="386"/>
      <c r="X498" s="386"/>
      <c r="Y498" s="386"/>
      <c r="Z498" s="386"/>
      <c r="AA498" s="386"/>
      <c r="AB498" s="386"/>
      <c r="AC498" s="386"/>
    </row>
    <row r="499">
      <c r="H499" s="386"/>
      <c r="I499" s="386"/>
      <c r="J499" s="386"/>
      <c r="K499" s="386"/>
      <c r="L499" s="386"/>
      <c r="M499" s="386"/>
      <c r="N499" s="386"/>
      <c r="O499" s="386"/>
      <c r="P499" s="386"/>
      <c r="Q499" s="386"/>
      <c r="R499" s="386"/>
      <c r="S499" s="386"/>
      <c r="T499" s="386"/>
      <c r="U499" s="386"/>
      <c r="V499" s="386"/>
      <c r="W499" s="386"/>
      <c r="X499" s="386"/>
      <c r="Y499" s="386"/>
      <c r="Z499" s="386"/>
      <c r="AA499" s="386"/>
      <c r="AB499" s="386"/>
      <c r="AC499" s="386"/>
    </row>
    <row r="500">
      <c r="H500" s="386"/>
      <c r="I500" s="386"/>
      <c r="J500" s="386"/>
      <c r="K500" s="386"/>
      <c r="L500" s="386"/>
      <c r="M500" s="386"/>
      <c r="N500" s="386"/>
      <c r="O500" s="386"/>
      <c r="P500" s="386"/>
      <c r="Q500" s="386"/>
      <c r="R500" s="386"/>
      <c r="S500" s="386"/>
      <c r="T500" s="386"/>
      <c r="U500" s="386"/>
      <c r="V500" s="386"/>
      <c r="W500" s="386"/>
      <c r="X500" s="386"/>
      <c r="Y500" s="386"/>
      <c r="Z500" s="386"/>
      <c r="AA500" s="386"/>
      <c r="AB500" s="386"/>
      <c r="AC500" s="386"/>
    </row>
    <row r="501">
      <c r="H501" s="386"/>
      <c r="I501" s="386"/>
      <c r="J501" s="386"/>
      <c r="K501" s="386"/>
      <c r="L501" s="386"/>
      <c r="M501" s="386"/>
      <c r="N501" s="386"/>
      <c r="O501" s="386"/>
      <c r="P501" s="386"/>
      <c r="Q501" s="386"/>
      <c r="R501" s="386"/>
      <c r="S501" s="386"/>
      <c r="T501" s="386"/>
      <c r="U501" s="386"/>
      <c r="V501" s="386"/>
      <c r="W501" s="386"/>
      <c r="X501" s="386"/>
      <c r="Y501" s="386"/>
      <c r="Z501" s="386"/>
      <c r="AA501" s="386"/>
      <c r="AB501" s="386"/>
      <c r="AC501" s="386"/>
    </row>
    <row r="502">
      <c r="H502" s="386"/>
      <c r="I502" s="386"/>
      <c r="J502" s="386"/>
      <c r="K502" s="386"/>
      <c r="L502" s="386"/>
      <c r="M502" s="386"/>
      <c r="N502" s="386"/>
      <c r="O502" s="386"/>
      <c r="P502" s="386"/>
      <c r="Q502" s="386"/>
      <c r="R502" s="386"/>
      <c r="S502" s="386"/>
      <c r="T502" s="386"/>
      <c r="U502" s="386"/>
      <c r="V502" s="386"/>
      <c r="W502" s="386"/>
      <c r="X502" s="386"/>
      <c r="Y502" s="386"/>
      <c r="Z502" s="386"/>
      <c r="AA502" s="386"/>
      <c r="AB502" s="386"/>
      <c r="AC502" s="386"/>
    </row>
    <row r="503">
      <c r="H503" s="386"/>
      <c r="I503" s="386"/>
      <c r="J503" s="386"/>
      <c r="K503" s="386"/>
      <c r="L503" s="386"/>
      <c r="M503" s="386"/>
      <c r="N503" s="386"/>
      <c r="O503" s="386"/>
      <c r="P503" s="386"/>
      <c r="Q503" s="386"/>
      <c r="R503" s="386"/>
      <c r="S503" s="386"/>
      <c r="T503" s="386"/>
      <c r="U503" s="386"/>
      <c r="V503" s="386"/>
      <c r="W503" s="386"/>
      <c r="X503" s="386"/>
      <c r="Y503" s="386"/>
      <c r="Z503" s="386"/>
      <c r="AA503" s="386"/>
      <c r="AB503" s="386"/>
      <c r="AC503" s="386"/>
    </row>
    <row r="504">
      <c r="H504" s="386"/>
      <c r="I504" s="386"/>
      <c r="J504" s="386"/>
      <c r="K504" s="386"/>
      <c r="L504" s="386"/>
      <c r="M504" s="386"/>
      <c r="N504" s="386"/>
      <c r="O504" s="386"/>
      <c r="P504" s="386"/>
      <c r="Q504" s="386"/>
      <c r="R504" s="386"/>
      <c r="S504" s="386"/>
      <c r="T504" s="386"/>
      <c r="U504" s="386"/>
      <c r="V504" s="386"/>
      <c r="W504" s="386"/>
      <c r="X504" s="386"/>
      <c r="Y504" s="386"/>
      <c r="Z504" s="386"/>
      <c r="AA504" s="386"/>
      <c r="AB504" s="386"/>
      <c r="AC504" s="386"/>
    </row>
    <row r="505">
      <c r="H505" s="386"/>
      <c r="I505" s="386"/>
      <c r="J505" s="386"/>
      <c r="K505" s="386"/>
      <c r="L505" s="386"/>
      <c r="M505" s="386"/>
      <c r="N505" s="386"/>
      <c r="O505" s="386"/>
      <c r="P505" s="386"/>
      <c r="Q505" s="386"/>
      <c r="R505" s="386"/>
      <c r="S505" s="386"/>
      <c r="T505" s="386"/>
      <c r="U505" s="386"/>
      <c r="V505" s="386"/>
      <c r="W505" s="386"/>
      <c r="X505" s="386"/>
      <c r="Y505" s="386"/>
      <c r="Z505" s="386"/>
      <c r="AA505" s="386"/>
      <c r="AB505" s="386"/>
      <c r="AC505" s="386"/>
    </row>
    <row r="506">
      <c r="H506" s="386"/>
      <c r="I506" s="386"/>
      <c r="J506" s="386"/>
      <c r="K506" s="386"/>
      <c r="L506" s="386"/>
      <c r="M506" s="386"/>
      <c r="N506" s="386"/>
      <c r="O506" s="386"/>
      <c r="P506" s="386"/>
      <c r="Q506" s="386"/>
      <c r="R506" s="386"/>
      <c r="S506" s="386"/>
      <c r="T506" s="386"/>
      <c r="U506" s="386"/>
      <c r="V506" s="386"/>
      <c r="W506" s="386"/>
      <c r="X506" s="386"/>
      <c r="Y506" s="386"/>
      <c r="Z506" s="386"/>
      <c r="AA506" s="386"/>
      <c r="AB506" s="386"/>
      <c r="AC506" s="386"/>
    </row>
    <row r="507">
      <c r="H507" s="386"/>
      <c r="I507" s="386"/>
      <c r="J507" s="386"/>
      <c r="K507" s="386"/>
      <c r="L507" s="386"/>
      <c r="M507" s="386"/>
      <c r="N507" s="386"/>
      <c r="O507" s="386"/>
      <c r="P507" s="386"/>
      <c r="Q507" s="386"/>
      <c r="R507" s="386"/>
      <c r="S507" s="386"/>
      <c r="T507" s="386"/>
      <c r="U507" s="386"/>
      <c r="V507" s="386"/>
      <c r="W507" s="386"/>
      <c r="X507" s="386"/>
      <c r="Y507" s="386"/>
      <c r="Z507" s="386"/>
      <c r="AA507" s="386"/>
      <c r="AB507" s="386"/>
      <c r="AC507" s="386"/>
    </row>
    <row r="508">
      <c r="H508" s="386"/>
      <c r="I508" s="386"/>
      <c r="J508" s="386"/>
      <c r="K508" s="386"/>
      <c r="L508" s="386"/>
      <c r="M508" s="386"/>
      <c r="N508" s="386"/>
      <c r="O508" s="386"/>
      <c r="P508" s="386"/>
      <c r="Q508" s="386"/>
      <c r="R508" s="386"/>
      <c r="S508" s="386"/>
      <c r="T508" s="386"/>
      <c r="U508" s="386"/>
      <c r="V508" s="386"/>
      <c r="W508" s="386"/>
      <c r="X508" s="386"/>
      <c r="Y508" s="386"/>
      <c r="Z508" s="386"/>
      <c r="AA508" s="386"/>
      <c r="AB508" s="386"/>
      <c r="AC508" s="386"/>
    </row>
    <row r="509">
      <c r="H509" s="386"/>
      <c r="I509" s="386"/>
      <c r="J509" s="386"/>
      <c r="K509" s="386"/>
      <c r="L509" s="386"/>
      <c r="M509" s="386"/>
      <c r="N509" s="386"/>
      <c r="O509" s="386"/>
      <c r="P509" s="386"/>
      <c r="Q509" s="386"/>
      <c r="R509" s="386"/>
      <c r="S509" s="386"/>
      <c r="T509" s="386"/>
      <c r="U509" s="386"/>
      <c r="V509" s="386"/>
      <c r="W509" s="386"/>
      <c r="X509" s="386"/>
      <c r="Y509" s="386"/>
      <c r="Z509" s="386"/>
      <c r="AA509" s="386"/>
      <c r="AB509" s="386"/>
      <c r="AC509" s="386"/>
    </row>
    <row r="510">
      <c r="H510" s="386"/>
      <c r="I510" s="386"/>
      <c r="J510" s="386"/>
      <c r="K510" s="386"/>
      <c r="L510" s="386"/>
      <c r="M510" s="386"/>
      <c r="N510" s="386"/>
      <c r="O510" s="386"/>
      <c r="P510" s="386"/>
      <c r="Q510" s="386"/>
      <c r="R510" s="386"/>
      <c r="S510" s="386"/>
      <c r="T510" s="386"/>
      <c r="U510" s="386"/>
      <c r="V510" s="386"/>
      <c r="W510" s="386"/>
      <c r="X510" s="386"/>
      <c r="Y510" s="386"/>
      <c r="Z510" s="386"/>
      <c r="AA510" s="386"/>
      <c r="AB510" s="386"/>
      <c r="AC510" s="386"/>
    </row>
    <row r="511">
      <c r="H511" s="386"/>
      <c r="I511" s="386"/>
      <c r="J511" s="386"/>
      <c r="K511" s="386"/>
      <c r="L511" s="386"/>
      <c r="M511" s="386"/>
      <c r="N511" s="386"/>
      <c r="O511" s="386"/>
      <c r="P511" s="386"/>
      <c r="Q511" s="386"/>
      <c r="R511" s="386"/>
      <c r="S511" s="386"/>
      <c r="T511" s="386"/>
      <c r="U511" s="386"/>
      <c r="V511" s="386"/>
      <c r="W511" s="386"/>
      <c r="X511" s="386"/>
      <c r="Y511" s="386"/>
      <c r="Z511" s="386"/>
      <c r="AA511" s="386"/>
      <c r="AB511" s="386"/>
      <c r="AC511" s="386"/>
    </row>
    <row r="512">
      <c r="H512" s="386"/>
      <c r="I512" s="386"/>
      <c r="J512" s="386"/>
      <c r="K512" s="386"/>
      <c r="L512" s="386"/>
      <c r="M512" s="386"/>
      <c r="N512" s="386"/>
      <c r="O512" s="386"/>
      <c r="P512" s="386"/>
      <c r="Q512" s="386"/>
      <c r="R512" s="386"/>
      <c r="S512" s="386"/>
      <c r="T512" s="386"/>
      <c r="U512" s="386"/>
      <c r="V512" s="386"/>
      <c r="W512" s="386"/>
      <c r="X512" s="386"/>
      <c r="Y512" s="386"/>
      <c r="Z512" s="386"/>
      <c r="AA512" s="386"/>
      <c r="AB512" s="386"/>
      <c r="AC512" s="386"/>
    </row>
    <row r="513">
      <c r="H513" s="386"/>
      <c r="I513" s="386"/>
      <c r="J513" s="386"/>
      <c r="K513" s="386"/>
      <c r="L513" s="386"/>
      <c r="M513" s="386"/>
      <c r="N513" s="386"/>
      <c r="O513" s="386"/>
      <c r="P513" s="386"/>
      <c r="Q513" s="386"/>
      <c r="R513" s="386"/>
      <c r="S513" s="386"/>
      <c r="T513" s="386"/>
      <c r="U513" s="386"/>
      <c r="V513" s="386"/>
      <c r="W513" s="386"/>
      <c r="X513" s="386"/>
      <c r="Y513" s="386"/>
      <c r="Z513" s="386"/>
      <c r="AA513" s="386"/>
      <c r="AB513" s="386"/>
      <c r="AC513" s="386"/>
    </row>
    <row r="514">
      <c r="H514" s="386"/>
      <c r="I514" s="386"/>
      <c r="J514" s="386"/>
      <c r="K514" s="386"/>
      <c r="L514" s="386"/>
      <c r="M514" s="386"/>
      <c r="N514" s="386"/>
      <c r="O514" s="386"/>
      <c r="P514" s="386"/>
      <c r="Q514" s="386"/>
      <c r="R514" s="386"/>
      <c r="S514" s="386"/>
      <c r="T514" s="386"/>
      <c r="U514" s="386"/>
      <c r="V514" s="386"/>
      <c r="W514" s="386"/>
      <c r="X514" s="386"/>
      <c r="Y514" s="386"/>
      <c r="Z514" s="386"/>
      <c r="AA514" s="386"/>
      <c r="AB514" s="386"/>
      <c r="AC514" s="386"/>
    </row>
    <row r="515">
      <c r="H515" s="386"/>
      <c r="I515" s="386"/>
      <c r="J515" s="386"/>
      <c r="K515" s="386"/>
      <c r="L515" s="386"/>
      <c r="M515" s="386"/>
      <c r="N515" s="386"/>
      <c r="O515" s="386"/>
      <c r="P515" s="386"/>
      <c r="Q515" s="386"/>
      <c r="R515" s="386"/>
      <c r="S515" s="386"/>
      <c r="T515" s="386"/>
      <c r="U515" s="386"/>
      <c r="V515" s="386"/>
      <c r="W515" s="386"/>
      <c r="X515" s="386"/>
      <c r="Y515" s="386"/>
      <c r="Z515" s="386"/>
      <c r="AA515" s="386"/>
      <c r="AB515" s="386"/>
      <c r="AC515" s="386"/>
    </row>
    <row r="516">
      <c r="H516" s="386"/>
      <c r="I516" s="386"/>
      <c r="J516" s="386"/>
      <c r="K516" s="386"/>
      <c r="L516" s="386"/>
      <c r="M516" s="386"/>
      <c r="N516" s="386"/>
      <c r="O516" s="386"/>
      <c r="P516" s="386"/>
      <c r="Q516" s="386"/>
      <c r="R516" s="386"/>
      <c r="S516" s="386"/>
      <c r="T516" s="386"/>
      <c r="U516" s="386"/>
      <c r="V516" s="386"/>
      <c r="W516" s="386"/>
      <c r="X516" s="386"/>
      <c r="Y516" s="386"/>
      <c r="Z516" s="386"/>
      <c r="AA516" s="386"/>
      <c r="AB516" s="386"/>
      <c r="AC516" s="386"/>
    </row>
    <row r="517">
      <c r="H517" s="386"/>
      <c r="I517" s="386"/>
      <c r="J517" s="386"/>
      <c r="K517" s="386"/>
      <c r="L517" s="386"/>
      <c r="M517" s="386"/>
      <c r="N517" s="386"/>
      <c r="O517" s="386"/>
      <c r="P517" s="386"/>
      <c r="Q517" s="386"/>
      <c r="R517" s="386"/>
      <c r="S517" s="386"/>
      <c r="T517" s="386"/>
      <c r="U517" s="386"/>
      <c r="V517" s="386"/>
      <c r="W517" s="386"/>
      <c r="X517" s="386"/>
      <c r="Y517" s="386"/>
      <c r="Z517" s="386"/>
      <c r="AA517" s="386"/>
      <c r="AB517" s="386"/>
      <c r="AC517" s="386"/>
    </row>
    <row r="518">
      <c r="H518" s="386"/>
      <c r="I518" s="386"/>
      <c r="J518" s="386"/>
      <c r="K518" s="386"/>
      <c r="L518" s="386"/>
      <c r="M518" s="386"/>
      <c r="N518" s="386"/>
      <c r="O518" s="386"/>
      <c r="P518" s="386"/>
      <c r="Q518" s="386"/>
      <c r="R518" s="386"/>
      <c r="S518" s="386"/>
      <c r="T518" s="386"/>
      <c r="U518" s="386"/>
      <c r="V518" s="386"/>
      <c r="W518" s="386"/>
      <c r="X518" s="386"/>
      <c r="Y518" s="386"/>
      <c r="Z518" s="386"/>
      <c r="AA518" s="386"/>
      <c r="AB518" s="386"/>
      <c r="AC518" s="386"/>
    </row>
    <row r="519">
      <c r="H519" s="386"/>
      <c r="I519" s="386"/>
      <c r="J519" s="386"/>
      <c r="K519" s="386"/>
      <c r="L519" s="386"/>
      <c r="M519" s="386"/>
      <c r="N519" s="386"/>
      <c r="O519" s="386"/>
      <c r="P519" s="386"/>
      <c r="Q519" s="386"/>
      <c r="R519" s="386"/>
      <c r="S519" s="386"/>
      <c r="T519" s="386"/>
      <c r="U519" s="386"/>
      <c r="V519" s="386"/>
      <c r="W519" s="386"/>
      <c r="X519" s="386"/>
      <c r="Y519" s="386"/>
      <c r="Z519" s="386"/>
      <c r="AA519" s="386"/>
      <c r="AB519" s="386"/>
      <c r="AC519" s="386"/>
    </row>
    <row r="520">
      <c r="H520" s="386"/>
      <c r="I520" s="386"/>
      <c r="J520" s="386"/>
      <c r="K520" s="386"/>
      <c r="L520" s="386"/>
      <c r="M520" s="386"/>
      <c r="N520" s="386"/>
      <c r="O520" s="386"/>
      <c r="P520" s="386"/>
      <c r="Q520" s="386"/>
      <c r="R520" s="386"/>
      <c r="S520" s="386"/>
      <c r="T520" s="386"/>
      <c r="U520" s="386"/>
      <c r="V520" s="386"/>
      <c r="W520" s="386"/>
      <c r="X520" s="386"/>
      <c r="Y520" s="386"/>
      <c r="Z520" s="386"/>
      <c r="AA520" s="386"/>
      <c r="AB520" s="386"/>
      <c r="AC520" s="386"/>
    </row>
    <row r="521">
      <c r="H521" s="386"/>
      <c r="I521" s="386"/>
      <c r="J521" s="386"/>
      <c r="K521" s="386"/>
      <c r="L521" s="386"/>
      <c r="M521" s="386"/>
      <c r="N521" s="386"/>
      <c r="O521" s="386"/>
      <c r="P521" s="386"/>
      <c r="Q521" s="386"/>
      <c r="R521" s="386"/>
      <c r="S521" s="386"/>
      <c r="T521" s="386"/>
      <c r="U521" s="386"/>
      <c r="V521" s="386"/>
      <c r="W521" s="386"/>
      <c r="X521" s="386"/>
      <c r="Y521" s="386"/>
      <c r="Z521" s="386"/>
      <c r="AA521" s="386"/>
      <c r="AB521" s="386"/>
      <c r="AC521" s="386"/>
    </row>
    <row r="522">
      <c r="H522" s="386"/>
      <c r="I522" s="386"/>
      <c r="J522" s="386"/>
      <c r="K522" s="386"/>
      <c r="L522" s="386"/>
      <c r="M522" s="386"/>
      <c r="N522" s="386"/>
      <c r="O522" s="386"/>
      <c r="P522" s="386"/>
      <c r="Q522" s="386"/>
      <c r="R522" s="386"/>
      <c r="S522" s="386"/>
      <c r="T522" s="386"/>
      <c r="U522" s="386"/>
      <c r="V522" s="386"/>
      <c r="W522" s="386"/>
      <c r="X522" s="386"/>
      <c r="Y522" s="386"/>
      <c r="Z522" s="386"/>
      <c r="AA522" s="386"/>
      <c r="AB522" s="386"/>
      <c r="AC522" s="386"/>
    </row>
    <row r="523">
      <c r="H523" s="386"/>
      <c r="I523" s="386"/>
      <c r="J523" s="386"/>
      <c r="K523" s="386"/>
      <c r="L523" s="386"/>
      <c r="M523" s="386"/>
      <c r="N523" s="386"/>
      <c r="O523" s="386"/>
      <c r="P523" s="386"/>
      <c r="Q523" s="386"/>
      <c r="R523" s="386"/>
      <c r="S523" s="386"/>
      <c r="T523" s="386"/>
      <c r="U523" s="386"/>
      <c r="V523" s="386"/>
      <c r="W523" s="386"/>
      <c r="X523" s="386"/>
      <c r="Y523" s="386"/>
      <c r="Z523" s="386"/>
      <c r="AA523" s="386"/>
      <c r="AB523" s="386"/>
      <c r="AC523" s="386"/>
    </row>
    <row r="524">
      <c r="H524" s="386"/>
      <c r="I524" s="386"/>
      <c r="J524" s="386"/>
      <c r="K524" s="386"/>
      <c r="L524" s="386"/>
      <c r="M524" s="386"/>
      <c r="N524" s="386"/>
      <c r="O524" s="386"/>
      <c r="P524" s="386"/>
      <c r="Q524" s="386"/>
      <c r="R524" s="386"/>
      <c r="S524" s="386"/>
      <c r="T524" s="386"/>
      <c r="U524" s="386"/>
      <c r="V524" s="386"/>
      <c r="W524" s="386"/>
      <c r="X524" s="386"/>
      <c r="Y524" s="386"/>
      <c r="Z524" s="386"/>
      <c r="AA524" s="386"/>
      <c r="AB524" s="386"/>
      <c r="AC524" s="386"/>
    </row>
    <row r="525">
      <c r="H525" s="386"/>
      <c r="I525" s="386"/>
      <c r="J525" s="386"/>
      <c r="K525" s="386"/>
      <c r="L525" s="386"/>
      <c r="M525" s="386"/>
      <c r="N525" s="386"/>
      <c r="O525" s="386"/>
      <c r="P525" s="386"/>
      <c r="Q525" s="386"/>
      <c r="R525" s="386"/>
      <c r="S525" s="386"/>
      <c r="T525" s="386"/>
      <c r="U525" s="386"/>
      <c r="V525" s="386"/>
      <c r="W525" s="386"/>
      <c r="X525" s="386"/>
      <c r="Y525" s="386"/>
      <c r="Z525" s="386"/>
      <c r="AA525" s="386"/>
      <c r="AB525" s="386"/>
      <c r="AC525" s="386"/>
    </row>
    <row r="526">
      <c r="H526" s="386"/>
      <c r="I526" s="386"/>
      <c r="J526" s="386"/>
      <c r="K526" s="386"/>
      <c r="L526" s="386"/>
      <c r="M526" s="386"/>
      <c r="N526" s="386"/>
      <c r="O526" s="386"/>
      <c r="P526" s="386"/>
      <c r="Q526" s="386"/>
      <c r="R526" s="386"/>
      <c r="S526" s="386"/>
      <c r="T526" s="386"/>
      <c r="U526" s="386"/>
      <c r="V526" s="386"/>
      <c r="W526" s="386"/>
      <c r="X526" s="386"/>
      <c r="Y526" s="386"/>
      <c r="Z526" s="386"/>
      <c r="AA526" s="386"/>
      <c r="AB526" s="386"/>
      <c r="AC526" s="386"/>
    </row>
    <row r="527">
      <c r="H527" s="386"/>
      <c r="I527" s="386"/>
      <c r="J527" s="386"/>
      <c r="K527" s="386"/>
      <c r="L527" s="386"/>
      <c r="M527" s="386"/>
      <c r="N527" s="386"/>
      <c r="O527" s="386"/>
      <c r="P527" s="386"/>
      <c r="Q527" s="386"/>
      <c r="R527" s="386"/>
      <c r="S527" s="386"/>
      <c r="T527" s="386"/>
      <c r="U527" s="386"/>
      <c r="V527" s="386"/>
      <c r="W527" s="386"/>
      <c r="X527" s="386"/>
      <c r="Y527" s="386"/>
      <c r="Z527" s="386"/>
      <c r="AA527" s="386"/>
      <c r="AB527" s="386"/>
      <c r="AC527" s="386"/>
    </row>
    <row r="528">
      <c r="H528" s="386"/>
      <c r="I528" s="386"/>
      <c r="J528" s="386"/>
      <c r="K528" s="386"/>
      <c r="L528" s="386"/>
      <c r="M528" s="386"/>
      <c r="N528" s="386"/>
      <c r="O528" s="386"/>
      <c r="P528" s="386"/>
      <c r="Q528" s="386"/>
      <c r="R528" s="386"/>
      <c r="S528" s="386"/>
      <c r="T528" s="386"/>
      <c r="U528" s="386"/>
      <c r="V528" s="386"/>
      <c r="W528" s="386"/>
      <c r="X528" s="386"/>
      <c r="Y528" s="386"/>
      <c r="Z528" s="386"/>
      <c r="AA528" s="386"/>
      <c r="AB528" s="386"/>
      <c r="AC528" s="386"/>
    </row>
    <row r="529">
      <c r="H529" s="386"/>
      <c r="I529" s="386"/>
      <c r="J529" s="386"/>
      <c r="K529" s="386"/>
      <c r="L529" s="386"/>
      <c r="M529" s="386"/>
      <c r="N529" s="386"/>
      <c r="O529" s="386"/>
      <c r="P529" s="386"/>
      <c r="Q529" s="386"/>
      <c r="R529" s="386"/>
      <c r="S529" s="386"/>
      <c r="T529" s="386"/>
      <c r="U529" s="386"/>
      <c r="V529" s="386"/>
      <c r="W529" s="386"/>
      <c r="X529" s="386"/>
      <c r="Y529" s="386"/>
      <c r="Z529" s="386"/>
      <c r="AA529" s="386"/>
      <c r="AB529" s="386"/>
      <c r="AC529" s="386"/>
    </row>
    <row r="530">
      <c r="H530" s="386"/>
      <c r="I530" s="386"/>
      <c r="J530" s="386"/>
      <c r="K530" s="386"/>
      <c r="L530" s="386"/>
      <c r="M530" s="386"/>
      <c r="N530" s="386"/>
      <c r="O530" s="386"/>
      <c r="P530" s="386"/>
      <c r="Q530" s="386"/>
      <c r="R530" s="386"/>
      <c r="S530" s="386"/>
      <c r="T530" s="386"/>
      <c r="U530" s="386"/>
      <c r="V530" s="386"/>
      <c r="W530" s="386"/>
      <c r="X530" s="386"/>
      <c r="Y530" s="386"/>
      <c r="Z530" s="386"/>
      <c r="AA530" s="386"/>
      <c r="AB530" s="386"/>
      <c r="AC530" s="386"/>
    </row>
    <row r="531">
      <c r="H531" s="386"/>
      <c r="I531" s="386"/>
      <c r="J531" s="386"/>
      <c r="K531" s="386"/>
      <c r="L531" s="386"/>
      <c r="M531" s="386"/>
      <c r="N531" s="386"/>
      <c r="O531" s="386"/>
      <c r="P531" s="386"/>
      <c r="Q531" s="386"/>
      <c r="R531" s="386"/>
      <c r="S531" s="386"/>
      <c r="T531" s="386"/>
      <c r="U531" s="386"/>
      <c r="V531" s="386"/>
      <c r="W531" s="386"/>
      <c r="X531" s="386"/>
      <c r="Y531" s="386"/>
      <c r="Z531" s="386"/>
      <c r="AA531" s="386"/>
      <c r="AB531" s="386"/>
      <c r="AC531" s="386"/>
    </row>
    <row r="532">
      <c r="H532" s="386"/>
      <c r="I532" s="386"/>
      <c r="J532" s="386"/>
      <c r="K532" s="386"/>
      <c r="L532" s="386"/>
      <c r="M532" s="386"/>
      <c r="N532" s="386"/>
      <c r="O532" s="386"/>
      <c r="P532" s="386"/>
      <c r="Q532" s="386"/>
      <c r="R532" s="386"/>
      <c r="S532" s="386"/>
      <c r="T532" s="386"/>
      <c r="U532" s="386"/>
      <c r="V532" s="386"/>
      <c r="W532" s="386"/>
      <c r="X532" s="386"/>
      <c r="Y532" s="386"/>
      <c r="Z532" s="386"/>
      <c r="AA532" s="386"/>
      <c r="AB532" s="386"/>
      <c r="AC532" s="386"/>
    </row>
    <row r="533">
      <c r="H533" s="386"/>
      <c r="I533" s="386"/>
      <c r="J533" s="386"/>
      <c r="K533" s="386"/>
      <c r="L533" s="386"/>
      <c r="M533" s="386"/>
      <c r="N533" s="386"/>
      <c r="O533" s="386"/>
      <c r="P533" s="386"/>
      <c r="Q533" s="386"/>
      <c r="R533" s="386"/>
      <c r="S533" s="386"/>
      <c r="T533" s="386"/>
      <c r="U533" s="386"/>
      <c r="V533" s="386"/>
      <c r="W533" s="386"/>
      <c r="X533" s="386"/>
      <c r="Y533" s="386"/>
      <c r="Z533" s="386"/>
      <c r="AA533" s="386"/>
      <c r="AB533" s="386"/>
      <c r="AC533" s="386"/>
    </row>
    <row r="534">
      <c r="H534" s="386"/>
      <c r="I534" s="386"/>
      <c r="J534" s="386"/>
      <c r="K534" s="386"/>
      <c r="L534" s="386"/>
      <c r="M534" s="386"/>
      <c r="N534" s="386"/>
      <c r="O534" s="386"/>
      <c r="P534" s="386"/>
      <c r="Q534" s="386"/>
      <c r="R534" s="386"/>
      <c r="S534" s="386"/>
      <c r="T534" s="386"/>
      <c r="U534" s="386"/>
      <c r="V534" s="386"/>
      <c r="W534" s="386"/>
      <c r="X534" s="386"/>
      <c r="Y534" s="386"/>
      <c r="Z534" s="386"/>
      <c r="AA534" s="386"/>
      <c r="AB534" s="386"/>
      <c r="AC534" s="386"/>
    </row>
    <row r="535">
      <c r="H535" s="386"/>
      <c r="I535" s="386"/>
      <c r="J535" s="386"/>
      <c r="K535" s="386"/>
      <c r="L535" s="386"/>
      <c r="M535" s="386"/>
      <c r="N535" s="386"/>
      <c r="O535" s="386"/>
      <c r="P535" s="386"/>
      <c r="Q535" s="386"/>
      <c r="R535" s="386"/>
      <c r="S535" s="386"/>
      <c r="T535" s="386"/>
      <c r="U535" s="386"/>
      <c r="V535" s="386"/>
      <c r="W535" s="386"/>
      <c r="X535" s="386"/>
      <c r="Y535" s="386"/>
      <c r="Z535" s="386"/>
      <c r="AA535" s="386"/>
      <c r="AB535" s="386"/>
      <c r="AC535" s="386"/>
    </row>
    <row r="536">
      <c r="H536" s="386"/>
      <c r="I536" s="386"/>
      <c r="J536" s="386"/>
      <c r="K536" s="386"/>
      <c r="L536" s="386"/>
      <c r="M536" s="386"/>
      <c r="N536" s="386"/>
      <c r="O536" s="386"/>
      <c r="P536" s="386"/>
      <c r="Q536" s="386"/>
      <c r="R536" s="386"/>
      <c r="S536" s="386"/>
      <c r="T536" s="386"/>
      <c r="U536" s="386"/>
      <c r="V536" s="386"/>
      <c r="W536" s="386"/>
      <c r="X536" s="386"/>
      <c r="Y536" s="386"/>
      <c r="Z536" s="386"/>
      <c r="AA536" s="386"/>
      <c r="AB536" s="386"/>
      <c r="AC536" s="386"/>
    </row>
    <row r="537">
      <c r="H537" s="386"/>
      <c r="I537" s="386"/>
      <c r="J537" s="386"/>
      <c r="K537" s="386"/>
      <c r="L537" s="386"/>
      <c r="M537" s="386"/>
      <c r="N537" s="386"/>
      <c r="O537" s="386"/>
      <c r="P537" s="386"/>
      <c r="Q537" s="386"/>
      <c r="R537" s="386"/>
      <c r="S537" s="386"/>
      <c r="T537" s="386"/>
      <c r="U537" s="386"/>
      <c r="V537" s="386"/>
      <c r="W537" s="386"/>
      <c r="X537" s="386"/>
      <c r="Y537" s="386"/>
      <c r="Z537" s="386"/>
      <c r="AA537" s="386"/>
      <c r="AB537" s="386"/>
      <c r="AC537" s="386"/>
    </row>
    <row r="538">
      <c r="H538" s="386"/>
      <c r="I538" s="386"/>
      <c r="J538" s="386"/>
      <c r="K538" s="386"/>
      <c r="L538" s="386"/>
      <c r="M538" s="386"/>
      <c r="N538" s="386"/>
      <c r="O538" s="386"/>
      <c r="P538" s="386"/>
      <c r="Q538" s="386"/>
      <c r="R538" s="386"/>
      <c r="S538" s="386"/>
      <c r="T538" s="386"/>
      <c r="U538" s="386"/>
      <c r="V538" s="386"/>
      <c r="W538" s="386"/>
      <c r="X538" s="386"/>
      <c r="Y538" s="386"/>
      <c r="Z538" s="386"/>
      <c r="AA538" s="386"/>
      <c r="AB538" s="386"/>
      <c r="AC538" s="386"/>
    </row>
    <row r="539">
      <c r="H539" s="386"/>
      <c r="I539" s="386"/>
      <c r="J539" s="386"/>
      <c r="K539" s="386"/>
      <c r="L539" s="386"/>
      <c r="M539" s="386"/>
      <c r="N539" s="386"/>
      <c r="O539" s="386"/>
      <c r="P539" s="386"/>
      <c r="Q539" s="386"/>
      <c r="R539" s="386"/>
      <c r="S539" s="386"/>
      <c r="T539" s="386"/>
      <c r="U539" s="386"/>
      <c r="V539" s="386"/>
      <c r="W539" s="386"/>
      <c r="X539" s="386"/>
      <c r="Y539" s="386"/>
      <c r="Z539" s="386"/>
      <c r="AA539" s="386"/>
      <c r="AB539" s="386"/>
      <c r="AC539" s="386"/>
    </row>
    <row r="540">
      <c r="H540" s="386"/>
      <c r="I540" s="386"/>
      <c r="J540" s="386"/>
      <c r="K540" s="386"/>
      <c r="L540" s="386"/>
      <c r="M540" s="386"/>
      <c r="N540" s="386"/>
      <c r="O540" s="386"/>
      <c r="P540" s="386"/>
      <c r="Q540" s="386"/>
      <c r="R540" s="386"/>
      <c r="S540" s="386"/>
      <c r="T540" s="386"/>
      <c r="U540" s="386"/>
      <c r="V540" s="386"/>
      <c r="W540" s="386"/>
      <c r="X540" s="386"/>
      <c r="Y540" s="386"/>
      <c r="Z540" s="386"/>
      <c r="AA540" s="386"/>
      <c r="AB540" s="386"/>
      <c r="AC540" s="386"/>
    </row>
    <row r="541">
      <c r="H541" s="386"/>
      <c r="I541" s="386"/>
      <c r="J541" s="386"/>
      <c r="K541" s="386"/>
      <c r="L541" s="386"/>
      <c r="M541" s="386"/>
      <c r="N541" s="386"/>
      <c r="O541" s="386"/>
      <c r="P541" s="386"/>
      <c r="Q541" s="386"/>
      <c r="R541" s="386"/>
      <c r="S541" s="386"/>
      <c r="T541" s="386"/>
      <c r="U541" s="386"/>
      <c r="V541" s="386"/>
      <c r="W541" s="386"/>
      <c r="X541" s="386"/>
      <c r="Y541" s="386"/>
      <c r="Z541" s="386"/>
      <c r="AA541" s="386"/>
      <c r="AB541" s="386"/>
      <c r="AC541" s="386"/>
    </row>
    <row r="542">
      <c r="H542" s="386"/>
      <c r="I542" s="386"/>
      <c r="J542" s="386"/>
      <c r="K542" s="386"/>
      <c r="L542" s="386"/>
      <c r="M542" s="386"/>
      <c r="N542" s="386"/>
      <c r="O542" s="386"/>
      <c r="P542" s="386"/>
      <c r="Q542" s="386"/>
      <c r="R542" s="386"/>
      <c r="S542" s="386"/>
      <c r="T542" s="386"/>
      <c r="U542" s="386"/>
      <c r="V542" s="386"/>
      <c r="W542" s="386"/>
      <c r="X542" s="386"/>
      <c r="Y542" s="386"/>
      <c r="Z542" s="386"/>
      <c r="AA542" s="386"/>
      <c r="AB542" s="386"/>
      <c r="AC542" s="386"/>
    </row>
    <row r="543">
      <c r="H543" s="386"/>
      <c r="I543" s="386"/>
      <c r="J543" s="386"/>
      <c r="K543" s="386"/>
      <c r="L543" s="386"/>
      <c r="M543" s="386"/>
      <c r="N543" s="386"/>
      <c r="O543" s="386"/>
      <c r="P543" s="386"/>
      <c r="Q543" s="386"/>
      <c r="R543" s="386"/>
      <c r="S543" s="386"/>
      <c r="T543" s="386"/>
      <c r="U543" s="386"/>
      <c r="V543" s="386"/>
      <c r="W543" s="386"/>
      <c r="X543" s="386"/>
      <c r="Y543" s="386"/>
      <c r="Z543" s="386"/>
      <c r="AA543" s="386"/>
      <c r="AB543" s="386"/>
      <c r="AC543" s="386"/>
    </row>
    <row r="544">
      <c r="H544" s="386"/>
      <c r="I544" s="386"/>
      <c r="J544" s="386"/>
      <c r="K544" s="386"/>
      <c r="L544" s="386"/>
      <c r="M544" s="386"/>
      <c r="N544" s="386"/>
      <c r="O544" s="386"/>
      <c r="P544" s="386"/>
      <c r="Q544" s="386"/>
      <c r="R544" s="386"/>
      <c r="S544" s="386"/>
      <c r="T544" s="386"/>
      <c r="U544" s="386"/>
      <c r="V544" s="386"/>
      <c r="W544" s="386"/>
      <c r="X544" s="386"/>
      <c r="Y544" s="386"/>
      <c r="Z544" s="386"/>
      <c r="AA544" s="386"/>
      <c r="AB544" s="386"/>
      <c r="AC544" s="386"/>
    </row>
    <row r="545">
      <c r="H545" s="386"/>
      <c r="I545" s="386"/>
      <c r="J545" s="386"/>
      <c r="K545" s="386"/>
      <c r="L545" s="386"/>
      <c r="M545" s="386"/>
      <c r="N545" s="386"/>
      <c r="O545" s="386"/>
      <c r="P545" s="386"/>
      <c r="Q545" s="386"/>
      <c r="R545" s="386"/>
      <c r="S545" s="386"/>
      <c r="T545" s="386"/>
      <c r="U545" s="386"/>
      <c r="V545" s="386"/>
      <c r="W545" s="386"/>
      <c r="X545" s="386"/>
      <c r="Y545" s="386"/>
      <c r="Z545" s="386"/>
      <c r="AA545" s="386"/>
      <c r="AB545" s="386"/>
      <c r="AC545" s="386"/>
    </row>
    <row r="546">
      <c r="H546" s="386"/>
      <c r="I546" s="386"/>
      <c r="J546" s="386"/>
      <c r="K546" s="386"/>
      <c r="L546" s="386"/>
      <c r="M546" s="386"/>
      <c r="N546" s="386"/>
      <c r="O546" s="386"/>
      <c r="P546" s="386"/>
      <c r="Q546" s="386"/>
      <c r="R546" s="386"/>
      <c r="S546" s="386"/>
      <c r="T546" s="386"/>
      <c r="U546" s="386"/>
      <c r="V546" s="386"/>
      <c r="W546" s="386"/>
      <c r="X546" s="386"/>
      <c r="Y546" s="386"/>
      <c r="Z546" s="386"/>
      <c r="AA546" s="386"/>
      <c r="AB546" s="386"/>
      <c r="AC546" s="386"/>
    </row>
    <row r="547">
      <c r="H547" s="386"/>
      <c r="I547" s="386"/>
      <c r="J547" s="386"/>
      <c r="K547" s="386"/>
      <c r="L547" s="386"/>
      <c r="M547" s="386"/>
      <c r="N547" s="386"/>
      <c r="O547" s="386"/>
      <c r="P547" s="386"/>
      <c r="Q547" s="386"/>
      <c r="R547" s="386"/>
      <c r="S547" s="386"/>
      <c r="T547" s="386"/>
      <c r="U547" s="386"/>
      <c r="V547" s="386"/>
      <c r="W547" s="386"/>
      <c r="X547" s="386"/>
      <c r="Y547" s="386"/>
      <c r="Z547" s="386"/>
      <c r="AA547" s="386"/>
      <c r="AB547" s="386"/>
      <c r="AC547" s="386"/>
    </row>
    <row r="548">
      <c r="H548" s="386"/>
      <c r="I548" s="386"/>
      <c r="J548" s="386"/>
      <c r="K548" s="386"/>
      <c r="L548" s="386"/>
      <c r="M548" s="386"/>
      <c r="N548" s="386"/>
      <c r="O548" s="386"/>
      <c r="P548" s="386"/>
      <c r="Q548" s="386"/>
      <c r="R548" s="386"/>
      <c r="S548" s="386"/>
      <c r="T548" s="386"/>
      <c r="U548" s="386"/>
      <c r="V548" s="386"/>
      <c r="W548" s="386"/>
      <c r="X548" s="386"/>
      <c r="Y548" s="386"/>
      <c r="Z548" s="386"/>
      <c r="AA548" s="386"/>
      <c r="AB548" s="386"/>
      <c r="AC548" s="386"/>
    </row>
    <row r="549">
      <c r="H549" s="386"/>
      <c r="I549" s="386"/>
      <c r="J549" s="386"/>
      <c r="K549" s="386"/>
      <c r="L549" s="386"/>
      <c r="M549" s="386"/>
      <c r="N549" s="386"/>
      <c r="O549" s="386"/>
      <c r="P549" s="386"/>
      <c r="Q549" s="386"/>
      <c r="R549" s="386"/>
      <c r="S549" s="386"/>
      <c r="T549" s="386"/>
      <c r="U549" s="386"/>
      <c r="V549" s="386"/>
      <c r="W549" s="386"/>
      <c r="X549" s="386"/>
      <c r="Y549" s="386"/>
      <c r="Z549" s="386"/>
      <c r="AA549" s="386"/>
      <c r="AB549" s="386"/>
      <c r="AC549" s="386"/>
    </row>
    <row r="550">
      <c r="H550" s="386"/>
      <c r="I550" s="386"/>
      <c r="J550" s="386"/>
      <c r="K550" s="386"/>
      <c r="L550" s="386"/>
      <c r="M550" s="386"/>
      <c r="N550" s="386"/>
      <c r="O550" s="386"/>
      <c r="P550" s="386"/>
      <c r="Q550" s="386"/>
      <c r="R550" s="386"/>
      <c r="S550" s="386"/>
      <c r="T550" s="386"/>
      <c r="U550" s="386"/>
      <c r="V550" s="386"/>
      <c r="W550" s="386"/>
      <c r="X550" s="386"/>
      <c r="Y550" s="386"/>
      <c r="Z550" s="386"/>
      <c r="AA550" s="386"/>
      <c r="AB550" s="386"/>
      <c r="AC550" s="386"/>
    </row>
    <row r="551">
      <c r="H551" s="386"/>
      <c r="I551" s="386"/>
      <c r="J551" s="386"/>
      <c r="K551" s="386"/>
      <c r="L551" s="386"/>
      <c r="M551" s="386"/>
      <c r="N551" s="386"/>
      <c r="O551" s="386"/>
      <c r="P551" s="386"/>
      <c r="Q551" s="386"/>
      <c r="R551" s="386"/>
      <c r="S551" s="386"/>
      <c r="T551" s="386"/>
      <c r="U551" s="386"/>
      <c r="V551" s="386"/>
      <c r="W551" s="386"/>
      <c r="X551" s="386"/>
      <c r="Y551" s="386"/>
      <c r="Z551" s="386"/>
      <c r="AA551" s="386"/>
      <c r="AB551" s="386"/>
      <c r="AC551" s="386"/>
    </row>
    <row r="552">
      <c r="H552" s="386"/>
      <c r="I552" s="386"/>
      <c r="J552" s="386"/>
      <c r="K552" s="386"/>
      <c r="L552" s="386"/>
      <c r="M552" s="386"/>
      <c r="N552" s="386"/>
      <c r="O552" s="386"/>
      <c r="P552" s="386"/>
      <c r="Q552" s="386"/>
      <c r="R552" s="386"/>
      <c r="S552" s="386"/>
      <c r="T552" s="386"/>
      <c r="U552" s="386"/>
      <c r="V552" s="386"/>
      <c r="W552" s="386"/>
      <c r="X552" s="386"/>
      <c r="Y552" s="386"/>
      <c r="Z552" s="386"/>
      <c r="AA552" s="386"/>
      <c r="AB552" s="386"/>
      <c r="AC552" s="386"/>
    </row>
    <row r="553">
      <c r="H553" s="386"/>
      <c r="I553" s="386"/>
      <c r="J553" s="386"/>
      <c r="K553" s="386"/>
      <c r="L553" s="386"/>
      <c r="M553" s="386"/>
      <c r="N553" s="386"/>
      <c r="O553" s="386"/>
      <c r="P553" s="386"/>
      <c r="Q553" s="386"/>
      <c r="R553" s="386"/>
      <c r="S553" s="386"/>
      <c r="T553" s="386"/>
      <c r="U553" s="386"/>
      <c r="V553" s="386"/>
      <c r="W553" s="386"/>
      <c r="X553" s="386"/>
      <c r="Y553" s="386"/>
      <c r="Z553" s="386"/>
      <c r="AA553" s="386"/>
      <c r="AB553" s="386"/>
      <c r="AC553" s="386"/>
    </row>
    <row r="554">
      <c r="H554" s="386"/>
      <c r="I554" s="386"/>
      <c r="J554" s="386"/>
      <c r="K554" s="386"/>
      <c r="L554" s="386"/>
      <c r="M554" s="386"/>
      <c r="N554" s="386"/>
      <c r="O554" s="386"/>
      <c r="P554" s="386"/>
      <c r="Q554" s="386"/>
      <c r="R554" s="386"/>
      <c r="S554" s="386"/>
      <c r="T554" s="386"/>
      <c r="U554" s="386"/>
      <c r="V554" s="386"/>
      <c r="W554" s="386"/>
      <c r="X554" s="386"/>
      <c r="Y554" s="386"/>
      <c r="Z554" s="386"/>
      <c r="AA554" s="386"/>
      <c r="AB554" s="386"/>
      <c r="AC554" s="386"/>
    </row>
    <row r="555">
      <c r="H555" s="386"/>
      <c r="I555" s="386"/>
      <c r="J555" s="386"/>
      <c r="K555" s="386"/>
      <c r="L555" s="386"/>
      <c r="M555" s="386"/>
      <c r="N555" s="386"/>
      <c r="O555" s="386"/>
      <c r="P555" s="386"/>
      <c r="Q555" s="386"/>
      <c r="R555" s="386"/>
      <c r="S555" s="386"/>
      <c r="T555" s="386"/>
      <c r="U555" s="386"/>
      <c r="V555" s="386"/>
      <c r="W555" s="386"/>
      <c r="X555" s="386"/>
      <c r="Y555" s="386"/>
      <c r="Z555" s="386"/>
      <c r="AA555" s="386"/>
      <c r="AB555" s="386"/>
      <c r="AC555" s="386"/>
    </row>
    <row r="556">
      <c r="H556" s="386"/>
      <c r="I556" s="386"/>
      <c r="J556" s="386"/>
      <c r="K556" s="386"/>
      <c r="L556" s="386"/>
      <c r="M556" s="386"/>
      <c r="N556" s="386"/>
      <c r="O556" s="386"/>
      <c r="P556" s="386"/>
      <c r="Q556" s="386"/>
      <c r="R556" s="386"/>
      <c r="S556" s="386"/>
      <c r="T556" s="386"/>
      <c r="U556" s="386"/>
      <c r="V556" s="386"/>
      <c r="W556" s="386"/>
      <c r="X556" s="386"/>
      <c r="Y556" s="386"/>
      <c r="Z556" s="386"/>
      <c r="AA556" s="386"/>
      <c r="AB556" s="386"/>
      <c r="AC556" s="386"/>
    </row>
    <row r="557">
      <c r="H557" s="386"/>
      <c r="I557" s="386"/>
      <c r="J557" s="386"/>
      <c r="K557" s="386"/>
      <c r="L557" s="386"/>
      <c r="M557" s="386"/>
      <c r="N557" s="386"/>
      <c r="O557" s="386"/>
      <c r="P557" s="386"/>
      <c r="Q557" s="386"/>
      <c r="R557" s="386"/>
      <c r="S557" s="386"/>
      <c r="T557" s="386"/>
      <c r="U557" s="386"/>
      <c r="V557" s="386"/>
      <c r="W557" s="386"/>
      <c r="X557" s="386"/>
      <c r="Y557" s="386"/>
      <c r="Z557" s="386"/>
      <c r="AA557" s="386"/>
      <c r="AB557" s="386"/>
      <c r="AC557" s="386"/>
    </row>
    <row r="558">
      <c r="H558" s="386"/>
      <c r="I558" s="386"/>
      <c r="J558" s="386"/>
      <c r="K558" s="386"/>
      <c r="L558" s="386"/>
      <c r="M558" s="386"/>
      <c r="N558" s="386"/>
      <c r="O558" s="386"/>
      <c r="P558" s="386"/>
      <c r="Q558" s="386"/>
      <c r="R558" s="386"/>
      <c r="S558" s="386"/>
      <c r="T558" s="386"/>
      <c r="U558" s="386"/>
      <c r="V558" s="386"/>
      <c r="W558" s="386"/>
      <c r="X558" s="386"/>
      <c r="Y558" s="386"/>
      <c r="Z558" s="386"/>
      <c r="AA558" s="386"/>
      <c r="AB558" s="386"/>
      <c r="AC558" s="386"/>
    </row>
    <row r="559">
      <c r="H559" s="386"/>
      <c r="I559" s="386"/>
      <c r="J559" s="386"/>
      <c r="K559" s="386"/>
      <c r="L559" s="386"/>
      <c r="M559" s="386"/>
      <c r="N559" s="386"/>
      <c r="O559" s="386"/>
      <c r="P559" s="386"/>
      <c r="Q559" s="386"/>
      <c r="R559" s="386"/>
      <c r="S559" s="386"/>
      <c r="T559" s="386"/>
      <c r="U559" s="386"/>
      <c r="V559" s="386"/>
      <c r="W559" s="386"/>
      <c r="X559" s="386"/>
      <c r="Y559" s="386"/>
      <c r="Z559" s="386"/>
      <c r="AA559" s="386"/>
      <c r="AB559" s="386"/>
      <c r="AC559" s="386"/>
    </row>
    <row r="560">
      <c r="H560" s="386"/>
      <c r="I560" s="386"/>
      <c r="J560" s="386"/>
      <c r="K560" s="386"/>
      <c r="L560" s="386"/>
      <c r="M560" s="386"/>
      <c r="N560" s="386"/>
      <c r="O560" s="386"/>
      <c r="P560" s="386"/>
      <c r="Q560" s="386"/>
      <c r="R560" s="386"/>
      <c r="S560" s="386"/>
      <c r="T560" s="386"/>
      <c r="U560" s="386"/>
      <c r="V560" s="386"/>
      <c r="W560" s="386"/>
      <c r="X560" s="386"/>
      <c r="Y560" s="386"/>
      <c r="Z560" s="386"/>
      <c r="AA560" s="386"/>
      <c r="AB560" s="386"/>
      <c r="AC560" s="386"/>
    </row>
    <row r="561">
      <c r="H561" s="386"/>
      <c r="I561" s="386"/>
      <c r="J561" s="386"/>
      <c r="K561" s="386"/>
      <c r="L561" s="386"/>
      <c r="M561" s="386"/>
      <c r="N561" s="386"/>
      <c r="O561" s="386"/>
      <c r="P561" s="386"/>
      <c r="Q561" s="386"/>
      <c r="R561" s="386"/>
      <c r="S561" s="386"/>
      <c r="T561" s="386"/>
      <c r="U561" s="386"/>
      <c r="V561" s="386"/>
      <c r="W561" s="386"/>
      <c r="X561" s="386"/>
      <c r="Y561" s="386"/>
      <c r="Z561" s="386"/>
      <c r="AA561" s="386"/>
      <c r="AB561" s="386"/>
      <c r="AC561" s="386"/>
    </row>
    <row r="562">
      <c r="H562" s="386"/>
      <c r="I562" s="386"/>
      <c r="J562" s="386"/>
      <c r="K562" s="386"/>
      <c r="L562" s="386"/>
      <c r="M562" s="386"/>
      <c r="N562" s="386"/>
      <c r="O562" s="386"/>
      <c r="P562" s="386"/>
      <c r="Q562" s="386"/>
      <c r="R562" s="386"/>
      <c r="S562" s="386"/>
      <c r="T562" s="386"/>
      <c r="U562" s="386"/>
      <c r="V562" s="386"/>
      <c r="W562" s="386"/>
      <c r="X562" s="386"/>
      <c r="Y562" s="386"/>
      <c r="Z562" s="386"/>
      <c r="AA562" s="386"/>
      <c r="AB562" s="386"/>
      <c r="AC562" s="386"/>
    </row>
    <row r="563">
      <c r="H563" s="386"/>
      <c r="I563" s="386"/>
      <c r="J563" s="386"/>
      <c r="K563" s="386"/>
      <c r="L563" s="386"/>
      <c r="M563" s="386"/>
      <c r="N563" s="386"/>
      <c r="O563" s="386"/>
      <c r="P563" s="386"/>
      <c r="Q563" s="386"/>
      <c r="R563" s="386"/>
      <c r="S563" s="386"/>
      <c r="T563" s="386"/>
      <c r="U563" s="386"/>
      <c r="V563" s="386"/>
      <c r="W563" s="386"/>
      <c r="X563" s="386"/>
      <c r="Y563" s="386"/>
      <c r="Z563" s="386"/>
      <c r="AA563" s="386"/>
      <c r="AB563" s="386"/>
      <c r="AC563" s="386"/>
    </row>
    <row r="564">
      <c r="H564" s="386"/>
      <c r="I564" s="386"/>
      <c r="J564" s="386"/>
      <c r="K564" s="386"/>
      <c r="L564" s="386"/>
      <c r="M564" s="386"/>
      <c r="N564" s="386"/>
      <c r="O564" s="386"/>
      <c r="P564" s="386"/>
      <c r="Q564" s="386"/>
      <c r="R564" s="386"/>
      <c r="S564" s="386"/>
      <c r="T564" s="386"/>
      <c r="U564" s="386"/>
      <c r="V564" s="386"/>
      <c r="W564" s="386"/>
      <c r="X564" s="386"/>
      <c r="Y564" s="386"/>
      <c r="Z564" s="386"/>
      <c r="AA564" s="386"/>
      <c r="AB564" s="386"/>
      <c r="AC564" s="386"/>
    </row>
    <row r="565">
      <c r="H565" s="386"/>
      <c r="I565" s="386"/>
      <c r="J565" s="386"/>
      <c r="K565" s="386"/>
      <c r="L565" s="386"/>
      <c r="M565" s="386"/>
      <c r="N565" s="386"/>
      <c r="O565" s="386"/>
      <c r="P565" s="386"/>
      <c r="Q565" s="386"/>
      <c r="R565" s="386"/>
      <c r="S565" s="386"/>
      <c r="T565" s="386"/>
      <c r="U565" s="386"/>
      <c r="V565" s="386"/>
      <c r="W565" s="386"/>
      <c r="X565" s="386"/>
      <c r="Y565" s="386"/>
      <c r="Z565" s="386"/>
      <c r="AA565" s="386"/>
      <c r="AB565" s="386"/>
      <c r="AC565" s="386"/>
    </row>
    <row r="566">
      <c r="H566" s="386"/>
      <c r="I566" s="386"/>
      <c r="J566" s="386"/>
      <c r="K566" s="386"/>
      <c r="L566" s="386"/>
      <c r="M566" s="386"/>
      <c r="N566" s="386"/>
      <c r="O566" s="386"/>
      <c r="P566" s="386"/>
      <c r="Q566" s="386"/>
      <c r="R566" s="386"/>
      <c r="S566" s="386"/>
      <c r="T566" s="386"/>
      <c r="U566" s="386"/>
      <c r="V566" s="386"/>
      <c r="W566" s="386"/>
      <c r="X566" s="386"/>
      <c r="Y566" s="386"/>
      <c r="Z566" s="386"/>
      <c r="AA566" s="386"/>
      <c r="AB566" s="386"/>
      <c r="AC566" s="386"/>
    </row>
    <row r="567">
      <c r="H567" s="386"/>
      <c r="I567" s="386"/>
      <c r="J567" s="386"/>
      <c r="K567" s="386"/>
      <c r="L567" s="386"/>
      <c r="M567" s="386"/>
      <c r="N567" s="386"/>
      <c r="O567" s="386"/>
      <c r="P567" s="386"/>
      <c r="Q567" s="386"/>
      <c r="R567" s="386"/>
      <c r="S567" s="386"/>
      <c r="T567" s="386"/>
      <c r="U567" s="386"/>
      <c r="V567" s="386"/>
      <c r="W567" s="386"/>
      <c r="X567" s="386"/>
      <c r="Y567" s="386"/>
      <c r="Z567" s="386"/>
      <c r="AA567" s="386"/>
      <c r="AB567" s="386"/>
      <c r="AC567" s="386"/>
    </row>
    <row r="568">
      <c r="H568" s="386"/>
      <c r="I568" s="386"/>
      <c r="J568" s="386"/>
      <c r="K568" s="386"/>
      <c r="L568" s="386"/>
      <c r="M568" s="386"/>
      <c r="N568" s="386"/>
      <c r="O568" s="386"/>
      <c r="P568" s="386"/>
      <c r="Q568" s="386"/>
      <c r="R568" s="386"/>
      <c r="S568" s="386"/>
      <c r="T568" s="386"/>
      <c r="U568" s="386"/>
      <c r="V568" s="386"/>
      <c r="W568" s="386"/>
      <c r="X568" s="386"/>
      <c r="Y568" s="386"/>
      <c r="Z568" s="386"/>
      <c r="AA568" s="386"/>
      <c r="AB568" s="386"/>
      <c r="AC568" s="386"/>
    </row>
    <row r="569">
      <c r="H569" s="386"/>
      <c r="I569" s="386"/>
      <c r="J569" s="386"/>
      <c r="K569" s="386"/>
      <c r="L569" s="386"/>
      <c r="M569" s="386"/>
      <c r="N569" s="386"/>
      <c r="O569" s="386"/>
      <c r="P569" s="386"/>
      <c r="Q569" s="386"/>
      <c r="R569" s="386"/>
      <c r="S569" s="386"/>
      <c r="T569" s="386"/>
      <c r="U569" s="386"/>
      <c r="V569" s="386"/>
      <c r="W569" s="386"/>
      <c r="X569" s="386"/>
      <c r="Y569" s="386"/>
      <c r="Z569" s="386"/>
      <c r="AA569" s="386"/>
      <c r="AB569" s="386"/>
      <c r="AC569" s="386"/>
    </row>
    <row r="570">
      <c r="H570" s="386"/>
      <c r="I570" s="386"/>
      <c r="J570" s="386"/>
      <c r="K570" s="386"/>
      <c r="L570" s="386"/>
      <c r="M570" s="386"/>
      <c r="N570" s="386"/>
      <c r="O570" s="386"/>
      <c r="P570" s="386"/>
      <c r="Q570" s="386"/>
      <c r="R570" s="386"/>
      <c r="S570" s="386"/>
      <c r="T570" s="386"/>
      <c r="U570" s="386"/>
      <c r="V570" s="386"/>
      <c r="W570" s="386"/>
      <c r="X570" s="386"/>
      <c r="Y570" s="386"/>
      <c r="Z570" s="386"/>
      <c r="AA570" s="386"/>
      <c r="AB570" s="386"/>
      <c r="AC570" s="386"/>
    </row>
    <row r="571">
      <c r="H571" s="386"/>
      <c r="I571" s="386"/>
      <c r="J571" s="386"/>
      <c r="K571" s="386"/>
      <c r="L571" s="386"/>
      <c r="M571" s="386"/>
      <c r="N571" s="386"/>
      <c r="O571" s="386"/>
      <c r="P571" s="386"/>
      <c r="Q571" s="386"/>
      <c r="R571" s="386"/>
      <c r="S571" s="386"/>
      <c r="T571" s="386"/>
      <c r="U571" s="386"/>
      <c r="V571" s="386"/>
      <c r="W571" s="386"/>
      <c r="X571" s="386"/>
      <c r="Y571" s="386"/>
      <c r="Z571" s="386"/>
      <c r="AA571" s="386"/>
      <c r="AB571" s="386"/>
      <c r="AC571" s="386"/>
    </row>
    <row r="572">
      <c r="H572" s="386"/>
      <c r="I572" s="386"/>
      <c r="J572" s="386"/>
      <c r="K572" s="386"/>
      <c r="L572" s="386"/>
      <c r="M572" s="386"/>
      <c r="N572" s="386"/>
      <c r="O572" s="386"/>
      <c r="P572" s="386"/>
      <c r="Q572" s="386"/>
      <c r="R572" s="386"/>
      <c r="S572" s="386"/>
      <c r="T572" s="386"/>
      <c r="U572" s="386"/>
      <c r="V572" s="386"/>
      <c r="W572" s="386"/>
      <c r="X572" s="386"/>
      <c r="Y572" s="386"/>
      <c r="Z572" s="386"/>
      <c r="AA572" s="386"/>
      <c r="AB572" s="386"/>
      <c r="AC572" s="386"/>
    </row>
    <row r="573">
      <c r="H573" s="386"/>
      <c r="I573" s="386"/>
      <c r="J573" s="386"/>
      <c r="K573" s="386"/>
      <c r="L573" s="386"/>
      <c r="M573" s="386"/>
      <c r="N573" s="386"/>
      <c r="O573" s="386"/>
      <c r="P573" s="386"/>
      <c r="Q573" s="386"/>
      <c r="R573" s="386"/>
      <c r="S573" s="386"/>
      <c r="T573" s="386"/>
      <c r="U573" s="386"/>
      <c r="V573" s="386"/>
      <c r="W573" s="386"/>
      <c r="X573" s="386"/>
      <c r="Y573" s="386"/>
      <c r="Z573" s="386"/>
      <c r="AA573" s="386"/>
      <c r="AB573" s="386"/>
      <c r="AC573" s="386"/>
    </row>
    <row r="574">
      <c r="H574" s="386"/>
      <c r="I574" s="386"/>
      <c r="J574" s="386"/>
      <c r="K574" s="386"/>
      <c r="L574" s="386"/>
      <c r="M574" s="386"/>
      <c r="N574" s="386"/>
      <c r="O574" s="386"/>
      <c r="P574" s="386"/>
      <c r="Q574" s="386"/>
      <c r="R574" s="386"/>
      <c r="S574" s="386"/>
      <c r="T574" s="386"/>
      <c r="U574" s="386"/>
      <c r="V574" s="386"/>
      <c r="W574" s="386"/>
      <c r="X574" s="386"/>
      <c r="Y574" s="386"/>
      <c r="Z574" s="386"/>
      <c r="AA574" s="386"/>
      <c r="AB574" s="386"/>
      <c r="AC574" s="386"/>
    </row>
    <row r="575">
      <c r="H575" s="386"/>
      <c r="I575" s="386"/>
      <c r="J575" s="386"/>
      <c r="K575" s="386"/>
      <c r="L575" s="386"/>
      <c r="M575" s="386"/>
      <c r="N575" s="386"/>
      <c r="O575" s="386"/>
      <c r="P575" s="386"/>
      <c r="Q575" s="386"/>
      <c r="R575" s="386"/>
      <c r="S575" s="386"/>
      <c r="T575" s="386"/>
      <c r="U575" s="386"/>
      <c r="V575" s="386"/>
      <c r="W575" s="386"/>
      <c r="X575" s="386"/>
      <c r="Y575" s="386"/>
      <c r="Z575" s="386"/>
      <c r="AA575" s="386"/>
      <c r="AB575" s="386"/>
      <c r="AC575" s="386"/>
    </row>
    <row r="576">
      <c r="H576" s="386"/>
      <c r="I576" s="386"/>
      <c r="J576" s="386"/>
      <c r="K576" s="386"/>
      <c r="L576" s="386"/>
      <c r="M576" s="386"/>
      <c r="N576" s="386"/>
      <c r="O576" s="386"/>
      <c r="P576" s="386"/>
      <c r="Q576" s="386"/>
      <c r="R576" s="386"/>
      <c r="S576" s="386"/>
      <c r="T576" s="386"/>
      <c r="U576" s="386"/>
      <c r="V576" s="386"/>
      <c r="W576" s="386"/>
      <c r="X576" s="386"/>
      <c r="Y576" s="386"/>
      <c r="Z576" s="386"/>
      <c r="AA576" s="386"/>
      <c r="AB576" s="386"/>
      <c r="AC576" s="386"/>
    </row>
    <row r="577">
      <c r="H577" s="386"/>
      <c r="I577" s="386"/>
      <c r="J577" s="386"/>
      <c r="K577" s="386"/>
      <c r="L577" s="386"/>
      <c r="M577" s="386"/>
      <c r="N577" s="386"/>
      <c r="O577" s="386"/>
      <c r="P577" s="386"/>
      <c r="Q577" s="386"/>
      <c r="R577" s="386"/>
      <c r="S577" s="386"/>
      <c r="T577" s="386"/>
      <c r="U577" s="386"/>
      <c r="V577" s="386"/>
      <c r="W577" s="386"/>
      <c r="X577" s="386"/>
      <c r="Y577" s="386"/>
      <c r="Z577" s="386"/>
      <c r="AA577" s="386"/>
      <c r="AB577" s="386"/>
      <c r="AC577" s="386"/>
    </row>
    <row r="578">
      <c r="H578" s="386"/>
      <c r="I578" s="386"/>
      <c r="J578" s="386"/>
      <c r="K578" s="386"/>
      <c r="L578" s="386"/>
      <c r="M578" s="386"/>
      <c r="N578" s="386"/>
      <c r="O578" s="386"/>
      <c r="P578" s="386"/>
      <c r="Q578" s="386"/>
      <c r="R578" s="386"/>
      <c r="S578" s="386"/>
      <c r="T578" s="386"/>
      <c r="U578" s="386"/>
      <c r="V578" s="386"/>
      <c r="W578" s="386"/>
      <c r="X578" s="386"/>
      <c r="Y578" s="386"/>
      <c r="Z578" s="386"/>
      <c r="AA578" s="386"/>
      <c r="AB578" s="386"/>
      <c r="AC578" s="386"/>
    </row>
    <row r="579">
      <c r="H579" s="386"/>
      <c r="I579" s="386"/>
      <c r="J579" s="386"/>
      <c r="K579" s="386"/>
      <c r="L579" s="386"/>
      <c r="M579" s="386"/>
      <c r="N579" s="386"/>
      <c r="O579" s="386"/>
      <c r="P579" s="386"/>
      <c r="Q579" s="386"/>
      <c r="R579" s="386"/>
      <c r="S579" s="386"/>
      <c r="T579" s="386"/>
      <c r="U579" s="386"/>
      <c r="V579" s="386"/>
      <c r="W579" s="386"/>
      <c r="X579" s="386"/>
      <c r="Y579" s="386"/>
      <c r="Z579" s="386"/>
      <c r="AA579" s="386"/>
      <c r="AB579" s="386"/>
      <c r="AC579" s="386"/>
    </row>
    <row r="580">
      <c r="H580" s="386"/>
      <c r="I580" s="386"/>
      <c r="J580" s="386"/>
      <c r="K580" s="386"/>
      <c r="L580" s="386"/>
      <c r="M580" s="386"/>
      <c r="N580" s="386"/>
      <c r="O580" s="386"/>
      <c r="P580" s="386"/>
      <c r="Q580" s="386"/>
      <c r="R580" s="386"/>
      <c r="S580" s="386"/>
      <c r="T580" s="386"/>
      <c r="U580" s="386"/>
      <c r="V580" s="386"/>
      <c r="W580" s="386"/>
      <c r="X580" s="386"/>
      <c r="Y580" s="386"/>
      <c r="Z580" s="386"/>
      <c r="AA580" s="386"/>
      <c r="AB580" s="386"/>
      <c r="AC580" s="386"/>
    </row>
    <row r="581">
      <c r="H581" s="386"/>
      <c r="I581" s="386"/>
      <c r="J581" s="386"/>
      <c r="K581" s="386"/>
      <c r="L581" s="386"/>
      <c r="M581" s="386"/>
      <c r="N581" s="386"/>
      <c r="O581" s="386"/>
      <c r="P581" s="386"/>
      <c r="Q581" s="386"/>
      <c r="R581" s="386"/>
      <c r="S581" s="386"/>
      <c r="T581" s="386"/>
      <c r="U581" s="386"/>
      <c r="V581" s="386"/>
      <c r="W581" s="386"/>
      <c r="X581" s="386"/>
      <c r="Y581" s="386"/>
      <c r="Z581" s="386"/>
      <c r="AA581" s="386"/>
      <c r="AB581" s="386"/>
      <c r="AC581" s="386"/>
    </row>
    <row r="582">
      <c r="H582" s="386"/>
      <c r="I582" s="386"/>
      <c r="J582" s="386"/>
      <c r="K582" s="386"/>
      <c r="L582" s="386"/>
      <c r="M582" s="386"/>
      <c r="N582" s="386"/>
      <c r="O582" s="386"/>
      <c r="P582" s="386"/>
      <c r="Q582" s="386"/>
      <c r="R582" s="386"/>
      <c r="S582" s="386"/>
      <c r="T582" s="386"/>
      <c r="U582" s="386"/>
      <c r="V582" s="386"/>
      <c r="W582" s="386"/>
      <c r="X582" s="386"/>
      <c r="Y582" s="386"/>
      <c r="Z582" s="386"/>
      <c r="AA582" s="386"/>
      <c r="AB582" s="386"/>
      <c r="AC582" s="386"/>
    </row>
    <row r="583">
      <c r="H583" s="386"/>
      <c r="I583" s="386"/>
      <c r="J583" s="386"/>
      <c r="K583" s="386"/>
      <c r="L583" s="386"/>
      <c r="M583" s="386"/>
      <c r="N583" s="386"/>
      <c r="O583" s="386"/>
      <c r="P583" s="386"/>
      <c r="Q583" s="386"/>
      <c r="R583" s="386"/>
      <c r="S583" s="386"/>
      <c r="T583" s="386"/>
      <c r="U583" s="386"/>
      <c r="V583" s="386"/>
      <c r="W583" s="386"/>
      <c r="X583" s="386"/>
      <c r="Y583" s="386"/>
      <c r="Z583" s="386"/>
      <c r="AA583" s="386"/>
      <c r="AB583" s="386"/>
      <c r="AC583" s="386"/>
    </row>
    <row r="584">
      <c r="H584" s="386"/>
      <c r="I584" s="386"/>
      <c r="J584" s="386"/>
      <c r="K584" s="386"/>
      <c r="L584" s="386"/>
      <c r="M584" s="386"/>
      <c r="N584" s="386"/>
      <c r="O584" s="386"/>
      <c r="P584" s="386"/>
      <c r="Q584" s="386"/>
      <c r="R584" s="386"/>
      <c r="S584" s="386"/>
      <c r="T584" s="386"/>
      <c r="U584" s="386"/>
      <c r="V584" s="386"/>
      <c r="W584" s="386"/>
      <c r="X584" s="386"/>
      <c r="Y584" s="386"/>
      <c r="Z584" s="386"/>
      <c r="AA584" s="386"/>
      <c r="AB584" s="386"/>
      <c r="AC584" s="386"/>
    </row>
    <row r="585">
      <c r="H585" s="386"/>
      <c r="I585" s="386"/>
      <c r="J585" s="386"/>
      <c r="K585" s="386"/>
      <c r="L585" s="386"/>
      <c r="M585" s="386"/>
      <c r="N585" s="386"/>
      <c r="O585" s="386"/>
      <c r="P585" s="386"/>
      <c r="Q585" s="386"/>
      <c r="R585" s="386"/>
      <c r="S585" s="386"/>
      <c r="T585" s="386"/>
      <c r="U585" s="386"/>
      <c r="V585" s="386"/>
      <c r="W585" s="386"/>
      <c r="X585" s="386"/>
      <c r="Y585" s="386"/>
      <c r="Z585" s="386"/>
      <c r="AA585" s="386"/>
      <c r="AB585" s="386"/>
      <c r="AC585" s="386"/>
    </row>
    <row r="586">
      <c r="H586" s="386"/>
      <c r="I586" s="386"/>
      <c r="J586" s="386"/>
      <c r="K586" s="386"/>
      <c r="L586" s="386"/>
      <c r="M586" s="386"/>
      <c r="N586" s="386"/>
      <c r="O586" s="386"/>
      <c r="P586" s="386"/>
      <c r="Q586" s="386"/>
      <c r="R586" s="386"/>
      <c r="S586" s="386"/>
      <c r="T586" s="386"/>
      <c r="U586" s="386"/>
      <c r="V586" s="386"/>
      <c r="W586" s="386"/>
      <c r="X586" s="386"/>
      <c r="Y586" s="386"/>
      <c r="Z586" s="386"/>
      <c r="AA586" s="386"/>
      <c r="AB586" s="386"/>
      <c r="AC586" s="386"/>
    </row>
    <row r="587">
      <c r="H587" s="386"/>
      <c r="I587" s="386"/>
      <c r="J587" s="386"/>
      <c r="K587" s="386"/>
      <c r="L587" s="386"/>
      <c r="M587" s="386"/>
      <c r="N587" s="386"/>
      <c r="O587" s="386"/>
      <c r="P587" s="386"/>
      <c r="Q587" s="386"/>
      <c r="R587" s="386"/>
      <c r="S587" s="386"/>
      <c r="T587" s="386"/>
      <c r="U587" s="386"/>
      <c r="V587" s="386"/>
      <c r="W587" s="386"/>
      <c r="X587" s="386"/>
      <c r="Y587" s="386"/>
      <c r="Z587" s="386"/>
      <c r="AA587" s="386"/>
      <c r="AB587" s="386"/>
      <c r="AC587" s="386"/>
    </row>
    <row r="588">
      <c r="H588" s="386"/>
      <c r="I588" s="386"/>
      <c r="J588" s="386"/>
      <c r="K588" s="386"/>
      <c r="L588" s="386"/>
      <c r="M588" s="386"/>
      <c r="N588" s="386"/>
      <c r="O588" s="386"/>
      <c r="P588" s="386"/>
      <c r="Q588" s="386"/>
      <c r="R588" s="386"/>
      <c r="S588" s="386"/>
      <c r="T588" s="386"/>
      <c r="U588" s="386"/>
      <c r="V588" s="386"/>
      <c r="W588" s="386"/>
      <c r="X588" s="386"/>
      <c r="Y588" s="386"/>
      <c r="Z588" s="386"/>
      <c r="AA588" s="386"/>
      <c r="AB588" s="386"/>
      <c r="AC588" s="386"/>
    </row>
    <row r="589">
      <c r="H589" s="386"/>
      <c r="I589" s="386"/>
      <c r="J589" s="386"/>
      <c r="K589" s="386"/>
      <c r="L589" s="386"/>
      <c r="M589" s="386"/>
      <c r="N589" s="386"/>
      <c r="O589" s="386"/>
      <c r="P589" s="386"/>
      <c r="Q589" s="386"/>
      <c r="R589" s="386"/>
      <c r="S589" s="386"/>
      <c r="T589" s="386"/>
      <c r="U589" s="386"/>
      <c r="V589" s="386"/>
      <c r="W589" s="386"/>
      <c r="X589" s="386"/>
      <c r="Y589" s="386"/>
      <c r="Z589" s="386"/>
      <c r="AA589" s="386"/>
      <c r="AB589" s="386"/>
      <c r="AC589" s="386"/>
    </row>
    <row r="590">
      <c r="H590" s="386"/>
      <c r="I590" s="386"/>
      <c r="J590" s="386"/>
      <c r="K590" s="386"/>
      <c r="L590" s="386"/>
      <c r="M590" s="386"/>
      <c r="N590" s="386"/>
      <c r="O590" s="386"/>
      <c r="P590" s="386"/>
      <c r="Q590" s="386"/>
      <c r="R590" s="386"/>
      <c r="S590" s="386"/>
      <c r="T590" s="386"/>
      <c r="U590" s="386"/>
      <c r="V590" s="386"/>
      <c r="W590" s="386"/>
      <c r="X590" s="386"/>
      <c r="Y590" s="386"/>
      <c r="Z590" s="386"/>
      <c r="AA590" s="386"/>
      <c r="AB590" s="386"/>
      <c r="AC590" s="386"/>
    </row>
    <row r="591">
      <c r="H591" s="386"/>
      <c r="I591" s="386"/>
      <c r="J591" s="386"/>
      <c r="K591" s="386"/>
      <c r="L591" s="386"/>
      <c r="M591" s="386"/>
      <c r="N591" s="386"/>
      <c r="O591" s="386"/>
      <c r="P591" s="386"/>
      <c r="Q591" s="386"/>
      <c r="R591" s="386"/>
      <c r="S591" s="386"/>
      <c r="T591" s="386"/>
      <c r="U591" s="386"/>
      <c r="V591" s="386"/>
      <c r="W591" s="386"/>
      <c r="X591" s="386"/>
      <c r="Y591" s="386"/>
      <c r="Z591" s="386"/>
      <c r="AA591" s="386"/>
      <c r="AB591" s="386"/>
      <c r="AC591" s="386"/>
    </row>
    <row r="592">
      <c r="H592" s="386"/>
      <c r="I592" s="386"/>
      <c r="J592" s="386"/>
      <c r="K592" s="386"/>
      <c r="L592" s="386"/>
      <c r="M592" s="386"/>
      <c r="N592" s="386"/>
      <c r="O592" s="386"/>
      <c r="P592" s="386"/>
      <c r="Q592" s="386"/>
      <c r="R592" s="386"/>
      <c r="S592" s="386"/>
      <c r="T592" s="386"/>
      <c r="U592" s="386"/>
      <c r="V592" s="386"/>
      <c r="W592" s="386"/>
      <c r="X592" s="386"/>
      <c r="Y592" s="386"/>
      <c r="Z592" s="386"/>
      <c r="AA592" s="386"/>
      <c r="AB592" s="386"/>
      <c r="AC592" s="386"/>
    </row>
    <row r="593">
      <c r="H593" s="386"/>
      <c r="I593" s="386"/>
      <c r="J593" s="386"/>
      <c r="K593" s="386"/>
      <c r="L593" s="386"/>
      <c r="M593" s="386"/>
      <c r="N593" s="386"/>
      <c r="O593" s="386"/>
      <c r="P593" s="386"/>
      <c r="Q593" s="386"/>
      <c r="R593" s="386"/>
      <c r="S593" s="386"/>
      <c r="T593" s="386"/>
      <c r="U593" s="386"/>
      <c r="V593" s="386"/>
      <c r="W593" s="386"/>
      <c r="X593" s="386"/>
      <c r="Y593" s="386"/>
      <c r="Z593" s="386"/>
      <c r="AA593" s="386"/>
      <c r="AB593" s="386"/>
      <c r="AC593" s="386"/>
    </row>
    <row r="594">
      <c r="H594" s="386"/>
      <c r="I594" s="386"/>
      <c r="J594" s="386"/>
      <c r="K594" s="386"/>
      <c r="L594" s="386"/>
      <c r="M594" s="386"/>
      <c r="N594" s="386"/>
      <c r="O594" s="386"/>
      <c r="P594" s="386"/>
      <c r="Q594" s="386"/>
      <c r="R594" s="386"/>
      <c r="S594" s="386"/>
      <c r="T594" s="386"/>
      <c r="U594" s="386"/>
      <c r="V594" s="386"/>
      <c r="W594" s="386"/>
      <c r="X594" s="386"/>
      <c r="Y594" s="386"/>
      <c r="Z594" s="386"/>
      <c r="AA594" s="386"/>
      <c r="AB594" s="386"/>
      <c r="AC594" s="386"/>
    </row>
    <row r="595">
      <c r="H595" s="386"/>
      <c r="I595" s="386"/>
      <c r="J595" s="386"/>
      <c r="K595" s="386"/>
      <c r="L595" s="386"/>
      <c r="M595" s="386"/>
      <c r="N595" s="386"/>
      <c r="O595" s="386"/>
      <c r="P595" s="386"/>
      <c r="Q595" s="386"/>
      <c r="R595" s="386"/>
      <c r="S595" s="386"/>
      <c r="T595" s="386"/>
      <c r="U595" s="386"/>
      <c r="V595" s="386"/>
      <c r="W595" s="386"/>
      <c r="X595" s="386"/>
      <c r="Y595" s="386"/>
      <c r="Z595" s="386"/>
      <c r="AA595" s="386"/>
      <c r="AB595" s="386"/>
      <c r="AC595" s="386"/>
    </row>
    <row r="596">
      <c r="H596" s="386"/>
      <c r="I596" s="386"/>
      <c r="J596" s="386"/>
      <c r="K596" s="386"/>
      <c r="L596" s="386"/>
      <c r="M596" s="386"/>
      <c r="N596" s="386"/>
      <c r="O596" s="386"/>
      <c r="P596" s="386"/>
      <c r="Q596" s="386"/>
      <c r="R596" s="386"/>
      <c r="S596" s="386"/>
      <c r="T596" s="386"/>
      <c r="U596" s="386"/>
      <c r="V596" s="386"/>
      <c r="W596" s="386"/>
      <c r="X596" s="386"/>
      <c r="Y596" s="386"/>
      <c r="Z596" s="386"/>
      <c r="AA596" s="386"/>
      <c r="AB596" s="386"/>
      <c r="AC596" s="386"/>
    </row>
    <row r="597">
      <c r="H597" s="386"/>
      <c r="I597" s="386"/>
      <c r="J597" s="386"/>
      <c r="K597" s="386"/>
      <c r="L597" s="386"/>
      <c r="M597" s="386"/>
      <c r="N597" s="386"/>
      <c r="O597" s="386"/>
      <c r="P597" s="386"/>
      <c r="Q597" s="386"/>
      <c r="R597" s="386"/>
      <c r="S597" s="386"/>
      <c r="T597" s="386"/>
      <c r="U597" s="386"/>
      <c r="V597" s="386"/>
      <c r="W597" s="386"/>
      <c r="X597" s="386"/>
      <c r="Y597" s="386"/>
      <c r="Z597" s="386"/>
      <c r="AA597" s="386"/>
      <c r="AB597" s="386"/>
      <c r="AC597" s="386"/>
    </row>
    <row r="598">
      <c r="H598" s="386"/>
      <c r="I598" s="386"/>
      <c r="J598" s="386"/>
      <c r="K598" s="386"/>
      <c r="L598" s="386"/>
      <c r="M598" s="386"/>
      <c r="N598" s="386"/>
      <c r="O598" s="386"/>
      <c r="P598" s="386"/>
      <c r="Q598" s="386"/>
      <c r="R598" s="386"/>
      <c r="S598" s="386"/>
      <c r="T598" s="386"/>
      <c r="U598" s="386"/>
      <c r="V598" s="386"/>
      <c r="W598" s="386"/>
      <c r="X598" s="386"/>
      <c r="Y598" s="386"/>
      <c r="Z598" s="386"/>
      <c r="AA598" s="386"/>
      <c r="AB598" s="386"/>
      <c r="AC598" s="386"/>
    </row>
    <row r="599">
      <c r="H599" s="386"/>
      <c r="I599" s="386"/>
      <c r="J599" s="386"/>
      <c r="K599" s="386"/>
      <c r="L599" s="386"/>
      <c r="M599" s="386"/>
      <c r="N599" s="386"/>
      <c r="O599" s="386"/>
      <c r="P599" s="386"/>
      <c r="Q599" s="386"/>
      <c r="R599" s="386"/>
      <c r="S599" s="386"/>
      <c r="T599" s="386"/>
      <c r="U599" s="386"/>
      <c r="V599" s="386"/>
      <c r="W599" s="386"/>
      <c r="X599" s="386"/>
      <c r="Y599" s="386"/>
      <c r="Z599" s="386"/>
      <c r="AA599" s="386"/>
      <c r="AB599" s="386"/>
      <c r="AC599" s="386"/>
    </row>
    <row r="600">
      <c r="H600" s="386"/>
      <c r="I600" s="386"/>
      <c r="J600" s="386"/>
      <c r="K600" s="386"/>
      <c r="L600" s="386"/>
      <c r="M600" s="386"/>
      <c r="N600" s="386"/>
      <c r="O600" s="386"/>
      <c r="P600" s="386"/>
      <c r="Q600" s="386"/>
      <c r="R600" s="386"/>
      <c r="S600" s="386"/>
      <c r="T600" s="386"/>
      <c r="U600" s="386"/>
      <c r="V600" s="386"/>
      <c r="W600" s="386"/>
      <c r="X600" s="386"/>
      <c r="Y600" s="386"/>
      <c r="Z600" s="386"/>
      <c r="AA600" s="386"/>
      <c r="AB600" s="386"/>
      <c r="AC600" s="386"/>
    </row>
    <row r="601">
      <c r="H601" s="386"/>
      <c r="I601" s="386"/>
      <c r="J601" s="386"/>
      <c r="K601" s="386"/>
      <c r="L601" s="386"/>
      <c r="M601" s="386"/>
      <c r="N601" s="386"/>
      <c r="O601" s="386"/>
      <c r="P601" s="386"/>
      <c r="Q601" s="386"/>
      <c r="R601" s="386"/>
      <c r="S601" s="386"/>
      <c r="T601" s="386"/>
      <c r="U601" s="386"/>
      <c r="V601" s="386"/>
      <c r="W601" s="386"/>
      <c r="X601" s="386"/>
      <c r="Y601" s="386"/>
      <c r="Z601" s="386"/>
      <c r="AA601" s="386"/>
      <c r="AB601" s="386"/>
      <c r="AC601" s="386"/>
    </row>
    <row r="602">
      <c r="H602" s="386"/>
      <c r="I602" s="386"/>
      <c r="J602" s="386"/>
      <c r="K602" s="386"/>
      <c r="L602" s="386"/>
      <c r="M602" s="386"/>
      <c r="N602" s="386"/>
      <c r="O602" s="386"/>
      <c r="P602" s="386"/>
      <c r="Q602" s="386"/>
      <c r="R602" s="386"/>
      <c r="S602" s="386"/>
      <c r="T602" s="386"/>
      <c r="U602" s="386"/>
      <c r="V602" s="386"/>
      <c r="W602" s="386"/>
      <c r="X602" s="386"/>
      <c r="Y602" s="386"/>
      <c r="Z602" s="386"/>
      <c r="AA602" s="386"/>
      <c r="AB602" s="386"/>
      <c r="AC602" s="386"/>
    </row>
    <row r="603">
      <c r="H603" s="386"/>
      <c r="I603" s="386"/>
      <c r="J603" s="386"/>
      <c r="K603" s="386"/>
      <c r="L603" s="386"/>
      <c r="M603" s="386"/>
      <c r="N603" s="386"/>
      <c r="O603" s="386"/>
      <c r="P603" s="386"/>
      <c r="Q603" s="386"/>
      <c r="R603" s="386"/>
      <c r="S603" s="386"/>
      <c r="T603" s="386"/>
      <c r="U603" s="386"/>
      <c r="V603" s="386"/>
      <c r="W603" s="386"/>
      <c r="X603" s="386"/>
      <c r="Y603" s="386"/>
      <c r="Z603" s="386"/>
      <c r="AA603" s="386"/>
      <c r="AB603" s="386"/>
      <c r="AC603" s="386"/>
    </row>
    <row r="604">
      <c r="H604" s="386"/>
      <c r="I604" s="386"/>
      <c r="J604" s="386"/>
      <c r="K604" s="386"/>
      <c r="L604" s="386"/>
      <c r="M604" s="386"/>
      <c r="N604" s="386"/>
      <c r="O604" s="386"/>
      <c r="P604" s="386"/>
      <c r="Q604" s="386"/>
      <c r="R604" s="386"/>
      <c r="S604" s="386"/>
      <c r="T604" s="386"/>
      <c r="U604" s="386"/>
      <c r="V604" s="386"/>
      <c r="W604" s="386"/>
      <c r="X604" s="386"/>
      <c r="Y604" s="386"/>
      <c r="Z604" s="386"/>
      <c r="AA604" s="386"/>
      <c r="AB604" s="386"/>
      <c r="AC604" s="386"/>
    </row>
    <row r="605">
      <c r="H605" s="386"/>
      <c r="I605" s="386"/>
      <c r="J605" s="386"/>
      <c r="K605" s="386"/>
      <c r="L605" s="386"/>
      <c r="M605" s="386"/>
      <c r="N605" s="386"/>
      <c r="O605" s="386"/>
      <c r="P605" s="386"/>
      <c r="Q605" s="386"/>
      <c r="R605" s="386"/>
      <c r="S605" s="386"/>
      <c r="T605" s="386"/>
      <c r="U605" s="386"/>
      <c r="V605" s="386"/>
      <c r="W605" s="386"/>
      <c r="X605" s="386"/>
      <c r="Y605" s="386"/>
      <c r="Z605" s="386"/>
      <c r="AA605" s="386"/>
      <c r="AB605" s="386"/>
      <c r="AC605" s="386"/>
    </row>
    <row r="606">
      <c r="H606" s="386"/>
      <c r="I606" s="386"/>
      <c r="J606" s="386"/>
      <c r="K606" s="386"/>
      <c r="L606" s="386"/>
      <c r="M606" s="386"/>
      <c r="N606" s="386"/>
      <c r="O606" s="386"/>
      <c r="P606" s="386"/>
      <c r="Q606" s="386"/>
      <c r="R606" s="386"/>
      <c r="S606" s="386"/>
      <c r="T606" s="386"/>
      <c r="U606" s="386"/>
      <c r="V606" s="386"/>
      <c r="W606" s="386"/>
      <c r="X606" s="386"/>
      <c r="Y606" s="386"/>
      <c r="Z606" s="386"/>
      <c r="AA606" s="386"/>
      <c r="AB606" s="386"/>
      <c r="AC606" s="386"/>
    </row>
    <row r="607">
      <c r="H607" s="386"/>
      <c r="I607" s="386"/>
      <c r="J607" s="386"/>
      <c r="K607" s="386"/>
      <c r="L607" s="386"/>
      <c r="M607" s="386"/>
      <c r="N607" s="386"/>
      <c r="O607" s="386"/>
      <c r="P607" s="386"/>
      <c r="Q607" s="386"/>
      <c r="R607" s="386"/>
      <c r="S607" s="386"/>
      <c r="T607" s="386"/>
      <c r="U607" s="386"/>
      <c r="V607" s="386"/>
      <c r="W607" s="386"/>
      <c r="X607" s="386"/>
      <c r="Y607" s="386"/>
      <c r="Z607" s="386"/>
      <c r="AA607" s="386"/>
      <c r="AB607" s="386"/>
      <c r="AC607" s="386"/>
    </row>
    <row r="608">
      <c r="H608" s="386"/>
      <c r="I608" s="386"/>
      <c r="J608" s="386"/>
      <c r="K608" s="386"/>
      <c r="L608" s="386"/>
      <c r="M608" s="386"/>
      <c r="N608" s="386"/>
      <c r="O608" s="386"/>
      <c r="P608" s="386"/>
      <c r="Q608" s="386"/>
      <c r="R608" s="386"/>
      <c r="S608" s="386"/>
      <c r="T608" s="386"/>
      <c r="U608" s="386"/>
      <c r="V608" s="386"/>
      <c r="W608" s="386"/>
      <c r="X608" s="386"/>
      <c r="Y608" s="386"/>
      <c r="Z608" s="386"/>
      <c r="AA608" s="386"/>
      <c r="AB608" s="386"/>
      <c r="AC608" s="386"/>
    </row>
    <row r="609">
      <c r="H609" s="386"/>
      <c r="I609" s="386"/>
      <c r="J609" s="386"/>
      <c r="K609" s="386"/>
      <c r="L609" s="386"/>
      <c r="M609" s="386"/>
      <c r="N609" s="386"/>
      <c r="O609" s="386"/>
      <c r="P609" s="386"/>
      <c r="Q609" s="386"/>
      <c r="R609" s="386"/>
      <c r="S609" s="386"/>
      <c r="T609" s="386"/>
      <c r="U609" s="386"/>
      <c r="V609" s="386"/>
      <c r="W609" s="386"/>
      <c r="X609" s="386"/>
      <c r="Y609" s="386"/>
      <c r="Z609" s="386"/>
      <c r="AA609" s="386"/>
      <c r="AB609" s="386"/>
      <c r="AC609" s="386"/>
    </row>
    <row r="610">
      <c r="H610" s="386"/>
      <c r="I610" s="386"/>
      <c r="J610" s="386"/>
      <c r="K610" s="386"/>
      <c r="L610" s="386"/>
      <c r="M610" s="386"/>
      <c r="N610" s="386"/>
      <c r="O610" s="386"/>
      <c r="P610" s="386"/>
      <c r="Q610" s="386"/>
      <c r="R610" s="386"/>
      <c r="S610" s="386"/>
      <c r="T610" s="386"/>
      <c r="U610" s="386"/>
      <c r="V610" s="386"/>
      <c r="W610" s="386"/>
      <c r="X610" s="386"/>
      <c r="Y610" s="386"/>
      <c r="Z610" s="386"/>
      <c r="AA610" s="386"/>
      <c r="AB610" s="386"/>
      <c r="AC610" s="386"/>
    </row>
    <row r="611">
      <c r="H611" s="386"/>
      <c r="I611" s="386"/>
      <c r="J611" s="386"/>
      <c r="K611" s="386"/>
      <c r="L611" s="386"/>
      <c r="M611" s="386"/>
      <c r="N611" s="386"/>
      <c r="O611" s="386"/>
      <c r="P611" s="386"/>
      <c r="Q611" s="386"/>
      <c r="R611" s="386"/>
      <c r="S611" s="386"/>
      <c r="T611" s="386"/>
      <c r="U611" s="386"/>
      <c r="V611" s="386"/>
      <c r="W611" s="386"/>
      <c r="X611" s="386"/>
      <c r="Y611" s="386"/>
      <c r="Z611" s="386"/>
      <c r="AA611" s="386"/>
      <c r="AB611" s="386"/>
      <c r="AC611" s="386"/>
    </row>
    <row r="612">
      <c r="H612" s="386"/>
      <c r="I612" s="386"/>
      <c r="J612" s="386"/>
      <c r="K612" s="386"/>
      <c r="L612" s="386"/>
      <c r="M612" s="386"/>
      <c r="N612" s="386"/>
      <c r="O612" s="386"/>
      <c r="P612" s="386"/>
      <c r="Q612" s="386"/>
      <c r="R612" s="386"/>
      <c r="S612" s="386"/>
      <c r="T612" s="386"/>
      <c r="U612" s="386"/>
      <c r="V612" s="386"/>
      <c r="W612" s="386"/>
      <c r="X612" s="386"/>
      <c r="Y612" s="386"/>
      <c r="Z612" s="386"/>
      <c r="AA612" s="386"/>
      <c r="AB612" s="386"/>
      <c r="AC612" s="386"/>
    </row>
    <row r="613">
      <c r="H613" s="386"/>
      <c r="I613" s="386"/>
      <c r="J613" s="386"/>
      <c r="K613" s="386"/>
      <c r="L613" s="386"/>
      <c r="M613" s="386"/>
      <c r="N613" s="386"/>
      <c r="O613" s="386"/>
      <c r="P613" s="386"/>
      <c r="Q613" s="386"/>
      <c r="R613" s="386"/>
      <c r="S613" s="386"/>
      <c r="T613" s="386"/>
      <c r="U613" s="386"/>
      <c r="V613" s="386"/>
      <c r="W613" s="386"/>
      <c r="X613" s="386"/>
      <c r="Y613" s="386"/>
      <c r="Z613" s="386"/>
      <c r="AA613" s="386"/>
      <c r="AB613" s="386"/>
      <c r="AC613" s="386"/>
    </row>
    <row r="614">
      <c r="H614" s="386"/>
      <c r="I614" s="386"/>
      <c r="J614" s="386"/>
      <c r="K614" s="386"/>
      <c r="L614" s="386"/>
      <c r="M614" s="386"/>
      <c r="N614" s="386"/>
      <c r="O614" s="386"/>
      <c r="P614" s="386"/>
      <c r="Q614" s="386"/>
      <c r="R614" s="386"/>
      <c r="S614" s="386"/>
      <c r="T614" s="386"/>
      <c r="U614" s="386"/>
      <c r="V614" s="386"/>
      <c r="W614" s="386"/>
      <c r="X614" s="386"/>
      <c r="Y614" s="386"/>
      <c r="Z614" s="386"/>
      <c r="AA614" s="386"/>
      <c r="AB614" s="386"/>
      <c r="AC614" s="386"/>
    </row>
    <row r="615">
      <c r="H615" s="386"/>
      <c r="I615" s="386"/>
      <c r="J615" s="386"/>
      <c r="K615" s="386"/>
      <c r="L615" s="386"/>
      <c r="M615" s="386"/>
      <c r="N615" s="386"/>
      <c r="O615" s="386"/>
      <c r="P615" s="386"/>
      <c r="Q615" s="386"/>
      <c r="R615" s="386"/>
      <c r="S615" s="386"/>
      <c r="T615" s="386"/>
      <c r="U615" s="386"/>
      <c r="V615" s="386"/>
      <c r="W615" s="386"/>
      <c r="X615" s="386"/>
      <c r="Y615" s="386"/>
      <c r="Z615" s="386"/>
      <c r="AA615" s="386"/>
      <c r="AB615" s="386"/>
      <c r="AC615" s="386"/>
    </row>
    <row r="616">
      <c r="H616" s="386"/>
      <c r="I616" s="386"/>
      <c r="J616" s="386"/>
      <c r="K616" s="386"/>
      <c r="L616" s="386"/>
      <c r="M616" s="386"/>
      <c r="N616" s="386"/>
      <c r="O616" s="386"/>
      <c r="P616" s="386"/>
      <c r="Q616" s="386"/>
      <c r="R616" s="386"/>
      <c r="S616" s="386"/>
      <c r="T616" s="386"/>
      <c r="U616" s="386"/>
      <c r="V616" s="386"/>
      <c r="W616" s="386"/>
      <c r="X616" s="386"/>
      <c r="Y616" s="386"/>
      <c r="Z616" s="386"/>
      <c r="AA616" s="386"/>
      <c r="AB616" s="386"/>
      <c r="AC616" s="386"/>
    </row>
    <row r="617">
      <c r="H617" s="386"/>
      <c r="I617" s="386"/>
      <c r="J617" s="386"/>
      <c r="K617" s="386"/>
      <c r="L617" s="386"/>
      <c r="M617" s="386"/>
      <c r="N617" s="386"/>
      <c r="O617" s="386"/>
      <c r="P617" s="386"/>
      <c r="Q617" s="386"/>
      <c r="R617" s="386"/>
      <c r="S617" s="386"/>
      <c r="T617" s="386"/>
      <c r="U617" s="386"/>
      <c r="V617" s="386"/>
      <c r="W617" s="386"/>
      <c r="X617" s="386"/>
      <c r="Y617" s="386"/>
      <c r="Z617" s="386"/>
      <c r="AA617" s="386"/>
      <c r="AB617" s="386"/>
      <c r="AC617" s="386"/>
    </row>
    <row r="618">
      <c r="H618" s="386"/>
      <c r="I618" s="386"/>
      <c r="J618" s="386"/>
      <c r="K618" s="386"/>
      <c r="L618" s="386"/>
      <c r="M618" s="386"/>
      <c r="N618" s="386"/>
      <c r="O618" s="386"/>
      <c r="P618" s="386"/>
      <c r="Q618" s="386"/>
      <c r="R618" s="386"/>
      <c r="S618" s="386"/>
      <c r="T618" s="386"/>
      <c r="U618" s="386"/>
      <c r="V618" s="386"/>
      <c r="W618" s="386"/>
      <c r="X618" s="386"/>
      <c r="Y618" s="386"/>
      <c r="Z618" s="386"/>
      <c r="AA618" s="386"/>
      <c r="AB618" s="386"/>
      <c r="AC618" s="386"/>
    </row>
    <row r="619">
      <c r="H619" s="386"/>
      <c r="I619" s="386"/>
      <c r="J619" s="386"/>
      <c r="K619" s="386"/>
      <c r="L619" s="386"/>
      <c r="M619" s="386"/>
      <c r="N619" s="386"/>
      <c r="O619" s="386"/>
      <c r="P619" s="386"/>
      <c r="Q619" s="386"/>
      <c r="R619" s="386"/>
      <c r="S619" s="386"/>
      <c r="T619" s="386"/>
      <c r="U619" s="386"/>
      <c r="V619" s="386"/>
      <c r="W619" s="386"/>
      <c r="X619" s="386"/>
      <c r="Y619" s="386"/>
      <c r="Z619" s="386"/>
      <c r="AA619" s="386"/>
      <c r="AB619" s="386"/>
      <c r="AC619" s="386"/>
    </row>
    <row r="620">
      <c r="H620" s="386"/>
      <c r="I620" s="386"/>
      <c r="J620" s="386"/>
      <c r="K620" s="386"/>
      <c r="L620" s="386"/>
      <c r="M620" s="386"/>
      <c r="N620" s="386"/>
      <c r="O620" s="386"/>
      <c r="P620" s="386"/>
      <c r="Q620" s="386"/>
      <c r="R620" s="386"/>
      <c r="S620" s="386"/>
      <c r="T620" s="386"/>
      <c r="U620" s="386"/>
      <c r="V620" s="386"/>
      <c r="W620" s="386"/>
      <c r="X620" s="386"/>
      <c r="Y620" s="386"/>
      <c r="Z620" s="386"/>
      <c r="AA620" s="386"/>
      <c r="AB620" s="386"/>
      <c r="AC620" s="386"/>
    </row>
    <row r="621">
      <c r="H621" s="386"/>
      <c r="I621" s="386"/>
      <c r="J621" s="386"/>
      <c r="K621" s="386"/>
      <c r="L621" s="386"/>
      <c r="M621" s="386"/>
      <c r="N621" s="386"/>
      <c r="O621" s="386"/>
      <c r="P621" s="386"/>
      <c r="Q621" s="386"/>
      <c r="R621" s="386"/>
      <c r="S621" s="386"/>
      <c r="T621" s="386"/>
      <c r="U621" s="386"/>
      <c r="V621" s="386"/>
      <c r="W621" s="386"/>
      <c r="X621" s="386"/>
      <c r="Y621" s="386"/>
      <c r="Z621" s="386"/>
      <c r="AA621" s="386"/>
      <c r="AB621" s="386"/>
      <c r="AC621" s="386"/>
    </row>
    <row r="622">
      <c r="H622" s="386"/>
      <c r="I622" s="386"/>
      <c r="J622" s="386"/>
      <c r="K622" s="386"/>
      <c r="L622" s="386"/>
      <c r="M622" s="386"/>
      <c r="N622" s="386"/>
      <c r="O622" s="386"/>
      <c r="P622" s="386"/>
      <c r="Q622" s="386"/>
      <c r="R622" s="386"/>
      <c r="S622" s="386"/>
      <c r="T622" s="386"/>
      <c r="U622" s="386"/>
      <c r="V622" s="386"/>
      <c r="W622" s="386"/>
      <c r="X622" s="386"/>
      <c r="Y622" s="386"/>
      <c r="Z622" s="386"/>
      <c r="AA622" s="386"/>
      <c r="AB622" s="386"/>
      <c r="AC622" s="386"/>
    </row>
    <row r="623">
      <c r="H623" s="386"/>
      <c r="I623" s="386"/>
      <c r="J623" s="386"/>
      <c r="K623" s="386"/>
      <c r="L623" s="386"/>
      <c r="M623" s="386"/>
      <c r="N623" s="386"/>
      <c r="O623" s="386"/>
      <c r="P623" s="386"/>
      <c r="Q623" s="386"/>
      <c r="R623" s="386"/>
      <c r="S623" s="386"/>
      <c r="T623" s="386"/>
      <c r="U623" s="386"/>
      <c r="V623" s="386"/>
      <c r="W623" s="386"/>
      <c r="X623" s="386"/>
      <c r="Y623" s="386"/>
      <c r="Z623" s="386"/>
      <c r="AA623" s="386"/>
      <c r="AB623" s="386"/>
      <c r="AC623" s="386"/>
    </row>
    <row r="624">
      <c r="H624" s="386"/>
      <c r="I624" s="386"/>
      <c r="J624" s="386"/>
      <c r="K624" s="386"/>
      <c r="L624" s="386"/>
      <c r="M624" s="386"/>
      <c r="N624" s="386"/>
      <c r="O624" s="386"/>
      <c r="P624" s="386"/>
      <c r="Q624" s="386"/>
      <c r="R624" s="386"/>
      <c r="S624" s="386"/>
      <c r="T624" s="386"/>
      <c r="U624" s="386"/>
      <c r="V624" s="386"/>
      <c r="W624" s="386"/>
      <c r="X624" s="386"/>
      <c r="Y624" s="386"/>
      <c r="Z624" s="386"/>
      <c r="AA624" s="386"/>
      <c r="AB624" s="386"/>
      <c r="AC624" s="386"/>
    </row>
    <row r="625">
      <c r="H625" s="386"/>
      <c r="I625" s="386"/>
      <c r="J625" s="386"/>
      <c r="K625" s="386"/>
      <c r="L625" s="386"/>
      <c r="M625" s="386"/>
      <c r="N625" s="386"/>
      <c r="O625" s="386"/>
      <c r="P625" s="386"/>
      <c r="Q625" s="386"/>
      <c r="R625" s="386"/>
      <c r="S625" s="386"/>
      <c r="T625" s="386"/>
      <c r="U625" s="386"/>
      <c r="V625" s="386"/>
      <c r="W625" s="386"/>
      <c r="X625" s="386"/>
      <c r="Y625" s="386"/>
      <c r="Z625" s="386"/>
      <c r="AA625" s="386"/>
      <c r="AB625" s="386"/>
      <c r="AC625" s="386"/>
    </row>
    <row r="626">
      <c r="H626" s="386"/>
      <c r="I626" s="386"/>
      <c r="J626" s="386"/>
      <c r="K626" s="386"/>
      <c r="L626" s="386"/>
      <c r="M626" s="386"/>
      <c r="N626" s="386"/>
      <c r="O626" s="386"/>
      <c r="P626" s="386"/>
      <c r="Q626" s="386"/>
      <c r="R626" s="386"/>
      <c r="S626" s="386"/>
      <c r="T626" s="386"/>
      <c r="U626" s="386"/>
      <c r="V626" s="386"/>
      <c r="W626" s="386"/>
      <c r="X626" s="386"/>
      <c r="Y626" s="386"/>
      <c r="Z626" s="386"/>
      <c r="AA626" s="386"/>
      <c r="AB626" s="386"/>
      <c r="AC626" s="386"/>
    </row>
    <row r="627">
      <c r="H627" s="386"/>
      <c r="I627" s="386"/>
      <c r="J627" s="386"/>
      <c r="K627" s="386"/>
      <c r="L627" s="386"/>
      <c r="M627" s="386"/>
      <c r="N627" s="386"/>
      <c r="O627" s="386"/>
      <c r="P627" s="386"/>
      <c r="Q627" s="386"/>
      <c r="R627" s="386"/>
      <c r="S627" s="386"/>
      <c r="T627" s="386"/>
      <c r="U627" s="386"/>
      <c r="V627" s="386"/>
      <c r="W627" s="386"/>
      <c r="X627" s="386"/>
      <c r="Y627" s="386"/>
      <c r="Z627" s="386"/>
      <c r="AA627" s="386"/>
      <c r="AB627" s="386"/>
      <c r="AC627" s="386"/>
    </row>
    <row r="628">
      <c r="H628" s="386"/>
      <c r="I628" s="386"/>
      <c r="J628" s="386"/>
      <c r="K628" s="386"/>
      <c r="L628" s="386"/>
      <c r="M628" s="386"/>
      <c r="N628" s="386"/>
      <c r="O628" s="386"/>
      <c r="P628" s="386"/>
      <c r="Q628" s="386"/>
      <c r="R628" s="386"/>
      <c r="S628" s="386"/>
      <c r="T628" s="386"/>
      <c r="U628" s="386"/>
      <c r="V628" s="386"/>
      <c r="W628" s="386"/>
      <c r="X628" s="386"/>
      <c r="Y628" s="386"/>
      <c r="Z628" s="386"/>
      <c r="AA628" s="386"/>
      <c r="AB628" s="386"/>
      <c r="AC628" s="386"/>
    </row>
    <row r="629">
      <c r="H629" s="386"/>
      <c r="I629" s="386"/>
      <c r="J629" s="386"/>
      <c r="K629" s="386"/>
      <c r="L629" s="386"/>
      <c r="M629" s="386"/>
      <c r="N629" s="386"/>
      <c r="O629" s="386"/>
      <c r="P629" s="386"/>
      <c r="Q629" s="386"/>
      <c r="R629" s="386"/>
      <c r="S629" s="386"/>
      <c r="T629" s="386"/>
      <c r="U629" s="386"/>
      <c r="V629" s="386"/>
      <c r="W629" s="386"/>
      <c r="X629" s="386"/>
      <c r="Y629" s="386"/>
      <c r="Z629" s="386"/>
      <c r="AA629" s="386"/>
      <c r="AB629" s="386"/>
      <c r="AC629" s="386"/>
    </row>
    <row r="630">
      <c r="H630" s="386"/>
      <c r="I630" s="386"/>
      <c r="J630" s="386"/>
      <c r="K630" s="386"/>
      <c r="L630" s="386"/>
      <c r="M630" s="386"/>
      <c r="N630" s="386"/>
      <c r="O630" s="386"/>
      <c r="P630" s="386"/>
      <c r="Q630" s="386"/>
      <c r="R630" s="386"/>
      <c r="S630" s="386"/>
      <c r="T630" s="386"/>
      <c r="U630" s="386"/>
      <c r="V630" s="386"/>
      <c r="W630" s="386"/>
      <c r="X630" s="386"/>
      <c r="Y630" s="386"/>
      <c r="Z630" s="386"/>
      <c r="AA630" s="386"/>
      <c r="AB630" s="386"/>
      <c r="AC630" s="386"/>
    </row>
    <row r="631">
      <c r="H631" s="386"/>
      <c r="I631" s="386"/>
      <c r="J631" s="386"/>
      <c r="K631" s="386"/>
      <c r="L631" s="386"/>
      <c r="M631" s="386"/>
      <c r="N631" s="386"/>
      <c r="O631" s="386"/>
      <c r="P631" s="386"/>
      <c r="Q631" s="386"/>
      <c r="R631" s="386"/>
      <c r="S631" s="386"/>
      <c r="T631" s="386"/>
      <c r="U631" s="386"/>
      <c r="V631" s="386"/>
      <c r="W631" s="386"/>
      <c r="X631" s="386"/>
      <c r="Y631" s="386"/>
      <c r="Z631" s="386"/>
      <c r="AA631" s="386"/>
      <c r="AB631" s="386"/>
      <c r="AC631" s="386"/>
    </row>
    <row r="632">
      <c r="H632" s="386"/>
      <c r="I632" s="386"/>
      <c r="J632" s="386"/>
      <c r="K632" s="386"/>
      <c r="L632" s="386"/>
      <c r="M632" s="386"/>
      <c r="N632" s="386"/>
      <c r="O632" s="386"/>
      <c r="P632" s="386"/>
      <c r="Q632" s="386"/>
      <c r="R632" s="386"/>
      <c r="S632" s="386"/>
      <c r="T632" s="386"/>
      <c r="U632" s="386"/>
      <c r="V632" s="386"/>
      <c r="W632" s="386"/>
      <c r="X632" s="386"/>
      <c r="Y632" s="386"/>
      <c r="Z632" s="386"/>
      <c r="AA632" s="386"/>
      <c r="AB632" s="386"/>
      <c r="AC632" s="386"/>
    </row>
    <row r="633">
      <c r="H633" s="386"/>
      <c r="I633" s="386"/>
      <c r="J633" s="386"/>
      <c r="K633" s="386"/>
      <c r="L633" s="386"/>
      <c r="M633" s="386"/>
      <c r="N633" s="386"/>
      <c r="O633" s="386"/>
      <c r="P633" s="386"/>
      <c r="Q633" s="386"/>
      <c r="R633" s="386"/>
      <c r="S633" s="386"/>
      <c r="T633" s="386"/>
      <c r="U633" s="386"/>
      <c r="V633" s="386"/>
      <c r="W633" s="386"/>
      <c r="X633" s="386"/>
      <c r="Y633" s="386"/>
      <c r="Z633" s="386"/>
      <c r="AA633" s="386"/>
      <c r="AB633" s="386"/>
      <c r="AC633" s="386"/>
    </row>
    <row r="634">
      <c r="H634" s="386"/>
      <c r="I634" s="386"/>
      <c r="J634" s="386"/>
      <c r="K634" s="386"/>
      <c r="L634" s="386"/>
      <c r="M634" s="386"/>
      <c r="N634" s="386"/>
      <c r="O634" s="386"/>
      <c r="P634" s="386"/>
      <c r="Q634" s="386"/>
      <c r="R634" s="386"/>
      <c r="S634" s="386"/>
      <c r="T634" s="386"/>
      <c r="U634" s="386"/>
      <c r="V634" s="386"/>
      <c r="W634" s="386"/>
      <c r="X634" s="386"/>
      <c r="Y634" s="386"/>
      <c r="Z634" s="386"/>
      <c r="AA634" s="386"/>
      <c r="AB634" s="386"/>
      <c r="AC634" s="386"/>
    </row>
    <row r="635">
      <c r="H635" s="386"/>
      <c r="I635" s="386"/>
      <c r="J635" s="386"/>
      <c r="K635" s="386"/>
      <c r="L635" s="386"/>
      <c r="M635" s="386"/>
      <c r="N635" s="386"/>
      <c r="O635" s="386"/>
      <c r="P635" s="386"/>
      <c r="Q635" s="386"/>
      <c r="R635" s="386"/>
      <c r="S635" s="386"/>
      <c r="T635" s="386"/>
      <c r="U635" s="386"/>
      <c r="V635" s="386"/>
      <c r="W635" s="386"/>
      <c r="X635" s="386"/>
      <c r="Y635" s="386"/>
      <c r="Z635" s="386"/>
      <c r="AA635" s="386"/>
      <c r="AB635" s="386"/>
      <c r="AC635" s="386"/>
    </row>
    <row r="636">
      <c r="H636" s="386"/>
      <c r="I636" s="386"/>
      <c r="J636" s="386"/>
      <c r="K636" s="386"/>
      <c r="L636" s="386"/>
      <c r="M636" s="386"/>
      <c r="N636" s="386"/>
      <c r="O636" s="386"/>
      <c r="P636" s="386"/>
      <c r="Q636" s="386"/>
      <c r="R636" s="386"/>
      <c r="S636" s="386"/>
      <c r="T636" s="386"/>
      <c r="U636" s="386"/>
      <c r="V636" s="386"/>
      <c r="W636" s="386"/>
      <c r="X636" s="386"/>
      <c r="Y636" s="386"/>
      <c r="Z636" s="386"/>
      <c r="AA636" s="386"/>
      <c r="AB636" s="386"/>
      <c r="AC636" s="386"/>
    </row>
    <row r="637">
      <c r="H637" s="386"/>
      <c r="I637" s="386"/>
      <c r="J637" s="386"/>
      <c r="K637" s="386"/>
      <c r="L637" s="386"/>
      <c r="M637" s="386"/>
      <c r="N637" s="386"/>
      <c r="O637" s="386"/>
      <c r="P637" s="386"/>
      <c r="Q637" s="386"/>
      <c r="R637" s="386"/>
      <c r="S637" s="386"/>
      <c r="T637" s="386"/>
      <c r="U637" s="386"/>
      <c r="V637" s="386"/>
      <c r="W637" s="386"/>
      <c r="X637" s="386"/>
      <c r="Y637" s="386"/>
      <c r="Z637" s="386"/>
      <c r="AA637" s="386"/>
      <c r="AB637" s="386"/>
      <c r="AC637" s="386"/>
    </row>
    <row r="638">
      <c r="H638" s="386"/>
      <c r="I638" s="386"/>
      <c r="J638" s="386"/>
      <c r="K638" s="386"/>
      <c r="L638" s="386"/>
      <c r="M638" s="386"/>
      <c r="N638" s="386"/>
      <c r="O638" s="386"/>
      <c r="P638" s="386"/>
      <c r="Q638" s="386"/>
      <c r="R638" s="386"/>
      <c r="S638" s="386"/>
      <c r="T638" s="386"/>
      <c r="U638" s="386"/>
      <c r="V638" s="386"/>
      <c r="W638" s="386"/>
      <c r="X638" s="386"/>
      <c r="Y638" s="386"/>
      <c r="Z638" s="386"/>
      <c r="AA638" s="386"/>
      <c r="AB638" s="386"/>
      <c r="AC638" s="386"/>
    </row>
    <row r="639">
      <c r="H639" s="386"/>
      <c r="I639" s="386"/>
      <c r="J639" s="386"/>
      <c r="K639" s="386"/>
      <c r="L639" s="386"/>
      <c r="M639" s="386"/>
      <c r="N639" s="386"/>
      <c r="O639" s="386"/>
      <c r="P639" s="386"/>
      <c r="Q639" s="386"/>
      <c r="R639" s="386"/>
      <c r="S639" s="386"/>
      <c r="T639" s="386"/>
      <c r="U639" s="386"/>
      <c r="V639" s="386"/>
      <c r="W639" s="386"/>
      <c r="X639" s="386"/>
      <c r="Y639" s="386"/>
      <c r="Z639" s="386"/>
      <c r="AA639" s="386"/>
      <c r="AB639" s="386"/>
      <c r="AC639" s="386"/>
    </row>
    <row r="640">
      <c r="H640" s="386"/>
      <c r="I640" s="386"/>
      <c r="J640" s="386"/>
      <c r="K640" s="386"/>
      <c r="L640" s="386"/>
      <c r="M640" s="386"/>
      <c r="N640" s="386"/>
      <c r="O640" s="386"/>
      <c r="P640" s="386"/>
      <c r="Q640" s="386"/>
      <c r="R640" s="386"/>
      <c r="S640" s="386"/>
      <c r="T640" s="386"/>
      <c r="U640" s="386"/>
      <c r="V640" s="386"/>
      <c r="W640" s="386"/>
      <c r="X640" s="386"/>
      <c r="Y640" s="386"/>
      <c r="Z640" s="386"/>
      <c r="AA640" s="386"/>
      <c r="AB640" s="386"/>
      <c r="AC640" s="386"/>
    </row>
    <row r="641">
      <c r="H641" s="386"/>
      <c r="I641" s="386"/>
      <c r="J641" s="386"/>
      <c r="K641" s="386"/>
      <c r="L641" s="386"/>
      <c r="M641" s="386"/>
      <c r="N641" s="386"/>
      <c r="O641" s="386"/>
      <c r="P641" s="386"/>
      <c r="Q641" s="386"/>
      <c r="R641" s="386"/>
      <c r="S641" s="386"/>
      <c r="T641" s="386"/>
      <c r="U641" s="386"/>
      <c r="V641" s="386"/>
      <c r="W641" s="386"/>
      <c r="X641" s="386"/>
      <c r="Y641" s="386"/>
      <c r="Z641" s="386"/>
      <c r="AA641" s="386"/>
      <c r="AB641" s="386"/>
      <c r="AC641" s="386"/>
    </row>
    <row r="642">
      <c r="H642" s="386"/>
      <c r="I642" s="386"/>
      <c r="J642" s="386"/>
      <c r="K642" s="386"/>
      <c r="L642" s="386"/>
      <c r="M642" s="386"/>
      <c r="N642" s="386"/>
      <c r="O642" s="386"/>
      <c r="P642" s="386"/>
      <c r="Q642" s="386"/>
      <c r="R642" s="386"/>
      <c r="S642" s="386"/>
      <c r="T642" s="386"/>
      <c r="U642" s="386"/>
      <c r="V642" s="386"/>
      <c r="W642" s="386"/>
      <c r="X642" s="386"/>
      <c r="Y642" s="386"/>
      <c r="Z642" s="386"/>
      <c r="AA642" s="386"/>
      <c r="AB642" s="386"/>
      <c r="AC642" s="386"/>
    </row>
    <row r="643">
      <c r="H643" s="386"/>
      <c r="I643" s="386"/>
      <c r="J643" s="386"/>
      <c r="K643" s="386"/>
      <c r="L643" s="386"/>
      <c r="M643" s="386"/>
      <c r="N643" s="386"/>
      <c r="O643" s="386"/>
      <c r="P643" s="386"/>
      <c r="Q643" s="386"/>
      <c r="R643" s="386"/>
      <c r="S643" s="386"/>
      <c r="T643" s="386"/>
      <c r="U643" s="386"/>
      <c r="V643" s="386"/>
      <c r="W643" s="386"/>
      <c r="X643" s="386"/>
      <c r="Y643" s="386"/>
      <c r="Z643" s="386"/>
      <c r="AA643" s="386"/>
      <c r="AB643" s="386"/>
      <c r="AC643" s="386"/>
    </row>
    <row r="644">
      <c r="H644" s="386"/>
      <c r="I644" s="386"/>
      <c r="J644" s="386"/>
      <c r="K644" s="386"/>
      <c r="L644" s="386"/>
      <c r="M644" s="386"/>
      <c r="N644" s="386"/>
      <c r="O644" s="386"/>
      <c r="P644" s="386"/>
      <c r="Q644" s="386"/>
      <c r="R644" s="386"/>
      <c r="S644" s="386"/>
      <c r="T644" s="386"/>
      <c r="U644" s="386"/>
      <c r="V644" s="386"/>
      <c r="W644" s="386"/>
      <c r="X644" s="386"/>
      <c r="Y644" s="386"/>
      <c r="Z644" s="386"/>
      <c r="AA644" s="386"/>
      <c r="AB644" s="386"/>
      <c r="AC644" s="386"/>
    </row>
    <row r="645">
      <c r="H645" s="386"/>
      <c r="I645" s="386"/>
      <c r="J645" s="386"/>
      <c r="K645" s="386"/>
      <c r="L645" s="386"/>
      <c r="M645" s="386"/>
      <c r="N645" s="386"/>
      <c r="O645" s="386"/>
      <c r="P645" s="386"/>
      <c r="Q645" s="386"/>
      <c r="R645" s="386"/>
      <c r="S645" s="386"/>
      <c r="T645" s="386"/>
      <c r="U645" s="386"/>
      <c r="V645" s="386"/>
      <c r="W645" s="386"/>
      <c r="X645" s="386"/>
      <c r="Y645" s="386"/>
      <c r="Z645" s="386"/>
      <c r="AA645" s="386"/>
      <c r="AB645" s="386"/>
      <c r="AC645" s="386"/>
    </row>
    <row r="646">
      <c r="H646" s="386"/>
      <c r="I646" s="386"/>
      <c r="J646" s="386"/>
      <c r="K646" s="386"/>
      <c r="L646" s="386"/>
      <c r="M646" s="386"/>
      <c r="N646" s="386"/>
      <c r="O646" s="386"/>
      <c r="P646" s="386"/>
      <c r="Q646" s="386"/>
      <c r="R646" s="386"/>
      <c r="S646" s="386"/>
      <c r="T646" s="386"/>
      <c r="U646" s="386"/>
      <c r="V646" s="386"/>
      <c r="W646" s="386"/>
      <c r="X646" s="386"/>
      <c r="Y646" s="386"/>
      <c r="Z646" s="386"/>
      <c r="AA646" s="386"/>
      <c r="AB646" s="386"/>
      <c r="AC646" s="386"/>
    </row>
    <row r="647">
      <c r="H647" s="386"/>
      <c r="I647" s="386"/>
      <c r="J647" s="386"/>
      <c r="K647" s="386"/>
      <c r="L647" s="386"/>
      <c r="M647" s="386"/>
      <c r="N647" s="386"/>
      <c r="O647" s="386"/>
      <c r="P647" s="386"/>
      <c r="Q647" s="386"/>
      <c r="R647" s="386"/>
      <c r="S647" s="386"/>
      <c r="T647" s="386"/>
      <c r="U647" s="386"/>
      <c r="V647" s="386"/>
      <c r="W647" s="386"/>
      <c r="X647" s="386"/>
      <c r="Y647" s="386"/>
      <c r="Z647" s="386"/>
      <c r="AA647" s="386"/>
      <c r="AB647" s="386"/>
      <c r="AC647" s="386"/>
    </row>
    <row r="648">
      <c r="H648" s="386"/>
      <c r="I648" s="386"/>
      <c r="J648" s="386"/>
      <c r="K648" s="386"/>
      <c r="L648" s="386"/>
      <c r="M648" s="386"/>
      <c r="N648" s="386"/>
      <c r="O648" s="386"/>
      <c r="P648" s="386"/>
      <c r="Q648" s="386"/>
      <c r="R648" s="386"/>
      <c r="S648" s="386"/>
      <c r="T648" s="386"/>
      <c r="U648" s="386"/>
      <c r="V648" s="386"/>
      <c r="W648" s="386"/>
      <c r="X648" s="386"/>
      <c r="Y648" s="386"/>
      <c r="Z648" s="386"/>
      <c r="AA648" s="386"/>
      <c r="AB648" s="386"/>
      <c r="AC648" s="386"/>
    </row>
    <row r="649">
      <c r="H649" s="386"/>
      <c r="I649" s="386"/>
      <c r="J649" s="386"/>
      <c r="K649" s="386"/>
      <c r="L649" s="386"/>
      <c r="M649" s="386"/>
      <c r="N649" s="386"/>
      <c r="O649" s="386"/>
      <c r="P649" s="386"/>
      <c r="Q649" s="386"/>
      <c r="R649" s="386"/>
      <c r="S649" s="386"/>
      <c r="T649" s="386"/>
      <c r="U649" s="386"/>
      <c r="V649" s="386"/>
      <c r="W649" s="386"/>
      <c r="X649" s="386"/>
      <c r="Y649" s="386"/>
      <c r="Z649" s="386"/>
      <c r="AA649" s="386"/>
      <c r="AB649" s="386"/>
      <c r="AC649" s="386"/>
    </row>
    <row r="650">
      <c r="H650" s="386"/>
      <c r="I650" s="386"/>
      <c r="J650" s="386"/>
      <c r="K650" s="386"/>
      <c r="L650" s="386"/>
      <c r="M650" s="386"/>
      <c r="N650" s="386"/>
      <c r="O650" s="386"/>
      <c r="P650" s="386"/>
      <c r="Q650" s="386"/>
      <c r="R650" s="386"/>
      <c r="S650" s="386"/>
      <c r="T650" s="386"/>
      <c r="U650" s="386"/>
      <c r="V650" s="386"/>
      <c r="W650" s="386"/>
      <c r="X650" s="386"/>
      <c r="Y650" s="386"/>
      <c r="Z650" s="386"/>
      <c r="AA650" s="386"/>
      <c r="AB650" s="386"/>
      <c r="AC650" s="386"/>
    </row>
    <row r="651">
      <c r="H651" s="386"/>
      <c r="I651" s="386"/>
      <c r="J651" s="386"/>
      <c r="K651" s="386"/>
      <c r="L651" s="386"/>
      <c r="M651" s="386"/>
      <c r="N651" s="386"/>
      <c r="O651" s="386"/>
      <c r="P651" s="386"/>
      <c r="Q651" s="386"/>
      <c r="R651" s="386"/>
      <c r="S651" s="386"/>
      <c r="T651" s="386"/>
      <c r="U651" s="386"/>
      <c r="V651" s="386"/>
      <c r="W651" s="386"/>
      <c r="X651" s="386"/>
      <c r="Y651" s="386"/>
      <c r="Z651" s="386"/>
      <c r="AA651" s="386"/>
      <c r="AB651" s="386"/>
      <c r="AC651" s="386"/>
    </row>
    <row r="652">
      <c r="H652" s="386"/>
      <c r="I652" s="386"/>
      <c r="J652" s="386"/>
      <c r="K652" s="386"/>
      <c r="L652" s="386"/>
      <c r="M652" s="386"/>
      <c r="N652" s="386"/>
      <c r="O652" s="386"/>
      <c r="P652" s="386"/>
      <c r="Q652" s="386"/>
      <c r="R652" s="386"/>
      <c r="S652" s="386"/>
      <c r="T652" s="386"/>
      <c r="U652" s="386"/>
      <c r="V652" s="386"/>
      <c r="W652" s="386"/>
      <c r="X652" s="386"/>
      <c r="Y652" s="386"/>
      <c r="Z652" s="386"/>
      <c r="AA652" s="386"/>
      <c r="AB652" s="386"/>
      <c r="AC652" s="386"/>
    </row>
    <row r="653">
      <c r="H653" s="386"/>
      <c r="I653" s="386"/>
      <c r="J653" s="386"/>
      <c r="K653" s="386"/>
      <c r="L653" s="386"/>
      <c r="M653" s="386"/>
      <c r="N653" s="386"/>
      <c r="O653" s="386"/>
      <c r="P653" s="386"/>
      <c r="Q653" s="386"/>
      <c r="R653" s="386"/>
      <c r="S653" s="386"/>
      <c r="T653" s="386"/>
      <c r="U653" s="386"/>
      <c r="V653" s="386"/>
      <c r="W653" s="386"/>
      <c r="X653" s="386"/>
      <c r="Y653" s="386"/>
      <c r="Z653" s="386"/>
      <c r="AA653" s="386"/>
      <c r="AB653" s="386"/>
      <c r="AC653" s="386"/>
    </row>
    <row r="654">
      <c r="H654" s="386"/>
      <c r="I654" s="386"/>
      <c r="J654" s="386"/>
      <c r="K654" s="386"/>
      <c r="L654" s="386"/>
      <c r="M654" s="386"/>
      <c r="N654" s="386"/>
      <c r="O654" s="386"/>
      <c r="P654" s="386"/>
      <c r="Q654" s="386"/>
      <c r="R654" s="386"/>
      <c r="S654" s="386"/>
      <c r="T654" s="386"/>
      <c r="U654" s="386"/>
      <c r="V654" s="386"/>
      <c r="W654" s="386"/>
      <c r="X654" s="386"/>
      <c r="Y654" s="386"/>
      <c r="Z654" s="386"/>
      <c r="AA654" s="386"/>
      <c r="AB654" s="386"/>
      <c r="AC654" s="386"/>
    </row>
    <row r="655">
      <c r="H655" s="386"/>
      <c r="I655" s="386"/>
      <c r="J655" s="386"/>
      <c r="K655" s="386"/>
      <c r="L655" s="386"/>
      <c r="M655" s="386"/>
      <c r="N655" s="386"/>
      <c r="O655" s="386"/>
      <c r="P655" s="386"/>
      <c r="Q655" s="386"/>
      <c r="R655" s="386"/>
      <c r="S655" s="386"/>
      <c r="T655" s="386"/>
      <c r="U655" s="386"/>
      <c r="V655" s="386"/>
      <c r="W655" s="386"/>
      <c r="X655" s="386"/>
      <c r="Y655" s="386"/>
      <c r="Z655" s="386"/>
      <c r="AA655" s="386"/>
      <c r="AB655" s="386"/>
      <c r="AC655" s="386"/>
    </row>
    <row r="656">
      <c r="H656" s="386"/>
      <c r="I656" s="386"/>
      <c r="J656" s="386"/>
      <c r="K656" s="386"/>
      <c r="L656" s="386"/>
      <c r="M656" s="386"/>
      <c r="N656" s="386"/>
      <c r="O656" s="386"/>
      <c r="P656" s="386"/>
      <c r="Q656" s="386"/>
      <c r="R656" s="386"/>
      <c r="S656" s="386"/>
      <c r="T656" s="386"/>
      <c r="U656" s="386"/>
      <c r="V656" s="386"/>
      <c r="W656" s="386"/>
      <c r="X656" s="386"/>
      <c r="Y656" s="386"/>
      <c r="Z656" s="386"/>
      <c r="AA656" s="386"/>
      <c r="AB656" s="386"/>
      <c r="AC656" s="386"/>
    </row>
    <row r="657">
      <c r="H657" s="386"/>
      <c r="I657" s="386"/>
      <c r="J657" s="386"/>
      <c r="K657" s="386"/>
      <c r="L657" s="386"/>
      <c r="M657" s="386"/>
      <c r="N657" s="386"/>
      <c r="O657" s="386"/>
      <c r="P657" s="386"/>
      <c r="Q657" s="386"/>
      <c r="R657" s="386"/>
      <c r="S657" s="386"/>
      <c r="T657" s="386"/>
      <c r="U657" s="386"/>
      <c r="V657" s="386"/>
      <c r="W657" s="386"/>
      <c r="X657" s="386"/>
      <c r="Y657" s="386"/>
      <c r="Z657" s="386"/>
      <c r="AA657" s="386"/>
      <c r="AB657" s="386"/>
      <c r="AC657" s="386"/>
    </row>
    <row r="658">
      <c r="H658" s="386"/>
      <c r="I658" s="386"/>
      <c r="J658" s="386"/>
      <c r="K658" s="386"/>
      <c r="L658" s="386"/>
      <c r="M658" s="386"/>
      <c r="N658" s="386"/>
      <c r="O658" s="386"/>
      <c r="P658" s="386"/>
      <c r="Q658" s="386"/>
      <c r="R658" s="386"/>
      <c r="S658" s="386"/>
      <c r="T658" s="386"/>
      <c r="U658" s="386"/>
      <c r="V658" s="386"/>
      <c r="W658" s="386"/>
      <c r="X658" s="386"/>
      <c r="Y658" s="386"/>
      <c r="Z658" s="386"/>
      <c r="AA658" s="386"/>
      <c r="AB658" s="386"/>
      <c r="AC658" s="386"/>
    </row>
    <row r="659">
      <c r="H659" s="386"/>
      <c r="I659" s="386"/>
      <c r="J659" s="386"/>
      <c r="K659" s="386"/>
      <c r="L659" s="386"/>
      <c r="M659" s="386"/>
      <c r="N659" s="386"/>
      <c r="O659" s="386"/>
      <c r="P659" s="386"/>
      <c r="Q659" s="386"/>
      <c r="R659" s="386"/>
      <c r="S659" s="386"/>
      <c r="T659" s="386"/>
      <c r="U659" s="386"/>
      <c r="V659" s="386"/>
      <c r="W659" s="386"/>
      <c r="X659" s="386"/>
      <c r="Y659" s="386"/>
      <c r="Z659" s="386"/>
      <c r="AA659" s="386"/>
      <c r="AB659" s="386"/>
      <c r="AC659" s="386"/>
    </row>
    <row r="660">
      <c r="H660" s="386"/>
      <c r="I660" s="386"/>
      <c r="J660" s="386"/>
      <c r="K660" s="386"/>
      <c r="L660" s="386"/>
      <c r="M660" s="386"/>
      <c r="N660" s="386"/>
      <c r="O660" s="386"/>
      <c r="P660" s="386"/>
      <c r="Q660" s="386"/>
      <c r="R660" s="386"/>
      <c r="S660" s="386"/>
      <c r="T660" s="386"/>
      <c r="U660" s="386"/>
      <c r="V660" s="386"/>
      <c r="W660" s="386"/>
      <c r="X660" s="386"/>
      <c r="Y660" s="386"/>
      <c r="Z660" s="386"/>
      <c r="AA660" s="386"/>
      <c r="AB660" s="386"/>
      <c r="AC660" s="386"/>
    </row>
    <row r="661">
      <c r="H661" s="386"/>
      <c r="I661" s="386"/>
      <c r="J661" s="386"/>
      <c r="K661" s="386"/>
      <c r="L661" s="386"/>
      <c r="M661" s="386"/>
      <c r="N661" s="386"/>
      <c r="O661" s="386"/>
      <c r="P661" s="386"/>
      <c r="Q661" s="386"/>
      <c r="R661" s="386"/>
      <c r="S661" s="386"/>
      <c r="T661" s="386"/>
      <c r="U661" s="386"/>
      <c r="V661" s="386"/>
      <c r="W661" s="386"/>
      <c r="X661" s="386"/>
      <c r="Y661" s="386"/>
      <c r="Z661" s="386"/>
      <c r="AA661" s="386"/>
      <c r="AB661" s="386"/>
      <c r="AC661" s="386"/>
    </row>
    <row r="662">
      <c r="H662" s="386"/>
      <c r="I662" s="386"/>
      <c r="J662" s="386"/>
      <c r="K662" s="386"/>
      <c r="L662" s="386"/>
      <c r="M662" s="386"/>
      <c r="N662" s="386"/>
      <c r="O662" s="386"/>
      <c r="P662" s="386"/>
      <c r="Q662" s="386"/>
      <c r="R662" s="386"/>
      <c r="S662" s="386"/>
      <c r="T662" s="386"/>
      <c r="U662" s="386"/>
      <c r="V662" s="386"/>
      <c r="W662" s="386"/>
      <c r="X662" s="386"/>
      <c r="Y662" s="386"/>
      <c r="Z662" s="386"/>
      <c r="AA662" s="386"/>
      <c r="AB662" s="386"/>
      <c r="AC662" s="386"/>
    </row>
    <row r="663">
      <c r="H663" s="386"/>
      <c r="I663" s="386"/>
      <c r="J663" s="386"/>
      <c r="K663" s="386"/>
      <c r="L663" s="386"/>
      <c r="M663" s="386"/>
      <c r="N663" s="386"/>
      <c r="O663" s="386"/>
      <c r="P663" s="386"/>
      <c r="Q663" s="386"/>
      <c r="R663" s="386"/>
      <c r="S663" s="386"/>
      <c r="T663" s="386"/>
      <c r="U663" s="386"/>
      <c r="V663" s="386"/>
      <c r="W663" s="386"/>
      <c r="X663" s="386"/>
      <c r="Y663" s="386"/>
      <c r="Z663" s="386"/>
      <c r="AA663" s="386"/>
      <c r="AB663" s="386"/>
      <c r="AC663" s="386"/>
    </row>
    <row r="664">
      <c r="H664" s="386"/>
      <c r="I664" s="386"/>
      <c r="J664" s="386"/>
      <c r="K664" s="386"/>
      <c r="L664" s="386"/>
      <c r="M664" s="386"/>
      <c r="N664" s="386"/>
      <c r="O664" s="386"/>
      <c r="P664" s="386"/>
      <c r="Q664" s="386"/>
      <c r="R664" s="386"/>
      <c r="S664" s="386"/>
      <c r="T664" s="386"/>
      <c r="U664" s="386"/>
      <c r="V664" s="386"/>
      <c r="W664" s="386"/>
      <c r="X664" s="386"/>
      <c r="Y664" s="386"/>
      <c r="Z664" s="386"/>
      <c r="AA664" s="386"/>
      <c r="AB664" s="386"/>
      <c r="AC664" s="386"/>
    </row>
    <row r="665">
      <c r="H665" s="386"/>
      <c r="I665" s="386"/>
      <c r="J665" s="386"/>
      <c r="K665" s="386"/>
      <c r="L665" s="386"/>
      <c r="M665" s="386"/>
      <c r="N665" s="386"/>
      <c r="O665" s="386"/>
      <c r="P665" s="386"/>
      <c r="Q665" s="386"/>
      <c r="R665" s="386"/>
      <c r="S665" s="386"/>
      <c r="T665" s="386"/>
      <c r="U665" s="386"/>
      <c r="V665" s="386"/>
      <c r="W665" s="386"/>
      <c r="X665" s="386"/>
      <c r="Y665" s="386"/>
      <c r="Z665" s="386"/>
      <c r="AA665" s="386"/>
      <c r="AB665" s="386"/>
      <c r="AC665" s="386"/>
    </row>
    <row r="666">
      <c r="H666" s="386"/>
      <c r="I666" s="386"/>
      <c r="J666" s="386"/>
      <c r="K666" s="386"/>
      <c r="L666" s="386"/>
      <c r="M666" s="386"/>
      <c r="N666" s="386"/>
      <c r="O666" s="386"/>
      <c r="P666" s="386"/>
      <c r="Q666" s="386"/>
      <c r="R666" s="386"/>
      <c r="S666" s="386"/>
      <c r="T666" s="386"/>
      <c r="U666" s="386"/>
      <c r="V666" s="386"/>
      <c r="W666" s="386"/>
      <c r="X666" s="386"/>
      <c r="Y666" s="386"/>
      <c r="Z666" s="386"/>
      <c r="AA666" s="386"/>
      <c r="AB666" s="386"/>
      <c r="AC666" s="386"/>
    </row>
    <row r="667">
      <c r="H667" s="386"/>
      <c r="I667" s="386"/>
      <c r="J667" s="386"/>
      <c r="K667" s="386"/>
      <c r="L667" s="386"/>
      <c r="M667" s="386"/>
      <c r="N667" s="386"/>
      <c r="O667" s="386"/>
      <c r="P667" s="386"/>
      <c r="Q667" s="386"/>
      <c r="R667" s="386"/>
      <c r="S667" s="386"/>
      <c r="T667" s="386"/>
      <c r="U667" s="386"/>
      <c r="V667" s="386"/>
      <c r="W667" s="386"/>
      <c r="X667" s="386"/>
      <c r="Y667" s="386"/>
      <c r="Z667" s="386"/>
      <c r="AA667" s="386"/>
      <c r="AB667" s="386"/>
      <c r="AC667" s="386"/>
    </row>
    <row r="668">
      <c r="H668" s="386"/>
      <c r="I668" s="386"/>
      <c r="J668" s="386"/>
      <c r="K668" s="386"/>
      <c r="L668" s="386"/>
      <c r="M668" s="386"/>
      <c r="N668" s="386"/>
      <c r="O668" s="386"/>
      <c r="P668" s="386"/>
      <c r="Q668" s="386"/>
      <c r="R668" s="386"/>
      <c r="S668" s="386"/>
      <c r="T668" s="386"/>
      <c r="U668" s="386"/>
      <c r="V668" s="386"/>
      <c r="W668" s="386"/>
      <c r="X668" s="386"/>
      <c r="Y668" s="386"/>
      <c r="Z668" s="386"/>
      <c r="AA668" s="386"/>
      <c r="AB668" s="386"/>
      <c r="AC668" s="386"/>
    </row>
    <row r="669">
      <c r="H669" s="386"/>
      <c r="I669" s="386"/>
      <c r="J669" s="386"/>
      <c r="K669" s="386"/>
      <c r="L669" s="386"/>
      <c r="M669" s="386"/>
      <c r="N669" s="386"/>
      <c r="O669" s="386"/>
      <c r="P669" s="386"/>
      <c r="Q669" s="386"/>
      <c r="R669" s="386"/>
      <c r="S669" s="386"/>
      <c r="T669" s="386"/>
      <c r="U669" s="386"/>
      <c r="V669" s="386"/>
      <c r="W669" s="386"/>
      <c r="X669" s="386"/>
      <c r="Y669" s="386"/>
      <c r="Z669" s="386"/>
      <c r="AA669" s="386"/>
      <c r="AB669" s="386"/>
      <c r="AC669" s="386"/>
    </row>
    <row r="670">
      <c r="H670" s="386"/>
      <c r="I670" s="386"/>
      <c r="J670" s="386"/>
      <c r="K670" s="386"/>
      <c r="L670" s="386"/>
      <c r="M670" s="386"/>
      <c r="N670" s="386"/>
      <c r="O670" s="386"/>
      <c r="P670" s="386"/>
      <c r="Q670" s="386"/>
      <c r="R670" s="386"/>
      <c r="S670" s="386"/>
      <c r="T670" s="386"/>
      <c r="U670" s="386"/>
      <c r="V670" s="386"/>
      <c r="W670" s="386"/>
      <c r="X670" s="386"/>
      <c r="Y670" s="386"/>
      <c r="Z670" s="386"/>
      <c r="AA670" s="386"/>
      <c r="AB670" s="386"/>
      <c r="AC670" s="386"/>
    </row>
    <row r="671">
      <c r="H671" s="386"/>
      <c r="I671" s="386"/>
      <c r="J671" s="386"/>
      <c r="K671" s="386"/>
      <c r="L671" s="386"/>
      <c r="M671" s="386"/>
      <c r="N671" s="386"/>
      <c r="O671" s="386"/>
      <c r="P671" s="386"/>
      <c r="Q671" s="386"/>
      <c r="R671" s="386"/>
      <c r="S671" s="386"/>
      <c r="T671" s="386"/>
      <c r="U671" s="386"/>
      <c r="V671" s="386"/>
      <c r="W671" s="386"/>
      <c r="X671" s="386"/>
      <c r="Y671" s="386"/>
      <c r="Z671" s="386"/>
      <c r="AA671" s="386"/>
      <c r="AB671" s="386"/>
      <c r="AC671" s="386"/>
    </row>
    <row r="672">
      <c r="H672" s="386"/>
      <c r="I672" s="386"/>
      <c r="J672" s="386"/>
      <c r="K672" s="386"/>
      <c r="L672" s="386"/>
      <c r="M672" s="386"/>
      <c r="N672" s="386"/>
      <c r="O672" s="386"/>
      <c r="P672" s="386"/>
      <c r="Q672" s="386"/>
      <c r="R672" s="386"/>
      <c r="S672" s="386"/>
      <c r="T672" s="386"/>
      <c r="U672" s="386"/>
      <c r="V672" s="386"/>
      <c r="W672" s="386"/>
      <c r="X672" s="386"/>
      <c r="Y672" s="386"/>
      <c r="Z672" s="386"/>
      <c r="AA672" s="386"/>
      <c r="AB672" s="386"/>
      <c r="AC672" s="386"/>
    </row>
    <row r="673">
      <c r="H673" s="386"/>
      <c r="I673" s="386"/>
      <c r="J673" s="386"/>
      <c r="K673" s="386"/>
      <c r="L673" s="386"/>
      <c r="M673" s="386"/>
      <c r="N673" s="386"/>
      <c r="O673" s="386"/>
      <c r="P673" s="386"/>
      <c r="Q673" s="386"/>
      <c r="R673" s="386"/>
      <c r="S673" s="386"/>
      <c r="T673" s="386"/>
      <c r="U673" s="386"/>
      <c r="V673" s="386"/>
      <c r="W673" s="386"/>
      <c r="X673" s="386"/>
      <c r="Y673" s="386"/>
      <c r="Z673" s="386"/>
      <c r="AA673" s="386"/>
      <c r="AB673" s="386"/>
      <c r="AC673" s="386"/>
    </row>
    <row r="674">
      <c r="H674" s="386"/>
      <c r="I674" s="386"/>
      <c r="J674" s="386"/>
      <c r="K674" s="386"/>
      <c r="L674" s="386"/>
      <c r="M674" s="386"/>
      <c r="N674" s="386"/>
      <c r="O674" s="386"/>
      <c r="P674" s="386"/>
      <c r="Q674" s="386"/>
      <c r="R674" s="386"/>
      <c r="S674" s="386"/>
      <c r="T674" s="386"/>
      <c r="U674" s="386"/>
      <c r="V674" s="386"/>
      <c r="W674" s="386"/>
      <c r="X674" s="386"/>
      <c r="Y674" s="386"/>
      <c r="Z674" s="386"/>
      <c r="AA674" s="386"/>
      <c r="AB674" s="386"/>
      <c r="AC674" s="386"/>
    </row>
    <row r="675">
      <c r="H675" s="386"/>
      <c r="I675" s="386"/>
      <c r="J675" s="386"/>
      <c r="K675" s="386"/>
      <c r="L675" s="386"/>
      <c r="M675" s="386"/>
      <c r="N675" s="386"/>
      <c r="O675" s="386"/>
      <c r="P675" s="386"/>
      <c r="Q675" s="386"/>
      <c r="R675" s="386"/>
      <c r="S675" s="386"/>
      <c r="T675" s="386"/>
      <c r="U675" s="386"/>
      <c r="V675" s="386"/>
      <c r="W675" s="386"/>
      <c r="X675" s="386"/>
      <c r="Y675" s="386"/>
      <c r="Z675" s="386"/>
      <c r="AA675" s="386"/>
      <c r="AB675" s="386"/>
      <c r="AC675" s="386"/>
    </row>
    <row r="676">
      <c r="H676" s="386"/>
      <c r="I676" s="386"/>
      <c r="J676" s="386"/>
      <c r="K676" s="386"/>
      <c r="L676" s="386"/>
      <c r="M676" s="386"/>
      <c r="N676" s="386"/>
      <c r="O676" s="386"/>
      <c r="P676" s="386"/>
      <c r="Q676" s="386"/>
      <c r="R676" s="386"/>
      <c r="S676" s="386"/>
      <c r="T676" s="386"/>
      <c r="U676" s="386"/>
      <c r="V676" s="386"/>
      <c r="W676" s="386"/>
      <c r="X676" s="386"/>
      <c r="Y676" s="386"/>
      <c r="Z676" s="386"/>
      <c r="AA676" s="386"/>
      <c r="AB676" s="386"/>
      <c r="AC676" s="386"/>
    </row>
    <row r="677">
      <c r="H677" s="386"/>
      <c r="I677" s="386"/>
      <c r="J677" s="386"/>
      <c r="K677" s="386"/>
      <c r="L677" s="386"/>
      <c r="M677" s="386"/>
      <c r="N677" s="386"/>
      <c r="O677" s="386"/>
      <c r="P677" s="386"/>
      <c r="Q677" s="386"/>
      <c r="R677" s="386"/>
      <c r="S677" s="386"/>
      <c r="T677" s="386"/>
      <c r="U677" s="386"/>
      <c r="V677" s="386"/>
      <c r="W677" s="386"/>
      <c r="X677" s="386"/>
      <c r="Y677" s="386"/>
      <c r="Z677" s="386"/>
      <c r="AA677" s="386"/>
      <c r="AB677" s="386"/>
      <c r="AC677" s="386"/>
    </row>
    <row r="678">
      <c r="H678" s="386"/>
      <c r="I678" s="386"/>
      <c r="J678" s="386"/>
      <c r="K678" s="386"/>
      <c r="L678" s="386"/>
      <c r="M678" s="386"/>
      <c r="N678" s="386"/>
      <c r="O678" s="386"/>
      <c r="P678" s="386"/>
      <c r="Q678" s="386"/>
      <c r="R678" s="386"/>
      <c r="S678" s="386"/>
      <c r="T678" s="386"/>
      <c r="U678" s="386"/>
      <c r="V678" s="386"/>
      <c r="W678" s="386"/>
      <c r="X678" s="386"/>
      <c r="Y678" s="386"/>
      <c r="Z678" s="386"/>
      <c r="AA678" s="386"/>
      <c r="AB678" s="386"/>
      <c r="AC678" s="386"/>
    </row>
    <row r="679">
      <c r="H679" s="386"/>
      <c r="I679" s="386"/>
      <c r="J679" s="386"/>
      <c r="K679" s="386"/>
      <c r="L679" s="386"/>
      <c r="M679" s="386"/>
      <c r="N679" s="386"/>
      <c r="O679" s="386"/>
      <c r="P679" s="386"/>
      <c r="Q679" s="386"/>
      <c r="R679" s="386"/>
      <c r="S679" s="386"/>
      <c r="T679" s="386"/>
      <c r="U679" s="386"/>
      <c r="V679" s="386"/>
      <c r="W679" s="386"/>
      <c r="X679" s="386"/>
      <c r="Y679" s="386"/>
      <c r="Z679" s="386"/>
      <c r="AA679" s="386"/>
      <c r="AB679" s="386"/>
      <c r="AC679" s="386"/>
    </row>
    <row r="680">
      <c r="H680" s="386"/>
      <c r="I680" s="386"/>
      <c r="J680" s="386"/>
      <c r="K680" s="386"/>
      <c r="L680" s="386"/>
      <c r="M680" s="386"/>
      <c r="N680" s="386"/>
      <c r="O680" s="386"/>
      <c r="P680" s="386"/>
      <c r="Q680" s="386"/>
      <c r="R680" s="386"/>
      <c r="S680" s="386"/>
      <c r="T680" s="386"/>
      <c r="U680" s="386"/>
      <c r="V680" s="386"/>
      <c r="W680" s="386"/>
      <c r="X680" s="386"/>
      <c r="Y680" s="386"/>
      <c r="Z680" s="386"/>
      <c r="AA680" s="386"/>
      <c r="AB680" s="386"/>
      <c r="AC680" s="386"/>
    </row>
    <row r="681">
      <c r="H681" s="386"/>
      <c r="I681" s="386"/>
      <c r="J681" s="386"/>
      <c r="K681" s="386"/>
      <c r="L681" s="386"/>
      <c r="M681" s="386"/>
      <c r="N681" s="386"/>
      <c r="O681" s="386"/>
      <c r="P681" s="386"/>
      <c r="Q681" s="386"/>
      <c r="R681" s="386"/>
      <c r="S681" s="386"/>
      <c r="T681" s="386"/>
      <c r="U681" s="386"/>
      <c r="V681" s="386"/>
      <c r="W681" s="386"/>
      <c r="X681" s="386"/>
      <c r="Y681" s="386"/>
      <c r="Z681" s="386"/>
      <c r="AA681" s="386"/>
      <c r="AB681" s="386"/>
      <c r="AC681" s="386"/>
    </row>
    <row r="682">
      <c r="H682" s="386"/>
      <c r="I682" s="386"/>
      <c r="J682" s="386"/>
      <c r="K682" s="386"/>
      <c r="L682" s="386"/>
      <c r="M682" s="386"/>
      <c r="N682" s="386"/>
      <c r="O682" s="386"/>
      <c r="P682" s="386"/>
      <c r="Q682" s="386"/>
      <c r="R682" s="386"/>
      <c r="S682" s="386"/>
      <c r="T682" s="386"/>
      <c r="U682" s="386"/>
      <c r="V682" s="386"/>
      <c r="W682" s="386"/>
      <c r="X682" s="386"/>
      <c r="Y682" s="386"/>
      <c r="Z682" s="386"/>
      <c r="AA682" s="386"/>
      <c r="AB682" s="386"/>
      <c r="AC682" s="386"/>
    </row>
    <row r="683">
      <c r="H683" s="386"/>
      <c r="I683" s="386"/>
      <c r="J683" s="386"/>
      <c r="K683" s="386"/>
      <c r="L683" s="386"/>
      <c r="M683" s="386"/>
      <c r="N683" s="386"/>
      <c r="O683" s="386"/>
      <c r="P683" s="386"/>
      <c r="Q683" s="386"/>
      <c r="R683" s="386"/>
      <c r="S683" s="386"/>
      <c r="T683" s="386"/>
      <c r="U683" s="386"/>
      <c r="V683" s="386"/>
      <c r="W683" s="386"/>
      <c r="X683" s="386"/>
      <c r="Y683" s="386"/>
      <c r="Z683" s="386"/>
      <c r="AA683" s="386"/>
      <c r="AB683" s="386"/>
      <c r="AC683" s="386"/>
    </row>
    <row r="684">
      <c r="H684" s="386"/>
      <c r="I684" s="386"/>
      <c r="J684" s="386"/>
      <c r="K684" s="386"/>
      <c r="L684" s="386"/>
      <c r="M684" s="386"/>
      <c r="N684" s="386"/>
      <c r="O684" s="386"/>
      <c r="P684" s="386"/>
      <c r="Q684" s="386"/>
      <c r="R684" s="386"/>
      <c r="S684" s="386"/>
      <c r="T684" s="386"/>
      <c r="U684" s="386"/>
      <c r="V684" s="386"/>
      <c r="W684" s="386"/>
      <c r="X684" s="386"/>
      <c r="Y684" s="386"/>
      <c r="Z684" s="386"/>
      <c r="AA684" s="386"/>
      <c r="AB684" s="386"/>
      <c r="AC684" s="386"/>
    </row>
    <row r="685">
      <c r="H685" s="386"/>
      <c r="I685" s="386"/>
      <c r="J685" s="386"/>
      <c r="K685" s="386"/>
      <c r="L685" s="386"/>
      <c r="M685" s="386"/>
      <c r="N685" s="386"/>
      <c r="O685" s="386"/>
      <c r="P685" s="386"/>
      <c r="Q685" s="386"/>
      <c r="R685" s="386"/>
      <c r="S685" s="386"/>
      <c r="T685" s="386"/>
      <c r="U685" s="386"/>
      <c r="V685" s="386"/>
      <c r="W685" s="386"/>
      <c r="X685" s="386"/>
      <c r="Y685" s="386"/>
      <c r="Z685" s="386"/>
      <c r="AA685" s="386"/>
      <c r="AB685" s="386"/>
      <c r="AC685" s="386"/>
    </row>
    <row r="686">
      <c r="H686" s="386"/>
      <c r="I686" s="386"/>
      <c r="J686" s="386"/>
      <c r="K686" s="386"/>
      <c r="L686" s="386"/>
      <c r="M686" s="386"/>
      <c r="N686" s="386"/>
      <c r="O686" s="386"/>
      <c r="P686" s="386"/>
      <c r="Q686" s="386"/>
      <c r="R686" s="386"/>
      <c r="S686" s="386"/>
      <c r="T686" s="386"/>
      <c r="U686" s="386"/>
      <c r="V686" s="386"/>
      <c r="W686" s="386"/>
      <c r="X686" s="386"/>
      <c r="Y686" s="386"/>
      <c r="Z686" s="386"/>
      <c r="AA686" s="386"/>
      <c r="AB686" s="386"/>
      <c r="AC686" s="386"/>
    </row>
    <row r="687">
      <c r="H687" s="386"/>
      <c r="I687" s="386"/>
      <c r="J687" s="386"/>
      <c r="K687" s="386"/>
      <c r="L687" s="386"/>
      <c r="M687" s="386"/>
      <c r="N687" s="386"/>
      <c r="O687" s="386"/>
      <c r="P687" s="386"/>
      <c r="Q687" s="386"/>
      <c r="R687" s="386"/>
      <c r="S687" s="386"/>
      <c r="T687" s="386"/>
      <c r="U687" s="386"/>
      <c r="V687" s="386"/>
      <c r="W687" s="386"/>
      <c r="X687" s="386"/>
      <c r="Y687" s="386"/>
      <c r="Z687" s="386"/>
      <c r="AA687" s="386"/>
      <c r="AB687" s="386"/>
      <c r="AC687" s="386"/>
    </row>
    <row r="688">
      <c r="H688" s="386"/>
      <c r="I688" s="386"/>
      <c r="J688" s="386"/>
      <c r="K688" s="386"/>
      <c r="L688" s="386"/>
      <c r="M688" s="386"/>
      <c r="N688" s="386"/>
      <c r="O688" s="386"/>
      <c r="P688" s="386"/>
      <c r="Q688" s="386"/>
      <c r="R688" s="386"/>
      <c r="S688" s="386"/>
      <c r="T688" s="386"/>
      <c r="U688" s="386"/>
      <c r="V688" s="386"/>
      <c r="W688" s="386"/>
      <c r="X688" s="386"/>
      <c r="Y688" s="386"/>
      <c r="Z688" s="386"/>
      <c r="AA688" s="386"/>
      <c r="AB688" s="386"/>
      <c r="AC688" s="386"/>
    </row>
    <row r="689">
      <c r="H689" s="386"/>
      <c r="I689" s="386"/>
      <c r="J689" s="386"/>
      <c r="K689" s="386"/>
      <c r="L689" s="386"/>
      <c r="M689" s="386"/>
      <c r="N689" s="386"/>
      <c r="O689" s="386"/>
      <c r="P689" s="386"/>
      <c r="Q689" s="386"/>
      <c r="R689" s="386"/>
      <c r="S689" s="386"/>
      <c r="T689" s="386"/>
      <c r="U689" s="386"/>
      <c r="V689" s="386"/>
      <c r="W689" s="386"/>
      <c r="X689" s="386"/>
      <c r="Y689" s="386"/>
      <c r="Z689" s="386"/>
      <c r="AA689" s="386"/>
      <c r="AB689" s="386"/>
      <c r="AC689" s="386"/>
    </row>
    <row r="690">
      <c r="H690" s="386"/>
      <c r="I690" s="386"/>
      <c r="J690" s="386"/>
      <c r="K690" s="386"/>
      <c r="L690" s="386"/>
      <c r="M690" s="386"/>
      <c r="N690" s="386"/>
      <c r="O690" s="386"/>
      <c r="P690" s="386"/>
      <c r="Q690" s="386"/>
      <c r="R690" s="386"/>
      <c r="S690" s="386"/>
      <c r="T690" s="386"/>
      <c r="U690" s="386"/>
      <c r="V690" s="386"/>
      <c r="W690" s="386"/>
      <c r="X690" s="386"/>
      <c r="Y690" s="386"/>
      <c r="Z690" s="386"/>
      <c r="AA690" s="386"/>
      <c r="AB690" s="386"/>
      <c r="AC690" s="386"/>
    </row>
    <row r="691">
      <c r="H691" s="386"/>
      <c r="I691" s="386"/>
      <c r="J691" s="386"/>
      <c r="K691" s="386"/>
      <c r="L691" s="386"/>
      <c r="M691" s="386"/>
      <c r="N691" s="386"/>
      <c r="O691" s="386"/>
      <c r="P691" s="386"/>
      <c r="Q691" s="386"/>
      <c r="R691" s="386"/>
      <c r="S691" s="386"/>
      <c r="T691" s="386"/>
      <c r="U691" s="386"/>
      <c r="V691" s="386"/>
      <c r="W691" s="386"/>
      <c r="X691" s="386"/>
      <c r="Y691" s="386"/>
      <c r="Z691" s="386"/>
      <c r="AA691" s="386"/>
      <c r="AB691" s="386"/>
      <c r="AC691" s="386"/>
    </row>
    <row r="692">
      <c r="H692" s="386"/>
      <c r="I692" s="386"/>
      <c r="J692" s="386"/>
      <c r="K692" s="386"/>
      <c r="L692" s="386"/>
      <c r="M692" s="386"/>
      <c r="N692" s="386"/>
      <c r="O692" s="386"/>
      <c r="P692" s="386"/>
      <c r="Q692" s="386"/>
      <c r="R692" s="386"/>
      <c r="S692" s="386"/>
      <c r="T692" s="386"/>
      <c r="U692" s="386"/>
      <c r="V692" s="386"/>
      <c r="W692" s="386"/>
      <c r="X692" s="386"/>
      <c r="Y692" s="386"/>
      <c r="Z692" s="386"/>
      <c r="AA692" s="386"/>
      <c r="AB692" s="386"/>
      <c r="AC692" s="386"/>
    </row>
    <row r="693">
      <c r="H693" s="386"/>
      <c r="I693" s="386"/>
      <c r="J693" s="386"/>
      <c r="K693" s="386"/>
      <c r="L693" s="386"/>
      <c r="M693" s="386"/>
      <c r="N693" s="386"/>
      <c r="O693" s="386"/>
      <c r="P693" s="386"/>
      <c r="Q693" s="386"/>
      <c r="R693" s="386"/>
      <c r="S693" s="386"/>
      <c r="T693" s="386"/>
      <c r="U693" s="386"/>
      <c r="V693" s="386"/>
      <c r="W693" s="386"/>
      <c r="X693" s="386"/>
      <c r="Y693" s="386"/>
      <c r="Z693" s="386"/>
      <c r="AA693" s="386"/>
      <c r="AB693" s="386"/>
      <c r="AC693" s="386"/>
    </row>
    <row r="694">
      <c r="H694" s="386"/>
      <c r="I694" s="386"/>
      <c r="J694" s="386"/>
      <c r="K694" s="386"/>
      <c r="L694" s="386"/>
      <c r="M694" s="386"/>
      <c r="N694" s="386"/>
      <c r="O694" s="386"/>
      <c r="P694" s="386"/>
      <c r="Q694" s="386"/>
      <c r="R694" s="386"/>
      <c r="S694" s="386"/>
      <c r="T694" s="386"/>
      <c r="U694" s="386"/>
      <c r="V694" s="386"/>
      <c r="W694" s="386"/>
      <c r="X694" s="386"/>
      <c r="Y694" s="386"/>
      <c r="Z694" s="386"/>
      <c r="AA694" s="386"/>
      <c r="AB694" s="386"/>
      <c r="AC694" s="386"/>
    </row>
    <row r="695">
      <c r="H695" s="386"/>
      <c r="I695" s="386"/>
      <c r="J695" s="386"/>
      <c r="K695" s="386"/>
      <c r="L695" s="386"/>
      <c r="M695" s="386"/>
      <c r="N695" s="386"/>
      <c r="O695" s="386"/>
      <c r="P695" s="386"/>
      <c r="Q695" s="386"/>
      <c r="R695" s="386"/>
      <c r="S695" s="386"/>
      <c r="T695" s="386"/>
      <c r="U695" s="386"/>
      <c r="V695" s="386"/>
      <c r="W695" s="386"/>
      <c r="X695" s="386"/>
      <c r="Y695" s="386"/>
      <c r="Z695" s="386"/>
      <c r="AA695" s="386"/>
      <c r="AB695" s="386"/>
      <c r="AC695" s="386"/>
    </row>
    <row r="696">
      <c r="H696" s="386"/>
      <c r="I696" s="386"/>
      <c r="J696" s="386"/>
      <c r="K696" s="386"/>
      <c r="L696" s="386"/>
      <c r="M696" s="386"/>
      <c r="N696" s="386"/>
      <c r="O696" s="386"/>
      <c r="P696" s="386"/>
      <c r="Q696" s="386"/>
      <c r="R696" s="386"/>
      <c r="S696" s="386"/>
      <c r="T696" s="386"/>
      <c r="U696" s="386"/>
      <c r="V696" s="386"/>
      <c r="W696" s="386"/>
      <c r="X696" s="386"/>
      <c r="Y696" s="386"/>
      <c r="Z696" s="386"/>
      <c r="AA696" s="386"/>
      <c r="AB696" s="386"/>
      <c r="AC696" s="386"/>
    </row>
    <row r="697">
      <c r="H697" s="386"/>
      <c r="I697" s="386"/>
      <c r="J697" s="386"/>
      <c r="K697" s="386"/>
      <c r="L697" s="386"/>
      <c r="M697" s="386"/>
      <c r="N697" s="386"/>
      <c r="O697" s="386"/>
      <c r="P697" s="386"/>
      <c r="Q697" s="386"/>
      <c r="R697" s="386"/>
      <c r="S697" s="386"/>
      <c r="T697" s="386"/>
      <c r="U697" s="386"/>
      <c r="V697" s="386"/>
      <c r="W697" s="386"/>
      <c r="X697" s="386"/>
      <c r="Y697" s="386"/>
      <c r="Z697" s="386"/>
      <c r="AA697" s="386"/>
      <c r="AB697" s="386"/>
      <c r="AC697" s="386"/>
    </row>
    <row r="698">
      <c r="H698" s="386"/>
      <c r="I698" s="386"/>
      <c r="J698" s="386"/>
      <c r="K698" s="386"/>
      <c r="L698" s="386"/>
      <c r="M698" s="386"/>
      <c r="N698" s="386"/>
      <c r="O698" s="386"/>
      <c r="P698" s="386"/>
      <c r="Q698" s="386"/>
      <c r="R698" s="386"/>
      <c r="S698" s="386"/>
      <c r="T698" s="386"/>
      <c r="U698" s="386"/>
      <c r="V698" s="386"/>
      <c r="W698" s="386"/>
      <c r="X698" s="386"/>
      <c r="Y698" s="386"/>
      <c r="Z698" s="386"/>
      <c r="AA698" s="386"/>
      <c r="AB698" s="386"/>
      <c r="AC698" s="386"/>
    </row>
    <row r="699">
      <c r="H699" s="386"/>
      <c r="I699" s="386"/>
      <c r="J699" s="386"/>
      <c r="K699" s="386"/>
      <c r="L699" s="386"/>
      <c r="M699" s="386"/>
      <c r="N699" s="386"/>
      <c r="O699" s="386"/>
      <c r="P699" s="386"/>
      <c r="Q699" s="386"/>
      <c r="R699" s="386"/>
      <c r="S699" s="386"/>
      <c r="T699" s="386"/>
      <c r="U699" s="386"/>
      <c r="V699" s="386"/>
      <c r="W699" s="386"/>
      <c r="X699" s="386"/>
      <c r="Y699" s="386"/>
      <c r="Z699" s="386"/>
      <c r="AA699" s="386"/>
      <c r="AB699" s="386"/>
      <c r="AC699" s="386"/>
    </row>
    <row r="700">
      <c r="H700" s="386"/>
      <c r="I700" s="386"/>
      <c r="J700" s="386"/>
      <c r="K700" s="386"/>
      <c r="L700" s="386"/>
      <c r="M700" s="386"/>
      <c r="N700" s="386"/>
      <c r="O700" s="386"/>
      <c r="P700" s="386"/>
      <c r="Q700" s="386"/>
      <c r="R700" s="386"/>
      <c r="S700" s="386"/>
      <c r="T700" s="386"/>
      <c r="U700" s="386"/>
      <c r="V700" s="386"/>
      <c r="W700" s="386"/>
      <c r="X700" s="386"/>
      <c r="Y700" s="386"/>
      <c r="Z700" s="386"/>
      <c r="AA700" s="386"/>
      <c r="AB700" s="386"/>
      <c r="AC700" s="386"/>
    </row>
    <row r="701">
      <c r="H701" s="386"/>
      <c r="I701" s="386"/>
      <c r="J701" s="386"/>
      <c r="K701" s="386"/>
      <c r="L701" s="386"/>
      <c r="M701" s="386"/>
      <c r="N701" s="386"/>
      <c r="O701" s="386"/>
      <c r="P701" s="386"/>
      <c r="Q701" s="386"/>
      <c r="R701" s="386"/>
      <c r="S701" s="386"/>
      <c r="T701" s="386"/>
      <c r="U701" s="386"/>
      <c r="V701" s="386"/>
      <c r="W701" s="386"/>
      <c r="X701" s="386"/>
      <c r="Y701" s="386"/>
      <c r="Z701" s="386"/>
      <c r="AA701" s="386"/>
      <c r="AB701" s="386"/>
      <c r="AC701" s="386"/>
    </row>
    <row r="702">
      <c r="H702" s="386"/>
      <c r="I702" s="386"/>
      <c r="J702" s="386"/>
      <c r="K702" s="386"/>
      <c r="L702" s="386"/>
      <c r="M702" s="386"/>
      <c r="N702" s="386"/>
      <c r="O702" s="386"/>
      <c r="P702" s="386"/>
      <c r="Q702" s="386"/>
      <c r="R702" s="386"/>
      <c r="S702" s="386"/>
      <c r="T702" s="386"/>
      <c r="U702" s="386"/>
      <c r="V702" s="386"/>
      <c r="W702" s="386"/>
      <c r="X702" s="386"/>
      <c r="Y702" s="386"/>
      <c r="Z702" s="386"/>
      <c r="AA702" s="386"/>
      <c r="AB702" s="386"/>
      <c r="AC702" s="386"/>
    </row>
    <row r="703">
      <c r="H703" s="386"/>
      <c r="I703" s="386"/>
      <c r="J703" s="386"/>
      <c r="K703" s="386"/>
      <c r="L703" s="386"/>
      <c r="M703" s="386"/>
      <c r="N703" s="386"/>
      <c r="O703" s="386"/>
      <c r="P703" s="386"/>
      <c r="Q703" s="386"/>
      <c r="R703" s="386"/>
      <c r="S703" s="386"/>
      <c r="T703" s="386"/>
      <c r="U703" s="386"/>
      <c r="V703" s="386"/>
      <c r="W703" s="386"/>
      <c r="X703" s="386"/>
      <c r="Y703" s="386"/>
      <c r="Z703" s="386"/>
      <c r="AA703" s="386"/>
      <c r="AB703" s="386"/>
      <c r="AC703" s="386"/>
    </row>
    <row r="704">
      <c r="H704" s="386"/>
      <c r="I704" s="386"/>
      <c r="J704" s="386"/>
      <c r="K704" s="386"/>
      <c r="L704" s="386"/>
      <c r="M704" s="386"/>
      <c r="N704" s="386"/>
      <c r="O704" s="386"/>
      <c r="P704" s="386"/>
      <c r="Q704" s="386"/>
      <c r="R704" s="386"/>
      <c r="S704" s="386"/>
      <c r="T704" s="386"/>
      <c r="U704" s="386"/>
      <c r="V704" s="386"/>
      <c r="W704" s="386"/>
      <c r="X704" s="386"/>
      <c r="Y704" s="386"/>
      <c r="Z704" s="386"/>
      <c r="AA704" s="386"/>
      <c r="AB704" s="386"/>
      <c r="AC704" s="386"/>
    </row>
    <row r="705">
      <c r="H705" s="386"/>
      <c r="I705" s="386"/>
      <c r="J705" s="386"/>
      <c r="K705" s="386"/>
      <c r="L705" s="386"/>
      <c r="M705" s="386"/>
      <c r="N705" s="386"/>
      <c r="O705" s="386"/>
      <c r="P705" s="386"/>
      <c r="Q705" s="386"/>
      <c r="R705" s="386"/>
      <c r="S705" s="386"/>
      <c r="T705" s="386"/>
      <c r="U705" s="386"/>
      <c r="V705" s="386"/>
      <c r="W705" s="386"/>
      <c r="X705" s="386"/>
      <c r="Y705" s="386"/>
      <c r="Z705" s="386"/>
      <c r="AA705" s="386"/>
      <c r="AB705" s="386"/>
      <c r="AC705" s="386"/>
    </row>
    <row r="706">
      <c r="H706" s="386"/>
      <c r="I706" s="386"/>
      <c r="J706" s="386"/>
      <c r="K706" s="386"/>
      <c r="L706" s="386"/>
      <c r="M706" s="386"/>
      <c r="N706" s="386"/>
      <c r="O706" s="386"/>
      <c r="P706" s="386"/>
      <c r="Q706" s="386"/>
      <c r="R706" s="386"/>
      <c r="S706" s="386"/>
      <c r="T706" s="386"/>
      <c r="U706" s="386"/>
      <c r="V706" s="386"/>
      <c r="W706" s="386"/>
      <c r="X706" s="386"/>
      <c r="Y706" s="386"/>
      <c r="Z706" s="386"/>
      <c r="AA706" s="386"/>
      <c r="AB706" s="386"/>
      <c r="AC706" s="386"/>
    </row>
    <row r="707">
      <c r="H707" s="386"/>
      <c r="I707" s="386"/>
      <c r="J707" s="386"/>
      <c r="K707" s="386"/>
      <c r="L707" s="386"/>
      <c r="M707" s="386"/>
      <c r="N707" s="386"/>
      <c r="O707" s="386"/>
      <c r="P707" s="386"/>
      <c r="Q707" s="386"/>
      <c r="R707" s="386"/>
      <c r="S707" s="386"/>
      <c r="T707" s="386"/>
      <c r="U707" s="386"/>
      <c r="V707" s="386"/>
      <c r="W707" s="386"/>
      <c r="X707" s="386"/>
      <c r="Y707" s="386"/>
      <c r="Z707" s="386"/>
      <c r="AA707" s="386"/>
      <c r="AB707" s="386"/>
      <c r="AC707" s="386"/>
    </row>
    <row r="708">
      <c r="H708" s="386"/>
      <c r="I708" s="386"/>
      <c r="J708" s="386"/>
      <c r="K708" s="386"/>
      <c r="L708" s="386"/>
      <c r="M708" s="386"/>
      <c r="N708" s="386"/>
      <c r="O708" s="386"/>
      <c r="P708" s="386"/>
      <c r="Q708" s="386"/>
      <c r="R708" s="386"/>
      <c r="S708" s="386"/>
      <c r="T708" s="386"/>
      <c r="U708" s="386"/>
      <c r="V708" s="386"/>
      <c r="W708" s="386"/>
      <c r="X708" s="386"/>
      <c r="Y708" s="386"/>
      <c r="Z708" s="386"/>
      <c r="AA708" s="386"/>
      <c r="AB708" s="386"/>
      <c r="AC708" s="386"/>
    </row>
    <row r="709">
      <c r="H709" s="386"/>
      <c r="I709" s="386"/>
      <c r="J709" s="386"/>
      <c r="K709" s="386"/>
      <c r="L709" s="386"/>
      <c r="M709" s="386"/>
      <c r="N709" s="386"/>
      <c r="O709" s="386"/>
      <c r="P709" s="386"/>
      <c r="Q709" s="386"/>
      <c r="R709" s="386"/>
      <c r="S709" s="386"/>
      <c r="T709" s="386"/>
      <c r="U709" s="386"/>
      <c r="V709" s="386"/>
      <c r="W709" s="386"/>
      <c r="X709" s="386"/>
      <c r="Y709" s="386"/>
      <c r="Z709" s="386"/>
      <c r="AA709" s="386"/>
      <c r="AB709" s="386"/>
      <c r="AC709" s="386"/>
    </row>
    <row r="710">
      <c r="H710" s="386"/>
      <c r="I710" s="386"/>
      <c r="J710" s="386"/>
      <c r="K710" s="386"/>
      <c r="L710" s="386"/>
      <c r="M710" s="386"/>
      <c r="N710" s="386"/>
      <c r="O710" s="386"/>
      <c r="P710" s="386"/>
      <c r="Q710" s="386"/>
      <c r="R710" s="386"/>
      <c r="S710" s="386"/>
      <c r="T710" s="386"/>
      <c r="U710" s="386"/>
      <c r="V710" s="386"/>
      <c r="W710" s="386"/>
      <c r="X710" s="386"/>
      <c r="Y710" s="386"/>
      <c r="Z710" s="386"/>
      <c r="AA710" s="386"/>
      <c r="AB710" s="386"/>
      <c r="AC710" s="386"/>
    </row>
    <row r="711">
      <c r="H711" s="386"/>
      <c r="I711" s="386"/>
      <c r="J711" s="386"/>
      <c r="K711" s="386"/>
      <c r="L711" s="386"/>
      <c r="M711" s="386"/>
      <c r="N711" s="386"/>
      <c r="O711" s="386"/>
      <c r="P711" s="386"/>
      <c r="Q711" s="386"/>
      <c r="R711" s="386"/>
      <c r="S711" s="386"/>
      <c r="T711" s="386"/>
      <c r="U711" s="386"/>
      <c r="V711" s="386"/>
      <c r="W711" s="386"/>
      <c r="X711" s="386"/>
      <c r="Y711" s="386"/>
      <c r="Z711" s="386"/>
      <c r="AA711" s="386"/>
      <c r="AB711" s="386"/>
      <c r="AC711" s="386"/>
    </row>
    <row r="712">
      <c r="H712" s="386"/>
      <c r="I712" s="386"/>
      <c r="J712" s="386"/>
      <c r="K712" s="386"/>
      <c r="L712" s="386"/>
      <c r="M712" s="386"/>
      <c r="N712" s="386"/>
      <c r="O712" s="386"/>
      <c r="P712" s="386"/>
      <c r="Q712" s="386"/>
      <c r="R712" s="386"/>
      <c r="S712" s="386"/>
      <c r="T712" s="386"/>
      <c r="U712" s="386"/>
      <c r="V712" s="386"/>
      <c r="W712" s="386"/>
      <c r="X712" s="386"/>
      <c r="Y712" s="386"/>
      <c r="Z712" s="386"/>
      <c r="AA712" s="386"/>
      <c r="AB712" s="386"/>
      <c r="AC712" s="386"/>
    </row>
    <row r="713">
      <c r="H713" s="386"/>
      <c r="I713" s="386"/>
      <c r="J713" s="386"/>
      <c r="K713" s="386"/>
      <c r="L713" s="386"/>
      <c r="M713" s="386"/>
      <c r="N713" s="386"/>
      <c r="O713" s="386"/>
      <c r="P713" s="386"/>
      <c r="Q713" s="386"/>
      <c r="R713" s="386"/>
      <c r="S713" s="386"/>
      <c r="T713" s="386"/>
      <c r="U713" s="386"/>
      <c r="V713" s="386"/>
      <c r="W713" s="386"/>
      <c r="X713" s="386"/>
      <c r="Y713" s="386"/>
      <c r="Z713" s="386"/>
      <c r="AA713" s="386"/>
      <c r="AB713" s="386"/>
      <c r="AC713" s="386"/>
    </row>
    <row r="714">
      <c r="H714" s="386"/>
      <c r="I714" s="386"/>
      <c r="J714" s="386"/>
      <c r="K714" s="386"/>
      <c r="L714" s="386"/>
      <c r="M714" s="386"/>
      <c r="N714" s="386"/>
      <c r="O714" s="386"/>
      <c r="P714" s="386"/>
      <c r="Q714" s="386"/>
      <c r="R714" s="386"/>
      <c r="S714" s="386"/>
      <c r="T714" s="386"/>
      <c r="U714" s="386"/>
      <c r="V714" s="386"/>
      <c r="W714" s="386"/>
      <c r="X714" s="386"/>
      <c r="Y714" s="386"/>
      <c r="Z714" s="386"/>
      <c r="AA714" s="386"/>
      <c r="AB714" s="386"/>
      <c r="AC714" s="386"/>
    </row>
    <row r="715">
      <c r="H715" s="386"/>
      <c r="I715" s="386"/>
      <c r="J715" s="386"/>
      <c r="K715" s="386"/>
      <c r="L715" s="386"/>
      <c r="M715" s="386"/>
      <c r="N715" s="386"/>
      <c r="O715" s="386"/>
      <c r="P715" s="386"/>
      <c r="Q715" s="386"/>
      <c r="R715" s="386"/>
      <c r="S715" s="386"/>
      <c r="T715" s="386"/>
      <c r="U715" s="386"/>
      <c r="V715" s="386"/>
      <c r="W715" s="386"/>
      <c r="X715" s="386"/>
      <c r="Y715" s="386"/>
      <c r="Z715" s="386"/>
      <c r="AA715" s="386"/>
      <c r="AB715" s="386"/>
      <c r="AC715" s="386"/>
    </row>
    <row r="716">
      <c r="H716" s="386"/>
      <c r="I716" s="386"/>
      <c r="J716" s="386"/>
      <c r="K716" s="386"/>
      <c r="L716" s="386"/>
      <c r="M716" s="386"/>
      <c r="N716" s="386"/>
      <c r="O716" s="386"/>
      <c r="P716" s="386"/>
      <c r="Q716" s="386"/>
      <c r="R716" s="386"/>
      <c r="S716" s="386"/>
      <c r="T716" s="386"/>
      <c r="U716" s="386"/>
      <c r="V716" s="386"/>
      <c r="W716" s="386"/>
      <c r="X716" s="386"/>
      <c r="Y716" s="386"/>
      <c r="Z716" s="386"/>
      <c r="AA716" s="386"/>
      <c r="AB716" s="386"/>
      <c r="AC716" s="386"/>
    </row>
    <row r="717">
      <c r="H717" s="386"/>
      <c r="I717" s="386"/>
      <c r="J717" s="386"/>
      <c r="K717" s="386"/>
      <c r="L717" s="386"/>
      <c r="M717" s="386"/>
      <c r="N717" s="386"/>
      <c r="O717" s="386"/>
      <c r="P717" s="386"/>
      <c r="Q717" s="386"/>
      <c r="R717" s="386"/>
      <c r="S717" s="386"/>
      <c r="T717" s="386"/>
      <c r="U717" s="386"/>
      <c r="V717" s="386"/>
      <c r="W717" s="386"/>
      <c r="X717" s="386"/>
      <c r="Y717" s="386"/>
      <c r="Z717" s="386"/>
      <c r="AA717" s="386"/>
      <c r="AB717" s="386"/>
      <c r="AC717" s="386"/>
    </row>
    <row r="718">
      <c r="H718" s="386"/>
      <c r="I718" s="386"/>
      <c r="J718" s="386"/>
      <c r="K718" s="386"/>
      <c r="L718" s="386"/>
      <c r="M718" s="386"/>
      <c r="N718" s="386"/>
      <c r="O718" s="386"/>
      <c r="P718" s="386"/>
      <c r="Q718" s="386"/>
      <c r="R718" s="386"/>
      <c r="S718" s="386"/>
      <c r="T718" s="386"/>
      <c r="U718" s="386"/>
      <c r="V718" s="386"/>
      <c r="W718" s="386"/>
      <c r="X718" s="386"/>
      <c r="Y718" s="386"/>
      <c r="Z718" s="386"/>
      <c r="AA718" s="386"/>
      <c r="AB718" s="386"/>
      <c r="AC718" s="386"/>
    </row>
    <row r="719">
      <c r="H719" s="386"/>
      <c r="I719" s="386"/>
      <c r="J719" s="386"/>
      <c r="K719" s="386"/>
      <c r="L719" s="386"/>
      <c r="M719" s="386"/>
      <c r="N719" s="386"/>
      <c r="O719" s="386"/>
      <c r="P719" s="386"/>
      <c r="Q719" s="386"/>
      <c r="R719" s="386"/>
      <c r="S719" s="386"/>
      <c r="T719" s="386"/>
      <c r="U719" s="386"/>
      <c r="V719" s="386"/>
      <c r="W719" s="386"/>
      <c r="X719" s="386"/>
      <c r="Y719" s="386"/>
      <c r="Z719" s="386"/>
      <c r="AA719" s="386"/>
      <c r="AB719" s="386"/>
      <c r="AC719" s="386"/>
    </row>
    <row r="720">
      <c r="H720" s="386"/>
      <c r="I720" s="386"/>
      <c r="J720" s="386"/>
      <c r="K720" s="386"/>
      <c r="L720" s="386"/>
      <c r="M720" s="386"/>
      <c r="N720" s="386"/>
      <c r="O720" s="386"/>
      <c r="P720" s="386"/>
      <c r="Q720" s="386"/>
      <c r="R720" s="386"/>
      <c r="S720" s="386"/>
      <c r="T720" s="386"/>
      <c r="U720" s="386"/>
      <c r="V720" s="386"/>
      <c r="W720" s="386"/>
      <c r="X720" s="386"/>
      <c r="Y720" s="386"/>
      <c r="Z720" s="386"/>
      <c r="AA720" s="386"/>
      <c r="AB720" s="386"/>
      <c r="AC720" s="386"/>
    </row>
    <row r="721">
      <c r="H721" s="386"/>
      <c r="I721" s="386"/>
      <c r="J721" s="386"/>
      <c r="K721" s="386"/>
      <c r="L721" s="386"/>
      <c r="M721" s="386"/>
      <c r="N721" s="386"/>
      <c r="O721" s="386"/>
      <c r="P721" s="386"/>
      <c r="Q721" s="386"/>
      <c r="R721" s="386"/>
      <c r="S721" s="386"/>
      <c r="T721" s="386"/>
      <c r="U721" s="386"/>
      <c r="V721" s="386"/>
      <c r="W721" s="386"/>
      <c r="X721" s="386"/>
      <c r="Y721" s="386"/>
      <c r="Z721" s="386"/>
      <c r="AA721" s="386"/>
      <c r="AB721" s="386"/>
      <c r="AC721" s="386"/>
    </row>
    <row r="722">
      <c r="H722" s="386"/>
      <c r="I722" s="386"/>
      <c r="J722" s="386"/>
      <c r="K722" s="386"/>
      <c r="L722" s="386"/>
      <c r="M722" s="386"/>
      <c r="N722" s="386"/>
      <c r="O722" s="386"/>
      <c r="P722" s="386"/>
      <c r="Q722" s="386"/>
      <c r="R722" s="386"/>
      <c r="S722" s="386"/>
      <c r="T722" s="386"/>
      <c r="U722" s="386"/>
      <c r="V722" s="386"/>
      <c r="W722" s="386"/>
      <c r="X722" s="386"/>
      <c r="Y722" s="386"/>
      <c r="Z722" s="386"/>
      <c r="AA722" s="386"/>
      <c r="AB722" s="386"/>
      <c r="AC722" s="386"/>
    </row>
    <row r="723">
      <c r="H723" s="386"/>
      <c r="I723" s="386"/>
      <c r="J723" s="386"/>
      <c r="K723" s="386"/>
      <c r="L723" s="386"/>
      <c r="M723" s="386"/>
      <c r="N723" s="386"/>
      <c r="O723" s="386"/>
      <c r="P723" s="386"/>
      <c r="Q723" s="386"/>
      <c r="R723" s="386"/>
      <c r="S723" s="386"/>
      <c r="T723" s="386"/>
      <c r="U723" s="386"/>
      <c r="V723" s="386"/>
      <c r="W723" s="386"/>
      <c r="X723" s="386"/>
      <c r="Y723" s="386"/>
      <c r="Z723" s="386"/>
      <c r="AA723" s="386"/>
      <c r="AB723" s="386"/>
      <c r="AC723" s="386"/>
    </row>
    <row r="724">
      <c r="H724" s="386"/>
      <c r="I724" s="386"/>
      <c r="J724" s="386"/>
      <c r="K724" s="386"/>
      <c r="L724" s="386"/>
      <c r="M724" s="386"/>
      <c r="N724" s="386"/>
      <c r="O724" s="386"/>
      <c r="P724" s="386"/>
      <c r="Q724" s="386"/>
      <c r="R724" s="386"/>
      <c r="S724" s="386"/>
      <c r="T724" s="386"/>
      <c r="U724" s="386"/>
      <c r="V724" s="386"/>
      <c r="W724" s="386"/>
      <c r="X724" s="386"/>
      <c r="Y724" s="386"/>
      <c r="Z724" s="386"/>
      <c r="AA724" s="386"/>
      <c r="AB724" s="386"/>
      <c r="AC724" s="386"/>
    </row>
    <row r="725">
      <c r="H725" s="386"/>
      <c r="I725" s="386"/>
      <c r="J725" s="386"/>
      <c r="K725" s="386"/>
      <c r="L725" s="386"/>
      <c r="M725" s="386"/>
      <c r="N725" s="386"/>
      <c r="O725" s="386"/>
      <c r="P725" s="386"/>
      <c r="Q725" s="386"/>
      <c r="R725" s="386"/>
      <c r="S725" s="386"/>
      <c r="T725" s="386"/>
      <c r="U725" s="386"/>
      <c r="V725" s="386"/>
      <c r="W725" s="386"/>
      <c r="X725" s="386"/>
      <c r="Y725" s="386"/>
      <c r="Z725" s="386"/>
      <c r="AA725" s="386"/>
      <c r="AB725" s="386"/>
      <c r="AC725" s="386"/>
    </row>
    <row r="726">
      <c r="H726" s="386"/>
      <c r="I726" s="386"/>
      <c r="J726" s="386"/>
      <c r="K726" s="386"/>
      <c r="L726" s="386"/>
      <c r="M726" s="386"/>
      <c r="N726" s="386"/>
      <c r="O726" s="386"/>
      <c r="P726" s="386"/>
      <c r="Q726" s="386"/>
      <c r="R726" s="386"/>
      <c r="S726" s="386"/>
      <c r="T726" s="386"/>
      <c r="U726" s="386"/>
      <c r="V726" s="386"/>
      <c r="W726" s="386"/>
      <c r="X726" s="386"/>
      <c r="Y726" s="386"/>
      <c r="Z726" s="386"/>
      <c r="AA726" s="386"/>
      <c r="AB726" s="386"/>
      <c r="AC726" s="386"/>
    </row>
    <row r="727">
      <c r="H727" s="386"/>
      <c r="I727" s="386"/>
      <c r="J727" s="386"/>
      <c r="K727" s="386"/>
      <c r="L727" s="386"/>
      <c r="M727" s="386"/>
      <c r="N727" s="386"/>
      <c r="O727" s="386"/>
      <c r="P727" s="386"/>
      <c r="Q727" s="386"/>
      <c r="R727" s="386"/>
      <c r="S727" s="386"/>
      <c r="T727" s="386"/>
      <c r="U727" s="386"/>
      <c r="V727" s="386"/>
      <c r="W727" s="386"/>
      <c r="X727" s="386"/>
      <c r="Y727" s="386"/>
      <c r="Z727" s="386"/>
      <c r="AA727" s="386"/>
      <c r="AB727" s="386"/>
      <c r="AC727" s="386"/>
    </row>
    <row r="728">
      <c r="H728" s="386"/>
      <c r="I728" s="386"/>
      <c r="J728" s="386"/>
      <c r="K728" s="386"/>
      <c r="L728" s="386"/>
      <c r="M728" s="386"/>
      <c r="N728" s="386"/>
      <c r="O728" s="386"/>
      <c r="P728" s="386"/>
      <c r="Q728" s="386"/>
      <c r="R728" s="386"/>
      <c r="S728" s="386"/>
      <c r="T728" s="386"/>
      <c r="U728" s="386"/>
      <c r="V728" s="386"/>
      <c r="W728" s="386"/>
      <c r="X728" s="386"/>
      <c r="Y728" s="386"/>
      <c r="Z728" s="386"/>
      <c r="AA728" s="386"/>
      <c r="AB728" s="386"/>
      <c r="AC728" s="386"/>
    </row>
    <row r="729">
      <c r="H729" s="386"/>
      <c r="I729" s="386"/>
      <c r="J729" s="386"/>
      <c r="K729" s="386"/>
      <c r="L729" s="386"/>
      <c r="M729" s="386"/>
      <c r="N729" s="386"/>
      <c r="O729" s="386"/>
      <c r="P729" s="386"/>
      <c r="Q729" s="386"/>
      <c r="R729" s="386"/>
      <c r="S729" s="386"/>
      <c r="T729" s="386"/>
      <c r="U729" s="386"/>
      <c r="V729" s="386"/>
      <c r="W729" s="386"/>
      <c r="X729" s="386"/>
      <c r="Y729" s="386"/>
      <c r="Z729" s="386"/>
      <c r="AA729" s="386"/>
      <c r="AB729" s="386"/>
      <c r="AC729" s="386"/>
    </row>
    <row r="730">
      <c r="H730" s="386"/>
      <c r="I730" s="386"/>
      <c r="J730" s="386"/>
      <c r="K730" s="386"/>
      <c r="L730" s="386"/>
      <c r="M730" s="386"/>
      <c r="N730" s="386"/>
      <c r="O730" s="386"/>
      <c r="P730" s="386"/>
      <c r="Q730" s="386"/>
      <c r="R730" s="386"/>
      <c r="S730" s="386"/>
      <c r="T730" s="386"/>
      <c r="U730" s="386"/>
      <c r="V730" s="386"/>
      <c r="W730" s="386"/>
      <c r="X730" s="386"/>
      <c r="Y730" s="386"/>
      <c r="Z730" s="386"/>
      <c r="AA730" s="386"/>
      <c r="AB730" s="386"/>
      <c r="AC730" s="386"/>
    </row>
    <row r="731">
      <c r="H731" s="386"/>
      <c r="I731" s="386"/>
      <c r="J731" s="386"/>
      <c r="K731" s="386"/>
      <c r="L731" s="386"/>
      <c r="M731" s="386"/>
      <c r="N731" s="386"/>
      <c r="O731" s="386"/>
      <c r="P731" s="386"/>
      <c r="Q731" s="386"/>
      <c r="R731" s="386"/>
      <c r="S731" s="386"/>
      <c r="T731" s="386"/>
      <c r="U731" s="386"/>
      <c r="V731" s="386"/>
      <c r="W731" s="386"/>
      <c r="X731" s="386"/>
      <c r="Y731" s="386"/>
      <c r="Z731" s="386"/>
      <c r="AA731" s="386"/>
      <c r="AB731" s="386"/>
      <c r="AC731" s="386"/>
    </row>
    <row r="732">
      <c r="H732" s="386"/>
      <c r="I732" s="386"/>
      <c r="J732" s="386"/>
      <c r="K732" s="386"/>
      <c r="L732" s="386"/>
      <c r="M732" s="386"/>
      <c r="N732" s="386"/>
      <c r="O732" s="386"/>
      <c r="P732" s="386"/>
      <c r="Q732" s="386"/>
      <c r="R732" s="386"/>
      <c r="S732" s="386"/>
      <c r="T732" s="386"/>
      <c r="U732" s="386"/>
      <c r="V732" s="386"/>
      <c r="W732" s="386"/>
      <c r="X732" s="386"/>
      <c r="Y732" s="386"/>
      <c r="Z732" s="386"/>
      <c r="AA732" s="386"/>
      <c r="AB732" s="386"/>
      <c r="AC732" s="386"/>
    </row>
    <row r="733">
      <c r="H733" s="386"/>
      <c r="I733" s="386"/>
      <c r="J733" s="386"/>
      <c r="K733" s="386"/>
      <c r="L733" s="386"/>
      <c r="M733" s="386"/>
      <c r="N733" s="386"/>
      <c r="O733" s="386"/>
      <c r="P733" s="386"/>
      <c r="Q733" s="386"/>
      <c r="R733" s="386"/>
      <c r="S733" s="386"/>
      <c r="T733" s="386"/>
      <c r="U733" s="386"/>
      <c r="V733" s="386"/>
      <c r="W733" s="386"/>
      <c r="X733" s="386"/>
      <c r="Y733" s="386"/>
      <c r="Z733" s="386"/>
      <c r="AA733" s="386"/>
      <c r="AB733" s="386"/>
      <c r="AC733" s="386"/>
    </row>
    <row r="734">
      <c r="H734" s="386"/>
      <c r="I734" s="386"/>
      <c r="J734" s="386"/>
      <c r="K734" s="386"/>
      <c r="L734" s="386"/>
      <c r="M734" s="386"/>
      <c r="N734" s="386"/>
      <c r="O734" s="386"/>
      <c r="P734" s="386"/>
      <c r="Q734" s="386"/>
      <c r="R734" s="386"/>
      <c r="S734" s="386"/>
      <c r="T734" s="386"/>
      <c r="U734" s="386"/>
      <c r="V734" s="386"/>
      <c r="W734" s="386"/>
      <c r="X734" s="386"/>
      <c r="Y734" s="386"/>
      <c r="Z734" s="386"/>
      <c r="AA734" s="386"/>
      <c r="AB734" s="386"/>
      <c r="AC734" s="386"/>
    </row>
    <row r="735">
      <c r="H735" s="386"/>
      <c r="I735" s="386"/>
      <c r="J735" s="386"/>
      <c r="K735" s="386"/>
      <c r="L735" s="386"/>
      <c r="M735" s="386"/>
      <c r="N735" s="386"/>
      <c r="O735" s="386"/>
      <c r="P735" s="386"/>
      <c r="Q735" s="386"/>
      <c r="R735" s="386"/>
      <c r="S735" s="386"/>
      <c r="T735" s="386"/>
      <c r="U735" s="386"/>
      <c r="V735" s="386"/>
      <c r="W735" s="386"/>
      <c r="X735" s="386"/>
      <c r="Y735" s="386"/>
      <c r="Z735" s="386"/>
      <c r="AA735" s="386"/>
      <c r="AB735" s="386"/>
      <c r="AC735" s="386"/>
    </row>
    <row r="736">
      <c r="H736" s="386"/>
      <c r="I736" s="386"/>
      <c r="J736" s="386"/>
      <c r="K736" s="386"/>
      <c r="L736" s="386"/>
      <c r="M736" s="386"/>
      <c r="N736" s="386"/>
      <c r="O736" s="386"/>
      <c r="P736" s="386"/>
      <c r="Q736" s="386"/>
      <c r="R736" s="386"/>
      <c r="S736" s="386"/>
      <c r="T736" s="386"/>
      <c r="U736" s="386"/>
      <c r="V736" s="386"/>
      <c r="W736" s="386"/>
      <c r="X736" s="386"/>
      <c r="Y736" s="386"/>
      <c r="Z736" s="386"/>
      <c r="AA736" s="386"/>
      <c r="AB736" s="386"/>
      <c r="AC736" s="386"/>
    </row>
    <row r="737">
      <c r="H737" s="386"/>
      <c r="I737" s="386"/>
      <c r="J737" s="386"/>
      <c r="K737" s="386"/>
      <c r="L737" s="386"/>
      <c r="M737" s="386"/>
      <c r="N737" s="386"/>
      <c r="O737" s="386"/>
      <c r="P737" s="386"/>
      <c r="Q737" s="386"/>
      <c r="R737" s="386"/>
      <c r="S737" s="386"/>
      <c r="T737" s="386"/>
      <c r="U737" s="386"/>
      <c r="V737" s="386"/>
      <c r="W737" s="386"/>
      <c r="X737" s="386"/>
      <c r="Y737" s="386"/>
      <c r="Z737" s="386"/>
      <c r="AA737" s="386"/>
      <c r="AB737" s="386"/>
      <c r="AC737" s="386"/>
    </row>
    <row r="738">
      <c r="H738" s="386"/>
      <c r="I738" s="386"/>
      <c r="J738" s="386"/>
      <c r="K738" s="386"/>
      <c r="L738" s="386"/>
      <c r="M738" s="386"/>
      <c r="N738" s="386"/>
      <c r="O738" s="386"/>
      <c r="P738" s="386"/>
      <c r="Q738" s="386"/>
      <c r="R738" s="386"/>
      <c r="S738" s="386"/>
      <c r="T738" s="386"/>
      <c r="U738" s="386"/>
      <c r="V738" s="386"/>
      <c r="W738" s="386"/>
      <c r="X738" s="386"/>
      <c r="Y738" s="386"/>
      <c r="Z738" s="386"/>
      <c r="AA738" s="386"/>
      <c r="AB738" s="386"/>
      <c r="AC738" s="386"/>
    </row>
    <row r="739">
      <c r="H739" s="386"/>
      <c r="I739" s="386"/>
      <c r="J739" s="386"/>
      <c r="K739" s="386"/>
      <c r="L739" s="386"/>
      <c r="M739" s="386"/>
      <c r="N739" s="386"/>
      <c r="O739" s="386"/>
      <c r="P739" s="386"/>
      <c r="Q739" s="386"/>
      <c r="R739" s="386"/>
      <c r="S739" s="386"/>
      <c r="T739" s="386"/>
      <c r="U739" s="386"/>
      <c r="V739" s="386"/>
      <c r="W739" s="386"/>
      <c r="X739" s="386"/>
      <c r="Y739" s="386"/>
      <c r="Z739" s="386"/>
      <c r="AA739" s="386"/>
      <c r="AB739" s="386"/>
      <c r="AC739" s="386"/>
    </row>
    <row r="740">
      <c r="H740" s="386"/>
      <c r="I740" s="386"/>
      <c r="J740" s="386"/>
      <c r="K740" s="386"/>
      <c r="L740" s="386"/>
      <c r="M740" s="386"/>
      <c r="N740" s="386"/>
      <c r="O740" s="386"/>
      <c r="P740" s="386"/>
      <c r="Q740" s="386"/>
      <c r="R740" s="386"/>
      <c r="S740" s="386"/>
      <c r="T740" s="386"/>
      <c r="U740" s="386"/>
      <c r="V740" s="386"/>
      <c r="W740" s="386"/>
      <c r="X740" s="386"/>
      <c r="Y740" s="386"/>
      <c r="Z740" s="386"/>
      <c r="AA740" s="386"/>
      <c r="AB740" s="386"/>
      <c r="AC740" s="386"/>
    </row>
    <row r="741">
      <c r="H741" s="386"/>
      <c r="I741" s="386"/>
      <c r="J741" s="386"/>
      <c r="K741" s="386"/>
      <c r="L741" s="386"/>
      <c r="M741" s="386"/>
      <c r="N741" s="386"/>
      <c r="O741" s="386"/>
      <c r="P741" s="386"/>
      <c r="Q741" s="386"/>
      <c r="R741" s="386"/>
      <c r="S741" s="386"/>
      <c r="T741" s="386"/>
      <c r="U741" s="386"/>
      <c r="V741" s="386"/>
      <c r="W741" s="386"/>
      <c r="X741" s="386"/>
      <c r="Y741" s="386"/>
      <c r="Z741" s="386"/>
      <c r="AA741" s="386"/>
      <c r="AB741" s="386"/>
      <c r="AC741" s="386"/>
    </row>
    <row r="742">
      <c r="H742" s="386"/>
      <c r="I742" s="386"/>
      <c r="J742" s="386"/>
      <c r="K742" s="386"/>
      <c r="L742" s="386"/>
      <c r="M742" s="386"/>
      <c r="N742" s="386"/>
      <c r="O742" s="386"/>
      <c r="P742" s="386"/>
      <c r="Q742" s="386"/>
      <c r="R742" s="386"/>
      <c r="S742" s="386"/>
      <c r="T742" s="386"/>
      <c r="U742" s="386"/>
      <c r="V742" s="386"/>
      <c r="W742" s="386"/>
      <c r="X742" s="386"/>
      <c r="Y742" s="386"/>
      <c r="Z742" s="386"/>
      <c r="AA742" s="386"/>
      <c r="AB742" s="386"/>
      <c r="AC742" s="386"/>
    </row>
    <row r="743">
      <c r="H743" s="386"/>
      <c r="I743" s="386"/>
      <c r="J743" s="386"/>
      <c r="K743" s="386"/>
      <c r="L743" s="386"/>
      <c r="M743" s="386"/>
      <c r="N743" s="386"/>
      <c r="O743" s="386"/>
      <c r="P743" s="386"/>
      <c r="Q743" s="386"/>
      <c r="R743" s="386"/>
      <c r="S743" s="386"/>
      <c r="T743" s="386"/>
      <c r="U743" s="386"/>
      <c r="V743" s="386"/>
      <c r="W743" s="386"/>
      <c r="X743" s="386"/>
      <c r="Y743" s="386"/>
      <c r="Z743" s="386"/>
      <c r="AA743" s="386"/>
      <c r="AB743" s="386"/>
      <c r="AC743" s="386"/>
    </row>
    <row r="744">
      <c r="H744" s="386"/>
      <c r="I744" s="386"/>
      <c r="J744" s="386"/>
      <c r="K744" s="386"/>
      <c r="L744" s="386"/>
      <c r="M744" s="386"/>
      <c r="N744" s="386"/>
      <c r="O744" s="386"/>
      <c r="P744" s="386"/>
      <c r="Q744" s="386"/>
      <c r="R744" s="386"/>
      <c r="S744" s="386"/>
      <c r="T744" s="386"/>
      <c r="U744" s="386"/>
      <c r="V744" s="386"/>
      <c r="W744" s="386"/>
      <c r="X744" s="386"/>
      <c r="Y744" s="386"/>
      <c r="Z744" s="386"/>
      <c r="AA744" s="386"/>
      <c r="AB744" s="386"/>
      <c r="AC744" s="386"/>
    </row>
    <row r="745">
      <c r="H745" s="386"/>
      <c r="I745" s="386"/>
      <c r="J745" s="386"/>
      <c r="K745" s="386"/>
      <c r="L745" s="386"/>
      <c r="M745" s="386"/>
      <c r="N745" s="386"/>
      <c r="O745" s="386"/>
      <c r="P745" s="386"/>
      <c r="Q745" s="386"/>
      <c r="R745" s="386"/>
      <c r="S745" s="386"/>
      <c r="T745" s="386"/>
      <c r="U745" s="386"/>
      <c r="V745" s="386"/>
      <c r="W745" s="386"/>
      <c r="X745" s="386"/>
      <c r="Y745" s="386"/>
      <c r="Z745" s="386"/>
      <c r="AA745" s="386"/>
      <c r="AB745" s="386"/>
      <c r="AC745" s="386"/>
    </row>
    <row r="746">
      <c r="H746" s="386"/>
      <c r="I746" s="386"/>
      <c r="J746" s="386"/>
      <c r="K746" s="386"/>
      <c r="L746" s="386"/>
      <c r="M746" s="386"/>
      <c r="N746" s="386"/>
      <c r="O746" s="386"/>
      <c r="P746" s="386"/>
      <c r="Q746" s="386"/>
      <c r="R746" s="386"/>
      <c r="S746" s="386"/>
      <c r="T746" s="386"/>
      <c r="U746" s="386"/>
      <c r="V746" s="386"/>
      <c r="W746" s="386"/>
      <c r="X746" s="386"/>
      <c r="Y746" s="386"/>
      <c r="Z746" s="386"/>
      <c r="AA746" s="386"/>
      <c r="AB746" s="386"/>
      <c r="AC746" s="386"/>
    </row>
    <row r="747">
      <c r="H747" s="386"/>
      <c r="I747" s="386"/>
      <c r="J747" s="386"/>
      <c r="K747" s="386"/>
      <c r="L747" s="386"/>
      <c r="M747" s="386"/>
      <c r="N747" s="386"/>
      <c r="O747" s="386"/>
      <c r="P747" s="386"/>
      <c r="Q747" s="386"/>
      <c r="R747" s="386"/>
      <c r="S747" s="386"/>
      <c r="T747" s="386"/>
      <c r="U747" s="386"/>
      <c r="V747" s="386"/>
      <c r="W747" s="386"/>
      <c r="X747" s="386"/>
      <c r="Y747" s="386"/>
      <c r="Z747" s="386"/>
      <c r="AA747" s="386"/>
      <c r="AB747" s="386"/>
      <c r="AC747" s="386"/>
    </row>
    <row r="748">
      <c r="H748" s="386"/>
      <c r="I748" s="386"/>
      <c r="J748" s="386"/>
      <c r="K748" s="386"/>
      <c r="L748" s="386"/>
      <c r="M748" s="386"/>
      <c r="N748" s="386"/>
      <c r="O748" s="386"/>
      <c r="P748" s="386"/>
      <c r="Q748" s="386"/>
      <c r="R748" s="386"/>
      <c r="S748" s="386"/>
      <c r="T748" s="386"/>
      <c r="U748" s="386"/>
      <c r="V748" s="386"/>
      <c r="W748" s="386"/>
      <c r="X748" s="386"/>
      <c r="Y748" s="386"/>
      <c r="Z748" s="386"/>
      <c r="AA748" s="386"/>
      <c r="AB748" s="386"/>
      <c r="AC748" s="386"/>
    </row>
    <row r="749">
      <c r="H749" s="386"/>
      <c r="I749" s="386"/>
      <c r="J749" s="386"/>
      <c r="K749" s="386"/>
      <c r="L749" s="386"/>
      <c r="M749" s="386"/>
      <c r="N749" s="386"/>
      <c r="O749" s="386"/>
      <c r="P749" s="386"/>
      <c r="Q749" s="386"/>
      <c r="R749" s="386"/>
      <c r="S749" s="386"/>
      <c r="T749" s="386"/>
      <c r="U749" s="386"/>
      <c r="V749" s="386"/>
      <c r="W749" s="386"/>
      <c r="X749" s="386"/>
      <c r="Y749" s="386"/>
      <c r="Z749" s="386"/>
      <c r="AA749" s="386"/>
      <c r="AB749" s="386"/>
      <c r="AC749" s="386"/>
    </row>
    <row r="750">
      <c r="H750" s="386"/>
      <c r="I750" s="386"/>
      <c r="J750" s="386"/>
      <c r="K750" s="386"/>
      <c r="L750" s="386"/>
      <c r="M750" s="386"/>
      <c r="N750" s="386"/>
      <c r="O750" s="386"/>
      <c r="P750" s="386"/>
      <c r="Q750" s="386"/>
      <c r="R750" s="386"/>
      <c r="S750" s="386"/>
      <c r="T750" s="386"/>
      <c r="U750" s="386"/>
      <c r="V750" s="386"/>
      <c r="W750" s="386"/>
      <c r="X750" s="386"/>
      <c r="Y750" s="386"/>
      <c r="Z750" s="386"/>
      <c r="AA750" s="386"/>
      <c r="AB750" s="386"/>
      <c r="AC750" s="386"/>
    </row>
    <row r="751">
      <c r="H751" s="386"/>
      <c r="I751" s="386"/>
      <c r="J751" s="386"/>
      <c r="K751" s="386"/>
      <c r="L751" s="386"/>
      <c r="M751" s="386"/>
      <c r="N751" s="386"/>
      <c r="O751" s="386"/>
      <c r="P751" s="386"/>
      <c r="Q751" s="386"/>
      <c r="R751" s="386"/>
      <c r="S751" s="386"/>
      <c r="T751" s="386"/>
      <c r="U751" s="386"/>
      <c r="V751" s="386"/>
      <c r="W751" s="386"/>
      <c r="X751" s="386"/>
      <c r="Y751" s="386"/>
      <c r="Z751" s="386"/>
      <c r="AA751" s="386"/>
      <c r="AB751" s="386"/>
      <c r="AC751" s="386"/>
    </row>
    <row r="752">
      <c r="H752" s="386"/>
      <c r="I752" s="386"/>
      <c r="J752" s="386"/>
      <c r="K752" s="386"/>
      <c r="L752" s="386"/>
      <c r="M752" s="386"/>
      <c r="N752" s="386"/>
      <c r="O752" s="386"/>
      <c r="P752" s="386"/>
      <c r="Q752" s="386"/>
      <c r="R752" s="386"/>
      <c r="S752" s="386"/>
      <c r="T752" s="386"/>
      <c r="U752" s="386"/>
      <c r="V752" s="386"/>
      <c r="W752" s="386"/>
      <c r="X752" s="386"/>
      <c r="Y752" s="386"/>
      <c r="Z752" s="386"/>
      <c r="AA752" s="386"/>
      <c r="AB752" s="386"/>
      <c r="AC752" s="386"/>
    </row>
    <row r="753">
      <c r="H753" s="386"/>
      <c r="I753" s="386"/>
      <c r="J753" s="386"/>
      <c r="K753" s="386"/>
      <c r="L753" s="386"/>
      <c r="M753" s="386"/>
      <c r="N753" s="386"/>
      <c r="O753" s="386"/>
      <c r="P753" s="386"/>
      <c r="Q753" s="386"/>
      <c r="R753" s="386"/>
      <c r="S753" s="386"/>
      <c r="T753" s="386"/>
      <c r="U753" s="386"/>
      <c r="V753" s="386"/>
      <c r="W753" s="386"/>
      <c r="X753" s="386"/>
      <c r="Y753" s="386"/>
      <c r="Z753" s="386"/>
      <c r="AA753" s="386"/>
      <c r="AB753" s="386"/>
      <c r="AC753" s="386"/>
    </row>
    <row r="754">
      <c r="H754" s="386"/>
      <c r="I754" s="386"/>
      <c r="J754" s="386"/>
      <c r="K754" s="386"/>
      <c r="L754" s="386"/>
      <c r="M754" s="386"/>
      <c r="N754" s="386"/>
      <c r="O754" s="386"/>
      <c r="P754" s="386"/>
      <c r="Q754" s="386"/>
      <c r="R754" s="386"/>
      <c r="S754" s="386"/>
      <c r="T754" s="386"/>
      <c r="U754" s="386"/>
      <c r="V754" s="386"/>
      <c r="W754" s="386"/>
      <c r="X754" s="386"/>
      <c r="Y754" s="386"/>
      <c r="Z754" s="386"/>
      <c r="AA754" s="386"/>
      <c r="AB754" s="386"/>
      <c r="AC754" s="386"/>
    </row>
    <row r="755">
      <c r="H755" s="386"/>
      <c r="I755" s="386"/>
      <c r="J755" s="386"/>
      <c r="K755" s="386"/>
      <c r="L755" s="386"/>
      <c r="M755" s="386"/>
      <c r="N755" s="386"/>
      <c r="O755" s="386"/>
      <c r="P755" s="386"/>
      <c r="Q755" s="386"/>
      <c r="R755" s="386"/>
      <c r="S755" s="386"/>
      <c r="T755" s="386"/>
      <c r="U755" s="386"/>
      <c r="V755" s="386"/>
      <c r="W755" s="386"/>
      <c r="X755" s="386"/>
      <c r="Y755" s="386"/>
      <c r="Z755" s="386"/>
      <c r="AA755" s="386"/>
      <c r="AB755" s="386"/>
      <c r="AC755" s="386"/>
    </row>
    <row r="756">
      <c r="H756" s="386"/>
      <c r="I756" s="386"/>
      <c r="J756" s="386"/>
      <c r="K756" s="386"/>
      <c r="L756" s="386"/>
      <c r="M756" s="386"/>
      <c r="N756" s="386"/>
      <c r="O756" s="386"/>
      <c r="P756" s="386"/>
      <c r="Q756" s="386"/>
      <c r="R756" s="386"/>
      <c r="S756" s="386"/>
      <c r="T756" s="386"/>
      <c r="U756" s="386"/>
      <c r="V756" s="386"/>
      <c r="W756" s="386"/>
      <c r="X756" s="386"/>
      <c r="Y756" s="386"/>
      <c r="Z756" s="386"/>
      <c r="AA756" s="386"/>
      <c r="AB756" s="386"/>
      <c r="AC756" s="386"/>
    </row>
    <row r="757">
      <c r="H757" s="386"/>
      <c r="I757" s="386"/>
      <c r="J757" s="386"/>
      <c r="K757" s="386"/>
      <c r="L757" s="386"/>
      <c r="M757" s="386"/>
      <c r="N757" s="386"/>
      <c r="O757" s="386"/>
      <c r="P757" s="386"/>
      <c r="Q757" s="386"/>
      <c r="R757" s="386"/>
      <c r="S757" s="386"/>
      <c r="T757" s="386"/>
      <c r="U757" s="386"/>
      <c r="V757" s="386"/>
      <c r="W757" s="386"/>
      <c r="X757" s="386"/>
      <c r="Y757" s="386"/>
      <c r="Z757" s="386"/>
      <c r="AA757" s="386"/>
      <c r="AB757" s="386"/>
      <c r="AC757" s="386"/>
    </row>
    <row r="758">
      <c r="H758" s="386"/>
      <c r="I758" s="386"/>
      <c r="J758" s="386"/>
      <c r="K758" s="386"/>
      <c r="L758" s="386"/>
      <c r="M758" s="386"/>
      <c r="N758" s="386"/>
      <c r="O758" s="386"/>
      <c r="P758" s="386"/>
      <c r="Q758" s="386"/>
      <c r="R758" s="386"/>
      <c r="S758" s="386"/>
      <c r="T758" s="386"/>
      <c r="U758" s="386"/>
      <c r="V758" s="386"/>
      <c r="W758" s="386"/>
      <c r="X758" s="386"/>
      <c r="Y758" s="386"/>
      <c r="Z758" s="386"/>
      <c r="AA758" s="386"/>
      <c r="AB758" s="386"/>
      <c r="AC758" s="386"/>
    </row>
    <row r="759">
      <c r="H759" s="386"/>
      <c r="I759" s="386"/>
      <c r="J759" s="386"/>
      <c r="K759" s="386"/>
      <c r="L759" s="386"/>
      <c r="M759" s="386"/>
      <c r="N759" s="386"/>
      <c r="O759" s="386"/>
      <c r="P759" s="386"/>
      <c r="Q759" s="386"/>
      <c r="R759" s="386"/>
      <c r="S759" s="386"/>
      <c r="T759" s="386"/>
      <c r="U759" s="386"/>
      <c r="V759" s="386"/>
      <c r="W759" s="386"/>
      <c r="X759" s="386"/>
      <c r="Y759" s="386"/>
      <c r="Z759" s="386"/>
      <c r="AA759" s="386"/>
      <c r="AB759" s="386"/>
      <c r="AC759" s="386"/>
    </row>
    <row r="760">
      <c r="H760" s="386"/>
      <c r="I760" s="386"/>
      <c r="J760" s="386"/>
      <c r="K760" s="386"/>
      <c r="L760" s="386"/>
      <c r="M760" s="386"/>
      <c r="N760" s="386"/>
      <c r="O760" s="386"/>
      <c r="P760" s="386"/>
      <c r="Q760" s="386"/>
      <c r="R760" s="386"/>
      <c r="S760" s="386"/>
      <c r="T760" s="386"/>
      <c r="U760" s="386"/>
      <c r="V760" s="386"/>
      <c r="W760" s="386"/>
      <c r="X760" s="386"/>
      <c r="Y760" s="386"/>
      <c r="Z760" s="386"/>
      <c r="AA760" s="386"/>
      <c r="AB760" s="386"/>
      <c r="AC760" s="386"/>
    </row>
    <row r="761">
      <c r="H761" s="386"/>
      <c r="I761" s="386"/>
      <c r="J761" s="386"/>
      <c r="K761" s="386"/>
      <c r="L761" s="386"/>
      <c r="M761" s="386"/>
      <c r="N761" s="386"/>
      <c r="O761" s="386"/>
      <c r="P761" s="386"/>
      <c r="Q761" s="386"/>
      <c r="R761" s="386"/>
      <c r="S761" s="386"/>
      <c r="T761" s="386"/>
      <c r="U761" s="386"/>
      <c r="V761" s="386"/>
      <c r="W761" s="386"/>
      <c r="X761" s="386"/>
      <c r="Y761" s="386"/>
      <c r="Z761" s="386"/>
      <c r="AA761" s="386"/>
      <c r="AB761" s="386"/>
      <c r="AC761" s="386"/>
    </row>
    <row r="762">
      <c r="H762" s="386"/>
      <c r="I762" s="386"/>
      <c r="J762" s="386"/>
      <c r="K762" s="386"/>
      <c r="L762" s="386"/>
      <c r="M762" s="386"/>
      <c r="N762" s="386"/>
      <c r="O762" s="386"/>
      <c r="P762" s="386"/>
      <c r="Q762" s="386"/>
      <c r="R762" s="386"/>
      <c r="S762" s="386"/>
      <c r="T762" s="386"/>
      <c r="U762" s="386"/>
      <c r="V762" s="386"/>
      <c r="W762" s="386"/>
      <c r="X762" s="386"/>
      <c r="Y762" s="386"/>
      <c r="Z762" s="386"/>
      <c r="AA762" s="386"/>
      <c r="AB762" s="386"/>
      <c r="AC762" s="386"/>
    </row>
    <row r="763">
      <c r="H763" s="386"/>
      <c r="I763" s="386"/>
      <c r="J763" s="386"/>
      <c r="K763" s="386"/>
      <c r="L763" s="386"/>
      <c r="M763" s="386"/>
      <c r="N763" s="386"/>
      <c r="O763" s="386"/>
      <c r="P763" s="386"/>
      <c r="Q763" s="386"/>
      <c r="R763" s="386"/>
      <c r="S763" s="386"/>
      <c r="T763" s="386"/>
      <c r="U763" s="386"/>
      <c r="V763" s="386"/>
      <c r="W763" s="386"/>
      <c r="X763" s="386"/>
      <c r="Y763" s="386"/>
      <c r="Z763" s="386"/>
      <c r="AA763" s="386"/>
      <c r="AB763" s="386"/>
      <c r="AC763" s="386"/>
    </row>
    <row r="764">
      <c r="H764" s="386"/>
      <c r="I764" s="386"/>
      <c r="J764" s="386"/>
      <c r="K764" s="386"/>
      <c r="L764" s="386"/>
      <c r="M764" s="386"/>
      <c r="N764" s="386"/>
      <c r="O764" s="386"/>
      <c r="P764" s="386"/>
      <c r="Q764" s="386"/>
      <c r="R764" s="386"/>
      <c r="S764" s="386"/>
      <c r="T764" s="386"/>
      <c r="U764" s="386"/>
      <c r="V764" s="386"/>
      <c r="W764" s="386"/>
      <c r="X764" s="386"/>
      <c r="Y764" s="386"/>
      <c r="Z764" s="386"/>
      <c r="AA764" s="386"/>
      <c r="AB764" s="386"/>
      <c r="AC764" s="386"/>
    </row>
    <row r="765">
      <c r="H765" s="386"/>
      <c r="I765" s="386"/>
      <c r="J765" s="386"/>
      <c r="K765" s="386"/>
      <c r="L765" s="386"/>
      <c r="M765" s="386"/>
      <c r="N765" s="386"/>
      <c r="O765" s="386"/>
      <c r="P765" s="386"/>
      <c r="Q765" s="386"/>
      <c r="R765" s="386"/>
      <c r="S765" s="386"/>
      <c r="T765" s="386"/>
      <c r="U765" s="386"/>
      <c r="V765" s="386"/>
      <c r="W765" s="386"/>
      <c r="X765" s="386"/>
      <c r="Y765" s="386"/>
      <c r="Z765" s="386"/>
      <c r="AA765" s="386"/>
      <c r="AB765" s="386"/>
      <c r="AC765" s="386"/>
    </row>
    <row r="766">
      <c r="H766" s="386"/>
      <c r="I766" s="386"/>
      <c r="J766" s="386"/>
      <c r="K766" s="386"/>
      <c r="L766" s="386"/>
      <c r="M766" s="386"/>
      <c r="N766" s="386"/>
      <c r="O766" s="386"/>
      <c r="P766" s="386"/>
      <c r="Q766" s="386"/>
      <c r="R766" s="386"/>
      <c r="S766" s="386"/>
      <c r="T766" s="386"/>
      <c r="U766" s="386"/>
      <c r="V766" s="386"/>
      <c r="W766" s="386"/>
      <c r="X766" s="386"/>
      <c r="Y766" s="386"/>
      <c r="Z766" s="386"/>
      <c r="AA766" s="386"/>
      <c r="AB766" s="386"/>
      <c r="AC766" s="386"/>
    </row>
    <row r="767">
      <c r="H767" s="386"/>
      <c r="I767" s="386"/>
      <c r="J767" s="386"/>
      <c r="K767" s="386"/>
      <c r="L767" s="386"/>
      <c r="M767" s="386"/>
      <c r="N767" s="386"/>
      <c r="O767" s="386"/>
      <c r="P767" s="386"/>
      <c r="Q767" s="386"/>
      <c r="R767" s="386"/>
      <c r="S767" s="386"/>
      <c r="T767" s="386"/>
      <c r="U767" s="386"/>
      <c r="V767" s="386"/>
      <c r="W767" s="386"/>
      <c r="X767" s="386"/>
      <c r="Y767" s="386"/>
      <c r="Z767" s="386"/>
      <c r="AA767" s="386"/>
      <c r="AB767" s="386"/>
      <c r="AC767" s="386"/>
    </row>
    <row r="768">
      <c r="H768" s="386"/>
      <c r="I768" s="386"/>
      <c r="J768" s="386"/>
      <c r="K768" s="386"/>
      <c r="L768" s="386"/>
      <c r="M768" s="386"/>
      <c r="N768" s="386"/>
      <c r="O768" s="386"/>
      <c r="P768" s="386"/>
      <c r="Q768" s="386"/>
      <c r="R768" s="386"/>
      <c r="S768" s="386"/>
      <c r="T768" s="386"/>
      <c r="U768" s="386"/>
      <c r="V768" s="386"/>
      <c r="W768" s="386"/>
      <c r="X768" s="386"/>
      <c r="Y768" s="386"/>
      <c r="Z768" s="386"/>
      <c r="AA768" s="386"/>
      <c r="AB768" s="386"/>
      <c r="AC768" s="386"/>
    </row>
    <row r="769">
      <c r="H769" s="386"/>
      <c r="I769" s="386"/>
      <c r="J769" s="386"/>
      <c r="K769" s="386"/>
      <c r="L769" s="386"/>
      <c r="M769" s="386"/>
      <c r="N769" s="386"/>
      <c r="O769" s="386"/>
      <c r="P769" s="386"/>
      <c r="Q769" s="386"/>
      <c r="R769" s="386"/>
      <c r="S769" s="386"/>
      <c r="T769" s="386"/>
      <c r="U769" s="386"/>
      <c r="V769" s="386"/>
      <c r="W769" s="386"/>
      <c r="X769" s="386"/>
      <c r="Y769" s="386"/>
      <c r="Z769" s="386"/>
      <c r="AA769" s="386"/>
      <c r="AB769" s="386"/>
      <c r="AC769" s="386"/>
    </row>
    <row r="770">
      <c r="H770" s="386"/>
      <c r="I770" s="386"/>
      <c r="J770" s="386"/>
      <c r="K770" s="386"/>
      <c r="L770" s="386"/>
      <c r="M770" s="386"/>
      <c r="N770" s="386"/>
      <c r="O770" s="386"/>
      <c r="P770" s="386"/>
      <c r="Q770" s="386"/>
      <c r="R770" s="386"/>
      <c r="S770" s="386"/>
      <c r="T770" s="386"/>
      <c r="U770" s="386"/>
      <c r="V770" s="386"/>
      <c r="W770" s="386"/>
      <c r="X770" s="386"/>
      <c r="Y770" s="386"/>
      <c r="Z770" s="386"/>
      <c r="AA770" s="386"/>
      <c r="AB770" s="386"/>
      <c r="AC770" s="386"/>
    </row>
    <row r="771">
      <c r="H771" s="386"/>
      <c r="I771" s="386"/>
      <c r="J771" s="386"/>
      <c r="K771" s="386"/>
      <c r="L771" s="386"/>
      <c r="M771" s="386"/>
      <c r="N771" s="386"/>
      <c r="O771" s="386"/>
      <c r="P771" s="386"/>
      <c r="Q771" s="386"/>
      <c r="R771" s="386"/>
      <c r="S771" s="386"/>
      <c r="T771" s="386"/>
      <c r="U771" s="386"/>
      <c r="V771" s="386"/>
      <c r="W771" s="386"/>
      <c r="X771" s="386"/>
      <c r="Y771" s="386"/>
      <c r="Z771" s="386"/>
      <c r="AA771" s="386"/>
      <c r="AB771" s="386"/>
      <c r="AC771" s="386"/>
    </row>
    <row r="772">
      <c r="H772" s="386"/>
      <c r="I772" s="386"/>
      <c r="J772" s="386"/>
      <c r="K772" s="386"/>
      <c r="L772" s="386"/>
      <c r="M772" s="386"/>
      <c r="N772" s="386"/>
      <c r="O772" s="386"/>
      <c r="P772" s="386"/>
      <c r="Q772" s="386"/>
      <c r="R772" s="386"/>
      <c r="S772" s="386"/>
      <c r="T772" s="386"/>
      <c r="U772" s="386"/>
      <c r="V772" s="386"/>
      <c r="W772" s="386"/>
      <c r="X772" s="386"/>
      <c r="Y772" s="386"/>
      <c r="Z772" s="386"/>
      <c r="AA772" s="386"/>
      <c r="AB772" s="386"/>
      <c r="AC772" s="386"/>
    </row>
    <row r="773">
      <c r="H773" s="386"/>
      <c r="I773" s="386"/>
      <c r="J773" s="386"/>
      <c r="K773" s="386"/>
      <c r="L773" s="386"/>
      <c r="M773" s="386"/>
      <c r="N773" s="386"/>
      <c r="O773" s="386"/>
      <c r="P773" s="386"/>
      <c r="Q773" s="386"/>
      <c r="R773" s="386"/>
      <c r="S773" s="386"/>
      <c r="T773" s="386"/>
      <c r="U773" s="386"/>
      <c r="V773" s="386"/>
      <c r="W773" s="386"/>
      <c r="X773" s="386"/>
      <c r="Y773" s="386"/>
      <c r="Z773" s="386"/>
      <c r="AA773" s="386"/>
      <c r="AB773" s="386"/>
      <c r="AC773" s="386"/>
    </row>
    <row r="774">
      <c r="H774" s="386"/>
      <c r="I774" s="386"/>
      <c r="J774" s="386"/>
      <c r="K774" s="386"/>
      <c r="L774" s="386"/>
      <c r="M774" s="386"/>
      <c r="N774" s="386"/>
      <c r="O774" s="386"/>
      <c r="P774" s="386"/>
      <c r="Q774" s="386"/>
      <c r="R774" s="386"/>
      <c r="S774" s="386"/>
      <c r="T774" s="386"/>
      <c r="U774" s="386"/>
      <c r="V774" s="386"/>
      <c r="W774" s="386"/>
      <c r="X774" s="386"/>
      <c r="Y774" s="386"/>
      <c r="Z774" s="386"/>
      <c r="AA774" s="386"/>
      <c r="AB774" s="386"/>
      <c r="AC774" s="386"/>
    </row>
    <row r="775">
      <c r="H775" s="386"/>
      <c r="I775" s="386"/>
      <c r="J775" s="386"/>
      <c r="K775" s="386"/>
      <c r="L775" s="386"/>
      <c r="M775" s="386"/>
      <c r="N775" s="386"/>
      <c r="O775" s="386"/>
      <c r="P775" s="386"/>
      <c r="Q775" s="386"/>
      <c r="R775" s="386"/>
      <c r="S775" s="386"/>
      <c r="T775" s="386"/>
      <c r="U775" s="386"/>
      <c r="V775" s="386"/>
      <c r="W775" s="386"/>
      <c r="X775" s="386"/>
      <c r="Y775" s="386"/>
      <c r="Z775" s="386"/>
      <c r="AA775" s="386"/>
      <c r="AB775" s="386"/>
      <c r="AC775" s="386"/>
    </row>
    <row r="776">
      <c r="H776" s="386"/>
      <c r="I776" s="386"/>
      <c r="J776" s="386"/>
      <c r="K776" s="386"/>
      <c r="L776" s="386"/>
      <c r="M776" s="386"/>
      <c r="N776" s="386"/>
      <c r="O776" s="386"/>
      <c r="P776" s="386"/>
      <c r="Q776" s="386"/>
      <c r="R776" s="386"/>
      <c r="S776" s="386"/>
      <c r="T776" s="386"/>
      <c r="U776" s="386"/>
      <c r="V776" s="386"/>
      <c r="W776" s="386"/>
      <c r="X776" s="386"/>
      <c r="Y776" s="386"/>
      <c r="Z776" s="386"/>
      <c r="AA776" s="386"/>
      <c r="AB776" s="386"/>
      <c r="AC776" s="386"/>
    </row>
    <row r="777">
      <c r="H777" s="386"/>
      <c r="I777" s="386"/>
      <c r="J777" s="386"/>
      <c r="K777" s="386"/>
      <c r="L777" s="386"/>
      <c r="M777" s="386"/>
      <c r="N777" s="386"/>
      <c r="O777" s="386"/>
      <c r="P777" s="386"/>
      <c r="Q777" s="386"/>
      <c r="R777" s="386"/>
      <c r="S777" s="386"/>
      <c r="T777" s="386"/>
      <c r="U777" s="386"/>
      <c r="V777" s="386"/>
      <c r="W777" s="386"/>
      <c r="X777" s="386"/>
      <c r="Y777" s="386"/>
      <c r="Z777" s="386"/>
      <c r="AA777" s="386"/>
      <c r="AB777" s="386"/>
      <c r="AC777" s="386"/>
    </row>
    <row r="778">
      <c r="H778" s="386"/>
      <c r="I778" s="386"/>
      <c r="J778" s="386"/>
      <c r="K778" s="386"/>
      <c r="L778" s="386"/>
      <c r="M778" s="386"/>
      <c r="N778" s="386"/>
      <c r="O778" s="386"/>
      <c r="P778" s="386"/>
      <c r="Q778" s="386"/>
      <c r="R778" s="386"/>
      <c r="S778" s="386"/>
      <c r="T778" s="386"/>
      <c r="U778" s="386"/>
      <c r="V778" s="386"/>
      <c r="W778" s="386"/>
      <c r="X778" s="386"/>
      <c r="Y778" s="386"/>
      <c r="Z778" s="386"/>
      <c r="AA778" s="386"/>
      <c r="AB778" s="386"/>
      <c r="AC778" s="386"/>
    </row>
    <row r="779">
      <c r="H779" s="386"/>
      <c r="I779" s="386"/>
      <c r="J779" s="386"/>
      <c r="K779" s="386"/>
      <c r="L779" s="386"/>
      <c r="M779" s="386"/>
      <c r="N779" s="386"/>
      <c r="O779" s="386"/>
      <c r="P779" s="386"/>
      <c r="Q779" s="386"/>
      <c r="R779" s="386"/>
      <c r="S779" s="386"/>
      <c r="T779" s="386"/>
      <c r="U779" s="386"/>
      <c r="V779" s="386"/>
      <c r="W779" s="386"/>
      <c r="X779" s="386"/>
      <c r="Y779" s="386"/>
      <c r="Z779" s="386"/>
      <c r="AA779" s="386"/>
      <c r="AB779" s="386"/>
      <c r="AC779" s="386"/>
    </row>
    <row r="780">
      <c r="H780" s="386"/>
      <c r="I780" s="386"/>
      <c r="J780" s="386"/>
      <c r="K780" s="386"/>
      <c r="L780" s="386"/>
      <c r="M780" s="386"/>
      <c r="N780" s="386"/>
      <c r="O780" s="386"/>
      <c r="P780" s="386"/>
      <c r="Q780" s="386"/>
      <c r="R780" s="386"/>
      <c r="S780" s="386"/>
      <c r="T780" s="386"/>
      <c r="U780" s="386"/>
      <c r="V780" s="386"/>
      <c r="W780" s="386"/>
      <c r="X780" s="386"/>
      <c r="Y780" s="386"/>
      <c r="Z780" s="386"/>
      <c r="AA780" s="386"/>
      <c r="AB780" s="386"/>
      <c r="AC780" s="386"/>
    </row>
    <row r="781">
      <c r="H781" s="386"/>
      <c r="I781" s="386"/>
      <c r="J781" s="386"/>
      <c r="K781" s="386"/>
      <c r="L781" s="386"/>
      <c r="M781" s="386"/>
      <c r="N781" s="386"/>
      <c r="O781" s="386"/>
      <c r="P781" s="386"/>
      <c r="Q781" s="386"/>
      <c r="R781" s="386"/>
      <c r="S781" s="386"/>
      <c r="T781" s="386"/>
      <c r="U781" s="386"/>
      <c r="V781" s="386"/>
      <c r="W781" s="386"/>
      <c r="X781" s="386"/>
      <c r="Y781" s="386"/>
      <c r="Z781" s="386"/>
      <c r="AA781" s="386"/>
      <c r="AB781" s="386"/>
      <c r="AC781" s="386"/>
    </row>
    <row r="782">
      <c r="H782" s="386"/>
      <c r="I782" s="386"/>
      <c r="J782" s="386"/>
      <c r="K782" s="386"/>
      <c r="L782" s="386"/>
      <c r="M782" s="386"/>
      <c r="N782" s="386"/>
      <c r="O782" s="386"/>
      <c r="P782" s="386"/>
      <c r="Q782" s="386"/>
      <c r="R782" s="386"/>
      <c r="S782" s="386"/>
      <c r="T782" s="386"/>
      <c r="U782" s="386"/>
      <c r="V782" s="386"/>
      <c r="W782" s="386"/>
      <c r="X782" s="386"/>
      <c r="Y782" s="386"/>
      <c r="Z782" s="386"/>
      <c r="AA782" s="386"/>
      <c r="AB782" s="386"/>
      <c r="AC782" s="386"/>
    </row>
    <row r="783">
      <c r="H783" s="386"/>
      <c r="I783" s="386"/>
      <c r="J783" s="386"/>
      <c r="K783" s="386"/>
      <c r="L783" s="386"/>
      <c r="M783" s="386"/>
      <c r="N783" s="386"/>
      <c r="O783" s="386"/>
      <c r="P783" s="386"/>
      <c r="Q783" s="386"/>
      <c r="R783" s="386"/>
      <c r="S783" s="386"/>
      <c r="T783" s="386"/>
      <c r="U783" s="386"/>
      <c r="V783" s="386"/>
      <c r="W783" s="386"/>
      <c r="X783" s="386"/>
      <c r="Y783" s="386"/>
      <c r="Z783" s="386"/>
      <c r="AA783" s="386"/>
      <c r="AB783" s="386"/>
      <c r="AC783" s="386"/>
    </row>
    <row r="784">
      <c r="H784" s="386"/>
      <c r="I784" s="386"/>
      <c r="J784" s="386"/>
      <c r="K784" s="386"/>
      <c r="L784" s="386"/>
      <c r="M784" s="386"/>
      <c r="N784" s="386"/>
      <c r="O784" s="386"/>
      <c r="P784" s="386"/>
      <c r="Q784" s="386"/>
      <c r="R784" s="386"/>
      <c r="S784" s="386"/>
      <c r="T784" s="386"/>
      <c r="U784" s="386"/>
      <c r="V784" s="386"/>
      <c r="W784" s="386"/>
      <c r="X784" s="386"/>
      <c r="Y784" s="386"/>
      <c r="Z784" s="386"/>
      <c r="AA784" s="386"/>
      <c r="AB784" s="386"/>
      <c r="AC784" s="386"/>
    </row>
    <row r="785">
      <c r="H785" s="386"/>
      <c r="I785" s="386"/>
      <c r="J785" s="386"/>
      <c r="K785" s="386"/>
      <c r="L785" s="386"/>
      <c r="M785" s="386"/>
      <c r="N785" s="386"/>
      <c r="O785" s="386"/>
      <c r="P785" s="386"/>
      <c r="Q785" s="386"/>
      <c r="R785" s="386"/>
      <c r="S785" s="386"/>
      <c r="T785" s="386"/>
      <c r="U785" s="386"/>
      <c r="V785" s="386"/>
      <c r="W785" s="386"/>
      <c r="X785" s="386"/>
      <c r="Y785" s="386"/>
      <c r="Z785" s="386"/>
      <c r="AA785" s="386"/>
      <c r="AB785" s="386"/>
      <c r="AC785" s="386"/>
    </row>
    <row r="786">
      <c r="H786" s="386"/>
      <c r="I786" s="386"/>
      <c r="J786" s="386"/>
      <c r="K786" s="386"/>
      <c r="L786" s="386"/>
      <c r="M786" s="386"/>
      <c r="N786" s="386"/>
      <c r="O786" s="386"/>
      <c r="P786" s="386"/>
      <c r="Q786" s="386"/>
      <c r="R786" s="386"/>
      <c r="S786" s="386"/>
      <c r="T786" s="386"/>
      <c r="U786" s="386"/>
      <c r="V786" s="386"/>
      <c r="W786" s="386"/>
      <c r="X786" s="386"/>
      <c r="Y786" s="386"/>
      <c r="Z786" s="386"/>
      <c r="AA786" s="386"/>
      <c r="AB786" s="386"/>
      <c r="AC786" s="386"/>
    </row>
    <row r="787">
      <c r="H787" s="386"/>
      <c r="I787" s="386"/>
      <c r="J787" s="386"/>
      <c r="K787" s="386"/>
      <c r="L787" s="386"/>
      <c r="M787" s="386"/>
      <c r="N787" s="386"/>
      <c r="O787" s="386"/>
      <c r="P787" s="386"/>
      <c r="Q787" s="386"/>
      <c r="R787" s="386"/>
      <c r="S787" s="386"/>
      <c r="T787" s="386"/>
      <c r="U787" s="386"/>
      <c r="V787" s="386"/>
      <c r="W787" s="386"/>
      <c r="X787" s="386"/>
      <c r="Y787" s="386"/>
      <c r="Z787" s="386"/>
      <c r="AA787" s="386"/>
      <c r="AB787" s="386"/>
      <c r="AC787" s="386"/>
    </row>
    <row r="788">
      <c r="H788" s="386"/>
      <c r="I788" s="386"/>
      <c r="J788" s="386"/>
      <c r="K788" s="386"/>
      <c r="L788" s="386"/>
      <c r="M788" s="386"/>
      <c r="N788" s="386"/>
      <c r="O788" s="386"/>
      <c r="P788" s="386"/>
      <c r="Q788" s="386"/>
      <c r="R788" s="386"/>
      <c r="S788" s="386"/>
      <c r="T788" s="386"/>
      <c r="U788" s="386"/>
      <c r="V788" s="386"/>
      <c r="W788" s="386"/>
      <c r="X788" s="386"/>
      <c r="Y788" s="386"/>
      <c r="Z788" s="386"/>
      <c r="AA788" s="386"/>
      <c r="AB788" s="386"/>
      <c r="AC788" s="386"/>
    </row>
    <row r="789">
      <c r="H789" s="386"/>
      <c r="I789" s="386"/>
      <c r="J789" s="386"/>
      <c r="K789" s="386"/>
      <c r="L789" s="386"/>
      <c r="M789" s="386"/>
      <c r="N789" s="386"/>
      <c r="O789" s="386"/>
      <c r="P789" s="386"/>
      <c r="Q789" s="386"/>
      <c r="R789" s="386"/>
      <c r="S789" s="386"/>
      <c r="T789" s="386"/>
      <c r="U789" s="386"/>
      <c r="V789" s="386"/>
      <c r="W789" s="386"/>
      <c r="X789" s="386"/>
      <c r="Y789" s="386"/>
      <c r="Z789" s="386"/>
      <c r="AA789" s="386"/>
      <c r="AB789" s="386"/>
      <c r="AC789" s="386"/>
    </row>
    <row r="790">
      <c r="H790" s="386"/>
      <c r="I790" s="386"/>
      <c r="J790" s="386"/>
      <c r="K790" s="386"/>
      <c r="L790" s="386"/>
      <c r="M790" s="386"/>
      <c r="N790" s="386"/>
      <c r="O790" s="386"/>
      <c r="P790" s="386"/>
      <c r="Q790" s="386"/>
      <c r="R790" s="386"/>
      <c r="S790" s="386"/>
      <c r="T790" s="386"/>
      <c r="U790" s="386"/>
      <c r="V790" s="386"/>
      <c r="W790" s="386"/>
      <c r="X790" s="386"/>
      <c r="Y790" s="386"/>
      <c r="Z790" s="386"/>
      <c r="AA790" s="386"/>
      <c r="AB790" s="386"/>
      <c r="AC790" s="386"/>
    </row>
    <row r="791">
      <c r="H791" s="386"/>
      <c r="I791" s="386"/>
      <c r="J791" s="386"/>
      <c r="K791" s="386"/>
      <c r="L791" s="386"/>
      <c r="M791" s="386"/>
      <c r="N791" s="386"/>
      <c r="O791" s="386"/>
      <c r="P791" s="386"/>
      <c r="Q791" s="386"/>
      <c r="R791" s="386"/>
      <c r="S791" s="386"/>
      <c r="T791" s="386"/>
      <c r="U791" s="386"/>
      <c r="V791" s="386"/>
      <c r="W791" s="386"/>
      <c r="X791" s="386"/>
      <c r="Y791" s="386"/>
      <c r="Z791" s="386"/>
      <c r="AA791" s="386"/>
      <c r="AB791" s="386"/>
      <c r="AC791" s="386"/>
    </row>
    <row r="792">
      <c r="H792" s="386"/>
      <c r="I792" s="386"/>
      <c r="J792" s="386"/>
      <c r="K792" s="386"/>
      <c r="L792" s="386"/>
      <c r="M792" s="386"/>
      <c r="N792" s="386"/>
      <c r="O792" s="386"/>
      <c r="P792" s="386"/>
      <c r="Q792" s="386"/>
      <c r="R792" s="386"/>
      <c r="S792" s="386"/>
      <c r="T792" s="386"/>
      <c r="U792" s="386"/>
      <c r="V792" s="386"/>
      <c r="W792" s="386"/>
      <c r="X792" s="386"/>
      <c r="Y792" s="386"/>
      <c r="Z792" s="386"/>
      <c r="AA792" s="386"/>
      <c r="AB792" s="386"/>
      <c r="AC792" s="386"/>
    </row>
    <row r="793">
      <c r="H793" s="386"/>
      <c r="I793" s="386"/>
      <c r="J793" s="386"/>
      <c r="K793" s="386"/>
      <c r="L793" s="386"/>
      <c r="M793" s="386"/>
      <c r="N793" s="386"/>
      <c r="O793" s="386"/>
      <c r="P793" s="386"/>
      <c r="Q793" s="386"/>
      <c r="R793" s="386"/>
      <c r="S793" s="386"/>
      <c r="T793" s="386"/>
      <c r="U793" s="386"/>
      <c r="V793" s="386"/>
      <c r="W793" s="386"/>
      <c r="X793" s="386"/>
      <c r="Y793" s="386"/>
      <c r="Z793" s="386"/>
      <c r="AA793" s="386"/>
      <c r="AB793" s="386"/>
      <c r="AC793" s="386"/>
    </row>
    <row r="794">
      <c r="H794" s="386"/>
      <c r="I794" s="386"/>
      <c r="J794" s="386"/>
      <c r="K794" s="386"/>
      <c r="L794" s="386"/>
      <c r="M794" s="386"/>
      <c r="N794" s="386"/>
      <c r="O794" s="386"/>
      <c r="P794" s="386"/>
      <c r="Q794" s="386"/>
      <c r="R794" s="386"/>
      <c r="S794" s="386"/>
      <c r="T794" s="386"/>
      <c r="U794" s="386"/>
      <c r="V794" s="386"/>
      <c r="W794" s="386"/>
      <c r="X794" s="386"/>
      <c r="Y794" s="386"/>
      <c r="Z794" s="386"/>
      <c r="AA794" s="386"/>
      <c r="AB794" s="386"/>
      <c r="AC794" s="386"/>
    </row>
    <row r="795">
      <c r="H795" s="386"/>
      <c r="I795" s="386"/>
      <c r="J795" s="386"/>
      <c r="K795" s="386"/>
      <c r="L795" s="386"/>
      <c r="M795" s="386"/>
      <c r="N795" s="386"/>
      <c r="O795" s="386"/>
      <c r="P795" s="386"/>
      <c r="Q795" s="386"/>
      <c r="R795" s="386"/>
      <c r="S795" s="386"/>
      <c r="T795" s="386"/>
      <c r="U795" s="386"/>
      <c r="V795" s="386"/>
      <c r="W795" s="386"/>
      <c r="X795" s="386"/>
      <c r="Y795" s="386"/>
      <c r="Z795" s="386"/>
      <c r="AA795" s="386"/>
      <c r="AB795" s="386"/>
      <c r="AC795" s="386"/>
    </row>
    <row r="796">
      <c r="H796" s="386"/>
      <c r="I796" s="386"/>
      <c r="J796" s="386"/>
      <c r="K796" s="386"/>
      <c r="L796" s="386"/>
      <c r="M796" s="386"/>
      <c r="N796" s="386"/>
      <c r="O796" s="386"/>
      <c r="P796" s="386"/>
      <c r="Q796" s="386"/>
      <c r="R796" s="386"/>
      <c r="S796" s="386"/>
      <c r="T796" s="386"/>
      <c r="U796" s="386"/>
      <c r="V796" s="386"/>
      <c r="W796" s="386"/>
      <c r="X796" s="386"/>
      <c r="Y796" s="386"/>
      <c r="Z796" s="386"/>
      <c r="AA796" s="386"/>
      <c r="AB796" s="386"/>
      <c r="AC796" s="386"/>
    </row>
    <row r="797">
      <c r="H797" s="386"/>
      <c r="I797" s="386"/>
      <c r="J797" s="386"/>
      <c r="K797" s="386"/>
      <c r="L797" s="386"/>
      <c r="M797" s="386"/>
      <c r="N797" s="386"/>
      <c r="O797" s="386"/>
      <c r="P797" s="386"/>
      <c r="Q797" s="386"/>
      <c r="R797" s="386"/>
      <c r="S797" s="386"/>
      <c r="T797" s="386"/>
      <c r="U797" s="386"/>
      <c r="V797" s="386"/>
      <c r="W797" s="386"/>
      <c r="X797" s="386"/>
      <c r="Y797" s="386"/>
      <c r="Z797" s="386"/>
      <c r="AA797" s="386"/>
      <c r="AB797" s="386"/>
      <c r="AC797" s="386"/>
    </row>
    <row r="798">
      <c r="H798" s="386"/>
      <c r="I798" s="386"/>
      <c r="J798" s="386"/>
      <c r="K798" s="386"/>
      <c r="L798" s="386"/>
      <c r="M798" s="386"/>
      <c r="N798" s="386"/>
      <c r="O798" s="386"/>
      <c r="P798" s="386"/>
      <c r="Q798" s="386"/>
      <c r="R798" s="386"/>
      <c r="S798" s="386"/>
      <c r="T798" s="386"/>
      <c r="U798" s="386"/>
      <c r="V798" s="386"/>
      <c r="W798" s="386"/>
      <c r="X798" s="386"/>
      <c r="Y798" s="386"/>
      <c r="Z798" s="386"/>
      <c r="AA798" s="386"/>
      <c r="AB798" s="386"/>
      <c r="AC798" s="386"/>
    </row>
    <row r="799">
      <c r="H799" s="386"/>
      <c r="I799" s="386"/>
      <c r="J799" s="386"/>
      <c r="K799" s="386"/>
      <c r="L799" s="386"/>
      <c r="M799" s="386"/>
      <c r="N799" s="386"/>
      <c r="O799" s="386"/>
      <c r="P799" s="386"/>
      <c r="Q799" s="386"/>
      <c r="R799" s="386"/>
      <c r="S799" s="386"/>
      <c r="T799" s="386"/>
      <c r="U799" s="386"/>
      <c r="V799" s="386"/>
      <c r="W799" s="386"/>
      <c r="X799" s="386"/>
      <c r="Y799" s="386"/>
      <c r="Z799" s="386"/>
      <c r="AA799" s="386"/>
      <c r="AB799" s="386"/>
      <c r="AC799" s="386"/>
    </row>
    <row r="800">
      <c r="H800" s="386"/>
      <c r="I800" s="386"/>
      <c r="J800" s="386"/>
      <c r="K800" s="386"/>
      <c r="L800" s="386"/>
      <c r="M800" s="386"/>
      <c r="N800" s="386"/>
      <c r="O800" s="386"/>
      <c r="P800" s="386"/>
      <c r="Q800" s="386"/>
      <c r="R800" s="386"/>
      <c r="S800" s="386"/>
      <c r="T800" s="386"/>
      <c r="U800" s="386"/>
      <c r="V800" s="386"/>
      <c r="W800" s="386"/>
      <c r="X800" s="386"/>
      <c r="Y800" s="386"/>
      <c r="Z800" s="386"/>
      <c r="AA800" s="386"/>
      <c r="AB800" s="386"/>
      <c r="AC800" s="386"/>
    </row>
    <row r="801">
      <c r="H801" s="386"/>
      <c r="I801" s="386"/>
      <c r="J801" s="386"/>
      <c r="K801" s="386"/>
      <c r="L801" s="386"/>
      <c r="M801" s="386"/>
      <c r="N801" s="386"/>
      <c r="O801" s="386"/>
      <c r="P801" s="386"/>
      <c r="Q801" s="386"/>
      <c r="R801" s="386"/>
      <c r="S801" s="386"/>
      <c r="T801" s="386"/>
      <c r="U801" s="386"/>
      <c r="V801" s="386"/>
      <c r="W801" s="386"/>
      <c r="X801" s="386"/>
      <c r="Y801" s="386"/>
      <c r="Z801" s="386"/>
      <c r="AA801" s="386"/>
      <c r="AB801" s="386"/>
      <c r="AC801" s="386"/>
    </row>
    <row r="802">
      <c r="H802" s="386"/>
      <c r="I802" s="386"/>
      <c r="J802" s="386"/>
      <c r="K802" s="386"/>
      <c r="L802" s="386"/>
      <c r="M802" s="386"/>
      <c r="N802" s="386"/>
      <c r="O802" s="386"/>
      <c r="P802" s="386"/>
      <c r="Q802" s="386"/>
      <c r="R802" s="386"/>
      <c r="S802" s="386"/>
      <c r="T802" s="386"/>
      <c r="U802" s="386"/>
      <c r="V802" s="386"/>
      <c r="W802" s="386"/>
      <c r="X802" s="386"/>
      <c r="Y802" s="386"/>
      <c r="Z802" s="386"/>
      <c r="AA802" s="386"/>
      <c r="AB802" s="386"/>
      <c r="AC802" s="386"/>
    </row>
    <row r="803">
      <c r="H803" s="386"/>
      <c r="I803" s="386"/>
      <c r="J803" s="386"/>
      <c r="K803" s="386"/>
      <c r="L803" s="386"/>
      <c r="M803" s="386"/>
      <c r="N803" s="386"/>
      <c r="O803" s="386"/>
      <c r="P803" s="386"/>
      <c r="Q803" s="386"/>
      <c r="R803" s="386"/>
      <c r="S803" s="386"/>
      <c r="T803" s="386"/>
      <c r="U803" s="386"/>
      <c r="V803" s="386"/>
      <c r="W803" s="386"/>
      <c r="X803" s="386"/>
      <c r="Y803" s="386"/>
      <c r="Z803" s="386"/>
      <c r="AA803" s="386"/>
      <c r="AB803" s="386"/>
      <c r="AC803" s="386"/>
    </row>
    <row r="804">
      <c r="H804" s="386"/>
      <c r="I804" s="386"/>
      <c r="J804" s="386"/>
      <c r="K804" s="386"/>
      <c r="L804" s="386"/>
      <c r="M804" s="386"/>
      <c r="N804" s="386"/>
      <c r="O804" s="386"/>
      <c r="P804" s="386"/>
      <c r="Q804" s="386"/>
      <c r="R804" s="386"/>
      <c r="S804" s="386"/>
      <c r="T804" s="386"/>
      <c r="U804" s="386"/>
      <c r="V804" s="386"/>
      <c r="W804" s="386"/>
      <c r="X804" s="386"/>
      <c r="Y804" s="386"/>
      <c r="Z804" s="386"/>
      <c r="AA804" s="386"/>
      <c r="AB804" s="386"/>
      <c r="AC804" s="386"/>
    </row>
    <row r="805">
      <c r="H805" s="386"/>
      <c r="I805" s="386"/>
      <c r="J805" s="386"/>
      <c r="K805" s="386"/>
      <c r="L805" s="386"/>
      <c r="M805" s="386"/>
      <c r="N805" s="386"/>
      <c r="O805" s="386"/>
      <c r="P805" s="386"/>
      <c r="Q805" s="386"/>
      <c r="R805" s="386"/>
      <c r="S805" s="386"/>
      <c r="T805" s="386"/>
      <c r="U805" s="386"/>
      <c r="V805" s="386"/>
      <c r="W805" s="386"/>
      <c r="X805" s="386"/>
      <c r="Y805" s="386"/>
      <c r="Z805" s="386"/>
      <c r="AA805" s="386"/>
      <c r="AB805" s="386"/>
      <c r="AC805" s="386"/>
    </row>
    <row r="806">
      <c r="H806" s="386"/>
      <c r="I806" s="386"/>
      <c r="J806" s="386"/>
      <c r="K806" s="386"/>
      <c r="L806" s="386"/>
      <c r="M806" s="386"/>
      <c r="N806" s="386"/>
      <c r="O806" s="386"/>
      <c r="P806" s="386"/>
      <c r="Q806" s="386"/>
      <c r="R806" s="386"/>
      <c r="S806" s="386"/>
      <c r="T806" s="386"/>
      <c r="U806" s="386"/>
      <c r="V806" s="386"/>
      <c r="W806" s="386"/>
      <c r="X806" s="386"/>
      <c r="Y806" s="386"/>
      <c r="Z806" s="386"/>
      <c r="AA806" s="386"/>
      <c r="AB806" s="386"/>
      <c r="AC806" s="386"/>
    </row>
    <row r="807">
      <c r="H807" s="386"/>
      <c r="I807" s="386"/>
      <c r="J807" s="386"/>
      <c r="K807" s="386"/>
      <c r="L807" s="386"/>
      <c r="M807" s="386"/>
      <c r="N807" s="386"/>
      <c r="O807" s="386"/>
      <c r="P807" s="386"/>
      <c r="Q807" s="386"/>
      <c r="R807" s="386"/>
      <c r="S807" s="386"/>
      <c r="T807" s="386"/>
      <c r="U807" s="386"/>
      <c r="V807" s="386"/>
      <c r="W807" s="386"/>
      <c r="X807" s="386"/>
      <c r="Y807" s="386"/>
      <c r="Z807" s="386"/>
      <c r="AA807" s="386"/>
      <c r="AB807" s="386"/>
      <c r="AC807" s="386"/>
    </row>
    <row r="808">
      <c r="H808" s="386"/>
      <c r="I808" s="386"/>
      <c r="J808" s="386"/>
      <c r="K808" s="386"/>
      <c r="L808" s="386"/>
      <c r="M808" s="386"/>
      <c r="N808" s="386"/>
      <c r="O808" s="386"/>
      <c r="P808" s="386"/>
      <c r="Q808" s="386"/>
      <c r="R808" s="386"/>
      <c r="S808" s="386"/>
      <c r="T808" s="386"/>
      <c r="U808" s="386"/>
      <c r="V808" s="386"/>
      <c r="W808" s="386"/>
      <c r="X808" s="386"/>
      <c r="Y808" s="386"/>
      <c r="Z808" s="386"/>
      <c r="AA808" s="386"/>
      <c r="AB808" s="386"/>
      <c r="AC808" s="386"/>
    </row>
    <row r="809">
      <c r="H809" s="386"/>
      <c r="I809" s="386"/>
      <c r="J809" s="386"/>
      <c r="K809" s="386"/>
      <c r="L809" s="386"/>
      <c r="M809" s="386"/>
      <c r="N809" s="386"/>
      <c r="O809" s="386"/>
      <c r="P809" s="386"/>
      <c r="Q809" s="386"/>
      <c r="R809" s="386"/>
      <c r="S809" s="386"/>
      <c r="T809" s="386"/>
      <c r="U809" s="386"/>
      <c r="V809" s="386"/>
      <c r="W809" s="386"/>
      <c r="X809" s="386"/>
      <c r="Y809" s="386"/>
      <c r="Z809" s="386"/>
      <c r="AA809" s="386"/>
      <c r="AB809" s="386"/>
      <c r="AC809" s="386"/>
    </row>
    <row r="810">
      <c r="H810" s="386"/>
      <c r="I810" s="386"/>
      <c r="J810" s="386"/>
      <c r="K810" s="386"/>
      <c r="L810" s="386"/>
      <c r="M810" s="386"/>
      <c r="N810" s="386"/>
      <c r="O810" s="386"/>
      <c r="P810" s="386"/>
      <c r="Q810" s="386"/>
      <c r="R810" s="386"/>
      <c r="S810" s="386"/>
      <c r="T810" s="386"/>
      <c r="U810" s="386"/>
      <c r="V810" s="386"/>
      <c r="W810" s="386"/>
      <c r="X810" s="386"/>
      <c r="Y810" s="386"/>
      <c r="Z810" s="386"/>
      <c r="AA810" s="386"/>
      <c r="AB810" s="386"/>
      <c r="AC810" s="386"/>
    </row>
    <row r="811">
      <c r="H811" s="386"/>
      <c r="I811" s="386"/>
      <c r="J811" s="386"/>
      <c r="K811" s="386"/>
      <c r="L811" s="386"/>
      <c r="M811" s="386"/>
      <c r="N811" s="386"/>
      <c r="O811" s="386"/>
      <c r="P811" s="386"/>
      <c r="Q811" s="386"/>
      <c r="R811" s="386"/>
      <c r="S811" s="386"/>
      <c r="T811" s="386"/>
      <c r="U811" s="386"/>
      <c r="V811" s="386"/>
      <c r="W811" s="386"/>
      <c r="X811" s="386"/>
      <c r="Y811" s="386"/>
      <c r="Z811" s="386"/>
      <c r="AA811" s="386"/>
      <c r="AB811" s="386"/>
      <c r="AC811" s="386"/>
    </row>
    <row r="812">
      <c r="H812" s="386"/>
      <c r="I812" s="386"/>
      <c r="J812" s="386"/>
      <c r="K812" s="386"/>
      <c r="L812" s="386"/>
      <c r="M812" s="386"/>
      <c r="N812" s="386"/>
      <c r="O812" s="386"/>
      <c r="P812" s="386"/>
      <c r="Q812" s="386"/>
      <c r="R812" s="386"/>
      <c r="S812" s="386"/>
      <c r="T812" s="386"/>
      <c r="U812" s="386"/>
      <c r="V812" s="386"/>
      <c r="W812" s="386"/>
      <c r="X812" s="386"/>
      <c r="Y812" s="386"/>
      <c r="Z812" s="386"/>
      <c r="AA812" s="386"/>
      <c r="AB812" s="386"/>
      <c r="AC812" s="386"/>
    </row>
    <row r="813">
      <c r="H813" s="386"/>
      <c r="I813" s="386"/>
      <c r="J813" s="386"/>
      <c r="K813" s="386"/>
      <c r="L813" s="386"/>
      <c r="M813" s="386"/>
      <c r="N813" s="386"/>
      <c r="O813" s="386"/>
      <c r="P813" s="386"/>
      <c r="Q813" s="386"/>
      <c r="R813" s="386"/>
      <c r="S813" s="386"/>
      <c r="T813" s="386"/>
      <c r="U813" s="386"/>
      <c r="V813" s="386"/>
      <c r="W813" s="386"/>
      <c r="X813" s="386"/>
      <c r="Y813" s="386"/>
      <c r="Z813" s="386"/>
      <c r="AA813" s="386"/>
      <c r="AB813" s="386"/>
      <c r="AC813" s="386"/>
    </row>
    <row r="814">
      <c r="H814" s="386"/>
      <c r="I814" s="386"/>
      <c r="J814" s="386"/>
      <c r="K814" s="386"/>
      <c r="L814" s="386"/>
      <c r="M814" s="386"/>
      <c r="N814" s="386"/>
      <c r="O814" s="386"/>
      <c r="P814" s="386"/>
      <c r="Q814" s="386"/>
      <c r="R814" s="386"/>
      <c r="S814" s="386"/>
      <c r="T814" s="386"/>
      <c r="U814" s="386"/>
      <c r="V814" s="386"/>
      <c r="W814" s="386"/>
      <c r="X814" s="386"/>
      <c r="Y814" s="386"/>
      <c r="Z814" s="386"/>
      <c r="AA814" s="386"/>
      <c r="AB814" s="386"/>
      <c r="AC814" s="386"/>
    </row>
    <row r="815">
      <c r="H815" s="386"/>
      <c r="I815" s="386"/>
      <c r="J815" s="386"/>
      <c r="K815" s="386"/>
      <c r="L815" s="386"/>
      <c r="M815" s="386"/>
      <c r="N815" s="386"/>
      <c r="O815" s="386"/>
      <c r="P815" s="386"/>
      <c r="Q815" s="386"/>
      <c r="R815" s="386"/>
      <c r="S815" s="386"/>
      <c r="T815" s="386"/>
      <c r="U815" s="386"/>
      <c r="V815" s="386"/>
      <c r="W815" s="386"/>
      <c r="X815" s="386"/>
      <c r="Y815" s="386"/>
      <c r="Z815" s="386"/>
      <c r="AA815" s="386"/>
      <c r="AB815" s="386"/>
      <c r="AC815" s="386"/>
    </row>
    <row r="816">
      <c r="H816" s="386"/>
      <c r="I816" s="386"/>
      <c r="J816" s="386"/>
      <c r="K816" s="386"/>
      <c r="L816" s="386"/>
      <c r="M816" s="386"/>
      <c r="N816" s="386"/>
      <c r="O816" s="386"/>
      <c r="P816" s="386"/>
      <c r="Q816" s="386"/>
      <c r="R816" s="386"/>
      <c r="S816" s="386"/>
      <c r="T816" s="386"/>
      <c r="U816" s="386"/>
      <c r="V816" s="386"/>
      <c r="W816" s="386"/>
      <c r="X816" s="386"/>
      <c r="Y816" s="386"/>
      <c r="Z816" s="386"/>
      <c r="AA816" s="386"/>
      <c r="AB816" s="386"/>
      <c r="AC816" s="386"/>
    </row>
    <row r="817">
      <c r="H817" s="386"/>
      <c r="I817" s="386"/>
      <c r="J817" s="386"/>
      <c r="K817" s="386"/>
      <c r="L817" s="386"/>
      <c r="M817" s="386"/>
      <c r="N817" s="386"/>
      <c r="O817" s="386"/>
      <c r="P817" s="386"/>
      <c r="Q817" s="386"/>
      <c r="R817" s="386"/>
      <c r="S817" s="386"/>
      <c r="T817" s="386"/>
      <c r="U817" s="386"/>
      <c r="V817" s="386"/>
      <c r="W817" s="386"/>
      <c r="X817" s="386"/>
      <c r="Y817" s="386"/>
      <c r="Z817" s="386"/>
      <c r="AA817" s="386"/>
      <c r="AB817" s="386"/>
      <c r="AC817" s="386"/>
    </row>
    <row r="818">
      <c r="H818" s="386"/>
      <c r="I818" s="386"/>
      <c r="J818" s="386"/>
      <c r="K818" s="386"/>
      <c r="L818" s="386"/>
      <c r="M818" s="386"/>
      <c r="N818" s="386"/>
      <c r="O818" s="386"/>
      <c r="P818" s="386"/>
      <c r="Q818" s="386"/>
      <c r="R818" s="386"/>
      <c r="S818" s="386"/>
      <c r="T818" s="386"/>
      <c r="U818" s="386"/>
      <c r="V818" s="386"/>
      <c r="W818" s="386"/>
      <c r="X818" s="386"/>
      <c r="Y818" s="386"/>
      <c r="Z818" s="386"/>
      <c r="AA818" s="386"/>
      <c r="AB818" s="386"/>
      <c r="AC818" s="386"/>
    </row>
    <row r="819">
      <c r="H819" s="386"/>
      <c r="I819" s="386"/>
      <c r="J819" s="386"/>
      <c r="K819" s="386"/>
      <c r="L819" s="386"/>
      <c r="M819" s="386"/>
      <c r="N819" s="386"/>
      <c r="O819" s="386"/>
      <c r="P819" s="386"/>
      <c r="Q819" s="386"/>
      <c r="R819" s="386"/>
      <c r="S819" s="386"/>
      <c r="T819" s="386"/>
      <c r="U819" s="386"/>
      <c r="V819" s="386"/>
      <c r="W819" s="386"/>
      <c r="X819" s="386"/>
      <c r="Y819" s="386"/>
      <c r="Z819" s="386"/>
      <c r="AA819" s="386"/>
      <c r="AB819" s="386"/>
      <c r="AC819" s="386"/>
    </row>
    <row r="820">
      <c r="H820" s="386"/>
      <c r="I820" s="386"/>
      <c r="J820" s="386"/>
      <c r="K820" s="386"/>
      <c r="L820" s="386"/>
      <c r="M820" s="386"/>
      <c r="N820" s="386"/>
      <c r="O820" s="386"/>
      <c r="P820" s="386"/>
      <c r="Q820" s="386"/>
      <c r="R820" s="386"/>
      <c r="S820" s="386"/>
      <c r="T820" s="386"/>
      <c r="U820" s="386"/>
      <c r="V820" s="386"/>
      <c r="W820" s="386"/>
      <c r="X820" s="386"/>
      <c r="Y820" s="386"/>
      <c r="Z820" s="386"/>
      <c r="AA820" s="386"/>
      <c r="AB820" s="386"/>
      <c r="AC820" s="386"/>
    </row>
    <row r="821">
      <c r="H821" s="386"/>
      <c r="I821" s="386"/>
      <c r="J821" s="386"/>
      <c r="K821" s="386"/>
      <c r="L821" s="386"/>
      <c r="M821" s="386"/>
      <c r="N821" s="386"/>
      <c r="O821" s="386"/>
      <c r="P821" s="386"/>
      <c r="Q821" s="386"/>
      <c r="R821" s="386"/>
      <c r="S821" s="386"/>
      <c r="T821" s="386"/>
      <c r="U821" s="386"/>
      <c r="V821" s="386"/>
      <c r="W821" s="386"/>
      <c r="X821" s="386"/>
      <c r="Y821" s="386"/>
      <c r="Z821" s="386"/>
      <c r="AA821" s="386"/>
      <c r="AB821" s="386"/>
      <c r="AC821" s="386"/>
    </row>
    <row r="822">
      <c r="H822" s="386"/>
      <c r="I822" s="386"/>
      <c r="J822" s="386"/>
      <c r="K822" s="386"/>
      <c r="L822" s="386"/>
      <c r="M822" s="386"/>
      <c r="N822" s="386"/>
      <c r="O822" s="386"/>
      <c r="P822" s="386"/>
      <c r="Q822" s="386"/>
      <c r="R822" s="386"/>
      <c r="S822" s="386"/>
      <c r="T822" s="386"/>
      <c r="U822" s="386"/>
      <c r="V822" s="386"/>
      <c r="W822" s="386"/>
      <c r="X822" s="386"/>
      <c r="Y822" s="386"/>
      <c r="Z822" s="386"/>
      <c r="AA822" s="386"/>
      <c r="AB822" s="386"/>
      <c r="AC822" s="386"/>
    </row>
    <row r="823">
      <c r="H823" s="386"/>
      <c r="I823" s="386"/>
      <c r="J823" s="386"/>
      <c r="K823" s="386"/>
      <c r="L823" s="386"/>
      <c r="M823" s="386"/>
      <c r="N823" s="386"/>
      <c r="O823" s="386"/>
      <c r="P823" s="386"/>
      <c r="Q823" s="386"/>
      <c r="R823" s="386"/>
      <c r="S823" s="386"/>
      <c r="T823" s="386"/>
      <c r="U823" s="386"/>
      <c r="V823" s="386"/>
      <c r="W823" s="386"/>
      <c r="X823" s="386"/>
      <c r="Y823" s="386"/>
      <c r="Z823" s="386"/>
      <c r="AA823" s="386"/>
      <c r="AB823" s="386"/>
      <c r="AC823" s="386"/>
    </row>
    <row r="824">
      <c r="H824" s="386"/>
      <c r="I824" s="386"/>
      <c r="J824" s="386"/>
      <c r="K824" s="386"/>
      <c r="L824" s="386"/>
      <c r="M824" s="386"/>
      <c r="N824" s="386"/>
      <c r="O824" s="386"/>
      <c r="P824" s="386"/>
      <c r="Q824" s="386"/>
      <c r="R824" s="386"/>
      <c r="S824" s="386"/>
      <c r="T824" s="386"/>
      <c r="U824" s="386"/>
      <c r="V824" s="386"/>
      <c r="W824" s="386"/>
      <c r="X824" s="386"/>
      <c r="Y824" s="386"/>
      <c r="Z824" s="386"/>
      <c r="AA824" s="386"/>
      <c r="AB824" s="386"/>
      <c r="AC824" s="386"/>
    </row>
    <row r="825">
      <c r="H825" s="386"/>
      <c r="I825" s="386"/>
      <c r="J825" s="386"/>
      <c r="K825" s="386"/>
      <c r="L825" s="386"/>
      <c r="M825" s="386"/>
      <c r="N825" s="386"/>
      <c r="O825" s="386"/>
      <c r="P825" s="386"/>
      <c r="Q825" s="386"/>
      <c r="R825" s="386"/>
      <c r="S825" s="386"/>
      <c r="T825" s="386"/>
      <c r="U825" s="386"/>
      <c r="V825" s="386"/>
      <c r="W825" s="386"/>
      <c r="X825" s="386"/>
      <c r="Y825" s="386"/>
      <c r="Z825" s="386"/>
      <c r="AA825" s="386"/>
      <c r="AB825" s="386"/>
      <c r="AC825" s="386"/>
    </row>
    <row r="826">
      <c r="H826" s="386"/>
      <c r="I826" s="386"/>
      <c r="J826" s="386"/>
      <c r="K826" s="386"/>
      <c r="L826" s="386"/>
      <c r="M826" s="386"/>
      <c r="N826" s="386"/>
      <c r="O826" s="386"/>
      <c r="P826" s="386"/>
      <c r="Q826" s="386"/>
      <c r="R826" s="386"/>
      <c r="S826" s="386"/>
      <c r="T826" s="386"/>
      <c r="U826" s="386"/>
      <c r="V826" s="386"/>
      <c r="W826" s="386"/>
      <c r="X826" s="386"/>
      <c r="Y826" s="386"/>
      <c r="Z826" s="386"/>
      <c r="AA826" s="386"/>
      <c r="AB826" s="386"/>
      <c r="AC826" s="386"/>
    </row>
    <row r="827">
      <c r="H827" s="386"/>
      <c r="I827" s="386"/>
      <c r="J827" s="386"/>
      <c r="K827" s="386"/>
      <c r="L827" s="386"/>
      <c r="M827" s="386"/>
      <c r="N827" s="386"/>
      <c r="O827" s="386"/>
      <c r="P827" s="386"/>
      <c r="Q827" s="386"/>
      <c r="R827" s="386"/>
      <c r="S827" s="386"/>
      <c r="T827" s="386"/>
      <c r="U827" s="386"/>
      <c r="V827" s="386"/>
      <c r="W827" s="386"/>
      <c r="X827" s="386"/>
      <c r="Y827" s="386"/>
      <c r="Z827" s="386"/>
      <c r="AA827" s="386"/>
      <c r="AB827" s="386"/>
      <c r="AC827" s="386"/>
    </row>
    <row r="828">
      <c r="H828" s="386"/>
      <c r="I828" s="386"/>
      <c r="J828" s="386"/>
      <c r="K828" s="386"/>
      <c r="L828" s="386"/>
      <c r="M828" s="386"/>
      <c r="N828" s="386"/>
      <c r="O828" s="386"/>
      <c r="P828" s="386"/>
      <c r="Q828" s="386"/>
      <c r="R828" s="386"/>
      <c r="S828" s="386"/>
      <c r="T828" s="386"/>
      <c r="U828" s="386"/>
      <c r="V828" s="386"/>
      <c r="W828" s="386"/>
      <c r="X828" s="386"/>
      <c r="Y828" s="386"/>
      <c r="Z828" s="386"/>
      <c r="AA828" s="386"/>
      <c r="AB828" s="386"/>
      <c r="AC828" s="386"/>
    </row>
    <row r="829">
      <c r="H829" s="386"/>
      <c r="I829" s="386"/>
      <c r="J829" s="386"/>
      <c r="K829" s="386"/>
      <c r="L829" s="386"/>
      <c r="M829" s="386"/>
      <c r="N829" s="386"/>
      <c r="O829" s="386"/>
      <c r="P829" s="386"/>
      <c r="Q829" s="386"/>
      <c r="R829" s="386"/>
      <c r="S829" s="386"/>
      <c r="T829" s="386"/>
      <c r="U829" s="386"/>
      <c r="V829" s="386"/>
      <c r="W829" s="386"/>
      <c r="X829" s="386"/>
      <c r="Y829" s="386"/>
      <c r="Z829" s="386"/>
      <c r="AA829" s="386"/>
      <c r="AB829" s="386"/>
      <c r="AC829" s="386"/>
    </row>
    <row r="830">
      <c r="H830" s="386"/>
      <c r="I830" s="386"/>
      <c r="J830" s="386"/>
      <c r="K830" s="386"/>
      <c r="L830" s="386"/>
      <c r="M830" s="386"/>
      <c r="N830" s="386"/>
      <c r="O830" s="386"/>
      <c r="P830" s="386"/>
      <c r="Q830" s="386"/>
      <c r="R830" s="386"/>
      <c r="S830" s="386"/>
      <c r="T830" s="386"/>
      <c r="U830" s="386"/>
      <c r="V830" s="386"/>
      <c r="W830" s="386"/>
      <c r="X830" s="386"/>
      <c r="Y830" s="386"/>
      <c r="Z830" s="386"/>
      <c r="AA830" s="386"/>
      <c r="AB830" s="386"/>
      <c r="AC830" s="386"/>
    </row>
    <row r="831">
      <c r="H831" s="386"/>
      <c r="I831" s="386"/>
      <c r="J831" s="386"/>
      <c r="K831" s="386"/>
      <c r="L831" s="386"/>
      <c r="M831" s="386"/>
      <c r="N831" s="386"/>
      <c r="O831" s="386"/>
      <c r="P831" s="386"/>
      <c r="Q831" s="386"/>
      <c r="R831" s="386"/>
      <c r="S831" s="386"/>
      <c r="T831" s="386"/>
      <c r="U831" s="386"/>
      <c r="V831" s="386"/>
      <c r="W831" s="386"/>
      <c r="X831" s="386"/>
      <c r="Y831" s="386"/>
      <c r="Z831" s="386"/>
      <c r="AA831" s="386"/>
      <c r="AB831" s="386"/>
      <c r="AC831" s="386"/>
    </row>
    <row r="832">
      <c r="H832" s="386"/>
      <c r="I832" s="386"/>
      <c r="J832" s="386"/>
      <c r="K832" s="386"/>
      <c r="L832" s="386"/>
      <c r="M832" s="386"/>
      <c r="N832" s="386"/>
      <c r="O832" s="386"/>
      <c r="P832" s="386"/>
      <c r="Q832" s="386"/>
      <c r="R832" s="386"/>
      <c r="S832" s="386"/>
      <c r="T832" s="386"/>
      <c r="U832" s="386"/>
      <c r="V832" s="386"/>
      <c r="W832" s="386"/>
      <c r="X832" s="386"/>
      <c r="Y832" s="386"/>
      <c r="Z832" s="386"/>
      <c r="AA832" s="386"/>
      <c r="AB832" s="386"/>
      <c r="AC832" s="386"/>
    </row>
    <row r="833">
      <c r="H833" s="386"/>
      <c r="I833" s="386"/>
      <c r="J833" s="386"/>
      <c r="K833" s="386"/>
      <c r="L833" s="386"/>
      <c r="M833" s="386"/>
      <c r="N833" s="386"/>
      <c r="O833" s="386"/>
      <c r="P833" s="386"/>
      <c r="Q833" s="386"/>
      <c r="R833" s="386"/>
      <c r="S833" s="386"/>
      <c r="T833" s="386"/>
      <c r="U833" s="386"/>
      <c r="V833" s="386"/>
      <c r="W833" s="386"/>
      <c r="X833" s="386"/>
      <c r="Y833" s="386"/>
      <c r="Z833" s="386"/>
      <c r="AA833" s="386"/>
      <c r="AB833" s="386"/>
      <c r="AC833" s="386"/>
    </row>
    <row r="834">
      <c r="H834" s="386"/>
      <c r="I834" s="386"/>
      <c r="J834" s="386"/>
      <c r="K834" s="386"/>
      <c r="L834" s="386"/>
      <c r="M834" s="386"/>
      <c r="N834" s="386"/>
      <c r="O834" s="386"/>
      <c r="P834" s="386"/>
      <c r="Q834" s="386"/>
      <c r="R834" s="386"/>
      <c r="S834" s="386"/>
      <c r="T834" s="386"/>
      <c r="U834" s="386"/>
      <c r="V834" s="386"/>
      <c r="W834" s="386"/>
      <c r="X834" s="386"/>
      <c r="Y834" s="386"/>
      <c r="Z834" s="386"/>
      <c r="AA834" s="386"/>
      <c r="AB834" s="386"/>
      <c r="AC834" s="386"/>
    </row>
    <row r="835">
      <c r="H835" s="386"/>
      <c r="I835" s="386"/>
      <c r="J835" s="386"/>
      <c r="K835" s="386"/>
      <c r="L835" s="386"/>
      <c r="M835" s="386"/>
      <c r="N835" s="386"/>
      <c r="O835" s="386"/>
      <c r="P835" s="386"/>
      <c r="Q835" s="386"/>
      <c r="R835" s="386"/>
      <c r="S835" s="386"/>
      <c r="T835" s="386"/>
      <c r="U835" s="386"/>
      <c r="V835" s="386"/>
      <c r="W835" s="386"/>
      <c r="X835" s="386"/>
      <c r="Y835" s="386"/>
      <c r="Z835" s="386"/>
      <c r="AA835" s="386"/>
      <c r="AB835" s="386"/>
      <c r="AC835" s="386"/>
    </row>
    <row r="836">
      <c r="H836" s="386"/>
      <c r="I836" s="386"/>
      <c r="J836" s="386"/>
      <c r="K836" s="386"/>
      <c r="L836" s="386"/>
      <c r="M836" s="386"/>
      <c r="N836" s="386"/>
      <c r="O836" s="386"/>
      <c r="P836" s="386"/>
      <c r="Q836" s="386"/>
      <c r="R836" s="386"/>
      <c r="S836" s="386"/>
      <c r="T836" s="386"/>
      <c r="U836" s="386"/>
      <c r="V836" s="386"/>
      <c r="W836" s="386"/>
      <c r="X836" s="386"/>
      <c r="Y836" s="386"/>
      <c r="Z836" s="386"/>
      <c r="AA836" s="386"/>
      <c r="AB836" s="386"/>
      <c r="AC836" s="386"/>
    </row>
    <row r="837">
      <c r="H837" s="386"/>
      <c r="I837" s="386"/>
      <c r="J837" s="386"/>
      <c r="K837" s="386"/>
      <c r="L837" s="386"/>
      <c r="M837" s="386"/>
      <c r="N837" s="386"/>
      <c r="O837" s="386"/>
      <c r="P837" s="386"/>
      <c r="Q837" s="386"/>
      <c r="R837" s="386"/>
      <c r="S837" s="386"/>
      <c r="T837" s="386"/>
      <c r="U837" s="386"/>
      <c r="V837" s="386"/>
      <c r="W837" s="386"/>
      <c r="X837" s="386"/>
      <c r="Y837" s="386"/>
      <c r="Z837" s="386"/>
      <c r="AA837" s="386"/>
      <c r="AB837" s="386"/>
      <c r="AC837" s="386"/>
    </row>
    <row r="838">
      <c r="H838" s="386"/>
      <c r="I838" s="386"/>
      <c r="J838" s="386"/>
      <c r="K838" s="386"/>
      <c r="L838" s="386"/>
      <c r="M838" s="386"/>
      <c r="N838" s="386"/>
      <c r="O838" s="386"/>
      <c r="P838" s="386"/>
      <c r="Q838" s="386"/>
      <c r="R838" s="386"/>
      <c r="S838" s="386"/>
      <c r="T838" s="386"/>
      <c r="U838" s="386"/>
      <c r="V838" s="386"/>
      <c r="W838" s="386"/>
      <c r="X838" s="386"/>
      <c r="Y838" s="386"/>
      <c r="Z838" s="386"/>
      <c r="AA838" s="386"/>
      <c r="AB838" s="386"/>
      <c r="AC838" s="386"/>
    </row>
    <row r="839">
      <c r="H839" s="386"/>
      <c r="I839" s="386"/>
      <c r="J839" s="386"/>
      <c r="K839" s="386"/>
      <c r="L839" s="386"/>
      <c r="M839" s="386"/>
      <c r="N839" s="386"/>
      <c r="O839" s="386"/>
      <c r="P839" s="386"/>
      <c r="Q839" s="386"/>
      <c r="R839" s="386"/>
      <c r="S839" s="386"/>
      <c r="T839" s="386"/>
      <c r="U839" s="386"/>
      <c r="V839" s="386"/>
      <c r="W839" s="386"/>
      <c r="X839" s="386"/>
      <c r="Y839" s="386"/>
      <c r="Z839" s="386"/>
      <c r="AA839" s="386"/>
      <c r="AB839" s="386"/>
      <c r="AC839" s="386"/>
    </row>
    <row r="840">
      <c r="H840" s="386"/>
      <c r="I840" s="386"/>
      <c r="J840" s="386"/>
      <c r="K840" s="386"/>
      <c r="L840" s="386"/>
      <c r="M840" s="386"/>
      <c r="N840" s="386"/>
      <c r="O840" s="386"/>
      <c r="P840" s="386"/>
      <c r="Q840" s="386"/>
      <c r="R840" s="386"/>
      <c r="S840" s="386"/>
      <c r="T840" s="386"/>
      <c r="U840" s="386"/>
      <c r="V840" s="386"/>
      <c r="W840" s="386"/>
      <c r="X840" s="386"/>
      <c r="Y840" s="386"/>
      <c r="Z840" s="386"/>
      <c r="AA840" s="386"/>
      <c r="AB840" s="386"/>
      <c r="AC840" s="386"/>
    </row>
    <row r="841">
      <c r="H841" s="386"/>
      <c r="I841" s="386"/>
      <c r="J841" s="386"/>
      <c r="K841" s="386"/>
      <c r="L841" s="386"/>
      <c r="M841" s="386"/>
      <c r="N841" s="386"/>
      <c r="O841" s="386"/>
      <c r="P841" s="386"/>
      <c r="Q841" s="386"/>
      <c r="R841" s="386"/>
      <c r="S841" s="386"/>
      <c r="T841" s="386"/>
      <c r="U841" s="386"/>
      <c r="V841" s="386"/>
      <c r="W841" s="386"/>
      <c r="X841" s="386"/>
      <c r="Y841" s="386"/>
      <c r="Z841" s="386"/>
      <c r="AA841" s="386"/>
      <c r="AB841" s="386"/>
      <c r="AC841" s="386"/>
    </row>
    <row r="842">
      <c r="H842" s="386"/>
      <c r="I842" s="386"/>
      <c r="J842" s="386"/>
      <c r="K842" s="386"/>
      <c r="L842" s="386"/>
      <c r="M842" s="386"/>
      <c r="N842" s="386"/>
      <c r="O842" s="386"/>
      <c r="P842" s="386"/>
      <c r="Q842" s="386"/>
      <c r="R842" s="386"/>
      <c r="S842" s="386"/>
      <c r="T842" s="386"/>
      <c r="U842" s="386"/>
      <c r="V842" s="386"/>
      <c r="W842" s="386"/>
      <c r="X842" s="386"/>
      <c r="Y842" s="386"/>
      <c r="Z842" s="386"/>
      <c r="AA842" s="386"/>
      <c r="AB842" s="386"/>
      <c r="AC842" s="386"/>
    </row>
    <row r="843">
      <c r="H843" s="386"/>
      <c r="I843" s="386"/>
      <c r="J843" s="386"/>
      <c r="K843" s="386"/>
      <c r="L843" s="386"/>
      <c r="M843" s="386"/>
      <c r="N843" s="386"/>
      <c r="O843" s="386"/>
      <c r="P843" s="386"/>
      <c r="Q843" s="386"/>
      <c r="R843" s="386"/>
      <c r="S843" s="386"/>
      <c r="T843" s="386"/>
      <c r="U843" s="386"/>
      <c r="V843" s="386"/>
      <c r="W843" s="386"/>
      <c r="X843" s="386"/>
      <c r="Y843" s="386"/>
      <c r="Z843" s="386"/>
      <c r="AA843" s="386"/>
      <c r="AB843" s="386"/>
      <c r="AC843" s="386"/>
    </row>
    <row r="844">
      <c r="H844" s="386"/>
      <c r="I844" s="386"/>
      <c r="J844" s="386"/>
      <c r="K844" s="386"/>
      <c r="L844" s="386"/>
      <c r="M844" s="386"/>
      <c r="N844" s="386"/>
      <c r="O844" s="386"/>
      <c r="P844" s="386"/>
      <c r="Q844" s="386"/>
      <c r="R844" s="386"/>
      <c r="S844" s="386"/>
      <c r="T844" s="386"/>
      <c r="U844" s="386"/>
      <c r="V844" s="386"/>
      <c r="W844" s="386"/>
      <c r="X844" s="386"/>
      <c r="Y844" s="386"/>
      <c r="Z844" s="386"/>
      <c r="AA844" s="386"/>
      <c r="AB844" s="386"/>
      <c r="AC844" s="386"/>
    </row>
    <row r="845">
      <c r="H845" s="386"/>
      <c r="I845" s="386"/>
      <c r="J845" s="386"/>
      <c r="K845" s="386"/>
      <c r="L845" s="386"/>
      <c r="M845" s="386"/>
      <c r="N845" s="386"/>
      <c r="O845" s="386"/>
      <c r="P845" s="386"/>
      <c r="Q845" s="386"/>
      <c r="R845" s="386"/>
      <c r="S845" s="386"/>
      <c r="T845" s="386"/>
      <c r="U845" s="386"/>
      <c r="V845" s="386"/>
      <c r="W845" s="386"/>
      <c r="X845" s="386"/>
      <c r="Y845" s="386"/>
      <c r="Z845" s="386"/>
      <c r="AA845" s="386"/>
      <c r="AB845" s="386"/>
      <c r="AC845" s="386"/>
    </row>
    <row r="846">
      <c r="H846" s="386"/>
      <c r="I846" s="386"/>
      <c r="J846" s="386"/>
      <c r="K846" s="386"/>
      <c r="L846" s="386"/>
      <c r="M846" s="386"/>
      <c r="N846" s="386"/>
      <c r="O846" s="386"/>
      <c r="P846" s="386"/>
      <c r="Q846" s="386"/>
      <c r="R846" s="386"/>
      <c r="S846" s="386"/>
      <c r="T846" s="386"/>
      <c r="U846" s="386"/>
      <c r="V846" s="386"/>
      <c r="W846" s="386"/>
      <c r="X846" s="386"/>
      <c r="Y846" s="386"/>
      <c r="Z846" s="386"/>
      <c r="AA846" s="386"/>
      <c r="AB846" s="386"/>
      <c r="AC846" s="386"/>
    </row>
    <row r="847">
      <c r="H847" s="386"/>
      <c r="I847" s="386"/>
      <c r="J847" s="386"/>
      <c r="K847" s="386"/>
      <c r="L847" s="386"/>
      <c r="M847" s="386"/>
      <c r="N847" s="386"/>
      <c r="O847" s="386"/>
      <c r="P847" s="386"/>
      <c r="Q847" s="386"/>
      <c r="R847" s="386"/>
      <c r="S847" s="386"/>
      <c r="T847" s="386"/>
      <c r="U847" s="386"/>
      <c r="V847" s="386"/>
      <c r="W847" s="386"/>
      <c r="X847" s="386"/>
      <c r="Y847" s="386"/>
      <c r="Z847" s="386"/>
      <c r="AA847" s="386"/>
      <c r="AB847" s="386"/>
      <c r="AC847" s="386"/>
    </row>
    <row r="848">
      <c r="H848" s="386"/>
      <c r="I848" s="386"/>
      <c r="J848" s="386"/>
      <c r="K848" s="386"/>
      <c r="L848" s="386"/>
      <c r="M848" s="386"/>
      <c r="N848" s="386"/>
      <c r="O848" s="386"/>
      <c r="P848" s="386"/>
      <c r="Q848" s="386"/>
      <c r="R848" s="386"/>
      <c r="S848" s="386"/>
      <c r="T848" s="386"/>
      <c r="U848" s="386"/>
      <c r="V848" s="386"/>
      <c r="W848" s="386"/>
      <c r="X848" s="386"/>
      <c r="Y848" s="386"/>
      <c r="Z848" s="386"/>
      <c r="AA848" s="386"/>
      <c r="AB848" s="386"/>
      <c r="AC848" s="386"/>
    </row>
    <row r="849">
      <c r="H849" s="386"/>
      <c r="I849" s="386"/>
      <c r="J849" s="386"/>
      <c r="K849" s="386"/>
      <c r="L849" s="386"/>
      <c r="M849" s="386"/>
      <c r="N849" s="386"/>
      <c r="O849" s="386"/>
      <c r="P849" s="386"/>
      <c r="Q849" s="386"/>
      <c r="R849" s="386"/>
      <c r="S849" s="386"/>
      <c r="T849" s="386"/>
      <c r="U849" s="386"/>
      <c r="V849" s="386"/>
      <c r="W849" s="386"/>
      <c r="X849" s="386"/>
      <c r="Y849" s="386"/>
      <c r="Z849" s="386"/>
      <c r="AA849" s="386"/>
      <c r="AB849" s="386"/>
      <c r="AC849" s="386"/>
    </row>
    <row r="850">
      <c r="H850" s="386"/>
      <c r="I850" s="386"/>
      <c r="J850" s="386"/>
      <c r="K850" s="386"/>
      <c r="L850" s="386"/>
      <c r="M850" s="386"/>
      <c r="N850" s="386"/>
      <c r="O850" s="386"/>
      <c r="P850" s="386"/>
      <c r="Q850" s="386"/>
      <c r="R850" s="386"/>
      <c r="S850" s="386"/>
      <c r="T850" s="386"/>
      <c r="U850" s="386"/>
      <c r="V850" s="386"/>
      <c r="W850" s="386"/>
      <c r="X850" s="386"/>
      <c r="Y850" s="386"/>
      <c r="Z850" s="386"/>
      <c r="AA850" s="386"/>
      <c r="AB850" s="386"/>
      <c r="AC850" s="386"/>
    </row>
    <row r="851">
      <c r="H851" s="386"/>
      <c r="I851" s="386"/>
      <c r="J851" s="386"/>
      <c r="K851" s="386"/>
      <c r="L851" s="386"/>
      <c r="M851" s="386"/>
      <c r="N851" s="386"/>
      <c r="O851" s="386"/>
      <c r="P851" s="386"/>
      <c r="Q851" s="386"/>
      <c r="R851" s="386"/>
      <c r="S851" s="386"/>
      <c r="T851" s="386"/>
      <c r="U851" s="386"/>
      <c r="V851" s="386"/>
      <c r="W851" s="386"/>
      <c r="X851" s="386"/>
      <c r="Y851" s="386"/>
      <c r="Z851" s="386"/>
      <c r="AA851" s="386"/>
      <c r="AB851" s="386"/>
      <c r="AC851" s="386"/>
    </row>
    <row r="852">
      <c r="H852" s="386"/>
      <c r="I852" s="386"/>
      <c r="J852" s="386"/>
      <c r="K852" s="386"/>
      <c r="L852" s="386"/>
      <c r="M852" s="386"/>
      <c r="N852" s="386"/>
      <c r="O852" s="386"/>
      <c r="P852" s="386"/>
      <c r="Q852" s="386"/>
      <c r="R852" s="386"/>
      <c r="S852" s="386"/>
      <c r="T852" s="386"/>
      <c r="U852" s="386"/>
      <c r="V852" s="386"/>
      <c r="W852" s="386"/>
      <c r="X852" s="386"/>
      <c r="Y852" s="386"/>
      <c r="Z852" s="386"/>
      <c r="AA852" s="386"/>
      <c r="AB852" s="386"/>
      <c r="AC852" s="386"/>
    </row>
    <row r="853">
      <c r="H853" s="386"/>
      <c r="I853" s="386"/>
      <c r="J853" s="386"/>
      <c r="K853" s="386"/>
      <c r="L853" s="386"/>
      <c r="M853" s="386"/>
      <c r="N853" s="386"/>
      <c r="O853" s="386"/>
      <c r="P853" s="386"/>
      <c r="Q853" s="386"/>
      <c r="R853" s="386"/>
      <c r="S853" s="386"/>
      <c r="T853" s="386"/>
      <c r="U853" s="386"/>
      <c r="V853" s="386"/>
      <c r="W853" s="386"/>
      <c r="X853" s="386"/>
      <c r="Y853" s="386"/>
      <c r="Z853" s="386"/>
      <c r="AA853" s="386"/>
      <c r="AB853" s="386"/>
      <c r="AC853" s="386"/>
    </row>
    <row r="854">
      <c r="H854" s="386"/>
      <c r="I854" s="386"/>
      <c r="J854" s="386"/>
      <c r="K854" s="386"/>
      <c r="L854" s="386"/>
      <c r="M854" s="386"/>
      <c r="N854" s="386"/>
      <c r="O854" s="386"/>
      <c r="P854" s="386"/>
      <c r="Q854" s="386"/>
      <c r="R854" s="386"/>
      <c r="S854" s="386"/>
      <c r="T854" s="386"/>
      <c r="U854" s="386"/>
      <c r="V854" s="386"/>
      <c r="W854" s="386"/>
      <c r="X854" s="386"/>
      <c r="Y854" s="386"/>
      <c r="Z854" s="386"/>
      <c r="AA854" s="386"/>
      <c r="AB854" s="386"/>
      <c r="AC854" s="386"/>
    </row>
    <row r="855">
      <c r="H855" s="386"/>
      <c r="I855" s="386"/>
      <c r="J855" s="386"/>
      <c r="K855" s="386"/>
      <c r="L855" s="386"/>
      <c r="M855" s="386"/>
      <c r="N855" s="386"/>
      <c r="O855" s="386"/>
      <c r="P855" s="386"/>
      <c r="Q855" s="386"/>
      <c r="R855" s="386"/>
      <c r="S855" s="386"/>
      <c r="T855" s="386"/>
      <c r="U855" s="386"/>
      <c r="V855" s="386"/>
      <c r="W855" s="386"/>
      <c r="X855" s="386"/>
      <c r="Y855" s="386"/>
      <c r="Z855" s="386"/>
      <c r="AA855" s="386"/>
      <c r="AB855" s="386"/>
      <c r="AC855" s="386"/>
    </row>
    <row r="856">
      <c r="H856" s="386"/>
      <c r="I856" s="386"/>
      <c r="J856" s="386"/>
      <c r="K856" s="386"/>
      <c r="L856" s="386"/>
      <c r="M856" s="386"/>
      <c r="N856" s="386"/>
      <c r="O856" s="386"/>
      <c r="P856" s="386"/>
      <c r="Q856" s="386"/>
      <c r="R856" s="386"/>
      <c r="S856" s="386"/>
      <c r="T856" s="386"/>
      <c r="U856" s="386"/>
      <c r="V856" s="386"/>
      <c r="W856" s="386"/>
      <c r="X856" s="386"/>
      <c r="Y856" s="386"/>
      <c r="Z856" s="386"/>
      <c r="AA856" s="386"/>
      <c r="AB856" s="386"/>
      <c r="AC856" s="386"/>
    </row>
    <row r="857">
      <c r="H857" s="386"/>
      <c r="I857" s="386"/>
      <c r="J857" s="386"/>
      <c r="K857" s="386"/>
      <c r="L857" s="386"/>
      <c r="M857" s="386"/>
      <c r="N857" s="386"/>
      <c r="O857" s="386"/>
      <c r="P857" s="386"/>
      <c r="Q857" s="386"/>
      <c r="R857" s="386"/>
      <c r="S857" s="386"/>
      <c r="T857" s="386"/>
      <c r="U857" s="386"/>
      <c r="V857" s="386"/>
      <c r="W857" s="386"/>
      <c r="X857" s="386"/>
      <c r="Y857" s="386"/>
      <c r="Z857" s="386"/>
      <c r="AA857" s="386"/>
      <c r="AB857" s="386"/>
      <c r="AC857" s="386"/>
    </row>
    <row r="858">
      <c r="H858" s="386"/>
      <c r="I858" s="386"/>
      <c r="J858" s="386"/>
      <c r="K858" s="386"/>
      <c r="L858" s="386"/>
      <c r="M858" s="386"/>
      <c r="N858" s="386"/>
      <c r="O858" s="386"/>
      <c r="P858" s="386"/>
      <c r="Q858" s="386"/>
      <c r="R858" s="386"/>
      <c r="S858" s="386"/>
      <c r="T858" s="386"/>
      <c r="U858" s="386"/>
      <c r="V858" s="386"/>
      <c r="W858" s="386"/>
      <c r="X858" s="386"/>
      <c r="Y858" s="386"/>
      <c r="Z858" s="386"/>
      <c r="AA858" s="386"/>
      <c r="AB858" s="386"/>
      <c r="AC858" s="386"/>
    </row>
    <row r="859">
      <c r="H859" s="386"/>
      <c r="I859" s="386"/>
      <c r="J859" s="386"/>
      <c r="K859" s="386"/>
      <c r="L859" s="386"/>
      <c r="M859" s="386"/>
      <c r="N859" s="386"/>
      <c r="O859" s="386"/>
      <c r="P859" s="386"/>
      <c r="Q859" s="386"/>
      <c r="R859" s="386"/>
      <c r="S859" s="386"/>
      <c r="T859" s="386"/>
      <c r="U859" s="386"/>
      <c r="V859" s="386"/>
      <c r="W859" s="386"/>
      <c r="X859" s="386"/>
      <c r="Y859" s="386"/>
      <c r="Z859" s="386"/>
      <c r="AA859" s="386"/>
      <c r="AB859" s="386"/>
      <c r="AC859" s="386"/>
    </row>
    <row r="860">
      <c r="H860" s="386"/>
      <c r="I860" s="386"/>
      <c r="J860" s="386"/>
      <c r="K860" s="386"/>
      <c r="L860" s="386"/>
      <c r="M860" s="386"/>
      <c r="N860" s="386"/>
      <c r="O860" s="386"/>
      <c r="P860" s="386"/>
      <c r="Q860" s="386"/>
      <c r="R860" s="386"/>
      <c r="S860" s="386"/>
      <c r="T860" s="386"/>
      <c r="U860" s="386"/>
      <c r="V860" s="386"/>
      <c r="W860" s="386"/>
      <c r="X860" s="386"/>
      <c r="Y860" s="386"/>
      <c r="Z860" s="386"/>
      <c r="AA860" s="386"/>
      <c r="AB860" s="386"/>
      <c r="AC860" s="386"/>
    </row>
    <row r="861">
      <c r="H861" s="386"/>
      <c r="I861" s="386"/>
      <c r="J861" s="386"/>
      <c r="K861" s="386"/>
      <c r="L861" s="386"/>
      <c r="M861" s="386"/>
      <c r="N861" s="386"/>
      <c r="O861" s="386"/>
      <c r="P861" s="386"/>
      <c r="Q861" s="386"/>
      <c r="R861" s="386"/>
      <c r="S861" s="386"/>
      <c r="T861" s="386"/>
      <c r="U861" s="386"/>
      <c r="V861" s="386"/>
      <c r="W861" s="386"/>
      <c r="X861" s="386"/>
      <c r="Y861" s="386"/>
      <c r="Z861" s="386"/>
      <c r="AA861" s="386"/>
      <c r="AB861" s="386"/>
      <c r="AC861" s="386"/>
    </row>
    <row r="862">
      <c r="H862" s="386"/>
      <c r="I862" s="386"/>
      <c r="J862" s="386"/>
      <c r="K862" s="386"/>
      <c r="L862" s="386"/>
      <c r="M862" s="386"/>
      <c r="N862" s="386"/>
      <c r="O862" s="386"/>
      <c r="P862" s="386"/>
      <c r="Q862" s="386"/>
      <c r="R862" s="386"/>
      <c r="S862" s="386"/>
      <c r="T862" s="386"/>
      <c r="U862" s="386"/>
      <c r="V862" s="386"/>
      <c r="W862" s="386"/>
      <c r="X862" s="386"/>
      <c r="Y862" s="386"/>
      <c r="Z862" s="386"/>
      <c r="AA862" s="386"/>
      <c r="AB862" s="386"/>
      <c r="AC862" s="386"/>
    </row>
    <row r="863">
      <c r="H863" s="386"/>
      <c r="I863" s="386"/>
      <c r="J863" s="386"/>
      <c r="K863" s="386"/>
      <c r="L863" s="386"/>
      <c r="M863" s="386"/>
      <c r="N863" s="386"/>
      <c r="O863" s="386"/>
      <c r="P863" s="386"/>
      <c r="Q863" s="386"/>
      <c r="R863" s="386"/>
      <c r="S863" s="386"/>
      <c r="T863" s="386"/>
      <c r="U863" s="386"/>
      <c r="V863" s="386"/>
      <c r="W863" s="386"/>
      <c r="X863" s="386"/>
      <c r="Y863" s="386"/>
      <c r="Z863" s="386"/>
      <c r="AA863" s="386"/>
      <c r="AB863" s="386"/>
      <c r="AC863" s="386"/>
    </row>
    <row r="864">
      <c r="H864" s="386"/>
      <c r="I864" s="386"/>
      <c r="J864" s="386"/>
      <c r="K864" s="386"/>
      <c r="L864" s="386"/>
      <c r="M864" s="386"/>
      <c r="N864" s="386"/>
      <c r="O864" s="386"/>
      <c r="P864" s="386"/>
      <c r="Q864" s="386"/>
      <c r="R864" s="386"/>
      <c r="S864" s="386"/>
      <c r="T864" s="386"/>
      <c r="U864" s="386"/>
      <c r="V864" s="386"/>
      <c r="W864" s="386"/>
      <c r="X864" s="386"/>
      <c r="Y864" s="386"/>
      <c r="Z864" s="386"/>
      <c r="AA864" s="386"/>
      <c r="AB864" s="386"/>
      <c r="AC864" s="386"/>
    </row>
    <row r="865">
      <c r="H865" s="386"/>
      <c r="I865" s="386"/>
      <c r="J865" s="386"/>
      <c r="K865" s="386"/>
      <c r="L865" s="386"/>
      <c r="M865" s="386"/>
      <c r="N865" s="386"/>
      <c r="O865" s="386"/>
      <c r="P865" s="386"/>
      <c r="Q865" s="386"/>
      <c r="R865" s="386"/>
      <c r="S865" s="386"/>
      <c r="T865" s="386"/>
      <c r="U865" s="386"/>
      <c r="V865" s="386"/>
      <c r="W865" s="386"/>
      <c r="X865" s="386"/>
      <c r="Y865" s="386"/>
      <c r="Z865" s="386"/>
      <c r="AA865" s="386"/>
      <c r="AB865" s="386"/>
      <c r="AC865" s="386"/>
    </row>
    <row r="866">
      <c r="H866" s="386"/>
      <c r="I866" s="386"/>
      <c r="J866" s="386"/>
      <c r="K866" s="386"/>
      <c r="L866" s="386"/>
      <c r="M866" s="386"/>
      <c r="N866" s="386"/>
      <c r="O866" s="386"/>
      <c r="P866" s="386"/>
      <c r="Q866" s="386"/>
      <c r="R866" s="386"/>
      <c r="S866" s="386"/>
      <c r="T866" s="386"/>
      <c r="U866" s="386"/>
      <c r="V866" s="386"/>
      <c r="W866" s="386"/>
      <c r="X866" s="386"/>
      <c r="Y866" s="386"/>
      <c r="Z866" s="386"/>
      <c r="AA866" s="386"/>
      <c r="AB866" s="386"/>
      <c r="AC866" s="386"/>
    </row>
    <row r="867">
      <c r="H867" s="386"/>
      <c r="I867" s="386"/>
      <c r="J867" s="386"/>
      <c r="K867" s="386"/>
      <c r="L867" s="386"/>
      <c r="M867" s="386"/>
      <c r="N867" s="386"/>
      <c r="O867" s="386"/>
      <c r="P867" s="386"/>
      <c r="Q867" s="386"/>
      <c r="R867" s="386"/>
      <c r="S867" s="386"/>
      <c r="T867" s="386"/>
      <c r="U867" s="386"/>
      <c r="V867" s="386"/>
      <c r="W867" s="386"/>
      <c r="X867" s="386"/>
      <c r="Y867" s="386"/>
      <c r="Z867" s="386"/>
      <c r="AA867" s="386"/>
      <c r="AB867" s="386"/>
      <c r="AC867" s="386"/>
    </row>
    <row r="868">
      <c r="H868" s="386"/>
      <c r="I868" s="386"/>
      <c r="J868" s="386"/>
      <c r="K868" s="386"/>
      <c r="L868" s="386"/>
      <c r="M868" s="386"/>
      <c r="N868" s="386"/>
      <c r="O868" s="386"/>
      <c r="P868" s="386"/>
      <c r="Q868" s="386"/>
      <c r="R868" s="386"/>
      <c r="S868" s="386"/>
      <c r="T868" s="386"/>
      <c r="U868" s="386"/>
      <c r="V868" s="386"/>
      <c r="W868" s="386"/>
      <c r="X868" s="386"/>
      <c r="Y868" s="386"/>
      <c r="Z868" s="386"/>
      <c r="AA868" s="386"/>
      <c r="AB868" s="386"/>
      <c r="AC868" s="386"/>
    </row>
    <row r="869">
      <c r="H869" s="386"/>
      <c r="I869" s="386"/>
      <c r="J869" s="386"/>
      <c r="K869" s="386"/>
      <c r="L869" s="386"/>
      <c r="M869" s="386"/>
      <c r="N869" s="386"/>
      <c r="O869" s="386"/>
      <c r="P869" s="386"/>
      <c r="Q869" s="386"/>
      <c r="R869" s="386"/>
      <c r="S869" s="386"/>
      <c r="T869" s="386"/>
      <c r="U869" s="386"/>
      <c r="V869" s="386"/>
      <c r="W869" s="386"/>
      <c r="X869" s="386"/>
      <c r="Y869" s="386"/>
      <c r="Z869" s="386"/>
      <c r="AA869" s="386"/>
      <c r="AB869" s="386"/>
      <c r="AC869" s="386"/>
    </row>
    <row r="870">
      <c r="H870" s="386"/>
      <c r="I870" s="386"/>
      <c r="J870" s="386"/>
      <c r="K870" s="386"/>
      <c r="L870" s="386"/>
      <c r="M870" s="386"/>
      <c r="N870" s="386"/>
      <c r="O870" s="386"/>
      <c r="P870" s="386"/>
      <c r="Q870" s="386"/>
      <c r="R870" s="386"/>
      <c r="S870" s="386"/>
      <c r="T870" s="386"/>
      <c r="U870" s="386"/>
      <c r="V870" s="386"/>
      <c r="W870" s="386"/>
      <c r="X870" s="386"/>
      <c r="Y870" s="386"/>
      <c r="Z870" s="386"/>
      <c r="AA870" s="386"/>
      <c r="AB870" s="386"/>
      <c r="AC870" s="386"/>
    </row>
    <row r="871">
      <c r="H871" s="386"/>
      <c r="I871" s="386"/>
      <c r="J871" s="386"/>
      <c r="K871" s="386"/>
      <c r="L871" s="386"/>
      <c r="M871" s="386"/>
      <c r="N871" s="386"/>
      <c r="O871" s="386"/>
      <c r="P871" s="386"/>
      <c r="Q871" s="386"/>
      <c r="R871" s="386"/>
      <c r="S871" s="386"/>
      <c r="T871" s="386"/>
      <c r="U871" s="386"/>
      <c r="V871" s="386"/>
      <c r="W871" s="386"/>
      <c r="X871" s="386"/>
      <c r="Y871" s="386"/>
      <c r="Z871" s="386"/>
      <c r="AA871" s="386"/>
      <c r="AB871" s="386"/>
      <c r="AC871" s="386"/>
    </row>
    <row r="872">
      <c r="H872" s="386"/>
      <c r="I872" s="386"/>
      <c r="J872" s="386"/>
      <c r="K872" s="386"/>
      <c r="L872" s="386"/>
      <c r="M872" s="386"/>
      <c r="N872" s="386"/>
      <c r="O872" s="386"/>
      <c r="P872" s="386"/>
      <c r="Q872" s="386"/>
      <c r="R872" s="386"/>
      <c r="S872" s="386"/>
      <c r="T872" s="386"/>
      <c r="U872" s="386"/>
      <c r="V872" s="386"/>
      <c r="W872" s="386"/>
      <c r="X872" s="386"/>
      <c r="Y872" s="386"/>
      <c r="Z872" s="386"/>
      <c r="AA872" s="386"/>
      <c r="AB872" s="386"/>
      <c r="AC872" s="386"/>
    </row>
    <row r="873">
      <c r="H873" s="386"/>
      <c r="I873" s="386"/>
      <c r="J873" s="386"/>
      <c r="K873" s="386"/>
      <c r="L873" s="386"/>
      <c r="M873" s="386"/>
      <c r="N873" s="386"/>
      <c r="O873" s="386"/>
      <c r="P873" s="386"/>
      <c r="Q873" s="386"/>
      <c r="R873" s="386"/>
      <c r="S873" s="386"/>
      <c r="T873" s="386"/>
      <c r="U873" s="386"/>
      <c r="V873" s="386"/>
      <c r="W873" s="386"/>
      <c r="X873" s="386"/>
      <c r="Y873" s="386"/>
      <c r="Z873" s="386"/>
      <c r="AA873" s="386"/>
      <c r="AB873" s="386"/>
      <c r="AC873" s="386"/>
    </row>
    <row r="874">
      <c r="H874" s="386"/>
      <c r="I874" s="386"/>
      <c r="J874" s="386"/>
      <c r="K874" s="386"/>
      <c r="L874" s="386"/>
      <c r="M874" s="386"/>
      <c r="N874" s="386"/>
      <c r="O874" s="386"/>
      <c r="P874" s="386"/>
      <c r="Q874" s="386"/>
      <c r="R874" s="386"/>
      <c r="S874" s="386"/>
      <c r="T874" s="386"/>
      <c r="U874" s="386"/>
      <c r="V874" s="386"/>
      <c r="W874" s="386"/>
      <c r="X874" s="386"/>
      <c r="Y874" s="386"/>
      <c r="Z874" s="386"/>
      <c r="AA874" s="386"/>
      <c r="AB874" s="386"/>
      <c r="AC874" s="386"/>
    </row>
    <row r="875">
      <c r="H875" s="386"/>
      <c r="I875" s="386"/>
      <c r="J875" s="386"/>
      <c r="K875" s="386"/>
      <c r="L875" s="386"/>
      <c r="M875" s="386"/>
      <c r="N875" s="386"/>
      <c r="O875" s="386"/>
      <c r="P875" s="386"/>
      <c r="Q875" s="386"/>
      <c r="R875" s="386"/>
      <c r="S875" s="386"/>
      <c r="T875" s="386"/>
      <c r="U875" s="386"/>
      <c r="V875" s="386"/>
      <c r="W875" s="386"/>
      <c r="X875" s="386"/>
      <c r="Y875" s="386"/>
      <c r="Z875" s="386"/>
      <c r="AA875" s="386"/>
      <c r="AB875" s="386"/>
      <c r="AC875" s="386"/>
    </row>
    <row r="876">
      <c r="H876" s="386"/>
      <c r="I876" s="386"/>
      <c r="J876" s="386"/>
      <c r="K876" s="386"/>
      <c r="L876" s="386"/>
      <c r="M876" s="386"/>
      <c r="N876" s="386"/>
      <c r="O876" s="386"/>
      <c r="P876" s="386"/>
      <c r="Q876" s="386"/>
      <c r="R876" s="386"/>
      <c r="S876" s="386"/>
      <c r="T876" s="386"/>
      <c r="U876" s="386"/>
      <c r="V876" s="386"/>
      <c r="W876" s="386"/>
      <c r="X876" s="386"/>
      <c r="Y876" s="386"/>
      <c r="Z876" s="386"/>
      <c r="AA876" s="386"/>
      <c r="AB876" s="386"/>
      <c r="AC876" s="386"/>
    </row>
    <row r="877">
      <c r="H877" s="386"/>
      <c r="I877" s="386"/>
      <c r="J877" s="386"/>
      <c r="K877" s="386"/>
      <c r="L877" s="386"/>
      <c r="M877" s="386"/>
      <c r="N877" s="386"/>
      <c r="O877" s="386"/>
      <c r="P877" s="386"/>
      <c r="Q877" s="386"/>
      <c r="R877" s="386"/>
      <c r="S877" s="386"/>
      <c r="T877" s="386"/>
      <c r="U877" s="386"/>
      <c r="V877" s="386"/>
      <c r="W877" s="386"/>
      <c r="X877" s="386"/>
      <c r="Y877" s="386"/>
      <c r="Z877" s="386"/>
      <c r="AA877" s="386"/>
      <c r="AB877" s="386"/>
      <c r="AC877" s="386"/>
    </row>
    <row r="878">
      <c r="H878" s="386"/>
      <c r="I878" s="386"/>
      <c r="J878" s="386"/>
      <c r="K878" s="386"/>
      <c r="L878" s="386"/>
      <c r="M878" s="386"/>
      <c r="N878" s="386"/>
      <c r="O878" s="386"/>
      <c r="P878" s="386"/>
      <c r="Q878" s="386"/>
      <c r="R878" s="386"/>
      <c r="S878" s="386"/>
      <c r="T878" s="386"/>
      <c r="U878" s="386"/>
      <c r="V878" s="386"/>
      <c r="W878" s="386"/>
      <c r="X878" s="386"/>
      <c r="Y878" s="386"/>
      <c r="Z878" s="386"/>
      <c r="AA878" s="386"/>
      <c r="AB878" s="386"/>
      <c r="AC878" s="386"/>
    </row>
    <row r="879">
      <c r="H879" s="386"/>
      <c r="I879" s="386"/>
      <c r="J879" s="386"/>
      <c r="K879" s="386"/>
      <c r="L879" s="386"/>
      <c r="M879" s="386"/>
      <c r="N879" s="386"/>
      <c r="O879" s="386"/>
      <c r="P879" s="386"/>
      <c r="Q879" s="386"/>
      <c r="R879" s="386"/>
      <c r="S879" s="386"/>
      <c r="T879" s="386"/>
      <c r="U879" s="386"/>
      <c r="V879" s="386"/>
      <c r="W879" s="386"/>
      <c r="X879" s="386"/>
      <c r="Y879" s="386"/>
      <c r="Z879" s="386"/>
      <c r="AA879" s="386"/>
      <c r="AB879" s="386"/>
      <c r="AC879" s="386"/>
    </row>
    <row r="880">
      <c r="H880" s="386"/>
      <c r="I880" s="386"/>
      <c r="J880" s="386"/>
      <c r="K880" s="386"/>
      <c r="L880" s="386"/>
      <c r="M880" s="386"/>
      <c r="N880" s="386"/>
      <c r="O880" s="386"/>
      <c r="P880" s="386"/>
      <c r="Q880" s="386"/>
      <c r="R880" s="386"/>
      <c r="S880" s="386"/>
      <c r="T880" s="386"/>
      <c r="U880" s="386"/>
      <c r="V880" s="386"/>
      <c r="W880" s="386"/>
      <c r="X880" s="386"/>
      <c r="Y880" s="386"/>
      <c r="Z880" s="386"/>
      <c r="AA880" s="386"/>
      <c r="AB880" s="386"/>
      <c r="AC880" s="386"/>
    </row>
    <row r="881">
      <c r="H881" s="386"/>
      <c r="I881" s="386"/>
      <c r="J881" s="386"/>
      <c r="K881" s="386"/>
      <c r="L881" s="386"/>
      <c r="M881" s="386"/>
      <c r="N881" s="386"/>
      <c r="O881" s="386"/>
      <c r="P881" s="386"/>
      <c r="Q881" s="386"/>
      <c r="R881" s="386"/>
      <c r="S881" s="386"/>
      <c r="T881" s="386"/>
      <c r="U881" s="386"/>
      <c r="V881" s="386"/>
      <c r="W881" s="386"/>
      <c r="X881" s="386"/>
      <c r="Y881" s="386"/>
      <c r="Z881" s="386"/>
      <c r="AA881" s="386"/>
      <c r="AB881" s="386"/>
      <c r="AC881" s="386"/>
    </row>
    <row r="882">
      <c r="H882" s="386"/>
      <c r="I882" s="386"/>
      <c r="J882" s="386"/>
      <c r="K882" s="386"/>
      <c r="L882" s="386"/>
      <c r="M882" s="386"/>
      <c r="N882" s="386"/>
      <c r="O882" s="386"/>
      <c r="P882" s="386"/>
      <c r="Q882" s="386"/>
      <c r="R882" s="386"/>
      <c r="S882" s="386"/>
      <c r="T882" s="386"/>
      <c r="U882" s="386"/>
      <c r="V882" s="386"/>
      <c r="W882" s="386"/>
      <c r="X882" s="386"/>
      <c r="Y882" s="386"/>
      <c r="Z882" s="386"/>
      <c r="AA882" s="386"/>
      <c r="AB882" s="386"/>
      <c r="AC882" s="386"/>
    </row>
    <row r="883">
      <c r="H883" s="386"/>
      <c r="I883" s="386"/>
      <c r="J883" s="386"/>
      <c r="K883" s="386"/>
      <c r="L883" s="386"/>
      <c r="M883" s="386"/>
      <c r="N883" s="386"/>
      <c r="O883" s="386"/>
      <c r="P883" s="386"/>
      <c r="Q883" s="386"/>
      <c r="R883" s="386"/>
      <c r="S883" s="386"/>
      <c r="T883" s="386"/>
      <c r="U883" s="386"/>
      <c r="V883" s="386"/>
      <c r="W883" s="386"/>
      <c r="X883" s="386"/>
      <c r="Y883" s="386"/>
      <c r="Z883" s="386"/>
      <c r="AA883" s="386"/>
      <c r="AB883" s="386"/>
      <c r="AC883" s="386"/>
    </row>
    <row r="884">
      <c r="H884" s="386"/>
      <c r="I884" s="386"/>
      <c r="J884" s="386"/>
      <c r="K884" s="386"/>
      <c r="L884" s="386"/>
      <c r="M884" s="386"/>
      <c r="N884" s="386"/>
      <c r="O884" s="386"/>
      <c r="P884" s="386"/>
      <c r="Q884" s="386"/>
      <c r="R884" s="386"/>
      <c r="S884" s="386"/>
      <c r="T884" s="386"/>
      <c r="U884" s="386"/>
      <c r="V884" s="386"/>
      <c r="W884" s="386"/>
      <c r="X884" s="386"/>
      <c r="Y884" s="386"/>
      <c r="Z884" s="386"/>
      <c r="AA884" s="386"/>
      <c r="AB884" s="386"/>
      <c r="AC884" s="386"/>
    </row>
    <row r="885">
      <c r="H885" s="386"/>
      <c r="I885" s="386"/>
      <c r="J885" s="386"/>
      <c r="K885" s="386"/>
      <c r="L885" s="386"/>
      <c r="M885" s="386"/>
      <c r="N885" s="386"/>
      <c r="O885" s="386"/>
      <c r="P885" s="386"/>
      <c r="Q885" s="386"/>
      <c r="R885" s="386"/>
      <c r="S885" s="386"/>
      <c r="T885" s="386"/>
      <c r="U885" s="386"/>
      <c r="V885" s="386"/>
      <c r="W885" s="386"/>
      <c r="X885" s="386"/>
      <c r="Y885" s="386"/>
      <c r="Z885" s="386"/>
      <c r="AA885" s="386"/>
      <c r="AB885" s="386"/>
      <c r="AC885" s="386"/>
    </row>
    <row r="886">
      <c r="H886" s="386"/>
      <c r="I886" s="386"/>
      <c r="J886" s="386"/>
      <c r="K886" s="386"/>
      <c r="L886" s="386"/>
      <c r="M886" s="386"/>
      <c r="N886" s="386"/>
      <c r="O886" s="386"/>
      <c r="P886" s="386"/>
      <c r="Q886" s="386"/>
      <c r="R886" s="386"/>
      <c r="S886" s="386"/>
      <c r="T886" s="386"/>
      <c r="U886" s="386"/>
      <c r="V886" s="386"/>
      <c r="W886" s="386"/>
      <c r="X886" s="386"/>
      <c r="Y886" s="386"/>
      <c r="Z886" s="386"/>
      <c r="AA886" s="386"/>
      <c r="AB886" s="386"/>
      <c r="AC886" s="386"/>
    </row>
    <row r="887">
      <c r="H887" s="386"/>
      <c r="I887" s="386"/>
      <c r="J887" s="386"/>
      <c r="K887" s="386"/>
      <c r="L887" s="386"/>
      <c r="M887" s="386"/>
      <c r="N887" s="386"/>
      <c r="O887" s="386"/>
      <c r="P887" s="386"/>
      <c r="Q887" s="386"/>
      <c r="R887" s="386"/>
      <c r="S887" s="386"/>
      <c r="T887" s="386"/>
      <c r="U887" s="386"/>
      <c r="V887" s="386"/>
      <c r="W887" s="386"/>
      <c r="X887" s="386"/>
      <c r="Y887" s="386"/>
      <c r="Z887" s="386"/>
      <c r="AA887" s="386"/>
      <c r="AB887" s="386"/>
      <c r="AC887" s="386"/>
    </row>
    <row r="888">
      <c r="H888" s="386"/>
      <c r="I888" s="386"/>
      <c r="J888" s="386"/>
      <c r="K888" s="386"/>
      <c r="L888" s="386"/>
      <c r="M888" s="386"/>
      <c r="N888" s="386"/>
      <c r="O888" s="386"/>
      <c r="P888" s="386"/>
      <c r="Q888" s="386"/>
      <c r="R888" s="386"/>
      <c r="S888" s="386"/>
      <c r="T888" s="386"/>
      <c r="U888" s="386"/>
      <c r="V888" s="386"/>
      <c r="W888" s="386"/>
      <c r="X888" s="386"/>
      <c r="Y888" s="386"/>
      <c r="Z888" s="386"/>
      <c r="AA888" s="386"/>
      <c r="AB888" s="386"/>
      <c r="AC888" s="386"/>
    </row>
    <row r="889">
      <c r="H889" s="386"/>
      <c r="I889" s="386"/>
      <c r="J889" s="386"/>
      <c r="K889" s="386"/>
      <c r="L889" s="386"/>
      <c r="M889" s="386"/>
      <c r="N889" s="386"/>
      <c r="O889" s="386"/>
      <c r="P889" s="386"/>
      <c r="Q889" s="386"/>
      <c r="R889" s="386"/>
      <c r="S889" s="386"/>
      <c r="T889" s="386"/>
      <c r="U889" s="386"/>
      <c r="V889" s="386"/>
      <c r="W889" s="386"/>
      <c r="X889" s="386"/>
      <c r="Y889" s="386"/>
      <c r="Z889" s="386"/>
      <c r="AA889" s="386"/>
      <c r="AB889" s="386"/>
      <c r="AC889" s="386"/>
    </row>
    <row r="890">
      <c r="H890" s="386"/>
      <c r="I890" s="386"/>
      <c r="J890" s="386"/>
      <c r="K890" s="386"/>
      <c r="L890" s="386"/>
      <c r="M890" s="386"/>
      <c r="N890" s="386"/>
      <c r="O890" s="386"/>
      <c r="P890" s="386"/>
      <c r="Q890" s="386"/>
      <c r="R890" s="386"/>
      <c r="S890" s="386"/>
      <c r="T890" s="386"/>
      <c r="U890" s="386"/>
      <c r="V890" s="386"/>
      <c r="W890" s="386"/>
      <c r="X890" s="386"/>
      <c r="Y890" s="386"/>
      <c r="Z890" s="386"/>
      <c r="AA890" s="386"/>
      <c r="AB890" s="386"/>
      <c r="AC890" s="386"/>
    </row>
    <row r="891">
      <c r="H891" s="386"/>
      <c r="I891" s="386"/>
      <c r="J891" s="386"/>
      <c r="K891" s="386"/>
      <c r="L891" s="386"/>
      <c r="M891" s="386"/>
      <c r="N891" s="386"/>
      <c r="O891" s="386"/>
      <c r="P891" s="386"/>
      <c r="Q891" s="386"/>
      <c r="R891" s="386"/>
      <c r="S891" s="386"/>
      <c r="T891" s="386"/>
      <c r="U891" s="386"/>
      <c r="V891" s="386"/>
      <c r="W891" s="386"/>
      <c r="X891" s="386"/>
      <c r="Y891" s="386"/>
      <c r="Z891" s="386"/>
      <c r="AA891" s="386"/>
      <c r="AB891" s="386"/>
      <c r="AC891" s="386"/>
    </row>
    <row r="892">
      <c r="H892" s="386"/>
      <c r="I892" s="386"/>
      <c r="J892" s="386"/>
      <c r="K892" s="386"/>
      <c r="L892" s="386"/>
      <c r="M892" s="386"/>
      <c r="N892" s="386"/>
      <c r="O892" s="386"/>
      <c r="P892" s="386"/>
      <c r="Q892" s="386"/>
      <c r="R892" s="386"/>
      <c r="S892" s="386"/>
      <c r="T892" s="386"/>
      <c r="U892" s="386"/>
      <c r="V892" s="386"/>
      <c r="W892" s="386"/>
      <c r="X892" s="386"/>
      <c r="Y892" s="386"/>
      <c r="Z892" s="386"/>
      <c r="AA892" s="386"/>
      <c r="AB892" s="386"/>
      <c r="AC892" s="386"/>
    </row>
    <row r="893">
      <c r="H893" s="386"/>
      <c r="I893" s="386"/>
      <c r="J893" s="386"/>
      <c r="K893" s="386"/>
      <c r="L893" s="386"/>
      <c r="M893" s="386"/>
      <c r="N893" s="386"/>
      <c r="O893" s="386"/>
      <c r="P893" s="386"/>
      <c r="Q893" s="386"/>
      <c r="R893" s="386"/>
      <c r="S893" s="386"/>
      <c r="T893" s="386"/>
      <c r="U893" s="386"/>
      <c r="V893" s="386"/>
      <c r="W893" s="386"/>
      <c r="X893" s="386"/>
      <c r="Y893" s="386"/>
      <c r="Z893" s="386"/>
      <c r="AA893" s="386"/>
      <c r="AB893" s="386"/>
      <c r="AC893" s="386"/>
    </row>
    <row r="894">
      <c r="H894" s="386"/>
      <c r="I894" s="386"/>
      <c r="J894" s="386"/>
      <c r="K894" s="386"/>
      <c r="L894" s="386"/>
      <c r="M894" s="386"/>
      <c r="N894" s="386"/>
      <c r="O894" s="386"/>
      <c r="P894" s="386"/>
      <c r="Q894" s="386"/>
      <c r="R894" s="386"/>
      <c r="S894" s="386"/>
      <c r="T894" s="386"/>
      <c r="U894" s="386"/>
      <c r="V894" s="386"/>
      <c r="W894" s="386"/>
      <c r="X894" s="386"/>
      <c r="Y894" s="386"/>
      <c r="Z894" s="386"/>
      <c r="AA894" s="386"/>
      <c r="AB894" s="386"/>
      <c r="AC894" s="386"/>
    </row>
    <row r="895">
      <c r="H895" s="386"/>
      <c r="I895" s="386"/>
      <c r="J895" s="386"/>
      <c r="K895" s="386"/>
      <c r="L895" s="386"/>
      <c r="M895" s="386"/>
      <c r="N895" s="386"/>
      <c r="O895" s="386"/>
      <c r="P895" s="386"/>
      <c r="Q895" s="386"/>
      <c r="R895" s="386"/>
      <c r="S895" s="386"/>
      <c r="T895" s="386"/>
      <c r="U895" s="386"/>
      <c r="V895" s="386"/>
      <c r="W895" s="386"/>
      <c r="X895" s="386"/>
      <c r="Y895" s="386"/>
      <c r="Z895" s="386"/>
      <c r="AA895" s="386"/>
      <c r="AB895" s="386"/>
      <c r="AC895" s="386"/>
    </row>
    <row r="896">
      <c r="H896" s="386"/>
      <c r="I896" s="386"/>
      <c r="J896" s="386"/>
      <c r="K896" s="386"/>
      <c r="L896" s="386"/>
      <c r="M896" s="386"/>
      <c r="N896" s="386"/>
      <c r="O896" s="386"/>
      <c r="P896" s="386"/>
      <c r="Q896" s="386"/>
      <c r="R896" s="386"/>
      <c r="S896" s="386"/>
      <c r="T896" s="386"/>
      <c r="U896" s="386"/>
      <c r="V896" s="386"/>
      <c r="W896" s="386"/>
      <c r="X896" s="386"/>
      <c r="Y896" s="386"/>
      <c r="Z896" s="386"/>
      <c r="AA896" s="386"/>
      <c r="AB896" s="386"/>
      <c r="AC896" s="386"/>
    </row>
    <row r="897">
      <c r="H897" s="386"/>
      <c r="I897" s="386"/>
      <c r="J897" s="386"/>
      <c r="K897" s="386"/>
      <c r="L897" s="386"/>
      <c r="M897" s="386"/>
      <c r="N897" s="386"/>
      <c r="O897" s="386"/>
      <c r="P897" s="386"/>
      <c r="Q897" s="386"/>
      <c r="R897" s="386"/>
      <c r="S897" s="386"/>
      <c r="T897" s="386"/>
      <c r="U897" s="386"/>
      <c r="V897" s="386"/>
      <c r="W897" s="386"/>
      <c r="X897" s="386"/>
      <c r="Y897" s="386"/>
      <c r="Z897" s="386"/>
      <c r="AA897" s="386"/>
      <c r="AB897" s="386"/>
      <c r="AC897" s="386"/>
    </row>
    <row r="898">
      <c r="H898" s="386"/>
      <c r="I898" s="386"/>
      <c r="J898" s="386"/>
      <c r="K898" s="386"/>
      <c r="L898" s="386"/>
      <c r="M898" s="386"/>
      <c r="N898" s="386"/>
      <c r="O898" s="386"/>
      <c r="P898" s="386"/>
      <c r="Q898" s="386"/>
      <c r="R898" s="386"/>
      <c r="S898" s="386"/>
      <c r="T898" s="386"/>
      <c r="U898" s="386"/>
      <c r="V898" s="386"/>
      <c r="W898" s="386"/>
      <c r="X898" s="386"/>
      <c r="Y898" s="386"/>
      <c r="Z898" s="386"/>
      <c r="AA898" s="386"/>
      <c r="AB898" s="386"/>
      <c r="AC898" s="386"/>
    </row>
    <row r="899">
      <c r="H899" s="386"/>
      <c r="I899" s="386"/>
      <c r="J899" s="386"/>
      <c r="K899" s="386"/>
      <c r="L899" s="386"/>
      <c r="M899" s="386"/>
      <c r="N899" s="386"/>
      <c r="O899" s="386"/>
      <c r="P899" s="386"/>
      <c r="Q899" s="386"/>
      <c r="R899" s="386"/>
      <c r="S899" s="386"/>
      <c r="T899" s="386"/>
      <c r="U899" s="386"/>
      <c r="V899" s="386"/>
      <c r="W899" s="386"/>
      <c r="X899" s="386"/>
      <c r="Y899" s="386"/>
      <c r="Z899" s="386"/>
      <c r="AA899" s="386"/>
      <c r="AB899" s="386"/>
      <c r="AC899" s="386"/>
    </row>
    <row r="900">
      <c r="H900" s="386"/>
      <c r="I900" s="386"/>
      <c r="J900" s="386"/>
      <c r="K900" s="386"/>
      <c r="L900" s="386"/>
      <c r="M900" s="386"/>
      <c r="N900" s="386"/>
      <c r="O900" s="386"/>
      <c r="P900" s="386"/>
      <c r="Q900" s="386"/>
      <c r="R900" s="386"/>
      <c r="S900" s="386"/>
      <c r="T900" s="386"/>
      <c r="U900" s="386"/>
      <c r="V900" s="386"/>
      <c r="W900" s="386"/>
      <c r="X900" s="386"/>
      <c r="Y900" s="386"/>
      <c r="Z900" s="386"/>
      <c r="AA900" s="386"/>
      <c r="AB900" s="386"/>
      <c r="AC900" s="386"/>
    </row>
    <row r="901">
      <c r="H901" s="386"/>
      <c r="I901" s="386"/>
      <c r="J901" s="386"/>
      <c r="K901" s="386"/>
      <c r="L901" s="386"/>
      <c r="M901" s="386"/>
      <c r="N901" s="386"/>
      <c r="O901" s="386"/>
      <c r="P901" s="386"/>
      <c r="Q901" s="386"/>
      <c r="R901" s="386"/>
      <c r="S901" s="386"/>
      <c r="T901" s="386"/>
      <c r="U901" s="386"/>
      <c r="V901" s="386"/>
      <c r="W901" s="386"/>
      <c r="X901" s="386"/>
      <c r="Y901" s="386"/>
      <c r="Z901" s="386"/>
      <c r="AA901" s="386"/>
      <c r="AB901" s="386"/>
      <c r="AC901" s="386"/>
    </row>
    <row r="902">
      <c r="H902" s="386"/>
      <c r="I902" s="386"/>
      <c r="J902" s="386"/>
      <c r="K902" s="386"/>
      <c r="L902" s="386"/>
      <c r="M902" s="386"/>
      <c r="N902" s="386"/>
      <c r="O902" s="386"/>
      <c r="P902" s="386"/>
      <c r="Q902" s="386"/>
      <c r="R902" s="386"/>
      <c r="S902" s="386"/>
      <c r="T902" s="386"/>
      <c r="U902" s="386"/>
      <c r="V902" s="386"/>
      <c r="W902" s="386"/>
      <c r="X902" s="386"/>
      <c r="Y902" s="386"/>
      <c r="Z902" s="386"/>
      <c r="AA902" s="386"/>
      <c r="AB902" s="386"/>
      <c r="AC902" s="386"/>
    </row>
    <row r="903">
      <c r="H903" s="386"/>
      <c r="I903" s="386"/>
      <c r="J903" s="386"/>
      <c r="K903" s="386"/>
      <c r="L903" s="386"/>
      <c r="M903" s="386"/>
      <c r="N903" s="386"/>
      <c r="O903" s="386"/>
      <c r="P903" s="386"/>
      <c r="Q903" s="386"/>
      <c r="R903" s="386"/>
      <c r="S903" s="386"/>
      <c r="T903" s="386"/>
      <c r="U903" s="386"/>
      <c r="V903" s="386"/>
      <c r="W903" s="386"/>
      <c r="X903" s="386"/>
      <c r="Y903" s="386"/>
      <c r="Z903" s="386"/>
      <c r="AA903" s="386"/>
      <c r="AB903" s="386"/>
      <c r="AC903" s="386"/>
    </row>
    <row r="904">
      <c r="H904" s="386"/>
      <c r="I904" s="386"/>
      <c r="J904" s="386"/>
      <c r="K904" s="386"/>
      <c r="L904" s="386"/>
      <c r="M904" s="386"/>
      <c r="N904" s="386"/>
      <c r="O904" s="386"/>
      <c r="P904" s="386"/>
      <c r="Q904" s="386"/>
      <c r="R904" s="386"/>
      <c r="S904" s="386"/>
      <c r="T904" s="386"/>
      <c r="U904" s="386"/>
      <c r="V904" s="386"/>
      <c r="W904" s="386"/>
      <c r="X904" s="386"/>
      <c r="Y904" s="386"/>
      <c r="Z904" s="386"/>
      <c r="AA904" s="386"/>
      <c r="AB904" s="386"/>
      <c r="AC904" s="386"/>
    </row>
    <row r="905">
      <c r="H905" s="386"/>
      <c r="I905" s="386"/>
      <c r="J905" s="386"/>
      <c r="K905" s="386"/>
      <c r="L905" s="386"/>
      <c r="M905" s="386"/>
      <c r="N905" s="386"/>
      <c r="O905" s="386"/>
      <c r="P905" s="386"/>
      <c r="Q905" s="386"/>
      <c r="R905" s="386"/>
      <c r="S905" s="386"/>
      <c r="T905" s="386"/>
      <c r="U905" s="386"/>
      <c r="V905" s="386"/>
      <c r="W905" s="386"/>
      <c r="X905" s="386"/>
      <c r="Y905" s="386"/>
      <c r="Z905" s="386"/>
      <c r="AA905" s="386"/>
      <c r="AB905" s="386"/>
      <c r="AC905" s="386"/>
    </row>
    <row r="906">
      <c r="H906" s="386"/>
      <c r="I906" s="386"/>
      <c r="J906" s="386"/>
      <c r="K906" s="386"/>
      <c r="L906" s="386"/>
      <c r="M906" s="386"/>
      <c r="N906" s="386"/>
      <c r="O906" s="386"/>
      <c r="P906" s="386"/>
      <c r="Q906" s="386"/>
      <c r="R906" s="386"/>
      <c r="S906" s="386"/>
      <c r="T906" s="386"/>
      <c r="U906" s="386"/>
      <c r="V906" s="386"/>
      <c r="W906" s="386"/>
      <c r="X906" s="386"/>
      <c r="Y906" s="386"/>
      <c r="Z906" s="386"/>
      <c r="AA906" s="386"/>
      <c r="AB906" s="386"/>
      <c r="AC906" s="386"/>
    </row>
    <row r="907">
      <c r="H907" s="386"/>
      <c r="I907" s="386"/>
      <c r="J907" s="386"/>
      <c r="K907" s="386"/>
      <c r="L907" s="386"/>
      <c r="M907" s="386"/>
      <c r="N907" s="386"/>
      <c r="O907" s="386"/>
      <c r="P907" s="386"/>
      <c r="Q907" s="386"/>
      <c r="R907" s="386"/>
      <c r="S907" s="386"/>
      <c r="T907" s="386"/>
      <c r="U907" s="386"/>
      <c r="V907" s="386"/>
      <c r="W907" s="386"/>
      <c r="X907" s="386"/>
      <c r="Y907" s="386"/>
      <c r="Z907" s="386"/>
      <c r="AA907" s="386"/>
      <c r="AB907" s="386"/>
      <c r="AC907" s="386"/>
    </row>
    <row r="908">
      <c r="H908" s="386"/>
      <c r="I908" s="386"/>
      <c r="J908" s="386"/>
      <c r="K908" s="386"/>
      <c r="L908" s="386"/>
      <c r="M908" s="386"/>
      <c r="N908" s="386"/>
      <c r="O908" s="386"/>
      <c r="P908" s="386"/>
      <c r="Q908" s="386"/>
      <c r="R908" s="386"/>
      <c r="S908" s="386"/>
      <c r="T908" s="386"/>
      <c r="U908" s="386"/>
      <c r="V908" s="386"/>
      <c r="W908" s="386"/>
      <c r="X908" s="386"/>
      <c r="Y908" s="386"/>
      <c r="Z908" s="386"/>
      <c r="AA908" s="386"/>
      <c r="AB908" s="386"/>
      <c r="AC908" s="386"/>
    </row>
    <row r="909">
      <c r="H909" s="386"/>
      <c r="I909" s="386"/>
      <c r="J909" s="386"/>
      <c r="K909" s="386"/>
      <c r="L909" s="386"/>
      <c r="M909" s="386"/>
      <c r="N909" s="386"/>
      <c r="O909" s="386"/>
      <c r="P909" s="386"/>
      <c r="Q909" s="386"/>
      <c r="R909" s="386"/>
      <c r="S909" s="386"/>
      <c r="T909" s="386"/>
      <c r="U909" s="386"/>
      <c r="V909" s="386"/>
      <c r="W909" s="386"/>
      <c r="X909" s="386"/>
      <c r="Y909" s="386"/>
      <c r="Z909" s="386"/>
      <c r="AA909" s="386"/>
      <c r="AB909" s="386"/>
      <c r="AC909" s="386"/>
    </row>
    <row r="910">
      <c r="H910" s="386"/>
      <c r="I910" s="386"/>
      <c r="J910" s="386"/>
      <c r="K910" s="386"/>
      <c r="L910" s="386"/>
      <c r="M910" s="386"/>
      <c r="N910" s="386"/>
      <c r="O910" s="386"/>
      <c r="P910" s="386"/>
      <c r="Q910" s="386"/>
      <c r="R910" s="386"/>
      <c r="S910" s="386"/>
      <c r="T910" s="386"/>
      <c r="U910" s="386"/>
      <c r="V910" s="386"/>
      <c r="W910" s="386"/>
      <c r="X910" s="386"/>
      <c r="Y910" s="386"/>
      <c r="Z910" s="386"/>
      <c r="AA910" s="386"/>
      <c r="AB910" s="386"/>
      <c r="AC910" s="386"/>
    </row>
    <row r="911">
      <c r="H911" s="386"/>
      <c r="I911" s="386"/>
      <c r="J911" s="386"/>
      <c r="K911" s="386"/>
      <c r="L911" s="386"/>
      <c r="M911" s="386"/>
      <c r="N911" s="386"/>
      <c r="O911" s="386"/>
      <c r="P911" s="386"/>
      <c r="Q911" s="386"/>
      <c r="R911" s="386"/>
      <c r="S911" s="386"/>
      <c r="T911" s="386"/>
      <c r="U911" s="386"/>
      <c r="V911" s="386"/>
      <c r="W911" s="386"/>
      <c r="X911" s="386"/>
      <c r="Y911" s="386"/>
      <c r="Z911" s="386"/>
      <c r="AA911" s="386"/>
      <c r="AB911" s="386"/>
      <c r="AC911" s="386"/>
    </row>
    <row r="912">
      <c r="H912" s="386"/>
      <c r="I912" s="386"/>
      <c r="J912" s="386"/>
      <c r="K912" s="386"/>
      <c r="L912" s="386"/>
      <c r="M912" s="386"/>
      <c r="N912" s="386"/>
      <c r="O912" s="386"/>
      <c r="P912" s="386"/>
      <c r="Q912" s="386"/>
      <c r="R912" s="386"/>
      <c r="S912" s="386"/>
      <c r="T912" s="386"/>
      <c r="U912" s="386"/>
      <c r="V912" s="386"/>
      <c r="W912" s="386"/>
      <c r="X912" s="386"/>
      <c r="Y912" s="386"/>
      <c r="Z912" s="386"/>
      <c r="AA912" s="386"/>
      <c r="AB912" s="386"/>
      <c r="AC912" s="386"/>
    </row>
    <row r="913">
      <c r="H913" s="386"/>
      <c r="I913" s="386"/>
      <c r="J913" s="386"/>
      <c r="K913" s="386"/>
      <c r="L913" s="386"/>
      <c r="M913" s="386"/>
      <c r="N913" s="386"/>
      <c r="O913" s="386"/>
      <c r="P913" s="386"/>
      <c r="Q913" s="386"/>
      <c r="R913" s="386"/>
      <c r="S913" s="386"/>
      <c r="T913" s="386"/>
      <c r="U913" s="386"/>
      <c r="V913" s="386"/>
      <c r="W913" s="386"/>
      <c r="X913" s="386"/>
      <c r="Y913" s="386"/>
      <c r="Z913" s="386"/>
      <c r="AA913" s="386"/>
      <c r="AB913" s="386"/>
      <c r="AC913" s="386"/>
    </row>
    <row r="914">
      <c r="H914" s="386"/>
      <c r="I914" s="386"/>
      <c r="J914" s="386"/>
      <c r="K914" s="386"/>
      <c r="L914" s="386"/>
      <c r="M914" s="386"/>
      <c r="N914" s="386"/>
      <c r="O914" s="386"/>
      <c r="P914" s="386"/>
      <c r="Q914" s="386"/>
      <c r="R914" s="386"/>
      <c r="S914" s="386"/>
      <c r="T914" s="386"/>
      <c r="U914" s="386"/>
      <c r="V914" s="386"/>
      <c r="W914" s="386"/>
      <c r="X914" s="386"/>
      <c r="Y914" s="386"/>
      <c r="Z914" s="386"/>
      <c r="AA914" s="386"/>
      <c r="AB914" s="386"/>
      <c r="AC914" s="386"/>
    </row>
    <row r="915">
      <c r="H915" s="386"/>
      <c r="I915" s="386"/>
      <c r="J915" s="386"/>
      <c r="K915" s="386"/>
      <c r="L915" s="386"/>
      <c r="M915" s="386"/>
      <c r="N915" s="386"/>
      <c r="O915" s="386"/>
      <c r="P915" s="386"/>
      <c r="Q915" s="386"/>
      <c r="R915" s="386"/>
      <c r="S915" s="386"/>
      <c r="T915" s="386"/>
      <c r="U915" s="386"/>
      <c r="V915" s="386"/>
      <c r="W915" s="386"/>
      <c r="X915" s="386"/>
      <c r="Y915" s="386"/>
      <c r="Z915" s="386"/>
      <c r="AA915" s="386"/>
      <c r="AB915" s="386"/>
      <c r="AC915" s="386"/>
    </row>
    <row r="916">
      <c r="H916" s="386"/>
      <c r="I916" s="386"/>
      <c r="J916" s="386"/>
      <c r="K916" s="386"/>
      <c r="L916" s="386"/>
      <c r="M916" s="386"/>
      <c r="N916" s="386"/>
      <c r="O916" s="386"/>
      <c r="P916" s="386"/>
      <c r="Q916" s="386"/>
      <c r="R916" s="386"/>
      <c r="S916" s="386"/>
      <c r="T916" s="386"/>
      <c r="U916" s="386"/>
      <c r="V916" s="386"/>
      <c r="W916" s="386"/>
      <c r="X916" s="386"/>
      <c r="Y916" s="386"/>
      <c r="Z916" s="386"/>
      <c r="AA916" s="386"/>
      <c r="AB916" s="386"/>
      <c r="AC916" s="386"/>
    </row>
    <row r="917">
      <c r="H917" s="386"/>
      <c r="I917" s="386"/>
      <c r="J917" s="386"/>
      <c r="K917" s="386"/>
      <c r="L917" s="386"/>
      <c r="M917" s="386"/>
      <c r="N917" s="386"/>
      <c r="O917" s="386"/>
      <c r="P917" s="386"/>
      <c r="Q917" s="386"/>
      <c r="R917" s="386"/>
      <c r="S917" s="386"/>
      <c r="T917" s="386"/>
      <c r="U917" s="386"/>
      <c r="V917" s="386"/>
      <c r="W917" s="386"/>
      <c r="X917" s="386"/>
      <c r="Y917" s="386"/>
      <c r="Z917" s="386"/>
      <c r="AA917" s="386"/>
      <c r="AB917" s="386"/>
      <c r="AC917" s="386"/>
    </row>
    <row r="918">
      <c r="H918" s="386"/>
      <c r="I918" s="386"/>
      <c r="J918" s="386"/>
      <c r="K918" s="386"/>
      <c r="L918" s="386"/>
      <c r="M918" s="386"/>
      <c r="N918" s="386"/>
      <c r="O918" s="386"/>
      <c r="P918" s="386"/>
      <c r="Q918" s="386"/>
      <c r="R918" s="386"/>
      <c r="S918" s="386"/>
      <c r="T918" s="386"/>
      <c r="U918" s="386"/>
      <c r="V918" s="386"/>
      <c r="W918" s="386"/>
      <c r="X918" s="386"/>
      <c r="Y918" s="386"/>
      <c r="Z918" s="386"/>
      <c r="AA918" s="386"/>
      <c r="AB918" s="386"/>
      <c r="AC918" s="386"/>
    </row>
    <row r="919">
      <c r="H919" s="386"/>
      <c r="I919" s="386"/>
      <c r="J919" s="386"/>
      <c r="K919" s="386"/>
      <c r="L919" s="386"/>
      <c r="M919" s="386"/>
      <c r="N919" s="386"/>
      <c r="O919" s="386"/>
      <c r="P919" s="386"/>
      <c r="Q919" s="386"/>
      <c r="R919" s="386"/>
      <c r="S919" s="386"/>
      <c r="T919" s="386"/>
      <c r="U919" s="386"/>
      <c r="V919" s="386"/>
      <c r="W919" s="386"/>
      <c r="X919" s="386"/>
      <c r="Y919" s="386"/>
      <c r="Z919" s="386"/>
      <c r="AA919" s="386"/>
      <c r="AB919" s="386"/>
      <c r="AC919" s="386"/>
    </row>
    <row r="920">
      <c r="H920" s="386"/>
      <c r="I920" s="386"/>
      <c r="J920" s="386"/>
      <c r="K920" s="386"/>
      <c r="L920" s="386"/>
      <c r="M920" s="386"/>
      <c r="N920" s="386"/>
      <c r="O920" s="386"/>
      <c r="P920" s="386"/>
      <c r="Q920" s="386"/>
      <c r="R920" s="386"/>
      <c r="S920" s="386"/>
      <c r="T920" s="386"/>
      <c r="U920" s="386"/>
      <c r="V920" s="386"/>
      <c r="W920" s="386"/>
      <c r="X920" s="386"/>
      <c r="Y920" s="386"/>
      <c r="Z920" s="386"/>
      <c r="AA920" s="386"/>
      <c r="AB920" s="386"/>
      <c r="AC920" s="386"/>
    </row>
    <row r="921">
      <c r="H921" s="386"/>
      <c r="I921" s="386"/>
      <c r="J921" s="386"/>
      <c r="K921" s="386"/>
      <c r="L921" s="386"/>
      <c r="M921" s="386"/>
      <c r="N921" s="386"/>
      <c r="O921" s="386"/>
      <c r="P921" s="386"/>
      <c r="Q921" s="386"/>
      <c r="R921" s="386"/>
      <c r="S921" s="386"/>
      <c r="T921" s="386"/>
      <c r="U921" s="386"/>
      <c r="V921" s="386"/>
      <c r="W921" s="386"/>
      <c r="X921" s="386"/>
      <c r="Y921" s="386"/>
      <c r="Z921" s="386"/>
      <c r="AA921" s="386"/>
      <c r="AB921" s="386"/>
      <c r="AC921" s="386"/>
    </row>
    <row r="922">
      <c r="H922" s="386"/>
      <c r="I922" s="386"/>
      <c r="J922" s="386"/>
      <c r="K922" s="386"/>
      <c r="L922" s="386"/>
      <c r="M922" s="386"/>
      <c r="N922" s="386"/>
      <c r="O922" s="386"/>
      <c r="P922" s="386"/>
      <c r="Q922" s="386"/>
      <c r="R922" s="386"/>
      <c r="S922" s="386"/>
      <c r="T922" s="386"/>
      <c r="U922" s="386"/>
      <c r="V922" s="386"/>
      <c r="W922" s="386"/>
      <c r="X922" s="386"/>
      <c r="Y922" s="386"/>
      <c r="Z922" s="386"/>
      <c r="AA922" s="386"/>
      <c r="AB922" s="386"/>
      <c r="AC922" s="386"/>
    </row>
    <row r="923">
      <c r="H923" s="386"/>
      <c r="I923" s="386"/>
      <c r="J923" s="386"/>
      <c r="K923" s="386"/>
      <c r="L923" s="386"/>
      <c r="M923" s="386"/>
      <c r="N923" s="386"/>
      <c r="O923" s="386"/>
      <c r="P923" s="386"/>
      <c r="Q923" s="386"/>
      <c r="R923" s="386"/>
      <c r="S923" s="386"/>
      <c r="T923" s="386"/>
      <c r="U923" s="386"/>
      <c r="V923" s="386"/>
      <c r="W923" s="386"/>
      <c r="X923" s="386"/>
      <c r="Y923" s="386"/>
      <c r="Z923" s="386"/>
      <c r="AA923" s="386"/>
      <c r="AB923" s="386"/>
      <c r="AC923" s="386"/>
    </row>
    <row r="924">
      <c r="H924" s="386"/>
      <c r="I924" s="386"/>
      <c r="J924" s="386"/>
      <c r="K924" s="386"/>
      <c r="L924" s="386"/>
      <c r="M924" s="386"/>
      <c r="N924" s="386"/>
      <c r="O924" s="386"/>
      <c r="P924" s="386"/>
      <c r="Q924" s="386"/>
      <c r="R924" s="386"/>
      <c r="S924" s="386"/>
      <c r="T924" s="386"/>
      <c r="U924" s="386"/>
      <c r="V924" s="386"/>
      <c r="W924" s="386"/>
      <c r="X924" s="386"/>
      <c r="Y924" s="386"/>
      <c r="Z924" s="386"/>
      <c r="AA924" s="386"/>
      <c r="AB924" s="386"/>
      <c r="AC924" s="386"/>
    </row>
    <row r="925">
      <c r="H925" s="386"/>
      <c r="I925" s="386"/>
      <c r="J925" s="386"/>
      <c r="K925" s="386"/>
      <c r="L925" s="386"/>
      <c r="M925" s="386"/>
      <c r="N925" s="386"/>
      <c r="O925" s="386"/>
      <c r="P925" s="386"/>
      <c r="Q925" s="386"/>
      <c r="R925" s="386"/>
      <c r="S925" s="386"/>
      <c r="T925" s="386"/>
      <c r="U925" s="386"/>
      <c r="V925" s="386"/>
      <c r="W925" s="386"/>
      <c r="X925" s="386"/>
      <c r="Y925" s="386"/>
      <c r="Z925" s="386"/>
      <c r="AA925" s="386"/>
      <c r="AB925" s="386"/>
      <c r="AC925" s="386"/>
    </row>
    <row r="926">
      <c r="H926" s="386"/>
      <c r="I926" s="386"/>
      <c r="J926" s="386"/>
      <c r="K926" s="386"/>
      <c r="L926" s="386"/>
      <c r="M926" s="386"/>
      <c r="N926" s="386"/>
      <c r="O926" s="386"/>
      <c r="P926" s="386"/>
      <c r="Q926" s="386"/>
      <c r="R926" s="386"/>
      <c r="S926" s="386"/>
      <c r="T926" s="386"/>
      <c r="U926" s="386"/>
      <c r="V926" s="386"/>
      <c r="W926" s="386"/>
      <c r="X926" s="386"/>
      <c r="Y926" s="386"/>
      <c r="Z926" s="386"/>
      <c r="AA926" s="386"/>
      <c r="AB926" s="386"/>
      <c r="AC926" s="386"/>
    </row>
    <row r="927">
      <c r="H927" s="386"/>
      <c r="I927" s="386"/>
      <c r="J927" s="386"/>
      <c r="K927" s="386"/>
      <c r="L927" s="386"/>
      <c r="M927" s="386"/>
      <c r="N927" s="386"/>
      <c r="O927" s="386"/>
      <c r="P927" s="386"/>
      <c r="Q927" s="386"/>
      <c r="R927" s="386"/>
      <c r="S927" s="386"/>
      <c r="T927" s="386"/>
      <c r="U927" s="386"/>
      <c r="V927" s="386"/>
      <c r="W927" s="386"/>
      <c r="X927" s="386"/>
      <c r="Y927" s="386"/>
      <c r="Z927" s="386"/>
      <c r="AA927" s="386"/>
      <c r="AB927" s="386"/>
      <c r="AC927" s="386"/>
    </row>
    <row r="928">
      <c r="H928" s="386"/>
      <c r="I928" s="386"/>
      <c r="J928" s="386"/>
      <c r="K928" s="386"/>
      <c r="L928" s="386"/>
      <c r="M928" s="386"/>
      <c r="N928" s="386"/>
      <c r="O928" s="386"/>
      <c r="P928" s="386"/>
      <c r="Q928" s="386"/>
      <c r="R928" s="386"/>
      <c r="S928" s="386"/>
      <c r="T928" s="386"/>
      <c r="U928" s="386"/>
      <c r="V928" s="386"/>
      <c r="W928" s="386"/>
      <c r="X928" s="386"/>
      <c r="Y928" s="386"/>
      <c r="Z928" s="386"/>
      <c r="AA928" s="386"/>
      <c r="AB928" s="386"/>
      <c r="AC928" s="386"/>
    </row>
    <row r="929">
      <c r="H929" s="386"/>
      <c r="I929" s="386"/>
      <c r="J929" s="386"/>
      <c r="K929" s="386"/>
      <c r="L929" s="386"/>
      <c r="M929" s="386"/>
      <c r="N929" s="386"/>
      <c r="O929" s="386"/>
      <c r="P929" s="386"/>
      <c r="Q929" s="386"/>
      <c r="R929" s="386"/>
      <c r="S929" s="386"/>
      <c r="T929" s="386"/>
      <c r="U929" s="386"/>
      <c r="V929" s="386"/>
      <c r="W929" s="386"/>
      <c r="X929" s="386"/>
      <c r="Y929" s="386"/>
      <c r="Z929" s="386"/>
      <c r="AA929" s="386"/>
      <c r="AB929" s="386"/>
      <c r="AC929" s="386"/>
    </row>
    <row r="930">
      <c r="H930" s="386"/>
      <c r="I930" s="386"/>
      <c r="J930" s="386"/>
      <c r="K930" s="386"/>
      <c r="L930" s="386"/>
      <c r="M930" s="386"/>
      <c r="N930" s="386"/>
      <c r="O930" s="386"/>
      <c r="P930" s="386"/>
      <c r="Q930" s="386"/>
      <c r="R930" s="386"/>
      <c r="S930" s="386"/>
      <c r="T930" s="386"/>
      <c r="U930" s="386"/>
      <c r="V930" s="386"/>
      <c r="W930" s="386"/>
      <c r="X930" s="386"/>
      <c r="Y930" s="386"/>
      <c r="Z930" s="386"/>
      <c r="AA930" s="386"/>
      <c r="AB930" s="386"/>
      <c r="AC930" s="386"/>
    </row>
    <row r="931">
      <c r="H931" s="386"/>
      <c r="I931" s="386"/>
      <c r="J931" s="386"/>
      <c r="K931" s="386"/>
      <c r="L931" s="386"/>
      <c r="M931" s="386"/>
      <c r="N931" s="386"/>
      <c r="O931" s="386"/>
      <c r="P931" s="386"/>
      <c r="Q931" s="386"/>
      <c r="R931" s="386"/>
      <c r="S931" s="386"/>
      <c r="T931" s="386"/>
      <c r="U931" s="386"/>
      <c r="V931" s="386"/>
      <c r="W931" s="386"/>
      <c r="X931" s="386"/>
      <c r="Y931" s="386"/>
      <c r="Z931" s="386"/>
      <c r="AA931" s="386"/>
      <c r="AB931" s="386"/>
      <c r="AC931" s="386"/>
    </row>
    <row r="932">
      <c r="H932" s="386"/>
      <c r="I932" s="386"/>
      <c r="J932" s="386"/>
      <c r="K932" s="386"/>
      <c r="L932" s="386"/>
      <c r="M932" s="386"/>
      <c r="N932" s="386"/>
      <c r="O932" s="386"/>
      <c r="P932" s="386"/>
      <c r="Q932" s="386"/>
      <c r="R932" s="386"/>
      <c r="S932" s="386"/>
      <c r="T932" s="386"/>
      <c r="U932" s="386"/>
      <c r="V932" s="386"/>
      <c r="W932" s="386"/>
      <c r="X932" s="386"/>
      <c r="Y932" s="386"/>
      <c r="Z932" s="386"/>
      <c r="AA932" s="386"/>
      <c r="AB932" s="386"/>
      <c r="AC932" s="386"/>
    </row>
    <row r="933">
      <c r="H933" s="386"/>
      <c r="I933" s="386"/>
      <c r="J933" s="386"/>
      <c r="K933" s="386"/>
      <c r="L933" s="386"/>
      <c r="M933" s="386"/>
      <c r="N933" s="386"/>
      <c r="O933" s="386"/>
      <c r="P933" s="386"/>
      <c r="Q933" s="386"/>
      <c r="R933" s="386"/>
      <c r="S933" s="386"/>
      <c r="T933" s="386"/>
      <c r="U933" s="386"/>
      <c r="V933" s="386"/>
      <c r="W933" s="386"/>
      <c r="X933" s="386"/>
      <c r="Y933" s="386"/>
      <c r="Z933" s="386"/>
      <c r="AA933" s="386"/>
      <c r="AB933" s="386"/>
      <c r="AC933" s="386"/>
    </row>
    <row r="934">
      <c r="H934" s="386"/>
      <c r="I934" s="386"/>
      <c r="J934" s="386"/>
      <c r="K934" s="386"/>
      <c r="L934" s="386"/>
      <c r="M934" s="386"/>
      <c r="N934" s="386"/>
      <c r="O934" s="386"/>
      <c r="P934" s="386"/>
      <c r="Q934" s="386"/>
      <c r="R934" s="386"/>
      <c r="S934" s="386"/>
      <c r="T934" s="386"/>
      <c r="U934" s="386"/>
      <c r="V934" s="386"/>
      <c r="W934" s="386"/>
      <c r="X934" s="386"/>
      <c r="Y934" s="386"/>
      <c r="Z934" s="386"/>
      <c r="AA934" s="386"/>
      <c r="AB934" s="386"/>
      <c r="AC934" s="386"/>
    </row>
    <row r="935">
      <c r="H935" s="386"/>
      <c r="I935" s="386"/>
      <c r="J935" s="386"/>
      <c r="K935" s="386"/>
      <c r="L935" s="386"/>
      <c r="M935" s="386"/>
      <c r="N935" s="386"/>
      <c r="O935" s="386"/>
      <c r="P935" s="386"/>
      <c r="Q935" s="386"/>
      <c r="R935" s="386"/>
      <c r="S935" s="386"/>
      <c r="T935" s="386"/>
      <c r="U935" s="386"/>
      <c r="V935" s="386"/>
      <c r="W935" s="386"/>
      <c r="X935" s="386"/>
      <c r="Y935" s="386"/>
      <c r="Z935" s="386"/>
      <c r="AA935" s="386"/>
      <c r="AB935" s="386"/>
      <c r="AC935" s="386"/>
    </row>
    <row r="936">
      <c r="H936" s="386"/>
      <c r="I936" s="386"/>
      <c r="J936" s="386"/>
      <c r="K936" s="386"/>
      <c r="L936" s="386"/>
      <c r="M936" s="386"/>
      <c r="N936" s="386"/>
      <c r="O936" s="386"/>
      <c r="P936" s="386"/>
      <c r="Q936" s="386"/>
      <c r="R936" s="386"/>
      <c r="S936" s="386"/>
      <c r="T936" s="386"/>
      <c r="U936" s="386"/>
      <c r="V936" s="386"/>
      <c r="W936" s="386"/>
      <c r="X936" s="386"/>
      <c r="Y936" s="386"/>
      <c r="Z936" s="386"/>
      <c r="AA936" s="386"/>
      <c r="AB936" s="386"/>
      <c r="AC936" s="386"/>
    </row>
    <row r="937">
      <c r="H937" s="386"/>
      <c r="I937" s="386"/>
      <c r="J937" s="386"/>
      <c r="K937" s="386"/>
      <c r="L937" s="386"/>
      <c r="M937" s="386"/>
      <c r="N937" s="386"/>
      <c r="O937" s="386"/>
      <c r="P937" s="386"/>
      <c r="Q937" s="386"/>
      <c r="R937" s="386"/>
      <c r="S937" s="386"/>
      <c r="T937" s="386"/>
      <c r="U937" s="386"/>
      <c r="V937" s="386"/>
      <c r="W937" s="386"/>
      <c r="X937" s="386"/>
      <c r="Y937" s="386"/>
      <c r="Z937" s="386"/>
      <c r="AA937" s="386"/>
      <c r="AB937" s="386"/>
      <c r="AC937" s="386"/>
    </row>
    <row r="938">
      <c r="H938" s="386"/>
      <c r="I938" s="386"/>
      <c r="J938" s="386"/>
      <c r="K938" s="386"/>
      <c r="L938" s="386"/>
      <c r="M938" s="386"/>
      <c r="N938" s="386"/>
      <c r="O938" s="386"/>
      <c r="P938" s="386"/>
      <c r="Q938" s="386"/>
      <c r="R938" s="386"/>
      <c r="S938" s="386"/>
      <c r="T938" s="386"/>
      <c r="U938" s="386"/>
      <c r="V938" s="386"/>
      <c r="W938" s="386"/>
      <c r="X938" s="386"/>
      <c r="Y938" s="386"/>
      <c r="Z938" s="386"/>
      <c r="AA938" s="386"/>
      <c r="AB938" s="386"/>
      <c r="AC938" s="386"/>
    </row>
    <row r="939">
      <c r="H939" s="386"/>
      <c r="I939" s="386"/>
      <c r="J939" s="386"/>
      <c r="K939" s="386"/>
      <c r="L939" s="386"/>
      <c r="M939" s="386"/>
      <c r="N939" s="386"/>
      <c r="O939" s="386"/>
      <c r="P939" s="386"/>
      <c r="Q939" s="386"/>
      <c r="R939" s="386"/>
      <c r="S939" s="386"/>
      <c r="T939" s="386"/>
      <c r="U939" s="386"/>
      <c r="V939" s="386"/>
      <c r="W939" s="386"/>
      <c r="X939" s="386"/>
      <c r="Y939" s="386"/>
      <c r="Z939" s="386"/>
      <c r="AA939" s="386"/>
      <c r="AB939" s="386"/>
      <c r="AC939" s="386"/>
    </row>
    <row r="940">
      <c r="H940" s="386"/>
      <c r="I940" s="386"/>
      <c r="J940" s="386"/>
      <c r="K940" s="386"/>
      <c r="L940" s="386"/>
      <c r="M940" s="386"/>
      <c r="N940" s="386"/>
      <c r="O940" s="386"/>
      <c r="P940" s="386"/>
      <c r="Q940" s="386"/>
      <c r="R940" s="386"/>
      <c r="S940" s="386"/>
      <c r="T940" s="386"/>
      <c r="U940" s="386"/>
      <c r="V940" s="386"/>
      <c r="W940" s="386"/>
      <c r="X940" s="386"/>
      <c r="Y940" s="386"/>
      <c r="Z940" s="386"/>
      <c r="AA940" s="386"/>
      <c r="AB940" s="386"/>
      <c r="AC940" s="386"/>
    </row>
    <row r="941">
      <c r="H941" s="386"/>
      <c r="I941" s="386"/>
      <c r="J941" s="386"/>
      <c r="K941" s="386"/>
      <c r="L941" s="386"/>
      <c r="M941" s="386"/>
      <c r="N941" s="386"/>
      <c r="O941" s="386"/>
      <c r="P941" s="386"/>
      <c r="Q941" s="386"/>
      <c r="R941" s="386"/>
      <c r="S941" s="386"/>
      <c r="T941" s="386"/>
      <c r="U941" s="386"/>
      <c r="V941" s="386"/>
      <c r="W941" s="386"/>
      <c r="X941" s="386"/>
      <c r="Y941" s="386"/>
      <c r="Z941" s="386"/>
      <c r="AA941" s="386"/>
      <c r="AB941" s="386"/>
      <c r="AC941" s="386"/>
    </row>
    <row r="942">
      <c r="H942" s="386"/>
      <c r="I942" s="386"/>
      <c r="J942" s="386"/>
      <c r="K942" s="386"/>
      <c r="L942" s="386"/>
      <c r="M942" s="386"/>
      <c r="N942" s="386"/>
      <c r="O942" s="386"/>
      <c r="P942" s="386"/>
      <c r="Q942" s="386"/>
      <c r="R942" s="386"/>
      <c r="S942" s="386"/>
      <c r="T942" s="386"/>
      <c r="U942" s="386"/>
      <c r="V942" s="386"/>
      <c r="W942" s="386"/>
      <c r="X942" s="386"/>
      <c r="Y942" s="386"/>
      <c r="Z942" s="386"/>
      <c r="AA942" s="386"/>
      <c r="AB942" s="386"/>
      <c r="AC942" s="386"/>
    </row>
    <row r="943">
      <c r="H943" s="386"/>
      <c r="I943" s="386"/>
      <c r="J943" s="386"/>
      <c r="K943" s="386"/>
      <c r="L943" s="386"/>
      <c r="M943" s="386"/>
      <c r="N943" s="386"/>
      <c r="O943" s="386"/>
      <c r="P943" s="386"/>
      <c r="Q943" s="386"/>
      <c r="R943" s="386"/>
      <c r="S943" s="386"/>
      <c r="T943" s="386"/>
      <c r="U943" s="386"/>
      <c r="V943" s="386"/>
      <c r="W943" s="386"/>
      <c r="X943" s="386"/>
      <c r="Y943" s="386"/>
      <c r="Z943" s="386"/>
      <c r="AA943" s="386"/>
      <c r="AB943" s="386"/>
      <c r="AC943" s="386"/>
    </row>
    <row r="944">
      <c r="H944" s="386"/>
      <c r="I944" s="386"/>
      <c r="J944" s="386"/>
      <c r="K944" s="386"/>
      <c r="L944" s="386"/>
      <c r="M944" s="386"/>
      <c r="N944" s="386"/>
      <c r="O944" s="386"/>
      <c r="P944" s="386"/>
      <c r="Q944" s="386"/>
      <c r="R944" s="386"/>
      <c r="S944" s="386"/>
      <c r="T944" s="386"/>
      <c r="U944" s="386"/>
      <c r="V944" s="386"/>
      <c r="W944" s="386"/>
      <c r="X944" s="386"/>
      <c r="Y944" s="386"/>
      <c r="Z944" s="386"/>
      <c r="AA944" s="386"/>
      <c r="AB944" s="386"/>
      <c r="AC944" s="386"/>
    </row>
    <row r="945">
      <c r="H945" s="386"/>
      <c r="I945" s="386"/>
      <c r="J945" s="386"/>
      <c r="K945" s="386"/>
      <c r="L945" s="386"/>
      <c r="M945" s="386"/>
      <c r="N945" s="386"/>
      <c r="O945" s="386"/>
      <c r="P945" s="386"/>
      <c r="Q945" s="386"/>
      <c r="R945" s="386"/>
      <c r="S945" s="386"/>
      <c r="T945" s="386"/>
      <c r="U945" s="386"/>
      <c r="V945" s="386"/>
      <c r="W945" s="386"/>
      <c r="X945" s="386"/>
      <c r="Y945" s="386"/>
      <c r="Z945" s="386"/>
      <c r="AA945" s="386"/>
      <c r="AB945" s="386"/>
      <c r="AC945" s="386"/>
    </row>
    <row r="946">
      <c r="H946" s="386"/>
      <c r="I946" s="386"/>
      <c r="J946" s="386"/>
      <c r="K946" s="386"/>
      <c r="L946" s="386"/>
      <c r="M946" s="386"/>
      <c r="N946" s="386"/>
      <c r="O946" s="386"/>
      <c r="P946" s="386"/>
      <c r="Q946" s="386"/>
      <c r="R946" s="386"/>
      <c r="S946" s="386"/>
      <c r="T946" s="386"/>
      <c r="U946" s="386"/>
      <c r="V946" s="386"/>
      <c r="W946" s="386"/>
      <c r="X946" s="386"/>
      <c r="Y946" s="386"/>
      <c r="Z946" s="386"/>
      <c r="AA946" s="386"/>
      <c r="AB946" s="386"/>
      <c r="AC946" s="386"/>
    </row>
    <row r="947">
      <c r="H947" s="386"/>
      <c r="I947" s="386"/>
      <c r="J947" s="386"/>
      <c r="K947" s="386"/>
      <c r="L947" s="386"/>
      <c r="M947" s="386"/>
      <c r="N947" s="386"/>
      <c r="O947" s="386"/>
      <c r="P947" s="386"/>
      <c r="Q947" s="386"/>
      <c r="R947" s="386"/>
      <c r="S947" s="386"/>
      <c r="T947" s="386"/>
      <c r="U947" s="386"/>
      <c r="V947" s="386"/>
      <c r="W947" s="386"/>
      <c r="X947" s="386"/>
      <c r="Y947" s="386"/>
      <c r="Z947" s="386"/>
      <c r="AA947" s="386"/>
      <c r="AB947" s="386"/>
      <c r="AC947" s="386"/>
    </row>
    <row r="948">
      <c r="H948" s="386"/>
      <c r="I948" s="386"/>
      <c r="J948" s="386"/>
      <c r="K948" s="386"/>
      <c r="L948" s="386"/>
      <c r="M948" s="386"/>
      <c r="N948" s="386"/>
      <c r="O948" s="386"/>
      <c r="P948" s="386"/>
      <c r="Q948" s="386"/>
      <c r="R948" s="386"/>
      <c r="S948" s="386"/>
      <c r="T948" s="386"/>
      <c r="U948" s="386"/>
      <c r="V948" s="386"/>
      <c r="W948" s="386"/>
      <c r="X948" s="386"/>
      <c r="Y948" s="386"/>
      <c r="Z948" s="386"/>
      <c r="AA948" s="386"/>
      <c r="AB948" s="386"/>
      <c r="AC948" s="386"/>
    </row>
    <row r="949">
      <c r="H949" s="386"/>
      <c r="I949" s="386"/>
      <c r="J949" s="386"/>
      <c r="K949" s="386"/>
      <c r="L949" s="386"/>
      <c r="M949" s="386"/>
      <c r="N949" s="386"/>
      <c r="O949" s="386"/>
      <c r="P949" s="386"/>
      <c r="Q949" s="386"/>
      <c r="R949" s="386"/>
      <c r="S949" s="386"/>
      <c r="T949" s="386"/>
      <c r="U949" s="386"/>
      <c r="V949" s="386"/>
      <c r="W949" s="386"/>
      <c r="X949" s="386"/>
      <c r="Y949" s="386"/>
      <c r="Z949" s="386"/>
      <c r="AA949" s="386"/>
      <c r="AB949" s="386"/>
      <c r="AC949" s="386"/>
    </row>
    <row r="950">
      <c r="H950" s="386"/>
      <c r="I950" s="386"/>
      <c r="J950" s="386"/>
      <c r="K950" s="386"/>
      <c r="L950" s="386"/>
      <c r="M950" s="386"/>
      <c r="N950" s="386"/>
      <c r="O950" s="386"/>
      <c r="P950" s="386"/>
      <c r="Q950" s="386"/>
      <c r="R950" s="386"/>
      <c r="S950" s="386"/>
      <c r="T950" s="386"/>
      <c r="U950" s="386"/>
      <c r="V950" s="386"/>
      <c r="W950" s="386"/>
      <c r="X950" s="386"/>
      <c r="Y950" s="386"/>
      <c r="Z950" s="386"/>
      <c r="AA950" s="386"/>
      <c r="AB950" s="386"/>
      <c r="AC950" s="386"/>
    </row>
    <row r="951">
      <c r="H951" s="386"/>
      <c r="I951" s="386"/>
      <c r="J951" s="386"/>
      <c r="K951" s="386"/>
      <c r="L951" s="386"/>
      <c r="M951" s="386"/>
      <c r="N951" s="386"/>
      <c r="O951" s="386"/>
      <c r="P951" s="386"/>
      <c r="Q951" s="386"/>
      <c r="R951" s="386"/>
      <c r="S951" s="386"/>
      <c r="T951" s="386"/>
      <c r="U951" s="386"/>
      <c r="V951" s="386"/>
      <c r="W951" s="386"/>
      <c r="X951" s="386"/>
      <c r="Y951" s="386"/>
      <c r="Z951" s="386"/>
      <c r="AA951" s="386"/>
      <c r="AB951" s="386"/>
      <c r="AC951" s="386"/>
    </row>
    <row r="952">
      <c r="H952" s="386"/>
      <c r="I952" s="386"/>
      <c r="J952" s="386"/>
      <c r="K952" s="386"/>
      <c r="L952" s="386"/>
      <c r="M952" s="386"/>
      <c r="N952" s="386"/>
      <c r="O952" s="386"/>
      <c r="P952" s="386"/>
      <c r="Q952" s="386"/>
      <c r="R952" s="386"/>
      <c r="S952" s="386"/>
      <c r="T952" s="386"/>
      <c r="U952" s="386"/>
      <c r="V952" s="386"/>
      <c r="W952" s="386"/>
      <c r="X952" s="386"/>
      <c r="Y952" s="386"/>
      <c r="Z952" s="386"/>
      <c r="AA952" s="386"/>
      <c r="AB952" s="386"/>
      <c r="AC952" s="386"/>
    </row>
    <row r="953">
      <c r="H953" s="386"/>
      <c r="I953" s="386"/>
      <c r="J953" s="386"/>
      <c r="K953" s="386"/>
      <c r="L953" s="386"/>
      <c r="M953" s="386"/>
      <c r="N953" s="386"/>
      <c r="O953" s="386"/>
      <c r="P953" s="386"/>
      <c r="Q953" s="386"/>
      <c r="R953" s="386"/>
      <c r="S953" s="386"/>
      <c r="T953" s="386"/>
      <c r="U953" s="386"/>
      <c r="V953" s="386"/>
      <c r="W953" s="386"/>
      <c r="X953" s="386"/>
      <c r="Y953" s="386"/>
      <c r="Z953" s="386"/>
      <c r="AA953" s="386"/>
      <c r="AB953" s="386"/>
      <c r="AC953" s="386"/>
    </row>
    <row r="954">
      <c r="H954" s="386"/>
      <c r="I954" s="386"/>
      <c r="J954" s="386"/>
      <c r="K954" s="386"/>
      <c r="L954" s="386"/>
      <c r="M954" s="386"/>
      <c r="N954" s="386"/>
      <c r="O954" s="386"/>
      <c r="P954" s="386"/>
      <c r="Q954" s="386"/>
      <c r="R954" s="386"/>
      <c r="S954" s="386"/>
      <c r="T954" s="386"/>
      <c r="U954" s="386"/>
      <c r="V954" s="386"/>
      <c r="W954" s="386"/>
      <c r="X954" s="386"/>
      <c r="Y954" s="386"/>
      <c r="Z954" s="386"/>
      <c r="AA954" s="386"/>
      <c r="AB954" s="386"/>
      <c r="AC954" s="386"/>
    </row>
    <row r="955">
      <c r="H955" s="386"/>
      <c r="I955" s="386"/>
      <c r="J955" s="386"/>
      <c r="K955" s="386"/>
      <c r="L955" s="386"/>
      <c r="M955" s="386"/>
      <c r="N955" s="386"/>
      <c r="O955" s="386"/>
      <c r="P955" s="386"/>
      <c r="Q955" s="386"/>
      <c r="R955" s="386"/>
      <c r="S955" s="386"/>
      <c r="T955" s="386"/>
      <c r="U955" s="386"/>
      <c r="V955" s="386"/>
      <c r="W955" s="386"/>
      <c r="X955" s="386"/>
      <c r="Y955" s="386"/>
      <c r="Z955" s="386"/>
      <c r="AA955" s="386"/>
      <c r="AB955" s="386"/>
      <c r="AC955" s="386"/>
    </row>
    <row r="956">
      <c r="H956" s="386"/>
      <c r="I956" s="386"/>
      <c r="J956" s="386"/>
      <c r="K956" s="386"/>
      <c r="L956" s="386"/>
      <c r="M956" s="386"/>
      <c r="N956" s="386"/>
      <c r="O956" s="386"/>
      <c r="P956" s="386"/>
      <c r="Q956" s="386"/>
      <c r="R956" s="386"/>
      <c r="S956" s="386"/>
      <c r="T956" s="386"/>
      <c r="U956" s="386"/>
      <c r="V956" s="386"/>
      <c r="W956" s="386"/>
      <c r="X956" s="386"/>
      <c r="Y956" s="386"/>
      <c r="Z956" s="386"/>
      <c r="AA956" s="386"/>
      <c r="AB956" s="386"/>
      <c r="AC956" s="386"/>
    </row>
    <row r="957">
      <c r="H957" s="386"/>
      <c r="I957" s="386"/>
      <c r="J957" s="386"/>
      <c r="K957" s="386"/>
      <c r="L957" s="386"/>
      <c r="M957" s="386"/>
      <c r="N957" s="386"/>
      <c r="O957" s="386"/>
      <c r="P957" s="386"/>
      <c r="Q957" s="386"/>
      <c r="R957" s="386"/>
      <c r="S957" s="386"/>
      <c r="T957" s="386"/>
      <c r="U957" s="386"/>
      <c r="V957" s="386"/>
      <c r="W957" s="386"/>
      <c r="X957" s="386"/>
      <c r="Y957" s="386"/>
      <c r="Z957" s="386"/>
      <c r="AA957" s="386"/>
      <c r="AB957" s="386"/>
      <c r="AC957" s="386"/>
    </row>
    <row r="958">
      <c r="H958" s="386"/>
      <c r="I958" s="386"/>
      <c r="J958" s="386"/>
      <c r="K958" s="386"/>
      <c r="L958" s="386"/>
      <c r="M958" s="386"/>
      <c r="N958" s="386"/>
      <c r="O958" s="386"/>
      <c r="P958" s="386"/>
      <c r="Q958" s="386"/>
      <c r="R958" s="386"/>
      <c r="S958" s="386"/>
      <c r="T958" s="386"/>
      <c r="U958" s="386"/>
      <c r="V958" s="386"/>
      <c r="W958" s="386"/>
      <c r="X958" s="386"/>
      <c r="Y958" s="386"/>
      <c r="Z958" s="386"/>
      <c r="AA958" s="386"/>
      <c r="AB958" s="386"/>
      <c r="AC958" s="386"/>
    </row>
    <row r="959">
      <c r="H959" s="386"/>
      <c r="I959" s="386"/>
      <c r="J959" s="386"/>
      <c r="K959" s="386"/>
      <c r="L959" s="386"/>
      <c r="M959" s="386"/>
      <c r="N959" s="386"/>
      <c r="O959" s="386"/>
      <c r="P959" s="386"/>
      <c r="Q959" s="386"/>
      <c r="R959" s="386"/>
      <c r="S959" s="386"/>
      <c r="T959" s="386"/>
      <c r="U959" s="386"/>
      <c r="V959" s="386"/>
      <c r="W959" s="386"/>
      <c r="X959" s="386"/>
      <c r="Y959" s="386"/>
      <c r="Z959" s="386"/>
      <c r="AA959" s="386"/>
      <c r="AB959" s="386"/>
      <c r="AC959" s="386"/>
    </row>
    <row r="960">
      <c r="H960" s="386"/>
      <c r="I960" s="386"/>
      <c r="J960" s="386"/>
      <c r="K960" s="386"/>
      <c r="L960" s="386"/>
      <c r="M960" s="386"/>
      <c r="N960" s="386"/>
      <c r="O960" s="386"/>
      <c r="P960" s="386"/>
      <c r="Q960" s="386"/>
      <c r="R960" s="386"/>
      <c r="S960" s="386"/>
      <c r="T960" s="386"/>
      <c r="U960" s="386"/>
      <c r="V960" s="386"/>
      <c r="W960" s="386"/>
      <c r="X960" s="386"/>
      <c r="Y960" s="386"/>
      <c r="Z960" s="386"/>
      <c r="AA960" s="386"/>
      <c r="AB960" s="386"/>
      <c r="AC960" s="386"/>
    </row>
    <row r="961">
      <c r="H961" s="386"/>
      <c r="I961" s="386"/>
      <c r="J961" s="386"/>
      <c r="K961" s="386"/>
      <c r="L961" s="386"/>
      <c r="M961" s="386"/>
      <c r="N961" s="386"/>
      <c r="O961" s="386"/>
      <c r="P961" s="386"/>
      <c r="Q961" s="386"/>
      <c r="R961" s="386"/>
      <c r="S961" s="386"/>
      <c r="T961" s="386"/>
      <c r="U961" s="386"/>
      <c r="V961" s="386"/>
      <c r="W961" s="386"/>
      <c r="X961" s="386"/>
      <c r="Y961" s="386"/>
      <c r="Z961" s="386"/>
      <c r="AA961" s="386"/>
      <c r="AB961" s="386"/>
      <c r="AC961" s="386"/>
    </row>
    <row r="962">
      <c r="H962" s="386"/>
      <c r="I962" s="386"/>
      <c r="J962" s="386"/>
      <c r="K962" s="386"/>
      <c r="L962" s="386"/>
      <c r="M962" s="386"/>
      <c r="N962" s="386"/>
      <c r="O962" s="386"/>
      <c r="P962" s="386"/>
      <c r="Q962" s="386"/>
      <c r="R962" s="386"/>
      <c r="S962" s="386"/>
      <c r="T962" s="386"/>
      <c r="U962" s="386"/>
      <c r="V962" s="386"/>
      <c r="W962" s="386"/>
      <c r="X962" s="386"/>
      <c r="Y962" s="386"/>
      <c r="Z962" s="386"/>
      <c r="AA962" s="386"/>
      <c r="AB962" s="386"/>
      <c r="AC962" s="386"/>
    </row>
    <row r="963">
      <c r="H963" s="386"/>
      <c r="I963" s="386"/>
      <c r="J963" s="386"/>
      <c r="K963" s="386"/>
      <c r="L963" s="386"/>
      <c r="M963" s="386"/>
      <c r="N963" s="386"/>
      <c r="O963" s="386"/>
      <c r="P963" s="386"/>
      <c r="Q963" s="386"/>
      <c r="R963" s="386"/>
      <c r="S963" s="386"/>
      <c r="T963" s="386"/>
      <c r="U963" s="386"/>
      <c r="V963" s="386"/>
      <c r="W963" s="386"/>
      <c r="X963" s="386"/>
      <c r="Y963" s="386"/>
      <c r="Z963" s="386"/>
      <c r="AA963" s="386"/>
      <c r="AB963" s="386"/>
      <c r="AC963" s="386"/>
    </row>
    <row r="964">
      <c r="H964" s="386"/>
      <c r="I964" s="386"/>
      <c r="J964" s="386"/>
      <c r="K964" s="386"/>
      <c r="L964" s="386"/>
      <c r="M964" s="386"/>
      <c r="N964" s="386"/>
      <c r="O964" s="386"/>
      <c r="P964" s="386"/>
      <c r="Q964" s="386"/>
      <c r="R964" s="386"/>
      <c r="S964" s="386"/>
      <c r="T964" s="386"/>
      <c r="U964" s="386"/>
      <c r="V964" s="386"/>
      <c r="W964" s="386"/>
      <c r="X964" s="386"/>
      <c r="Y964" s="386"/>
      <c r="Z964" s="386"/>
      <c r="AA964" s="386"/>
      <c r="AB964" s="386"/>
      <c r="AC964" s="386"/>
    </row>
    <row r="965">
      <c r="H965" s="386"/>
      <c r="I965" s="386"/>
      <c r="J965" s="386"/>
      <c r="K965" s="386"/>
      <c r="L965" s="386"/>
      <c r="M965" s="386"/>
      <c r="N965" s="386"/>
      <c r="O965" s="386"/>
      <c r="P965" s="386"/>
      <c r="Q965" s="386"/>
      <c r="R965" s="386"/>
      <c r="S965" s="386"/>
      <c r="T965" s="386"/>
      <c r="U965" s="386"/>
      <c r="V965" s="386"/>
      <c r="W965" s="386"/>
      <c r="X965" s="386"/>
      <c r="Y965" s="386"/>
      <c r="Z965" s="386"/>
      <c r="AA965" s="386"/>
      <c r="AB965" s="386"/>
      <c r="AC965" s="386"/>
    </row>
    <row r="966">
      <c r="H966" s="386"/>
      <c r="I966" s="386"/>
      <c r="J966" s="386"/>
      <c r="K966" s="386"/>
      <c r="L966" s="386"/>
      <c r="M966" s="386"/>
      <c r="N966" s="386"/>
      <c r="O966" s="386"/>
      <c r="P966" s="386"/>
      <c r="Q966" s="386"/>
      <c r="R966" s="386"/>
      <c r="S966" s="386"/>
      <c r="T966" s="386"/>
      <c r="U966" s="386"/>
      <c r="V966" s="386"/>
      <c r="W966" s="386"/>
      <c r="X966" s="386"/>
      <c r="Y966" s="386"/>
      <c r="Z966" s="386"/>
      <c r="AA966" s="386"/>
      <c r="AB966" s="386"/>
      <c r="AC966" s="386"/>
    </row>
    <row r="967">
      <c r="H967" s="386"/>
      <c r="I967" s="386"/>
      <c r="J967" s="386"/>
      <c r="K967" s="386"/>
      <c r="L967" s="386"/>
      <c r="M967" s="386"/>
      <c r="N967" s="386"/>
      <c r="O967" s="386"/>
      <c r="P967" s="386"/>
      <c r="Q967" s="386"/>
      <c r="R967" s="386"/>
      <c r="S967" s="386"/>
      <c r="T967" s="386"/>
      <c r="U967" s="386"/>
      <c r="V967" s="386"/>
      <c r="W967" s="386"/>
      <c r="X967" s="386"/>
      <c r="Y967" s="386"/>
      <c r="Z967" s="386"/>
      <c r="AA967" s="386"/>
      <c r="AB967" s="386"/>
      <c r="AC967" s="386"/>
    </row>
    <row r="968">
      <c r="H968" s="386"/>
      <c r="I968" s="386"/>
      <c r="J968" s="386"/>
      <c r="K968" s="386"/>
      <c r="L968" s="386"/>
      <c r="M968" s="386"/>
      <c r="N968" s="386"/>
      <c r="O968" s="386"/>
      <c r="P968" s="386"/>
      <c r="Q968" s="386"/>
      <c r="R968" s="386"/>
      <c r="S968" s="386"/>
      <c r="T968" s="386"/>
      <c r="U968" s="386"/>
      <c r="V968" s="386"/>
      <c r="W968" s="386"/>
      <c r="X968" s="386"/>
      <c r="Y968" s="386"/>
      <c r="Z968" s="386"/>
      <c r="AA968" s="386"/>
      <c r="AB968" s="386"/>
      <c r="AC968" s="386"/>
    </row>
    <row r="969">
      <c r="H969" s="386"/>
      <c r="I969" s="386"/>
      <c r="J969" s="386"/>
      <c r="K969" s="386"/>
      <c r="L969" s="386"/>
      <c r="M969" s="386"/>
      <c r="N969" s="386"/>
      <c r="O969" s="386"/>
      <c r="P969" s="386"/>
      <c r="Q969" s="386"/>
      <c r="R969" s="386"/>
      <c r="S969" s="386"/>
      <c r="T969" s="386"/>
      <c r="U969" s="386"/>
      <c r="V969" s="386"/>
      <c r="W969" s="386"/>
      <c r="X969" s="386"/>
      <c r="Y969" s="386"/>
      <c r="Z969" s="386"/>
      <c r="AA969" s="386"/>
      <c r="AB969" s="386"/>
      <c r="AC969" s="386"/>
    </row>
    <row r="970">
      <c r="H970" s="386"/>
      <c r="I970" s="386"/>
      <c r="J970" s="386"/>
      <c r="K970" s="386"/>
      <c r="L970" s="386"/>
      <c r="M970" s="386"/>
      <c r="N970" s="386"/>
      <c r="O970" s="386"/>
      <c r="P970" s="386"/>
      <c r="Q970" s="386"/>
      <c r="R970" s="386"/>
      <c r="S970" s="386"/>
      <c r="T970" s="386"/>
      <c r="U970" s="386"/>
      <c r="V970" s="386"/>
      <c r="W970" s="386"/>
      <c r="X970" s="386"/>
      <c r="Y970" s="386"/>
      <c r="Z970" s="386"/>
      <c r="AA970" s="386"/>
      <c r="AB970" s="386"/>
      <c r="AC970" s="386"/>
    </row>
    <row r="971">
      <c r="H971" s="386"/>
      <c r="I971" s="386"/>
      <c r="J971" s="386"/>
      <c r="K971" s="386"/>
      <c r="L971" s="386"/>
      <c r="M971" s="386"/>
      <c r="N971" s="386"/>
      <c r="O971" s="386"/>
      <c r="P971" s="386"/>
      <c r="Q971" s="386"/>
      <c r="R971" s="386"/>
      <c r="S971" s="386"/>
      <c r="T971" s="386"/>
      <c r="U971" s="386"/>
      <c r="V971" s="386"/>
      <c r="W971" s="386"/>
      <c r="X971" s="386"/>
      <c r="Y971" s="386"/>
      <c r="Z971" s="386"/>
      <c r="AA971" s="386"/>
      <c r="AB971" s="386"/>
      <c r="AC971" s="386"/>
    </row>
    <row r="972">
      <c r="H972" s="386"/>
      <c r="I972" s="386"/>
      <c r="J972" s="386"/>
      <c r="K972" s="386"/>
      <c r="L972" s="386"/>
      <c r="M972" s="386"/>
      <c r="N972" s="386"/>
      <c r="O972" s="386"/>
      <c r="P972" s="386"/>
      <c r="Q972" s="386"/>
      <c r="R972" s="386"/>
      <c r="S972" s="386"/>
      <c r="T972" s="386"/>
      <c r="U972" s="386"/>
      <c r="V972" s="386"/>
      <c r="W972" s="386"/>
      <c r="X972" s="386"/>
      <c r="Y972" s="386"/>
      <c r="Z972" s="386"/>
      <c r="AA972" s="386"/>
      <c r="AB972" s="386"/>
      <c r="AC972" s="386"/>
    </row>
    <row r="973">
      <c r="H973" s="386"/>
      <c r="I973" s="386"/>
      <c r="J973" s="386"/>
      <c r="K973" s="386"/>
      <c r="L973" s="386"/>
      <c r="M973" s="386"/>
      <c r="N973" s="386"/>
      <c r="O973" s="386"/>
      <c r="P973" s="386"/>
      <c r="Q973" s="386"/>
      <c r="R973" s="386"/>
      <c r="S973" s="386"/>
      <c r="T973" s="386"/>
      <c r="U973" s="386"/>
      <c r="V973" s="386"/>
      <c r="W973" s="386"/>
      <c r="X973" s="386"/>
      <c r="Y973" s="386"/>
      <c r="Z973" s="386"/>
      <c r="AA973" s="386"/>
      <c r="AB973" s="386"/>
      <c r="AC973" s="386"/>
    </row>
    <row r="974">
      <c r="H974" s="386"/>
      <c r="I974" s="386"/>
      <c r="J974" s="386"/>
      <c r="K974" s="386"/>
      <c r="L974" s="386"/>
      <c r="M974" s="386"/>
      <c r="N974" s="386"/>
      <c r="O974" s="386"/>
      <c r="P974" s="386"/>
      <c r="Q974" s="386"/>
      <c r="R974" s="386"/>
      <c r="S974" s="386"/>
      <c r="T974" s="386"/>
      <c r="U974" s="386"/>
      <c r="V974" s="386"/>
      <c r="W974" s="386"/>
      <c r="X974" s="386"/>
      <c r="Y974" s="386"/>
      <c r="Z974" s="386"/>
      <c r="AA974" s="386"/>
      <c r="AB974" s="386"/>
      <c r="AC974" s="386"/>
    </row>
    <row r="975">
      <c r="H975" s="386"/>
      <c r="I975" s="386"/>
      <c r="J975" s="386"/>
      <c r="K975" s="386"/>
      <c r="L975" s="386"/>
      <c r="M975" s="386"/>
      <c r="N975" s="386"/>
      <c r="O975" s="386"/>
      <c r="P975" s="386"/>
      <c r="Q975" s="386"/>
      <c r="R975" s="386"/>
      <c r="S975" s="386"/>
      <c r="T975" s="386"/>
      <c r="U975" s="386"/>
      <c r="V975" s="386"/>
      <c r="W975" s="386"/>
      <c r="X975" s="386"/>
      <c r="Y975" s="386"/>
      <c r="Z975" s="386"/>
      <c r="AA975" s="386"/>
      <c r="AB975" s="386"/>
      <c r="AC975" s="386"/>
    </row>
    <row r="976">
      <c r="H976" s="386"/>
      <c r="I976" s="386"/>
      <c r="J976" s="386"/>
      <c r="K976" s="386"/>
      <c r="L976" s="386"/>
      <c r="M976" s="386"/>
      <c r="N976" s="386"/>
      <c r="O976" s="386"/>
      <c r="P976" s="386"/>
      <c r="Q976" s="386"/>
      <c r="R976" s="386"/>
      <c r="S976" s="386"/>
      <c r="T976" s="386"/>
      <c r="U976" s="386"/>
      <c r="V976" s="386"/>
      <c r="W976" s="386"/>
      <c r="X976" s="386"/>
      <c r="Y976" s="386"/>
      <c r="Z976" s="386"/>
      <c r="AA976" s="386"/>
      <c r="AB976" s="386"/>
      <c r="AC976" s="386"/>
    </row>
    <row r="977">
      <c r="H977" s="386"/>
      <c r="I977" s="386"/>
      <c r="J977" s="386"/>
      <c r="K977" s="386"/>
      <c r="L977" s="386"/>
      <c r="M977" s="386"/>
      <c r="N977" s="386"/>
      <c r="O977" s="386"/>
      <c r="P977" s="386"/>
      <c r="Q977" s="386"/>
      <c r="R977" s="386"/>
      <c r="S977" s="386"/>
      <c r="T977" s="386"/>
      <c r="U977" s="386"/>
      <c r="V977" s="386"/>
      <c r="W977" s="386"/>
      <c r="X977" s="386"/>
      <c r="Y977" s="386"/>
      <c r="Z977" s="386"/>
      <c r="AA977" s="386"/>
      <c r="AB977" s="386"/>
      <c r="AC977" s="386"/>
    </row>
    <row r="978">
      <c r="H978" s="386"/>
      <c r="I978" s="386"/>
      <c r="J978" s="386"/>
      <c r="K978" s="386"/>
      <c r="L978" s="386"/>
      <c r="M978" s="386"/>
      <c r="N978" s="386"/>
      <c r="O978" s="386"/>
      <c r="P978" s="386"/>
      <c r="Q978" s="386"/>
      <c r="R978" s="386"/>
      <c r="S978" s="386"/>
      <c r="T978" s="386"/>
      <c r="U978" s="386"/>
      <c r="V978" s="386"/>
      <c r="W978" s="386"/>
      <c r="X978" s="386"/>
      <c r="Y978" s="386"/>
      <c r="Z978" s="386"/>
      <c r="AA978" s="386"/>
      <c r="AB978" s="386"/>
      <c r="AC978" s="386"/>
    </row>
    <row r="979">
      <c r="H979" s="386"/>
      <c r="I979" s="386"/>
      <c r="J979" s="386"/>
      <c r="K979" s="386"/>
      <c r="L979" s="386"/>
      <c r="M979" s="386"/>
      <c r="N979" s="386"/>
      <c r="O979" s="386"/>
      <c r="P979" s="386"/>
      <c r="Q979" s="386"/>
      <c r="R979" s="386"/>
      <c r="S979" s="386"/>
      <c r="T979" s="386"/>
      <c r="U979" s="386"/>
      <c r="V979" s="386"/>
      <c r="W979" s="386"/>
      <c r="X979" s="386"/>
      <c r="Y979" s="386"/>
      <c r="Z979" s="386"/>
      <c r="AA979" s="386"/>
      <c r="AB979" s="386"/>
      <c r="AC979" s="386"/>
    </row>
    <row r="980">
      <c r="H980" s="386"/>
      <c r="I980" s="386"/>
      <c r="J980" s="386"/>
      <c r="K980" s="386"/>
      <c r="L980" s="386"/>
      <c r="M980" s="386"/>
      <c r="N980" s="386"/>
      <c r="O980" s="386"/>
      <c r="P980" s="386"/>
      <c r="Q980" s="386"/>
      <c r="R980" s="386"/>
      <c r="S980" s="386"/>
      <c r="T980" s="386"/>
      <c r="U980" s="386"/>
      <c r="V980" s="386"/>
      <c r="W980" s="386"/>
      <c r="X980" s="386"/>
      <c r="Y980" s="386"/>
      <c r="Z980" s="386"/>
      <c r="AA980" s="386"/>
      <c r="AB980" s="386"/>
      <c r="AC980" s="386"/>
    </row>
    <row r="981">
      <c r="H981" s="386"/>
      <c r="I981" s="386"/>
      <c r="J981" s="386"/>
      <c r="K981" s="386"/>
      <c r="L981" s="386"/>
      <c r="M981" s="386"/>
      <c r="N981" s="386"/>
      <c r="O981" s="386"/>
      <c r="P981" s="386"/>
      <c r="Q981" s="386"/>
      <c r="R981" s="386"/>
      <c r="S981" s="386"/>
      <c r="T981" s="386"/>
      <c r="U981" s="386"/>
      <c r="V981" s="386"/>
      <c r="W981" s="386"/>
      <c r="X981" s="386"/>
      <c r="Y981" s="386"/>
      <c r="Z981" s="386"/>
      <c r="AA981" s="386"/>
      <c r="AB981" s="386"/>
      <c r="AC981" s="386"/>
    </row>
    <row r="982">
      <c r="H982" s="386"/>
      <c r="I982" s="386"/>
      <c r="J982" s="386"/>
      <c r="K982" s="386"/>
      <c r="L982" s="386"/>
      <c r="M982" s="386"/>
      <c r="N982" s="386"/>
      <c r="O982" s="386"/>
      <c r="P982" s="386"/>
      <c r="Q982" s="386"/>
      <c r="R982" s="386"/>
      <c r="S982" s="386"/>
      <c r="T982" s="386"/>
      <c r="U982" s="386"/>
      <c r="V982" s="386"/>
      <c r="W982" s="386"/>
      <c r="X982" s="386"/>
      <c r="Y982" s="386"/>
      <c r="Z982" s="386"/>
      <c r="AA982" s="386"/>
      <c r="AB982" s="386"/>
      <c r="AC982" s="386"/>
    </row>
    <row r="983">
      <c r="H983" s="386"/>
      <c r="I983" s="386"/>
      <c r="J983" s="386"/>
      <c r="K983" s="386"/>
      <c r="L983" s="386"/>
      <c r="M983" s="386"/>
      <c r="N983" s="386"/>
      <c r="O983" s="386"/>
      <c r="P983" s="386"/>
      <c r="Q983" s="386"/>
      <c r="R983" s="386"/>
      <c r="S983" s="386"/>
      <c r="T983" s="386"/>
      <c r="U983" s="386"/>
      <c r="V983" s="386"/>
      <c r="W983" s="386"/>
      <c r="X983" s="386"/>
      <c r="Y983" s="386"/>
      <c r="Z983" s="386"/>
      <c r="AA983" s="386"/>
      <c r="AB983" s="386"/>
      <c r="AC983" s="386"/>
    </row>
    <row r="984">
      <c r="H984" s="386"/>
      <c r="I984" s="386"/>
      <c r="J984" s="386"/>
      <c r="K984" s="386"/>
      <c r="L984" s="386"/>
      <c r="M984" s="386"/>
      <c r="N984" s="386"/>
      <c r="O984" s="386"/>
      <c r="P984" s="386"/>
      <c r="Q984" s="386"/>
      <c r="R984" s="386"/>
      <c r="S984" s="386"/>
      <c r="T984" s="386"/>
      <c r="U984" s="386"/>
      <c r="V984" s="386"/>
      <c r="W984" s="386"/>
      <c r="X984" s="386"/>
      <c r="Y984" s="386"/>
      <c r="Z984" s="386"/>
      <c r="AA984" s="386"/>
      <c r="AB984" s="386"/>
      <c r="AC984" s="386"/>
    </row>
    <row r="985">
      <c r="H985" s="386"/>
      <c r="I985" s="386"/>
      <c r="J985" s="386"/>
      <c r="K985" s="386"/>
      <c r="L985" s="386"/>
      <c r="M985" s="386"/>
      <c r="N985" s="386"/>
      <c r="O985" s="386"/>
      <c r="P985" s="386"/>
      <c r="Q985" s="386"/>
      <c r="R985" s="386"/>
      <c r="S985" s="386"/>
      <c r="T985" s="386"/>
      <c r="U985" s="386"/>
      <c r="V985" s="386"/>
      <c r="W985" s="386"/>
      <c r="X985" s="386"/>
      <c r="Y985" s="386"/>
      <c r="Z985" s="386"/>
      <c r="AA985" s="386"/>
      <c r="AB985" s="386"/>
      <c r="AC985" s="386"/>
    </row>
    <row r="986">
      <c r="H986" s="386"/>
      <c r="I986" s="386"/>
      <c r="J986" s="386"/>
      <c r="K986" s="386"/>
      <c r="L986" s="386"/>
      <c r="M986" s="386"/>
      <c r="N986" s="386"/>
      <c r="O986" s="386"/>
      <c r="P986" s="386"/>
      <c r="Q986" s="386"/>
      <c r="R986" s="386"/>
      <c r="S986" s="386"/>
      <c r="T986" s="386"/>
      <c r="U986" s="386"/>
      <c r="V986" s="386"/>
      <c r="W986" s="386"/>
      <c r="X986" s="386"/>
      <c r="Y986" s="386"/>
      <c r="Z986" s="386"/>
      <c r="AA986" s="386"/>
      <c r="AB986" s="386"/>
      <c r="AC986" s="386"/>
    </row>
    <row r="987">
      <c r="H987" s="386"/>
      <c r="I987" s="386"/>
      <c r="J987" s="386"/>
      <c r="K987" s="386"/>
      <c r="L987" s="386"/>
      <c r="M987" s="386"/>
      <c r="N987" s="386"/>
      <c r="O987" s="386"/>
      <c r="P987" s="386"/>
      <c r="Q987" s="386"/>
      <c r="R987" s="386"/>
      <c r="S987" s="386"/>
      <c r="T987" s="386"/>
      <c r="U987" s="386"/>
      <c r="V987" s="386"/>
      <c r="W987" s="386"/>
      <c r="X987" s="386"/>
      <c r="Y987" s="386"/>
      <c r="Z987" s="386"/>
      <c r="AA987" s="386"/>
      <c r="AB987" s="386"/>
      <c r="AC987" s="386"/>
    </row>
    <row r="988">
      <c r="H988" s="386"/>
      <c r="I988" s="386"/>
      <c r="J988" s="386"/>
      <c r="K988" s="386"/>
      <c r="L988" s="386"/>
      <c r="M988" s="386"/>
      <c r="N988" s="386"/>
      <c r="O988" s="386"/>
      <c r="P988" s="386"/>
      <c r="Q988" s="386"/>
      <c r="R988" s="386"/>
      <c r="S988" s="386"/>
      <c r="T988" s="386"/>
      <c r="U988" s="386"/>
      <c r="V988" s="386"/>
      <c r="W988" s="386"/>
      <c r="X988" s="386"/>
      <c r="Y988" s="386"/>
      <c r="Z988" s="386"/>
      <c r="AA988" s="386"/>
      <c r="AB988" s="386"/>
      <c r="AC988" s="386"/>
    </row>
    <row r="989">
      <c r="H989" s="386"/>
      <c r="I989" s="386"/>
      <c r="J989" s="386"/>
      <c r="K989" s="386"/>
      <c r="L989" s="386"/>
      <c r="M989" s="386"/>
      <c r="N989" s="386"/>
      <c r="O989" s="386"/>
      <c r="P989" s="386"/>
      <c r="Q989" s="386"/>
      <c r="R989" s="386"/>
      <c r="S989" s="386"/>
      <c r="T989" s="386"/>
      <c r="U989" s="386"/>
      <c r="V989" s="386"/>
      <c r="W989" s="386"/>
      <c r="X989" s="386"/>
      <c r="Y989" s="386"/>
      <c r="Z989" s="386"/>
      <c r="AA989" s="386"/>
      <c r="AB989" s="386"/>
      <c r="AC989" s="386"/>
    </row>
    <row r="990">
      <c r="H990" s="386"/>
      <c r="I990" s="386"/>
      <c r="J990" s="386"/>
      <c r="K990" s="386"/>
      <c r="L990" s="386"/>
      <c r="M990" s="386"/>
      <c r="N990" s="386"/>
      <c r="O990" s="386"/>
      <c r="P990" s="386"/>
      <c r="Q990" s="386"/>
      <c r="R990" s="386"/>
      <c r="S990" s="386"/>
      <c r="T990" s="386"/>
      <c r="U990" s="386"/>
      <c r="V990" s="386"/>
      <c r="W990" s="386"/>
      <c r="X990" s="386"/>
      <c r="Y990" s="386"/>
      <c r="Z990" s="386"/>
      <c r="AA990" s="386"/>
      <c r="AB990" s="386"/>
      <c r="AC990" s="386"/>
    </row>
    <row r="991">
      <c r="H991" s="386"/>
      <c r="I991" s="386"/>
      <c r="J991" s="386"/>
      <c r="K991" s="386"/>
      <c r="L991" s="386"/>
      <c r="M991" s="386"/>
      <c r="N991" s="386"/>
      <c r="O991" s="386"/>
      <c r="P991" s="386"/>
      <c r="Q991" s="386"/>
      <c r="R991" s="386"/>
      <c r="S991" s="386"/>
      <c r="T991" s="386"/>
      <c r="U991" s="386"/>
      <c r="V991" s="386"/>
      <c r="W991" s="386"/>
      <c r="X991" s="386"/>
      <c r="Y991" s="386"/>
      <c r="Z991" s="386"/>
      <c r="AA991" s="386"/>
      <c r="AB991" s="386"/>
      <c r="AC991" s="386"/>
    </row>
    <row r="992">
      <c r="H992" s="386"/>
      <c r="I992" s="386"/>
      <c r="J992" s="386"/>
      <c r="K992" s="386"/>
      <c r="L992" s="386"/>
      <c r="M992" s="386"/>
      <c r="N992" s="386"/>
      <c r="O992" s="386"/>
      <c r="P992" s="386"/>
      <c r="Q992" s="386"/>
      <c r="R992" s="386"/>
      <c r="S992" s="386"/>
      <c r="T992" s="386"/>
      <c r="U992" s="386"/>
      <c r="V992" s="386"/>
      <c r="W992" s="386"/>
      <c r="X992" s="386"/>
      <c r="Y992" s="386"/>
      <c r="Z992" s="386"/>
      <c r="AA992" s="386"/>
      <c r="AB992" s="386"/>
      <c r="AC992" s="386"/>
    </row>
    <row r="993">
      <c r="H993" s="386"/>
      <c r="I993" s="386"/>
      <c r="J993" s="386"/>
      <c r="K993" s="386"/>
      <c r="L993" s="386"/>
      <c r="M993" s="386"/>
      <c r="N993" s="386"/>
      <c r="O993" s="386"/>
      <c r="P993" s="386"/>
      <c r="Q993" s="386"/>
      <c r="R993" s="386"/>
      <c r="S993" s="386"/>
      <c r="T993" s="386"/>
      <c r="U993" s="386"/>
      <c r="V993" s="386"/>
      <c r="W993" s="386"/>
      <c r="X993" s="386"/>
      <c r="Y993" s="386"/>
      <c r="Z993" s="386"/>
      <c r="AA993" s="386"/>
      <c r="AB993" s="386"/>
      <c r="AC993" s="386"/>
    </row>
    <row r="994">
      <c r="H994" s="386"/>
      <c r="I994" s="386"/>
      <c r="J994" s="386"/>
      <c r="K994" s="386"/>
      <c r="L994" s="386"/>
      <c r="M994" s="386"/>
      <c r="N994" s="386"/>
      <c r="O994" s="386"/>
      <c r="P994" s="386"/>
      <c r="Q994" s="386"/>
      <c r="R994" s="386"/>
      <c r="S994" s="386"/>
      <c r="T994" s="386"/>
      <c r="U994" s="386"/>
      <c r="V994" s="386"/>
      <c r="W994" s="386"/>
      <c r="X994" s="386"/>
      <c r="Y994" s="386"/>
      <c r="Z994" s="386"/>
      <c r="AA994" s="386"/>
      <c r="AB994" s="386"/>
      <c r="AC994" s="386"/>
    </row>
    <row r="995">
      <c r="H995" s="386"/>
      <c r="I995" s="386"/>
      <c r="J995" s="386"/>
      <c r="K995" s="386"/>
      <c r="L995" s="386"/>
      <c r="M995" s="386"/>
      <c r="N995" s="386"/>
      <c r="O995" s="386"/>
      <c r="P995" s="386"/>
      <c r="Q995" s="386"/>
      <c r="R995" s="386"/>
      <c r="S995" s="386"/>
      <c r="T995" s="386"/>
      <c r="U995" s="386"/>
      <c r="V995" s="386"/>
      <c r="W995" s="386"/>
      <c r="X995" s="386"/>
      <c r="Y995" s="386"/>
      <c r="Z995" s="386"/>
      <c r="AA995" s="386"/>
      <c r="AB995" s="386"/>
      <c r="AC995" s="386"/>
    </row>
    <row r="996">
      <c r="H996" s="386"/>
      <c r="I996" s="386"/>
      <c r="J996" s="386"/>
      <c r="K996" s="386"/>
      <c r="L996" s="386"/>
      <c r="M996" s="386"/>
      <c r="N996" s="386"/>
      <c r="O996" s="386"/>
      <c r="P996" s="386"/>
      <c r="Q996" s="386"/>
      <c r="R996" s="386"/>
      <c r="S996" s="386"/>
      <c r="T996" s="386"/>
      <c r="U996" s="386"/>
      <c r="V996" s="386"/>
      <c r="W996" s="386"/>
      <c r="X996" s="386"/>
      <c r="Y996" s="386"/>
      <c r="Z996" s="386"/>
      <c r="AA996" s="386"/>
      <c r="AB996" s="386"/>
      <c r="AC996" s="386"/>
    </row>
    <row r="997">
      <c r="H997" s="386"/>
      <c r="I997" s="386"/>
      <c r="J997" s="386"/>
      <c r="K997" s="386"/>
      <c r="L997" s="386"/>
      <c r="M997" s="386"/>
      <c r="N997" s="386"/>
      <c r="O997" s="386"/>
      <c r="P997" s="386"/>
      <c r="Q997" s="386"/>
      <c r="R997" s="386"/>
      <c r="S997" s="386"/>
      <c r="T997" s="386"/>
      <c r="U997" s="386"/>
      <c r="V997" s="386"/>
      <c r="W997" s="386"/>
      <c r="X997" s="386"/>
      <c r="Y997" s="386"/>
      <c r="Z997" s="386"/>
      <c r="AA997" s="386"/>
      <c r="AB997" s="386"/>
      <c r="AC997" s="386"/>
    </row>
    <row r="998">
      <c r="H998" s="386"/>
      <c r="I998" s="386"/>
      <c r="J998" s="386"/>
      <c r="K998" s="386"/>
      <c r="L998" s="386"/>
      <c r="M998" s="386"/>
      <c r="N998" s="386"/>
      <c r="O998" s="386"/>
      <c r="P998" s="386"/>
      <c r="Q998" s="386"/>
      <c r="R998" s="386"/>
      <c r="S998" s="386"/>
      <c r="T998" s="386"/>
      <c r="U998" s="386"/>
      <c r="V998" s="386"/>
      <c r="W998" s="386"/>
      <c r="X998" s="386"/>
      <c r="Y998" s="386"/>
      <c r="Z998" s="386"/>
      <c r="AA998" s="386"/>
      <c r="AB998" s="386"/>
      <c r="AC998" s="386"/>
    </row>
    <row r="999">
      <c r="H999" s="386"/>
      <c r="I999" s="386"/>
      <c r="J999" s="386"/>
      <c r="K999" s="386"/>
      <c r="L999" s="386"/>
      <c r="M999" s="386"/>
      <c r="N999" s="386"/>
      <c r="O999" s="386"/>
      <c r="P999" s="386"/>
      <c r="Q999" s="386"/>
      <c r="R999" s="386"/>
      <c r="S999" s="386"/>
      <c r="T999" s="386"/>
      <c r="U999" s="386"/>
      <c r="V999" s="386"/>
      <c r="W999" s="386"/>
      <c r="X999" s="386"/>
      <c r="Y999" s="386"/>
      <c r="Z999" s="386"/>
      <c r="AA999" s="386"/>
      <c r="AB999" s="386"/>
      <c r="AC999" s="386"/>
    </row>
    <row r="1000">
      <c r="H1000" s="386"/>
      <c r="I1000" s="386"/>
      <c r="J1000" s="386"/>
      <c r="K1000" s="386"/>
      <c r="L1000" s="386"/>
      <c r="M1000" s="386"/>
      <c r="N1000" s="386"/>
      <c r="O1000" s="386"/>
      <c r="P1000" s="386"/>
      <c r="Q1000" s="386"/>
      <c r="R1000" s="386"/>
      <c r="S1000" s="386"/>
      <c r="T1000" s="386"/>
      <c r="U1000" s="386"/>
      <c r="V1000" s="386"/>
      <c r="W1000" s="386"/>
      <c r="X1000" s="386"/>
      <c r="Y1000" s="386"/>
      <c r="Z1000" s="386"/>
      <c r="AA1000" s="386"/>
      <c r="AB1000" s="386"/>
      <c r="AC1000" s="386"/>
    </row>
    <row r="1001">
      <c r="A1001" s="66" t="s">
        <v>6596</v>
      </c>
      <c r="B1001" s="66" t="s">
        <v>6597</v>
      </c>
      <c r="C1001" s="66" t="s">
        <v>6598</v>
      </c>
      <c r="D1001" s="384">
        <v>44448.0</v>
      </c>
      <c r="E1001" s="66" t="s">
        <v>6599</v>
      </c>
      <c r="F1001" s="66" t="s">
        <v>6600</v>
      </c>
      <c r="G1001" s="66" t="s">
        <v>6601</v>
      </c>
      <c r="H1001" s="385">
        <v>4.0</v>
      </c>
      <c r="I1001" s="385">
        <v>4.0</v>
      </c>
      <c r="J1001" s="385">
        <v>4.0</v>
      </c>
      <c r="K1001" s="385">
        <v>5.0</v>
      </c>
      <c r="L1001" s="385">
        <v>3.0</v>
      </c>
      <c r="M1001" s="385">
        <v>4.0</v>
      </c>
      <c r="N1001" s="385">
        <v>4.0</v>
      </c>
      <c r="O1001" s="385">
        <v>5.0</v>
      </c>
      <c r="P1001" s="385">
        <v>4.0</v>
      </c>
      <c r="Q1001" s="385">
        <v>5.0</v>
      </c>
      <c r="R1001" s="385">
        <v>4.5</v>
      </c>
      <c r="S1001" s="385">
        <v>5.0</v>
      </c>
      <c r="T1001" s="385">
        <v>5.0</v>
      </c>
      <c r="U1001" s="385">
        <v>5.0</v>
      </c>
      <c r="V1001" s="385">
        <v>5.0</v>
      </c>
      <c r="W1001" s="385">
        <v>5.0</v>
      </c>
      <c r="X1001" s="250" t="s">
        <v>6597</v>
      </c>
      <c r="Y1001" s="250" t="s">
        <v>6602</v>
      </c>
      <c r="Z1001" s="250" t="s">
        <v>6603</v>
      </c>
      <c r="AA1001" s="250" t="s">
        <v>6604</v>
      </c>
      <c r="AB1001" s="250" t="s">
        <v>6605</v>
      </c>
      <c r="AC1001" s="385">
        <v>4.5</v>
      </c>
    </row>
    <row r="1002">
      <c r="A1002" s="66" t="s">
        <v>6596</v>
      </c>
      <c r="B1002" s="66" t="s">
        <v>6597</v>
      </c>
      <c r="C1002" s="66" t="s">
        <v>6598</v>
      </c>
      <c r="D1002" s="384">
        <v>44448.0</v>
      </c>
      <c r="E1002" s="66" t="s">
        <v>6599</v>
      </c>
      <c r="F1002" s="66" t="s">
        <v>6600</v>
      </c>
      <c r="G1002" s="66" t="s">
        <v>6601</v>
      </c>
      <c r="H1002" s="385">
        <v>4.0</v>
      </c>
      <c r="I1002" s="385">
        <v>4.0</v>
      </c>
      <c r="J1002" s="385">
        <v>4.0</v>
      </c>
      <c r="K1002" s="385">
        <v>5.0</v>
      </c>
      <c r="L1002" s="385">
        <v>3.0</v>
      </c>
      <c r="M1002" s="385">
        <v>4.0</v>
      </c>
      <c r="N1002" s="385">
        <v>4.0</v>
      </c>
      <c r="O1002" s="385">
        <v>5.0</v>
      </c>
      <c r="P1002" s="385">
        <v>4.0</v>
      </c>
      <c r="Q1002" s="385">
        <v>5.0</v>
      </c>
      <c r="R1002" s="385">
        <v>4.5</v>
      </c>
      <c r="S1002" s="385">
        <v>5.0</v>
      </c>
      <c r="T1002" s="385">
        <v>5.0</v>
      </c>
      <c r="U1002" s="385">
        <v>5.0</v>
      </c>
      <c r="V1002" s="385">
        <v>5.0</v>
      </c>
      <c r="W1002" s="385">
        <v>5.0</v>
      </c>
      <c r="X1002" s="250" t="s">
        <v>6597</v>
      </c>
      <c r="Y1002" s="250" t="s">
        <v>6602</v>
      </c>
      <c r="Z1002" s="250" t="s">
        <v>6603</v>
      </c>
      <c r="AA1002" s="250" t="s">
        <v>6604</v>
      </c>
      <c r="AB1002" s="250" t="s">
        <v>6605</v>
      </c>
      <c r="AC1002" s="385">
        <v>4.5</v>
      </c>
    </row>
    <row r="1003">
      <c r="A1003" s="66"/>
      <c r="B1003" s="66"/>
      <c r="C1003" s="66"/>
      <c r="D1003" s="384"/>
      <c r="E1003" s="66"/>
      <c r="F1003" s="66"/>
      <c r="G1003" s="66"/>
      <c r="H1003" s="385"/>
      <c r="I1003" s="385"/>
      <c r="J1003" s="385"/>
      <c r="K1003" s="385"/>
      <c r="L1003" s="385"/>
      <c r="M1003" s="385"/>
      <c r="N1003" s="385"/>
      <c r="O1003" s="385"/>
      <c r="P1003" s="385"/>
      <c r="Q1003" s="385"/>
      <c r="R1003" s="385"/>
      <c r="S1003" s="385"/>
      <c r="T1003" s="385"/>
      <c r="U1003" s="385"/>
      <c r="V1003" s="385"/>
      <c r="W1003" s="385"/>
      <c r="X1003" s="250"/>
      <c r="Y1003" s="250"/>
      <c r="Z1003" s="250"/>
      <c r="AA1003" s="250"/>
      <c r="AB1003" s="250"/>
      <c r="AC1003" s="385"/>
    </row>
    <row r="1004">
      <c r="A1004" s="66" t="s">
        <v>6596</v>
      </c>
      <c r="B1004" s="66" t="s">
        <v>6597</v>
      </c>
      <c r="C1004" s="66" t="s">
        <v>6598</v>
      </c>
      <c r="D1004" s="384">
        <v>44448.0</v>
      </c>
      <c r="E1004" s="66" t="s">
        <v>6599</v>
      </c>
      <c r="F1004" s="66" t="s">
        <v>6600</v>
      </c>
      <c r="G1004" s="66" t="s">
        <v>6601</v>
      </c>
      <c r="H1004" s="385">
        <v>4.0</v>
      </c>
      <c r="I1004" s="385">
        <v>4.0</v>
      </c>
      <c r="J1004" s="385">
        <v>4.0</v>
      </c>
      <c r="K1004" s="385">
        <v>5.0</v>
      </c>
      <c r="L1004" s="385">
        <v>3.0</v>
      </c>
      <c r="M1004" s="385">
        <v>4.0</v>
      </c>
      <c r="N1004" s="385">
        <v>4.0</v>
      </c>
      <c r="O1004" s="385">
        <v>5.0</v>
      </c>
      <c r="P1004" s="385">
        <v>4.0</v>
      </c>
      <c r="Q1004" s="385">
        <v>5.0</v>
      </c>
      <c r="R1004" s="385">
        <v>4.5</v>
      </c>
      <c r="S1004" s="385">
        <v>5.0</v>
      </c>
      <c r="T1004" s="385">
        <v>5.0</v>
      </c>
      <c r="U1004" s="385">
        <v>5.0</v>
      </c>
      <c r="V1004" s="385">
        <v>5.0</v>
      </c>
      <c r="W1004" s="385">
        <v>5.0</v>
      </c>
      <c r="X1004" s="250" t="s">
        <v>6597</v>
      </c>
      <c r="Y1004" s="250" t="s">
        <v>6602</v>
      </c>
      <c r="Z1004" s="250" t="s">
        <v>6603</v>
      </c>
      <c r="AA1004" s="250" t="s">
        <v>6604</v>
      </c>
      <c r="AB1004" s="250" t="s">
        <v>6605</v>
      </c>
      <c r="AC1004" s="385">
        <v>4.5</v>
      </c>
    </row>
    <row r="1005">
      <c r="A1005" s="66" t="s">
        <v>6596</v>
      </c>
      <c r="B1005" s="66" t="s">
        <v>6597</v>
      </c>
      <c r="C1005" s="66" t="s">
        <v>6598</v>
      </c>
      <c r="D1005" s="384">
        <v>44448.0</v>
      </c>
      <c r="E1005" s="66" t="s">
        <v>6599</v>
      </c>
      <c r="F1005" s="66" t="s">
        <v>6600</v>
      </c>
      <c r="G1005" s="66" t="s">
        <v>6601</v>
      </c>
      <c r="H1005" s="385">
        <v>4.0</v>
      </c>
      <c r="I1005" s="385">
        <v>4.0</v>
      </c>
      <c r="J1005" s="385">
        <v>4.0</v>
      </c>
      <c r="K1005" s="385">
        <v>5.0</v>
      </c>
      <c r="L1005" s="385">
        <v>3.0</v>
      </c>
      <c r="M1005" s="385">
        <v>4.0</v>
      </c>
      <c r="N1005" s="385">
        <v>4.0</v>
      </c>
      <c r="O1005" s="385">
        <v>5.0</v>
      </c>
      <c r="P1005" s="385">
        <v>4.0</v>
      </c>
      <c r="Q1005" s="385">
        <v>5.0</v>
      </c>
      <c r="R1005" s="385">
        <v>4.5</v>
      </c>
      <c r="S1005" s="385">
        <v>5.0</v>
      </c>
      <c r="T1005" s="385">
        <v>5.0</v>
      </c>
      <c r="U1005" s="385">
        <v>5.0</v>
      </c>
      <c r="V1005" s="385">
        <v>5.0</v>
      </c>
      <c r="W1005" s="385">
        <v>5.0</v>
      </c>
      <c r="X1005" s="250" t="s">
        <v>6597</v>
      </c>
      <c r="Y1005" s="250" t="s">
        <v>6602</v>
      </c>
      <c r="Z1005" s="250" t="s">
        <v>6603</v>
      </c>
      <c r="AA1005" s="250" t="s">
        <v>6604</v>
      </c>
      <c r="AB1005" s="250" t="s">
        <v>6605</v>
      </c>
      <c r="AC1005" s="385">
        <v>4.5</v>
      </c>
    </row>
    <row r="1006">
      <c r="A1006" s="66"/>
      <c r="B1006" s="66"/>
      <c r="C1006" s="66"/>
      <c r="D1006" s="384"/>
      <c r="E1006" s="66"/>
      <c r="F1006" s="66"/>
      <c r="G1006" s="66"/>
      <c r="H1006" s="385"/>
      <c r="I1006" s="385"/>
      <c r="J1006" s="385"/>
      <c r="K1006" s="385"/>
      <c r="L1006" s="385"/>
      <c r="M1006" s="385"/>
      <c r="N1006" s="385"/>
      <c r="O1006" s="385"/>
      <c r="P1006" s="385"/>
      <c r="Q1006" s="385"/>
      <c r="R1006" s="385"/>
      <c r="S1006" s="385"/>
      <c r="T1006" s="385"/>
      <c r="U1006" s="385"/>
      <c r="V1006" s="385"/>
      <c r="W1006" s="385"/>
      <c r="X1006" s="250"/>
      <c r="Y1006" s="250"/>
      <c r="Z1006" s="250"/>
      <c r="AA1006" s="250"/>
      <c r="AB1006" s="250"/>
      <c r="AC1006" s="385"/>
    </row>
    <row r="1007">
      <c r="A1007" s="66" t="s">
        <v>6596</v>
      </c>
      <c r="B1007" s="66" t="s">
        <v>6597</v>
      </c>
      <c r="C1007" s="66" t="s">
        <v>6598</v>
      </c>
      <c r="D1007" s="384">
        <v>44448.0</v>
      </c>
      <c r="E1007" s="66" t="s">
        <v>6599</v>
      </c>
      <c r="F1007" s="66" t="s">
        <v>6600</v>
      </c>
      <c r="G1007" s="66" t="s">
        <v>6601</v>
      </c>
      <c r="H1007" s="385">
        <v>4.0</v>
      </c>
      <c r="I1007" s="385">
        <v>4.0</v>
      </c>
      <c r="J1007" s="385">
        <v>4.0</v>
      </c>
      <c r="K1007" s="385">
        <v>5.0</v>
      </c>
      <c r="L1007" s="385">
        <v>3.0</v>
      </c>
      <c r="M1007" s="385">
        <v>4.0</v>
      </c>
      <c r="N1007" s="385">
        <v>4.0</v>
      </c>
      <c r="O1007" s="385">
        <v>5.0</v>
      </c>
      <c r="P1007" s="385">
        <v>4.0</v>
      </c>
      <c r="Q1007" s="385">
        <v>5.0</v>
      </c>
      <c r="R1007" s="385">
        <v>4.5</v>
      </c>
      <c r="S1007" s="385">
        <v>5.0</v>
      </c>
      <c r="T1007" s="385">
        <v>5.0</v>
      </c>
      <c r="U1007" s="385">
        <v>5.0</v>
      </c>
      <c r="V1007" s="385">
        <v>5.0</v>
      </c>
      <c r="W1007" s="385">
        <v>5.0</v>
      </c>
      <c r="X1007" s="250" t="s">
        <v>6597</v>
      </c>
      <c r="Y1007" s="250" t="s">
        <v>6602</v>
      </c>
      <c r="Z1007" s="250" t="s">
        <v>6603</v>
      </c>
      <c r="AA1007" s="250" t="s">
        <v>6604</v>
      </c>
      <c r="AB1007" s="250" t="s">
        <v>6605</v>
      </c>
      <c r="AC1007" s="385">
        <v>4.5</v>
      </c>
    </row>
    <row r="1008">
      <c r="A1008" s="66"/>
      <c r="B1008" s="66"/>
      <c r="C1008" s="66"/>
      <c r="D1008" s="384"/>
      <c r="E1008" s="66"/>
      <c r="F1008" s="66"/>
      <c r="G1008" s="66"/>
      <c r="H1008" s="385"/>
      <c r="I1008" s="385"/>
      <c r="J1008" s="385"/>
      <c r="K1008" s="385"/>
      <c r="L1008" s="385"/>
      <c r="M1008" s="385"/>
      <c r="N1008" s="385"/>
      <c r="O1008" s="385"/>
      <c r="P1008" s="385"/>
      <c r="Q1008" s="385"/>
      <c r="R1008" s="385"/>
      <c r="S1008" s="385"/>
      <c r="T1008" s="385"/>
      <c r="U1008" s="385"/>
      <c r="V1008" s="385"/>
      <c r="W1008" s="385"/>
      <c r="X1008" s="250"/>
      <c r="Y1008" s="250"/>
      <c r="Z1008" s="250"/>
      <c r="AA1008" s="250"/>
      <c r="AB1008" s="250"/>
      <c r="AC1008" s="385"/>
    </row>
    <row r="1009">
      <c r="A1009" s="66" t="s">
        <v>6596</v>
      </c>
      <c r="B1009" s="66" t="s">
        <v>6597</v>
      </c>
      <c r="C1009" s="66" t="s">
        <v>6598</v>
      </c>
      <c r="D1009" s="384">
        <v>44448.0</v>
      </c>
      <c r="E1009" s="66" t="s">
        <v>6599</v>
      </c>
      <c r="F1009" s="66" t="s">
        <v>6600</v>
      </c>
      <c r="G1009" s="66" t="s">
        <v>6601</v>
      </c>
      <c r="H1009" s="385">
        <v>4.0</v>
      </c>
      <c r="I1009" s="385">
        <v>4.0</v>
      </c>
      <c r="J1009" s="385">
        <v>4.0</v>
      </c>
      <c r="K1009" s="385">
        <v>5.0</v>
      </c>
      <c r="L1009" s="385">
        <v>3.0</v>
      </c>
      <c r="M1009" s="385">
        <v>4.0</v>
      </c>
      <c r="N1009" s="385">
        <v>4.0</v>
      </c>
      <c r="O1009" s="385">
        <v>5.0</v>
      </c>
      <c r="P1009" s="385">
        <v>4.0</v>
      </c>
      <c r="Q1009" s="385">
        <v>5.0</v>
      </c>
      <c r="R1009" s="385">
        <v>4.5</v>
      </c>
      <c r="S1009" s="385">
        <v>5.0</v>
      </c>
      <c r="T1009" s="385">
        <v>5.0</v>
      </c>
      <c r="U1009" s="385">
        <v>5.0</v>
      </c>
      <c r="V1009" s="385">
        <v>5.0</v>
      </c>
      <c r="W1009" s="385">
        <v>5.0</v>
      </c>
      <c r="X1009" s="250" t="s">
        <v>6597</v>
      </c>
      <c r="Y1009" s="250" t="s">
        <v>6602</v>
      </c>
      <c r="Z1009" s="250" t="s">
        <v>6603</v>
      </c>
      <c r="AA1009" s="250" t="s">
        <v>6604</v>
      </c>
      <c r="AB1009" s="250" t="s">
        <v>6605</v>
      </c>
      <c r="AC1009" s="385">
        <v>4.5</v>
      </c>
    </row>
    <row r="1010">
      <c r="A1010" s="66"/>
      <c r="B1010" s="66"/>
      <c r="C1010" s="66"/>
      <c r="D1010" s="384"/>
      <c r="E1010" s="66"/>
      <c r="F1010" s="66"/>
      <c r="G1010" s="66"/>
      <c r="H1010" s="385"/>
      <c r="I1010" s="385"/>
      <c r="J1010" s="385"/>
      <c r="K1010" s="385"/>
      <c r="L1010" s="385"/>
      <c r="M1010" s="385"/>
      <c r="N1010" s="385"/>
      <c r="O1010" s="385"/>
      <c r="P1010" s="385"/>
      <c r="Q1010" s="385"/>
      <c r="R1010" s="385"/>
      <c r="S1010" s="385"/>
      <c r="T1010" s="385"/>
      <c r="U1010" s="385"/>
      <c r="V1010" s="385"/>
      <c r="W1010" s="385"/>
      <c r="X1010" s="250"/>
      <c r="Y1010" s="250"/>
      <c r="Z1010" s="250"/>
      <c r="AA1010" s="250"/>
      <c r="AB1010" s="250"/>
      <c r="AC1010" s="385"/>
    </row>
    <row r="1011">
      <c r="A1011" s="66" t="s">
        <v>6596</v>
      </c>
      <c r="B1011" s="66" t="s">
        <v>6597</v>
      </c>
      <c r="C1011" s="66" t="s">
        <v>6598</v>
      </c>
      <c r="D1011" s="384">
        <v>44449.0</v>
      </c>
      <c r="E1011" s="66" t="s">
        <v>6599</v>
      </c>
      <c r="F1011" s="66" t="s">
        <v>6600</v>
      </c>
      <c r="G1011" s="66" t="s">
        <v>6601</v>
      </c>
      <c r="H1011" s="385">
        <v>4.0</v>
      </c>
      <c r="I1011" s="385">
        <v>4.0</v>
      </c>
      <c r="J1011" s="385">
        <v>4.0</v>
      </c>
      <c r="K1011" s="385">
        <v>5.0</v>
      </c>
      <c r="L1011" s="385">
        <v>3.0</v>
      </c>
      <c r="M1011" s="385">
        <v>4.0</v>
      </c>
      <c r="N1011" s="385">
        <v>4.0</v>
      </c>
      <c r="O1011" s="385">
        <v>5.0</v>
      </c>
      <c r="P1011" s="385">
        <v>4.0</v>
      </c>
      <c r="Q1011" s="385">
        <v>5.0</v>
      </c>
      <c r="R1011" s="385">
        <v>4.5</v>
      </c>
      <c r="S1011" s="385">
        <v>5.0</v>
      </c>
      <c r="T1011" s="385">
        <v>5.0</v>
      </c>
      <c r="U1011" s="385">
        <v>5.0</v>
      </c>
      <c r="V1011" s="385">
        <v>5.0</v>
      </c>
      <c r="W1011" s="385">
        <v>5.0</v>
      </c>
      <c r="X1011" s="250" t="s">
        <v>6597</v>
      </c>
      <c r="Y1011" s="250" t="s">
        <v>6602</v>
      </c>
      <c r="Z1011" s="250" t="s">
        <v>6603</v>
      </c>
      <c r="AA1011" s="250" t="s">
        <v>6604</v>
      </c>
      <c r="AB1011" s="250" t="s">
        <v>6605</v>
      </c>
      <c r="AC1011" s="385">
        <v>4.5</v>
      </c>
    </row>
    <row r="1012">
      <c r="A1012" s="66"/>
      <c r="B1012" s="66"/>
      <c r="C1012" s="66"/>
      <c r="D1012" s="384"/>
      <c r="E1012" s="66"/>
      <c r="F1012" s="66"/>
      <c r="G1012" s="66"/>
      <c r="H1012" s="385"/>
      <c r="I1012" s="385"/>
      <c r="J1012" s="385"/>
      <c r="K1012" s="385"/>
      <c r="L1012" s="385"/>
      <c r="M1012" s="385"/>
      <c r="N1012" s="385"/>
      <c r="O1012" s="385"/>
      <c r="P1012" s="385"/>
      <c r="Q1012" s="385"/>
      <c r="R1012" s="385"/>
      <c r="S1012" s="385"/>
      <c r="T1012" s="385"/>
      <c r="U1012" s="385"/>
      <c r="V1012" s="385"/>
      <c r="W1012" s="385"/>
      <c r="X1012" s="250"/>
      <c r="Y1012" s="250"/>
      <c r="Z1012" s="250"/>
      <c r="AA1012" s="250"/>
      <c r="AB1012" s="250"/>
      <c r="AC1012" s="385"/>
    </row>
    <row r="1013">
      <c r="A1013" s="66" t="s">
        <v>6596</v>
      </c>
      <c r="B1013" s="66" t="s">
        <v>6597</v>
      </c>
      <c r="C1013" s="66" t="s">
        <v>6598</v>
      </c>
      <c r="D1013" s="384">
        <v>44449.0</v>
      </c>
      <c r="E1013" s="66" t="s">
        <v>6599</v>
      </c>
      <c r="F1013" s="66" t="s">
        <v>6600</v>
      </c>
      <c r="G1013" s="66" t="s">
        <v>6601</v>
      </c>
      <c r="H1013" s="385">
        <v>4.0</v>
      </c>
      <c r="I1013" s="385">
        <v>4.0</v>
      </c>
      <c r="J1013" s="385">
        <v>4.0</v>
      </c>
      <c r="K1013" s="385">
        <v>5.0</v>
      </c>
      <c r="L1013" s="385">
        <v>3.0</v>
      </c>
      <c r="M1013" s="385">
        <v>4.0</v>
      </c>
      <c r="N1013" s="385">
        <v>4.0</v>
      </c>
      <c r="O1013" s="385">
        <v>5.0</v>
      </c>
      <c r="P1013" s="385">
        <v>4.0</v>
      </c>
      <c r="Q1013" s="385">
        <v>5.0</v>
      </c>
      <c r="R1013" s="385">
        <v>4.5</v>
      </c>
      <c r="S1013" s="385">
        <v>5.0</v>
      </c>
      <c r="T1013" s="385">
        <v>5.0</v>
      </c>
      <c r="U1013" s="385">
        <v>5.0</v>
      </c>
      <c r="V1013" s="385">
        <v>5.0</v>
      </c>
      <c r="W1013" s="385">
        <v>5.0</v>
      </c>
      <c r="X1013" s="250" t="s">
        <v>6597</v>
      </c>
      <c r="Y1013" s="250" t="s">
        <v>6602</v>
      </c>
      <c r="Z1013" s="250" t="s">
        <v>6603</v>
      </c>
      <c r="AA1013" s="250" t="s">
        <v>6604</v>
      </c>
      <c r="AB1013" s="250" t="s">
        <v>6605</v>
      </c>
      <c r="AC1013" s="385">
        <v>4.5</v>
      </c>
    </row>
    <row r="1014">
      <c r="A1014" s="66" t="s">
        <v>6596</v>
      </c>
      <c r="B1014" s="66" t="s">
        <v>6597</v>
      </c>
      <c r="C1014" s="66" t="s">
        <v>6598</v>
      </c>
      <c r="D1014" s="384">
        <v>44449.0</v>
      </c>
      <c r="E1014" s="66" t="s">
        <v>6599</v>
      </c>
      <c r="F1014" s="66" t="s">
        <v>6600</v>
      </c>
      <c r="G1014" s="66" t="s">
        <v>6601</v>
      </c>
      <c r="H1014" s="385">
        <v>4.0</v>
      </c>
      <c r="I1014" s="385">
        <v>4.0</v>
      </c>
      <c r="J1014" s="385">
        <v>4.0</v>
      </c>
      <c r="K1014" s="385">
        <v>5.0</v>
      </c>
      <c r="L1014" s="385">
        <v>3.0</v>
      </c>
      <c r="M1014" s="385">
        <v>4.0</v>
      </c>
      <c r="N1014" s="385">
        <v>4.0</v>
      </c>
      <c r="O1014" s="385">
        <v>5.0</v>
      </c>
      <c r="P1014" s="385">
        <v>4.0</v>
      </c>
      <c r="Q1014" s="385">
        <v>5.0</v>
      </c>
      <c r="R1014" s="385">
        <v>4.5</v>
      </c>
      <c r="S1014" s="385">
        <v>5.0</v>
      </c>
      <c r="T1014" s="385">
        <v>5.0</v>
      </c>
      <c r="U1014" s="385">
        <v>5.0</v>
      </c>
      <c r="V1014" s="385">
        <v>5.0</v>
      </c>
      <c r="W1014" s="385">
        <v>5.0</v>
      </c>
      <c r="X1014" s="250" t="s">
        <v>6597</v>
      </c>
      <c r="Y1014" s="250" t="s">
        <v>6602</v>
      </c>
      <c r="Z1014" s="250" t="s">
        <v>6603</v>
      </c>
      <c r="AA1014" s="250" t="s">
        <v>6604</v>
      </c>
      <c r="AB1014" s="250" t="s">
        <v>6605</v>
      </c>
      <c r="AC1014" s="385">
        <v>4.5</v>
      </c>
    </row>
    <row r="1015">
      <c r="A1015" s="66" t="s">
        <v>6596</v>
      </c>
      <c r="B1015" s="66" t="s">
        <v>6597</v>
      </c>
      <c r="C1015" s="66" t="s">
        <v>6598</v>
      </c>
      <c r="D1015" s="384">
        <v>44449.0</v>
      </c>
      <c r="E1015" s="66" t="s">
        <v>6599</v>
      </c>
      <c r="F1015" s="66" t="s">
        <v>6600</v>
      </c>
      <c r="G1015" s="66" t="s">
        <v>6601</v>
      </c>
      <c r="H1015" s="385">
        <v>4.0</v>
      </c>
      <c r="I1015" s="385">
        <v>4.0</v>
      </c>
      <c r="J1015" s="385">
        <v>4.0</v>
      </c>
      <c r="K1015" s="385">
        <v>5.0</v>
      </c>
      <c r="L1015" s="385">
        <v>3.0</v>
      </c>
      <c r="M1015" s="385">
        <v>4.0</v>
      </c>
      <c r="N1015" s="385">
        <v>4.0</v>
      </c>
      <c r="O1015" s="385">
        <v>5.0</v>
      </c>
      <c r="P1015" s="385">
        <v>4.0</v>
      </c>
      <c r="Q1015" s="385">
        <v>5.0</v>
      </c>
      <c r="R1015" s="385">
        <v>4.5</v>
      </c>
      <c r="S1015" s="385">
        <v>5.0</v>
      </c>
      <c r="T1015" s="385">
        <v>5.0</v>
      </c>
      <c r="U1015" s="385">
        <v>5.0</v>
      </c>
      <c r="V1015" s="385">
        <v>5.0</v>
      </c>
      <c r="W1015" s="385">
        <v>5.0</v>
      </c>
      <c r="X1015" s="250" t="s">
        <v>6597</v>
      </c>
      <c r="Y1015" s="250" t="s">
        <v>6602</v>
      </c>
      <c r="Z1015" s="250" t="s">
        <v>6603</v>
      </c>
      <c r="AA1015" s="250" t="s">
        <v>6604</v>
      </c>
      <c r="AB1015" s="250" t="s">
        <v>6605</v>
      </c>
      <c r="AC1015" s="385">
        <v>4.5</v>
      </c>
    </row>
    <row r="1016">
      <c r="A1016" s="66" t="s">
        <v>6596</v>
      </c>
      <c r="B1016" s="66" t="s">
        <v>6597</v>
      </c>
      <c r="C1016" s="66" t="s">
        <v>6598</v>
      </c>
      <c r="D1016" s="384">
        <v>44449.0</v>
      </c>
      <c r="E1016" s="66" t="s">
        <v>6599</v>
      </c>
      <c r="F1016" s="66" t="s">
        <v>6600</v>
      </c>
      <c r="G1016" s="66" t="s">
        <v>6601</v>
      </c>
      <c r="H1016" s="385">
        <v>4.0</v>
      </c>
      <c r="I1016" s="385">
        <v>4.0</v>
      </c>
      <c r="J1016" s="385">
        <v>4.0</v>
      </c>
      <c r="K1016" s="385">
        <v>5.0</v>
      </c>
      <c r="L1016" s="385">
        <v>3.0</v>
      </c>
      <c r="M1016" s="385">
        <v>4.0</v>
      </c>
      <c r="N1016" s="385">
        <v>4.0</v>
      </c>
      <c r="O1016" s="385">
        <v>5.0</v>
      </c>
      <c r="P1016" s="385">
        <v>4.0</v>
      </c>
      <c r="Q1016" s="385">
        <v>5.0</v>
      </c>
      <c r="R1016" s="385">
        <v>4.5</v>
      </c>
      <c r="S1016" s="385">
        <v>5.0</v>
      </c>
      <c r="T1016" s="385">
        <v>5.0</v>
      </c>
      <c r="U1016" s="385">
        <v>5.0</v>
      </c>
      <c r="V1016" s="385">
        <v>5.0</v>
      </c>
      <c r="W1016" s="385">
        <v>5.0</v>
      </c>
      <c r="X1016" s="250" t="s">
        <v>6597</v>
      </c>
      <c r="Y1016" s="250" t="s">
        <v>6602</v>
      </c>
      <c r="Z1016" s="250" t="s">
        <v>6603</v>
      </c>
      <c r="AA1016" s="250" t="s">
        <v>6604</v>
      </c>
      <c r="AB1016" s="250" t="s">
        <v>6605</v>
      </c>
      <c r="AC1016" s="385">
        <v>4.5</v>
      </c>
    </row>
    <row r="1017">
      <c r="A1017" s="66" t="s">
        <v>6596</v>
      </c>
      <c r="B1017" s="66" t="s">
        <v>6597</v>
      </c>
      <c r="C1017" s="66" t="s">
        <v>6598</v>
      </c>
      <c r="D1017" s="384">
        <v>44449.0</v>
      </c>
      <c r="E1017" s="66" t="s">
        <v>6599</v>
      </c>
      <c r="F1017" s="66" t="s">
        <v>6600</v>
      </c>
      <c r="G1017" s="66" t="s">
        <v>6601</v>
      </c>
      <c r="H1017" s="385">
        <v>4.0</v>
      </c>
      <c r="I1017" s="385">
        <v>4.0</v>
      </c>
      <c r="J1017" s="385">
        <v>4.0</v>
      </c>
      <c r="K1017" s="385">
        <v>5.0</v>
      </c>
      <c r="L1017" s="385">
        <v>3.0</v>
      </c>
      <c r="M1017" s="385">
        <v>4.0</v>
      </c>
      <c r="N1017" s="385">
        <v>4.0</v>
      </c>
      <c r="O1017" s="385">
        <v>5.0</v>
      </c>
      <c r="P1017" s="385">
        <v>4.0</v>
      </c>
      <c r="Q1017" s="385">
        <v>5.0</v>
      </c>
      <c r="R1017" s="385">
        <v>4.5</v>
      </c>
      <c r="S1017" s="385">
        <v>5.0</v>
      </c>
      <c r="T1017" s="385">
        <v>5.0</v>
      </c>
      <c r="U1017" s="385">
        <v>5.0</v>
      </c>
      <c r="V1017" s="385">
        <v>5.0</v>
      </c>
      <c r="W1017" s="385">
        <v>5.0</v>
      </c>
      <c r="X1017" s="250" t="s">
        <v>6597</v>
      </c>
      <c r="Y1017" s="250" t="s">
        <v>6602</v>
      </c>
      <c r="Z1017" s="250" t="s">
        <v>6603</v>
      </c>
      <c r="AA1017" s="250" t="s">
        <v>6604</v>
      </c>
      <c r="AB1017" s="250" t="s">
        <v>6605</v>
      </c>
      <c r="AC1017" s="385">
        <v>4.5</v>
      </c>
    </row>
    <row r="1018">
      <c r="A1018" s="66" t="s">
        <v>6596</v>
      </c>
      <c r="B1018" s="66" t="s">
        <v>6597</v>
      </c>
      <c r="C1018" s="66" t="s">
        <v>6598</v>
      </c>
      <c r="D1018" s="384">
        <v>44449.0</v>
      </c>
      <c r="E1018" s="66" t="s">
        <v>6599</v>
      </c>
      <c r="F1018" s="66" t="s">
        <v>6600</v>
      </c>
      <c r="G1018" s="66" t="s">
        <v>6601</v>
      </c>
      <c r="H1018" s="385">
        <v>4.0</v>
      </c>
      <c r="I1018" s="385">
        <v>4.0</v>
      </c>
      <c r="J1018" s="385">
        <v>4.0</v>
      </c>
      <c r="K1018" s="385">
        <v>5.0</v>
      </c>
      <c r="L1018" s="385">
        <v>3.0</v>
      </c>
      <c r="M1018" s="385">
        <v>4.0</v>
      </c>
      <c r="N1018" s="385">
        <v>4.0</v>
      </c>
      <c r="O1018" s="385">
        <v>5.0</v>
      </c>
      <c r="P1018" s="385">
        <v>4.0</v>
      </c>
      <c r="Q1018" s="385">
        <v>5.0</v>
      </c>
      <c r="R1018" s="385">
        <v>4.5</v>
      </c>
      <c r="S1018" s="385">
        <v>5.0</v>
      </c>
      <c r="T1018" s="385">
        <v>5.0</v>
      </c>
      <c r="U1018" s="385">
        <v>5.0</v>
      </c>
      <c r="V1018" s="385">
        <v>5.0</v>
      </c>
      <c r="W1018" s="385">
        <v>5.0</v>
      </c>
      <c r="X1018" s="250" t="s">
        <v>6597</v>
      </c>
      <c r="Y1018" s="250" t="s">
        <v>6602</v>
      </c>
      <c r="Z1018" s="250" t="s">
        <v>6603</v>
      </c>
      <c r="AA1018" s="250" t="s">
        <v>6604</v>
      </c>
      <c r="AB1018" s="250" t="s">
        <v>6605</v>
      </c>
      <c r="AC1018" s="385">
        <v>4.5</v>
      </c>
    </row>
    <row r="1019">
      <c r="A1019" s="66" t="s">
        <v>6596</v>
      </c>
      <c r="B1019" s="66" t="s">
        <v>6597</v>
      </c>
      <c r="C1019" s="66" t="s">
        <v>6598</v>
      </c>
      <c r="D1019" s="384">
        <v>44449.0</v>
      </c>
      <c r="E1019" s="66" t="s">
        <v>6599</v>
      </c>
      <c r="F1019" s="66" t="s">
        <v>6600</v>
      </c>
      <c r="G1019" s="66" t="s">
        <v>6601</v>
      </c>
      <c r="H1019" s="385">
        <v>4.0</v>
      </c>
      <c r="I1019" s="385">
        <v>4.0</v>
      </c>
      <c r="J1019" s="385">
        <v>4.0</v>
      </c>
      <c r="K1019" s="385">
        <v>5.0</v>
      </c>
      <c r="L1019" s="385">
        <v>3.0</v>
      </c>
      <c r="M1019" s="385">
        <v>4.0</v>
      </c>
      <c r="N1019" s="385">
        <v>4.0</v>
      </c>
      <c r="O1019" s="385">
        <v>5.0</v>
      </c>
      <c r="P1019" s="385">
        <v>4.0</v>
      </c>
      <c r="Q1019" s="385">
        <v>5.0</v>
      </c>
      <c r="R1019" s="385">
        <v>4.5</v>
      </c>
      <c r="S1019" s="385">
        <v>5.0</v>
      </c>
      <c r="T1019" s="385">
        <v>5.0</v>
      </c>
      <c r="U1019" s="385">
        <v>5.0</v>
      </c>
      <c r="V1019" s="385">
        <v>5.0</v>
      </c>
      <c r="W1019" s="385">
        <v>5.0</v>
      </c>
      <c r="X1019" s="250" t="s">
        <v>6597</v>
      </c>
      <c r="Y1019" s="250" t="s">
        <v>6602</v>
      </c>
      <c r="Z1019" s="250" t="s">
        <v>6603</v>
      </c>
      <c r="AA1019" s="250" t="s">
        <v>6604</v>
      </c>
      <c r="AB1019" s="250" t="s">
        <v>6605</v>
      </c>
      <c r="AC1019" s="385">
        <v>4.5</v>
      </c>
    </row>
  </sheetData>
  <mergeCells count="16">
    <mergeCell ref="A1:A2"/>
    <mergeCell ref="B1:B2"/>
    <mergeCell ref="C1:C2"/>
    <mergeCell ref="D1:D2"/>
    <mergeCell ref="E1:E2"/>
    <mergeCell ref="F1:F2"/>
    <mergeCell ref="G1:G2"/>
    <mergeCell ref="AC1:AC2"/>
    <mergeCell ref="AD1:AD2"/>
    <mergeCell ref="H1:L1"/>
    <mergeCell ref="M1:M2"/>
    <mergeCell ref="N1:Q1"/>
    <mergeCell ref="R1:R2"/>
    <mergeCell ref="S1:V1"/>
    <mergeCell ref="W1:W2"/>
    <mergeCell ref="X1:AB1"/>
  </mergeCells>
  <conditionalFormatting sqref="AD3:AD1019">
    <cfRule type="cellIs" dxfId="5" priority="1" operator="equal">
      <formula>"RECOMMENDED"</formula>
    </cfRule>
  </conditionalFormatting>
  <conditionalFormatting sqref="AD3:AD1019">
    <cfRule type="cellIs" dxfId="10" priority="2" operator="equal">
      <formula>"NOT RECOMMENDED"</formula>
    </cfRule>
  </conditionalFormatting>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0" max="30" width="20.63"/>
  </cols>
  <sheetData>
    <row r="1">
      <c r="A1" s="143" t="s">
        <v>186</v>
      </c>
      <c r="B1" s="143" t="s">
        <v>187</v>
      </c>
      <c r="C1" s="143" t="s">
        <v>188</v>
      </c>
      <c r="D1" s="143" t="s">
        <v>189</v>
      </c>
      <c r="E1" s="143" t="s">
        <v>10</v>
      </c>
      <c r="F1" s="214" t="s">
        <v>192</v>
      </c>
      <c r="G1" s="143" t="s">
        <v>191</v>
      </c>
      <c r="H1" s="358" t="s">
        <v>195</v>
      </c>
      <c r="I1" s="110"/>
      <c r="J1" s="110"/>
      <c r="K1" s="110"/>
      <c r="L1" s="54"/>
      <c r="M1" s="214" t="s">
        <v>196</v>
      </c>
      <c r="N1" s="358" t="s">
        <v>197</v>
      </c>
      <c r="O1" s="110"/>
      <c r="P1" s="110"/>
      <c r="Q1" s="54"/>
      <c r="R1" s="214" t="s">
        <v>42</v>
      </c>
      <c r="S1" s="265" t="s">
        <v>39</v>
      </c>
      <c r="T1" s="110"/>
      <c r="U1" s="110"/>
      <c r="V1" s="54"/>
      <c r="W1" s="214" t="s">
        <v>42</v>
      </c>
      <c r="X1" s="265" t="s">
        <v>200</v>
      </c>
      <c r="Y1" s="110"/>
      <c r="Z1" s="110"/>
      <c r="AA1" s="110"/>
      <c r="AB1" s="54"/>
      <c r="AC1" s="214" t="s">
        <v>52</v>
      </c>
      <c r="AD1" s="214" t="s">
        <v>6595</v>
      </c>
    </row>
    <row r="2">
      <c r="A2" s="150"/>
      <c r="B2" s="150"/>
      <c r="C2" s="150"/>
      <c r="D2" s="150"/>
      <c r="E2" s="150"/>
      <c r="F2" s="150"/>
      <c r="G2" s="150"/>
      <c r="H2" s="267" t="s">
        <v>204</v>
      </c>
      <c r="I2" s="267" t="s">
        <v>205</v>
      </c>
      <c r="J2" s="267" t="s">
        <v>206</v>
      </c>
      <c r="K2" s="267" t="s">
        <v>207</v>
      </c>
      <c r="L2" s="267" t="s">
        <v>208</v>
      </c>
      <c r="M2" s="150"/>
      <c r="N2" s="267" t="s">
        <v>204</v>
      </c>
      <c r="O2" s="267" t="s">
        <v>205</v>
      </c>
      <c r="P2" s="267" t="s">
        <v>206</v>
      </c>
      <c r="Q2" s="267" t="s">
        <v>207</v>
      </c>
      <c r="R2" s="150"/>
      <c r="S2" s="267" t="s">
        <v>204</v>
      </c>
      <c r="T2" s="267" t="s">
        <v>205</v>
      </c>
      <c r="U2" s="267" t="s">
        <v>206</v>
      </c>
      <c r="V2" s="267" t="s">
        <v>207</v>
      </c>
      <c r="W2" s="150"/>
      <c r="X2" s="320" t="s">
        <v>204</v>
      </c>
      <c r="Y2" s="320" t="s">
        <v>205</v>
      </c>
      <c r="Z2" s="320" t="s">
        <v>206</v>
      </c>
      <c r="AA2" s="320" t="s">
        <v>207</v>
      </c>
      <c r="AB2" s="320" t="s">
        <v>208</v>
      </c>
      <c r="AC2" s="150"/>
      <c r="AD2" s="150"/>
      <c r="AE2" s="383"/>
    </row>
    <row r="3">
      <c r="D3" s="384"/>
    </row>
    <row r="4">
      <c r="D4" s="384"/>
    </row>
    <row r="1000">
      <c r="A1000" s="66" t="s">
        <v>6596</v>
      </c>
      <c r="B1000" s="66" t="s">
        <v>6597</v>
      </c>
      <c r="C1000" s="66" t="s">
        <v>6598</v>
      </c>
      <c r="D1000" s="384">
        <v>44449.0</v>
      </c>
      <c r="E1000" s="66" t="s">
        <v>6599</v>
      </c>
      <c r="F1000" s="66" t="s">
        <v>6600</v>
      </c>
      <c r="G1000" s="66" t="s">
        <v>6601</v>
      </c>
      <c r="H1000" s="387">
        <v>4.0</v>
      </c>
      <c r="I1000" s="387">
        <v>4.0</v>
      </c>
      <c r="J1000" s="387">
        <v>4.0</v>
      </c>
      <c r="K1000" s="387">
        <v>5.0</v>
      </c>
      <c r="L1000" s="387">
        <v>3.0</v>
      </c>
      <c r="M1000" s="387">
        <v>4.0</v>
      </c>
      <c r="N1000" s="387">
        <v>4.0</v>
      </c>
      <c r="O1000" s="387">
        <v>5.0</v>
      </c>
      <c r="P1000" s="387">
        <v>4.0</v>
      </c>
      <c r="Q1000" s="387">
        <v>5.0</v>
      </c>
      <c r="R1000" s="387">
        <v>4.5</v>
      </c>
      <c r="S1000" s="387">
        <v>5.0</v>
      </c>
      <c r="T1000" s="387">
        <v>5.0</v>
      </c>
      <c r="U1000" s="387">
        <v>5.0</v>
      </c>
      <c r="V1000" s="387">
        <v>5.0</v>
      </c>
      <c r="W1000" s="387">
        <v>5.0</v>
      </c>
      <c r="X1000" s="66" t="s">
        <v>6597</v>
      </c>
      <c r="Y1000" s="66" t="s">
        <v>6602</v>
      </c>
      <c r="Z1000" s="66" t="s">
        <v>6603</v>
      </c>
      <c r="AA1000" s="66" t="s">
        <v>6604</v>
      </c>
      <c r="AB1000" s="66" t="s">
        <v>6605</v>
      </c>
      <c r="AC1000" s="387">
        <v>4.5</v>
      </c>
    </row>
    <row r="1001">
      <c r="A1001" s="66" t="s">
        <v>6596</v>
      </c>
      <c r="B1001" s="66" t="s">
        <v>6597</v>
      </c>
      <c r="C1001" s="66" t="s">
        <v>6598</v>
      </c>
      <c r="D1001" s="384">
        <v>44449.0</v>
      </c>
      <c r="E1001" s="66" t="s">
        <v>6599</v>
      </c>
      <c r="F1001" s="66" t="s">
        <v>6600</v>
      </c>
      <c r="G1001" s="66" t="s">
        <v>6601</v>
      </c>
      <c r="H1001" s="387">
        <v>4.0</v>
      </c>
      <c r="I1001" s="387">
        <v>4.0</v>
      </c>
      <c r="J1001" s="387">
        <v>4.0</v>
      </c>
      <c r="K1001" s="387">
        <v>5.0</v>
      </c>
      <c r="L1001" s="387">
        <v>3.0</v>
      </c>
      <c r="M1001" s="387">
        <v>4.0</v>
      </c>
      <c r="N1001" s="387">
        <v>4.0</v>
      </c>
      <c r="O1001" s="387">
        <v>5.0</v>
      </c>
      <c r="P1001" s="387">
        <v>4.0</v>
      </c>
      <c r="Q1001" s="387">
        <v>5.0</v>
      </c>
      <c r="R1001" s="387">
        <v>4.5</v>
      </c>
      <c r="S1001" s="387">
        <v>5.0</v>
      </c>
      <c r="T1001" s="387">
        <v>5.0</v>
      </c>
      <c r="U1001" s="387">
        <v>5.0</v>
      </c>
      <c r="V1001" s="387">
        <v>5.0</v>
      </c>
      <c r="W1001" s="387">
        <v>5.0</v>
      </c>
      <c r="X1001" s="66" t="s">
        <v>6597</v>
      </c>
      <c r="Y1001" s="66" t="s">
        <v>6602</v>
      </c>
      <c r="Z1001" s="66" t="s">
        <v>6603</v>
      </c>
      <c r="AA1001" s="66" t="s">
        <v>6604</v>
      </c>
      <c r="AB1001" s="66" t="s">
        <v>6605</v>
      </c>
      <c r="AC1001" s="387">
        <v>4.5</v>
      </c>
    </row>
    <row r="1002">
      <c r="A1002" s="66" t="s">
        <v>6596</v>
      </c>
      <c r="B1002" s="66" t="s">
        <v>6597</v>
      </c>
      <c r="C1002" s="66" t="s">
        <v>6598</v>
      </c>
      <c r="D1002" s="384">
        <v>44449.0</v>
      </c>
      <c r="E1002" s="66" t="s">
        <v>6599</v>
      </c>
      <c r="F1002" s="66" t="s">
        <v>6600</v>
      </c>
      <c r="G1002" s="66" t="s">
        <v>6601</v>
      </c>
      <c r="H1002" s="387">
        <v>4.0</v>
      </c>
      <c r="I1002" s="387">
        <v>4.0</v>
      </c>
      <c r="J1002" s="387">
        <v>4.0</v>
      </c>
      <c r="K1002" s="387">
        <v>5.0</v>
      </c>
      <c r="L1002" s="387">
        <v>3.0</v>
      </c>
      <c r="M1002" s="387">
        <v>4.0</v>
      </c>
      <c r="N1002" s="387">
        <v>4.0</v>
      </c>
      <c r="O1002" s="387">
        <v>5.0</v>
      </c>
      <c r="P1002" s="387">
        <v>4.0</v>
      </c>
      <c r="Q1002" s="387">
        <v>5.0</v>
      </c>
      <c r="R1002" s="387">
        <v>4.5</v>
      </c>
      <c r="S1002" s="387">
        <v>5.0</v>
      </c>
      <c r="T1002" s="387">
        <v>5.0</v>
      </c>
      <c r="U1002" s="387">
        <v>5.0</v>
      </c>
      <c r="V1002" s="387">
        <v>5.0</v>
      </c>
      <c r="W1002" s="387">
        <v>5.0</v>
      </c>
      <c r="X1002" s="66" t="s">
        <v>6597</v>
      </c>
      <c r="Y1002" s="66" t="s">
        <v>6602</v>
      </c>
      <c r="Z1002" s="66" t="s">
        <v>6603</v>
      </c>
      <c r="AA1002" s="66" t="s">
        <v>6604</v>
      </c>
      <c r="AB1002" s="66" t="s">
        <v>6605</v>
      </c>
      <c r="AC1002" s="387">
        <v>4.5</v>
      </c>
    </row>
  </sheetData>
  <mergeCells count="16">
    <mergeCell ref="A1:A2"/>
    <mergeCell ref="B1:B2"/>
    <mergeCell ref="C1:C2"/>
    <mergeCell ref="D1:D2"/>
    <mergeCell ref="E1:E2"/>
    <mergeCell ref="F1:F2"/>
    <mergeCell ref="G1:G2"/>
    <mergeCell ref="AC1:AC2"/>
    <mergeCell ref="AD1:AD2"/>
    <mergeCell ref="H1:L1"/>
    <mergeCell ref="M1:M2"/>
    <mergeCell ref="N1:Q1"/>
    <mergeCell ref="R1:R2"/>
    <mergeCell ref="S1:V1"/>
    <mergeCell ref="W1:W2"/>
    <mergeCell ref="X1:AB1"/>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76" t="str">
        <f t="array" ref="A1">IF(AF3:AF1000=0,"", IFS(AF3:AF1000&lt;=3,"NOT RECOMMENDED", AF3:AF1000&lt;3.5,"Acceptable with some reservation", AF3:AF1000&lt;4, "Acceptable", AF3:AF1000&lt;4.5,"Recommended", AF3:AF1000&lt;=5, "Strongly Recommended"))</f>
        <v>#VALUE!</v>
      </c>
    </row>
    <row r="2">
      <c r="A2" s="66" t="s">
        <v>6596</v>
      </c>
      <c r="B2" s="66" t="s">
        <v>6597</v>
      </c>
      <c r="C2" s="66" t="s">
        <v>6598</v>
      </c>
      <c r="D2" s="384">
        <v>44449.0</v>
      </c>
      <c r="E2" s="66" t="s">
        <v>6599</v>
      </c>
      <c r="F2" s="66" t="s">
        <v>6600</v>
      </c>
      <c r="G2" s="66" t="s">
        <v>6601</v>
      </c>
      <c r="H2" s="387">
        <v>4.0</v>
      </c>
      <c r="I2" s="387">
        <v>4.0</v>
      </c>
      <c r="J2" s="387">
        <v>4.0</v>
      </c>
      <c r="K2" s="387">
        <v>5.0</v>
      </c>
      <c r="L2" s="387">
        <v>3.0</v>
      </c>
      <c r="M2" s="387">
        <v>4.0</v>
      </c>
      <c r="N2" s="387">
        <v>4.0</v>
      </c>
      <c r="O2" s="387">
        <v>5.0</v>
      </c>
      <c r="P2" s="387">
        <v>4.0</v>
      </c>
      <c r="Q2" s="387">
        <v>5.0</v>
      </c>
      <c r="R2" s="387">
        <v>4.5</v>
      </c>
      <c r="S2" s="387">
        <v>5.0</v>
      </c>
      <c r="T2" s="387">
        <v>5.0</v>
      </c>
      <c r="U2" s="387">
        <v>5.0</v>
      </c>
      <c r="V2" s="387">
        <v>5.0</v>
      </c>
      <c r="W2" s="387">
        <v>5.0</v>
      </c>
      <c r="X2" s="66" t="s">
        <v>6597</v>
      </c>
      <c r="Y2" s="66" t="s">
        <v>6602</v>
      </c>
      <c r="Z2" s="66" t="s">
        <v>6603</v>
      </c>
      <c r="AA2" s="66" t="s">
        <v>6604</v>
      </c>
      <c r="AB2" s="66" t="s">
        <v>6605</v>
      </c>
      <c r="AC2" s="387">
        <v>4.5</v>
      </c>
    </row>
    <row r="7">
      <c r="A7" s="66">
        <v>1234.0</v>
      </c>
      <c r="B7" s="66" t="s">
        <v>6606</v>
      </c>
      <c r="C7" s="66" t="s">
        <v>6607</v>
      </c>
    </row>
  </sheetData>
  <drawing r:id="rId1"/>
</worksheet>
</file>